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omments6.xml" ContentType="application/vnd.openxmlformats-officedocument.spreadsheetml.comments+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mlane\Documents\_Business Lighting (C)\__Applications\__Current Applications\"/>
    </mc:Choice>
  </mc:AlternateContent>
  <workbookProtection workbookAlgorithmName="SHA-512" workbookHashValue="NnvByUzIbPT6zZDoO6Z1POkk4BOKTtY1jvcdZA3Ck3GvWpHRDlp7io+LlOCW0eaCOdHllgImB4etccoYzKymAA==" workbookSaltValue="UBdLHqUt/lH08oY/EvtNKA==" workbookSpinCount="100000" lockStructure="1"/>
  <bookViews>
    <workbookView xWindow="0" yWindow="0" windowWidth="22823" windowHeight="10474"/>
  </bookViews>
  <sheets>
    <sheet name="Terms" sheetId="12" r:id="rId1"/>
    <sheet name="Project" sheetId="11" r:id="rId2"/>
    <sheet name="Fixtures" sheetId="8" r:id="rId3"/>
    <sheet name="Installations" sheetId="5" r:id="rId4"/>
    <sheet name="Customer Authorization" sheetId="14" r:id="rId5"/>
    <sheet name="Customer Use" sheetId="27" r:id="rId6"/>
    <sheet name="Instructions" sheetId="18" state="hidden" r:id="rId7"/>
    <sheet name="Ready" sheetId="22" r:id="rId8"/>
    <sheet name="LLLC &amp; Ext. NLC" sheetId="15" r:id="rId9"/>
    <sheet name="Control Savings" sheetId="9" r:id="rId10"/>
    <sheet name="Grant QC Review" sheetId="20" r:id="rId11"/>
    <sheet name="CNC DSMc SOW" sheetId="28" state="hidden" r:id="rId12"/>
    <sheet name="LLLC Grant QC Review" sheetId="21" r:id="rId13"/>
    <sheet name="DATA" sheetId="19" r:id="rId14"/>
    <sheet name="Autofund" sheetId="10" state="hidden" r:id="rId15"/>
    <sheet name="Existing" sheetId="3" state="hidden" r:id="rId16"/>
    <sheet name="Lookup" sheetId="4" state="hidden" r:id="rId17"/>
    <sheet name="WSEC" sheetId="24" state="hidden" r:id="rId18"/>
    <sheet name="Space Table" sheetId="25" state="hidden" r:id="rId19"/>
  </sheets>
  <externalReferences>
    <externalReference r:id="rId20"/>
    <externalReference r:id="rId21"/>
    <externalReference r:id="rId22"/>
  </externalReferences>
  <definedNames>
    <definedName name="__Company_Name_List">Project!$BD$81:$BG$95</definedName>
    <definedName name="__Retrofit_TI_NC" localSheetId="11">[1]Installations!$C$36</definedName>
    <definedName name="__Retrofit_TI_NC">Installations!$C$36</definedName>
    <definedName name="_C406_3" localSheetId="11">[1]Project!$N$38</definedName>
    <definedName name="_C406_3">Project!$O$38</definedName>
    <definedName name="_C406_reduction" localSheetId="11">[1]Installations!$B$33</definedName>
    <definedName name="_C406_reduction">Installations!$B$33</definedName>
    <definedName name="_Calculate" localSheetId="11">[1]Installations!#REF!</definedName>
    <definedName name="_Calculate">Installations!#REF!</definedName>
    <definedName name="_Control_Bonus">Installations!BN$39:BN$92</definedName>
    <definedName name="_Control_Table" localSheetId="11">[1]!Table7[#Data]</definedName>
    <definedName name="_Control_Table">Table7[]</definedName>
    <definedName name="_Control_Type_Table">Lookup!$AU$5</definedName>
    <definedName name="_Daylight_Table_Codes" localSheetId="11">[1]!_Daylight_Table[#Data]</definedName>
    <definedName name="_Daylight_Table_Codes">_Daylight_Table[]</definedName>
    <definedName name="_Daylighted?" localSheetId="11">[1]!_Daylight_Table[Daylighted]</definedName>
    <definedName name="_Daylighted?">_Daylight_Table[Daylighted]</definedName>
    <definedName name="_Error_Table" localSheetId="11">[1]Lookup!$AY$27:$BB$51</definedName>
    <definedName name="_Error_Table">Lookup!$AY$27:$BB$51</definedName>
    <definedName name="_Exist_Fixture_Table" localSheetId="11">[1]Fixtures!$BM$89:$BU$138</definedName>
    <definedName name="_Exist_Fixture_Table">Fixtures!$BM$93:$BU$142</definedName>
    <definedName name="_Fixture_1_Top">Fixtures!$A$18</definedName>
    <definedName name="_Fixture_2_Existing">Fixtures!$BJ$18</definedName>
    <definedName name="_Fixture_3_01">Fixtures!$BK$27</definedName>
    <definedName name="_Fixture_3_10">Fixtures!$BK$36</definedName>
    <definedName name="_Fixture_3_20">Fixtures!$BK$46</definedName>
    <definedName name="_Fixture_3_30">Fixtures!$BK$56</definedName>
    <definedName name="_Fixture_4_Help">Fixtures!$BK$255</definedName>
    <definedName name="_Fixture_5_New">Fixtures!$DJ$18</definedName>
    <definedName name="_Fixture_6_N01">Fixtures!$DK$27</definedName>
    <definedName name="_Fixture_6_N10">Fixtures!$DK$36</definedName>
    <definedName name="_Fixture_6_N20">Fixtures!$DK$46</definedName>
    <definedName name="_Fixture_6_N30">Fixtures!$DK$56</definedName>
    <definedName name="_Fixture_6_N40">Fixtures!$DK$66</definedName>
    <definedName name="_Fixture_7_Help">Fixtures!$DK$251</definedName>
    <definedName name="_Fixture_Generic_List">Lookup!$P$3:$P$17</definedName>
    <definedName name="_Fixture_Measure_Life">Lookup!$P$3:$Q$25</definedName>
    <definedName name="_Heat_Type" localSheetId="11">[1]Lookup!$T$3:$T$9</definedName>
    <definedName name="_Heat_Type">Lookup!$T$3:$T$9</definedName>
    <definedName name="_Install_1">Installations!$G$40</definedName>
    <definedName name="_Install_11">Installations!$G$93</definedName>
    <definedName name="_Install_2_Supplemental_Info">Installations!$BE$1</definedName>
    <definedName name="_Install_26">Installations!$G$171</definedName>
    <definedName name="_Install_41">Installations!$G$249</definedName>
    <definedName name="_Install_56">Installations!$G$327</definedName>
    <definedName name="_Install_71">Installations!$G$405</definedName>
    <definedName name="_Install_86">Installations!$G$483</definedName>
    <definedName name="_Install_Top">Installations!$B$19</definedName>
    <definedName name="_LLLC_Bouns">'LLLC &amp; Ext. NLC'!$B$26</definedName>
    <definedName name="_LLLC_Data_Monitoring">'LLLC &amp; Ext. NLC'!$B$113</definedName>
    <definedName name="_LLLC_Daylight_Sensor">'LLLC &amp; Ext. NLC'!$B$81</definedName>
    <definedName name="_LLLC_Occupancy_Sensor">'LLLC &amp; Ext. NLC'!$B$60</definedName>
    <definedName name="_LLLC_Process">'LLLC &amp; Ext. NLC'!$B$49</definedName>
    <definedName name="_LLLC_Task_Tuning">'LLLC &amp; Ext. NLC'!$B$95</definedName>
    <definedName name="_LLLC_Top" localSheetId="8">'LLLC &amp; Ext. NLC'!$A$19</definedName>
    <definedName name="_Lookup_Fixture_Type">Lookup!$AM$3:$AP$16</definedName>
    <definedName name="_Lookup_Heat_Type_New" localSheetId="11">[1]!Table4[Lookup_Heat_Type]</definedName>
    <definedName name="_Lookup_Heat_Type_New">Table4[Lookup_Heat_Type]</definedName>
    <definedName name="_Lookup_Heat_Type_Table_New" localSheetId="11">[1]!Table4[[Lookup_Heat_Type]:[Short]]</definedName>
    <definedName name="_Lookup_Heat_Type_Table_New">Table4[[Lookup_Heat_Type]:[Short]]</definedName>
    <definedName name="_Lookup_Type_New" localSheetId="11">[1]!Table4[Lookup_Type_New]</definedName>
    <definedName name="_Lookup_Type_New">Table4[Lookup_Type_New]</definedName>
    <definedName name="_New_Fixture_Table">Fixtures!$BM$143:$BU$192</definedName>
    <definedName name="_Project_1_Top">Project!$A$18:$AQ$18</definedName>
    <definedName name="_Project_2_Type" localSheetId="11">[1]Project!$G$24</definedName>
    <definedName name="_Project_2_Type">Project!$H$24</definedName>
    <definedName name="_Project_3_Name">Project!$P$20</definedName>
    <definedName name="_Project_4_Owner">Project!$AE$20</definedName>
    <definedName name="_Project_5_Hours">Project!$B$41</definedName>
    <definedName name="_Project_6_Notes">Project!$Z$43</definedName>
    <definedName name="_Project_7_Contractor">Project!$P$57</definedName>
    <definedName name="_Project_8_Vendor">Project!$AJ$63</definedName>
    <definedName name="_Project_Submitter">Project!$B$57</definedName>
    <definedName name="_QC_Form2">'Grant QC Review'!$B$255</definedName>
    <definedName name="_QC_Form3">'Grant QC Review'!$B$121</definedName>
    <definedName name="_QC_Grant">'Grant QC Review'!$B$88</definedName>
    <definedName name="_QC_LLLC_Form2">'LLLC Grant QC Review'!$B$253</definedName>
    <definedName name="_QC_LLLC_Form3">'LLLC Grant QC Review'!$B$121</definedName>
    <definedName name="_QC_LLLC_Project">'LLLC Grant QC Review'!$B$20</definedName>
    <definedName name="_QC_LLLC_Top">'LLLC Grant QC Review'!$A$18</definedName>
    <definedName name="_QC_Project">'Grant QC Review'!$B$20</definedName>
    <definedName name="_QC_Top">'Grant QC Review'!$A$18</definedName>
    <definedName name="_Qty_Fixtures">Installations!BK$39:BK$92</definedName>
    <definedName name="_Ready_Top" localSheetId="7">Ready!$A$19:$AM$19</definedName>
    <definedName name="_simple_Light_Fixture_help">#REF!</definedName>
    <definedName name="_Suplemental">Installations!$BA$875</definedName>
    <definedName name="_Terms_1_Top">Terms!$A$18</definedName>
    <definedName name="_Terms_2_Approval">Terms!$A$28</definedName>
    <definedName name="_Terms_3_Submittals">Terms!$A$45</definedName>
    <definedName name="_Terms_4_Customers">Terms!$A$51</definedName>
    <definedName name="_Terms_5_Incentives">Terms!$A$58</definedName>
    <definedName name="_Terms_6_Specifications">Terms!$A$137</definedName>
    <definedName name="_Terms_7_Inspections">Terms!$A$171</definedName>
    <definedName name="_Terms_8_Invoice">Terms!$A$175</definedName>
    <definedName name="_TLED_to_TLED">Installations!$GC$39:$GC$92</definedName>
    <definedName name="Control_Savings_Exterior" localSheetId="11">'[1]Control Savings'!$F$37:$L$49</definedName>
    <definedName name="Control_Savings_Exterior">'Control Savings'!$F$37:$L$49</definedName>
    <definedName name="Control_Savings_Interior" localSheetId="11">'[1]Control Savings'!$F$5:$M$33</definedName>
    <definedName name="Control_Savings_Interior">'Control Savings'!$F$5:$M$33</definedName>
    <definedName name="Controls_Exterior_Basic">Lookup!$AR$28:$AR$33</definedName>
    <definedName name="Controls_Interior_Basic">Lookup!$AR$11:$AR$15</definedName>
    <definedName name="Controls_Interior_LLLC">Lookup!$AR$19:$AR$24</definedName>
    <definedName name="Controls_Interior_No_Daylight">Lookup!$AR$41:$AR$43</definedName>
    <definedName name="Controls_Removed">Lookup!$AR$37</definedName>
    <definedName name="ControlTime" localSheetId="11">'[1]Control Savings'!$F$74:$F$97</definedName>
    <definedName name="ControlTime">'Control Savings'!$F$74:$F$97</definedName>
    <definedName name="EMEs" localSheetId="11">[1]Lookup!$BP$3:$BP$34</definedName>
    <definedName name="EMEs">Lookup!$BQ$3:$BQ$34</definedName>
    <definedName name="Exist_CFL">Existing!$E$306:$E$327</definedName>
    <definedName name="Exist_Exit">Existing!$E$7:$E$8</definedName>
    <definedName name="Exist_HalogenA">Existing!$E$16:$E$21</definedName>
    <definedName name="Exist_HalogenMR">Existing!$E$38:$E$45</definedName>
    <definedName name="Exist_HalogenPAR">Existing!$E$24:$E$35</definedName>
    <definedName name="Exist_HPS">Existing!$E$259:$E$268</definedName>
    <definedName name="Exist_Incan">Existing!$E$48:$E$60</definedName>
    <definedName name="Exist_Induction">Existing!$E$247:$E$256</definedName>
    <definedName name="Exist_Mercury_Vapor">Existing!$E$299:$E$303</definedName>
    <definedName name="Exist_MH">Existing!$E$271:$E$296</definedName>
    <definedName name="Exist_Removed">Existing!$E$4</definedName>
    <definedName name="Exist_T12">Existing!$E$63:$E$75</definedName>
    <definedName name="Exist_T12_HO">Existing!$E$88:$E$95</definedName>
    <definedName name="Exist_T12_Slimline">Existing!$E$78:$E$85</definedName>
    <definedName name="Exist_T5">Existing!$E$219:$E$226</definedName>
    <definedName name="Exist_T5_HO">Existing!$E$229:$E$244</definedName>
    <definedName name="Exist_T8_25W">Existing!$E$198:$E$216</definedName>
    <definedName name="Exist_T8_28W">Existing!$E$177:$E$195</definedName>
    <definedName name="Exist_T8_2ft">Existing!$E$98:$E$101</definedName>
    <definedName name="Exist_T8_32WHighPerf">Existing!$E$156:$E$174</definedName>
    <definedName name="Exist_T8_3ft">Existing!$E$104:$E$107</definedName>
    <definedName name="Exist_T8_4ft_E">Existing!$E$116:$E$122</definedName>
    <definedName name="Exist_T8_4ft_Mag">Existing!$E$110:$E$113</definedName>
    <definedName name="Exist_T8_5ft">Existing!$E$125:$E$129</definedName>
    <definedName name="Exist_T8_HO">Existing!$E$146:$E$153</definedName>
    <definedName name="Exist_T8_Slimline">Existing!$E$132:$E$143</definedName>
    <definedName name="ExistingFixtures">OFFSET([2]Application!$AE$185:$AF$194,0,1,[2]Application!$AE$184,1)</definedName>
    <definedName name="Fixture_Existing_Help">Fixtures!$BK$257:$BK$276</definedName>
    <definedName name="Fixture_Proposed_Help">Fixtures!$DK$253:$DK$272</definedName>
    <definedName name="Fixture_Top">Fixtures!$A$19</definedName>
    <definedName name="Fixtures_Existing">Fixtures!$BL$19</definedName>
    <definedName name="Fixtures_Existing_Final_List" localSheetId="11">OFFSET([1]Fixtures!$BX$89:$BY$138,0,1,[1]Fixtures!$BX$88,1)</definedName>
    <definedName name="Fixtures_Existing_Final_List">OFFSET(Fixtures!$CM$93:$CN$142,0,1,Fixtures!$CM$92,1)</definedName>
    <definedName name="Fixtures_Existing_List" localSheetId="11">[1]Fixtures!$BM$89:$BN$188</definedName>
    <definedName name="Fixtures_Existing_List">Fixtures!$BM$93:$BN$192</definedName>
    <definedName name="Fixtures_Proposed">Fixtures!$DL$19</definedName>
    <definedName name="Fixtures_Proposed_Final_List" localSheetId="11">OFFSET([1]Fixtures!$DX$93:$DY$142,0,1,[1]Fixtures!$DX$92,1)</definedName>
    <definedName name="Fixtures_Proposed_Final_List">OFFSET(Fixtures!$EP$93:$EQ$142,0,1,Fixtures!$EP$92,1)</definedName>
    <definedName name="Fixtures_Proposed_List" localSheetId="11">[1]Fixtures!$DM$93:$DN$142</definedName>
    <definedName name="Fixtures_Proposed_List">Fixtures!$DM$93:$DN$142</definedName>
    <definedName name="Fixtures_Top">Fixtures!$A$19</definedName>
    <definedName name="Install_Supplemental_Info" localSheetId="11">[1]Installations!#REF!</definedName>
    <definedName name="Install_Supplemental_Info">Installations!#REF!</definedName>
    <definedName name="Install_Top" localSheetId="11">[1]Installations!#REF!</definedName>
    <definedName name="Install_Top">Installations!#REF!</definedName>
    <definedName name="Installations_New_Fixtures">Instructions!$E$65</definedName>
    <definedName name="Instructions_Light_Fixture">Instructions!$E$1</definedName>
    <definedName name="Lookup_Control_Type_Table" localSheetId="11">[1]Lookup!$AR$3:$AS$7</definedName>
    <definedName name="Lookup_Control_Type_Table">Lookup!$AR$3:$AS$7</definedName>
    <definedName name="Lookup_Control_Type_Table2" localSheetId="11">[1]Lookup!$AU$3:$AX$15</definedName>
    <definedName name="Lookup_Control_Type_Table2">Lookup!$AU$3:$AX$15</definedName>
    <definedName name="Lookup_Devined_Name_No_Existing">Lookup!$N$59</definedName>
    <definedName name="Lookup_Existing_TLED">Lookup!$M$100:$M$102</definedName>
    <definedName name="Lookup_Exterior_Areas" localSheetId="11">[1]Lookup!$Z$33:$Z$42</definedName>
    <definedName name="Lookup_Exterior_Areas">Lookup!$Z$33:$Z$42</definedName>
    <definedName name="Lookup_Exterior_New" localSheetId="11">'[1]Space Table'!$B$137:$B$149</definedName>
    <definedName name="Lookup_Exterior_New">'Space Table'!$B$137:$B$150</definedName>
    <definedName name="Lookup_Fixture_Defined_Name_Existing" localSheetId="11">[1]Lookup!$N$3:$N$36</definedName>
    <definedName name="Lookup_Fixture_Defined_Name_Existing">Lookup!$N$3:$N$36</definedName>
    <definedName name="Lookup_Fixture_Existing" localSheetId="11">[1]Lookup!$M$3:$M$36</definedName>
    <definedName name="Lookup_Fixture_Existing">Lookup!$M$3:$M$36</definedName>
    <definedName name="Lookup_Fixture_Exit">Lookup!$M$62</definedName>
    <definedName name="Lookup_Fixture_Fluorescent">Lookup!$M$65:$M$80</definedName>
    <definedName name="Lookup_Fixture_Fluorescent_Defined_Name_Existing">Lookup!$N$65:$N$80</definedName>
    <definedName name="Lookup_Fixture_HID">Lookup!$M$83:$M$85</definedName>
    <definedName name="Lookup_Fixture_Incandescent">Lookup!$M$88:$M$91</definedName>
    <definedName name="Lookup_Fixture_Induction">Lookup!$M$94</definedName>
    <definedName name="Lookup_Fixture_Lamp_List" localSheetId="11">[1]Lookup!$P$3:$P$23</definedName>
    <definedName name="Lookup_Fixture_Lamp_List">Lookup!$P$3:$P$24</definedName>
    <definedName name="Lookup_Fixture_Type_Defined_Name_Exist" localSheetId="11">[1]Lookup!$N$40:$N$46</definedName>
    <definedName name="Lookup_Fixture_Type_Defined_Name_Exist">Lookup!$N$40:$N$46</definedName>
    <definedName name="Lookup_Fixture_Type_Exist" localSheetId="11">[1]Lookup!$M$40:$M$46</definedName>
    <definedName name="Lookup_Fixture_Type_Exist">Lookup!$M$40:$M$46</definedName>
    <definedName name="Lookup_Heat_Type">[3]Lookup!$T$3:$T$9</definedName>
    <definedName name="Lookup_Heat_Type_Table">Lookup!$T$3:$X$9</definedName>
    <definedName name="Lookup_Installer" localSheetId="11">[1]Lookup!$BJ$3:$BJ$5</definedName>
    <definedName name="Lookup_Installer">Lookup!$BJ$3:$BJ$6</definedName>
    <definedName name="Lookup_Installer_Number">Lookup!$BJ$3:$BK$6</definedName>
    <definedName name="Lookup_Interior" localSheetId="11">[1]Lookup!$Z$3:$Z$30</definedName>
    <definedName name="Lookup_Interior">Lookup!$Z$3:$Z$30</definedName>
    <definedName name="Lookup_Interior_New" localSheetId="11">'[1]Space Table'!$B$3:$B$107</definedName>
    <definedName name="Lookup_Interior_New">'Space Table'!$B$3:$B$107</definedName>
    <definedName name="Lookup_no_Existing">Lookup!$M$59</definedName>
    <definedName name="Lookup_Rate_Schedule">Lookup!$BC$3:$BE$22</definedName>
    <definedName name="Lookup_Schedule" localSheetId="11">[1]Lookup!$BC$3:$BC$22</definedName>
    <definedName name="Lookup_Schedule">Lookup!$BC$3:$BC$22</definedName>
    <definedName name="Lookup_Street">Lookup!$Z$42</definedName>
    <definedName name="Lookup_Submitter">Lookup!$BJ$10:$BJ$14</definedName>
    <definedName name="Lookup_Submitter_Number">Lookup!$BJ$10:$BK$14</definedName>
    <definedName name="Lookup_Type">Lookup!$W$3:$W$9</definedName>
    <definedName name="NewFixtures">Fixtures!$DM$93:$DN$102</definedName>
    <definedName name="OnIntensity" localSheetId="11">'[1]Control Savings'!$G$74:$G$94</definedName>
    <definedName name="OnIntensity">'Control Savings'!$G$74:$G$94</definedName>
    <definedName name="_xlnm.Print_Area" localSheetId="11">[0]!Print_Installations_Page</definedName>
    <definedName name="_xlnm.Print_Area" localSheetId="4">'Customer Authorization'!$A$1:$AM$111</definedName>
    <definedName name="_xlnm.Print_Area" localSheetId="2">PrintFixtures</definedName>
    <definedName name="_xlnm.Print_Area" localSheetId="10">'Grant QC Review'!$C$1:$X$250</definedName>
    <definedName name="_xlnm.Print_Area" localSheetId="3">PrintInstallations</definedName>
    <definedName name="_xlnm.Print_Area" localSheetId="8">'LLLC &amp; Ext. NLC'!$A$1:$AJ$141</definedName>
    <definedName name="_xlnm.Print_Area" localSheetId="12">'LLLC Grant QC Review'!$A$121:$X$250</definedName>
    <definedName name="_xlnm.Print_Area" localSheetId="1">Project!$C$1:$AP$77</definedName>
    <definedName name="_xlnm.Print_Area" localSheetId="7">Ready!$C$1:$AM$19</definedName>
    <definedName name="_xlnm.Print_Area">[0]!Print_Installations_Page</definedName>
    <definedName name="PrintFixtures">OFFSET(Fixtures!$C$25,0,0,Fixtures!$AK$83,32)</definedName>
    <definedName name="PrintInstallations" localSheetId="11">OFFSET([1]Installations!$C$1,0,0,[1]Installations!$EG$2,44)</definedName>
    <definedName name="PrintInstallations">OFFSET(Installations!$C$1,0,0,Installations!$EG$2,Installations!$EG$4)</definedName>
    <definedName name="Project_Contractor">#REF!</definedName>
    <definedName name="Project_Exist_Fixtures">#REF!</definedName>
    <definedName name="Project_Info">#REF!</definedName>
    <definedName name="Project_Install1">#REF!</definedName>
    <definedName name="Project_Install2">#REF!</definedName>
    <definedName name="Project_Install3">#REF!</definedName>
    <definedName name="Project_Install4">#REF!</definedName>
    <definedName name="Project_Install5">#REF!</definedName>
    <definedName name="Project_Name">#REF!</definedName>
    <definedName name="Project_New_Fixtures">#REF!</definedName>
    <definedName name="Project_Rate_Schedule">#REF!</definedName>
    <definedName name="Project_Signature">#REF!</definedName>
    <definedName name="Signature_Top">'Customer Authorization'!$A$19</definedName>
    <definedName name="Space_Control_Table">Lookup!$Z$3:$AF$42</definedName>
    <definedName name="Space_Table">Lookup!$Z$3:$Z$41</definedName>
    <definedName name="Z_14E4B213_4E3E_4DA3_B507_48FDF095D37D_.wvu.PrintArea" localSheetId="10" hidden="1">'Grant QC Review'!$AA$19:$AA$66</definedName>
    <definedName name="Z_14E4B213_4E3E_4DA3_B507_48FDF095D37D_.wvu.PrintArea" localSheetId="12" hidden="1">'LLLC Grant QC Review'!#REF!</definedName>
    <definedName name="Z_2EA17A6E_3C9D_49BE_AB11_A86D886C9C75_.wvu.PrintArea" localSheetId="10" hidden="1">'Grant QC Review'!$C$19:$X$117</definedName>
    <definedName name="Z_2EA17A6E_3C9D_49BE_AB11_A86D886C9C75_.wvu.PrintArea" localSheetId="12" hidden="1">'LLLC Grant QC Review'!$B$18:$X$117</definedName>
    <definedName name="Z_6659FC5E_EBCC_43AD_A6D6_4A3723F270E9_.wvu.PrintArea" localSheetId="10" hidden="1">'Grant QC Review'!$C$19:$X$120</definedName>
    <definedName name="Z_6659FC5E_EBCC_43AD_A6D6_4A3723F270E9_.wvu.PrintArea" localSheetId="12" hidden="1">'LLLC Grant QC Review'!$B$18:$X$120</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43" i="10" l="1"/>
  <c r="B17" i="4" l="1"/>
  <c r="B4" i="4" s="1"/>
  <c r="B5" i="4" l="1"/>
  <c r="AI26" i="5" l="1"/>
  <c r="AM53" i="14" l="1"/>
  <c r="AA53" i="14"/>
  <c r="V63" i="14" s="1"/>
  <c r="BE95" i="11"/>
  <c r="BE93" i="11"/>
  <c r="BE91" i="11"/>
  <c r="BE89" i="11"/>
  <c r="BE87" i="11"/>
  <c r="BE85" i="11"/>
  <c r="BE83" i="11"/>
  <c r="BE81" i="11"/>
  <c r="J341" i="20"/>
  <c r="AX13" i="19"/>
  <c r="Y73" i="14" l="1"/>
  <c r="V67" i="14"/>
  <c r="V69" i="14"/>
  <c r="V71" i="14"/>
  <c r="V73" i="14"/>
  <c r="V57" i="14"/>
  <c r="V65" i="14"/>
  <c r="AM83" i="8"/>
  <c r="AL83" i="8"/>
  <c r="J152" i="21"/>
  <c r="U310" i="21"/>
  <c r="J435" i="21"/>
  <c r="J172" i="21" s="1"/>
  <c r="J447" i="21"/>
  <c r="J445" i="21"/>
  <c r="J507" i="21"/>
  <c r="J517" i="21"/>
  <c r="J431" i="21" s="1"/>
  <c r="J168" i="21" s="1"/>
  <c r="U551" i="21"/>
  <c r="U581" i="21"/>
  <c r="U308" i="21" s="1"/>
  <c r="J226" i="21" s="1"/>
  <c r="U587" i="21"/>
  <c r="J318" i="21" s="1"/>
  <c r="J577" i="21"/>
  <c r="J302" i="21" s="1"/>
  <c r="J222" i="21" s="1"/>
  <c r="J579" i="21"/>
  <c r="J304" i="21" s="1"/>
  <c r="U240" i="21" s="1"/>
  <c r="J585" i="21"/>
  <c r="J312" i="21" s="1"/>
  <c r="J230" i="21" s="1"/>
  <c r="O90" i="21"/>
  <c r="I463" i="21" s="1"/>
  <c r="M22" i="21"/>
  <c r="S85" i="21"/>
  <c r="S67" i="21"/>
  <c r="S46" i="21"/>
  <c r="S44" i="21"/>
  <c r="S34" i="21"/>
  <c r="S32" i="21"/>
  <c r="S30" i="21"/>
  <c r="S28" i="21"/>
  <c r="S24" i="21"/>
  <c r="S22" i="21"/>
  <c r="M32" i="21"/>
  <c r="M28" i="21"/>
  <c r="M26" i="21"/>
  <c r="M24" i="21"/>
  <c r="AP5" i="19"/>
  <c r="J529" i="21" s="1"/>
  <c r="J349" i="21" s="1"/>
  <c r="J180" i="21" s="1"/>
  <c r="J48" i="20"/>
  <c r="J48" i="21" s="1"/>
  <c r="J46" i="20"/>
  <c r="J46" i="21" s="1"/>
  <c r="J44" i="20"/>
  <c r="J44" i="21" s="1"/>
  <c r="J42" i="20"/>
  <c r="J42" i="21" s="1"/>
  <c r="J36" i="20"/>
  <c r="J36" i="21" s="1"/>
  <c r="J34" i="20"/>
  <c r="J34" i="21" s="1"/>
  <c r="J30" i="20"/>
  <c r="J30" i="21" s="1"/>
  <c r="J28" i="20"/>
  <c r="J28" i="21" s="1"/>
  <c r="J26" i="20"/>
  <c r="J26" i="21" s="1"/>
  <c r="J24" i="20"/>
  <c r="J24" i="21" s="1"/>
  <c r="J22" i="20"/>
  <c r="J22" i="21" s="1"/>
  <c r="J447" i="20"/>
  <c r="J445" i="20"/>
  <c r="J435" i="20"/>
  <c r="J431" i="20"/>
  <c r="J168" i="20" s="1"/>
  <c r="J152" i="20"/>
  <c r="J172" i="20"/>
  <c r="AP4" i="19"/>
  <c r="J529" i="20" s="1"/>
  <c r="J349" i="20" s="1"/>
  <c r="U310" i="20"/>
  <c r="U375" i="20"/>
  <c r="U349" i="20"/>
  <c r="J401" i="20"/>
  <c r="BV5" i="19"/>
  <c r="J451" i="21" s="1"/>
  <c r="BV4" i="19"/>
  <c r="J451" i="20" s="1"/>
  <c r="J507" i="20"/>
  <c r="J517" i="20"/>
  <c r="U551" i="20"/>
  <c r="J351" i="20"/>
  <c r="J351" i="21" s="1"/>
  <c r="J204" i="21" s="1"/>
  <c r="J204" i="20" l="1"/>
  <c r="J180" i="20"/>
  <c r="U581" i="20"/>
  <c r="U308" i="20" s="1"/>
  <c r="J226" i="20" s="1"/>
  <c r="J579" i="20"/>
  <c r="J304" i="20" s="1"/>
  <c r="U240" i="20" s="1"/>
  <c r="AB19" i="19"/>
  <c r="AB20" i="19"/>
  <c r="AN87" i="14" l="1"/>
  <c r="I463" i="20"/>
  <c r="BC10" i="19"/>
  <c r="U10" i="19"/>
  <c r="BB10" i="19"/>
  <c r="AY10" i="19"/>
  <c r="AZ10" i="19"/>
  <c r="BA10" i="19"/>
  <c r="CA4" i="19" l="1"/>
  <c r="O790" i="5"/>
  <c r="M790" i="5"/>
  <c r="GE789" i="5"/>
  <c r="FK789" i="5"/>
  <c r="FL789" i="5" s="1"/>
  <c r="EW789" i="5"/>
  <c r="DE789" i="5"/>
  <c r="O789" i="5"/>
  <c r="A789" i="5"/>
  <c r="HT788" i="5"/>
  <c r="HT790" i="5" s="1"/>
  <c r="HO788" i="5"/>
  <c r="HO790" i="5" s="1"/>
  <c r="HN788" i="5"/>
  <c r="HN790" i="5" s="1"/>
  <c r="N788" i="5"/>
  <c r="CM787" i="5" s="1"/>
  <c r="HA787" i="5"/>
  <c r="GZ787" i="5"/>
  <c r="GV787" i="5"/>
  <c r="GU787" i="5"/>
  <c r="GP787" i="5"/>
  <c r="GO787" i="5"/>
  <c r="GN787" i="5"/>
  <c r="GL787" i="5"/>
  <c r="GK787" i="5" s="1"/>
  <c r="GE787" i="5"/>
  <c r="EZ787" i="5"/>
  <c r="ES787" i="5"/>
  <c r="CP787" i="5"/>
  <c r="CP789" i="5" s="1"/>
  <c r="CN787" i="5"/>
  <c r="FI787" i="5" s="1"/>
  <c r="FJ787" i="5" s="1"/>
  <c r="AS787" i="5"/>
  <c r="O785" i="5"/>
  <c r="M785" i="5"/>
  <c r="GE784" i="5"/>
  <c r="FK784" i="5"/>
  <c r="FL784" i="5" s="1"/>
  <c r="DF784" i="5" s="1"/>
  <c r="FR784" i="5" s="1"/>
  <c r="EW784" i="5"/>
  <c r="DE784" i="5"/>
  <c r="O784" i="5"/>
  <c r="A784" i="5"/>
  <c r="HT783" i="5"/>
  <c r="HT785" i="5" s="1"/>
  <c r="HO783" i="5"/>
  <c r="HO785" i="5" s="1"/>
  <c r="HN783" i="5"/>
  <c r="HN785" i="5" s="1"/>
  <c r="N783" i="5"/>
  <c r="CM782" i="5" s="1"/>
  <c r="HA782" i="5"/>
  <c r="GZ782" i="5"/>
  <c r="GV782" i="5"/>
  <c r="GU782" i="5"/>
  <c r="GP782" i="5"/>
  <c r="GO782" i="5"/>
  <c r="GN782" i="5"/>
  <c r="GL782" i="5"/>
  <c r="GK782" i="5" s="1"/>
  <c r="GE782" i="5"/>
  <c r="EZ782" i="5"/>
  <c r="ES782" i="5"/>
  <c r="CP782" i="5"/>
  <c r="CP784" i="5" s="1"/>
  <c r="CN782" i="5"/>
  <c r="CO784" i="5" s="1"/>
  <c r="AS782" i="5"/>
  <c r="O780" i="5"/>
  <c r="M780" i="5"/>
  <c r="GE779" i="5"/>
  <c r="FK779" i="5"/>
  <c r="FL779" i="5" s="1"/>
  <c r="EW779" i="5"/>
  <c r="DE779" i="5"/>
  <c r="O779" i="5"/>
  <c r="A779" i="5"/>
  <c r="HT778" i="5"/>
  <c r="HT780" i="5" s="1"/>
  <c r="HO778" i="5"/>
  <c r="HO780" i="5" s="1"/>
  <c r="HN778" i="5"/>
  <c r="HN780" i="5" s="1"/>
  <c r="N778" i="5"/>
  <c r="CM777" i="5" s="1"/>
  <c r="HA777" i="5"/>
  <c r="GZ777" i="5"/>
  <c r="GV777" i="5"/>
  <c r="GU777" i="5"/>
  <c r="GP777" i="5"/>
  <c r="GO777" i="5"/>
  <c r="GN777" i="5"/>
  <c r="GL777" i="5"/>
  <c r="GL778" i="5" s="1"/>
  <c r="GE777" i="5"/>
  <c r="EZ777" i="5"/>
  <c r="ES777" i="5"/>
  <c r="CP777" i="5"/>
  <c r="CP779" i="5" s="1"/>
  <c r="EY777" i="5" s="1"/>
  <c r="CN777" i="5"/>
  <c r="CO779" i="5" s="1"/>
  <c r="AS777" i="5"/>
  <c r="O775" i="5"/>
  <c r="M775" i="5"/>
  <c r="GE774" i="5"/>
  <c r="FK774" i="5"/>
  <c r="FL774" i="5" s="1"/>
  <c r="EW774" i="5"/>
  <c r="DE774" i="5"/>
  <c r="O774" i="5"/>
  <c r="A774" i="5"/>
  <c r="HT773" i="5"/>
  <c r="HT775" i="5" s="1"/>
  <c r="HO773" i="5"/>
  <c r="HO775" i="5" s="1"/>
  <c r="HN773" i="5"/>
  <c r="HN775" i="5" s="1"/>
  <c r="N773" i="5"/>
  <c r="CM772" i="5" s="1"/>
  <c r="HA772" i="5"/>
  <c r="GZ772" i="5"/>
  <c r="GV772" i="5"/>
  <c r="GU772" i="5"/>
  <c r="GP772" i="5"/>
  <c r="GO772" i="5"/>
  <c r="GN772" i="5"/>
  <c r="GL772" i="5"/>
  <c r="GL773" i="5" s="1"/>
  <c r="GL775" i="5" s="1"/>
  <c r="GE772" i="5"/>
  <c r="EZ772" i="5"/>
  <c r="ES772" i="5"/>
  <c r="CP772" i="5"/>
  <c r="CP774" i="5" s="1"/>
  <c r="EY772" i="5" s="1"/>
  <c r="CN772" i="5"/>
  <c r="FB774" i="5" s="1"/>
  <c r="AS772" i="5"/>
  <c r="O770" i="5"/>
  <c r="M770" i="5"/>
  <c r="GE769" i="5"/>
  <c r="FK769" i="5"/>
  <c r="FL769" i="5" s="1"/>
  <c r="EW769" i="5"/>
  <c r="DE769" i="5"/>
  <c r="O769" i="5"/>
  <c r="A769" i="5"/>
  <c r="HT768" i="5"/>
  <c r="HT770" i="5" s="1"/>
  <c r="HO768" i="5"/>
  <c r="HO770" i="5" s="1"/>
  <c r="HN768" i="5"/>
  <c r="HN770" i="5" s="1"/>
  <c r="N768" i="5"/>
  <c r="CM767" i="5" s="1"/>
  <c r="HA767" i="5"/>
  <c r="GZ767" i="5"/>
  <c r="GV767" i="5"/>
  <c r="GU767" i="5"/>
  <c r="GP767" i="5"/>
  <c r="GO767" i="5"/>
  <c r="GN767" i="5"/>
  <c r="GL767" i="5"/>
  <c r="GL768" i="5" s="1"/>
  <c r="GE767" i="5"/>
  <c r="EZ767" i="5"/>
  <c r="ES767" i="5"/>
  <c r="CP767" i="5"/>
  <c r="CP769" i="5" s="1"/>
  <c r="CN767" i="5"/>
  <c r="FO769" i="5" s="1"/>
  <c r="AS767" i="5"/>
  <c r="O765" i="5"/>
  <c r="M765" i="5"/>
  <c r="GE764" i="5"/>
  <c r="FK764" i="5"/>
  <c r="FL764" i="5" s="1"/>
  <c r="DF764" i="5" s="1"/>
  <c r="FR764" i="5" s="1"/>
  <c r="EW764" i="5"/>
  <c r="DE764" i="5"/>
  <c r="O764" i="5"/>
  <c r="A764" i="5"/>
  <c r="HT763" i="5"/>
  <c r="HT765" i="5" s="1"/>
  <c r="HO763" i="5"/>
  <c r="HO765" i="5" s="1"/>
  <c r="HN763" i="5"/>
  <c r="HN765" i="5" s="1"/>
  <c r="N763" i="5"/>
  <c r="CM762" i="5" s="1"/>
  <c r="HA762" i="5"/>
  <c r="GZ762" i="5"/>
  <c r="GV762" i="5"/>
  <c r="GU762" i="5"/>
  <c r="GP762" i="5"/>
  <c r="GO762" i="5"/>
  <c r="GN762" i="5"/>
  <c r="GL762" i="5"/>
  <c r="GK762" i="5" s="1"/>
  <c r="GE762" i="5"/>
  <c r="EZ762" i="5"/>
  <c r="ES762" i="5"/>
  <c r="CP762" i="5"/>
  <c r="CP764" i="5" s="1"/>
  <c r="CN762" i="5"/>
  <c r="AS762" i="5"/>
  <c r="O760" i="5"/>
  <c r="M760" i="5"/>
  <c r="GE759" i="5"/>
  <c r="FK759" i="5"/>
  <c r="FL759" i="5" s="1"/>
  <c r="EW759" i="5"/>
  <c r="DE759" i="5"/>
  <c r="O759" i="5"/>
  <c r="A759" i="5"/>
  <c r="HT758" i="5"/>
  <c r="HT760" i="5" s="1"/>
  <c r="HO758" i="5"/>
  <c r="HO760" i="5" s="1"/>
  <c r="HN758" i="5"/>
  <c r="HN760" i="5" s="1"/>
  <c r="N758" i="5"/>
  <c r="CM757" i="5" s="1"/>
  <c r="HA757" i="5"/>
  <c r="GZ757" i="5"/>
  <c r="GV757" i="5"/>
  <c r="GU757" i="5"/>
  <c r="GP757" i="5"/>
  <c r="GO757" i="5"/>
  <c r="GN757" i="5"/>
  <c r="GL757" i="5"/>
  <c r="GK757" i="5" s="1"/>
  <c r="GE757" i="5"/>
  <c r="EZ757" i="5"/>
  <c r="ES757" i="5"/>
  <c r="CP757" i="5"/>
  <c r="CP759" i="5" s="1"/>
  <c r="CN757" i="5"/>
  <c r="AS757" i="5"/>
  <c r="O755" i="5"/>
  <c r="M755" i="5"/>
  <c r="GE754" i="5"/>
  <c r="FK754" i="5"/>
  <c r="FL754" i="5" s="1"/>
  <c r="EW754" i="5"/>
  <c r="DE754" i="5"/>
  <c r="O754" i="5"/>
  <c r="A754" i="5"/>
  <c r="HT753" i="5"/>
  <c r="HT755" i="5" s="1"/>
  <c r="HO753" i="5"/>
  <c r="HO755" i="5" s="1"/>
  <c r="HN753" i="5"/>
  <c r="HN755" i="5" s="1"/>
  <c r="N753" i="5"/>
  <c r="CM752" i="5" s="1"/>
  <c r="HA752" i="5"/>
  <c r="GZ752" i="5"/>
  <c r="GV752" i="5"/>
  <c r="GU752" i="5"/>
  <c r="GP752" i="5"/>
  <c r="GO752" i="5"/>
  <c r="GN752" i="5"/>
  <c r="GL752" i="5"/>
  <c r="GL753" i="5" s="1"/>
  <c r="GE752" i="5"/>
  <c r="EZ752" i="5"/>
  <c r="ES752" i="5"/>
  <c r="CP752" i="5"/>
  <c r="CP754" i="5" s="1"/>
  <c r="CN752" i="5"/>
  <c r="HR753" i="5" s="1"/>
  <c r="HR755" i="5" s="1"/>
  <c r="AS752" i="5"/>
  <c r="O750" i="5"/>
  <c r="M750" i="5"/>
  <c r="GE749" i="5"/>
  <c r="FK749" i="5"/>
  <c r="FL749" i="5" s="1"/>
  <c r="DF749" i="5" s="1"/>
  <c r="FR749" i="5" s="1"/>
  <c r="EW749" i="5"/>
  <c r="DE749" i="5"/>
  <c r="O749" i="5"/>
  <c r="A749" i="5"/>
  <c r="HT748" i="5"/>
  <c r="HT750" i="5" s="1"/>
  <c r="HO748" i="5"/>
  <c r="HO750" i="5" s="1"/>
  <c r="HN748" i="5"/>
  <c r="HN750" i="5" s="1"/>
  <c r="N748" i="5"/>
  <c r="CM747" i="5" s="1"/>
  <c r="HA747" i="5"/>
  <c r="GZ747" i="5"/>
  <c r="GV747" i="5"/>
  <c r="GU747" i="5"/>
  <c r="GP747" i="5"/>
  <c r="GO747" i="5"/>
  <c r="GN747" i="5"/>
  <c r="GL747" i="5"/>
  <c r="GL748" i="5" s="1"/>
  <c r="GE747" i="5"/>
  <c r="EZ747" i="5"/>
  <c r="ES747" i="5"/>
  <c r="CP747" i="5"/>
  <c r="CP749" i="5" s="1"/>
  <c r="CN747" i="5"/>
  <c r="FO749" i="5" s="1"/>
  <c r="AS747" i="5"/>
  <c r="O745" i="5"/>
  <c r="M745" i="5"/>
  <c r="GE744" i="5"/>
  <c r="FK744" i="5"/>
  <c r="FL744" i="5" s="1"/>
  <c r="EW744" i="5"/>
  <c r="DE744" i="5"/>
  <c r="O744" i="5"/>
  <c r="A744" i="5"/>
  <c r="HT743" i="5"/>
  <c r="HT745" i="5" s="1"/>
  <c r="HO743" i="5"/>
  <c r="HO745" i="5" s="1"/>
  <c r="HN743" i="5"/>
  <c r="HN745" i="5" s="1"/>
  <c r="N743" i="5"/>
  <c r="CM742" i="5" s="1"/>
  <c r="HA742" i="5"/>
  <c r="GZ742" i="5"/>
  <c r="GV742" i="5"/>
  <c r="GU742" i="5"/>
  <c r="GP742" i="5"/>
  <c r="GO742" i="5"/>
  <c r="GN742" i="5"/>
  <c r="GL742" i="5"/>
  <c r="GL743" i="5" s="1"/>
  <c r="GE742" i="5"/>
  <c r="EZ742" i="5"/>
  <c r="ES742" i="5"/>
  <c r="CP742" i="5"/>
  <c r="CP744" i="5" s="1"/>
  <c r="CN742" i="5"/>
  <c r="HR743" i="5" s="1"/>
  <c r="HR745" i="5" s="1"/>
  <c r="AS742" i="5"/>
  <c r="O740" i="5"/>
  <c r="M740" i="5"/>
  <c r="GE739" i="5"/>
  <c r="FK739" i="5"/>
  <c r="FL739" i="5" s="1"/>
  <c r="DF739" i="5" s="1"/>
  <c r="EW739" i="5"/>
  <c r="DE739" i="5"/>
  <c r="O739" i="5"/>
  <c r="A739" i="5"/>
  <c r="HT738" i="5"/>
  <c r="HT740" i="5" s="1"/>
  <c r="HO738" i="5"/>
  <c r="HO740" i="5" s="1"/>
  <c r="HN738" i="5"/>
  <c r="HN740" i="5" s="1"/>
  <c r="N738" i="5"/>
  <c r="CM737" i="5" s="1"/>
  <c r="HA737" i="5"/>
  <c r="GZ737" i="5"/>
  <c r="GV737" i="5"/>
  <c r="GU737" i="5"/>
  <c r="GP737" i="5"/>
  <c r="GO737" i="5"/>
  <c r="GN737" i="5"/>
  <c r="GL737" i="5"/>
  <c r="GL738" i="5" s="1"/>
  <c r="GE737" i="5"/>
  <c r="EZ737" i="5"/>
  <c r="ES737" i="5"/>
  <c r="CP737" i="5"/>
  <c r="CP739" i="5" s="1"/>
  <c r="EU737" i="5" s="1"/>
  <c r="CN737" i="5"/>
  <c r="HR738" i="5" s="1"/>
  <c r="HR740" i="5" s="1"/>
  <c r="AS737" i="5"/>
  <c r="O735" i="5"/>
  <c r="M735" i="5"/>
  <c r="GE734" i="5"/>
  <c r="FK734" i="5"/>
  <c r="FL734" i="5" s="1"/>
  <c r="EW734" i="5"/>
  <c r="DE734" i="5"/>
  <c r="O734" i="5"/>
  <c r="A734" i="5"/>
  <c r="HT733" i="5"/>
  <c r="HT735" i="5" s="1"/>
  <c r="HO733" i="5"/>
  <c r="HO735" i="5" s="1"/>
  <c r="HN733" i="5"/>
  <c r="HN735" i="5" s="1"/>
  <c r="N733" i="5"/>
  <c r="CM732" i="5" s="1"/>
  <c r="HA732" i="5"/>
  <c r="GZ732" i="5"/>
  <c r="GV732" i="5"/>
  <c r="GU732" i="5"/>
  <c r="GP732" i="5"/>
  <c r="GO732" i="5"/>
  <c r="GN732" i="5"/>
  <c r="GL732" i="5"/>
  <c r="GL733" i="5" s="1"/>
  <c r="GL735" i="5" s="1"/>
  <c r="GE732" i="5"/>
  <c r="EZ732" i="5"/>
  <c r="ES732" i="5"/>
  <c r="CP732" i="5"/>
  <c r="CP734" i="5" s="1"/>
  <c r="CN732" i="5"/>
  <c r="FO734" i="5" s="1"/>
  <c r="AS732" i="5"/>
  <c r="O730" i="5"/>
  <c r="M730" i="5"/>
  <c r="GE729" i="5"/>
  <c r="FK729" i="5"/>
  <c r="FL729" i="5" s="1"/>
  <c r="EW729" i="5"/>
  <c r="DE729" i="5"/>
  <c r="O729" i="5"/>
  <c r="A729" i="5"/>
  <c r="HT728" i="5"/>
  <c r="HT730" i="5" s="1"/>
  <c r="HO728" i="5"/>
  <c r="HO730" i="5" s="1"/>
  <c r="HN728" i="5"/>
  <c r="HN730" i="5" s="1"/>
  <c r="N728" i="5"/>
  <c r="CM727" i="5" s="1"/>
  <c r="HA727" i="5"/>
  <c r="GZ727" i="5"/>
  <c r="GV727" i="5"/>
  <c r="GU727" i="5"/>
  <c r="GP727" i="5"/>
  <c r="GO727" i="5"/>
  <c r="GN727" i="5"/>
  <c r="GL727" i="5"/>
  <c r="GL728" i="5" s="1"/>
  <c r="GL730" i="5" s="1"/>
  <c r="GE727" i="5"/>
  <c r="EZ727" i="5"/>
  <c r="ES727" i="5"/>
  <c r="CP727" i="5"/>
  <c r="CN727" i="5"/>
  <c r="FB729" i="5" s="1"/>
  <c r="AS727" i="5"/>
  <c r="O725" i="5"/>
  <c r="M725" i="5"/>
  <c r="GE724" i="5"/>
  <c r="FK724" i="5"/>
  <c r="FL724" i="5" s="1"/>
  <c r="DF724" i="5" s="1"/>
  <c r="EW724" i="5"/>
  <c r="DE724" i="5"/>
  <c r="O724" i="5"/>
  <c r="A724" i="5"/>
  <c r="HT723" i="5"/>
  <c r="HT725" i="5" s="1"/>
  <c r="HO723" i="5"/>
  <c r="HO725" i="5" s="1"/>
  <c r="HN723" i="5"/>
  <c r="HN725" i="5" s="1"/>
  <c r="N723" i="5"/>
  <c r="CM722" i="5" s="1"/>
  <c r="HA722" i="5"/>
  <c r="GZ722" i="5"/>
  <c r="GV722" i="5"/>
  <c r="GU722" i="5"/>
  <c r="GP722" i="5"/>
  <c r="GO722" i="5"/>
  <c r="GN722" i="5"/>
  <c r="GL722" i="5"/>
  <c r="GK722" i="5" s="1"/>
  <c r="GE722" i="5"/>
  <c r="EZ722" i="5"/>
  <c r="ES722" i="5"/>
  <c r="CP722" i="5"/>
  <c r="CP724" i="5" s="1"/>
  <c r="CN722" i="5"/>
  <c r="FO724" i="5" s="1"/>
  <c r="AS722" i="5"/>
  <c r="O720" i="5"/>
  <c r="M720" i="5"/>
  <c r="GE719" i="5"/>
  <c r="FK719" i="5"/>
  <c r="FL719" i="5" s="1"/>
  <c r="EW719" i="5"/>
  <c r="DE719" i="5"/>
  <c r="O719" i="5"/>
  <c r="A719" i="5"/>
  <c r="HT718" i="5"/>
  <c r="HT720" i="5" s="1"/>
  <c r="HO718" i="5"/>
  <c r="HO720" i="5" s="1"/>
  <c r="HN718" i="5"/>
  <c r="HN720" i="5" s="1"/>
  <c r="N718" i="5"/>
  <c r="HA717" i="5"/>
  <c r="GZ717" i="5"/>
  <c r="GV717" i="5"/>
  <c r="GU717" i="5"/>
  <c r="GP717" i="5"/>
  <c r="GO717" i="5"/>
  <c r="GN717" i="5"/>
  <c r="GL717" i="5"/>
  <c r="GK717" i="5" s="1"/>
  <c r="GE717" i="5"/>
  <c r="EZ717" i="5"/>
  <c r="ES717" i="5"/>
  <c r="CP717" i="5"/>
  <c r="CP719" i="5" s="1"/>
  <c r="CN717" i="5"/>
  <c r="FI719" i="5" s="1"/>
  <c r="FJ719" i="5" s="1"/>
  <c r="FP719" i="5" s="1"/>
  <c r="AS717" i="5"/>
  <c r="O712" i="5"/>
  <c r="M712" i="5"/>
  <c r="GE711" i="5"/>
  <c r="FK711" i="5"/>
  <c r="FL711" i="5" s="1"/>
  <c r="EW711" i="5"/>
  <c r="DE711" i="5"/>
  <c r="O711" i="5"/>
  <c r="A711" i="5"/>
  <c r="HT710" i="5"/>
  <c r="HT712" i="5" s="1"/>
  <c r="HO710" i="5"/>
  <c r="HO712" i="5" s="1"/>
  <c r="HN710" i="5"/>
  <c r="HN712" i="5" s="1"/>
  <c r="N710" i="5"/>
  <c r="CM709" i="5" s="1"/>
  <c r="HA709" i="5"/>
  <c r="GZ709" i="5"/>
  <c r="GV709" i="5"/>
  <c r="GU709" i="5"/>
  <c r="GP709" i="5"/>
  <c r="GO709" i="5"/>
  <c r="GN709" i="5"/>
  <c r="GL709" i="5"/>
  <c r="GK709" i="5" s="1"/>
  <c r="GE709" i="5"/>
  <c r="EZ709" i="5"/>
  <c r="ES709" i="5"/>
  <c r="CP709" i="5"/>
  <c r="CP711" i="5" s="1"/>
  <c r="CN709" i="5"/>
  <c r="FI709" i="5" s="1"/>
  <c r="FJ709" i="5" s="1"/>
  <c r="AS709" i="5"/>
  <c r="O707" i="5"/>
  <c r="M707" i="5"/>
  <c r="GE706" i="5"/>
  <c r="FK706" i="5"/>
  <c r="FL706" i="5" s="1"/>
  <c r="DF706" i="5" s="1"/>
  <c r="EW706" i="5"/>
  <c r="DE706" i="5"/>
  <c r="O706" i="5"/>
  <c r="A706" i="5"/>
  <c r="HT705" i="5"/>
  <c r="HT707" i="5" s="1"/>
  <c r="HO705" i="5"/>
  <c r="HO707" i="5" s="1"/>
  <c r="HN705" i="5"/>
  <c r="HN707" i="5" s="1"/>
  <c r="N705" i="5"/>
  <c r="CM704" i="5" s="1"/>
  <c r="HA704" i="5"/>
  <c r="GZ704" i="5"/>
  <c r="GV704" i="5"/>
  <c r="GU704" i="5"/>
  <c r="GP704" i="5"/>
  <c r="GO704" i="5"/>
  <c r="GN704" i="5"/>
  <c r="GL704" i="5"/>
  <c r="GK704" i="5" s="1"/>
  <c r="GE704" i="5"/>
  <c r="EZ704" i="5"/>
  <c r="ES704" i="5"/>
  <c r="CP704" i="5"/>
  <c r="CP706" i="5" s="1"/>
  <c r="EU704" i="5" s="1"/>
  <c r="CN704" i="5"/>
  <c r="CO706" i="5" s="1"/>
  <c r="AS704" i="5"/>
  <c r="O702" i="5"/>
  <c r="M702" i="5"/>
  <c r="GE701" i="5"/>
  <c r="FK701" i="5"/>
  <c r="FL701" i="5" s="1"/>
  <c r="EW701" i="5"/>
  <c r="DE701" i="5"/>
  <c r="O701" i="5"/>
  <c r="A701" i="5"/>
  <c r="HT700" i="5"/>
  <c r="HT702" i="5" s="1"/>
  <c r="HO700" i="5"/>
  <c r="HO702" i="5" s="1"/>
  <c r="HN700" i="5"/>
  <c r="HN702" i="5" s="1"/>
  <c r="N700" i="5"/>
  <c r="CM699" i="5" s="1"/>
  <c r="HA699" i="5"/>
  <c r="GZ699" i="5"/>
  <c r="GV699" i="5"/>
  <c r="GU699" i="5"/>
  <c r="GP699" i="5"/>
  <c r="GO699" i="5"/>
  <c r="GN699" i="5"/>
  <c r="GL699" i="5"/>
  <c r="GL700" i="5" s="1"/>
  <c r="GL702" i="5" s="1"/>
  <c r="GE699" i="5"/>
  <c r="EZ699" i="5"/>
  <c r="ES699" i="5"/>
  <c r="CP699" i="5"/>
  <c r="CP701" i="5" s="1"/>
  <c r="CN699" i="5"/>
  <c r="CO701" i="5" s="1"/>
  <c r="AS699" i="5"/>
  <c r="O697" i="5"/>
  <c r="M697" i="5"/>
  <c r="GE696" i="5"/>
  <c r="FK696" i="5"/>
  <c r="FL696" i="5" s="1"/>
  <c r="DF696" i="5" s="1"/>
  <c r="FR696" i="5" s="1"/>
  <c r="EW696" i="5"/>
  <c r="DE696" i="5"/>
  <c r="O696" i="5"/>
  <c r="A696" i="5"/>
  <c r="HT695" i="5"/>
  <c r="HT697" i="5" s="1"/>
  <c r="HO695" i="5"/>
  <c r="HO697" i="5" s="1"/>
  <c r="HN695" i="5"/>
  <c r="HN697" i="5" s="1"/>
  <c r="N695" i="5"/>
  <c r="HA694" i="5"/>
  <c r="GZ694" i="5"/>
  <c r="GV694" i="5"/>
  <c r="GU694" i="5"/>
  <c r="GP694" i="5"/>
  <c r="GO694" i="5"/>
  <c r="GN694" i="5"/>
  <c r="GL694" i="5"/>
  <c r="GL695" i="5" s="1"/>
  <c r="GE694" i="5"/>
  <c r="EZ694" i="5"/>
  <c r="ES694" i="5"/>
  <c r="CP694" i="5"/>
  <c r="CP696" i="5" s="1"/>
  <c r="EU696" i="5" s="1"/>
  <c r="CN694" i="5"/>
  <c r="CO694" i="5" s="1"/>
  <c r="AS694" i="5"/>
  <c r="O692" i="5"/>
  <c r="M692" i="5"/>
  <c r="GE691" i="5"/>
  <c r="FK691" i="5"/>
  <c r="FL691" i="5" s="1"/>
  <c r="EW691" i="5"/>
  <c r="DE691" i="5"/>
  <c r="O691" i="5"/>
  <c r="A691" i="5"/>
  <c r="HT690" i="5"/>
  <c r="HT692" i="5" s="1"/>
  <c r="HO690" i="5"/>
  <c r="HO692" i="5" s="1"/>
  <c r="HN690" i="5"/>
  <c r="HN692" i="5" s="1"/>
  <c r="N690" i="5"/>
  <c r="CM689" i="5" s="1"/>
  <c r="HA689" i="5"/>
  <c r="GZ689" i="5"/>
  <c r="GV689" i="5"/>
  <c r="GU689" i="5"/>
  <c r="GP689" i="5"/>
  <c r="GO689" i="5"/>
  <c r="GN689" i="5"/>
  <c r="GL689" i="5"/>
  <c r="GK689" i="5" s="1"/>
  <c r="GE689" i="5"/>
  <c r="EZ689" i="5"/>
  <c r="ES689" i="5"/>
  <c r="CP689" i="5"/>
  <c r="CP691" i="5" s="1"/>
  <c r="CN689" i="5"/>
  <c r="AS689" i="5"/>
  <c r="O687" i="5"/>
  <c r="M687" i="5"/>
  <c r="GE686" i="5"/>
  <c r="FK686" i="5"/>
  <c r="FL686" i="5" s="1"/>
  <c r="EW686" i="5"/>
  <c r="DE686" i="5"/>
  <c r="O686" i="5"/>
  <c r="A686" i="5"/>
  <c r="HT685" i="5"/>
  <c r="HT687" i="5" s="1"/>
  <c r="HO685" i="5"/>
  <c r="HO687" i="5" s="1"/>
  <c r="HN685" i="5"/>
  <c r="HN687" i="5" s="1"/>
  <c r="N685" i="5"/>
  <c r="CM684" i="5" s="1"/>
  <c r="HA684" i="5"/>
  <c r="GZ684" i="5"/>
  <c r="GV684" i="5"/>
  <c r="GU684" i="5"/>
  <c r="GP684" i="5"/>
  <c r="GO684" i="5"/>
  <c r="GN684" i="5"/>
  <c r="GL684" i="5"/>
  <c r="GK684" i="5" s="1"/>
  <c r="GE684" i="5"/>
  <c r="EZ684" i="5"/>
  <c r="ES684" i="5"/>
  <c r="CP684" i="5"/>
  <c r="CP686" i="5" s="1"/>
  <c r="EY686" i="5" s="1"/>
  <c r="EV686" i="5" s="1"/>
  <c r="CN684" i="5"/>
  <c r="HR685" i="5" s="1"/>
  <c r="HR687" i="5" s="1"/>
  <c r="AS684" i="5"/>
  <c r="O682" i="5"/>
  <c r="M682" i="5"/>
  <c r="GE681" i="5"/>
  <c r="FK681" i="5"/>
  <c r="FL681" i="5" s="1"/>
  <c r="DF681" i="5" s="1"/>
  <c r="EW681" i="5"/>
  <c r="DE681" i="5"/>
  <c r="O681" i="5"/>
  <c r="A681" i="5"/>
  <c r="HT680" i="5"/>
  <c r="HT682" i="5" s="1"/>
  <c r="HO680" i="5"/>
  <c r="HO682" i="5" s="1"/>
  <c r="HN680" i="5"/>
  <c r="HN682" i="5" s="1"/>
  <c r="N680" i="5"/>
  <c r="CM679" i="5" s="1"/>
  <c r="HA679" i="5"/>
  <c r="GZ679" i="5"/>
  <c r="GV679" i="5"/>
  <c r="GU679" i="5"/>
  <c r="GP679" i="5"/>
  <c r="GO679" i="5"/>
  <c r="GN679" i="5"/>
  <c r="GL679" i="5"/>
  <c r="GL680" i="5" s="1"/>
  <c r="GL682" i="5" s="1"/>
  <c r="GE679" i="5"/>
  <c r="EZ679" i="5"/>
  <c r="ES679" i="5"/>
  <c r="CP679" i="5"/>
  <c r="CN679" i="5"/>
  <c r="FI679" i="5" s="1"/>
  <c r="FJ679" i="5" s="1"/>
  <c r="AS679" i="5"/>
  <c r="O677" i="5"/>
  <c r="M677" i="5"/>
  <c r="GE676" i="5"/>
  <c r="FK676" i="5"/>
  <c r="FL676" i="5" s="1"/>
  <c r="EW676" i="5"/>
  <c r="DE676" i="5"/>
  <c r="O676" i="5"/>
  <c r="A676" i="5"/>
  <c r="HT675" i="5"/>
  <c r="HT677" i="5" s="1"/>
  <c r="HO675" i="5"/>
  <c r="HO677" i="5" s="1"/>
  <c r="HN675" i="5"/>
  <c r="HN677" i="5" s="1"/>
  <c r="N675" i="5"/>
  <c r="CM674" i="5" s="1"/>
  <c r="HA674" i="5"/>
  <c r="GZ674" i="5"/>
  <c r="GV674" i="5"/>
  <c r="GU674" i="5"/>
  <c r="GP674" i="5"/>
  <c r="GO674" i="5"/>
  <c r="GN674" i="5"/>
  <c r="GL674" i="5"/>
  <c r="GL675" i="5" s="1"/>
  <c r="GL677" i="5" s="1"/>
  <c r="GE674" i="5"/>
  <c r="EZ674" i="5"/>
  <c r="ES674" i="5"/>
  <c r="CP674" i="5"/>
  <c r="CP676" i="5" s="1"/>
  <c r="CN674" i="5"/>
  <c r="FO676" i="5" s="1"/>
  <c r="AS674" i="5"/>
  <c r="O672" i="5"/>
  <c r="M672" i="5"/>
  <c r="GE671" i="5"/>
  <c r="FK671" i="5"/>
  <c r="FL671" i="5" s="1"/>
  <c r="EW671" i="5"/>
  <c r="DE671" i="5"/>
  <c r="O671" i="5"/>
  <c r="A671" i="5"/>
  <c r="HT670" i="5"/>
  <c r="HT672" i="5" s="1"/>
  <c r="HO670" i="5"/>
  <c r="HO672" i="5" s="1"/>
  <c r="HN670" i="5"/>
  <c r="HN672" i="5" s="1"/>
  <c r="N670" i="5"/>
  <c r="CM669" i="5" s="1"/>
  <c r="HA669" i="5"/>
  <c r="GZ669" i="5"/>
  <c r="GV669" i="5"/>
  <c r="GU669" i="5"/>
  <c r="GP669" i="5"/>
  <c r="GO669" i="5"/>
  <c r="GN669" i="5"/>
  <c r="GL669" i="5"/>
  <c r="GK669" i="5" s="1"/>
  <c r="GE669" i="5"/>
  <c r="EZ669" i="5"/>
  <c r="ES669" i="5"/>
  <c r="CP669" i="5"/>
  <c r="CP671" i="5" s="1"/>
  <c r="EY671" i="5" s="1"/>
  <c r="EV671" i="5" s="1"/>
  <c r="CN669" i="5"/>
  <c r="GR669" i="5" s="1"/>
  <c r="AS669" i="5"/>
  <c r="O667" i="5"/>
  <c r="M667" i="5"/>
  <c r="GE666" i="5"/>
  <c r="FK666" i="5"/>
  <c r="FL666" i="5" s="1"/>
  <c r="DF666" i="5" s="1"/>
  <c r="EW666" i="5"/>
  <c r="DE666" i="5"/>
  <c r="O666" i="5"/>
  <c r="A666" i="5"/>
  <c r="HT665" i="5"/>
  <c r="HT667" i="5" s="1"/>
  <c r="HO665" i="5"/>
  <c r="HO667" i="5" s="1"/>
  <c r="HN665" i="5"/>
  <c r="HN667" i="5" s="1"/>
  <c r="N665" i="5"/>
  <c r="CM664" i="5" s="1"/>
  <c r="HA664" i="5"/>
  <c r="GZ664" i="5"/>
  <c r="GV664" i="5"/>
  <c r="GU664" i="5"/>
  <c r="GP664" i="5"/>
  <c r="GO664" i="5"/>
  <c r="GN664" i="5"/>
  <c r="GL664" i="5"/>
  <c r="GL665" i="5" s="1"/>
  <c r="GE664" i="5"/>
  <c r="EZ664" i="5"/>
  <c r="ES664" i="5"/>
  <c r="CP664" i="5"/>
  <c r="CP666" i="5" s="1"/>
  <c r="CN664" i="5"/>
  <c r="HR665" i="5" s="1"/>
  <c r="HR667" i="5" s="1"/>
  <c r="AS664" i="5"/>
  <c r="O662" i="5"/>
  <c r="M662" i="5"/>
  <c r="GE661" i="5"/>
  <c r="FK661" i="5"/>
  <c r="FL661" i="5" s="1"/>
  <c r="EW661" i="5"/>
  <c r="DE661" i="5"/>
  <c r="O661" i="5"/>
  <c r="A661" i="5"/>
  <c r="HT660" i="5"/>
  <c r="HT662" i="5" s="1"/>
  <c r="HO660" i="5"/>
  <c r="HO662" i="5" s="1"/>
  <c r="HN660" i="5"/>
  <c r="HN662" i="5" s="1"/>
  <c r="N660" i="5"/>
  <c r="CM659" i="5" s="1"/>
  <c r="HA659" i="5"/>
  <c r="GZ659" i="5"/>
  <c r="GV659" i="5"/>
  <c r="GU659" i="5"/>
  <c r="GP659" i="5"/>
  <c r="GO659" i="5"/>
  <c r="GN659" i="5"/>
  <c r="GL659" i="5"/>
  <c r="GK659" i="5" s="1"/>
  <c r="GE659" i="5"/>
  <c r="EZ659" i="5"/>
  <c r="ES659" i="5"/>
  <c r="CP659" i="5"/>
  <c r="CP661" i="5" s="1"/>
  <c r="EU661" i="5" s="1"/>
  <c r="CN659" i="5"/>
  <c r="AS659" i="5"/>
  <c r="O657" i="5"/>
  <c r="M657" i="5"/>
  <c r="GE656" i="5"/>
  <c r="FK656" i="5"/>
  <c r="FL656" i="5" s="1"/>
  <c r="DF656" i="5" s="1"/>
  <c r="EW656" i="5"/>
  <c r="DE656" i="5"/>
  <c r="O656" i="5"/>
  <c r="A656" i="5"/>
  <c r="HT655" i="5"/>
  <c r="HT657" i="5" s="1"/>
  <c r="HO655" i="5"/>
  <c r="HO657" i="5" s="1"/>
  <c r="HN655" i="5"/>
  <c r="HN657" i="5" s="1"/>
  <c r="N655" i="5"/>
  <c r="CM654" i="5" s="1"/>
  <c r="HA654" i="5"/>
  <c r="GZ654" i="5"/>
  <c r="GV654" i="5"/>
  <c r="GU654" i="5"/>
  <c r="GP654" i="5"/>
  <c r="GO654" i="5"/>
  <c r="GN654" i="5"/>
  <c r="GL654" i="5"/>
  <c r="GK654" i="5" s="1"/>
  <c r="GE654" i="5"/>
  <c r="EZ654" i="5"/>
  <c r="ES654" i="5"/>
  <c r="CP654" i="5"/>
  <c r="CP656" i="5" s="1"/>
  <c r="EU654" i="5" s="1"/>
  <c r="CN654" i="5"/>
  <c r="FB656" i="5" s="1"/>
  <c r="AS654" i="5"/>
  <c r="O652" i="5"/>
  <c r="M652" i="5"/>
  <c r="GE651" i="5"/>
  <c r="FK651" i="5"/>
  <c r="FL651" i="5" s="1"/>
  <c r="DF651" i="5" s="1"/>
  <c r="EW651" i="5"/>
  <c r="DE651" i="5"/>
  <c r="O651" i="5"/>
  <c r="A651" i="5"/>
  <c r="HT650" i="5"/>
  <c r="HT652" i="5" s="1"/>
  <c r="HO650" i="5"/>
  <c r="HO652" i="5" s="1"/>
  <c r="HN650" i="5"/>
  <c r="HN652" i="5" s="1"/>
  <c r="N650" i="5"/>
  <c r="CM649" i="5" s="1"/>
  <c r="HA649" i="5"/>
  <c r="GZ649" i="5"/>
  <c r="GV649" i="5"/>
  <c r="GU649" i="5"/>
  <c r="GP649" i="5"/>
  <c r="GO649" i="5"/>
  <c r="GN649" i="5"/>
  <c r="GL649" i="5"/>
  <c r="GL650" i="5" s="1"/>
  <c r="GE649" i="5"/>
  <c r="EZ649" i="5"/>
  <c r="ES649" i="5"/>
  <c r="CP649" i="5"/>
  <c r="CP651" i="5" s="1"/>
  <c r="CN649" i="5"/>
  <c r="CO651" i="5" s="1"/>
  <c r="AS649" i="5"/>
  <c r="O647" i="5"/>
  <c r="M647" i="5"/>
  <c r="GE646" i="5"/>
  <c r="FK646" i="5"/>
  <c r="FL646" i="5" s="1"/>
  <c r="DF646" i="5" s="1"/>
  <c r="FR646" i="5" s="1"/>
  <c r="EW646" i="5"/>
  <c r="DE646" i="5"/>
  <c r="O646" i="5"/>
  <c r="A646" i="5"/>
  <c r="HT645" i="5"/>
  <c r="HT647" i="5" s="1"/>
  <c r="HO645" i="5"/>
  <c r="HO647" i="5" s="1"/>
  <c r="HN645" i="5"/>
  <c r="HN647" i="5" s="1"/>
  <c r="N645" i="5"/>
  <c r="CM644" i="5" s="1"/>
  <c r="HA644" i="5"/>
  <c r="GZ644" i="5"/>
  <c r="GV644" i="5"/>
  <c r="GU644" i="5"/>
  <c r="GP644" i="5"/>
  <c r="GO644" i="5"/>
  <c r="GN644" i="5"/>
  <c r="GL644" i="5"/>
  <c r="GL645" i="5" s="1"/>
  <c r="GE644" i="5"/>
  <c r="EZ644" i="5"/>
  <c r="ES644" i="5"/>
  <c r="CP644" i="5"/>
  <c r="CP646" i="5" s="1"/>
  <c r="CN644" i="5"/>
  <c r="FO646" i="5" s="1"/>
  <c r="AS644" i="5"/>
  <c r="O642" i="5"/>
  <c r="M642" i="5"/>
  <c r="GE641" i="5"/>
  <c r="FK641" i="5"/>
  <c r="FL641" i="5" s="1"/>
  <c r="DF641" i="5" s="1"/>
  <c r="AJ641" i="5" s="1"/>
  <c r="EW641" i="5"/>
  <c r="DE641" i="5"/>
  <c r="O641" i="5"/>
  <c r="A641" i="5"/>
  <c r="HT640" i="5"/>
  <c r="HT642" i="5" s="1"/>
  <c r="HO640" i="5"/>
  <c r="HO642" i="5" s="1"/>
  <c r="HN640" i="5"/>
  <c r="HN642" i="5" s="1"/>
  <c r="N640" i="5"/>
  <c r="CM639" i="5" s="1"/>
  <c r="HA639" i="5"/>
  <c r="GZ639" i="5"/>
  <c r="GV639" i="5"/>
  <c r="GU639" i="5"/>
  <c r="GP639" i="5"/>
  <c r="GO639" i="5"/>
  <c r="GN639" i="5"/>
  <c r="GL639" i="5"/>
  <c r="GE639" i="5"/>
  <c r="EZ639" i="5"/>
  <c r="ES639" i="5"/>
  <c r="CP639" i="5"/>
  <c r="CP641" i="5" s="1"/>
  <c r="EY639" i="5" s="1"/>
  <c r="CN639" i="5"/>
  <c r="HR640" i="5" s="1"/>
  <c r="HR642" i="5" s="1"/>
  <c r="AS639" i="5"/>
  <c r="O634" i="5"/>
  <c r="M634" i="5"/>
  <c r="GE633" i="5"/>
  <c r="FK633" i="5"/>
  <c r="FL633" i="5" s="1"/>
  <c r="EW633" i="5"/>
  <c r="DE633" i="5"/>
  <c r="O633" i="5"/>
  <c r="A633" i="5"/>
  <c r="HT632" i="5"/>
  <c r="HT634" i="5" s="1"/>
  <c r="HO632" i="5"/>
  <c r="HO634" i="5" s="1"/>
  <c r="HN632" i="5"/>
  <c r="HN634" i="5" s="1"/>
  <c r="N632" i="5"/>
  <c r="CM631" i="5" s="1"/>
  <c r="HA631" i="5"/>
  <c r="GZ631" i="5"/>
  <c r="GV631" i="5"/>
  <c r="GU631" i="5"/>
  <c r="GP631" i="5"/>
  <c r="GO631" i="5"/>
  <c r="GN631" i="5"/>
  <c r="GL631" i="5"/>
  <c r="GK631" i="5" s="1"/>
  <c r="GE631" i="5"/>
  <c r="EZ631" i="5"/>
  <c r="ES631" i="5"/>
  <c r="CP631" i="5"/>
  <c r="CP633" i="5" s="1"/>
  <c r="CN631" i="5"/>
  <c r="AS631" i="5"/>
  <c r="O629" i="5"/>
  <c r="M629" i="5"/>
  <c r="GE628" i="5"/>
  <c r="FK628" i="5"/>
  <c r="FL628" i="5" s="1"/>
  <c r="DF628" i="5" s="1"/>
  <c r="EW628" i="5"/>
  <c r="DE628" i="5"/>
  <c r="O628" i="5"/>
  <c r="A628" i="5"/>
  <c r="HT627" i="5"/>
  <c r="HT629" i="5" s="1"/>
  <c r="HO627" i="5"/>
  <c r="HO629" i="5" s="1"/>
  <c r="HN627" i="5"/>
  <c r="HN629" i="5" s="1"/>
  <c r="N627" i="5"/>
  <c r="CM626" i="5" s="1"/>
  <c r="HA626" i="5"/>
  <c r="GZ626" i="5"/>
  <c r="GV626" i="5"/>
  <c r="GU626" i="5"/>
  <c r="GP626" i="5"/>
  <c r="GO626" i="5"/>
  <c r="GN626" i="5"/>
  <c r="GL626" i="5"/>
  <c r="GK626" i="5" s="1"/>
  <c r="GE626" i="5"/>
  <c r="EZ626" i="5"/>
  <c r="ES626" i="5"/>
  <c r="CP626" i="5"/>
  <c r="CN626" i="5"/>
  <c r="CO628" i="5" s="1"/>
  <c r="AS626" i="5"/>
  <c r="O624" i="5"/>
  <c r="M624" i="5"/>
  <c r="GE623" i="5"/>
  <c r="FK623" i="5"/>
  <c r="FL623" i="5" s="1"/>
  <c r="EW623" i="5"/>
  <c r="DE623" i="5"/>
  <c r="O623" i="5"/>
  <c r="A623" i="5"/>
  <c r="HT622" i="5"/>
  <c r="HT624" i="5" s="1"/>
  <c r="HO622" i="5"/>
  <c r="HO624" i="5" s="1"/>
  <c r="HN622" i="5"/>
  <c r="HN624" i="5" s="1"/>
  <c r="N622" i="5"/>
  <c r="CM621" i="5" s="1"/>
  <c r="HA621" i="5"/>
  <c r="GZ621" i="5"/>
  <c r="GV621" i="5"/>
  <c r="GU621" i="5"/>
  <c r="GP621" i="5"/>
  <c r="GO621" i="5"/>
  <c r="GN621" i="5"/>
  <c r="GL621" i="5"/>
  <c r="GL622" i="5" s="1"/>
  <c r="GL624" i="5" s="1"/>
  <c r="GE621" i="5"/>
  <c r="EZ621" i="5"/>
  <c r="ES621" i="5"/>
  <c r="CP621" i="5"/>
  <c r="CP623" i="5" s="1"/>
  <c r="EY623" i="5" s="1"/>
  <c r="EV623" i="5" s="1"/>
  <c r="CN621" i="5"/>
  <c r="FI623" i="5" s="1"/>
  <c r="FJ623" i="5" s="1"/>
  <c r="FP623" i="5" s="1"/>
  <c r="AS621" i="5"/>
  <c r="O619" i="5"/>
  <c r="M619" i="5"/>
  <c r="GE618" i="5"/>
  <c r="FK618" i="5"/>
  <c r="FL618" i="5" s="1"/>
  <c r="DF618" i="5" s="1"/>
  <c r="EW618" i="5"/>
  <c r="DE618" i="5"/>
  <c r="O618" i="5"/>
  <c r="A618" i="5"/>
  <c r="HT617" i="5"/>
  <c r="HT619" i="5" s="1"/>
  <c r="HO617" i="5"/>
  <c r="HO619" i="5" s="1"/>
  <c r="HN617" i="5"/>
  <c r="HN619" i="5" s="1"/>
  <c r="N617" i="5"/>
  <c r="CM616" i="5" s="1"/>
  <c r="HA616" i="5"/>
  <c r="GZ616" i="5"/>
  <c r="GV616" i="5"/>
  <c r="GU616" i="5"/>
  <c r="GP616" i="5"/>
  <c r="GO616" i="5"/>
  <c r="GN616" i="5"/>
  <c r="GL616" i="5"/>
  <c r="GE616" i="5"/>
  <c r="EZ616" i="5"/>
  <c r="ES616" i="5"/>
  <c r="CP616" i="5"/>
  <c r="CP618" i="5" s="1"/>
  <c r="CN616" i="5"/>
  <c r="GR616" i="5" s="1"/>
  <c r="AS616" i="5"/>
  <c r="O614" i="5"/>
  <c r="M614" i="5"/>
  <c r="GE613" i="5"/>
  <c r="FK613" i="5"/>
  <c r="FL613" i="5" s="1"/>
  <c r="DF613" i="5" s="1"/>
  <c r="FR613" i="5" s="1"/>
  <c r="EW613" i="5"/>
  <c r="DE613" i="5"/>
  <c r="O613" i="5"/>
  <c r="A613" i="5"/>
  <c r="HT612" i="5"/>
  <c r="HT614" i="5" s="1"/>
  <c r="HO612" i="5"/>
  <c r="HO614" i="5" s="1"/>
  <c r="HN612" i="5"/>
  <c r="HN614" i="5" s="1"/>
  <c r="N612" i="5"/>
  <c r="CM611" i="5" s="1"/>
  <c r="HA611" i="5"/>
  <c r="GZ611" i="5"/>
  <c r="GV611" i="5"/>
  <c r="GU611" i="5"/>
  <c r="GP611" i="5"/>
  <c r="GO611" i="5"/>
  <c r="GN611" i="5"/>
  <c r="GL611" i="5"/>
  <c r="GK611" i="5" s="1"/>
  <c r="GE611" i="5"/>
  <c r="EZ611" i="5"/>
  <c r="ES611" i="5"/>
  <c r="CP611" i="5"/>
  <c r="CP613" i="5" s="1"/>
  <c r="CN611" i="5"/>
  <c r="CO613" i="5" s="1"/>
  <c r="AS611" i="5"/>
  <c r="O609" i="5"/>
  <c r="M609" i="5"/>
  <c r="GE608" i="5"/>
  <c r="FK608" i="5"/>
  <c r="FL608" i="5" s="1"/>
  <c r="EW608" i="5"/>
  <c r="DE608" i="5"/>
  <c r="O608" i="5"/>
  <c r="A608" i="5"/>
  <c r="HT607" i="5"/>
  <c r="HT609" i="5" s="1"/>
  <c r="HO607" i="5"/>
  <c r="HO609" i="5" s="1"/>
  <c r="HN607" i="5"/>
  <c r="HN609" i="5" s="1"/>
  <c r="N607" i="5"/>
  <c r="CM606" i="5" s="1"/>
  <c r="HA606" i="5"/>
  <c r="GZ606" i="5"/>
  <c r="GV606" i="5"/>
  <c r="GU606" i="5"/>
  <c r="GP606" i="5"/>
  <c r="GO606" i="5"/>
  <c r="GN606" i="5"/>
  <c r="GL606" i="5"/>
  <c r="GL607" i="5" s="1"/>
  <c r="GL609" i="5" s="1"/>
  <c r="GE606" i="5"/>
  <c r="EZ606" i="5"/>
  <c r="ES606" i="5"/>
  <c r="CP606" i="5"/>
  <c r="CP608" i="5" s="1"/>
  <c r="EU606" i="5" s="1"/>
  <c r="CN606" i="5"/>
  <c r="HR607" i="5" s="1"/>
  <c r="HR609" i="5" s="1"/>
  <c r="AS606" i="5"/>
  <c r="O604" i="5"/>
  <c r="M604" i="5"/>
  <c r="GE603" i="5"/>
  <c r="FK603" i="5"/>
  <c r="FL603" i="5" s="1"/>
  <c r="DF603" i="5" s="1"/>
  <c r="EW603" i="5"/>
  <c r="DE603" i="5"/>
  <c r="O603" i="5"/>
  <c r="A603" i="5"/>
  <c r="HT602" i="5"/>
  <c r="HT604" i="5" s="1"/>
  <c r="HO602" i="5"/>
  <c r="HO604" i="5" s="1"/>
  <c r="HN602" i="5"/>
  <c r="HN604" i="5" s="1"/>
  <c r="N602" i="5"/>
  <c r="CM601" i="5" s="1"/>
  <c r="HA601" i="5"/>
  <c r="GZ601" i="5"/>
  <c r="GV601" i="5"/>
  <c r="GU601" i="5"/>
  <c r="GP601" i="5"/>
  <c r="GO601" i="5"/>
  <c r="GN601" i="5"/>
  <c r="GL601" i="5"/>
  <c r="GK601" i="5" s="1"/>
  <c r="GE601" i="5"/>
  <c r="EZ601" i="5"/>
  <c r="ES601" i="5"/>
  <c r="CP601" i="5"/>
  <c r="CN601" i="5"/>
  <c r="CO603" i="5" s="1"/>
  <c r="AS601" i="5"/>
  <c r="O599" i="5"/>
  <c r="M599" i="5"/>
  <c r="GE598" i="5"/>
  <c r="FK598" i="5"/>
  <c r="FL598" i="5" s="1"/>
  <c r="DF598" i="5" s="1"/>
  <c r="FR598" i="5" s="1"/>
  <c r="EW598" i="5"/>
  <c r="DE598" i="5"/>
  <c r="O598" i="5"/>
  <c r="A598" i="5"/>
  <c r="HT597" i="5"/>
  <c r="HT599" i="5" s="1"/>
  <c r="HO597" i="5"/>
  <c r="HO599" i="5" s="1"/>
  <c r="HN597" i="5"/>
  <c r="HN599" i="5" s="1"/>
  <c r="N597" i="5"/>
  <c r="CM596" i="5" s="1"/>
  <c r="HA596" i="5"/>
  <c r="GZ596" i="5"/>
  <c r="GV596" i="5"/>
  <c r="GU596" i="5"/>
  <c r="GP596" i="5"/>
  <c r="GO596" i="5"/>
  <c r="GN596" i="5"/>
  <c r="GL596" i="5"/>
  <c r="GK596" i="5" s="1"/>
  <c r="GE596" i="5"/>
  <c r="EZ596" i="5"/>
  <c r="ES596" i="5"/>
  <c r="CP596" i="5"/>
  <c r="CP598" i="5" s="1"/>
  <c r="CN596" i="5"/>
  <c r="AS596" i="5"/>
  <c r="O594" i="5"/>
  <c r="M594" i="5"/>
  <c r="GE593" i="5"/>
  <c r="FK593" i="5"/>
  <c r="FL593" i="5" s="1"/>
  <c r="DF593" i="5" s="1"/>
  <c r="FR593" i="5" s="1"/>
  <c r="EW593" i="5"/>
  <c r="DE593" i="5"/>
  <c r="O593" i="5"/>
  <c r="A593" i="5"/>
  <c r="HT592" i="5"/>
  <c r="HT594" i="5" s="1"/>
  <c r="HO592" i="5"/>
  <c r="HO594" i="5" s="1"/>
  <c r="HN592" i="5"/>
  <c r="HN594" i="5" s="1"/>
  <c r="N592" i="5"/>
  <c r="CM591" i="5" s="1"/>
  <c r="HA591" i="5"/>
  <c r="GZ591" i="5"/>
  <c r="GV591" i="5"/>
  <c r="GU591" i="5"/>
  <c r="GP591" i="5"/>
  <c r="GO591" i="5"/>
  <c r="GN591" i="5"/>
  <c r="GL591" i="5"/>
  <c r="GL592" i="5" s="1"/>
  <c r="GL594" i="5" s="1"/>
  <c r="GE591" i="5"/>
  <c r="EZ591" i="5"/>
  <c r="ES591" i="5"/>
  <c r="CP591" i="5"/>
  <c r="CP593" i="5" s="1"/>
  <c r="CN591" i="5"/>
  <c r="HR592" i="5" s="1"/>
  <c r="HR594" i="5" s="1"/>
  <c r="AS591" i="5"/>
  <c r="O589" i="5"/>
  <c r="M589" i="5"/>
  <c r="GE588" i="5"/>
  <c r="FK588" i="5"/>
  <c r="FL588" i="5" s="1"/>
  <c r="EW588" i="5"/>
  <c r="DE588" i="5"/>
  <c r="O588" i="5"/>
  <c r="A588" i="5"/>
  <c r="HT587" i="5"/>
  <c r="HT589" i="5" s="1"/>
  <c r="HO587" i="5"/>
  <c r="HO589" i="5" s="1"/>
  <c r="HN587" i="5"/>
  <c r="HN589" i="5" s="1"/>
  <c r="N587" i="5"/>
  <c r="CM586" i="5" s="1"/>
  <c r="HA586" i="5"/>
  <c r="GZ586" i="5"/>
  <c r="GV586" i="5"/>
  <c r="GU586" i="5"/>
  <c r="GP586" i="5"/>
  <c r="GO586" i="5"/>
  <c r="GN586" i="5"/>
  <c r="GL586" i="5"/>
  <c r="GE586" i="5"/>
  <c r="EZ586" i="5"/>
  <c r="ES586" i="5"/>
  <c r="CP586" i="5"/>
  <c r="CP588" i="5" s="1"/>
  <c r="CN586" i="5"/>
  <c r="CO588" i="5" s="1"/>
  <c r="AS586" i="5"/>
  <c r="O584" i="5"/>
  <c r="M584" i="5"/>
  <c r="GE583" i="5"/>
  <c r="FK583" i="5"/>
  <c r="FL583" i="5" s="1"/>
  <c r="DF583" i="5" s="1"/>
  <c r="FR583" i="5" s="1"/>
  <c r="EW583" i="5"/>
  <c r="DE583" i="5"/>
  <c r="O583" i="5"/>
  <c r="A583" i="5"/>
  <c r="HT582" i="5"/>
  <c r="HT584" i="5" s="1"/>
  <c r="HO582" i="5"/>
  <c r="HO584" i="5" s="1"/>
  <c r="HN582" i="5"/>
  <c r="HN584" i="5" s="1"/>
  <c r="N582" i="5"/>
  <c r="CM581" i="5" s="1"/>
  <c r="HA581" i="5"/>
  <c r="GZ581" i="5"/>
  <c r="GV581" i="5"/>
  <c r="GU581" i="5"/>
  <c r="GP581" i="5"/>
  <c r="GO581" i="5"/>
  <c r="GN581" i="5"/>
  <c r="GL581" i="5"/>
  <c r="GL582" i="5" s="1"/>
  <c r="GE581" i="5"/>
  <c r="EZ581" i="5"/>
  <c r="ES581" i="5"/>
  <c r="CP581" i="5"/>
  <c r="CP583" i="5" s="1"/>
  <c r="CN581" i="5"/>
  <c r="FB583" i="5" s="1"/>
  <c r="AS581" i="5"/>
  <c r="O579" i="5"/>
  <c r="M579" i="5"/>
  <c r="GE578" i="5"/>
  <c r="FK578" i="5"/>
  <c r="FL578" i="5" s="1"/>
  <c r="EW578" i="5"/>
  <c r="DE578" i="5"/>
  <c r="O578" i="5"/>
  <c r="A578" i="5"/>
  <c r="HT577" i="5"/>
  <c r="HT579" i="5" s="1"/>
  <c r="HO577" i="5"/>
  <c r="HO579" i="5" s="1"/>
  <c r="HN577" i="5"/>
  <c r="HN579" i="5" s="1"/>
  <c r="N577" i="5"/>
  <c r="CM576" i="5" s="1"/>
  <c r="HA576" i="5"/>
  <c r="GZ576" i="5"/>
  <c r="GV576" i="5"/>
  <c r="GU576" i="5"/>
  <c r="GP576" i="5"/>
  <c r="GO576" i="5"/>
  <c r="GN576" i="5"/>
  <c r="GL576" i="5"/>
  <c r="GK576" i="5" s="1"/>
  <c r="GE576" i="5"/>
  <c r="EZ576" i="5"/>
  <c r="ES576" i="5"/>
  <c r="CP576" i="5"/>
  <c r="CP578" i="5" s="1"/>
  <c r="EY576" i="5" s="1"/>
  <c r="CN576" i="5"/>
  <c r="CO578" i="5" s="1"/>
  <c r="AS576" i="5"/>
  <c r="O574" i="5"/>
  <c r="M574" i="5"/>
  <c r="GE573" i="5"/>
  <c r="FK573" i="5"/>
  <c r="FL573" i="5" s="1"/>
  <c r="DF573" i="5" s="1"/>
  <c r="EW573" i="5"/>
  <c r="DE573" i="5"/>
  <c r="O573" i="5"/>
  <c r="A573" i="5"/>
  <c r="HT572" i="5"/>
  <c r="HT574" i="5" s="1"/>
  <c r="HO572" i="5"/>
  <c r="HO574" i="5" s="1"/>
  <c r="HN572" i="5"/>
  <c r="HN574" i="5" s="1"/>
  <c r="N572" i="5"/>
  <c r="CM571" i="5" s="1"/>
  <c r="HA571" i="5"/>
  <c r="GZ571" i="5"/>
  <c r="GV571" i="5"/>
  <c r="GU571" i="5"/>
  <c r="GP571" i="5"/>
  <c r="GO571" i="5"/>
  <c r="GN571" i="5"/>
  <c r="GL571" i="5"/>
  <c r="GK571" i="5" s="1"/>
  <c r="GE571" i="5"/>
  <c r="EZ571" i="5"/>
  <c r="ES571" i="5"/>
  <c r="CP571" i="5"/>
  <c r="CP573" i="5" s="1"/>
  <c r="CN571" i="5"/>
  <c r="FB573" i="5" s="1"/>
  <c r="AS571" i="5"/>
  <c r="O569" i="5"/>
  <c r="M569" i="5"/>
  <c r="GE568" i="5"/>
  <c r="FK568" i="5"/>
  <c r="FL568" i="5" s="1"/>
  <c r="EW568" i="5"/>
  <c r="DE568" i="5"/>
  <c r="O568" i="5"/>
  <c r="A568" i="5"/>
  <c r="HT567" i="5"/>
  <c r="HT569" i="5" s="1"/>
  <c r="HO567" i="5"/>
  <c r="HO569" i="5" s="1"/>
  <c r="HN567" i="5"/>
  <c r="HN569" i="5" s="1"/>
  <c r="N567" i="5"/>
  <c r="CM566" i="5" s="1"/>
  <c r="HA566" i="5"/>
  <c r="GZ566" i="5"/>
  <c r="GV566" i="5"/>
  <c r="GU566" i="5"/>
  <c r="GP566" i="5"/>
  <c r="GO566" i="5"/>
  <c r="GN566" i="5"/>
  <c r="GL566" i="5"/>
  <c r="GK566" i="5" s="1"/>
  <c r="GE566" i="5"/>
  <c r="EZ566" i="5"/>
  <c r="ES566" i="5"/>
  <c r="CP566" i="5"/>
  <c r="CP568" i="5" s="1"/>
  <c r="CN566" i="5"/>
  <c r="FO568" i="5" s="1"/>
  <c r="AS566" i="5"/>
  <c r="O564" i="5"/>
  <c r="M564" i="5"/>
  <c r="GE563" i="5"/>
  <c r="FK563" i="5"/>
  <c r="FL563" i="5" s="1"/>
  <c r="DF563" i="5" s="1"/>
  <c r="FR563" i="5" s="1"/>
  <c r="EW563" i="5"/>
  <c r="DE563" i="5"/>
  <c r="O563" i="5"/>
  <c r="A563" i="5"/>
  <c r="HT562" i="5"/>
  <c r="HT564" i="5" s="1"/>
  <c r="HO562" i="5"/>
  <c r="HO564" i="5" s="1"/>
  <c r="HN562" i="5"/>
  <c r="HN564" i="5" s="1"/>
  <c r="N562" i="5"/>
  <c r="CM561" i="5" s="1"/>
  <c r="HA561" i="5"/>
  <c r="GZ561" i="5"/>
  <c r="GV561" i="5"/>
  <c r="GU561" i="5"/>
  <c r="GP561" i="5"/>
  <c r="GO561" i="5"/>
  <c r="GN561" i="5"/>
  <c r="GL561" i="5"/>
  <c r="GK561" i="5" s="1"/>
  <c r="GE561" i="5"/>
  <c r="EZ561" i="5"/>
  <c r="ES561" i="5"/>
  <c r="CP561" i="5"/>
  <c r="CP563" i="5" s="1"/>
  <c r="CN561" i="5"/>
  <c r="AS561" i="5"/>
  <c r="O556" i="5"/>
  <c r="M556" i="5"/>
  <c r="GE555" i="5"/>
  <c r="FK555" i="5"/>
  <c r="FL555" i="5" s="1"/>
  <c r="EW555" i="5"/>
  <c r="DE555" i="5"/>
  <c r="O555" i="5"/>
  <c r="A555" i="5"/>
  <c r="HT554" i="5"/>
  <c r="HT556" i="5" s="1"/>
  <c r="HO554" i="5"/>
  <c r="HO556" i="5" s="1"/>
  <c r="HN554" i="5"/>
  <c r="HN556" i="5" s="1"/>
  <c r="N554" i="5"/>
  <c r="CM553" i="5" s="1"/>
  <c r="HA553" i="5"/>
  <c r="GZ553" i="5"/>
  <c r="GV553" i="5"/>
  <c r="GU553" i="5"/>
  <c r="GP553" i="5"/>
  <c r="GO553" i="5"/>
  <c r="GN553" i="5"/>
  <c r="GL553" i="5"/>
  <c r="GK553" i="5" s="1"/>
  <c r="GE553" i="5"/>
  <c r="EZ553" i="5"/>
  <c r="ES553" i="5"/>
  <c r="CP553" i="5"/>
  <c r="CP555" i="5" s="1"/>
  <c r="CN553" i="5"/>
  <c r="FI553" i="5" s="1"/>
  <c r="FJ553" i="5" s="1"/>
  <c r="AS553" i="5"/>
  <c r="O551" i="5"/>
  <c r="M551" i="5"/>
  <c r="GE550" i="5"/>
  <c r="FK550" i="5"/>
  <c r="FL550" i="5" s="1"/>
  <c r="DF550" i="5" s="1"/>
  <c r="AJ550" i="5" s="1"/>
  <c r="EW550" i="5"/>
  <c r="DE550" i="5"/>
  <c r="O550" i="5"/>
  <c r="A550" i="5"/>
  <c r="HT549" i="5"/>
  <c r="HT551" i="5" s="1"/>
  <c r="HO549" i="5"/>
  <c r="HO551" i="5" s="1"/>
  <c r="HN549" i="5"/>
  <c r="HN551" i="5" s="1"/>
  <c r="N549" i="5"/>
  <c r="HA548" i="5"/>
  <c r="GZ548" i="5"/>
  <c r="GV548" i="5"/>
  <c r="GU548" i="5"/>
  <c r="GP548" i="5"/>
  <c r="GO548" i="5"/>
  <c r="GN548" i="5"/>
  <c r="GL548" i="5"/>
  <c r="GK548" i="5" s="1"/>
  <c r="GE548" i="5"/>
  <c r="EZ548" i="5"/>
  <c r="ES548" i="5"/>
  <c r="CP548" i="5"/>
  <c r="CP550" i="5" s="1"/>
  <c r="CN548" i="5"/>
  <c r="CO550" i="5" s="1"/>
  <c r="AS548" i="5"/>
  <c r="O546" i="5"/>
  <c r="M546" i="5"/>
  <c r="GE545" i="5"/>
  <c r="FK545" i="5"/>
  <c r="FL545" i="5" s="1"/>
  <c r="EW545" i="5"/>
  <c r="DE545" i="5"/>
  <c r="O545" i="5"/>
  <c r="A545" i="5"/>
  <c r="HT544" i="5"/>
  <c r="HT546" i="5" s="1"/>
  <c r="HO544" i="5"/>
  <c r="HO546" i="5" s="1"/>
  <c r="HN544" i="5"/>
  <c r="HN546" i="5" s="1"/>
  <c r="N544" i="5"/>
  <c r="CM543" i="5" s="1"/>
  <c r="HA543" i="5"/>
  <c r="GZ543" i="5"/>
  <c r="GV543" i="5"/>
  <c r="GU543" i="5"/>
  <c r="GP543" i="5"/>
  <c r="GO543" i="5"/>
  <c r="GN543" i="5"/>
  <c r="GL543" i="5"/>
  <c r="GL544" i="5" s="1"/>
  <c r="GE543" i="5"/>
  <c r="EZ543" i="5"/>
  <c r="ES543" i="5"/>
  <c r="CP543" i="5"/>
  <c r="CP545" i="5" s="1"/>
  <c r="CN543" i="5"/>
  <c r="CO545" i="5" s="1"/>
  <c r="AS543" i="5"/>
  <c r="O541" i="5"/>
  <c r="M541" i="5"/>
  <c r="GE540" i="5"/>
  <c r="FK540" i="5"/>
  <c r="FL540" i="5" s="1"/>
  <c r="EW540" i="5"/>
  <c r="DE540" i="5"/>
  <c r="O540" i="5"/>
  <c r="A540" i="5"/>
  <c r="HT539" i="5"/>
  <c r="HT541" i="5" s="1"/>
  <c r="HO539" i="5"/>
  <c r="HO541" i="5" s="1"/>
  <c r="HN539" i="5"/>
  <c r="HN541" i="5" s="1"/>
  <c r="N539" i="5"/>
  <c r="CM538" i="5" s="1"/>
  <c r="HA538" i="5"/>
  <c r="GZ538" i="5"/>
  <c r="GV538" i="5"/>
  <c r="GU538" i="5"/>
  <c r="GP538" i="5"/>
  <c r="GO538" i="5"/>
  <c r="GN538" i="5"/>
  <c r="GL538" i="5"/>
  <c r="GL539" i="5" s="1"/>
  <c r="GE538" i="5"/>
  <c r="EZ538" i="5"/>
  <c r="ES538" i="5"/>
  <c r="CP538" i="5"/>
  <c r="CP540" i="5" s="1"/>
  <c r="EU538" i="5" s="1"/>
  <c r="CN538" i="5"/>
  <c r="FI538" i="5" s="1"/>
  <c r="FJ538" i="5" s="1"/>
  <c r="AS538" i="5"/>
  <c r="O536" i="5"/>
  <c r="M536" i="5"/>
  <c r="GE535" i="5"/>
  <c r="FK535" i="5"/>
  <c r="FL535" i="5" s="1"/>
  <c r="DF535" i="5" s="1"/>
  <c r="FR535" i="5" s="1"/>
  <c r="EW535" i="5"/>
  <c r="DE535" i="5"/>
  <c r="O535" i="5"/>
  <c r="A535" i="5"/>
  <c r="HT534" i="5"/>
  <c r="HT536" i="5" s="1"/>
  <c r="HO534" i="5"/>
  <c r="HO536" i="5" s="1"/>
  <c r="HN534" i="5"/>
  <c r="HN536" i="5" s="1"/>
  <c r="N534" i="5"/>
  <c r="CM533" i="5" s="1"/>
  <c r="HA533" i="5"/>
  <c r="GZ533" i="5"/>
  <c r="GV533" i="5"/>
  <c r="GU533" i="5"/>
  <c r="GP533" i="5"/>
  <c r="GO533" i="5"/>
  <c r="GN533" i="5"/>
  <c r="GL533" i="5"/>
  <c r="GK533" i="5" s="1"/>
  <c r="GE533" i="5"/>
  <c r="EZ533" i="5"/>
  <c r="ES533" i="5"/>
  <c r="CP533" i="5"/>
  <c r="CP535" i="5" s="1"/>
  <c r="CN533" i="5"/>
  <c r="AS533" i="5"/>
  <c r="O531" i="5"/>
  <c r="M531" i="5"/>
  <c r="GE530" i="5"/>
  <c r="FK530" i="5"/>
  <c r="FL530" i="5" s="1"/>
  <c r="EW530" i="5"/>
  <c r="DE530" i="5"/>
  <c r="O530" i="5"/>
  <c r="A530" i="5"/>
  <c r="HT529" i="5"/>
  <c r="HT531" i="5" s="1"/>
  <c r="HO529" i="5"/>
  <c r="HO531" i="5" s="1"/>
  <c r="HN529" i="5"/>
  <c r="HN531" i="5" s="1"/>
  <c r="N529" i="5"/>
  <c r="CM528" i="5" s="1"/>
  <c r="HA528" i="5"/>
  <c r="GZ528" i="5"/>
  <c r="GV528" i="5"/>
  <c r="GU528" i="5"/>
  <c r="GP528" i="5"/>
  <c r="GO528" i="5"/>
  <c r="GN528" i="5"/>
  <c r="GL528" i="5"/>
  <c r="GK528" i="5" s="1"/>
  <c r="GE528" i="5"/>
  <c r="EZ528" i="5"/>
  <c r="ES528" i="5"/>
  <c r="CP528" i="5"/>
  <c r="CP530" i="5" s="1"/>
  <c r="CN528" i="5"/>
  <c r="CO530" i="5" s="1"/>
  <c r="AS528" i="5"/>
  <c r="O526" i="5"/>
  <c r="M526" i="5"/>
  <c r="GE525" i="5"/>
  <c r="FK525" i="5"/>
  <c r="FL525" i="5" s="1"/>
  <c r="DF525" i="5" s="1"/>
  <c r="FR525" i="5" s="1"/>
  <c r="EW525" i="5"/>
  <c r="DE525" i="5"/>
  <c r="O525" i="5"/>
  <c r="A525" i="5"/>
  <c r="HT524" i="5"/>
  <c r="HT526" i="5" s="1"/>
  <c r="HO524" i="5"/>
  <c r="HO526" i="5" s="1"/>
  <c r="HN524" i="5"/>
  <c r="HN526" i="5" s="1"/>
  <c r="N524" i="5"/>
  <c r="CM523" i="5" s="1"/>
  <c r="HA523" i="5"/>
  <c r="GZ523" i="5"/>
  <c r="GV523" i="5"/>
  <c r="GU523" i="5"/>
  <c r="GP523" i="5"/>
  <c r="GO523" i="5"/>
  <c r="GN523" i="5"/>
  <c r="GL523" i="5"/>
  <c r="GL524" i="5" s="1"/>
  <c r="GE523" i="5"/>
  <c r="EZ523" i="5"/>
  <c r="ES523" i="5"/>
  <c r="CP523" i="5"/>
  <c r="CP525" i="5" s="1"/>
  <c r="EY525" i="5" s="1"/>
  <c r="EV525" i="5" s="1"/>
  <c r="CN523" i="5"/>
  <c r="CO523" i="5" s="1"/>
  <c r="AS523" i="5"/>
  <c r="O521" i="5"/>
  <c r="M521" i="5"/>
  <c r="GE520" i="5"/>
  <c r="FK520" i="5"/>
  <c r="FL520" i="5" s="1"/>
  <c r="DF520" i="5" s="1"/>
  <c r="EW520" i="5"/>
  <c r="DE520" i="5"/>
  <c r="O520" i="5"/>
  <c r="A520" i="5"/>
  <c r="HT519" i="5"/>
  <c r="HT521" i="5" s="1"/>
  <c r="HO519" i="5"/>
  <c r="HO521" i="5" s="1"/>
  <c r="HN519" i="5"/>
  <c r="HN521" i="5" s="1"/>
  <c r="N519" i="5"/>
  <c r="CM518" i="5" s="1"/>
  <c r="HA518" i="5"/>
  <c r="GZ518" i="5"/>
  <c r="GV518" i="5"/>
  <c r="GU518" i="5"/>
  <c r="GP518" i="5"/>
  <c r="GO518" i="5"/>
  <c r="GN518" i="5"/>
  <c r="GL518" i="5"/>
  <c r="GL519" i="5" s="1"/>
  <c r="GE518" i="5"/>
  <c r="EZ518" i="5"/>
  <c r="ES518" i="5"/>
  <c r="CP518" i="5"/>
  <c r="CP520" i="5" s="1"/>
  <c r="CN518" i="5"/>
  <c r="AS518" i="5"/>
  <c r="O516" i="5"/>
  <c r="M516" i="5"/>
  <c r="GE515" i="5"/>
  <c r="FK515" i="5"/>
  <c r="FL515" i="5" s="1"/>
  <c r="DF515" i="5" s="1"/>
  <c r="EW515" i="5"/>
  <c r="DE515" i="5"/>
  <c r="O515" i="5"/>
  <c r="A515" i="5"/>
  <c r="HT514" i="5"/>
  <c r="HT516" i="5" s="1"/>
  <c r="HO514" i="5"/>
  <c r="HO516" i="5" s="1"/>
  <c r="HN514" i="5"/>
  <c r="HN516" i="5" s="1"/>
  <c r="N514" i="5"/>
  <c r="CM513" i="5" s="1"/>
  <c r="HA513" i="5"/>
  <c r="GZ513" i="5"/>
  <c r="GV513" i="5"/>
  <c r="GU513" i="5"/>
  <c r="GP513" i="5"/>
  <c r="GO513" i="5"/>
  <c r="GN513" i="5"/>
  <c r="GL513" i="5"/>
  <c r="GK513" i="5" s="1"/>
  <c r="GE513" i="5"/>
  <c r="EZ513" i="5"/>
  <c r="ES513" i="5"/>
  <c r="CP513" i="5"/>
  <c r="CP515" i="5" s="1"/>
  <c r="CN513" i="5"/>
  <c r="FI515" i="5" s="1"/>
  <c r="FJ515" i="5" s="1"/>
  <c r="FP515" i="5" s="1"/>
  <c r="AS513" i="5"/>
  <c r="O511" i="5"/>
  <c r="M511" i="5"/>
  <c r="GE510" i="5"/>
  <c r="FK510" i="5"/>
  <c r="FL510" i="5" s="1"/>
  <c r="EW510" i="5"/>
  <c r="DE510" i="5"/>
  <c r="O510" i="5"/>
  <c r="A510" i="5"/>
  <c r="HT509" i="5"/>
  <c r="HT511" i="5" s="1"/>
  <c r="HO509" i="5"/>
  <c r="HO511" i="5" s="1"/>
  <c r="HN509" i="5"/>
  <c r="HN511" i="5" s="1"/>
  <c r="N509" i="5"/>
  <c r="HA508" i="5"/>
  <c r="GZ508" i="5"/>
  <c r="GV508" i="5"/>
  <c r="GU508" i="5"/>
  <c r="GP508" i="5"/>
  <c r="GO508" i="5"/>
  <c r="GN508" i="5"/>
  <c r="GL508" i="5"/>
  <c r="GE508" i="5"/>
  <c r="EZ508" i="5"/>
  <c r="ES508" i="5"/>
  <c r="CP508" i="5"/>
  <c r="CP510" i="5" s="1"/>
  <c r="CN508" i="5"/>
  <c r="CO510" i="5" s="1"/>
  <c r="AS508" i="5"/>
  <c r="O506" i="5"/>
  <c r="M506" i="5"/>
  <c r="GE505" i="5"/>
  <c r="FK505" i="5"/>
  <c r="FL505" i="5" s="1"/>
  <c r="EW505" i="5"/>
  <c r="DE505" i="5"/>
  <c r="O505" i="5"/>
  <c r="A505" i="5"/>
  <c r="HT504" i="5"/>
  <c r="HT506" i="5" s="1"/>
  <c r="HO504" i="5"/>
  <c r="HO506" i="5" s="1"/>
  <c r="HN504" i="5"/>
  <c r="HN506" i="5" s="1"/>
  <c r="N504" i="5"/>
  <c r="CM503" i="5" s="1"/>
  <c r="HA503" i="5"/>
  <c r="GZ503" i="5"/>
  <c r="GV503" i="5"/>
  <c r="GU503" i="5"/>
  <c r="GP503" i="5"/>
  <c r="GO503" i="5"/>
  <c r="GN503" i="5"/>
  <c r="GL503" i="5"/>
  <c r="GK503" i="5" s="1"/>
  <c r="GE503" i="5"/>
  <c r="EZ503" i="5"/>
  <c r="ES503" i="5"/>
  <c r="CP503" i="5"/>
  <c r="CP505" i="5" s="1"/>
  <c r="CN503" i="5"/>
  <c r="CO505" i="5" s="1"/>
  <c r="AS503" i="5"/>
  <c r="O501" i="5"/>
  <c r="M501" i="5"/>
  <c r="GE500" i="5"/>
  <c r="FK500" i="5"/>
  <c r="FL500" i="5" s="1"/>
  <c r="EW500" i="5"/>
  <c r="DE500" i="5"/>
  <c r="O500" i="5"/>
  <c r="A500" i="5"/>
  <c r="HT499" i="5"/>
  <c r="HT501" i="5" s="1"/>
  <c r="HO499" i="5"/>
  <c r="HO501" i="5" s="1"/>
  <c r="HN499" i="5"/>
  <c r="HN501" i="5" s="1"/>
  <c r="N499" i="5"/>
  <c r="CM498" i="5" s="1"/>
  <c r="HA498" i="5"/>
  <c r="GZ498" i="5"/>
  <c r="GV498" i="5"/>
  <c r="GU498" i="5"/>
  <c r="GP498" i="5"/>
  <c r="GO498" i="5"/>
  <c r="GN498" i="5"/>
  <c r="GL498" i="5"/>
  <c r="GK498" i="5" s="1"/>
  <c r="GE498" i="5"/>
  <c r="EZ498" i="5"/>
  <c r="ES498" i="5"/>
  <c r="CP498" i="5"/>
  <c r="CP500" i="5" s="1"/>
  <c r="EU500" i="5" s="1"/>
  <c r="CN498" i="5"/>
  <c r="HR499" i="5" s="1"/>
  <c r="HR501" i="5" s="1"/>
  <c r="AS498" i="5"/>
  <c r="O496" i="5"/>
  <c r="M496" i="5"/>
  <c r="GE495" i="5"/>
  <c r="FK495" i="5"/>
  <c r="FL495" i="5" s="1"/>
  <c r="DF495" i="5" s="1"/>
  <c r="FR495" i="5" s="1"/>
  <c r="EW495" i="5"/>
  <c r="DE495" i="5"/>
  <c r="O495" i="5"/>
  <c r="A495" i="5"/>
  <c r="HT494" i="5"/>
  <c r="HT496" i="5" s="1"/>
  <c r="HO494" i="5"/>
  <c r="HO496" i="5" s="1"/>
  <c r="HN494" i="5"/>
  <c r="HN496" i="5" s="1"/>
  <c r="N494" i="5"/>
  <c r="HA493" i="5"/>
  <c r="GZ493" i="5"/>
  <c r="GV493" i="5"/>
  <c r="GU493" i="5"/>
  <c r="GP493" i="5"/>
  <c r="GO493" i="5"/>
  <c r="GN493" i="5"/>
  <c r="GL493" i="5"/>
  <c r="GL494" i="5" s="1"/>
  <c r="GE493" i="5"/>
  <c r="EZ493" i="5"/>
  <c r="ES493" i="5"/>
  <c r="CP493" i="5"/>
  <c r="CP495" i="5" s="1"/>
  <c r="EY493" i="5" s="1"/>
  <c r="CN493" i="5"/>
  <c r="AS493" i="5"/>
  <c r="O491" i="5"/>
  <c r="M491" i="5"/>
  <c r="GE490" i="5"/>
  <c r="FK490" i="5"/>
  <c r="FL490" i="5" s="1"/>
  <c r="EW490" i="5"/>
  <c r="DE490" i="5"/>
  <c r="O490" i="5"/>
  <c r="A490" i="5"/>
  <c r="HT489" i="5"/>
  <c r="HT491" i="5" s="1"/>
  <c r="HO489" i="5"/>
  <c r="HO491" i="5" s="1"/>
  <c r="HN489" i="5"/>
  <c r="HN491" i="5" s="1"/>
  <c r="N489" i="5"/>
  <c r="HA488" i="5"/>
  <c r="GZ488" i="5"/>
  <c r="GV488" i="5"/>
  <c r="GU488" i="5"/>
  <c r="GP488" i="5"/>
  <c r="GO488" i="5"/>
  <c r="GN488" i="5"/>
  <c r="GL488" i="5"/>
  <c r="GK488" i="5" s="1"/>
  <c r="GE488" i="5"/>
  <c r="EZ488" i="5"/>
  <c r="ES488" i="5"/>
  <c r="CP488" i="5"/>
  <c r="CP490" i="5" s="1"/>
  <c r="CN488" i="5"/>
  <c r="FB490" i="5" s="1"/>
  <c r="AS488" i="5"/>
  <c r="O486" i="5"/>
  <c r="M486" i="5"/>
  <c r="GE485" i="5"/>
  <c r="FK485" i="5"/>
  <c r="FL485" i="5" s="1"/>
  <c r="DF485" i="5" s="1"/>
  <c r="AJ485" i="5" s="1"/>
  <c r="EW485" i="5"/>
  <c r="DE485" i="5"/>
  <c r="O485" i="5"/>
  <c r="A485" i="5"/>
  <c r="HT484" i="5"/>
  <c r="HT486" i="5" s="1"/>
  <c r="HO484" i="5"/>
  <c r="HO486" i="5" s="1"/>
  <c r="HN484" i="5"/>
  <c r="HN486" i="5" s="1"/>
  <c r="N484" i="5"/>
  <c r="CM483" i="5" s="1"/>
  <c r="HA483" i="5"/>
  <c r="GZ483" i="5"/>
  <c r="GV483" i="5"/>
  <c r="GU483" i="5"/>
  <c r="GP483" i="5"/>
  <c r="GO483" i="5"/>
  <c r="GN483" i="5"/>
  <c r="GL483" i="5"/>
  <c r="GE483" i="5"/>
  <c r="EZ483" i="5"/>
  <c r="ES483" i="5"/>
  <c r="CP483" i="5"/>
  <c r="CN483" i="5"/>
  <c r="HR484" i="5" s="1"/>
  <c r="HR486" i="5" s="1"/>
  <c r="AS483" i="5"/>
  <c r="O478" i="5"/>
  <c r="M478" i="5"/>
  <c r="GE477" i="5"/>
  <c r="FK477" i="5"/>
  <c r="FL477" i="5" s="1"/>
  <c r="EW477" i="5"/>
  <c r="DE477" i="5"/>
  <c r="O477" i="5"/>
  <c r="A477" i="5"/>
  <c r="HT476" i="5"/>
  <c r="HT478" i="5" s="1"/>
  <c r="HO476" i="5"/>
  <c r="HO478" i="5" s="1"/>
  <c r="HN476" i="5"/>
  <c r="HN478" i="5" s="1"/>
  <c r="N476" i="5"/>
  <c r="CM475" i="5" s="1"/>
  <c r="HA475" i="5"/>
  <c r="GZ475" i="5"/>
  <c r="GV475" i="5"/>
  <c r="GU475" i="5"/>
  <c r="GP475" i="5"/>
  <c r="GO475" i="5"/>
  <c r="GN475" i="5"/>
  <c r="GL475" i="5"/>
  <c r="GK475" i="5" s="1"/>
  <c r="GE475" i="5"/>
  <c r="EZ475" i="5"/>
  <c r="ES475" i="5"/>
  <c r="CP475" i="5"/>
  <c r="CP477" i="5" s="1"/>
  <c r="CN475" i="5"/>
  <c r="FI475" i="5" s="1"/>
  <c r="FJ475" i="5" s="1"/>
  <c r="AS475" i="5"/>
  <c r="O473" i="5"/>
  <c r="M473" i="5"/>
  <c r="GE472" i="5"/>
  <c r="FK472" i="5"/>
  <c r="FL472" i="5" s="1"/>
  <c r="EW472" i="5"/>
  <c r="DE472" i="5"/>
  <c r="O472" i="5"/>
  <c r="A472" i="5"/>
  <c r="HT471" i="5"/>
  <c r="HT473" i="5" s="1"/>
  <c r="HO471" i="5"/>
  <c r="HO473" i="5" s="1"/>
  <c r="HN471" i="5"/>
  <c r="HN473" i="5" s="1"/>
  <c r="N471" i="5"/>
  <c r="CM470" i="5" s="1"/>
  <c r="HA470" i="5"/>
  <c r="GZ470" i="5"/>
  <c r="GV470" i="5"/>
  <c r="GU470" i="5"/>
  <c r="GP470" i="5"/>
  <c r="GO470" i="5"/>
  <c r="GN470" i="5"/>
  <c r="GL470" i="5"/>
  <c r="GE470" i="5"/>
  <c r="EZ470" i="5"/>
  <c r="ES470" i="5"/>
  <c r="CP470" i="5"/>
  <c r="CP472" i="5" s="1"/>
  <c r="CN470" i="5"/>
  <c r="FB472" i="5" s="1"/>
  <c r="AS470" i="5"/>
  <c r="O468" i="5"/>
  <c r="M468" i="5"/>
  <c r="GE467" i="5"/>
  <c r="FK467" i="5"/>
  <c r="FL467" i="5" s="1"/>
  <c r="EW467" i="5"/>
  <c r="DE467" i="5"/>
  <c r="O467" i="5"/>
  <c r="A467" i="5"/>
  <c r="HT466" i="5"/>
  <c r="HT468" i="5" s="1"/>
  <c r="HO466" i="5"/>
  <c r="HO468" i="5" s="1"/>
  <c r="HN466" i="5"/>
  <c r="HN468" i="5" s="1"/>
  <c r="N466" i="5"/>
  <c r="CM465" i="5" s="1"/>
  <c r="HA465" i="5"/>
  <c r="GZ465" i="5"/>
  <c r="GV465" i="5"/>
  <c r="GU465" i="5"/>
  <c r="GP465" i="5"/>
  <c r="GO465" i="5"/>
  <c r="GN465" i="5"/>
  <c r="GL465" i="5"/>
  <c r="GL466" i="5" s="1"/>
  <c r="GL468" i="5" s="1"/>
  <c r="GE465" i="5"/>
  <c r="EZ465" i="5"/>
  <c r="ES465" i="5"/>
  <c r="CP465" i="5"/>
  <c r="CP467" i="5" s="1"/>
  <c r="CN465" i="5"/>
  <c r="CO467" i="5" s="1"/>
  <c r="FU467" i="5" s="1"/>
  <c r="AS465" i="5"/>
  <c r="O463" i="5"/>
  <c r="M463" i="5"/>
  <c r="GE462" i="5"/>
  <c r="FK462" i="5"/>
  <c r="FL462" i="5" s="1"/>
  <c r="EW462" i="5"/>
  <c r="DE462" i="5"/>
  <c r="O462" i="5"/>
  <c r="A462" i="5"/>
  <c r="HT461" i="5"/>
  <c r="HT463" i="5" s="1"/>
  <c r="HO461" i="5"/>
  <c r="HO463" i="5" s="1"/>
  <c r="HN461" i="5"/>
  <c r="HN463" i="5" s="1"/>
  <c r="N461" i="5"/>
  <c r="CM460" i="5" s="1"/>
  <c r="HA460" i="5"/>
  <c r="GZ460" i="5"/>
  <c r="GV460" i="5"/>
  <c r="GU460" i="5"/>
  <c r="GP460" i="5"/>
  <c r="GO460" i="5"/>
  <c r="GN460" i="5"/>
  <c r="GL460" i="5"/>
  <c r="GK460" i="5" s="1"/>
  <c r="GE460" i="5"/>
  <c r="EZ460" i="5"/>
  <c r="ES460" i="5"/>
  <c r="CP460" i="5"/>
  <c r="CP462" i="5" s="1"/>
  <c r="EU460" i="5" s="1"/>
  <c r="CN460" i="5"/>
  <c r="GR460" i="5" s="1"/>
  <c r="AS460" i="5"/>
  <c r="O458" i="5"/>
  <c r="M458" i="5"/>
  <c r="GE457" i="5"/>
  <c r="FK457" i="5"/>
  <c r="FL457" i="5" s="1"/>
  <c r="EW457" i="5"/>
  <c r="DE457" i="5"/>
  <c r="O457" i="5"/>
  <c r="A457" i="5"/>
  <c r="HT456" i="5"/>
  <c r="HT458" i="5" s="1"/>
  <c r="HO456" i="5"/>
  <c r="HO458" i="5" s="1"/>
  <c r="HN456" i="5"/>
  <c r="HN458" i="5" s="1"/>
  <c r="N456" i="5"/>
  <c r="CM455" i="5" s="1"/>
  <c r="HA455" i="5"/>
  <c r="GZ455" i="5"/>
  <c r="GV455" i="5"/>
  <c r="GU455" i="5"/>
  <c r="GP455" i="5"/>
  <c r="GO455" i="5"/>
  <c r="GN455" i="5"/>
  <c r="GL455" i="5"/>
  <c r="GK455" i="5" s="1"/>
  <c r="GE455" i="5"/>
  <c r="EZ455" i="5"/>
  <c r="ES455" i="5"/>
  <c r="CP455" i="5"/>
  <c r="CP457" i="5" s="1"/>
  <c r="CN455" i="5"/>
  <c r="FB457" i="5" s="1"/>
  <c r="AS455" i="5"/>
  <c r="O453" i="5"/>
  <c r="M453" i="5"/>
  <c r="GE452" i="5"/>
  <c r="FK452" i="5"/>
  <c r="FL452" i="5" s="1"/>
  <c r="EW452" i="5"/>
  <c r="DE452" i="5"/>
  <c r="O452" i="5"/>
  <c r="A452" i="5"/>
  <c r="HT451" i="5"/>
  <c r="HT453" i="5" s="1"/>
  <c r="HO451" i="5"/>
  <c r="HO453" i="5" s="1"/>
  <c r="HN451" i="5"/>
  <c r="HN453" i="5" s="1"/>
  <c r="N451" i="5"/>
  <c r="CM450" i="5" s="1"/>
  <c r="HA450" i="5"/>
  <c r="GZ450" i="5"/>
  <c r="GV450" i="5"/>
  <c r="GU450" i="5"/>
  <c r="GP450" i="5"/>
  <c r="GO450" i="5"/>
  <c r="GN450" i="5"/>
  <c r="GL450" i="5"/>
  <c r="GE450" i="5"/>
  <c r="EZ450" i="5"/>
  <c r="ES450" i="5"/>
  <c r="CP450" i="5"/>
  <c r="CP452" i="5" s="1"/>
  <c r="EY452" i="5" s="1"/>
  <c r="EV452" i="5" s="1"/>
  <c r="CN450" i="5"/>
  <c r="AS450" i="5"/>
  <c r="O448" i="5"/>
  <c r="M448" i="5"/>
  <c r="GE447" i="5"/>
  <c r="FK447" i="5"/>
  <c r="FL447" i="5" s="1"/>
  <c r="DF447" i="5" s="1"/>
  <c r="FR447" i="5" s="1"/>
  <c r="EW447" i="5"/>
  <c r="DE447" i="5"/>
  <c r="O447" i="5"/>
  <c r="A447" i="5"/>
  <c r="HT446" i="5"/>
  <c r="HT448" i="5" s="1"/>
  <c r="HO446" i="5"/>
  <c r="HO448" i="5" s="1"/>
  <c r="HN446" i="5"/>
  <c r="HN448" i="5" s="1"/>
  <c r="N446" i="5"/>
  <c r="HA445" i="5"/>
  <c r="GZ445" i="5"/>
  <c r="GV445" i="5"/>
  <c r="GU445" i="5"/>
  <c r="GP445" i="5"/>
  <c r="GO445" i="5"/>
  <c r="GN445" i="5"/>
  <c r="GL445" i="5"/>
  <c r="GL446" i="5" s="1"/>
  <c r="GE445" i="5"/>
  <c r="EZ445" i="5"/>
  <c r="ES445" i="5"/>
  <c r="CP445" i="5"/>
  <c r="CP447" i="5" s="1"/>
  <c r="CN445" i="5"/>
  <c r="FO447" i="5" s="1"/>
  <c r="AS445" i="5"/>
  <c r="O443" i="5"/>
  <c r="M443" i="5"/>
  <c r="GE442" i="5"/>
  <c r="FK442" i="5"/>
  <c r="FL442" i="5" s="1"/>
  <c r="EW442" i="5"/>
  <c r="DE442" i="5"/>
  <c r="O442" i="5"/>
  <c r="A442" i="5"/>
  <c r="HT441" i="5"/>
  <c r="HT443" i="5" s="1"/>
  <c r="HO441" i="5"/>
  <c r="HO443" i="5" s="1"/>
  <c r="HN441" i="5"/>
  <c r="HN443" i="5" s="1"/>
  <c r="N441" i="5"/>
  <c r="CM440" i="5" s="1"/>
  <c r="HA440" i="5"/>
  <c r="GZ440" i="5"/>
  <c r="GV440" i="5"/>
  <c r="GU440" i="5"/>
  <c r="GP440" i="5"/>
  <c r="GO440" i="5"/>
  <c r="GN440" i="5"/>
  <c r="GL440" i="5"/>
  <c r="GE440" i="5"/>
  <c r="EZ440" i="5"/>
  <c r="ES440" i="5"/>
  <c r="CP440" i="5"/>
  <c r="CP442" i="5" s="1"/>
  <c r="CN440" i="5"/>
  <c r="FB442" i="5" s="1"/>
  <c r="AS440" i="5"/>
  <c r="O438" i="5"/>
  <c r="M438" i="5"/>
  <c r="GE437" i="5"/>
  <c r="FK437" i="5"/>
  <c r="FL437" i="5" s="1"/>
  <c r="DF437" i="5" s="1"/>
  <c r="FR437" i="5" s="1"/>
  <c r="EW437" i="5"/>
  <c r="DE437" i="5"/>
  <c r="O437" i="5"/>
  <c r="A437" i="5"/>
  <c r="HT436" i="5"/>
  <c r="HT438" i="5" s="1"/>
  <c r="HO436" i="5"/>
  <c r="HO438" i="5" s="1"/>
  <c r="HN436" i="5"/>
  <c r="HN438" i="5" s="1"/>
  <c r="N436" i="5"/>
  <c r="CM435" i="5" s="1"/>
  <c r="HA435" i="5"/>
  <c r="GZ435" i="5"/>
  <c r="GV435" i="5"/>
  <c r="GU435" i="5"/>
  <c r="GP435" i="5"/>
  <c r="GO435" i="5"/>
  <c r="GN435" i="5"/>
  <c r="GL435" i="5"/>
  <c r="GL436" i="5" s="1"/>
  <c r="GE435" i="5"/>
  <c r="EZ435" i="5"/>
  <c r="ES435" i="5"/>
  <c r="CP435" i="5"/>
  <c r="CP437" i="5" s="1"/>
  <c r="CN435" i="5"/>
  <c r="HR436" i="5" s="1"/>
  <c r="HR438" i="5" s="1"/>
  <c r="AS435" i="5"/>
  <c r="O433" i="5"/>
  <c r="M433" i="5"/>
  <c r="GE432" i="5"/>
  <c r="FK432" i="5"/>
  <c r="FL432" i="5" s="1"/>
  <c r="EW432" i="5"/>
  <c r="DE432" i="5"/>
  <c r="O432" i="5"/>
  <c r="A432" i="5"/>
  <c r="HT431" i="5"/>
  <c r="HT433" i="5" s="1"/>
  <c r="HO431" i="5"/>
  <c r="HO433" i="5" s="1"/>
  <c r="HN431" i="5"/>
  <c r="HN433" i="5" s="1"/>
  <c r="N431" i="5"/>
  <c r="CM430" i="5" s="1"/>
  <c r="HA430" i="5"/>
  <c r="GZ430" i="5"/>
  <c r="GV430" i="5"/>
  <c r="GU430" i="5"/>
  <c r="GP430" i="5"/>
  <c r="GO430" i="5"/>
  <c r="GN430" i="5"/>
  <c r="GL430" i="5"/>
  <c r="GL431" i="5" s="1"/>
  <c r="GE430" i="5"/>
  <c r="EZ430" i="5"/>
  <c r="ES430" i="5"/>
  <c r="CP430" i="5"/>
  <c r="CP432" i="5" s="1"/>
  <c r="CN430" i="5"/>
  <c r="HR431" i="5" s="1"/>
  <c r="HR433" i="5" s="1"/>
  <c r="AS430" i="5"/>
  <c r="O428" i="5"/>
  <c r="M428" i="5"/>
  <c r="GE427" i="5"/>
  <c r="FK427" i="5"/>
  <c r="FL427" i="5" s="1"/>
  <c r="EW427" i="5"/>
  <c r="DE427" i="5"/>
  <c r="O427" i="5"/>
  <c r="A427" i="5"/>
  <c r="HT426" i="5"/>
  <c r="HT428" i="5" s="1"/>
  <c r="HO426" i="5"/>
  <c r="HO428" i="5" s="1"/>
  <c r="HN426" i="5"/>
  <c r="HN428" i="5" s="1"/>
  <c r="N426" i="5"/>
  <c r="CM425" i="5" s="1"/>
  <c r="HA425" i="5"/>
  <c r="GZ425" i="5"/>
  <c r="GV425" i="5"/>
  <c r="GU425" i="5"/>
  <c r="GP425" i="5"/>
  <c r="GO425" i="5"/>
  <c r="GN425" i="5"/>
  <c r="GL425" i="5"/>
  <c r="GL426" i="5" s="1"/>
  <c r="GL428" i="5" s="1"/>
  <c r="GE425" i="5"/>
  <c r="EZ425" i="5"/>
  <c r="ES425" i="5"/>
  <c r="CP425" i="5"/>
  <c r="CP427" i="5" s="1"/>
  <c r="CN425" i="5"/>
  <c r="HR426" i="5" s="1"/>
  <c r="HR428" i="5" s="1"/>
  <c r="AS425" i="5"/>
  <c r="O423" i="5"/>
  <c r="M423" i="5"/>
  <c r="GE422" i="5"/>
  <c r="FK422" i="5"/>
  <c r="FL422" i="5" s="1"/>
  <c r="EW422" i="5"/>
  <c r="DE422" i="5"/>
  <c r="O422" i="5"/>
  <c r="A422" i="5"/>
  <c r="HT421" i="5"/>
  <c r="HT423" i="5" s="1"/>
  <c r="HO421" i="5"/>
  <c r="HO423" i="5" s="1"/>
  <c r="HN421" i="5"/>
  <c r="HN423" i="5" s="1"/>
  <c r="N421" i="5"/>
  <c r="CM420" i="5" s="1"/>
  <c r="HA420" i="5"/>
  <c r="GZ420" i="5"/>
  <c r="GV420" i="5"/>
  <c r="GU420" i="5"/>
  <c r="GP420" i="5"/>
  <c r="GO420" i="5"/>
  <c r="GN420" i="5"/>
  <c r="GL420" i="5"/>
  <c r="GL421" i="5" s="1"/>
  <c r="GE420" i="5"/>
  <c r="EZ420" i="5"/>
  <c r="ES420" i="5"/>
  <c r="CP420" i="5"/>
  <c r="CP422" i="5" s="1"/>
  <c r="EU420" i="5" s="1"/>
  <c r="CN420" i="5"/>
  <c r="FO422" i="5" s="1"/>
  <c r="AS420" i="5"/>
  <c r="O418" i="5"/>
  <c r="M418" i="5"/>
  <c r="GE417" i="5"/>
  <c r="FK417" i="5"/>
  <c r="FL417" i="5" s="1"/>
  <c r="EW417" i="5"/>
  <c r="DE417" i="5"/>
  <c r="O417" i="5"/>
  <c r="A417" i="5"/>
  <c r="HT416" i="5"/>
  <c r="HT418" i="5" s="1"/>
  <c r="HO416" i="5"/>
  <c r="HO418" i="5" s="1"/>
  <c r="HN416" i="5"/>
  <c r="HN418" i="5" s="1"/>
  <c r="N416" i="5"/>
  <c r="CM415" i="5" s="1"/>
  <c r="HA415" i="5"/>
  <c r="GZ415" i="5"/>
  <c r="GV415" i="5"/>
  <c r="GU415" i="5"/>
  <c r="GP415" i="5"/>
  <c r="GO415" i="5"/>
  <c r="GN415" i="5"/>
  <c r="GL415" i="5"/>
  <c r="GK415" i="5" s="1"/>
  <c r="GE415" i="5"/>
  <c r="EZ415" i="5"/>
  <c r="ES415" i="5"/>
  <c r="CP415" i="5"/>
  <c r="CP417" i="5" s="1"/>
  <c r="CN415" i="5"/>
  <c r="FO417" i="5" s="1"/>
  <c r="AS415" i="5"/>
  <c r="O413" i="5"/>
  <c r="M413" i="5"/>
  <c r="GE412" i="5"/>
  <c r="FK412" i="5"/>
  <c r="FL412" i="5" s="1"/>
  <c r="DF412" i="5" s="1"/>
  <c r="EW412" i="5"/>
  <c r="DE412" i="5"/>
  <c r="O412" i="5"/>
  <c r="A412" i="5"/>
  <c r="HT411" i="5"/>
  <c r="HT413" i="5" s="1"/>
  <c r="HO411" i="5"/>
  <c r="HO413" i="5" s="1"/>
  <c r="HN411" i="5"/>
  <c r="HN413" i="5" s="1"/>
  <c r="N411" i="5"/>
  <c r="HA410" i="5"/>
  <c r="GZ410" i="5"/>
  <c r="GV410" i="5"/>
  <c r="GU410" i="5"/>
  <c r="GP410" i="5"/>
  <c r="GO410" i="5"/>
  <c r="GN410" i="5"/>
  <c r="GL410" i="5"/>
  <c r="GK410" i="5" s="1"/>
  <c r="GE410" i="5"/>
  <c r="EZ410" i="5"/>
  <c r="ES410" i="5"/>
  <c r="CP410" i="5"/>
  <c r="CP412" i="5" s="1"/>
  <c r="EU410" i="5" s="1"/>
  <c r="CN410" i="5"/>
  <c r="CO412" i="5" s="1"/>
  <c r="AS410" i="5"/>
  <c r="O408" i="5"/>
  <c r="M408" i="5"/>
  <c r="GE407" i="5"/>
  <c r="FK407" i="5"/>
  <c r="FL407" i="5" s="1"/>
  <c r="EW407" i="5"/>
  <c r="DE407" i="5"/>
  <c r="O407" i="5"/>
  <c r="A407" i="5"/>
  <c r="HT406" i="5"/>
  <c r="HT408" i="5" s="1"/>
  <c r="HO406" i="5"/>
  <c r="HO408" i="5" s="1"/>
  <c r="HN406" i="5"/>
  <c r="HN408" i="5" s="1"/>
  <c r="N406" i="5"/>
  <c r="CM405" i="5" s="1"/>
  <c r="HA405" i="5"/>
  <c r="GZ405" i="5"/>
  <c r="GV405" i="5"/>
  <c r="GU405" i="5"/>
  <c r="GP405" i="5"/>
  <c r="GO405" i="5"/>
  <c r="GN405" i="5"/>
  <c r="GL405" i="5"/>
  <c r="GL406" i="5" s="1"/>
  <c r="GL408" i="5" s="1"/>
  <c r="GE405" i="5"/>
  <c r="EZ405" i="5"/>
  <c r="ES405" i="5"/>
  <c r="CP405" i="5"/>
  <c r="CP407" i="5" s="1"/>
  <c r="CN405" i="5"/>
  <c r="CO407" i="5" s="1"/>
  <c r="AS405" i="5"/>
  <c r="O400" i="5"/>
  <c r="M400" i="5"/>
  <c r="GE399" i="5"/>
  <c r="FK399" i="5"/>
  <c r="FL399" i="5" s="1"/>
  <c r="EW399" i="5"/>
  <c r="DE399" i="5"/>
  <c r="O399" i="5"/>
  <c r="A399" i="5"/>
  <c r="HT398" i="5"/>
  <c r="HT400" i="5" s="1"/>
  <c r="HO398" i="5"/>
  <c r="HO400" i="5" s="1"/>
  <c r="HN398" i="5"/>
  <c r="HN400" i="5" s="1"/>
  <c r="N398" i="5"/>
  <c r="CM397" i="5" s="1"/>
  <c r="HA397" i="5"/>
  <c r="GZ397" i="5"/>
  <c r="GV397" i="5"/>
  <c r="GU397" i="5"/>
  <c r="GP397" i="5"/>
  <c r="GO397" i="5"/>
  <c r="GN397" i="5"/>
  <c r="GL397" i="5"/>
  <c r="GK397" i="5" s="1"/>
  <c r="GE397" i="5"/>
  <c r="EZ397" i="5"/>
  <c r="ES397" i="5"/>
  <c r="CP397" i="5"/>
  <c r="CP399" i="5" s="1"/>
  <c r="CN397" i="5"/>
  <c r="FO399" i="5" s="1"/>
  <c r="AS397" i="5"/>
  <c r="O395" i="5"/>
  <c r="M395" i="5"/>
  <c r="GE394" i="5"/>
  <c r="FK394" i="5"/>
  <c r="FL394" i="5" s="1"/>
  <c r="EW394" i="5"/>
  <c r="DE394" i="5"/>
  <c r="O394" i="5"/>
  <c r="A394" i="5"/>
  <c r="HT393" i="5"/>
  <c r="HT395" i="5" s="1"/>
  <c r="HO393" i="5"/>
  <c r="HO395" i="5" s="1"/>
  <c r="HN393" i="5"/>
  <c r="HN395" i="5" s="1"/>
  <c r="N393" i="5"/>
  <c r="HA392" i="5"/>
  <c r="GZ392" i="5"/>
  <c r="GV392" i="5"/>
  <c r="GU392" i="5"/>
  <c r="GP392" i="5"/>
  <c r="GO392" i="5"/>
  <c r="GN392" i="5"/>
  <c r="GL392" i="5"/>
  <c r="GK392" i="5" s="1"/>
  <c r="GE392" i="5"/>
  <c r="EZ392" i="5"/>
  <c r="ES392" i="5"/>
  <c r="CP392" i="5"/>
  <c r="CP394" i="5" s="1"/>
  <c r="EU392" i="5" s="1"/>
  <c r="CN392" i="5"/>
  <c r="CO394" i="5" s="1"/>
  <c r="AS392" i="5"/>
  <c r="O390" i="5"/>
  <c r="M390" i="5"/>
  <c r="GE389" i="5"/>
  <c r="FK389" i="5"/>
  <c r="FL389" i="5" s="1"/>
  <c r="EW389" i="5"/>
  <c r="DE389" i="5"/>
  <c r="O389" i="5"/>
  <c r="A389" i="5"/>
  <c r="HT388" i="5"/>
  <c r="HT390" i="5" s="1"/>
  <c r="HO388" i="5"/>
  <c r="HO390" i="5" s="1"/>
  <c r="HN388" i="5"/>
  <c r="HN390" i="5" s="1"/>
  <c r="N388" i="5"/>
  <c r="CM387" i="5" s="1"/>
  <c r="HA387" i="5"/>
  <c r="GZ387" i="5"/>
  <c r="GV387" i="5"/>
  <c r="GU387" i="5"/>
  <c r="GP387" i="5"/>
  <c r="GO387" i="5"/>
  <c r="GN387" i="5"/>
  <c r="GL387" i="5"/>
  <c r="GL388" i="5" s="1"/>
  <c r="GL390" i="5" s="1"/>
  <c r="GE387" i="5"/>
  <c r="EZ387" i="5"/>
  <c r="ES387" i="5"/>
  <c r="CP387" i="5"/>
  <c r="CP389" i="5" s="1"/>
  <c r="CN387" i="5"/>
  <c r="CO389" i="5" s="1"/>
  <c r="AS387" i="5"/>
  <c r="O385" i="5"/>
  <c r="M385" i="5"/>
  <c r="GE384" i="5"/>
  <c r="FK384" i="5"/>
  <c r="FL384" i="5" s="1"/>
  <c r="EW384" i="5"/>
  <c r="DE384" i="5"/>
  <c r="O384" i="5"/>
  <c r="A384" i="5"/>
  <c r="HT383" i="5"/>
  <c r="HT385" i="5" s="1"/>
  <c r="HO383" i="5"/>
  <c r="HO385" i="5" s="1"/>
  <c r="HN383" i="5"/>
  <c r="HN385" i="5" s="1"/>
  <c r="N383" i="5"/>
  <c r="CM382" i="5" s="1"/>
  <c r="HA382" i="5"/>
  <c r="GZ382" i="5"/>
  <c r="GV382" i="5"/>
  <c r="GU382" i="5"/>
  <c r="GP382" i="5"/>
  <c r="GO382" i="5"/>
  <c r="GN382" i="5"/>
  <c r="GL382" i="5"/>
  <c r="GL383" i="5" s="1"/>
  <c r="GE382" i="5"/>
  <c r="EZ382" i="5"/>
  <c r="ES382" i="5"/>
  <c r="CP382" i="5"/>
  <c r="CP384" i="5" s="1"/>
  <c r="CN382" i="5"/>
  <c r="FI382" i="5" s="1"/>
  <c r="FJ382" i="5" s="1"/>
  <c r="FP382" i="5" s="1"/>
  <c r="AS382" i="5"/>
  <c r="O380" i="5"/>
  <c r="M380" i="5"/>
  <c r="GE379" i="5"/>
  <c r="FK379" i="5"/>
  <c r="FL379" i="5" s="1"/>
  <c r="EW379" i="5"/>
  <c r="DE379" i="5"/>
  <c r="O379" i="5"/>
  <c r="A379" i="5"/>
  <c r="HT378" i="5"/>
  <c r="HT380" i="5" s="1"/>
  <c r="HO378" i="5"/>
  <c r="HO380" i="5" s="1"/>
  <c r="HN378" i="5"/>
  <c r="HN380" i="5" s="1"/>
  <c r="N378" i="5"/>
  <c r="CM377" i="5" s="1"/>
  <c r="HA377" i="5"/>
  <c r="GZ377" i="5"/>
  <c r="GV377" i="5"/>
  <c r="GU377" i="5"/>
  <c r="GP377" i="5"/>
  <c r="GO377" i="5"/>
  <c r="GN377" i="5"/>
  <c r="GL377" i="5"/>
  <c r="GE377" i="5"/>
  <c r="EZ377" i="5"/>
  <c r="ES377" i="5"/>
  <c r="CP377" i="5"/>
  <c r="CP379" i="5" s="1"/>
  <c r="CN377" i="5"/>
  <c r="CO379" i="5" s="1"/>
  <c r="AS377" i="5"/>
  <c r="O375" i="5"/>
  <c r="M375" i="5"/>
  <c r="GE374" i="5"/>
  <c r="FK374" i="5"/>
  <c r="FL374" i="5" s="1"/>
  <c r="EW374" i="5"/>
  <c r="DE374" i="5"/>
  <c r="O374" i="5"/>
  <c r="A374" i="5"/>
  <c r="HT373" i="5"/>
  <c r="HT375" i="5" s="1"/>
  <c r="HO373" i="5"/>
  <c r="HO375" i="5" s="1"/>
  <c r="HN373" i="5"/>
  <c r="HN375" i="5" s="1"/>
  <c r="N373" i="5"/>
  <c r="CM372" i="5" s="1"/>
  <c r="HA372" i="5"/>
  <c r="GZ372" i="5"/>
  <c r="GV372" i="5"/>
  <c r="GU372" i="5"/>
  <c r="GP372" i="5"/>
  <c r="GO372" i="5"/>
  <c r="GN372" i="5"/>
  <c r="GL372" i="5"/>
  <c r="GL373" i="5" s="1"/>
  <c r="GL375" i="5" s="1"/>
  <c r="GE372" i="5"/>
  <c r="EZ372" i="5"/>
  <c r="ES372" i="5"/>
  <c r="CP372" i="5"/>
  <c r="CP374" i="5" s="1"/>
  <c r="CN372" i="5"/>
  <c r="CO374" i="5" s="1"/>
  <c r="FU374" i="5" s="1"/>
  <c r="AS372" i="5"/>
  <c r="O370" i="5"/>
  <c r="M370" i="5"/>
  <c r="GE369" i="5"/>
  <c r="FK369" i="5"/>
  <c r="FL369" i="5" s="1"/>
  <c r="DF369" i="5" s="1"/>
  <c r="EW369" i="5"/>
  <c r="DE369" i="5"/>
  <c r="O369" i="5"/>
  <c r="A369" i="5"/>
  <c r="HT368" i="5"/>
  <c r="HT370" i="5" s="1"/>
  <c r="HO368" i="5"/>
  <c r="HO370" i="5" s="1"/>
  <c r="HN368" i="5"/>
  <c r="HN370" i="5" s="1"/>
  <c r="N368" i="5"/>
  <c r="CM367" i="5" s="1"/>
  <c r="HA367" i="5"/>
  <c r="GZ367" i="5"/>
  <c r="GV367" i="5"/>
  <c r="GU367" i="5"/>
  <c r="GP367" i="5"/>
  <c r="GO367" i="5"/>
  <c r="GN367" i="5"/>
  <c r="GL367" i="5"/>
  <c r="GK367" i="5" s="1"/>
  <c r="GE367" i="5"/>
  <c r="EZ367" i="5"/>
  <c r="ES367" i="5"/>
  <c r="CP367" i="5"/>
  <c r="CP369" i="5" s="1"/>
  <c r="EU369" i="5" s="1"/>
  <c r="CN367" i="5"/>
  <c r="AS367" i="5"/>
  <c r="O365" i="5"/>
  <c r="M365" i="5"/>
  <c r="GE364" i="5"/>
  <c r="FK364" i="5"/>
  <c r="FL364" i="5" s="1"/>
  <c r="EW364" i="5"/>
  <c r="DE364" i="5"/>
  <c r="O364" i="5"/>
  <c r="A364" i="5"/>
  <c r="HT363" i="5"/>
  <c r="HT365" i="5" s="1"/>
  <c r="HO363" i="5"/>
  <c r="HO365" i="5" s="1"/>
  <c r="HN363" i="5"/>
  <c r="HN365" i="5" s="1"/>
  <c r="N363" i="5"/>
  <c r="CM362" i="5" s="1"/>
  <c r="HA362" i="5"/>
  <c r="GZ362" i="5"/>
  <c r="GV362" i="5"/>
  <c r="GU362" i="5"/>
  <c r="GP362" i="5"/>
  <c r="GO362" i="5"/>
  <c r="GN362" i="5"/>
  <c r="GL362" i="5"/>
  <c r="GK362" i="5" s="1"/>
  <c r="GE362" i="5"/>
  <c r="EZ362" i="5"/>
  <c r="ES362" i="5"/>
  <c r="CP362" i="5"/>
  <c r="CP364" i="5" s="1"/>
  <c r="CN362" i="5"/>
  <c r="FI364" i="5" s="1"/>
  <c r="FJ364" i="5" s="1"/>
  <c r="FP364" i="5" s="1"/>
  <c r="AS362" i="5"/>
  <c r="O360" i="5"/>
  <c r="M360" i="5"/>
  <c r="GE359" i="5"/>
  <c r="FK359" i="5"/>
  <c r="FL359" i="5" s="1"/>
  <c r="DF359" i="5" s="1"/>
  <c r="AJ359" i="5" s="1"/>
  <c r="EW359" i="5"/>
  <c r="DE359" i="5"/>
  <c r="O359" i="5"/>
  <c r="A359" i="5"/>
  <c r="HT358" i="5"/>
  <c r="HT360" i="5" s="1"/>
  <c r="HO358" i="5"/>
  <c r="HO360" i="5" s="1"/>
  <c r="HN358" i="5"/>
  <c r="HN360" i="5" s="1"/>
  <c r="N358" i="5"/>
  <c r="CM357" i="5" s="1"/>
  <c r="HA357" i="5"/>
  <c r="GZ357" i="5"/>
  <c r="GV357" i="5"/>
  <c r="GU357" i="5"/>
  <c r="GP357" i="5"/>
  <c r="GO357" i="5"/>
  <c r="GN357" i="5"/>
  <c r="GL357" i="5"/>
  <c r="GL358" i="5" s="1"/>
  <c r="GE357" i="5"/>
  <c r="EZ357" i="5"/>
  <c r="ES357" i="5"/>
  <c r="CP357" i="5"/>
  <c r="CN357" i="5"/>
  <c r="CO359" i="5" s="1"/>
  <c r="AS357" i="5"/>
  <c r="O355" i="5"/>
  <c r="M355" i="5"/>
  <c r="GE354" i="5"/>
  <c r="FK354" i="5"/>
  <c r="FL354" i="5" s="1"/>
  <c r="EW354" i="5"/>
  <c r="DE354" i="5"/>
  <c r="O354" i="5"/>
  <c r="A354" i="5"/>
  <c r="HT353" i="5"/>
  <c r="HT355" i="5" s="1"/>
  <c r="HO353" i="5"/>
  <c r="HO355" i="5" s="1"/>
  <c r="HN353" i="5"/>
  <c r="HN355" i="5" s="1"/>
  <c r="N353" i="5"/>
  <c r="HA352" i="5"/>
  <c r="GZ352" i="5"/>
  <c r="GV352" i="5"/>
  <c r="GU352" i="5"/>
  <c r="GP352" i="5"/>
  <c r="GO352" i="5"/>
  <c r="GN352" i="5"/>
  <c r="GL352" i="5"/>
  <c r="GL353" i="5" s="1"/>
  <c r="GE352" i="5"/>
  <c r="EZ352" i="5"/>
  <c r="ES352" i="5"/>
  <c r="CP352" i="5"/>
  <c r="CP354" i="5" s="1"/>
  <c r="CN352" i="5"/>
  <c r="HR353" i="5" s="1"/>
  <c r="HR355" i="5" s="1"/>
  <c r="AS352" i="5"/>
  <c r="O350" i="5"/>
  <c r="M350" i="5"/>
  <c r="GE349" i="5"/>
  <c r="FK349" i="5"/>
  <c r="FL349" i="5" s="1"/>
  <c r="EW349" i="5"/>
  <c r="DE349" i="5"/>
  <c r="O349" i="5"/>
  <c r="A349" i="5"/>
  <c r="HT348" i="5"/>
  <c r="HT350" i="5" s="1"/>
  <c r="HO348" i="5"/>
  <c r="HO350" i="5" s="1"/>
  <c r="HN348" i="5"/>
  <c r="HN350" i="5" s="1"/>
  <c r="N348" i="5"/>
  <c r="CM347" i="5" s="1"/>
  <c r="HA347" i="5"/>
  <c r="GZ347" i="5"/>
  <c r="GV347" i="5"/>
  <c r="GU347" i="5"/>
  <c r="GP347" i="5"/>
  <c r="GO347" i="5"/>
  <c r="GN347" i="5"/>
  <c r="GL347" i="5"/>
  <c r="GL348" i="5" s="1"/>
  <c r="GE347" i="5"/>
  <c r="EZ347" i="5"/>
  <c r="ES347" i="5"/>
  <c r="CP347" i="5"/>
  <c r="CP349" i="5" s="1"/>
  <c r="EY349" i="5" s="1"/>
  <c r="EV349" i="5" s="1"/>
  <c r="CN347" i="5"/>
  <c r="CO349" i="5" s="1"/>
  <c r="AS347" i="5"/>
  <c r="O345" i="5"/>
  <c r="M345" i="5"/>
  <c r="GE344" i="5"/>
  <c r="FK344" i="5"/>
  <c r="FL344" i="5" s="1"/>
  <c r="EW344" i="5"/>
  <c r="DE344" i="5"/>
  <c r="O344" i="5"/>
  <c r="A344" i="5"/>
  <c r="HT343" i="5"/>
  <c r="HT345" i="5" s="1"/>
  <c r="HO343" i="5"/>
  <c r="HO345" i="5" s="1"/>
  <c r="HN343" i="5"/>
  <c r="HN345" i="5" s="1"/>
  <c r="N343" i="5"/>
  <c r="CM342" i="5" s="1"/>
  <c r="HA342" i="5"/>
  <c r="GZ342" i="5"/>
  <c r="GV342" i="5"/>
  <c r="GU342" i="5"/>
  <c r="GP342" i="5"/>
  <c r="GO342" i="5"/>
  <c r="GN342" i="5"/>
  <c r="GL342" i="5"/>
  <c r="GK342" i="5" s="1"/>
  <c r="GE342" i="5"/>
  <c r="EZ342" i="5"/>
  <c r="ES342" i="5"/>
  <c r="CP342" i="5"/>
  <c r="CP344" i="5" s="1"/>
  <c r="CN342" i="5"/>
  <c r="CO344" i="5" s="1"/>
  <c r="AS342" i="5"/>
  <c r="O340" i="5"/>
  <c r="M340" i="5"/>
  <c r="GE339" i="5"/>
  <c r="FK339" i="5"/>
  <c r="FL339" i="5" s="1"/>
  <c r="EW339" i="5"/>
  <c r="DE339" i="5"/>
  <c r="O339" i="5"/>
  <c r="A339" i="5"/>
  <c r="HT338" i="5"/>
  <c r="HT340" i="5" s="1"/>
  <c r="HO338" i="5"/>
  <c r="HO340" i="5" s="1"/>
  <c r="HN338" i="5"/>
  <c r="HN340" i="5" s="1"/>
  <c r="N338" i="5"/>
  <c r="CM337" i="5" s="1"/>
  <c r="HA337" i="5"/>
  <c r="GZ337" i="5"/>
  <c r="GV337" i="5"/>
  <c r="GU337" i="5"/>
  <c r="GP337" i="5"/>
  <c r="GO337" i="5"/>
  <c r="GN337" i="5"/>
  <c r="GL337" i="5"/>
  <c r="GL338" i="5" s="1"/>
  <c r="GE337" i="5"/>
  <c r="EZ337" i="5"/>
  <c r="ES337" i="5"/>
  <c r="CP337" i="5"/>
  <c r="CP339" i="5" s="1"/>
  <c r="CN337" i="5"/>
  <c r="AS337" i="5"/>
  <c r="O335" i="5"/>
  <c r="M335" i="5"/>
  <c r="GE334" i="5"/>
  <c r="FK334" i="5"/>
  <c r="FL334" i="5" s="1"/>
  <c r="EW334" i="5"/>
  <c r="DE334" i="5"/>
  <c r="O334" i="5"/>
  <c r="A334" i="5"/>
  <c r="HT333" i="5"/>
  <c r="HT335" i="5" s="1"/>
  <c r="HO333" i="5"/>
  <c r="HO335" i="5" s="1"/>
  <c r="HN333" i="5"/>
  <c r="HN335" i="5" s="1"/>
  <c r="N333" i="5"/>
  <c r="CM332" i="5" s="1"/>
  <c r="HA332" i="5"/>
  <c r="GZ332" i="5"/>
  <c r="GV332" i="5"/>
  <c r="GU332" i="5"/>
  <c r="GP332" i="5"/>
  <c r="GO332" i="5"/>
  <c r="GN332" i="5"/>
  <c r="GL332" i="5"/>
  <c r="GK332" i="5" s="1"/>
  <c r="GE332" i="5"/>
  <c r="EZ332" i="5"/>
  <c r="ES332" i="5"/>
  <c r="CP332" i="5"/>
  <c r="CP334" i="5" s="1"/>
  <c r="EY334" i="5" s="1"/>
  <c r="EV334" i="5" s="1"/>
  <c r="CN332" i="5"/>
  <c r="FI334" i="5" s="1"/>
  <c r="FJ334" i="5" s="1"/>
  <c r="FP334" i="5" s="1"/>
  <c r="AS332" i="5"/>
  <c r="O330" i="5"/>
  <c r="M330" i="5"/>
  <c r="GE329" i="5"/>
  <c r="FK329" i="5"/>
  <c r="FL329" i="5" s="1"/>
  <c r="DF329" i="5" s="1"/>
  <c r="FR329" i="5" s="1"/>
  <c r="EW329" i="5"/>
  <c r="DE329" i="5"/>
  <c r="O329" i="5"/>
  <c r="A329" i="5"/>
  <c r="HT328" i="5"/>
  <c r="HT330" i="5" s="1"/>
  <c r="HO328" i="5"/>
  <c r="HO330" i="5" s="1"/>
  <c r="HN328" i="5"/>
  <c r="HN330" i="5" s="1"/>
  <c r="N328" i="5"/>
  <c r="CM327" i="5" s="1"/>
  <c r="HA327" i="5"/>
  <c r="GZ327" i="5"/>
  <c r="GV327" i="5"/>
  <c r="GU327" i="5"/>
  <c r="GP327" i="5"/>
  <c r="GO327" i="5"/>
  <c r="GN327" i="5"/>
  <c r="GL327" i="5"/>
  <c r="GL328" i="5" s="1"/>
  <c r="GE327" i="5"/>
  <c r="EZ327" i="5"/>
  <c r="ES327" i="5"/>
  <c r="CP327" i="5"/>
  <c r="CP329" i="5" s="1"/>
  <c r="CN327" i="5"/>
  <c r="CO329" i="5" s="1"/>
  <c r="AS327" i="5"/>
  <c r="O244" i="5"/>
  <c r="M244" i="5"/>
  <c r="GE243" i="5"/>
  <c r="FK243" i="5"/>
  <c r="FL243" i="5" s="1"/>
  <c r="EW243" i="5"/>
  <c r="DE243" i="5"/>
  <c r="O243" i="5"/>
  <c r="A243" i="5"/>
  <c r="HT242" i="5"/>
  <c r="HT244" i="5" s="1"/>
  <c r="HO242" i="5"/>
  <c r="HO244" i="5" s="1"/>
  <c r="HN242" i="5"/>
  <c r="HN244" i="5" s="1"/>
  <c r="N242" i="5"/>
  <c r="CM241" i="5" s="1"/>
  <c r="HA241" i="5"/>
  <c r="GZ241" i="5"/>
  <c r="GV241" i="5"/>
  <c r="GU241" i="5"/>
  <c r="GP241" i="5"/>
  <c r="GO241" i="5"/>
  <c r="GN241" i="5"/>
  <c r="GL241" i="5"/>
  <c r="GK241" i="5" s="1"/>
  <c r="GE241" i="5"/>
  <c r="EZ241" i="5"/>
  <c r="ES241" i="5"/>
  <c r="CP241" i="5"/>
  <c r="CP243" i="5" s="1"/>
  <c r="CN241" i="5"/>
  <c r="AS241" i="5"/>
  <c r="O239" i="5"/>
  <c r="M239" i="5"/>
  <c r="GE238" i="5"/>
  <c r="FK238" i="5"/>
  <c r="FL238" i="5" s="1"/>
  <c r="DF238" i="5" s="1"/>
  <c r="EW238" i="5"/>
  <c r="DE238" i="5"/>
  <c r="O238" i="5"/>
  <c r="A238" i="5"/>
  <c r="HT237" i="5"/>
  <c r="HT239" i="5" s="1"/>
  <c r="HO237" i="5"/>
  <c r="HO239" i="5" s="1"/>
  <c r="HN237" i="5"/>
  <c r="HN239" i="5" s="1"/>
  <c r="N237" i="5"/>
  <c r="HA236" i="5"/>
  <c r="GZ236" i="5"/>
  <c r="GV236" i="5"/>
  <c r="GU236" i="5"/>
  <c r="GP236" i="5"/>
  <c r="GO236" i="5"/>
  <c r="GN236" i="5"/>
  <c r="GL236" i="5"/>
  <c r="GK236" i="5" s="1"/>
  <c r="GE236" i="5"/>
  <c r="EZ236" i="5"/>
  <c r="ES236" i="5"/>
  <c r="CP236" i="5"/>
  <c r="CP238" i="5" s="1"/>
  <c r="EU236" i="5" s="1"/>
  <c r="CN236" i="5"/>
  <c r="CO238" i="5" s="1"/>
  <c r="AS236" i="5"/>
  <c r="O234" i="5"/>
  <c r="M234" i="5"/>
  <c r="GE233" i="5"/>
  <c r="FK233" i="5"/>
  <c r="FL233" i="5" s="1"/>
  <c r="EW233" i="5"/>
  <c r="DE233" i="5"/>
  <c r="O233" i="5"/>
  <c r="A233" i="5"/>
  <c r="HT232" i="5"/>
  <c r="HT234" i="5" s="1"/>
  <c r="HO232" i="5"/>
  <c r="HO234" i="5" s="1"/>
  <c r="HN232" i="5"/>
  <c r="HN234" i="5" s="1"/>
  <c r="N232" i="5"/>
  <c r="CM231" i="5" s="1"/>
  <c r="HA231" i="5"/>
  <c r="GZ231" i="5"/>
  <c r="GV231" i="5"/>
  <c r="GU231" i="5"/>
  <c r="GP231" i="5"/>
  <c r="GO231" i="5"/>
  <c r="GN231" i="5"/>
  <c r="GL231" i="5"/>
  <c r="GL232" i="5" s="1"/>
  <c r="GL234" i="5" s="1"/>
  <c r="GE231" i="5"/>
  <c r="EZ231" i="5"/>
  <c r="ES231" i="5"/>
  <c r="CP231" i="5"/>
  <c r="CP233" i="5" s="1"/>
  <c r="CN231" i="5"/>
  <c r="CO233" i="5" s="1"/>
  <c r="AS231" i="5"/>
  <c r="O229" i="5"/>
  <c r="M229" i="5"/>
  <c r="GE228" i="5"/>
  <c r="FK228" i="5"/>
  <c r="FL228" i="5" s="1"/>
  <c r="DF228" i="5" s="1"/>
  <c r="FR228" i="5" s="1"/>
  <c r="EW228" i="5"/>
  <c r="DE228" i="5"/>
  <c r="O228" i="5"/>
  <c r="A228" i="5"/>
  <c r="HT227" i="5"/>
  <c r="HT229" i="5" s="1"/>
  <c r="HO227" i="5"/>
  <c r="HO229" i="5" s="1"/>
  <c r="HN227" i="5"/>
  <c r="HN229" i="5" s="1"/>
  <c r="N227" i="5"/>
  <c r="HA226" i="5"/>
  <c r="GZ226" i="5"/>
  <c r="GV226" i="5"/>
  <c r="GU226" i="5"/>
  <c r="GP226" i="5"/>
  <c r="GO226" i="5"/>
  <c r="GN226" i="5"/>
  <c r="GL226" i="5"/>
  <c r="GK226" i="5" s="1"/>
  <c r="GE226" i="5"/>
  <c r="EZ226" i="5"/>
  <c r="ES226" i="5"/>
  <c r="CP226" i="5"/>
  <c r="CP228" i="5" s="1"/>
  <c r="EY228" i="5" s="1"/>
  <c r="EV228" i="5" s="1"/>
  <c r="CN226" i="5"/>
  <c r="FI226" i="5" s="1"/>
  <c r="FJ226" i="5" s="1"/>
  <c r="FP226" i="5" s="1"/>
  <c r="AS226" i="5"/>
  <c r="O224" i="5"/>
  <c r="M224" i="5"/>
  <c r="GE223" i="5"/>
  <c r="FK223" i="5"/>
  <c r="FL223" i="5" s="1"/>
  <c r="EW223" i="5"/>
  <c r="DE223" i="5"/>
  <c r="O223" i="5"/>
  <c r="A223" i="5"/>
  <c r="HT222" i="5"/>
  <c r="HT224" i="5" s="1"/>
  <c r="HO222" i="5"/>
  <c r="HO224" i="5" s="1"/>
  <c r="HN222" i="5"/>
  <c r="HN224" i="5" s="1"/>
  <c r="N222" i="5"/>
  <c r="CM221" i="5" s="1"/>
  <c r="HA221" i="5"/>
  <c r="GZ221" i="5"/>
  <c r="GV221" i="5"/>
  <c r="GU221" i="5"/>
  <c r="GP221" i="5"/>
  <c r="GO221" i="5"/>
  <c r="GN221" i="5"/>
  <c r="GL221" i="5"/>
  <c r="GL222" i="5" s="1"/>
  <c r="GL224" i="5" s="1"/>
  <c r="GE221" i="5"/>
  <c r="EZ221" i="5"/>
  <c r="ES221" i="5"/>
  <c r="CP221" i="5"/>
  <c r="CP223" i="5" s="1"/>
  <c r="CN221" i="5"/>
  <c r="HR222" i="5" s="1"/>
  <c r="HR224" i="5" s="1"/>
  <c r="AS221" i="5"/>
  <c r="O219" i="5"/>
  <c r="M219" i="5"/>
  <c r="GE218" i="5"/>
  <c r="FK218" i="5"/>
  <c r="FL218" i="5" s="1"/>
  <c r="EW218" i="5"/>
  <c r="DE218" i="5"/>
  <c r="O218" i="5"/>
  <c r="A218" i="5"/>
  <c r="HT217" i="5"/>
  <c r="HT219" i="5" s="1"/>
  <c r="HO217" i="5"/>
  <c r="HO219" i="5" s="1"/>
  <c r="HN217" i="5"/>
  <c r="HN219" i="5" s="1"/>
  <c r="N217" i="5"/>
  <c r="CM216" i="5" s="1"/>
  <c r="HA216" i="5"/>
  <c r="GZ216" i="5"/>
  <c r="GV216" i="5"/>
  <c r="GU216" i="5"/>
  <c r="GP216" i="5"/>
  <c r="GO216" i="5"/>
  <c r="GN216" i="5"/>
  <c r="GL216" i="5"/>
  <c r="GK216" i="5" s="1"/>
  <c r="GE216" i="5"/>
  <c r="EZ216" i="5"/>
  <c r="ES216" i="5"/>
  <c r="CP216" i="5"/>
  <c r="CP218" i="5" s="1"/>
  <c r="CN216" i="5"/>
  <c r="CO218" i="5" s="1"/>
  <c r="AS216" i="5"/>
  <c r="O214" i="5"/>
  <c r="M214" i="5"/>
  <c r="GE213" i="5"/>
  <c r="FK213" i="5"/>
  <c r="FL213" i="5" s="1"/>
  <c r="EW213" i="5"/>
  <c r="DE213" i="5"/>
  <c r="O213" i="5"/>
  <c r="A213" i="5"/>
  <c r="HT212" i="5"/>
  <c r="HT214" i="5" s="1"/>
  <c r="HO212" i="5"/>
  <c r="HO214" i="5" s="1"/>
  <c r="HN212" i="5"/>
  <c r="HN214" i="5" s="1"/>
  <c r="N212" i="5"/>
  <c r="CM211" i="5" s="1"/>
  <c r="HA211" i="5"/>
  <c r="GZ211" i="5"/>
  <c r="GV211" i="5"/>
  <c r="GU211" i="5"/>
  <c r="GP211" i="5"/>
  <c r="GO211" i="5"/>
  <c r="GN211" i="5"/>
  <c r="GL211" i="5"/>
  <c r="GL212" i="5" s="1"/>
  <c r="GL214" i="5" s="1"/>
  <c r="GE211" i="5"/>
  <c r="EZ211" i="5"/>
  <c r="ES211" i="5"/>
  <c r="CP211" i="5"/>
  <c r="CP213" i="5" s="1"/>
  <c r="EY211" i="5" s="1"/>
  <c r="CN211" i="5"/>
  <c r="GR211" i="5" s="1"/>
  <c r="AS211" i="5"/>
  <c r="O209" i="5"/>
  <c r="M209" i="5"/>
  <c r="GE208" i="5"/>
  <c r="FK208" i="5"/>
  <c r="FL208" i="5" s="1"/>
  <c r="DF208" i="5" s="1"/>
  <c r="FR208" i="5" s="1"/>
  <c r="EW208" i="5"/>
  <c r="DE208" i="5"/>
  <c r="O208" i="5"/>
  <c r="A208" i="5"/>
  <c r="HT207" i="5"/>
  <c r="HT209" i="5" s="1"/>
  <c r="HO207" i="5"/>
  <c r="HO209" i="5" s="1"/>
  <c r="HN207" i="5"/>
  <c r="HN209" i="5" s="1"/>
  <c r="N207" i="5"/>
  <c r="CM206" i="5" s="1"/>
  <c r="HA206" i="5"/>
  <c r="GZ206" i="5"/>
  <c r="GV206" i="5"/>
  <c r="GU206" i="5"/>
  <c r="GP206" i="5"/>
  <c r="GO206" i="5"/>
  <c r="GN206" i="5"/>
  <c r="GL206" i="5"/>
  <c r="GL207" i="5" s="1"/>
  <c r="GL209" i="5" s="1"/>
  <c r="GE206" i="5"/>
  <c r="EZ206" i="5"/>
  <c r="ES206" i="5"/>
  <c r="CP206" i="5"/>
  <c r="CP208" i="5" s="1"/>
  <c r="EU206" i="5" s="1"/>
  <c r="EX208" i="5" s="1"/>
  <c r="CN206" i="5"/>
  <c r="FB208" i="5" s="1"/>
  <c r="AS206" i="5"/>
  <c r="O204" i="5"/>
  <c r="M204" i="5"/>
  <c r="GE203" i="5"/>
  <c r="FK203" i="5"/>
  <c r="FL203" i="5" s="1"/>
  <c r="EW203" i="5"/>
  <c r="DE203" i="5"/>
  <c r="O203" i="5"/>
  <c r="A203" i="5"/>
  <c r="HT202" i="5"/>
  <c r="HT204" i="5" s="1"/>
  <c r="HO202" i="5"/>
  <c r="HO204" i="5" s="1"/>
  <c r="HN202" i="5"/>
  <c r="HN204" i="5" s="1"/>
  <c r="N202" i="5"/>
  <c r="HA201" i="5"/>
  <c r="GZ201" i="5"/>
  <c r="GV201" i="5"/>
  <c r="GU201" i="5"/>
  <c r="GP201" i="5"/>
  <c r="GO201" i="5"/>
  <c r="GN201" i="5"/>
  <c r="GL201" i="5"/>
  <c r="GL202" i="5" s="1"/>
  <c r="GE201" i="5"/>
  <c r="EZ201" i="5"/>
  <c r="ES201" i="5"/>
  <c r="CP201" i="5"/>
  <c r="CP203" i="5" s="1"/>
  <c r="CN201" i="5"/>
  <c r="AS201" i="5"/>
  <c r="O199" i="5"/>
  <c r="M199" i="5"/>
  <c r="GE198" i="5"/>
  <c r="FK198" i="5"/>
  <c r="FL198" i="5" s="1"/>
  <c r="EW198" i="5"/>
  <c r="DE198" i="5"/>
  <c r="O198" i="5"/>
  <c r="A198" i="5"/>
  <c r="HT197" i="5"/>
  <c r="HT199" i="5" s="1"/>
  <c r="HO197" i="5"/>
  <c r="HO199" i="5" s="1"/>
  <c r="HN197" i="5"/>
  <c r="HN199" i="5" s="1"/>
  <c r="N197" i="5"/>
  <c r="CM196" i="5" s="1"/>
  <c r="HA196" i="5"/>
  <c r="GZ196" i="5"/>
  <c r="GV196" i="5"/>
  <c r="GU196" i="5"/>
  <c r="GP196" i="5"/>
  <c r="GO196" i="5"/>
  <c r="GN196" i="5"/>
  <c r="GL196" i="5"/>
  <c r="GK196" i="5" s="1"/>
  <c r="GE196" i="5"/>
  <c r="EZ196" i="5"/>
  <c r="ES196" i="5"/>
  <c r="CP196" i="5"/>
  <c r="CP198" i="5" s="1"/>
  <c r="CN196" i="5"/>
  <c r="AS196" i="5"/>
  <c r="O194" i="5"/>
  <c r="M194" i="5"/>
  <c r="GE193" i="5"/>
  <c r="FK193" i="5"/>
  <c r="FL193" i="5" s="1"/>
  <c r="DF193" i="5" s="1"/>
  <c r="FR193" i="5" s="1"/>
  <c r="EW193" i="5"/>
  <c r="DE193" i="5"/>
  <c r="O193" i="5"/>
  <c r="A193" i="5"/>
  <c r="HT192" i="5"/>
  <c r="HT194" i="5" s="1"/>
  <c r="HO192" i="5"/>
  <c r="HO194" i="5" s="1"/>
  <c r="HN192" i="5"/>
  <c r="HN194" i="5" s="1"/>
  <c r="N192" i="5"/>
  <c r="CM191" i="5" s="1"/>
  <c r="HA191" i="5"/>
  <c r="GZ191" i="5"/>
  <c r="GV191" i="5"/>
  <c r="GU191" i="5"/>
  <c r="GP191" i="5"/>
  <c r="GO191" i="5"/>
  <c r="GN191" i="5"/>
  <c r="GL191" i="5"/>
  <c r="GE191" i="5"/>
  <c r="EZ191" i="5"/>
  <c r="ES191" i="5"/>
  <c r="CP191" i="5"/>
  <c r="CN191" i="5"/>
  <c r="HR192" i="5" s="1"/>
  <c r="HR194" i="5" s="1"/>
  <c r="AS191" i="5"/>
  <c r="O189" i="5"/>
  <c r="M189" i="5"/>
  <c r="GE188" i="5"/>
  <c r="FK188" i="5"/>
  <c r="FL188" i="5" s="1"/>
  <c r="DF188" i="5" s="1"/>
  <c r="AJ188" i="5" s="1"/>
  <c r="EW188" i="5"/>
  <c r="DE188" i="5"/>
  <c r="O188" i="5"/>
  <c r="A188" i="5"/>
  <c r="HT187" i="5"/>
  <c r="HT189" i="5" s="1"/>
  <c r="HO187" i="5"/>
  <c r="HO189" i="5" s="1"/>
  <c r="HN187" i="5"/>
  <c r="HN189" i="5" s="1"/>
  <c r="N187" i="5"/>
  <c r="CM186" i="5" s="1"/>
  <c r="HA186" i="5"/>
  <c r="GZ186" i="5"/>
  <c r="GV186" i="5"/>
  <c r="GU186" i="5"/>
  <c r="GP186" i="5"/>
  <c r="GO186" i="5"/>
  <c r="GN186" i="5"/>
  <c r="GL186" i="5"/>
  <c r="GE186" i="5"/>
  <c r="EZ186" i="5"/>
  <c r="ES186" i="5"/>
  <c r="CP186" i="5"/>
  <c r="CP188" i="5" s="1"/>
  <c r="EY186" i="5" s="1"/>
  <c r="CN186" i="5"/>
  <c r="HR187" i="5" s="1"/>
  <c r="HR189" i="5" s="1"/>
  <c r="AS186" i="5"/>
  <c r="O184" i="5"/>
  <c r="M184" i="5"/>
  <c r="GE183" i="5"/>
  <c r="FK183" i="5"/>
  <c r="FL183" i="5" s="1"/>
  <c r="EW183" i="5"/>
  <c r="DE183" i="5"/>
  <c r="O183" i="5"/>
  <c r="A183" i="5"/>
  <c r="HT182" i="5"/>
  <c r="HT184" i="5" s="1"/>
  <c r="HO182" i="5"/>
  <c r="HO184" i="5" s="1"/>
  <c r="HN182" i="5"/>
  <c r="HN184" i="5" s="1"/>
  <c r="N182" i="5"/>
  <c r="HA181" i="5"/>
  <c r="GZ181" i="5"/>
  <c r="GV181" i="5"/>
  <c r="GU181" i="5"/>
  <c r="GP181" i="5"/>
  <c r="GO181" i="5"/>
  <c r="GN181" i="5"/>
  <c r="GL181" i="5"/>
  <c r="GK181" i="5" s="1"/>
  <c r="GE181" i="5"/>
  <c r="EZ181" i="5"/>
  <c r="ES181" i="5"/>
  <c r="CP181" i="5"/>
  <c r="CP183" i="5" s="1"/>
  <c r="CN181" i="5"/>
  <c r="FI183" i="5" s="1"/>
  <c r="FJ183" i="5" s="1"/>
  <c r="FP183" i="5" s="1"/>
  <c r="AS181" i="5"/>
  <c r="O179" i="5"/>
  <c r="M179" i="5"/>
  <c r="GE178" i="5"/>
  <c r="FK178" i="5"/>
  <c r="FL178" i="5" s="1"/>
  <c r="EW178" i="5"/>
  <c r="DE178" i="5"/>
  <c r="O178" i="5"/>
  <c r="A178" i="5"/>
  <c r="HT177" i="5"/>
  <c r="HT179" i="5" s="1"/>
  <c r="HO177" i="5"/>
  <c r="HO179" i="5" s="1"/>
  <c r="HN177" i="5"/>
  <c r="HN179" i="5" s="1"/>
  <c r="N177" i="5"/>
  <c r="CM176" i="5" s="1"/>
  <c r="HA176" i="5"/>
  <c r="GZ176" i="5"/>
  <c r="GV176" i="5"/>
  <c r="GU176" i="5"/>
  <c r="GP176" i="5"/>
  <c r="GO176" i="5"/>
  <c r="GN176" i="5"/>
  <c r="GL176" i="5"/>
  <c r="GK176" i="5" s="1"/>
  <c r="GE176" i="5"/>
  <c r="EZ176" i="5"/>
  <c r="ES176" i="5"/>
  <c r="CP176" i="5"/>
  <c r="CP178" i="5" s="1"/>
  <c r="EU178" i="5" s="1"/>
  <c r="CN176" i="5"/>
  <c r="FI178" i="5" s="1"/>
  <c r="FJ178" i="5" s="1"/>
  <c r="FP178" i="5" s="1"/>
  <c r="AS176" i="5"/>
  <c r="O174" i="5"/>
  <c r="M174" i="5"/>
  <c r="GE173" i="5"/>
  <c r="FK173" i="5"/>
  <c r="FL173" i="5" s="1"/>
  <c r="DF173" i="5" s="1"/>
  <c r="FR173" i="5" s="1"/>
  <c r="EW173" i="5"/>
  <c r="DE173" i="5"/>
  <c r="O173" i="5"/>
  <c r="A173" i="5"/>
  <c r="HT172" i="5"/>
  <c r="HT174" i="5" s="1"/>
  <c r="HO172" i="5"/>
  <c r="HO174" i="5" s="1"/>
  <c r="HN172" i="5"/>
  <c r="HN174" i="5" s="1"/>
  <c r="N172" i="5"/>
  <c r="HA171" i="5"/>
  <c r="GZ171" i="5"/>
  <c r="GV171" i="5"/>
  <c r="GU171" i="5"/>
  <c r="GP171" i="5"/>
  <c r="GO171" i="5"/>
  <c r="GN171" i="5"/>
  <c r="GL171" i="5"/>
  <c r="GL172" i="5" s="1"/>
  <c r="GL174" i="5" s="1"/>
  <c r="GE171" i="5"/>
  <c r="EZ171" i="5"/>
  <c r="ES171" i="5"/>
  <c r="CP171" i="5"/>
  <c r="CN171" i="5"/>
  <c r="FI173" i="5" s="1"/>
  <c r="FJ173" i="5" s="1"/>
  <c r="FP173" i="5" s="1"/>
  <c r="AS171" i="5"/>
  <c r="ES324" i="5"/>
  <c r="O322" i="5"/>
  <c r="M322" i="5"/>
  <c r="GE321" i="5"/>
  <c r="FK321" i="5"/>
  <c r="FL321" i="5" s="1"/>
  <c r="DF321" i="5" s="1"/>
  <c r="AJ321" i="5" s="1"/>
  <c r="EW321" i="5"/>
  <c r="DE321" i="5"/>
  <c r="O321" i="5"/>
  <c r="A321" i="5"/>
  <c r="HT320" i="5"/>
  <c r="HT322" i="5" s="1"/>
  <c r="HO320" i="5"/>
  <c r="HO322" i="5" s="1"/>
  <c r="HN320" i="5"/>
  <c r="HN322" i="5" s="1"/>
  <c r="N320" i="5"/>
  <c r="CM319" i="5" s="1"/>
  <c r="HA319" i="5"/>
  <c r="GZ319" i="5"/>
  <c r="GV319" i="5"/>
  <c r="GU319" i="5"/>
  <c r="GP319" i="5"/>
  <c r="GO319" i="5"/>
  <c r="GN319" i="5"/>
  <c r="GL319" i="5"/>
  <c r="GE319" i="5"/>
  <c r="EZ319" i="5"/>
  <c r="ES319" i="5"/>
  <c r="CP319" i="5"/>
  <c r="CP321" i="5" s="1"/>
  <c r="EU321" i="5" s="1"/>
  <c r="CN319" i="5"/>
  <c r="HR320" i="5" s="1"/>
  <c r="HR322" i="5" s="1"/>
  <c r="AS319" i="5"/>
  <c r="O317" i="5"/>
  <c r="M317" i="5"/>
  <c r="GE316" i="5"/>
  <c r="FK316" i="5"/>
  <c r="FL316" i="5" s="1"/>
  <c r="EW316" i="5"/>
  <c r="DE316" i="5"/>
  <c r="O316" i="5"/>
  <c r="A316" i="5"/>
  <c r="HT315" i="5"/>
  <c r="HT317" i="5" s="1"/>
  <c r="HO315" i="5"/>
  <c r="HO317" i="5" s="1"/>
  <c r="HN315" i="5"/>
  <c r="HN317" i="5" s="1"/>
  <c r="N315" i="5"/>
  <c r="HA314" i="5"/>
  <c r="GZ314" i="5"/>
  <c r="GV314" i="5"/>
  <c r="GU314" i="5"/>
  <c r="GP314" i="5"/>
  <c r="GO314" i="5"/>
  <c r="GN314" i="5"/>
  <c r="GL314" i="5"/>
  <c r="GK314" i="5" s="1"/>
  <c r="GE314" i="5"/>
  <c r="EZ314" i="5"/>
  <c r="ES314" i="5"/>
  <c r="CP314" i="5"/>
  <c r="CP316" i="5" s="1"/>
  <c r="CN314" i="5"/>
  <c r="FI314" i="5" s="1"/>
  <c r="FJ314" i="5" s="1"/>
  <c r="FP314" i="5" s="1"/>
  <c r="AS314" i="5"/>
  <c r="O312" i="5"/>
  <c r="M312" i="5"/>
  <c r="GE311" i="5"/>
  <c r="FK311" i="5"/>
  <c r="FL311" i="5" s="1"/>
  <c r="DF311" i="5" s="1"/>
  <c r="AJ311" i="5" s="1"/>
  <c r="EW311" i="5"/>
  <c r="DE311" i="5"/>
  <c r="O311" i="5"/>
  <c r="A311" i="5"/>
  <c r="HT310" i="5"/>
  <c r="HT312" i="5" s="1"/>
  <c r="HO310" i="5"/>
  <c r="HO312" i="5" s="1"/>
  <c r="HN310" i="5"/>
  <c r="HN312" i="5" s="1"/>
  <c r="N310" i="5"/>
  <c r="CM309" i="5" s="1"/>
  <c r="HA309" i="5"/>
  <c r="GZ309" i="5"/>
  <c r="GV309" i="5"/>
  <c r="GU309" i="5"/>
  <c r="GP309" i="5"/>
  <c r="GO309" i="5"/>
  <c r="GN309" i="5"/>
  <c r="GL309" i="5"/>
  <c r="GK309" i="5" s="1"/>
  <c r="GE309" i="5"/>
  <c r="EZ309" i="5"/>
  <c r="ES309" i="5"/>
  <c r="CP309" i="5"/>
  <c r="CN309" i="5"/>
  <c r="FB311" i="5" s="1"/>
  <c r="AS309" i="5"/>
  <c r="O307" i="5"/>
  <c r="M307" i="5"/>
  <c r="GE306" i="5"/>
  <c r="FK306" i="5"/>
  <c r="FL306" i="5" s="1"/>
  <c r="DF306" i="5" s="1"/>
  <c r="FR306" i="5" s="1"/>
  <c r="EW306" i="5"/>
  <c r="DE306" i="5"/>
  <c r="O306" i="5"/>
  <c r="A306" i="5"/>
  <c r="HT305" i="5"/>
  <c r="HT307" i="5" s="1"/>
  <c r="HO305" i="5"/>
  <c r="HO307" i="5" s="1"/>
  <c r="HN305" i="5"/>
  <c r="HN307" i="5" s="1"/>
  <c r="N305" i="5"/>
  <c r="CM304" i="5" s="1"/>
  <c r="HA304" i="5"/>
  <c r="GZ304" i="5"/>
  <c r="GV304" i="5"/>
  <c r="GU304" i="5"/>
  <c r="GP304" i="5"/>
  <c r="GO304" i="5"/>
  <c r="GN304" i="5"/>
  <c r="GL304" i="5"/>
  <c r="GK304" i="5" s="1"/>
  <c r="GE304" i="5"/>
  <c r="EZ304" i="5"/>
  <c r="ES304" i="5"/>
  <c r="CP304" i="5"/>
  <c r="CP306" i="5" s="1"/>
  <c r="CN304" i="5"/>
  <c r="FI304" i="5" s="1"/>
  <c r="FJ304" i="5" s="1"/>
  <c r="FP304" i="5" s="1"/>
  <c r="AS304" i="5"/>
  <c r="O302" i="5"/>
  <c r="M302" i="5"/>
  <c r="GE301" i="5"/>
  <c r="FK301" i="5"/>
  <c r="FL301" i="5" s="1"/>
  <c r="EW301" i="5"/>
  <c r="DE301" i="5"/>
  <c r="O301" i="5"/>
  <c r="A301" i="5"/>
  <c r="HT300" i="5"/>
  <c r="HT302" i="5" s="1"/>
  <c r="HO300" i="5"/>
  <c r="HO302" i="5" s="1"/>
  <c r="HN300" i="5"/>
  <c r="HN302" i="5" s="1"/>
  <c r="N300" i="5"/>
  <c r="HA299" i="5"/>
  <c r="GZ299" i="5"/>
  <c r="GV299" i="5"/>
  <c r="GU299" i="5"/>
  <c r="GP299" i="5"/>
  <c r="GO299" i="5"/>
  <c r="GN299" i="5"/>
  <c r="GL299" i="5"/>
  <c r="GL300" i="5" s="1"/>
  <c r="GE299" i="5"/>
  <c r="EZ299" i="5"/>
  <c r="ES299" i="5"/>
  <c r="CP299" i="5"/>
  <c r="CP301" i="5" s="1"/>
  <c r="CN299" i="5"/>
  <c r="HR300" i="5" s="1"/>
  <c r="HR302" i="5" s="1"/>
  <c r="AS299" i="5"/>
  <c r="O297" i="5"/>
  <c r="M297" i="5"/>
  <c r="GE296" i="5"/>
  <c r="FK296" i="5"/>
  <c r="FL296" i="5" s="1"/>
  <c r="DF296" i="5" s="1"/>
  <c r="AJ296" i="5" s="1"/>
  <c r="EW296" i="5"/>
  <c r="DE296" i="5"/>
  <c r="O296" i="5"/>
  <c r="A296" i="5"/>
  <c r="HT295" i="5"/>
  <c r="HT297" i="5" s="1"/>
  <c r="HO295" i="5"/>
  <c r="HO297" i="5" s="1"/>
  <c r="HN295" i="5"/>
  <c r="HN297" i="5" s="1"/>
  <c r="N295" i="5"/>
  <c r="CM294" i="5" s="1"/>
  <c r="HA294" i="5"/>
  <c r="GZ294" i="5"/>
  <c r="GV294" i="5"/>
  <c r="GU294" i="5"/>
  <c r="GP294" i="5"/>
  <c r="GO294" i="5"/>
  <c r="GN294" i="5"/>
  <c r="GL294" i="5"/>
  <c r="GE294" i="5"/>
  <c r="EZ294" i="5"/>
  <c r="ES294" i="5"/>
  <c r="CP294" i="5"/>
  <c r="CN294" i="5"/>
  <c r="AS294" i="5"/>
  <c r="O292" i="5"/>
  <c r="M292" i="5"/>
  <c r="GE291" i="5"/>
  <c r="FK291" i="5"/>
  <c r="FL291" i="5" s="1"/>
  <c r="EW291" i="5"/>
  <c r="DE291" i="5"/>
  <c r="O291" i="5"/>
  <c r="A291" i="5"/>
  <c r="HT290" i="5"/>
  <c r="HT292" i="5" s="1"/>
  <c r="HO290" i="5"/>
  <c r="HO292" i="5" s="1"/>
  <c r="HN290" i="5"/>
  <c r="HN292" i="5" s="1"/>
  <c r="N290" i="5"/>
  <c r="CM289" i="5" s="1"/>
  <c r="HA289" i="5"/>
  <c r="GZ289" i="5"/>
  <c r="GV289" i="5"/>
  <c r="GU289" i="5"/>
  <c r="GP289" i="5"/>
  <c r="GO289" i="5"/>
  <c r="GN289" i="5"/>
  <c r="GL289" i="5"/>
  <c r="GK289" i="5" s="1"/>
  <c r="GE289" i="5"/>
  <c r="EZ289" i="5"/>
  <c r="ES289" i="5"/>
  <c r="CP289" i="5"/>
  <c r="CP291" i="5" s="1"/>
  <c r="EU289" i="5" s="1"/>
  <c r="CN289" i="5"/>
  <c r="AS289" i="5"/>
  <c r="O287" i="5"/>
  <c r="M287" i="5"/>
  <c r="GE286" i="5"/>
  <c r="FK286" i="5"/>
  <c r="FL286" i="5" s="1"/>
  <c r="EW286" i="5"/>
  <c r="DE286" i="5"/>
  <c r="O286" i="5"/>
  <c r="A286" i="5"/>
  <c r="HT285" i="5"/>
  <c r="HT287" i="5" s="1"/>
  <c r="HO285" i="5"/>
  <c r="HO287" i="5" s="1"/>
  <c r="HN285" i="5"/>
  <c r="HN287" i="5" s="1"/>
  <c r="N285" i="5"/>
  <c r="CM284" i="5" s="1"/>
  <c r="HA284" i="5"/>
  <c r="GZ284" i="5"/>
  <c r="GV284" i="5"/>
  <c r="GU284" i="5"/>
  <c r="GP284" i="5"/>
  <c r="GO284" i="5"/>
  <c r="GN284" i="5"/>
  <c r="GL284" i="5"/>
  <c r="GL285" i="5" s="1"/>
  <c r="GL287" i="5" s="1"/>
  <c r="GE284" i="5"/>
  <c r="EZ284" i="5"/>
  <c r="ES284" i="5"/>
  <c r="CP284" i="5"/>
  <c r="CP286" i="5" s="1"/>
  <c r="CN284" i="5"/>
  <c r="AS284" i="5"/>
  <c r="O282" i="5"/>
  <c r="M282" i="5"/>
  <c r="GE281" i="5"/>
  <c r="FK281" i="5"/>
  <c r="FL281" i="5" s="1"/>
  <c r="EW281" i="5"/>
  <c r="DE281" i="5"/>
  <c r="O281" i="5"/>
  <c r="A281" i="5"/>
  <c r="HT280" i="5"/>
  <c r="HT282" i="5" s="1"/>
  <c r="HO280" i="5"/>
  <c r="HO282" i="5" s="1"/>
  <c r="HN280" i="5"/>
  <c r="HN282" i="5" s="1"/>
  <c r="N280" i="5"/>
  <c r="CM279" i="5" s="1"/>
  <c r="HA279" i="5"/>
  <c r="GZ279" i="5"/>
  <c r="GV279" i="5"/>
  <c r="GU279" i="5"/>
  <c r="GP279" i="5"/>
  <c r="GO279" i="5"/>
  <c r="GN279" i="5"/>
  <c r="GL279" i="5"/>
  <c r="GL280" i="5" s="1"/>
  <c r="GE279" i="5"/>
  <c r="EZ279" i="5"/>
  <c r="ES279" i="5"/>
  <c r="CP279" i="5"/>
  <c r="CP281" i="5" s="1"/>
  <c r="CN279" i="5"/>
  <c r="FI281" i="5" s="1"/>
  <c r="FJ281" i="5" s="1"/>
  <c r="FP281" i="5" s="1"/>
  <c r="AS279" i="5"/>
  <c r="O277" i="5"/>
  <c r="M277" i="5"/>
  <c r="GE276" i="5"/>
  <c r="FK276" i="5"/>
  <c r="FL276" i="5" s="1"/>
  <c r="DF276" i="5" s="1"/>
  <c r="EW276" i="5"/>
  <c r="DE276" i="5"/>
  <c r="O276" i="5"/>
  <c r="A276" i="5"/>
  <c r="HT275" i="5"/>
  <c r="HT277" i="5" s="1"/>
  <c r="HO275" i="5"/>
  <c r="HO277" i="5" s="1"/>
  <c r="HN275" i="5"/>
  <c r="HN277" i="5" s="1"/>
  <c r="N275" i="5"/>
  <c r="HA274" i="5"/>
  <c r="GZ274" i="5"/>
  <c r="GV274" i="5"/>
  <c r="GU274" i="5"/>
  <c r="GP274" i="5"/>
  <c r="GO274" i="5"/>
  <c r="GN274" i="5"/>
  <c r="GL274" i="5"/>
  <c r="GL275" i="5" s="1"/>
  <c r="GE274" i="5"/>
  <c r="EZ274" i="5"/>
  <c r="ES274" i="5"/>
  <c r="CP274" i="5"/>
  <c r="CP276" i="5" s="1"/>
  <c r="CN274" i="5"/>
  <c r="AS274" i="5"/>
  <c r="O272" i="5"/>
  <c r="M272" i="5"/>
  <c r="GE271" i="5"/>
  <c r="FK271" i="5"/>
  <c r="FL271" i="5" s="1"/>
  <c r="EW271" i="5"/>
  <c r="DE271" i="5"/>
  <c r="O271" i="5"/>
  <c r="A271" i="5"/>
  <c r="HT270" i="5"/>
  <c r="HT272" i="5" s="1"/>
  <c r="HO270" i="5"/>
  <c r="HO272" i="5" s="1"/>
  <c r="HN270" i="5"/>
  <c r="HN272" i="5" s="1"/>
  <c r="N270" i="5"/>
  <c r="CM269" i="5" s="1"/>
  <c r="HA269" i="5"/>
  <c r="GZ269" i="5"/>
  <c r="GV269" i="5"/>
  <c r="GU269" i="5"/>
  <c r="GP269" i="5"/>
  <c r="GO269" i="5"/>
  <c r="GN269" i="5"/>
  <c r="GL269" i="5"/>
  <c r="GK269" i="5" s="1"/>
  <c r="GE269" i="5"/>
  <c r="EZ269" i="5"/>
  <c r="ES269" i="5"/>
  <c r="CP269" i="5"/>
  <c r="CP271" i="5" s="1"/>
  <c r="CN269" i="5"/>
  <c r="FI271" i="5" s="1"/>
  <c r="FJ271" i="5" s="1"/>
  <c r="FP271" i="5" s="1"/>
  <c r="AS269" i="5"/>
  <c r="O267" i="5"/>
  <c r="M267" i="5"/>
  <c r="GE266" i="5"/>
  <c r="FK266" i="5"/>
  <c r="FL266" i="5" s="1"/>
  <c r="EW266" i="5"/>
  <c r="DE266" i="5"/>
  <c r="O266" i="5"/>
  <c r="A266" i="5"/>
  <c r="HT265" i="5"/>
  <c r="HT267" i="5" s="1"/>
  <c r="HO265" i="5"/>
  <c r="HO267" i="5" s="1"/>
  <c r="HN265" i="5"/>
  <c r="HN267" i="5" s="1"/>
  <c r="N265" i="5"/>
  <c r="HA264" i="5"/>
  <c r="GZ264" i="5"/>
  <c r="GV264" i="5"/>
  <c r="GU264" i="5"/>
  <c r="GP264" i="5"/>
  <c r="GO264" i="5"/>
  <c r="GN264" i="5"/>
  <c r="GL264" i="5"/>
  <c r="GL265" i="5" s="1"/>
  <c r="GE264" i="5"/>
  <c r="EZ264" i="5"/>
  <c r="ES264" i="5"/>
  <c r="CP264" i="5"/>
  <c r="CP266" i="5" s="1"/>
  <c r="CN264" i="5"/>
  <c r="FI266" i="5" s="1"/>
  <c r="FJ266" i="5" s="1"/>
  <c r="FP266" i="5" s="1"/>
  <c r="AS264" i="5"/>
  <c r="O262" i="5"/>
  <c r="M262" i="5"/>
  <c r="GE261" i="5"/>
  <c r="FK261" i="5"/>
  <c r="FL261" i="5" s="1"/>
  <c r="DF261" i="5" s="1"/>
  <c r="EW261" i="5"/>
  <c r="DE261" i="5"/>
  <c r="O261" i="5"/>
  <c r="A261" i="5"/>
  <c r="HT260" i="5"/>
  <c r="HT262" i="5" s="1"/>
  <c r="HO260" i="5"/>
  <c r="HO262" i="5" s="1"/>
  <c r="HN260" i="5"/>
  <c r="HN262" i="5" s="1"/>
  <c r="N260" i="5"/>
  <c r="HA259" i="5"/>
  <c r="GZ259" i="5"/>
  <c r="GV259" i="5"/>
  <c r="GU259" i="5"/>
  <c r="GP259" i="5"/>
  <c r="GO259" i="5"/>
  <c r="GN259" i="5"/>
  <c r="GL259" i="5"/>
  <c r="GK259" i="5" s="1"/>
  <c r="GE259" i="5"/>
  <c r="EZ259" i="5"/>
  <c r="ES259" i="5"/>
  <c r="CP259" i="5"/>
  <c r="CP261" i="5" s="1"/>
  <c r="CN259" i="5"/>
  <c r="FB261" i="5" s="1"/>
  <c r="AS259" i="5"/>
  <c r="O257" i="5"/>
  <c r="M257" i="5"/>
  <c r="GE256" i="5"/>
  <c r="FK256" i="5"/>
  <c r="FL256" i="5" s="1"/>
  <c r="EW256" i="5"/>
  <c r="DE256" i="5"/>
  <c r="O256" i="5"/>
  <c r="A256" i="5"/>
  <c r="HT255" i="5"/>
  <c r="HT257" i="5" s="1"/>
  <c r="HO255" i="5"/>
  <c r="HO257" i="5" s="1"/>
  <c r="HN255" i="5"/>
  <c r="HN257" i="5" s="1"/>
  <c r="N255" i="5"/>
  <c r="CM254" i="5" s="1"/>
  <c r="HA254" i="5"/>
  <c r="GZ254" i="5"/>
  <c r="GV254" i="5"/>
  <c r="GU254" i="5"/>
  <c r="GP254" i="5"/>
  <c r="GO254" i="5"/>
  <c r="GN254" i="5"/>
  <c r="GL254" i="5"/>
  <c r="GL255" i="5" s="1"/>
  <c r="GE254" i="5"/>
  <c r="EZ254" i="5"/>
  <c r="ES254" i="5"/>
  <c r="CP254" i="5"/>
  <c r="CP256" i="5" s="1"/>
  <c r="CN254" i="5"/>
  <c r="HR255" i="5" s="1"/>
  <c r="HR257" i="5" s="1"/>
  <c r="AS254" i="5"/>
  <c r="O252" i="5"/>
  <c r="M252" i="5"/>
  <c r="GE251" i="5"/>
  <c r="FK251" i="5"/>
  <c r="FL251" i="5" s="1"/>
  <c r="DF251" i="5" s="1"/>
  <c r="FR251" i="5" s="1"/>
  <c r="EW251" i="5"/>
  <c r="DE251" i="5"/>
  <c r="O251" i="5"/>
  <c r="A251" i="5"/>
  <c r="HT250" i="5"/>
  <c r="HT252" i="5" s="1"/>
  <c r="HO250" i="5"/>
  <c r="HO252" i="5" s="1"/>
  <c r="HN250" i="5"/>
  <c r="HN252" i="5" s="1"/>
  <c r="N250" i="5"/>
  <c r="CM249" i="5" s="1"/>
  <c r="HA249" i="5"/>
  <c r="GZ249" i="5"/>
  <c r="GV249" i="5"/>
  <c r="GU249" i="5"/>
  <c r="GP249" i="5"/>
  <c r="GO249" i="5"/>
  <c r="GN249" i="5"/>
  <c r="GL249" i="5"/>
  <c r="GL250" i="5" s="1"/>
  <c r="GE249" i="5"/>
  <c r="EZ249" i="5"/>
  <c r="ES249" i="5"/>
  <c r="CP249" i="5"/>
  <c r="CP251" i="5" s="1"/>
  <c r="CN249" i="5"/>
  <c r="AS249" i="5"/>
  <c r="O166" i="5"/>
  <c r="M166" i="5"/>
  <c r="GE165" i="5"/>
  <c r="FK165" i="5"/>
  <c r="FL165" i="5" s="1"/>
  <c r="DF165" i="5" s="1"/>
  <c r="EW165" i="5"/>
  <c r="DE165" i="5"/>
  <c r="O165" i="5"/>
  <c r="A165" i="5"/>
  <c r="HT164" i="5"/>
  <c r="HT166" i="5" s="1"/>
  <c r="HO164" i="5"/>
  <c r="HO166" i="5" s="1"/>
  <c r="HN164" i="5"/>
  <c r="HN166" i="5" s="1"/>
  <c r="N164" i="5"/>
  <c r="CM163" i="5" s="1"/>
  <c r="HA163" i="5"/>
  <c r="GZ163" i="5"/>
  <c r="GV163" i="5"/>
  <c r="GU163" i="5"/>
  <c r="GP163" i="5"/>
  <c r="GO163" i="5"/>
  <c r="GN163" i="5"/>
  <c r="GL163" i="5"/>
  <c r="GK163" i="5" s="1"/>
  <c r="GE163" i="5"/>
  <c r="EZ163" i="5"/>
  <c r="ES163" i="5"/>
  <c r="CP163" i="5"/>
  <c r="CP165" i="5" s="1"/>
  <c r="CN163" i="5"/>
  <c r="FI165" i="5" s="1"/>
  <c r="FJ165" i="5" s="1"/>
  <c r="FP165" i="5" s="1"/>
  <c r="AS163" i="5"/>
  <c r="O161" i="5"/>
  <c r="M161" i="5"/>
  <c r="GE160" i="5"/>
  <c r="FK160" i="5"/>
  <c r="FL160" i="5" s="1"/>
  <c r="EW160" i="5"/>
  <c r="DE160" i="5"/>
  <c r="O160" i="5"/>
  <c r="A160" i="5"/>
  <c r="HT159" i="5"/>
  <c r="HT161" i="5" s="1"/>
  <c r="HO159" i="5"/>
  <c r="HO161" i="5" s="1"/>
  <c r="HN159" i="5"/>
  <c r="HN161" i="5" s="1"/>
  <c r="N159" i="5"/>
  <c r="HA158" i="5"/>
  <c r="GZ158" i="5"/>
  <c r="GV158" i="5"/>
  <c r="GU158" i="5"/>
  <c r="GP158" i="5"/>
  <c r="GO158" i="5"/>
  <c r="GN158" i="5"/>
  <c r="GL158" i="5"/>
  <c r="GK158" i="5" s="1"/>
  <c r="GE158" i="5"/>
  <c r="EZ158" i="5"/>
  <c r="ES158" i="5"/>
  <c r="CP158" i="5"/>
  <c r="CP160" i="5" s="1"/>
  <c r="CN158" i="5"/>
  <c r="AS158" i="5"/>
  <c r="O156" i="5"/>
  <c r="M156" i="5"/>
  <c r="GE155" i="5"/>
  <c r="FK155" i="5"/>
  <c r="FL155" i="5" s="1"/>
  <c r="EW155" i="5"/>
  <c r="DE155" i="5"/>
  <c r="O155" i="5"/>
  <c r="A155" i="5"/>
  <c r="HT154" i="5"/>
  <c r="HT156" i="5" s="1"/>
  <c r="HO154" i="5"/>
  <c r="HO156" i="5" s="1"/>
  <c r="HN154" i="5"/>
  <c r="HN156" i="5" s="1"/>
  <c r="N154" i="5"/>
  <c r="CM153" i="5" s="1"/>
  <c r="HA153" i="5"/>
  <c r="GZ153" i="5"/>
  <c r="GV153" i="5"/>
  <c r="GU153" i="5"/>
  <c r="GP153" i="5"/>
  <c r="GO153" i="5"/>
  <c r="GN153" i="5"/>
  <c r="GL153" i="5"/>
  <c r="GK153" i="5" s="1"/>
  <c r="GE153" i="5"/>
  <c r="EZ153" i="5"/>
  <c r="ES153" i="5"/>
  <c r="CP153" i="5"/>
  <c r="CP155" i="5" s="1"/>
  <c r="CN153" i="5"/>
  <c r="FI153" i="5" s="1"/>
  <c r="FJ153" i="5" s="1"/>
  <c r="AS153" i="5"/>
  <c r="O151" i="5"/>
  <c r="M151" i="5"/>
  <c r="GE150" i="5"/>
  <c r="FK150" i="5"/>
  <c r="FL150" i="5" s="1"/>
  <c r="DF150" i="5" s="1"/>
  <c r="FR150" i="5" s="1"/>
  <c r="EW150" i="5"/>
  <c r="DE150" i="5"/>
  <c r="O150" i="5"/>
  <c r="A150" i="5"/>
  <c r="HT149" i="5"/>
  <c r="HT151" i="5" s="1"/>
  <c r="HO149" i="5"/>
  <c r="HO151" i="5" s="1"/>
  <c r="HN149" i="5"/>
  <c r="HN151" i="5" s="1"/>
  <c r="N149" i="5"/>
  <c r="CM148" i="5" s="1"/>
  <c r="HA148" i="5"/>
  <c r="GZ148" i="5"/>
  <c r="GV148" i="5"/>
  <c r="GU148" i="5"/>
  <c r="GP148" i="5"/>
  <c r="GO148" i="5"/>
  <c r="GN148" i="5"/>
  <c r="GL148" i="5"/>
  <c r="GK148" i="5" s="1"/>
  <c r="GE148" i="5"/>
  <c r="EZ148" i="5"/>
  <c r="ES148" i="5"/>
  <c r="CP148" i="5"/>
  <c r="CP150" i="5" s="1"/>
  <c r="CN148" i="5"/>
  <c r="CO150" i="5" s="1"/>
  <c r="AS148" i="5"/>
  <c r="O146" i="5"/>
  <c r="M146" i="5"/>
  <c r="GE145" i="5"/>
  <c r="FK145" i="5"/>
  <c r="FL145" i="5" s="1"/>
  <c r="EW145" i="5"/>
  <c r="DE145" i="5"/>
  <c r="O145" i="5"/>
  <c r="A145" i="5"/>
  <c r="HT144" i="5"/>
  <c r="HT146" i="5" s="1"/>
  <c r="HO144" i="5"/>
  <c r="HO146" i="5" s="1"/>
  <c r="HN144" i="5"/>
  <c r="HN146" i="5" s="1"/>
  <c r="N144" i="5"/>
  <c r="HA143" i="5"/>
  <c r="GZ143" i="5"/>
  <c r="GV143" i="5"/>
  <c r="GU143" i="5"/>
  <c r="GP143" i="5"/>
  <c r="GO143" i="5"/>
  <c r="GN143" i="5"/>
  <c r="GL143" i="5"/>
  <c r="GK143" i="5" s="1"/>
  <c r="GE143" i="5"/>
  <c r="EZ143" i="5"/>
  <c r="ES143" i="5"/>
  <c r="CP143" i="5"/>
  <c r="CP145" i="5" s="1"/>
  <c r="CN143" i="5"/>
  <c r="CO145" i="5" s="1"/>
  <c r="AS143" i="5"/>
  <c r="O141" i="5"/>
  <c r="M141" i="5"/>
  <c r="GE140" i="5"/>
  <c r="FK140" i="5"/>
  <c r="FL140" i="5" s="1"/>
  <c r="EW140" i="5"/>
  <c r="DE140" i="5"/>
  <c r="O140" i="5"/>
  <c r="A140" i="5"/>
  <c r="HT139" i="5"/>
  <c r="HT141" i="5" s="1"/>
  <c r="HO139" i="5"/>
  <c r="HO141" i="5" s="1"/>
  <c r="HN139" i="5"/>
  <c r="HN141" i="5" s="1"/>
  <c r="N139" i="5"/>
  <c r="HA138" i="5"/>
  <c r="GZ138" i="5"/>
  <c r="GV138" i="5"/>
  <c r="GU138" i="5"/>
  <c r="GP138" i="5"/>
  <c r="GO138" i="5"/>
  <c r="GN138" i="5"/>
  <c r="GL138" i="5"/>
  <c r="GK138" i="5" s="1"/>
  <c r="GE138" i="5"/>
  <c r="EZ138" i="5"/>
  <c r="ES138" i="5"/>
  <c r="CP138" i="5"/>
  <c r="CP140" i="5" s="1"/>
  <c r="CN138" i="5"/>
  <c r="AS138" i="5"/>
  <c r="O136" i="5"/>
  <c r="M136" i="5"/>
  <c r="GE135" i="5"/>
  <c r="FK135" i="5"/>
  <c r="FL135" i="5" s="1"/>
  <c r="EW135" i="5"/>
  <c r="DE135" i="5"/>
  <c r="O135" i="5"/>
  <c r="A135" i="5"/>
  <c r="HT134" i="5"/>
  <c r="HT136" i="5" s="1"/>
  <c r="HO134" i="5"/>
  <c r="HO136" i="5" s="1"/>
  <c r="HN134" i="5"/>
  <c r="HN136" i="5" s="1"/>
  <c r="N134" i="5"/>
  <c r="HA133" i="5"/>
  <c r="GZ133" i="5"/>
  <c r="GV133" i="5"/>
  <c r="GU133" i="5"/>
  <c r="GP133" i="5"/>
  <c r="GO133" i="5"/>
  <c r="GN133" i="5"/>
  <c r="GL133" i="5"/>
  <c r="GK133" i="5" s="1"/>
  <c r="GE133" i="5"/>
  <c r="EZ133" i="5"/>
  <c r="ES133" i="5"/>
  <c r="CP133" i="5"/>
  <c r="CP135" i="5" s="1"/>
  <c r="CN133" i="5"/>
  <c r="AS133" i="5"/>
  <c r="O131" i="5"/>
  <c r="M131" i="5"/>
  <c r="GE130" i="5"/>
  <c r="FK130" i="5"/>
  <c r="FL130" i="5" s="1"/>
  <c r="DF130" i="5" s="1"/>
  <c r="FR130" i="5" s="1"/>
  <c r="EW130" i="5"/>
  <c r="DE130" i="5"/>
  <c r="O130" i="5"/>
  <c r="A130" i="5"/>
  <c r="HT129" i="5"/>
  <c r="HT131" i="5" s="1"/>
  <c r="HO129" i="5"/>
  <c r="HO131" i="5" s="1"/>
  <c r="HN129" i="5"/>
  <c r="HN131" i="5" s="1"/>
  <c r="N129" i="5"/>
  <c r="HA128" i="5"/>
  <c r="GZ128" i="5"/>
  <c r="GV128" i="5"/>
  <c r="GU128" i="5"/>
  <c r="GP128" i="5"/>
  <c r="GO128" i="5"/>
  <c r="GN128" i="5"/>
  <c r="GL128" i="5"/>
  <c r="GK128" i="5" s="1"/>
  <c r="GE128" i="5"/>
  <c r="EZ128" i="5"/>
  <c r="ES128" i="5"/>
  <c r="CP128" i="5"/>
  <c r="CP130" i="5" s="1"/>
  <c r="CN128" i="5"/>
  <c r="CO130" i="5" s="1"/>
  <c r="AS128" i="5"/>
  <c r="O126" i="5"/>
  <c r="M126" i="5"/>
  <c r="GE125" i="5"/>
  <c r="FK125" i="5"/>
  <c r="FL125" i="5" s="1"/>
  <c r="DF125" i="5" s="1"/>
  <c r="EW125" i="5"/>
  <c r="DE125" i="5"/>
  <c r="O125" i="5"/>
  <c r="A125" i="5"/>
  <c r="HT124" i="5"/>
  <c r="HT126" i="5" s="1"/>
  <c r="HO124" i="5"/>
  <c r="HO126" i="5" s="1"/>
  <c r="HN124" i="5"/>
  <c r="HN126" i="5" s="1"/>
  <c r="N124" i="5"/>
  <c r="HA123" i="5"/>
  <c r="GZ123" i="5"/>
  <c r="GV123" i="5"/>
  <c r="GU123" i="5"/>
  <c r="GP123" i="5"/>
  <c r="GO123" i="5"/>
  <c r="GN123" i="5"/>
  <c r="GL123" i="5"/>
  <c r="GL124" i="5" s="1"/>
  <c r="GE123" i="5"/>
  <c r="EZ123" i="5"/>
  <c r="ES123" i="5"/>
  <c r="CP123" i="5"/>
  <c r="CP125" i="5" s="1"/>
  <c r="EU123" i="5" s="1"/>
  <c r="CN123" i="5"/>
  <c r="FI125" i="5" s="1"/>
  <c r="FJ125" i="5" s="1"/>
  <c r="FP125" i="5" s="1"/>
  <c r="AS123" i="5"/>
  <c r="O121" i="5"/>
  <c r="M121" i="5"/>
  <c r="GE120" i="5"/>
  <c r="FK120" i="5"/>
  <c r="FL120" i="5" s="1"/>
  <c r="DF120" i="5" s="1"/>
  <c r="EW120" i="5"/>
  <c r="DE120" i="5"/>
  <c r="O120" i="5"/>
  <c r="A120" i="5"/>
  <c r="HT119" i="5"/>
  <c r="HT121" i="5" s="1"/>
  <c r="HO119" i="5"/>
  <c r="HO121" i="5" s="1"/>
  <c r="HN119" i="5"/>
  <c r="HN121" i="5" s="1"/>
  <c r="N119" i="5"/>
  <c r="CM118" i="5" s="1"/>
  <c r="HA118" i="5"/>
  <c r="GZ118" i="5"/>
  <c r="GV118" i="5"/>
  <c r="GU118" i="5"/>
  <c r="GP118" i="5"/>
  <c r="GO118" i="5"/>
  <c r="GN118" i="5"/>
  <c r="GL118" i="5"/>
  <c r="GK118" i="5" s="1"/>
  <c r="GE118" i="5"/>
  <c r="EZ118" i="5"/>
  <c r="ES118" i="5"/>
  <c r="CP118" i="5"/>
  <c r="CP120" i="5" s="1"/>
  <c r="CN118" i="5"/>
  <c r="CO120" i="5" s="1"/>
  <c r="AS118" i="5"/>
  <c r="O116" i="5"/>
  <c r="M116" i="5"/>
  <c r="GE115" i="5"/>
  <c r="FK115" i="5"/>
  <c r="FL115" i="5" s="1"/>
  <c r="DF115" i="5" s="1"/>
  <c r="EW115" i="5"/>
  <c r="DE115" i="5"/>
  <c r="O115" i="5"/>
  <c r="A115" i="5"/>
  <c r="HT114" i="5"/>
  <c r="HT116" i="5" s="1"/>
  <c r="HO114" i="5"/>
  <c r="HO116" i="5" s="1"/>
  <c r="HN114" i="5"/>
  <c r="HN116" i="5" s="1"/>
  <c r="N114" i="5"/>
  <c r="CM113" i="5" s="1"/>
  <c r="HA113" i="5"/>
  <c r="GZ113" i="5"/>
  <c r="GV113" i="5"/>
  <c r="GU113" i="5"/>
  <c r="GP113" i="5"/>
  <c r="GO113" i="5"/>
  <c r="GN113" i="5"/>
  <c r="GL113" i="5"/>
  <c r="GL114" i="5" s="1"/>
  <c r="GE113" i="5"/>
  <c r="EZ113" i="5"/>
  <c r="ES113" i="5"/>
  <c r="CP113" i="5"/>
  <c r="CP115" i="5" s="1"/>
  <c r="CN113" i="5"/>
  <c r="FB115" i="5" s="1"/>
  <c r="AS113" i="5"/>
  <c r="O111" i="5"/>
  <c r="M111" i="5"/>
  <c r="GE110" i="5"/>
  <c r="FK110" i="5"/>
  <c r="FL110" i="5" s="1"/>
  <c r="DF110" i="5" s="1"/>
  <c r="FR110" i="5" s="1"/>
  <c r="EW110" i="5"/>
  <c r="DE110" i="5"/>
  <c r="O110" i="5"/>
  <c r="A110" i="5"/>
  <c r="HT109" i="5"/>
  <c r="HT111" i="5" s="1"/>
  <c r="HO109" i="5"/>
  <c r="HO111" i="5" s="1"/>
  <c r="HN109" i="5"/>
  <c r="HN111" i="5" s="1"/>
  <c r="N109" i="5"/>
  <c r="CM108" i="5" s="1"/>
  <c r="HA108" i="5"/>
  <c r="GZ108" i="5"/>
  <c r="GV108" i="5"/>
  <c r="GU108" i="5"/>
  <c r="GP108" i="5"/>
  <c r="GO108" i="5"/>
  <c r="GN108" i="5"/>
  <c r="GL108" i="5"/>
  <c r="GK108" i="5" s="1"/>
  <c r="GE108" i="5"/>
  <c r="EZ108" i="5"/>
  <c r="ES108" i="5"/>
  <c r="CP108" i="5"/>
  <c r="CP110" i="5" s="1"/>
  <c r="CN108" i="5"/>
  <c r="CO110" i="5" s="1"/>
  <c r="AS108" i="5"/>
  <c r="O106" i="5"/>
  <c r="M106" i="5"/>
  <c r="GE105" i="5"/>
  <c r="FK105" i="5"/>
  <c r="FL105" i="5" s="1"/>
  <c r="DF105" i="5" s="1"/>
  <c r="EW105" i="5"/>
  <c r="DE105" i="5"/>
  <c r="O105" i="5"/>
  <c r="A105" i="5"/>
  <c r="HT104" i="5"/>
  <c r="HT106" i="5" s="1"/>
  <c r="HO104" i="5"/>
  <c r="HO106" i="5" s="1"/>
  <c r="HN104" i="5"/>
  <c r="HN106" i="5" s="1"/>
  <c r="N104" i="5"/>
  <c r="HA103" i="5"/>
  <c r="GZ103" i="5"/>
  <c r="GV103" i="5"/>
  <c r="GU103" i="5"/>
  <c r="GP103" i="5"/>
  <c r="GO103" i="5"/>
  <c r="GN103" i="5"/>
  <c r="GL103" i="5"/>
  <c r="GL104" i="5" s="1"/>
  <c r="GE103" i="5"/>
  <c r="EZ103" i="5"/>
  <c r="ES103" i="5"/>
  <c r="CP103" i="5"/>
  <c r="CP105" i="5" s="1"/>
  <c r="CN103" i="5"/>
  <c r="AS103" i="5"/>
  <c r="C45" i="5"/>
  <c r="C50" i="5" s="1"/>
  <c r="C55" i="5" s="1"/>
  <c r="C60" i="5" s="1"/>
  <c r="C65" i="5" s="1"/>
  <c r="C70" i="5" s="1"/>
  <c r="C75" i="5" s="1"/>
  <c r="C80" i="5" s="1"/>
  <c r="C85" i="5" s="1"/>
  <c r="C93" i="5" s="1"/>
  <c r="C98" i="5" s="1"/>
  <c r="C103" i="5" s="1"/>
  <c r="C108" i="5" s="1"/>
  <c r="C113" i="5" s="1"/>
  <c r="C118" i="5" s="1"/>
  <c r="C123" i="5" s="1"/>
  <c r="C128" i="5" s="1"/>
  <c r="C133" i="5" s="1"/>
  <c r="C138" i="5" s="1"/>
  <c r="C143" i="5" s="1"/>
  <c r="C148" i="5" s="1"/>
  <c r="C153" i="5" s="1"/>
  <c r="C158" i="5" s="1"/>
  <c r="C163" i="5" s="1"/>
  <c r="C171" i="5" s="1"/>
  <c r="C176" i="5" s="1"/>
  <c r="C181" i="5" s="1"/>
  <c r="C186" i="5" s="1"/>
  <c r="C191" i="5" s="1"/>
  <c r="C196" i="5" s="1"/>
  <c r="C201" i="5" s="1"/>
  <c r="C206" i="5" s="1"/>
  <c r="C211" i="5" s="1"/>
  <c r="C216" i="5" s="1"/>
  <c r="C221" i="5" s="1"/>
  <c r="C226" i="5" s="1"/>
  <c r="C231" i="5" s="1"/>
  <c r="C236" i="5" s="1"/>
  <c r="C241" i="5" s="1"/>
  <c r="C249" i="5" s="1"/>
  <c r="C254" i="5" s="1"/>
  <c r="C259" i="5" s="1"/>
  <c r="C264" i="5" s="1"/>
  <c r="C269" i="5" s="1"/>
  <c r="C274" i="5" s="1"/>
  <c r="C279" i="5" s="1"/>
  <c r="C284" i="5" s="1"/>
  <c r="C289" i="5" s="1"/>
  <c r="C294" i="5" s="1"/>
  <c r="C299" i="5" s="1"/>
  <c r="C304" i="5" s="1"/>
  <c r="C309" i="5" s="1"/>
  <c r="C314" i="5" s="1"/>
  <c r="C319" i="5" s="1"/>
  <c r="C327" i="5" s="1"/>
  <c r="C332" i="5" s="1"/>
  <c r="C337" i="5" s="1"/>
  <c r="C342" i="5" s="1"/>
  <c r="C347" i="5" s="1"/>
  <c r="C352" i="5" s="1"/>
  <c r="C357" i="5" s="1"/>
  <c r="C362" i="5" s="1"/>
  <c r="C367" i="5" s="1"/>
  <c r="C372" i="5" s="1"/>
  <c r="C377" i="5" s="1"/>
  <c r="C382" i="5" s="1"/>
  <c r="C387" i="5" s="1"/>
  <c r="C392" i="5" s="1"/>
  <c r="C397" i="5" s="1"/>
  <c r="C405" i="5" s="1"/>
  <c r="C410" i="5" s="1"/>
  <c r="C415" i="5" s="1"/>
  <c r="C420" i="5" s="1"/>
  <c r="C425" i="5" s="1"/>
  <c r="C430" i="5" s="1"/>
  <c r="C435" i="5" s="1"/>
  <c r="C440" i="5" s="1"/>
  <c r="C445" i="5" s="1"/>
  <c r="C450" i="5" s="1"/>
  <c r="C455" i="5" s="1"/>
  <c r="C460" i="5" s="1"/>
  <c r="C465" i="5" s="1"/>
  <c r="C470" i="5" s="1"/>
  <c r="C475" i="5" s="1"/>
  <c r="C483" i="5" s="1"/>
  <c r="C488" i="5" s="1"/>
  <c r="C493" i="5" s="1"/>
  <c r="C498" i="5" s="1"/>
  <c r="C503" i="5" s="1"/>
  <c r="C508" i="5" s="1"/>
  <c r="C513" i="5" s="1"/>
  <c r="C518" i="5" s="1"/>
  <c r="C523" i="5" s="1"/>
  <c r="C528" i="5" s="1"/>
  <c r="C533" i="5" s="1"/>
  <c r="C538" i="5" s="1"/>
  <c r="C543" i="5" s="1"/>
  <c r="C548" i="5" s="1"/>
  <c r="C553" i="5" s="1"/>
  <c r="C561" i="5" s="1"/>
  <c r="C566" i="5" s="1"/>
  <c r="C571" i="5" s="1"/>
  <c r="C576" i="5" s="1"/>
  <c r="C581" i="5" s="1"/>
  <c r="C586" i="5" s="1"/>
  <c r="C591" i="5" s="1"/>
  <c r="C596" i="5" s="1"/>
  <c r="C601" i="5" s="1"/>
  <c r="C606" i="5" s="1"/>
  <c r="C611" i="5" s="1"/>
  <c r="C616" i="5" s="1"/>
  <c r="C621" i="5" s="1"/>
  <c r="C626" i="5" s="1"/>
  <c r="C631" i="5" s="1"/>
  <c r="C639" i="5" s="1"/>
  <c r="C644" i="5" s="1"/>
  <c r="C649" i="5" s="1"/>
  <c r="C654" i="5" s="1"/>
  <c r="C659" i="5" s="1"/>
  <c r="C664" i="5" s="1"/>
  <c r="C669" i="5" s="1"/>
  <c r="C674" i="5" s="1"/>
  <c r="C679" i="5" s="1"/>
  <c r="C684" i="5" s="1"/>
  <c r="C689" i="5" s="1"/>
  <c r="C694" i="5" s="1"/>
  <c r="C699" i="5" s="1"/>
  <c r="C704" i="5" s="1"/>
  <c r="C709" i="5" s="1"/>
  <c r="C717" i="5" s="1"/>
  <c r="C722" i="5" s="1"/>
  <c r="C727" i="5" s="1"/>
  <c r="C732" i="5" s="1"/>
  <c r="C737" i="5" s="1"/>
  <c r="C742" i="5" s="1"/>
  <c r="C747" i="5" s="1"/>
  <c r="C752" i="5" s="1"/>
  <c r="C757" i="5" s="1"/>
  <c r="C762" i="5" s="1"/>
  <c r="C767" i="5" s="1"/>
  <c r="C772" i="5" s="1"/>
  <c r="C777" i="5" s="1"/>
  <c r="C782" i="5" s="1"/>
  <c r="C787" i="5" s="1"/>
  <c r="O101" i="5"/>
  <c r="M101" i="5"/>
  <c r="GE100" i="5"/>
  <c r="FK100" i="5"/>
  <c r="FL100" i="5" s="1"/>
  <c r="DF100" i="5" s="1"/>
  <c r="FR100" i="5" s="1"/>
  <c r="EW100" i="5"/>
  <c r="DE100" i="5"/>
  <c r="O100" i="5"/>
  <c r="A100" i="5"/>
  <c r="HT99" i="5"/>
  <c r="HT101" i="5" s="1"/>
  <c r="HO99" i="5"/>
  <c r="HO101" i="5" s="1"/>
  <c r="HN99" i="5"/>
  <c r="HN101" i="5" s="1"/>
  <c r="N99" i="5"/>
  <c r="HA98" i="5"/>
  <c r="GZ98" i="5"/>
  <c r="GV98" i="5"/>
  <c r="GU98" i="5"/>
  <c r="GP98" i="5"/>
  <c r="GO98" i="5"/>
  <c r="GN98" i="5"/>
  <c r="GL98" i="5"/>
  <c r="GL99" i="5" s="1"/>
  <c r="GE98" i="5"/>
  <c r="EZ98" i="5"/>
  <c r="ES98" i="5"/>
  <c r="CP98" i="5"/>
  <c r="CP100" i="5" s="1"/>
  <c r="EU100" i="5" s="1"/>
  <c r="CN98" i="5"/>
  <c r="CO100" i="5" s="1"/>
  <c r="AS98" i="5"/>
  <c r="O96" i="5"/>
  <c r="M96" i="5"/>
  <c r="GE95" i="5"/>
  <c r="FK95" i="5"/>
  <c r="FL95" i="5" s="1"/>
  <c r="EW95" i="5"/>
  <c r="DE95" i="5"/>
  <c r="O95" i="5"/>
  <c r="A95" i="5"/>
  <c r="HT94" i="5"/>
  <c r="HT96" i="5" s="1"/>
  <c r="HO94" i="5"/>
  <c r="HO96" i="5" s="1"/>
  <c r="HN94" i="5"/>
  <c r="HN96" i="5" s="1"/>
  <c r="N94" i="5"/>
  <c r="CM93" i="5" s="1"/>
  <c r="HA93" i="5"/>
  <c r="GZ93" i="5"/>
  <c r="GV93" i="5"/>
  <c r="GU93" i="5"/>
  <c r="GP93" i="5"/>
  <c r="GO93" i="5"/>
  <c r="GN93" i="5"/>
  <c r="GL93" i="5"/>
  <c r="GK93" i="5" s="1"/>
  <c r="GE93" i="5"/>
  <c r="EZ93" i="5"/>
  <c r="ES93" i="5"/>
  <c r="CP93" i="5"/>
  <c r="CP95" i="5" s="1"/>
  <c r="CN93" i="5"/>
  <c r="FI93" i="5" s="1"/>
  <c r="FJ93" i="5" s="1"/>
  <c r="AS93" i="5"/>
  <c r="O88" i="5"/>
  <c r="M88" i="5"/>
  <c r="GE87" i="5"/>
  <c r="FK87" i="5"/>
  <c r="FL87" i="5" s="1"/>
  <c r="DF87" i="5" s="1"/>
  <c r="FR87" i="5" s="1"/>
  <c r="EW87" i="5"/>
  <c r="DE87" i="5"/>
  <c r="O87" i="5"/>
  <c r="A87" i="5"/>
  <c r="HT86" i="5"/>
  <c r="HT88" i="5" s="1"/>
  <c r="HO86" i="5"/>
  <c r="HO88" i="5" s="1"/>
  <c r="HN86" i="5"/>
  <c r="HN88" i="5" s="1"/>
  <c r="N86" i="5"/>
  <c r="HA85" i="5"/>
  <c r="GZ85" i="5"/>
  <c r="GV85" i="5"/>
  <c r="GU85" i="5"/>
  <c r="GP85" i="5"/>
  <c r="GO85" i="5"/>
  <c r="GN85" i="5"/>
  <c r="GL85" i="5"/>
  <c r="GK85" i="5" s="1"/>
  <c r="GE85" i="5"/>
  <c r="EZ85" i="5"/>
  <c r="ES85" i="5"/>
  <c r="CP85" i="5"/>
  <c r="CP87" i="5" s="1"/>
  <c r="CN85" i="5"/>
  <c r="CO87" i="5" s="1"/>
  <c r="AS85" i="5"/>
  <c r="O83" i="5"/>
  <c r="M83" i="5"/>
  <c r="GE82" i="5"/>
  <c r="FK82" i="5"/>
  <c r="FL82" i="5" s="1"/>
  <c r="EW82" i="5"/>
  <c r="DE82" i="5"/>
  <c r="O82" i="5"/>
  <c r="A82" i="5"/>
  <c r="HT81" i="5"/>
  <c r="HT83" i="5" s="1"/>
  <c r="HO81" i="5"/>
  <c r="HO83" i="5" s="1"/>
  <c r="HN81" i="5"/>
  <c r="HN83" i="5" s="1"/>
  <c r="N81" i="5"/>
  <c r="CM80" i="5" s="1"/>
  <c r="HA80" i="5"/>
  <c r="GZ80" i="5"/>
  <c r="GV80" i="5"/>
  <c r="GU80" i="5"/>
  <c r="GP80" i="5"/>
  <c r="GO80" i="5"/>
  <c r="GN80" i="5"/>
  <c r="GL80" i="5"/>
  <c r="GL81" i="5" s="1"/>
  <c r="GE80" i="5"/>
  <c r="EZ80" i="5"/>
  <c r="ES80" i="5"/>
  <c r="CP80" i="5"/>
  <c r="CP82" i="5" s="1"/>
  <c r="EU80" i="5" s="1"/>
  <c r="CN80" i="5"/>
  <c r="CO82" i="5" s="1"/>
  <c r="AS80" i="5"/>
  <c r="O78" i="5"/>
  <c r="M78" i="5"/>
  <c r="GE77" i="5"/>
  <c r="FK77" i="5"/>
  <c r="FL77" i="5" s="1"/>
  <c r="DF77" i="5" s="1"/>
  <c r="EW77" i="5"/>
  <c r="DE77" i="5"/>
  <c r="O77" i="5"/>
  <c r="A77" i="5"/>
  <c r="HT76" i="5"/>
  <c r="HT78" i="5" s="1"/>
  <c r="HO76" i="5"/>
  <c r="HO78" i="5" s="1"/>
  <c r="HN76" i="5"/>
  <c r="HN78" i="5" s="1"/>
  <c r="N76" i="5"/>
  <c r="HA75" i="5"/>
  <c r="GZ75" i="5"/>
  <c r="GV75" i="5"/>
  <c r="GU75" i="5"/>
  <c r="GP75" i="5"/>
  <c r="GO75" i="5"/>
  <c r="GN75" i="5"/>
  <c r="GL75" i="5"/>
  <c r="GL76" i="5" s="1"/>
  <c r="GE75" i="5"/>
  <c r="EZ75" i="5"/>
  <c r="ES75" i="5"/>
  <c r="CP75" i="5"/>
  <c r="CP77" i="5" s="1"/>
  <c r="CN75" i="5"/>
  <c r="AS75" i="5"/>
  <c r="O73" i="5"/>
  <c r="M73" i="5"/>
  <c r="GE72" i="5"/>
  <c r="FK72" i="5"/>
  <c r="FL72" i="5" s="1"/>
  <c r="EW72" i="5"/>
  <c r="DE72" i="5"/>
  <c r="O72" i="5"/>
  <c r="A72" i="5"/>
  <c r="HT71" i="5"/>
  <c r="HT73" i="5" s="1"/>
  <c r="HO71" i="5"/>
  <c r="HO73" i="5" s="1"/>
  <c r="HN71" i="5"/>
  <c r="HN73" i="5" s="1"/>
  <c r="N71" i="5"/>
  <c r="HA70" i="5"/>
  <c r="GZ70" i="5"/>
  <c r="GV70" i="5"/>
  <c r="GU70" i="5"/>
  <c r="GP70" i="5"/>
  <c r="GO70" i="5"/>
  <c r="GN70" i="5"/>
  <c r="GL70" i="5"/>
  <c r="GK70" i="5" s="1"/>
  <c r="GE70" i="5"/>
  <c r="EZ70" i="5"/>
  <c r="ES70" i="5"/>
  <c r="CP70" i="5"/>
  <c r="CP72" i="5" s="1"/>
  <c r="CN70" i="5"/>
  <c r="CO72" i="5" s="1"/>
  <c r="AS70" i="5"/>
  <c r="O68" i="5"/>
  <c r="M68" i="5"/>
  <c r="GE67" i="5"/>
  <c r="FK67" i="5"/>
  <c r="FL67" i="5" s="1"/>
  <c r="EW67" i="5"/>
  <c r="DE67" i="5"/>
  <c r="O67" i="5"/>
  <c r="A67" i="5"/>
  <c r="HT66" i="5"/>
  <c r="HT68" i="5" s="1"/>
  <c r="HO66" i="5"/>
  <c r="HO68" i="5" s="1"/>
  <c r="HN66" i="5"/>
  <c r="HN68" i="5" s="1"/>
  <c r="N66" i="5"/>
  <c r="CM65" i="5" s="1"/>
  <c r="HA65" i="5"/>
  <c r="GZ65" i="5"/>
  <c r="GV65" i="5"/>
  <c r="GU65" i="5"/>
  <c r="GP65" i="5"/>
  <c r="GO65" i="5"/>
  <c r="GN65" i="5"/>
  <c r="GL65" i="5"/>
  <c r="GK65" i="5" s="1"/>
  <c r="GE65" i="5"/>
  <c r="EZ65" i="5"/>
  <c r="ES65" i="5"/>
  <c r="CP65" i="5"/>
  <c r="CP67" i="5" s="1"/>
  <c r="CN65" i="5"/>
  <c r="CO67" i="5" s="1"/>
  <c r="AS65" i="5"/>
  <c r="O63" i="5"/>
  <c r="M63" i="5"/>
  <c r="GE62" i="5"/>
  <c r="FK62" i="5"/>
  <c r="FL62" i="5" s="1"/>
  <c r="EW62" i="5"/>
  <c r="DE62" i="5"/>
  <c r="O62" i="5"/>
  <c r="A62" i="5"/>
  <c r="HT61" i="5"/>
  <c r="HT63" i="5" s="1"/>
  <c r="HO61" i="5"/>
  <c r="HO63" i="5" s="1"/>
  <c r="HN61" i="5"/>
  <c r="HN63" i="5" s="1"/>
  <c r="N61" i="5"/>
  <c r="HA60" i="5"/>
  <c r="GZ60" i="5"/>
  <c r="GV60" i="5"/>
  <c r="GU60" i="5"/>
  <c r="GP60" i="5"/>
  <c r="GO60" i="5"/>
  <c r="GN60" i="5"/>
  <c r="GL60" i="5"/>
  <c r="GL61" i="5" s="1"/>
  <c r="GE60" i="5"/>
  <c r="EZ60" i="5"/>
  <c r="ES60" i="5"/>
  <c r="CP60" i="5"/>
  <c r="CP62" i="5" s="1"/>
  <c r="CN60" i="5"/>
  <c r="FI62" i="5" s="1"/>
  <c r="FJ62" i="5" s="1"/>
  <c r="FP62" i="5" s="1"/>
  <c r="AS60" i="5"/>
  <c r="O58" i="5"/>
  <c r="M58" i="5"/>
  <c r="GE57" i="5"/>
  <c r="FK57" i="5"/>
  <c r="FL57" i="5" s="1"/>
  <c r="EW57" i="5"/>
  <c r="DE57" i="5"/>
  <c r="O57" i="5"/>
  <c r="A57" i="5"/>
  <c r="HT56" i="5"/>
  <c r="HT58" i="5" s="1"/>
  <c r="HO56" i="5"/>
  <c r="HO58" i="5" s="1"/>
  <c r="HN56" i="5"/>
  <c r="HN58" i="5" s="1"/>
  <c r="N56" i="5"/>
  <c r="CM55" i="5" s="1"/>
  <c r="HA55" i="5"/>
  <c r="GZ55" i="5"/>
  <c r="GV55" i="5"/>
  <c r="GU55" i="5"/>
  <c r="GP55" i="5"/>
  <c r="GO55" i="5"/>
  <c r="GN55" i="5"/>
  <c r="GL55" i="5"/>
  <c r="GL56" i="5" s="1"/>
  <c r="GE55" i="5"/>
  <c r="EZ55" i="5"/>
  <c r="ES55" i="5"/>
  <c r="CP55" i="5"/>
  <c r="CP57" i="5" s="1"/>
  <c r="CN55" i="5"/>
  <c r="CO57" i="5" s="1"/>
  <c r="AS55" i="5"/>
  <c r="O53" i="5"/>
  <c r="M53" i="5"/>
  <c r="GE52" i="5"/>
  <c r="FK52" i="5"/>
  <c r="FL52" i="5" s="1"/>
  <c r="EW52" i="5"/>
  <c r="DE52" i="5"/>
  <c r="O52" i="5"/>
  <c r="A52" i="5"/>
  <c r="HT51" i="5"/>
  <c r="HT53" i="5" s="1"/>
  <c r="HO51" i="5"/>
  <c r="HO53" i="5" s="1"/>
  <c r="HN51" i="5"/>
  <c r="HN53" i="5" s="1"/>
  <c r="N51" i="5"/>
  <c r="CM50" i="5" s="1"/>
  <c r="HA50" i="5"/>
  <c r="GZ50" i="5"/>
  <c r="GV50" i="5"/>
  <c r="GU50" i="5"/>
  <c r="GP50" i="5"/>
  <c r="GO50" i="5"/>
  <c r="GN50" i="5"/>
  <c r="GL50" i="5"/>
  <c r="GK50" i="5" s="1"/>
  <c r="GE50" i="5"/>
  <c r="EZ50" i="5"/>
  <c r="ES50" i="5"/>
  <c r="CP50" i="5"/>
  <c r="CP52" i="5" s="1"/>
  <c r="CN50" i="5"/>
  <c r="FI50" i="5" s="1"/>
  <c r="FJ50" i="5" s="1"/>
  <c r="AS50" i="5"/>
  <c r="O48" i="5"/>
  <c r="M48" i="5"/>
  <c r="GE47" i="5"/>
  <c r="FK47" i="5"/>
  <c r="FL47" i="5" s="1"/>
  <c r="EW47" i="5"/>
  <c r="DE47" i="5"/>
  <c r="O47" i="5"/>
  <c r="A47" i="5"/>
  <c r="HT46" i="5"/>
  <c r="HT48" i="5" s="1"/>
  <c r="HO46" i="5"/>
  <c r="HO48" i="5" s="1"/>
  <c r="HN46" i="5"/>
  <c r="HN48" i="5" s="1"/>
  <c r="N46" i="5"/>
  <c r="CM45" i="5" s="1"/>
  <c r="HA45" i="5"/>
  <c r="GZ45" i="5"/>
  <c r="GV45" i="5"/>
  <c r="GU45" i="5"/>
  <c r="GP45" i="5"/>
  <c r="GO45" i="5"/>
  <c r="GN45" i="5"/>
  <c r="GL45" i="5"/>
  <c r="GK45" i="5" s="1"/>
  <c r="GE45" i="5"/>
  <c r="EZ45" i="5"/>
  <c r="ES45" i="5"/>
  <c r="CP45" i="5"/>
  <c r="CP47" i="5" s="1"/>
  <c r="CN45" i="5"/>
  <c r="AS45" i="5"/>
  <c r="U36" i="21"/>
  <c r="E25" i="19"/>
  <c r="D66" i="21"/>
  <c r="E24" i="19"/>
  <c r="G27" i="19"/>
  <c r="AM15" i="19"/>
  <c r="E29" i="19"/>
  <c r="E20" i="19"/>
  <c r="G29" i="19"/>
  <c r="E22" i="19"/>
  <c r="E27" i="19"/>
  <c r="G28" i="19"/>
  <c r="E19" i="19"/>
  <c r="E28" i="19"/>
  <c r="E21" i="19"/>
  <c r="E30" i="19"/>
  <c r="E33" i="19"/>
  <c r="H66" i="21"/>
  <c r="E26" i="19"/>
  <c r="CA5" i="19" l="1"/>
  <c r="U579" i="21" s="1"/>
  <c r="J306" i="21" s="1"/>
  <c r="J240" i="21" s="1"/>
  <c r="U579" i="20"/>
  <c r="HL154" i="5"/>
  <c r="HL156" i="5" s="1"/>
  <c r="GG742" i="5"/>
  <c r="HH743" i="5" s="1"/>
  <c r="HH745" i="5" s="1"/>
  <c r="CO732" i="5"/>
  <c r="IL732" i="5" s="1"/>
  <c r="GG694" i="5"/>
  <c r="HH695" i="5" s="1"/>
  <c r="HH697" i="5" s="1"/>
  <c r="GG689" i="5"/>
  <c r="HH690" i="5" s="1"/>
  <c r="HH692" i="5" s="1"/>
  <c r="GG649" i="5"/>
  <c r="HH650" i="5" s="1"/>
  <c r="HH652" i="5" s="1"/>
  <c r="GG639" i="5"/>
  <c r="HH640" i="5" s="1"/>
  <c r="HH642" i="5" s="1"/>
  <c r="GG581" i="5"/>
  <c r="HH582" i="5" s="1"/>
  <c r="HH584" i="5" s="1"/>
  <c r="GG445" i="5"/>
  <c r="HH446" i="5" s="1"/>
  <c r="HH448" i="5" s="1"/>
  <c r="CO649" i="5"/>
  <c r="FO649" i="5" s="1"/>
  <c r="FI704" i="5"/>
  <c r="FJ704" i="5" s="1"/>
  <c r="FP704" i="5" s="1"/>
  <c r="FI706" i="5"/>
  <c r="FJ706" i="5" s="1"/>
  <c r="FP706" i="5" s="1"/>
  <c r="FM706" i="5" s="1"/>
  <c r="FI649" i="5"/>
  <c r="FJ649" i="5" s="1"/>
  <c r="HL650" i="5" s="1"/>
  <c r="HL652" i="5" s="1"/>
  <c r="GG664" i="5"/>
  <c r="HH665" i="5" s="1"/>
  <c r="HH667" i="5" s="1"/>
  <c r="GG674" i="5"/>
  <c r="HH675" i="5" s="1"/>
  <c r="HH677" i="5" s="1"/>
  <c r="HM773" i="5"/>
  <c r="HM775" i="5" s="1"/>
  <c r="GK664" i="5"/>
  <c r="FO573" i="5"/>
  <c r="EU576" i="5"/>
  <c r="EY704" i="5"/>
  <c r="GK435" i="5"/>
  <c r="GG362" i="5"/>
  <c r="HH363" i="5" s="1"/>
  <c r="HH365" i="5" s="1"/>
  <c r="GG337" i="5"/>
  <c r="HH338" i="5" s="1"/>
  <c r="HH340" i="5" s="1"/>
  <c r="GK337" i="5"/>
  <c r="ES326" i="5"/>
  <c r="GG304" i="5"/>
  <c r="HH305" i="5" s="1"/>
  <c r="HH307" i="5" s="1"/>
  <c r="GG231" i="5"/>
  <c r="HH232" i="5" s="1"/>
  <c r="HH234" i="5" s="1"/>
  <c r="GG171" i="5"/>
  <c r="HH172" i="5" s="1"/>
  <c r="HH174" i="5" s="1"/>
  <c r="GG148" i="5"/>
  <c r="HH149" i="5" s="1"/>
  <c r="HH151" i="5" s="1"/>
  <c r="GG128" i="5"/>
  <c r="HH129" i="5" s="1"/>
  <c r="HH131" i="5" s="1"/>
  <c r="GG113" i="5"/>
  <c r="HH114" i="5" s="1"/>
  <c r="HH116" i="5" s="1"/>
  <c r="CO113" i="5"/>
  <c r="IL113" i="5" s="1"/>
  <c r="IK113" i="5" s="1"/>
  <c r="FI113" i="5"/>
  <c r="FJ113" i="5" s="1"/>
  <c r="FP113" i="5" s="1"/>
  <c r="GG782" i="5"/>
  <c r="HH783" i="5" s="1"/>
  <c r="HH785" i="5" s="1"/>
  <c r="GK742" i="5"/>
  <c r="GG762" i="5"/>
  <c r="HH763" i="5" s="1"/>
  <c r="HH765" i="5" s="1"/>
  <c r="GK747" i="5"/>
  <c r="GL690" i="5"/>
  <c r="GL692" i="5" s="1"/>
  <c r="IM706" i="5"/>
  <c r="GG644" i="5"/>
  <c r="HH645" i="5" s="1"/>
  <c r="HH647" i="5" s="1"/>
  <c r="GK694" i="5"/>
  <c r="CO606" i="5"/>
  <c r="IK606" i="5" s="1"/>
  <c r="GG561" i="5"/>
  <c r="HH562" i="5" s="1"/>
  <c r="HH564" i="5" s="1"/>
  <c r="GG601" i="5"/>
  <c r="HH602" i="5" s="1"/>
  <c r="HH604" i="5" s="1"/>
  <c r="FB613" i="5"/>
  <c r="CO566" i="5"/>
  <c r="FO566" i="5" s="1"/>
  <c r="FI608" i="5"/>
  <c r="FJ608" i="5" s="1"/>
  <c r="FP608" i="5" s="1"/>
  <c r="FM608" i="5" s="1"/>
  <c r="GG548" i="5"/>
  <c r="HH549" i="5" s="1"/>
  <c r="HH551" i="5" s="1"/>
  <c r="GG483" i="5"/>
  <c r="HH484" i="5" s="1"/>
  <c r="HH486" i="5" s="1"/>
  <c r="GG533" i="5"/>
  <c r="HH534" i="5" s="1"/>
  <c r="HH536" i="5" s="1"/>
  <c r="GG420" i="5"/>
  <c r="HH421" i="5" s="1"/>
  <c r="HH423" i="5" s="1"/>
  <c r="CO357" i="5"/>
  <c r="IL357" i="5" s="1"/>
  <c r="IK357" i="5" s="1"/>
  <c r="FI357" i="5"/>
  <c r="FJ357" i="5" s="1"/>
  <c r="HL358" i="5" s="1"/>
  <c r="HL360" i="5" s="1"/>
  <c r="GL363" i="5"/>
  <c r="GL365" i="5" s="1"/>
  <c r="GG372" i="5"/>
  <c r="HH373" i="5" s="1"/>
  <c r="HH375" i="5" s="1"/>
  <c r="GG249" i="5"/>
  <c r="HH250" i="5" s="1"/>
  <c r="HH252" i="5" s="1"/>
  <c r="GG259" i="5"/>
  <c r="HH260" i="5" s="1"/>
  <c r="HH262" i="5" s="1"/>
  <c r="CO221" i="5"/>
  <c r="IL221" i="5" s="1"/>
  <c r="IK221" i="5" s="1"/>
  <c r="FI221" i="5"/>
  <c r="FJ221" i="5" s="1"/>
  <c r="FP221" i="5" s="1"/>
  <c r="FI155" i="5"/>
  <c r="FJ155" i="5" s="1"/>
  <c r="FP155" i="5" s="1"/>
  <c r="GG108" i="5"/>
  <c r="HH109" i="5" s="1"/>
  <c r="HH111" i="5" s="1"/>
  <c r="GG85" i="5"/>
  <c r="HH86" i="5" s="1"/>
  <c r="HH88" i="5" s="1"/>
  <c r="GG787" i="5"/>
  <c r="HH788" i="5" s="1"/>
  <c r="HH790" i="5" s="1"/>
  <c r="FI784" i="5"/>
  <c r="FJ784" i="5" s="1"/>
  <c r="FP784" i="5" s="1"/>
  <c r="FM784" i="5" s="1"/>
  <c r="CO782" i="5"/>
  <c r="IL782" i="5" s="1"/>
  <c r="FI782" i="5"/>
  <c r="FJ782" i="5" s="1"/>
  <c r="FP782" i="5" s="1"/>
  <c r="AJ784" i="5"/>
  <c r="FB784" i="5"/>
  <c r="HM778" i="5"/>
  <c r="HM780" i="5" s="1"/>
  <c r="GG777" i="5"/>
  <c r="HH778" i="5" s="1"/>
  <c r="HH780" i="5" s="1"/>
  <c r="FB779" i="5"/>
  <c r="CO777" i="5"/>
  <c r="IL777" i="5" s="1"/>
  <c r="IP777" i="5" s="1"/>
  <c r="FI777" i="5"/>
  <c r="FJ777" i="5" s="1"/>
  <c r="FP777" i="5" s="1"/>
  <c r="GK777" i="5"/>
  <c r="DF774" i="5"/>
  <c r="FR774" i="5" s="1"/>
  <c r="GG772" i="5"/>
  <c r="HH773" i="5" s="1"/>
  <c r="HH775" i="5" s="1"/>
  <c r="GK772" i="5"/>
  <c r="GG767" i="5"/>
  <c r="HH768" i="5" s="1"/>
  <c r="HH770" i="5" s="1"/>
  <c r="CO767" i="5"/>
  <c r="IO767" i="5" s="1"/>
  <c r="FI767" i="5"/>
  <c r="FJ767" i="5" s="1"/>
  <c r="HL768" i="5" s="1"/>
  <c r="HL770" i="5" s="1"/>
  <c r="FB769" i="5"/>
  <c r="GK767" i="5"/>
  <c r="HM763" i="5"/>
  <c r="HM765" i="5" s="1"/>
  <c r="HM758" i="5"/>
  <c r="HM760" i="5" s="1"/>
  <c r="GG757" i="5"/>
  <c r="HH758" i="5" s="1"/>
  <c r="HH760" i="5" s="1"/>
  <c r="GG752" i="5"/>
  <c r="HH753" i="5" s="1"/>
  <c r="HH755" i="5" s="1"/>
  <c r="CO752" i="5"/>
  <c r="IK752" i="5" s="1"/>
  <c r="FI752" i="5"/>
  <c r="FJ752" i="5" s="1"/>
  <c r="HL753" i="5" s="1"/>
  <c r="HL755" i="5" s="1"/>
  <c r="FB754" i="5"/>
  <c r="FI754" i="5"/>
  <c r="FJ754" i="5" s="1"/>
  <c r="FP754" i="5" s="1"/>
  <c r="FM754" i="5" s="1"/>
  <c r="GG747" i="5"/>
  <c r="HH748" i="5" s="1"/>
  <c r="HH750" i="5" s="1"/>
  <c r="HM748" i="5"/>
  <c r="HM750" i="5" s="1"/>
  <c r="CO747" i="5"/>
  <c r="FO747" i="5" s="1"/>
  <c r="AJ749" i="5"/>
  <c r="FB749" i="5"/>
  <c r="CO737" i="5"/>
  <c r="IM737" i="5" s="1"/>
  <c r="FI737" i="5"/>
  <c r="FJ737" i="5" s="1"/>
  <c r="FP737" i="5" s="1"/>
  <c r="GG732" i="5"/>
  <c r="HH733" i="5" s="1"/>
  <c r="HH735" i="5" s="1"/>
  <c r="FI734" i="5"/>
  <c r="FJ734" i="5" s="1"/>
  <c r="FP734" i="5" s="1"/>
  <c r="FQ734" i="5" s="1"/>
  <c r="GG727" i="5"/>
  <c r="HH728" i="5" s="1"/>
  <c r="HH730" i="5" s="1"/>
  <c r="CO727" i="5"/>
  <c r="FO727" i="5" s="1"/>
  <c r="CO729" i="5"/>
  <c r="GK727" i="5"/>
  <c r="GG722" i="5"/>
  <c r="HH723" i="5" s="1"/>
  <c r="HH725" i="5" s="1"/>
  <c r="FI722" i="5"/>
  <c r="FJ722" i="5" s="1"/>
  <c r="FP722" i="5" s="1"/>
  <c r="GL723" i="5"/>
  <c r="GL725" i="5" s="1"/>
  <c r="GG717" i="5"/>
  <c r="HH718" i="5" s="1"/>
  <c r="HH720" i="5" s="1"/>
  <c r="CO717" i="5"/>
  <c r="IL717" i="5" s="1"/>
  <c r="IK717" i="5" s="1"/>
  <c r="FI717" i="5"/>
  <c r="FJ717" i="5" s="1"/>
  <c r="FP717" i="5" s="1"/>
  <c r="CO719" i="5"/>
  <c r="IL719" i="5" s="1"/>
  <c r="GG709" i="5"/>
  <c r="HH710" i="5" s="1"/>
  <c r="HH712" i="5" s="1"/>
  <c r="FO711" i="5"/>
  <c r="GL710" i="5"/>
  <c r="GL712" i="5" s="1"/>
  <c r="CO704" i="5"/>
  <c r="IL704" i="5" s="1"/>
  <c r="FB706" i="5"/>
  <c r="GG699" i="5"/>
  <c r="HH700" i="5" s="1"/>
  <c r="HH702" i="5" s="1"/>
  <c r="FB701" i="5"/>
  <c r="CO699" i="5"/>
  <c r="IL699" i="5" s="1"/>
  <c r="GK699" i="5"/>
  <c r="HM695" i="5"/>
  <c r="HM697" i="5" s="1"/>
  <c r="EU694" i="5"/>
  <c r="EX696" i="5" s="1"/>
  <c r="EY696" i="5"/>
  <c r="EV696" i="5" s="1"/>
  <c r="HK695" i="5" s="1"/>
  <c r="HK697" i="5" s="1"/>
  <c r="GG684" i="5"/>
  <c r="HH685" i="5" s="1"/>
  <c r="HH687" i="5" s="1"/>
  <c r="EY684" i="5"/>
  <c r="CO686" i="5"/>
  <c r="IL686" i="5" s="1"/>
  <c r="IN686" i="5" s="1"/>
  <c r="FI686" i="5"/>
  <c r="FJ686" i="5" s="1"/>
  <c r="FP686" i="5" s="1"/>
  <c r="FM686" i="5" s="1"/>
  <c r="CO684" i="5"/>
  <c r="IO684" i="5" s="1"/>
  <c r="FI684" i="5"/>
  <c r="FJ684" i="5" s="1"/>
  <c r="FP684" i="5" s="1"/>
  <c r="FB686" i="5"/>
  <c r="GL685" i="5"/>
  <c r="GL687" i="5" s="1"/>
  <c r="GG679" i="5"/>
  <c r="HH680" i="5" s="1"/>
  <c r="HH682" i="5" s="1"/>
  <c r="CO679" i="5"/>
  <c r="IL679" i="5" s="1"/>
  <c r="FI681" i="5"/>
  <c r="FJ681" i="5" s="1"/>
  <c r="FP681" i="5" s="1"/>
  <c r="FM681" i="5" s="1"/>
  <c r="CO674" i="5"/>
  <c r="FO674" i="5" s="1"/>
  <c r="FB676" i="5"/>
  <c r="GK674" i="5"/>
  <c r="GG669" i="5"/>
  <c r="HH670" i="5" s="1"/>
  <c r="HH672" i="5" s="1"/>
  <c r="GL670" i="5"/>
  <c r="HM665" i="5"/>
  <c r="HM667" i="5" s="1"/>
  <c r="CO664" i="5"/>
  <c r="FO664" i="5" s="1"/>
  <c r="FO666" i="5"/>
  <c r="GG659" i="5"/>
  <c r="HH660" i="5" s="1"/>
  <c r="HH662" i="5" s="1"/>
  <c r="GG654" i="5"/>
  <c r="HH655" i="5" s="1"/>
  <c r="HH657" i="5" s="1"/>
  <c r="CO654" i="5"/>
  <c r="IK654" i="5" s="1"/>
  <c r="FI654" i="5"/>
  <c r="FJ654" i="5" s="1"/>
  <c r="HL655" i="5" s="1"/>
  <c r="HL657" i="5" s="1"/>
  <c r="GL655" i="5"/>
  <c r="FI651" i="5"/>
  <c r="FJ651" i="5" s="1"/>
  <c r="FP651" i="5" s="1"/>
  <c r="FM651" i="5" s="1"/>
  <c r="AJ646" i="5"/>
  <c r="FB646" i="5"/>
  <c r="CO644" i="5"/>
  <c r="FO644" i="5" s="1"/>
  <c r="GK644" i="5"/>
  <c r="FR641" i="5"/>
  <c r="GG631" i="5"/>
  <c r="HH632" i="5" s="1"/>
  <c r="HH634" i="5" s="1"/>
  <c r="GL632" i="5"/>
  <c r="HM627" i="5"/>
  <c r="HM629" i="5" s="1"/>
  <c r="FB628" i="5"/>
  <c r="CO626" i="5"/>
  <c r="FI626" i="5"/>
  <c r="FJ626" i="5" s="1"/>
  <c r="FP626" i="5" s="1"/>
  <c r="FI628" i="5"/>
  <c r="FJ628" i="5" s="1"/>
  <c r="FP628" i="5" s="1"/>
  <c r="FM628" i="5" s="1"/>
  <c r="GL627" i="5"/>
  <c r="GL629" i="5" s="1"/>
  <c r="HM622" i="5"/>
  <c r="HM624" i="5" s="1"/>
  <c r="GG621" i="5"/>
  <c r="HH622" i="5" s="1"/>
  <c r="HH624" i="5" s="1"/>
  <c r="CO623" i="5"/>
  <c r="IM623" i="5" s="1"/>
  <c r="FB623" i="5"/>
  <c r="CO621" i="5"/>
  <c r="HM617" i="5"/>
  <c r="HM619" i="5" s="1"/>
  <c r="GG616" i="5"/>
  <c r="HH617" i="5" s="1"/>
  <c r="HH619" i="5" s="1"/>
  <c r="HM612" i="5"/>
  <c r="HM614" i="5" s="1"/>
  <c r="IL613" i="5"/>
  <c r="CO611" i="5"/>
  <c r="IK611" i="5" s="1"/>
  <c r="FI611" i="5"/>
  <c r="FJ611" i="5" s="1"/>
  <c r="HL612" i="5" s="1"/>
  <c r="HL614" i="5" s="1"/>
  <c r="AJ613" i="5"/>
  <c r="FO613" i="5"/>
  <c r="GL612" i="5"/>
  <c r="GL614" i="5" s="1"/>
  <c r="HM607" i="5"/>
  <c r="HM609" i="5" s="1"/>
  <c r="GG606" i="5"/>
  <c r="HH607" i="5" s="1"/>
  <c r="HH609" i="5" s="1"/>
  <c r="CO608" i="5"/>
  <c r="IL608" i="5" s="1"/>
  <c r="IK608" i="5" s="1"/>
  <c r="GK606" i="5"/>
  <c r="HM602" i="5"/>
  <c r="HM604" i="5" s="1"/>
  <c r="FI601" i="5"/>
  <c r="FJ601" i="5" s="1"/>
  <c r="FP601" i="5" s="1"/>
  <c r="GL602" i="5"/>
  <c r="GL604" i="5" s="1"/>
  <c r="GG596" i="5"/>
  <c r="HH597" i="5" s="1"/>
  <c r="HH599" i="5" s="1"/>
  <c r="GL597" i="5"/>
  <c r="GL599" i="5" s="1"/>
  <c r="GG591" i="5"/>
  <c r="HH592" i="5" s="1"/>
  <c r="HH594" i="5" s="1"/>
  <c r="CO591" i="5"/>
  <c r="IM591" i="5" s="1"/>
  <c r="FI591" i="5"/>
  <c r="FJ591" i="5" s="1"/>
  <c r="HL592" i="5" s="1"/>
  <c r="HL594" i="5" s="1"/>
  <c r="CO593" i="5"/>
  <c r="IL593" i="5" s="1"/>
  <c r="FB593" i="5"/>
  <c r="FI593" i="5"/>
  <c r="FJ593" i="5" s="1"/>
  <c r="FP593" i="5" s="1"/>
  <c r="FM593" i="5" s="1"/>
  <c r="FO593" i="5"/>
  <c r="GK591" i="5"/>
  <c r="HM587" i="5"/>
  <c r="HM589" i="5" s="1"/>
  <c r="GG586" i="5"/>
  <c r="HH587" i="5" s="1"/>
  <c r="HH589" i="5" s="1"/>
  <c r="FI588" i="5"/>
  <c r="FJ588" i="5" s="1"/>
  <c r="FP588" i="5" s="1"/>
  <c r="FM588" i="5" s="1"/>
  <c r="GR586" i="5"/>
  <c r="HR587" i="5"/>
  <c r="HR589" i="5" s="1"/>
  <c r="HM582" i="5"/>
  <c r="HM584" i="5" s="1"/>
  <c r="EY581" i="5"/>
  <c r="EY583" i="5"/>
  <c r="EV583" i="5" s="1"/>
  <c r="AJ583" i="5"/>
  <c r="GR581" i="5"/>
  <c r="CO581" i="5"/>
  <c r="IK581" i="5" s="1"/>
  <c r="FI583" i="5"/>
  <c r="FJ583" i="5" s="1"/>
  <c r="FP583" i="5" s="1"/>
  <c r="FM583" i="5" s="1"/>
  <c r="HM577" i="5"/>
  <c r="HM579" i="5" s="1"/>
  <c r="GG576" i="5"/>
  <c r="HH577" i="5" s="1"/>
  <c r="HH579" i="5" s="1"/>
  <c r="EU578" i="5"/>
  <c r="EY578" i="5"/>
  <c r="EV578" i="5" s="1"/>
  <c r="HR577" i="5"/>
  <c r="HR579" i="5" s="1"/>
  <c r="GL577" i="5"/>
  <c r="GL579" i="5" s="1"/>
  <c r="HM572" i="5"/>
  <c r="HM574" i="5" s="1"/>
  <c r="GG571" i="5"/>
  <c r="HH572" i="5" s="1"/>
  <c r="HH574" i="5" s="1"/>
  <c r="CO571" i="5"/>
  <c r="FO571" i="5" s="1"/>
  <c r="FI571" i="5"/>
  <c r="FJ571" i="5" s="1"/>
  <c r="HL572" i="5" s="1"/>
  <c r="HL574" i="5" s="1"/>
  <c r="CO573" i="5"/>
  <c r="IP573" i="5" s="1"/>
  <c r="FI573" i="5"/>
  <c r="FJ573" i="5" s="1"/>
  <c r="FP573" i="5" s="1"/>
  <c r="FM573" i="5" s="1"/>
  <c r="GG566" i="5"/>
  <c r="HH567" i="5" s="1"/>
  <c r="HH569" i="5" s="1"/>
  <c r="FB568" i="5"/>
  <c r="GL567" i="5"/>
  <c r="GL569" i="5" s="1"/>
  <c r="HM562" i="5"/>
  <c r="HM564" i="5" s="1"/>
  <c r="GL562" i="5"/>
  <c r="GL564" i="5" s="1"/>
  <c r="GG553" i="5"/>
  <c r="HH554" i="5" s="1"/>
  <c r="HH556" i="5" s="1"/>
  <c r="FB550" i="5"/>
  <c r="FR550" i="5"/>
  <c r="CO548" i="5"/>
  <c r="IL548" i="5" s="1"/>
  <c r="FI548" i="5"/>
  <c r="FJ548" i="5" s="1"/>
  <c r="HL549" i="5" s="1"/>
  <c r="HL551" i="5" s="1"/>
  <c r="FI550" i="5"/>
  <c r="FJ550" i="5" s="1"/>
  <c r="FP550" i="5" s="1"/>
  <c r="HM544" i="5"/>
  <c r="HM546" i="5" s="1"/>
  <c r="GG543" i="5"/>
  <c r="HH544" i="5" s="1"/>
  <c r="HH546" i="5" s="1"/>
  <c r="CO543" i="5"/>
  <c r="IK543" i="5" s="1"/>
  <c r="FB545" i="5"/>
  <c r="GK543" i="5"/>
  <c r="GG538" i="5"/>
  <c r="HH539" i="5" s="1"/>
  <c r="HH541" i="5" s="1"/>
  <c r="CO538" i="5"/>
  <c r="FO538" i="5" s="1"/>
  <c r="GK538" i="5"/>
  <c r="HM529" i="5"/>
  <c r="HM531" i="5" s="1"/>
  <c r="GG528" i="5"/>
  <c r="HH529" i="5" s="1"/>
  <c r="HH531" i="5" s="1"/>
  <c r="FB530" i="5"/>
  <c r="FI530" i="5"/>
  <c r="FJ530" i="5" s="1"/>
  <c r="FP530" i="5" s="1"/>
  <c r="CO528" i="5"/>
  <c r="IM528" i="5" s="1"/>
  <c r="FI528" i="5"/>
  <c r="FJ528" i="5" s="1"/>
  <c r="HL529" i="5" s="1"/>
  <c r="HL531" i="5" s="1"/>
  <c r="GG523" i="5"/>
  <c r="HH524" i="5" s="1"/>
  <c r="HH526" i="5" s="1"/>
  <c r="HM524" i="5"/>
  <c r="HM526" i="5" s="1"/>
  <c r="EU523" i="5"/>
  <c r="EX523" i="5" s="1"/>
  <c r="EY523" i="5"/>
  <c r="AJ525" i="5"/>
  <c r="GG518" i="5"/>
  <c r="HH519" i="5" s="1"/>
  <c r="HH521" i="5" s="1"/>
  <c r="GK518" i="5"/>
  <c r="GG513" i="5"/>
  <c r="HH514" i="5" s="1"/>
  <c r="HH516" i="5" s="1"/>
  <c r="CO513" i="5"/>
  <c r="FI513" i="5"/>
  <c r="FJ513" i="5" s="1"/>
  <c r="FP513" i="5" s="1"/>
  <c r="CO515" i="5"/>
  <c r="FU515" i="5" s="1"/>
  <c r="FO515" i="5"/>
  <c r="FQ515" i="5" s="1"/>
  <c r="GL514" i="5"/>
  <c r="GL516" i="5" s="1"/>
  <c r="HM509" i="5"/>
  <c r="HM511" i="5" s="1"/>
  <c r="CO508" i="5"/>
  <c r="IL508" i="5" s="1"/>
  <c r="IK508" i="5" s="1"/>
  <c r="FI510" i="5"/>
  <c r="FJ510" i="5" s="1"/>
  <c r="FP510" i="5" s="1"/>
  <c r="FM510" i="5" s="1"/>
  <c r="GG503" i="5"/>
  <c r="HH504" i="5" s="1"/>
  <c r="HH506" i="5" s="1"/>
  <c r="FU505" i="5"/>
  <c r="GG498" i="5"/>
  <c r="HH499" i="5" s="1"/>
  <c r="HH501" i="5" s="1"/>
  <c r="FI500" i="5"/>
  <c r="FJ500" i="5" s="1"/>
  <c r="FP500" i="5" s="1"/>
  <c r="FM500" i="5" s="1"/>
  <c r="CO498" i="5"/>
  <c r="FI498" i="5"/>
  <c r="FJ498" i="5" s="1"/>
  <c r="HL499" i="5" s="1"/>
  <c r="HL501" i="5" s="1"/>
  <c r="CO500" i="5"/>
  <c r="IL500" i="5" s="1"/>
  <c r="IK500" i="5" s="1"/>
  <c r="FB500" i="5"/>
  <c r="GG493" i="5"/>
  <c r="HH494" i="5" s="1"/>
  <c r="HH496" i="5" s="1"/>
  <c r="HM494" i="5"/>
  <c r="HM496" i="5" s="1"/>
  <c r="GK493" i="5"/>
  <c r="GG488" i="5"/>
  <c r="HH489" i="5" s="1"/>
  <c r="HH491" i="5" s="1"/>
  <c r="FI488" i="5"/>
  <c r="FJ488" i="5" s="1"/>
  <c r="FP488" i="5" s="1"/>
  <c r="FO490" i="5"/>
  <c r="GL489" i="5"/>
  <c r="GL491" i="5" s="1"/>
  <c r="CO483" i="5"/>
  <c r="IL483" i="5" s="1"/>
  <c r="FI483" i="5"/>
  <c r="FJ483" i="5" s="1"/>
  <c r="FP483" i="5" s="1"/>
  <c r="FI485" i="5"/>
  <c r="FJ485" i="5" s="1"/>
  <c r="FP485" i="5" s="1"/>
  <c r="FB485" i="5"/>
  <c r="FR485" i="5"/>
  <c r="GG475" i="5"/>
  <c r="HH476" i="5" s="1"/>
  <c r="HH478" i="5" s="1"/>
  <c r="FO477" i="5"/>
  <c r="GL476" i="5"/>
  <c r="GL478" i="5" s="1"/>
  <c r="GG470" i="5"/>
  <c r="HH471" i="5" s="1"/>
  <c r="HH473" i="5" s="1"/>
  <c r="FI472" i="5"/>
  <c r="FJ472" i="5" s="1"/>
  <c r="FP472" i="5" s="1"/>
  <c r="CO470" i="5"/>
  <c r="IP470" i="5" s="1"/>
  <c r="GG465" i="5"/>
  <c r="HH466" i="5" s="1"/>
  <c r="HH468" i="5" s="1"/>
  <c r="CO465" i="5"/>
  <c r="IM465" i="5" s="1"/>
  <c r="IN465" i="5" s="1"/>
  <c r="FB467" i="5"/>
  <c r="GK465" i="5"/>
  <c r="GG460" i="5"/>
  <c r="HH461" i="5" s="1"/>
  <c r="HH463" i="5" s="1"/>
  <c r="EY462" i="5"/>
  <c r="EV462" i="5" s="1"/>
  <c r="GL461" i="5"/>
  <c r="GL463" i="5" s="1"/>
  <c r="GG455" i="5"/>
  <c r="HH456" i="5" s="1"/>
  <c r="HH458" i="5" s="1"/>
  <c r="CO455" i="5"/>
  <c r="IL455" i="5" s="1"/>
  <c r="FI455" i="5"/>
  <c r="FJ455" i="5" s="1"/>
  <c r="FP455" i="5" s="1"/>
  <c r="FO457" i="5"/>
  <c r="GL456" i="5"/>
  <c r="GL458" i="5" s="1"/>
  <c r="HM451" i="5"/>
  <c r="HM453" i="5" s="1"/>
  <c r="CO445" i="5"/>
  <c r="FO445" i="5" s="1"/>
  <c r="FB447" i="5"/>
  <c r="GK445" i="5"/>
  <c r="GG440" i="5"/>
  <c r="HH441" i="5" s="1"/>
  <c r="HH443" i="5" s="1"/>
  <c r="FI442" i="5"/>
  <c r="FJ442" i="5" s="1"/>
  <c r="FP442" i="5" s="1"/>
  <c r="FM442" i="5" s="1"/>
  <c r="GG435" i="5"/>
  <c r="HH436" i="5" s="1"/>
  <c r="HH438" i="5" s="1"/>
  <c r="CO435" i="5"/>
  <c r="FI435" i="5"/>
  <c r="FJ435" i="5" s="1"/>
  <c r="HL436" i="5" s="1"/>
  <c r="HL438" i="5" s="1"/>
  <c r="FB437" i="5"/>
  <c r="GG430" i="5"/>
  <c r="HH431" i="5" s="1"/>
  <c r="HH433" i="5" s="1"/>
  <c r="FB432" i="5"/>
  <c r="FI432" i="5"/>
  <c r="FJ432" i="5" s="1"/>
  <c r="FP432" i="5" s="1"/>
  <c r="CO430" i="5"/>
  <c r="IL430" i="5" s="1"/>
  <c r="FI430" i="5"/>
  <c r="FJ430" i="5" s="1"/>
  <c r="GK430" i="5"/>
  <c r="GG425" i="5"/>
  <c r="HH426" i="5" s="1"/>
  <c r="HH428" i="5" s="1"/>
  <c r="GR425" i="5"/>
  <c r="GK420" i="5"/>
  <c r="GG415" i="5"/>
  <c r="HH416" i="5" s="1"/>
  <c r="HH418" i="5" s="1"/>
  <c r="FI415" i="5"/>
  <c r="FJ415" i="5" s="1"/>
  <c r="FP415" i="5" s="1"/>
  <c r="CO417" i="5"/>
  <c r="IM417" i="5" s="1"/>
  <c r="GL416" i="5"/>
  <c r="FI410" i="5"/>
  <c r="FJ410" i="5" s="1"/>
  <c r="HL411" i="5" s="1"/>
  <c r="HL413" i="5" s="1"/>
  <c r="FI412" i="5"/>
  <c r="FJ412" i="5" s="1"/>
  <c r="FP412" i="5" s="1"/>
  <c r="FM412" i="5" s="1"/>
  <c r="CO410" i="5"/>
  <c r="IL410" i="5" s="1"/>
  <c r="FB412" i="5"/>
  <c r="GG405" i="5"/>
  <c r="HH406" i="5" s="1"/>
  <c r="HH408" i="5" s="1"/>
  <c r="FB407" i="5"/>
  <c r="FI407" i="5"/>
  <c r="FJ407" i="5" s="1"/>
  <c r="FP407" i="5" s="1"/>
  <c r="FM407" i="5" s="1"/>
  <c r="CO405" i="5"/>
  <c r="FO405" i="5" s="1"/>
  <c r="GG397" i="5"/>
  <c r="HH398" i="5" s="1"/>
  <c r="HH400" i="5" s="1"/>
  <c r="FI397" i="5"/>
  <c r="FJ397" i="5" s="1"/>
  <c r="FP397" i="5" s="1"/>
  <c r="GL398" i="5"/>
  <c r="GL400" i="5" s="1"/>
  <c r="CO392" i="5"/>
  <c r="IL392" i="5" s="1"/>
  <c r="FB394" i="5"/>
  <c r="FI392" i="5"/>
  <c r="FJ392" i="5" s="1"/>
  <c r="FI394" i="5"/>
  <c r="FJ394" i="5" s="1"/>
  <c r="FP394" i="5" s="1"/>
  <c r="FM394" i="5" s="1"/>
  <c r="GG387" i="5"/>
  <c r="HH388" i="5" s="1"/>
  <c r="HH390" i="5" s="1"/>
  <c r="CO387" i="5"/>
  <c r="IL387" i="5" s="1"/>
  <c r="FB389" i="5"/>
  <c r="FI389" i="5"/>
  <c r="FJ389" i="5" s="1"/>
  <c r="FP389" i="5" s="1"/>
  <c r="FM389" i="5" s="1"/>
  <c r="GK387" i="5"/>
  <c r="GG382" i="5"/>
  <c r="HH383" i="5" s="1"/>
  <c r="HH385" i="5" s="1"/>
  <c r="CO382" i="5"/>
  <c r="FO382" i="5" s="1"/>
  <c r="GK382" i="5"/>
  <c r="FI379" i="5"/>
  <c r="FJ379" i="5" s="1"/>
  <c r="FP379" i="5" s="1"/>
  <c r="FM379" i="5" s="1"/>
  <c r="HM373" i="5"/>
  <c r="HM375" i="5" s="1"/>
  <c r="CO372" i="5"/>
  <c r="IN372" i="5" s="1"/>
  <c r="FI372" i="5"/>
  <c r="FJ372" i="5" s="1"/>
  <c r="HL373" i="5" s="1"/>
  <c r="HL375" i="5" s="1"/>
  <c r="FB374" i="5"/>
  <c r="IL374" i="5"/>
  <c r="IP374" i="5" s="1"/>
  <c r="GK372" i="5"/>
  <c r="GG367" i="5"/>
  <c r="HH368" i="5" s="1"/>
  <c r="HH370" i="5" s="1"/>
  <c r="HM368" i="5"/>
  <c r="HM370" i="5" s="1"/>
  <c r="EU367" i="5"/>
  <c r="EX367" i="5" s="1"/>
  <c r="GL368" i="5"/>
  <c r="GL370" i="5" s="1"/>
  <c r="FI362" i="5"/>
  <c r="FJ362" i="5" s="1"/>
  <c r="FP362" i="5" s="1"/>
  <c r="CO364" i="5"/>
  <c r="FU364" i="5" s="1"/>
  <c r="HM358" i="5"/>
  <c r="HM360" i="5" s="1"/>
  <c r="GG357" i="5"/>
  <c r="HH358" i="5" s="1"/>
  <c r="HH360" i="5" s="1"/>
  <c r="FI359" i="5"/>
  <c r="FJ359" i="5" s="1"/>
  <c r="FP359" i="5" s="1"/>
  <c r="FM359" i="5" s="1"/>
  <c r="FR359" i="5"/>
  <c r="GK357" i="5"/>
  <c r="GG352" i="5"/>
  <c r="HH353" i="5" s="1"/>
  <c r="HH355" i="5" s="1"/>
  <c r="CO354" i="5"/>
  <c r="IL354" i="5" s="1"/>
  <c r="IK354" i="5" s="1"/>
  <c r="FI354" i="5"/>
  <c r="FJ354" i="5" s="1"/>
  <c r="FP354" i="5" s="1"/>
  <c r="FM354" i="5" s="1"/>
  <c r="CO352" i="5"/>
  <c r="IL352" i="5" s="1"/>
  <c r="FB354" i="5"/>
  <c r="GK352" i="5"/>
  <c r="GG347" i="5"/>
  <c r="HH348" i="5" s="1"/>
  <c r="HH350" i="5" s="1"/>
  <c r="GG342" i="5"/>
  <c r="HH343" i="5" s="1"/>
  <c r="HH345" i="5" s="1"/>
  <c r="EY342" i="5"/>
  <c r="EY344" i="5"/>
  <c r="EV344" i="5" s="1"/>
  <c r="HR343" i="5"/>
  <c r="HR345" i="5" s="1"/>
  <c r="GL343" i="5"/>
  <c r="GL345" i="5" s="1"/>
  <c r="GG332" i="5"/>
  <c r="HH333" i="5" s="1"/>
  <c r="HH335" i="5" s="1"/>
  <c r="EY332" i="5"/>
  <c r="GR332" i="5"/>
  <c r="HR333" i="5"/>
  <c r="HR335" i="5" s="1"/>
  <c r="FI332" i="5"/>
  <c r="FJ332" i="5" s="1"/>
  <c r="GL333" i="5"/>
  <c r="GL335" i="5" s="1"/>
  <c r="HM328" i="5"/>
  <c r="HM330" i="5" s="1"/>
  <c r="FB329" i="5"/>
  <c r="CO327" i="5"/>
  <c r="FI327" i="5"/>
  <c r="FJ327" i="5" s="1"/>
  <c r="HL328" i="5" s="1"/>
  <c r="HL330" i="5" s="1"/>
  <c r="FI329" i="5"/>
  <c r="FJ329" i="5" s="1"/>
  <c r="FP329" i="5" s="1"/>
  <c r="FM329" i="5" s="1"/>
  <c r="GK327" i="5"/>
  <c r="HM320" i="5"/>
  <c r="HM322" i="5" s="1"/>
  <c r="GG319" i="5"/>
  <c r="HH320" i="5" s="1"/>
  <c r="HH322" i="5" s="1"/>
  <c r="EU319" i="5"/>
  <c r="EX321" i="5" s="1"/>
  <c r="EY321" i="5"/>
  <c r="EV321" i="5" s="1"/>
  <c r="HK320" i="5" s="1"/>
  <c r="HK322" i="5" s="1"/>
  <c r="FR321" i="5"/>
  <c r="GG314" i="5"/>
  <c r="HH315" i="5" s="1"/>
  <c r="HH317" i="5" s="1"/>
  <c r="GL315" i="5"/>
  <c r="GL317" i="5" s="1"/>
  <c r="GG309" i="5"/>
  <c r="HH310" i="5" s="1"/>
  <c r="HH312" i="5" s="1"/>
  <c r="CO309" i="5"/>
  <c r="IL309" i="5" s="1"/>
  <c r="FI309" i="5"/>
  <c r="FJ309" i="5" s="1"/>
  <c r="HL310" i="5" s="1"/>
  <c r="HL312" i="5" s="1"/>
  <c r="FI311" i="5"/>
  <c r="FJ311" i="5" s="1"/>
  <c r="FP311" i="5" s="1"/>
  <c r="FM311" i="5" s="1"/>
  <c r="CO311" i="5"/>
  <c r="GL310" i="5"/>
  <c r="HM305" i="5"/>
  <c r="HM307" i="5" s="1"/>
  <c r="GL305" i="5"/>
  <c r="GL307" i="5" s="1"/>
  <c r="GG299" i="5"/>
  <c r="HH300" i="5" s="1"/>
  <c r="HH302" i="5" s="1"/>
  <c r="CO299" i="5"/>
  <c r="IL299" i="5" s="1"/>
  <c r="IK299" i="5" s="1"/>
  <c r="FI299" i="5"/>
  <c r="FJ299" i="5" s="1"/>
  <c r="CO301" i="5"/>
  <c r="FU301" i="5" s="1"/>
  <c r="GG294" i="5"/>
  <c r="HH295" i="5" s="1"/>
  <c r="HH297" i="5" s="1"/>
  <c r="FB296" i="5"/>
  <c r="FR296" i="5"/>
  <c r="FI296" i="5"/>
  <c r="FJ296" i="5" s="1"/>
  <c r="FP296" i="5" s="1"/>
  <c r="FM296" i="5" s="1"/>
  <c r="CO294" i="5"/>
  <c r="IL294" i="5" s="1"/>
  <c r="FI294" i="5"/>
  <c r="FJ294" i="5" s="1"/>
  <c r="HL295" i="5" s="1"/>
  <c r="HL297" i="5" s="1"/>
  <c r="GG289" i="5"/>
  <c r="HH290" i="5" s="1"/>
  <c r="HH292" i="5" s="1"/>
  <c r="CO289" i="5"/>
  <c r="IL289" i="5" s="1"/>
  <c r="GL290" i="5"/>
  <c r="GL292" i="5" s="1"/>
  <c r="GG284" i="5"/>
  <c r="HH285" i="5" s="1"/>
  <c r="HH287" i="5" s="1"/>
  <c r="FI284" i="5"/>
  <c r="FJ284" i="5" s="1"/>
  <c r="HL285" i="5" s="1"/>
  <c r="HL287" i="5" s="1"/>
  <c r="GG279" i="5"/>
  <c r="HH280" i="5" s="1"/>
  <c r="HH282" i="5" s="1"/>
  <c r="CO279" i="5"/>
  <c r="FI279" i="5"/>
  <c r="FJ279" i="5" s="1"/>
  <c r="FB281" i="5"/>
  <c r="CO281" i="5"/>
  <c r="FU281" i="5" s="1"/>
  <c r="GK279" i="5"/>
  <c r="GG274" i="5"/>
  <c r="HH275" i="5" s="1"/>
  <c r="HH277" i="5" s="1"/>
  <c r="GK274" i="5"/>
  <c r="HM270" i="5"/>
  <c r="HM272" i="5" s="1"/>
  <c r="GG269" i="5"/>
  <c r="HH270" i="5" s="1"/>
  <c r="HH272" i="5" s="1"/>
  <c r="CO269" i="5"/>
  <c r="CO271" i="5"/>
  <c r="GG264" i="5"/>
  <c r="HH265" i="5" s="1"/>
  <c r="HH267" i="5" s="1"/>
  <c r="CO264" i="5"/>
  <c r="IL264" i="5" s="1"/>
  <c r="IK264" i="5" s="1"/>
  <c r="FI264" i="5"/>
  <c r="FJ264" i="5" s="1"/>
  <c r="FP264" i="5" s="1"/>
  <c r="FB266" i="5"/>
  <c r="CO266" i="5"/>
  <c r="FU266" i="5" s="1"/>
  <c r="GK264" i="5"/>
  <c r="FI261" i="5"/>
  <c r="FJ261" i="5" s="1"/>
  <c r="FP261" i="5" s="1"/>
  <c r="GG254" i="5"/>
  <c r="HH255" i="5" s="1"/>
  <c r="HH257" i="5" s="1"/>
  <c r="FI256" i="5"/>
  <c r="FJ256" i="5" s="1"/>
  <c r="FP256" i="5" s="1"/>
  <c r="FM256" i="5" s="1"/>
  <c r="CO254" i="5"/>
  <c r="IL254" i="5" s="1"/>
  <c r="FI254" i="5"/>
  <c r="FJ254" i="5" s="1"/>
  <c r="FB256" i="5"/>
  <c r="CO249" i="5"/>
  <c r="IL249" i="5" s="1"/>
  <c r="AJ251" i="5"/>
  <c r="FB251" i="5"/>
  <c r="GK249" i="5"/>
  <c r="GG241" i="5"/>
  <c r="HH242" i="5" s="1"/>
  <c r="HH244" i="5" s="1"/>
  <c r="FI241" i="5"/>
  <c r="FJ241" i="5" s="1"/>
  <c r="FP241" i="5" s="1"/>
  <c r="GL242" i="5"/>
  <c r="CO236" i="5"/>
  <c r="IL236" i="5" s="1"/>
  <c r="FB238" i="5"/>
  <c r="FI236" i="5"/>
  <c r="FJ236" i="5" s="1"/>
  <c r="FP236" i="5" s="1"/>
  <c r="FI238" i="5"/>
  <c r="FJ238" i="5" s="1"/>
  <c r="FP238" i="5" s="1"/>
  <c r="FM238" i="5" s="1"/>
  <c r="CO231" i="5"/>
  <c r="IL231" i="5" s="1"/>
  <c r="FB233" i="5"/>
  <c r="GK231" i="5"/>
  <c r="HM227" i="5"/>
  <c r="HM229" i="5" s="1"/>
  <c r="GG226" i="5"/>
  <c r="HH227" i="5" s="1"/>
  <c r="HH229" i="5" s="1"/>
  <c r="HR227" i="5"/>
  <c r="HR229" i="5" s="1"/>
  <c r="AJ228" i="5"/>
  <c r="FB228" i="5"/>
  <c r="CO228" i="5"/>
  <c r="FU228" i="5" s="1"/>
  <c r="GL227" i="5"/>
  <c r="HL222" i="5"/>
  <c r="HL224" i="5" s="1"/>
  <c r="GG221" i="5"/>
  <c r="HH222" i="5" s="1"/>
  <c r="HH224" i="5" s="1"/>
  <c r="CO223" i="5"/>
  <c r="FU223" i="5" s="1"/>
  <c r="FB223" i="5"/>
  <c r="FI223" i="5"/>
  <c r="FJ223" i="5" s="1"/>
  <c r="FP223" i="5" s="1"/>
  <c r="FM223" i="5" s="1"/>
  <c r="GK221" i="5"/>
  <c r="GG216" i="5"/>
  <c r="HH217" i="5" s="1"/>
  <c r="HH219" i="5" s="1"/>
  <c r="GL217" i="5"/>
  <c r="GL219" i="5" s="1"/>
  <c r="GG211" i="5"/>
  <c r="HH212" i="5" s="1"/>
  <c r="HH214" i="5" s="1"/>
  <c r="CO211" i="5"/>
  <c r="IL211" i="5" s="1"/>
  <c r="GK211" i="5"/>
  <c r="HM207" i="5"/>
  <c r="HM209" i="5" s="1"/>
  <c r="GG206" i="5"/>
  <c r="HH207" i="5" s="1"/>
  <c r="HH209" i="5" s="1"/>
  <c r="AJ208" i="5"/>
  <c r="EX206" i="5"/>
  <c r="GK206" i="5"/>
  <c r="HM202" i="5"/>
  <c r="HM204" i="5" s="1"/>
  <c r="GG201" i="5"/>
  <c r="HH202" i="5" s="1"/>
  <c r="HH204" i="5" s="1"/>
  <c r="GK201" i="5"/>
  <c r="GG196" i="5"/>
  <c r="HH197" i="5" s="1"/>
  <c r="HH199" i="5" s="1"/>
  <c r="GL197" i="5"/>
  <c r="GL199" i="5" s="1"/>
  <c r="GG191" i="5"/>
  <c r="HH192" i="5" s="1"/>
  <c r="HH194" i="5" s="1"/>
  <c r="HM192" i="5"/>
  <c r="HM194" i="5" s="1"/>
  <c r="CO191" i="5"/>
  <c r="IL191" i="5" s="1"/>
  <c r="IK191" i="5" s="1"/>
  <c r="FI191" i="5"/>
  <c r="FJ191" i="5" s="1"/>
  <c r="FP191" i="5" s="1"/>
  <c r="AJ193" i="5"/>
  <c r="CO193" i="5"/>
  <c r="FU193" i="5" s="1"/>
  <c r="FB193" i="5"/>
  <c r="FI193" i="5"/>
  <c r="FJ193" i="5" s="1"/>
  <c r="FP193" i="5" s="1"/>
  <c r="FM193" i="5" s="1"/>
  <c r="GG186" i="5"/>
  <c r="HH187" i="5" s="1"/>
  <c r="HH189" i="5" s="1"/>
  <c r="FI188" i="5"/>
  <c r="FJ188" i="5" s="1"/>
  <c r="FP188" i="5" s="1"/>
  <c r="FM188" i="5" s="1"/>
  <c r="FI186" i="5"/>
  <c r="FJ186" i="5" s="1"/>
  <c r="FP186" i="5" s="1"/>
  <c r="CO188" i="5"/>
  <c r="FR188" i="5"/>
  <c r="GG181" i="5"/>
  <c r="HH182" i="5" s="1"/>
  <c r="HH184" i="5" s="1"/>
  <c r="CO181" i="5"/>
  <c r="IL181" i="5" s="1"/>
  <c r="GL182" i="5"/>
  <c r="GL184" i="5" s="1"/>
  <c r="GG176" i="5"/>
  <c r="HH177" i="5" s="1"/>
  <c r="HH179" i="5" s="1"/>
  <c r="CO178" i="5"/>
  <c r="FB173" i="5"/>
  <c r="CO171" i="5"/>
  <c r="FI171" i="5"/>
  <c r="FJ171" i="5" s="1"/>
  <c r="HL172" i="5" s="1"/>
  <c r="HL174" i="5" s="1"/>
  <c r="GK171" i="5"/>
  <c r="GG163" i="5"/>
  <c r="HH164" i="5" s="1"/>
  <c r="HH166" i="5" s="1"/>
  <c r="FI163" i="5"/>
  <c r="FJ163" i="5" s="1"/>
  <c r="FP163" i="5" s="1"/>
  <c r="GG158" i="5"/>
  <c r="HH159" i="5" s="1"/>
  <c r="HH161" i="5" s="1"/>
  <c r="GG153" i="5"/>
  <c r="HH154" i="5" s="1"/>
  <c r="HH156" i="5" s="1"/>
  <c r="HM149" i="5"/>
  <c r="HM151" i="5" s="1"/>
  <c r="CO148" i="5"/>
  <c r="FI148" i="5"/>
  <c r="FJ148" i="5" s="1"/>
  <c r="HL149" i="5" s="1"/>
  <c r="HL151" i="5" s="1"/>
  <c r="FI150" i="5"/>
  <c r="FJ150" i="5" s="1"/>
  <c r="FP150" i="5" s="1"/>
  <c r="FB150" i="5"/>
  <c r="GG143" i="5"/>
  <c r="HH144" i="5" s="1"/>
  <c r="HH146" i="5" s="1"/>
  <c r="CO143" i="5"/>
  <c r="FI143" i="5"/>
  <c r="FJ143" i="5" s="1"/>
  <c r="HL144" i="5" s="1"/>
  <c r="HL146" i="5" s="1"/>
  <c r="FB145" i="5"/>
  <c r="GG138" i="5"/>
  <c r="HH139" i="5" s="1"/>
  <c r="HH141" i="5" s="1"/>
  <c r="FI138" i="5"/>
  <c r="FJ138" i="5" s="1"/>
  <c r="FP138" i="5" s="1"/>
  <c r="GG133" i="5"/>
  <c r="HH134" i="5" s="1"/>
  <c r="HH136" i="5" s="1"/>
  <c r="FI130" i="5"/>
  <c r="FJ130" i="5" s="1"/>
  <c r="FP130" i="5" s="1"/>
  <c r="FM130" i="5" s="1"/>
  <c r="GG123" i="5"/>
  <c r="HH124" i="5" s="1"/>
  <c r="HH126" i="5" s="1"/>
  <c r="CO123" i="5"/>
  <c r="CO125" i="5"/>
  <c r="GK123" i="5"/>
  <c r="GG118" i="5"/>
  <c r="HH119" i="5" s="1"/>
  <c r="HH121" i="5" s="1"/>
  <c r="FB120" i="5"/>
  <c r="FI120" i="5"/>
  <c r="FJ120" i="5" s="1"/>
  <c r="FP120" i="5" s="1"/>
  <c r="FM120" i="5" s="1"/>
  <c r="CO118" i="5"/>
  <c r="IL118" i="5" s="1"/>
  <c r="IK118" i="5" s="1"/>
  <c r="FI118" i="5"/>
  <c r="FJ118" i="5" s="1"/>
  <c r="FP118" i="5" s="1"/>
  <c r="GL119" i="5"/>
  <c r="GK113" i="5"/>
  <c r="HM109" i="5"/>
  <c r="HM111" i="5" s="1"/>
  <c r="FB110" i="5"/>
  <c r="CO108" i="5"/>
  <c r="IL108" i="5" s="1"/>
  <c r="FI108" i="5"/>
  <c r="FJ108" i="5" s="1"/>
  <c r="FP108" i="5" s="1"/>
  <c r="FI110" i="5"/>
  <c r="FJ110" i="5" s="1"/>
  <c r="FP110" i="5" s="1"/>
  <c r="FM110" i="5" s="1"/>
  <c r="GL109" i="5"/>
  <c r="GL111" i="5" s="1"/>
  <c r="GG103" i="5"/>
  <c r="HH104" i="5" s="1"/>
  <c r="HH106" i="5" s="1"/>
  <c r="GK103" i="5"/>
  <c r="GG98" i="5"/>
  <c r="HH99" i="5" s="1"/>
  <c r="HH101" i="5" s="1"/>
  <c r="EU98" i="5"/>
  <c r="EX98" i="5" s="1"/>
  <c r="CO98" i="5"/>
  <c r="IL98" i="5" s="1"/>
  <c r="FI98" i="5"/>
  <c r="FJ98" i="5" s="1"/>
  <c r="FP98" i="5" s="1"/>
  <c r="FB100" i="5"/>
  <c r="GK98" i="5"/>
  <c r="GG93" i="5"/>
  <c r="HH94" i="5" s="1"/>
  <c r="HH96" i="5" s="1"/>
  <c r="FI87" i="5"/>
  <c r="FJ87" i="5" s="1"/>
  <c r="FP87" i="5" s="1"/>
  <c r="FI85" i="5"/>
  <c r="FJ85" i="5" s="1"/>
  <c r="FP85" i="5" s="1"/>
  <c r="GG80" i="5"/>
  <c r="HH81" i="5" s="1"/>
  <c r="HH83" i="5" s="1"/>
  <c r="HM81" i="5"/>
  <c r="HM83" i="5" s="1"/>
  <c r="FB82" i="5"/>
  <c r="CO80" i="5"/>
  <c r="IL80" i="5" s="1"/>
  <c r="FI80" i="5"/>
  <c r="FJ80" i="5" s="1"/>
  <c r="HL81" i="5" s="1"/>
  <c r="HL83" i="5" s="1"/>
  <c r="FI82" i="5"/>
  <c r="FJ82" i="5" s="1"/>
  <c r="FP82" i="5" s="1"/>
  <c r="FM82" i="5" s="1"/>
  <c r="GK80" i="5"/>
  <c r="GG75" i="5"/>
  <c r="HH76" i="5" s="1"/>
  <c r="HH78" i="5" s="1"/>
  <c r="EU75" i="5"/>
  <c r="EX75" i="5" s="1"/>
  <c r="EY77" i="5"/>
  <c r="EV77" i="5" s="1"/>
  <c r="GK75" i="5"/>
  <c r="GG70" i="5"/>
  <c r="HH71" i="5" s="1"/>
  <c r="HH73" i="5" s="1"/>
  <c r="HM71" i="5"/>
  <c r="HM73" i="5" s="1"/>
  <c r="FI72" i="5"/>
  <c r="FJ72" i="5" s="1"/>
  <c r="FP72" i="5" s="1"/>
  <c r="FM72" i="5" s="1"/>
  <c r="FI70" i="5"/>
  <c r="FJ70" i="5" s="1"/>
  <c r="GG65" i="5"/>
  <c r="HH66" i="5" s="1"/>
  <c r="HH68" i="5" s="1"/>
  <c r="FI65" i="5"/>
  <c r="FJ65" i="5" s="1"/>
  <c r="FP65" i="5" s="1"/>
  <c r="GL66" i="5"/>
  <c r="GL68" i="5" s="1"/>
  <c r="GG60" i="5"/>
  <c r="HH61" i="5" s="1"/>
  <c r="HH63" i="5" s="1"/>
  <c r="EY60" i="5"/>
  <c r="EU62" i="5"/>
  <c r="EU60" i="5"/>
  <c r="EX60" i="5" s="1"/>
  <c r="CO62" i="5"/>
  <c r="IL62" i="5" s="1"/>
  <c r="IK62" i="5" s="1"/>
  <c r="GK60" i="5"/>
  <c r="HM56" i="5"/>
  <c r="HM58" i="5" s="1"/>
  <c r="GG55" i="5"/>
  <c r="HH56" i="5" s="1"/>
  <c r="HH58" i="5" s="1"/>
  <c r="EU57" i="5"/>
  <c r="EU55" i="5"/>
  <c r="EX55" i="5" s="1"/>
  <c r="CO55" i="5"/>
  <c r="FI55" i="5"/>
  <c r="FJ55" i="5" s="1"/>
  <c r="HL56" i="5" s="1"/>
  <c r="HL58" i="5" s="1"/>
  <c r="FB57" i="5"/>
  <c r="FI57" i="5"/>
  <c r="FJ57" i="5" s="1"/>
  <c r="FP57" i="5" s="1"/>
  <c r="FM57" i="5" s="1"/>
  <c r="GK55" i="5"/>
  <c r="GG50" i="5"/>
  <c r="HH51" i="5" s="1"/>
  <c r="HH53" i="5" s="1"/>
  <c r="GL51" i="5"/>
  <c r="GG45" i="5"/>
  <c r="HH46" i="5" s="1"/>
  <c r="HH48" i="5" s="1"/>
  <c r="EU719" i="5"/>
  <c r="EU717" i="5"/>
  <c r="EY717" i="5"/>
  <c r="EY719" i="5"/>
  <c r="EV719" i="5" s="1"/>
  <c r="EU722" i="5"/>
  <c r="EU724" i="5"/>
  <c r="EY722" i="5"/>
  <c r="EY724" i="5"/>
  <c r="EV724" i="5" s="1"/>
  <c r="DF719" i="5"/>
  <c r="HM718" i="5"/>
  <c r="HM720" i="5" s="1"/>
  <c r="FM719" i="5"/>
  <c r="FR724" i="5"/>
  <c r="AJ724" i="5"/>
  <c r="DF729" i="5"/>
  <c r="HM728" i="5"/>
  <c r="HM730" i="5" s="1"/>
  <c r="CM717" i="5"/>
  <c r="GL718" i="5"/>
  <c r="FO719" i="5"/>
  <c r="FQ719" i="5" s="1"/>
  <c r="GR722" i="5"/>
  <c r="HR723" i="5"/>
  <c r="HR725" i="5" s="1"/>
  <c r="DF734" i="5"/>
  <c r="HM733" i="5"/>
  <c r="HM735" i="5" s="1"/>
  <c r="GR717" i="5"/>
  <c r="HR718" i="5"/>
  <c r="HR720" i="5" s="1"/>
  <c r="CO722" i="5"/>
  <c r="FB724" i="5"/>
  <c r="EU742" i="5"/>
  <c r="EU744" i="5"/>
  <c r="EY742" i="5"/>
  <c r="EY744" i="5"/>
  <c r="EV744" i="5" s="1"/>
  <c r="FB719" i="5"/>
  <c r="HL723" i="5"/>
  <c r="HL725" i="5" s="1"/>
  <c r="FI724" i="5"/>
  <c r="FJ724" i="5" s="1"/>
  <c r="FP724" i="5" s="1"/>
  <c r="EU732" i="5"/>
  <c r="EU734" i="5"/>
  <c r="EY732" i="5"/>
  <c r="EY734" i="5"/>
  <c r="EV734" i="5" s="1"/>
  <c r="FR739" i="5"/>
  <c r="AJ739" i="5"/>
  <c r="IL747" i="5"/>
  <c r="IP747" i="5" s="1"/>
  <c r="IK747" i="5"/>
  <c r="HM723" i="5"/>
  <c r="HM725" i="5" s="1"/>
  <c r="CO724" i="5"/>
  <c r="CP729" i="5"/>
  <c r="GG737" i="5"/>
  <c r="HH738" i="5" s="1"/>
  <c r="HH740" i="5" s="1"/>
  <c r="GL750" i="5"/>
  <c r="EY759" i="5"/>
  <c r="EV759" i="5" s="1"/>
  <c r="EY757" i="5"/>
  <c r="EU759" i="5"/>
  <c r="EU757" i="5"/>
  <c r="EX739" i="5"/>
  <c r="EX737" i="5"/>
  <c r="EY739" i="5"/>
  <c r="EV739" i="5" s="1"/>
  <c r="EU739" i="5"/>
  <c r="EY737" i="5"/>
  <c r="GL740" i="5"/>
  <c r="FI727" i="5"/>
  <c r="FJ727" i="5" s="1"/>
  <c r="FP727" i="5" s="1"/>
  <c r="FO729" i="5"/>
  <c r="GR732" i="5"/>
  <c r="HR733" i="5"/>
  <c r="HR735" i="5" s="1"/>
  <c r="GK737" i="5"/>
  <c r="FB739" i="5"/>
  <c r="GR742" i="5"/>
  <c r="GL755" i="5"/>
  <c r="GR727" i="5"/>
  <c r="HR728" i="5"/>
  <c r="HR730" i="5" s="1"/>
  <c r="GK732" i="5"/>
  <c r="IP732" i="5"/>
  <c r="FB734" i="5"/>
  <c r="HL738" i="5"/>
  <c r="HL740" i="5" s="1"/>
  <c r="FI739" i="5"/>
  <c r="FJ739" i="5" s="1"/>
  <c r="FP739" i="5" s="1"/>
  <c r="HM738" i="5"/>
  <c r="HM740" i="5" s="1"/>
  <c r="FI729" i="5"/>
  <c r="FJ729" i="5" s="1"/>
  <c r="FP729" i="5" s="1"/>
  <c r="CO739" i="5"/>
  <c r="DF744" i="5"/>
  <c r="HM743" i="5"/>
  <c r="HM745" i="5" s="1"/>
  <c r="CO734" i="5"/>
  <c r="DF754" i="5"/>
  <c r="HM753" i="5"/>
  <c r="HM755" i="5" s="1"/>
  <c r="FO739" i="5"/>
  <c r="CO744" i="5"/>
  <c r="FI744" i="5"/>
  <c r="FJ744" i="5" s="1"/>
  <c r="FP744" i="5" s="1"/>
  <c r="FB744" i="5"/>
  <c r="FO744" i="5"/>
  <c r="FI742" i="5"/>
  <c r="FJ742" i="5" s="1"/>
  <c r="FP742" i="5" s="1"/>
  <c r="EU747" i="5"/>
  <c r="EU749" i="5"/>
  <c r="EY747" i="5"/>
  <c r="EY749" i="5"/>
  <c r="EV749" i="5" s="1"/>
  <c r="FI732" i="5"/>
  <c r="FJ732" i="5" s="1"/>
  <c r="GR737" i="5"/>
  <c r="CO742" i="5"/>
  <c r="GL745" i="5"/>
  <c r="EY754" i="5"/>
  <c r="EV754" i="5" s="1"/>
  <c r="EU752" i="5"/>
  <c r="EU754" i="5"/>
  <c r="EY752" i="5"/>
  <c r="GR747" i="5"/>
  <c r="HR748" i="5"/>
  <c r="HR750" i="5" s="1"/>
  <c r="GK752" i="5"/>
  <c r="GL758" i="5"/>
  <c r="FI749" i="5"/>
  <c r="FJ749" i="5" s="1"/>
  <c r="FP749" i="5" s="1"/>
  <c r="FI757" i="5"/>
  <c r="FJ757" i="5" s="1"/>
  <c r="HL758" i="5" s="1"/>
  <c r="HL760" i="5" s="1"/>
  <c r="DF759" i="5"/>
  <c r="CO754" i="5"/>
  <c r="EU767" i="5"/>
  <c r="EU769" i="5"/>
  <c r="EY767" i="5"/>
  <c r="EY769" i="5"/>
  <c r="EV769" i="5" s="1"/>
  <c r="CO749" i="5"/>
  <c r="CO759" i="5"/>
  <c r="FO754" i="5"/>
  <c r="FQ754" i="5" s="1"/>
  <c r="FI759" i="5"/>
  <c r="FJ759" i="5" s="1"/>
  <c r="FP759" i="5" s="1"/>
  <c r="HR758" i="5"/>
  <c r="HR760" i="5" s="1"/>
  <c r="GR757" i="5"/>
  <c r="FO759" i="5"/>
  <c r="EU764" i="5"/>
  <c r="EY762" i="5"/>
  <c r="EY764" i="5"/>
  <c r="EV764" i="5" s="1"/>
  <c r="EU762" i="5"/>
  <c r="FI747" i="5"/>
  <c r="FJ747" i="5" s="1"/>
  <c r="FP747" i="5" s="1"/>
  <c r="GR752" i="5"/>
  <c r="CO757" i="5"/>
  <c r="FB759" i="5"/>
  <c r="DF769" i="5"/>
  <c r="HM768" i="5"/>
  <c r="HM770" i="5" s="1"/>
  <c r="FI762" i="5"/>
  <c r="FJ762" i="5" s="1"/>
  <c r="HL763" i="5" s="1"/>
  <c r="HL765" i="5" s="1"/>
  <c r="GL763" i="5"/>
  <c r="FO764" i="5"/>
  <c r="GR767" i="5"/>
  <c r="HR768" i="5"/>
  <c r="HR770" i="5" s="1"/>
  <c r="GL770" i="5"/>
  <c r="CO772" i="5"/>
  <c r="GR772" i="5"/>
  <c r="GR762" i="5"/>
  <c r="HR763" i="5"/>
  <c r="HR765" i="5" s="1"/>
  <c r="HR773" i="5"/>
  <c r="HR775" i="5" s="1"/>
  <c r="EU787" i="5"/>
  <c r="EU789" i="5"/>
  <c r="EY787" i="5"/>
  <c r="EY789" i="5"/>
  <c r="EV789" i="5" s="1"/>
  <c r="CO762" i="5"/>
  <c r="AJ764" i="5"/>
  <c r="FB764" i="5"/>
  <c r="FI769" i="5"/>
  <c r="FJ769" i="5" s="1"/>
  <c r="FP769" i="5" s="1"/>
  <c r="EU772" i="5"/>
  <c r="CO774" i="5"/>
  <c r="DF789" i="5"/>
  <c r="HM788" i="5"/>
  <c r="HM790" i="5" s="1"/>
  <c r="FI764" i="5"/>
  <c r="FJ764" i="5" s="1"/>
  <c r="FP764" i="5" s="1"/>
  <c r="EU774" i="5"/>
  <c r="CO769" i="5"/>
  <c r="CO764" i="5"/>
  <c r="EY774" i="5"/>
  <c r="EV774" i="5" s="1"/>
  <c r="IK779" i="5"/>
  <c r="IP779" i="5"/>
  <c r="IL779" i="5"/>
  <c r="FU779" i="5"/>
  <c r="IL784" i="5"/>
  <c r="IK784" i="5" s="1"/>
  <c r="FU784" i="5"/>
  <c r="IM784" i="5"/>
  <c r="FI774" i="5"/>
  <c r="FJ774" i="5" s="1"/>
  <c r="FP774" i="5" s="1"/>
  <c r="FO774" i="5"/>
  <c r="FI772" i="5"/>
  <c r="FJ772" i="5" s="1"/>
  <c r="HL773" i="5" s="1"/>
  <c r="HL775" i="5" s="1"/>
  <c r="EU779" i="5"/>
  <c r="EY779" i="5"/>
  <c r="EV779" i="5" s="1"/>
  <c r="EU777" i="5"/>
  <c r="GL780" i="5"/>
  <c r="EU784" i="5"/>
  <c r="EY782" i="5"/>
  <c r="EY784" i="5"/>
  <c r="EV784" i="5" s="1"/>
  <c r="EU782" i="5"/>
  <c r="GL788" i="5"/>
  <c r="FO789" i="5"/>
  <c r="DF779" i="5"/>
  <c r="GL783" i="5"/>
  <c r="FO784" i="5"/>
  <c r="GR787" i="5"/>
  <c r="HR788" i="5"/>
  <c r="HR790" i="5" s="1"/>
  <c r="FO779" i="5"/>
  <c r="GR782" i="5"/>
  <c r="HR783" i="5"/>
  <c r="HR785" i="5" s="1"/>
  <c r="CO787" i="5"/>
  <c r="FB789" i="5"/>
  <c r="GR777" i="5"/>
  <c r="HR778" i="5"/>
  <c r="HR780" i="5" s="1"/>
  <c r="HL788" i="5"/>
  <c r="HL790" i="5" s="1"/>
  <c r="FI789" i="5"/>
  <c r="FJ789" i="5" s="1"/>
  <c r="FP789" i="5" s="1"/>
  <c r="FI779" i="5"/>
  <c r="FJ779" i="5" s="1"/>
  <c r="FP779" i="5" s="1"/>
  <c r="HM783" i="5"/>
  <c r="HM785" i="5" s="1"/>
  <c r="CO789" i="5"/>
  <c r="FP787" i="5"/>
  <c r="GR639" i="5"/>
  <c r="FR651" i="5"/>
  <c r="AJ651" i="5"/>
  <c r="EY651" i="5"/>
  <c r="EV651" i="5" s="1"/>
  <c r="EU649" i="5"/>
  <c r="EU651" i="5"/>
  <c r="EY649" i="5"/>
  <c r="EX654" i="5"/>
  <c r="EX656" i="5"/>
  <c r="GK639" i="5"/>
  <c r="GL640" i="5"/>
  <c r="GL652" i="5"/>
  <c r="IL651" i="5"/>
  <c r="GL647" i="5"/>
  <c r="CO641" i="5"/>
  <c r="FB641" i="5"/>
  <c r="CO639" i="5"/>
  <c r="FO641" i="5"/>
  <c r="FI639" i="5"/>
  <c r="FJ639" i="5" s="1"/>
  <c r="HL640" i="5" s="1"/>
  <c r="HL642" i="5" s="1"/>
  <c r="EU644" i="5"/>
  <c r="EU646" i="5"/>
  <c r="EY644" i="5"/>
  <c r="EY646" i="5"/>
  <c r="EV646" i="5" s="1"/>
  <c r="EU639" i="5"/>
  <c r="EU641" i="5"/>
  <c r="EY641" i="5"/>
  <c r="EV641" i="5" s="1"/>
  <c r="FI641" i="5"/>
  <c r="FJ641" i="5" s="1"/>
  <c r="FP641" i="5" s="1"/>
  <c r="GR644" i="5"/>
  <c r="HR645" i="5"/>
  <c r="HR647" i="5" s="1"/>
  <c r="GK649" i="5"/>
  <c r="GL657" i="5"/>
  <c r="AJ656" i="5"/>
  <c r="FR656" i="5"/>
  <c r="IK651" i="5"/>
  <c r="EY656" i="5"/>
  <c r="EV656" i="5" s="1"/>
  <c r="EU656" i="5"/>
  <c r="FO656" i="5"/>
  <c r="EU666" i="5"/>
  <c r="EY666" i="5"/>
  <c r="EV666" i="5" s="1"/>
  <c r="EY664" i="5"/>
  <c r="EU664" i="5"/>
  <c r="GL667" i="5"/>
  <c r="FR666" i="5"/>
  <c r="AJ666" i="5"/>
  <c r="FI646" i="5"/>
  <c r="FJ646" i="5" s="1"/>
  <c r="FP646" i="5" s="1"/>
  <c r="HM650" i="5"/>
  <c r="HM652" i="5" s="1"/>
  <c r="FU651" i="5"/>
  <c r="EY654" i="5"/>
  <c r="HM645" i="5"/>
  <c r="HM647" i="5" s="1"/>
  <c r="IM651" i="5"/>
  <c r="IN651" i="5" s="1"/>
  <c r="FI661" i="5"/>
  <c r="FJ661" i="5" s="1"/>
  <c r="FP661" i="5" s="1"/>
  <c r="FB661" i="5"/>
  <c r="CO659" i="5"/>
  <c r="FO661" i="5"/>
  <c r="FI659" i="5"/>
  <c r="FJ659" i="5" s="1"/>
  <c r="HL660" i="5" s="1"/>
  <c r="HL662" i="5" s="1"/>
  <c r="HM640" i="5"/>
  <c r="HM642" i="5" s="1"/>
  <c r="CO646" i="5"/>
  <c r="IP651" i="5"/>
  <c r="IO651" i="5" s="1"/>
  <c r="HM655" i="5"/>
  <c r="HM657" i="5" s="1"/>
  <c r="EY659" i="5"/>
  <c r="EU659" i="5"/>
  <c r="GR659" i="5"/>
  <c r="EY661" i="5"/>
  <c r="EV661" i="5" s="1"/>
  <c r="HK660" i="5" s="1"/>
  <c r="HK662" i="5" s="1"/>
  <c r="CO661" i="5"/>
  <c r="DF661" i="5"/>
  <c r="HM660" i="5"/>
  <c r="HM662" i="5" s="1"/>
  <c r="HR660" i="5"/>
  <c r="HR662" i="5" s="1"/>
  <c r="FI644" i="5"/>
  <c r="FJ644" i="5" s="1"/>
  <c r="FP644" i="5" s="1"/>
  <c r="FO651" i="5"/>
  <c r="FQ651" i="5" s="1"/>
  <c r="GR649" i="5"/>
  <c r="HR650" i="5"/>
  <c r="HR652" i="5" s="1"/>
  <c r="FB651" i="5"/>
  <c r="FI656" i="5"/>
  <c r="FJ656" i="5" s="1"/>
  <c r="FP656" i="5" s="1"/>
  <c r="FI666" i="5"/>
  <c r="FJ666" i="5" s="1"/>
  <c r="FP666" i="5" s="1"/>
  <c r="EU669" i="5"/>
  <c r="EY669" i="5"/>
  <c r="AJ681" i="5"/>
  <c r="FR681" i="5"/>
  <c r="CO656" i="5"/>
  <c r="CO671" i="5"/>
  <c r="DF671" i="5"/>
  <c r="HM670" i="5"/>
  <c r="HM672" i="5" s="1"/>
  <c r="FI664" i="5"/>
  <c r="FJ664" i="5" s="1"/>
  <c r="FP664" i="5" s="1"/>
  <c r="FI669" i="5"/>
  <c r="FJ669" i="5" s="1"/>
  <c r="FP669" i="5" s="1"/>
  <c r="HR670" i="5"/>
  <c r="HR672" i="5" s="1"/>
  <c r="GL660" i="5"/>
  <c r="GR664" i="5"/>
  <c r="GR654" i="5"/>
  <c r="HR655" i="5"/>
  <c r="HR657" i="5" s="1"/>
  <c r="GL672" i="5"/>
  <c r="EU674" i="5"/>
  <c r="EU676" i="5"/>
  <c r="EY674" i="5"/>
  <c r="EY676" i="5"/>
  <c r="EV676" i="5" s="1"/>
  <c r="DF676" i="5"/>
  <c r="HM675" i="5"/>
  <c r="HM677" i="5" s="1"/>
  <c r="FP679" i="5"/>
  <c r="HL680" i="5"/>
  <c r="HL682" i="5" s="1"/>
  <c r="CO666" i="5"/>
  <c r="FB666" i="5"/>
  <c r="FI671" i="5"/>
  <c r="FJ671" i="5" s="1"/>
  <c r="FP671" i="5" s="1"/>
  <c r="FB671" i="5"/>
  <c r="CO669" i="5"/>
  <c r="FO671" i="5"/>
  <c r="EU671" i="5"/>
  <c r="HK670" i="5" s="1"/>
  <c r="HK672" i="5" s="1"/>
  <c r="GR674" i="5"/>
  <c r="HR675" i="5"/>
  <c r="HR677" i="5" s="1"/>
  <c r="GK679" i="5"/>
  <c r="CP681" i="5"/>
  <c r="EU701" i="5"/>
  <c r="EY699" i="5"/>
  <c r="EY701" i="5"/>
  <c r="EV701" i="5" s="1"/>
  <c r="EU699" i="5"/>
  <c r="EX704" i="5"/>
  <c r="EX706" i="5"/>
  <c r="FI676" i="5"/>
  <c r="FJ676" i="5" s="1"/>
  <c r="FP676" i="5" s="1"/>
  <c r="HM680" i="5"/>
  <c r="HM682" i="5" s="1"/>
  <c r="EU684" i="5"/>
  <c r="FO684" i="5"/>
  <c r="HM685" i="5"/>
  <c r="HM687" i="5" s="1"/>
  <c r="DF686" i="5"/>
  <c r="CO676" i="5"/>
  <c r="FB681" i="5"/>
  <c r="FO686" i="5"/>
  <c r="DF691" i="5"/>
  <c r="HM690" i="5"/>
  <c r="HM692" i="5" s="1"/>
  <c r="EX694" i="5"/>
  <c r="GL697" i="5"/>
  <c r="EU686" i="5"/>
  <c r="HK685" i="5" s="1"/>
  <c r="HK687" i="5" s="1"/>
  <c r="FU701" i="5"/>
  <c r="FI674" i="5"/>
  <c r="FJ674" i="5" s="1"/>
  <c r="FP674" i="5" s="1"/>
  <c r="CO681" i="5"/>
  <c r="HR680" i="5"/>
  <c r="HR682" i="5" s="1"/>
  <c r="FO681" i="5"/>
  <c r="GR679" i="5"/>
  <c r="EU689" i="5"/>
  <c r="EU691" i="5"/>
  <c r="EY689" i="5"/>
  <c r="EY691" i="5"/>
  <c r="EV691" i="5" s="1"/>
  <c r="FI689" i="5"/>
  <c r="FJ689" i="5" s="1"/>
  <c r="FP689" i="5" s="1"/>
  <c r="FO691" i="5"/>
  <c r="FI696" i="5"/>
  <c r="FJ696" i="5" s="1"/>
  <c r="FP696" i="5" s="1"/>
  <c r="FO696" i="5"/>
  <c r="GR694" i="5"/>
  <c r="GR689" i="5"/>
  <c r="HR690" i="5"/>
  <c r="HR692" i="5" s="1"/>
  <c r="FR706" i="5"/>
  <c r="AJ706" i="5"/>
  <c r="GR684" i="5"/>
  <c r="CO689" i="5"/>
  <c r="FB691" i="5"/>
  <c r="EY694" i="5"/>
  <c r="AJ696" i="5"/>
  <c r="IL701" i="5"/>
  <c r="IK701" i="5" s="1"/>
  <c r="FI691" i="5"/>
  <c r="FJ691" i="5" s="1"/>
  <c r="FP691" i="5" s="1"/>
  <c r="HR695" i="5"/>
  <c r="HR697" i="5" s="1"/>
  <c r="CO696" i="5"/>
  <c r="HM700" i="5"/>
  <c r="HM702" i="5" s="1"/>
  <c r="DF701" i="5"/>
  <c r="GG704" i="5"/>
  <c r="HH705" i="5" s="1"/>
  <c r="HH707" i="5" s="1"/>
  <c r="FO694" i="5"/>
  <c r="IL694" i="5"/>
  <c r="CO691" i="5"/>
  <c r="FB696" i="5"/>
  <c r="IL706" i="5"/>
  <c r="IK706" i="5" s="1"/>
  <c r="FU706" i="5"/>
  <c r="EU709" i="5"/>
  <c r="EU711" i="5"/>
  <c r="EY709" i="5"/>
  <c r="EY711" i="5"/>
  <c r="EV711" i="5" s="1"/>
  <c r="DF711" i="5"/>
  <c r="HM710" i="5"/>
  <c r="HM712" i="5" s="1"/>
  <c r="CM694" i="5"/>
  <c r="FI694" i="5"/>
  <c r="FJ694" i="5" s="1"/>
  <c r="HL695" i="5" s="1"/>
  <c r="HL697" i="5" s="1"/>
  <c r="IP694" i="5"/>
  <c r="EU706" i="5"/>
  <c r="EY706" i="5"/>
  <c r="EV706" i="5" s="1"/>
  <c r="GL705" i="5"/>
  <c r="FO706" i="5"/>
  <c r="GR709" i="5"/>
  <c r="HR710" i="5"/>
  <c r="HR712" i="5" s="1"/>
  <c r="FI699" i="5"/>
  <c r="FJ699" i="5" s="1"/>
  <c r="FP699" i="5" s="1"/>
  <c r="FO701" i="5"/>
  <c r="GR704" i="5"/>
  <c r="HR705" i="5"/>
  <c r="HR707" i="5" s="1"/>
  <c r="CO709" i="5"/>
  <c r="FB711" i="5"/>
  <c r="GR699" i="5"/>
  <c r="HR700" i="5"/>
  <c r="HR702" i="5" s="1"/>
  <c r="HL710" i="5"/>
  <c r="HL712" i="5" s="1"/>
  <c r="FI711" i="5"/>
  <c r="FJ711" i="5" s="1"/>
  <c r="FP711" i="5" s="1"/>
  <c r="FI701" i="5"/>
  <c r="FJ701" i="5" s="1"/>
  <c r="FP701" i="5" s="1"/>
  <c r="HM705" i="5"/>
  <c r="HM707" i="5" s="1"/>
  <c r="CO711" i="5"/>
  <c r="IK704" i="5"/>
  <c r="FP709" i="5"/>
  <c r="DF568" i="5"/>
  <c r="HM567" i="5"/>
  <c r="HM569" i="5" s="1"/>
  <c r="EU561" i="5"/>
  <c r="EU563" i="5"/>
  <c r="EY561" i="5"/>
  <c r="EY563" i="5"/>
  <c r="EV563" i="5" s="1"/>
  <c r="EY573" i="5"/>
  <c r="EV573" i="5" s="1"/>
  <c r="EU573" i="5"/>
  <c r="EU571" i="5"/>
  <c r="EY571" i="5"/>
  <c r="EU566" i="5"/>
  <c r="EU568" i="5"/>
  <c r="EY566" i="5"/>
  <c r="EY568" i="5"/>
  <c r="EV568" i="5" s="1"/>
  <c r="FI561" i="5"/>
  <c r="FJ561" i="5" s="1"/>
  <c r="HL562" i="5" s="1"/>
  <c r="HL564" i="5" s="1"/>
  <c r="FO563" i="5"/>
  <c r="GR566" i="5"/>
  <c r="HR567" i="5"/>
  <c r="HR569" i="5" s="1"/>
  <c r="GR561" i="5"/>
  <c r="HR562" i="5"/>
  <c r="HR564" i="5" s="1"/>
  <c r="IL578" i="5"/>
  <c r="IP578" i="5" s="1"/>
  <c r="FU578" i="5"/>
  <c r="CO561" i="5"/>
  <c r="AJ563" i="5"/>
  <c r="FB563" i="5"/>
  <c r="FI568" i="5"/>
  <c r="FJ568" i="5" s="1"/>
  <c r="FP568" i="5" s="1"/>
  <c r="IK578" i="5"/>
  <c r="FI563" i="5"/>
  <c r="FJ563" i="5" s="1"/>
  <c r="FP563" i="5" s="1"/>
  <c r="FR573" i="5"/>
  <c r="AJ573" i="5"/>
  <c r="FI578" i="5"/>
  <c r="FJ578" i="5" s="1"/>
  <c r="FP578" i="5" s="1"/>
  <c r="FB578" i="5"/>
  <c r="CO576" i="5"/>
  <c r="FO578" i="5"/>
  <c r="FI576" i="5"/>
  <c r="FJ576" i="5" s="1"/>
  <c r="HL577" i="5" s="1"/>
  <c r="HL579" i="5" s="1"/>
  <c r="GR576" i="5"/>
  <c r="IM578" i="5"/>
  <c r="CO568" i="5"/>
  <c r="GL572" i="5"/>
  <c r="CO563" i="5"/>
  <c r="EU588" i="5"/>
  <c r="EY586" i="5"/>
  <c r="EU586" i="5"/>
  <c r="EY588" i="5"/>
  <c r="EV588" i="5" s="1"/>
  <c r="DF578" i="5"/>
  <c r="GL584" i="5"/>
  <c r="FI566" i="5"/>
  <c r="FJ566" i="5" s="1"/>
  <c r="HL567" i="5" s="1"/>
  <c r="HL569" i="5" s="1"/>
  <c r="EX576" i="5"/>
  <c r="EX578" i="5"/>
  <c r="EY598" i="5"/>
  <c r="EV598" i="5" s="1"/>
  <c r="EU598" i="5"/>
  <c r="EU596" i="5"/>
  <c r="EY596" i="5"/>
  <c r="EU581" i="5"/>
  <c r="EU583" i="5"/>
  <c r="FO591" i="5"/>
  <c r="HR597" i="5"/>
  <c r="HR599" i="5" s="1"/>
  <c r="GR596" i="5"/>
  <c r="FO598" i="5"/>
  <c r="FI596" i="5"/>
  <c r="FJ596" i="5" s="1"/>
  <c r="FP596" i="5" s="1"/>
  <c r="CO596" i="5"/>
  <c r="FI598" i="5"/>
  <c r="FJ598" i="5" s="1"/>
  <c r="FP598" i="5" s="1"/>
  <c r="CO598" i="5"/>
  <c r="FB598" i="5"/>
  <c r="CO583" i="5"/>
  <c r="DF588" i="5"/>
  <c r="EY591" i="5"/>
  <c r="EY593" i="5"/>
  <c r="EV593" i="5" s="1"/>
  <c r="EU591" i="5"/>
  <c r="EU593" i="5"/>
  <c r="AJ598" i="5"/>
  <c r="IN588" i="5"/>
  <c r="IL588" i="5"/>
  <c r="IP588" i="5" s="1"/>
  <c r="FU588" i="5"/>
  <c r="IL591" i="5"/>
  <c r="IK591" i="5" s="1"/>
  <c r="HM592" i="5"/>
  <c r="HM594" i="5" s="1"/>
  <c r="GR571" i="5"/>
  <c r="HR572" i="5"/>
  <c r="HR574" i="5" s="1"/>
  <c r="FI581" i="5"/>
  <c r="FJ581" i="5" s="1"/>
  <c r="FP581" i="5" s="1"/>
  <c r="GK581" i="5"/>
  <c r="FO583" i="5"/>
  <c r="FQ583" i="5" s="1"/>
  <c r="FS583" i="5" s="1"/>
  <c r="IP591" i="5"/>
  <c r="IO591" i="5" s="1"/>
  <c r="FO603" i="5"/>
  <c r="CP603" i="5"/>
  <c r="IL603" i="5" s="1"/>
  <c r="IP603" i="5" s="1"/>
  <c r="HR582" i="5"/>
  <c r="HR584" i="5" s="1"/>
  <c r="FB588" i="5"/>
  <c r="CO586" i="5"/>
  <c r="FO588" i="5"/>
  <c r="FI586" i="5"/>
  <c r="FJ586" i="5" s="1"/>
  <c r="HL587" i="5" s="1"/>
  <c r="HL589" i="5" s="1"/>
  <c r="GK586" i="5"/>
  <c r="GL587" i="5"/>
  <c r="IM588" i="5"/>
  <c r="AJ593" i="5"/>
  <c r="IM593" i="5"/>
  <c r="HM597" i="5"/>
  <c r="HM599" i="5" s="1"/>
  <c r="EX608" i="5"/>
  <c r="EX606" i="5"/>
  <c r="IP606" i="5"/>
  <c r="GR591" i="5"/>
  <c r="EY608" i="5"/>
  <c r="EV608" i="5" s="1"/>
  <c r="EY606" i="5"/>
  <c r="EU608" i="5"/>
  <c r="DF608" i="5"/>
  <c r="FR603" i="5"/>
  <c r="AJ603" i="5"/>
  <c r="EY618" i="5"/>
  <c r="EV618" i="5" s="1"/>
  <c r="EY616" i="5"/>
  <c r="EU618" i="5"/>
  <c r="EU616" i="5"/>
  <c r="GL617" i="5"/>
  <c r="GK616" i="5"/>
  <c r="FR618" i="5"/>
  <c r="AJ618" i="5"/>
  <c r="GG611" i="5"/>
  <c r="HH612" i="5" s="1"/>
  <c r="HH614" i="5" s="1"/>
  <c r="EU613" i="5"/>
  <c r="EY611" i="5"/>
  <c r="EY613" i="5"/>
  <c r="EV613" i="5" s="1"/>
  <c r="GR601" i="5"/>
  <c r="HR602" i="5"/>
  <c r="HR604" i="5" s="1"/>
  <c r="EU611" i="5"/>
  <c r="IL611" i="5"/>
  <c r="IN611" i="5" s="1"/>
  <c r="CO601" i="5"/>
  <c r="FB603" i="5"/>
  <c r="GR606" i="5"/>
  <c r="IM611" i="5"/>
  <c r="IO611" i="5" s="1"/>
  <c r="FI616" i="5"/>
  <c r="FJ616" i="5" s="1"/>
  <c r="HL617" i="5" s="1"/>
  <c r="HL619" i="5" s="1"/>
  <c r="IP621" i="5"/>
  <c r="IL621" i="5"/>
  <c r="FO621" i="5"/>
  <c r="IK621" i="5"/>
  <c r="FI603" i="5"/>
  <c r="FJ603" i="5" s="1"/>
  <c r="FP603" i="5" s="1"/>
  <c r="FB608" i="5"/>
  <c r="FO608" i="5"/>
  <c r="FI606" i="5"/>
  <c r="FJ606" i="5" s="1"/>
  <c r="HL607" i="5" s="1"/>
  <c r="HL609" i="5" s="1"/>
  <c r="IK613" i="5"/>
  <c r="FO611" i="5"/>
  <c r="IP611" i="5"/>
  <c r="FU613" i="5"/>
  <c r="IP613" i="5"/>
  <c r="FI618" i="5"/>
  <c r="FJ618" i="5" s="1"/>
  <c r="FP618" i="5" s="1"/>
  <c r="FO618" i="5"/>
  <c r="CO618" i="5"/>
  <c r="FB618" i="5"/>
  <c r="HR617" i="5"/>
  <c r="HR619" i="5" s="1"/>
  <c r="CO616" i="5"/>
  <c r="GR611" i="5"/>
  <c r="HR612" i="5"/>
  <c r="HR614" i="5" s="1"/>
  <c r="DF633" i="5"/>
  <c r="HM632" i="5"/>
  <c r="HM634" i="5" s="1"/>
  <c r="GG626" i="5"/>
  <c r="HH627" i="5" s="1"/>
  <c r="HH629" i="5" s="1"/>
  <c r="FI613" i="5"/>
  <c r="FJ613" i="5" s="1"/>
  <c r="FP613" i="5" s="1"/>
  <c r="IM613" i="5" s="1"/>
  <c r="EU621" i="5"/>
  <c r="DF623" i="5"/>
  <c r="FM623" i="5"/>
  <c r="EU631" i="5"/>
  <c r="EU633" i="5"/>
  <c r="EY631" i="5"/>
  <c r="EY633" i="5"/>
  <c r="EV633" i="5" s="1"/>
  <c r="EY621" i="5"/>
  <c r="GK621" i="5"/>
  <c r="EU623" i="5"/>
  <c r="HK622" i="5" s="1"/>
  <c r="HK624" i="5" s="1"/>
  <c r="IK626" i="5"/>
  <c r="FR628" i="5"/>
  <c r="AJ628" i="5"/>
  <c r="CP628" i="5"/>
  <c r="IL628" i="5" s="1"/>
  <c r="IL626" i="5"/>
  <c r="FO628" i="5"/>
  <c r="FI631" i="5"/>
  <c r="FJ631" i="5" s="1"/>
  <c r="HL632" i="5" s="1"/>
  <c r="HL634" i="5" s="1"/>
  <c r="FO633" i="5"/>
  <c r="GR631" i="5"/>
  <c r="HR632" i="5"/>
  <c r="HR634" i="5" s="1"/>
  <c r="GL634" i="5"/>
  <c r="FI621" i="5"/>
  <c r="FJ621" i="5" s="1"/>
  <c r="FP621" i="5" s="1"/>
  <c r="FO623" i="5"/>
  <c r="FQ623" i="5" s="1"/>
  <c r="GR626" i="5"/>
  <c r="HR627" i="5"/>
  <c r="HR629" i="5" s="1"/>
  <c r="CO631" i="5"/>
  <c r="FB633" i="5"/>
  <c r="GR621" i="5"/>
  <c r="HR622" i="5"/>
  <c r="HR624" i="5" s="1"/>
  <c r="IP626" i="5"/>
  <c r="FI633" i="5"/>
  <c r="FJ633" i="5" s="1"/>
  <c r="FP633" i="5" s="1"/>
  <c r="CO633" i="5"/>
  <c r="FO626" i="5"/>
  <c r="HL484" i="5"/>
  <c r="HL486" i="5" s="1"/>
  <c r="FO485" i="5"/>
  <c r="CP485" i="5"/>
  <c r="FM485" i="5"/>
  <c r="HM489" i="5"/>
  <c r="HM491" i="5" s="1"/>
  <c r="DF490" i="5"/>
  <c r="GL484" i="5"/>
  <c r="GK483" i="5"/>
  <c r="EY490" i="5"/>
  <c r="EV490" i="5" s="1"/>
  <c r="EU488" i="5"/>
  <c r="EU490" i="5"/>
  <c r="EY488" i="5"/>
  <c r="HL489" i="5"/>
  <c r="HL491" i="5" s="1"/>
  <c r="FI490" i="5"/>
  <c r="FJ490" i="5" s="1"/>
  <c r="FP490" i="5" s="1"/>
  <c r="IL515" i="5"/>
  <c r="IM515" i="5"/>
  <c r="IN515" i="5" s="1"/>
  <c r="HM499" i="5"/>
  <c r="HM501" i="5" s="1"/>
  <c r="DF500" i="5"/>
  <c r="HM484" i="5"/>
  <c r="HM486" i="5" s="1"/>
  <c r="CO490" i="5"/>
  <c r="FI495" i="5"/>
  <c r="FJ495" i="5" s="1"/>
  <c r="FP495" i="5" s="1"/>
  <c r="FO495" i="5"/>
  <c r="FI493" i="5"/>
  <c r="FJ493" i="5" s="1"/>
  <c r="CO495" i="5"/>
  <c r="GR493" i="5"/>
  <c r="EY498" i="5"/>
  <c r="EY500" i="5"/>
  <c r="EV500" i="5" s="1"/>
  <c r="HK499" i="5" s="1"/>
  <c r="HK501" i="5" s="1"/>
  <c r="EU498" i="5"/>
  <c r="FO498" i="5"/>
  <c r="IM505" i="5"/>
  <c r="CO485" i="5"/>
  <c r="CO493" i="5"/>
  <c r="HR494" i="5"/>
  <c r="HR496" i="5" s="1"/>
  <c r="AJ495" i="5"/>
  <c r="HM504" i="5"/>
  <c r="HM506" i="5" s="1"/>
  <c r="DF505" i="5"/>
  <c r="IM510" i="5"/>
  <c r="GL496" i="5"/>
  <c r="DF510" i="5"/>
  <c r="FM515" i="5"/>
  <c r="FR515" i="5"/>
  <c r="AJ515" i="5"/>
  <c r="CM488" i="5"/>
  <c r="EY495" i="5"/>
  <c r="EV495" i="5" s="1"/>
  <c r="EU495" i="5"/>
  <c r="EU510" i="5"/>
  <c r="EY510" i="5"/>
  <c r="EV510" i="5" s="1"/>
  <c r="EY508" i="5"/>
  <c r="EU508" i="5"/>
  <c r="GR488" i="5"/>
  <c r="HR489" i="5"/>
  <c r="HR491" i="5" s="1"/>
  <c r="EU493" i="5"/>
  <c r="EU505" i="5"/>
  <c r="EY503" i="5"/>
  <c r="EY505" i="5"/>
  <c r="EV505" i="5" s="1"/>
  <c r="EU503" i="5"/>
  <c r="EY513" i="5"/>
  <c r="EY515" i="5"/>
  <c r="EV515" i="5" s="1"/>
  <c r="EU515" i="5"/>
  <c r="EU513" i="5"/>
  <c r="CM493" i="5"/>
  <c r="GR483" i="5"/>
  <c r="CO488" i="5"/>
  <c r="FB495" i="5"/>
  <c r="IL505" i="5"/>
  <c r="IK505" i="5" s="1"/>
  <c r="IL498" i="5"/>
  <c r="IK498" i="5" s="1"/>
  <c r="IL510" i="5"/>
  <c r="IM498" i="5"/>
  <c r="FI503" i="5"/>
  <c r="FJ503" i="5" s="1"/>
  <c r="FP503" i="5" s="1"/>
  <c r="GL504" i="5"/>
  <c r="FO505" i="5"/>
  <c r="GG508" i="5"/>
  <c r="HH509" i="5" s="1"/>
  <c r="HH511" i="5" s="1"/>
  <c r="HM514" i="5"/>
  <c r="HM516" i="5" s="1"/>
  <c r="CO520" i="5"/>
  <c r="FI520" i="5"/>
  <c r="FJ520" i="5" s="1"/>
  <c r="FP520" i="5" s="1"/>
  <c r="FB520" i="5"/>
  <c r="CO518" i="5"/>
  <c r="HR519" i="5"/>
  <c r="HR521" i="5" s="1"/>
  <c r="FO520" i="5"/>
  <c r="FI518" i="5"/>
  <c r="FJ518" i="5" s="1"/>
  <c r="FP518" i="5" s="1"/>
  <c r="GR518" i="5"/>
  <c r="EU518" i="5"/>
  <c r="EU520" i="5"/>
  <c r="EY518" i="5"/>
  <c r="EY520" i="5"/>
  <c r="EV520" i="5" s="1"/>
  <c r="IN498" i="5"/>
  <c r="GL499" i="5"/>
  <c r="FO500" i="5"/>
  <c r="GR503" i="5"/>
  <c r="HR504" i="5"/>
  <c r="HR506" i="5" s="1"/>
  <c r="GR498" i="5"/>
  <c r="CO503" i="5"/>
  <c r="FB505" i="5"/>
  <c r="IK510" i="5"/>
  <c r="IP510" i="5"/>
  <c r="IO510" i="5" s="1"/>
  <c r="IN510" i="5"/>
  <c r="GK508" i="5"/>
  <c r="GL509" i="5"/>
  <c r="CM508" i="5"/>
  <c r="FU510" i="5"/>
  <c r="FI505" i="5"/>
  <c r="FJ505" i="5" s="1"/>
  <c r="FP505" i="5" s="1"/>
  <c r="GL521" i="5"/>
  <c r="FR520" i="5"/>
  <c r="AJ520" i="5"/>
  <c r="FI525" i="5"/>
  <c r="FJ525" i="5" s="1"/>
  <c r="FP525" i="5" s="1"/>
  <c r="HR524" i="5"/>
  <c r="HR526" i="5" s="1"/>
  <c r="FO525" i="5"/>
  <c r="FI523" i="5"/>
  <c r="FJ523" i="5" s="1"/>
  <c r="FP523" i="5" s="1"/>
  <c r="CO525" i="5"/>
  <c r="EU525" i="5"/>
  <c r="HK524" i="5" s="1"/>
  <c r="HK526" i="5" s="1"/>
  <c r="EU535" i="5"/>
  <c r="EY533" i="5"/>
  <c r="EY535" i="5"/>
  <c r="EV535" i="5" s="1"/>
  <c r="EU533" i="5"/>
  <c r="FO523" i="5"/>
  <c r="FI508" i="5"/>
  <c r="FJ508" i="5" s="1"/>
  <c r="FO510" i="5"/>
  <c r="GR513" i="5"/>
  <c r="HR514" i="5"/>
  <c r="HR516" i="5" s="1"/>
  <c r="GR523" i="5"/>
  <c r="FB525" i="5"/>
  <c r="GR508" i="5"/>
  <c r="HR509" i="5"/>
  <c r="HR511" i="5" s="1"/>
  <c r="IP513" i="5"/>
  <c r="IO513" i="5" s="1"/>
  <c r="FB515" i="5"/>
  <c r="EX540" i="5"/>
  <c r="EX538" i="5"/>
  <c r="FB510" i="5"/>
  <c r="HM519" i="5"/>
  <c r="HM521" i="5" s="1"/>
  <c r="GK523" i="5"/>
  <c r="IL523" i="5"/>
  <c r="IK530" i="5"/>
  <c r="IP530" i="5"/>
  <c r="IO530" i="5" s="1"/>
  <c r="IM530" i="5"/>
  <c r="IL530" i="5"/>
  <c r="IN530" i="5" s="1"/>
  <c r="FU530" i="5"/>
  <c r="GL541" i="5"/>
  <c r="GL526" i="5"/>
  <c r="IP523" i="5"/>
  <c r="EU530" i="5"/>
  <c r="EY528" i="5"/>
  <c r="EY530" i="5"/>
  <c r="EV530" i="5" s="1"/>
  <c r="EU528" i="5"/>
  <c r="FM530" i="5"/>
  <c r="EY540" i="5"/>
  <c r="EV540" i="5" s="1"/>
  <c r="DF530" i="5"/>
  <c r="FI533" i="5"/>
  <c r="FJ533" i="5" s="1"/>
  <c r="FP533" i="5" s="1"/>
  <c r="GL534" i="5"/>
  <c r="FO535" i="5"/>
  <c r="FI540" i="5"/>
  <c r="FJ540" i="5" s="1"/>
  <c r="FP540" i="5" s="1"/>
  <c r="HL539" i="5"/>
  <c r="HL541" i="5" s="1"/>
  <c r="FO540" i="5"/>
  <c r="GR538" i="5"/>
  <c r="FB540" i="5"/>
  <c r="EU550" i="5"/>
  <c r="EY548" i="5"/>
  <c r="EY550" i="5"/>
  <c r="EV550" i="5" s="1"/>
  <c r="EU548" i="5"/>
  <c r="EU553" i="5"/>
  <c r="EU555" i="5"/>
  <c r="EY553" i="5"/>
  <c r="EY555" i="5"/>
  <c r="EV555" i="5" s="1"/>
  <c r="GL529" i="5"/>
  <c r="FO530" i="5"/>
  <c r="GR533" i="5"/>
  <c r="HR534" i="5"/>
  <c r="HR536" i="5" s="1"/>
  <c r="HM539" i="5"/>
  <c r="HM541" i="5" s="1"/>
  <c r="DF540" i="5"/>
  <c r="IK545" i="5"/>
  <c r="IM545" i="5"/>
  <c r="IL545" i="5"/>
  <c r="IP545" i="5" s="1"/>
  <c r="FU545" i="5"/>
  <c r="DF555" i="5"/>
  <c r="HM554" i="5"/>
  <c r="HM556" i="5" s="1"/>
  <c r="GR528" i="5"/>
  <c r="HR529" i="5"/>
  <c r="HR531" i="5" s="1"/>
  <c r="CO533" i="5"/>
  <c r="AJ535" i="5"/>
  <c r="FB535" i="5"/>
  <c r="EY538" i="5"/>
  <c r="IM543" i="5"/>
  <c r="IN543" i="5" s="1"/>
  <c r="GL546" i="5"/>
  <c r="FI535" i="5"/>
  <c r="FJ535" i="5" s="1"/>
  <c r="FP535" i="5" s="1"/>
  <c r="EU545" i="5"/>
  <c r="EY543" i="5"/>
  <c r="EY545" i="5"/>
  <c r="EV545" i="5" s="1"/>
  <c r="EU543" i="5"/>
  <c r="FP548" i="5"/>
  <c r="HM534" i="5"/>
  <c r="HM536" i="5" s="1"/>
  <c r="FM550" i="5"/>
  <c r="CO535" i="5"/>
  <c r="FP538" i="5"/>
  <c r="EU540" i="5"/>
  <c r="IL543" i="5"/>
  <c r="HR539" i="5"/>
  <c r="HR541" i="5" s="1"/>
  <c r="CO540" i="5"/>
  <c r="IL550" i="5"/>
  <c r="IO550" i="5" s="1"/>
  <c r="FU550" i="5"/>
  <c r="IK550" i="5"/>
  <c r="IP550" i="5"/>
  <c r="IM550" i="5"/>
  <c r="GL554" i="5"/>
  <c r="FO555" i="5"/>
  <c r="DF545" i="5"/>
  <c r="CM548" i="5"/>
  <c r="GL549" i="5"/>
  <c r="FO550" i="5"/>
  <c r="GR553" i="5"/>
  <c r="HR554" i="5"/>
  <c r="HR556" i="5" s="1"/>
  <c r="FI543" i="5"/>
  <c r="FJ543" i="5" s="1"/>
  <c r="FP543" i="5" s="1"/>
  <c r="FO545" i="5"/>
  <c r="GR548" i="5"/>
  <c r="HR549" i="5"/>
  <c r="HR551" i="5" s="1"/>
  <c r="CO553" i="5"/>
  <c r="FB555" i="5"/>
  <c r="GR543" i="5"/>
  <c r="HR544" i="5"/>
  <c r="HR546" i="5" s="1"/>
  <c r="IP548" i="5"/>
  <c r="HL554" i="5"/>
  <c r="HL556" i="5" s="1"/>
  <c r="FI555" i="5"/>
  <c r="FJ555" i="5" s="1"/>
  <c r="FP555" i="5" s="1"/>
  <c r="FI545" i="5"/>
  <c r="FJ545" i="5" s="1"/>
  <c r="FP545" i="5" s="1"/>
  <c r="HM549" i="5"/>
  <c r="HM551" i="5" s="1"/>
  <c r="CO555" i="5"/>
  <c r="FP553" i="5"/>
  <c r="EU407" i="5"/>
  <c r="EY407" i="5"/>
  <c r="EV407" i="5" s="1"/>
  <c r="FU407" i="5"/>
  <c r="EY405" i="5"/>
  <c r="IL407" i="5"/>
  <c r="EU405" i="5"/>
  <c r="IL412" i="5"/>
  <c r="IK412" i="5" s="1"/>
  <c r="FU412" i="5"/>
  <c r="HM416" i="5"/>
  <c r="HM418" i="5" s="1"/>
  <c r="EU412" i="5"/>
  <c r="EY410" i="5"/>
  <c r="EY412" i="5"/>
  <c r="EV412" i="5" s="1"/>
  <c r="HM406" i="5"/>
  <c r="HM408" i="5" s="1"/>
  <c r="FR412" i="5"/>
  <c r="AJ412" i="5"/>
  <c r="EX422" i="5"/>
  <c r="EX420" i="5"/>
  <c r="IK407" i="5"/>
  <c r="DF407" i="5" s="1"/>
  <c r="IM407" i="5"/>
  <c r="IO407" i="5" s="1"/>
  <c r="GK405" i="5"/>
  <c r="IP407" i="5"/>
  <c r="GL418" i="5"/>
  <c r="EX410" i="5"/>
  <c r="EX412" i="5"/>
  <c r="IK405" i="5"/>
  <c r="GG410" i="5"/>
  <c r="HH411" i="5" s="1"/>
  <c r="HH413" i="5" s="1"/>
  <c r="EU415" i="5"/>
  <c r="EU417" i="5"/>
  <c r="EY415" i="5"/>
  <c r="EY417" i="5"/>
  <c r="EV417" i="5" s="1"/>
  <c r="CM410" i="5"/>
  <c r="GL411" i="5"/>
  <c r="GR415" i="5"/>
  <c r="FI405" i="5"/>
  <c r="FJ405" i="5" s="1"/>
  <c r="FO407" i="5"/>
  <c r="GR410" i="5"/>
  <c r="HR411" i="5"/>
  <c r="HR413" i="5" s="1"/>
  <c r="CO415" i="5"/>
  <c r="FB417" i="5"/>
  <c r="GR405" i="5"/>
  <c r="FI417" i="5"/>
  <c r="FJ417" i="5" s="1"/>
  <c r="FP417" i="5" s="1"/>
  <c r="CO422" i="5"/>
  <c r="FI422" i="5"/>
  <c r="FJ422" i="5" s="1"/>
  <c r="FP422" i="5" s="1"/>
  <c r="FI420" i="5"/>
  <c r="FJ420" i="5" s="1"/>
  <c r="HL421" i="5" s="1"/>
  <c r="HL423" i="5" s="1"/>
  <c r="CO420" i="5"/>
  <c r="FI425" i="5"/>
  <c r="FJ425" i="5" s="1"/>
  <c r="FP425" i="5" s="1"/>
  <c r="CO427" i="5"/>
  <c r="FI427" i="5"/>
  <c r="FJ427" i="5" s="1"/>
  <c r="FP427" i="5" s="1"/>
  <c r="FB427" i="5"/>
  <c r="CO425" i="5"/>
  <c r="EU447" i="5"/>
  <c r="EY447" i="5"/>
  <c r="EV447" i="5" s="1"/>
  <c r="EY445" i="5"/>
  <c r="EU445" i="5"/>
  <c r="HM411" i="5"/>
  <c r="HM413" i="5" s="1"/>
  <c r="EU422" i="5"/>
  <c r="EY422" i="5"/>
  <c r="EV422" i="5" s="1"/>
  <c r="EU425" i="5"/>
  <c r="EU427" i="5"/>
  <c r="EY425" i="5"/>
  <c r="EY427" i="5"/>
  <c r="EV427" i="5" s="1"/>
  <c r="EY432" i="5"/>
  <c r="EV432" i="5" s="1"/>
  <c r="EU430" i="5"/>
  <c r="EU432" i="5"/>
  <c r="EY430" i="5"/>
  <c r="GL433" i="5"/>
  <c r="FM432" i="5"/>
  <c r="IK410" i="5"/>
  <c r="DF427" i="5"/>
  <c r="HM426" i="5"/>
  <c r="HM428" i="5" s="1"/>
  <c r="FP430" i="5"/>
  <c r="HL431" i="5"/>
  <c r="HL433" i="5" s="1"/>
  <c r="DF432" i="5"/>
  <c r="HM431" i="5"/>
  <c r="HM433" i="5" s="1"/>
  <c r="GL438" i="5"/>
  <c r="HM436" i="5"/>
  <c r="HM438" i="5" s="1"/>
  <c r="HM446" i="5"/>
  <c r="HM448" i="5" s="1"/>
  <c r="EY420" i="5"/>
  <c r="GR420" i="5"/>
  <c r="GL423" i="5"/>
  <c r="FB422" i="5"/>
  <c r="GK425" i="5"/>
  <c r="GL448" i="5"/>
  <c r="CO432" i="5"/>
  <c r="EY437" i="5"/>
  <c r="EV437" i="5" s="1"/>
  <c r="EU437" i="5"/>
  <c r="HM421" i="5"/>
  <c r="HM423" i="5" s="1"/>
  <c r="EU435" i="5"/>
  <c r="AJ437" i="5"/>
  <c r="EY442" i="5"/>
  <c r="EV442" i="5" s="1"/>
  <c r="EU440" i="5"/>
  <c r="EU442" i="5"/>
  <c r="CM445" i="5"/>
  <c r="EY440" i="5"/>
  <c r="DF442" i="5"/>
  <c r="HM441" i="5"/>
  <c r="HM443" i="5" s="1"/>
  <c r="GK450" i="5"/>
  <c r="GL451" i="5"/>
  <c r="GR430" i="5"/>
  <c r="EY435" i="5"/>
  <c r="GK440" i="5"/>
  <c r="GL441" i="5"/>
  <c r="FI437" i="5"/>
  <c r="FJ437" i="5" s="1"/>
  <c r="FP437" i="5" s="1"/>
  <c r="HM471" i="5"/>
  <c r="HM473" i="5" s="1"/>
  <c r="DF472" i="5"/>
  <c r="FM472" i="5"/>
  <c r="CO442" i="5"/>
  <c r="DF452" i="5"/>
  <c r="CO437" i="5"/>
  <c r="EU450" i="5"/>
  <c r="EU452" i="5"/>
  <c r="HK451" i="5" s="1"/>
  <c r="HK453" i="5" s="1"/>
  <c r="FI445" i="5"/>
  <c r="FJ445" i="5" s="1"/>
  <c r="FP445" i="5" s="1"/>
  <c r="AJ447" i="5"/>
  <c r="EY450" i="5"/>
  <c r="FI440" i="5"/>
  <c r="FJ440" i="5" s="1"/>
  <c r="HL441" i="5" s="1"/>
  <c r="HL443" i="5" s="1"/>
  <c r="FO442" i="5"/>
  <c r="CO447" i="5"/>
  <c r="HR446" i="5"/>
  <c r="HR448" i="5" s="1"/>
  <c r="GR445" i="5"/>
  <c r="FI452" i="5"/>
  <c r="FJ452" i="5" s="1"/>
  <c r="FP452" i="5" s="1"/>
  <c r="FB452" i="5"/>
  <c r="CO450" i="5"/>
  <c r="HR451" i="5"/>
  <c r="HR453" i="5" s="1"/>
  <c r="GR450" i="5"/>
  <c r="FO452" i="5"/>
  <c r="FI450" i="5"/>
  <c r="FJ450" i="5" s="1"/>
  <c r="FP450" i="5" s="1"/>
  <c r="GK470" i="5"/>
  <c r="GL471" i="5"/>
  <c r="GR440" i="5"/>
  <c r="HR441" i="5"/>
  <c r="HR443" i="5" s="1"/>
  <c r="GG450" i="5"/>
  <c r="HH451" i="5" s="1"/>
  <c r="HH453" i="5" s="1"/>
  <c r="CO452" i="5"/>
  <c r="IM455" i="5"/>
  <c r="IN455" i="5" s="1"/>
  <c r="EU455" i="5"/>
  <c r="EU457" i="5"/>
  <c r="EY455" i="5"/>
  <c r="EY457" i="5"/>
  <c r="EV457" i="5" s="1"/>
  <c r="FI462" i="5"/>
  <c r="FJ462" i="5" s="1"/>
  <c r="FP462" i="5" s="1"/>
  <c r="FI460" i="5"/>
  <c r="FJ460" i="5" s="1"/>
  <c r="FP460" i="5" s="1"/>
  <c r="CO462" i="5"/>
  <c r="HR461" i="5"/>
  <c r="HR463" i="5" s="1"/>
  <c r="FO462" i="5"/>
  <c r="FB462" i="5"/>
  <c r="CO460" i="5"/>
  <c r="GR435" i="5"/>
  <c r="CO440" i="5"/>
  <c r="FI447" i="5"/>
  <c r="FJ447" i="5" s="1"/>
  <c r="FP447" i="5" s="1"/>
  <c r="DF457" i="5"/>
  <c r="HM456" i="5"/>
  <c r="HM458" i="5" s="1"/>
  <c r="EX462" i="5"/>
  <c r="EX460" i="5"/>
  <c r="GR455" i="5"/>
  <c r="HR456" i="5"/>
  <c r="HR458" i="5" s="1"/>
  <c r="IL470" i="5"/>
  <c r="IP455" i="5"/>
  <c r="IO455" i="5" s="1"/>
  <c r="EY460" i="5"/>
  <c r="HM461" i="5"/>
  <c r="HM463" i="5" s="1"/>
  <c r="DF462" i="5"/>
  <c r="EU472" i="5"/>
  <c r="EY472" i="5"/>
  <c r="EV472" i="5" s="1"/>
  <c r="HL456" i="5"/>
  <c r="HL458" i="5" s="1"/>
  <c r="FI457" i="5"/>
  <c r="FJ457" i="5" s="1"/>
  <c r="FP457" i="5" s="1"/>
  <c r="FO455" i="5"/>
  <c r="IK455" i="5"/>
  <c r="CO457" i="5"/>
  <c r="EU462" i="5"/>
  <c r="IM467" i="5"/>
  <c r="IO467" i="5" s="1"/>
  <c r="IL467" i="5"/>
  <c r="IP467" i="5" s="1"/>
  <c r="EU475" i="5"/>
  <c r="EU477" i="5"/>
  <c r="EY475" i="5"/>
  <c r="EY477" i="5"/>
  <c r="EV477" i="5" s="1"/>
  <c r="DF477" i="5"/>
  <c r="HM476" i="5"/>
  <c r="HM478" i="5" s="1"/>
  <c r="EU467" i="5"/>
  <c r="EY465" i="5"/>
  <c r="EY467" i="5"/>
  <c r="EV467" i="5" s="1"/>
  <c r="EU465" i="5"/>
  <c r="HM466" i="5"/>
  <c r="HM468" i="5" s="1"/>
  <c r="DF467" i="5"/>
  <c r="EU470" i="5"/>
  <c r="EY470" i="5"/>
  <c r="FI470" i="5"/>
  <c r="FJ470" i="5" s="1"/>
  <c r="HL471" i="5" s="1"/>
  <c r="HL473" i="5" s="1"/>
  <c r="FO472" i="5"/>
  <c r="FQ472" i="5" s="1"/>
  <c r="GR475" i="5"/>
  <c r="HR476" i="5"/>
  <c r="HR478" i="5" s="1"/>
  <c r="FI465" i="5"/>
  <c r="FJ465" i="5" s="1"/>
  <c r="FP465" i="5" s="1"/>
  <c r="FO467" i="5"/>
  <c r="GR470" i="5"/>
  <c r="HR471" i="5"/>
  <c r="HR473" i="5" s="1"/>
  <c r="CO475" i="5"/>
  <c r="FB477" i="5"/>
  <c r="GR465" i="5"/>
  <c r="HR466" i="5"/>
  <c r="HR468" i="5" s="1"/>
  <c r="HL476" i="5"/>
  <c r="HL478" i="5" s="1"/>
  <c r="FI477" i="5"/>
  <c r="FJ477" i="5" s="1"/>
  <c r="FP477" i="5" s="1"/>
  <c r="FI467" i="5"/>
  <c r="FJ467" i="5" s="1"/>
  <c r="FP467" i="5" s="1"/>
  <c r="CO477" i="5"/>
  <c r="IK470" i="5"/>
  <c r="CO472" i="5"/>
  <c r="FP475" i="5"/>
  <c r="FM334" i="5"/>
  <c r="IL349" i="5"/>
  <c r="FU349" i="5"/>
  <c r="GR347" i="5"/>
  <c r="IL329" i="5"/>
  <c r="IK329" i="5" s="1"/>
  <c r="FU329" i="5"/>
  <c r="GG327" i="5"/>
  <c r="HH328" i="5" s="1"/>
  <c r="HH330" i="5" s="1"/>
  <c r="CO337" i="5"/>
  <c r="EU389" i="5"/>
  <c r="EY389" i="5"/>
  <c r="EV389" i="5" s="1"/>
  <c r="EU387" i="5"/>
  <c r="FU389" i="5"/>
  <c r="EY387" i="5"/>
  <c r="FI347" i="5"/>
  <c r="FJ347" i="5" s="1"/>
  <c r="FP347" i="5" s="1"/>
  <c r="HR348" i="5"/>
  <c r="HR350" i="5" s="1"/>
  <c r="CO347" i="5"/>
  <c r="FI349" i="5"/>
  <c r="FJ349" i="5" s="1"/>
  <c r="FP349" i="5" s="1"/>
  <c r="EU329" i="5"/>
  <c r="EY327" i="5"/>
  <c r="EY329" i="5"/>
  <c r="EV329" i="5" s="1"/>
  <c r="GL340" i="5"/>
  <c r="EY339" i="5"/>
  <c r="EV339" i="5" s="1"/>
  <c r="EU337" i="5"/>
  <c r="EU339" i="5"/>
  <c r="GL330" i="5"/>
  <c r="EY354" i="5"/>
  <c r="EV354" i="5" s="1"/>
  <c r="EU352" i="5"/>
  <c r="EU354" i="5"/>
  <c r="EY352" i="5"/>
  <c r="AJ329" i="5"/>
  <c r="FP332" i="5"/>
  <c r="CO334" i="5"/>
  <c r="FB334" i="5"/>
  <c r="CO332" i="5"/>
  <c r="DF334" i="5"/>
  <c r="HM333" i="5"/>
  <c r="HM335" i="5" s="1"/>
  <c r="EY337" i="5"/>
  <c r="FU344" i="5"/>
  <c r="IL344" i="5"/>
  <c r="IK344" i="5" s="1"/>
  <c r="IL327" i="5"/>
  <c r="EU327" i="5"/>
  <c r="EU332" i="5"/>
  <c r="EU334" i="5"/>
  <c r="HK333" i="5" s="1"/>
  <c r="HK335" i="5" s="1"/>
  <c r="HL333" i="5"/>
  <c r="HL335" i="5" s="1"/>
  <c r="HM338" i="5"/>
  <c r="HM340" i="5" s="1"/>
  <c r="DF339" i="5"/>
  <c r="HM343" i="5"/>
  <c r="HM345" i="5" s="1"/>
  <c r="DF344" i="5"/>
  <c r="FB349" i="5"/>
  <c r="FB339" i="5"/>
  <c r="HR338" i="5"/>
  <c r="HR340" i="5" s="1"/>
  <c r="GR337" i="5"/>
  <c r="FI337" i="5"/>
  <c r="FJ337" i="5" s="1"/>
  <c r="HL338" i="5" s="1"/>
  <c r="HL340" i="5" s="1"/>
  <c r="FI339" i="5"/>
  <c r="FJ339" i="5" s="1"/>
  <c r="FP339" i="5" s="1"/>
  <c r="CO339" i="5"/>
  <c r="GR327" i="5"/>
  <c r="HR328" i="5"/>
  <c r="HR330" i="5" s="1"/>
  <c r="EU342" i="5"/>
  <c r="FI344" i="5"/>
  <c r="FJ344" i="5" s="1"/>
  <c r="FP344" i="5" s="1"/>
  <c r="FB344" i="5"/>
  <c r="CO342" i="5"/>
  <c r="FI342" i="5"/>
  <c r="FJ342" i="5" s="1"/>
  <c r="HL343" i="5" s="1"/>
  <c r="HL345" i="5" s="1"/>
  <c r="GR342" i="5"/>
  <c r="EU349" i="5"/>
  <c r="HK348" i="5" s="1"/>
  <c r="HK350" i="5" s="1"/>
  <c r="EY347" i="5"/>
  <c r="EU347" i="5"/>
  <c r="EU344" i="5"/>
  <c r="GL355" i="5"/>
  <c r="HM348" i="5"/>
  <c r="HM350" i="5" s="1"/>
  <c r="GK347" i="5"/>
  <c r="FM364" i="5"/>
  <c r="HM378" i="5"/>
  <c r="HM380" i="5" s="1"/>
  <c r="DF354" i="5"/>
  <c r="HM353" i="5"/>
  <c r="HM355" i="5" s="1"/>
  <c r="GL360" i="5"/>
  <c r="CP359" i="5"/>
  <c r="GL350" i="5"/>
  <c r="GL385" i="5"/>
  <c r="HM363" i="5"/>
  <c r="HM365" i="5" s="1"/>
  <c r="DF364" i="5"/>
  <c r="AJ369" i="5"/>
  <c r="FR369" i="5"/>
  <c r="EY362" i="5"/>
  <c r="EY364" i="5"/>
  <c r="EV364" i="5" s="1"/>
  <c r="EU362" i="5"/>
  <c r="EU364" i="5"/>
  <c r="EU374" i="5"/>
  <c r="EY374" i="5"/>
  <c r="EV374" i="5" s="1"/>
  <c r="EY372" i="5"/>
  <c r="EU372" i="5"/>
  <c r="CM352" i="5"/>
  <c r="FI352" i="5"/>
  <c r="FJ352" i="5" s="1"/>
  <c r="FB359" i="5"/>
  <c r="HR358" i="5"/>
  <c r="HR360" i="5" s="1"/>
  <c r="GR357" i="5"/>
  <c r="GR352" i="5"/>
  <c r="GK377" i="5"/>
  <c r="GL378" i="5"/>
  <c r="EU382" i="5"/>
  <c r="EU384" i="5"/>
  <c r="EY382" i="5"/>
  <c r="EY384" i="5"/>
  <c r="EV384" i="5" s="1"/>
  <c r="FI367" i="5"/>
  <c r="FJ367" i="5" s="1"/>
  <c r="FP367" i="5" s="1"/>
  <c r="EY369" i="5"/>
  <c r="EV369" i="5" s="1"/>
  <c r="HK368" i="5" s="1"/>
  <c r="HK370" i="5" s="1"/>
  <c r="GR367" i="5"/>
  <c r="HR368" i="5"/>
  <c r="HR370" i="5" s="1"/>
  <c r="FB369" i="5"/>
  <c r="EU379" i="5"/>
  <c r="EY379" i="5"/>
  <c r="EV379" i="5" s="1"/>
  <c r="IL379" i="5"/>
  <c r="GR362" i="5"/>
  <c r="HR363" i="5"/>
  <c r="HR365" i="5" s="1"/>
  <c r="CO367" i="5"/>
  <c r="FI369" i="5"/>
  <c r="FJ369" i="5" s="1"/>
  <c r="FP369" i="5" s="1"/>
  <c r="CO362" i="5"/>
  <c r="FB364" i="5"/>
  <c r="EY367" i="5"/>
  <c r="IK374" i="5"/>
  <c r="DF374" i="5" s="1"/>
  <c r="EU377" i="5"/>
  <c r="IM379" i="5"/>
  <c r="IO379" i="5" s="1"/>
  <c r="IO372" i="5"/>
  <c r="EY377" i="5"/>
  <c r="GG377" i="5"/>
  <c r="HH378" i="5" s="1"/>
  <c r="HH380" i="5" s="1"/>
  <c r="CO369" i="5"/>
  <c r="FI377" i="5"/>
  <c r="FJ377" i="5" s="1"/>
  <c r="HL378" i="5" s="1"/>
  <c r="HL380" i="5" s="1"/>
  <c r="FO379" i="5"/>
  <c r="IN379" i="5"/>
  <c r="FO384" i="5"/>
  <c r="GR382" i="5"/>
  <c r="HL383" i="5"/>
  <c r="HL385" i="5" s="1"/>
  <c r="FP392" i="5"/>
  <c r="HL393" i="5"/>
  <c r="HL395" i="5" s="1"/>
  <c r="FO374" i="5"/>
  <c r="GR377" i="5"/>
  <c r="HM383" i="5"/>
  <c r="HM385" i="5" s="1"/>
  <c r="CO384" i="5"/>
  <c r="FB384" i="5"/>
  <c r="IK389" i="5"/>
  <c r="DF389" i="5" s="1"/>
  <c r="IM389" i="5"/>
  <c r="GR372" i="5"/>
  <c r="CO377" i="5"/>
  <c r="FB379" i="5"/>
  <c r="IP379" i="5"/>
  <c r="FI384" i="5"/>
  <c r="FJ384" i="5" s="1"/>
  <c r="FP384" i="5" s="1"/>
  <c r="IL389" i="5"/>
  <c r="IO389" i="5" s="1"/>
  <c r="HM388" i="5"/>
  <c r="HM390" i="5" s="1"/>
  <c r="IP389" i="5"/>
  <c r="FI374" i="5"/>
  <c r="FJ374" i="5" s="1"/>
  <c r="FP374" i="5" s="1"/>
  <c r="IK382" i="5"/>
  <c r="IL394" i="5"/>
  <c r="IK394" i="5" s="1"/>
  <c r="DF394" i="5" s="1"/>
  <c r="FU394" i="5"/>
  <c r="IN394" i="5"/>
  <c r="GG392" i="5"/>
  <c r="HH393" i="5" s="1"/>
  <c r="HH395" i="5" s="1"/>
  <c r="IM394" i="5"/>
  <c r="EU397" i="5"/>
  <c r="EU399" i="5"/>
  <c r="EY397" i="5"/>
  <c r="EY399" i="5"/>
  <c r="EV399" i="5" s="1"/>
  <c r="HM398" i="5"/>
  <c r="HM400" i="5" s="1"/>
  <c r="IK379" i="5"/>
  <c r="DF379" i="5" s="1"/>
  <c r="EX392" i="5"/>
  <c r="EX394" i="5"/>
  <c r="FU379" i="5"/>
  <c r="EU394" i="5"/>
  <c r="EY392" i="5"/>
  <c r="EY394" i="5"/>
  <c r="EV394" i="5" s="1"/>
  <c r="CM392" i="5"/>
  <c r="GL393" i="5"/>
  <c r="FO394" i="5"/>
  <c r="GR397" i="5"/>
  <c r="FI387" i="5"/>
  <c r="FJ387" i="5" s="1"/>
  <c r="FO389" i="5"/>
  <c r="GR392" i="5"/>
  <c r="CO397" i="5"/>
  <c r="FB399" i="5"/>
  <c r="GR387" i="5"/>
  <c r="FI399" i="5"/>
  <c r="FJ399" i="5" s="1"/>
  <c r="FP399" i="5" s="1"/>
  <c r="HM393" i="5"/>
  <c r="HM395" i="5" s="1"/>
  <c r="CO399" i="5"/>
  <c r="FM173" i="5"/>
  <c r="DF183" i="5"/>
  <c r="HM182" i="5"/>
  <c r="HM184" i="5" s="1"/>
  <c r="HM172" i="5"/>
  <c r="HM174" i="5" s="1"/>
  <c r="FM178" i="5"/>
  <c r="CM171" i="5"/>
  <c r="EY176" i="5"/>
  <c r="EY178" i="5"/>
  <c r="EV178" i="5" s="1"/>
  <c r="HK177" i="5" s="1"/>
  <c r="HK179" i="5" s="1"/>
  <c r="EU176" i="5"/>
  <c r="HM177" i="5"/>
  <c r="HM179" i="5" s="1"/>
  <c r="DF178" i="5"/>
  <c r="FM183" i="5"/>
  <c r="EY183" i="5"/>
  <c r="EV183" i="5" s="1"/>
  <c r="EU183" i="5"/>
  <c r="EU181" i="5"/>
  <c r="EY181" i="5"/>
  <c r="CO173" i="5"/>
  <c r="FB183" i="5"/>
  <c r="IL171" i="5"/>
  <c r="CP173" i="5"/>
  <c r="CM181" i="5"/>
  <c r="CO183" i="5"/>
  <c r="FI176" i="5"/>
  <c r="FJ176" i="5" s="1"/>
  <c r="FP176" i="5" s="1"/>
  <c r="GL177" i="5"/>
  <c r="HR182" i="5"/>
  <c r="HR184" i="5" s="1"/>
  <c r="GR181" i="5"/>
  <c r="EU186" i="5"/>
  <c r="GR176" i="5"/>
  <c r="HR177" i="5"/>
  <c r="HR179" i="5" s="1"/>
  <c r="HL187" i="5"/>
  <c r="HL189" i="5" s="1"/>
  <c r="GR171" i="5"/>
  <c r="HR172" i="5"/>
  <c r="HR174" i="5" s="1"/>
  <c r="CO176" i="5"/>
  <c r="FB178" i="5"/>
  <c r="GL187" i="5"/>
  <c r="GK186" i="5"/>
  <c r="HM187" i="5"/>
  <c r="HM189" i="5" s="1"/>
  <c r="CP193" i="5"/>
  <c r="CO198" i="5"/>
  <c r="FI198" i="5"/>
  <c r="FJ198" i="5" s="1"/>
  <c r="FP198" i="5" s="1"/>
  <c r="FB198" i="5"/>
  <c r="CO196" i="5"/>
  <c r="HR197" i="5"/>
  <c r="HR199" i="5" s="1"/>
  <c r="GR196" i="5"/>
  <c r="FI196" i="5"/>
  <c r="FJ196" i="5" s="1"/>
  <c r="FP196" i="5" s="1"/>
  <c r="IL218" i="5"/>
  <c r="IK218" i="5" s="1"/>
  <c r="FU218" i="5"/>
  <c r="GL192" i="5"/>
  <c r="GK191" i="5"/>
  <c r="AJ173" i="5"/>
  <c r="FI181" i="5"/>
  <c r="FJ181" i="5" s="1"/>
  <c r="FP181" i="5" s="1"/>
  <c r="EY188" i="5"/>
  <c r="EV188" i="5" s="1"/>
  <c r="EU188" i="5"/>
  <c r="EU196" i="5"/>
  <c r="EU198" i="5"/>
  <c r="EY198" i="5"/>
  <c r="EV198" i="5" s="1"/>
  <c r="EY196" i="5"/>
  <c r="CO203" i="5"/>
  <c r="FI201" i="5"/>
  <c r="FJ201" i="5" s="1"/>
  <c r="FP201" i="5" s="1"/>
  <c r="FI203" i="5"/>
  <c r="FJ203" i="5" s="1"/>
  <c r="FP203" i="5" s="1"/>
  <c r="FB203" i="5"/>
  <c r="HR202" i="5"/>
  <c r="HR204" i="5" s="1"/>
  <c r="CO201" i="5"/>
  <c r="GR201" i="5"/>
  <c r="CO186" i="5"/>
  <c r="FB188" i="5"/>
  <c r="HL192" i="5"/>
  <c r="HL194" i="5" s="1"/>
  <c r="EY216" i="5"/>
  <c r="EY218" i="5"/>
  <c r="EV218" i="5" s="1"/>
  <c r="EU218" i="5"/>
  <c r="EU216" i="5"/>
  <c r="EU203" i="5"/>
  <c r="EU201" i="5"/>
  <c r="EY203" i="5"/>
  <c r="EV203" i="5" s="1"/>
  <c r="EY201" i="5"/>
  <c r="GL204" i="5"/>
  <c r="FU188" i="5"/>
  <c r="IL188" i="5"/>
  <c r="HM217" i="5"/>
  <c r="HM219" i="5" s="1"/>
  <c r="DF218" i="5"/>
  <c r="CO208" i="5"/>
  <c r="FI208" i="5"/>
  <c r="FJ208" i="5" s="1"/>
  <c r="FP208" i="5" s="1"/>
  <c r="GR206" i="5"/>
  <c r="FI206" i="5"/>
  <c r="FJ206" i="5" s="1"/>
  <c r="FP206" i="5" s="1"/>
  <c r="HR207" i="5"/>
  <c r="HR209" i="5" s="1"/>
  <c r="GR186" i="5"/>
  <c r="DF198" i="5"/>
  <c r="HM197" i="5"/>
  <c r="HM199" i="5" s="1"/>
  <c r="CO206" i="5"/>
  <c r="FI216" i="5"/>
  <c r="FJ216" i="5" s="1"/>
  <c r="HL217" i="5" s="1"/>
  <c r="HL219" i="5" s="1"/>
  <c r="FI218" i="5"/>
  <c r="FJ218" i="5" s="1"/>
  <c r="FP218" i="5" s="1"/>
  <c r="FB218" i="5"/>
  <c r="HR217" i="5"/>
  <c r="HR219" i="5" s="1"/>
  <c r="CO216" i="5"/>
  <c r="GR216" i="5"/>
  <c r="IL233" i="5"/>
  <c r="FU233" i="5"/>
  <c r="FR238" i="5"/>
  <c r="AJ238" i="5"/>
  <c r="GR191" i="5"/>
  <c r="DF203" i="5"/>
  <c r="EU208" i="5"/>
  <c r="EY206" i="5"/>
  <c r="CO213" i="5"/>
  <c r="FB213" i="5"/>
  <c r="FI213" i="5"/>
  <c r="FJ213" i="5" s="1"/>
  <c r="FP213" i="5" s="1"/>
  <c r="FI211" i="5"/>
  <c r="FJ211" i="5" s="1"/>
  <c r="FP211" i="5" s="1"/>
  <c r="HR212" i="5"/>
  <c r="HR214" i="5" s="1"/>
  <c r="GL229" i="5"/>
  <c r="EU213" i="5"/>
  <c r="EY213" i="5"/>
  <c r="EV213" i="5" s="1"/>
  <c r="EU211" i="5"/>
  <c r="DF213" i="5"/>
  <c r="HM212" i="5"/>
  <c r="HM214" i="5" s="1"/>
  <c r="GG236" i="5"/>
  <c r="HH237" i="5" s="1"/>
  <c r="HH239" i="5" s="1"/>
  <c r="EY223" i="5"/>
  <c r="EV223" i="5" s="1"/>
  <c r="EU221" i="5"/>
  <c r="EU223" i="5"/>
  <c r="EY221" i="5"/>
  <c r="CM201" i="5"/>
  <c r="EY208" i="5"/>
  <c r="EV208" i="5" s="1"/>
  <c r="DF223" i="5"/>
  <c r="HM222" i="5"/>
  <c r="HM224" i="5" s="1"/>
  <c r="EU228" i="5"/>
  <c r="HK227" i="5" s="1"/>
  <c r="HK229" i="5" s="1"/>
  <c r="EU233" i="5"/>
  <c r="EY231" i="5"/>
  <c r="EY233" i="5"/>
  <c r="EV233" i="5" s="1"/>
  <c r="EU231" i="5"/>
  <c r="EX236" i="5"/>
  <c r="EX238" i="5"/>
  <c r="IL238" i="5"/>
  <c r="IK238" i="5" s="1"/>
  <c r="FU238" i="5"/>
  <c r="EU226" i="5"/>
  <c r="GL244" i="5"/>
  <c r="EY226" i="5"/>
  <c r="HM232" i="5"/>
  <c r="HM234" i="5" s="1"/>
  <c r="DF233" i="5"/>
  <c r="CM226" i="5"/>
  <c r="EU238" i="5"/>
  <c r="EY236" i="5"/>
  <c r="EY238" i="5"/>
  <c r="EV238" i="5" s="1"/>
  <c r="EU241" i="5"/>
  <c r="EU243" i="5"/>
  <c r="EY241" i="5"/>
  <c r="EY243" i="5"/>
  <c r="EV243" i="5" s="1"/>
  <c r="DF243" i="5"/>
  <c r="HM242" i="5"/>
  <c r="HM244" i="5" s="1"/>
  <c r="FI228" i="5"/>
  <c r="FJ228" i="5" s="1"/>
  <c r="FP228" i="5" s="1"/>
  <c r="HL227" i="5"/>
  <c r="HL229" i="5" s="1"/>
  <c r="GR226" i="5"/>
  <c r="GR221" i="5"/>
  <c r="CO226" i="5"/>
  <c r="CM236" i="5"/>
  <c r="GL237" i="5"/>
  <c r="GR241" i="5"/>
  <c r="HR242" i="5"/>
  <c r="HR244" i="5" s="1"/>
  <c r="FI231" i="5"/>
  <c r="FJ231" i="5" s="1"/>
  <c r="FP231" i="5" s="1"/>
  <c r="GR236" i="5"/>
  <c r="HR237" i="5"/>
  <c r="HR239" i="5" s="1"/>
  <c r="CO241" i="5"/>
  <c r="FB243" i="5"/>
  <c r="GR231" i="5"/>
  <c r="HR232" i="5"/>
  <c r="HR234" i="5" s="1"/>
  <c r="FI243" i="5"/>
  <c r="FJ243" i="5" s="1"/>
  <c r="FP243" i="5" s="1"/>
  <c r="FI233" i="5"/>
  <c r="FJ233" i="5" s="1"/>
  <c r="FP233" i="5" s="1"/>
  <c r="HM237" i="5"/>
  <c r="HM239" i="5" s="1"/>
  <c r="CO243" i="5"/>
  <c r="IK236" i="5"/>
  <c r="FM261" i="5"/>
  <c r="FM266" i="5"/>
  <c r="EY269" i="5"/>
  <c r="EY271" i="5"/>
  <c r="EV271" i="5" s="1"/>
  <c r="EU269" i="5"/>
  <c r="EU271" i="5"/>
  <c r="FP254" i="5"/>
  <c r="HL255" i="5"/>
  <c r="HL257" i="5" s="1"/>
  <c r="DF256" i="5"/>
  <c r="HM255" i="5"/>
  <c r="HM257" i="5" s="1"/>
  <c r="DF266" i="5"/>
  <c r="HM265" i="5"/>
  <c r="HM267" i="5" s="1"/>
  <c r="AJ261" i="5"/>
  <c r="FR261" i="5"/>
  <c r="EY264" i="5"/>
  <c r="EY266" i="5"/>
  <c r="EV266" i="5" s="1"/>
  <c r="EU264" i="5"/>
  <c r="EU266" i="5"/>
  <c r="EU249" i="5"/>
  <c r="EY249" i="5"/>
  <c r="EU251" i="5"/>
  <c r="EY251" i="5"/>
  <c r="EV251" i="5" s="1"/>
  <c r="GL252" i="5"/>
  <c r="GL267" i="5"/>
  <c r="EY256" i="5"/>
  <c r="EV256" i="5" s="1"/>
  <c r="EU254" i="5"/>
  <c r="EU256" i="5"/>
  <c r="EY254" i="5"/>
  <c r="FM271" i="5"/>
  <c r="GL257" i="5"/>
  <c r="EY261" i="5"/>
  <c r="EV261" i="5" s="1"/>
  <c r="EU259" i="5"/>
  <c r="EU261" i="5"/>
  <c r="EY259" i="5"/>
  <c r="EX291" i="5"/>
  <c r="EX289" i="5"/>
  <c r="GR249" i="5"/>
  <c r="HR250" i="5"/>
  <c r="HR252" i="5" s="1"/>
  <c r="GK254" i="5"/>
  <c r="IL271" i="5"/>
  <c r="FU271" i="5"/>
  <c r="FR276" i="5"/>
  <c r="AJ276" i="5"/>
  <c r="DF281" i="5"/>
  <c r="HM280" i="5"/>
  <c r="HM282" i="5" s="1"/>
  <c r="HM260" i="5"/>
  <c r="HM262" i="5" s="1"/>
  <c r="IL269" i="5"/>
  <c r="IK269" i="5" s="1"/>
  <c r="CM274" i="5"/>
  <c r="FI251" i="5"/>
  <c r="FJ251" i="5" s="1"/>
  <c r="FP251" i="5" s="1"/>
  <c r="CO261" i="5"/>
  <c r="DF271" i="5"/>
  <c r="FM281" i="5"/>
  <c r="HM250" i="5"/>
  <c r="HM252" i="5" s="1"/>
  <c r="CO256" i="5"/>
  <c r="FI269" i="5"/>
  <c r="FJ269" i="5" s="1"/>
  <c r="FP269" i="5" s="1"/>
  <c r="GL270" i="5"/>
  <c r="HM290" i="5"/>
  <c r="HM292" i="5" s="1"/>
  <c r="DF291" i="5"/>
  <c r="CO251" i="5"/>
  <c r="CM264" i="5"/>
  <c r="GR269" i="5"/>
  <c r="HR270" i="5"/>
  <c r="HR272" i="5" s="1"/>
  <c r="EU276" i="5"/>
  <c r="EY274" i="5"/>
  <c r="EY276" i="5"/>
  <c r="EV276" i="5" s="1"/>
  <c r="EU274" i="5"/>
  <c r="EU279" i="5"/>
  <c r="EY279" i="5"/>
  <c r="EY281" i="5"/>
  <c r="EV281" i="5" s="1"/>
  <c r="DF286" i="5"/>
  <c r="HM285" i="5"/>
  <c r="HM287" i="5" s="1"/>
  <c r="EY291" i="5"/>
  <c r="EV291" i="5" s="1"/>
  <c r="EU291" i="5"/>
  <c r="EY289" i="5"/>
  <c r="CM259" i="5"/>
  <c r="FI259" i="5"/>
  <c r="FJ259" i="5" s="1"/>
  <c r="HL260" i="5" s="1"/>
  <c r="HL262" i="5" s="1"/>
  <c r="GL260" i="5"/>
  <c r="GR264" i="5"/>
  <c r="HR265" i="5"/>
  <c r="HR267" i="5" s="1"/>
  <c r="FB271" i="5"/>
  <c r="IK271" i="5"/>
  <c r="EU281" i="5"/>
  <c r="GR259" i="5"/>
  <c r="HR260" i="5"/>
  <c r="HR262" i="5" s="1"/>
  <c r="GL277" i="5"/>
  <c r="FP279" i="5"/>
  <c r="HL280" i="5"/>
  <c r="HL282" i="5" s="1"/>
  <c r="GL282" i="5"/>
  <c r="FI249" i="5"/>
  <c r="FJ249" i="5" s="1"/>
  <c r="HL250" i="5" s="1"/>
  <c r="HL252" i="5" s="1"/>
  <c r="GR254" i="5"/>
  <c r="CO259" i="5"/>
  <c r="HM275" i="5"/>
  <c r="HM277" i="5" s="1"/>
  <c r="EU284" i="5"/>
  <c r="EU286" i="5"/>
  <c r="EY284" i="5"/>
  <c r="EY286" i="5"/>
  <c r="EV286" i="5" s="1"/>
  <c r="GR284" i="5"/>
  <c r="HR285" i="5"/>
  <c r="HR287" i="5" s="1"/>
  <c r="CO291" i="5"/>
  <c r="FB291" i="5"/>
  <c r="FI274" i="5"/>
  <c r="FJ274" i="5" s="1"/>
  <c r="FP274" i="5" s="1"/>
  <c r="GR279" i="5"/>
  <c r="HR280" i="5"/>
  <c r="HR282" i="5" s="1"/>
  <c r="CO284" i="5"/>
  <c r="GK284" i="5"/>
  <c r="FB286" i="5"/>
  <c r="FI291" i="5"/>
  <c r="FJ291" i="5" s="1"/>
  <c r="FP291" i="5" s="1"/>
  <c r="GR274" i="5"/>
  <c r="HR275" i="5"/>
  <c r="HR277" i="5" s="1"/>
  <c r="FI286" i="5"/>
  <c r="FJ286" i="5" s="1"/>
  <c r="FP286" i="5" s="1"/>
  <c r="CP296" i="5"/>
  <c r="CO274" i="5"/>
  <c r="FB276" i="5"/>
  <c r="FI276" i="5"/>
  <c r="FJ276" i="5" s="1"/>
  <c r="FP276" i="5" s="1"/>
  <c r="CO286" i="5"/>
  <c r="EY301" i="5"/>
  <c r="EV301" i="5" s="1"/>
  <c r="EU299" i="5"/>
  <c r="EU301" i="5"/>
  <c r="EY299" i="5"/>
  <c r="HL305" i="5"/>
  <c r="HL307" i="5" s="1"/>
  <c r="CO276" i="5"/>
  <c r="FI289" i="5"/>
  <c r="FJ289" i="5" s="1"/>
  <c r="HL290" i="5" s="1"/>
  <c r="HL292" i="5" s="1"/>
  <c r="HR290" i="5"/>
  <c r="HR292" i="5" s="1"/>
  <c r="GL302" i="5"/>
  <c r="EY306" i="5"/>
  <c r="EV306" i="5" s="1"/>
  <c r="EU306" i="5"/>
  <c r="EU304" i="5"/>
  <c r="EY304" i="5"/>
  <c r="GR289" i="5"/>
  <c r="GL295" i="5"/>
  <c r="GK294" i="5"/>
  <c r="DF301" i="5"/>
  <c r="HM300" i="5"/>
  <c r="HM302" i="5" s="1"/>
  <c r="GR294" i="5"/>
  <c r="HR295" i="5"/>
  <c r="HR297" i="5" s="1"/>
  <c r="GK299" i="5"/>
  <c r="FB301" i="5"/>
  <c r="FB306" i="5"/>
  <c r="HL300" i="5"/>
  <c r="HL302" i="5" s="1"/>
  <c r="FI301" i="5"/>
  <c r="FJ301" i="5" s="1"/>
  <c r="FP301" i="5" s="1"/>
  <c r="AJ306" i="5"/>
  <c r="FI306" i="5"/>
  <c r="FJ306" i="5" s="1"/>
  <c r="FP306" i="5" s="1"/>
  <c r="EY316" i="5"/>
  <c r="EV316" i="5" s="1"/>
  <c r="EU316" i="5"/>
  <c r="EY314" i="5"/>
  <c r="EU314" i="5"/>
  <c r="CM314" i="5"/>
  <c r="HM295" i="5"/>
  <c r="HM297" i="5" s="1"/>
  <c r="CP311" i="5"/>
  <c r="HM310" i="5"/>
  <c r="HM312" i="5" s="1"/>
  <c r="HM315" i="5"/>
  <c r="HM317" i="5" s="1"/>
  <c r="CO296" i="5"/>
  <c r="FP299" i="5"/>
  <c r="IL301" i="5"/>
  <c r="GL312" i="5"/>
  <c r="CM299" i="5"/>
  <c r="HR305" i="5"/>
  <c r="HR307" i="5" s="1"/>
  <c r="CO306" i="5"/>
  <c r="GR304" i="5"/>
  <c r="FR311" i="5"/>
  <c r="GR299" i="5"/>
  <c r="CO304" i="5"/>
  <c r="FP309" i="5"/>
  <c r="EY319" i="5"/>
  <c r="GR319" i="5"/>
  <c r="HR315" i="5"/>
  <c r="HR317" i="5" s="1"/>
  <c r="CO316" i="5"/>
  <c r="GR314" i="5"/>
  <c r="DF316" i="5"/>
  <c r="FB316" i="5"/>
  <c r="FB321" i="5"/>
  <c r="CO319" i="5"/>
  <c r="CO321" i="5"/>
  <c r="GR309" i="5"/>
  <c r="HR310" i="5"/>
  <c r="HR312" i="5" s="1"/>
  <c r="CO314" i="5"/>
  <c r="HL315" i="5"/>
  <c r="HL317" i="5" s="1"/>
  <c r="FI316" i="5"/>
  <c r="FJ316" i="5" s="1"/>
  <c r="FP316" i="5" s="1"/>
  <c r="GK319" i="5"/>
  <c r="GL320" i="5"/>
  <c r="FI321" i="5"/>
  <c r="FJ321" i="5" s="1"/>
  <c r="FP321" i="5" s="1"/>
  <c r="FI319" i="5"/>
  <c r="FJ319" i="5" s="1"/>
  <c r="FP319" i="5" s="1"/>
  <c r="EX319" i="5"/>
  <c r="EU163" i="5"/>
  <c r="EU165" i="5"/>
  <c r="EY163" i="5"/>
  <c r="EY165" i="5"/>
  <c r="EV165" i="5" s="1"/>
  <c r="FM165" i="5"/>
  <c r="FR165" i="5"/>
  <c r="AJ165" i="5"/>
  <c r="GL164" i="5"/>
  <c r="GR163" i="5"/>
  <c r="HR164" i="5"/>
  <c r="HR166" i="5" s="1"/>
  <c r="CO163" i="5"/>
  <c r="FB165" i="5"/>
  <c r="HM164" i="5"/>
  <c r="HM166" i="5" s="1"/>
  <c r="CO165" i="5"/>
  <c r="DF160" i="5"/>
  <c r="HM159" i="5"/>
  <c r="HM161" i="5" s="1"/>
  <c r="EU158" i="5"/>
  <c r="EU160" i="5"/>
  <c r="EY158" i="5"/>
  <c r="EY160" i="5"/>
  <c r="EV160" i="5" s="1"/>
  <c r="CM158" i="5"/>
  <c r="FI158" i="5"/>
  <c r="FJ158" i="5" s="1"/>
  <c r="HL159" i="5" s="1"/>
  <c r="HL161" i="5" s="1"/>
  <c r="GL159" i="5"/>
  <c r="CO158" i="5"/>
  <c r="FB160" i="5"/>
  <c r="GR158" i="5"/>
  <c r="HR159" i="5"/>
  <c r="HR161" i="5" s="1"/>
  <c r="FI160" i="5"/>
  <c r="FJ160" i="5" s="1"/>
  <c r="FP160" i="5" s="1"/>
  <c r="CO160" i="5"/>
  <c r="EU153" i="5"/>
  <c r="EY153" i="5"/>
  <c r="EU155" i="5"/>
  <c r="EY155" i="5"/>
  <c r="EV155" i="5" s="1"/>
  <c r="FM155" i="5"/>
  <c r="DF155" i="5"/>
  <c r="HM154" i="5"/>
  <c r="HM156" i="5" s="1"/>
  <c r="GR153" i="5"/>
  <c r="HR154" i="5"/>
  <c r="HR156" i="5" s="1"/>
  <c r="GL154" i="5"/>
  <c r="CO153" i="5"/>
  <c r="FB155" i="5"/>
  <c r="CO155" i="5"/>
  <c r="FP153" i="5"/>
  <c r="EU150" i="5"/>
  <c r="EY148" i="5"/>
  <c r="EU148" i="5"/>
  <c r="EY150" i="5"/>
  <c r="EV150" i="5" s="1"/>
  <c r="IL150" i="5"/>
  <c r="IK150" i="5" s="1"/>
  <c r="FU150" i="5"/>
  <c r="FP148" i="5"/>
  <c r="FM150" i="5"/>
  <c r="GL149" i="5"/>
  <c r="GR148" i="5"/>
  <c r="HR149" i="5"/>
  <c r="HR151" i="5" s="1"/>
  <c r="AJ150" i="5"/>
  <c r="IL148" i="5"/>
  <c r="DF145" i="5"/>
  <c r="HM144" i="5"/>
  <c r="HM146" i="5" s="1"/>
  <c r="EU143" i="5"/>
  <c r="EY143" i="5"/>
  <c r="EU145" i="5"/>
  <c r="EY145" i="5"/>
  <c r="EV145" i="5" s="1"/>
  <c r="CM143" i="5"/>
  <c r="GL144" i="5"/>
  <c r="GR143" i="5"/>
  <c r="HR144" i="5"/>
  <c r="HR146" i="5" s="1"/>
  <c r="FI145" i="5"/>
  <c r="FJ145" i="5" s="1"/>
  <c r="FP145" i="5" s="1"/>
  <c r="FU145" i="5"/>
  <c r="IL145" i="5"/>
  <c r="IK145" i="5" s="1"/>
  <c r="EU138" i="5"/>
  <c r="EU140" i="5"/>
  <c r="EY138" i="5"/>
  <c r="EY140" i="5"/>
  <c r="EV140" i="5" s="1"/>
  <c r="DF140" i="5"/>
  <c r="HM139" i="5"/>
  <c r="HM141" i="5" s="1"/>
  <c r="CM138" i="5"/>
  <c r="GL139" i="5"/>
  <c r="GR138" i="5"/>
  <c r="HR139" i="5"/>
  <c r="HR141" i="5" s="1"/>
  <c r="CO138" i="5"/>
  <c r="FB140" i="5"/>
  <c r="FI140" i="5"/>
  <c r="FJ140" i="5" s="1"/>
  <c r="FP140" i="5" s="1"/>
  <c r="CO140" i="5"/>
  <c r="DF135" i="5"/>
  <c r="HM134" i="5"/>
  <c r="HM136" i="5" s="1"/>
  <c r="EU133" i="5"/>
  <c r="EU135" i="5"/>
  <c r="EY135" i="5"/>
  <c r="EV135" i="5" s="1"/>
  <c r="EY133" i="5"/>
  <c r="CM133" i="5"/>
  <c r="FI133" i="5"/>
  <c r="FJ133" i="5" s="1"/>
  <c r="HL134" i="5" s="1"/>
  <c r="HL136" i="5" s="1"/>
  <c r="GL134" i="5"/>
  <c r="CO133" i="5"/>
  <c r="FB135" i="5"/>
  <c r="HR134" i="5"/>
  <c r="HR136" i="5" s="1"/>
  <c r="FI135" i="5"/>
  <c r="FJ135" i="5" s="1"/>
  <c r="FP135" i="5" s="1"/>
  <c r="CO135" i="5"/>
  <c r="GR133" i="5"/>
  <c r="IL130" i="5"/>
  <c r="FU130" i="5"/>
  <c r="EU128" i="5"/>
  <c r="EU130" i="5"/>
  <c r="EY128" i="5"/>
  <c r="EY130" i="5"/>
  <c r="EV130" i="5" s="1"/>
  <c r="CM128" i="5"/>
  <c r="FI128" i="5"/>
  <c r="FJ128" i="5" s="1"/>
  <c r="GL129" i="5"/>
  <c r="GR128" i="5"/>
  <c r="HR129" i="5"/>
  <c r="HR131" i="5" s="1"/>
  <c r="CO128" i="5"/>
  <c r="AJ130" i="5"/>
  <c r="FB130" i="5"/>
  <c r="HM129" i="5"/>
  <c r="HM131" i="5" s="1"/>
  <c r="FM125" i="5"/>
  <c r="GL126" i="5"/>
  <c r="FR125" i="5"/>
  <c r="AJ125" i="5"/>
  <c r="EX123" i="5"/>
  <c r="EX125" i="5"/>
  <c r="CM123" i="5"/>
  <c r="FI123" i="5"/>
  <c r="FJ123" i="5" s="1"/>
  <c r="FP123" i="5" s="1"/>
  <c r="GR123" i="5"/>
  <c r="HR124" i="5"/>
  <c r="HR126" i="5" s="1"/>
  <c r="EY125" i="5"/>
  <c r="EV125" i="5" s="1"/>
  <c r="FB125" i="5"/>
  <c r="EY123" i="5"/>
  <c r="HM124" i="5"/>
  <c r="HM126" i="5" s="1"/>
  <c r="EU125" i="5"/>
  <c r="IL120" i="5"/>
  <c r="FU120" i="5"/>
  <c r="FR120" i="5"/>
  <c r="AJ120" i="5"/>
  <c r="EU118" i="5"/>
  <c r="EU120" i="5"/>
  <c r="EY118" i="5"/>
  <c r="EY120" i="5"/>
  <c r="EV120" i="5" s="1"/>
  <c r="GR118" i="5"/>
  <c r="HR119" i="5"/>
  <c r="HR121" i="5" s="1"/>
  <c r="GL121" i="5"/>
  <c r="HM119" i="5"/>
  <c r="HM121" i="5" s="1"/>
  <c r="EU113" i="5"/>
  <c r="EU115" i="5"/>
  <c r="EY113" i="5"/>
  <c r="EY115" i="5"/>
  <c r="EV115" i="5" s="1"/>
  <c r="FR115" i="5"/>
  <c r="AJ115" i="5"/>
  <c r="GR113" i="5"/>
  <c r="HR114" i="5"/>
  <c r="HR116" i="5" s="1"/>
  <c r="GL116" i="5"/>
  <c r="FI115" i="5"/>
  <c r="FJ115" i="5" s="1"/>
  <c r="FP115" i="5" s="1"/>
  <c r="HM114" i="5"/>
  <c r="HM116" i="5" s="1"/>
  <c r="CO115" i="5"/>
  <c r="EU108" i="5"/>
  <c r="EU110" i="5"/>
  <c r="EY108" i="5"/>
  <c r="EY110" i="5"/>
  <c r="EV110" i="5" s="1"/>
  <c r="IL110" i="5"/>
  <c r="IK110" i="5" s="1"/>
  <c r="FU110" i="5"/>
  <c r="GR108" i="5"/>
  <c r="HR109" i="5"/>
  <c r="HR111" i="5" s="1"/>
  <c r="AJ110" i="5"/>
  <c r="IK108" i="5"/>
  <c r="EU103" i="5"/>
  <c r="EU105" i="5"/>
  <c r="EY103" i="5"/>
  <c r="EY105" i="5"/>
  <c r="EV105" i="5" s="1"/>
  <c r="GL106" i="5"/>
  <c r="FR105" i="5"/>
  <c r="AJ105" i="5"/>
  <c r="CM103" i="5"/>
  <c r="FI103" i="5"/>
  <c r="FJ103" i="5" s="1"/>
  <c r="HL104" i="5" s="1"/>
  <c r="HL106" i="5" s="1"/>
  <c r="FB105" i="5"/>
  <c r="FI105" i="5"/>
  <c r="FJ105" i="5" s="1"/>
  <c r="FP105" i="5" s="1"/>
  <c r="GR103" i="5"/>
  <c r="CO103" i="5"/>
  <c r="HM104" i="5"/>
  <c r="HM106" i="5" s="1"/>
  <c r="HR104" i="5"/>
  <c r="HR106" i="5" s="1"/>
  <c r="CO105" i="5"/>
  <c r="GL101" i="5"/>
  <c r="IL100" i="5"/>
  <c r="FU100" i="5"/>
  <c r="CM98" i="5"/>
  <c r="GR98" i="5"/>
  <c r="HR99" i="5"/>
  <c r="HR101" i="5" s="1"/>
  <c r="EY100" i="5"/>
  <c r="EV100" i="5" s="1"/>
  <c r="HK99" i="5" s="1"/>
  <c r="HK101" i="5" s="1"/>
  <c r="AJ100" i="5"/>
  <c r="EY98" i="5"/>
  <c r="HL99" i="5"/>
  <c r="HL101" i="5" s="1"/>
  <c r="FI100" i="5"/>
  <c r="FJ100" i="5" s="1"/>
  <c r="FP100" i="5" s="1"/>
  <c r="HM99" i="5"/>
  <c r="HM101" i="5" s="1"/>
  <c r="EU93" i="5"/>
  <c r="EU95" i="5"/>
  <c r="EY93" i="5"/>
  <c r="EY95" i="5"/>
  <c r="EV95" i="5" s="1"/>
  <c r="DF95" i="5"/>
  <c r="HM94" i="5"/>
  <c r="HM96" i="5" s="1"/>
  <c r="GL94" i="5"/>
  <c r="GR93" i="5"/>
  <c r="HR94" i="5"/>
  <c r="HR96" i="5" s="1"/>
  <c r="CO93" i="5"/>
  <c r="FB95" i="5"/>
  <c r="HL94" i="5"/>
  <c r="HL96" i="5" s="1"/>
  <c r="FI95" i="5"/>
  <c r="FJ95" i="5" s="1"/>
  <c r="FP95" i="5" s="1"/>
  <c r="CO95" i="5"/>
  <c r="FP93" i="5"/>
  <c r="HL86" i="5"/>
  <c r="HL88" i="5" s="1"/>
  <c r="FM87" i="5"/>
  <c r="EU87" i="5"/>
  <c r="EY85" i="5"/>
  <c r="EU85" i="5"/>
  <c r="EY87" i="5"/>
  <c r="EV87" i="5" s="1"/>
  <c r="IL87" i="5"/>
  <c r="IK87" i="5" s="1"/>
  <c r="FU87" i="5"/>
  <c r="CM85" i="5"/>
  <c r="GL86" i="5"/>
  <c r="GR85" i="5"/>
  <c r="HR86" i="5"/>
  <c r="HR88" i="5" s="1"/>
  <c r="CO85" i="5"/>
  <c r="AJ87" i="5"/>
  <c r="FB87" i="5"/>
  <c r="HM86" i="5"/>
  <c r="HM88" i="5" s="1"/>
  <c r="EX80" i="5"/>
  <c r="EX82" i="5"/>
  <c r="GL83" i="5"/>
  <c r="IL82" i="5"/>
  <c r="IK82" i="5" s="1"/>
  <c r="FU82" i="5"/>
  <c r="DF82" i="5"/>
  <c r="GR80" i="5"/>
  <c r="HR81" i="5"/>
  <c r="HR83" i="5" s="1"/>
  <c r="EY82" i="5"/>
  <c r="EV82" i="5" s="1"/>
  <c r="EY80" i="5"/>
  <c r="IK80" i="5"/>
  <c r="EU82" i="5"/>
  <c r="FR77" i="5"/>
  <c r="AJ77" i="5"/>
  <c r="GL78" i="5"/>
  <c r="CM75" i="5"/>
  <c r="FI75" i="5"/>
  <c r="FJ75" i="5" s="1"/>
  <c r="FP75" i="5" s="1"/>
  <c r="FB77" i="5"/>
  <c r="HR76" i="5"/>
  <c r="HR78" i="5" s="1"/>
  <c r="EY75" i="5"/>
  <c r="FI77" i="5"/>
  <c r="FJ77" i="5" s="1"/>
  <c r="FP77" i="5" s="1"/>
  <c r="GR75" i="5"/>
  <c r="CO75" i="5"/>
  <c r="HM76" i="5"/>
  <c r="HM78" i="5" s="1"/>
  <c r="CO77" i="5"/>
  <c r="EU77" i="5"/>
  <c r="IL72" i="5"/>
  <c r="FU72" i="5"/>
  <c r="HL71" i="5"/>
  <c r="HL73" i="5" s="1"/>
  <c r="FP70" i="5"/>
  <c r="EU72" i="5"/>
  <c r="EY70" i="5"/>
  <c r="EY72" i="5"/>
  <c r="EV72" i="5" s="1"/>
  <c r="EU70" i="5"/>
  <c r="GL71" i="5"/>
  <c r="DF72" i="5"/>
  <c r="GR70" i="5"/>
  <c r="HR71" i="5"/>
  <c r="HR73" i="5" s="1"/>
  <c r="CM70" i="5"/>
  <c r="CO70" i="5"/>
  <c r="FB72" i="5"/>
  <c r="HM66" i="5"/>
  <c r="HM68" i="5" s="1"/>
  <c r="IL67" i="5"/>
  <c r="FU67" i="5"/>
  <c r="EU67" i="5"/>
  <c r="EU65" i="5"/>
  <c r="EY65" i="5"/>
  <c r="EY67" i="5"/>
  <c r="EV67" i="5" s="1"/>
  <c r="GR65" i="5"/>
  <c r="CO65" i="5"/>
  <c r="FB67" i="5"/>
  <c r="FI67" i="5"/>
  <c r="FJ67" i="5" s="1"/>
  <c r="FP67" i="5" s="1"/>
  <c r="GL63" i="5"/>
  <c r="FM62" i="5"/>
  <c r="HM61" i="5"/>
  <c r="HM63" i="5" s="1"/>
  <c r="DF62" i="5"/>
  <c r="CM60" i="5"/>
  <c r="FI60" i="5"/>
  <c r="FJ60" i="5" s="1"/>
  <c r="FP60" i="5" s="1"/>
  <c r="GR60" i="5"/>
  <c r="EY62" i="5"/>
  <c r="EV62" i="5" s="1"/>
  <c r="CO60" i="5"/>
  <c r="FB62" i="5"/>
  <c r="FU62" i="5"/>
  <c r="IL57" i="5"/>
  <c r="DF57" i="5" s="1"/>
  <c r="FU57" i="5"/>
  <c r="FP55" i="5"/>
  <c r="GL58" i="5"/>
  <c r="EX57" i="5"/>
  <c r="GR55" i="5"/>
  <c r="EY57" i="5"/>
  <c r="EV57" i="5" s="1"/>
  <c r="EY55" i="5"/>
  <c r="HM51" i="5"/>
  <c r="HM53" i="5" s="1"/>
  <c r="EU50" i="5"/>
  <c r="EU52" i="5"/>
  <c r="EY50" i="5"/>
  <c r="EY52" i="5"/>
  <c r="EV52" i="5" s="1"/>
  <c r="GR50" i="5"/>
  <c r="HR51" i="5"/>
  <c r="HR53" i="5" s="1"/>
  <c r="GL53" i="5"/>
  <c r="CO50" i="5"/>
  <c r="FB52" i="5"/>
  <c r="HL51" i="5"/>
  <c r="HL53" i="5" s="1"/>
  <c r="FI52" i="5"/>
  <c r="FJ52" i="5" s="1"/>
  <c r="FP52" i="5" s="1"/>
  <c r="CO52" i="5"/>
  <c r="FP50" i="5"/>
  <c r="EU45" i="5"/>
  <c r="EU47" i="5"/>
  <c r="EY45" i="5"/>
  <c r="EY47" i="5"/>
  <c r="EV47" i="5" s="1"/>
  <c r="HM46" i="5"/>
  <c r="HM48" i="5" s="1"/>
  <c r="FI45" i="5"/>
  <c r="FJ45" i="5" s="1"/>
  <c r="FP45" i="5" s="1"/>
  <c r="GL46" i="5"/>
  <c r="GR45" i="5"/>
  <c r="HR46" i="5"/>
  <c r="HR48" i="5" s="1"/>
  <c r="CO45" i="5"/>
  <c r="FB47" i="5"/>
  <c r="FI47" i="5"/>
  <c r="FJ47" i="5" s="1"/>
  <c r="FP47" i="5" s="1"/>
  <c r="CO47" i="5"/>
  <c r="J38" i="20"/>
  <c r="J38" i="21" s="1"/>
  <c r="FU573" i="5" l="1"/>
  <c r="IK674" i="5"/>
  <c r="IP727" i="5"/>
  <c r="IP387" i="5"/>
  <c r="HL164" i="5"/>
  <c r="HL166" i="5" s="1"/>
  <c r="IK387" i="5"/>
  <c r="FP80" i="5"/>
  <c r="EX369" i="5"/>
  <c r="IL644" i="5"/>
  <c r="HK343" i="5"/>
  <c r="HK345" i="5" s="1"/>
  <c r="FU354" i="5"/>
  <c r="IO465" i="5"/>
  <c r="FO548" i="5"/>
  <c r="IP679" i="5"/>
  <c r="IL445" i="5"/>
  <c r="FO679" i="5"/>
  <c r="IK679" i="5"/>
  <c r="IP465" i="5"/>
  <c r="IP445" i="5"/>
  <c r="IK548" i="5"/>
  <c r="J306" i="20"/>
  <c r="J240" i="20" s="1"/>
  <c r="M30" i="20"/>
  <c r="IM752" i="5"/>
  <c r="FO752" i="5"/>
  <c r="IL566" i="5"/>
  <c r="IK566" i="5"/>
  <c r="HL416" i="5"/>
  <c r="HL418" i="5" s="1"/>
  <c r="HL783" i="5"/>
  <c r="HL785" i="5" s="1"/>
  <c r="IL767" i="5"/>
  <c r="IN767" i="5" s="1"/>
  <c r="IK732" i="5"/>
  <c r="FO699" i="5"/>
  <c r="FO606" i="5"/>
  <c r="IL606" i="5"/>
  <c r="IM608" i="5"/>
  <c r="IL538" i="5"/>
  <c r="IK538" i="5"/>
  <c r="IP538" i="5"/>
  <c r="IL405" i="5"/>
  <c r="IP405" i="5" s="1"/>
  <c r="FO392" i="5"/>
  <c r="IP392" i="5"/>
  <c r="IL281" i="5"/>
  <c r="FP171" i="5"/>
  <c r="FO732" i="5"/>
  <c r="IL729" i="5"/>
  <c r="HL705" i="5"/>
  <c r="HL707" i="5" s="1"/>
  <c r="IP684" i="5"/>
  <c r="FU593" i="5"/>
  <c r="FP571" i="5"/>
  <c r="IL573" i="5"/>
  <c r="IP543" i="5"/>
  <c r="FO543" i="5"/>
  <c r="IL228" i="5"/>
  <c r="IK228" i="5" s="1"/>
  <c r="HL718" i="5"/>
  <c r="HL720" i="5" s="1"/>
  <c r="IP717" i="5"/>
  <c r="FO372" i="5"/>
  <c r="IL654" i="5"/>
  <c r="FP752" i="5"/>
  <c r="IK372" i="5"/>
  <c r="HK61" i="5"/>
  <c r="HK63" i="5" s="1"/>
  <c r="FO767" i="5"/>
  <c r="FP435" i="5"/>
  <c r="FO528" i="5"/>
  <c r="HK582" i="5"/>
  <c r="HK584" i="5" s="1"/>
  <c r="IM573" i="5"/>
  <c r="IO573" i="5" s="1"/>
  <c r="FO387" i="5"/>
  <c r="FP410" i="5"/>
  <c r="FQ573" i="5"/>
  <c r="IM684" i="5"/>
  <c r="IN684" i="5" s="1"/>
  <c r="IP767" i="5"/>
  <c r="IM500" i="5"/>
  <c r="IM654" i="5"/>
  <c r="IM777" i="5"/>
  <c r="FP498" i="5"/>
  <c r="FO654" i="5"/>
  <c r="FO777" i="5"/>
  <c r="IN752" i="5"/>
  <c r="IM686" i="5"/>
  <c r="HL627" i="5"/>
  <c r="HL629" i="5" s="1"/>
  <c r="FQ608" i="5"/>
  <c r="FQ510" i="5"/>
  <c r="FQ500" i="5"/>
  <c r="IK483" i="5"/>
  <c r="FO465" i="5"/>
  <c r="IL465" i="5"/>
  <c r="IK465" i="5"/>
  <c r="IK445" i="5"/>
  <c r="FP294" i="5"/>
  <c r="HL265" i="5"/>
  <c r="HL267" i="5" s="1"/>
  <c r="IK211" i="5"/>
  <c r="HL114" i="5"/>
  <c r="HL116" i="5" s="1"/>
  <c r="IK98" i="5"/>
  <c r="AJ774" i="5"/>
  <c r="FP762" i="5"/>
  <c r="FP757" i="5"/>
  <c r="FM734" i="5"/>
  <c r="IL727" i="5"/>
  <c r="IK727" i="5" s="1"/>
  <c r="FO717" i="5"/>
  <c r="IM717" i="5"/>
  <c r="IN717" i="5" s="1"/>
  <c r="FQ706" i="5"/>
  <c r="HL685" i="5"/>
  <c r="HL687" i="5" s="1"/>
  <c r="IN649" i="5"/>
  <c r="IM649" i="5"/>
  <c r="IL649" i="5"/>
  <c r="IK649" i="5" s="1"/>
  <c r="FP649" i="5"/>
  <c r="HL602" i="5"/>
  <c r="HL604" i="5" s="1"/>
  <c r="IN571" i="5"/>
  <c r="FO483" i="5"/>
  <c r="IP483" i="5"/>
  <c r="HK461" i="5"/>
  <c r="HK463" i="5" s="1"/>
  <c r="FP357" i="5"/>
  <c r="IL364" i="5"/>
  <c r="IK364" i="5" s="1"/>
  <c r="IK352" i="5"/>
  <c r="FP327" i="5"/>
  <c r="HL139" i="5"/>
  <c r="HL141" i="5" s="1"/>
  <c r="HK587" i="5"/>
  <c r="HK589" i="5" s="1"/>
  <c r="FP143" i="5"/>
  <c r="IM513" i="5"/>
  <c r="FQ550" i="5"/>
  <c r="FS550" i="5" s="1"/>
  <c r="FR394" i="5"/>
  <c r="AJ394" i="5"/>
  <c r="FR374" i="5"/>
  <c r="AJ374" i="5"/>
  <c r="IK430" i="5"/>
  <c r="HK416" i="5"/>
  <c r="HK418" i="5" s="1"/>
  <c r="HL363" i="5"/>
  <c r="HL365" i="5" s="1"/>
  <c r="IK281" i="5"/>
  <c r="HL242" i="5"/>
  <c r="HL244" i="5" s="1"/>
  <c r="HL237" i="5"/>
  <c r="HL239" i="5" s="1"/>
  <c r="HL212" i="5"/>
  <c r="HL214" i="5" s="1"/>
  <c r="HL202" i="5"/>
  <c r="HL204" i="5" s="1"/>
  <c r="IK148" i="5"/>
  <c r="IK130" i="5"/>
  <c r="IK120" i="5"/>
  <c r="IK100" i="5"/>
  <c r="HK81" i="5"/>
  <c r="HK83" i="5" s="1"/>
  <c r="IK72" i="5"/>
  <c r="IK67" i="5"/>
  <c r="DF67" i="5" s="1"/>
  <c r="FR67" i="5" s="1"/>
  <c r="HK56" i="5"/>
  <c r="HK58" i="5" s="1"/>
  <c r="IK57" i="5"/>
  <c r="IM767" i="5"/>
  <c r="FP767" i="5"/>
  <c r="HL778" i="5"/>
  <c r="HL780" i="5" s="1"/>
  <c r="IN737" i="5"/>
  <c r="IM729" i="5"/>
  <c r="IP737" i="5"/>
  <c r="IO737" i="5" s="1"/>
  <c r="IK719" i="5"/>
  <c r="IM719" i="5"/>
  <c r="IN719" i="5" s="1"/>
  <c r="IP782" i="5"/>
  <c r="IL737" i="5"/>
  <c r="IK737" i="5" s="1"/>
  <c r="FO737" i="5"/>
  <c r="IP719" i="5"/>
  <c r="IL752" i="5"/>
  <c r="FU719" i="5"/>
  <c r="FP654" i="5"/>
  <c r="IK664" i="5"/>
  <c r="HL665" i="5"/>
  <c r="HL667" i="5" s="1"/>
  <c r="FO704" i="5"/>
  <c r="IP699" i="5"/>
  <c r="IK699" i="5"/>
  <c r="FQ681" i="5"/>
  <c r="FS681" i="5" s="1"/>
  <c r="FQ686" i="5"/>
  <c r="IM699" i="5"/>
  <c r="IN699" i="5" s="1"/>
  <c r="FU686" i="5"/>
  <c r="IP704" i="5"/>
  <c r="IO699" i="5"/>
  <c r="FQ628" i="5"/>
  <c r="FP611" i="5"/>
  <c r="IN608" i="5"/>
  <c r="IM571" i="5"/>
  <c r="FU608" i="5"/>
  <c r="FU623" i="5"/>
  <c r="IN623" i="5"/>
  <c r="IL623" i="5"/>
  <c r="IK623" i="5" s="1"/>
  <c r="IL571" i="5"/>
  <c r="IP571" i="5" s="1"/>
  <c r="IK571" i="5"/>
  <c r="IN528" i="5"/>
  <c r="IL528" i="5"/>
  <c r="IK528" i="5" s="1"/>
  <c r="IN500" i="5"/>
  <c r="IO515" i="5"/>
  <c r="FU500" i="5"/>
  <c r="IP515" i="5"/>
  <c r="HK539" i="5"/>
  <c r="HK541" i="5" s="1"/>
  <c r="HK544" i="5"/>
  <c r="HK546" i="5" s="1"/>
  <c r="FQ530" i="5"/>
  <c r="EX525" i="5"/>
  <c r="FO508" i="5"/>
  <c r="IK515" i="5"/>
  <c r="FQ485" i="5"/>
  <c r="FS485" i="5" s="1"/>
  <c r="FO470" i="5"/>
  <c r="IL435" i="5"/>
  <c r="IK435" i="5" s="1"/>
  <c r="FQ442" i="5"/>
  <c r="IL417" i="5"/>
  <c r="IP417" i="5"/>
  <c r="IO417" i="5" s="1"/>
  <c r="HK436" i="5"/>
  <c r="HK438" i="5" s="1"/>
  <c r="FP420" i="5"/>
  <c r="FU417" i="5"/>
  <c r="FQ407" i="5"/>
  <c r="FQ379" i="5"/>
  <c r="IK392" i="5"/>
  <c r="FQ389" i="5"/>
  <c r="FQ394" i="5"/>
  <c r="IL266" i="5"/>
  <c r="IK294" i="5"/>
  <c r="IL279" i="5"/>
  <c r="IK279" i="5" s="1"/>
  <c r="IK289" i="5"/>
  <c r="FU178" i="5"/>
  <c r="IL193" i="5"/>
  <c r="IL178" i="5"/>
  <c r="IK178" i="5" s="1"/>
  <c r="IL223" i="5"/>
  <c r="EX100" i="5"/>
  <c r="EX77" i="5"/>
  <c r="HK76" i="5"/>
  <c r="HK78" i="5" s="1"/>
  <c r="HL66" i="5"/>
  <c r="HL68" i="5" s="1"/>
  <c r="EX62" i="5"/>
  <c r="HK788" i="5"/>
  <c r="HK790" i="5" s="1"/>
  <c r="IK782" i="5"/>
  <c r="FO782" i="5"/>
  <c r="FQ784" i="5"/>
  <c r="FS784" i="5" s="1"/>
  <c r="HK778" i="5"/>
  <c r="HK780" i="5" s="1"/>
  <c r="HK758" i="5"/>
  <c r="HK760" i="5" s="1"/>
  <c r="HK753" i="5"/>
  <c r="HK755" i="5" s="1"/>
  <c r="HK748" i="5"/>
  <c r="HK750" i="5" s="1"/>
  <c r="HK733" i="5"/>
  <c r="HK735" i="5" s="1"/>
  <c r="HK710" i="5"/>
  <c r="HK712" i="5" s="1"/>
  <c r="HK700" i="5"/>
  <c r="HK702" i="5" s="1"/>
  <c r="HL700" i="5"/>
  <c r="HL702" i="5" s="1"/>
  <c r="FP694" i="5"/>
  <c r="HL690" i="5"/>
  <c r="HL692" i="5" s="1"/>
  <c r="IL684" i="5"/>
  <c r="IK684" i="5"/>
  <c r="HK675" i="5"/>
  <c r="HK677" i="5" s="1"/>
  <c r="IP674" i="5"/>
  <c r="IL674" i="5"/>
  <c r="HL670" i="5"/>
  <c r="HL672" i="5" s="1"/>
  <c r="IP664" i="5"/>
  <c r="IL664" i="5"/>
  <c r="HK650" i="5"/>
  <c r="HK652" i="5" s="1"/>
  <c r="HK645" i="5"/>
  <c r="HK647" i="5" s="1"/>
  <c r="HK640" i="5"/>
  <c r="HK642" i="5" s="1"/>
  <c r="FP631" i="5"/>
  <c r="IM628" i="5"/>
  <c r="HK612" i="5"/>
  <c r="HK614" i="5" s="1"/>
  <c r="FP606" i="5"/>
  <c r="IK603" i="5"/>
  <c r="HK592" i="5"/>
  <c r="HK594" i="5" s="1"/>
  <c r="FQ593" i="5"/>
  <c r="FS593" i="5" s="1"/>
  <c r="FP591" i="5"/>
  <c r="FP586" i="5"/>
  <c r="FQ588" i="5"/>
  <c r="HL582" i="5"/>
  <c r="HL584" i="5" s="1"/>
  <c r="IL581" i="5"/>
  <c r="FO581" i="5"/>
  <c r="HK577" i="5"/>
  <c r="HK579" i="5" s="1"/>
  <c r="FP576" i="5"/>
  <c r="HK572" i="5"/>
  <c r="HK574" i="5" s="1"/>
  <c r="FP561" i="5"/>
  <c r="HL544" i="5"/>
  <c r="HL546" i="5" s="1"/>
  <c r="HL534" i="5"/>
  <c r="HL536" i="5" s="1"/>
  <c r="HK529" i="5"/>
  <c r="HK531" i="5" s="1"/>
  <c r="FP528" i="5"/>
  <c r="HL524" i="5"/>
  <c r="HL526" i="5" s="1"/>
  <c r="HL514" i="5"/>
  <c r="HL516" i="5" s="1"/>
  <c r="HK514" i="5"/>
  <c r="HK516" i="5" s="1"/>
  <c r="IL513" i="5"/>
  <c r="IK513" i="5" s="1"/>
  <c r="IN513" i="5"/>
  <c r="FO513" i="5"/>
  <c r="HK494" i="5"/>
  <c r="HK496" i="5" s="1"/>
  <c r="HK489" i="5"/>
  <c r="HK491" i="5" s="1"/>
  <c r="HK476" i="5"/>
  <c r="HK478" i="5" s="1"/>
  <c r="FP470" i="5"/>
  <c r="HL466" i="5"/>
  <c r="HL468" i="5" s="1"/>
  <c r="HL461" i="5"/>
  <c r="HL463" i="5" s="1"/>
  <c r="HK456" i="5"/>
  <c r="HK458" i="5" s="1"/>
  <c r="HL446" i="5"/>
  <c r="HL448" i="5" s="1"/>
  <c r="HL426" i="5"/>
  <c r="HL428" i="5" s="1"/>
  <c r="HK426" i="5"/>
  <c r="HK428" i="5" s="1"/>
  <c r="HL398" i="5"/>
  <c r="HL400" i="5" s="1"/>
  <c r="HK398" i="5"/>
  <c r="HK400" i="5" s="1"/>
  <c r="HK383" i="5"/>
  <c r="HK385" i="5" s="1"/>
  <c r="IN382" i="5"/>
  <c r="IM382" i="5"/>
  <c r="IO382" i="5" s="1"/>
  <c r="IP382" i="5"/>
  <c r="IL382" i="5"/>
  <c r="HK378" i="5"/>
  <c r="HK380" i="5" s="1"/>
  <c r="FP372" i="5"/>
  <c r="IM372" i="5"/>
  <c r="IP372" i="5"/>
  <c r="IL372" i="5"/>
  <c r="HL368" i="5"/>
  <c r="HL370" i="5" s="1"/>
  <c r="HL348" i="5"/>
  <c r="HL350" i="5" s="1"/>
  <c r="FP342" i="5"/>
  <c r="HK315" i="5"/>
  <c r="HK317" i="5" s="1"/>
  <c r="HK305" i="5"/>
  <c r="HK307" i="5" s="1"/>
  <c r="HK290" i="5"/>
  <c r="HK292" i="5" s="1"/>
  <c r="FP284" i="5"/>
  <c r="HK280" i="5"/>
  <c r="HK282" i="5" s="1"/>
  <c r="HK275" i="5"/>
  <c r="HK277" i="5" s="1"/>
  <c r="HL275" i="5"/>
  <c r="HL277" i="5" s="1"/>
  <c r="HL270" i="5"/>
  <c r="HL272" i="5" s="1"/>
  <c r="HL232" i="5"/>
  <c r="HL234" i="5" s="1"/>
  <c r="HK222" i="5"/>
  <c r="HK224" i="5" s="1"/>
  <c r="FP216" i="5"/>
  <c r="HK207" i="5"/>
  <c r="HK209" i="5" s="1"/>
  <c r="HK187" i="5"/>
  <c r="HK189" i="5" s="1"/>
  <c r="HL177" i="5"/>
  <c r="HL179" i="5" s="1"/>
  <c r="IL143" i="5"/>
  <c r="FP133" i="5"/>
  <c r="HK124" i="5"/>
  <c r="HK126" i="5" s="1"/>
  <c r="IL125" i="5"/>
  <c r="FU125" i="5"/>
  <c r="IL123" i="5"/>
  <c r="IK123" i="5" s="1"/>
  <c r="HL119" i="5"/>
  <c r="HL121" i="5" s="1"/>
  <c r="HK109" i="5"/>
  <c r="HK111" i="5" s="1"/>
  <c r="HL109" i="5"/>
  <c r="HL111" i="5" s="1"/>
  <c r="HL76" i="5"/>
  <c r="HL78" i="5" s="1"/>
  <c r="HL61" i="5"/>
  <c r="HL63" i="5" s="1"/>
  <c r="IL55" i="5"/>
  <c r="IK55" i="5" s="1"/>
  <c r="HL46" i="5"/>
  <c r="HL48" i="5" s="1"/>
  <c r="HK46" i="5"/>
  <c r="HK48" i="5" s="1"/>
  <c r="HK783" i="5"/>
  <c r="HK785" i="5" s="1"/>
  <c r="IK777" i="5"/>
  <c r="IM742" i="5"/>
  <c r="IP742" i="5"/>
  <c r="FO742" i="5"/>
  <c r="IL742" i="5"/>
  <c r="IK742" i="5" s="1"/>
  <c r="EX749" i="5"/>
  <c r="EX747" i="5"/>
  <c r="IM744" i="5"/>
  <c r="IL744" i="5"/>
  <c r="IN744" i="5" s="1"/>
  <c r="FU744" i="5"/>
  <c r="FR744" i="5"/>
  <c r="AJ744" i="5"/>
  <c r="FR719" i="5"/>
  <c r="AJ719" i="5"/>
  <c r="EX724" i="5"/>
  <c r="EX722" i="5"/>
  <c r="FP772" i="5"/>
  <c r="EX787" i="5"/>
  <c r="EX789" i="5"/>
  <c r="EX762" i="5"/>
  <c r="EX764" i="5"/>
  <c r="EX734" i="5"/>
  <c r="EX732" i="5"/>
  <c r="FM724" i="5"/>
  <c r="FQ724" i="5"/>
  <c r="FS724" i="5" s="1"/>
  <c r="HK743" i="5"/>
  <c r="HK745" i="5" s="1"/>
  <c r="IM722" i="5"/>
  <c r="IL722" i="5"/>
  <c r="IN722" i="5" s="1"/>
  <c r="FO722" i="5"/>
  <c r="FR729" i="5"/>
  <c r="AJ729" i="5"/>
  <c r="GL785" i="5"/>
  <c r="GL790" i="5"/>
  <c r="FR769" i="5"/>
  <c r="AJ769" i="5"/>
  <c r="IM759" i="5"/>
  <c r="FU759" i="5"/>
  <c r="IL759" i="5"/>
  <c r="GL760" i="5"/>
  <c r="EX754" i="5"/>
  <c r="EX752" i="5"/>
  <c r="IN739" i="5"/>
  <c r="IL739" i="5"/>
  <c r="FU739" i="5"/>
  <c r="IK739" i="5"/>
  <c r="IP739" i="5"/>
  <c r="IM739" i="5"/>
  <c r="IO739" i="5" s="1"/>
  <c r="FQ739" i="5"/>
  <c r="FS739" i="5" s="1"/>
  <c r="FM739" i="5"/>
  <c r="IK729" i="5"/>
  <c r="IP729" i="5"/>
  <c r="EY729" i="5"/>
  <c r="EV729" i="5" s="1"/>
  <c r="EU727" i="5"/>
  <c r="FU729" i="5"/>
  <c r="EU729" i="5"/>
  <c r="EY727" i="5"/>
  <c r="IM747" i="5"/>
  <c r="EX744" i="5"/>
  <c r="EX742" i="5"/>
  <c r="FR734" i="5"/>
  <c r="AJ734" i="5"/>
  <c r="IM782" i="5"/>
  <c r="IM769" i="5"/>
  <c r="IL769" i="5"/>
  <c r="IN769" i="5" s="1"/>
  <c r="FU769" i="5"/>
  <c r="IK769" i="5"/>
  <c r="IP769" i="5"/>
  <c r="IO769" i="5" s="1"/>
  <c r="FM764" i="5"/>
  <c r="FQ764" i="5"/>
  <c r="FS764" i="5" s="1"/>
  <c r="IM774" i="5"/>
  <c r="IL774" i="5"/>
  <c r="IP774" i="5" s="1"/>
  <c r="FU774" i="5"/>
  <c r="IK774" i="5"/>
  <c r="IL757" i="5"/>
  <c r="IK757" i="5" s="1"/>
  <c r="FO757" i="5"/>
  <c r="IP757" i="5"/>
  <c r="IN757" i="5"/>
  <c r="IM757" i="5"/>
  <c r="HK768" i="5"/>
  <c r="HK770" i="5" s="1"/>
  <c r="IP752" i="5"/>
  <c r="IO752" i="5" s="1"/>
  <c r="HL733" i="5"/>
  <c r="HL735" i="5" s="1"/>
  <c r="FP732" i="5"/>
  <c r="IN747" i="5"/>
  <c r="FQ779" i="5"/>
  <c r="FM779" i="5"/>
  <c r="EX779" i="5"/>
  <c r="EX777" i="5"/>
  <c r="IN777" i="5"/>
  <c r="IN784" i="5"/>
  <c r="IK767" i="5"/>
  <c r="EX774" i="5"/>
  <c r="EX772" i="5"/>
  <c r="HK763" i="5"/>
  <c r="HK765" i="5" s="1"/>
  <c r="EX769" i="5"/>
  <c r="EX767" i="5"/>
  <c r="IM734" i="5"/>
  <c r="IL734" i="5"/>
  <c r="FU734" i="5"/>
  <c r="IM727" i="5"/>
  <c r="EX717" i="5"/>
  <c r="EX719" i="5"/>
  <c r="FR779" i="5"/>
  <c r="AJ779" i="5"/>
  <c r="EX782" i="5"/>
  <c r="EX784" i="5"/>
  <c r="IO777" i="5"/>
  <c r="IM779" i="5"/>
  <c r="HK773" i="5"/>
  <c r="HK775" i="5" s="1"/>
  <c r="IM762" i="5"/>
  <c r="IL762" i="5"/>
  <c r="IP762" i="5" s="1"/>
  <c r="FO762" i="5"/>
  <c r="IM749" i="5"/>
  <c r="IL749" i="5"/>
  <c r="IP749" i="5" s="1"/>
  <c r="FU749" i="5"/>
  <c r="FM749" i="5"/>
  <c r="FQ749" i="5"/>
  <c r="FS749" i="5" s="1"/>
  <c r="FM729" i="5"/>
  <c r="FQ729" i="5"/>
  <c r="HK738" i="5"/>
  <c r="HK740" i="5" s="1"/>
  <c r="IM724" i="5"/>
  <c r="IL724" i="5"/>
  <c r="IK724" i="5" s="1"/>
  <c r="FU724" i="5"/>
  <c r="IN724" i="5"/>
  <c r="IO747" i="5"/>
  <c r="GL720" i="5"/>
  <c r="HK718" i="5"/>
  <c r="HK720" i="5" s="1"/>
  <c r="FM789" i="5"/>
  <c r="FQ789" i="5"/>
  <c r="IM789" i="5"/>
  <c r="IL789" i="5"/>
  <c r="IP789" i="5" s="1"/>
  <c r="FU789" i="5"/>
  <c r="IM787" i="5"/>
  <c r="IL787" i="5"/>
  <c r="IO787" i="5" s="1"/>
  <c r="IK787" i="5"/>
  <c r="FO787" i="5"/>
  <c r="IP787" i="5"/>
  <c r="IN787" i="5"/>
  <c r="IP784" i="5"/>
  <c r="IO784" i="5" s="1"/>
  <c r="IM764" i="5"/>
  <c r="IL764" i="5"/>
  <c r="IP764" i="5" s="1"/>
  <c r="FU764" i="5"/>
  <c r="GL765" i="5"/>
  <c r="FQ759" i="5"/>
  <c r="FM759" i="5"/>
  <c r="HL748" i="5"/>
  <c r="HL750" i="5" s="1"/>
  <c r="HL743" i="5"/>
  <c r="HL745" i="5" s="1"/>
  <c r="FR754" i="5"/>
  <c r="AJ754" i="5"/>
  <c r="HL728" i="5"/>
  <c r="HL730" i="5" s="1"/>
  <c r="IN729" i="5"/>
  <c r="FQ774" i="5"/>
  <c r="FS774" i="5" s="1"/>
  <c r="FM774" i="5"/>
  <c r="FR789" i="5"/>
  <c r="AJ789" i="5"/>
  <c r="FM769" i="5"/>
  <c r="FQ769" i="5"/>
  <c r="IL772" i="5"/>
  <c r="IK772" i="5"/>
  <c r="IP772" i="5"/>
  <c r="FO772" i="5"/>
  <c r="IM772" i="5"/>
  <c r="IO772" i="5" s="1"/>
  <c r="IM754" i="5"/>
  <c r="IL754" i="5"/>
  <c r="IK754" i="5" s="1"/>
  <c r="FU754" i="5"/>
  <c r="FR759" i="5"/>
  <c r="AJ759" i="5"/>
  <c r="FM744" i="5"/>
  <c r="FQ744" i="5"/>
  <c r="EX759" i="5"/>
  <c r="EX757" i="5"/>
  <c r="IO729" i="5"/>
  <c r="HK723" i="5"/>
  <c r="HK725" i="5" s="1"/>
  <c r="IM644" i="5"/>
  <c r="IO644" i="5" s="1"/>
  <c r="IM704" i="5"/>
  <c r="IP701" i="5"/>
  <c r="FM691" i="5"/>
  <c r="FQ691" i="5"/>
  <c r="IM689" i="5"/>
  <c r="FO689" i="5"/>
  <c r="IP689" i="5"/>
  <c r="IL689" i="5"/>
  <c r="IK689" i="5" s="1"/>
  <c r="EX689" i="5"/>
  <c r="EX691" i="5"/>
  <c r="IP656" i="5"/>
  <c r="IM656" i="5"/>
  <c r="IL656" i="5"/>
  <c r="IN656" i="5" s="1"/>
  <c r="FU656" i="5"/>
  <c r="FQ656" i="5"/>
  <c r="FS656" i="5" s="1"/>
  <c r="FM656" i="5"/>
  <c r="FQ661" i="5"/>
  <c r="FM661" i="5"/>
  <c r="HK655" i="5"/>
  <c r="HK657" i="5" s="1"/>
  <c r="FP639" i="5"/>
  <c r="FM701" i="5"/>
  <c r="FQ701" i="5"/>
  <c r="GL707" i="5"/>
  <c r="IM701" i="5"/>
  <c r="IN706" i="5"/>
  <c r="FR701" i="5"/>
  <c r="AJ701" i="5"/>
  <c r="AJ686" i="5"/>
  <c r="FR686" i="5"/>
  <c r="EX669" i="5"/>
  <c r="EX671" i="5"/>
  <c r="IM641" i="5"/>
  <c r="IL641" i="5"/>
  <c r="IO641" i="5" s="1"/>
  <c r="FU641" i="5"/>
  <c r="IK641" i="5"/>
  <c r="IP641" i="5"/>
  <c r="HK705" i="5"/>
  <c r="HK707" i="5" s="1"/>
  <c r="IN701" i="5"/>
  <c r="FR711" i="5"/>
  <c r="AJ711" i="5"/>
  <c r="IM679" i="5"/>
  <c r="EU681" i="5"/>
  <c r="EY681" i="5"/>
  <c r="EV681" i="5" s="1"/>
  <c r="EY679" i="5"/>
  <c r="EU679" i="5"/>
  <c r="FM671" i="5"/>
  <c r="FQ671" i="5"/>
  <c r="GL662" i="5"/>
  <c r="FQ666" i="5"/>
  <c r="FS666" i="5" s="1"/>
  <c r="FM666" i="5"/>
  <c r="FM646" i="5"/>
  <c r="FQ646" i="5"/>
  <c r="FS646" i="5" s="1"/>
  <c r="EX666" i="5"/>
  <c r="EX664" i="5"/>
  <c r="EX639" i="5"/>
  <c r="EX641" i="5"/>
  <c r="EX646" i="5"/>
  <c r="EX644" i="5"/>
  <c r="FS651" i="5"/>
  <c r="IM709" i="5"/>
  <c r="IL709" i="5"/>
  <c r="IK709" i="5" s="1"/>
  <c r="FO709" i="5"/>
  <c r="IP709" i="5"/>
  <c r="IO701" i="5"/>
  <c r="IP706" i="5"/>
  <c r="IO706" i="5" s="1"/>
  <c r="IM696" i="5"/>
  <c r="IL696" i="5"/>
  <c r="IN696" i="5" s="1"/>
  <c r="FU696" i="5"/>
  <c r="IP696" i="5"/>
  <c r="IK686" i="5"/>
  <c r="EX701" i="5"/>
  <c r="EX699" i="5"/>
  <c r="FR676" i="5"/>
  <c r="AJ676" i="5"/>
  <c r="IN654" i="5"/>
  <c r="FR671" i="5"/>
  <c r="AJ671" i="5"/>
  <c r="HL645" i="5"/>
  <c r="HL647" i="5" s="1"/>
  <c r="IP644" i="5"/>
  <c r="IP654" i="5"/>
  <c r="IO654" i="5" s="1"/>
  <c r="IN644" i="5"/>
  <c r="FS706" i="5"/>
  <c r="IP686" i="5"/>
  <c r="IO686" i="5" s="1"/>
  <c r="FM676" i="5"/>
  <c r="FQ676" i="5"/>
  <c r="IM671" i="5"/>
  <c r="IL671" i="5"/>
  <c r="IP671" i="5" s="1"/>
  <c r="FU671" i="5"/>
  <c r="IN646" i="5"/>
  <c r="IM646" i="5"/>
  <c r="IL646" i="5"/>
  <c r="IP646" i="5" s="1"/>
  <c r="FU646" i="5"/>
  <c r="IK646" i="5"/>
  <c r="IP659" i="5"/>
  <c r="IL659" i="5"/>
  <c r="IK659" i="5"/>
  <c r="FO659" i="5"/>
  <c r="IP649" i="5"/>
  <c r="IO649" i="5" s="1"/>
  <c r="FM711" i="5"/>
  <c r="FQ711" i="5"/>
  <c r="IM691" i="5"/>
  <c r="FU691" i="5"/>
  <c r="IL691" i="5"/>
  <c r="IK691" i="5" s="1"/>
  <c r="IK694" i="5"/>
  <c r="IM694" i="5"/>
  <c r="IO694" i="5" s="1"/>
  <c r="IN681" i="5"/>
  <c r="FU681" i="5"/>
  <c r="IM681" i="5"/>
  <c r="IL681" i="5"/>
  <c r="IK681" i="5" s="1"/>
  <c r="HL675" i="5"/>
  <c r="HL677" i="5" s="1"/>
  <c r="IM674" i="5"/>
  <c r="FR661" i="5"/>
  <c r="AJ661" i="5"/>
  <c r="IK644" i="5"/>
  <c r="HK665" i="5"/>
  <c r="HK667" i="5" s="1"/>
  <c r="IM711" i="5"/>
  <c r="IL711" i="5"/>
  <c r="IK711" i="5" s="1"/>
  <c r="FU711" i="5"/>
  <c r="EX709" i="5"/>
  <c r="EX711" i="5"/>
  <c r="FM696" i="5"/>
  <c r="FQ696" i="5"/>
  <c r="FS696" i="5" s="1"/>
  <c r="FR691" i="5"/>
  <c r="AJ691" i="5"/>
  <c r="IM669" i="5"/>
  <c r="IO669" i="5" s="1"/>
  <c r="IL669" i="5"/>
  <c r="IP669" i="5" s="1"/>
  <c r="FO669" i="5"/>
  <c r="IL666" i="5"/>
  <c r="IP666" i="5" s="1"/>
  <c r="IO666" i="5" s="1"/>
  <c r="FU666" i="5"/>
  <c r="IM666" i="5"/>
  <c r="IP661" i="5"/>
  <c r="IM661" i="5"/>
  <c r="IN661" i="5" s="1"/>
  <c r="IL661" i="5"/>
  <c r="IO661" i="5" s="1"/>
  <c r="FU661" i="5"/>
  <c r="IK661" i="5"/>
  <c r="EX659" i="5"/>
  <c r="EX661" i="5"/>
  <c r="IM639" i="5"/>
  <c r="IL639" i="5"/>
  <c r="IP639" i="5" s="1"/>
  <c r="IO639" i="5" s="1"/>
  <c r="IK639" i="5"/>
  <c r="FO639" i="5"/>
  <c r="GL642" i="5"/>
  <c r="EX651" i="5"/>
  <c r="EX649" i="5"/>
  <c r="HK690" i="5"/>
  <c r="HK692" i="5" s="1"/>
  <c r="IM676" i="5"/>
  <c r="IK676" i="5"/>
  <c r="IL676" i="5"/>
  <c r="IP676" i="5" s="1"/>
  <c r="IO676" i="5" s="1"/>
  <c r="FU676" i="5"/>
  <c r="EX684" i="5"/>
  <c r="EX686" i="5"/>
  <c r="EX676" i="5"/>
  <c r="EX674" i="5"/>
  <c r="IM664" i="5"/>
  <c r="FP659" i="5"/>
  <c r="FM641" i="5"/>
  <c r="FQ641" i="5"/>
  <c r="FS641" i="5" s="1"/>
  <c r="IN613" i="5"/>
  <c r="IO613" i="5"/>
  <c r="IK628" i="5"/>
  <c r="IP628" i="5"/>
  <c r="IO628" i="5"/>
  <c r="IN628" i="5"/>
  <c r="IM633" i="5"/>
  <c r="IL633" i="5"/>
  <c r="IP633" i="5" s="1"/>
  <c r="IO633" i="5" s="1"/>
  <c r="FU633" i="5"/>
  <c r="IK633" i="5"/>
  <c r="IN633" i="5"/>
  <c r="HK632" i="5"/>
  <c r="HK634" i="5" s="1"/>
  <c r="FM618" i="5"/>
  <c r="FQ618" i="5"/>
  <c r="FS618" i="5" s="1"/>
  <c r="FO601" i="5"/>
  <c r="IN601" i="5"/>
  <c r="IM601" i="5"/>
  <c r="IL601" i="5"/>
  <c r="IK601" i="5" s="1"/>
  <c r="HK607" i="5"/>
  <c r="HK609" i="5" s="1"/>
  <c r="IM606" i="5"/>
  <c r="IK588" i="5"/>
  <c r="IN591" i="5"/>
  <c r="EX583" i="5"/>
  <c r="EX581" i="5"/>
  <c r="FP566" i="5"/>
  <c r="IO578" i="5"/>
  <c r="IM568" i="5"/>
  <c r="IL568" i="5"/>
  <c r="IN568" i="5" s="1"/>
  <c r="FU568" i="5"/>
  <c r="IP568" i="5"/>
  <c r="FR568" i="5"/>
  <c r="AJ568" i="5"/>
  <c r="EU628" i="5"/>
  <c r="EY628" i="5"/>
  <c r="EV628" i="5" s="1"/>
  <c r="EY626" i="5"/>
  <c r="EU626" i="5"/>
  <c r="EX631" i="5"/>
  <c r="EX633" i="5"/>
  <c r="FQ603" i="5"/>
  <c r="FS603" i="5" s="1"/>
  <c r="FM603" i="5"/>
  <c r="IM603" i="5"/>
  <c r="GL589" i="5"/>
  <c r="EX586" i="5"/>
  <c r="EX588" i="5"/>
  <c r="IM563" i="5"/>
  <c r="IL563" i="5"/>
  <c r="IN563" i="5" s="1"/>
  <c r="FU563" i="5"/>
  <c r="IM626" i="5"/>
  <c r="IO626" i="5" s="1"/>
  <c r="FR623" i="5"/>
  <c r="AJ623" i="5"/>
  <c r="AJ588" i="5"/>
  <c r="FR588" i="5"/>
  <c r="IN578" i="5"/>
  <c r="HL622" i="5"/>
  <c r="HL624" i="5" s="1"/>
  <c r="FP616" i="5"/>
  <c r="IN603" i="5"/>
  <c r="IP608" i="5"/>
  <c r="IO608" i="5" s="1"/>
  <c r="EU603" i="5"/>
  <c r="EY603" i="5"/>
  <c r="EV603" i="5" s="1"/>
  <c r="FU603" i="5"/>
  <c r="EY601" i="5"/>
  <c r="EU601" i="5"/>
  <c r="IM581" i="5"/>
  <c r="IN581" i="5" s="1"/>
  <c r="HL597" i="5"/>
  <c r="HL599" i="5" s="1"/>
  <c r="FQ578" i="5"/>
  <c r="FM578" i="5"/>
  <c r="IO571" i="5"/>
  <c r="HK567" i="5"/>
  <c r="HK569" i="5" s="1"/>
  <c r="IK573" i="5"/>
  <c r="IN573" i="5"/>
  <c r="HK562" i="5"/>
  <c r="HK564" i="5" s="1"/>
  <c r="FS628" i="5"/>
  <c r="IP623" i="5"/>
  <c r="IO623" i="5" s="1"/>
  <c r="EX623" i="5"/>
  <c r="EX621" i="5"/>
  <c r="FR633" i="5"/>
  <c r="AJ633" i="5"/>
  <c r="IM618" i="5"/>
  <c r="FU618" i="5"/>
  <c r="IL618" i="5"/>
  <c r="IK618" i="5" s="1"/>
  <c r="IO603" i="5"/>
  <c r="EX598" i="5"/>
  <c r="EX596" i="5"/>
  <c r="GL574" i="5"/>
  <c r="IM561" i="5"/>
  <c r="IL561" i="5"/>
  <c r="IO561" i="5" s="1"/>
  <c r="FO561" i="5"/>
  <c r="IP561" i="5"/>
  <c r="IP566" i="5"/>
  <c r="EX568" i="5"/>
  <c r="EX566" i="5"/>
  <c r="EX561" i="5"/>
  <c r="EX563" i="5"/>
  <c r="IM621" i="5"/>
  <c r="EX613" i="5"/>
  <c r="EX611" i="5"/>
  <c r="GL619" i="5"/>
  <c r="IP593" i="5"/>
  <c r="IO593" i="5" s="1"/>
  <c r="IN593" i="5"/>
  <c r="IM583" i="5"/>
  <c r="FU583" i="5"/>
  <c r="IL583" i="5"/>
  <c r="IP583" i="5" s="1"/>
  <c r="IO583" i="5" s="1"/>
  <c r="IN598" i="5"/>
  <c r="IM598" i="5"/>
  <c r="IL598" i="5"/>
  <c r="IK598" i="5"/>
  <c r="FU598" i="5"/>
  <c r="IP598" i="5"/>
  <c r="IO598" i="5" s="1"/>
  <c r="HK597" i="5"/>
  <c r="HK599" i="5" s="1"/>
  <c r="FM563" i="5"/>
  <c r="FQ563" i="5"/>
  <c r="FS563" i="5" s="1"/>
  <c r="EX571" i="5"/>
  <c r="EX573" i="5"/>
  <c r="FM633" i="5"/>
  <c r="FQ633" i="5"/>
  <c r="FQ613" i="5"/>
  <c r="FS613" i="5" s="1"/>
  <c r="FM613" i="5"/>
  <c r="IM616" i="5"/>
  <c r="IP616" i="5"/>
  <c r="IN616" i="5"/>
  <c r="IK616" i="5"/>
  <c r="FO616" i="5"/>
  <c r="IL616" i="5"/>
  <c r="IO616" i="5" s="1"/>
  <c r="EX618" i="5"/>
  <c r="EX616" i="5"/>
  <c r="IL586" i="5"/>
  <c r="IK586" i="5" s="1"/>
  <c r="IM586" i="5"/>
  <c r="FO586" i="5"/>
  <c r="FM598" i="5"/>
  <c r="FQ598" i="5"/>
  <c r="FS598" i="5" s="1"/>
  <c r="FS573" i="5"/>
  <c r="FM568" i="5"/>
  <c r="FQ568" i="5"/>
  <c r="IO588" i="5"/>
  <c r="IM631" i="5"/>
  <c r="IL631" i="5"/>
  <c r="IK631" i="5"/>
  <c r="FO631" i="5"/>
  <c r="IP631" i="5"/>
  <c r="IO631" i="5" s="1"/>
  <c r="IN631" i="5"/>
  <c r="FU628" i="5"/>
  <c r="HK617" i="5"/>
  <c r="HK619" i="5" s="1"/>
  <c r="AJ608" i="5"/>
  <c r="FR608" i="5"/>
  <c r="IK593" i="5"/>
  <c r="EX591" i="5"/>
  <c r="EX593" i="5"/>
  <c r="IK596" i="5"/>
  <c r="FO596" i="5"/>
  <c r="IM596" i="5"/>
  <c r="IL596" i="5"/>
  <c r="FR578" i="5"/>
  <c r="AJ578" i="5"/>
  <c r="IL576" i="5"/>
  <c r="IK576" i="5" s="1"/>
  <c r="FO576" i="5"/>
  <c r="IM576" i="5"/>
  <c r="IP581" i="5"/>
  <c r="IO581" i="5" s="1"/>
  <c r="IM523" i="5"/>
  <c r="IO523" i="5" s="1"/>
  <c r="IO500" i="5"/>
  <c r="FQ545" i="5"/>
  <c r="FM545" i="5"/>
  <c r="GL556" i="5"/>
  <c r="IP528" i="5"/>
  <c r="IO543" i="5"/>
  <c r="IL533" i="5"/>
  <c r="IP533" i="5" s="1"/>
  <c r="IK533" i="5"/>
  <c r="FO533" i="5"/>
  <c r="IM533" i="5"/>
  <c r="FR540" i="5"/>
  <c r="AJ540" i="5"/>
  <c r="GL531" i="5"/>
  <c r="HK519" i="5"/>
  <c r="HK521" i="5" s="1"/>
  <c r="HK504" i="5"/>
  <c r="HK506" i="5" s="1"/>
  <c r="EX508" i="5"/>
  <c r="EX510" i="5"/>
  <c r="IM555" i="5"/>
  <c r="IO555" i="5" s="1"/>
  <c r="IL555" i="5"/>
  <c r="FU555" i="5"/>
  <c r="IK555" i="5"/>
  <c r="IP555" i="5"/>
  <c r="IO528" i="5"/>
  <c r="IN545" i="5"/>
  <c r="HK549" i="5"/>
  <c r="HK551" i="5" s="1"/>
  <c r="IK523" i="5"/>
  <c r="IN523" i="5"/>
  <c r="HK534" i="5"/>
  <c r="HK536" i="5" s="1"/>
  <c r="FQ525" i="5"/>
  <c r="FS525" i="5" s="1"/>
  <c r="FM525" i="5"/>
  <c r="IP508" i="5"/>
  <c r="HL519" i="5"/>
  <c r="HL521" i="5" s="1"/>
  <c r="IN505" i="5"/>
  <c r="IP490" i="5"/>
  <c r="IO490" i="5" s="1"/>
  <c r="IM490" i="5"/>
  <c r="IL490" i="5"/>
  <c r="IN490" i="5" s="1"/>
  <c r="FU490" i="5"/>
  <c r="IK490" i="5"/>
  <c r="FR500" i="5"/>
  <c r="AJ500" i="5"/>
  <c r="EX518" i="5"/>
  <c r="EX520" i="5"/>
  <c r="AJ510" i="5"/>
  <c r="FR510" i="5"/>
  <c r="EX488" i="5"/>
  <c r="EX490" i="5"/>
  <c r="IM553" i="5"/>
  <c r="IL553" i="5"/>
  <c r="IK553" i="5" s="1"/>
  <c r="FO553" i="5"/>
  <c r="IN553" i="5"/>
  <c r="IN550" i="5"/>
  <c r="IO545" i="5"/>
  <c r="EX528" i="5"/>
  <c r="EX530" i="5"/>
  <c r="FM520" i="5"/>
  <c r="FQ520" i="5"/>
  <c r="FS520" i="5" s="1"/>
  <c r="HK509" i="5"/>
  <c r="HK511" i="5" s="1"/>
  <c r="FR505" i="5"/>
  <c r="AJ505" i="5"/>
  <c r="IO505" i="5"/>
  <c r="IP500" i="5"/>
  <c r="IL535" i="5"/>
  <c r="IP535" i="5" s="1"/>
  <c r="IO535" i="5" s="1"/>
  <c r="FU535" i="5"/>
  <c r="IK535" i="5"/>
  <c r="IN535" i="5"/>
  <c r="IM535" i="5"/>
  <c r="FM540" i="5"/>
  <c r="FQ540" i="5"/>
  <c r="FQ495" i="5"/>
  <c r="FS495" i="5" s="1"/>
  <c r="FM495" i="5"/>
  <c r="FQ490" i="5"/>
  <c r="FM490" i="5"/>
  <c r="FM555" i="5"/>
  <c r="FQ555" i="5"/>
  <c r="IM548" i="5"/>
  <c r="IM538" i="5"/>
  <c r="HK554" i="5"/>
  <c r="HK556" i="5" s="1"/>
  <c r="GL536" i="5"/>
  <c r="IN525" i="5"/>
  <c r="IM525" i="5"/>
  <c r="IO525" i="5" s="1"/>
  <c r="IL525" i="5"/>
  <c r="FU525" i="5"/>
  <c r="IP525" i="5"/>
  <c r="IK525" i="5"/>
  <c r="GL501" i="5"/>
  <c r="IM485" i="5"/>
  <c r="IL485" i="5"/>
  <c r="IK485" i="5" s="1"/>
  <c r="FU485" i="5"/>
  <c r="IP505" i="5"/>
  <c r="GL486" i="5"/>
  <c r="IM483" i="5"/>
  <c r="IO483" i="5" s="1"/>
  <c r="FR545" i="5"/>
  <c r="AJ545" i="5"/>
  <c r="FQ535" i="5"/>
  <c r="FS535" i="5" s="1"/>
  <c r="FM535" i="5"/>
  <c r="EX553" i="5"/>
  <c r="EX555" i="5"/>
  <c r="GL511" i="5"/>
  <c r="IK503" i="5"/>
  <c r="FO503" i="5"/>
  <c r="IM503" i="5"/>
  <c r="IL503" i="5"/>
  <c r="IP503" i="5" s="1"/>
  <c r="IM520" i="5"/>
  <c r="IL520" i="5"/>
  <c r="IK520" i="5" s="1"/>
  <c r="FU520" i="5"/>
  <c r="GL506" i="5"/>
  <c r="EX513" i="5"/>
  <c r="EX515" i="5"/>
  <c r="EX503" i="5"/>
  <c r="EX505" i="5"/>
  <c r="EX495" i="5"/>
  <c r="EX493" i="5"/>
  <c r="IM495" i="5"/>
  <c r="IL495" i="5"/>
  <c r="IP495" i="5" s="1"/>
  <c r="FU495" i="5"/>
  <c r="AJ490" i="5"/>
  <c r="FR490" i="5"/>
  <c r="EX545" i="5"/>
  <c r="EX543" i="5"/>
  <c r="FR555" i="5"/>
  <c r="AJ555" i="5"/>
  <c r="FR530" i="5"/>
  <c r="AJ530" i="5"/>
  <c r="HL509" i="5"/>
  <c r="HL511" i="5" s="1"/>
  <c r="FP508" i="5"/>
  <c r="FQ505" i="5"/>
  <c r="FM505" i="5"/>
  <c r="IM488" i="5"/>
  <c r="IL488" i="5"/>
  <c r="IK488" i="5" s="1"/>
  <c r="FO488" i="5"/>
  <c r="FS515" i="5"/>
  <c r="EX498" i="5"/>
  <c r="EX500" i="5"/>
  <c r="HL494" i="5"/>
  <c r="HL496" i="5" s="1"/>
  <c r="FP493" i="5"/>
  <c r="IP498" i="5"/>
  <c r="IO498" i="5" s="1"/>
  <c r="GL551" i="5"/>
  <c r="IM540" i="5"/>
  <c r="IL540" i="5"/>
  <c r="IP540" i="5" s="1"/>
  <c r="FU540" i="5"/>
  <c r="EX548" i="5"/>
  <c r="EX550" i="5"/>
  <c r="EX533" i="5"/>
  <c r="EX535" i="5"/>
  <c r="HL504" i="5"/>
  <c r="HL506" i="5" s="1"/>
  <c r="IM518" i="5"/>
  <c r="IK518" i="5"/>
  <c r="FO518" i="5"/>
  <c r="IL518" i="5"/>
  <c r="IP518" i="5" s="1"/>
  <c r="FO493" i="5"/>
  <c r="IP493" i="5"/>
  <c r="IL493" i="5"/>
  <c r="EY485" i="5"/>
  <c r="EV485" i="5" s="1"/>
  <c r="EY483" i="5"/>
  <c r="EU483" i="5"/>
  <c r="EU485" i="5"/>
  <c r="EX467" i="5"/>
  <c r="EX465" i="5"/>
  <c r="EX475" i="5"/>
  <c r="EX477" i="5"/>
  <c r="FM457" i="5"/>
  <c r="FQ457" i="5"/>
  <c r="HK471" i="5"/>
  <c r="HK473" i="5" s="1"/>
  <c r="FM462" i="5"/>
  <c r="FQ462" i="5"/>
  <c r="IL450" i="5"/>
  <c r="IN450" i="5" s="1"/>
  <c r="IM450" i="5"/>
  <c r="FO450" i="5"/>
  <c r="IK447" i="5"/>
  <c r="IM447" i="5"/>
  <c r="IN447" i="5"/>
  <c r="IL447" i="5"/>
  <c r="IP447" i="5"/>
  <c r="IO447" i="5" s="1"/>
  <c r="FU447" i="5"/>
  <c r="FP440" i="5"/>
  <c r="FR427" i="5"/>
  <c r="AJ427" i="5"/>
  <c r="EX427" i="5"/>
  <c r="EX425" i="5"/>
  <c r="FM427" i="5"/>
  <c r="FM417" i="5"/>
  <c r="FQ417" i="5"/>
  <c r="HL406" i="5"/>
  <c r="HL408" i="5" s="1"/>
  <c r="FP405" i="5"/>
  <c r="EX415" i="5"/>
  <c r="EX417" i="5"/>
  <c r="IN407" i="5"/>
  <c r="FM477" i="5"/>
  <c r="FQ477" i="5"/>
  <c r="FR462" i="5"/>
  <c r="AJ462" i="5"/>
  <c r="IL437" i="5"/>
  <c r="IK437" i="5" s="1"/>
  <c r="FU437" i="5"/>
  <c r="IM442" i="5"/>
  <c r="IL442" i="5"/>
  <c r="IK442" i="5" s="1"/>
  <c r="FU442" i="5"/>
  <c r="GL443" i="5"/>
  <c r="GL453" i="5"/>
  <c r="IM420" i="5"/>
  <c r="IK420" i="5"/>
  <c r="FO420" i="5"/>
  <c r="IO420" i="5"/>
  <c r="IL420" i="5"/>
  <c r="IP420" i="5"/>
  <c r="IN420" i="5"/>
  <c r="IM415" i="5"/>
  <c r="IO415" i="5" s="1"/>
  <c r="IL415" i="5"/>
  <c r="IK415" i="5"/>
  <c r="FO415" i="5"/>
  <c r="IP415" i="5"/>
  <c r="IM475" i="5"/>
  <c r="IL475" i="5"/>
  <c r="IK475" i="5" s="1"/>
  <c r="FO475" i="5"/>
  <c r="GL473" i="5"/>
  <c r="EX435" i="5"/>
  <c r="EX437" i="5"/>
  <c r="IL432" i="5"/>
  <c r="IK432" i="5" s="1"/>
  <c r="FU432" i="5"/>
  <c r="EX407" i="5"/>
  <c r="EX405" i="5"/>
  <c r="IM477" i="5"/>
  <c r="IL477" i="5"/>
  <c r="IK477" i="5" s="1"/>
  <c r="FU477" i="5"/>
  <c r="HK466" i="5"/>
  <c r="HK468" i="5" s="1"/>
  <c r="IM462" i="5"/>
  <c r="IL462" i="5"/>
  <c r="IP462" i="5" s="1"/>
  <c r="IO462" i="5" s="1"/>
  <c r="FU462" i="5"/>
  <c r="IK462" i="5"/>
  <c r="IL452" i="5"/>
  <c r="IP452" i="5" s="1"/>
  <c r="FU452" i="5"/>
  <c r="IN452" i="5"/>
  <c r="IM452" i="5"/>
  <c r="IK452" i="5"/>
  <c r="HL451" i="5"/>
  <c r="HL453" i="5" s="1"/>
  <c r="HK431" i="5"/>
  <c r="HK433" i="5" s="1"/>
  <c r="EX445" i="5"/>
  <c r="EX447" i="5"/>
  <c r="IL427" i="5"/>
  <c r="FU427" i="5"/>
  <c r="FM422" i="5"/>
  <c r="FQ422" i="5"/>
  <c r="IM457" i="5"/>
  <c r="IL457" i="5"/>
  <c r="IK457" i="5" s="1"/>
  <c r="FU457" i="5"/>
  <c r="FQ447" i="5"/>
  <c r="FS447" i="5" s="1"/>
  <c r="FM447" i="5"/>
  <c r="FM467" i="5"/>
  <c r="FQ467" i="5"/>
  <c r="EX470" i="5"/>
  <c r="EX472" i="5"/>
  <c r="FR477" i="5"/>
  <c r="AJ477" i="5"/>
  <c r="IN467" i="5"/>
  <c r="FR457" i="5"/>
  <c r="AJ457" i="5"/>
  <c r="IM460" i="5"/>
  <c r="IL460" i="5"/>
  <c r="IP460" i="5" s="1"/>
  <c r="FO460" i="5"/>
  <c r="EX455" i="5"/>
  <c r="EX457" i="5"/>
  <c r="FR472" i="5"/>
  <c r="AJ472" i="5"/>
  <c r="AJ442" i="5"/>
  <c r="FR442" i="5"/>
  <c r="FR432" i="5"/>
  <c r="AJ432" i="5"/>
  <c r="IL425" i="5"/>
  <c r="IK425" i="5" s="1"/>
  <c r="HK406" i="5"/>
  <c r="HK408" i="5" s="1"/>
  <c r="FR467" i="5"/>
  <c r="AJ467" i="5"/>
  <c r="EX450" i="5"/>
  <c r="EX452" i="5"/>
  <c r="FR452" i="5"/>
  <c r="AJ452" i="5"/>
  <c r="HK441" i="5"/>
  <c r="HK443" i="5" s="1"/>
  <c r="HK421" i="5"/>
  <c r="HK423" i="5" s="1"/>
  <c r="HK446" i="5"/>
  <c r="HK448" i="5" s="1"/>
  <c r="IM422" i="5"/>
  <c r="IO422" i="5" s="1"/>
  <c r="IL422" i="5"/>
  <c r="IK422" i="5" s="1"/>
  <c r="DF422" i="5" s="1"/>
  <c r="FU422" i="5"/>
  <c r="IP422" i="5"/>
  <c r="GL413" i="5"/>
  <c r="AJ407" i="5"/>
  <c r="FR407" i="5"/>
  <c r="HK411" i="5"/>
  <c r="HK413" i="5" s="1"/>
  <c r="FQ452" i="5"/>
  <c r="FM452" i="5"/>
  <c r="IM470" i="5"/>
  <c r="IN470" i="5" s="1"/>
  <c r="EX432" i="5"/>
  <c r="EX430" i="5"/>
  <c r="IL472" i="5"/>
  <c r="IK472" i="5" s="1"/>
  <c r="FU472" i="5"/>
  <c r="IP472" i="5"/>
  <c r="IO472" i="5" s="1"/>
  <c r="IN472" i="5"/>
  <c r="IM472" i="5"/>
  <c r="IK467" i="5"/>
  <c r="IN440" i="5"/>
  <c r="IM440" i="5"/>
  <c r="IL440" i="5"/>
  <c r="IP440" i="5" s="1"/>
  <c r="IO440" i="5" s="1"/>
  <c r="IK440" i="5"/>
  <c r="FO440" i="5"/>
  <c r="IM445" i="5"/>
  <c r="FM437" i="5"/>
  <c r="EX440" i="5"/>
  <c r="EX442" i="5"/>
  <c r="IN417" i="5"/>
  <c r="IK417" i="5"/>
  <c r="DF417" i="5" s="1"/>
  <c r="FR417" i="5" s="1"/>
  <c r="EX397" i="5"/>
  <c r="EX399" i="5"/>
  <c r="FM374" i="5"/>
  <c r="FQ374" i="5"/>
  <c r="FR364" i="5"/>
  <c r="AJ364" i="5"/>
  <c r="FR379" i="5"/>
  <c r="AJ379" i="5"/>
  <c r="FM339" i="5"/>
  <c r="FP337" i="5"/>
  <c r="IL347" i="5"/>
  <c r="IM384" i="5"/>
  <c r="IL384" i="5"/>
  <c r="IN384" i="5" s="1"/>
  <c r="FU384" i="5"/>
  <c r="IM392" i="5"/>
  <c r="EX377" i="5"/>
  <c r="EX379" i="5"/>
  <c r="FP377" i="5"/>
  <c r="EX384" i="5"/>
  <c r="EX382" i="5"/>
  <c r="EX374" i="5"/>
  <c r="EX372" i="5"/>
  <c r="EX332" i="5"/>
  <c r="EX334" i="5"/>
  <c r="HK353" i="5"/>
  <c r="HK355" i="5" s="1"/>
  <c r="EX389" i="5"/>
  <c r="EX387" i="5"/>
  <c r="IM399" i="5"/>
  <c r="IL399" i="5"/>
  <c r="IN399" i="5" s="1"/>
  <c r="FU399" i="5"/>
  <c r="GL395" i="5"/>
  <c r="HK393" i="5"/>
  <c r="HK395" i="5" s="1"/>
  <c r="IL369" i="5"/>
  <c r="FU369" i="5"/>
  <c r="IM374" i="5"/>
  <c r="IK327" i="5"/>
  <c r="IL334" i="5"/>
  <c r="IK334" i="5" s="1"/>
  <c r="FU334" i="5"/>
  <c r="EX354" i="5"/>
  <c r="EX352" i="5"/>
  <c r="IL362" i="5"/>
  <c r="FR354" i="5"/>
  <c r="AJ354" i="5"/>
  <c r="EX349" i="5"/>
  <c r="EX347" i="5"/>
  <c r="IL342" i="5"/>
  <c r="HK388" i="5"/>
  <c r="HK390" i="5" s="1"/>
  <c r="HL388" i="5"/>
  <c r="HL390" i="5" s="1"/>
  <c r="FP387" i="5"/>
  <c r="FR389" i="5"/>
  <c r="AJ389" i="5"/>
  <c r="IL377" i="5"/>
  <c r="IK377" i="5"/>
  <c r="FO377" i="5"/>
  <c r="IP377" i="5"/>
  <c r="IO377" i="5" s="1"/>
  <c r="IN377" i="5"/>
  <c r="IM377" i="5"/>
  <c r="GL380" i="5"/>
  <c r="HK373" i="5"/>
  <c r="HK375" i="5" s="1"/>
  <c r="EX342" i="5"/>
  <c r="EX344" i="5"/>
  <c r="AJ339" i="5"/>
  <c r="FR339" i="5"/>
  <c r="HK328" i="5"/>
  <c r="HK330" i="5" s="1"/>
  <c r="IK349" i="5"/>
  <c r="IM397" i="5"/>
  <c r="IL397" i="5"/>
  <c r="IN397" i="5" s="1"/>
  <c r="FO397" i="5"/>
  <c r="IP394" i="5"/>
  <c r="IO394" i="5" s="1"/>
  <c r="IN389" i="5"/>
  <c r="HK363" i="5"/>
  <c r="HK365" i="5" s="1"/>
  <c r="EY359" i="5"/>
  <c r="EV359" i="5" s="1"/>
  <c r="EY357" i="5"/>
  <c r="FU359" i="5"/>
  <c r="EU357" i="5"/>
  <c r="IL359" i="5"/>
  <c r="EU359" i="5"/>
  <c r="FM349" i="5"/>
  <c r="FM369" i="5"/>
  <c r="EX362" i="5"/>
  <c r="EX364" i="5"/>
  <c r="FR344" i="5"/>
  <c r="AJ344" i="5"/>
  <c r="EX329" i="5"/>
  <c r="EX327" i="5"/>
  <c r="AJ334" i="5"/>
  <c r="FR334" i="5"/>
  <c r="HK338" i="5"/>
  <c r="HK340" i="5" s="1"/>
  <c r="EX339" i="5"/>
  <c r="EX337" i="5"/>
  <c r="FM399" i="5"/>
  <c r="FQ399" i="5"/>
  <c r="FM384" i="5"/>
  <c r="FQ384" i="5"/>
  <c r="IL367" i="5"/>
  <c r="IK367" i="5" s="1"/>
  <c r="HL353" i="5"/>
  <c r="HL355" i="5" s="1"/>
  <c r="FP352" i="5"/>
  <c r="FM344" i="5"/>
  <c r="FU339" i="5"/>
  <c r="IL339" i="5"/>
  <c r="IK339" i="5" s="1"/>
  <c r="IL332" i="5"/>
  <c r="IK332" i="5" s="1"/>
  <c r="IL337" i="5"/>
  <c r="IK231" i="5"/>
  <c r="FR233" i="5"/>
  <c r="AJ233" i="5"/>
  <c r="EX233" i="5"/>
  <c r="EX231" i="5"/>
  <c r="EX223" i="5"/>
  <c r="EX221" i="5"/>
  <c r="FR213" i="5"/>
  <c r="AJ213" i="5"/>
  <c r="HL207" i="5"/>
  <c r="HL209" i="5" s="1"/>
  <c r="HK202" i="5"/>
  <c r="HK204" i="5" s="1"/>
  <c r="IK181" i="5"/>
  <c r="HL197" i="5"/>
  <c r="HL199" i="5" s="1"/>
  <c r="EX176" i="5"/>
  <c r="EX178" i="5"/>
  <c r="EX213" i="5"/>
  <c r="EX211" i="5"/>
  <c r="IK233" i="5"/>
  <c r="FM208" i="5"/>
  <c r="FU203" i="5"/>
  <c r="IL203" i="5"/>
  <c r="IK203" i="5" s="1"/>
  <c r="FM198" i="5"/>
  <c r="FU183" i="5"/>
  <c r="IL183" i="5"/>
  <c r="IL173" i="5"/>
  <c r="FU173" i="5"/>
  <c r="FM233" i="5"/>
  <c r="GL239" i="5"/>
  <c r="HK242" i="5"/>
  <c r="HK244" i="5" s="1"/>
  <c r="IL213" i="5"/>
  <c r="FU213" i="5"/>
  <c r="EX218" i="5"/>
  <c r="EX216" i="5"/>
  <c r="IK171" i="5"/>
  <c r="IL226" i="5"/>
  <c r="IK226" i="5" s="1"/>
  <c r="FM228" i="5"/>
  <c r="EX241" i="5"/>
  <c r="EX243" i="5"/>
  <c r="HK232" i="5"/>
  <c r="HK234" i="5" s="1"/>
  <c r="HK212" i="5"/>
  <c r="HK214" i="5" s="1"/>
  <c r="IL206" i="5"/>
  <c r="IL208" i="5"/>
  <c r="FU208" i="5"/>
  <c r="IK188" i="5"/>
  <c r="HK217" i="5"/>
  <c r="HK219" i="5" s="1"/>
  <c r="IL186" i="5"/>
  <c r="IK186" i="5"/>
  <c r="IL198" i="5"/>
  <c r="IK198" i="5" s="1"/>
  <c r="FU198" i="5"/>
  <c r="AJ183" i="5"/>
  <c r="FR183" i="5"/>
  <c r="IL241" i="5"/>
  <c r="FR223" i="5"/>
  <c r="AJ223" i="5"/>
  <c r="FM218" i="5"/>
  <c r="FM203" i="5"/>
  <c r="GL189" i="5"/>
  <c r="EX183" i="5"/>
  <c r="EX181" i="5"/>
  <c r="IL216" i="5"/>
  <c r="IL201" i="5"/>
  <c r="IL196" i="5"/>
  <c r="HK182" i="5"/>
  <c r="HK184" i="5" s="1"/>
  <c r="FM243" i="5"/>
  <c r="FR198" i="5"/>
  <c r="AJ198" i="5"/>
  <c r="HK197" i="5"/>
  <c r="HK199" i="5" s="1"/>
  <c r="EY193" i="5"/>
  <c r="EV193" i="5" s="1"/>
  <c r="EY191" i="5"/>
  <c r="EU191" i="5"/>
  <c r="EU193" i="5"/>
  <c r="EX188" i="5"/>
  <c r="EX186" i="5"/>
  <c r="GL179" i="5"/>
  <c r="EY171" i="5"/>
  <c r="EY173" i="5"/>
  <c r="EV173" i="5" s="1"/>
  <c r="EU171" i="5"/>
  <c r="EU173" i="5"/>
  <c r="HL182" i="5"/>
  <c r="HL184" i="5" s="1"/>
  <c r="FR178" i="5"/>
  <c r="AJ178" i="5"/>
  <c r="IL243" i="5"/>
  <c r="IK243" i="5" s="1"/>
  <c r="FU243" i="5"/>
  <c r="FR243" i="5"/>
  <c r="AJ243" i="5"/>
  <c r="HK237" i="5"/>
  <c r="HK239" i="5" s="1"/>
  <c r="EX228" i="5"/>
  <c r="EX226" i="5"/>
  <c r="IK223" i="5"/>
  <c r="FM213" i="5"/>
  <c r="FR203" i="5"/>
  <c r="AJ203" i="5"/>
  <c r="FR218" i="5"/>
  <c r="AJ218" i="5"/>
  <c r="EX203" i="5"/>
  <c r="EX201" i="5"/>
  <c r="EX196" i="5"/>
  <c r="EX198" i="5"/>
  <c r="GL194" i="5"/>
  <c r="IL176" i="5"/>
  <c r="IL276" i="5"/>
  <c r="IK276" i="5" s="1"/>
  <c r="FU276" i="5"/>
  <c r="EX264" i="5"/>
  <c r="EX266" i="5"/>
  <c r="FM316" i="5"/>
  <c r="IK309" i="5"/>
  <c r="IL296" i="5"/>
  <c r="FU296" i="5"/>
  <c r="EY311" i="5"/>
  <c r="EV311" i="5" s="1"/>
  <c r="EY309" i="5"/>
  <c r="EU311" i="5"/>
  <c r="EU309" i="5"/>
  <c r="EX314" i="5"/>
  <c r="EX316" i="5"/>
  <c r="FR301" i="5"/>
  <c r="AJ301" i="5"/>
  <c r="IL284" i="5"/>
  <c r="FR291" i="5"/>
  <c r="AJ291" i="5"/>
  <c r="FP259" i="5"/>
  <c r="FM301" i="5"/>
  <c r="EX259" i="5"/>
  <c r="EX261" i="5"/>
  <c r="IL319" i="5"/>
  <c r="FM306" i="5"/>
  <c r="FM286" i="5"/>
  <c r="GL272" i="5"/>
  <c r="IL256" i="5"/>
  <c r="IK256" i="5" s="1"/>
  <c r="FU256" i="5"/>
  <c r="FR271" i="5"/>
  <c r="AJ271" i="5"/>
  <c r="HK250" i="5"/>
  <c r="HK252" i="5" s="1"/>
  <c r="FR281" i="5"/>
  <c r="AJ281" i="5"/>
  <c r="IL314" i="5"/>
  <c r="IL304" i="5"/>
  <c r="IL306" i="5"/>
  <c r="FU306" i="5"/>
  <c r="IK301" i="5"/>
  <c r="FM291" i="5"/>
  <c r="HK285" i="5"/>
  <c r="HK287" i="5" s="1"/>
  <c r="IL259" i="5"/>
  <c r="FR286" i="5"/>
  <c r="AJ286" i="5"/>
  <c r="EX279" i="5"/>
  <c r="EX281" i="5"/>
  <c r="IK254" i="5"/>
  <c r="HK270" i="5"/>
  <c r="HK272" i="5" s="1"/>
  <c r="HL320" i="5"/>
  <c r="HL322" i="5" s="1"/>
  <c r="FM321" i="5"/>
  <c r="FP289" i="5"/>
  <c r="EX286" i="5"/>
  <c r="EX284" i="5"/>
  <c r="EX251" i="5"/>
  <c r="EX249" i="5"/>
  <c r="FR266" i="5"/>
  <c r="AJ266" i="5"/>
  <c r="EX269" i="5"/>
  <c r="EX271" i="5"/>
  <c r="GL322" i="5"/>
  <c r="IL321" i="5"/>
  <c r="FU321" i="5"/>
  <c r="FR316" i="5"/>
  <c r="AJ316" i="5"/>
  <c r="FU311" i="5"/>
  <c r="EX306" i="5"/>
  <c r="EX304" i="5"/>
  <c r="IK286" i="5"/>
  <c r="FU286" i="5"/>
  <c r="IL286" i="5"/>
  <c r="EX274" i="5"/>
  <c r="EX276" i="5"/>
  <c r="IL251" i="5"/>
  <c r="FU251" i="5"/>
  <c r="FM251" i="5"/>
  <c r="GL262" i="5"/>
  <c r="IL311" i="5"/>
  <c r="GL297" i="5"/>
  <c r="HK300" i="5"/>
  <c r="HK302" i="5" s="1"/>
  <c r="EU296" i="5"/>
  <c r="EY296" i="5"/>
  <c r="EV296" i="5" s="1"/>
  <c r="EY294" i="5"/>
  <c r="EU294" i="5"/>
  <c r="FP249" i="5"/>
  <c r="IK249" i="5"/>
  <c r="HK255" i="5"/>
  <c r="HK257" i="5" s="1"/>
  <c r="FU316" i="5"/>
  <c r="IL316" i="5"/>
  <c r="EX301" i="5"/>
  <c r="EX299" i="5"/>
  <c r="FM276" i="5"/>
  <c r="IL274" i="5"/>
  <c r="IK274" i="5" s="1"/>
  <c r="IL291" i="5"/>
  <c r="IK291" i="5" s="1"/>
  <c r="FU291" i="5"/>
  <c r="IL261" i="5"/>
  <c r="FU261" i="5"/>
  <c r="HK260" i="5"/>
  <c r="HK262" i="5" s="1"/>
  <c r="EX256" i="5"/>
  <c r="EX254" i="5"/>
  <c r="HK265" i="5"/>
  <c r="HK267" i="5" s="1"/>
  <c r="FR256" i="5"/>
  <c r="AJ256" i="5"/>
  <c r="GL166" i="5"/>
  <c r="IL163" i="5"/>
  <c r="IL165" i="5"/>
  <c r="FU165" i="5"/>
  <c r="HK164" i="5"/>
  <c r="HK166" i="5" s="1"/>
  <c r="EX163" i="5"/>
  <c r="EX165" i="5"/>
  <c r="FP158" i="5"/>
  <c r="FM160" i="5"/>
  <c r="IL158" i="5"/>
  <c r="IK158" i="5" s="1"/>
  <c r="IL160" i="5"/>
  <c r="IK160" i="5" s="1"/>
  <c r="FU160" i="5"/>
  <c r="HK159" i="5"/>
  <c r="HK161" i="5" s="1"/>
  <c r="EX158" i="5"/>
  <c r="EX160" i="5"/>
  <c r="GL161" i="5"/>
  <c r="FR160" i="5"/>
  <c r="AJ160" i="5"/>
  <c r="IL155" i="5"/>
  <c r="FU155" i="5"/>
  <c r="IL153" i="5"/>
  <c r="FR155" i="5"/>
  <c r="AJ155" i="5"/>
  <c r="GL156" i="5"/>
  <c r="HK154" i="5"/>
  <c r="HK156" i="5" s="1"/>
  <c r="EX153" i="5"/>
  <c r="EX155" i="5"/>
  <c r="EX148" i="5"/>
  <c r="EX150" i="5"/>
  <c r="GL151" i="5"/>
  <c r="HK149" i="5"/>
  <c r="HK151" i="5" s="1"/>
  <c r="GL146" i="5"/>
  <c r="FR145" i="5"/>
  <c r="AJ145" i="5"/>
  <c r="HK144" i="5"/>
  <c r="HK146" i="5" s="1"/>
  <c r="EX143" i="5"/>
  <c r="EX145" i="5"/>
  <c r="FM145" i="5"/>
  <c r="EX138" i="5"/>
  <c r="EX140" i="5"/>
  <c r="IL140" i="5"/>
  <c r="FU140" i="5"/>
  <c r="IL138" i="5"/>
  <c r="FR140" i="5"/>
  <c r="AJ140" i="5"/>
  <c r="FM140" i="5"/>
  <c r="GL141" i="5"/>
  <c r="HK139" i="5"/>
  <c r="HK141" i="5" s="1"/>
  <c r="FM135" i="5"/>
  <c r="GL136" i="5"/>
  <c r="FR135" i="5"/>
  <c r="AJ135" i="5"/>
  <c r="IL135" i="5"/>
  <c r="FU135" i="5"/>
  <c r="IL133" i="5"/>
  <c r="HK134" i="5"/>
  <c r="HK136" i="5" s="1"/>
  <c r="EX133" i="5"/>
  <c r="EX135" i="5"/>
  <c r="HK129" i="5"/>
  <c r="HK131" i="5" s="1"/>
  <c r="IL128" i="5"/>
  <c r="IK128" i="5" s="1"/>
  <c r="EX128" i="5"/>
  <c r="EX130" i="5"/>
  <c r="GL131" i="5"/>
  <c r="FP128" i="5"/>
  <c r="HL129" i="5"/>
  <c r="HL131" i="5" s="1"/>
  <c r="HL124" i="5"/>
  <c r="HL126" i="5" s="1"/>
  <c r="HK119" i="5"/>
  <c r="HK121" i="5" s="1"/>
  <c r="EX118" i="5"/>
  <c r="EX120" i="5"/>
  <c r="FM115" i="5"/>
  <c r="IL115" i="5"/>
  <c r="IK115" i="5" s="1"/>
  <c r="FU115" i="5"/>
  <c r="HK114" i="5"/>
  <c r="HK116" i="5" s="1"/>
  <c r="EX115" i="5"/>
  <c r="EX113" i="5"/>
  <c r="EX108" i="5"/>
  <c r="EX110" i="5"/>
  <c r="IL103" i="5"/>
  <c r="IL105" i="5"/>
  <c r="FU105" i="5"/>
  <c r="IK105" i="5"/>
  <c r="FM105" i="5"/>
  <c r="FP103" i="5"/>
  <c r="HK104" i="5"/>
  <c r="HK106" i="5" s="1"/>
  <c r="EX103" i="5"/>
  <c r="EX105" i="5"/>
  <c r="FM100" i="5"/>
  <c r="FR95" i="5"/>
  <c r="AJ95" i="5"/>
  <c r="EX93" i="5"/>
  <c r="EX95" i="5"/>
  <c r="IL95" i="5"/>
  <c r="IK95" i="5" s="1"/>
  <c r="FU95" i="5"/>
  <c r="IL93" i="5"/>
  <c r="FM95" i="5"/>
  <c r="GL96" i="5"/>
  <c r="HK94" i="5"/>
  <c r="HK96" i="5" s="1"/>
  <c r="IL85" i="5"/>
  <c r="IK85" i="5" s="1"/>
  <c r="GL88" i="5"/>
  <c r="EX85" i="5"/>
  <c r="EX87" i="5"/>
  <c r="HK86" i="5"/>
  <c r="HK88" i="5" s="1"/>
  <c r="FR82" i="5"/>
  <c r="AJ82" i="5"/>
  <c r="IL75" i="5"/>
  <c r="FM77" i="5"/>
  <c r="IL77" i="5"/>
  <c r="IK77" i="5" s="1"/>
  <c r="FU77" i="5"/>
  <c r="GL73" i="5"/>
  <c r="IL70" i="5"/>
  <c r="EX70" i="5"/>
  <c r="EX72" i="5"/>
  <c r="HK71" i="5"/>
  <c r="HK73" i="5" s="1"/>
  <c r="FR72" i="5"/>
  <c r="AJ72" i="5"/>
  <c r="EX65" i="5"/>
  <c r="EX67" i="5"/>
  <c r="HK66" i="5"/>
  <c r="HK68" i="5" s="1"/>
  <c r="FM67" i="5"/>
  <c r="AJ67" i="5"/>
  <c r="IL65" i="5"/>
  <c r="IL60" i="5"/>
  <c r="FR62" i="5"/>
  <c r="AJ62" i="5"/>
  <c r="FR57" i="5"/>
  <c r="AJ57" i="5"/>
  <c r="FM52" i="5"/>
  <c r="IL52" i="5"/>
  <c r="DF52" i="5" s="1"/>
  <c r="FR52" i="5" s="1"/>
  <c r="FU52" i="5"/>
  <c r="HK51" i="5"/>
  <c r="HK53" i="5" s="1"/>
  <c r="EX52" i="5"/>
  <c r="EX50" i="5"/>
  <c r="IL50" i="5"/>
  <c r="FM47" i="5"/>
  <c r="EX45" i="5"/>
  <c r="EX47" i="5"/>
  <c r="IL47" i="5"/>
  <c r="IK47" i="5" s="1"/>
  <c r="FU47" i="5"/>
  <c r="IL45" i="5"/>
  <c r="IK45" i="5" s="1"/>
  <c r="GL48" i="5"/>
  <c r="E23" i="19"/>
  <c r="M30" i="21" l="1"/>
  <c r="AJ52" i="5"/>
  <c r="FS394" i="5"/>
  <c r="IO717" i="5"/>
  <c r="IO719" i="5"/>
  <c r="AJ417" i="5"/>
  <c r="FS374" i="5"/>
  <c r="FR422" i="5"/>
  <c r="FS422" i="5" s="1"/>
  <c r="AJ422" i="5"/>
  <c r="IK427" i="5"/>
  <c r="IK362" i="5"/>
  <c r="IK342" i="5"/>
  <c r="IK319" i="5"/>
  <c r="IK314" i="5"/>
  <c r="IK304" i="5"/>
  <c r="IK284" i="5"/>
  <c r="IK266" i="5"/>
  <c r="IK259" i="5"/>
  <c r="IK261" i="5"/>
  <c r="IK241" i="5"/>
  <c r="IK193" i="5"/>
  <c r="IK183" i="5"/>
  <c r="IK176" i="5"/>
  <c r="IK143" i="5"/>
  <c r="IK138" i="5"/>
  <c r="IK135" i="5"/>
  <c r="IK133" i="5"/>
  <c r="IK125" i="5"/>
  <c r="IK103" i="5"/>
  <c r="IK93" i="5"/>
  <c r="IK75" i="5"/>
  <c r="IK70" i="5"/>
  <c r="IK65" i="5"/>
  <c r="IK50" i="5"/>
  <c r="IK52" i="5"/>
  <c r="HK602" i="5"/>
  <c r="HK604" i="5" s="1"/>
  <c r="HK484" i="5"/>
  <c r="HK486" i="5" s="1"/>
  <c r="HK295" i="5"/>
  <c r="HK297" i="5" s="1"/>
  <c r="HK192" i="5"/>
  <c r="HK194" i="5" s="1"/>
  <c r="IN754" i="5"/>
  <c r="IN772" i="5"/>
  <c r="IK764" i="5"/>
  <c r="IK789" i="5"/>
  <c r="IK749" i="5"/>
  <c r="IP734" i="5"/>
  <c r="IO734" i="5" s="1"/>
  <c r="IN774" i="5"/>
  <c r="IP744" i="5"/>
  <c r="IO744" i="5" s="1"/>
  <c r="IO742" i="5"/>
  <c r="IP724" i="5"/>
  <c r="IO724" i="5" s="1"/>
  <c r="IK762" i="5"/>
  <c r="IK734" i="5"/>
  <c r="IO757" i="5"/>
  <c r="IK759" i="5"/>
  <c r="FS769" i="5"/>
  <c r="FS719" i="5"/>
  <c r="IK744" i="5"/>
  <c r="IN742" i="5"/>
  <c r="FS759" i="5"/>
  <c r="IP754" i="5"/>
  <c r="IO754" i="5" s="1"/>
  <c r="IN734" i="5"/>
  <c r="IO774" i="5"/>
  <c r="IN782" i="5"/>
  <c r="IO782" i="5"/>
  <c r="HK728" i="5"/>
  <c r="HK730" i="5" s="1"/>
  <c r="IP759" i="5"/>
  <c r="IO759" i="5" s="1"/>
  <c r="IP722" i="5"/>
  <c r="IO722" i="5" s="1"/>
  <c r="FS744" i="5"/>
  <c r="FS789" i="5"/>
  <c r="IN749" i="5"/>
  <c r="IO727" i="5"/>
  <c r="IN727" i="5"/>
  <c r="IN764" i="5"/>
  <c r="IN789" i="5"/>
  <c r="IN762" i="5"/>
  <c r="FS779" i="5"/>
  <c r="FS734" i="5"/>
  <c r="EX729" i="5"/>
  <c r="EX727" i="5"/>
  <c r="IK722" i="5"/>
  <c r="FS754" i="5"/>
  <c r="IO764" i="5"/>
  <c r="IO789" i="5"/>
  <c r="IO749" i="5"/>
  <c r="IO762" i="5"/>
  <c r="IO779" i="5"/>
  <c r="IN779" i="5"/>
  <c r="IN759" i="5"/>
  <c r="FS729" i="5"/>
  <c r="IM732" i="5"/>
  <c r="IO646" i="5"/>
  <c r="IP681" i="5"/>
  <c r="IM659" i="5"/>
  <c r="IN694" i="5"/>
  <c r="EX681" i="5"/>
  <c r="EX679" i="5"/>
  <c r="FS711" i="5"/>
  <c r="IK656" i="5"/>
  <c r="IN674" i="5"/>
  <c r="IO674" i="5"/>
  <c r="IK666" i="5"/>
  <c r="IO681" i="5"/>
  <c r="IK696" i="5"/>
  <c r="FS686" i="5"/>
  <c r="IN676" i="5"/>
  <c r="IK669" i="5"/>
  <c r="FS691" i="5"/>
  <c r="IN691" i="5"/>
  <c r="FS671" i="5"/>
  <c r="IO696" i="5"/>
  <c r="IN709" i="5"/>
  <c r="HK680" i="5"/>
  <c r="HK682" i="5" s="1"/>
  <c r="IN641" i="5"/>
  <c r="IN689" i="5"/>
  <c r="IN669" i="5"/>
  <c r="IN711" i="5"/>
  <c r="IK671" i="5"/>
  <c r="IO709" i="5"/>
  <c r="IN679" i="5"/>
  <c r="IO679" i="5"/>
  <c r="IO656" i="5"/>
  <c r="IO689" i="5"/>
  <c r="IN664" i="5"/>
  <c r="IO664" i="5"/>
  <c r="IP691" i="5"/>
  <c r="IO691" i="5" s="1"/>
  <c r="IO671" i="5"/>
  <c r="FS701" i="5"/>
  <c r="IO704" i="5"/>
  <c r="IN704" i="5"/>
  <c r="IN639" i="5"/>
  <c r="IN666" i="5"/>
  <c r="IP711" i="5"/>
  <c r="IO711" i="5" s="1"/>
  <c r="IN671" i="5"/>
  <c r="FS661" i="5"/>
  <c r="FS676" i="5"/>
  <c r="IO596" i="5"/>
  <c r="FS578" i="5"/>
  <c r="IK583" i="5"/>
  <c r="IK561" i="5"/>
  <c r="IO618" i="5"/>
  <c r="FS568" i="5"/>
  <c r="IN626" i="5"/>
  <c r="IP618" i="5"/>
  <c r="FS588" i="5"/>
  <c r="FS623" i="5"/>
  <c r="IP563" i="5"/>
  <c r="IO563" i="5" s="1"/>
  <c r="IM566" i="5"/>
  <c r="IO606" i="5"/>
  <c r="IN606" i="5"/>
  <c r="IN586" i="5"/>
  <c r="IN621" i="5"/>
  <c r="IO621" i="5"/>
  <c r="IK563" i="5"/>
  <c r="EX626" i="5"/>
  <c r="EX628" i="5"/>
  <c r="IK568" i="5"/>
  <c r="IP601" i="5"/>
  <c r="IO601" i="5" s="1"/>
  <c r="IN596" i="5"/>
  <c r="IP586" i="5"/>
  <c r="IN618" i="5"/>
  <c r="IN576" i="5"/>
  <c r="FS608" i="5"/>
  <c r="IN561" i="5"/>
  <c r="IP576" i="5"/>
  <c r="IO576" i="5" s="1"/>
  <c r="IP596" i="5"/>
  <c r="IO586" i="5"/>
  <c r="IN583" i="5"/>
  <c r="FS633" i="5"/>
  <c r="HK627" i="5"/>
  <c r="HK629" i="5" s="1"/>
  <c r="EX601" i="5"/>
  <c r="EX603" i="5"/>
  <c r="IO568" i="5"/>
  <c r="IO503" i="5"/>
  <c r="IM508" i="5"/>
  <c r="IK495" i="5"/>
  <c r="EX485" i="5"/>
  <c r="EX483" i="5"/>
  <c r="IK493" i="5"/>
  <c r="IN540" i="5"/>
  <c r="IN488" i="5"/>
  <c r="FS505" i="5"/>
  <c r="IP553" i="5"/>
  <c r="IO553" i="5" s="1"/>
  <c r="FS500" i="5"/>
  <c r="IN555" i="5"/>
  <c r="IO538" i="5"/>
  <c r="IN538" i="5"/>
  <c r="IN493" i="5"/>
  <c r="FS530" i="5"/>
  <c r="IN495" i="5"/>
  <c r="IN520" i="5"/>
  <c r="IN485" i="5"/>
  <c r="FS510" i="5"/>
  <c r="FS540" i="5"/>
  <c r="IO518" i="5"/>
  <c r="IK540" i="5"/>
  <c r="IP488" i="5"/>
  <c r="IO488" i="5" s="1"/>
  <c r="FS490" i="5"/>
  <c r="IO495" i="5"/>
  <c r="IO520" i="5"/>
  <c r="IN503" i="5"/>
  <c r="IO548" i="5"/>
  <c r="IN548" i="5"/>
  <c r="IO540" i="5"/>
  <c r="FS555" i="5"/>
  <c r="IP520" i="5"/>
  <c r="IN533" i="5"/>
  <c r="IM493" i="5"/>
  <c r="IO493" i="5" s="1"/>
  <c r="IN518" i="5"/>
  <c r="FS545" i="5"/>
  <c r="IP485" i="5"/>
  <c r="IO485" i="5" s="1"/>
  <c r="IO533" i="5"/>
  <c r="IN483" i="5"/>
  <c r="FS417" i="5"/>
  <c r="IN422" i="5"/>
  <c r="FS467" i="5"/>
  <c r="IK460" i="5"/>
  <c r="FS457" i="5"/>
  <c r="IO452" i="5"/>
  <c r="IN477" i="5"/>
  <c r="IP450" i="5"/>
  <c r="IO450" i="5" s="1"/>
  <c r="FS442" i="5"/>
  <c r="IN460" i="5"/>
  <c r="IN457" i="5"/>
  <c r="IN415" i="5"/>
  <c r="IN442" i="5"/>
  <c r="FS407" i="5"/>
  <c r="IO460" i="5"/>
  <c r="IN462" i="5"/>
  <c r="IP477" i="5"/>
  <c r="IO477" i="5" s="1"/>
  <c r="IN475" i="5"/>
  <c r="IO470" i="5"/>
  <c r="IO445" i="5"/>
  <c r="IN445" i="5"/>
  <c r="FS452" i="5"/>
  <c r="FS477" i="5"/>
  <c r="IP457" i="5"/>
  <c r="IO457" i="5" s="1"/>
  <c r="IP442" i="5"/>
  <c r="IO442" i="5" s="1"/>
  <c r="FS472" i="5"/>
  <c r="IP475" i="5"/>
  <c r="IO475" i="5" s="1"/>
  <c r="FS462" i="5"/>
  <c r="IK450" i="5"/>
  <c r="IM405" i="5"/>
  <c r="IP397" i="5"/>
  <c r="IO397" i="5" s="1"/>
  <c r="IP399" i="5"/>
  <c r="IO399" i="5" s="1"/>
  <c r="IK384" i="5"/>
  <c r="DF384" i="5" s="1"/>
  <c r="FS379" i="5"/>
  <c r="IK337" i="5"/>
  <c r="IK369" i="5"/>
  <c r="IK399" i="5"/>
  <c r="DF399" i="5" s="1"/>
  <c r="HK358" i="5"/>
  <c r="HK360" i="5" s="1"/>
  <c r="IK397" i="5"/>
  <c r="FS389" i="5"/>
  <c r="IK359" i="5"/>
  <c r="IP384" i="5"/>
  <c r="IO384" i="5" s="1"/>
  <c r="EX359" i="5"/>
  <c r="EX357" i="5"/>
  <c r="IK347" i="5"/>
  <c r="IM387" i="5"/>
  <c r="IO374" i="5"/>
  <c r="IN374" i="5"/>
  <c r="IO392" i="5"/>
  <c r="IN392" i="5"/>
  <c r="IK216" i="5"/>
  <c r="IK213" i="5"/>
  <c r="EX191" i="5"/>
  <c r="EX193" i="5"/>
  <c r="IK201" i="5"/>
  <c r="IK208" i="5"/>
  <c r="IK206" i="5"/>
  <c r="IK196" i="5"/>
  <c r="IK173" i="5"/>
  <c r="HK172" i="5"/>
  <c r="HK174" i="5" s="1"/>
  <c r="EX171" i="5"/>
  <c r="EX173" i="5"/>
  <c r="IK251" i="5"/>
  <c r="IK321" i="5"/>
  <c r="IK296" i="5"/>
  <c r="IK306" i="5"/>
  <c r="EX309" i="5"/>
  <c r="EX311" i="5"/>
  <c r="IK316" i="5"/>
  <c r="HK310" i="5"/>
  <c r="HK312" i="5" s="1"/>
  <c r="EX296" i="5"/>
  <c r="EX294" i="5"/>
  <c r="IK311" i="5"/>
  <c r="IK165" i="5"/>
  <c r="IK163" i="5"/>
  <c r="IK155" i="5"/>
  <c r="IK153" i="5"/>
  <c r="IK140" i="5"/>
  <c r="IK60" i="5"/>
  <c r="AJ384" i="5" l="1"/>
  <c r="FR384" i="5"/>
  <c r="FS384" i="5" s="1"/>
  <c r="FR399" i="5"/>
  <c r="FS399" i="5" s="1"/>
  <c r="AJ399" i="5"/>
  <c r="IO732" i="5"/>
  <c r="IN732" i="5"/>
  <c r="IO659" i="5"/>
  <c r="IN659" i="5"/>
  <c r="IN566" i="5"/>
  <c r="IO566" i="5"/>
  <c r="IO508" i="5"/>
  <c r="IN508" i="5"/>
  <c r="IO405" i="5"/>
  <c r="IN405" i="5"/>
  <c r="IO387" i="5"/>
  <c r="IN387" i="5"/>
  <c r="BJ25" i="22"/>
  <c r="BJ26" i="22" s="1"/>
  <c r="BJ27" i="22" s="1"/>
  <c r="BJ28" i="22" s="1"/>
  <c r="BJ29" i="22" s="1"/>
  <c r="BJ30" i="22" s="1"/>
  <c r="BJ31" i="22" s="1"/>
  <c r="BJ32" i="22" s="1"/>
  <c r="BJ33" i="22" s="1"/>
  <c r="BL24" i="22" s="1"/>
  <c r="BL25" i="22" s="1"/>
  <c r="BL26" i="22" s="1"/>
  <c r="BL27" i="22" s="1"/>
  <c r="BL28" i="22" s="1"/>
  <c r="BL29" i="22" s="1"/>
  <c r="BL30" i="22" s="1"/>
  <c r="BL31" i="22" s="1"/>
  <c r="BL32" i="22" s="1"/>
  <c r="BL33" i="22" s="1"/>
  <c r="BL34" i="22" s="1"/>
  <c r="BL35" i="22" s="1"/>
  <c r="BL36" i="22" s="1"/>
  <c r="BL37" i="22" s="1"/>
  <c r="BL38" i="22" s="1"/>
  <c r="BN24" i="22" s="1"/>
  <c r="BN25" i="22" s="1"/>
  <c r="BN26" i="22" s="1"/>
  <c r="BN27" i="22" s="1"/>
  <c r="BN28" i="22" s="1"/>
  <c r="BN29" i="22" s="1"/>
  <c r="BN30" i="22" s="1"/>
  <c r="BN31" i="22" s="1"/>
  <c r="BN32" i="22" s="1"/>
  <c r="BN33" i="22" s="1"/>
  <c r="BN34" i="22" s="1"/>
  <c r="BN35" i="22" s="1"/>
  <c r="BN36" i="22" s="1"/>
  <c r="BN37" i="22" s="1"/>
  <c r="BN38" i="22" s="1"/>
  <c r="BP24" i="22" s="1"/>
  <c r="BP25" i="22" s="1"/>
  <c r="BP26" i="22" s="1"/>
  <c r="BP27" i="22" l="1"/>
  <c r="FK25" i="8"/>
  <c r="A123" i="19"/>
  <c r="A124" i="19" s="1"/>
  <c r="A125" i="19" s="1"/>
  <c r="A126" i="19" s="1"/>
  <c r="A127" i="19" s="1"/>
  <c r="A128" i="19" s="1"/>
  <c r="A129" i="19" s="1"/>
  <c r="A130" i="19" s="1"/>
  <c r="A131" i="19" s="1"/>
  <c r="A132" i="19" s="1"/>
  <c r="A133" i="19" s="1"/>
  <c r="A134" i="19" s="1"/>
  <c r="A135" i="19" s="1"/>
  <c r="A136" i="19" s="1"/>
  <c r="A137" i="19" s="1"/>
  <c r="A138" i="19" s="1"/>
  <c r="A139" i="19" s="1"/>
  <c r="A140" i="19" s="1"/>
  <c r="A141" i="19" s="1"/>
  <c r="A142" i="19" s="1"/>
  <c r="A143" i="19" s="1"/>
  <c r="A144" i="19" s="1"/>
  <c r="A145" i="19" s="1"/>
  <c r="A146" i="19" s="1"/>
  <c r="BP28" i="22" l="1"/>
  <c r="A147" i="19"/>
  <c r="A148" i="19" s="1"/>
  <c r="A149" i="19" s="1"/>
  <c r="A150" i="19" s="1"/>
  <c r="A151" i="19" s="1"/>
  <c r="A152" i="19" s="1"/>
  <c r="A153" i="19" s="1"/>
  <c r="A154" i="19" s="1"/>
  <c r="A155" i="19" s="1"/>
  <c r="A156" i="19" s="1"/>
  <c r="A157" i="19" s="1"/>
  <c r="A158" i="19" s="1"/>
  <c r="A159" i="19" s="1"/>
  <c r="A160" i="19" s="1"/>
  <c r="A161" i="19" s="1"/>
  <c r="A162" i="19" s="1"/>
  <c r="A163" i="19" s="1"/>
  <c r="A164" i="19" s="1"/>
  <c r="A165" i="19" s="1"/>
  <c r="A166" i="19" s="1"/>
  <c r="A167" i="19" s="1"/>
  <c r="A168" i="19" s="1"/>
  <c r="A169" i="19" s="1"/>
  <c r="A170" i="19" s="1"/>
  <c r="A171" i="19" s="1"/>
  <c r="A172" i="19" s="1"/>
  <c r="A173" i="19" s="1"/>
  <c r="A174" i="19" s="1"/>
  <c r="A175" i="19" s="1"/>
  <c r="A176" i="19" s="1"/>
  <c r="BY5" i="19"/>
  <c r="U577" i="21" s="1"/>
  <c r="U302" i="21" s="1"/>
  <c r="A51" i="19"/>
  <c r="I41" i="19"/>
  <c r="F39" i="19"/>
  <c r="O53" i="19"/>
  <c r="H41" i="19"/>
  <c r="K52" i="19"/>
  <c r="K53" i="19"/>
  <c r="F41" i="19"/>
  <c r="K54" i="19"/>
  <c r="O52" i="19"/>
  <c r="I39" i="19"/>
  <c r="C43" i="19"/>
  <c r="C39" i="19"/>
  <c r="O54" i="19"/>
  <c r="D41" i="19"/>
  <c r="H39" i="19"/>
  <c r="G41" i="19"/>
  <c r="E41" i="19"/>
  <c r="D39" i="19"/>
  <c r="C41" i="19"/>
  <c r="E39" i="19"/>
  <c r="G39" i="19"/>
  <c r="BP29" i="22" l="1"/>
  <c r="A177" i="19"/>
  <c r="A178" i="19" s="1"/>
  <c r="A179" i="19" s="1"/>
  <c r="A180" i="19" s="1"/>
  <c r="A181" i="19" s="1"/>
  <c r="A182" i="19" s="1"/>
  <c r="A183" i="19" s="1"/>
  <c r="A184" i="19" s="1"/>
  <c r="A185" i="19" s="1"/>
  <c r="A186" i="19" s="1"/>
  <c r="A187" i="19" s="1"/>
  <c r="A188" i="19" s="1"/>
  <c r="A189" i="19" s="1"/>
  <c r="A190" i="19" s="1"/>
  <c r="A191" i="19" s="1"/>
  <c r="O43" i="5"/>
  <c r="M43" i="5"/>
  <c r="O42" i="5"/>
  <c r="N41" i="5"/>
  <c r="AS40" i="5"/>
  <c r="E15" i="19"/>
  <c r="C15" i="19"/>
  <c r="D15" i="19"/>
  <c r="BP30" i="22" l="1"/>
  <c r="A192" i="19"/>
  <c r="A193" i="19" s="1"/>
  <c r="A194" i="19" s="1"/>
  <c r="A195" i="19" s="1"/>
  <c r="A196" i="19" s="1"/>
  <c r="A197" i="19" s="1"/>
  <c r="A198" i="19" s="1"/>
  <c r="A199" i="19" s="1"/>
  <c r="A200" i="19" s="1"/>
  <c r="A201" i="19" s="1"/>
  <c r="A202" i="19" s="1"/>
  <c r="A203" i="19" s="1"/>
  <c r="A204" i="19" s="1"/>
  <c r="A205" i="19" s="1"/>
  <c r="A206" i="19" s="1"/>
  <c r="ES792" i="5"/>
  <c r="EQ4" i="5" s="1"/>
  <c r="ES714" i="5"/>
  <c r="EP4" i="5" s="1"/>
  <c r="ES636" i="5"/>
  <c r="EO4" i="5" s="1"/>
  <c r="ES558" i="5"/>
  <c r="EN4" i="5" s="1"/>
  <c r="ES480" i="5"/>
  <c r="EM4" i="5" s="1"/>
  <c r="ES402" i="5"/>
  <c r="EL4" i="5" s="1"/>
  <c r="EK4" i="5"/>
  <c r="ES246" i="5"/>
  <c r="EJ4" i="5" s="1"/>
  <c r="ES168" i="5"/>
  <c r="EI4" i="5" s="1"/>
  <c r="ES90" i="5"/>
  <c r="BP31" i="22" l="1"/>
  <c r="A207" i="19"/>
  <c r="A208" i="19" s="1"/>
  <c r="A209" i="19" s="1"/>
  <c r="A210" i="19" s="1"/>
  <c r="A211" i="19" s="1"/>
  <c r="A212" i="19" s="1"/>
  <c r="A213" i="19" s="1"/>
  <c r="A214" i="19" s="1"/>
  <c r="A215" i="19" s="1"/>
  <c r="A216" i="19" s="1"/>
  <c r="A217" i="19" s="1"/>
  <c r="A218" i="19" s="1"/>
  <c r="A219" i="19" s="1"/>
  <c r="A220" i="19" s="1"/>
  <c r="A221" i="19" s="1"/>
  <c r="IM28" i="5"/>
  <c r="J32" i="9"/>
  <c r="J31" i="9"/>
  <c r="J30" i="9"/>
  <c r="J29" i="9"/>
  <c r="J28" i="9"/>
  <c r="J27" i="9"/>
  <c r="J26" i="9"/>
  <c r="J25" i="9"/>
  <c r="J24" i="9"/>
  <c r="J23" i="9"/>
  <c r="J22" i="9"/>
  <c r="J21" i="9"/>
  <c r="J20" i="9"/>
  <c r="J19" i="9"/>
  <c r="J18" i="9"/>
  <c r="J17" i="9"/>
  <c r="J16" i="9"/>
  <c r="J15" i="9"/>
  <c r="J14" i="9"/>
  <c r="J13" i="9"/>
  <c r="J12" i="9"/>
  <c r="J11" i="9"/>
  <c r="J10" i="9"/>
  <c r="J9" i="9"/>
  <c r="J8" i="9"/>
  <c r="J7" i="9"/>
  <c r="J6" i="9"/>
  <c r="J5" i="9"/>
  <c r="IP28" i="5"/>
  <c r="FO82" i="5" l="1"/>
  <c r="FQ82" i="5" s="1"/>
  <c r="FS82" i="5" s="1"/>
  <c r="FO80" i="5"/>
  <c r="FO77" i="5"/>
  <c r="FQ77" i="5" s="1"/>
  <c r="FS77" i="5" s="1"/>
  <c r="FO75" i="5"/>
  <c r="FO276" i="5"/>
  <c r="FQ276" i="5" s="1"/>
  <c r="FS276" i="5" s="1"/>
  <c r="FO274" i="5"/>
  <c r="FO369" i="5"/>
  <c r="FQ369" i="5" s="1"/>
  <c r="FS369" i="5" s="1"/>
  <c r="FO367" i="5"/>
  <c r="FO354" i="5"/>
  <c r="FQ354" i="5" s="1"/>
  <c r="FS354" i="5" s="1"/>
  <c r="FO349" i="5"/>
  <c r="FQ349" i="5" s="1"/>
  <c r="FO357" i="5"/>
  <c r="FO344" i="5"/>
  <c r="FQ344" i="5" s="1"/>
  <c r="FS344" i="5" s="1"/>
  <c r="FO359" i="5"/>
  <c r="FQ359" i="5" s="1"/>
  <c r="FS359" i="5" s="1"/>
  <c r="FO339" i="5"/>
  <c r="FQ339" i="5" s="1"/>
  <c r="FS339" i="5" s="1"/>
  <c r="FO334" i="5"/>
  <c r="FQ334" i="5" s="1"/>
  <c r="FS334" i="5" s="1"/>
  <c r="FO342" i="5"/>
  <c r="FO352" i="5"/>
  <c r="FO347" i="5"/>
  <c r="FO337" i="5"/>
  <c r="FO332" i="5"/>
  <c r="IP98" i="5"/>
  <c r="IP80" i="5"/>
  <c r="IP108" i="5"/>
  <c r="IP62" i="5"/>
  <c r="IP148" i="5"/>
  <c r="IP188" i="5"/>
  <c r="IP228" i="5"/>
  <c r="IP178" i="5"/>
  <c r="IP364" i="5"/>
  <c r="IP279" i="5"/>
  <c r="IP281" i="5"/>
  <c r="IP254" i="5"/>
  <c r="IP150" i="5"/>
  <c r="IP238" i="5"/>
  <c r="IP223" i="5"/>
  <c r="IP191" i="5"/>
  <c r="IP269" i="5"/>
  <c r="IP113" i="5"/>
  <c r="IO113" i="5" s="1"/>
  <c r="IP87" i="5"/>
  <c r="IP82" i="5"/>
  <c r="IP357" i="5"/>
  <c r="IP118" i="5"/>
  <c r="IP221" i="5"/>
  <c r="IP327" i="5"/>
  <c r="IP301" i="5"/>
  <c r="IP294" i="5"/>
  <c r="IP329" i="5"/>
  <c r="IP120" i="5"/>
  <c r="IP211" i="5"/>
  <c r="IP249" i="5"/>
  <c r="IP274" i="5"/>
  <c r="IP352" i="5"/>
  <c r="IP67" i="5"/>
  <c r="IP236" i="5"/>
  <c r="IP181" i="5"/>
  <c r="IP309" i="5"/>
  <c r="IP264" i="5"/>
  <c r="IP299" i="5"/>
  <c r="IP349" i="5"/>
  <c r="IP110" i="5"/>
  <c r="IP233" i="5"/>
  <c r="IP57" i="5"/>
  <c r="IP218" i="5"/>
  <c r="IP145" i="5"/>
  <c r="IP72" i="5"/>
  <c r="IP344" i="5"/>
  <c r="IP130" i="5"/>
  <c r="IP410" i="5"/>
  <c r="IP412" i="5"/>
  <c r="IP435" i="5"/>
  <c r="IP354" i="5"/>
  <c r="IP231" i="5"/>
  <c r="IP171" i="5"/>
  <c r="IP430" i="5"/>
  <c r="IP271" i="5"/>
  <c r="IP289" i="5"/>
  <c r="IP100" i="5"/>
  <c r="IP123" i="5"/>
  <c r="IP193" i="5"/>
  <c r="IP206" i="5"/>
  <c r="IP155" i="5"/>
  <c r="IP176" i="5"/>
  <c r="IP437" i="5"/>
  <c r="IP143" i="5"/>
  <c r="IP432" i="5"/>
  <c r="IP332" i="5"/>
  <c r="IO332" i="5" s="1"/>
  <c r="IP359" i="5"/>
  <c r="IP203" i="5"/>
  <c r="IO203" i="5" s="1"/>
  <c r="IP153" i="5"/>
  <c r="IP77" i="5"/>
  <c r="IP45" i="5"/>
  <c r="IP291" i="5"/>
  <c r="IP316" i="5"/>
  <c r="IP163" i="5"/>
  <c r="IO163" i="5" s="1"/>
  <c r="IP52" i="5"/>
  <c r="IP321" i="5"/>
  <c r="IP342" i="5"/>
  <c r="IP213" i="5"/>
  <c r="IP125" i="5"/>
  <c r="IP85" i="5"/>
  <c r="IP367" i="5"/>
  <c r="IP347" i="5"/>
  <c r="IP186" i="5"/>
  <c r="IP133" i="5"/>
  <c r="IP427" i="5"/>
  <c r="IP93" i="5"/>
  <c r="IP276" i="5"/>
  <c r="IP226" i="5"/>
  <c r="IP243" i="5"/>
  <c r="IP306" i="5"/>
  <c r="IO306" i="5" s="1"/>
  <c r="IP256" i="5"/>
  <c r="IP128" i="5"/>
  <c r="IP140" i="5"/>
  <c r="IP50" i="5"/>
  <c r="IP296" i="5"/>
  <c r="IP138" i="5"/>
  <c r="IP105" i="5"/>
  <c r="IP261" i="5"/>
  <c r="IP425" i="5"/>
  <c r="IP266" i="5"/>
  <c r="IO266" i="5" s="1"/>
  <c r="IP362" i="5"/>
  <c r="IP208" i="5"/>
  <c r="IP304" i="5"/>
  <c r="IP135" i="5"/>
  <c r="IP196" i="5"/>
  <c r="IP65" i="5"/>
  <c r="IP314" i="5"/>
  <c r="IP251" i="5"/>
  <c r="IP60" i="5"/>
  <c r="IP284" i="5"/>
  <c r="IP165" i="5"/>
  <c r="IP339" i="5"/>
  <c r="IP173" i="5"/>
  <c r="IP198" i="5"/>
  <c r="IO198" i="5" s="1"/>
  <c r="IP160" i="5"/>
  <c r="IP259" i="5"/>
  <c r="IP201" i="5"/>
  <c r="IP75" i="5"/>
  <c r="IP216" i="5"/>
  <c r="IP286" i="5"/>
  <c r="IP334" i="5"/>
  <c r="IP183" i="5"/>
  <c r="IP369" i="5"/>
  <c r="IP311" i="5"/>
  <c r="IO311" i="5" s="1"/>
  <c r="IP115" i="5"/>
  <c r="IP337" i="5"/>
  <c r="IP103" i="5"/>
  <c r="IP241" i="5"/>
  <c r="IP319" i="5"/>
  <c r="IP55" i="5"/>
  <c r="IP95" i="5"/>
  <c r="IP70" i="5"/>
  <c r="IO70" i="5" s="1"/>
  <c r="IP158" i="5"/>
  <c r="IP47" i="5"/>
  <c r="FO364" i="5"/>
  <c r="FQ364" i="5" s="1"/>
  <c r="FS364" i="5" s="1"/>
  <c r="FO362" i="5"/>
  <c r="IM72" i="5"/>
  <c r="IM329" i="5"/>
  <c r="IM354" i="5"/>
  <c r="IN354" i="5" s="1"/>
  <c r="IM120" i="5"/>
  <c r="IM98" i="5"/>
  <c r="IM55" i="5"/>
  <c r="IM412" i="5"/>
  <c r="IN412" i="5" s="1"/>
  <c r="IM238" i="5"/>
  <c r="IN238" i="5" s="1"/>
  <c r="IM150" i="5"/>
  <c r="IN150" i="5" s="1"/>
  <c r="IM62" i="5"/>
  <c r="IM271" i="5"/>
  <c r="IM130" i="5"/>
  <c r="IM110" i="5"/>
  <c r="IN110" i="5" s="1"/>
  <c r="IM188" i="5"/>
  <c r="IM113" i="5"/>
  <c r="IN113" i="5" s="1"/>
  <c r="IM87" i="5"/>
  <c r="IN87" i="5" s="1"/>
  <c r="IM357" i="5"/>
  <c r="IM82" i="5"/>
  <c r="IN82" i="5" s="1"/>
  <c r="IM359" i="5"/>
  <c r="IM57" i="5"/>
  <c r="IM125" i="5"/>
  <c r="IM191" i="5"/>
  <c r="IN191" i="5" s="1"/>
  <c r="IM430" i="5"/>
  <c r="IM334" i="5"/>
  <c r="IN334" i="5" s="1"/>
  <c r="IM181" i="5"/>
  <c r="IM171" i="5"/>
  <c r="IM218" i="5"/>
  <c r="IM319" i="5"/>
  <c r="IM316" i="5"/>
  <c r="IM140" i="5"/>
  <c r="IM108" i="5"/>
  <c r="IM85" i="5"/>
  <c r="IN85" i="5" s="1"/>
  <c r="IM100" i="5"/>
  <c r="IN100" i="5" s="1"/>
  <c r="IM410" i="5"/>
  <c r="IM153" i="5"/>
  <c r="IN153" i="5" s="1"/>
  <c r="IM261" i="5"/>
  <c r="IM67" i="5"/>
  <c r="IM344" i="5"/>
  <c r="IM223" i="5"/>
  <c r="IN223" i="5" s="1"/>
  <c r="IM437" i="5"/>
  <c r="IN437" i="5" s="1"/>
  <c r="IM369" i="5"/>
  <c r="IN369" i="5" s="1"/>
  <c r="IM236" i="5"/>
  <c r="IM203" i="5"/>
  <c r="IN203" i="5" s="1"/>
  <c r="IM173" i="5"/>
  <c r="IN173" i="5" s="1"/>
  <c r="IM208" i="5"/>
  <c r="IN208" i="5" s="1"/>
  <c r="IM241" i="5"/>
  <c r="IM221" i="5"/>
  <c r="IM228" i="5"/>
  <c r="IM196" i="5"/>
  <c r="IN196" i="5" s="1"/>
  <c r="IM243" i="5"/>
  <c r="IN243" i="5" s="1"/>
  <c r="IM256" i="5"/>
  <c r="IN256" i="5" s="1"/>
  <c r="IM259" i="5"/>
  <c r="IM163" i="5"/>
  <c r="IN163" i="5" s="1"/>
  <c r="IM160" i="5"/>
  <c r="IN160" i="5" s="1"/>
  <c r="IM135" i="5"/>
  <c r="IN135" i="5" s="1"/>
  <c r="IM45" i="5"/>
  <c r="IN45" i="5" s="1"/>
  <c r="IM201" i="5"/>
  <c r="IM276" i="5"/>
  <c r="IN276" i="5" s="1"/>
  <c r="IM65" i="5"/>
  <c r="IM339" i="5"/>
  <c r="IN339" i="5" s="1"/>
  <c r="IM254" i="5"/>
  <c r="IM264" i="5"/>
  <c r="IN264" i="5" s="1"/>
  <c r="IM427" i="5"/>
  <c r="IM367" i="5"/>
  <c r="IN367" i="5" s="1"/>
  <c r="IM332" i="5"/>
  <c r="IN332" i="5" s="1"/>
  <c r="IM213" i="5"/>
  <c r="IM186" i="5"/>
  <c r="IM314" i="5"/>
  <c r="IM306" i="5"/>
  <c r="IN306" i="5" s="1"/>
  <c r="IM155" i="5"/>
  <c r="IM148" i="5"/>
  <c r="IM118" i="5"/>
  <c r="IM75" i="5"/>
  <c r="IM145" i="5"/>
  <c r="IM52" i="5"/>
  <c r="IN52" i="5" s="1"/>
  <c r="IM362" i="5"/>
  <c r="IN362" i="5" s="1"/>
  <c r="IM233" i="5"/>
  <c r="IM279" i="5"/>
  <c r="IM93" i="5"/>
  <c r="IM80" i="5"/>
  <c r="IM266" i="5"/>
  <c r="IN266" i="5" s="1"/>
  <c r="IM432" i="5"/>
  <c r="IN432" i="5" s="1"/>
  <c r="IM425" i="5"/>
  <c r="IN425" i="5" s="1"/>
  <c r="IM347" i="5"/>
  <c r="IN347" i="5" s="1"/>
  <c r="IM327" i="5"/>
  <c r="IM216" i="5"/>
  <c r="IM296" i="5"/>
  <c r="IM309" i="5"/>
  <c r="IM294" i="5"/>
  <c r="IM299" i="5"/>
  <c r="IN299" i="5" s="1"/>
  <c r="IM274" i="5"/>
  <c r="IN274" i="5" s="1"/>
  <c r="IM143" i="5"/>
  <c r="IM138" i="5"/>
  <c r="IM60" i="5"/>
  <c r="IM50" i="5"/>
  <c r="IN50" i="5" s="1"/>
  <c r="IM337" i="5"/>
  <c r="IM183" i="5"/>
  <c r="IM77" i="5"/>
  <c r="IM349" i="5"/>
  <c r="IM281" i="5"/>
  <c r="IM226" i="5"/>
  <c r="IN226" i="5" s="1"/>
  <c r="IM211" i="5"/>
  <c r="IM198" i="5"/>
  <c r="IN198" i="5" s="1"/>
  <c r="IM231" i="5"/>
  <c r="IM301" i="5"/>
  <c r="IM269" i="5"/>
  <c r="IM251" i="5"/>
  <c r="IM291" i="5"/>
  <c r="IM165" i="5"/>
  <c r="IN165" i="5" s="1"/>
  <c r="IM123" i="5"/>
  <c r="IM105" i="5"/>
  <c r="IM95" i="5"/>
  <c r="IN95" i="5" s="1"/>
  <c r="IM47" i="5"/>
  <c r="IN47" i="5" s="1"/>
  <c r="IM364" i="5"/>
  <c r="IN364" i="5" s="1"/>
  <c r="IM304" i="5"/>
  <c r="IM321" i="5"/>
  <c r="IN321" i="5" s="1"/>
  <c r="IM70" i="5"/>
  <c r="IN70" i="5" s="1"/>
  <c r="IM178" i="5"/>
  <c r="IN178" i="5" s="1"/>
  <c r="IM311" i="5"/>
  <c r="IN311" i="5" s="1"/>
  <c r="IM193" i="5"/>
  <c r="IM435" i="5"/>
  <c r="IM342" i="5"/>
  <c r="IM206" i="5"/>
  <c r="IM176" i="5"/>
  <c r="IM284" i="5"/>
  <c r="IM286" i="5"/>
  <c r="IM158" i="5"/>
  <c r="IN158" i="5" s="1"/>
  <c r="IM115" i="5"/>
  <c r="IN115" i="5" s="1"/>
  <c r="IM289" i="5"/>
  <c r="IM128" i="5"/>
  <c r="IM103" i="5"/>
  <c r="IM133" i="5"/>
  <c r="IM352" i="5"/>
  <c r="IM249" i="5"/>
  <c r="FO178" i="5"/>
  <c r="FQ178" i="5" s="1"/>
  <c r="FS178" i="5" s="1"/>
  <c r="FO176" i="5"/>
  <c r="FO115" i="5"/>
  <c r="FQ115" i="5" s="1"/>
  <c r="FS115" i="5" s="1"/>
  <c r="FO329" i="5"/>
  <c r="FQ329" i="5" s="1"/>
  <c r="FS329" i="5" s="1"/>
  <c r="FO171" i="5"/>
  <c r="FO213" i="5"/>
  <c r="FQ213" i="5" s="1"/>
  <c r="FS213" i="5" s="1"/>
  <c r="FO238" i="5"/>
  <c r="FQ238" i="5" s="1"/>
  <c r="FS238" i="5" s="1"/>
  <c r="FO301" i="5"/>
  <c r="FQ301" i="5" s="1"/>
  <c r="FS301" i="5" s="1"/>
  <c r="FO155" i="5"/>
  <c r="FQ155" i="5" s="1"/>
  <c r="FS155" i="5" s="1"/>
  <c r="FO135" i="5"/>
  <c r="FQ135" i="5" s="1"/>
  <c r="FS135" i="5" s="1"/>
  <c r="FO100" i="5"/>
  <c r="FQ100" i="5" s="1"/>
  <c r="FS100" i="5" s="1"/>
  <c r="FO87" i="5"/>
  <c r="FQ87" i="5" s="1"/>
  <c r="FS87" i="5" s="1"/>
  <c r="FO118" i="5"/>
  <c r="FO110" i="5"/>
  <c r="FQ110" i="5" s="1"/>
  <c r="FS110" i="5" s="1"/>
  <c r="FO228" i="5"/>
  <c r="FQ228" i="5" s="1"/>
  <c r="FS228" i="5" s="1"/>
  <c r="FO296" i="5"/>
  <c r="FQ296" i="5" s="1"/>
  <c r="FS296" i="5" s="1"/>
  <c r="FO432" i="5"/>
  <c r="FQ432" i="5" s="1"/>
  <c r="FS432" i="5" s="1"/>
  <c r="FO327" i="5"/>
  <c r="FO203" i="5"/>
  <c r="FQ203" i="5" s="1"/>
  <c r="FS203" i="5" s="1"/>
  <c r="FO221" i="5"/>
  <c r="FO211" i="5"/>
  <c r="FO145" i="5"/>
  <c r="FQ145" i="5" s="1"/>
  <c r="FS145" i="5" s="1"/>
  <c r="FO173" i="5"/>
  <c r="FQ173" i="5" s="1"/>
  <c r="FS173" i="5" s="1"/>
  <c r="FO266" i="5"/>
  <c r="FQ266" i="5" s="1"/>
  <c r="FS266" i="5" s="1"/>
  <c r="FO281" i="5"/>
  <c r="FQ281" i="5" s="1"/>
  <c r="FS281" i="5" s="1"/>
  <c r="FO130" i="5"/>
  <c r="FQ130" i="5" s="1"/>
  <c r="FS130" i="5" s="1"/>
  <c r="FO251" i="5"/>
  <c r="FQ251" i="5" s="1"/>
  <c r="FS251" i="5" s="1"/>
  <c r="FO430" i="5"/>
  <c r="FO208" i="5"/>
  <c r="FQ208" i="5" s="1"/>
  <c r="FS208" i="5" s="1"/>
  <c r="FO150" i="5"/>
  <c r="FQ150" i="5" s="1"/>
  <c r="FS150" i="5" s="1"/>
  <c r="FO95" i="5"/>
  <c r="FQ95" i="5" s="1"/>
  <c r="FS95" i="5" s="1"/>
  <c r="FO72" i="5"/>
  <c r="FQ72" i="5" s="1"/>
  <c r="FS72" i="5" s="1"/>
  <c r="FO67" i="5"/>
  <c r="FQ67" i="5" s="1"/>
  <c r="FS67" i="5" s="1"/>
  <c r="FO181" i="5"/>
  <c r="FO223" i="5"/>
  <c r="FQ223" i="5" s="1"/>
  <c r="FS223" i="5" s="1"/>
  <c r="FO108" i="5"/>
  <c r="FO256" i="5"/>
  <c r="FQ256" i="5" s="1"/>
  <c r="FS256" i="5" s="1"/>
  <c r="FO316" i="5"/>
  <c r="FQ316" i="5" s="1"/>
  <c r="FS316" i="5" s="1"/>
  <c r="FO286" i="5"/>
  <c r="FQ286" i="5" s="1"/>
  <c r="FS286" i="5" s="1"/>
  <c r="FO427" i="5"/>
  <c r="FQ427" i="5" s="1"/>
  <c r="FS427" i="5" s="1"/>
  <c r="FO183" i="5"/>
  <c r="FQ183" i="5" s="1"/>
  <c r="FS183" i="5" s="1"/>
  <c r="FO233" i="5"/>
  <c r="FQ233" i="5" s="1"/>
  <c r="FS233" i="5" s="1"/>
  <c r="FO261" i="5"/>
  <c r="FQ261" i="5" s="1"/>
  <c r="FS261" i="5" s="1"/>
  <c r="FO299" i="5"/>
  <c r="FO321" i="5"/>
  <c r="FQ321" i="5" s="1"/>
  <c r="FS321" i="5" s="1"/>
  <c r="FO120" i="5"/>
  <c r="FQ120" i="5" s="1"/>
  <c r="FS120" i="5" s="1"/>
  <c r="FO52" i="5"/>
  <c r="FQ52" i="5" s="1"/>
  <c r="FS52" i="5" s="1"/>
  <c r="FO249" i="5"/>
  <c r="FO47" i="5"/>
  <c r="FQ47" i="5" s="1"/>
  <c r="FO165" i="5"/>
  <c r="FQ165" i="5" s="1"/>
  <c r="FS165" i="5" s="1"/>
  <c r="FO291" i="5"/>
  <c r="FQ291" i="5" s="1"/>
  <c r="FS291" i="5" s="1"/>
  <c r="FO412" i="5"/>
  <c r="FQ412" i="5" s="1"/>
  <c r="FS412" i="5" s="1"/>
  <c r="FO437" i="5"/>
  <c r="FQ437" i="5" s="1"/>
  <c r="FS437" i="5" s="1"/>
  <c r="FO188" i="5"/>
  <c r="FQ188" i="5" s="1"/>
  <c r="FS188" i="5" s="1"/>
  <c r="FO231" i="5"/>
  <c r="FO271" i="5"/>
  <c r="FQ271" i="5" s="1"/>
  <c r="FS271" i="5" s="1"/>
  <c r="FO311" i="5"/>
  <c r="FQ311" i="5" s="1"/>
  <c r="FS311" i="5" s="1"/>
  <c r="FO140" i="5"/>
  <c r="FQ140" i="5" s="1"/>
  <c r="FS140" i="5" s="1"/>
  <c r="FO62" i="5"/>
  <c r="FQ62" i="5" s="1"/>
  <c r="FS62" i="5" s="1"/>
  <c r="FO218" i="5"/>
  <c r="FQ218" i="5" s="1"/>
  <c r="FS218" i="5" s="1"/>
  <c r="FO306" i="5"/>
  <c r="FQ306" i="5" s="1"/>
  <c r="FS306" i="5" s="1"/>
  <c r="FO160" i="5"/>
  <c r="FQ160" i="5" s="1"/>
  <c r="FS160" i="5" s="1"/>
  <c r="FO105" i="5"/>
  <c r="FQ105" i="5" s="1"/>
  <c r="FS105" i="5" s="1"/>
  <c r="FO243" i="5"/>
  <c r="FQ243" i="5" s="1"/>
  <c r="FS243" i="5" s="1"/>
  <c r="FO193" i="5"/>
  <c r="FQ193" i="5" s="1"/>
  <c r="FS193" i="5" s="1"/>
  <c r="FO198" i="5"/>
  <c r="FQ198" i="5" s="1"/>
  <c r="FS198" i="5" s="1"/>
  <c r="FO55" i="5"/>
  <c r="FO57" i="5"/>
  <c r="FQ57" i="5" s="1"/>
  <c r="FS57" i="5" s="1"/>
  <c r="FO113" i="5"/>
  <c r="FO125" i="5"/>
  <c r="FQ125" i="5" s="1"/>
  <c r="FS125" i="5" s="1"/>
  <c r="FO98" i="5"/>
  <c r="FO294" i="5"/>
  <c r="FO206" i="5"/>
  <c r="FO158" i="5"/>
  <c r="FO45" i="5"/>
  <c r="FO279" i="5"/>
  <c r="FO123" i="5"/>
  <c r="FO186" i="5"/>
  <c r="FO93" i="5"/>
  <c r="FO153" i="5"/>
  <c r="FO264" i="5"/>
  <c r="FO143" i="5"/>
  <c r="FO196" i="5"/>
  <c r="FO319" i="5"/>
  <c r="FO103" i="5"/>
  <c r="FO60" i="5"/>
  <c r="FO425" i="5"/>
  <c r="FO284" i="5"/>
  <c r="FO65" i="5"/>
  <c r="FO435" i="5"/>
  <c r="FO241" i="5"/>
  <c r="FO314" i="5"/>
  <c r="FO259" i="5"/>
  <c r="FO163" i="5"/>
  <c r="FO128" i="5"/>
  <c r="FO138" i="5"/>
  <c r="FO201" i="5"/>
  <c r="FO289" i="5"/>
  <c r="FO148" i="5"/>
  <c r="FO216" i="5"/>
  <c r="FO133" i="5"/>
  <c r="FO50" i="5"/>
  <c r="FO304" i="5"/>
  <c r="FO85" i="5"/>
  <c r="FO269" i="5"/>
  <c r="FO191" i="5"/>
  <c r="FO226" i="5"/>
  <c r="FO70" i="5"/>
  <c r="FO309" i="5"/>
  <c r="FO410" i="5"/>
  <c r="FO254" i="5"/>
  <c r="FO236" i="5"/>
  <c r="BP32" i="22"/>
  <c r="A222" i="19"/>
  <c r="A223" i="19" s="1"/>
  <c r="A224" i="19" s="1"/>
  <c r="A225" i="19" s="1"/>
  <c r="A226" i="19" s="1"/>
  <c r="A227" i="19" s="1"/>
  <c r="A228" i="19" s="1"/>
  <c r="A229" i="19" s="1"/>
  <c r="A230" i="19" s="1"/>
  <c r="A231" i="19" s="1"/>
  <c r="A232" i="19" s="1"/>
  <c r="A233" i="19" s="1"/>
  <c r="A234" i="19" s="1"/>
  <c r="A235" i="19" s="1"/>
  <c r="A236" i="19" s="1"/>
  <c r="CX30" i="8"/>
  <c r="CX31" i="8"/>
  <c r="CX32" i="8"/>
  <c r="CX33" i="8"/>
  <c r="CX34" i="8"/>
  <c r="CX35" i="8"/>
  <c r="CX36" i="8"/>
  <c r="CX37" i="8"/>
  <c r="CX38" i="8"/>
  <c r="CX39" i="8"/>
  <c r="CX40" i="8"/>
  <c r="CX41" i="8"/>
  <c r="CX42" i="8"/>
  <c r="CX43" i="8"/>
  <c r="CX44" i="8"/>
  <c r="CX45" i="8"/>
  <c r="CX46" i="8"/>
  <c r="CX47" i="8"/>
  <c r="CX48" i="8"/>
  <c r="CX49" i="8"/>
  <c r="CX50" i="8"/>
  <c r="CX51" i="8"/>
  <c r="CX52" i="8"/>
  <c r="CX53" i="8"/>
  <c r="CX54" i="8"/>
  <c r="CX55" i="8"/>
  <c r="CX56" i="8"/>
  <c r="CX57" i="8"/>
  <c r="CX58" i="8"/>
  <c r="CX59" i="8"/>
  <c r="CX60" i="8"/>
  <c r="CX61" i="8"/>
  <c r="CX62" i="8"/>
  <c r="CX63" i="8"/>
  <c r="CX64" i="8"/>
  <c r="CX65" i="8"/>
  <c r="CX66" i="8"/>
  <c r="CX67" i="8"/>
  <c r="CX68" i="8"/>
  <c r="CX69" i="8"/>
  <c r="CX70" i="8"/>
  <c r="CX71" i="8"/>
  <c r="CX72" i="8"/>
  <c r="CX73" i="8"/>
  <c r="CX74" i="8"/>
  <c r="CX75" i="8"/>
  <c r="CX76" i="8"/>
  <c r="CX27" i="8"/>
  <c r="CX28" i="8"/>
  <c r="CX29" i="8"/>
  <c r="IN176" i="5" l="1"/>
  <c r="IO176" i="5"/>
  <c r="IN130" i="5"/>
  <c r="IO130" i="5"/>
  <c r="IO321" i="5"/>
  <c r="IO82" i="5"/>
  <c r="IO103" i="5"/>
  <c r="IN103" i="5"/>
  <c r="IN206" i="5"/>
  <c r="IO206" i="5"/>
  <c r="IO304" i="5"/>
  <c r="IN304" i="5"/>
  <c r="IN251" i="5"/>
  <c r="IO251" i="5"/>
  <c r="IO349" i="5"/>
  <c r="DF349" i="5" s="1"/>
  <c r="IN349" i="5"/>
  <c r="IN186" i="5"/>
  <c r="IO186" i="5"/>
  <c r="IO65" i="5"/>
  <c r="IN65" i="5"/>
  <c r="IN218" i="5"/>
  <c r="IO218" i="5"/>
  <c r="IN359" i="5"/>
  <c r="IO359" i="5"/>
  <c r="IN271" i="5"/>
  <c r="IO271" i="5"/>
  <c r="IO95" i="5"/>
  <c r="IO369" i="5"/>
  <c r="IO160" i="5"/>
  <c r="IO425" i="5"/>
  <c r="IO256" i="5"/>
  <c r="IO52" i="5"/>
  <c r="IO354" i="5"/>
  <c r="IO87" i="5"/>
  <c r="IN143" i="5"/>
  <c r="IO143" i="5"/>
  <c r="IN261" i="5"/>
  <c r="IO261" i="5"/>
  <c r="IO77" i="5"/>
  <c r="IN77" i="5"/>
  <c r="IN213" i="5"/>
  <c r="IO213" i="5"/>
  <c r="IN410" i="5"/>
  <c r="IO410" i="5"/>
  <c r="IN329" i="5"/>
  <c r="IO329" i="5"/>
  <c r="IO347" i="5"/>
  <c r="IO289" i="5"/>
  <c r="IN289" i="5"/>
  <c r="IN435" i="5"/>
  <c r="IO435" i="5"/>
  <c r="IN301" i="5"/>
  <c r="IO301" i="5"/>
  <c r="IO183" i="5"/>
  <c r="IN183" i="5"/>
  <c r="IN294" i="5"/>
  <c r="IO294" i="5"/>
  <c r="IN75" i="5"/>
  <c r="IO75" i="5"/>
  <c r="IN201" i="5"/>
  <c r="IO201" i="5"/>
  <c r="IN181" i="5"/>
  <c r="IO181" i="5"/>
  <c r="IN357" i="5"/>
  <c r="IO357" i="5"/>
  <c r="IO72" i="5"/>
  <c r="IN72" i="5"/>
  <c r="IO334" i="5"/>
  <c r="IO173" i="5"/>
  <c r="IO196" i="5"/>
  <c r="IO243" i="5"/>
  <c r="IO367" i="5"/>
  <c r="IO432" i="5"/>
  <c r="IO100" i="5"/>
  <c r="IO412" i="5"/>
  <c r="IO364" i="5"/>
  <c r="IN291" i="5"/>
  <c r="IO291" i="5"/>
  <c r="IN314" i="5"/>
  <c r="IO314" i="5"/>
  <c r="IN319" i="5"/>
  <c r="IO319" i="5"/>
  <c r="IN128" i="5"/>
  <c r="IO128" i="5"/>
  <c r="IO269" i="5"/>
  <c r="IN269" i="5"/>
  <c r="IN145" i="5"/>
  <c r="IO145" i="5"/>
  <c r="IN236" i="5"/>
  <c r="IO236" i="5"/>
  <c r="IO193" i="5"/>
  <c r="IN193" i="5"/>
  <c r="IO231" i="5"/>
  <c r="IN231" i="5"/>
  <c r="IO337" i="5"/>
  <c r="IN337" i="5"/>
  <c r="IN309" i="5"/>
  <c r="IO309" i="5"/>
  <c r="IN80" i="5"/>
  <c r="IO80" i="5"/>
  <c r="IO118" i="5"/>
  <c r="IN118" i="5"/>
  <c r="IO228" i="5"/>
  <c r="IN228" i="5"/>
  <c r="IO339" i="5"/>
  <c r="IO135" i="5"/>
  <c r="IO226" i="5"/>
  <c r="IO85" i="5"/>
  <c r="IO110" i="5"/>
  <c r="IO191" i="5"/>
  <c r="IO178" i="5"/>
  <c r="IN105" i="5"/>
  <c r="IO105" i="5"/>
  <c r="IO296" i="5"/>
  <c r="IN296" i="5"/>
  <c r="IN93" i="5"/>
  <c r="IO93" i="5"/>
  <c r="IO148" i="5"/>
  <c r="IN148" i="5"/>
  <c r="IO427" i="5"/>
  <c r="IN427" i="5"/>
  <c r="IN221" i="5"/>
  <c r="IO221" i="5"/>
  <c r="IO108" i="5"/>
  <c r="IN108" i="5"/>
  <c r="IO430" i="5"/>
  <c r="IN430" i="5"/>
  <c r="IO165" i="5"/>
  <c r="IO276" i="5"/>
  <c r="IO45" i="5"/>
  <c r="IO437" i="5"/>
  <c r="IO274" i="5"/>
  <c r="IO223" i="5"/>
  <c r="IN133" i="5"/>
  <c r="IO133" i="5"/>
  <c r="IN281" i="5"/>
  <c r="IO281" i="5"/>
  <c r="IN57" i="5"/>
  <c r="IO57" i="5"/>
  <c r="IO62" i="5"/>
  <c r="IN62" i="5"/>
  <c r="IO249" i="5"/>
  <c r="IN249" i="5"/>
  <c r="IO286" i="5"/>
  <c r="IN286" i="5"/>
  <c r="IN123" i="5"/>
  <c r="IO123" i="5"/>
  <c r="IN211" i="5"/>
  <c r="IO211" i="5"/>
  <c r="IO60" i="5"/>
  <c r="IN60" i="5"/>
  <c r="IO216" i="5"/>
  <c r="IN216" i="5"/>
  <c r="IN279" i="5"/>
  <c r="IO279" i="5"/>
  <c r="IN155" i="5"/>
  <c r="IO155" i="5"/>
  <c r="IN241" i="5"/>
  <c r="IO241" i="5"/>
  <c r="IO344" i="5"/>
  <c r="IN344" i="5"/>
  <c r="IN140" i="5"/>
  <c r="IO140" i="5"/>
  <c r="IN188" i="5"/>
  <c r="IO188" i="5"/>
  <c r="IN55" i="5"/>
  <c r="IO55" i="5"/>
  <c r="IO47" i="5"/>
  <c r="DF47" i="5" s="1"/>
  <c r="IO208" i="5"/>
  <c r="IO50" i="5"/>
  <c r="IO299" i="5"/>
  <c r="IO238" i="5"/>
  <c r="IO259" i="5"/>
  <c r="IN259" i="5"/>
  <c r="IO120" i="5"/>
  <c r="IN120" i="5"/>
  <c r="IO342" i="5"/>
  <c r="IN342" i="5"/>
  <c r="IO171" i="5"/>
  <c r="IN171" i="5"/>
  <c r="IO352" i="5"/>
  <c r="IN352" i="5"/>
  <c r="IN284" i="5"/>
  <c r="IO284" i="5"/>
  <c r="IO138" i="5"/>
  <c r="IN138" i="5"/>
  <c r="IN327" i="5"/>
  <c r="IO327" i="5"/>
  <c r="IO233" i="5"/>
  <c r="IN233" i="5"/>
  <c r="IO254" i="5"/>
  <c r="IN254" i="5"/>
  <c r="IO67" i="5"/>
  <c r="IN67" i="5"/>
  <c r="IN316" i="5"/>
  <c r="IO316" i="5"/>
  <c r="IN125" i="5"/>
  <c r="IO125" i="5"/>
  <c r="IN98" i="5"/>
  <c r="IO98" i="5"/>
  <c r="IO158" i="5"/>
  <c r="IO115" i="5"/>
  <c r="IO362" i="5"/>
  <c r="IO153" i="5"/>
  <c r="IO264" i="5"/>
  <c r="IO150" i="5"/>
  <c r="BP33" i="22"/>
  <c r="A237" i="19"/>
  <c r="A238" i="19" s="1"/>
  <c r="A239" i="19" s="1"/>
  <c r="A240" i="19" s="1"/>
  <c r="A241" i="19" s="1"/>
  <c r="A242" i="19" s="1"/>
  <c r="A243" i="19" s="1"/>
  <c r="A244" i="19" s="1"/>
  <c r="A245" i="19" s="1"/>
  <c r="A246" i="19" s="1"/>
  <c r="A247" i="19" s="1"/>
  <c r="A248" i="19" s="1"/>
  <c r="A249" i="19" s="1"/>
  <c r="A250" i="19" s="1"/>
  <c r="A251" i="19" s="1"/>
  <c r="HO41" i="5"/>
  <c r="I10" i="19"/>
  <c r="B10" i="19"/>
  <c r="AS12" i="19"/>
  <c r="AK10" i="19"/>
  <c r="AL10" i="19"/>
  <c r="AM12" i="19"/>
  <c r="M10" i="19"/>
  <c r="AG10" i="19"/>
  <c r="F10" i="19"/>
  <c r="AO12" i="19"/>
  <c r="P10" i="19"/>
  <c r="K10" i="19"/>
  <c r="AV10" i="19"/>
  <c r="AJ10" i="19"/>
  <c r="J10" i="19"/>
  <c r="AH10" i="19"/>
  <c r="AQ12" i="19"/>
  <c r="E10" i="19"/>
  <c r="AN12" i="19"/>
  <c r="O10" i="19"/>
  <c r="L10" i="19"/>
  <c r="AW10" i="19"/>
  <c r="AX10" i="19"/>
  <c r="AT12" i="19"/>
  <c r="H10" i="19"/>
  <c r="AP12" i="19"/>
  <c r="AN13" i="19"/>
  <c r="AE10" i="19"/>
  <c r="N10" i="19"/>
  <c r="G10" i="19"/>
  <c r="AR12" i="19"/>
  <c r="AI10" i="19"/>
  <c r="A11" i="19"/>
  <c r="AU12" i="19"/>
  <c r="AF10" i="19"/>
  <c r="C10" i="19"/>
  <c r="V10" i="19"/>
  <c r="J383" i="21" l="1"/>
  <c r="J212" i="21" s="1"/>
  <c r="AJ47" i="5"/>
  <c r="FR47" i="5"/>
  <c r="FS47" i="5" s="1"/>
  <c r="J383" i="20"/>
  <c r="J212" i="20" s="1"/>
  <c r="AJ349" i="5"/>
  <c r="FR349" i="5"/>
  <c r="FS349" i="5" s="1"/>
  <c r="AR5" i="19"/>
  <c r="AR4" i="19"/>
  <c r="BP34" i="22"/>
  <c r="A252" i="19"/>
  <c r="A253" i="19" s="1"/>
  <c r="A254" i="19" s="1"/>
  <c r="A255" i="19" s="1"/>
  <c r="A256" i="19" s="1"/>
  <c r="A257" i="19" s="1"/>
  <c r="A258" i="19" s="1"/>
  <c r="A259" i="19" s="1"/>
  <c r="A260" i="19" s="1"/>
  <c r="A261" i="19" s="1"/>
  <c r="A262" i="19" s="1"/>
  <c r="A263" i="19" s="1"/>
  <c r="A264" i="19" s="1"/>
  <c r="A265" i="19" s="1"/>
  <c r="A266" i="19" s="1"/>
  <c r="BX8" i="19"/>
  <c r="BQ4" i="19"/>
  <c r="U565" i="21" s="1"/>
  <c r="U445" i="21" s="1"/>
  <c r="S5" i="19"/>
  <c r="J407" i="21" s="1"/>
  <c r="J158" i="21" s="1"/>
  <c r="S4" i="19"/>
  <c r="R5" i="19"/>
  <c r="U405" i="21" s="1"/>
  <c r="U156" i="21" s="1"/>
  <c r="R4" i="19"/>
  <c r="G5" i="19"/>
  <c r="U393" i="21" s="1"/>
  <c r="U144" i="21" s="1"/>
  <c r="G4" i="19"/>
  <c r="ES40" i="5"/>
  <c r="T10" i="19"/>
  <c r="R10" i="19"/>
  <c r="S10" i="19"/>
  <c r="Q10" i="19"/>
  <c r="J531" i="21" l="1"/>
  <c r="J359" i="21" s="1"/>
  <c r="U184" i="21" s="1"/>
  <c r="J280" i="21"/>
  <c r="J280" i="20"/>
  <c r="J531" i="20"/>
  <c r="J359" i="20" s="1"/>
  <c r="U184" i="20" s="1"/>
  <c r="J407" i="20"/>
  <c r="J158" i="20" s="1"/>
  <c r="U405" i="20"/>
  <c r="U156" i="20" s="1"/>
  <c r="U393" i="20"/>
  <c r="U144" i="20" s="1"/>
  <c r="U565" i="20"/>
  <c r="U445" i="20" s="1"/>
  <c r="BP35" i="22"/>
  <c r="K5" i="19"/>
  <c r="J399" i="21" s="1"/>
  <c r="J150" i="21" s="1"/>
  <c r="K4" i="19"/>
  <c r="L5" i="19"/>
  <c r="U399" i="21" s="1"/>
  <c r="U150" i="21" s="1"/>
  <c r="L4" i="19"/>
  <c r="J5" i="19"/>
  <c r="U397" i="21" s="1"/>
  <c r="U148" i="21" s="1"/>
  <c r="J4" i="19"/>
  <c r="H5" i="19"/>
  <c r="U395" i="21" s="1"/>
  <c r="U146" i="21" s="1"/>
  <c r="H4" i="19"/>
  <c r="EV63" i="8"/>
  <c r="EV64" i="8"/>
  <c r="EV65" i="8"/>
  <c r="EV66" i="8"/>
  <c r="EV67" i="8"/>
  <c r="EV68" i="8"/>
  <c r="EV69" i="8"/>
  <c r="EV70" i="8"/>
  <c r="EV71" i="8"/>
  <c r="EV72" i="8"/>
  <c r="EV73" i="8"/>
  <c r="EV74" i="8"/>
  <c r="U399" i="20" l="1"/>
  <c r="U150" i="20" s="1"/>
  <c r="J399" i="20"/>
  <c r="J150" i="20" s="1"/>
  <c r="U397" i="20"/>
  <c r="U148" i="20" s="1"/>
  <c r="U395" i="20"/>
  <c r="U146" i="20" s="1"/>
  <c r="BP36" i="22"/>
  <c r="ES716" i="5"/>
  <c r="EQ2" i="5" s="1"/>
  <c r="ES560" i="5"/>
  <c r="EO2" i="5" s="1"/>
  <c r="ES482" i="5"/>
  <c r="EN2" i="5" s="1"/>
  <c r="BP37" i="22" l="1"/>
  <c r="ES638" i="5"/>
  <c r="EP2" i="5" s="1"/>
  <c r="BF868" i="5"/>
  <c r="BG868" i="5" s="1"/>
  <c r="BH868" i="5" s="1"/>
  <c r="BI868" i="5" s="1"/>
  <c r="BJ868" i="5" s="1"/>
  <c r="BK868" i="5" s="1"/>
  <c r="BL868" i="5" s="1"/>
  <c r="BM868" i="5" s="1"/>
  <c r="BN868" i="5" s="1"/>
  <c r="BO868" i="5" s="1"/>
  <c r="BP868" i="5" s="1"/>
  <c r="BQ868" i="5" s="1"/>
  <c r="BR868" i="5" s="1"/>
  <c r="BS868" i="5" s="1"/>
  <c r="BT868" i="5" s="1"/>
  <c r="BU868" i="5" s="1"/>
  <c r="BV868" i="5" s="1"/>
  <c r="BW868" i="5" s="1"/>
  <c r="BX868" i="5" s="1"/>
  <c r="BY868" i="5" s="1"/>
  <c r="BZ868" i="5" s="1"/>
  <c r="CA868" i="5" s="1"/>
  <c r="CB868" i="5" s="1"/>
  <c r="CC868" i="5" s="1"/>
  <c r="CD868" i="5" s="1"/>
  <c r="CE868" i="5" s="1"/>
  <c r="CF868" i="5" s="1"/>
  <c r="CG868" i="5" s="1"/>
  <c r="CH868" i="5"/>
  <c r="BC896" i="5"/>
  <c r="BC897" i="5"/>
  <c r="BC898" i="5"/>
  <c r="BC899" i="5"/>
  <c r="BC900" i="5"/>
  <c r="BC901" i="5"/>
  <c r="BC877" i="5"/>
  <c r="BC878" i="5"/>
  <c r="BC879" i="5"/>
  <c r="BC880" i="5"/>
  <c r="BC881" i="5"/>
  <c r="BB876" i="5"/>
  <c r="BP38" i="22" l="1"/>
  <c r="BR24" i="22" s="1"/>
  <c r="C170" i="5"/>
  <c r="C248" i="5" s="1"/>
  <c r="C326" i="5" l="1"/>
  <c r="C404" i="5" s="1"/>
  <c r="C482" i="5" s="1"/>
  <c r="C560" i="5" s="1"/>
  <c r="C638" i="5" s="1"/>
  <c r="C716" i="5" s="1"/>
  <c r="BR25" i="22"/>
  <c r="ES170" i="5"/>
  <c r="EJ2" i="5" s="1"/>
  <c r="ES404" i="5"/>
  <c r="EM2" i="5" s="1"/>
  <c r="EL2" i="5"/>
  <c r="ES248" i="5"/>
  <c r="EK2" i="5" s="1"/>
  <c r="ES92" i="5"/>
  <c r="EI2" i="5" s="1"/>
  <c r="BR26" i="22" l="1"/>
  <c r="Z28" i="10"/>
  <c r="BR27" i="22" l="1"/>
  <c r="AD59" i="11"/>
  <c r="P36" i="22"/>
  <c r="R35" i="22"/>
  <c r="P24" i="22"/>
  <c r="D35" i="22"/>
  <c r="D27" i="22"/>
  <c r="D24" i="22"/>
  <c r="AC20" i="19"/>
  <c r="BR28" i="22" l="1"/>
  <c r="EY32" i="8"/>
  <c r="EY33" i="8"/>
  <c r="EY34" i="8"/>
  <c r="EY35" i="8"/>
  <c r="EY36" i="8"/>
  <c r="EY37" i="8"/>
  <c r="EY38" i="8"/>
  <c r="EY39" i="8"/>
  <c r="EY40" i="8"/>
  <c r="EY41" i="8"/>
  <c r="EY42" i="8"/>
  <c r="EY43" i="8"/>
  <c r="EY44" i="8"/>
  <c r="EY45" i="8"/>
  <c r="EY46" i="8"/>
  <c r="EY47" i="8"/>
  <c r="EY48" i="8"/>
  <c r="EY49" i="8"/>
  <c r="EY50" i="8"/>
  <c r="EY51" i="8"/>
  <c r="EY52" i="8"/>
  <c r="EY53" i="8"/>
  <c r="EY54" i="8"/>
  <c r="EY55" i="8"/>
  <c r="EY56" i="8"/>
  <c r="EY57" i="8"/>
  <c r="EY58" i="8"/>
  <c r="EY59" i="8"/>
  <c r="EY60" i="8"/>
  <c r="EY61" i="8"/>
  <c r="EY62" i="8"/>
  <c r="EY63" i="8"/>
  <c r="EY64" i="8"/>
  <c r="EY65" i="8"/>
  <c r="EY66" i="8"/>
  <c r="EY67" i="8"/>
  <c r="EY68" i="8"/>
  <c r="EY69" i="8"/>
  <c r="EY70" i="8"/>
  <c r="EY71" i="8"/>
  <c r="EY72" i="8"/>
  <c r="EY73" i="8"/>
  <c r="EY74" i="8"/>
  <c r="EY75" i="8"/>
  <c r="EY76" i="8"/>
  <c r="EY30" i="8"/>
  <c r="EY31" i="8"/>
  <c r="EY29" i="8"/>
  <c r="EY28" i="8"/>
  <c r="EY27" i="8"/>
  <c r="BR29" i="22" l="1"/>
  <c r="C20" i="15"/>
  <c r="O59" i="11"/>
  <c r="AC19" i="19"/>
  <c r="E61" i="11" l="1"/>
  <c r="BR30" i="22"/>
  <c r="AZ50" i="4"/>
  <c r="AZ49" i="4"/>
  <c r="AY49" i="4" s="1"/>
  <c r="BR31" i="22" l="1"/>
  <c r="EZ40" i="5"/>
  <c r="AZ36" i="4"/>
  <c r="AT33" i="5"/>
  <c r="FK42" i="5"/>
  <c r="CP40" i="5"/>
  <c r="BR32" i="22" l="1"/>
  <c r="C25" i="8"/>
  <c r="ET63" i="8"/>
  <c r="BR179" i="8" s="1"/>
  <c r="ET64" i="8"/>
  <c r="BR180" i="8" s="1"/>
  <c r="ET65" i="8"/>
  <c r="BR181" i="8" s="1"/>
  <c r="ET66" i="8"/>
  <c r="BR182" i="8" s="1"/>
  <c r="ET67" i="8"/>
  <c r="BR183" i="8" s="1"/>
  <c r="ET68" i="8"/>
  <c r="BR184" i="8" s="1"/>
  <c r="ET69" i="8"/>
  <c r="BR185" i="8" s="1"/>
  <c r="ET70" i="8"/>
  <c r="BR186" i="8" s="1"/>
  <c r="ET71" i="8"/>
  <c r="BR187" i="8" s="1"/>
  <c r="ET72" i="8"/>
  <c r="BR188" i="8" s="1"/>
  <c r="ET73" i="8"/>
  <c r="BR189" i="8" s="1"/>
  <c r="ET74" i="8"/>
  <c r="BR190" i="8" s="1"/>
  <c r="BR33" i="22" l="1"/>
  <c r="DN135" i="8"/>
  <c r="DR135" i="8"/>
  <c r="DN134" i="8"/>
  <c r="DR134" i="8"/>
  <c r="DN132" i="8"/>
  <c r="DR132" i="8"/>
  <c r="DN131" i="8"/>
  <c r="DR131" i="8"/>
  <c r="DN138" i="8"/>
  <c r="DR138" i="8"/>
  <c r="DN136" i="8"/>
  <c r="DR136" i="8"/>
  <c r="DN133" i="8"/>
  <c r="DR133" i="8"/>
  <c r="DN140" i="8"/>
  <c r="DR140" i="8"/>
  <c r="DN139" i="8"/>
  <c r="DR139" i="8"/>
  <c r="DN130" i="8"/>
  <c r="DR130" i="8"/>
  <c r="DN137" i="8"/>
  <c r="DR137" i="8"/>
  <c r="DN129" i="8"/>
  <c r="DR129" i="8"/>
  <c r="BR34" i="22" l="1"/>
  <c r="AC59" i="11"/>
  <c r="R61" i="11"/>
  <c r="BR35" i="22" l="1"/>
  <c r="FK20" i="8"/>
  <c r="BR36" i="22" l="1"/>
  <c r="GE42" i="5"/>
  <c r="EW42" i="5"/>
  <c r="DE42" i="5"/>
  <c r="A42" i="5"/>
  <c r="HT41" i="5"/>
  <c r="HT43" i="5" s="1"/>
  <c r="HO43" i="5"/>
  <c r="HN41" i="5"/>
  <c r="HN43" i="5" s="1"/>
  <c r="HA40" i="5"/>
  <c r="GZ40" i="5"/>
  <c r="GV40" i="5"/>
  <c r="GU40" i="5"/>
  <c r="GP40" i="5"/>
  <c r="GO40" i="5"/>
  <c r="GN40" i="5"/>
  <c r="GL40" i="5"/>
  <c r="GL41" i="5" s="1"/>
  <c r="GE40" i="5"/>
  <c r="ES38" i="5"/>
  <c r="EH2" i="5" s="1"/>
  <c r="EG2" i="5" s="1" a="1"/>
  <c r="EG2" i="5" s="1"/>
  <c r="CN40" i="5"/>
  <c r="IE8" i="5" l="1"/>
  <c r="IE6" i="5"/>
  <c r="BR37" i="22"/>
  <c r="GL43" i="5"/>
  <c r="CM40" i="5"/>
  <c r="FI42" i="5"/>
  <c r="FJ42" i="5" s="1"/>
  <c r="FP42" i="5" s="1"/>
  <c r="FI40" i="5"/>
  <c r="FJ40" i="5" s="1"/>
  <c r="HL41" i="5" s="1"/>
  <c r="GR40" i="5"/>
  <c r="FB42" i="5"/>
  <c r="CO40" i="5"/>
  <c r="GK40" i="5"/>
  <c r="CO42" i="5"/>
  <c r="M9" i="9"/>
  <c r="L9" i="9" s="1"/>
  <c r="M23" i="9"/>
  <c r="L23" i="9" s="1"/>
  <c r="M32" i="9"/>
  <c r="L32" i="9" s="1"/>
  <c r="M20" i="9"/>
  <c r="L20" i="9" s="1"/>
  <c r="M7" i="9"/>
  <c r="L31" i="9"/>
  <c r="L30" i="9"/>
  <c r="L29" i="9"/>
  <c r="L28" i="9"/>
  <c r="L27" i="9"/>
  <c r="L26" i="9"/>
  <c r="L25" i="9"/>
  <c r="L24" i="9"/>
  <c r="L22" i="9"/>
  <c r="L21" i="9"/>
  <c r="L19" i="9"/>
  <c r="L18" i="9"/>
  <c r="L17" i="9"/>
  <c r="L16" i="9"/>
  <c r="L15" i="9"/>
  <c r="L14" i="9"/>
  <c r="L13" i="9"/>
  <c r="L11" i="9"/>
  <c r="L10" i="9"/>
  <c r="L8" i="9"/>
  <c r="L5" i="9"/>
  <c r="L6" i="9"/>
  <c r="K7" i="9"/>
  <c r="BR38" i="22" l="1"/>
  <c r="IL40" i="5"/>
  <c r="IP40" i="5" s="1"/>
  <c r="HL43" i="5"/>
  <c r="FP40" i="5"/>
  <c r="L7" i="9"/>
  <c r="BT24" i="22" l="1"/>
  <c r="IK40" i="5"/>
  <c r="IM24" i="5"/>
  <c r="IM40" i="5"/>
  <c r="AZ31" i="4"/>
  <c r="AY31" i="4" s="1"/>
  <c r="AZ32" i="4"/>
  <c r="AY32" i="4" s="1"/>
  <c r="AZ29" i="4"/>
  <c r="BT25" i="22" l="1"/>
  <c r="IO40" i="5"/>
  <c r="IN40" i="5"/>
  <c r="AZ40" i="4"/>
  <c r="AY40" i="4" s="1"/>
  <c r="BT26" i="22" l="1"/>
  <c r="AZ34" i="4"/>
  <c r="AY34" i="4" s="1"/>
  <c r="AZ33" i="4"/>
  <c r="BT27" i="22" l="1"/>
  <c r="E146" i="25"/>
  <c r="E143" i="25"/>
  <c r="E140" i="25"/>
  <c r="BT28" i="22" l="1"/>
  <c r="AZ39" i="4"/>
  <c r="AY39" i="4" s="1"/>
  <c r="BT29" i="22" l="1"/>
  <c r="BT30" i="22" l="1"/>
  <c r="BT31" i="22" l="1"/>
  <c r="BT32" i="22" l="1"/>
  <c r="AZ38" i="4"/>
  <c r="O38" i="11"/>
  <c r="BT33" i="22" l="1"/>
  <c r="AY38" i="4"/>
  <c r="AZ30" i="4"/>
  <c r="AY30" i="4" s="1"/>
  <c r="AZ37" i="4"/>
  <c r="AY37" i="4" s="1"/>
  <c r="BT34" i="22" l="1"/>
  <c r="H6" i="9"/>
  <c r="H7" i="9"/>
  <c r="H8" i="9"/>
  <c r="H9" i="9"/>
  <c r="H10" i="9"/>
  <c r="H11" i="9"/>
  <c r="H12" i="9"/>
  <c r="H13" i="9"/>
  <c r="H14" i="9"/>
  <c r="H15" i="9"/>
  <c r="H16" i="9"/>
  <c r="H17" i="9"/>
  <c r="H18" i="9"/>
  <c r="H19" i="9"/>
  <c r="H20" i="9"/>
  <c r="H21" i="9"/>
  <c r="H22" i="9"/>
  <c r="H23" i="9"/>
  <c r="H24" i="9"/>
  <c r="H25" i="9"/>
  <c r="H26" i="9"/>
  <c r="H27" i="9"/>
  <c r="H28" i="9"/>
  <c r="H29" i="9"/>
  <c r="H30" i="9"/>
  <c r="H31" i="9"/>
  <c r="H32" i="9"/>
  <c r="H5" i="9"/>
  <c r="BT35" i="22" l="1"/>
  <c r="AZ28" i="4"/>
  <c r="AY28" i="4" s="1"/>
  <c r="AY36" i="4"/>
  <c r="BT36" i="22" l="1"/>
  <c r="HW4" i="5"/>
  <c r="HW2" i="5" s="1"/>
  <c r="C121" i="19" s="1"/>
  <c r="BT37" i="22" l="1"/>
  <c r="GK37" i="5"/>
  <c r="BT38" i="22" l="1"/>
  <c r="F1" i="10"/>
  <c r="BV24" i="22" l="1"/>
  <c r="Z23" i="10"/>
  <c r="Z18" i="10"/>
  <c r="Z13" i="10"/>
  <c r="E13" i="10"/>
  <c r="E23" i="10" s="1"/>
  <c r="E18" i="10"/>
  <c r="E28" i="10" s="1"/>
  <c r="BZ5" i="4"/>
  <c r="BH5" i="4" s="1"/>
  <c r="BZ6" i="4"/>
  <c r="BH6" i="4" s="1"/>
  <c r="BZ7" i="4"/>
  <c r="BH7" i="4" s="1"/>
  <c r="BZ8" i="4"/>
  <c r="BH8" i="4" s="1"/>
  <c r="BZ9" i="4"/>
  <c r="BH9" i="4" s="1"/>
  <c r="BZ10" i="4"/>
  <c r="BH10" i="4" s="1"/>
  <c r="BZ11" i="4"/>
  <c r="BH11" i="4" s="1"/>
  <c r="BZ12" i="4"/>
  <c r="BH12" i="4" s="1"/>
  <c r="BZ13" i="4"/>
  <c r="BH13" i="4" s="1"/>
  <c r="BZ14" i="4"/>
  <c r="BH14" i="4" s="1"/>
  <c r="BZ15" i="4"/>
  <c r="BH15" i="4" s="1"/>
  <c r="BZ16" i="4"/>
  <c r="BH16" i="4" s="1"/>
  <c r="BZ17" i="4"/>
  <c r="BH17" i="4" s="1"/>
  <c r="BZ18" i="4"/>
  <c r="BH18" i="4" s="1"/>
  <c r="BZ19" i="4"/>
  <c r="BH19" i="4" s="1"/>
  <c r="BZ20" i="4"/>
  <c r="BH20" i="4" s="1"/>
  <c r="BZ21" i="4"/>
  <c r="BH21" i="4" s="1"/>
  <c r="BZ22" i="4"/>
  <c r="BH22" i="4" s="1"/>
  <c r="BZ23" i="4"/>
  <c r="BH23" i="4" s="1"/>
  <c r="BZ24" i="4"/>
  <c r="BH24" i="4" s="1"/>
  <c r="BZ25" i="4"/>
  <c r="BH25" i="4" s="1"/>
  <c r="BZ26" i="4"/>
  <c r="BH26" i="4" s="1"/>
  <c r="BZ27" i="4"/>
  <c r="BH27" i="4" s="1"/>
  <c r="BZ28" i="4"/>
  <c r="BH28" i="4" s="1"/>
  <c r="BZ29" i="4"/>
  <c r="BH29" i="4" s="1"/>
  <c r="BZ30" i="4"/>
  <c r="BH30" i="4" s="1"/>
  <c r="BZ31" i="4"/>
  <c r="BH31" i="4" s="1"/>
  <c r="BZ32" i="4"/>
  <c r="BH32" i="4" s="1"/>
  <c r="BZ33" i="4"/>
  <c r="BH33" i="4" s="1"/>
  <c r="BZ4" i="4"/>
  <c r="BH4" i="4" s="1"/>
  <c r="BV25" i="22" l="1"/>
  <c r="AZ43" i="4"/>
  <c r="AY43" i="4" s="1"/>
  <c r="AZ44" i="4"/>
  <c r="AY44" i="4" s="1"/>
  <c r="AY51" i="4"/>
  <c r="AZ46" i="4"/>
  <c r="AY46" i="4" s="1"/>
  <c r="GM14" i="5"/>
  <c r="AZ27" i="4"/>
  <c r="AY27" i="4" s="1"/>
  <c r="AY48" i="4"/>
  <c r="AY33" i="4"/>
  <c r="AY50" i="4"/>
  <c r="AZ41" i="4"/>
  <c r="AY41" i="4" s="1"/>
  <c r="AZ42" i="4"/>
  <c r="AY42" i="4" s="1"/>
  <c r="AZ35" i="4"/>
  <c r="AY35" i="4" s="1"/>
  <c r="AZ47" i="4"/>
  <c r="AY47" i="4" s="1"/>
  <c r="AY29" i="4"/>
  <c r="AZ45" i="4"/>
  <c r="AY45" i="4" s="1"/>
  <c r="BV26" i="22" l="1"/>
  <c r="BV27" i="22" l="1"/>
  <c r="BR16" i="8"/>
  <c r="K13" i="11"/>
  <c r="D16" i="4"/>
  <c r="J11" i="14" s="1"/>
  <c r="BV28" i="22" l="1"/>
  <c r="L13" i="5"/>
  <c r="J13" i="14"/>
  <c r="K11" i="11"/>
  <c r="L11" i="5"/>
  <c r="J11" i="12"/>
  <c r="J11" i="8"/>
  <c r="J13" i="12"/>
  <c r="I55" i="11"/>
  <c r="BV29" i="22" l="1"/>
  <c r="J13" i="8"/>
  <c r="BV30" i="22" l="1"/>
  <c r="Y46" i="10"/>
  <c r="Y41" i="10"/>
  <c r="BV31" i="22" l="1"/>
  <c r="I139" i="24"/>
  <c r="I140" i="24"/>
  <c r="I141" i="24"/>
  <c r="I142" i="24"/>
  <c r="I143" i="24"/>
  <c r="I144" i="24"/>
  <c r="I145" i="24"/>
  <c r="I146" i="24"/>
  <c r="I147" i="24"/>
  <c r="I148" i="24"/>
  <c r="I149" i="24"/>
  <c r="I150" i="24"/>
  <c r="I151" i="24"/>
  <c r="I152" i="24"/>
  <c r="F139" i="24"/>
  <c r="F140" i="24"/>
  <c r="F141" i="24"/>
  <c r="F142" i="24"/>
  <c r="F143" i="24"/>
  <c r="F144" i="24"/>
  <c r="F145" i="24"/>
  <c r="F146" i="24"/>
  <c r="F147" i="24"/>
  <c r="F148" i="24"/>
  <c r="F149" i="24"/>
  <c r="F150" i="24"/>
  <c r="F151" i="24"/>
  <c r="F152" i="24"/>
  <c r="BV32" i="22" l="1"/>
  <c r="F109" i="24"/>
  <c r="F110" i="24"/>
  <c r="F111" i="24"/>
  <c r="F112" i="24"/>
  <c r="F113" i="24"/>
  <c r="F114" i="24"/>
  <c r="F115" i="24"/>
  <c r="F116" i="24"/>
  <c r="F117" i="24"/>
  <c r="F118" i="24"/>
  <c r="F119" i="24"/>
  <c r="F120" i="24"/>
  <c r="F121" i="24"/>
  <c r="F122" i="24"/>
  <c r="F123" i="24"/>
  <c r="F124" i="24"/>
  <c r="F125" i="24"/>
  <c r="F126" i="24"/>
  <c r="F127" i="24"/>
  <c r="F128" i="24"/>
  <c r="F129" i="24"/>
  <c r="F130" i="24"/>
  <c r="F131" i="24"/>
  <c r="F132" i="24"/>
  <c r="F133" i="24"/>
  <c r="F134" i="24"/>
  <c r="F135" i="24"/>
  <c r="I109" i="24"/>
  <c r="I110" i="24"/>
  <c r="I111" i="24"/>
  <c r="I112" i="24"/>
  <c r="I113" i="24"/>
  <c r="I114" i="24"/>
  <c r="I115" i="24"/>
  <c r="I116" i="24"/>
  <c r="I117" i="24"/>
  <c r="I118" i="24"/>
  <c r="I119" i="24"/>
  <c r="I120" i="24"/>
  <c r="I121" i="24"/>
  <c r="I122" i="24"/>
  <c r="I123" i="24"/>
  <c r="I124" i="24"/>
  <c r="I125" i="24"/>
  <c r="I126" i="24"/>
  <c r="I127" i="24"/>
  <c r="I128" i="24"/>
  <c r="I129" i="24"/>
  <c r="I130" i="24"/>
  <c r="I131" i="24"/>
  <c r="I132" i="24"/>
  <c r="I133" i="24"/>
  <c r="I134" i="24"/>
  <c r="BV33" i="22" l="1"/>
  <c r="C36" i="5"/>
  <c r="B20" i="5" l="1"/>
  <c r="GQ787" i="5"/>
  <c r="GJ783" i="5"/>
  <c r="GJ785" i="5" s="1"/>
  <c r="GY782" i="5"/>
  <c r="FK782" i="5"/>
  <c r="M778" i="5"/>
  <c r="HC778" i="5" s="1"/>
  <c r="HC780" i="5" s="1"/>
  <c r="HB777" i="5"/>
  <c r="GX777" i="5"/>
  <c r="GT777" i="5"/>
  <c r="FK777" i="5"/>
  <c r="GJ773" i="5"/>
  <c r="GJ775" i="5" s="1"/>
  <c r="GY772" i="5"/>
  <c r="FK772" i="5"/>
  <c r="GJ768" i="5"/>
  <c r="GJ770" i="5" s="1"/>
  <c r="GY767" i="5"/>
  <c r="FK767" i="5"/>
  <c r="N764" i="5"/>
  <c r="GS762" i="5"/>
  <c r="HG758" i="5"/>
  <c r="HG760" i="5" s="1"/>
  <c r="GJ758" i="5"/>
  <c r="GJ760" i="5" s="1"/>
  <c r="GY757" i="5"/>
  <c r="GJ753" i="5"/>
  <c r="GJ755" i="5" s="1"/>
  <c r="GY752" i="5"/>
  <c r="FK752" i="5"/>
  <c r="HB747" i="5"/>
  <c r="GX747" i="5"/>
  <c r="GT747" i="5"/>
  <c r="N744" i="5"/>
  <c r="HG743" i="5"/>
  <c r="HG745" i="5" s="1"/>
  <c r="GJ743" i="5"/>
  <c r="GJ745" i="5" s="1"/>
  <c r="GY742" i="5"/>
  <c r="M739" i="5"/>
  <c r="HD738" i="5" s="1"/>
  <c r="HD740" i="5" s="1"/>
  <c r="M738" i="5"/>
  <c r="HC738" i="5" s="1"/>
  <c r="HC740" i="5" s="1"/>
  <c r="GS737" i="5"/>
  <c r="GJ733" i="5"/>
  <c r="GJ735" i="5" s="1"/>
  <c r="GQ732" i="5"/>
  <c r="M728" i="5"/>
  <c r="HC728" i="5" s="1"/>
  <c r="HC730" i="5" s="1"/>
  <c r="GQ727" i="5"/>
  <c r="N789" i="5"/>
  <c r="M788" i="5"/>
  <c r="HC788" i="5" s="1"/>
  <c r="HC790" i="5" s="1"/>
  <c r="GY787" i="5"/>
  <c r="FK787" i="5"/>
  <c r="N784" i="5"/>
  <c r="O783" i="5"/>
  <c r="HB782" i="5"/>
  <c r="GX782" i="5"/>
  <c r="GT782" i="5"/>
  <c r="GJ778" i="5"/>
  <c r="GJ780" i="5" s="1"/>
  <c r="GS777" i="5"/>
  <c r="O773" i="5"/>
  <c r="HB772" i="5"/>
  <c r="GX772" i="5"/>
  <c r="GT772" i="5"/>
  <c r="N769" i="5"/>
  <c r="O768" i="5"/>
  <c r="HB767" i="5"/>
  <c r="GX767" i="5"/>
  <c r="GT767" i="5"/>
  <c r="M763" i="5"/>
  <c r="HC763" i="5" s="1"/>
  <c r="HC765" i="5" s="1"/>
  <c r="GQ762" i="5"/>
  <c r="N759" i="5"/>
  <c r="O758" i="5"/>
  <c r="HB757" i="5"/>
  <c r="GX757" i="5"/>
  <c r="GT757" i="5"/>
  <c r="N754" i="5"/>
  <c r="O753" i="5"/>
  <c r="HB752" i="5"/>
  <c r="GX752" i="5"/>
  <c r="GT752" i="5"/>
  <c r="M748" i="5"/>
  <c r="HC748" i="5" s="1"/>
  <c r="HC750" i="5" s="1"/>
  <c r="GS747" i="5"/>
  <c r="O743" i="5"/>
  <c r="HB742" i="5"/>
  <c r="GX742" i="5"/>
  <c r="GT742" i="5"/>
  <c r="FK742" i="5"/>
  <c r="GJ738" i="5"/>
  <c r="GJ740" i="5" s="1"/>
  <c r="GQ737" i="5"/>
  <c r="N734" i="5"/>
  <c r="HG733" i="5"/>
  <c r="HG735" i="5" s="1"/>
  <c r="O733" i="5"/>
  <c r="GY732" i="5"/>
  <c r="FK732" i="5"/>
  <c r="HG728" i="5"/>
  <c r="HG730" i="5" s="1"/>
  <c r="GJ788" i="5"/>
  <c r="GJ790" i="5" s="1"/>
  <c r="HB787" i="5"/>
  <c r="GX787" i="5"/>
  <c r="GT787" i="5"/>
  <c r="M784" i="5"/>
  <c r="HD783" i="5" s="1"/>
  <c r="HD785" i="5" s="1"/>
  <c r="GS782" i="5"/>
  <c r="HG778" i="5"/>
  <c r="HG780" i="5" s="1"/>
  <c r="O778" i="5"/>
  <c r="GQ777" i="5"/>
  <c r="N774" i="5"/>
  <c r="GS772" i="5"/>
  <c r="GS767" i="5"/>
  <c r="GJ763" i="5"/>
  <c r="GJ765" i="5" s="1"/>
  <c r="GY762" i="5"/>
  <c r="FK762" i="5"/>
  <c r="GS757" i="5"/>
  <c r="M754" i="5"/>
  <c r="HD753" i="5" s="1"/>
  <c r="HD755" i="5" s="1"/>
  <c r="GS752" i="5"/>
  <c r="N749" i="5"/>
  <c r="HG748" i="5"/>
  <c r="HG750" i="5" s="1"/>
  <c r="GJ748" i="5"/>
  <c r="GJ750" i="5" s="1"/>
  <c r="GQ747" i="5"/>
  <c r="GS742" i="5"/>
  <c r="O738" i="5"/>
  <c r="GY737" i="5"/>
  <c r="FK737" i="5"/>
  <c r="M734" i="5"/>
  <c r="HD733" i="5" s="1"/>
  <c r="HD735" i="5" s="1"/>
  <c r="HB732" i="5"/>
  <c r="GX732" i="5"/>
  <c r="GT732" i="5"/>
  <c r="N729" i="5"/>
  <c r="O728" i="5"/>
  <c r="HB727" i="5"/>
  <c r="GX727" i="5"/>
  <c r="GT727" i="5"/>
  <c r="FK727" i="5"/>
  <c r="GQ782" i="5"/>
  <c r="GQ772" i="5"/>
  <c r="O763" i="5"/>
  <c r="M753" i="5"/>
  <c r="HC753" i="5" s="1"/>
  <c r="HC755" i="5" s="1"/>
  <c r="O748" i="5"/>
  <c r="HB737" i="5"/>
  <c r="GS732" i="5"/>
  <c r="HG723" i="5"/>
  <c r="HG725" i="5" s="1"/>
  <c r="GJ723" i="5"/>
  <c r="GJ725" i="5" s="1"/>
  <c r="GY722" i="5"/>
  <c r="FK722" i="5"/>
  <c r="N719" i="5"/>
  <c r="GQ717" i="5"/>
  <c r="N711" i="5"/>
  <c r="O710" i="5"/>
  <c r="GS709" i="5"/>
  <c r="M706" i="5"/>
  <c r="HD705" i="5" s="1"/>
  <c r="HD707" i="5" s="1"/>
  <c r="M705" i="5"/>
  <c r="HC705" i="5" s="1"/>
  <c r="HC707" i="5" s="1"/>
  <c r="GQ704" i="5"/>
  <c r="HG700" i="5"/>
  <c r="HG702" i="5" s="1"/>
  <c r="GJ700" i="5"/>
  <c r="GJ702" i="5" s="1"/>
  <c r="HB699" i="5"/>
  <c r="GX699" i="5"/>
  <c r="GT699" i="5"/>
  <c r="GJ695" i="5"/>
  <c r="GJ697" i="5" s="1"/>
  <c r="GY694" i="5"/>
  <c r="FK694" i="5"/>
  <c r="GS689" i="5"/>
  <c r="M685" i="5"/>
  <c r="HC685" i="5" s="1"/>
  <c r="HC687" i="5" s="1"/>
  <c r="GS684" i="5"/>
  <c r="GJ680" i="5"/>
  <c r="GJ682" i="5" s="1"/>
  <c r="GY679" i="5"/>
  <c r="FK679" i="5"/>
  <c r="HB674" i="5"/>
  <c r="GX674" i="5"/>
  <c r="GT674" i="5"/>
  <c r="FK674" i="5"/>
  <c r="N671" i="5"/>
  <c r="GS669" i="5"/>
  <c r="GS787" i="5"/>
  <c r="N779" i="5"/>
  <c r="GY777" i="5"/>
  <c r="M768" i="5"/>
  <c r="HC768" i="5" s="1"/>
  <c r="HC770" i="5" s="1"/>
  <c r="GT762" i="5"/>
  <c r="M758" i="5"/>
  <c r="HC758" i="5" s="1"/>
  <c r="HC760" i="5" s="1"/>
  <c r="GQ752" i="5"/>
  <c r="M749" i="5"/>
  <c r="HD748" i="5" s="1"/>
  <c r="HD750" i="5" s="1"/>
  <c r="FK747" i="5"/>
  <c r="GQ742" i="5"/>
  <c r="M733" i="5"/>
  <c r="HC733" i="5" s="1"/>
  <c r="HC735" i="5" s="1"/>
  <c r="GJ728" i="5"/>
  <c r="GJ730" i="5" s="1"/>
  <c r="N724" i="5"/>
  <c r="O723" i="5"/>
  <c r="HB722" i="5"/>
  <c r="GX722" i="5"/>
  <c r="GT722" i="5"/>
  <c r="M719" i="5"/>
  <c r="HD718" i="5" s="1"/>
  <c r="HD720" i="5" s="1"/>
  <c r="M718" i="5"/>
  <c r="HC718" i="5" s="1"/>
  <c r="HC720" i="5" s="1"/>
  <c r="GY717" i="5"/>
  <c r="FK717" i="5"/>
  <c r="GQ709" i="5"/>
  <c r="GJ705" i="5"/>
  <c r="GJ707" i="5" s="1"/>
  <c r="GY704" i="5"/>
  <c r="FK704" i="5"/>
  <c r="N701" i="5"/>
  <c r="O700" i="5"/>
  <c r="GS699" i="5"/>
  <c r="N696" i="5"/>
  <c r="O695" i="5"/>
  <c r="HB694" i="5"/>
  <c r="GX694" i="5"/>
  <c r="GT694" i="5"/>
  <c r="M690" i="5"/>
  <c r="HC690" i="5" s="1"/>
  <c r="HC692" i="5" s="1"/>
  <c r="GQ689" i="5"/>
  <c r="O788" i="5"/>
  <c r="M773" i="5"/>
  <c r="HC773" i="5" s="1"/>
  <c r="HC775" i="5" s="1"/>
  <c r="HG763" i="5"/>
  <c r="HG765" i="5" s="1"/>
  <c r="GX762" i="5"/>
  <c r="GQ757" i="5"/>
  <c r="FK757" i="5"/>
  <c r="M743" i="5"/>
  <c r="HC743" i="5" s="1"/>
  <c r="HC745" i="5" s="1"/>
  <c r="GT737" i="5"/>
  <c r="HB717" i="5"/>
  <c r="GS717" i="5"/>
  <c r="HB709" i="5"/>
  <c r="GX709" i="5"/>
  <c r="M700" i="5"/>
  <c r="HC700" i="5" s="1"/>
  <c r="HC702" i="5" s="1"/>
  <c r="GJ690" i="5"/>
  <c r="GJ692" i="5" s="1"/>
  <c r="HB689" i="5"/>
  <c r="GX689" i="5"/>
  <c r="O680" i="5"/>
  <c r="HB679" i="5"/>
  <c r="GS679" i="5"/>
  <c r="N676" i="5"/>
  <c r="M666" i="5"/>
  <c r="HD665" i="5" s="1"/>
  <c r="HD667" i="5" s="1"/>
  <c r="O665" i="5"/>
  <c r="GQ664" i="5"/>
  <c r="GJ660" i="5"/>
  <c r="GJ662" i="5" s="1"/>
  <c r="GY659" i="5"/>
  <c r="GJ655" i="5"/>
  <c r="GJ657" i="5" s="1"/>
  <c r="GY654" i="5"/>
  <c r="FK654" i="5"/>
  <c r="M650" i="5"/>
  <c r="HC650" i="5" s="1"/>
  <c r="HC652" i="5" s="1"/>
  <c r="GQ649" i="5"/>
  <c r="M645" i="5"/>
  <c r="HC645" i="5" s="1"/>
  <c r="HC647" i="5" s="1"/>
  <c r="GY644" i="5"/>
  <c r="FK644" i="5"/>
  <c r="N641" i="5"/>
  <c r="GX737" i="5"/>
  <c r="GS722" i="5"/>
  <c r="GJ718" i="5"/>
  <c r="GJ720" i="5" s="1"/>
  <c r="GJ710" i="5"/>
  <c r="GJ712" i="5" s="1"/>
  <c r="O705" i="5"/>
  <c r="GQ699" i="5"/>
  <c r="GS694" i="5"/>
  <c r="HG690" i="5"/>
  <c r="HG692" i="5" s="1"/>
  <c r="O690" i="5"/>
  <c r="FK689" i="5"/>
  <c r="N686" i="5"/>
  <c r="GJ685" i="5"/>
  <c r="GJ687" i="5" s="1"/>
  <c r="GY684" i="5"/>
  <c r="GT684" i="5"/>
  <c r="GQ679" i="5"/>
  <c r="M675" i="5"/>
  <c r="HC675" i="5" s="1"/>
  <c r="HC677" i="5" s="1"/>
  <c r="M670" i="5"/>
  <c r="HC670" i="5" s="1"/>
  <c r="HC672" i="5" s="1"/>
  <c r="FK669" i="5"/>
  <c r="GY664" i="5"/>
  <c r="FK664" i="5"/>
  <c r="O660" i="5"/>
  <c r="HB659" i="5"/>
  <c r="GX659" i="5"/>
  <c r="GT659" i="5"/>
  <c r="FK659" i="5"/>
  <c r="O655" i="5"/>
  <c r="HB654" i="5"/>
  <c r="GX654" i="5"/>
  <c r="GT654" i="5"/>
  <c r="GJ650" i="5"/>
  <c r="GJ652" i="5" s="1"/>
  <c r="GY649" i="5"/>
  <c r="FK649" i="5"/>
  <c r="GJ645" i="5"/>
  <c r="GJ647" i="5" s="1"/>
  <c r="HB644" i="5"/>
  <c r="GX644" i="5"/>
  <c r="GT644" i="5"/>
  <c r="M640" i="5"/>
  <c r="HC640" i="5" s="1"/>
  <c r="HC642" i="5" s="1"/>
  <c r="GQ639" i="5"/>
  <c r="M783" i="5"/>
  <c r="HC783" i="5" s="1"/>
  <c r="HC785" i="5" s="1"/>
  <c r="GQ767" i="5"/>
  <c r="GY747" i="5"/>
  <c r="N739" i="5"/>
  <c r="GY727" i="5"/>
  <c r="GS727" i="5"/>
  <c r="M723" i="5"/>
  <c r="HC723" i="5" s="1"/>
  <c r="HC725" i="5" s="1"/>
  <c r="GQ722" i="5"/>
  <c r="O718" i="5"/>
  <c r="N706" i="5"/>
  <c r="GX704" i="5"/>
  <c r="GT704" i="5"/>
  <c r="GY699" i="5"/>
  <c r="FK699" i="5"/>
  <c r="GQ694" i="5"/>
  <c r="N691" i="5"/>
  <c r="M686" i="5"/>
  <c r="HD685" i="5" s="1"/>
  <c r="HD687" i="5" s="1"/>
  <c r="O685" i="5"/>
  <c r="HB684" i="5"/>
  <c r="GX684" i="5"/>
  <c r="GQ684" i="5"/>
  <c r="M680" i="5"/>
  <c r="HC680" i="5" s="1"/>
  <c r="HC682" i="5" s="1"/>
  <c r="GJ675" i="5"/>
  <c r="GJ677" i="5" s="1"/>
  <c r="GY674" i="5"/>
  <c r="GS674" i="5"/>
  <c r="GJ670" i="5"/>
  <c r="GJ672" i="5" s="1"/>
  <c r="GY669" i="5"/>
  <c r="GT669" i="5"/>
  <c r="M665" i="5"/>
  <c r="HC665" i="5" s="1"/>
  <c r="HC667" i="5" s="1"/>
  <c r="HB664" i="5"/>
  <c r="GX664" i="5"/>
  <c r="GT664" i="5"/>
  <c r="GS659" i="5"/>
  <c r="N656" i="5"/>
  <c r="GS654" i="5"/>
  <c r="N651" i="5"/>
  <c r="O650" i="5"/>
  <c r="HB649" i="5"/>
  <c r="GX649" i="5"/>
  <c r="GT649" i="5"/>
  <c r="O645" i="5"/>
  <c r="GS644" i="5"/>
  <c r="GJ640" i="5"/>
  <c r="GJ642" i="5" s="1"/>
  <c r="GY639" i="5"/>
  <c r="GX717" i="5"/>
  <c r="GS704" i="5"/>
  <c r="GQ674" i="5"/>
  <c r="GQ669" i="5"/>
  <c r="GQ659" i="5"/>
  <c r="M651" i="5"/>
  <c r="HD650" i="5" s="1"/>
  <c r="HD652" i="5" s="1"/>
  <c r="GQ644" i="5"/>
  <c r="O640" i="5"/>
  <c r="FK639" i="5"/>
  <c r="O632" i="5"/>
  <c r="HB631" i="5"/>
  <c r="GX631" i="5"/>
  <c r="GT631" i="5"/>
  <c r="FK631" i="5"/>
  <c r="M628" i="5"/>
  <c r="HD627" i="5" s="1"/>
  <c r="HD629" i="5" s="1"/>
  <c r="O627" i="5"/>
  <c r="GS626" i="5"/>
  <c r="O622" i="5"/>
  <c r="GY621" i="5"/>
  <c r="M617" i="5"/>
  <c r="HC617" i="5" s="1"/>
  <c r="HC619" i="5" s="1"/>
  <c r="GQ616" i="5"/>
  <c r="N613" i="5"/>
  <c r="GQ611" i="5"/>
  <c r="M607" i="5"/>
  <c r="HC607" i="5" s="1"/>
  <c r="HC609" i="5" s="1"/>
  <c r="GS606" i="5"/>
  <c r="GQ601" i="5"/>
  <c r="HG597" i="5"/>
  <c r="HG599" i="5" s="1"/>
  <c r="GJ597" i="5"/>
  <c r="GJ599" i="5" s="1"/>
  <c r="HB596" i="5"/>
  <c r="GX596" i="5"/>
  <c r="GT596" i="5"/>
  <c r="O592" i="5"/>
  <c r="GS591" i="5"/>
  <c r="M587" i="5"/>
  <c r="HC587" i="5" s="1"/>
  <c r="HC589" i="5" s="1"/>
  <c r="HB581" i="5"/>
  <c r="GX581" i="5"/>
  <c r="GT581" i="5"/>
  <c r="GJ577" i="5"/>
  <c r="GJ579" i="5" s="1"/>
  <c r="GY576" i="5"/>
  <c r="FK576" i="5"/>
  <c r="M573" i="5"/>
  <c r="HD572" i="5" s="1"/>
  <c r="HD574" i="5" s="1"/>
  <c r="GJ572" i="5"/>
  <c r="GJ574" i="5" s="1"/>
  <c r="GY571" i="5"/>
  <c r="FK571" i="5"/>
  <c r="GJ567" i="5"/>
  <c r="GJ569" i="5" s="1"/>
  <c r="GY566" i="5"/>
  <c r="N563" i="5"/>
  <c r="O562" i="5"/>
  <c r="HB561" i="5"/>
  <c r="GX561" i="5"/>
  <c r="GT561" i="5"/>
  <c r="GQ553" i="5"/>
  <c r="N550" i="5"/>
  <c r="GS548" i="5"/>
  <c r="N545" i="5"/>
  <c r="O544" i="5"/>
  <c r="GQ543" i="5"/>
  <c r="GJ539" i="5"/>
  <c r="GJ541" i="5" s="1"/>
  <c r="GY538" i="5"/>
  <c r="FK538" i="5"/>
  <c r="GJ534" i="5"/>
  <c r="GJ536" i="5" s="1"/>
  <c r="GY533" i="5"/>
  <c r="FK533" i="5"/>
  <c r="GJ529" i="5"/>
  <c r="GJ531" i="5" s="1"/>
  <c r="GY528" i="5"/>
  <c r="FK528" i="5"/>
  <c r="HG524" i="5"/>
  <c r="HG526" i="5" s="1"/>
  <c r="O524" i="5"/>
  <c r="HB523" i="5"/>
  <c r="GX523" i="5"/>
  <c r="GT523" i="5"/>
  <c r="M519" i="5"/>
  <c r="HC519" i="5" s="1"/>
  <c r="HC521" i="5" s="1"/>
  <c r="GQ518" i="5"/>
  <c r="GT709" i="5"/>
  <c r="FK709" i="5"/>
  <c r="GT679" i="5"/>
  <c r="HG675" i="5"/>
  <c r="HG677" i="5" s="1"/>
  <c r="GX669" i="5"/>
  <c r="N666" i="5"/>
  <c r="GJ665" i="5"/>
  <c r="GJ667" i="5" s="1"/>
  <c r="N661" i="5"/>
  <c r="M655" i="5"/>
  <c r="HC655" i="5" s="1"/>
  <c r="HC657" i="5" s="1"/>
  <c r="N633" i="5"/>
  <c r="GS631" i="5"/>
  <c r="GQ626" i="5"/>
  <c r="HB621" i="5"/>
  <c r="GX621" i="5"/>
  <c r="GT621" i="5"/>
  <c r="N618" i="5"/>
  <c r="HG617" i="5"/>
  <c r="HG619" i="5" s="1"/>
  <c r="GJ617" i="5"/>
  <c r="GJ619" i="5" s="1"/>
  <c r="GY616" i="5"/>
  <c r="M613" i="5"/>
  <c r="HD612" i="5" s="1"/>
  <c r="HD614" i="5" s="1"/>
  <c r="HG612" i="5"/>
  <c r="HG614" i="5" s="1"/>
  <c r="M612" i="5"/>
  <c r="HC612" i="5" s="1"/>
  <c r="HC614" i="5" s="1"/>
  <c r="GY611" i="5"/>
  <c r="FK611" i="5"/>
  <c r="N608" i="5"/>
  <c r="HG607" i="5"/>
  <c r="HG609" i="5" s="1"/>
  <c r="GJ607" i="5"/>
  <c r="GJ609" i="5" s="1"/>
  <c r="GQ606" i="5"/>
  <c r="M602" i="5"/>
  <c r="HC602" i="5" s="1"/>
  <c r="HC604" i="5" s="1"/>
  <c r="GY601" i="5"/>
  <c r="N598" i="5"/>
  <c r="O597" i="5"/>
  <c r="GS596" i="5"/>
  <c r="N593" i="5"/>
  <c r="GQ591" i="5"/>
  <c r="GJ587" i="5"/>
  <c r="GJ589" i="5" s="1"/>
  <c r="GY586" i="5"/>
  <c r="GQ586" i="5"/>
  <c r="M582" i="5"/>
  <c r="HC582" i="5" s="1"/>
  <c r="HC584" i="5" s="1"/>
  <c r="GS581" i="5"/>
  <c r="FK581" i="5"/>
  <c r="N578" i="5"/>
  <c r="O577" i="5"/>
  <c r="HB576" i="5"/>
  <c r="GX576" i="5"/>
  <c r="GT576" i="5"/>
  <c r="HG572" i="5"/>
  <c r="HG574" i="5" s="1"/>
  <c r="O572" i="5"/>
  <c r="HB571" i="5"/>
  <c r="GX571" i="5"/>
  <c r="GT571" i="5"/>
  <c r="N568" i="5"/>
  <c r="O567" i="5"/>
  <c r="HB566" i="5"/>
  <c r="GX566" i="5"/>
  <c r="GT566" i="5"/>
  <c r="FK566" i="5"/>
  <c r="GS561" i="5"/>
  <c r="N555" i="5"/>
  <c r="M554" i="5"/>
  <c r="HC554" i="5" s="1"/>
  <c r="HC556" i="5" s="1"/>
  <c r="GY553" i="5"/>
  <c r="FK553" i="5"/>
  <c r="M550" i="5"/>
  <c r="HD549" i="5" s="1"/>
  <c r="HD551" i="5" s="1"/>
  <c r="M549" i="5"/>
  <c r="HC549" i="5" s="1"/>
  <c r="HC551" i="5" s="1"/>
  <c r="GQ548" i="5"/>
  <c r="GY543" i="5"/>
  <c r="FK543" i="5"/>
  <c r="O539" i="5"/>
  <c r="HB538" i="5"/>
  <c r="GX538" i="5"/>
  <c r="GT538" i="5"/>
  <c r="O534" i="5"/>
  <c r="HB533" i="5"/>
  <c r="GX533" i="5"/>
  <c r="GT533" i="5"/>
  <c r="HG529" i="5"/>
  <c r="HG531" i="5" s="1"/>
  <c r="O529" i="5"/>
  <c r="HB528" i="5"/>
  <c r="GX528" i="5"/>
  <c r="GT528" i="5"/>
  <c r="N525" i="5"/>
  <c r="GS523" i="5"/>
  <c r="HG519" i="5"/>
  <c r="HG521" i="5" s="1"/>
  <c r="GJ519" i="5"/>
  <c r="GJ521" i="5" s="1"/>
  <c r="GY518" i="5"/>
  <c r="HB762" i="5"/>
  <c r="M710" i="5"/>
  <c r="HC710" i="5" s="1"/>
  <c r="HC712" i="5" s="1"/>
  <c r="HB704" i="5"/>
  <c r="GT689" i="5"/>
  <c r="GS664" i="5"/>
  <c r="M660" i="5"/>
  <c r="HC660" i="5" s="1"/>
  <c r="HC662" i="5" s="1"/>
  <c r="GX639" i="5"/>
  <c r="GT639" i="5"/>
  <c r="M632" i="5"/>
  <c r="HC632" i="5" s="1"/>
  <c r="HC634" i="5" s="1"/>
  <c r="GY631" i="5"/>
  <c r="HG627" i="5"/>
  <c r="HG629" i="5" s="1"/>
  <c r="GQ621" i="5"/>
  <c r="FK621" i="5"/>
  <c r="GX611" i="5"/>
  <c r="GT611" i="5"/>
  <c r="HB601" i="5"/>
  <c r="GS601" i="5"/>
  <c r="M597" i="5"/>
  <c r="HC597" i="5" s="1"/>
  <c r="HC599" i="5" s="1"/>
  <c r="M593" i="5"/>
  <c r="HD592" i="5" s="1"/>
  <c r="HD594" i="5" s="1"/>
  <c r="M592" i="5"/>
  <c r="HC592" i="5" s="1"/>
  <c r="HC594" i="5" s="1"/>
  <c r="GY591" i="5"/>
  <c r="GT591" i="5"/>
  <c r="GX586" i="5"/>
  <c r="GT586" i="5"/>
  <c r="GS576" i="5"/>
  <c r="M572" i="5"/>
  <c r="HC572" i="5" s="1"/>
  <c r="HC574" i="5" s="1"/>
  <c r="GS566" i="5"/>
  <c r="GJ562" i="5"/>
  <c r="GJ564" i="5" s="1"/>
  <c r="O554" i="5"/>
  <c r="GY548" i="5"/>
  <c r="GT548" i="5"/>
  <c r="FK548" i="5"/>
  <c r="GJ544" i="5"/>
  <c r="GJ546" i="5" s="1"/>
  <c r="N535" i="5"/>
  <c r="M529" i="5"/>
  <c r="HC529" i="5" s="1"/>
  <c r="HC531" i="5" s="1"/>
  <c r="M524" i="5"/>
  <c r="HC524" i="5" s="1"/>
  <c r="HC526" i="5" s="1"/>
  <c r="GY523" i="5"/>
  <c r="HB518" i="5"/>
  <c r="GS518" i="5"/>
  <c r="O514" i="5"/>
  <c r="HB513" i="5"/>
  <c r="GX513" i="5"/>
  <c r="GT513" i="5"/>
  <c r="N510" i="5"/>
  <c r="O509" i="5"/>
  <c r="GS508" i="5"/>
  <c r="HG504" i="5"/>
  <c r="HG506" i="5" s="1"/>
  <c r="O504" i="5"/>
  <c r="HB503" i="5"/>
  <c r="GX503" i="5"/>
  <c r="GT503" i="5"/>
  <c r="GJ499" i="5"/>
  <c r="GJ501" i="5" s="1"/>
  <c r="GY498" i="5"/>
  <c r="FK498" i="5"/>
  <c r="O494" i="5"/>
  <c r="GS493" i="5"/>
  <c r="GQ488" i="5"/>
  <c r="M485" i="5"/>
  <c r="HD484" i="5" s="1"/>
  <c r="HD486" i="5" s="1"/>
  <c r="GS483" i="5"/>
  <c r="N477" i="5"/>
  <c r="O476" i="5"/>
  <c r="GS475" i="5"/>
  <c r="GT717" i="5"/>
  <c r="M695" i="5"/>
  <c r="HC695" i="5" s="1"/>
  <c r="HC697" i="5" s="1"/>
  <c r="GY689" i="5"/>
  <c r="N681" i="5"/>
  <c r="O675" i="5"/>
  <c r="HB669" i="5"/>
  <c r="HG640" i="5"/>
  <c r="HG642" i="5" s="1"/>
  <c r="HB639" i="5"/>
  <c r="GS639" i="5"/>
  <c r="M627" i="5"/>
  <c r="HC627" i="5" s="1"/>
  <c r="HC629" i="5" s="1"/>
  <c r="GY626" i="5"/>
  <c r="GT626" i="5"/>
  <c r="FK626" i="5"/>
  <c r="N623" i="5"/>
  <c r="GJ622" i="5"/>
  <c r="GJ624" i="5" s="1"/>
  <c r="GX616" i="5"/>
  <c r="GT616" i="5"/>
  <c r="HB611" i="5"/>
  <c r="GS611" i="5"/>
  <c r="GJ602" i="5"/>
  <c r="GJ604" i="5" s="1"/>
  <c r="HB591" i="5"/>
  <c r="GX591" i="5"/>
  <c r="HB586" i="5"/>
  <c r="GS586" i="5"/>
  <c r="GY581" i="5"/>
  <c r="GQ581" i="5"/>
  <c r="M577" i="5"/>
  <c r="HC577" i="5" s="1"/>
  <c r="HC579" i="5" s="1"/>
  <c r="GQ576" i="5"/>
  <c r="M567" i="5"/>
  <c r="HC567" i="5" s="1"/>
  <c r="HC569" i="5" s="1"/>
  <c r="GQ566" i="5"/>
  <c r="HG562" i="5"/>
  <c r="HG564" i="5" s="1"/>
  <c r="GQ561" i="5"/>
  <c r="GX553" i="5"/>
  <c r="GT553" i="5"/>
  <c r="GJ549" i="5"/>
  <c r="GJ551" i="5" s="1"/>
  <c r="HB548" i="5"/>
  <c r="GX548" i="5"/>
  <c r="HG544" i="5"/>
  <c r="HG546" i="5" s="1"/>
  <c r="GX543" i="5"/>
  <c r="GT543" i="5"/>
  <c r="N540" i="5"/>
  <c r="M535" i="5"/>
  <c r="HD534" i="5" s="1"/>
  <c r="HD536" i="5" s="1"/>
  <c r="N520" i="5"/>
  <c r="O519" i="5"/>
  <c r="GS513" i="5"/>
  <c r="FK513" i="5"/>
  <c r="M510" i="5"/>
  <c r="HD509" i="5" s="1"/>
  <c r="HD511" i="5" s="1"/>
  <c r="GQ508" i="5"/>
  <c r="N505" i="5"/>
  <c r="GS503" i="5"/>
  <c r="N500" i="5"/>
  <c r="O499" i="5"/>
  <c r="HB498" i="5"/>
  <c r="GX498" i="5"/>
  <c r="GT498" i="5"/>
  <c r="N495" i="5"/>
  <c r="GQ493" i="5"/>
  <c r="M489" i="5"/>
  <c r="HC489" i="5" s="1"/>
  <c r="HC491" i="5" s="1"/>
  <c r="GY488" i="5"/>
  <c r="M484" i="5"/>
  <c r="HC484" i="5" s="1"/>
  <c r="HC486" i="5" s="1"/>
  <c r="GQ483" i="5"/>
  <c r="GQ475" i="5"/>
  <c r="GJ471" i="5"/>
  <c r="GJ473" i="5" s="1"/>
  <c r="GY470" i="5"/>
  <c r="FK470" i="5"/>
  <c r="M466" i="5"/>
  <c r="HC466" i="5" s="1"/>
  <c r="HC468" i="5" s="1"/>
  <c r="GS465" i="5"/>
  <c r="GS460" i="5"/>
  <c r="FK460" i="5"/>
  <c r="N457" i="5"/>
  <c r="GJ456" i="5"/>
  <c r="GJ458" i="5" s="1"/>
  <c r="GY455" i="5"/>
  <c r="N452" i="5"/>
  <c r="M451" i="5"/>
  <c r="HC451" i="5" s="1"/>
  <c r="HC453" i="5" s="1"/>
  <c r="GQ450" i="5"/>
  <c r="M446" i="5"/>
  <c r="HC446" i="5" s="1"/>
  <c r="HC448" i="5" s="1"/>
  <c r="GY445" i="5"/>
  <c r="N442" i="5"/>
  <c r="M441" i="5"/>
  <c r="HC441" i="5" s="1"/>
  <c r="HC443" i="5" s="1"/>
  <c r="FK684" i="5"/>
  <c r="O670" i="5"/>
  <c r="HG665" i="5"/>
  <c r="HG667" i="5" s="1"/>
  <c r="GS649" i="5"/>
  <c r="GJ632" i="5"/>
  <c r="GJ634" i="5" s="1"/>
  <c r="N628" i="5"/>
  <c r="HB626" i="5"/>
  <c r="GX626" i="5"/>
  <c r="M623" i="5"/>
  <c r="HD622" i="5" s="1"/>
  <c r="HD624" i="5" s="1"/>
  <c r="HG622" i="5"/>
  <c r="HG624" i="5" s="1"/>
  <c r="HB616" i="5"/>
  <c r="GS616" i="5"/>
  <c r="GJ612" i="5"/>
  <c r="GJ614" i="5" s="1"/>
  <c r="GY606" i="5"/>
  <c r="GT606" i="5"/>
  <c r="N603" i="5"/>
  <c r="O602" i="5"/>
  <c r="FK601" i="5"/>
  <c r="GQ596" i="5"/>
  <c r="GJ592" i="5"/>
  <c r="GJ594" i="5" s="1"/>
  <c r="FK591" i="5"/>
  <c r="N588" i="5"/>
  <c r="O587" i="5"/>
  <c r="FK586" i="5"/>
  <c r="N583" i="5"/>
  <c r="GJ582" i="5"/>
  <c r="GJ584" i="5" s="1"/>
  <c r="N573" i="5"/>
  <c r="GS571" i="5"/>
  <c r="M562" i="5"/>
  <c r="HC562" i="5" s="1"/>
  <c r="HC564" i="5" s="1"/>
  <c r="GY561" i="5"/>
  <c r="FK561" i="5"/>
  <c r="HB553" i="5"/>
  <c r="GS553" i="5"/>
  <c r="O549" i="5"/>
  <c r="M544" i="5"/>
  <c r="HC544" i="5" s="1"/>
  <c r="HC546" i="5" s="1"/>
  <c r="HB543" i="5"/>
  <c r="GS543" i="5"/>
  <c r="GS538" i="5"/>
  <c r="GS533" i="5"/>
  <c r="GS528" i="5"/>
  <c r="GJ524" i="5"/>
  <c r="GJ526" i="5" s="1"/>
  <c r="FK518" i="5"/>
  <c r="N515" i="5"/>
  <c r="M514" i="5"/>
  <c r="HC514" i="5" s="1"/>
  <c r="HC516" i="5" s="1"/>
  <c r="GQ513" i="5"/>
  <c r="M509" i="5"/>
  <c r="HC509" i="5" s="1"/>
  <c r="HC511" i="5" s="1"/>
  <c r="GY508" i="5"/>
  <c r="FK508" i="5"/>
  <c r="M504" i="5"/>
  <c r="HC504" i="5" s="1"/>
  <c r="HC506" i="5" s="1"/>
  <c r="GQ503" i="5"/>
  <c r="M500" i="5"/>
  <c r="HD499" i="5" s="1"/>
  <c r="HD501" i="5" s="1"/>
  <c r="GS498" i="5"/>
  <c r="M494" i="5"/>
  <c r="HC494" i="5" s="1"/>
  <c r="HC496" i="5" s="1"/>
  <c r="GY493" i="5"/>
  <c r="FK493" i="5"/>
  <c r="GJ489" i="5"/>
  <c r="GJ491" i="5" s="1"/>
  <c r="HB488" i="5"/>
  <c r="GX488" i="5"/>
  <c r="GT488" i="5"/>
  <c r="FK488" i="5"/>
  <c r="GJ484" i="5"/>
  <c r="GJ486" i="5" s="1"/>
  <c r="GQ654" i="5"/>
  <c r="O617" i="5"/>
  <c r="O612" i="5"/>
  <c r="GT601" i="5"/>
  <c r="GY596" i="5"/>
  <c r="O582" i="5"/>
  <c r="M539" i="5"/>
  <c r="HC539" i="5" s="1"/>
  <c r="HC541" i="5" s="1"/>
  <c r="M534" i="5"/>
  <c r="HC534" i="5" s="1"/>
  <c r="HC536" i="5" s="1"/>
  <c r="GY513" i="5"/>
  <c r="GJ509" i="5"/>
  <c r="GJ511" i="5" s="1"/>
  <c r="GT508" i="5"/>
  <c r="GJ504" i="5"/>
  <c r="GJ506" i="5" s="1"/>
  <c r="GJ494" i="5"/>
  <c r="GJ496" i="5" s="1"/>
  <c r="GT493" i="5"/>
  <c r="N490" i="5"/>
  <c r="O489" i="5"/>
  <c r="HB483" i="5"/>
  <c r="GX483" i="5"/>
  <c r="M476" i="5"/>
  <c r="HC476" i="5" s="1"/>
  <c r="HC478" i="5" s="1"/>
  <c r="GY475" i="5"/>
  <c r="GT475" i="5"/>
  <c r="FK475" i="5"/>
  <c r="HB470" i="5"/>
  <c r="GS470" i="5"/>
  <c r="HG466" i="5"/>
  <c r="HG468" i="5" s="1"/>
  <c r="O466" i="5"/>
  <c r="HB465" i="5"/>
  <c r="GX465" i="5"/>
  <c r="GQ465" i="5"/>
  <c r="N462" i="5"/>
  <c r="GQ460" i="5"/>
  <c r="M456" i="5"/>
  <c r="HC456" i="5" s="1"/>
  <c r="HC458" i="5" s="1"/>
  <c r="GY450" i="5"/>
  <c r="O446" i="5"/>
  <c r="GQ440" i="5"/>
  <c r="GQ435" i="5"/>
  <c r="N432" i="5"/>
  <c r="GS430" i="5"/>
  <c r="GS425" i="5"/>
  <c r="FK425" i="5"/>
  <c r="HG421" i="5"/>
  <c r="HG423" i="5" s="1"/>
  <c r="M421" i="5"/>
  <c r="HC421" i="5" s="1"/>
  <c r="HC423" i="5" s="1"/>
  <c r="GQ420" i="5"/>
  <c r="M417" i="5"/>
  <c r="HD416" i="5" s="1"/>
  <c r="HD418" i="5" s="1"/>
  <c r="O416" i="5"/>
  <c r="GS415" i="5"/>
  <c r="N412" i="5"/>
  <c r="GQ410" i="5"/>
  <c r="HG406" i="5"/>
  <c r="HG408" i="5" s="1"/>
  <c r="GJ406" i="5"/>
  <c r="GJ408" i="5" s="1"/>
  <c r="GS405" i="5"/>
  <c r="N399" i="5"/>
  <c r="O398" i="5"/>
  <c r="GS397" i="5"/>
  <c r="N394" i="5"/>
  <c r="GS392" i="5"/>
  <c r="GQ387" i="5"/>
  <c r="N384" i="5"/>
  <c r="M383" i="5"/>
  <c r="HC383" i="5" s="1"/>
  <c r="HC385" i="5" s="1"/>
  <c r="GS382" i="5"/>
  <c r="N379" i="5"/>
  <c r="HB377" i="5"/>
  <c r="GX377" i="5"/>
  <c r="GT377" i="5"/>
  <c r="N374" i="5"/>
  <c r="GJ373" i="5"/>
  <c r="GJ375" i="5" s="1"/>
  <c r="GQ372" i="5"/>
  <c r="N369" i="5"/>
  <c r="HG368" i="5"/>
  <c r="HG370" i="5" s="1"/>
  <c r="M368" i="5"/>
  <c r="HC368" i="5" s="1"/>
  <c r="HC370" i="5" s="1"/>
  <c r="GQ367" i="5"/>
  <c r="GQ362" i="5"/>
  <c r="FT359" i="5"/>
  <c r="M359" i="5"/>
  <c r="HD358" i="5" s="1"/>
  <c r="HD360" i="5" s="1"/>
  <c r="O358" i="5"/>
  <c r="GQ357" i="5"/>
  <c r="M354" i="5"/>
  <c r="HD353" i="5" s="1"/>
  <c r="HD355" i="5" s="1"/>
  <c r="M622" i="5"/>
  <c r="HC622" i="5" s="1"/>
  <c r="HC624" i="5" s="1"/>
  <c r="M608" i="5"/>
  <c r="HD607" i="5" s="1"/>
  <c r="HD609" i="5" s="1"/>
  <c r="FK606" i="5"/>
  <c r="M603" i="5"/>
  <c r="HD602" i="5" s="1"/>
  <c r="HD604" i="5" s="1"/>
  <c r="GX601" i="5"/>
  <c r="GQ571" i="5"/>
  <c r="GQ523" i="5"/>
  <c r="FK523" i="5"/>
  <c r="GT518" i="5"/>
  <c r="GX508" i="5"/>
  <c r="GY503" i="5"/>
  <c r="M499" i="5"/>
  <c r="HC499" i="5" s="1"/>
  <c r="HC501" i="5" s="1"/>
  <c r="GX493" i="5"/>
  <c r="HB475" i="5"/>
  <c r="GX475" i="5"/>
  <c r="O471" i="5"/>
  <c r="GQ470" i="5"/>
  <c r="N467" i="5"/>
  <c r="M461" i="5"/>
  <c r="HC461" i="5" s="1"/>
  <c r="HC463" i="5" s="1"/>
  <c r="HG456" i="5"/>
  <c r="HG458" i="5" s="1"/>
  <c r="GX455" i="5"/>
  <c r="GT455" i="5"/>
  <c r="FK455" i="5"/>
  <c r="GJ451" i="5"/>
  <c r="GJ453" i="5" s="1"/>
  <c r="HB450" i="5"/>
  <c r="GX450" i="5"/>
  <c r="GT450" i="5"/>
  <c r="GX445" i="5"/>
  <c r="GT445" i="5"/>
  <c r="FK445" i="5"/>
  <c r="GJ441" i="5"/>
  <c r="GJ443" i="5" s="1"/>
  <c r="GY440" i="5"/>
  <c r="M436" i="5"/>
  <c r="HC436" i="5" s="1"/>
  <c r="HC438" i="5" s="1"/>
  <c r="GY435" i="5"/>
  <c r="FK435" i="5"/>
  <c r="M431" i="5"/>
  <c r="HC431" i="5" s="1"/>
  <c r="HC433" i="5" s="1"/>
  <c r="GQ430" i="5"/>
  <c r="N427" i="5"/>
  <c r="M426" i="5"/>
  <c r="HC426" i="5" s="1"/>
  <c r="HC428" i="5" s="1"/>
  <c r="N422" i="5"/>
  <c r="GJ421" i="5"/>
  <c r="GJ423" i="5" s="1"/>
  <c r="GY420" i="5"/>
  <c r="GQ415" i="5"/>
  <c r="M412" i="5"/>
  <c r="HD411" i="5" s="1"/>
  <c r="HD413" i="5" s="1"/>
  <c r="M411" i="5"/>
  <c r="HC411" i="5" s="1"/>
  <c r="HC413" i="5" s="1"/>
  <c r="GY410" i="5"/>
  <c r="FK410" i="5"/>
  <c r="N407" i="5"/>
  <c r="O406" i="5"/>
  <c r="GQ405" i="5"/>
  <c r="GQ397" i="5"/>
  <c r="M394" i="5"/>
  <c r="HD393" i="5" s="1"/>
  <c r="HD395" i="5" s="1"/>
  <c r="M393" i="5"/>
  <c r="HC393" i="5" s="1"/>
  <c r="HC395" i="5" s="1"/>
  <c r="GQ392" i="5"/>
  <c r="M388" i="5"/>
  <c r="HC388" i="5" s="1"/>
  <c r="HC390" i="5" s="1"/>
  <c r="GY387" i="5"/>
  <c r="GJ383" i="5"/>
  <c r="GJ385" i="5" s="1"/>
  <c r="GQ382" i="5"/>
  <c r="M379" i="5"/>
  <c r="HD378" i="5" s="1"/>
  <c r="HD380" i="5" s="1"/>
  <c r="M378" i="5"/>
  <c r="HC378" i="5" s="1"/>
  <c r="HC380" i="5" s="1"/>
  <c r="GS377" i="5"/>
  <c r="M374" i="5"/>
  <c r="HD373" i="5" s="1"/>
  <c r="HD375" i="5" s="1"/>
  <c r="O373" i="5"/>
  <c r="GY372" i="5"/>
  <c r="M369" i="5"/>
  <c r="HD368" i="5" s="1"/>
  <c r="HD370" i="5" s="1"/>
  <c r="GJ368" i="5"/>
  <c r="GJ370" i="5" s="1"/>
  <c r="GY367" i="5"/>
  <c r="FK367" i="5"/>
  <c r="M363" i="5"/>
  <c r="HC363" i="5" s="1"/>
  <c r="HC365" i="5" s="1"/>
  <c r="GY362" i="5"/>
  <c r="FK362" i="5"/>
  <c r="GY357" i="5"/>
  <c r="GS352" i="5"/>
  <c r="GY709" i="5"/>
  <c r="N646" i="5"/>
  <c r="GQ631" i="5"/>
  <c r="GX606" i="5"/>
  <c r="GJ554" i="5"/>
  <c r="GJ556" i="5" s="1"/>
  <c r="N530" i="5"/>
  <c r="GQ528" i="5"/>
  <c r="GX518" i="5"/>
  <c r="M515" i="5"/>
  <c r="HD514" i="5" s="1"/>
  <c r="HD516" i="5" s="1"/>
  <c r="HB508" i="5"/>
  <c r="GQ498" i="5"/>
  <c r="HB493" i="5"/>
  <c r="O484" i="5"/>
  <c r="GJ476" i="5"/>
  <c r="GJ478" i="5" s="1"/>
  <c r="N472" i="5"/>
  <c r="FK465" i="5"/>
  <c r="GJ461" i="5"/>
  <c r="GJ463" i="5" s="1"/>
  <c r="GY460" i="5"/>
  <c r="GT460" i="5"/>
  <c r="O456" i="5"/>
  <c r="HB455" i="5"/>
  <c r="GS455" i="5"/>
  <c r="O451" i="5"/>
  <c r="GS450" i="5"/>
  <c r="FK450" i="5"/>
  <c r="N447" i="5"/>
  <c r="HB445" i="5"/>
  <c r="GS445" i="5"/>
  <c r="O441" i="5"/>
  <c r="HB440" i="5"/>
  <c r="GX440" i="5"/>
  <c r="GT440" i="5"/>
  <c r="FK440" i="5"/>
  <c r="N437" i="5"/>
  <c r="GJ436" i="5"/>
  <c r="GJ438" i="5" s="1"/>
  <c r="HB435" i="5"/>
  <c r="GX435" i="5"/>
  <c r="GT435" i="5"/>
  <c r="GJ431" i="5"/>
  <c r="GJ433" i="5" s="1"/>
  <c r="GY430" i="5"/>
  <c r="FK430" i="5"/>
  <c r="GJ426" i="5"/>
  <c r="GJ428" i="5" s="1"/>
  <c r="GY425" i="5"/>
  <c r="GQ425" i="5"/>
  <c r="O421" i="5"/>
  <c r="GS621" i="5"/>
  <c r="GQ538" i="5"/>
  <c r="GJ514" i="5"/>
  <c r="GJ516" i="5" s="1"/>
  <c r="FK503" i="5"/>
  <c r="M472" i="5"/>
  <c r="HD471" i="5" s="1"/>
  <c r="HD473" i="5" s="1"/>
  <c r="GX470" i="5"/>
  <c r="HB460" i="5"/>
  <c r="GS440" i="5"/>
  <c r="O431" i="5"/>
  <c r="GT430" i="5"/>
  <c r="HB425" i="5"/>
  <c r="GX420" i="5"/>
  <c r="GT420" i="5"/>
  <c r="M416" i="5"/>
  <c r="HC416" i="5" s="1"/>
  <c r="HC418" i="5" s="1"/>
  <c r="GY415" i="5"/>
  <c r="GT415" i="5"/>
  <c r="FK415" i="5"/>
  <c r="HB410" i="5"/>
  <c r="GS410" i="5"/>
  <c r="M406" i="5"/>
  <c r="HC406" i="5" s="1"/>
  <c r="HC408" i="5" s="1"/>
  <c r="FK405" i="5"/>
  <c r="HB397" i="5"/>
  <c r="GX397" i="5"/>
  <c r="GJ393" i="5"/>
  <c r="GJ395" i="5" s="1"/>
  <c r="HB392" i="5"/>
  <c r="GX392" i="5"/>
  <c r="O388" i="5"/>
  <c r="O383" i="5"/>
  <c r="HB382" i="5"/>
  <c r="GX382" i="5"/>
  <c r="GY377" i="5"/>
  <c r="FK377" i="5"/>
  <c r="M373" i="5"/>
  <c r="HC373" i="5" s="1"/>
  <c r="HC375" i="5" s="1"/>
  <c r="O368" i="5"/>
  <c r="HG363" i="5"/>
  <c r="HG365" i="5" s="1"/>
  <c r="O363" i="5"/>
  <c r="M358" i="5"/>
  <c r="HC358" i="5" s="1"/>
  <c r="HC360" i="5" s="1"/>
  <c r="FK357" i="5"/>
  <c r="N354" i="5"/>
  <c r="GJ353" i="5"/>
  <c r="GJ355" i="5" s="1"/>
  <c r="GY352" i="5"/>
  <c r="GT352" i="5"/>
  <c r="GJ348" i="5"/>
  <c r="GJ350" i="5" s="1"/>
  <c r="GY347" i="5"/>
  <c r="M343" i="5"/>
  <c r="HC343" i="5" s="1"/>
  <c r="HC345" i="5" s="1"/>
  <c r="GQ342" i="5"/>
  <c r="N339" i="5"/>
  <c r="M338" i="5"/>
  <c r="HC338" i="5" s="1"/>
  <c r="HC340" i="5" s="1"/>
  <c r="GY337" i="5"/>
  <c r="GS332" i="5"/>
  <c r="FK332" i="5"/>
  <c r="M328" i="5"/>
  <c r="HC328" i="5" s="1"/>
  <c r="HC330" i="5" s="1"/>
  <c r="GY327" i="5"/>
  <c r="FK327" i="5"/>
  <c r="N243" i="5"/>
  <c r="O242" i="5"/>
  <c r="GS241" i="5"/>
  <c r="M238" i="5"/>
  <c r="HD237" i="5" s="1"/>
  <c r="HD239" i="5" s="1"/>
  <c r="M237" i="5"/>
  <c r="HC237" i="5" s="1"/>
  <c r="HC239" i="5" s="1"/>
  <c r="GQ236" i="5"/>
  <c r="N233" i="5"/>
  <c r="O232" i="5"/>
  <c r="GQ231" i="5"/>
  <c r="O227" i="5"/>
  <c r="GS226" i="5"/>
  <c r="HB221" i="5"/>
  <c r="GX221" i="5"/>
  <c r="GT221" i="5"/>
  <c r="N218" i="5"/>
  <c r="GJ217" i="5"/>
  <c r="GJ219" i="5" s="1"/>
  <c r="GY216" i="5"/>
  <c r="GJ212" i="5"/>
  <c r="GJ214" i="5" s="1"/>
  <c r="HB211" i="5"/>
  <c r="GX211" i="5"/>
  <c r="GT211" i="5"/>
  <c r="N208" i="5"/>
  <c r="M207" i="5"/>
  <c r="HC207" i="5" s="1"/>
  <c r="HC209" i="5" s="1"/>
  <c r="GQ206" i="5"/>
  <c r="N203" i="5"/>
  <c r="GS201" i="5"/>
  <c r="N198" i="5"/>
  <c r="O197" i="5"/>
  <c r="HB196" i="5"/>
  <c r="GX196" i="5"/>
  <c r="GT196" i="5"/>
  <c r="FK196" i="5"/>
  <c r="M192" i="5"/>
  <c r="HC192" i="5" s="1"/>
  <c r="HC194" i="5" s="1"/>
  <c r="GS191" i="5"/>
  <c r="N188" i="5"/>
  <c r="O187" i="5"/>
  <c r="HB186" i="5"/>
  <c r="GX186" i="5"/>
  <c r="GT186" i="5"/>
  <c r="FK186" i="5"/>
  <c r="HG182" i="5"/>
  <c r="HG184" i="5" s="1"/>
  <c r="GJ182" i="5"/>
  <c r="GJ184" i="5" s="1"/>
  <c r="GY181" i="5"/>
  <c r="FK181" i="5"/>
  <c r="GS176" i="5"/>
  <c r="M173" i="5"/>
  <c r="HD172" i="5" s="1"/>
  <c r="HD174" i="5" s="1"/>
  <c r="GJ172" i="5"/>
  <c r="GJ174" i="5" s="1"/>
  <c r="HB171" i="5"/>
  <c r="GX171" i="5"/>
  <c r="GT171" i="5"/>
  <c r="O320" i="5"/>
  <c r="HB319" i="5"/>
  <c r="GX319" i="5"/>
  <c r="GT319" i="5"/>
  <c r="FK319" i="5"/>
  <c r="M316" i="5"/>
  <c r="HD315" i="5" s="1"/>
  <c r="HD317" i="5" s="1"/>
  <c r="O315" i="5"/>
  <c r="GS314" i="5"/>
  <c r="N311" i="5"/>
  <c r="GS309" i="5"/>
  <c r="GJ305" i="5"/>
  <c r="GJ307" i="5" s="1"/>
  <c r="HB304" i="5"/>
  <c r="GX304" i="5"/>
  <c r="GT304" i="5"/>
  <c r="O300" i="5"/>
  <c r="GS299" i="5"/>
  <c r="GJ295" i="5"/>
  <c r="GJ297" i="5" s="1"/>
  <c r="GY294" i="5"/>
  <c r="FK294" i="5"/>
  <c r="M290" i="5"/>
  <c r="HC290" i="5" s="1"/>
  <c r="HC292" i="5" s="1"/>
  <c r="GQ289" i="5"/>
  <c r="M285" i="5"/>
  <c r="HC285" i="5" s="1"/>
  <c r="HC287" i="5" s="1"/>
  <c r="GS284" i="5"/>
  <c r="M281" i="5"/>
  <c r="HD280" i="5" s="1"/>
  <c r="HD282" i="5" s="1"/>
  <c r="O280" i="5"/>
  <c r="HB279" i="5"/>
  <c r="GX279" i="5"/>
  <c r="GT279" i="5"/>
  <c r="FK279" i="5"/>
  <c r="GJ275" i="5"/>
  <c r="GJ277" i="5" s="1"/>
  <c r="HB274" i="5"/>
  <c r="GX274" i="5"/>
  <c r="GT274" i="5"/>
  <c r="FK274" i="5"/>
  <c r="M270" i="5"/>
  <c r="HC270" i="5" s="1"/>
  <c r="HC272" i="5" s="1"/>
  <c r="GQ269" i="5"/>
  <c r="N266" i="5"/>
  <c r="GJ265" i="5"/>
  <c r="GJ267" i="5" s="1"/>
  <c r="HB264" i="5"/>
  <c r="GX264" i="5"/>
  <c r="GT264" i="5"/>
  <c r="FK264" i="5"/>
  <c r="GJ260" i="5"/>
  <c r="GJ262" i="5" s="1"/>
  <c r="GY259" i="5"/>
  <c r="FK259" i="5"/>
  <c r="N256" i="5"/>
  <c r="M255" i="5"/>
  <c r="HC255" i="5" s="1"/>
  <c r="HC257" i="5" s="1"/>
  <c r="GQ254" i="5"/>
  <c r="GJ250" i="5"/>
  <c r="GJ252" i="5" s="1"/>
  <c r="GY249" i="5"/>
  <c r="N165" i="5"/>
  <c r="M164" i="5"/>
  <c r="HC164" i="5" s="1"/>
  <c r="HC166" i="5" s="1"/>
  <c r="GQ163" i="5"/>
  <c r="M159" i="5"/>
  <c r="HC159" i="5" s="1"/>
  <c r="HC161" i="5" s="1"/>
  <c r="GQ158" i="5"/>
  <c r="GS153" i="5"/>
  <c r="N150" i="5"/>
  <c r="HG149" i="5"/>
  <c r="HG151" i="5" s="1"/>
  <c r="O149" i="5"/>
  <c r="HB148" i="5"/>
  <c r="GX148" i="5"/>
  <c r="GT148" i="5"/>
  <c r="GJ144" i="5"/>
  <c r="GJ146" i="5" s="1"/>
  <c r="HB143" i="5"/>
  <c r="GX143" i="5"/>
  <c r="GT143" i="5"/>
  <c r="FK143" i="5"/>
  <c r="M140" i="5"/>
  <c r="HD139" i="5" s="1"/>
  <c r="HD141" i="5" s="1"/>
  <c r="M139" i="5"/>
  <c r="HC139" i="5" s="1"/>
  <c r="HC141" i="5" s="1"/>
  <c r="GY138" i="5"/>
  <c r="M471" i="5"/>
  <c r="HC471" i="5" s="1"/>
  <c r="HC473" i="5" s="1"/>
  <c r="GJ466" i="5"/>
  <c r="GJ468" i="5" s="1"/>
  <c r="O461" i="5"/>
  <c r="GJ446" i="5"/>
  <c r="GJ448" i="5" s="1"/>
  <c r="GS435" i="5"/>
  <c r="GX430" i="5"/>
  <c r="O426" i="5"/>
  <c r="HB420" i="5"/>
  <c r="GS420" i="5"/>
  <c r="N417" i="5"/>
  <c r="HB415" i="5"/>
  <c r="GX415" i="5"/>
  <c r="GJ411" i="5"/>
  <c r="GJ413" i="5" s="1"/>
  <c r="GJ398" i="5"/>
  <c r="GJ400" i="5" s="1"/>
  <c r="O393" i="5"/>
  <c r="HG388" i="5"/>
  <c r="HG390" i="5" s="1"/>
  <c r="GX387" i="5"/>
  <c r="GT387" i="5"/>
  <c r="FK382" i="5"/>
  <c r="GJ378" i="5"/>
  <c r="GJ380" i="5" s="1"/>
  <c r="GX372" i="5"/>
  <c r="GT372" i="5"/>
  <c r="FK372" i="5"/>
  <c r="N364" i="5"/>
  <c r="GX362" i="5"/>
  <c r="GT362" i="5"/>
  <c r="N359" i="5"/>
  <c r="GX357" i="5"/>
  <c r="GT357" i="5"/>
  <c r="O353" i="5"/>
  <c r="HB352" i="5"/>
  <c r="GX352" i="5"/>
  <c r="GQ352" i="5"/>
  <c r="O348" i="5"/>
  <c r="HB347" i="5"/>
  <c r="GX347" i="5"/>
  <c r="GT347" i="5"/>
  <c r="GJ343" i="5"/>
  <c r="GJ345" i="5" s="1"/>
  <c r="GY342" i="5"/>
  <c r="FK342" i="5"/>
  <c r="GJ338" i="5"/>
  <c r="GJ340" i="5" s="1"/>
  <c r="HB337" i="5"/>
  <c r="GX337" i="5"/>
  <c r="GT337" i="5"/>
  <c r="FK337" i="5"/>
  <c r="M333" i="5"/>
  <c r="HC333" i="5" s="1"/>
  <c r="HC335" i="5" s="1"/>
  <c r="N329" i="5"/>
  <c r="GJ328" i="5"/>
  <c r="GJ330" i="5" s="1"/>
  <c r="HB327" i="5"/>
  <c r="GX327" i="5"/>
  <c r="GT327" i="5"/>
  <c r="GQ241" i="5"/>
  <c r="GJ237" i="5"/>
  <c r="GJ239" i="5" s="1"/>
  <c r="GY236" i="5"/>
  <c r="FK236" i="5"/>
  <c r="GY231" i="5"/>
  <c r="GQ226" i="5"/>
  <c r="M222" i="5"/>
  <c r="HC222" i="5" s="1"/>
  <c r="HC224" i="5" s="1"/>
  <c r="GW221" i="5"/>
  <c r="GS221" i="5"/>
  <c r="FK221" i="5"/>
  <c r="O217" i="5"/>
  <c r="HB216" i="5"/>
  <c r="GX216" i="5"/>
  <c r="GT216" i="5"/>
  <c r="FK216" i="5"/>
  <c r="N213" i="5"/>
  <c r="O212" i="5"/>
  <c r="GS211" i="5"/>
  <c r="GJ207" i="5"/>
  <c r="GJ209" i="5" s="1"/>
  <c r="GY206" i="5"/>
  <c r="M202" i="5"/>
  <c r="HC202" i="5" s="1"/>
  <c r="HC204" i="5" s="1"/>
  <c r="GQ201" i="5"/>
  <c r="GS196" i="5"/>
  <c r="GJ192" i="5"/>
  <c r="GJ194" i="5" s="1"/>
  <c r="GQ191" i="5"/>
  <c r="FK191" i="5"/>
  <c r="M188" i="5"/>
  <c r="HD187" i="5" s="1"/>
  <c r="HD189" i="5" s="1"/>
  <c r="GS186" i="5"/>
  <c r="N183" i="5"/>
  <c r="O182" i="5"/>
  <c r="HB181" i="5"/>
  <c r="GX181" i="5"/>
  <c r="GT181" i="5"/>
  <c r="N178" i="5"/>
  <c r="M177" i="5"/>
  <c r="HC177" i="5" s="1"/>
  <c r="HC179" i="5" s="1"/>
  <c r="GQ176" i="5"/>
  <c r="O172" i="5"/>
  <c r="GS171" i="5"/>
  <c r="N321" i="5"/>
  <c r="GS319" i="5"/>
  <c r="GQ314" i="5"/>
  <c r="M311" i="5"/>
  <c r="HD310" i="5" s="1"/>
  <c r="HD312" i="5" s="1"/>
  <c r="M310" i="5"/>
  <c r="HC310" i="5" s="1"/>
  <c r="HC312" i="5" s="1"/>
  <c r="GQ309" i="5"/>
  <c r="O305" i="5"/>
  <c r="GS304" i="5"/>
  <c r="N301" i="5"/>
  <c r="GQ299" i="5"/>
  <c r="N296" i="5"/>
  <c r="O295" i="5"/>
  <c r="HB294" i="5"/>
  <c r="GX294" i="5"/>
  <c r="GT294" i="5"/>
  <c r="GJ290" i="5"/>
  <c r="GJ292" i="5" s="1"/>
  <c r="GY289" i="5"/>
  <c r="FK289" i="5"/>
  <c r="GJ285" i="5"/>
  <c r="GJ287" i="5" s="1"/>
  <c r="GQ284" i="5"/>
  <c r="GS279" i="5"/>
  <c r="N276" i="5"/>
  <c r="O275" i="5"/>
  <c r="GS274" i="5"/>
  <c r="GJ270" i="5"/>
  <c r="GJ272" i="5" s="1"/>
  <c r="GY269" i="5"/>
  <c r="M266" i="5"/>
  <c r="HD265" i="5" s="1"/>
  <c r="HD267" i="5" s="1"/>
  <c r="O265" i="5"/>
  <c r="GS264" i="5"/>
  <c r="O260" i="5"/>
  <c r="HB259" i="5"/>
  <c r="GX259" i="5"/>
  <c r="GT259" i="5"/>
  <c r="GJ255" i="5"/>
  <c r="GJ257" i="5" s="1"/>
  <c r="GY254" i="5"/>
  <c r="FK254" i="5"/>
  <c r="O250" i="5"/>
  <c r="HB249" i="5"/>
  <c r="GX249" i="5"/>
  <c r="GT249" i="5"/>
  <c r="GJ164" i="5"/>
  <c r="GJ166" i="5" s="1"/>
  <c r="GY163" i="5"/>
  <c r="FK163" i="5"/>
  <c r="GJ159" i="5"/>
  <c r="GJ161" i="5" s="1"/>
  <c r="GY158" i="5"/>
  <c r="FK158" i="5"/>
  <c r="N155" i="5"/>
  <c r="M154" i="5"/>
  <c r="HC154" i="5" s="1"/>
  <c r="HC156" i="5" s="1"/>
  <c r="GQ153" i="5"/>
  <c r="M150" i="5"/>
  <c r="HD149" i="5" s="1"/>
  <c r="HD151" i="5" s="1"/>
  <c r="GS148" i="5"/>
  <c r="N145" i="5"/>
  <c r="O144" i="5"/>
  <c r="GS143" i="5"/>
  <c r="GJ139" i="5"/>
  <c r="GJ141" i="5" s="1"/>
  <c r="HB138" i="5"/>
  <c r="GX138" i="5"/>
  <c r="GT138" i="5"/>
  <c r="GS133" i="5"/>
  <c r="GJ627" i="5"/>
  <c r="GJ629" i="5" s="1"/>
  <c r="FK616" i="5"/>
  <c r="FK596" i="5"/>
  <c r="GQ533" i="5"/>
  <c r="GS488" i="5"/>
  <c r="N485" i="5"/>
  <c r="GT483" i="5"/>
  <c r="FK483" i="5"/>
  <c r="GT465" i="5"/>
  <c r="M437" i="5"/>
  <c r="HD436" i="5" s="1"/>
  <c r="HD438" i="5" s="1"/>
  <c r="O436" i="5"/>
  <c r="HB430" i="5"/>
  <c r="GT425" i="5"/>
  <c r="GJ416" i="5"/>
  <c r="GJ418" i="5" s="1"/>
  <c r="O411" i="5"/>
  <c r="GY405" i="5"/>
  <c r="GT405" i="5"/>
  <c r="N389" i="5"/>
  <c r="HB387" i="5"/>
  <c r="GS387" i="5"/>
  <c r="O378" i="5"/>
  <c r="HB372" i="5"/>
  <c r="GS372" i="5"/>
  <c r="GX367" i="5"/>
  <c r="GT367" i="5"/>
  <c r="HB362" i="5"/>
  <c r="GS362" i="5"/>
  <c r="GJ358" i="5"/>
  <c r="GJ360" i="5" s="1"/>
  <c r="HB357" i="5"/>
  <c r="GS357" i="5"/>
  <c r="FK352" i="5"/>
  <c r="N349" i="5"/>
  <c r="GS347" i="5"/>
  <c r="N344" i="5"/>
  <c r="O343" i="5"/>
  <c r="HB342" i="5"/>
  <c r="GX342" i="5"/>
  <c r="GT342" i="5"/>
  <c r="O338" i="5"/>
  <c r="GS337" i="5"/>
  <c r="GJ333" i="5"/>
  <c r="GJ335" i="5" s="1"/>
  <c r="GY332" i="5"/>
  <c r="GQ332" i="5"/>
  <c r="M329" i="5"/>
  <c r="HD328" i="5" s="1"/>
  <c r="HD330" i="5" s="1"/>
  <c r="O328" i="5"/>
  <c r="GS327" i="5"/>
  <c r="M242" i="5"/>
  <c r="HC242" i="5" s="1"/>
  <c r="HC244" i="5" s="1"/>
  <c r="GY241" i="5"/>
  <c r="FK241" i="5"/>
  <c r="O237" i="5"/>
  <c r="HB236" i="5"/>
  <c r="GX236" i="5"/>
  <c r="GT236" i="5"/>
  <c r="M232" i="5"/>
  <c r="HC232" i="5" s="1"/>
  <c r="HC234" i="5" s="1"/>
  <c r="HB231" i="5"/>
  <c r="GX231" i="5"/>
  <c r="GT231" i="5"/>
  <c r="FK231" i="5"/>
  <c r="N228" i="5"/>
  <c r="M227" i="5"/>
  <c r="HC227" i="5" s="1"/>
  <c r="HC229" i="5" s="1"/>
  <c r="GY226" i="5"/>
  <c r="FK226" i="5"/>
  <c r="HG222" i="5"/>
  <c r="HG224" i="5" s="1"/>
  <c r="GJ222" i="5"/>
  <c r="GJ224" i="5" s="1"/>
  <c r="GQ221" i="5"/>
  <c r="GS216" i="5"/>
  <c r="FK211" i="5"/>
  <c r="O207" i="5"/>
  <c r="HB206" i="5"/>
  <c r="GX206" i="5"/>
  <c r="GT206" i="5"/>
  <c r="FK206" i="5"/>
  <c r="GJ202" i="5"/>
  <c r="GJ204" i="5" s="1"/>
  <c r="GY201" i="5"/>
  <c r="M197" i="5"/>
  <c r="HC197" i="5" s="1"/>
  <c r="HC199" i="5" s="1"/>
  <c r="GQ196" i="5"/>
  <c r="N193" i="5"/>
  <c r="HG192" i="5"/>
  <c r="HG194" i="5" s="1"/>
  <c r="O192" i="5"/>
  <c r="GY191" i="5"/>
  <c r="M187" i="5"/>
  <c r="HC187" i="5" s="1"/>
  <c r="HC189" i="5" s="1"/>
  <c r="GQ186" i="5"/>
  <c r="GS181" i="5"/>
  <c r="GJ177" i="5"/>
  <c r="GJ179" i="5" s="1"/>
  <c r="GY176" i="5"/>
  <c r="GQ171" i="5"/>
  <c r="M320" i="5"/>
  <c r="HC320" i="5" s="1"/>
  <c r="HC322" i="5" s="1"/>
  <c r="GQ319" i="5"/>
  <c r="GX679" i="5"/>
  <c r="O607" i="5"/>
  <c r="HB606" i="5"/>
  <c r="GY483" i="5"/>
  <c r="GT470" i="5"/>
  <c r="GY465" i="5"/>
  <c r="GX460" i="5"/>
  <c r="GQ455" i="5"/>
  <c r="GQ445" i="5"/>
  <c r="GX425" i="5"/>
  <c r="FK420" i="5"/>
  <c r="GX410" i="5"/>
  <c r="GT410" i="5"/>
  <c r="HB405" i="5"/>
  <c r="GT397" i="5"/>
  <c r="FK397" i="5"/>
  <c r="M353" i="5"/>
  <c r="HC353" i="5" s="1"/>
  <c r="HC355" i="5" s="1"/>
  <c r="FT349" i="5"/>
  <c r="GS342" i="5"/>
  <c r="N334" i="5"/>
  <c r="O333" i="5"/>
  <c r="N238" i="5"/>
  <c r="GJ232" i="5"/>
  <c r="GJ234" i="5" s="1"/>
  <c r="O222" i="5"/>
  <c r="GS206" i="5"/>
  <c r="GT201" i="5"/>
  <c r="GX191" i="5"/>
  <c r="GJ187" i="5"/>
  <c r="GJ189" i="5" s="1"/>
  <c r="M182" i="5"/>
  <c r="HC182" i="5" s="1"/>
  <c r="HC184" i="5" s="1"/>
  <c r="GT176" i="5"/>
  <c r="GY171" i="5"/>
  <c r="HB314" i="5"/>
  <c r="GX314" i="5"/>
  <c r="FK314" i="5"/>
  <c r="GY309" i="5"/>
  <c r="GT309" i="5"/>
  <c r="FK309" i="5"/>
  <c r="M305" i="5"/>
  <c r="HC305" i="5" s="1"/>
  <c r="HC307" i="5" s="1"/>
  <c r="M300" i="5"/>
  <c r="HC300" i="5" s="1"/>
  <c r="HC302" i="5" s="1"/>
  <c r="GY299" i="5"/>
  <c r="GT299" i="5"/>
  <c r="FK299" i="5"/>
  <c r="O290" i="5"/>
  <c r="HG280" i="5"/>
  <c r="HG282" i="5" s="1"/>
  <c r="GQ279" i="5"/>
  <c r="M275" i="5"/>
  <c r="HC275" i="5" s="1"/>
  <c r="HC277" i="5" s="1"/>
  <c r="M271" i="5"/>
  <c r="HD270" i="5" s="1"/>
  <c r="HD272" i="5" s="1"/>
  <c r="FK269" i="5"/>
  <c r="GQ264" i="5"/>
  <c r="N261" i="5"/>
  <c r="GS259" i="5"/>
  <c r="HB163" i="5"/>
  <c r="GS163" i="5"/>
  <c r="HB158" i="5"/>
  <c r="GS158" i="5"/>
  <c r="GJ149" i="5"/>
  <c r="GJ151" i="5" s="1"/>
  <c r="GY143" i="5"/>
  <c r="N140" i="5"/>
  <c r="FK138" i="5"/>
  <c r="M134" i="5"/>
  <c r="HC134" i="5" s="1"/>
  <c r="HC136" i="5" s="1"/>
  <c r="FK133" i="5"/>
  <c r="GJ129" i="5"/>
  <c r="GJ131" i="5" s="1"/>
  <c r="GY128" i="5"/>
  <c r="FK128" i="5"/>
  <c r="M125" i="5"/>
  <c r="HD124" i="5" s="1"/>
  <c r="HD126" i="5" s="1"/>
  <c r="O124" i="5"/>
  <c r="HB123" i="5"/>
  <c r="GX123" i="5"/>
  <c r="GT123" i="5"/>
  <c r="FK123" i="5"/>
  <c r="M120" i="5"/>
  <c r="HD119" i="5" s="1"/>
  <c r="HD121" i="5" s="1"/>
  <c r="O119" i="5"/>
  <c r="GS118" i="5"/>
  <c r="GJ114" i="5"/>
  <c r="GJ116" i="5" s="1"/>
  <c r="HB113" i="5"/>
  <c r="GX113" i="5"/>
  <c r="GT113" i="5"/>
  <c r="M110" i="5"/>
  <c r="HD109" i="5" s="1"/>
  <c r="HD111" i="5" s="1"/>
  <c r="GQ108" i="5"/>
  <c r="N105" i="5"/>
  <c r="O104" i="5"/>
  <c r="HB103" i="5"/>
  <c r="GX103" i="5"/>
  <c r="GT103" i="5"/>
  <c r="FK103" i="5"/>
  <c r="M100" i="5"/>
  <c r="HD99" i="5" s="1"/>
  <c r="HD101" i="5" s="1"/>
  <c r="O99" i="5"/>
  <c r="GS98" i="5"/>
  <c r="GQ93" i="5"/>
  <c r="O86" i="5"/>
  <c r="GS85" i="5"/>
  <c r="N82" i="5"/>
  <c r="HG81" i="5"/>
  <c r="HG83" i="5" s="1"/>
  <c r="GJ81" i="5"/>
  <c r="GJ83" i="5" s="1"/>
  <c r="GY80" i="5"/>
  <c r="FK80" i="5"/>
  <c r="GS75" i="5"/>
  <c r="GJ71" i="5"/>
  <c r="GJ73" i="5" s="1"/>
  <c r="GY70" i="5"/>
  <c r="FK70" i="5"/>
  <c r="GQ65" i="5"/>
  <c r="GQ60" i="5"/>
  <c r="N57" i="5"/>
  <c r="HG56" i="5"/>
  <c r="HG58" i="5" s="1"/>
  <c r="GJ56" i="5"/>
  <c r="GJ58" i="5" s="1"/>
  <c r="GQ55" i="5"/>
  <c r="GY397" i="5"/>
  <c r="GJ388" i="5"/>
  <c r="GJ390" i="5" s="1"/>
  <c r="GT382" i="5"/>
  <c r="GQ377" i="5"/>
  <c r="HB367" i="5"/>
  <c r="GQ347" i="5"/>
  <c r="FK347" i="5"/>
  <c r="GT332" i="5"/>
  <c r="GQ327" i="5"/>
  <c r="GJ242" i="5"/>
  <c r="GJ244" i="5" s="1"/>
  <c r="GT241" i="5"/>
  <c r="GS236" i="5"/>
  <c r="GJ227" i="5"/>
  <c r="GJ229" i="5" s="1"/>
  <c r="GT226" i="5"/>
  <c r="N223" i="5"/>
  <c r="GY221" i="5"/>
  <c r="M217" i="5"/>
  <c r="HC217" i="5" s="1"/>
  <c r="HC219" i="5" s="1"/>
  <c r="GY211" i="5"/>
  <c r="GQ211" i="5"/>
  <c r="GX201" i="5"/>
  <c r="HB191" i="5"/>
  <c r="GY186" i="5"/>
  <c r="GQ181" i="5"/>
  <c r="GX176" i="5"/>
  <c r="FK176" i="5"/>
  <c r="N173" i="5"/>
  <c r="M172" i="5"/>
  <c r="HC172" i="5" s="1"/>
  <c r="HC174" i="5" s="1"/>
  <c r="N316" i="5"/>
  <c r="GJ315" i="5"/>
  <c r="GJ317" i="5" s="1"/>
  <c r="GJ310" i="5"/>
  <c r="GJ312" i="5" s="1"/>
  <c r="HB309" i="5"/>
  <c r="GX309" i="5"/>
  <c r="HB299" i="5"/>
  <c r="GX299" i="5"/>
  <c r="M296" i="5"/>
  <c r="HD295" i="5" s="1"/>
  <c r="HD297" i="5" s="1"/>
  <c r="GS294" i="5"/>
  <c r="N286" i="5"/>
  <c r="HG285" i="5"/>
  <c r="HG287" i="5" s="1"/>
  <c r="GY284" i="5"/>
  <c r="GT284" i="5"/>
  <c r="M280" i="5"/>
  <c r="HC280" i="5" s="1"/>
  <c r="HC282" i="5" s="1"/>
  <c r="GY279" i="5"/>
  <c r="O270" i="5"/>
  <c r="GY264" i="5"/>
  <c r="GQ259" i="5"/>
  <c r="O255" i="5"/>
  <c r="N251" i="5"/>
  <c r="FK249" i="5"/>
  <c r="O159" i="5"/>
  <c r="GY153" i="5"/>
  <c r="GT153" i="5"/>
  <c r="FK153" i="5"/>
  <c r="GQ148" i="5"/>
  <c r="M144" i="5"/>
  <c r="HC144" i="5" s="1"/>
  <c r="HC146" i="5" s="1"/>
  <c r="N135" i="5"/>
  <c r="GJ134" i="5"/>
  <c r="GJ136" i="5" s="1"/>
  <c r="GY133" i="5"/>
  <c r="GT133" i="5"/>
  <c r="O129" i="5"/>
  <c r="HB128" i="5"/>
  <c r="GX128" i="5"/>
  <c r="GT128" i="5"/>
  <c r="GS123" i="5"/>
  <c r="GQ118" i="5"/>
  <c r="N115" i="5"/>
  <c r="O114" i="5"/>
  <c r="GS113" i="5"/>
  <c r="M109" i="5"/>
  <c r="HC109" i="5" s="1"/>
  <c r="HC111" i="5" s="1"/>
  <c r="GY108" i="5"/>
  <c r="FK108" i="5"/>
  <c r="GS103" i="5"/>
  <c r="GQ98" i="5"/>
  <c r="N95" i="5"/>
  <c r="M94" i="5"/>
  <c r="HC94" i="5" s="1"/>
  <c r="HC96" i="5" s="1"/>
  <c r="GY93" i="5"/>
  <c r="N87" i="5"/>
  <c r="GQ85" i="5"/>
  <c r="M82" i="5"/>
  <c r="HD81" i="5" s="1"/>
  <c r="HD83" i="5" s="1"/>
  <c r="O81" i="5"/>
  <c r="HB80" i="5"/>
  <c r="GX80" i="5"/>
  <c r="GT80" i="5"/>
  <c r="M76" i="5"/>
  <c r="HC76" i="5" s="1"/>
  <c r="HC78" i="5" s="1"/>
  <c r="GQ75" i="5"/>
  <c r="N72" i="5"/>
  <c r="O71" i="5"/>
  <c r="HB70" i="5"/>
  <c r="GX70" i="5"/>
  <c r="GT70" i="5"/>
  <c r="M66" i="5"/>
  <c r="HC66" i="5" s="1"/>
  <c r="HC68" i="5" s="1"/>
  <c r="GY65" i="5"/>
  <c r="FK65" i="5"/>
  <c r="M61" i="5"/>
  <c r="HC61" i="5" s="1"/>
  <c r="HC63" i="5" s="1"/>
  <c r="GY60" i="5"/>
  <c r="FK60" i="5"/>
  <c r="M57" i="5"/>
  <c r="HD56" i="5" s="1"/>
  <c r="HD58" i="5" s="1"/>
  <c r="O56" i="5"/>
  <c r="M398" i="5"/>
  <c r="HC398" i="5" s="1"/>
  <c r="HC400" i="5" s="1"/>
  <c r="GT392" i="5"/>
  <c r="FK392" i="5"/>
  <c r="GY382" i="5"/>
  <c r="HG358" i="5"/>
  <c r="HG360" i="5" s="1"/>
  <c r="GQ337" i="5"/>
  <c r="GX332" i="5"/>
  <c r="GX241" i="5"/>
  <c r="HG232" i="5"/>
  <c r="HG234" i="5" s="1"/>
  <c r="GS231" i="5"/>
  <c r="GX226" i="5"/>
  <c r="M212" i="5"/>
  <c r="HC212" i="5" s="1"/>
  <c r="HC214" i="5" s="1"/>
  <c r="HB201" i="5"/>
  <c r="FK201" i="5"/>
  <c r="GJ197" i="5"/>
  <c r="GJ199" i="5" s="1"/>
  <c r="HB176" i="5"/>
  <c r="GJ320" i="5"/>
  <c r="GJ322" i="5" s="1"/>
  <c r="O310" i="5"/>
  <c r="N306" i="5"/>
  <c r="GQ304" i="5"/>
  <c r="M301" i="5"/>
  <c r="HD300" i="5" s="1"/>
  <c r="HD302" i="5" s="1"/>
  <c r="GJ300" i="5"/>
  <c r="GJ302" i="5" s="1"/>
  <c r="GQ294" i="5"/>
  <c r="N291" i="5"/>
  <c r="GX289" i="5"/>
  <c r="GT289" i="5"/>
  <c r="M286" i="5"/>
  <c r="HD285" i="5" s="1"/>
  <c r="HD287" i="5" s="1"/>
  <c r="HB284" i="5"/>
  <c r="GX284" i="5"/>
  <c r="N281" i="5"/>
  <c r="GQ274" i="5"/>
  <c r="GX269" i="5"/>
  <c r="GT269" i="5"/>
  <c r="M265" i="5"/>
  <c r="HC265" i="5" s="1"/>
  <c r="HC267" i="5" s="1"/>
  <c r="M260" i="5"/>
  <c r="HC260" i="5" s="1"/>
  <c r="HC262" i="5" s="1"/>
  <c r="GX254" i="5"/>
  <c r="GT254" i="5"/>
  <c r="GS249" i="5"/>
  <c r="O164" i="5"/>
  <c r="N160" i="5"/>
  <c r="GJ154" i="5"/>
  <c r="GJ156" i="5" s="1"/>
  <c r="HB153" i="5"/>
  <c r="GX153" i="5"/>
  <c r="GX405" i="5"/>
  <c r="GY392" i="5"/>
  <c r="FK387" i="5"/>
  <c r="GS367" i="5"/>
  <c r="GJ363" i="5"/>
  <c r="GJ365" i="5" s="1"/>
  <c r="M348" i="5"/>
  <c r="HC348" i="5" s="1"/>
  <c r="HC350" i="5" s="1"/>
  <c r="HB332" i="5"/>
  <c r="HB241" i="5"/>
  <c r="HB226" i="5"/>
  <c r="GQ216" i="5"/>
  <c r="O202" i="5"/>
  <c r="HG197" i="5"/>
  <c r="HG199" i="5" s="1"/>
  <c r="GY196" i="5"/>
  <c r="M193" i="5"/>
  <c r="HD192" i="5" s="1"/>
  <c r="HD194" i="5" s="1"/>
  <c r="GT191" i="5"/>
  <c r="O177" i="5"/>
  <c r="FK171" i="5"/>
  <c r="GY319" i="5"/>
  <c r="M315" i="5"/>
  <c r="HC315" i="5" s="1"/>
  <c r="HC317" i="5" s="1"/>
  <c r="GY314" i="5"/>
  <c r="GT314" i="5"/>
  <c r="GY304" i="5"/>
  <c r="FK304" i="5"/>
  <c r="M295" i="5"/>
  <c r="HC295" i="5" s="1"/>
  <c r="HC297" i="5" s="1"/>
  <c r="HB289" i="5"/>
  <c r="GS289" i="5"/>
  <c r="O285" i="5"/>
  <c r="FK284" i="5"/>
  <c r="GJ280" i="5"/>
  <c r="GJ282" i="5" s="1"/>
  <c r="GY274" i="5"/>
  <c r="N271" i="5"/>
  <c r="HG270" i="5"/>
  <c r="HG272" i="5" s="1"/>
  <c r="HB269" i="5"/>
  <c r="GS269" i="5"/>
  <c r="HB254" i="5"/>
  <c r="GS254" i="5"/>
  <c r="M250" i="5"/>
  <c r="HC250" i="5" s="1"/>
  <c r="HC252" i="5" s="1"/>
  <c r="GT163" i="5"/>
  <c r="M149" i="5"/>
  <c r="HC149" i="5" s="1"/>
  <c r="HC151" i="5" s="1"/>
  <c r="GY148" i="5"/>
  <c r="GQ143" i="5"/>
  <c r="O139" i="5"/>
  <c r="GQ138" i="5"/>
  <c r="O134" i="5"/>
  <c r="M129" i="5"/>
  <c r="HC129" i="5" s="1"/>
  <c r="HC131" i="5" s="1"/>
  <c r="N125" i="5"/>
  <c r="GJ124" i="5"/>
  <c r="GJ126" i="5" s="1"/>
  <c r="GJ119" i="5"/>
  <c r="GJ121" i="5" s="1"/>
  <c r="GQ113" i="5"/>
  <c r="GX108" i="5"/>
  <c r="GT108" i="5"/>
  <c r="HG104" i="5"/>
  <c r="HG106" i="5" s="1"/>
  <c r="GQ103" i="5"/>
  <c r="M99" i="5"/>
  <c r="HC99" i="5" s="1"/>
  <c r="HC101" i="5" s="1"/>
  <c r="GY98" i="5"/>
  <c r="GT98" i="5"/>
  <c r="O94" i="5"/>
  <c r="M87" i="5"/>
  <c r="HD86" i="5" s="1"/>
  <c r="HD88" i="5" s="1"/>
  <c r="GJ86" i="5"/>
  <c r="GJ88" i="5" s="1"/>
  <c r="GQ80" i="5"/>
  <c r="O76" i="5"/>
  <c r="FK75" i="5"/>
  <c r="GQ70" i="5"/>
  <c r="M67" i="5"/>
  <c r="HD66" i="5" s="1"/>
  <c r="HD68" i="5" s="1"/>
  <c r="GX65" i="5"/>
  <c r="GT65" i="5"/>
  <c r="GX60" i="5"/>
  <c r="GX163" i="5"/>
  <c r="GT158" i="5"/>
  <c r="O154" i="5"/>
  <c r="GQ133" i="5"/>
  <c r="N130" i="5"/>
  <c r="GQ123" i="5"/>
  <c r="HG119" i="5"/>
  <c r="HG121" i="5" s="1"/>
  <c r="GY113" i="5"/>
  <c r="FK113" i="5"/>
  <c r="HB108" i="5"/>
  <c r="GS108" i="5"/>
  <c r="M104" i="5"/>
  <c r="HC104" i="5" s="1"/>
  <c r="HC106" i="5" s="1"/>
  <c r="GY103" i="5"/>
  <c r="HB98" i="5"/>
  <c r="GX98" i="5"/>
  <c r="FK98" i="5"/>
  <c r="GX93" i="5"/>
  <c r="GT93" i="5"/>
  <c r="M81" i="5"/>
  <c r="HC81" i="5" s="1"/>
  <c r="HC83" i="5" s="1"/>
  <c r="HG76" i="5"/>
  <c r="HG78" i="5" s="1"/>
  <c r="M71" i="5"/>
  <c r="HC71" i="5" s="1"/>
  <c r="HC73" i="5" s="1"/>
  <c r="HB65" i="5"/>
  <c r="GS65" i="5"/>
  <c r="HB60" i="5"/>
  <c r="GS60" i="5"/>
  <c r="GY55" i="5"/>
  <c r="N52" i="5"/>
  <c r="GQ50" i="5"/>
  <c r="M47" i="5"/>
  <c r="HD46" i="5" s="1"/>
  <c r="HD48" i="5" s="1"/>
  <c r="M46" i="5"/>
  <c r="HC46" i="5" s="1"/>
  <c r="HC48" i="5" s="1"/>
  <c r="GQ45" i="5"/>
  <c r="GX158" i="5"/>
  <c r="FK148" i="5"/>
  <c r="M145" i="5"/>
  <c r="HD144" i="5" s="1"/>
  <c r="HD146" i="5" s="1"/>
  <c r="GS128" i="5"/>
  <c r="M124" i="5"/>
  <c r="HC124" i="5" s="1"/>
  <c r="HC126" i="5" s="1"/>
  <c r="GY123" i="5"/>
  <c r="GY118" i="5"/>
  <c r="FK118" i="5"/>
  <c r="N110" i="5"/>
  <c r="N100" i="5"/>
  <c r="HB93" i="5"/>
  <c r="M86" i="5"/>
  <c r="HC86" i="5" s="1"/>
  <c r="HC88" i="5" s="1"/>
  <c r="GT85" i="5"/>
  <c r="FK85" i="5"/>
  <c r="GY75" i="5"/>
  <c r="GJ66" i="5"/>
  <c r="GJ68" i="5" s="1"/>
  <c r="GJ61" i="5"/>
  <c r="GJ63" i="5" s="1"/>
  <c r="GT55" i="5"/>
  <c r="GY50" i="5"/>
  <c r="GJ46" i="5"/>
  <c r="GJ48" i="5" s="1"/>
  <c r="GY45" i="5"/>
  <c r="FK45" i="5"/>
  <c r="GS138" i="5"/>
  <c r="HB133" i="5"/>
  <c r="GQ128" i="5"/>
  <c r="N120" i="5"/>
  <c r="HB118" i="5"/>
  <c r="GX118" i="5"/>
  <c r="O109" i="5"/>
  <c r="GJ104" i="5"/>
  <c r="GJ106" i="5" s="1"/>
  <c r="GJ94" i="5"/>
  <c r="GJ96" i="5" s="1"/>
  <c r="FK93" i="5"/>
  <c r="HB85" i="5"/>
  <c r="GX85" i="5"/>
  <c r="GS80" i="5"/>
  <c r="GJ76" i="5"/>
  <c r="GJ78" i="5" s="1"/>
  <c r="HB75" i="5"/>
  <c r="GX75" i="5"/>
  <c r="M72" i="5"/>
  <c r="HD71" i="5" s="1"/>
  <c r="HD73" i="5" s="1"/>
  <c r="GS70" i="5"/>
  <c r="N67" i="5"/>
  <c r="HG66" i="5"/>
  <c r="HG68" i="5" s="1"/>
  <c r="O66" i="5"/>
  <c r="N62" i="5"/>
  <c r="O61" i="5"/>
  <c r="GS55" i="5"/>
  <c r="GJ51" i="5"/>
  <c r="GJ53" i="5" s="1"/>
  <c r="HB50" i="5"/>
  <c r="GX50" i="5"/>
  <c r="GT50" i="5"/>
  <c r="O46" i="5"/>
  <c r="HB45" i="5"/>
  <c r="GX45" i="5"/>
  <c r="GT45" i="5"/>
  <c r="GT60" i="5"/>
  <c r="M56" i="5"/>
  <c r="HC56" i="5" s="1"/>
  <c r="HC58" i="5" s="1"/>
  <c r="FK55" i="5"/>
  <c r="O51" i="5"/>
  <c r="GS50" i="5"/>
  <c r="N47" i="5"/>
  <c r="GS45" i="5"/>
  <c r="GQ249" i="5"/>
  <c r="GX133" i="5"/>
  <c r="M130" i="5"/>
  <c r="HD129" i="5" s="1"/>
  <c r="HD131" i="5" s="1"/>
  <c r="M119" i="5"/>
  <c r="HC119" i="5" s="1"/>
  <c r="HC121" i="5" s="1"/>
  <c r="GT118" i="5"/>
  <c r="M114" i="5"/>
  <c r="HC114" i="5" s="1"/>
  <c r="HC116" i="5" s="1"/>
  <c r="GJ109" i="5"/>
  <c r="GJ111" i="5" s="1"/>
  <c r="GJ99" i="5"/>
  <c r="GJ101" i="5" s="1"/>
  <c r="GS93" i="5"/>
  <c r="GY85" i="5"/>
  <c r="N77" i="5"/>
  <c r="GT75" i="5"/>
  <c r="HB55" i="5"/>
  <c r="GX55" i="5"/>
  <c r="M51" i="5"/>
  <c r="HC51" i="5" s="1"/>
  <c r="HC53" i="5" s="1"/>
  <c r="FK50" i="5"/>
  <c r="HG71" i="5"/>
  <c r="HG73" i="5" s="1"/>
  <c r="M52" i="5"/>
  <c r="HD51" i="5" s="1"/>
  <c r="HD53" i="5" s="1"/>
  <c r="HG139" i="5"/>
  <c r="HG141" i="5" s="1"/>
  <c r="M77" i="5"/>
  <c r="HD76" i="5" s="1"/>
  <c r="HD78" i="5" s="1"/>
  <c r="HG250" i="5"/>
  <c r="HG252" i="5" s="1"/>
  <c r="M115" i="5"/>
  <c r="HD114" i="5" s="1"/>
  <c r="HD116" i="5" s="1"/>
  <c r="HG134" i="5"/>
  <c r="HG136" i="5" s="1"/>
  <c r="HG227" i="5"/>
  <c r="HG229" i="5" s="1"/>
  <c r="HG94" i="5"/>
  <c r="HG96" i="5" s="1"/>
  <c r="HG159" i="5"/>
  <c r="HG161" i="5" s="1"/>
  <c r="HG295" i="5"/>
  <c r="HG297" i="5" s="1"/>
  <c r="HG187" i="5"/>
  <c r="HG189" i="5" s="1"/>
  <c r="HG338" i="5"/>
  <c r="HG340" i="5" s="1"/>
  <c r="M457" i="5"/>
  <c r="HD456" i="5" s="1"/>
  <c r="HD458" i="5" s="1"/>
  <c r="HG320" i="5"/>
  <c r="HG322" i="5" s="1"/>
  <c r="HG411" i="5"/>
  <c r="HG413" i="5" s="1"/>
  <c r="M155" i="5"/>
  <c r="HD154" i="5" s="1"/>
  <c r="HD156" i="5" s="1"/>
  <c r="HG177" i="5"/>
  <c r="HG179" i="5" s="1"/>
  <c r="HG378" i="5"/>
  <c r="HG380" i="5" s="1"/>
  <c r="HG494" i="5"/>
  <c r="HG496" i="5" s="1"/>
  <c r="M399" i="5"/>
  <c r="HD398" i="5" s="1"/>
  <c r="HD400" i="5" s="1"/>
  <c r="HG509" i="5"/>
  <c r="HG511" i="5" s="1"/>
  <c r="M555" i="5"/>
  <c r="HD554" i="5" s="1"/>
  <c r="HD556" i="5" s="1"/>
  <c r="FT495" i="5"/>
  <c r="M477" i="5"/>
  <c r="HD476" i="5" s="1"/>
  <c r="HD478" i="5" s="1"/>
  <c r="HG577" i="5"/>
  <c r="HG579" i="5" s="1"/>
  <c r="HG592" i="5"/>
  <c r="HG594" i="5" s="1"/>
  <c r="HG587" i="5"/>
  <c r="HG589" i="5" s="1"/>
  <c r="HG655" i="5"/>
  <c r="HG657" i="5" s="1"/>
  <c r="HG718" i="5"/>
  <c r="HG720" i="5" s="1"/>
  <c r="HG705" i="5"/>
  <c r="HG707" i="5" s="1"/>
  <c r="HG788" i="5"/>
  <c r="HG790" i="5" s="1"/>
  <c r="HG685" i="5"/>
  <c r="HG687" i="5" s="1"/>
  <c r="HG710" i="5"/>
  <c r="HG712" i="5" s="1"/>
  <c r="HG768" i="5"/>
  <c r="HG770" i="5" s="1"/>
  <c r="HG738" i="5"/>
  <c r="HG740" i="5" s="1"/>
  <c r="FT749" i="5"/>
  <c r="M759" i="5"/>
  <c r="HD758" i="5" s="1"/>
  <c r="HD760" i="5" s="1"/>
  <c r="M774" i="5"/>
  <c r="HD773" i="5" s="1"/>
  <c r="HD775" i="5" s="1"/>
  <c r="M641" i="5"/>
  <c r="HD640" i="5" s="1"/>
  <c r="HD642" i="5" s="1"/>
  <c r="FT563" i="5"/>
  <c r="M578" i="5"/>
  <c r="HD577" i="5" s="1"/>
  <c r="HD579" i="5" s="1"/>
  <c r="M520" i="5"/>
  <c r="HD519" i="5" s="1"/>
  <c r="HD521" i="5" s="1"/>
  <c r="M407" i="5"/>
  <c r="HD406" i="5" s="1"/>
  <c r="HD408" i="5" s="1"/>
  <c r="FT422" i="5"/>
  <c r="M422" i="5"/>
  <c r="HD421" i="5" s="1"/>
  <c r="HD423" i="5" s="1"/>
  <c r="FT447" i="5"/>
  <c r="M334" i="5"/>
  <c r="HD333" i="5" s="1"/>
  <c r="HD335" i="5" s="1"/>
  <c r="M203" i="5"/>
  <c r="HD202" i="5" s="1"/>
  <c r="HD204" i="5" s="1"/>
  <c r="M223" i="5"/>
  <c r="HD222" i="5" s="1"/>
  <c r="HD224" i="5" s="1"/>
  <c r="M228" i="5"/>
  <c r="HD227" i="5" s="1"/>
  <c r="HD229" i="5" s="1"/>
  <c r="FT306" i="5"/>
  <c r="FT321" i="5"/>
  <c r="M321" i="5"/>
  <c r="HD320" i="5" s="1"/>
  <c r="HD322" i="5" s="1"/>
  <c r="FT87" i="5"/>
  <c r="HG144" i="5"/>
  <c r="HG146" i="5" s="1"/>
  <c r="M135" i="5"/>
  <c r="HD134" i="5" s="1"/>
  <c r="HD136" i="5" s="1"/>
  <c r="HG265" i="5"/>
  <c r="HG267" i="5" s="1"/>
  <c r="HG207" i="5"/>
  <c r="HG209" i="5" s="1"/>
  <c r="HG114" i="5"/>
  <c r="HG116" i="5" s="1"/>
  <c r="HG164" i="5"/>
  <c r="HG166" i="5" s="1"/>
  <c r="HG99" i="5"/>
  <c r="HG101" i="5" s="1"/>
  <c r="M165" i="5"/>
  <c r="HD164" i="5" s="1"/>
  <c r="HD166" i="5" s="1"/>
  <c r="HG217" i="5"/>
  <c r="HG219" i="5" s="1"/>
  <c r="HG343" i="5"/>
  <c r="HG345" i="5" s="1"/>
  <c r="HG260" i="5"/>
  <c r="HG262" i="5" s="1"/>
  <c r="HG172" i="5"/>
  <c r="HG174" i="5" s="1"/>
  <c r="HG441" i="5"/>
  <c r="HG443" i="5" s="1"/>
  <c r="HG154" i="5"/>
  <c r="HG156" i="5" s="1"/>
  <c r="HG310" i="5"/>
  <c r="HG312" i="5" s="1"/>
  <c r="HG202" i="5"/>
  <c r="HG204" i="5" s="1"/>
  <c r="HG348" i="5"/>
  <c r="HG350" i="5" s="1"/>
  <c r="HG650" i="5"/>
  <c r="HG652" i="5" s="1"/>
  <c r="HG383" i="5"/>
  <c r="HG385" i="5" s="1"/>
  <c r="HG567" i="5"/>
  <c r="HG569" i="5" s="1"/>
  <c r="HG398" i="5"/>
  <c r="HG400" i="5" s="1"/>
  <c r="HG554" i="5"/>
  <c r="HG556" i="5" s="1"/>
  <c r="HG582" i="5"/>
  <c r="HG584" i="5" s="1"/>
  <c r="HG539" i="5"/>
  <c r="HG541" i="5" s="1"/>
  <c r="HG476" i="5"/>
  <c r="HG478" i="5" s="1"/>
  <c r="HG514" i="5"/>
  <c r="HG516" i="5" s="1"/>
  <c r="HG632" i="5"/>
  <c r="HG634" i="5" s="1"/>
  <c r="HG660" i="5"/>
  <c r="HG662" i="5" s="1"/>
  <c r="HG695" i="5"/>
  <c r="HG697" i="5" s="1"/>
  <c r="FT696" i="5"/>
  <c r="M729" i="5"/>
  <c r="HD728" i="5" s="1"/>
  <c r="HD730" i="5" s="1"/>
  <c r="HG783" i="5"/>
  <c r="HG785" i="5" s="1"/>
  <c r="M646" i="5"/>
  <c r="HD645" i="5" s="1"/>
  <c r="HD647" i="5" s="1"/>
  <c r="M656" i="5"/>
  <c r="HD655" i="5" s="1"/>
  <c r="HD657" i="5" s="1"/>
  <c r="M568" i="5"/>
  <c r="HD567" i="5" s="1"/>
  <c r="HD569" i="5" s="1"/>
  <c r="M588" i="5"/>
  <c r="HD587" i="5" s="1"/>
  <c r="HD589" i="5" s="1"/>
  <c r="HG602" i="5"/>
  <c r="HG604" i="5" s="1"/>
  <c r="M490" i="5"/>
  <c r="HD489" i="5" s="1"/>
  <c r="HD491" i="5" s="1"/>
  <c r="FT535" i="5"/>
  <c r="M530" i="5"/>
  <c r="HD529" i="5" s="1"/>
  <c r="HD531" i="5" s="1"/>
  <c r="M540" i="5"/>
  <c r="HD539" i="5" s="1"/>
  <c r="HD541" i="5" s="1"/>
  <c r="M427" i="5"/>
  <c r="HD426" i="5" s="1"/>
  <c r="HD428" i="5" s="1"/>
  <c r="HG446" i="5"/>
  <c r="HG448" i="5" s="1"/>
  <c r="M349" i="5"/>
  <c r="HD348" i="5" s="1"/>
  <c r="HD350" i="5" s="1"/>
  <c r="FT329" i="5"/>
  <c r="M339" i="5"/>
  <c r="HD338" i="5" s="1"/>
  <c r="HD340" i="5" s="1"/>
  <c r="M233" i="5"/>
  <c r="HD232" i="5" s="1"/>
  <c r="HD234" i="5" s="1"/>
  <c r="FT251" i="5"/>
  <c r="M251" i="5"/>
  <c r="HD250" i="5" s="1"/>
  <c r="HD252" i="5" s="1"/>
  <c r="FT296" i="5"/>
  <c r="M291" i="5"/>
  <c r="HD290" i="5" s="1"/>
  <c r="HD292" i="5" s="1"/>
  <c r="FT100" i="5"/>
  <c r="M62" i="5"/>
  <c r="HD61" i="5" s="1"/>
  <c r="HD63" i="5" s="1"/>
  <c r="HG51" i="5"/>
  <c r="HG53" i="5" s="1"/>
  <c r="HG61" i="5"/>
  <c r="HG63" i="5" s="1"/>
  <c r="FT188" i="5"/>
  <c r="HG237" i="5"/>
  <c r="HG239" i="5" s="1"/>
  <c r="HG124" i="5"/>
  <c r="HG126" i="5" s="1"/>
  <c r="HG86" i="5"/>
  <c r="HG88" i="5" s="1"/>
  <c r="M105" i="5"/>
  <c r="HD104" i="5" s="1"/>
  <c r="HD106" i="5" s="1"/>
  <c r="HG255" i="5"/>
  <c r="HG257" i="5" s="1"/>
  <c r="HG328" i="5"/>
  <c r="HG330" i="5" s="1"/>
  <c r="HG275" i="5"/>
  <c r="HG277" i="5" s="1"/>
  <c r="M452" i="5"/>
  <c r="HD451" i="5" s="1"/>
  <c r="HD453" i="5" s="1"/>
  <c r="M160" i="5"/>
  <c r="HD159" i="5" s="1"/>
  <c r="HD161" i="5" s="1"/>
  <c r="M243" i="5"/>
  <c r="HD242" i="5" s="1"/>
  <c r="HD244" i="5" s="1"/>
  <c r="HG461" i="5"/>
  <c r="HG463" i="5" s="1"/>
  <c r="HG353" i="5"/>
  <c r="HG355" i="5" s="1"/>
  <c r="HG426" i="5"/>
  <c r="HG428" i="5" s="1"/>
  <c r="HG416" i="5"/>
  <c r="HG418" i="5" s="1"/>
  <c r="FT485" i="5"/>
  <c r="HG484" i="5"/>
  <c r="HG486" i="5" s="1"/>
  <c r="FT613" i="5"/>
  <c r="FT583" i="5"/>
  <c r="HG549" i="5"/>
  <c r="HG551" i="5" s="1"/>
  <c r="HG670" i="5"/>
  <c r="HG672" i="5" s="1"/>
  <c r="M764" i="5"/>
  <c r="HD763" i="5" s="1"/>
  <c r="HD765" i="5" s="1"/>
  <c r="HG773" i="5"/>
  <c r="HG775" i="5" s="1"/>
  <c r="M744" i="5"/>
  <c r="HD743" i="5" s="1"/>
  <c r="HD745" i="5" s="1"/>
  <c r="FT764" i="5"/>
  <c r="FT774" i="5"/>
  <c r="M779" i="5"/>
  <c r="HD778" i="5" s="1"/>
  <c r="HD780" i="5" s="1"/>
  <c r="FT646" i="5"/>
  <c r="M671" i="5"/>
  <c r="HD670" i="5" s="1"/>
  <c r="HD672" i="5" s="1"/>
  <c r="M681" i="5"/>
  <c r="HD680" i="5" s="1"/>
  <c r="HD682" i="5" s="1"/>
  <c r="M676" i="5"/>
  <c r="HD675" i="5" s="1"/>
  <c r="HD677" i="5" s="1"/>
  <c r="M701" i="5"/>
  <c r="HD700" i="5" s="1"/>
  <c r="HD702" i="5" s="1"/>
  <c r="M598" i="5"/>
  <c r="HD597" i="5" s="1"/>
  <c r="HD599" i="5" s="1"/>
  <c r="M583" i="5"/>
  <c r="HD582" i="5" s="1"/>
  <c r="HD584" i="5" s="1"/>
  <c r="M618" i="5"/>
  <c r="HD617" i="5" s="1"/>
  <c r="HD619" i="5" s="1"/>
  <c r="M505" i="5"/>
  <c r="HD504" i="5" s="1"/>
  <c r="HD506" i="5" s="1"/>
  <c r="M525" i="5"/>
  <c r="HD524" i="5" s="1"/>
  <c r="HD526" i="5" s="1"/>
  <c r="M545" i="5"/>
  <c r="HD544" i="5" s="1"/>
  <c r="HD546" i="5" s="1"/>
  <c r="HG46" i="5"/>
  <c r="HG48" i="5" s="1"/>
  <c r="HG109" i="5"/>
  <c r="HG111" i="5" s="1"/>
  <c r="HG212" i="5"/>
  <c r="HG214" i="5" s="1"/>
  <c r="HG129" i="5"/>
  <c r="HG131" i="5" s="1"/>
  <c r="HG315" i="5"/>
  <c r="HG317" i="5" s="1"/>
  <c r="M95" i="5"/>
  <c r="HD94" i="5" s="1"/>
  <c r="HD96" i="5" s="1"/>
  <c r="HG290" i="5"/>
  <c r="HG292" i="5" s="1"/>
  <c r="HG436" i="5"/>
  <c r="HG438" i="5" s="1"/>
  <c r="FT208" i="5"/>
  <c r="HG333" i="5"/>
  <c r="HG335" i="5" s="1"/>
  <c r="HG451" i="5"/>
  <c r="HG453" i="5" s="1"/>
  <c r="FT550" i="5"/>
  <c r="HG300" i="5"/>
  <c r="HG302" i="5" s="1"/>
  <c r="FT173" i="5"/>
  <c r="HG242" i="5"/>
  <c r="HG244" i="5" s="1"/>
  <c r="HG471" i="5"/>
  <c r="HG473" i="5" s="1"/>
  <c r="HG373" i="5"/>
  <c r="HG375" i="5" s="1"/>
  <c r="M495" i="5"/>
  <c r="HD494" i="5" s="1"/>
  <c r="HD496" i="5" s="1"/>
  <c r="HG393" i="5"/>
  <c r="HG395" i="5" s="1"/>
  <c r="HG431" i="5"/>
  <c r="HG433" i="5" s="1"/>
  <c r="HG499" i="5"/>
  <c r="HG501" i="5" s="1"/>
  <c r="FT593" i="5"/>
  <c r="M633" i="5"/>
  <c r="HD632" i="5" s="1"/>
  <c r="HD634" i="5" s="1"/>
  <c r="HG489" i="5"/>
  <c r="HG491" i="5" s="1"/>
  <c r="HG534" i="5"/>
  <c r="HG536" i="5" s="1"/>
  <c r="M563" i="5"/>
  <c r="HD562" i="5" s="1"/>
  <c r="HD564" i="5" s="1"/>
  <c r="M724" i="5"/>
  <c r="HD723" i="5" s="1"/>
  <c r="HD725" i="5" s="1"/>
  <c r="HG680" i="5"/>
  <c r="HG682" i="5" s="1"/>
  <c r="HG645" i="5"/>
  <c r="HG647" i="5" s="1"/>
  <c r="M691" i="5"/>
  <c r="HD690" i="5" s="1"/>
  <c r="HD692" i="5" s="1"/>
  <c r="FT784" i="5"/>
  <c r="M789" i="5"/>
  <c r="HD788" i="5" s="1"/>
  <c r="HD790" i="5" s="1"/>
  <c r="M711" i="5"/>
  <c r="HD710" i="5" s="1"/>
  <c r="HD712" i="5" s="1"/>
  <c r="HG753" i="5"/>
  <c r="HG755" i="5" s="1"/>
  <c r="M769" i="5"/>
  <c r="HD768" i="5" s="1"/>
  <c r="HD770" i="5" s="1"/>
  <c r="FT641" i="5"/>
  <c r="M661" i="5"/>
  <c r="HD660" i="5" s="1"/>
  <c r="HD662" i="5" s="1"/>
  <c r="M696" i="5"/>
  <c r="HD695" i="5" s="1"/>
  <c r="HD697" i="5" s="1"/>
  <c r="FT598" i="5"/>
  <c r="FT525" i="5"/>
  <c r="M389" i="5"/>
  <c r="HD388" i="5" s="1"/>
  <c r="HD390" i="5" s="1"/>
  <c r="M178" i="5"/>
  <c r="HD177" i="5" s="1"/>
  <c r="HD179" i="5" s="1"/>
  <c r="FT193" i="5"/>
  <c r="M218" i="5"/>
  <c r="HD217" i="5" s="1"/>
  <c r="HD219" i="5" s="1"/>
  <c r="M261" i="5"/>
  <c r="HD260" i="5" s="1"/>
  <c r="HD262" i="5" s="1"/>
  <c r="FT150" i="5"/>
  <c r="FT130" i="5"/>
  <c r="M306" i="5"/>
  <c r="HD305" i="5" s="1"/>
  <c r="HD307" i="5" s="1"/>
  <c r="FT437" i="5"/>
  <c r="M432" i="5"/>
  <c r="HD431" i="5" s="1"/>
  <c r="HD433" i="5" s="1"/>
  <c r="M442" i="5"/>
  <c r="HD441" i="5" s="1"/>
  <c r="HD443" i="5" s="1"/>
  <c r="M344" i="5"/>
  <c r="HD343" i="5" s="1"/>
  <c r="HD345" i="5" s="1"/>
  <c r="M384" i="5"/>
  <c r="HD383" i="5" s="1"/>
  <c r="HD385" i="5" s="1"/>
  <c r="M198" i="5"/>
  <c r="HD197" i="5" s="1"/>
  <c r="HD199" i="5" s="1"/>
  <c r="M208" i="5"/>
  <c r="HD207" i="5" s="1"/>
  <c r="HD209" i="5" s="1"/>
  <c r="FT228" i="5"/>
  <c r="M256" i="5"/>
  <c r="HD255" i="5" s="1"/>
  <c r="HD257" i="5" s="1"/>
  <c r="HG305" i="5"/>
  <c r="HG307" i="5" s="1"/>
  <c r="M183" i="5"/>
  <c r="HD182" i="5" s="1"/>
  <c r="HD184" i="5" s="1"/>
  <c r="M467" i="5"/>
  <c r="HD466" i="5" s="1"/>
  <c r="HD468" i="5" s="1"/>
  <c r="M364" i="5"/>
  <c r="HD363" i="5" s="1"/>
  <c r="HD365" i="5" s="1"/>
  <c r="M276" i="5"/>
  <c r="HD275" i="5" s="1"/>
  <c r="HD277" i="5" s="1"/>
  <c r="FT110" i="5"/>
  <c r="M213" i="5"/>
  <c r="HD212" i="5" s="1"/>
  <c r="HD214" i="5" s="1"/>
  <c r="M447" i="5"/>
  <c r="HD446" i="5" s="1"/>
  <c r="HD448" i="5" s="1"/>
  <c r="M462" i="5"/>
  <c r="HD461" i="5" s="1"/>
  <c r="HD463" i="5" s="1"/>
  <c r="FT384" i="5"/>
  <c r="FT394" i="5"/>
  <c r="FT105" i="5"/>
  <c r="FT77" i="5"/>
  <c r="FT238" i="5"/>
  <c r="FT165" i="5"/>
  <c r="FT120" i="5"/>
  <c r="FT656" i="5"/>
  <c r="FT515" i="5"/>
  <c r="FT374" i="5"/>
  <c r="FT115" i="5"/>
  <c r="FT125" i="5"/>
  <c r="FT666" i="5"/>
  <c r="FT573" i="5"/>
  <c r="FT369" i="5"/>
  <c r="FT276" i="5"/>
  <c r="FT261" i="5"/>
  <c r="FT311" i="5"/>
  <c r="FT739" i="5"/>
  <c r="FT724" i="5"/>
  <c r="FT651" i="5"/>
  <c r="FT706" i="5"/>
  <c r="FT681" i="5"/>
  <c r="FT603" i="5"/>
  <c r="FT618" i="5"/>
  <c r="FT628" i="5"/>
  <c r="FT520" i="5"/>
  <c r="FT412" i="5"/>
  <c r="FT769" i="5"/>
  <c r="FT744" i="5"/>
  <c r="FT754" i="5"/>
  <c r="FT608" i="5"/>
  <c r="FT490" i="5"/>
  <c r="FT545" i="5"/>
  <c r="FT417" i="5"/>
  <c r="FT427" i="5"/>
  <c r="FT442" i="5"/>
  <c r="FT477" i="5"/>
  <c r="FT462" i="5"/>
  <c r="FT379" i="5"/>
  <c r="FT223" i="5"/>
  <c r="FT218" i="5"/>
  <c r="FT266" i="5"/>
  <c r="FT291" i="5"/>
  <c r="FT281" i="5"/>
  <c r="FT301" i="5"/>
  <c r="FT145" i="5"/>
  <c r="FT135" i="5"/>
  <c r="FT62" i="5"/>
  <c r="FT160" i="5"/>
  <c r="FT155" i="5"/>
  <c r="FT82" i="5"/>
  <c r="FT286" i="5"/>
  <c r="FT734" i="5"/>
  <c r="FT729" i="5"/>
  <c r="FT686" i="5"/>
  <c r="FT661" i="5"/>
  <c r="FT623" i="5"/>
  <c r="FT540" i="5"/>
  <c r="FT555" i="5"/>
  <c r="FT399" i="5"/>
  <c r="FT203" i="5"/>
  <c r="FT233" i="5"/>
  <c r="FT198" i="5"/>
  <c r="FT183" i="5"/>
  <c r="FT271" i="5"/>
  <c r="FT316" i="5"/>
  <c r="FT72" i="5"/>
  <c r="FT67" i="5"/>
  <c r="FT57" i="5"/>
  <c r="FT95" i="5"/>
  <c r="FT719" i="5"/>
  <c r="FT759" i="5"/>
  <c r="FT711" i="5"/>
  <c r="FT691" i="5"/>
  <c r="FT671" i="5"/>
  <c r="FT701" i="5"/>
  <c r="FT676" i="5"/>
  <c r="FT578" i="5"/>
  <c r="FT568" i="5"/>
  <c r="FT510" i="5"/>
  <c r="FT457" i="5"/>
  <c r="FT472" i="5"/>
  <c r="FT432" i="5"/>
  <c r="FT389" i="5"/>
  <c r="FT364" i="5"/>
  <c r="FT344" i="5"/>
  <c r="FT354" i="5"/>
  <c r="FT178" i="5"/>
  <c r="FT256" i="5"/>
  <c r="FT140" i="5"/>
  <c r="FT47" i="5"/>
  <c r="FT789" i="5"/>
  <c r="FT779" i="5"/>
  <c r="FT588" i="5"/>
  <c r="FT633" i="5"/>
  <c r="FT505" i="5"/>
  <c r="FT500" i="5"/>
  <c r="FT530" i="5"/>
  <c r="FT467" i="5"/>
  <c r="FT407" i="5"/>
  <c r="FT452" i="5"/>
  <c r="FT339" i="5"/>
  <c r="FT334" i="5"/>
  <c r="FT243" i="5"/>
  <c r="FT213" i="5"/>
  <c r="FT52" i="5"/>
  <c r="BV34" i="22"/>
  <c r="N42" i="5"/>
  <c r="O41" i="5"/>
  <c r="M41" i="5"/>
  <c r="HC41" i="5" s="1"/>
  <c r="HC43" i="5" s="1"/>
  <c r="M42" i="5"/>
  <c r="HD41" i="5" s="1"/>
  <c r="HD43" i="5" s="1"/>
  <c r="GJ41" i="5"/>
  <c r="GJ43" i="5" s="1"/>
  <c r="FK40" i="5"/>
  <c r="HB40" i="5"/>
  <c r="HG41" i="5"/>
  <c r="HG43" i="5" s="1"/>
  <c r="GY40" i="5"/>
  <c r="GQ40" i="5"/>
  <c r="GX40" i="5"/>
  <c r="GT40" i="5"/>
  <c r="GS40" i="5"/>
  <c r="V28" i="5"/>
  <c r="T33" i="14"/>
  <c r="B33" i="5"/>
  <c r="B24" i="5"/>
  <c r="O24" i="11"/>
  <c r="H36" i="11" s="1"/>
  <c r="A1" i="10"/>
  <c r="FL483" i="5" l="1"/>
  <c r="DF483" i="5" s="1"/>
  <c r="AJ483" i="5" s="1"/>
  <c r="FL289" i="5"/>
  <c r="DF289" i="5" s="1"/>
  <c r="AJ289" i="5" s="1"/>
  <c r="FL294" i="5"/>
  <c r="DF294" i="5" s="1"/>
  <c r="AJ294" i="5" s="1"/>
  <c r="AW216" i="5"/>
  <c r="IH216" i="5"/>
  <c r="FL440" i="5"/>
  <c r="DF440" i="5" s="1"/>
  <c r="AJ440" i="5" s="1"/>
  <c r="AW644" i="5"/>
  <c r="IH644" i="5"/>
  <c r="FL410" i="5"/>
  <c r="DF410" i="5" s="1"/>
  <c r="AJ410" i="5" s="1"/>
  <c r="FL470" i="5"/>
  <c r="DF470" i="5" s="1"/>
  <c r="AJ470" i="5" s="1"/>
  <c r="AW508" i="5"/>
  <c r="IH508" i="5"/>
  <c r="FL553" i="5"/>
  <c r="DF553" i="5" s="1"/>
  <c r="AJ553" i="5" s="1"/>
  <c r="AW606" i="5"/>
  <c r="IH606" i="5"/>
  <c r="AW631" i="5"/>
  <c r="IH631" i="5"/>
  <c r="AW664" i="5"/>
  <c r="IH664" i="5"/>
  <c r="FL528" i="5"/>
  <c r="DF528" i="5" s="1"/>
  <c r="AJ528" i="5" s="1"/>
  <c r="FL533" i="5"/>
  <c r="DF533" i="5" s="1"/>
  <c r="AJ533" i="5" s="1"/>
  <c r="FL571" i="5"/>
  <c r="DF571" i="5" s="1"/>
  <c r="AJ571" i="5" s="1"/>
  <c r="FL644" i="5"/>
  <c r="DF644" i="5" s="1"/>
  <c r="AJ644" i="5" s="1"/>
  <c r="IH699" i="5"/>
  <c r="AW699" i="5"/>
  <c r="FL747" i="5"/>
  <c r="DF747" i="5" s="1"/>
  <c r="AJ747" i="5" s="1"/>
  <c r="AW777" i="5"/>
  <c r="IH777" i="5"/>
  <c r="FL674" i="5"/>
  <c r="DF674" i="5" s="1"/>
  <c r="AJ674" i="5" s="1"/>
  <c r="FL694" i="5"/>
  <c r="DF694" i="5" s="1"/>
  <c r="AJ694" i="5" s="1"/>
  <c r="FL737" i="5"/>
  <c r="DF737" i="5" s="1"/>
  <c r="AJ737" i="5" s="1"/>
  <c r="FL762" i="5"/>
  <c r="DF762" i="5" s="1"/>
  <c r="AJ762" i="5" s="1"/>
  <c r="AW767" i="5"/>
  <c r="IH767" i="5"/>
  <c r="AW742" i="5"/>
  <c r="IH742" i="5"/>
  <c r="FL772" i="5"/>
  <c r="DF772" i="5" s="1"/>
  <c r="AJ772" i="5" s="1"/>
  <c r="FL50" i="5"/>
  <c r="DF50" i="5" s="1"/>
  <c r="AJ50" i="5" s="1"/>
  <c r="IH259" i="5"/>
  <c r="AW259" i="5"/>
  <c r="FL206" i="5"/>
  <c r="DF206" i="5" s="1"/>
  <c r="AJ206" i="5" s="1"/>
  <c r="GM221" i="5"/>
  <c r="GM222" i="5" s="1"/>
  <c r="FL596" i="5"/>
  <c r="DF596" i="5" s="1"/>
  <c r="AJ596" i="5" s="1"/>
  <c r="AW319" i="5"/>
  <c r="IH319" i="5"/>
  <c r="FL337" i="5"/>
  <c r="DF337" i="5" s="1"/>
  <c r="AJ337" i="5" s="1"/>
  <c r="AW352" i="5"/>
  <c r="IH352" i="5"/>
  <c r="IH470" i="5"/>
  <c r="AW470" i="5"/>
  <c r="AW488" i="5"/>
  <c r="IH488" i="5"/>
  <c r="FL488" i="5"/>
  <c r="DF488" i="5" s="1"/>
  <c r="AJ488" i="5" s="1"/>
  <c r="IH513" i="5"/>
  <c r="AW513" i="5"/>
  <c r="IH626" i="5"/>
  <c r="AW626" i="5"/>
  <c r="FL460" i="5"/>
  <c r="DF460" i="5" s="1"/>
  <c r="AJ460" i="5" s="1"/>
  <c r="FL85" i="5"/>
  <c r="DF85" i="5" s="1"/>
  <c r="AJ85" i="5" s="1"/>
  <c r="AW98" i="5"/>
  <c r="IH98" i="5"/>
  <c r="FL118" i="5"/>
  <c r="DF118" i="5" s="1"/>
  <c r="AJ118" i="5" s="1"/>
  <c r="FL171" i="5"/>
  <c r="DF171" i="5" s="1"/>
  <c r="AJ171" i="5" s="1"/>
  <c r="FL387" i="5"/>
  <c r="DF387" i="5" s="1"/>
  <c r="AJ387" i="5" s="1"/>
  <c r="AW289" i="5"/>
  <c r="IH289" i="5"/>
  <c r="AW304" i="5"/>
  <c r="IH304" i="5"/>
  <c r="FL201" i="5"/>
  <c r="DF201" i="5" s="1"/>
  <c r="AJ201" i="5" s="1"/>
  <c r="AW93" i="5"/>
  <c r="IH93" i="5"/>
  <c r="FL108" i="5"/>
  <c r="DF108" i="5" s="1"/>
  <c r="AJ108" i="5" s="1"/>
  <c r="FL176" i="5"/>
  <c r="DF176" i="5" s="1"/>
  <c r="AJ176" i="5" s="1"/>
  <c r="AW221" i="5"/>
  <c r="IH221" i="5"/>
  <c r="FL347" i="5"/>
  <c r="DF347" i="5" s="1"/>
  <c r="AJ347" i="5" s="1"/>
  <c r="FL123" i="5"/>
  <c r="DF123" i="5" s="1"/>
  <c r="AJ123" i="5" s="1"/>
  <c r="FL128" i="5"/>
  <c r="DF128" i="5" s="1"/>
  <c r="AJ128" i="5" s="1"/>
  <c r="FL133" i="5"/>
  <c r="DF133" i="5" s="1"/>
  <c r="AJ133" i="5" s="1"/>
  <c r="FL299" i="5"/>
  <c r="DF299" i="5" s="1"/>
  <c r="AJ299" i="5" s="1"/>
  <c r="FL309" i="5"/>
  <c r="DF309" i="5" s="1"/>
  <c r="AJ309" i="5" s="1"/>
  <c r="FL314" i="5"/>
  <c r="DF314" i="5" s="1"/>
  <c r="AJ314" i="5" s="1"/>
  <c r="FL420" i="5"/>
  <c r="DF420" i="5" s="1"/>
  <c r="AJ420" i="5" s="1"/>
  <c r="AW342" i="5"/>
  <c r="IH342" i="5"/>
  <c r="AW347" i="5"/>
  <c r="IH347" i="5"/>
  <c r="FL616" i="5"/>
  <c r="DF616" i="5" s="1"/>
  <c r="AJ616" i="5" s="1"/>
  <c r="IH294" i="5"/>
  <c r="AW294" i="5"/>
  <c r="AW299" i="5"/>
  <c r="IH299" i="5"/>
  <c r="FL236" i="5"/>
  <c r="DF236" i="5" s="1"/>
  <c r="AJ236" i="5" s="1"/>
  <c r="IH327" i="5"/>
  <c r="AW327" i="5"/>
  <c r="FL372" i="5"/>
  <c r="DF372" i="5" s="1"/>
  <c r="AJ372" i="5" s="1"/>
  <c r="IH148" i="5"/>
  <c r="AW148" i="5"/>
  <c r="IH254" i="5"/>
  <c r="AW254" i="5"/>
  <c r="AW264" i="5"/>
  <c r="IH264" i="5"/>
  <c r="FL279" i="5"/>
  <c r="DF279" i="5" s="1"/>
  <c r="AJ279" i="5" s="1"/>
  <c r="FL319" i="5"/>
  <c r="DF319" i="5" s="1"/>
  <c r="AJ319" i="5" s="1"/>
  <c r="FL186" i="5"/>
  <c r="DF186" i="5" s="1"/>
  <c r="AJ186" i="5" s="1"/>
  <c r="FL196" i="5"/>
  <c r="DF196" i="5" s="1"/>
  <c r="AJ196" i="5" s="1"/>
  <c r="AW201" i="5"/>
  <c r="IH201" i="5"/>
  <c r="AW206" i="5"/>
  <c r="IH206" i="5"/>
  <c r="AW337" i="5"/>
  <c r="IH337" i="5"/>
  <c r="FL357" i="5"/>
  <c r="DF357" i="5" s="1"/>
  <c r="AJ357" i="5" s="1"/>
  <c r="FL503" i="5"/>
  <c r="DF503" i="5" s="1"/>
  <c r="AJ503" i="5" s="1"/>
  <c r="FL465" i="5"/>
  <c r="DF465" i="5" s="1"/>
  <c r="AJ465" i="5" s="1"/>
  <c r="AW420" i="5"/>
  <c r="IH420" i="5"/>
  <c r="FL445" i="5"/>
  <c r="DF445" i="5" s="1"/>
  <c r="AJ445" i="5" s="1"/>
  <c r="FL606" i="5"/>
  <c r="DF606" i="5" s="1"/>
  <c r="AJ606" i="5" s="1"/>
  <c r="IH392" i="5"/>
  <c r="AW392" i="5"/>
  <c r="AW410" i="5"/>
  <c r="IH410" i="5"/>
  <c r="FL518" i="5"/>
  <c r="DF518" i="5" s="1"/>
  <c r="AJ518" i="5" s="1"/>
  <c r="AW581" i="5"/>
  <c r="IH581" i="5"/>
  <c r="AW586" i="5"/>
  <c r="IH586" i="5"/>
  <c r="FL601" i="5"/>
  <c r="DF601" i="5" s="1"/>
  <c r="AJ601" i="5" s="1"/>
  <c r="IH440" i="5"/>
  <c r="AW440" i="5"/>
  <c r="AW450" i="5"/>
  <c r="IH450" i="5"/>
  <c r="FL513" i="5"/>
  <c r="DF513" i="5" s="1"/>
  <c r="AJ513" i="5" s="1"/>
  <c r="AW538" i="5"/>
  <c r="IH538" i="5"/>
  <c r="AW475" i="5"/>
  <c r="IH475" i="5"/>
  <c r="AW533" i="5"/>
  <c r="IH533" i="5"/>
  <c r="AW523" i="5"/>
  <c r="IH523" i="5"/>
  <c r="AW553" i="5"/>
  <c r="IH553" i="5"/>
  <c r="AW576" i="5"/>
  <c r="HS577" i="5" s="1"/>
  <c r="HS579" i="5" s="1"/>
  <c r="IH576" i="5"/>
  <c r="IH591" i="5"/>
  <c r="AW591" i="5"/>
  <c r="FL709" i="5"/>
  <c r="DF709" i="5" s="1"/>
  <c r="AJ709" i="5" s="1"/>
  <c r="AW543" i="5"/>
  <c r="IH543" i="5"/>
  <c r="AW611" i="5"/>
  <c r="IH611" i="5"/>
  <c r="FL639" i="5"/>
  <c r="DF639" i="5" s="1"/>
  <c r="AJ639" i="5" s="1"/>
  <c r="IH649" i="5"/>
  <c r="AW649" i="5"/>
  <c r="FL699" i="5"/>
  <c r="DF699" i="5" s="1"/>
  <c r="AJ699" i="5" s="1"/>
  <c r="IH704" i="5"/>
  <c r="AW704" i="5"/>
  <c r="IH737" i="5"/>
  <c r="AW737" i="5"/>
  <c r="FL659" i="5"/>
  <c r="DF659" i="5" s="1"/>
  <c r="AJ659" i="5" s="1"/>
  <c r="AW684" i="5"/>
  <c r="IH684" i="5"/>
  <c r="AW674" i="5"/>
  <c r="IH674" i="5"/>
  <c r="FL757" i="5"/>
  <c r="DF757" i="5" s="1"/>
  <c r="AJ757" i="5" s="1"/>
  <c r="FL679" i="5"/>
  <c r="DF679" i="5" s="1"/>
  <c r="AJ679" i="5" s="1"/>
  <c r="AW727" i="5"/>
  <c r="IH727" i="5"/>
  <c r="FL732" i="5"/>
  <c r="DF732" i="5" s="1"/>
  <c r="AJ732" i="5" s="1"/>
  <c r="AW757" i="5"/>
  <c r="IH757" i="5"/>
  <c r="FL782" i="5"/>
  <c r="DF782" i="5" s="1"/>
  <c r="AJ782" i="5" s="1"/>
  <c r="FL55" i="5"/>
  <c r="DF55" i="5" s="1"/>
  <c r="AJ55" i="5" s="1"/>
  <c r="AW171" i="5"/>
  <c r="IH171" i="5"/>
  <c r="AW103" i="5"/>
  <c r="IH103" i="5"/>
  <c r="FL226" i="5"/>
  <c r="DF226" i="5" s="1"/>
  <c r="AJ226" i="5" s="1"/>
  <c r="AW274" i="5"/>
  <c r="IH274" i="5"/>
  <c r="FL216" i="5"/>
  <c r="DF216" i="5" s="1"/>
  <c r="AJ216" i="5" s="1"/>
  <c r="FL264" i="5"/>
  <c r="DF264" i="5" s="1"/>
  <c r="AJ264" i="5" s="1"/>
  <c r="FL405" i="5"/>
  <c r="DF405" i="5" s="1"/>
  <c r="AJ405" i="5" s="1"/>
  <c r="IH377" i="5"/>
  <c r="AW377" i="5"/>
  <c r="AW60" i="5"/>
  <c r="IH60" i="5"/>
  <c r="IH65" i="5"/>
  <c r="AW65" i="5"/>
  <c r="FL45" i="5"/>
  <c r="DF45" i="5" s="1"/>
  <c r="AJ45" i="5" s="1"/>
  <c r="AW108" i="5"/>
  <c r="IH108" i="5"/>
  <c r="FL148" i="5"/>
  <c r="DF148" i="5" s="1"/>
  <c r="AJ148" i="5" s="1"/>
  <c r="AW50" i="5"/>
  <c r="IH50" i="5"/>
  <c r="FL113" i="5"/>
  <c r="DF113" i="5" s="1"/>
  <c r="AJ113" i="5" s="1"/>
  <c r="IH128" i="5"/>
  <c r="AW128" i="5"/>
  <c r="FL304" i="5"/>
  <c r="DF304" i="5" s="1"/>
  <c r="AJ304" i="5" s="1"/>
  <c r="AW279" i="5"/>
  <c r="IH279" i="5"/>
  <c r="FL392" i="5"/>
  <c r="DF392" i="5" s="1"/>
  <c r="AJ392" i="5" s="1"/>
  <c r="FL60" i="5"/>
  <c r="DF60" i="5" s="1"/>
  <c r="AJ60" i="5" s="1"/>
  <c r="FL65" i="5"/>
  <c r="DF65" i="5" s="1"/>
  <c r="AJ65" i="5" s="1"/>
  <c r="AW113" i="5"/>
  <c r="IH113" i="5"/>
  <c r="AW133" i="5"/>
  <c r="IH133" i="5"/>
  <c r="FL249" i="5"/>
  <c r="DF249" i="5" s="1"/>
  <c r="AJ249" i="5" s="1"/>
  <c r="IH284" i="5"/>
  <c r="AW284" i="5"/>
  <c r="AW314" i="5"/>
  <c r="IH314" i="5"/>
  <c r="IH55" i="5"/>
  <c r="AW55" i="5"/>
  <c r="FL80" i="5"/>
  <c r="DF80" i="5" s="1"/>
  <c r="AJ80" i="5" s="1"/>
  <c r="FL103" i="5"/>
  <c r="DF103" i="5" s="1"/>
  <c r="AJ103" i="5" s="1"/>
  <c r="FL138" i="5"/>
  <c r="DF138" i="5" s="1"/>
  <c r="AJ138" i="5" s="1"/>
  <c r="FL269" i="5"/>
  <c r="DF269" i="5" s="1"/>
  <c r="AJ269" i="5" s="1"/>
  <c r="AW332" i="5"/>
  <c r="IH332" i="5"/>
  <c r="FL397" i="5"/>
  <c r="DF397" i="5" s="1"/>
  <c r="AJ397" i="5" s="1"/>
  <c r="FL211" i="5"/>
  <c r="DF211" i="5" s="1"/>
  <c r="AJ211" i="5" s="1"/>
  <c r="IH483" i="5"/>
  <c r="AW483" i="5"/>
  <c r="AW143" i="5"/>
  <c r="IH143" i="5"/>
  <c r="FL158" i="5"/>
  <c r="DF158" i="5" s="1"/>
  <c r="AJ158" i="5" s="1"/>
  <c r="FL163" i="5"/>
  <c r="DF163" i="5" s="1"/>
  <c r="AJ163" i="5" s="1"/>
  <c r="FL254" i="5"/>
  <c r="DF254" i="5" s="1"/>
  <c r="AJ254" i="5" s="1"/>
  <c r="AW211" i="5"/>
  <c r="IH211" i="5"/>
  <c r="FL342" i="5"/>
  <c r="DF342" i="5" s="1"/>
  <c r="AJ342" i="5" s="1"/>
  <c r="IH357" i="5"/>
  <c r="AW357" i="5"/>
  <c r="FL143" i="5"/>
  <c r="DF143" i="5" s="1"/>
  <c r="AJ143" i="5" s="1"/>
  <c r="FL274" i="5"/>
  <c r="DF274" i="5" s="1"/>
  <c r="AJ274" i="5" s="1"/>
  <c r="FL181" i="5"/>
  <c r="DF181" i="5" s="1"/>
  <c r="AJ181" i="5" s="1"/>
  <c r="FL415" i="5"/>
  <c r="DF415" i="5" s="1"/>
  <c r="AJ415" i="5" s="1"/>
  <c r="FL430" i="5"/>
  <c r="DF430" i="5" s="1"/>
  <c r="AJ430" i="5" s="1"/>
  <c r="AW435" i="5"/>
  <c r="IH435" i="5"/>
  <c r="FL362" i="5"/>
  <c r="DF362" i="5" s="1"/>
  <c r="AJ362" i="5" s="1"/>
  <c r="FL367" i="5"/>
  <c r="DF367" i="5" s="1"/>
  <c r="AJ367" i="5" s="1"/>
  <c r="IH405" i="5"/>
  <c r="AW405" i="5"/>
  <c r="AW425" i="5"/>
  <c r="IH425" i="5"/>
  <c r="FL435" i="5"/>
  <c r="DF435" i="5" s="1"/>
  <c r="AJ435" i="5" s="1"/>
  <c r="AW465" i="5"/>
  <c r="IH465" i="5"/>
  <c r="FL523" i="5"/>
  <c r="DF523" i="5" s="1"/>
  <c r="AJ523" i="5" s="1"/>
  <c r="AW367" i="5"/>
  <c r="IH367" i="5"/>
  <c r="AW382" i="5"/>
  <c r="IH382" i="5"/>
  <c r="FL425" i="5"/>
  <c r="DF425" i="5" s="1"/>
  <c r="AJ425" i="5" s="1"/>
  <c r="FL493" i="5"/>
  <c r="DF493" i="5" s="1"/>
  <c r="AJ493" i="5" s="1"/>
  <c r="FL508" i="5"/>
  <c r="DF508" i="5" s="1"/>
  <c r="AJ508" i="5" s="1"/>
  <c r="FL591" i="5"/>
  <c r="DF591" i="5" s="1"/>
  <c r="AJ591" i="5" s="1"/>
  <c r="IH455" i="5"/>
  <c r="AW455" i="5"/>
  <c r="HS456" i="5" s="1"/>
  <c r="HS458" i="5" s="1"/>
  <c r="IH498" i="5"/>
  <c r="AW498" i="5"/>
  <c r="IH621" i="5"/>
  <c r="AW621" i="5"/>
  <c r="FL498" i="5"/>
  <c r="DF498" i="5" s="1"/>
  <c r="AJ498" i="5" s="1"/>
  <c r="FL621" i="5"/>
  <c r="DF621" i="5" s="1"/>
  <c r="AJ621" i="5" s="1"/>
  <c r="FL543" i="5"/>
  <c r="DF543" i="5" s="1"/>
  <c r="AJ543" i="5" s="1"/>
  <c r="AW566" i="5"/>
  <c r="IH566" i="5"/>
  <c r="FL581" i="5"/>
  <c r="DF581" i="5" s="1"/>
  <c r="AJ581" i="5" s="1"/>
  <c r="FL611" i="5"/>
  <c r="DF611" i="5" s="1"/>
  <c r="AJ611" i="5" s="1"/>
  <c r="AW616" i="5"/>
  <c r="IH616" i="5"/>
  <c r="AW659" i="5"/>
  <c r="IH659" i="5"/>
  <c r="AW548" i="5"/>
  <c r="IH548" i="5"/>
  <c r="FL576" i="5"/>
  <c r="DF576" i="5" s="1"/>
  <c r="AJ576" i="5" s="1"/>
  <c r="FL631" i="5"/>
  <c r="DF631" i="5" s="1"/>
  <c r="AJ631" i="5" s="1"/>
  <c r="IH654" i="5"/>
  <c r="AW654" i="5"/>
  <c r="AW689" i="5"/>
  <c r="IH689" i="5"/>
  <c r="FL664" i="5"/>
  <c r="DF664" i="5" s="1"/>
  <c r="AJ664" i="5" s="1"/>
  <c r="FL669" i="5"/>
  <c r="DF669" i="5" s="1"/>
  <c r="AJ669" i="5" s="1"/>
  <c r="FL689" i="5"/>
  <c r="DF689" i="5" s="1"/>
  <c r="AJ689" i="5" s="1"/>
  <c r="AW639" i="5"/>
  <c r="IH639" i="5"/>
  <c r="IH694" i="5"/>
  <c r="AW694" i="5"/>
  <c r="FL704" i="5"/>
  <c r="DF704" i="5" s="1"/>
  <c r="AJ704" i="5" s="1"/>
  <c r="FL717" i="5"/>
  <c r="DF717" i="5" s="1"/>
  <c r="AJ717" i="5" s="1"/>
  <c r="AW722" i="5"/>
  <c r="HS723" i="5" s="1"/>
  <c r="HS725" i="5" s="1"/>
  <c r="IH722" i="5"/>
  <c r="AW709" i="5"/>
  <c r="IH709" i="5"/>
  <c r="AW717" i="5"/>
  <c r="IH717" i="5"/>
  <c r="AW747" i="5"/>
  <c r="IH747" i="5"/>
  <c r="AW772" i="5"/>
  <c r="IH772" i="5"/>
  <c r="IH732" i="5"/>
  <c r="AW732" i="5"/>
  <c r="IH752" i="5"/>
  <c r="AW752" i="5"/>
  <c r="FL787" i="5"/>
  <c r="DF787" i="5" s="1"/>
  <c r="AJ787" i="5" s="1"/>
  <c r="FL752" i="5"/>
  <c r="DF752" i="5" s="1"/>
  <c r="AJ752" i="5" s="1"/>
  <c r="AW762" i="5"/>
  <c r="IH762" i="5"/>
  <c r="AW45" i="5"/>
  <c r="IH45" i="5"/>
  <c r="FL75" i="5"/>
  <c r="DF75" i="5" s="1"/>
  <c r="AJ75" i="5" s="1"/>
  <c r="FL153" i="5"/>
  <c r="DF153" i="5" s="1"/>
  <c r="AJ153" i="5" s="1"/>
  <c r="IH191" i="5"/>
  <c r="AW191" i="5"/>
  <c r="FL231" i="5"/>
  <c r="DF231" i="5" s="1"/>
  <c r="AJ231" i="5" s="1"/>
  <c r="AW153" i="5"/>
  <c r="IH153" i="5"/>
  <c r="AW176" i="5"/>
  <c r="HS177" i="5" s="1"/>
  <c r="HS179" i="5" s="1"/>
  <c r="IH176" i="5"/>
  <c r="FL221" i="5"/>
  <c r="DF221" i="5" s="1"/>
  <c r="AJ221" i="5" s="1"/>
  <c r="IH163" i="5"/>
  <c r="AW163" i="5"/>
  <c r="IH309" i="5"/>
  <c r="AW309" i="5"/>
  <c r="FL327" i="5"/>
  <c r="DF327" i="5" s="1"/>
  <c r="AJ327" i="5" s="1"/>
  <c r="FL450" i="5"/>
  <c r="DF450" i="5" s="1"/>
  <c r="AJ450" i="5" s="1"/>
  <c r="IH601" i="5"/>
  <c r="AW601" i="5"/>
  <c r="FL684" i="5"/>
  <c r="DF684" i="5" s="1"/>
  <c r="AJ684" i="5" s="1"/>
  <c r="AW75" i="5"/>
  <c r="IH75" i="5"/>
  <c r="FL93" i="5"/>
  <c r="DF93" i="5" s="1"/>
  <c r="AJ93" i="5" s="1"/>
  <c r="IH118" i="5"/>
  <c r="AW118" i="5"/>
  <c r="FL98" i="5"/>
  <c r="DF98" i="5" s="1"/>
  <c r="AJ98" i="5" s="1"/>
  <c r="AW123" i="5"/>
  <c r="IH123" i="5"/>
  <c r="IH269" i="5"/>
  <c r="AW269" i="5"/>
  <c r="FL284" i="5"/>
  <c r="DF284" i="5" s="1"/>
  <c r="AJ284" i="5" s="1"/>
  <c r="AW158" i="5"/>
  <c r="IH158" i="5"/>
  <c r="IH70" i="5"/>
  <c r="AW70" i="5"/>
  <c r="AW85" i="5"/>
  <c r="IH85" i="5"/>
  <c r="AW249" i="5"/>
  <c r="IH249" i="5"/>
  <c r="FL70" i="5"/>
  <c r="DF70" i="5" s="1"/>
  <c r="AJ70" i="5" s="1"/>
  <c r="IH80" i="5"/>
  <c r="AW80" i="5"/>
  <c r="AW138" i="5"/>
  <c r="IH138" i="5"/>
  <c r="IH236" i="5"/>
  <c r="AW236" i="5"/>
  <c r="AW226" i="5"/>
  <c r="IH226" i="5"/>
  <c r="FL241" i="5"/>
  <c r="DF241" i="5" s="1"/>
  <c r="AJ241" i="5" s="1"/>
  <c r="FL352" i="5"/>
  <c r="DF352" i="5" s="1"/>
  <c r="AJ352" i="5" s="1"/>
  <c r="AW387" i="5"/>
  <c r="IH387" i="5"/>
  <c r="IH181" i="5"/>
  <c r="AW181" i="5"/>
  <c r="FL191" i="5"/>
  <c r="DF191" i="5" s="1"/>
  <c r="AJ191" i="5" s="1"/>
  <c r="AW362" i="5"/>
  <c r="IH362" i="5"/>
  <c r="FL382" i="5"/>
  <c r="DF382" i="5" s="1"/>
  <c r="AJ382" i="5" s="1"/>
  <c r="IH415" i="5"/>
  <c r="AW415" i="5"/>
  <c r="FL259" i="5"/>
  <c r="DF259" i="5" s="1"/>
  <c r="AJ259" i="5" s="1"/>
  <c r="AW186" i="5"/>
  <c r="IH186" i="5"/>
  <c r="AW196" i="5"/>
  <c r="IH196" i="5"/>
  <c r="AW231" i="5"/>
  <c r="IH231" i="5"/>
  <c r="IH241" i="5"/>
  <c r="AW241" i="5"/>
  <c r="FL332" i="5"/>
  <c r="DF332" i="5" s="1"/>
  <c r="AJ332" i="5" s="1"/>
  <c r="FL377" i="5"/>
  <c r="DF377" i="5" s="1"/>
  <c r="AJ377" i="5" s="1"/>
  <c r="AW445" i="5"/>
  <c r="IH445" i="5"/>
  <c r="IH528" i="5"/>
  <c r="AW528" i="5"/>
  <c r="FL455" i="5"/>
  <c r="DF455" i="5" s="1"/>
  <c r="AJ455" i="5" s="1"/>
  <c r="IH372" i="5"/>
  <c r="AW372" i="5"/>
  <c r="AW397" i="5"/>
  <c r="HS398" i="5" s="1"/>
  <c r="HS400" i="5" s="1"/>
  <c r="IH397" i="5"/>
  <c r="IH430" i="5"/>
  <c r="AW430" i="5"/>
  <c r="AW460" i="5"/>
  <c r="IH460" i="5"/>
  <c r="FL475" i="5"/>
  <c r="DF475" i="5" s="1"/>
  <c r="AJ475" i="5" s="1"/>
  <c r="FL561" i="5"/>
  <c r="DF561" i="5" s="1"/>
  <c r="AJ561" i="5" s="1"/>
  <c r="IH571" i="5"/>
  <c r="AW571" i="5"/>
  <c r="HS572" i="5" s="1"/>
  <c r="HS574" i="5" s="1"/>
  <c r="FL586" i="5"/>
  <c r="DF586" i="5" s="1"/>
  <c r="AJ586" i="5" s="1"/>
  <c r="AW493" i="5"/>
  <c r="HS494" i="5" s="1"/>
  <c r="HS496" i="5" s="1"/>
  <c r="IH493" i="5"/>
  <c r="IH503" i="5"/>
  <c r="AW503" i="5"/>
  <c r="AW518" i="5"/>
  <c r="IH518" i="5"/>
  <c r="FL626" i="5"/>
  <c r="DF626" i="5" s="1"/>
  <c r="AJ626" i="5" s="1"/>
  <c r="AW679" i="5"/>
  <c r="IH679" i="5"/>
  <c r="FL548" i="5"/>
  <c r="DF548" i="5" s="1"/>
  <c r="AJ548" i="5" s="1"/>
  <c r="FL566" i="5"/>
  <c r="DF566" i="5" s="1"/>
  <c r="AJ566" i="5" s="1"/>
  <c r="AW596" i="5"/>
  <c r="HS597" i="5" s="1"/>
  <c r="HS599" i="5" s="1"/>
  <c r="IH596" i="5"/>
  <c r="FL538" i="5"/>
  <c r="DF538" i="5" s="1"/>
  <c r="AJ538" i="5" s="1"/>
  <c r="AW561" i="5"/>
  <c r="IH561" i="5"/>
  <c r="FL649" i="5"/>
  <c r="DF649" i="5" s="1"/>
  <c r="AJ649" i="5" s="1"/>
  <c r="FL654" i="5"/>
  <c r="DF654" i="5" s="1"/>
  <c r="AJ654" i="5" s="1"/>
  <c r="AW669" i="5"/>
  <c r="IH669" i="5"/>
  <c r="FL722" i="5"/>
  <c r="DF722" i="5" s="1"/>
  <c r="AJ722" i="5" s="1"/>
  <c r="FL727" i="5"/>
  <c r="DF727" i="5" s="1"/>
  <c r="AJ727" i="5" s="1"/>
  <c r="FL742" i="5"/>
  <c r="DF742" i="5" s="1"/>
  <c r="AJ742" i="5" s="1"/>
  <c r="IH782" i="5"/>
  <c r="AW782" i="5"/>
  <c r="AW787" i="5"/>
  <c r="IH787" i="5"/>
  <c r="FL767" i="5"/>
  <c r="DF767" i="5" s="1"/>
  <c r="AJ767" i="5" s="1"/>
  <c r="FL777" i="5"/>
  <c r="DF777" i="5" s="1"/>
  <c r="AJ777" i="5" s="1"/>
  <c r="BV35" i="22"/>
  <c r="E3" i="10"/>
  <c r="AW40" i="5"/>
  <c r="IH40" i="5"/>
  <c r="FL42" i="5"/>
  <c r="FL40" i="5"/>
  <c r="CP42" i="5"/>
  <c r="FO42" i="5"/>
  <c r="FQ42" i="5" s="1"/>
  <c r="FO40" i="5"/>
  <c r="AC5" i="10"/>
  <c r="AG5" i="10"/>
  <c r="AF5" i="10"/>
  <c r="AD5" i="10"/>
  <c r="AE5" i="10"/>
  <c r="Q5" i="10"/>
  <c r="O5" i="10"/>
  <c r="O6" i="10"/>
  <c r="R5" i="10"/>
  <c r="Q4" i="10"/>
  <c r="O4" i="10"/>
  <c r="P5" i="10"/>
  <c r="R4" i="10"/>
  <c r="E5" i="10"/>
  <c r="I3" i="24"/>
  <c r="I4" i="24"/>
  <c r="I5" i="24"/>
  <c r="I6" i="24"/>
  <c r="I7" i="24"/>
  <c r="I8" i="24"/>
  <c r="I9" i="24"/>
  <c r="I10" i="24"/>
  <c r="I11" i="24"/>
  <c r="I12" i="24"/>
  <c r="I13" i="24"/>
  <c r="I14" i="24"/>
  <c r="I15" i="24"/>
  <c r="I16" i="24"/>
  <c r="I17" i="24"/>
  <c r="I18" i="24"/>
  <c r="I19" i="24"/>
  <c r="I20" i="24"/>
  <c r="I21" i="24"/>
  <c r="I22" i="24"/>
  <c r="I23" i="24"/>
  <c r="I24" i="24"/>
  <c r="I25" i="24"/>
  <c r="I26" i="24"/>
  <c r="I27" i="24"/>
  <c r="I28" i="24"/>
  <c r="I29" i="24"/>
  <c r="I30" i="24"/>
  <c r="I31" i="24"/>
  <c r="I32" i="24"/>
  <c r="I33" i="24"/>
  <c r="I34" i="24"/>
  <c r="I35" i="24"/>
  <c r="I36" i="24"/>
  <c r="I37" i="24"/>
  <c r="I38" i="24"/>
  <c r="I39" i="24"/>
  <c r="I40" i="24"/>
  <c r="I41" i="24"/>
  <c r="I42" i="24"/>
  <c r="I43" i="24"/>
  <c r="I44" i="24"/>
  <c r="I45" i="24"/>
  <c r="I46" i="24"/>
  <c r="I47" i="24"/>
  <c r="I48" i="24"/>
  <c r="I49" i="24"/>
  <c r="I50" i="24"/>
  <c r="I51" i="24"/>
  <c r="I52" i="24"/>
  <c r="I53" i="24"/>
  <c r="I54" i="24"/>
  <c r="I55" i="24"/>
  <c r="I56" i="24"/>
  <c r="I57" i="24"/>
  <c r="I58" i="24"/>
  <c r="I59" i="24"/>
  <c r="I60" i="24"/>
  <c r="I61" i="24"/>
  <c r="I62" i="24"/>
  <c r="I63" i="24"/>
  <c r="I64" i="24"/>
  <c r="I65" i="24"/>
  <c r="I66" i="24"/>
  <c r="I67" i="24"/>
  <c r="I68" i="24"/>
  <c r="I69" i="24"/>
  <c r="I70" i="24"/>
  <c r="I71" i="24"/>
  <c r="I72" i="24"/>
  <c r="I73" i="24"/>
  <c r="I74" i="24"/>
  <c r="I75" i="24"/>
  <c r="I76" i="24"/>
  <c r="I77" i="24"/>
  <c r="I78" i="24"/>
  <c r="I79" i="24"/>
  <c r="I80" i="24"/>
  <c r="I81" i="24"/>
  <c r="I82" i="24"/>
  <c r="I83" i="24"/>
  <c r="I84" i="24"/>
  <c r="I85" i="24"/>
  <c r="I86" i="24"/>
  <c r="I87" i="24"/>
  <c r="I88" i="24"/>
  <c r="I89" i="24"/>
  <c r="I90" i="24"/>
  <c r="I91" i="24"/>
  <c r="I92" i="24"/>
  <c r="I93" i="24"/>
  <c r="I94" i="24"/>
  <c r="I95" i="24"/>
  <c r="I96" i="24"/>
  <c r="I97" i="24"/>
  <c r="I98" i="24"/>
  <c r="I99" i="24"/>
  <c r="I100" i="24"/>
  <c r="I101" i="24"/>
  <c r="I102" i="24"/>
  <c r="I103" i="24"/>
  <c r="I104" i="24"/>
  <c r="I105" i="24"/>
  <c r="I106" i="24"/>
  <c r="I107" i="24"/>
  <c r="I108" i="24"/>
  <c r="F106" i="24"/>
  <c r="F104" i="24"/>
  <c r="F91" i="24"/>
  <c r="F80" i="24"/>
  <c r="F79" i="24"/>
  <c r="F71" i="24"/>
  <c r="F73" i="24"/>
  <c r="F75" i="24"/>
  <c r="F67" i="24"/>
  <c r="F43" i="24"/>
  <c r="F41" i="24"/>
  <c r="F19" i="24"/>
  <c r="F16" i="24"/>
  <c r="F5" i="24"/>
  <c r="F3" i="24"/>
  <c r="F4" i="24"/>
  <c r="F6" i="24"/>
  <c r="F7" i="24"/>
  <c r="F8" i="24"/>
  <c r="F9" i="24"/>
  <c r="F11" i="24"/>
  <c r="F12" i="24"/>
  <c r="F13" i="24"/>
  <c r="F14" i="24"/>
  <c r="F10" i="24"/>
  <c r="F15" i="24"/>
  <c r="F17" i="24"/>
  <c r="F21" i="24"/>
  <c r="F23" i="24"/>
  <c r="F24" i="24"/>
  <c r="F25" i="24"/>
  <c r="F22" i="24"/>
  <c r="F26" i="24"/>
  <c r="F18" i="24"/>
  <c r="F31" i="24"/>
  <c r="F29" i="24"/>
  <c r="F28" i="24"/>
  <c r="F30" i="24"/>
  <c r="F27" i="24"/>
  <c r="F33" i="24"/>
  <c r="F34" i="24"/>
  <c r="F39" i="24"/>
  <c r="F40" i="24"/>
  <c r="F54" i="24"/>
  <c r="F55" i="24"/>
  <c r="F56" i="24"/>
  <c r="F59" i="24"/>
  <c r="F62" i="24"/>
  <c r="F61" i="24"/>
  <c r="F63" i="24"/>
  <c r="F64" i="24"/>
  <c r="F65" i="24"/>
  <c r="F60" i="24"/>
  <c r="F66" i="24"/>
  <c r="F68" i="24"/>
  <c r="F81" i="24"/>
  <c r="F83" i="24"/>
  <c r="F88" i="24"/>
  <c r="F87" i="24"/>
  <c r="F92" i="24"/>
  <c r="F93" i="24"/>
  <c r="F98" i="24"/>
  <c r="F99" i="24"/>
  <c r="F103" i="24"/>
  <c r="F108" i="24"/>
  <c r="F20" i="24"/>
  <c r="F32" i="24"/>
  <c r="F35" i="24"/>
  <c r="F36" i="24"/>
  <c r="F37" i="24"/>
  <c r="F38" i="24"/>
  <c r="F42" i="24"/>
  <c r="F44" i="24"/>
  <c r="F45" i="24"/>
  <c r="F46" i="24"/>
  <c r="F47" i="24"/>
  <c r="F49" i="24"/>
  <c r="F48" i="24"/>
  <c r="F50" i="24"/>
  <c r="F51" i="24"/>
  <c r="F52" i="24"/>
  <c r="F53" i="24"/>
  <c r="F57" i="24"/>
  <c r="F58" i="24"/>
  <c r="F69" i="24"/>
  <c r="F70" i="24"/>
  <c r="F72" i="24"/>
  <c r="F74" i="24"/>
  <c r="F76" i="24"/>
  <c r="F77" i="24"/>
  <c r="F78" i="24"/>
  <c r="F82" i="24"/>
  <c r="F84" i="24"/>
  <c r="F85" i="24"/>
  <c r="F86" i="24"/>
  <c r="F89" i="24"/>
  <c r="F90" i="24"/>
  <c r="F94" i="24"/>
  <c r="F95" i="24"/>
  <c r="F96" i="24"/>
  <c r="F97" i="24"/>
  <c r="F101" i="24"/>
  <c r="F100" i="24"/>
  <c r="F102" i="24"/>
  <c r="F105" i="24"/>
  <c r="F107" i="24"/>
  <c r="L53" i="19"/>
  <c r="W53" i="19"/>
  <c r="V53" i="19"/>
  <c r="C51" i="19"/>
  <c r="M52" i="19"/>
  <c r="U53" i="19"/>
  <c r="M53" i="19"/>
  <c r="P54" i="19"/>
  <c r="N53" i="19"/>
  <c r="T53" i="19"/>
  <c r="P53" i="19"/>
  <c r="P52" i="19"/>
  <c r="X53" i="19"/>
  <c r="N52" i="19"/>
  <c r="FM787" i="5" l="1"/>
  <c r="DD787" i="5" s="1"/>
  <c r="FB787" i="5" s="1"/>
  <c r="HI788" i="5" s="1"/>
  <c r="HI790" i="5" s="1"/>
  <c r="FM669" i="5"/>
  <c r="DD669" i="5" s="1"/>
  <c r="EW669" i="5" s="1"/>
  <c r="FM591" i="5"/>
  <c r="DD591" i="5" s="1"/>
  <c r="FB591" i="5" s="1"/>
  <c r="HI592" i="5" s="1"/>
  <c r="HI594" i="5" s="1"/>
  <c r="FM586" i="5"/>
  <c r="DD586" i="5" s="1"/>
  <c r="EW586" i="5" s="1"/>
  <c r="FM561" i="5"/>
  <c r="DD561" i="5" s="1"/>
  <c r="FB561" i="5" s="1"/>
  <c r="HI562" i="5" s="1"/>
  <c r="HI564" i="5" s="1"/>
  <c r="FM523" i="5"/>
  <c r="DD523" i="5" s="1"/>
  <c r="EW523" i="5" s="1"/>
  <c r="FM508" i="5"/>
  <c r="DD508" i="5" s="1"/>
  <c r="EW508" i="5" s="1"/>
  <c r="FM475" i="5"/>
  <c r="DD475" i="5" s="1"/>
  <c r="FB475" i="5" s="1"/>
  <c r="HI476" i="5" s="1"/>
  <c r="HI478" i="5" s="1"/>
  <c r="FM377" i="5"/>
  <c r="DD377" i="5" s="1"/>
  <c r="FB377" i="5" s="1"/>
  <c r="HI378" i="5" s="1"/>
  <c r="HI380" i="5" s="1"/>
  <c r="FM362" i="5"/>
  <c r="DD362" i="5" s="1"/>
  <c r="EW362" i="5" s="1"/>
  <c r="FM347" i="5"/>
  <c r="DD347" i="5" s="1"/>
  <c r="FB347" i="5" s="1"/>
  <c r="HI348" i="5" s="1"/>
  <c r="HI350" i="5" s="1"/>
  <c r="FM327" i="5"/>
  <c r="DD327" i="5" s="1"/>
  <c r="FB327" i="5" s="1"/>
  <c r="HI328" i="5" s="1"/>
  <c r="HI330" i="5" s="1"/>
  <c r="FM304" i="5"/>
  <c r="DD304" i="5" s="1"/>
  <c r="EW304" i="5" s="1"/>
  <c r="FM231" i="5"/>
  <c r="DD231" i="5" s="1"/>
  <c r="EW231" i="5" s="1"/>
  <c r="FM196" i="5"/>
  <c r="DD196" i="5" s="1"/>
  <c r="EW196" i="5" s="1"/>
  <c r="FM85" i="5"/>
  <c r="DD85" i="5" s="1"/>
  <c r="FB85" i="5" s="1"/>
  <c r="HI86" i="5" s="1"/>
  <c r="HI88" i="5" s="1"/>
  <c r="FM50" i="5"/>
  <c r="DD50" i="5" s="1"/>
  <c r="FB50" i="5" s="1"/>
  <c r="HI51" i="5" s="1"/>
  <c r="HI53" i="5" s="1"/>
  <c r="FM241" i="5"/>
  <c r="DD241" i="5" s="1"/>
  <c r="FB241" i="5" s="1"/>
  <c r="HI242" i="5" s="1"/>
  <c r="HI244" i="5" s="1"/>
  <c r="FM752" i="5"/>
  <c r="DD752" i="5" s="1"/>
  <c r="EW752" i="5" s="1"/>
  <c r="FM717" i="5"/>
  <c r="DD717" i="5" s="1"/>
  <c r="EV717" i="5" s="1"/>
  <c r="HJ718" i="5" s="1"/>
  <c r="HJ720" i="5" s="1"/>
  <c r="FM221" i="5"/>
  <c r="DD221" i="5" s="1"/>
  <c r="EW221" i="5" s="1"/>
  <c r="FM742" i="5"/>
  <c r="DD742" i="5" s="1"/>
  <c r="FB742" i="5" s="1"/>
  <c r="HI743" i="5" s="1"/>
  <c r="HI745" i="5" s="1"/>
  <c r="FM274" i="5"/>
  <c r="DD274" i="5" s="1"/>
  <c r="EW274" i="5" s="1"/>
  <c r="FM342" i="5"/>
  <c r="DD342" i="5" s="1"/>
  <c r="FB342" i="5" s="1"/>
  <c r="HI343" i="5" s="1"/>
  <c r="HI345" i="5" s="1"/>
  <c r="FM65" i="5"/>
  <c r="DD65" i="5" s="1"/>
  <c r="FB65" i="5" s="1"/>
  <c r="HI66" i="5" s="1"/>
  <c r="HI68" i="5" s="1"/>
  <c r="FM226" i="5"/>
  <c r="DD226" i="5" s="1"/>
  <c r="EW226" i="5" s="1"/>
  <c r="FM757" i="5"/>
  <c r="DD757" i="5" s="1"/>
  <c r="EW757" i="5" s="1"/>
  <c r="FM279" i="5"/>
  <c r="DD279" i="5" s="1"/>
  <c r="FB279" i="5" s="1"/>
  <c r="HI280" i="5" s="1"/>
  <c r="HI282" i="5" s="1"/>
  <c r="FM236" i="5"/>
  <c r="DD236" i="5" s="1"/>
  <c r="FB236" i="5" s="1"/>
  <c r="HI237" i="5" s="1"/>
  <c r="HI239" i="5" s="1"/>
  <c r="FM420" i="5"/>
  <c r="DD420" i="5" s="1"/>
  <c r="EW420" i="5" s="1"/>
  <c r="FM533" i="5"/>
  <c r="DD533" i="5" s="1"/>
  <c r="FB533" i="5" s="1"/>
  <c r="HI534" i="5" s="1"/>
  <c r="HI536" i="5" s="1"/>
  <c r="FM254" i="5"/>
  <c r="DD254" i="5" s="1"/>
  <c r="EW254" i="5" s="1"/>
  <c r="FM264" i="5"/>
  <c r="DD264" i="5" s="1"/>
  <c r="EW264" i="5" s="1"/>
  <c r="FM216" i="5"/>
  <c r="DD216" i="5" s="1"/>
  <c r="EW216" i="5" s="1"/>
  <c r="FM616" i="5"/>
  <c r="DD616" i="5" s="1"/>
  <c r="FB616" i="5" s="1"/>
  <c r="HI617" i="5" s="1"/>
  <c r="HI619" i="5" s="1"/>
  <c r="FM460" i="5"/>
  <c r="DD460" i="5" s="1"/>
  <c r="FB460" i="5" s="1"/>
  <c r="HI461" i="5" s="1"/>
  <c r="HI463" i="5" s="1"/>
  <c r="FM337" i="5"/>
  <c r="DD337" i="5" s="1"/>
  <c r="FB337" i="5" s="1"/>
  <c r="HI338" i="5" s="1"/>
  <c r="HI340" i="5" s="1"/>
  <c r="FM772" i="5"/>
  <c r="DD772" i="5" s="1"/>
  <c r="EW772" i="5" s="1"/>
  <c r="HS305" i="5"/>
  <c r="HS307" i="5" s="1"/>
  <c r="FM727" i="5"/>
  <c r="DD727" i="5" s="1"/>
  <c r="FB727" i="5" s="1"/>
  <c r="HI728" i="5" s="1"/>
  <c r="HI730" i="5" s="1"/>
  <c r="FM722" i="5"/>
  <c r="DD722" i="5" s="1"/>
  <c r="FB722" i="5" s="1"/>
  <c r="HI723" i="5" s="1"/>
  <c r="HI725" i="5" s="1"/>
  <c r="FM626" i="5"/>
  <c r="DD626" i="5" s="1"/>
  <c r="EW626" i="5" s="1"/>
  <c r="FM332" i="5"/>
  <c r="DD332" i="5" s="1"/>
  <c r="EW332" i="5" s="1"/>
  <c r="FM284" i="5"/>
  <c r="DD284" i="5" s="1"/>
  <c r="FB284" i="5" s="1"/>
  <c r="HI285" i="5" s="1"/>
  <c r="HI287" i="5" s="1"/>
  <c r="FM153" i="5"/>
  <c r="DD153" i="5" s="1"/>
  <c r="EV153" i="5" s="1"/>
  <c r="HJ154" i="5" s="1"/>
  <c r="HJ156" i="5" s="1"/>
  <c r="FM631" i="5"/>
  <c r="DD631" i="5" s="1"/>
  <c r="FB631" i="5" s="1"/>
  <c r="HI632" i="5" s="1"/>
  <c r="HI634" i="5" s="1"/>
  <c r="FM543" i="5"/>
  <c r="DD543" i="5" s="1"/>
  <c r="EW543" i="5" s="1"/>
  <c r="HS275" i="5"/>
  <c r="HS277" i="5" s="1"/>
  <c r="HS685" i="5"/>
  <c r="HS687" i="5" s="1"/>
  <c r="FM699" i="5"/>
  <c r="DD699" i="5" s="1"/>
  <c r="EW699" i="5" s="1"/>
  <c r="FM513" i="5"/>
  <c r="DD513" i="5" s="1"/>
  <c r="EW513" i="5" s="1"/>
  <c r="FM503" i="5"/>
  <c r="DD503" i="5" s="1"/>
  <c r="EV503" i="5" s="1"/>
  <c r="HJ504" i="5" s="1"/>
  <c r="HJ506" i="5" s="1"/>
  <c r="FM319" i="5"/>
  <c r="DD319" i="5" s="1"/>
  <c r="EW319" i="5" s="1"/>
  <c r="FM309" i="5"/>
  <c r="DD309" i="5" s="1"/>
  <c r="FB309" i="5" s="1"/>
  <c r="HI310" i="5" s="1"/>
  <c r="HI312" i="5" s="1"/>
  <c r="FM133" i="5"/>
  <c r="DD133" i="5" s="1"/>
  <c r="FB133" i="5" s="1"/>
  <c r="HI134" i="5" s="1"/>
  <c r="HI136" i="5" s="1"/>
  <c r="FM176" i="5"/>
  <c r="DD176" i="5" s="1"/>
  <c r="EW176" i="5" s="1"/>
  <c r="FM201" i="5"/>
  <c r="DD201" i="5" s="1"/>
  <c r="EV201" i="5" s="1"/>
  <c r="HJ202" i="5" s="1"/>
  <c r="HJ204" i="5" s="1"/>
  <c r="FM387" i="5"/>
  <c r="DD387" i="5" s="1"/>
  <c r="FB387" i="5" s="1"/>
  <c r="HI388" i="5" s="1"/>
  <c r="HI390" i="5" s="1"/>
  <c r="FM488" i="5"/>
  <c r="DD488" i="5" s="1"/>
  <c r="EW488" i="5" s="1"/>
  <c r="FM596" i="5"/>
  <c r="DD596" i="5" s="1"/>
  <c r="EW596" i="5" s="1"/>
  <c r="FM737" i="5"/>
  <c r="DD737" i="5" s="1"/>
  <c r="EW737" i="5" s="1"/>
  <c r="FM694" i="5"/>
  <c r="DD694" i="5" s="1"/>
  <c r="EW694" i="5" s="1"/>
  <c r="FM553" i="5"/>
  <c r="DD553" i="5" s="1"/>
  <c r="FB553" i="5" s="1"/>
  <c r="HI554" i="5" s="1"/>
  <c r="HI556" i="5" s="1"/>
  <c r="FM470" i="5"/>
  <c r="DD470" i="5" s="1"/>
  <c r="EW470" i="5" s="1"/>
  <c r="HS250" i="5"/>
  <c r="HS252" i="5" s="1"/>
  <c r="HS675" i="5"/>
  <c r="HS677" i="5" s="1"/>
  <c r="HS607" i="5"/>
  <c r="HS609" i="5" s="1"/>
  <c r="FM382" i="5"/>
  <c r="DD382" i="5" s="1"/>
  <c r="EW382" i="5" s="1"/>
  <c r="FM98" i="5"/>
  <c r="DD98" i="5" s="1"/>
  <c r="EW98" i="5" s="1"/>
  <c r="FM611" i="5"/>
  <c r="DD611" i="5" s="1"/>
  <c r="EW611" i="5" s="1"/>
  <c r="FM621" i="5"/>
  <c r="DD621" i="5" s="1"/>
  <c r="EW621" i="5" s="1"/>
  <c r="FM430" i="5"/>
  <c r="DD430" i="5" s="1"/>
  <c r="EW430" i="5" s="1"/>
  <c r="FM158" i="5"/>
  <c r="DD158" i="5" s="1"/>
  <c r="EW158" i="5" s="1"/>
  <c r="FM138" i="5"/>
  <c r="DD138" i="5" s="1"/>
  <c r="EW138" i="5" s="1"/>
  <c r="FM392" i="5"/>
  <c r="DD392" i="5" s="1"/>
  <c r="FB392" i="5" s="1"/>
  <c r="HI393" i="5" s="1"/>
  <c r="HI395" i="5" s="1"/>
  <c r="HS66" i="5"/>
  <c r="HS68" i="5" s="1"/>
  <c r="FM445" i="5"/>
  <c r="DD445" i="5" s="1"/>
  <c r="EW445" i="5" s="1"/>
  <c r="FM372" i="5"/>
  <c r="DD372" i="5" s="1"/>
  <c r="EV372" i="5" s="1"/>
  <c r="HJ373" i="5" s="1"/>
  <c r="HJ375" i="5" s="1"/>
  <c r="HS328" i="5"/>
  <c r="HS330" i="5" s="1"/>
  <c r="FM128" i="5"/>
  <c r="DD128" i="5" s="1"/>
  <c r="EW128" i="5" s="1"/>
  <c r="FM171" i="5"/>
  <c r="DD171" i="5" s="1"/>
  <c r="FB171" i="5" s="1"/>
  <c r="HI172" i="5" s="1"/>
  <c r="HI174" i="5" s="1"/>
  <c r="HS353" i="5"/>
  <c r="HS355" i="5" s="1"/>
  <c r="FM762" i="5"/>
  <c r="DD762" i="5" s="1"/>
  <c r="EW762" i="5" s="1"/>
  <c r="FM644" i="5"/>
  <c r="DD644" i="5" s="1"/>
  <c r="EW644" i="5" s="1"/>
  <c r="FM528" i="5"/>
  <c r="DD528" i="5" s="1"/>
  <c r="EW528" i="5" s="1"/>
  <c r="FM410" i="5"/>
  <c r="DD410" i="5" s="1"/>
  <c r="EV410" i="5" s="1"/>
  <c r="HJ411" i="5" s="1"/>
  <c r="HJ413" i="5" s="1"/>
  <c r="FM440" i="5"/>
  <c r="DD440" i="5" s="1"/>
  <c r="FB440" i="5" s="1"/>
  <c r="HI441" i="5" s="1"/>
  <c r="HI443" i="5" s="1"/>
  <c r="FM294" i="5"/>
  <c r="DD294" i="5" s="1"/>
  <c r="EW294" i="5" s="1"/>
  <c r="AF737" i="5"/>
  <c r="AF470" i="5"/>
  <c r="EV523" i="5"/>
  <c r="HJ524" i="5" s="1"/>
  <c r="HJ526" i="5" s="1"/>
  <c r="AF523" i="5"/>
  <c r="AF332" i="5"/>
  <c r="EV387" i="5"/>
  <c r="HJ388" i="5" s="1"/>
  <c r="HJ390" i="5" s="1"/>
  <c r="AF387" i="5"/>
  <c r="EV752" i="5"/>
  <c r="HJ753" i="5" s="1"/>
  <c r="HJ755" i="5" s="1"/>
  <c r="AF752" i="5"/>
  <c r="AF196" i="5"/>
  <c r="AF236" i="5"/>
  <c r="AF420" i="5"/>
  <c r="EV508" i="5"/>
  <c r="HJ509" i="5" s="1"/>
  <c r="HJ511" i="5" s="1"/>
  <c r="AF508" i="5"/>
  <c r="AF254" i="5"/>
  <c r="AF226" i="5"/>
  <c r="AF626" i="5"/>
  <c r="EV284" i="5"/>
  <c r="HJ285" i="5" s="1"/>
  <c r="HJ287" i="5" s="1"/>
  <c r="AF284" i="5"/>
  <c r="EV561" i="5"/>
  <c r="HJ562" i="5" s="1"/>
  <c r="HJ564" i="5" s="1"/>
  <c r="AF561" i="5"/>
  <c r="AF382" i="5"/>
  <c r="AF98" i="5"/>
  <c r="AF621" i="5"/>
  <c r="AF392" i="5"/>
  <c r="AF128" i="5"/>
  <c r="EV762" i="5"/>
  <c r="HJ763" i="5" s="1"/>
  <c r="HJ765" i="5" s="1"/>
  <c r="AF762" i="5"/>
  <c r="AF528" i="5"/>
  <c r="AF410" i="5"/>
  <c r="AF294" i="5"/>
  <c r="AF377" i="5"/>
  <c r="EV787" i="5"/>
  <c r="HJ788" i="5" s="1"/>
  <c r="HJ790" i="5" s="1"/>
  <c r="AF787" i="5"/>
  <c r="AF717" i="5"/>
  <c r="AF342" i="5"/>
  <c r="HS728" i="5"/>
  <c r="HS730" i="5" s="1"/>
  <c r="AF699" i="5"/>
  <c r="AF372" i="5"/>
  <c r="EV85" i="5"/>
  <c r="HJ86" i="5" s="1"/>
  <c r="HJ88" i="5" s="1"/>
  <c r="AF85" i="5"/>
  <c r="AF772" i="5"/>
  <c r="EV553" i="5"/>
  <c r="HJ554" i="5" s="1"/>
  <c r="HJ556" i="5" s="1"/>
  <c r="AF553" i="5"/>
  <c r="HS504" i="5"/>
  <c r="HS506" i="5" s="1"/>
  <c r="EV586" i="5"/>
  <c r="HJ587" i="5" s="1"/>
  <c r="HJ589" i="5" s="1"/>
  <c r="AF586" i="5"/>
  <c r="EV669" i="5"/>
  <c r="HJ670" i="5" s="1"/>
  <c r="HJ672" i="5" s="1"/>
  <c r="AF669" i="5"/>
  <c r="EV591" i="5"/>
  <c r="HJ592" i="5" s="1"/>
  <c r="HJ594" i="5" s="1"/>
  <c r="AF591" i="5"/>
  <c r="AF362" i="5"/>
  <c r="AF274" i="5"/>
  <c r="AF158" i="5"/>
  <c r="AF138" i="5"/>
  <c r="EV304" i="5"/>
  <c r="HJ305" i="5" s="1"/>
  <c r="HJ307" i="5" s="1"/>
  <c r="AF304" i="5"/>
  <c r="AF264" i="5"/>
  <c r="AF216" i="5"/>
  <c r="HS172" i="5"/>
  <c r="HS174" i="5" s="1"/>
  <c r="AF757" i="5"/>
  <c r="EV513" i="5"/>
  <c r="HJ514" i="5" s="1"/>
  <c r="HJ516" i="5" s="1"/>
  <c r="AF513" i="5"/>
  <c r="FM186" i="5"/>
  <c r="DD186" i="5" s="1"/>
  <c r="AF279" i="5"/>
  <c r="AF616" i="5"/>
  <c r="AF309" i="5"/>
  <c r="EV176" i="5"/>
  <c r="HJ177" i="5" s="1"/>
  <c r="HJ179" i="5" s="1"/>
  <c r="AF176" i="5"/>
  <c r="AF201" i="5"/>
  <c r="EV171" i="5"/>
  <c r="HJ172" i="5" s="1"/>
  <c r="HJ174" i="5" s="1"/>
  <c r="AF171" i="5"/>
  <c r="HS627" i="5"/>
  <c r="HS629" i="5" s="1"/>
  <c r="AF488" i="5"/>
  <c r="AF50" i="5"/>
  <c r="HS768" i="5"/>
  <c r="HS770" i="5" s="1"/>
  <c r="AF440" i="5"/>
  <c r="EV742" i="5"/>
  <c r="HJ743" i="5" s="1"/>
  <c r="HJ745" i="5" s="1"/>
  <c r="AF742" i="5"/>
  <c r="EV722" i="5"/>
  <c r="HJ723" i="5" s="1"/>
  <c r="HJ725" i="5" s="1"/>
  <c r="AF722" i="5"/>
  <c r="EV475" i="5"/>
  <c r="HJ476" i="5" s="1"/>
  <c r="HJ478" i="5" s="1"/>
  <c r="AF475" i="5"/>
  <c r="EV611" i="5"/>
  <c r="HJ612" i="5" s="1"/>
  <c r="HJ614" i="5" s="1"/>
  <c r="AF611" i="5"/>
  <c r="AF65" i="5"/>
  <c r="HS650" i="5"/>
  <c r="HS652" i="5" s="1"/>
  <c r="EV533" i="5"/>
  <c r="HJ534" i="5" s="1"/>
  <c r="HJ536" i="5" s="1"/>
  <c r="AF533" i="5"/>
  <c r="HS431" i="5"/>
  <c r="HS433" i="5" s="1"/>
  <c r="AF153" i="5"/>
  <c r="AF430" i="5"/>
  <c r="FM767" i="5"/>
  <c r="DD767" i="5" s="1"/>
  <c r="FM649" i="5"/>
  <c r="DD649" i="5" s="1"/>
  <c r="FM538" i="5"/>
  <c r="DD538" i="5" s="1"/>
  <c r="FM566" i="5"/>
  <c r="DD566" i="5" s="1"/>
  <c r="FM191" i="5"/>
  <c r="DD191" i="5" s="1"/>
  <c r="HS388" i="5"/>
  <c r="HS390" i="5" s="1"/>
  <c r="EV241" i="5"/>
  <c r="HJ242" i="5" s="1"/>
  <c r="HJ244" i="5" s="1"/>
  <c r="AF241" i="5"/>
  <c r="HS164" i="5"/>
  <c r="HS166" i="5" s="1"/>
  <c r="AF221" i="5"/>
  <c r="EV231" i="5"/>
  <c r="HJ232" i="5" s="1"/>
  <c r="HJ234" i="5" s="1"/>
  <c r="AF231" i="5"/>
  <c r="HS695" i="5"/>
  <c r="HS697" i="5" s="1"/>
  <c r="FM576" i="5"/>
  <c r="DD576" i="5" s="1"/>
  <c r="HS549" i="5"/>
  <c r="HS551" i="5" s="1"/>
  <c r="FM493" i="5"/>
  <c r="DD493" i="5" s="1"/>
  <c r="FM435" i="5"/>
  <c r="DD435" i="5" s="1"/>
  <c r="HS426" i="5"/>
  <c r="HS428" i="5" s="1"/>
  <c r="FM181" i="5"/>
  <c r="DD181" i="5" s="1"/>
  <c r="FM143" i="5"/>
  <c r="DD143" i="5" s="1"/>
  <c r="FM269" i="5"/>
  <c r="DD269" i="5" s="1"/>
  <c r="FM80" i="5"/>
  <c r="DD80" i="5" s="1"/>
  <c r="FM60" i="5"/>
  <c r="DD60" i="5" s="1"/>
  <c r="FM113" i="5"/>
  <c r="DD113" i="5" s="1"/>
  <c r="FM45" i="5"/>
  <c r="DD45" i="5" s="1"/>
  <c r="FM405" i="5"/>
  <c r="DD405" i="5" s="1"/>
  <c r="FM55" i="5"/>
  <c r="DD55" i="5" s="1"/>
  <c r="FM679" i="5"/>
  <c r="DD679" i="5" s="1"/>
  <c r="FM639" i="5"/>
  <c r="DD639" i="5" s="1"/>
  <c r="FM709" i="5"/>
  <c r="DD709" i="5" s="1"/>
  <c r="HS592" i="5"/>
  <c r="HS594" i="5" s="1"/>
  <c r="HS476" i="5"/>
  <c r="HS478" i="5" s="1"/>
  <c r="FM601" i="5"/>
  <c r="DD601" i="5" s="1"/>
  <c r="HS582" i="5"/>
  <c r="HS584" i="5" s="1"/>
  <c r="AF445" i="5"/>
  <c r="AF503" i="5"/>
  <c r="EV319" i="5"/>
  <c r="HJ320" i="5" s="1"/>
  <c r="HJ322" i="5" s="1"/>
  <c r="AF319" i="5"/>
  <c r="HS255" i="5"/>
  <c r="HS257" i="5" s="1"/>
  <c r="EV133" i="5"/>
  <c r="HJ134" i="5" s="1"/>
  <c r="HJ136" i="5" s="1"/>
  <c r="AF133" i="5"/>
  <c r="HS514" i="5"/>
  <c r="HS516" i="5" s="1"/>
  <c r="HS320" i="5"/>
  <c r="HS322" i="5" s="1"/>
  <c r="GI222" i="5"/>
  <c r="GM224" i="5"/>
  <c r="HS778" i="5"/>
  <c r="HS780" i="5" s="1"/>
  <c r="FM289" i="5"/>
  <c r="DD289" i="5" s="1"/>
  <c r="FM483" i="5"/>
  <c r="DD483" i="5" s="1"/>
  <c r="EV727" i="5"/>
  <c r="HJ728" i="5" s="1"/>
  <c r="HJ730" i="5" s="1"/>
  <c r="AF727" i="5"/>
  <c r="HS562" i="5"/>
  <c r="HS564" i="5" s="1"/>
  <c r="HS680" i="5"/>
  <c r="HS682" i="5" s="1"/>
  <c r="HS519" i="5"/>
  <c r="HS521" i="5" s="1"/>
  <c r="AF347" i="5"/>
  <c r="EV460" i="5"/>
  <c r="HJ461" i="5" s="1"/>
  <c r="HJ463" i="5" s="1"/>
  <c r="AF460" i="5"/>
  <c r="EV337" i="5"/>
  <c r="HJ338" i="5" s="1"/>
  <c r="HJ340" i="5" s="1"/>
  <c r="AF337" i="5"/>
  <c r="EV596" i="5"/>
  <c r="HJ597" i="5" s="1"/>
  <c r="HJ599" i="5" s="1"/>
  <c r="AF596" i="5"/>
  <c r="EV694" i="5"/>
  <c r="HJ695" i="5" s="1"/>
  <c r="HJ697" i="5" s="1"/>
  <c r="AF694" i="5"/>
  <c r="AF644" i="5"/>
  <c r="HS645" i="5"/>
  <c r="HS647" i="5" s="1"/>
  <c r="EV327" i="5"/>
  <c r="HJ328" i="5" s="1"/>
  <c r="HJ330" i="5" s="1"/>
  <c r="AF327" i="5"/>
  <c r="HS773" i="5"/>
  <c r="HS775" i="5" s="1"/>
  <c r="EV631" i="5"/>
  <c r="HJ632" i="5" s="1"/>
  <c r="HJ634" i="5" s="1"/>
  <c r="AF631" i="5"/>
  <c r="AF543" i="5"/>
  <c r="HS622" i="5"/>
  <c r="HS624" i="5" s="1"/>
  <c r="FM777" i="5"/>
  <c r="DD777" i="5" s="1"/>
  <c r="FM654" i="5"/>
  <c r="DD654" i="5" s="1"/>
  <c r="FM548" i="5"/>
  <c r="DD548" i="5" s="1"/>
  <c r="HS461" i="5"/>
  <c r="HS463" i="5" s="1"/>
  <c r="HS373" i="5"/>
  <c r="HS375" i="5" s="1"/>
  <c r="FM455" i="5"/>
  <c r="DD455" i="5" s="1"/>
  <c r="HS242" i="5"/>
  <c r="HS244" i="5" s="1"/>
  <c r="FM259" i="5"/>
  <c r="DD259" i="5" s="1"/>
  <c r="FM352" i="5"/>
  <c r="DD352" i="5" s="1"/>
  <c r="FM70" i="5"/>
  <c r="DD70" i="5" s="1"/>
  <c r="HS86" i="5"/>
  <c r="HS88" i="5" s="1"/>
  <c r="FM93" i="5"/>
  <c r="DD93" i="5" s="1"/>
  <c r="FM684" i="5"/>
  <c r="DD684" i="5" s="1"/>
  <c r="FM450" i="5"/>
  <c r="DD450" i="5" s="1"/>
  <c r="FM75" i="5"/>
  <c r="DD75" i="5" s="1"/>
  <c r="HS763" i="5"/>
  <c r="HS765" i="5" s="1"/>
  <c r="FM704" i="5"/>
  <c r="DD704" i="5" s="1"/>
  <c r="FM689" i="5"/>
  <c r="DD689" i="5" s="1"/>
  <c r="FM664" i="5"/>
  <c r="DD664" i="5" s="1"/>
  <c r="HS690" i="5"/>
  <c r="HS692" i="5" s="1"/>
  <c r="FM581" i="5"/>
  <c r="DD581" i="5" s="1"/>
  <c r="HS567" i="5"/>
  <c r="HS569" i="5" s="1"/>
  <c r="FM498" i="5"/>
  <c r="DD498" i="5" s="1"/>
  <c r="FM425" i="5"/>
  <c r="DD425" i="5" s="1"/>
  <c r="HS383" i="5"/>
  <c r="HS385" i="5" s="1"/>
  <c r="FM367" i="5"/>
  <c r="DD367" i="5" s="1"/>
  <c r="FM415" i="5"/>
  <c r="DD415" i="5" s="1"/>
  <c r="HS212" i="5"/>
  <c r="HS214" i="5" s="1"/>
  <c r="FM163" i="5"/>
  <c r="DD163" i="5" s="1"/>
  <c r="FM211" i="5"/>
  <c r="DD211" i="5" s="1"/>
  <c r="FM397" i="5"/>
  <c r="DD397" i="5" s="1"/>
  <c r="FM103" i="5"/>
  <c r="DD103" i="5" s="1"/>
  <c r="HS315" i="5"/>
  <c r="HS317" i="5" s="1"/>
  <c r="FM249" i="5"/>
  <c r="DD249" i="5" s="1"/>
  <c r="FM148" i="5"/>
  <c r="DD148" i="5" s="1"/>
  <c r="HS109" i="5"/>
  <c r="HS111" i="5" s="1"/>
  <c r="HS61" i="5"/>
  <c r="HS63" i="5" s="1"/>
  <c r="FM782" i="5"/>
  <c r="DD782" i="5" s="1"/>
  <c r="HS758" i="5"/>
  <c r="HS760" i="5" s="1"/>
  <c r="FM732" i="5"/>
  <c r="DD732" i="5" s="1"/>
  <c r="FM659" i="5"/>
  <c r="DD659" i="5" s="1"/>
  <c r="HS554" i="5"/>
  <c r="HS556" i="5" s="1"/>
  <c r="FM518" i="5"/>
  <c r="DD518" i="5" s="1"/>
  <c r="FM606" i="5"/>
  <c r="DD606" i="5" s="1"/>
  <c r="FM465" i="5"/>
  <c r="DD465" i="5" s="1"/>
  <c r="FM357" i="5"/>
  <c r="DD357" i="5" s="1"/>
  <c r="HS300" i="5"/>
  <c r="HS302" i="5" s="1"/>
  <c r="FM314" i="5"/>
  <c r="DD314" i="5" s="1"/>
  <c r="FM299" i="5"/>
  <c r="DD299" i="5" s="1"/>
  <c r="FM123" i="5"/>
  <c r="DD123" i="5" s="1"/>
  <c r="HS222" i="5"/>
  <c r="HS224" i="5" s="1"/>
  <c r="FM108" i="5"/>
  <c r="DD108" i="5" s="1"/>
  <c r="HS94" i="5"/>
  <c r="HS96" i="5" s="1"/>
  <c r="FM118" i="5"/>
  <c r="DD118" i="5" s="1"/>
  <c r="HS99" i="5"/>
  <c r="HS101" i="5" s="1"/>
  <c r="FM206" i="5"/>
  <c r="DD206" i="5" s="1"/>
  <c r="FM674" i="5"/>
  <c r="DD674" i="5" s="1"/>
  <c r="FM747" i="5"/>
  <c r="DD747" i="5" s="1"/>
  <c r="FM571" i="5"/>
  <c r="DD571" i="5" s="1"/>
  <c r="HS632" i="5"/>
  <c r="HS634" i="5" s="1"/>
  <c r="BV36" i="22"/>
  <c r="IL42" i="5"/>
  <c r="IK42" i="5" s="1"/>
  <c r="IM42" i="5"/>
  <c r="FM40" i="5"/>
  <c r="DF30" i="5"/>
  <c r="DF40" i="5"/>
  <c r="AJ40" i="5" s="1"/>
  <c r="FU42" i="5"/>
  <c r="FM42" i="5"/>
  <c r="HM41" i="5"/>
  <c r="HM43" i="5" s="1"/>
  <c r="EY42" i="5"/>
  <c r="EV42" i="5" s="1"/>
  <c r="EU42" i="5"/>
  <c r="EY40" i="5"/>
  <c r="EU40" i="5"/>
  <c r="P44" i="24"/>
  <c r="P43" i="24"/>
  <c r="P42" i="24"/>
  <c r="P41" i="24"/>
  <c r="P40" i="24"/>
  <c r="P39" i="24"/>
  <c r="P38" i="24"/>
  <c r="P37" i="24"/>
  <c r="P36" i="24"/>
  <c r="P35" i="24"/>
  <c r="P34" i="24"/>
  <c r="P33" i="24"/>
  <c r="P32" i="24"/>
  <c r="Q31" i="24"/>
  <c r="P31" i="24"/>
  <c r="Q30" i="24"/>
  <c r="P30" i="24"/>
  <c r="Q29" i="24"/>
  <c r="P29" i="24"/>
  <c r="Q28" i="24"/>
  <c r="P28" i="24"/>
  <c r="Q27" i="24"/>
  <c r="P27" i="24"/>
  <c r="Q26" i="24"/>
  <c r="P26" i="24"/>
  <c r="Q25" i="24"/>
  <c r="P25" i="24"/>
  <c r="Q24" i="24"/>
  <c r="P24" i="24"/>
  <c r="Q23" i="24"/>
  <c r="P23" i="24"/>
  <c r="Q22" i="24"/>
  <c r="P22" i="24"/>
  <c r="Q21" i="24"/>
  <c r="P21" i="24"/>
  <c r="Q20" i="24"/>
  <c r="P20" i="24"/>
  <c r="Q19" i="24"/>
  <c r="P19" i="24"/>
  <c r="Q18" i="24"/>
  <c r="P18" i="24"/>
  <c r="Q17" i="24"/>
  <c r="P17" i="24"/>
  <c r="Q16" i="24"/>
  <c r="P16" i="24"/>
  <c r="Q15" i="24"/>
  <c r="P15" i="24"/>
  <c r="Q14" i="24"/>
  <c r="P14" i="24"/>
  <c r="Q13" i="24"/>
  <c r="P13" i="24"/>
  <c r="Q12" i="24"/>
  <c r="P12" i="24"/>
  <c r="Q11" i="24"/>
  <c r="P11" i="24"/>
  <c r="Q10" i="24"/>
  <c r="P10" i="24"/>
  <c r="Q9" i="24"/>
  <c r="P9" i="24"/>
  <c r="Q8" i="24"/>
  <c r="P8" i="24"/>
  <c r="Q7" i="24"/>
  <c r="P7" i="24"/>
  <c r="Q6" i="24"/>
  <c r="P6" i="24"/>
  <c r="Q5" i="24"/>
  <c r="P5" i="24"/>
  <c r="Q4" i="24"/>
  <c r="P4" i="24"/>
  <c r="B1" i="10"/>
  <c r="EW460" i="5" l="1"/>
  <c r="EW742" i="5"/>
  <c r="FB694" i="5"/>
  <c r="HI695" i="5" s="1"/>
  <c r="HI697" i="5" s="1"/>
  <c r="FB523" i="5"/>
  <c r="HI524" i="5" s="1"/>
  <c r="HI526" i="5" s="1"/>
  <c r="FB362" i="5"/>
  <c r="HI363" i="5" s="1"/>
  <c r="HI365" i="5" s="1"/>
  <c r="EW133" i="5"/>
  <c r="DU133" i="5" s="1"/>
  <c r="FB543" i="5"/>
  <c r="HI544" i="5" s="1"/>
  <c r="HI546" i="5" s="1"/>
  <c r="EW533" i="5"/>
  <c r="EW50" i="5"/>
  <c r="DU50" i="5" s="1"/>
  <c r="EW727" i="5"/>
  <c r="DU727" i="5" s="1"/>
  <c r="FB596" i="5"/>
  <c r="HI597" i="5" s="1"/>
  <c r="HI599" i="5" s="1"/>
  <c r="EW591" i="5"/>
  <c r="DU591" i="5" s="1"/>
  <c r="EW475" i="5"/>
  <c r="DU475" i="5" s="1"/>
  <c r="FB231" i="5"/>
  <c r="HI232" i="5" s="1"/>
  <c r="HI234" i="5" s="1"/>
  <c r="EV50" i="5"/>
  <c r="HJ51" i="5" s="1"/>
  <c r="HJ53" i="5" s="1"/>
  <c r="FB669" i="5"/>
  <c r="HI670" i="5" s="1"/>
  <c r="HI672" i="5" s="1"/>
  <c r="EW631" i="5"/>
  <c r="FB586" i="5"/>
  <c r="HI587" i="5" s="1"/>
  <c r="HI589" i="5" s="1"/>
  <c r="FB513" i="5"/>
  <c r="HI514" i="5" s="1"/>
  <c r="HI516" i="5" s="1"/>
  <c r="FB508" i="5"/>
  <c r="HI509" i="5" s="1"/>
  <c r="HI511" i="5" s="1"/>
  <c r="EV362" i="5"/>
  <c r="HJ363" i="5" s="1"/>
  <c r="HJ365" i="5" s="1"/>
  <c r="EW309" i="5"/>
  <c r="DU309" i="5" s="1"/>
  <c r="EW279" i="5"/>
  <c r="EV221" i="5"/>
  <c r="HJ222" i="5" s="1"/>
  <c r="HJ224" i="5" s="1"/>
  <c r="FB430" i="5"/>
  <c r="HI431" i="5" s="1"/>
  <c r="HI433" i="5" s="1"/>
  <c r="EV430" i="5"/>
  <c r="HJ431" i="5" s="1"/>
  <c r="HJ433" i="5" s="1"/>
  <c r="EV392" i="5"/>
  <c r="HJ393" i="5" s="1"/>
  <c r="HJ395" i="5" s="1"/>
  <c r="EV382" i="5"/>
  <c r="HJ383" i="5" s="1"/>
  <c r="HJ385" i="5" s="1"/>
  <c r="EV377" i="5"/>
  <c r="HJ378" i="5" s="1"/>
  <c r="HJ380" i="5" s="1"/>
  <c r="EW372" i="5"/>
  <c r="DU372" i="5" s="1"/>
  <c r="EV347" i="5"/>
  <c r="HJ348" i="5" s="1"/>
  <c r="HJ350" i="5" s="1"/>
  <c r="EV342" i="5"/>
  <c r="HJ343" i="5" s="1"/>
  <c r="HJ345" i="5" s="1"/>
  <c r="EV279" i="5"/>
  <c r="HJ280" i="5" s="1"/>
  <c r="HJ282" i="5" s="1"/>
  <c r="EV236" i="5"/>
  <c r="HJ237" i="5" s="1"/>
  <c r="HJ239" i="5" s="1"/>
  <c r="EV196" i="5"/>
  <c r="HJ197" i="5" s="1"/>
  <c r="HJ199" i="5" s="1"/>
  <c r="EW561" i="5"/>
  <c r="DU561" i="5" s="1"/>
  <c r="EW440" i="5"/>
  <c r="DU440" i="5" s="1"/>
  <c r="EW337" i="5"/>
  <c r="DU337" i="5" s="1"/>
  <c r="EW377" i="5"/>
  <c r="EW327" i="5"/>
  <c r="DU327" i="5" s="1"/>
  <c r="EW787" i="5"/>
  <c r="DU787" i="5" s="1"/>
  <c r="EV772" i="5"/>
  <c r="HJ773" i="5" s="1"/>
  <c r="HJ775" i="5" s="1"/>
  <c r="EV757" i="5"/>
  <c r="HJ758" i="5" s="1"/>
  <c r="HJ760" i="5" s="1"/>
  <c r="FB757" i="5"/>
  <c r="HI758" i="5" s="1"/>
  <c r="HI760" i="5" s="1"/>
  <c r="FB752" i="5"/>
  <c r="HI753" i="5" s="1"/>
  <c r="HI755" i="5" s="1"/>
  <c r="EW717" i="5"/>
  <c r="DU717" i="5" s="1"/>
  <c r="EV699" i="5"/>
  <c r="HJ700" i="5" s="1"/>
  <c r="HJ702" i="5" s="1"/>
  <c r="EV626" i="5"/>
  <c r="HJ627" i="5" s="1"/>
  <c r="HJ629" i="5" s="1"/>
  <c r="FB626" i="5"/>
  <c r="HI627" i="5" s="1"/>
  <c r="HI629" i="5" s="1"/>
  <c r="EW616" i="5"/>
  <c r="DU616" i="5" s="1"/>
  <c r="FB528" i="5"/>
  <c r="HI529" i="5" s="1"/>
  <c r="HI531" i="5" s="1"/>
  <c r="EV528" i="5"/>
  <c r="HJ529" i="5" s="1"/>
  <c r="HJ531" i="5" s="1"/>
  <c r="FB503" i="5"/>
  <c r="HI504" i="5" s="1"/>
  <c r="HI506" i="5" s="1"/>
  <c r="EV470" i="5"/>
  <c r="HJ471" i="5" s="1"/>
  <c r="HJ473" i="5" s="1"/>
  <c r="FB410" i="5"/>
  <c r="HI411" i="5" s="1"/>
  <c r="HI413" i="5" s="1"/>
  <c r="EW410" i="5"/>
  <c r="DU410" i="5" s="1"/>
  <c r="EW392" i="5"/>
  <c r="DU392" i="5" s="1"/>
  <c r="EW387" i="5"/>
  <c r="DU387" i="5" s="1"/>
  <c r="FB382" i="5"/>
  <c r="HI383" i="5" s="1"/>
  <c r="HI385" i="5" s="1"/>
  <c r="FB372" i="5"/>
  <c r="HI373" i="5" s="1"/>
  <c r="HI375" i="5" s="1"/>
  <c r="EW347" i="5"/>
  <c r="DU347" i="5" s="1"/>
  <c r="EW342" i="5"/>
  <c r="DU342" i="5" s="1"/>
  <c r="FB319" i="5"/>
  <c r="HI320" i="5" s="1"/>
  <c r="HI322" i="5" s="1"/>
  <c r="FB304" i="5"/>
  <c r="HI305" i="5" s="1"/>
  <c r="HI307" i="5" s="1"/>
  <c r="EW284" i="5"/>
  <c r="DU284" i="5" s="1"/>
  <c r="EW241" i="5"/>
  <c r="DU241" i="5" s="1"/>
  <c r="EW236" i="5"/>
  <c r="DU236" i="5" s="1"/>
  <c r="FB226" i="5"/>
  <c r="HI227" i="5" s="1"/>
  <c r="HI229" i="5" s="1"/>
  <c r="EV226" i="5"/>
  <c r="HJ227" i="5" s="1"/>
  <c r="HJ229" i="5" s="1"/>
  <c r="FB216" i="5"/>
  <c r="HI217" i="5" s="1"/>
  <c r="HI219" i="5" s="1"/>
  <c r="EV216" i="5"/>
  <c r="HJ217" i="5" s="1"/>
  <c r="HJ219" i="5" s="1"/>
  <c r="EW201" i="5"/>
  <c r="DU201" i="5" s="1"/>
  <c r="FB196" i="5"/>
  <c r="HI197" i="5" s="1"/>
  <c r="HI199" i="5" s="1"/>
  <c r="EW171" i="5"/>
  <c r="DU171" i="5" s="1"/>
  <c r="EV158" i="5"/>
  <c r="HJ159" i="5" s="1"/>
  <c r="HJ161" i="5" s="1"/>
  <c r="EW153" i="5"/>
  <c r="DU153" i="5" s="1"/>
  <c r="FB138" i="5"/>
  <c r="HI139" i="5" s="1"/>
  <c r="HI141" i="5" s="1"/>
  <c r="EV98" i="5"/>
  <c r="HJ99" i="5" s="1"/>
  <c r="HJ101" i="5" s="1"/>
  <c r="EW85" i="5"/>
  <c r="DU85" i="5" s="1"/>
  <c r="EV543" i="5"/>
  <c r="HJ544" i="5" s="1"/>
  <c r="HJ546" i="5" s="1"/>
  <c r="EW503" i="5"/>
  <c r="DU503" i="5" s="1"/>
  <c r="FB611" i="5"/>
  <c r="HI612" i="5" s="1"/>
  <c r="HI614" i="5" s="1"/>
  <c r="EV488" i="5"/>
  <c r="HJ489" i="5" s="1"/>
  <c r="HJ491" i="5" s="1"/>
  <c r="FB176" i="5"/>
  <c r="HI177" i="5" s="1"/>
  <c r="HI179" i="5" s="1"/>
  <c r="FB158" i="5"/>
  <c r="HI159" i="5" s="1"/>
  <c r="HI161" i="5" s="1"/>
  <c r="EW553" i="5"/>
  <c r="DU553" i="5" s="1"/>
  <c r="FB772" i="5"/>
  <c r="HI773" i="5" s="1"/>
  <c r="HI775" i="5" s="1"/>
  <c r="FB717" i="5"/>
  <c r="HI718" i="5" s="1"/>
  <c r="HI720" i="5" s="1"/>
  <c r="FB332" i="5"/>
  <c r="HI333" i="5" s="1"/>
  <c r="HI335" i="5" s="1"/>
  <c r="FB221" i="5"/>
  <c r="HI222" i="5" s="1"/>
  <c r="HI224" i="5" s="1"/>
  <c r="EV440" i="5"/>
  <c r="HJ441" i="5" s="1"/>
  <c r="HJ443" i="5" s="1"/>
  <c r="FB488" i="5"/>
  <c r="HI489" i="5" s="1"/>
  <c r="HI491" i="5" s="1"/>
  <c r="EV264" i="5"/>
  <c r="HJ265" i="5" s="1"/>
  <c r="HJ267" i="5" s="1"/>
  <c r="EV274" i="5"/>
  <c r="HJ275" i="5" s="1"/>
  <c r="HJ277" i="5" s="1"/>
  <c r="EV332" i="5"/>
  <c r="HJ333" i="5" s="1"/>
  <c r="HJ335" i="5" s="1"/>
  <c r="FB264" i="5"/>
  <c r="HI265" i="5" s="1"/>
  <c r="HI267" i="5" s="1"/>
  <c r="FB274" i="5"/>
  <c r="HI275" i="5" s="1"/>
  <c r="HI277" i="5" s="1"/>
  <c r="FB699" i="5"/>
  <c r="HI700" i="5" s="1"/>
  <c r="HI702" i="5" s="1"/>
  <c r="EV294" i="5"/>
  <c r="HJ295" i="5" s="1"/>
  <c r="HJ297" i="5" s="1"/>
  <c r="EV128" i="5"/>
  <c r="HJ129" i="5" s="1"/>
  <c r="HJ131" i="5" s="1"/>
  <c r="EV621" i="5"/>
  <c r="HJ622" i="5" s="1"/>
  <c r="HJ624" i="5" s="1"/>
  <c r="EV254" i="5"/>
  <c r="HJ255" i="5" s="1"/>
  <c r="HJ257" i="5" s="1"/>
  <c r="EV420" i="5"/>
  <c r="HJ421" i="5" s="1"/>
  <c r="HJ423" i="5" s="1"/>
  <c r="EV737" i="5"/>
  <c r="HJ738" i="5" s="1"/>
  <c r="HJ740" i="5" s="1"/>
  <c r="EV644" i="5"/>
  <c r="HJ645" i="5" s="1"/>
  <c r="HJ647" i="5" s="1"/>
  <c r="EV445" i="5"/>
  <c r="HJ446" i="5" s="1"/>
  <c r="HJ448" i="5" s="1"/>
  <c r="FB153" i="5"/>
  <c r="HI154" i="5" s="1"/>
  <c r="HI156" i="5" s="1"/>
  <c r="EV65" i="5"/>
  <c r="HJ66" i="5" s="1"/>
  <c r="HJ68" i="5" s="1"/>
  <c r="EW722" i="5"/>
  <c r="DU722" i="5" s="1"/>
  <c r="FB644" i="5"/>
  <c r="HI645" i="5" s="1"/>
  <c r="HI647" i="5" s="1"/>
  <c r="FB445" i="5"/>
  <c r="HI446" i="5" s="1"/>
  <c r="HI448" i="5" s="1"/>
  <c r="EW65" i="5"/>
  <c r="DU65" i="5" s="1"/>
  <c r="FB201" i="5"/>
  <c r="HI202" i="5" s="1"/>
  <c r="HI204" i="5" s="1"/>
  <c r="EV309" i="5"/>
  <c r="HJ310" i="5" s="1"/>
  <c r="HJ312" i="5" s="1"/>
  <c r="EV616" i="5"/>
  <c r="HJ617" i="5" s="1"/>
  <c r="HJ619" i="5" s="1"/>
  <c r="EV138" i="5"/>
  <c r="HJ139" i="5" s="1"/>
  <c r="HJ141" i="5" s="1"/>
  <c r="FB294" i="5"/>
  <c r="HI295" i="5" s="1"/>
  <c r="HI297" i="5" s="1"/>
  <c r="FB762" i="5"/>
  <c r="HI763" i="5" s="1"/>
  <c r="HI765" i="5" s="1"/>
  <c r="FB128" i="5"/>
  <c r="HI129" i="5" s="1"/>
  <c r="HI131" i="5" s="1"/>
  <c r="FB621" i="5"/>
  <c r="HI622" i="5" s="1"/>
  <c r="HI624" i="5" s="1"/>
  <c r="FB98" i="5"/>
  <c r="HI99" i="5" s="1"/>
  <c r="HI101" i="5" s="1"/>
  <c r="FB254" i="5"/>
  <c r="HI255" i="5" s="1"/>
  <c r="HI257" i="5" s="1"/>
  <c r="FB420" i="5"/>
  <c r="HI421" i="5" s="1"/>
  <c r="HI423" i="5" s="1"/>
  <c r="FB470" i="5"/>
  <c r="HI471" i="5" s="1"/>
  <c r="HI473" i="5" s="1"/>
  <c r="FB737" i="5"/>
  <c r="HI738" i="5" s="1"/>
  <c r="HI740" i="5" s="1"/>
  <c r="HP172" i="5"/>
  <c r="HP174" i="5" s="1"/>
  <c r="EW206" i="5"/>
  <c r="EV206" i="5"/>
  <c r="HJ207" i="5" s="1"/>
  <c r="HJ209" i="5" s="1"/>
  <c r="FB206" i="5"/>
  <c r="HI207" i="5" s="1"/>
  <c r="HI209" i="5" s="1"/>
  <c r="AF206" i="5"/>
  <c r="FB108" i="5"/>
  <c r="HI109" i="5" s="1"/>
  <c r="HI111" i="5" s="1"/>
  <c r="EW108" i="5"/>
  <c r="EV108" i="5"/>
  <c r="HJ109" i="5" s="1"/>
  <c r="HJ111" i="5" s="1"/>
  <c r="AF108" i="5"/>
  <c r="EW211" i="5"/>
  <c r="EV211" i="5"/>
  <c r="HJ212" i="5" s="1"/>
  <c r="HJ214" i="5" s="1"/>
  <c r="FB211" i="5"/>
  <c r="HI212" i="5" s="1"/>
  <c r="HI214" i="5" s="1"/>
  <c r="AF211" i="5"/>
  <c r="EW704" i="5"/>
  <c r="EV704" i="5"/>
  <c r="HJ705" i="5" s="1"/>
  <c r="HJ707" i="5" s="1"/>
  <c r="FB704" i="5"/>
  <c r="HI705" i="5" s="1"/>
  <c r="HI707" i="5" s="1"/>
  <c r="AF704" i="5"/>
  <c r="EW455" i="5"/>
  <c r="FB455" i="5"/>
  <c r="HI456" i="5" s="1"/>
  <c r="HI458" i="5" s="1"/>
  <c r="EV455" i="5"/>
  <c r="HJ456" i="5" s="1"/>
  <c r="HJ458" i="5" s="1"/>
  <c r="AF455" i="5"/>
  <c r="HP441" i="5"/>
  <c r="HP443" i="5" s="1"/>
  <c r="HP202" i="5"/>
  <c r="HP204" i="5" s="1"/>
  <c r="DU176" i="5"/>
  <c r="HP177" i="5"/>
  <c r="HP179" i="5" s="1"/>
  <c r="DU304" i="5"/>
  <c r="HP305" i="5"/>
  <c r="HP307" i="5" s="1"/>
  <c r="DU138" i="5"/>
  <c r="HP139" i="5"/>
  <c r="HP141" i="5" s="1"/>
  <c r="HP554" i="5"/>
  <c r="HP556" i="5" s="1"/>
  <c r="HP86" i="5"/>
  <c r="HP88" i="5" s="1"/>
  <c r="DU294" i="5"/>
  <c r="HP295" i="5"/>
  <c r="HP297" i="5" s="1"/>
  <c r="HP411" i="5"/>
  <c r="HP413" i="5" s="1"/>
  <c r="DU528" i="5"/>
  <c r="HP529" i="5"/>
  <c r="HP531" i="5" s="1"/>
  <c r="DU762" i="5"/>
  <c r="HP763" i="5"/>
  <c r="HP765" i="5" s="1"/>
  <c r="DU128" i="5"/>
  <c r="HP129" i="5"/>
  <c r="HP131" i="5" s="1"/>
  <c r="HP393" i="5"/>
  <c r="HP395" i="5" s="1"/>
  <c r="EW571" i="5"/>
  <c r="FB571" i="5"/>
  <c r="HI572" i="5" s="1"/>
  <c r="HI574" i="5" s="1"/>
  <c r="EV571" i="5"/>
  <c r="HJ572" i="5" s="1"/>
  <c r="HJ574" i="5" s="1"/>
  <c r="AF571" i="5"/>
  <c r="EW674" i="5"/>
  <c r="EV674" i="5"/>
  <c r="HJ675" i="5" s="1"/>
  <c r="HJ677" i="5" s="1"/>
  <c r="FB674" i="5"/>
  <c r="HI675" i="5" s="1"/>
  <c r="HI677" i="5" s="1"/>
  <c r="AF674" i="5"/>
  <c r="EW782" i="5"/>
  <c r="FB782" i="5"/>
  <c r="HI783" i="5" s="1"/>
  <c r="HI785" i="5" s="1"/>
  <c r="EV782" i="5"/>
  <c r="HJ783" i="5" s="1"/>
  <c r="HJ785" i="5" s="1"/>
  <c r="AF782" i="5"/>
  <c r="FB148" i="5"/>
  <c r="HI149" i="5" s="1"/>
  <c r="HI151" i="5" s="1"/>
  <c r="EW148" i="5"/>
  <c r="EV148" i="5"/>
  <c r="HJ149" i="5" s="1"/>
  <c r="HJ151" i="5" s="1"/>
  <c r="AF148" i="5"/>
  <c r="EW249" i="5"/>
  <c r="FB249" i="5"/>
  <c r="HI250" i="5" s="1"/>
  <c r="HI252" i="5" s="1"/>
  <c r="EV249" i="5"/>
  <c r="HJ250" i="5" s="1"/>
  <c r="HJ252" i="5" s="1"/>
  <c r="AF249" i="5"/>
  <c r="EW498" i="5"/>
  <c r="FB498" i="5"/>
  <c r="HI499" i="5" s="1"/>
  <c r="HI501" i="5" s="1"/>
  <c r="EV498" i="5"/>
  <c r="HJ499" i="5" s="1"/>
  <c r="HJ501" i="5" s="1"/>
  <c r="AF498" i="5"/>
  <c r="EW689" i="5"/>
  <c r="FB689" i="5"/>
  <c r="HI690" i="5" s="1"/>
  <c r="HI692" i="5" s="1"/>
  <c r="EV689" i="5"/>
  <c r="HJ690" i="5" s="1"/>
  <c r="HJ692" i="5" s="1"/>
  <c r="AF689" i="5"/>
  <c r="EW450" i="5"/>
  <c r="FB450" i="5"/>
  <c r="HI451" i="5" s="1"/>
  <c r="HI453" i="5" s="1"/>
  <c r="EV450" i="5"/>
  <c r="HJ451" i="5" s="1"/>
  <c r="HJ453" i="5" s="1"/>
  <c r="AF450" i="5"/>
  <c r="FB70" i="5"/>
  <c r="HI71" i="5" s="1"/>
  <c r="HI73" i="5" s="1"/>
  <c r="EW70" i="5"/>
  <c r="EV70" i="5"/>
  <c r="HJ71" i="5" s="1"/>
  <c r="HJ73" i="5" s="1"/>
  <c r="AF70" i="5"/>
  <c r="EW777" i="5"/>
  <c r="EV777" i="5"/>
  <c r="HJ778" i="5" s="1"/>
  <c r="HJ780" i="5" s="1"/>
  <c r="FB777" i="5"/>
  <c r="HI778" i="5" s="1"/>
  <c r="HI780" i="5" s="1"/>
  <c r="AF777" i="5"/>
  <c r="DU694" i="5"/>
  <c r="HP695" i="5"/>
  <c r="HP697" i="5" s="1"/>
  <c r="DU596" i="5"/>
  <c r="HP597" i="5"/>
  <c r="HP599" i="5" s="1"/>
  <c r="HP338" i="5"/>
  <c r="HP340" i="5" s="1"/>
  <c r="EW679" i="5"/>
  <c r="FB679" i="5"/>
  <c r="HI680" i="5" s="1"/>
  <c r="HI682" i="5" s="1"/>
  <c r="EV679" i="5"/>
  <c r="HJ680" i="5" s="1"/>
  <c r="HJ682" i="5" s="1"/>
  <c r="AF679" i="5"/>
  <c r="EW45" i="5"/>
  <c r="FB45" i="5"/>
  <c r="HI46" i="5" s="1"/>
  <c r="HI48" i="5" s="1"/>
  <c r="EV45" i="5"/>
  <c r="HJ46" i="5" s="1"/>
  <c r="HJ48" i="5" s="1"/>
  <c r="AF45" i="5"/>
  <c r="FB191" i="5"/>
  <c r="HI192" i="5" s="1"/>
  <c r="HI194" i="5" s="1"/>
  <c r="EW191" i="5"/>
  <c r="EV191" i="5"/>
  <c r="HJ192" i="5" s="1"/>
  <c r="HJ194" i="5" s="1"/>
  <c r="AF191" i="5"/>
  <c r="EW538" i="5"/>
  <c r="FB538" i="5"/>
  <c r="HI539" i="5" s="1"/>
  <c r="HI541" i="5" s="1"/>
  <c r="EV538" i="5"/>
  <c r="HJ539" i="5" s="1"/>
  <c r="HJ541" i="5" s="1"/>
  <c r="AF538" i="5"/>
  <c r="DU533" i="5"/>
  <c r="HP534" i="5"/>
  <c r="HP536" i="5" s="1"/>
  <c r="HP66" i="5"/>
  <c r="HP68" i="5" s="1"/>
  <c r="HP723" i="5"/>
  <c r="HP725" i="5" s="1"/>
  <c r="HP51" i="5"/>
  <c r="HP53" i="5" s="1"/>
  <c r="HP310" i="5"/>
  <c r="HP312" i="5" s="1"/>
  <c r="HP617" i="5"/>
  <c r="HP619" i="5" s="1"/>
  <c r="DU279" i="5"/>
  <c r="HP280" i="5"/>
  <c r="HP282" i="5" s="1"/>
  <c r="DU158" i="5"/>
  <c r="HP159" i="5"/>
  <c r="HP161" i="5" s="1"/>
  <c r="DU772" i="5"/>
  <c r="HP773" i="5"/>
  <c r="HP775" i="5" s="1"/>
  <c r="DU699" i="5"/>
  <c r="HP700" i="5"/>
  <c r="HP702" i="5" s="1"/>
  <c r="DU621" i="5"/>
  <c r="HP622" i="5"/>
  <c r="HP624" i="5" s="1"/>
  <c r="EW747" i="5"/>
  <c r="FB747" i="5"/>
  <c r="HI748" i="5" s="1"/>
  <c r="HI750" i="5" s="1"/>
  <c r="EV747" i="5"/>
  <c r="HJ748" i="5" s="1"/>
  <c r="HJ750" i="5" s="1"/>
  <c r="AF747" i="5"/>
  <c r="EW314" i="5"/>
  <c r="FB314" i="5"/>
  <c r="HI315" i="5" s="1"/>
  <c r="HI317" i="5" s="1"/>
  <c r="EV314" i="5"/>
  <c r="HJ315" i="5" s="1"/>
  <c r="HJ317" i="5" s="1"/>
  <c r="AF314" i="5"/>
  <c r="EW518" i="5"/>
  <c r="FB518" i="5"/>
  <c r="HI519" i="5" s="1"/>
  <c r="HI521" i="5" s="1"/>
  <c r="EV518" i="5"/>
  <c r="HJ519" i="5" s="1"/>
  <c r="HJ521" i="5" s="1"/>
  <c r="AF518" i="5"/>
  <c r="EW664" i="5"/>
  <c r="EV664" i="5"/>
  <c r="HJ665" i="5" s="1"/>
  <c r="HJ667" i="5" s="1"/>
  <c r="FB664" i="5"/>
  <c r="HI665" i="5" s="1"/>
  <c r="HI667" i="5" s="1"/>
  <c r="AF664" i="5"/>
  <c r="HP328" i="5"/>
  <c r="HP330" i="5" s="1"/>
  <c r="FB576" i="5"/>
  <c r="HI577" i="5" s="1"/>
  <c r="HI579" i="5" s="1"/>
  <c r="EW576" i="5"/>
  <c r="EV576" i="5"/>
  <c r="HJ577" i="5" s="1"/>
  <c r="HJ579" i="5" s="1"/>
  <c r="AF576" i="5"/>
  <c r="HP242" i="5"/>
  <c r="HP244" i="5" s="1"/>
  <c r="FB123" i="5"/>
  <c r="HI124" i="5" s="1"/>
  <c r="HI126" i="5" s="1"/>
  <c r="EW123" i="5"/>
  <c r="EV123" i="5"/>
  <c r="HJ124" i="5" s="1"/>
  <c r="HJ126" i="5" s="1"/>
  <c r="AF123" i="5"/>
  <c r="EW606" i="5"/>
  <c r="FB606" i="5"/>
  <c r="HI607" i="5" s="1"/>
  <c r="HI609" i="5" s="1"/>
  <c r="EV606" i="5"/>
  <c r="HJ607" i="5" s="1"/>
  <c r="HJ609" i="5" s="1"/>
  <c r="AF606" i="5"/>
  <c r="EW103" i="5"/>
  <c r="FB103" i="5"/>
  <c r="HI104" i="5" s="1"/>
  <c r="HI106" i="5" s="1"/>
  <c r="EV103" i="5"/>
  <c r="HJ104" i="5" s="1"/>
  <c r="HJ106" i="5" s="1"/>
  <c r="AF103" i="5"/>
  <c r="EW684" i="5"/>
  <c r="EV684" i="5"/>
  <c r="HJ685" i="5" s="1"/>
  <c r="HJ687" i="5" s="1"/>
  <c r="FB684" i="5"/>
  <c r="HI685" i="5" s="1"/>
  <c r="HI687" i="5" s="1"/>
  <c r="AF684" i="5"/>
  <c r="EW259" i="5"/>
  <c r="FB259" i="5"/>
  <c r="HI260" i="5" s="1"/>
  <c r="HI262" i="5" s="1"/>
  <c r="EV259" i="5"/>
  <c r="HJ260" i="5" s="1"/>
  <c r="HJ262" i="5" s="1"/>
  <c r="AF259" i="5"/>
  <c r="EW654" i="5"/>
  <c r="FB654" i="5"/>
  <c r="HI655" i="5" s="1"/>
  <c r="HI657" i="5" s="1"/>
  <c r="EV654" i="5"/>
  <c r="HJ655" i="5" s="1"/>
  <c r="HJ657" i="5" s="1"/>
  <c r="AF654" i="5"/>
  <c r="DU543" i="5"/>
  <c r="HP544" i="5"/>
  <c r="HP546" i="5" s="1"/>
  <c r="DU631" i="5"/>
  <c r="HP632" i="5"/>
  <c r="HP634" i="5" s="1"/>
  <c r="DU644" i="5"/>
  <c r="HP645" i="5"/>
  <c r="HP647" i="5" s="1"/>
  <c r="DU460" i="5"/>
  <c r="HP461" i="5"/>
  <c r="HP463" i="5" s="1"/>
  <c r="HP348" i="5"/>
  <c r="HP350" i="5" s="1"/>
  <c r="HP728" i="5"/>
  <c r="HP730" i="5" s="1"/>
  <c r="DU319" i="5"/>
  <c r="HP320" i="5"/>
  <c r="HP322" i="5" s="1"/>
  <c r="EW639" i="5"/>
  <c r="EV639" i="5"/>
  <c r="HJ640" i="5" s="1"/>
  <c r="HJ642" i="5" s="1"/>
  <c r="FB639" i="5"/>
  <c r="HI640" i="5" s="1"/>
  <c r="HI642" i="5" s="1"/>
  <c r="AF639" i="5"/>
  <c r="EW55" i="5"/>
  <c r="FB55" i="5"/>
  <c r="HI56" i="5" s="1"/>
  <c r="HI58" i="5" s="1"/>
  <c r="EV55" i="5"/>
  <c r="HJ56" i="5" s="1"/>
  <c r="HJ58" i="5" s="1"/>
  <c r="AF55" i="5"/>
  <c r="EW405" i="5"/>
  <c r="FB405" i="5"/>
  <c r="HI406" i="5" s="1"/>
  <c r="HI408" i="5" s="1"/>
  <c r="EV405" i="5"/>
  <c r="HJ406" i="5" s="1"/>
  <c r="HJ408" i="5" s="1"/>
  <c r="AF405" i="5"/>
  <c r="FB60" i="5"/>
  <c r="HI61" i="5" s="1"/>
  <c r="HI63" i="5" s="1"/>
  <c r="EW60" i="5"/>
  <c r="EV60" i="5"/>
  <c r="HJ61" i="5" s="1"/>
  <c r="HJ63" i="5" s="1"/>
  <c r="AF60" i="5"/>
  <c r="EW269" i="5"/>
  <c r="FB269" i="5"/>
  <c r="HI270" i="5" s="1"/>
  <c r="HI272" i="5" s="1"/>
  <c r="EV269" i="5"/>
  <c r="HJ270" i="5" s="1"/>
  <c r="HJ272" i="5" s="1"/>
  <c r="AF269" i="5"/>
  <c r="EW143" i="5"/>
  <c r="FB143" i="5"/>
  <c r="HI144" i="5" s="1"/>
  <c r="HI146" i="5" s="1"/>
  <c r="EV143" i="5"/>
  <c r="HJ144" i="5" s="1"/>
  <c r="HJ146" i="5" s="1"/>
  <c r="AF143" i="5"/>
  <c r="EW493" i="5"/>
  <c r="EV493" i="5"/>
  <c r="HJ494" i="5" s="1"/>
  <c r="HJ496" i="5" s="1"/>
  <c r="FB493" i="5"/>
  <c r="HI494" i="5" s="1"/>
  <c r="HI496" i="5" s="1"/>
  <c r="AF493" i="5"/>
  <c r="EW566" i="5"/>
  <c r="FB566" i="5"/>
  <c r="HI567" i="5" s="1"/>
  <c r="HI569" i="5" s="1"/>
  <c r="EV566" i="5"/>
  <c r="HJ567" i="5" s="1"/>
  <c r="HJ569" i="5" s="1"/>
  <c r="AF566" i="5"/>
  <c r="EW649" i="5"/>
  <c r="FB649" i="5"/>
  <c r="HI650" i="5" s="1"/>
  <c r="HI652" i="5" s="1"/>
  <c r="EV649" i="5"/>
  <c r="HJ650" i="5" s="1"/>
  <c r="HJ652" i="5" s="1"/>
  <c r="AF649" i="5"/>
  <c r="HP154" i="5"/>
  <c r="HP156" i="5" s="1"/>
  <c r="DU611" i="5"/>
  <c r="HP612" i="5"/>
  <c r="HP614" i="5" s="1"/>
  <c r="DU742" i="5"/>
  <c r="HP743" i="5"/>
  <c r="HP745" i="5" s="1"/>
  <c r="EW186" i="5"/>
  <c r="FB186" i="5"/>
  <c r="HI187" i="5" s="1"/>
  <c r="HI189" i="5" s="1"/>
  <c r="EV186" i="5"/>
  <c r="HJ187" i="5" s="1"/>
  <c r="HJ189" i="5" s="1"/>
  <c r="AF186" i="5"/>
  <c r="DU513" i="5"/>
  <c r="HP514" i="5"/>
  <c r="HP516" i="5" s="1"/>
  <c r="DU216" i="5"/>
  <c r="HP217" i="5"/>
  <c r="HP219" i="5" s="1"/>
  <c r="DU264" i="5"/>
  <c r="HP265" i="5"/>
  <c r="HP267" i="5" s="1"/>
  <c r="DU669" i="5"/>
  <c r="HP670" i="5"/>
  <c r="HP672" i="5" s="1"/>
  <c r="HP343" i="5"/>
  <c r="HP345" i="5" s="1"/>
  <c r="HP788" i="5"/>
  <c r="HP790" i="5" s="1"/>
  <c r="DU98" i="5"/>
  <c r="HP99" i="5"/>
  <c r="HP101" i="5" s="1"/>
  <c r="DU382" i="5"/>
  <c r="HP383" i="5"/>
  <c r="HP385" i="5" s="1"/>
  <c r="HP562" i="5"/>
  <c r="HP564" i="5" s="1"/>
  <c r="DU420" i="5"/>
  <c r="HP421" i="5"/>
  <c r="HP423" i="5" s="1"/>
  <c r="HP237" i="5"/>
  <c r="HP239" i="5" s="1"/>
  <c r="DU196" i="5"/>
  <c r="HP197" i="5"/>
  <c r="HP199" i="5" s="1"/>
  <c r="DU752" i="5"/>
  <c r="HP753" i="5"/>
  <c r="HP755" i="5" s="1"/>
  <c r="HP388" i="5"/>
  <c r="HP390" i="5" s="1"/>
  <c r="DU332" i="5"/>
  <c r="HP333" i="5"/>
  <c r="HP335" i="5" s="1"/>
  <c r="DU523" i="5"/>
  <c r="HP524" i="5"/>
  <c r="HP526" i="5" s="1"/>
  <c r="DU470" i="5"/>
  <c r="HP471" i="5"/>
  <c r="HP473" i="5" s="1"/>
  <c r="DU737" i="5"/>
  <c r="HP738" i="5"/>
  <c r="HP740" i="5" s="1"/>
  <c r="FB118" i="5"/>
  <c r="HI119" i="5" s="1"/>
  <c r="HI121" i="5" s="1"/>
  <c r="EW118" i="5"/>
  <c r="EV118" i="5"/>
  <c r="HJ119" i="5" s="1"/>
  <c r="HJ121" i="5" s="1"/>
  <c r="AF118" i="5"/>
  <c r="EW465" i="5"/>
  <c r="FB465" i="5"/>
  <c r="HI466" i="5" s="1"/>
  <c r="HI468" i="5" s="1"/>
  <c r="EV465" i="5"/>
  <c r="HJ466" i="5" s="1"/>
  <c r="HJ468" i="5" s="1"/>
  <c r="AF465" i="5"/>
  <c r="EW367" i="5"/>
  <c r="FB367" i="5"/>
  <c r="HI368" i="5" s="1"/>
  <c r="HI370" i="5" s="1"/>
  <c r="EV367" i="5"/>
  <c r="HJ368" i="5" s="1"/>
  <c r="HJ370" i="5" s="1"/>
  <c r="AF367" i="5"/>
  <c r="EW289" i="5"/>
  <c r="FB289" i="5"/>
  <c r="HI290" i="5" s="1"/>
  <c r="HI292" i="5" s="1"/>
  <c r="EV289" i="5"/>
  <c r="HJ290" i="5" s="1"/>
  <c r="HJ292" i="5" s="1"/>
  <c r="AF289" i="5"/>
  <c r="FB709" i="5"/>
  <c r="HI710" i="5" s="1"/>
  <c r="HI712" i="5" s="1"/>
  <c r="EW709" i="5"/>
  <c r="EV709" i="5"/>
  <c r="HJ710" i="5" s="1"/>
  <c r="HJ712" i="5" s="1"/>
  <c r="AF709" i="5"/>
  <c r="EW80" i="5"/>
  <c r="FB80" i="5"/>
  <c r="HI81" i="5" s="1"/>
  <c r="HI83" i="5" s="1"/>
  <c r="EV80" i="5"/>
  <c r="HJ81" i="5" s="1"/>
  <c r="HJ83" i="5" s="1"/>
  <c r="AF80" i="5"/>
  <c r="EW659" i="5"/>
  <c r="FB659" i="5"/>
  <c r="HI660" i="5" s="1"/>
  <c r="HI662" i="5" s="1"/>
  <c r="EV659" i="5"/>
  <c r="HJ660" i="5" s="1"/>
  <c r="HJ662" i="5" s="1"/>
  <c r="AF659" i="5"/>
  <c r="EW425" i="5"/>
  <c r="FB425" i="5"/>
  <c r="HI426" i="5" s="1"/>
  <c r="HI428" i="5" s="1"/>
  <c r="EV425" i="5"/>
  <c r="HJ426" i="5" s="1"/>
  <c r="HJ428" i="5" s="1"/>
  <c r="AF425" i="5"/>
  <c r="EW75" i="5"/>
  <c r="FB75" i="5"/>
  <c r="HI76" i="5" s="1"/>
  <c r="HI78" i="5" s="1"/>
  <c r="EV75" i="5"/>
  <c r="HJ76" i="5" s="1"/>
  <c r="HJ78" i="5" s="1"/>
  <c r="AF75" i="5"/>
  <c r="EW299" i="5"/>
  <c r="FB299" i="5"/>
  <c r="HI300" i="5" s="1"/>
  <c r="HI302" i="5" s="1"/>
  <c r="EV299" i="5"/>
  <c r="HJ300" i="5" s="1"/>
  <c r="HJ302" i="5" s="1"/>
  <c r="AF299" i="5"/>
  <c r="EW357" i="5"/>
  <c r="FB357" i="5"/>
  <c r="HI358" i="5" s="1"/>
  <c r="HI360" i="5" s="1"/>
  <c r="EV357" i="5"/>
  <c r="HJ358" i="5" s="1"/>
  <c r="HJ360" i="5" s="1"/>
  <c r="AF357" i="5"/>
  <c r="EW732" i="5"/>
  <c r="FB732" i="5"/>
  <c r="HI733" i="5" s="1"/>
  <c r="HI735" i="5" s="1"/>
  <c r="EV732" i="5"/>
  <c r="HJ733" i="5" s="1"/>
  <c r="HJ735" i="5" s="1"/>
  <c r="AF732" i="5"/>
  <c r="FB397" i="5"/>
  <c r="HI398" i="5" s="1"/>
  <c r="HI400" i="5" s="1"/>
  <c r="EW397" i="5"/>
  <c r="EV397" i="5"/>
  <c r="HJ398" i="5" s="1"/>
  <c r="HJ400" i="5" s="1"/>
  <c r="AF397" i="5"/>
  <c r="FB163" i="5"/>
  <c r="HI164" i="5" s="1"/>
  <c r="HI166" i="5" s="1"/>
  <c r="EW163" i="5"/>
  <c r="EV163" i="5"/>
  <c r="HJ164" i="5" s="1"/>
  <c r="HJ166" i="5" s="1"/>
  <c r="AF163" i="5"/>
  <c r="FB415" i="5"/>
  <c r="HI416" i="5" s="1"/>
  <c r="HI418" i="5" s="1"/>
  <c r="EW415" i="5"/>
  <c r="EV415" i="5"/>
  <c r="HJ416" i="5" s="1"/>
  <c r="HJ418" i="5" s="1"/>
  <c r="AF415" i="5"/>
  <c r="EW581" i="5"/>
  <c r="FB581" i="5"/>
  <c r="HI582" i="5" s="1"/>
  <c r="HI584" i="5" s="1"/>
  <c r="EV581" i="5"/>
  <c r="HJ582" i="5" s="1"/>
  <c r="HJ584" i="5" s="1"/>
  <c r="AF581" i="5"/>
  <c r="EW93" i="5"/>
  <c r="FB93" i="5"/>
  <c r="HI94" i="5" s="1"/>
  <c r="HI96" i="5" s="1"/>
  <c r="EV93" i="5"/>
  <c r="HJ94" i="5" s="1"/>
  <c r="HJ96" i="5" s="1"/>
  <c r="AF93" i="5"/>
  <c r="EW352" i="5"/>
  <c r="FB352" i="5"/>
  <c r="HI353" i="5" s="1"/>
  <c r="HI355" i="5" s="1"/>
  <c r="EV352" i="5"/>
  <c r="HJ353" i="5" s="1"/>
  <c r="HJ355" i="5" s="1"/>
  <c r="AF352" i="5"/>
  <c r="EW548" i="5"/>
  <c r="FB548" i="5"/>
  <c r="HI549" i="5" s="1"/>
  <c r="HI551" i="5" s="1"/>
  <c r="EV548" i="5"/>
  <c r="HJ549" i="5" s="1"/>
  <c r="HJ551" i="5" s="1"/>
  <c r="AF548" i="5"/>
  <c r="EW483" i="5"/>
  <c r="FB483" i="5"/>
  <c r="HI484" i="5" s="1"/>
  <c r="HI486" i="5" s="1"/>
  <c r="EV483" i="5"/>
  <c r="HJ484" i="5" s="1"/>
  <c r="HJ486" i="5" s="1"/>
  <c r="AF483" i="5"/>
  <c r="HP134" i="5"/>
  <c r="HP136" i="5" s="1"/>
  <c r="HP504" i="5"/>
  <c r="HP506" i="5" s="1"/>
  <c r="DU445" i="5"/>
  <c r="HP446" i="5"/>
  <c r="HP448" i="5" s="1"/>
  <c r="EW601" i="5"/>
  <c r="FB601" i="5"/>
  <c r="HI602" i="5" s="1"/>
  <c r="HI604" i="5" s="1"/>
  <c r="EV601" i="5"/>
  <c r="HJ602" i="5" s="1"/>
  <c r="HJ604" i="5" s="1"/>
  <c r="AF601" i="5"/>
  <c r="FB113" i="5"/>
  <c r="HI114" i="5" s="1"/>
  <c r="HI116" i="5" s="1"/>
  <c r="EW113" i="5"/>
  <c r="EV113" i="5"/>
  <c r="HJ114" i="5" s="1"/>
  <c r="HJ116" i="5" s="1"/>
  <c r="AF113" i="5"/>
  <c r="EW181" i="5"/>
  <c r="FB181" i="5"/>
  <c r="HI182" i="5" s="1"/>
  <c r="HI184" i="5" s="1"/>
  <c r="EV181" i="5"/>
  <c r="HJ182" i="5" s="1"/>
  <c r="HJ184" i="5" s="1"/>
  <c r="AF181" i="5"/>
  <c r="EW435" i="5"/>
  <c r="FB435" i="5"/>
  <c r="HI436" i="5" s="1"/>
  <c r="HI438" i="5" s="1"/>
  <c r="EV435" i="5"/>
  <c r="HJ436" i="5" s="1"/>
  <c r="HJ438" i="5" s="1"/>
  <c r="AF435" i="5"/>
  <c r="DU231" i="5"/>
  <c r="HP232" i="5"/>
  <c r="HP234" i="5" s="1"/>
  <c r="DU221" i="5"/>
  <c r="HP222" i="5"/>
  <c r="HP224" i="5" s="1"/>
  <c r="EW767" i="5"/>
  <c r="FB767" i="5"/>
  <c r="HI768" i="5" s="1"/>
  <c r="HI770" i="5" s="1"/>
  <c r="EV767" i="5"/>
  <c r="HJ768" i="5" s="1"/>
  <c r="HJ770" i="5" s="1"/>
  <c r="AF767" i="5"/>
  <c r="DU430" i="5"/>
  <c r="HP431" i="5"/>
  <c r="HP433" i="5" s="1"/>
  <c r="HP476" i="5"/>
  <c r="HP478" i="5" s="1"/>
  <c r="DU488" i="5"/>
  <c r="HP489" i="5"/>
  <c r="HP491" i="5" s="1"/>
  <c r="DU757" i="5"/>
  <c r="HP758" i="5"/>
  <c r="HP760" i="5" s="1"/>
  <c r="DU274" i="5"/>
  <c r="HP275" i="5"/>
  <c r="HP277" i="5" s="1"/>
  <c r="DU362" i="5"/>
  <c r="HP363" i="5"/>
  <c r="HP365" i="5" s="1"/>
  <c r="HP592" i="5"/>
  <c r="HP594" i="5" s="1"/>
  <c r="DU586" i="5"/>
  <c r="HP587" i="5"/>
  <c r="HP589" i="5" s="1"/>
  <c r="HP373" i="5"/>
  <c r="HP375" i="5" s="1"/>
  <c r="HP718" i="5"/>
  <c r="HP720" i="5" s="1"/>
  <c r="DU377" i="5"/>
  <c r="HP378" i="5"/>
  <c r="HP380" i="5" s="1"/>
  <c r="HP285" i="5"/>
  <c r="HP287" i="5" s="1"/>
  <c r="DU626" i="5"/>
  <c r="HP627" i="5"/>
  <c r="HP629" i="5" s="1"/>
  <c r="DU226" i="5"/>
  <c r="HP227" i="5"/>
  <c r="HP229" i="5" s="1"/>
  <c r="DU254" i="5"/>
  <c r="HP255" i="5"/>
  <c r="HP257" i="5" s="1"/>
  <c r="DU508" i="5"/>
  <c r="HP509" i="5"/>
  <c r="HP511" i="5" s="1"/>
  <c r="IP42" i="5"/>
  <c r="IO42" i="5" s="1"/>
  <c r="DF42" i="5" s="1"/>
  <c r="AJ42" i="5" s="1"/>
  <c r="BV37" i="22"/>
  <c r="IN42" i="5"/>
  <c r="DD40" i="5"/>
  <c r="HK41" i="5"/>
  <c r="HK43" i="5" s="1"/>
  <c r="EX42" i="5"/>
  <c r="EX40" i="5"/>
  <c r="H34" i="11"/>
  <c r="J32" i="20" s="1"/>
  <c r="J32" i="21" s="1"/>
  <c r="D10" i="19"/>
  <c r="DU397" i="5" l="1"/>
  <c r="HP398" i="5"/>
  <c r="HP400" i="5" s="1"/>
  <c r="DV508" i="5"/>
  <c r="DW508" i="5"/>
  <c r="DV510" i="5"/>
  <c r="DV228" i="5"/>
  <c r="DW226" i="5"/>
  <c r="DV226" i="5"/>
  <c r="DV286" i="5"/>
  <c r="DW284" i="5"/>
  <c r="DV284" i="5"/>
  <c r="DW377" i="5"/>
  <c r="DV379" i="5"/>
  <c r="DV377" i="5"/>
  <c r="DV233" i="5"/>
  <c r="DV231" i="5"/>
  <c r="DW231" i="5"/>
  <c r="DU435" i="5"/>
  <c r="HP436" i="5"/>
  <c r="HP438" i="5" s="1"/>
  <c r="DU181" i="5"/>
  <c r="HP182" i="5"/>
  <c r="HP184" i="5" s="1"/>
  <c r="DU601" i="5"/>
  <c r="HP602" i="5"/>
  <c r="HP604" i="5" s="1"/>
  <c r="DV503" i="5"/>
  <c r="DV505" i="5"/>
  <c r="DW503" i="5"/>
  <c r="DU352" i="5"/>
  <c r="HP353" i="5"/>
  <c r="HP355" i="5" s="1"/>
  <c r="DU659" i="5"/>
  <c r="HP660" i="5"/>
  <c r="HP662" i="5" s="1"/>
  <c r="DU465" i="5"/>
  <c r="HP466" i="5"/>
  <c r="HP468" i="5" s="1"/>
  <c r="DW470" i="5"/>
  <c r="DV472" i="5"/>
  <c r="DV470" i="5"/>
  <c r="DV332" i="5"/>
  <c r="DW332" i="5"/>
  <c r="DV334" i="5"/>
  <c r="DV752" i="5"/>
  <c r="DV754" i="5"/>
  <c r="DW752" i="5"/>
  <c r="DV238" i="5"/>
  <c r="DW236" i="5"/>
  <c r="DV236" i="5"/>
  <c r="DV563" i="5"/>
  <c r="DW561" i="5"/>
  <c r="DV561" i="5"/>
  <c r="DW98" i="5"/>
  <c r="DV98" i="5"/>
  <c r="DV100" i="5"/>
  <c r="DV342" i="5"/>
  <c r="DV344" i="5"/>
  <c r="DW342" i="5"/>
  <c r="DU566" i="5"/>
  <c r="HP567" i="5"/>
  <c r="HP569" i="5" s="1"/>
  <c r="DU60" i="5"/>
  <c r="HP61" i="5"/>
  <c r="HP63" i="5" s="1"/>
  <c r="DV321" i="5"/>
  <c r="DW319" i="5"/>
  <c r="DV319" i="5"/>
  <c r="DV545" i="5"/>
  <c r="DW543" i="5"/>
  <c r="DV543" i="5"/>
  <c r="DU123" i="5"/>
  <c r="HP124" i="5"/>
  <c r="HP126" i="5" s="1"/>
  <c r="DV329" i="5"/>
  <c r="DW327" i="5"/>
  <c r="DV327" i="5"/>
  <c r="DV701" i="5"/>
  <c r="DW699" i="5"/>
  <c r="DV699" i="5"/>
  <c r="DW616" i="5"/>
  <c r="DV618" i="5"/>
  <c r="DV616" i="5"/>
  <c r="DV52" i="5"/>
  <c r="DV50" i="5"/>
  <c r="DV535" i="5"/>
  <c r="DW533" i="5"/>
  <c r="DV533" i="5"/>
  <c r="DU148" i="5"/>
  <c r="HP149" i="5"/>
  <c r="HP151" i="5" s="1"/>
  <c r="DW586" i="5"/>
  <c r="DV588" i="5"/>
  <c r="DV586" i="5"/>
  <c r="DV276" i="5"/>
  <c r="DW274" i="5"/>
  <c r="DV274" i="5"/>
  <c r="DU767" i="5"/>
  <c r="HP768" i="5"/>
  <c r="HP770" i="5" s="1"/>
  <c r="DU415" i="5"/>
  <c r="HP416" i="5"/>
  <c r="HP418" i="5" s="1"/>
  <c r="DU118" i="5"/>
  <c r="HP119" i="5"/>
  <c r="HP121" i="5" s="1"/>
  <c r="DW216" i="5"/>
  <c r="DV216" i="5"/>
  <c r="DV218" i="5"/>
  <c r="DV349" i="5"/>
  <c r="DV347" i="5"/>
  <c r="DV243" i="5"/>
  <c r="DV241" i="5"/>
  <c r="DW241" i="5"/>
  <c r="DU314" i="5"/>
  <c r="HP315" i="5"/>
  <c r="HP317" i="5" s="1"/>
  <c r="DU747" i="5"/>
  <c r="HP748" i="5"/>
  <c r="HP750" i="5" s="1"/>
  <c r="DW772" i="5"/>
  <c r="DV772" i="5"/>
  <c r="DV774" i="5"/>
  <c r="DV596" i="5"/>
  <c r="DV598" i="5"/>
  <c r="DW596" i="5"/>
  <c r="DV128" i="5"/>
  <c r="DW128" i="5"/>
  <c r="DV130" i="5"/>
  <c r="DW294" i="5"/>
  <c r="DV294" i="5"/>
  <c r="DV296" i="5"/>
  <c r="DV138" i="5"/>
  <c r="DW138" i="5"/>
  <c r="DV140" i="5"/>
  <c r="DV201" i="5"/>
  <c r="DV203" i="5"/>
  <c r="DW201" i="5"/>
  <c r="DU455" i="5"/>
  <c r="HP456" i="5"/>
  <c r="HP458" i="5" s="1"/>
  <c r="DU704" i="5"/>
  <c r="HP705" i="5"/>
  <c r="HP707" i="5" s="1"/>
  <c r="DU211" i="5"/>
  <c r="HP212" i="5"/>
  <c r="HP214" i="5" s="1"/>
  <c r="DV374" i="5"/>
  <c r="DV372" i="5"/>
  <c r="DW372" i="5"/>
  <c r="DW362" i="5"/>
  <c r="DV364" i="5"/>
  <c r="DV362" i="5"/>
  <c r="DV759" i="5"/>
  <c r="DV757" i="5"/>
  <c r="DW757" i="5"/>
  <c r="DU732" i="5"/>
  <c r="HP733" i="5"/>
  <c r="HP735" i="5" s="1"/>
  <c r="DU357" i="5"/>
  <c r="HP358" i="5"/>
  <c r="HP360" i="5" s="1"/>
  <c r="DU299" i="5"/>
  <c r="HP300" i="5"/>
  <c r="HP302" i="5" s="1"/>
  <c r="DU75" i="5"/>
  <c r="HP76" i="5"/>
  <c r="HP78" i="5" s="1"/>
  <c r="DU709" i="5"/>
  <c r="HP710" i="5"/>
  <c r="HP712" i="5" s="1"/>
  <c r="DV266" i="5"/>
  <c r="DV264" i="5"/>
  <c r="DW264" i="5"/>
  <c r="DV515" i="5"/>
  <c r="DW513" i="5"/>
  <c r="DV513" i="5"/>
  <c r="DU186" i="5"/>
  <c r="HP187" i="5"/>
  <c r="HP189" i="5" s="1"/>
  <c r="DV742" i="5"/>
  <c r="DW742" i="5"/>
  <c r="DV744" i="5"/>
  <c r="DV153" i="5"/>
  <c r="DV155" i="5"/>
  <c r="DW153" i="5"/>
  <c r="DU493" i="5"/>
  <c r="HP494" i="5"/>
  <c r="HP496" i="5" s="1"/>
  <c r="DU143" i="5"/>
  <c r="HP144" i="5"/>
  <c r="HP146" i="5" s="1"/>
  <c r="DU269" i="5"/>
  <c r="HP270" i="5"/>
  <c r="HP272" i="5" s="1"/>
  <c r="DU405" i="5"/>
  <c r="HP406" i="5"/>
  <c r="HP408" i="5" s="1"/>
  <c r="DU55" i="5"/>
  <c r="HP56" i="5"/>
  <c r="HP58" i="5" s="1"/>
  <c r="DU639" i="5"/>
  <c r="HP640" i="5"/>
  <c r="HP642" i="5" s="1"/>
  <c r="DV460" i="5"/>
  <c r="DW460" i="5"/>
  <c r="DV462" i="5"/>
  <c r="DU654" i="5"/>
  <c r="HP655" i="5"/>
  <c r="HP657" i="5" s="1"/>
  <c r="DU259" i="5"/>
  <c r="HP260" i="5"/>
  <c r="HP262" i="5" s="1"/>
  <c r="DU684" i="5"/>
  <c r="HP685" i="5"/>
  <c r="HP687" i="5" s="1"/>
  <c r="DU103" i="5"/>
  <c r="HP104" i="5"/>
  <c r="HP106" i="5" s="1"/>
  <c r="DU606" i="5"/>
  <c r="HP607" i="5"/>
  <c r="HP609" i="5" s="1"/>
  <c r="DV623" i="5"/>
  <c r="DV621" i="5"/>
  <c r="DW621" i="5"/>
  <c r="DV65" i="5"/>
  <c r="DV67" i="5"/>
  <c r="DW65" i="5"/>
  <c r="DU538" i="5"/>
  <c r="HP539" i="5"/>
  <c r="HP541" i="5" s="1"/>
  <c r="DU191" i="5"/>
  <c r="HP192" i="5"/>
  <c r="HP194" i="5" s="1"/>
  <c r="DW337" i="5"/>
  <c r="DV337" i="5"/>
  <c r="DV339" i="5"/>
  <c r="DW694" i="5"/>
  <c r="DV694" i="5"/>
  <c r="DV696" i="5"/>
  <c r="DU777" i="5"/>
  <c r="HP778" i="5"/>
  <c r="HP780" i="5" s="1"/>
  <c r="DU450" i="5"/>
  <c r="HP451" i="5"/>
  <c r="HP453" i="5" s="1"/>
  <c r="DU689" i="5"/>
  <c r="HP690" i="5"/>
  <c r="HP692" i="5" s="1"/>
  <c r="DU498" i="5"/>
  <c r="HP499" i="5"/>
  <c r="HP501" i="5" s="1"/>
  <c r="DU249" i="5"/>
  <c r="HP250" i="5"/>
  <c r="HP252" i="5" s="1"/>
  <c r="DU782" i="5"/>
  <c r="HP783" i="5"/>
  <c r="HP785" i="5" s="1"/>
  <c r="DV394" i="5"/>
  <c r="DW392" i="5"/>
  <c r="DV392" i="5"/>
  <c r="DV764" i="5"/>
  <c r="DW762" i="5"/>
  <c r="DV762" i="5"/>
  <c r="DV410" i="5"/>
  <c r="DV412" i="5"/>
  <c r="DW410" i="5"/>
  <c r="DW553" i="5"/>
  <c r="DV553" i="5"/>
  <c r="DV555" i="5"/>
  <c r="DV306" i="5"/>
  <c r="DW304" i="5"/>
  <c r="DV304" i="5"/>
  <c r="DV176" i="5"/>
  <c r="DW176" i="5"/>
  <c r="DV178" i="5"/>
  <c r="DW591" i="5"/>
  <c r="DV593" i="5"/>
  <c r="DV591" i="5"/>
  <c r="DV432" i="5"/>
  <c r="DW430" i="5"/>
  <c r="DV430" i="5"/>
  <c r="DU113" i="5"/>
  <c r="HP114" i="5"/>
  <c r="HP116" i="5" s="1"/>
  <c r="DU483" i="5"/>
  <c r="HP484" i="5"/>
  <c r="HP486" i="5" s="1"/>
  <c r="DU581" i="5"/>
  <c r="HP582" i="5"/>
  <c r="HP584" i="5" s="1"/>
  <c r="DU163" i="5"/>
  <c r="HP164" i="5"/>
  <c r="HP166" i="5" s="1"/>
  <c r="DU367" i="5"/>
  <c r="HP368" i="5"/>
  <c r="HP370" i="5" s="1"/>
  <c r="DV611" i="5"/>
  <c r="DV613" i="5"/>
  <c r="DW611" i="5"/>
  <c r="DU649" i="5"/>
  <c r="HP650" i="5"/>
  <c r="HP652" i="5" s="1"/>
  <c r="DV729" i="5"/>
  <c r="DW727" i="5"/>
  <c r="DV727" i="5"/>
  <c r="DV646" i="5"/>
  <c r="DW644" i="5"/>
  <c r="DV644" i="5"/>
  <c r="DU518" i="5"/>
  <c r="HP519" i="5"/>
  <c r="HP521" i="5" s="1"/>
  <c r="DU679" i="5"/>
  <c r="HP680" i="5"/>
  <c r="HP682" i="5" s="1"/>
  <c r="DW528" i="5"/>
  <c r="DV528" i="5"/>
  <c r="DV530" i="5"/>
  <c r="DV85" i="5"/>
  <c r="DW85" i="5"/>
  <c r="DV87" i="5"/>
  <c r="DU206" i="5"/>
  <c r="HP207" i="5"/>
  <c r="HP209" i="5" s="1"/>
  <c r="DV256" i="5"/>
  <c r="DW254" i="5"/>
  <c r="DV254" i="5"/>
  <c r="DV628" i="5"/>
  <c r="DV626" i="5"/>
  <c r="DW626" i="5"/>
  <c r="DV717" i="5"/>
  <c r="DV719" i="5"/>
  <c r="DW717" i="5"/>
  <c r="DV488" i="5"/>
  <c r="DV490" i="5"/>
  <c r="DW488" i="5"/>
  <c r="DV477" i="5"/>
  <c r="DW475" i="5"/>
  <c r="DV475" i="5"/>
  <c r="DV223" i="5"/>
  <c r="DV221" i="5"/>
  <c r="DW221" i="5"/>
  <c r="DV447" i="5"/>
  <c r="DW445" i="5"/>
  <c r="DV445" i="5"/>
  <c r="DV135" i="5"/>
  <c r="DW133" i="5"/>
  <c r="DV133" i="5"/>
  <c r="DU548" i="5"/>
  <c r="HP549" i="5"/>
  <c r="HP551" i="5" s="1"/>
  <c r="DU93" i="5"/>
  <c r="HP94" i="5"/>
  <c r="HP96" i="5" s="1"/>
  <c r="DU425" i="5"/>
  <c r="HP426" i="5"/>
  <c r="HP428" i="5" s="1"/>
  <c r="DU80" i="5"/>
  <c r="HP81" i="5"/>
  <c r="HP83" i="5" s="1"/>
  <c r="DU289" i="5"/>
  <c r="HP290" i="5"/>
  <c r="HP292" i="5" s="1"/>
  <c r="DV739" i="5"/>
  <c r="DW737" i="5"/>
  <c r="DV737" i="5"/>
  <c r="DV525" i="5"/>
  <c r="DW523" i="5"/>
  <c r="DV523" i="5"/>
  <c r="DV389" i="5"/>
  <c r="DV387" i="5"/>
  <c r="DW387" i="5"/>
  <c r="DW196" i="5"/>
  <c r="DV196" i="5"/>
  <c r="DV198" i="5"/>
  <c r="DV422" i="5"/>
  <c r="DW420" i="5"/>
  <c r="DV420" i="5"/>
  <c r="DV382" i="5"/>
  <c r="DV384" i="5"/>
  <c r="DW382" i="5"/>
  <c r="DV787" i="5"/>
  <c r="DV789" i="5"/>
  <c r="DW787" i="5"/>
  <c r="DW669" i="5"/>
  <c r="DV669" i="5"/>
  <c r="DV671" i="5"/>
  <c r="DV633" i="5"/>
  <c r="DW631" i="5"/>
  <c r="DV631" i="5"/>
  <c r="DU576" i="5"/>
  <c r="HP577" i="5"/>
  <c r="HP579" i="5" s="1"/>
  <c r="DU664" i="5"/>
  <c r="HP665" i="5"/>
  <c r="HP667" i="5" s="1"/>
  <c r="DV160" i="5"/>
  <c r="DV158" i="5"/>
  <c r="DW158" i="5"/>
  <c r="DV279" i="5"/>
  <c r="DV281" i="5"/>
  <c r="DW279" i="5"/>
  <c r="DV309" i="5"/>
  <c r="DV311" i="5"/>
  <c r="DW309" i="5"/>
  <c r="DV724" i="5"/>
  <c r="DW722" i="5"/>
  <c r="DV722" i="5"/>
  <c r="DU45" i="5"/>
  <c r="HP46" i="5"/>
  <c r="HP48" i="5" s="1"/>
  <c r="DU70" i="5"/>
  <c r="HP71" i="5"/>
  <c r="HP73" i="5" s="1"/>
  <c r="DU674" i="5"/>
  <c r="HP675" i="5"/>
  <c r="HP677" i="5" s="1"/>
  <c r="DU571" i="5"/>
  <c r="HP572" i="5"/>
  <c r="HP574" i="5" s="1"/>
  <c r="DV440" i="5"/>
  <c r="DW440" i="5"/>
  <c r="DV442" i="5"/>
  <c r="DU108" i="5"/>
  <c r="HP109" i="5"/>
  <c r="HP111" i="5" s="1"/>
  <c r="DW171" i="5"/>
  <c r="DV173" i="5"/>
  <c r="DV171" i="5"/>
  <c r="BV38" i="22"/>
  <c r="EV40" i="5"/>
  <c r="HJ41" i="5" s="1"/>
  <c r="HJ43" i="5" s="1"/>
  <c r="AF40" i="5"/>
  <c r="EW40" i="5"/>
  <c r="FB40" i="5"/>
  <c r="HI41" i="5" s="1"/>
  <c r="HI43" i="5" s="1"/>
  <c r="AO15" i="4"/>
  <c r="AO16" i="4"/>
  <c r="AO14" i="4"/>
  <c r="DV47" i="5" l="1"/>
  <c r="DV45" i="5"/>
  <c r="DW206" i="5"/>
  <c r="DV206" i="5"/>
  <c r="DV208" i="5"/>
  <c r="DV115" i="5"/>
  <c r="DW113" i="5"/>
  <c r="DV113" i="5"/>
  <c r="DW143" i="5"/>
  <c r="DV143" i="5"/>
  <c r="DV145" i="5"/>
  <c r="DV118" i="5"/>
  <c r="DV120" i="5"/>
  <c r="DW118" i="5"/>
  <c r="DV354" i="5"/>
  <c r="DW352" i="5"/>
  <c r="DV352" i="5"/>
  <c r="DV291" i="5"/>
  <c r="DW289" i="5"/>
  <c r="DV289" i="5"/>
  <c r="DV681" i="5"/>
  <c r="DW679" i="5"/>
  <c r="DV679" i="5"/>
  <c r="DW518" i="5"/>
  <c r="DV518" i="5"/>
  <c r="DV520" i="5"/>
  <c r="DV651" i="5"/>
  <c r="DW649" i="5"/>
  <c r="DV649" i="5"/>
  <c r="DW249" i="5"/>
  <c r="DV251" i="5"/>
  <c r="DV249" i="5"/>
  <c r="DV691" i="5"/>
  <c r="DW689" i="5"/>
  <c r="DV689" i="5"/>
  <c r="DV779" i="5"/>
  <c r="DV777" i="5"/>
  <c r="DW777" i="5"/>
  <c r="DV540" i="5"/>
  <c r="DW538" i="5"/>
  <c r="DV538" i="5"/>
  <c r="DV105" i="5"/>
  <c r="DV103" i="5"/>
  <c r="DW103" i="5"/>
  <c r="DV259" i="5"/>
  <c r="DV261" i="5"/>
  <c r="DW259" i="5"/>
  <c r="DV706" i="5"/>
  <c r="DV704" i="5"/>
  <c r="DW704" i="5"/>
  <c r="DV316" i="5"/>
  <c r="DW314" i="5"/>
  <c r="DV314" i="5"/>
  <c r="DV150" i="5"/>
  <c r="DW148" i="5"/>
  <c r="DV148" i="5"/>
  <c r="DW60" i="5"/>
  <c r="DV60" i="5"/>
  <c r="DV62" i="5"/>
  <c r="DV181" i="5"/>
  <c r="DV183" i="5"/>
  <c r="DW181" i="5"/>
  <c r="DW571" i="5"/>
  <c r="DV573" i="5"/>
  <c r="DV571" i="5"/>
  <c r="DV548" i="5"/>
  <c r="DV550" i="5"/>
  <c r="DW548" i="5"/>
  <c r="DV583" i="5"/>
  <c r="DV581" i="5"/>
  <c r="DW581" i="5"/>
  <c r="DV186" i="5"/>
  <c r="DV188" i="5"/>
  <c r="DW186" i="5"/>
  <c r="DW659" i="5"/>
  <c r="DV659" i="5"/>
  <c r="DV661" i="5"/>
  <c r="DW108" i="5"/>
  <c r="DV110" i="5"/>
  <c r="DV108" i="5"/>
  <c r="DV676" i="5"/>
  <c r="DW674" i="5"/>
  <c r="DV674" i="5"/>
  <c r="DV666" i="5"/>
  <c r="DW664" i="5"/>
  <c r="DV664" i="5"/>
  <c r="DV576" i="5"/>
  <c r="DV578" i="5"/>
  <c r="DW576" i="5"/>
  <c r="DV95" i="5"/>
  <c r="DW93" i="5"/>
  <c r="DV93" i="5"/>
  <c r="DV165" i="5"/>
  <c r="DV163" i="5"/>
  <c r="DW163" i="5"/>
  <c r="DW483" i="5"/>
  <c r="DV485" i="5"/>
  <c r="DV483" i="5"/>
  <c r="DV55" i="5"/>
  <c r="DV57" i="5"/>
  <c r="DV271" i="5"/>
  <c r="DV269" i="5"/>
  <c r="DW269" i="5"/>
  <c r="DV493" i="5"/>
  <c r="DV495" i="5"/>
  <c r="DW493" i="5"/>
  <c r="DV77" i="5"/>
  <c r="DW75" i="5"/>
  <c r="DV75" i="5"/>
  <c r="DV299" i="5"/>
  <c r="DV301" i="5"/>
  <c r="DW299" i="5"/>
  <c r="DV734" i="5"/>
  <c r="DW732" i="5"/>
  <c r="DV732" i="5"/>
  <c r="DV769" i="5"/>
  <c r="DW767" i="5"/>
  <c r="DV767" i="5"/>
  <c r="DW465" i="5"/>
  <c r="DV465" i="5"/>
  <c r="DV467" i="5"/>
  <c r="DV397" i="5"/>
  <c r="DV399" i="5"/>
  <c r="DW397" i="5"/>
  <c r="DW70" i="5"/>
  <c r="DV70" i="5"/>
  <c r="DV72" i="5"/>
  <c r="DW367" i="5"/>
  <c r="DV367" i="5"/>
  <c r="DV369" i="5"/>
  <c r="DV641" i="5"/>
  <c r="DV639" i="5"/>
  <c r="DW639" i="5"/>
  <c r="DV407" i="5"/>
  <c r="DW405" i="5"/>
  <c r="DV405" i="5"/>
  <c r="DV709" i="5"/>
  <c r="DV711" i="5"/>
  <c r="DW709" i="5"/>
  <c r="DV357" i="5"/>
  <c r="DW357" i="5"/>
  <c r="DV359" i="5"/>
  <c r="DV80" i="5"/>
  <c r="DV82" i="5"/>
  <c r="DW80" i="5"/>
  <c r="DV425" i="5"/>
  <c r="DV427" i="5"/>
  <c r="DW425" i="5"/>
  <c r="DV784" i="5"/>
  <c r="DW782" i="5"/>
  <c r="DV782" i="5"/>
  <c r="DW498" i="5"/>
  <c r="DV498" i="5"/>
  <c r="DV500" i="5"/>
  <c r="DV450" i="5"/>
  <c r="DW450" i="5"/>
  <c r="DV452" i="5"/>
  <c r="DV193" i="5"/>
  <c r="DW191" i="5"/>
  <c r="DV191" i="5"/>
  <c r="DV608" i="5"/>
  <c r="DW606" i="5"/>
  <c r="DV606" i="5"/>
  <c r="DV686" i="5"/>
  <c r="DW684" i="5"/>
  <c r="DV684" i="5"/>
  <c r="DV654" i="5"/>
  <c r="DW654" i="5"/>
  <c r="DV656" i="5"/>
  <c r="DW211" i="5"/>
  <c r="DV211" i="5"/>
  <c r="DV213" i="5"/>
  <c r="DV455" i="5"/>
  <c r="DW455" i="5"/>
  <c r="DV457" i="5"/>
  <c r="DV749" i="5"/>
  <c r="DW747" i="5"/>
  <c r="DV747" i="5"/>
  <c r="DV417" i="5"/>
  <c r="DW415" i="5"/>
  <c r="DV415" i="5"/>
  <c r="DV125" i="5"/>
  <c r="DW123" i="5"/>
  <c r="DV123" i="5"/>
  <c r="DV568" i="5"/>
  <c r="DW566" i="5"/>
  <c r="DV566" i="5"/>
  <c r="DW601" i="5"/>
  <c r="DV601" i="5"/>
  <c r="DV603" i="5"/>
  <c r="DV437" i="5"/>
  <c r="DV435" i="5"/>
  <c r="DW435" i="5"/>
  <c r="BX24" i="22"/>
  <c r="HP41" i="5"/>
  <c r="HP43" i="5" s="1"/>
  <c r="DU40" i="5"/>
  <c r="FZ10" i="5"/>
  <c r="FZ8" i="5"/>
  <c r="FZ7" i="5"/>
  <c r="FY10" i="5"/>
  <c r="FY8" i="5"/>
  <c r="FY6" i="5"/>
  <c r="FZ6" i="5"/>
  <c r="BX25" i="22" l="1"/>
  <c r="DV42" i="5"/>
  <c r="DV40" i="5"/>
  <c r="A11" i="3"/>
  <c r="B11" i="3" s="1"/>
  <c r="A13" i="3"/>
  <c r="B13" i="3" s="1"/>
  <c r="A12" i="3"/>
  <c r="B12" i="3" s="1"/>
  <c r="CN54" i="8"/>
  <c r="CN55" i="8"/>
  <c r="CN56" i="8"/>
  <c r="CN57" i="8"/>
  <c r="CN58" i="8"/>
  <c r="CN59" i="8"/>
  <c r="CN60" i="8"/>
  <c r="CN61" i="8"/>
  <c r="CN62" i="8"/>
  <c r="CN63" i="8"/>
  <c r="CN64" i="8"/>
  <c r="CN65" i="8"/>
  <c r="CN66" i="8"/>
  <c r="CN67" i="8"/>
  <c r="CN68" i="8"/>
  <c r="CN69" i="8"/>
  <c r="CN70" i="8"/>
  <c r="CN71" i="8"/>
  <c r="CN72" i="8"/>
  <c r="CN73" i="8"/>
  <c r="CN74" i="8"/>
  <c r="CN75" i="8"/>
  <c r="CN76" i="8"/>
  <c r="CN27" i="8"/>
  <c r="CN28" i="8"/>
  <c r="CN29" i="8"/>
  <c r="CN30" i="8"/>
  <c r="CN31" i="8"/>
  <c r="CN32" i="8"/>
  <c r="CN33" i="8"/>
  <c r="CN34" i="8"/>
  <c r="CN35" i="8"/>
  <c r="CN36" i="8"/>
  <c r="CN37" i="8"/>
  <c r="CN38" i="8"/>
  <c r="CN39" i="8"/>
  <c r="CN40" i="8"/>
  <c r="CN41" i="8"/>
  <c r="CN42" i="8"/>
  <c r="CN43" i="8"/>
  <c r="CN44" i="8"/>
  <c r="CN45" i="8"/>
  <c r="CN46" i="8"/>
  <c r="CN47" i="8"/>
  <c r="CN48" i="8"/>
  <c r="CN49" i="8"/>
  <c r="CN50" i="8"/>
  <c r="CN51" i="8"/>
  <c r="CN52" i="8"/>
  <c r="CN53" i="8"/>
  <c r="BX26" i="22" l="1"/>
  <c r="C71" i="12"/>
  <c r="C72" i="12"/>
  <c r="BX27" i="22" l="1"/>
  <c r="F46" i="10"/>
  <c r="E46" i="10"/>
  <c r="A85" i="10"/>
  <c r="B85" i="10"/>
  <c r="A86" i="10"/>
  <c r="B86" i="10"/>
  <c r="A87" i="10"/>
  <c r="B87" i="10"/>
  <c r="A88" i="10"/>
  <c r="B88" i="10"/>
  <c r="FA32" i="8"/>
  <c r="BO148" i="8" s="1"/>
  <c r="FA33" i="8"/>
  <c r="BO149" i="8" s="1"/>
  <c r="FA34" i="8"/>
  <c r="FA35" i="8"/>
  <c r="FA36" i="8"/>
  <c r="FA37" i="8"/>
  <c r="FA38" i="8"/>
  <c r="FA39" i="8"/>
  <c r="FA40" i="8"/>
  <c r="FA41" i="8"/>
  <c r="FA42" i="8"/>
  <c r="FA43" i="8"/>
  <c r="FA44" i="8"/>
  <c r="FA45" i="8"/>
  <c r="FA46" i="8"/>
  <c r="FA47" i="8"/>
  <c r="FA48" i="8"/>
  <c r="FA49" i="8"/>
  <c r="FA50" i="8"/>
  <c r="FA51" i="8"/>
  <c r="FA52" i="8"/>
  <c r="FA53" i="8"/>
  <c r="FA54" i="8"/>
  <c r="FA55" i="8"/>
  <c r="FA56" i="8"/>
  <c r="FA57" i="8"/>
  <c r="FA58" i="8"/>
  <c r="FA59" i="8"/>
  <c r="FA60" i="8"/>
  <c r="FA61" i="8"/>
  <c r="FA62" i="8"/>
  <c r="FA63" i="8"/>
  <c r="BO179" i="8" s="1"/>
  <c r="FA64" i="8"/>
  <c r="BO180" i="8" s="1"/>
  <c r="FA65" i="8"/>
  <c r="BO181" i="8" s="1"/>
  <c r="FA66" i="8"/>
  <c r="BO182" i="8" s="1"/>
  <c r="FA67" i="8"/>
  <c r="BO183" i="8" s="1"/>
  <c r="FA68" i="8"/>
  <c r="BO184" i="8" s="1"/>
  <c r="FA69" i="8"/>
  <c r="BO185" i="8" s="1"/>
  <c r="FA70" i="8"/>
  <c r="BO186" i="8" s="1"/>
  <c r="FA71" i="8"/>
  <c r="BO187" i="8" s="1"/>
  <c r="FA72" i="8"/>
  <c r="BO188" i="8" s="1"/>
  <c r="FA73" i="8"/>
  <c r="BO189" i="8" s="1"/>
  <c r="FA74" i="8"/>
  <c r="BO190" i="8" s="1"/>
  <c r="FA75" i="8"/>
  <c r="BO191" i="8" s="1"/>
  <c r="FA76" i="8"/>
  <c r="BO192" i="8" s="1"/>
  <c r="FA28" i="8"/>
  <c r="FA29" i="8"/>
  <c r="BO145" i="8" s="1"/>
  <c r="FA30" i="8"/>
  <c r="BO146" i="8" s="1"/>
  <c r="FA31" i="8"/>
  <c r="FA27" i="8"/>
  <c r="BO143" i="8" s="1"/>
  <c r="A83" i="10"/>
  <c r="B83" i="10"/>
  <c r="A84" i="10"/>
  <c r="B84" i="10"/>
  <c r="BO177" i="8" l="1"/>
  <c r="EV61" i="8"/>
  <c r="ET61" i="8"/>
  <c r="BO173" i="8"/>
  <c r="EV57" i="8"/>
  <c r="ET57" i="8"/>
  <c r="BO169" i="8"/>
  <c r="EV53" i="8"/>
  <c r="BO176" i="8"/>
  <c r="EV60" i="8"/>
  <c r="BO172" i="8"/>
  <c r="EV56" i="8"/>
  <c r="ET56" i="8"/>
  <c r="BO168" i="8"/>
  <c r="EV52" i="8"/>
  <c r="BO175" i="8"/>
  <c r="EV59" i="8"/>
  <c r="ET59" i="8"/>
  <c r="BO171" i="8"/>
  <c r="EV55" i="8"/>
  <c r="BO167" i="8"/>
  <c r="EV51" i="8"/>
  <c r="ET51" i="8"/>
  <c r="BO178" i="8"/>
  <c r="EV62" i="8"/>
  <c r="ET62" i="8"/>
  <c r="BO174" i="8"/>
  <c r="EV58" i="8"/>
  <c r="ET58" i="8"/>
  <c r="BO170" i="8"/>
  <c r="EV54" i="8"/>
  <c r="BO166" i="8"/>
  <c r="EV50" i="8"/>
  <c r="ET50" i="8"/>
  <c r="BO164" i="8"/>
  <c r="EV48" i="8"/>
  <c r="BO160" i="8"/>
  <c r="EV44" i="8"/>
  <c r="BO156" i="8"/>
  <c r="EV40" i="8"/>
  <c r="BO152" i="8"/>
  <c r="EV36" i="8"/>
  <c r="BO163" i="8"/>
  <c r="EV47" i="8"/>
  <c r="BO159" i="8"/>
  <c r="EV43" i="8"/>
  <c r="BO155" i="8"/>
  <c r="EV39" i="8"/>
  <c r="BO151" i="8"/>
  <c r="EV35" i="8"/>
  <c r="ET35" i="8"/>
  <c r="BO162" i="8"/>
  <c r="EV46" i="8"/>
  <c r="BO158" i="8"/>
  <c r="EV42" i="8"/>
  <c r="BO154" i="8"/>
  <c r="EV38" i="8"/>
  <c r="ET38" i="8"/>
  <c r="BO165" i="8"/>
  <c r="EV49" i="8"/>
  <c r="ET49" i="8"/>
  <c r="BO161" i="8"/>
  <c r="EV45" i="8"/>
  <c r="BO157" i="8"/>
  <c r="EV41" i="8"/>
  <c r="BO153" i="8"/>
  <c r="EV37" i="8"/>
  <c r="ET37" i="8"/>
  <c r="EV31" i="8"/>
  <c r="BO147" i="8"/>
  <c r="EV28" i="8"/>
  <c r="BO144" i="8"/>
  <c r="EV34" i="8"/>
  <c r="BO150" i="8"/>
  <c r="BX28" i="22"/>
  <c r="ET33" i="8"/>
  <c r="BR149" i="8" s="1"/>
  <c r="EV33" i="8"/>
  <c r="ET76" i="8"/>
  <c r="BR192" i="8" s="1"/>
  <c r="EV76" i="8"/>
  <c r="ET32" i="8"/>
  <c r="EV32" i="8"/>
  <c r="ET30" i="8"/>
  <c r="EV30" i="8"/>
  <c r="ET75" i="8"/>
  <c r="BR191" i="8" s="1"/>
  <c r="EV75" i="8"/>
  <c r="EV27" i="8"/>
  <c r="EV29" i="8"/>
  <c r="CV31" i="8"/>
  <c r="CW31" i="8"/>
  <c r="CY31" i="8"/>
  <c r="CV32" i="8"/>
  <c r="BP148" i="8" s="1"/>
  <c r="BQ148" i="8" s="1"/>
  <c r="CW32" i="8"/>
  <c r="CY32" i="8"/>
  <c r="CV33" i="8"/>
  <c r="BP149" i="8" s="1"/>
  <c r="BQ149" i="8" s="1"/>
  <c r="CW33" i="8"/>
  <c r="CY33" i="8"/>
  <c r="CV34" i="8"/>
  <c r="CW34" i="8"/>
  <c r="CY34" i="8"/>
  <c r="CV35" i="8"/>
  <c r="BP151" i="8" s="1"/>
  <c r="BQ151" i="8" s="1"/>
  <c r="CW35" i="8"/>
  <c r="CY35" i="8"/>
  <c r="CV36" i="8"/>
  <c r="CW36" i="8"/>
  <c r="CY36" i="8"/>
  <c r="CV37" i="8"/>
  <c r="CW37" i="8"/>
  <c r="CY37" i="8"/>
  <c r="CV38" i="8"/>
  <c r="CW38" i="8"/>
  <c r="CY38" i="8"/>
  <c r="CV39" i="8"/>
  <c r="CW39" i="8"/>
  <c r="CY39" i="8"/>
  <c r="CV40" i="8"/>
  <c r="CW40" i="8"/>
  <c r="CY40" i="8"/>
  <c r="CV41" i="8"/>
  <c r="CW41" i="8"/>
  <c r="CY41" i="8"/>
  <c r="CV42" i="8"/>
  <c r="CW42" i="8"/>
  <c r="CY42" i="8"/>
  <c r="CV43" i="8"/>
  <c r="BP159" i="8" s="1"/>
  <c r="BQ159" i="8" s="1"/>
  <c r="CW43" i="8"/>
  <c r="CY43" i="8"/>
  <c r="CV44" i="8"/>
  <c r="CW44" i="8"/>
  <c r="CY44" i="8"/>
  <c r="CV45" i="8"/>
  <c r="CW45" i="8"/>
  <c r="CY45" i="8"/>
  <c r="CV46" i="8"/>
  <c r="CW46" i="8"/>
  <c r="CY46" i="8"/>
  <c r="CV47" i="8"/>
  <c r="CW47" i="8"/>
  <c r="CY47" i="8"/>
  <c r="CV48" i="8"/>
  <c r="CW48" i="8"/>
  <c r="CY48" i="8"/>
  <c r="CV49" i="8"/>
  <c r="CW49" i="8"/>
  <c r="CY49" i="8"/>
  <c r="CV50" i="8"/>
  <c r="CW50" i="8"/>
  <c r="CY50" i="8"/>
  <c r="CV51" i="8"/>
  <c r="CW51" i="8"/>
  <c r="CY51" i="8"/>
  <c r="CV52" i="8"/>
  <c r="CW52" i="8"/>
  <c r="CY52" i="8"/>
  <c r="CV53" i="8"/>
  <c r="CW53" i="8"/>
  <c r="CY53" i="8"/>
  <c r="CV54" i="8"/>
  <c r="CW54" i="8"/>
  <c r="CY54" i="8"/>
  <c r="CV55" i="8"/>
  <c r="CW55" i="8"/>
  <c r="CY55" i="8"/>
  <c r="CV56" i="8"/>
  <c r="CW56" i="8"/>
  <c r="CY56" i="8"/>
  <c r="CV57" i="8"/>
  <c r="CW57" i="8"/>
  <c r="CY57" i="8"/>
  <c r="CV58" i="8"/>
  <c r="CW58" i="8"/>
  <c r="CY58" i="8"/>
  <c r="CV59" i="8"/>
  <c r="CW59" i="8"/>
  <c r="CY59" i="8"/>
  <c r="CV60" i="8"/>
  <c r="CW60" i="8"/>
  <c r="CY60" i="8"/>
  <c r="CV61" i="8"/>
  <c r="CW61" i="8"/>
  <c r="CY61" i="8"/>
  <c r="CV62" i="8"/>
  <c r="CW62" i="8"/>
  <c r="CY62" i="8"/>
  <c r="CV63" i="8"/>
  <c r="BP179" i="8" s="1"/>
  <c r="BQ179" i="8" s="1"/>
  <c r="CW63" i="8"/>
  <c r="CY63" i="8"/>
  <c r="CV64" i="8"/>
  <c r="BP180" i="8" s="1"/>
  <c r="BQ180" i="8" s="1"/>
  <c r="CW64" i="8"/>
  <c r="CY64" i="8"/>
  <c r="CV65" i="8"/>
  <c r="BP181" i="8" s="1"/>
  <c r="BQ181" i="8" s="1"/>
  <c r="CW65" i="8"/>
  <c r="CY65" i="8"/>
  <c r="CV66" i="8"/>
  <c r="BP182" i="8" s="1"/>
  <c r="BQ182" i="8" s="1"/>
  <c r="CW66" i="8"/>
  <c r="CY66" i="8"/>
  <c r="CV67" i="8"/>
  <c r="CW67" i="8"/>
  <c r="CY67" i="8"/>
  <c r="CV68" i="8"/>
  <c r="BP184" i="8" s="1"/>
  <c r="BQ184" i="8" s="1"/>
  <c r="CW68" i="8"/>
  <c r="CY68" i="8"/>
  <c r="CV69" i="8"/>
  <c r="BP185" i="8" s="1"/>
  <c r="BQ185" i="8" s="1"/>
  <c r="CW69" i="8"/>
  <c r="CY69" i="8"/>
  <c r="CV70" i="8"/>
  <c r="BP186" i="8" s="1"/>
  <c r="BQ186" i="8" s="1"/>
  <c r="CW70" i="8"/>
  <c r="CY70" i="8"/>
  <c r="CV71" i="8"/>
  <c r="BP187" i="8" s="1"/>
  <c r="BQ187" i="8" s="1"/>
  <c r="CW71" i="8"/>
  <c r="CY71" i="8"/>
  <c r="CV72" i="8"/>
  <c r="BP188" i="8" s="1"/>
  <c r="BQ188" i="8" s="1"/>
  <c r="CW72" i="8"/>
  <c r="CY72" i="8"/>
  <c r="CV73" i="8"/>
  <c r="BP189" i="8" s="1"/>
  <c r="BQ189" i="8" s="1"/>
  <c r="CW73" i="8"/>
  <c r="CY73" i="8"/>
  <c r="CV74" i="8"/>
  <c r="BP190" i="8" s="1"/>
  <c r="BQ190" i="8" s="1"/>
  <c r="CW74" i="8"/>
  <c r="CY74" i="8"/>
  <c r="CV75" i="8"/>
  <c r="BP191" i="8" s="1"/>
  <c r="BQ191" i="8" s="1"/>
  <c r="CW75" i="8"/>
  <c r="CY75" i="8"/>
  <c r="CV76" i="8"/>
  <c r="BP192" i="8" s="1"/>
  <c r="BQ192" i="8" s="1"/>
  <c r="CW76" i="8"/>
  <c r="CY76" i="8"/>
  <c r="CV28" i="8"/>
  <c r="CW28" i="8"/>
  <c r="CY28" i="8"/>
  <c r="CV29" i="8"/>
  <c r="BP145" i="8" s="1"/>
  <c r="BQ145" i="8" s="1"/>
  <c r="CW29" i="8"/>
  <c r="CY29" i="8"/>
  <c r="CV30" i="8"/>
  <c r="BP146" i="8" s="1"/>
  <c r="BQ146" i="8" s="1"/>
  <c r="CW30" i="8"/>
  <c r="CY30" i="8"/>
  <c r="CV27" i="8"/>
  <c r="BP143" i="8" s="1"/>
  <c r="BQ143" i="8" s="1"/>
  <c r="BP168" i="8" l="1"/>
  <c r="BQ168" i="8" s="1"/>
  <c r="BP170" i="8"/>
  <c r="BQ170" i="8" s="1"/>
  <c r="BP150" i="8"/>
  <c r="BQ150" i="8" s="1"/>
  <c r="BP173" i="8"/>
  <c r="BQ173" i="8" s="1"/>
  <c r="BP165" i="8"/>
  <c r="BQ165" i="8" s="1"/>
  <c r="BP154" i="8"/>
  <c r="BQ154" i="8" s="1"/>
  <c r="BP177" i="8"/>
  <c r="BQ177" i="8" s="1"/>
  <c r="BP157" i="8"/>
  <c r="BQ157" i="8" s="1"/>
  <c r="BP153" i="8"/>
  <c r="BQ153" i="8" s="1"/>
  <c r="BP171" i="8"/>
  <c r="BQ171" i="8" s="1"/>
  <c r="BP175" i="8"/>
  <c r="BQ175" i="8" s="1"/>
  <c r="BP163" i="8"/>
  <c r="BQ163" i="8" s="1"/>
  <c r="BP164" i="8"/>
  <c r="BQ164" i="8" s="1"/>
  <c r="BP169" i="8"/>
  <c r="BQ169" i="8" s="1"/>
  <c r="BP161" i="8"/>
  <c r="BQ161" i="8" s="1"/>
  <c r="BP158" i="8"/>
  <c r="BQ158" i="8" s="1"/>
  <c r="DR142" i="8"/>
  <c r="DN142" i="8"/>
  <c r="BP178" i="8"/>
  <c r="BQ178" i="8" s="1"/>
  <c r="BP176" i="8"/>
  <c r="BQ176" i="8" s="1"/>
  <c r="BP174" i="8"/>
  <c r="BQ174" i="8" s="1"/>
  <c r="BP166" i="8"/>
  <c r="BQ166" i="8" s="1"/>
  <c r="BP162" i="8"/>
  <c r="BQ162" i="8" s="1"/>
  <c r="BR166" i="8"/>
  <c r="DN116" i="8"/>
  <c r="DR116" i="8"/>
  <c r="BR167" i="8"/>
  <c r="DN117" i="8"/>
  <c r="DR117" i="8"/>
  <c r="BR172" i="8"/>
  <c r="DN122" i="8"/>
  <c r="DR122" i="8"/>
  <c r="BR177" i="8"/>
  <c r="DN127" i="8"/>
  <c r="DR127" i="8"/>
  <c r="BP172" i="8"/>
  <c r="BQ172" i="8" s="1"/>
  <c r="BP160" i="8"/>
  <c r="BQ160" i="8" s="1"/>
  <c r="BP156" i="8"/>
  <c r="BQ156" i="8" s="1"/>
  <c r="BP152" i="8"/>
  <c r="BQ152" i="8" s="1"/>
  <c r="BR178" i="8"/>
  <c r="DN128" i="8"/>
  <c r="DR128" i="8"/>
  <c r="BR173" i="8"/>
  <c r="DN123" i="8"/>
  <c r="DR123" i="8"/>
  <c r="DR124" i="8"/>
  <c r="BR174" i="8"/>
  <c r="DN124" i="8"/>
  <c r="BR175" i="8"/>
  <c r="DN125" i="8"/>
  <c r="DR125" i="8"/>
  <c r="DR99" i="8"/>
  <c r="DN99" i="8"/>
  <c r="BR165" i="8"/>
  <c r="DN115" i="8"/>
  <c r="DR115" i="8"/>
  <c r="BR151" i="8"/>
  <c r="DN101" i="8"/>
  <c r="DR101" i="8"/>
  <c r="BR153" i="8"/>
  <c r="DN103" i="8"/>
  <c r="DR103" i="8"/>
  <c r="BR154" i="8"/>
  <c r="DN104" i="8"/>
  <c r="DR104" i="8"/>
  <c r="DR141" i="8"/>
  <c r="DN141" i="8"/>
  <c r="BX29" i="22"/>
  <c r="DR96" i="8"/>
  <c r="BR146" i="8"/>
  <c r="DN98" i="8"/>
  <c r="BR148" i="8"/>
  <c r="DR98" i="8"/>
  <c r="DN96" i="8"/>
  <c r="BP183" i="8"/>
  <c r="BQ183" i="8" s="1"/>
  <c r="BO133" i="8"/>
  <c r="BP133" i="8" s="1"/>
  <c r="BQ133" i="8" s="1"/>
  <c r="BP167" i="8"/>
  <c r="BQ167" i="8" s="1"/>
  <c r="BO117" i="8"/>
  <c r="BP117" i="8" s="1"/>
  <c r="BQ117" i="8" s="1"/>
  <c r="BP155" i="8"/>
  <c r="BQ155" i="8" s="1"/>
  <c r="BO105" i="8"/>
  <c r="BP105" i="8" s="1"/>
  <c r="BQ105" i="8" s="1"/>
  <c r="BP147" i="8"/>
  <c r="BQ147" i="8" s="1"/>
  <c r="BO97" i="8"/>
  <c r="BP97" i="8" s="1"/>
  <c r="BQ97" i="8" s="1"/>
  <c r="BO93" i="8"/>
  <c r="BP93" i="8" s="1"/>
  <c r="BQ93" i="8" s="1"/>
  <c r="BO129" i="8"/>
  <c r="BP129" i="8" s="1"/>
  <c r="BQ129" i="8" s="1"/>
  <c r="BO142" i="8"/>
  <c r="BP142" i="8" s="1"/>
  <c r="BQ142" i="8" s="1"/>
  <c r="BO126" i="8"/>
  <c r="BP126" i="8" s="1"/>
  <c r="BQ126" i="8" s="1"/>
  <c r="BO110" i="8"/>
  <c r="BP110" i="8" s="1"/>
  <c r="BQ110" i="8" s="1"/>
  <c r="BO130" i="8"/>
  <c r="BP130" i="8" s="1"/>
  <c r="BQ130" i="8" s="1"/>
  <c r="BO114" i="8"/>
  <c r="BP114" i="8" s="1"/>
  <c r="BQ114" i="8" s="1"/>
  <c r="BO102" i="8"/>
  <c r="BP102" i="8" s="1"/>
  <c r="BQ102" i="8" s="1"/>
  <c r="BO113" i="8"/>
  <c r="BP113" i="8" s="1"/>
  <c r="BQ113" i="8" s="1"/>
  <c r="BO141" i="8"/>
  <c r="BP141" i="8" s="1"/>
  <c r="BQ141" i="8" s="1"/>
  <c r="BO137" i="8"/>
  <c r="BP137" i="8" s="1"/>
  <c r="BQ137" i="8" s="1"/>
  <c r="BO125" i="8"/>
  <c r="BP125" i="8" s="1"/>
  <c r="BQ125" i="8" s="1"/>
  <c r="BO121" i="8"/>
  <c r="BP121" i="8" s="1"/>
  <c r="BQ121" i="8" s="1"/>
  <c r="BO109" i="8"/>
  <c r="BP109" i="8" s="1"/>
  <c r="BQ109" i="8" s="1"/>
  <c r="BO94" i="8"/>
  <c r="BP94" i="8" s="1"/>
  <c r="BQ94" i="8" s="1"/>
  <c r="BP144" i="8"/>
  <c r="BQ144" i="8" s="1"/>
  <c r="BO96" i="8"/>
  <c r="BP96" i="8" s="1"/>
  <c r="BQ96" i="8" s="1"/>
  <c r="BO140" i="8"/>
  <c r="BP140" i="8" s="1"/>
  <c r="BQ140" i="8" s="1"/>
  <c r="BO136" i="8"/>
  <c r="BP136" i="8" s="1"/>
  <c r="BQ136" i="8" s="1"/>
  <c r="BO132" i="8"/>
  <c r="BP132" i="8" s="1"/>
  <c r="BQ132" i="8" s="1"/>
  <c r="BO128" i="8"/>
  <c r="BP128" i="8" s="1"/>
  <c r="BQ128" i="8" s="1"/>
  <c r="BO124" i="8"/>
  <c r="BP124" i="8" s="1"/>
  <c r="BQ124" i="8" s="1"/>
  <c r="BO120" i="8"/>
  <c r="BP120" i="8" s="1"/>
  <c r="BQ120" i="8" s="1"/>
  <c r="BO116" i="8"/>
  <c r="BP116" i="8" s="1"/>
  <c r="BQ116" i="8" s="1"/>
  <c r="BO112" i="8"/>
  <c r="BP112" i="8" s="1"/>
  <c r="BQ112" i="8" s="1"/>
  <c r="BO108" i="8"/>
  <c r="BP108" i="8" s="1"/>
  <c r="BQ108" i="8" s="1"/>
  <c r="BO104" i="8"/>
  <c r="BP104" i="8" s="1"/>
  <c r="BQ104" i="8" s="1"/>
  <c r="BO100" i="8"/>
  <c r="BP100" i="8" s="1"/>
  <c r="BQ100" i="8" s="1"/>
  <c r="BO95" i="8"/>
  <c r="BP95" i="8" s="1"/>
  <c r="BQ95" i="8" s="1"/>
  <c r="BO139" i="8"/>
  <c r="BP139" i="8" s="1"/>
  <c r="BQ139" i="8" s="1"/>
  <c r="BO135" i="8"/>
  <c r="BP135" i="8" s="1"/>
  <c r="BQ135" i="8" s="1"/>
  <c r="BO131" i="8"/>
  <c r="BP131" i="8" s="1"/>
  <c r="BQ131" i="8" s="1"/>
  <c r="BO127" i="8"/>
  <c r="BP127" i="8" s="1"/>
  <c r="BQ127" i="8" s="1"/>
  <c r="BO123" i="8"/>
  <c r="BP123" i="8" s="1"/>
  <c r="BQ123" i="8" s="1"/>
  <c r="BO119" i="8"/>
  <c r="BP119" i="8" s="1"/>
  <c r="BQ119" i="8" s="1"/>
  <c r="BO115" i="8"/>
  <c r="BP115" i="8" s="1"/>
  <c r="BQ115" i="8" s="1"/>
  <c r="BO111" i="8"/>
  <c r="BP111" i="8" s="1"/>
  <c r="BQ111" i="8" s="1"/>
  <c r="BO107" i="8"/>
  <c r="BP107" i="8" s="1"/>
  <c r="BQ107" i="8" s="1"/>
  <c r="BO103" i="8"/>
  <c r="BP103" i="8" s="1"/>
  <c r="BQ103" i="8" s="1"/>
  <c r="BO99" i="8"/>
  <c r="BP99" i="8" s="1"/>
  <c r="BQ99" i="8" s="1"/>
  <c r="BO138" i="8"/>
  <c r="BP138" i="8" s="1"/>
  <c r="BQ138" i="8" s="1"/>
  <c r="BO134" i="8"/>
  <c r="BP134" i="8" s="1"/>
  <c r="BQ134" i="8" s="1"/>
  <c r="BO122" i="8"/>
  <c r="BP122" i="8" s="1"/>
  <c r="BQ122" i="8" s="1"/>
  <c r="BO118" i="8"/>
  <c r="BP118" i="8" s="1"/>
  <c r="BQ118" i="8" s="1"/>
  <c r="BO106" i="8"/>
  <c r="BP106" i="8" s="1"/>
  <c r="BQ106" i="8" s="1"/>
  <c r="BO98" i="8"/>
  <c r="BP98" i="8" s="1"/>
  <c r="BQ98" i="8" s="1"/>
  <c r="BO101" i="8"/>
  <c r="BP101" i="8" s="1"/>
  <c r="BQ101" i="8" s="1"/>
  <c r="CY27" i="8"/>
  <c r="CW27" i="8"/>
  <c r="G13" i="3"/>
  <c r="G12" i="3"/>
  <c r="G11" i="3"/>
  <c r="BX30" i="22" l="1"/>
  <c r="AO13" i="4"/>
  <c r="AO12" i="4"/>
  <c r="C49" i="10" s="1"/>
  <c r="AO11" i="4"/>
  <c r="BX31" i="22" l="1"/>
  <c r="H122" i="21"/>
  <c r="BX32" i="22" l="1"/>
  <c r="BX33" i="22" l="1"/>
  <c r="BX34" i="22" l="1"/>
  <c r="C110" i="12"/>
  <c r="BX35" i="22" l="1"/>
  <c r="V36" i="21"/>
  <c r="U34" i="21"/>
  <c r="U32" i="21"/>
  <c r="R20" i="21"/>
  <c r="BX36" i="22" l="1"/>
  <c r="U51" i="10"/>
  <c r="V51" i="10"/>
  <c r="I51" i="10"/>
  <c r="G51" i="10"/>
  <c r="Y43" i="10" s="1"/>
  <c r="H51" i="10"/>
  <c r="F51" i="10"/>
  <c r="Y42" i="10" s="1"/>
  <c r="E51" i="10"/>
  <c r="BX37" i="22" l="1"/>
  <c r="CF5" i="4"/>
  <c r="CF6" i="4"/>
  <c r="CF7" i="4"/>
  <c r="CF8" i="4"/>
  <c r="CF9" i="4"/>
  <c r="CF10" i="4"/>
  <c r="CF11" i="4"/>
  <c r="CF12" i="4"/>
  <c r="CF13" i="4"/>
  <c r="CF14" i="4"/>
  <c r="CF15" i="4"/>
  <c r="CF16" i="4"/>
  <c r="CF17" i="4"/>
  <c r="CF18" i="4"/>
  <c r="CF19" i="4"/>
  <c r="CF20" i="4"/>
  <c r="CF21" i="4"/>
  <c r="CF22" i="4"/>
  <c r="CF23" i="4"/>
  <c r="CF24" i="4"/>
  <c r="CF25" i="4"/>
  <c r="CF26" i="4"/>
  <c r="CF27" i="4"/>
  <c r="CF28" i="4"/>
  <c r="CF29" i="4"/>
  <c r="CF30" i="4"/>
  <c r="CF31" i="4"/>
  <c r="CF32" i="4"/>
  <c r="CF33" i="4"/>
  <c r="CF34" i="4"/>
  <c r="CF35" i="4"/>
  <c r="CF36" i="4"/>
  <c r="CF37" i="4"/>
  <c r="CF38" i="4"/>
  <c r="CF39" i="4"/>
  <c r="CF40" i="4"/>
  <c r="CF41" i="4"/>
  <c r="CF42" i="4"/>
  <c r="CF43" i="4"/>
  <c r="CF44" i="4"/>
  <c r="CF45" i="4"/>
  <c r="CF46" i="4"/>
  <c r="CF47" i="4"/>
  <c r="CF48" i="4"/>
  <c r="CF4" i="4"/>
  <c r="BX38" i="22" l="1"/>
  <c r="S67" i="19"/>
  <c r="T67" i="19"/>
  <c r="S68" i="19"/>
  <c r="T68" i="19"/>
  <c r="S69" i="19"/>
  <c r="T69" i="19"/>
  <c r="S70" i="19"/>
  <c r="T70" i="19"/>
  <c r="S71" i="19"/>
  <c r="T71" i="19"/>
  <c r="S72" i="19"/>
  <c r="T72" i="19"/>
  <c r="S73" i="19"/>
  <c r="T73" i="19"/>
  <c r="S74" i="19"/>
  <c r="T74" i="19"/>
  <c r="S75" i="19"/>
  <c r="T75" i="19"/>
  <c r="S76" i="19"/>
  <c r="T76" i="19"/>
  <c r="S77" i="19"/>
  <c r="T77" i="19"/>
  <c r="S78" i="19"/>
  <c r="T78" i="19"/>
  <c r="S79" i="19"/>
  <c r="T79" i="19"/>
  <c r="S80" i="19"/>
  <c r="T80" i="19"/>
  <c r="S81" i="19"/>
  <c r="T81" i="19"/>
  <c r="S82" i="19"/>
  <c r="T82" i="19"/>
  <c r="S83" i="19"/>
  <c r="T83" i="19"/>
  <c r="S84" i="19"/>
  <c r="T84" i="19"/>
  <c r="S85" i="19"/>
  <c r="T85" i="19"/>
  <c r="S86" i="19"/>
  <c r="T86" i="19"/>
  <c r="S87" i="19"/>
  <c r="T87" i="19"/>
  <c r="S88" i="19"/>
  <c r="T88" i="19"/>
  <c r="S89" i="19"/>
  <c r="T89" i="19"/>
  <c r="S90" i="19"/>
  <c r="T90" i="19"/>
  <c r="S91" i="19"/>
  <c r="T91" i="19"/>
  <c r="S92" i="19"/>
  <c r="T92" i="19"/>
  <c r="S93" i="19"/>
  <c r="T93" i="19"/>
  <c r="S94" i="19"/>
  <c r="T94" i="19"/>
  <c r="S95" i="19"/>
  <c r="T95" i="19"/>
  <c r="S96" i="19"/>
  <c r="T96" i="19"/>
  <c r="S97" i="19"/>
  <c r="T97" i="19"/>
  <c r="S98" i="19"/>
  <c r="T98" i="19"/>
  <c r="S99" i="19"/>
  <c r="T99" i="19"/>
  <c r="S100" i="19"/>
  <c r="T100" i="19"/>
  <c r="S101" i="19"/>
  <c r="T101" i="19"/>
  <c r="S102" i="19"/>
  <c r="T102" i="19"/>
  <c r="S103" i="19"/>
  <c r="T103" i="19"/>
  <c r="S104" i="19"/>
  <c r="T104" i="19"/>
  <c r="S105" i="19"/>
  <c r="T105" i="19"/>
  <c r="S106" i="19"/>
  <c r="T106" i="19"/>
  <c r="S107" i="19"/>
  <c r="T107" i="19"/>
  <c r="S108" i="19"/>
  <c r="T108" i="19"/>
  <c r="S109" i="19"/>
  <c r="T109" i="19"/>
  <c r="S110" i="19"/>
  <c r="T110" i="19"/>
  <c r="S111" i="19"/>
  <c r="T111" i="19"/>
  <c r="S112" i="19"/>
  <c r="T112" i="19"/>
  <c r="S113" i="19"/>
  <c r="T113" i="19"/>
  <c r="S114" i="19"/>
  <c r="T114" i="19"/>
  <c r="S115" i="19"/>
  <c r="T115" i="19"/>
  <c r="T66" i="19"/>
  <c r="S66" i="19"/>
  <c r="BZ24" i="22" l="1"/>
  <c r="DP94" i="8"/>
  <c r="DP95" i="8"/>
  <c r="DP96" i="8"/>
  <c r="DP97" i="8"/>
  <c r="DP98" i="8"/>
  <c r="DP99" i="8"/>
  <c r="DP100" i="8"/>
  <c r="DP101" i="8"/>
  <c r="DP102" i="8"/>
  <c r="DP103" i="8"/>
  <c r="DP104" i="8"/>
  <c r="DP105" i="8"/>
  <c r="DP106" i="8"/>
  <c r="DP107" i="8"/>
  <c r="DP108" i="8"/>
  <c r="DP109" i="8"/>
  <c r="DP110" i="8"/>
  <c r="DP111" i="8"/>
  <c r="DP112" i="8"/>
  <c r="DP113" i="8"/>
  <c r="DP114" i="8"/>
  <c r="DP115" i="8"/>
  <c r="DP116" i="8"/>
  <c r="DP117" i="8"/>
  <c r="DP118" i="8"/>
  <c r="DP119" i="8"/>
  <c r="DP120" i="8"/>
  <c r="DP121" i="8"/>
  <c r="DP122" i="8"/>
  <c r="DP123" i="8"/>
  <c r="DP124" i="8"/>
  <c r="DP125" i="8"/>
  <c r="DP126" i="8"/>
  <c r="DP127" i="8"/>
  <c r="DP128" i="8"/>
  <c r="DP129" i="8"/>
  <c r="DP130" i="8"/>
  <c r="DP131" i="8"/>
  <c r="DP132" i="8"/>
  <c r="DP133" i="8"/>
  <c r="DP134" i="8"/>
  <c r="DP135" i="8"/>
  <c r="DP136" i="8"/>
  <c r="DP137" i="8"/>
  <c r="DP138" i="8"/>
  <c r="DP139" i="8"/>
  <c r="DP140" i="8"/>
  <c r="DP141" i="8"/>
  <c r="DP142" i="8"/>
  <c r="DP93" i="8"/>
  <c r="BT33" i="4"/>
  <c r="BT32" i="4"/>
  <c r="BT31" i="4"/>
  <c r="BT30" i="4"/>
  <c r="BT29" i="4"/>
  <c r="BT28" i="4"/>
  <c r="BT27" i="4"/>
  <c r="BT26" i="4"/>
  <c r="BT25" i="4"/>
  <c r="BT24" i="4"/>
  <c r="BT23" i="4"/>
  <c r="BT22" i="4"/>
  <c r="BT21" i="4"/>
  <c r="BT20" i="4"/>
  <c r="BT19" i="4"/>
  <c r="BT18" i="4"/>
  <c r="BT17" i="4"/>
  <c r="BT16" i="4"/>
  <c r="BT15" i="4"/>
  <c r="BT14" i="4"/>
  <c r="BT13" i="4"/>
  <c r="BT12" i="4"/>
  <c r="BT11" i="4"/>
  <c r="BT10" i="4"/>
  <c r="BT9" i="4"/>
  <c r="BT8" i="4"/>
  <c r="BT7" i="4"/>
  <c r="BT6" i="4"/>
  <c r="BT5" i="4"/>
  <c r="BT4" i="4"/>
  <c r="BZ25" i="22" l="1"/>
  <c r="CC5" i="4"/>
  <c r="CC6" i="4"/>
  <c r="CC7" i="4"/>
  <c r="CC8" i="4"/>
  <c r="CC9" i="4"/>
  <c r="CC10" i="4"/>
  <c r="CC11" i="4"/>
  <c r="CC12" i="4"/>
  <c r="CC13" i="4"/>
  <c r="CC14" i="4"/>
  <c r="CC15" i="4"/>
  <c r="CC16" i="4"/>
  <c r="CC17" i="4"/>
  <c r="CC18" i="4"/>
  <c r="CC19" i="4"/>
  <c r="CC20" i="4"/>
  <c r="CC21" i="4"/>
  <c r="CC22" i="4"/>
  <c r="CC23" i="4"/>
  <c r="CC24" i="4"/>
  <c r="CC25" i="4"/>
  <c r="CC26" i="4"/>
  <c r="CC27" i="4"/>
  <c r="CC28" i="4"/>
  <c r="CC29" i="4"/>
  <c r="CC30" i="4"/>
  <c r="CC31" i="4"/>
  <c r="CC32" i="4"/>
  <c r="CC33" i="4"/>
  <c r="CC34" i="4"/>
  <c r="CC35" i="4"/>
  <c r="CC36" i="4"/>
  <c r="CC37" i="4"/>
  <c r="CC38" i="4"/>
  <c r="CC39" i="4"/>
  <c r="CC40" i="4"/>
  <c r="CC41" i="4"/>
  <c r="CC42" i="4"/>
  <c r="CC43" i="4"/>
  <c r="CC44" i="4"/>
  <c r="CC45" i="4"/>
  <c r="CC46" i="4"/>
  <c r="CC47" i="4"/>
  <c r="CC48" i="4"/>
  <c r="CC4" i="4"/>
  <c r="BZ26" i="22" l="1"/>
  <c r="D28" i="4"/>
  <c r="A2" i="14" s="1"/>
  <c r="Q165" i="14" s="1"/>
  <c r="D27" i="4"/>
  <c r="D26" i="4"/>
  <c r="B53" i="12" s="1"/>
  <c r="D24" i="4"/>
  <c r="D23" i="4"/>
  <c r="B20" i="12" s="1"/>
  <c r="D22" i="4"/>
  <c r="D19" i="4"/>
  <c r="C118" i="12" l="1"/>
  <c r="B45" i="12"/>
  <c r="BZ27" i="22"/>
  <c r="D20" i="4"/>
  <c r="C67" i="12"/>
  <c r="C77" i="14"/>
  <c r="D25" i="4"/>
  <c r="A7" i="19"/>
  <c r="BZ28" i="22" l="1"/>
  <c r="D6" i="4"/>
  <c r="D13" i="4" s="1"/>
  <c r="BZ29" i="22" l="1"/>
  <c r="K65" i="9"/>
  <c r="P65" i="9"/>
  <c r="BZ30" i="22" l="1"/>
  <c r="H56" i="9"/>
  <c r="F65" i="9" s="1"/>
  <c r="G56" i="9"/>
  <c r="D62" i="9" s="1"/>
  <c r="D65" i="9"/>
  <c r="D64" i="9"/>
  <c r="O64" i="9" s="1"/>
  <c r="K64" i="9" s="1"/>
  <c r="D63" i="9"/>
  <c r="P63" i="9" s="1"/>
  <c r="C56" i="9"/>
  <c r="BZ31" i="22" l="1"/>
  <c r="H65" i="9"/>
  <c r="L65" i="9" s="1"/>
  <c r="H64" i="9"/>
  <c r="L64" i="9" s="1"/>
  <c r="P64" i="9"/>
  <c r="H63" i="9"/>
  <c r="O63" i="9"/>
  <c r="K63" i="9" s="1"/>
  <c r="H62" i="9"/>
  <c r="P62" i="9"/>
  <c r="O65" i="9"/>
  <c r="O62" i="9"/>
  <c r="I56" i="9"/>
  <c r="BZ32" i="22" l="1"/>
  <c r="P66" i="9"/>
  <c r="H66" i="9"/>
  <c r="K62" i="9"/>
  <c r="K66" i="9" s="1"/>
  <c r="O66" i="9"/>
  <c r="L63" i="9"/>
  <c r="BZ33" i="22" l="1"/>
  <c r="L62" i="9"/>
  <c r="L66" i="9" s="1"/>
  <c r="A69" i="10"/>
  <c r="B69" i="10"/>
  <c r="A70" i="10"/>
  <c r="B70" i="10"/>
  <c r="BC893" i="5"/>
  <c r="BC894" i="5"/>
  <c r="BC895" i="5"/>
  <c r="EZ29" i="8"/>
  <c r="FB29" i="8" s="1"/>
  <c r="ET29" i="8" s="1"/>
  <c r="EZ30" i="8"/>
  <c r="FB30" i="8" s="1"/>
  <c r="EZ31" i="8"/>
  <c r="FB31" i="8" s="1"/>
  <c r="ET31" i="8" s="1"/>
  <c r="BR147" i="8" s="1"/>
  <c r="EZ32" i="8"/>
  <c r="FB32" i="8" s="1"/>
  <c r="EZ33" i="8"/>
  <c r="FB33" i="8" s="1"/>
  <c r="EZ34" i="8"/>
  <c r="FB34" i="8" s="1"/>
  <c r="ET34" i="8" s="1"/>
  <c r="BR150" i="8" s="1"/>
  <c r="EZ35" i="8"/>
  <c r="FB35" i="8" s="1"/>
  <c r="EZ36" i="8"/>
  <c r="FB36" i="8" s="1"/>
  <c r="ET36" i="8" s="1"/>
  <c r="EZ37" i="8"/>
  <c r="FB37" i="8" s="1"/>
  <c r="EZ38" i="8"/>
  <c r="FB38" i="8" s="1"/>
  <c r="EZ39" i="8"/>
  <c r="FB39" i="8" s="1"/>
  <c r="ET39" i="8" s="1"/>
  <c r="EZ40" i="8"/>
  <c r="FB40" i="8" s="1"/>
  <c r="ET40" i="8" s="1"/>
  <c r="EZ41" i="8"/>
  <c r="FB41" i="8" s="1"/>
  <c r="ET41" i="8" s="1"/>
  <c r="EZ42" i="8"/>
  <c r="FB42" i="8" s="1"/>
  <c r="ET42" i="8" s="1"/>
  <c r="EZ43" i="8"/>
  <c r="FB43" i="8" s="1"/>
  <c r="ET43" i="8" s="1"/>
  <c r="EZ44" i="8"/>
  <c r="FB44" i="8" s="1"/>
  <c r="ET44" i="8" s="1"/>
  <c r="EZ45" i="8"/>
  <c r="FB45" i="8" s="1"/>
  <c r="ET45" i="8" s="1"/>
  <c r="EZ46" i="8"/>
  <c r="FB46" i="8" s="1"/>
  <c r="ET46" i="8" s="1"/>
  <c r="EZ47" i="8"/>
  <c r="FB47" i="8" s="1"/>
  <c r="ET47" i="8" s="1"/>
  <c r="EZ48" i="8"/>
  <c r="FB48" i="8" s="1"/>
  <c r="ET48" i="8" s="1"/>
  <c r="EZ49" i="8"/>
  <c r="FB49" i="8" s="1"/>
  <c r="EZ50" i="8"/>
  <c r="FB50" i="8" s="1"/>
  <c r="EZ51" i="8"/>
  <c r="FB51" i="8" s="1"/>
  <c r="EZ52" i="8"/>
  <c r="FB52" i="8" s="1"/>
  <c r="ET52" i="8" s="1"/>
  <c r="EZ53" i="8"/>
  <c r="FB53" i="8" s="1"/>
  <c r="ET53" i="8" s="1"/>
  <c r="EZ54" i="8"/>
  <c r="FB54" i="8" s="1"/>
  <c r="ET54" i="8" s="1"/>
  <c r="EZ55" i="8"/>
  <c r="FB55" i="8" s="1"/>
  <c r="ET55" i="8" s="1"/>
  <c r="EZ56" i="8"/>
  <c r="FB56" i="8" s="1"/>
  <c r="EZ57" i="8"/>
  <c r="FB57" i="8" s="1"/>
  <c r="EZ58" i="8"/>
  <c r="FB58" i="8" s="1"/>
  <c r="EZ59" i="8"/>
  <c r="FB59" i="8" s="1"/>
  <c r="EZ60" i="8"/>
  <c r="FB60" i="8" s="1"/>
  <c r="ET60" i="8" s="1"/>
  <c r="EZ61" i="8"/>
  <c r="FB61" i="8" s="1"/>
  <c r="EZ62" i="8"/>
  <c r="FB62" i="8" s="1"/>
  <c r="EZ63" i="8"/>
  <c r="FB63" i="8" s="1"/>
  <c r="EZ64" i="8"/>
  <c r="FB64" i="8" s="1"/>
  <c r="EZ65" i="8"/>
  <c r="FB65" i="8" s="1"/>
  <c r="EZ66" i="8"/>
  <c r="FB66" i="8" s="1"/>
  <c r="EZ67" i="8"/>
  <c r="FB67" i="8" s="1"/>
  <c r="EZ68" i="8"/>
  <c r="FB68" i="8" s="1"/>
  <c r="EZ69" i="8"/>
  <c r="FB69" i="8" s="1"/>
  <c r="EZ70" i="8"/>
  <c r="FB70" i="8" s="1"/>
  <c r="EZ71" i="8"/>
  <c r="FB71" i="8" s="1"/>
  <c r="EZ72" i="8"/>
  <c r="FB72" i="8" s="1"/>
  <c r="EZ73" i="8"/>
  <c r="FB73" i="8" s="1"/>
  <c r="EZ74" i="8"/>
  <c r="FB74" i="8" s="1"/>
  <c r="EZ75" i="8"/>
  <c r="FB75" i="8" s="1"/>
  <c r="EZ76" i="8"/>
  <c r="FB76" i="8" s="1"/>
  <c r="EZ27" i="8"/>
  <c r="FB27" i="8" s="1"/>
  <c r="ET27" i="8" s="1"/>
  <c r="EZ28" i="8"/>
  <c r="FB28" i="8" s="1"/>
  <c r="ET28" i="8" s="1"/>
  <c r="BR144" i="8" s="1"/>
  <c r="BR170" i="8" l="1"/>
  <c r="DN120" i="8"/>
  <c r="DR120" i="8"/>
  <c r="DN93" i="8"/>
  <c r="DR93" i="8"/>
  <c r="BR143" i="8"/>
  <c r="BR163" i="8"/>
  <c r="DN113" i="8"/>
  <c r="DR113" i="8"/>
  <c r="DR112" i="8"/>
  <c r="BR162" i="8"/>
  <c r="DN112" i="8"/>
  <c r="BR164" i="8"/>
  <c r="DN114" i="8"/>
  <c r="DR114" i="8"/>
  <c r="BR171" i="8"/>
  <c r="DN121" i="8"/>
  <c r="DR121" i="8"/>
  <c r="BR169" i="8"/>
  <c r="DN119" i="8"/>
  <c r="DR119" i="8"/>
  <c r="BR176" i="8"/>
  <c r="DN126" i="8"/>
  <c r="DR126" i="8"/>
  <c r="BR168" i="8"/>
  <c r="DN118" i="8"/>
  <c r="DR118" i="8"/>
  <c r="BR159" i="8"/>
  <c r="DN109" i="8"/>
  <c r="DR109" i="8"/>
  <c r="BR155" i="8"/>
  <c r="DR105" i="8"/>
  <c r="DN105" i="8"/>
  <c r="BR158" i="8"/>
  <c r="DN108" i="8"/>
  <c r="DR108" i="8"/>
  <c r="BR161" i="8"/>
  <c r="DN111" i="8"/>
  <c r="DR111" i="8"/>
  <c r="BR157" i="8"/>
  <c r="DN107" i="8"/>
  <c r="DR107" i="8"/>
  <c r="DN95" i="8"/>
  <c r="DR95" i="8"/>
  <c r="BR145" i="8"/>
  <c r="BR160" i="8"/>
  <c r="DN110" i="8"/>
  <c r="DR110" i="8"/>
  <c r="BR156" i="8"/>
  <c r="DN106" i="8"/>
  <c r="DR106" i="8"/>
  <c r="BR152" i="8"/>
  <c r="DN102" i="8"/>
  <c r="DR102" i="8"/>
  <c r="BZ34" i="22"/>
  <c r="DR100" i="8"/>
  <c r="DN100" i="8"/>
  <c r="DN97" i="8"/>
  <c r="DR97" i="8"/>
  <c r="DN94" i="8"/>
  <c r="DR94" i="8"/>
  <c r="DO94" i="8"/>
  <c r="DO95" i="8"/>
  <c r="DO96" i="8"/>
  <c r="DO97" i="8"/>
  <c r="DO98" i="8"/>
  <c r="DO99" i="8"/>
  <c r="DO100" i="8"/>
  <c r="DO101" i="8"/>
  <c r="DO102" i="8"/>
  <c r="DO103" i="8"/>
  <c r="DO104" i="8"/>
  <c r="DO105" i="8"/>
  <c r="DO108" i="8"/>
  <c r="DO109" i="8"/>
  <c r="DO113" i="8"/>
  <c r="DO117" i="8"/>
  <c r="DO120" i="8"/>
  <c r="DO121" i="8"/>
  <c r="DO124" i="8"/>
  <c r="DO125" i="8"/>
  <c r="DO129" i="8"/>
  <c r="DO133" i="8"/>
  <c r="DO136" i="8"/>
  <c r="DO137" i="8"/>
  <c r="DO140" i="8"/>
  <c r="DO141" i="8"/>
  <c r="DO106" i="8"/>
  <c r="DO107" i="8"/>
  <c r="DO110" i="8"/>
  <c r="DO111" i="8"/>
  <c r="DO112" i="8"/>
  <c r="DO114" i="8"/>
  <c r="DO115" i="8"/>
  <c r="DO116" i="8"/>
  <c r="DO118" i="8"/>
  <c r="DO119" i="8"/>
  <c r="DO122" i="8"/>
  <c r="DO123" i="8"/>
  <c r="DO126" i="8"/>
  <c r="DO127" i="8"/>
  <c r="DO128" i="8"/>
  <c r="DO130" i="8"/>
  <c r="DO131" i="8"/>
  <c r="DO132" i="8"/>
  <c r="DO134" i="8"/>
  <c r="DO135" i="8"/>
  <c r="DO138" i="8"/>
  <c r="DO139" i="8"/>
  <c r="DO142" i="8"/>
  <c r="DO93" i="8"/>
  <c r="BZ35" i="22" l="1"/>
  <c r="BM145" i="8"/>
  <c r="BM146" i="8"/>
  <c r="BM147" i="8"/>
  <c r="BM148" i="8"/>
  <c r="BM149" i="8"/>
  <c r="BM150" i="8"/>
  <c r="BM151" i="8"/>
  <c r="BM152" i="8"/>
  <c r="BM153" i="8"/>
  <c r="BM154" i="8"/>
  <c r="BM155" i="8"/>
  <c r="BM156" i="8"/>
  <c r="BM157" i="8"/>
  <c r="BM158" i="8"/>
  <c r="BM159" i="8"/>
  <c r="BM160" i="8"/>
  <c r="BM161" i="8"/>
  <c r="BM162" i="8"/>
  <c r="BM163" i="8"/>
  <c r="BM164" i="8"/>
  <c r="BM165" i="8"/>
  <c r="BM166" i="8"/>
  <c r="BM167" i="8"/>
  <c r="BM168" i="8"/>
  <c r="BM169" i="8"/>
  <c r="BM170" i="8"/>
  <c r="BM171" i="8"/>
  <c r="BM172" i="8"/>
  <c r="BM173" i="8"/>
  <c r="BM174" i="8"/>
  <c r="BM175" i="8"/>
  <c r="BM176" i="8"/>
  <c r="BM177" i="8"/>
  <c r="BM178" i="8"/>
  <c r="BM179" i="8"/>
  <c r="BM180" i="8"/>
  <c r="BM181" i="8"/>
  <c r="BM182" i="8"/>
  <c r="BM183" i="8"/>
  <c r="BM184" i="8"/>
  <c r="BM185" i="8"/>
  <c r="BM186" i="8"/>
  <c r="BM187" i="8"/>
  <c r="BM188" i="8"/>
  <c r="BM189" i="8"/>
  <c r="BM190" i="8"/>
  <c r="BM56" i="8"/>
  <c r="BM122" i="8" s="1"/>
  <c r="BM57" i="8"/>
  <c r="BM123" i="8" s="1"/>
  <c r="BM58" i="8"/>
  <c r="BM124" i="8" s="1"/>
  <c r="BM59" i="8"/>
  <c r="BM125" i="8" s="1"/>
  <c r="BM60" i="8"/>
  <c r="BM126" i="8" s="1"/>
  <c r="BM61" i="8"/>
  <c r="BM127" i="8" s="1"/>
  <c r="BM62" i="8"/>
  <c r="BM128" i="8" s="1"/>
  <c r="BM63" i="8"/>
  <c r="BM129" i="8" s="1"/>
  <c r="BM64" i="8"/>
  <c r="BM130" i="8" s="1"/>
  <c r="BM65" i="8"/>
  <c r="BM131" i="8" s="1"/>
  <c r="BM66" i="8"/>
  <c r="BM132" i="8" s="1"/>
  <c r="BM67" i="8"/>
  <c r="BM133" i="8" s="1"/>
  <c r="BM68" i="8"/>
  <c r="BM134" i="8" s="1"/>
  <c r="BM69" i="8"/>
  <c r="BM135" i="8" s="1"/>
  <c r="BM70" i="8"/>
  <c r="BM136" i="8" s="1"/>
  <c r="BM71" i="8"/>
  <c r="BM137" i="8" s="1"/>
  <c r="BM72" i="8"/>
  <c r="BM138" i="8" s="1"/>
  <c r="BM73" i="8"/>
  <c r="BM139" i="8" s="1"/>
  <c r="BM74" i="8"/>
  <c r="BM140" i="8" s="1"/>
  <c r="BM76" i="8"/>
  <c r="BM142" i="8" s="1"/>
  <c r="BZ36" i="22" l="1"/>
  <c r="BN173" i="8"/>
  <c r="BN174" i="8"/>
  <c r="BN175" i="8"/>
  <c r="BN176" i="8"/>
  <c r="BN177" i="8"/>
  <c r="BN178" i="8"/>
  <c r="BN179" i="8"/>
  <c r="BN180" i="8"/>
  <c r="BN181" i="8"/>
  <c r="BN182" i="8"/>
  <c r="BN183" i="8"/>
  <c r="BN184" i="8"/>
  <c r="BN185" i="8"/>
  <c r="BN186" i="8"/>
  <c r="BN187" i="8"/>
  <c r="BN188" i="8"/>
  <c r="BN189" i="8"/>
  <c r="BN190" i="8"/>
  <c r="BN191" i="8"/>
  <c r="BN192" i="8"/>
  <c r="BN156" i="8"/>
  <c r="BN157" i="8"/>
  <c r="BN158" i="8"/>
  <c r="BN159" i="8"/>
  <c r="BN160" i="8"/>
  <c r="BN161" i="8"/>
  <c r="BN162" i="8"/>
  <c r="BN163" i="8"/>
  <c r="BN164" i="8"/>
  <c r="BN165" i="8"/>
  <c r="BN166" i="8"/>
  <c r="BN167" i="8"/>
  <c r="BN168" i="8"/>
  <c r="BN169" i="8"/>
  <c r="BN170" i="8"/>
  <c r="BN171" i="8"/>
  <c r="BN172" i="8"/>
  <c r="BN149" i="8"/>
  <c r="BN150" i="8"/>
  <c r="BN151" i="8"/>
  <c r="BN152" i="8"/>
  <c r="BN153" i="8"/>
  <c r="BN154" i="8"/>
  <c r="BN155" i="8"/>
  <c r="BN144" i="8"/>
  <c r="BN145" i="8"/>
  <c r="BN146" i="8"/>
  <c r="BN147" i="8"/>
  <c r="BN148" i="8"/>
  <c r="BN143" i="8"/>
  <c r="BZ37" i="22" l="1"/>
  <c r="D26" i="22"/>
  <c r="BZ38" i="22" l="1"/>
  <c r="AO32" i="5"/>
  <c r="AO30" i="5"/>
  <c r="AO28" i="5"/>
  <c r="AO26" i="5"/>
  <c r="CB24" i="22" l="1"/>
  <c r="AO24" i="5"/>
  <c r="AO22" i="5"/>
  <c r="AO20" i="5"/>
  <c r="AF26" i="5"/>
  <c r="AF24" i="5"/>
  <c r="AF22" i="5"/>
  <c r="AF20" i="5"/>
  <c r="E326" i="5" s="1"/>
  <c r="CB25" i="22" l="1"/>
  <c r="E638" i="5"/>
  <c r="E716" i="5"/>
  <c r="E482" i="5"/>
  <c r="E560" i="5"/>
  <c r="E404" i="5"/>
  <c r="E248" i="5"/>
  <c r="E170" i="5"/>
  <c r="E92" i="5"/>
  <c r="D40" i="22"/>
  <c r="AD37" i="22"/>
  <c r="CB26" i="22" l="1"/>
  <c r="AH54" i="14"/>
  <c r="AD33" i="22"/>
  <c r="AD32" i="22"/>
  <c r="AD31" i="22"/>
  <c r="AD30" i="22"/>
  <c r="AD29" i="22"/>
  <c r="AD28" i="22"/>
  <c r="AD27" i="22"/>
  <c r="AD26" i="22"/>
  <c r="AD25" i="22"/>
  <c r="R23" i="22"/>
  <c r="CB27" i="22" l="1"/>
  <c r="BV5" i="4"/>
  <c r="BV6" i="4"/>
  <c r="BV7" i="4"/>
  <c r="BV8" i="4"/>
  <c r="BV9" i="4"/>
  <c r="BV10" i="4"/>
  <c r="BV11" i="4"/>
  <c r="BV12" i="4"/>
  <c r="BV13" i="4"/>
  <c r="BV14" i="4"/>
  <c r="BV15" i="4"/>
  <c r="BV16" i="4"/>
  <c r="BV17" i="4"/>
  <c r="BV18" i="4"/>
  <c r="BV19" i="4"/>
  <c r="BV20" i="4"/>
  <c r="BV21" i="4"/>
  <c r="BV22" i="4"/>
  <c r="BV23" i="4"/>
  <c r="BV24" i="4"/>
  <c r="BV25" i="4"/>
  <c r="BV26" i="4"/>
  <c r="BV27" i="4"/>
  <c r="BV28" i="4"/>
  <c r="BV29" i="4"/>
  <c r="BV30" i="4"/>
  <c r="BV31" i="4"/>
  <c r="BV32" i="4"/>
  <c r="BV33" i="4"/>
  <c r="BV4" i="4"/>
  <c r="CB28" i="22" l="1"/>
  <c r="D43" i="22"/>
  <c r="D42" i="22"/>
  <c r="D39" i="22"/>
  <c r="D38" i="22"/>
  <c r="D37" i="22"/>
  <c r="D34" i="22"/>
  <c r="D32" i="22"/>
  <c r="D33" i="22"/>
  <c r="D31" i="22"/>
  <c r="D30" i="22"/>
  <c r="D29" i="22"/>
  <c r="D25" i="22"/>
  <c r="CB29" i="22" l="1"/>
  <c r="CM6" i="5"/>
  <c r="CB30" i="22" l="1"/>
  <c r="D44" i="22"/>
  <c r="D41" i="22"/>
  <c r="A10" i="19"/>
  <c r="CB31" i="22" l="1"/>
  <c r="F4" i="19"/>
  <c r="T35" i="14"/>
  <c r="E32" i="19"/>
  <c r="J479" i="20" l="1"/>
  <c r="J393" i="20" s="1"/>
  <c r="J144" i="20" s="1"/>
  <c r="CB32" i="22"/>
  <c r="B49" i="10"/>
  <c r="B48" i="10"/>
  <c r="C48" i="10"/>
  <c r="A68" i="10"/>
  <c r="B68" i="10"/>
  <c r="CB33" i="22" l="1"/>
  <c r="BL94" i="8"/>
  <c r="BL93" i="8"/>
  <c r="CB34" i="22" l="1"/>
  <c r="CN259" i="8"/>
  <c r="BV259" i="8" s="1"/>
  <c r="CB35" i="22" l="1"/>
  <c r="M100" i="21"/>
  <c r="M94" i="21"/>
  <c r="M92" i="21"/>
  <c r="M90" i="21"/>
  <c r="O88" i="21"/>
  <c r="L70" i="20"/>
  <c r="U351" i="20"/>
  <c r="U294" i="20"/>
  <c r="J276" i="20"/>
  <c r="U266" i="20"/>
  <c r="J266" i="20"/>
  <c r="I255" i="20"/>
  <c r="U132" i="20"/>
  <c r="J132" i="20"/>
  <c r="J121" i="20"/>
  <c r="S119" i="20"/>
  <c r="I119" i="20"/>
  <c r="L90" i="20"/>
  <c r="L90" i="21" s="1"/>
  <c r="F110" i="21"/>
  <c r="H110" i="21"/>
  <c r="H106" i="21"/>
  <c r="I119" i="21"/>
  <c r="S119" i="21"/>
  <c r="H112" i="21"/>
  <c r="H108" i="21"/>
  <c r="F112" i="21"/>
  <c r="F108" i="21"/>
  <c r="F106" i="21"/>
  <c r="CB36" i="22" l="1"/>
  <c r="L70" i="21"/>
  <c r="U351" i="21"/>
  <c r="J121" i="21"/>
  <c r="I255" i="21"/>
  <c r="J276" i="21"/>
  <c r="U132" i="21"/>
  <c r="U266" i="21"/>
  <c r="J266" i="21"/>
  <c r="J132" i="21"/>
  <c r="U294" i="21"/>
  <c r="K121" i="20"/>
  <c r="CB37" i="22" l="1"/>
  <c r="K121" i="21"/>
  <c r="CB38" i="22" l="1"/>
  <c r="R51" i="10" l="1"/>
  <c r="J52" i="19"/>
  <c r="A52" i="19"/>
  <c r="A58" i="19"/>
  <c r="C53" i="19"/>
  <c r="C52" i="19"/>
  <c r="G52" i="19"/>
  <c r="A53" i="19"/>
  <c r="C54" i="19"/>
  <c r="A54" i="19"/>
  <c r="F52" i="19"/>
  <c r="ES37" i="5" l="1"/>
  <c r="P67" i="19" l="1"/>
  <c r="Q67" i="19"/>
  <c r="P68" i="19"/>
  <c r="Q68" i="19"/>
  <c r="P69" i="19"/>
  <c r="Q69" i="19"/>
  <c r="P70" i="19"/>
  <c r="Q70" i="19"/>
  <c r="P71" i="19"/>
  <c r="Q71" i="19"/>
  <c r="P72" i="19"/>
  <c r="Q72" i="19"/>
  <c r="P73" i="19"/>
  <c r="Q73" i="19"/>
  <c r="P74" i="19"/>
  <c r="Q74" i="19"/>
  <c r="P75" i="19"/>
  <c r="Q75" i="19"/>
  <c r="P76" i="19"/>
  <c r="Q76" i="19"/>
  <c r="P77" i="19"/>
  <c r="Q77" i="19"/>
  <c r="P78" i="19"/>
  <c r="Q78" i="19"/>
  <c r="P79" i="19"/>
  <c r="Q79" i="19"/>
  <c r="P80" i="19"/>
  <c r="Q80" i="19"/>
  <c r="P81" i="19"/>
  <c r="Q81" i="19"/>
  <c r="P82" i="19"/>
  <c r="Q82" i="19"/>
  <c r="P83" i="19"/>
  <c r="Q83" i="19"/>
  <c r="P84" i="19"/>
  <c r="Q84" i="19"/>
  <c r="P85" i="19"/>
  <c r="Q85" i="19"/>
  <c r="P86" i="19"/>
  <c r="Q86" i="19"/>
  <c r="P87" i="19"/>
  <c r="Q87" i="19"/>
  <c r="P88" i="19"/>
  <c r="Q88" i="19"/>
  <c r="P89" i="19"/>
  <c r="Q89" i="19"/>
  <c r="P90" i="19"/>
  <c r="Q90" i="19"/>
  <c r="P91" i="19"/>
  <c r="Q91" i="19"/>
  <c r="P92" i="19"/>
  <c r="Q92" i="19"/>
  <c r="P93" i="19"/>
  <c r="Q93" i="19"/>
  <c r="P94" i="19"/>
  <c r="Q94" i="19"/>
  <c r="P95" i="19"/>
  <c r="Q95" i="19"/>
  <c r="P96" i="19"/>
  <c r="Q96" i="19"/>
  <c r="P97" i="19"/>
  <c r="Q97" i="19"/>
  <c r="P98" i="19"/>
  <c r="Q98" i="19"/>
  <c r="P99" i="19"/>
  <c r="Q99" i="19"/>
  <c r="P100" i="19"/>
  <c r="Q100" i="19"/>
  <c r="P101" i="19"/>
  <c r="Q101" i="19"/>
  <c r="P102" i="19"/>
  <c r="Q102" i="19"/>
  <c r="P103" i="19"/>
  <c r="Q103" i="19"/>
  <c r="P104" i="19"/>
  <c r="Q104" i="19"/>
  <c r="P105" i="19"/>
  <c r="Q105" i="19"/>
  <c r="P106" i="19"/>
  <c r="Q106" i="19"/>
  <c r="P107" i="19"/>
  <c r="Q107" i="19"/>
  <c r="P108" i="19"/>
  <c r="Q108" i="19"/>
  <c r="P109" i="19"/>
  <c r="Q109" i="19"/>
  <c r="P110" i="19"/>
  <c r="Q110" i="19"/>
  <c r="P111" i="19"/>
  <c r="Q111" i="19"/>
  <c r="P112" i="19"/>
  <c r="Q112" i="19"/>
  <c r="P113" i="19"/>
  <c r="Q113" i="19"/>
  <c r="P114" i="19"/>
  <c r="Q114" i="19"/>
  <c r="P115" i="19"/>
  <c r="Q115" i="19"/>
  <c r="Q66" i="19"/>
  <c r="P66" i="19"/>
  <c r="O67" i="19"/>
  <c r="O68" i="19"/>
  <c r="O69" i="19"/>
  <c r="O70" i="19"/>
  <c r="O71" i="19"/>
  <c r="O72" i="19"/>
  <c r="O73" i="19"/>
  <c r="O74" i="19"/>
  <c r="O75" i="19"/>
  <c r="O76" i="19"/>
  <c r="O77" i="19"/>
  <c r="O78" i="19"/>
  <c r="O79" i="19"/>
  <c r="O80" i="19"/>
  <c r="O81" i="19"/>
  <c r="O82" i="19"/>
  <c r="O83" i="19"/>
  <c r="O84" i="19"/>
  <c r="O85" i="19"/>
  <c r="O86" i="19"/>
  <c r="O87" i="19"/>
  <c r="O88" i="19"/>
  <c r="O89" i="19"/>
  <c r="O90" i="19"/>
  <c r="O91" i="19"/>
  <c r="O92" i="19"/>
  <c r="O93" i="19"/>
  <c r="O94" i="19"/>
  <c r="O95" i="19"/>
  <c r="O96" i="19"/>
  <c r="O97" i="19"/>
  <c r="O98" i="19"/>
  <c r="O99" i="19"/>
  <c r="O100" i="19"/>
  <c r="O101" i="19"/>
  <c r="O102" i="19"/>
  <c r="O103" i="19"/>
  <c r="O104" i="19"/>
  <c r="O105" i="19"/>
  <c r="O106" i="19"/>
  <c r="O107" i="19"/>
  <c r="O108" i="19"/>
  <c r="O109" i="19"/>
  <c r="O110" i="19"/>
  <c r="O111" i="19"/>
  <c r="O112" i="19"/>
  <c r="O113" i="19"/>
  <c r="O114" i="19"/>
  <c r="O115" i="19"/>
  <c r="O66" i="19"/>
  <c r="N67" i="19"/>
  <c r="N68" i="19"/>
  <c r="N69" i="19"/>
  <c r="N70" i="19"/>
  <c r="N71" i="19"/>
  <c r="N72" i="19"/>
  <c r="N73" i="19"/>
  <c r="N74" i="19"/>
  <c r="N75" i="19"/>
  <c r="N76" i="19"/>
  <c r="N77" i="19"/>
  <c r="N78" i="19"/>
  <c r="N79" i="19"/>
  <c r="N80" i="19"/>
  <c r="N81" i="19"/>
  <c r="N82" i="19"/>
  <c r="N83" i="19"/>
  <c r="N84" i="19"/>
  <c r="N85" i="19"/>
  <c r="N86" i="19"/>
  <c r="N87" i="19"/>
  <c r="N88" i="19"/>
  <c r="N89" i="19"/>
  <c r="N90" i="19"/>
  <c r="N91" i="19"/>
  <c r="N92" i="19"/>
  <c r="N93" i="19"/>
  <c r="N94" i="19"/>
  <c r="N95" i="19"/>
  <c r="N96" i="19"/>
  <c r="N97" i="19"/>
  <c r="N98" i="19"/>
  <c r="N99" i="19"/>
  <c r="N100" i="19"/>
  <c r="N101" i="19"/>
  <c r="N102" i="19"/>
  <c r="N103" i="19"/>
  <c r="N104" i="19"/>
  <c r="N105" i="19"/>
  <c r="N106" i="19"/>
  <c r="N107" i="19"/>
  <c r="N108" i="19"/>
  <c r="N109" i="19"/>
  <c r="N110" i="19"/>
  <c r="N111" i="19"/>
  <c r="N112" i="19"/>
  <c r="N113" i="19"/>
  <c r="N114" i="19"/>
  <c r="N115" i="19"/>
  <c r="N66" i="19"/>
  <c r="M67" i="19"/>
  <c r="M68" i="19"/>
  <c r="M69" i="19"/>
  <c r="M70" i="19"/>
  <c r="M71" i="19"/>
  <c r="M72" i="19"/>
  <c r="M73" i="19"/>
  <c r="M74" i="19"/>
  <c r="M75" i="19"/>
  <c r="M76" i="19"/>
  <c r="M77" i="19"/>
  <c r="M78" i="19"/>
  <c r="M79" i="19"/>
  <c r="M80" i="19"/>
  <c r="M81" i="19"/>
  <c r="M82" i="19"/>
  <c r="M83" i="19"/>
  <c r="M84" i="19"/>
  <c r="M85" i="19"/>
  <c r="M86" i="19"/>
  <c r="M87" i="19"/>
  <c r="M88" i="19"/>
  <c r="M89" i="19"/>
  <c r="M90" i="19"/>
  <c r="M91" i="19"/>
  <c r="M92" i="19"/>
  <c r="M93" i="19"/>
  <c r="M94" i="19"/>
  <c r="M95" i="19"/>
  <c r="M96" i="19"/>
  <c r="M97" i="19"/>
  <c r="M98" i="19"/>
  <c r="M99" i="19"/>
  <c r="M100" i="19"/>
  <c r="M101" i="19"/>
  <c r="M102" i="19"/>
  <c r="M103" i="19"/>
  <c r="M104" i="19"/>
  <c r="M105" i="19"/>
  <c r="M106" i="19"/>
  <c r="M107" i="19"/>
  <c r="M108" i="19"/>
  <c r="M109" i="19"/>
  <c r="M110" i="19"/>
  <c r="M111" i="19"/>
  <c r="M112" i="19"/>
  <c r="M113" i="19"/>
  <c r="M114" i="19"/>
  <c r="M115" i="19"/>
  <c r="M66" i="19"/>
  <c r="K67" i="19"/>
  <c r="L67" i="19"/>
  <c r="K68" i="19"/>
  <c r="L68" i="19"/>
  <c r="K69" i="19"/>
  <c r="L69" i="19"/>
  <c r="K70" i="19"/>
  <c r="L70" i="19"/>
  <c r="K71" i="19"/>
  <c r="L71" i="19"/>
  <c r="K72" i="19"/>
  <c r="L72" i="19"/>
  <c r="K73" i="19"/>
  <c r="L73" i="19"/>
  <c r="K74" i="19"/>
  <c r="L74" i="19"/>
  <c r="K75" i="19"/>
  <c r="L75" i="19"/>
  <c r="K76" i="19"/>
  <c r="L76" i="19"/>
  <c r="K77" i="19"/>
  <c r="L77" i="19"/>
  <c r="K78" i="19"/>
  <c r="L78" i="19"/>
  <c r="K79" i="19"/>
  <c r="L79" i="19"/>
  <c r="K80" i="19"/>
  <c r="L80" i="19"/>
  <c r="K81" i="19"/>
  <c r="L81" i="19"/>
  <c r="K82" i="19"/>
  <c r="L82" i="19"/>
  <c r="K83" i="19"/>
  <c r="L83" i="19"/>
  <c r="K84" i="19"/>
  <c r="L84" i="19"/>
  <c r="K85" i="19"/>
  <c r="L85" i="19"/>
  <c r="K86" i="19"/>
  <c r="L86" i="19"/>
  <c r="K87" i="19"/>
  <c r="L87" i="19"/>
  <c r="K88" i="19"/>
  <c r="L88" i="19"/>
  <c r="K89" i="19"/>
  <c r="L89" i="19"/>
  <c r="K90" i="19"/>
  <c r="L90" i="19"/>
  <c r="K91" i="19"/>
  <c r="L91" i="19"/>
  <c r="K92" i="19"/>
  <c r="L92" i="19"/>
  <c r="K93" i="19"/>
  <c r="L93" i="19"/>
  <c r="K94" i="19"/>
  <c r="L94" i="19"/>
  <c r="K95" i="19"/>
  <c r="L95" i="19"/>
  <c r="K96" i="19"/>
  <c r="L96" i="19"/>
  <c r="K97" i="19"/>
  <c r="L97" i="19"/>
  <c r="K98" i="19"/>
  <c r="L98" i="19"/>
  <c r="K99" i="19"/>
  <c r="L99" i="19"/>
  <c r="K100" i="19"/>
  <c r="L100" i="19"/>
  <c r="K101" i="19"/>
  <c r="L101" i="19"/>
  <c r="K102" i="19"/>
  <c r="L102" i="19"/>
  <c r="K103" i="19"/>
  <c r="L103" i="19"/>
  <c r="K104" i="19"/>
  <c r="L104" i="19"/>
  <c r="K105" i="19"/>
  <c r="L105" i="19"/>
  <c r="K106" i="19"/>
  <c r="L106" i="19"/>
  <c r="K107" i="19"/>
  <c r="L107" i="19"/>
  <c r="K108" i="19"/>
  <c r="L108" i="19"/>
  <c r="K109" i="19"/>
  <c r="L109" i="19"/>
  <c r="K110" i="19"/>
  <c r="L110" i="19"/>
  <c r="K111" i="19"/>
  <c r="L111" i="19"/>
  <c r="K112" i="19"/>
  <c r="L112" i="19"/>
  <c r="K113" i="19"/>
  <c r="L113" i="19"/>
  <c r="K114" i="19"/>
  <c r="L114" i="19"/>
  <c r="K115" i="19"/>
  <c r="L115" i="19"/>
  <c r="L66" i="19"/>
  <c r="K66" i="19"/>
  <c r="C67" i="19"/>
  <c r="D67" i="19"/>
  <c r="E67" i="19"/>
  <c r="F67" i="19"/>
  <c r="G67" i="19"/>
  <c r="C68" i="19"/>
  <c r="D68" i="19"/>
  <c r="E68" i="19"/>
  <c r="F68" i="19"/>
  <c r="G68" i="19"/>
  <c r="C69" i="19"/>
  <c r="D69" i="19"/>
  <c r="E69" i="19"/>
  <c r="F69" i="19"/>
  <c r="G69" i="19"/>
  <c r="C70" i="19"/>
  <c r="D70" i="19"/>
  <c r="E70" i="19"/>
  <c r="F70" i="19"/>
  <c r="G70" i="19"/>
  <c r="C71" i="19"/>
  <c r="D71" i="19"/>
  <c r="E71" i="19"/>
  <c r="F71" i="19"/>
  <c r="G71" i="19"/>
  <c r="C72" i="19"/>
  <c r="D72" i="19"/>
  <c r="E72" i="19"/>
  <c r="F72" i="19"/>
  <c r="G72" i="19"/>
  <c r="C73" i="19"/>
  <c r="D73" i="19"/>
  <c r="E73" i="19"/>
  <c r="F73" i="19"/>
  <c r="G73" i="19"/>
  <c r="C74" i="19"/>
  <c r="D74" i="19"/>
  <c r="E74" i="19"/>
  <c r="F74" i="19"/>
  <c r="G74" i="19"/>
  <c r="C75" i="19"/>
  <c r="D75" i="19"/>
  <c r="E75" i="19"/>
  <c r="F75" i="19"/>
  <c r="G75" i="19"/>
  <c r="C76" i="19"/>
  <c r="D76" i="19"/>
  <c r="E76" i="19"/>
  <c r="F76" i="19"/>
  <c r="G76" i="19"/>
  <c r="C77" i="19"/>
  <c r="D77" i="19"/>
  <c r="E77" i="19"/>
  <c r="F77" i="19"/>
  <c r="G77" i="19"/>
  <c r="C78" i="19"/>
  <c r="D78" i="19"/>
  <c r="E78" i="19"/>
  <c r="F78" i="19"/>
  <c r="G78" i="19"/>
  <c r="C79" i="19"/>
  <c r="D79" i="19"/>
  <c r="E79" i="19"/>
  <c r="F79" i="19"/>
  <c r="G79" i="19"/>
  <c r="C80" i="19"/>
  <c r="D80" i="19"/>
  <c r="E80" i="19"/>
  <c r="F80" i="19"/>
  <c r="G80" i="19"/>
  <c r="C81" i="19"/>
  <c r="D81" i="19"/>
  <c r="E81" i="19"/>
  <c r="F81" i="19"/>
  <c r="G81" i="19"/>
  <c r="C82" i="19"/>
  <c r="D82" i="19"/>
  <c r="E82" i="19"/>
  <c r="F82" i="19"/>
  <c r="G82" i="19"/>
  <c r="C83" i="19"/>
  <c r="D83" i="19"/>
  <c r="E83" i="19"/>
  <c r="F83" i="19"/>
  <c r="G83" i="19"/>
  <c r="C84" i="19"/>
  <c r="D84" i="19"/>
  <c r="E84" i="19"/>
  <c r="F84" i="19"/>
  <c r="G84" i="19"/>
  <c r="C85" i="19"/>
  <c r="D85" i="19"/>
  <c r="E85" i="19"/>
  <c r="F85" i="19"/>
  <c r="G85" i="19"/>
  <c r="C86" i="19"/>
  <c r="D86" i="19"/>
  <c r="E86" i="19"/>
  <c r="F86" i="19"/>
  <c r="G86" i="19"/>
  <c r="C87" i="19"/>
  <c r="D87" i="19"/>
  <c r="E87" i="19"/>
  <c r="F87" i="19"/>
  <c r="G87" i="19"/>
  <c r="C88" i="19"/>
  <c r="D88" i="19"/>
  <c r="E88" i="19"/>
  <c r="F88" i="19"/>
  <c r="G88" i="19"/>
  <c r="C89" i="19"/>
  <c r="D89" i="19"/>
  <c r="E89" i="19"/>
  <c r="F89" i="19"/>
  <c r="G89" i="19"/>
  <c r="C90" i="19"/>
  <c r="D90" i="19"/>
  <c r="E90" i="19"/>
  <c r="F90" i="19"/>
  <c r="G90" i="19"/>
  <c r="C91" i="19"/>
  <c r="D91" i="19"/>
  <c r="E91" i="19"/>
  <c r="F91" i="19"/>
  <c r="G91" i="19"/>
  <c r="C92" i="19"/>
  <c r="D92" i="19"/>
  <c r="E92" i="19"/>
  <c r="F92" i="19"/>
  <c r="G92" i="19"/>
  <c r="C93" i="19"/>
  <c r="D93" i="19"/>
  <c r="E93" i="19"/>
  <c r="F93" i="19"/>
  <c r="G93" i="19"/>
  <c r="C94" i="19"/>
  <c r="D94" i="19"/>
  <c r="E94" i="19"/>
  <c r="F94" i="19"/>
  <c r="G94" i="19"/>
  <c r="C95" i="19"/>
  <c r="D95" i="19"/>
  <c r="E95" i="19"/>
  <c r="F95" i="19"/>
  <c r="G95" i="19"/>
  <c r="C96" i="19"/>
  <c r="D96" i="19"/>
  <c r="E96" i="19"/>
  <c r="F96" i="19"/>
  <c r="G96" i="19"/>
  <c r="C97" i="19"/>
  <c r="D97" i="19"/>
  <c r="E97" i="19"/>
  <c r="F97" i="19"/>
  <c r="G97" i="19"/>
  <c r="C98" i="19"/>
  <c r="D98" i="19"/>
  <c r="E98" i="19"/>
  <c r="F98" i="19"/>
  <c r="G98" i="19"/>
  <c r="C99" i="19"/>
  <c r="D99" i="19"/>
  <c r="E99" i="19"/>
  <c r="F99" i="19"/>
  <c r="G99" i="19"/>
  <c r="C100" i="19"/>
  <c r="D100" i="19"/>
  <c r="E100" i="19"/>
  <c r="F100" i="19"/>
  <c r="G100" i="19"/>
  <c r="C101" i="19"/>
  <c r="D101" i="19"/>
  <c r="E101" i="19"/>
  <c r="F101" i="19"/>
  <c r="G101" i="19"/>
  <c r="C102" i="19"/>
  <c r="D102" i="19"/>
  <c r="E102" i="19"/>
  <c r="F102" i="19"/>
  <c r="G102" i="19"/>
  <c r="C103" i="19"/>
  <c r="D103" i="19"/>
  <c r="E103" i="19"/>
  <c r="F103" i="19"/>
  <c r="G103" i="19"/>
  <c r="C104" i="19"/>
  <c r="D104" i="19"/>
  <c r="E104" i="19"/>
  <c r="F104" i="19"/>
  <c r="G104" i="19"/>
  <c r="C105" i="19"/>
  <c r="D105" i="19"/>
  <c r="E105" i="19"/>
  <c r="F105" i="19"/>
  <c r="G105" i="19"/>
  <c r="C106" i="19"/>
  <c r="D106" i="19"/>
  <c r="E106" i="19"/>
  <c r="F106" i="19"/>
  <c r="G106" i="19"/>
  <c r="C107" i="19"/>
  <c r="D107" i="19"/>
  <c r="E107" i="19"/>
  <c r="F107" i="19"/>
  <c r="G107" i="19"/>
  <c r="C108" i="19"/>
  <c r="D108" i="19"/>
  <c r="E108" i="19"/>
  <c r="F108" i="19"/>
  <c r="G108" i="19"/>
  <c r="C109" i="19"/>
  <c r="D109" i="19"/>
  <c r="E109" i="19"/>
  <c r="F109" i="19"/>
  <c r="G109" i="19"/>
  <c r="C110" i="19"/>
  <c r="D110" i="19"/>
  <c r="E110" i="19"/>
  <c r="F110" i="19"/>
  <c r="G110" i="19"/>
  <c r="C111" i="19"/>
  <c r="D111" i="19"/>
  <c r="E111" i="19"/>
  <c r="F111" i="19"/>
  <c r="G111" i="19"/>
  <c r="C112" i="19"/>
  <c r="D112" i="19"/>
  <c r="E112" i="19"/>
  <c r="F112" i="19"/>
  <c r="G112" i="19"/>
  <c r="C113" i="19"/>
  <c r="D113" i="19"/>
  <c r="E113" i="19"/>
  <c r="F113" i="19"/>
  <c r="G113" i="19"/>
  <c r="C114" i="19"/>
  <c r="D114" i="19"/>
  <c r="E114" i="19"/>
  <c r="F114" i="19"/>
  <c r="G114" i="19"/>
  <c r="C115" i="19"/>
  <c r="D115" i="19"/>
  <c r="E115" i="19"/>
  <c r="F115" i="19"/>
  <c r="G115" i="19"/>
  <c r="G66" i="19"/>
  <c r="F66" i="19"/>
  <c r="E66" i="19"/>
  <c r="D66" i="19"/>
  <c r="C66" i="19"/>
  <c r="AC5" i="19" l="1"/>
  <c r="C5" i="19"/>
  <c r="CT4" i="5" l="1"/>
  <c r="C58" i="19"/>
  <c r="D58" i="19"/>
  <c r="E58" i="19"/>
  <c r="B58" i="19"/>
  <c r="BA4" i="19" l="1"/>
  <c r="BA5" i="19"/>
  <c r="U539" i="21" s="1"/>
  <c r="J363" i="21" s="1"/>
  <c r="U188" i="21" s="1"/>
  <c r="N5" i="19"/>
  <c r="J489" i="21" s="1"/>
  <c r="U401" i="21" s="1"/>
  <c r="U152" i="21" s="1"/>
  <c r="N4" i="19"/>
  <c r="BL4" i="19"/>
  <c r="J381" i="20" s="1"/>
  <c r="J210" i="20" s="1"/>
  <c r="BL5" i="19"/>
  <c r="J381" i="21" s="1"/>
  <c r="J210" i="21" s="1"/>
  <c r="T4" i="19"/>
  <c r="T5" i="19"/>
  <c r="U407" i="21" s="1"/>
  <c r="U158" i="21" s="1"/>
  <c r="AS5" i="19"/>
  <c r="U531" i="21" s="1"/>
  <c r="U355" i="21" s="1"/>
  <c r="AS4" i="19"/>
  <c r="BK4" i="19"/>
  <c r="BK5" i="19"/>
  <c r="U553" i="21" s="1"/>
  <c r="P4" i="19"/>
  <c r="P5" i="19"/>
  <c r="J491" i="21" s="1"/>
  <c r="U403" i="21" s="1"/>
  <c r="U154" i="21" s="1"/>
  <c r="BC5" i="19"/>
  <c r="U541" i="21" s="1"/>
  <c r="J365" i="21" s="1"/>
  <c r="U190" i="21" s="1"/>
  <c r="BC4" i="19"/>
  <c r="BN4" i="19"/>
  <c r="J561" i="21" s="1"/>
  <c r="J443" i="21" s="1"/>
  <c r="AW4" i="19"/>
  <c r="AT4" i="19"/>
  <c r="AT5" i="19"/>
  <c r="J533" i="21" s="1"/>
  <c r="J357" i="21" s="1"/>
  <c r="U182" i="21" s="1"/>
  <c r="AW5" i="19"/>
  <c r="U535" i="21" s="1"/>
  <c r="BF5" i="19"/>
  <c r="J543" i="21" s="1"/>
  <c r="J377" i="21" s="1"/>
  <c r="BF4" i="19"/>
  <c r="AX5" i="19"/>
  <c r="U361" i="21" s="1"/>
  <c r="J188" i="21" s="1"/>
  <c r="AX4" i="19"/>
  <c r="U361" i="20" s="1"/>
  <c r="J188" i="20" s="1"/>
  <c r="AU5" i="19"/>
  <c r="U533" i="21" s="1"/>
  <c r="U357" i="21" s="1"/>
  <c r="J184" i="21" s="1"/>
  <c r="AU4" i="19"/>
  <c r="F5" i="19"/>
  <c r="J479" i="21" s="1"/>
  <c r="J393" i="21" s="1"/>
  <c r="J144" i="21" s="1"/>
  <c r="BB5" i="19"/>
  <c r="J539" i="21" s="1"/>
  <c r="U363" i="21" s="1"/>
  <c r="J190" i="21" s="1"/>
  <c r="BB4" i="19"/>
  <c r="O4" i="19"/>
  <c r="O5" i="19"/>
  <c r="U489" i="21" s="1"/>
  <c r="J403" i="21" s="1"/>
  <c r="J154" i="21" s="1"/>
  <c r="BT4" i="19"/>
  <c r="J569" i="21" s="1"/>
  <c r="J449" i="21" s="1"/>
  <c r="AV5" i="19"/>
  <c r="J535" i="21" s="1"/>
  <c r="AV4" i="19"/>
  <c r="BU4" i="19"/>
  <c r="U569" i="21" s="1"/>
  <c r="U449" i="21" s="1"/>
  <c r="BS4" i="19"/>
  <c r="U567" i="21" s="1"/>
  <c r="U447" i="21" s="1"/>
  <c r="BN5" i="19"/>
  <c r="AZ5" i="19"/>
  <c r="J537" i="21" s="1"/>
  <c r="J375" i="21" s="1"/>
  <c r="J200" i="21" s="1"/>
  <c r="AZ4" i="19"/>
  <c r="D5" i="19"/>
  <c r="J477" i="21" s="1"/>
  <c r="J391" i="21" s="1"/>
  <c r="J142" i="21" s="1"/>
  <c r="D4" i="19"/>
  <c r="Q5" i="19"/>
  <c r="U491" i="21" s="1"/>
  <c r="J405" i="21" s="1"/>
  <c r="J156" i="21" s="1"/>
  <c r="BD5" i="19"/>
  <c r="J541" i="21" s="1"/>
  <c r="U365" i="21" s="1"/>
  <c r="J192" i="21" s="1"/>
  <c r="BD4" i="19"/>
  <c r="Q4" i="19"/>
  <c r="J182" i="21" l="1"/>
  <c r="U359" i="21"/>
  <c r="J186" i="21" s="1"/>
  <c r="J361" i="21"/>
  <c r="U186" i="21" s="1"/>
  <c r="U553" i="20"/>
  <c r="J543" i="20"/>
  <c r="J537" i="20"/>
  <c r="J375" i="20" s="1"/>
  <c r="J200" i="20" s="1"/>
  <c r="J541" i="20"/>
  <c r="U365" i="20" s="1"/>
  <c r="J192" i="20" s="1"/>
  <c r="U541" i="20"/>
  <c r="J365" i="20" s="1"/>
  <c r="U190" i="20" s="1"/>
  <c r="J539" i="20"/>
  <c r="U363" i="20" s="1"/>
  <c r="J190" i="20" s="1"/>
  <c r="U539" i="20"/>
  <c r="J363" i="20" s="1"/>
  <c r="U188" i="20" s="1"/>
  <c r="U533" i="20"/>
  <c r="U357" i="20" s="1"/>
  <c r="J184" i="20" s="1"/>
  <c r="J533" i="20"/>
  <c r="J357" i="20" s="1"/>
  <c r="U182" i="20" s="1"/>
  <c r="U531" i="20"/>
  <c r="U355" i="20" s="1"/>
  <c r="J182" i="20" s="1"/>
  <c r="U407" i="20"/>
  <c r="U158" i="20" s="1"/>
  <c r="J477" i="20"/>
  <c r="J391" i="20" s="1"/>
  <c r="J142" i="20" s="1"/>
  <c r="U569" i="20"/>
  <c r="U449" i="20" s="1"/>
  <c r="J569" i="20"/>
  <c r="J449" i="20" s="1"/>
  <c r="U567" i="20"/>
  <c r="U447" i="20" s="1"/>
  <c r="J561" i="20"/>
  <c r="J443" i="20" s="1"/>
  <c r="U491" i="20"/>
  <c r="J405" i="20" s="1"/>
  <c r="J156" i="20" s="1"/>
  <c r="U489" i="20"/>
  <c r="J403" i="20" s="1"/>
  <c r="J154" i="20" s="1"/>
  <c r="J491" i="20"/>
  <c r="U403" i="20" s="1"/>
  <c r="U154" i="20" s="1"/>
  <c r="J489" i="20"/>
  <c r="U401" i="20" s="1"/>
  <c r="U152" i="20" s="1"/>
  <c r="J535" i="20"/>
  <c r="U359" i="20" s="1"/>
  <c r="J186" i="20" s="1"/>
  <c r="U535" i="20"/>
  <c r="J361" i="20" s="1"/>
  <c r="U186" i="20" s="1"/>
  <c r="S49" i="21" l="1"/>
  <c r="J377" i="20"/>
  <c r="CU32" i="8"/>
  <c r="CU33" i="8"/>
  <c r="CU34" i="8"/>
  <c r="CU35" i="8"/>
  <c r="CU36" i="8"/>
  <c r="CU37" i="8"/>
  <c r="CU38" i="8"/>
  <c r="CU39" i="8"/>
  <c r="CU40" i="8"/>
  <c r="CU41" i="8"/>
  <c r="CU42" i="8"/>
  <c r="CU43" i="8"/>
  <c r="CU44" i="8"/>
  <c r="CU45" i="8"/>
  <c r="CU46" i="8"/>
  <c r="CU47" i="8"/>
  <c r="CU48" i="8"/>
  <c r="CU49" i="8"/>
  <c r="CU50" i="8"/>
  <c r="CU51" i="8"/>
  <c r="CU52" i="8"/>
  <c r="CU53" i="8"/>
  <c r="CU54" i="8"/>
  <c r="CU55" i="8"/>
  <c r="CU56" i="8"/>
  <c r="CU57" i="8"/>
  <c r="CU58" i="8"/>
  <c r="CU59" i="8"/>
  <c r="CU60" i="8"/>
  <c r="CU61" i="8"/>
  <c r="CU62" i="8"/>
  <c r="CU63" i="8"/>
  <c r="CU64" i="8"/>
  <c r="CU65" i="8"/>
  <c r="CU66" i="8"/>
  <c r="CU67" i="8"/>
  <c r="CU68" i="8"/>
  <c r="CU69" i="8"/>
  <c r="CU70" i="8"/>
  <c r="CU71" i="8"/>
  <c r="CU72" i="8"/>
  <c r="CU73" i="8"/>
  <c r="CU74" i="8"/>
  <c r="CU75" i="8"/>
  <c r="CU76" i="8"/>
  <c r="E31" i="19"/>
  <c r="CU31" i="8" l="1"/>
  <c r="CU30" i="8"/>
  <c r="CU28" i="8"/>
  <c r="CU27" i="8"/>
  <c r="CU29" i="8"/>
  <c r="K46" i="10" l="1"/>
  <c r="H30" i="11" l="1"/>
  <c r="CM8" i="5"/>
  <c r="CM10" i="5" s="1"/>
  <c r="H28" i="11"/>
  <c r="K47" i="10" l="1"/>
  <c r="F28" i="10" s="1"/>
  <c r="AA84" i="18"/>
  <c r="AA82" i="18"/>
  <c r="AA80" i="18"/>
  <c r="AA78" i="18"/>
  <c r="AA76" i="18"/>
  <c r="F29" i="10" l="1"/>
  <c r="F31" i="10"/>
  <c r="F30" i="10"/>
  <c r="F23" i="10"/>
  <c r="F25" i="10" s="1"/>
  <c r="F18" i="10"/>
  <c r="F8" i="10"/>
  <c r="F11" i="10" s="1"/>
  <c r="F13" i="10"/>
  <c r="W22" i="18"/>
  <c r="F22" i="18"/>
  <c r="W20" i="18"/>
  <c r="F20" i="18"/>
  <c r="W18" i="18"/>
  <c r="F18" i="18"/>
  <c r="W16" i="18"/>
  <c r="F16" i="18"/>
  <c r="W14" i="18"/>
  <c r="F14" i="18"/>
  <c r="F3" i="10" l="1"/>
  <c r="F6" i="10" s="1"/>
  <c r="F24" i="10"/>
  <c r="F26" i="10"/>
  <c r="F21" i="10"/>
  <c r="F20" i="10"/>
  <c r="F19" i="10"/>
  <c r="F16" i="10"/>
  <c r="F15" i="10"/>
  <c r="F14" i="10"/>
  <c r="Z47" i="4"/>
  <c r="D51" i="19"/>
  <c r="F5" i="10" l="1"/>
  <c r="F4" i="10"/>
  <c r="BJ4" i="19"/>
  <c r="BJ5" i="19"/>
  <c r="J553" i="21" s="1"/>
  <c r="U379" i="21" s="1"/>
  <c r="J208" i="21" s="1"/>
  <c r="J553" i="20" l="1"/>
  <c r="U379" i="20" s="1"/>
  <c r="J208" i="20" s="1"/>
  <c r="Z33" i="14" l="1"/>
  <c r="O27" i="14"/>
  <c r="O25" i="14"/>
  <c r="O23" i="14"/>
  <c r="O21" i="14"/>
  <c r="I27" i="14"/>
  <c r="I25" i="14"/>
  <c r="I23" i="14"/>
  <c r="I21" i="14"/>
  <c r="AM32" i="5" l="1"/>
  <c r="AM30" i="5"/>
  <c r="AM26" i="5"/>
  <c r="AH26" i="5"/>
  <c r="AM24" i="5"/>
  <c r="AM22" i="5"/>
  <c r="AE26" i="5"/>
  <c r="AE24" i="5"/>
  <c r="AE22" i="5"/>
  <c r="AE20" i="5"/>
  <c r="CT2" i="5" l="1"/>
  <c r="FK12" i="8" s="1"/>
  <c r="BC882" i="5"/>
  <c r="BC883" i="5"/>
  <c r="BC884" i="5"/>
  <c r="BC885" i="5"/>
  <c r="BC886" i="5"/>
  <c r="BC887" i="5"/>
  <c r="BC888" i="5"/>
  <c r="BC889" i="5"/>
  <c r="BC890" i="5"/>
  <c r="BC891" i="5"/>
  <c r="BC892" i="5"/>
  <c r="BC902" i="5"/>
  <c r="BC903" i="5"/>
  <c r="BC904" i="5"/>
  <c r="BC905" i="5"/>
  <c r="C116" i="12"/>
  <c r="C105" i="12"/>
  <c r="C101" i="12"/>
  <c r="C97" i="12"/>
  <c r="C92" i="12"/>
  <c r="C86" i="12"/>
  <c r="FK4" i="8" l="1"/>
  <c r="L55" i="11"/>
  <c r="K55" i="11"/>
  <c r="H55" i="11"/>
  <c r="G55" i="11"/>
  <c r="F55" i="11"/>
  <c r="E55" i="11"/>
  <c r="O49" i="11"/>
  <c r="Q49" i="11" l="1"/>
  <c r="R53" i="11"/>
  <c r="AE7" i="19"/>
  <c r="I43" i="19"/>
  <c r="R36" i="5" l="1"/>
  <c r="AB51" i="10"/>
  <c r="R68" i="19"/>
  <c r="R69" i="19"/>
  <c r="R70" i="19"/>
  <c r="R71" i="19"/>
  <c r="R66" i="19"/>
  <c r="R72" i="19"/>
  <c r="R73" i="19"/>
  <c r="R74" i="19"/>
  <c r="R75" i="19"/>
  <c r="R76" i="19"/>
  <c r="R77" i="19"/>
  <c r="R78" i="19"/>
  <c r="R79" i="19"/>
  <c r="R80" i="19"/>
  <c r="R81" i="19"/>
  <c r="R82" i="19"/>
  <c r="R83" i="19"/>
  <c r="R84" i="19"/>
  <c r="R85" i="19"/>
  <c r="R86" i="19"/>
  <c r="R87" i="19"/>
  <c r="R88" i="19"/>
  <c r="R89" i="19"/>
  <c r="R90" i="19"/>
  <c r="R91" i="19"/>
  <c r="R92" i="19"/>
  <c r="R93" i="19"/>
  <c r="R94" i="19"/>
  <c r="R95" i="19"/>
  <c r="R96" i="19"/>
  <c r="R97" i="19"/>
  <c r="R98" i="19"/>
  <c r="R99" i="19"/>
  <c r="R100" i="19"/>
  <c r="R101" i="19"/>
  <c r="R102" i="19"/>
  <c r="R103" i="19"/>
  <c r="R104" i="19"/>
  <c r="R105" i="19"/>
  <c r="R106" i="19"/>
  <c r="R107" i="19"/>
  <c r="R108" i="19"/>
  <c r="R109" i="19"/>
  <c r="R110" i="19"/>
  <c r="R111" i="19"/>
  <c r="R112" i="19"/>
  <c r="R113" i="19"/>
  <c r="R114" i="19"/>
  <c r="R115" i="19"/>
  <c r="R67" i="19" l="1"/>
  <c r="K48" i="10"/>
  <c r="F10" i="10" l="1"/>
  <c r="Z8" i="10"/>
  <c r="Z3" i="10" s="1"/>
  <c r="Q51" i="10"/>
  <c r="C39" i="10"/>
  <c r="B46" i="10"/>
  <c r="B47" i="10"/>
  <c r="B40" i="10"/>
  <c r="B41" i="10"/>
  <c r="B42" i="10"/>
  <c r="B43" i="10"/>
  <c r="B44" i="10"/>
  <c r="B45" i="10"/>
  <c r="B39" i="10"/>
  <c r="A53" i="10"/>
  <c r="B53" i="10"/>
  <c r="A54" i="10"/>
  <c r="B54" i="10"/>
  <c r="A55" i="10"/>
  <c r="B55" i="10"/>
  <c r="A56" i="10"/>
  <c r="B56" i="10"/>
  <c r="A57" i="10"/>
  <c r="B57" i="10"/>
  <c r="A58" i="10"/>
  <c r="B58" i="10"/>
  <c r="A59" i="10"/>
  <c r="B59" i="10"/>
  <c r="A60" i="10"/>
  <c r="B60" i="10"/>
  <c r="A61" i="10"/>
  <c r="B61" i="10"/>
  <c r="A62" i="10"/>
  <c r="B62" i="10"/>
  <c r="A63" i="10"/>
  <c r="B63" i="10"/>
  <c r="A64" i="10"/>
  <c r="B64" i="10"/>
  <c r="A65" i="10"/>
  <c r="B65" i="10"/>
  <c r="A66" i="10"/>
  <c r="B66" i="10"/>
  <c r="A67" i="10"/>
  <c r="B67" i="10"/>
  <c r="D53" i="19"/>
  <c r="AG63" i="10" l="1"/>
  <c r="AG59" i="10"/>
  <c r="AG62" i="10"/>
  <c r="AG58" i="10"/>
  <c r="AG61" i="10"/>
  <c r="AG60" i="10"/>
  <c r="F9" i="10"/>
  <c r="A52" i="10"/>
  <c r="A51" i="10"/>
  <c r="B51" i="10"/>
  <c r="D51" i="10"/>
  <c r="J51" i="10"/>
  <c r="K51" i="10"/>
  <c r="L51" i="10"/>
  <c r="M51" i="10"/>
  <c r="O51" i="10"/>
  <c r="Y44" i="10" s="1"/>
  <c r="P51" i="10"/>
  <c r="S51" i="10"/>
  <c r="T51" i="10"/>
  <c r="X51" i="10"/>
  <c r="Y51" i="10"/>
  <c r="Z51" i="10"/>
  <c r="C51" i="10"/>
  <c r="B52" i="10"/>
  <c r="D54" i="19"/>
  <c r="D52" i="19"/>
  <c r="AO10" i="4" l="1"/>
  <c r="AO9" i="4"/>
  <c r="AO8" i="4"/>
  <c r="AO7" i="4"/>
  <c r="AO6" i="4"/>
  <c r="AO5" i="4"/>
  <c r="AO4" i="4"/>
  <c r="AO3" i="4"/>
  <c r="C46" i="10" l="1"/>
  <c r="C41" i="10"/>
  <c r="AG54" i="10" s="1"/>
  <c r="C45" i="10"/>
  <c r="C40" i="10"/>
  <c r="AG68" i="10" s="1"/>
  <c r="C42" i="10"/>
  <c r="C44" i="10"/>
  <c r="C43" i="10"/>
  <c r="AG74" i="10" s="1"/>
  <c r="C47" i="10"/>
  <c r="AG55" i="10" l="1"/>
  <c r="AG57" i="10"/>
  <c r="AG56" i="10"/>
  <c r="AG65" i="10"/>
  <c r="AG64" i="10"/>
  <c r="AG67" i="10"/>
  <c r="AG66" i="10"/>
  <c r="AG53" i="10"/>
  <c r="AG52" i="10"/>
  <c r="AB3" i="4" l="1"/>
  <c r="L49" i="9" l="1"/>
  <c r="I49" i="9"/>
  <c r="G49" i="9"/>
  <c r="G45" i="9"/>
  <c r="G44" i="9"/>
  <c r="G43" i="9"/>
  <c r="G42" i="9"/>
  <c r="G41" i="9"/>
  <c r="G40" i="9"/>
  <c r="G39" i="9"/>
  <c r="G38" i="9"/>
  <c r="G37" i="9"/>
  <c r="M33" i="9"/>
  <c r="K33" i="9"/>
  <c r="G33" i="9"/>
  <c r="K32" i="9"/>
  <c r="P32" i="9" s="1"/>
  <c r="G32" i="9"/>
  <c r="M31" i="9"/>
  <c r="K31" i="9"/>
  <c r="P31" i="9" s="1"/>
  <c r="G31" i="9"/>
  <c r="M30" i="9"/>
  <c r="K30" i="9"/>
  <c r="P30" i="9" s="1"/>
  <c r="G30" i="9"/>
  <c r="M29" i="9"/>
  <c r="K29" i="9"/>
  <c r="O29" i="9" s="1"/>
  <c r="G29" i="9"/>
  <c r="M28" i="9"/>
  <c r="K28" i="9"/>
  <c r="P28" i="9" s="1"/>
  <c r="G28" i="9"/>
  <c r="M27" i="9"/>
  <c r="K27" i="9"/>
  <c r="P27" i="9" s="1"/>
  <c r="G27" i="9"/>
  <c r="M26" i="9"/>
  <c r="K26" i="9"/>
  <c r="P26" i="9" s="1"/>
  <c r="G26" i="9"/>
  <c r="M25" i="9"/>
  <c r="K25" i="9"/>
  <c r="O25" i="9" s="1"/>
  <c r="G25" i="9"/>
  <c r="M24" i="9"/>
  <c r="K24" i="9"/>
  <c r="P24" i="9" s="1"/>
  <c r="G24" i="9"/>
  <c r="K23" i="9"/>
  <c r="G23" i="9"/>
  <c r="M22" i="9"/>
  <c r="K22" i="9"/>
  <c r="P22" i="9" s="1"/>
  <c r="G22" i="9"/>
  <c r="M21" i="9"/>
  <c r="K21" i="9"/>
  <c r="O21" i="9" s="1"/>
  <c r="G21" i="9"/>
  <c r="K20" i="9"/>
  <c r="P20" i="9" s="1"/>
  <c r="G20" i="9"/>
  <c r="M19" i="9"/>
  <c r="K19" i="9"/>
  <c r="P19" i="9" s="1"/>
  <c r="G19" i="9"/>
  <c r="M18" i="9"/>
  <c r="K18" i="9"/>
  <c r="P18" i="9" s="1"/>
  <c r="G18" i="9"/>
  <c r="M17" i="9"/>
  <c r="K17" i="9"/>
  <c r="O17" i="9" s="1"/>
  <c r="G17" i="9"/>
  <c r="M16" i="9"/>
  <c r="K16" i="9"/>
  <c r="P16" i="9" s="1"/>
  <c r="G16" i="9"/>
  <c r="M15" i="9"/>
  <c r="K15" i="9"/>
  <c r="P15" i="9" s="1"/>
  <c r="G15" i="9"/>
  <c r="M14" i="9"/>
  <c r="K14" i="9"/>
  <c r="P14" i="9" s="1"/>
  <c r="G14" i="9"/>
  <c r="M13" i="9"/>
  <c r="K13" i="9"/>
  <c r="O13" i="9" s="1"/>
  <c r="G13" i="9"/>
  <c r="K12" i="9"/>
  <c r="L12" i="9" s="1"/>
  <c r="G12" i="9"/>
  <c r="M11" i="9"/>
  <c r="K11" i="9"/>
  <c r="P11" i="9" s="1"/>
  <c r="G11" i="9"/>
  <c r="M10" i="9"/>
  <c r="K10" i="9"/>
  <c r="O10" i="9" s="1"/>
  <c r="G10" i="9"/>
  <c r="K9" i="9"/>
  <c r="P9" i="9" s="1"/>
  <c r="G9" i="9"/>
  <c r="M8" i="9"/>
  <c r="K8" i="9"/>
  <c r="P8" i="9" s="1"/>
  <c r="G8" i="9"/>
  <c r="G7" i="9"/>
  <c r="M6" i="9"/>
  <c r="K6" i="9"/>
  <c r="O6" i="9" s="1"/>
  <c r="G6" i="9"/>
  <c r="M5" i="9"/>
  <c r="K5" i="9"/>
  <c r="P5" i="9" s="1"/>
  <c r="G5" i="9"/>
  <c r="FR42" i="5" l="1"/>
  <c r="P7" i="9"/>
  <c r="O18" i="9"/>
  <c r="I33" i="9"/>
  <c r="O20" i="9"/>
  <c r="O32" i="9"/>
  <c r="O11" i="9"/>
  <c r="O12" i="9"/>
  <c r="O26" i="9"/>
  <c r="O9" i="9"/>
  <c r="O24" i="9"/>
  <c r="O7" i="9"/>
  <c r="O16" i="9"/>
  <c r="O30" i="9"/>
  <c r="O5" i="9"/>
  <c r="O14" i="9"/>
  <c r="O22" i="9"/>
  <c r="O28" i="9"/>
  <c r="L33" i="9"/>
  <c r="P33" i="9"/>
  <c r="O33" i="9"/>
  <c r="P10" i="9"/>
  <c r="P29" i="9"/>
  <c r="O8" i="9"/>
  <c r="P12" i="9"/>
  <c r="O15" i="9"/>
  <c r="O19" i="9"/>
  <c r="O23" i="9"/>
  <c r="O27" i="9"/>
  <c r="O31" i="9"/>
  <c r="P13" i="9"/>
  <c r="P17" i="9"/>
  <c r="P23" i="9"/>
  <c r="P6" i="9"/>
  <c r="P21" i="9"/>
  <c r="P25" i="9"/>
  <c r="FS42" i="5" l="1"/>
  <c r="FT42" i="5" s="1"/>
  <c r="EV256" i="8" l="1"/>
  <c r="DV256" i="8" s="1"/>
  <c r="EV255" i="8"/>
  <c r="DV255" i="8" s="1"/>
  <c r="EV254" i="8"/>
  <c r="DV254" i="8" s="1"/>
  <c r="DN74" i="8"/>
  <c r="DN73" i="8"/>
  <c r="DN72" i="8"/>
  <c r="DN71" i="8"/>
  <c r="DN70" i="8"/>
  <c r="DN69" i="8"/>
  <c r="DN68" i="8"/>
  <c r="DN67" i="8"/>
  <c r="DN66" i="8"/>
  <c r="DN65" i="8"/>
  <c r="DN64" i="8"/>
  <c r="DN63" i="8"/>
  <c r="CZ254" i="8"/>
  <c r="CN258" i="8"/>
  <c r="BL142" i="8"/>
  <c r="BL141" i="8"/>
  <c r="BL140" i="8"/>
  <c r="BL139" i="8"/>
  <c r="BL138" i="8"/>
  <c r="BL137" i="8"/>
  <c r="BL136" i="8"/>
  <c r="BL135" i="8"/>
  <c r="BL134" i="8"/>
  <c r="BL133" i="8"/>
  <c r="BL132" i="8"/>
  <c r="BL131" i="8"/>
  <c r="BL130" i="8"/>
  <c r="BL129" i="8"/>
  <c r="BL128" i="8"/>
  <c r="BL127" i="8"/>
  <c r="BL126" i="8"/>
  <c r="BL125" i="8"/>
  <c r="BL124" i="8"/>
  <c r="BL123" i="8"/>
  <c r="BL122" i="8"/>
  <c r="BL121" i="8"/>
  <c r="BL120" i="8"/>
  <c r="BL119" i="8"/>
  <c r="BL118" i="8"/>
  <c r="BL117" i="8"/>
  <c r="BL116" i="8"/>
  <c r="BL115" i="8"/>
  <c r="BL114" i="8"/>
  <c r="BL113" i="8"/>
  <c r="BL112" i="8"/>
  <c r="BL111" i="8"/>
  <c r="BL110" i="8"/>
  <c r="BL109" i="8"/>
  <c r="BL108" i="8"/>
  <c r="BL107" i="8"/>
  <c r="BL106" i="8"/>
  <c r="BL105" i="8"/>
  <c r="BL104" i="8"/>
  <c r="BL103" i="8"/>
  <c r="BL102" i="8"/>
  <c r="BL101" i="8"/>
  <c r="BL100" i="8"/>
  <c r="BL99" i="8"/>
  <c r="BL98" i="8"/>
  <c r="BL97" i="8"/>
  <c r="BL96" i="8"/>
  <c r="BL95" i="8"/>
  <c r="DA76" i="8"/>
  <c r="CZ76" i="8"/>
  <c r="BV76" i="8"/>
  <c r="DA75" i="8"/>
  <c r="CZ75" i="8"/>
  <c r="DA74" i="8"/>
  <c r="CZ74" i="8"/>
  <c r="BV74" i="8"/>
  <c r="DA73" i="8"/>
  <c r="CZ73" i="8"/>
  <c r="BV73" i="8"/>
  <c r="DA72" i="8"/>
  <c r="CZ72" i="8"/>
  <c r="BV72" i="8"/>
  <c r="DA71" i="8"/>
  <c r="CZ71" i="8"/>
  <c r="DA70" i="8"/>
  <c r="CZ70" i="8"/>
  <c r="BV70" i="8"/>
  <c r="DA69" i="8"/>
  <c r="CZ69" i="8"/>
  <c r="DA68" i="8"/>
  <c r="CZ68" i="8"/>
  <c r="BV68" i="8"/>
  <c r="DA67" i="8"/>
  <c r="CZ67" i="8"/>
  <c r="DA66" i="8"/>
  <c r="CZ66" i="8"/>
  <c r="DA65" i="8"/>
  <c r="CZ65" i="8"/>
  <c r="BV65" i="8"/>
  <c r="DA64" i="8"/>
  <c r="CZ64" i="8"/>
  <c r="BV64" i="8"/>
  <c r="DA63" i="8"/>
  <c r="CZ63" i="8"/>
  <c r="DA62" i="8"/>
  <c r="CZ62" i="8"/>
  <c r="BV62" i="8"/>
  <c r="DA61" i="8"/>
  <c r="CZ61" i="8"/>
  <c r="DA60" i="8"/>
  <c r="CZ60" i="8"/>
  <c r="BV60" i="8"/>
  <c r="DA59" i="8"/>
  <c r="CZ59" i="8"/>
  <c r="DA58" i="8"/>
  <c r="CZ58" i="8"/>
  <c r="BV58" i="8"/>
  <c r="DA57" i="8"/>
  <c r="CZ57" i="8"/>
  <c r="BV57" i="8"/>
  <c r="DA56" i="8"/>
  <c r="CZ56" i="8"/>
  <c r="BV56" i="8"/>
  <c r="CZ55" i="8"/>
  <c r="CZ54" i="8"/>
  <c r="CZ53" i="8"/>
  <c r="CZ52" i="8"/>
  <c r="CZ51" i="8"/>
  <c r="CZ50" i="8"/>
  <c r="CZ49" i="8"/>
  <c r="CZ48" i="8"/>
  <c r="CZ47" i="8"/>
  <c r="CZ46" i="8"/>
  <c r="CZ45" i="8"/>
  <c r="CZ44" i="8"/>
  <c r="CZ43" i="8"/>
  <c r="CZ42" i="8"/>
  <c r="CZ41" i="8"/>
  <c r="CZ40" i="8"/>
  <c r="CZ39" i="8"/>
  <c r="CZ38" i="8"/>
  <c r="CZ37" i="8"/>
  <c r="CZ36" i="8"/>
  <c r="CZ35" i="8"/>
  <c r="CZ34" i="8"/>
  <c r="CZ33" i="8"/>
  <c r="CZ32" i="8"/>
  <c r="CZ31" i="8"/>
  <c r="CZ30" i="8"/>
  <c r="CZ29" i="8"/>
  <c r="CZ28" i="8"/>
  <c r="CZ27" i="8"/>
  <c r="DM134" i="8" l="1"/>
  <c r="J107" i="19"/>
  <c r="DM131" i="8"/>
  <c r="J104" i="19"/>
  <c r="DM135" i="8"/>
  <c r="J108" i="19"/>
  <c r="DM139" i="8"/>
  <c r="J112" i="19"/>
  <c r="DM130" i="8"/>
  <c r="J103" i="19"/>
  <c r="DM132" i="8"/>
  <c r="J105" i="19"/>
  <c r="DM136" i="8"/>
  <c r="J109" i="19"/>
  <c r="DM140" i="8"/>
  <c r="J113" i="19"/>
  <c r="DM138" i="8"/>
  <c r="J111" i="19"/>
  <c r="DM129" i="8"/>
  <c r="J102" i="19"/>
  <c r="DM133" i="8"/>
  <c r="J106" i="19"/>
  <c r="DM137" i="8"/>
  <c r="J110" i="19"/>
  <c r="DV27" i="8"/>
  <c r="DV37" i="8"/>
  <c r="DV45" i="8"/>
  <c r="DN45" i="8" s="1"/>
  <c r="DV53" i="8"/>
  <c r="DN53" i="8" s="1"/>
  <c r="DV65" i="8"/>
  <c r="DV30" i="8"/>
  <c r="DV34" i="8"/>
  <c r="DV38" i="8"/>
  <c r="DN38" i="8" s="1"/>
  <c r="DV42" i="8"/>
  <c r="DN42" i="8" s="1"/>
  <c r="DV46" i="8"/>
  <c r="DN46" i="8" s="1"/>
  <c r="DV50" i="8"/>
  <c r="DN50" i="8" s="1"/>
  <c r="DV54" i="8"/>
  <c r="DN54" i="8" s="1"/>
  <c r="DV58" i="8"/>
  <c r="DN58" i="8" s="1"/>
  <c r="DM124" i="8" s="1"/>
  <c r="DV62" i="8"/>
  <c r="DN62" i="8" s="1"/>
  <c r="DM128" i="8" s="1"/>
  <c r="DV66" i="8"/>
  <c r="DV70" i="8"/>
  <c r="DV74" i="8"/>
  <c r="DV57" i="8"/>
  <c r="DN57" i="8" s="1"/>
  <c r="DV31" i="8"/>
  <c r="DN31" i="8" s="1"/>
  <c r="DV35" i="8"/>
  <c r="DV39" i="8"/>
  <c r="DN39" i="8" s="1"/>
  <c r="DV43" i="8"/>
  <c r="DN43" i="8" s="1"/>
  <c r="DV47" i="8"/>
  <c r="DN47" i="8" s="1"/>
  <c r="DV51" i="8"/>
  <c r="DN51" i="8" s="1"/>
  <c r="DV55" i="8"/>
  <c r="DN55" i="8" s="1"/>
  <c r="DV59" i="8"/>
  <c r="DN59" i="8" s="1"/>
  <c r="DM125" i="8" s="1"/>
  <c r="DV63" i="8"/>
  <c r="DV67" i="8"/>
  <c r="DV71" i="8"/>
  <c r="DV75" i="8"/>
  <c r="DN75" i="8" s="1"/>
  <c r="DV33" i="8"/>
  <c r="DN33" i="8" s="1"/>
  <c r="DV41" i="8"/>
  <c r="DN41" i="8" s="1"/>
  <c r="DV49" i="8"/>
  <c r="DN49" i="8" s="1"/>
  <c r="DV61" i="8"/>
  <c r="DN61" i="8" s="1"/>
  <c r="DM127" i="8" s="1"/>
  <c r="DV69" i="8"/>
  <c r="DV73" i="8"/>
  <c r="DV28" i="8"/>
  <c r="DN28" i="8" s="1"/>
  <c r="J67" i="19" s="1"/>
  <c r="DV32" i="8"/>
  <c r="DV36" i="8"/>
  <c r="DV40" i="8"/>
  <c r="DN40" i="8" s="1"/>
  <c r="DV44" i="8"/>
  <c r="DN44" i="8" s="1"/>
  <c r="DV48" i="8"/>
  <c r="DN48" i="8" s="1"/>
  <c r="DV52" i="8"/>
  <c r="DN52" i="8" s="1"/>
  <c r="DV56" i="8"/>
  <c r="DN56" i="8" s="1"/>
  <c r="DM122" i="8" s="1"/>
  <c r="DV60" i="8"/>
  <c r="DN60" i="8" s="1"/>
  <c r="DM126" i="8" s="1"/>
  <c r="DV64" i="8"/>
  <c r="DV68" i="8"/>
  <c r="DV72" i="8"/>
  <c r="DV76" i="8"/>
  <c r="DN76" i="8" s="1"/>
  <c r="J115" i="19" s="1"/>
  <c r="DV29" i="8"/>
  <c r="B97" i="19"/>
  <c r="B103" i="19"/>
  <c r="B113" i="19"/>
  <c r="B96" i="19"/>
  <c r="B99" i="19"/>
  <c r="B109" i="19"/>
  <c r="B112" i="19"/>
  <c r="B115" i="19"/>
  <c r="B95" i="19"/>
  <c r="B111" i="19"/>
  <c r="B101" i="19"/>
  <c r="B104" i="19"/>
  <c r="B107" i="19"/>
  <c r="BV61" i="8"/>
  <c r="BV69" i="8"/>
  <c r="BV66" i="8"/>
  <c r="BV71" i="8"/>
  <c r="BV63" i="8"/>
  <c r="CU254" i="8"/>
  <c r="BV59" i="8"/>
  <c r="BV67" i="8"/>
  <c r="BV75" i="8"/>
  <c r="BM75" i="8" s="1"/>
  <c r="BM141" i="8" s="1"/>
  <c r="J99" i="19" l="1"/>
  <c r="J97" i="19"/>
  <c r="J98" i="19"/>
  <c r="J95" i="19"/>
  <c r="J101" i="19"/>
  <c r="J100" i="19"/>
  <c r="BM191" i="8"/>
  <c r="DM141" i="8"/>
  <c r="J114" i="19"/>
  <c r="DM123" i="8"/>
  <c r="J96" i="19"/>
  <c r="DM117" i="8"/>
  <c r="J90" i="19"/>
  <c r="DM120" i="8"/>
  <c r="J93" i="19"/>
  <c r="DM104" i="8"/>
  <c r="J77" i="19"/>
  <c r="DM119" i="8"/>
  <c r="J92" i="19"/>
  <c r="DM106" i="8"/>
  <c r="J79" i="19"/>
  <c r="DM118" i="8"/>
  <c r="J91" i="19"/>
  <c r="DM113" i="8"/>
  <c r="J86" i="19"/>
  <c r="DM116" i="8"/>
  <c r="J89" i="19"/>
  <c r="DM111" i="8"/>
  <c r="J84" i="19"/>
  <c r="DM107" i="8"/>
  <c r="J80" i="19"/>
  <c r="DM114" i="8"/>
  <c r="J87" i="19"/>
  <c r="DM109" i="8"/>
  <c r="J82" i="19"/>
  <c r="DM112" i="8"/>
  <c r="J85" i="19"/>
  <c r="DM110" i="8"/>
  <c r="J83" i="19"/>
  <c r="DM115" i="8"/>
  <c r="J88" i="19"/>
  <c r="DM121" i="8"/>
  <c r="J94" i="19"/>
  <c r="DM105" i="8"/>
  <c r="J78" i="19"/>
  <c r="DM108" i="8"/>
  <c r="J81" i="19"/>
  <c r="DM99" i="8"/>
  <c r="J72" i="19"/>
  <c r="DM97" i="8"/>
  <c r="J70" i="19"/>
  <c r="DM142" i="8"/>
  <c r="BM192" i="8"/>
  <c r="DN37" i="8"/>
  <c r="DN36" i="8"/>
  <c r="DN35" i="8"/>
  <c r="DN34" i="8"/>
  <c r="DN32" i="8"/>
  <c r="DN30" i="8"/>
  <c r="DN29" i="8"/>
  <c r="BM144" i="8"/>
  <c r="DM94" i="8"/>
  <c r="DN27" i="8"/>
  <c r="B100" i="19"/>
  <c r="B114" i="19"/>
  <c r="B98" i="19"/>
  <c r="B102" i="19"/>
  <c r="B106" i="19"/>
  <c r="B110" i="19"/>
  <c r="B105" i="19"/>
  <c r="B108" i="19"/>
  <c r="J66" i="19" l="1"/>
  <c r="DM98" i="8"/>
  <c r="J71" i="19"/>
  <c r="DM103" i="8"/>
  <c r="J76" i="19"/>
  <c r="DM96" i="8"/>
  <c r="J69" i="19"/>
  <c r="DM100" i="8"/>
  <c r="J73" i="19"/>
  <c r="DM102" i="8"/>
  <c r="J75" i="19"/>
  <c r="DM95" i="8"/>
  <c r="J68" i="19"/>
  <c r="DM101" i="8"/>
  <c r="J74" i="19"/>
  <c r="DM93" i="8"/>
  <c r="GW40" i="5" s="1"/>
  <c r="GM40" i="5" s="1"/>
  <c r="GM41" i="5" s="1"/>
  <c r="BM143" i="8"/>
  <c r="G7" i="3"/>
  <c r="GI41" i="5" l="1"/>
  <c r="GM43" i="5"/>
  <c r="U775" i="5"/>
  <c r="GW772" i="5" s="1"/>
  <c r="GM772" i="5" s="1"/>
  <c r="GM773" i="5" s="1"/>
  <c r="U755" i="5"/>
  <c r="GW752" i="5" s="1"/>
  <c r="GM752" i="5" s="1"/>
  <c r="GM753" i="5" s="1"/>
  <c r="U735" i="5"/>
  <c r="GW732" i="5" s="1"/>
  <c r="GM732" i="5" s="1"/>
  <c r="GM733" i="5" s="1"/>
  <c r="U712" i="5"/>
  <c r="GW709" i="5" s="1"/>
  <c r="GM709" i="5" s="1"/>
  <c r="GM710" i="5" s="1"/>
  <c r="U692" i="5"/>
  <c r="GW689" i="5" s="1"/>
  <c r="GM689" i="5" s="1"/>
  <c r="GM690" i="5" s="1"/>
  <c r="U672" i="5"/>
  <c r="GW669" i="5" s="1"/>
  <c r="GM669" i="5" s="1"/>
  <c r="GM670" i="5" s="1"/>
  <c r="U652" i="5"/>
  <c r="GW649" i="5" s="1"/>
  <c r="GM649" i="5" s="1"/>
  <c r="GM650" i="5" s="1"/>
  <c r="U629" i="5"/>
  <c r="GW626" i="5" s="1"/>
  <c r="GM626" i="5" s="1"/>
  <c r="GM627" i="5" s="1"/>
  <c r="U609" i="5"/>
  <c r="GW606" i="5" s="1"/>
  <c r="GM606" i="5" s="1"/>
  <c r="GM607" i="5" s="1"/>
  <c r="U589" i="5"/>
  <c r="GW586" i="5" s="1"/>
  <c r="GM586" i="5" s="1"/>
  <c r="GM587" i="5" s="1"/>
  <c r="U569" i="5"/>
  <c r="GW566" i="5" s="1"/>
  <c r="GM566" i="5" s="1"/>
  <c r="GM567" i="5" s="1"/>
  <c r="U546" i="5"/>
  <c r="GW543" i="5" s="1"/>
  <c r="GM543" i="5" s="1"/>
  <c r="GM544" i="5" s="1"/>
  <c r="U526" i="5"/>
  <c r="GW523" i="5" s="1"/>
  <c r="GM523" i="5" s="1"/>
  <c r="GM524" i="5" s="1"/>
  <c r="U506" i="5"/>
  <c r="GW503" i="5" s="1"/>
  <c r="GM503" i="5" s="1"/>
  <c r="GM504" i="5" s="1"/>
  <c r="U486" i="5"/>
  <c r="GW483" i="5" s="1"/>
  <c r="GM483" i="5" s="1"/>
  <c r="GM484" i="5" s="1"/>
  <c r="U463" i="5"/>
  <c r="GW460" i="5" s="1"/>
  <c r="GM460" i="5" s="1"/>
  <c r="GM461" i="5" s="1"/>
  <c r="U443" i="5"/>
  <c r="GW440" i="5" s="1"/>
  <c r="GM440" i="5" s="1"/>
  <c r="GM441" i="5" s="1"/>
  <c r="U423" i="5"/>
  <c r="GW420" i="5" s="1"/>
  <c r="GM420" i="5" s="1"/>
  <c r="GM421" i="5" s="1"/>
  <c r="U400" i="5"/>
  <c r="GW397" i="5" s="1"/>
  <c r="GM397" i="5" s="1"/>
  <c r="GM398" i="5" s="1"/>
  <c r="U380" i="5"/>
  <c r="GW377" i="5" s="1"/>
  <c r="GM377" i="5" s="1"/>
  <c r="GM378" i="5" s="1"/>
  <c r="U360" i="5"/>
  <c r="GW357" i="5" s="1"/>
  <c r="GM357" i="5" s="1"/>
  <c r="GM358" i="5" s="1"/>
  <c r="U340" i="5"/>
  <c r="GW337" i="5" s="1"/>
  <c r="GM337" i="5" s="1"/>
  <c r="GM338" i="5" s="1"/>
  <c r="U317" i="5"/>
  <c r="GW314" i="5" s="1"/>
  <c r="GM314" i="5" s="1"/>
  <c r="GM315" i="5" s="1"/>
  <c r="U297" i="5"/>
  <c r="GW294" i="5" s="1"/>
  <c r="GM294" i="5" s="1"/>
  <c r="GM295" i="5" s="1"/>
  <c r="U277" i="5"/>
  <c r="GW274" i="5" s="1"/>
  <c r="GM274" i="5" s="1"/>
  <c r="GM275" i="5" s="1"/>
  <c r="U257" i="5"/>
  <c r="GW254" i="5" s="1"/>
  <c r="GM254" i="5" s="1"/>
  <c r="GM255" i="5" s="1"/>
  <c r="U234" i="5"/>
  <c r="GW231" i="5" s="1"/>
  <c r="GM231" i="5" s="1"/>
  <c r="GM232" i="5" s="1"/>
  <c r="U209" i="5"/>
  <c r="GW206" i="5" s="1"/>
  <c r="GM206" i="5" s="1"/>
  <c r="GM207" i="5" s="1"/>
  <c r="U189" i="5"/>
  <c r="GW186" i="5" s="1"/>
  <c r="GM186" i="5" s="1"/>
  <c r="GM187" i="5" s="1"/>
  <c r="U166" i="5"/>
  <c r="GW163" i="5" s="1"/>
  <c r="GM163" i="5" s="1"/>
  <c r="GM164" i="5" s="1"/>
  <c r="U146" i="5"/>
  <c r="GW143" i="5" s="1"/>
  <c r="GM143" i="5" s="1"/>
  <c r="GM144" i="5" s="1"/>
  <c r="U126" i="5"/>
  <c r="GW123" i="5" s="1"/>
  <c r="GM123" i="5" s="1"/>
  <c r="GM124" i="5" s="1"/>
  <c r="U106" i="5"/>
  <c r="GW103" i="5" s="1"/>
  <c r="GM103" i="5" s="1"/>
  <c r="GM104" i="5" s="1"/>
  <c r="U83" i="5"/>
  <c r="GW80" i="5" s="1"/>
  <c r="GM80" i="5" s="1"/>
  <c r="GM81" i="5" s="1"/>
  <c r="U63" i="5"/>
  <c r="GW60" i="5" s="1"/>
  <c r="GM60" i="5" s="1"/>
  <c r="GM61" i="5" s="1"/>
  <c r="U785" i="5"/>
  <c r="GW782" i="5" s="1"/>
  <c r="GM782" i="5" s="1"/>
  <c r="GM783" i="5" s="1"/>
  <c r="U745" i="5"/>
  <c r="GW742" i="5" s="1"/>
  <c r="GM742" i="5" s="1"/>
  <c r="GM743" i="5" s="1"/>
  <c r="U682" i="5"/>
  <c r="GW679" i="5" s="1"/>
  <c r="GM679" i="5" s="1"/>
  <c r="GM680" i="5" s="1"/>
  <c r="U642" i="5"/>
  <c r="GW639" i="5" s="1"/>
  <c r="GM639" i="5" s="1"/>
  <c r="GM640" i="5" s="1"/>
  <c r="U599" i="5"/>
  <c r="GW596" i="5" s="1"/>
  <c r="GM596" i="5" s="1"/>
  <c r="GM597" i="5" s="1"/>
  <c r="U556" i="5"/>
  <c r="GW553" i="5" s="1"/>
  <c r="GM553" i="5" s="1"/>
  <c r="GM554" i="5" s="1"/>
  <c r="U516" i="5"/>
  <c r="GW513" i="5" s="1"/>
  <c r="GM513" i="5" s="1"/>
  <c r="GM514" i="5" s="1"/>
  <c r="U473" i="5"/>
  <c r="GW470" i="5" s="1"/>
  <c r="GM470" i="5" s="1"/>
  <c r="GM471" i="5" s="1"/>
  <c r="U433" i="5"/>
  <c r="GW430" i="5" s="1"/>
  <c r="GM430" i="5" s="1"/>
  <c r="GM431" i="5" s="1"/>
  <c r="U390" i="5"/>
  <c r="GW387" i="5" s="1"/>
  <c r="GM387" i="5" s="1"/>
  <c r="GM388" i="5" s="1"/>
  <c r="U350" i="5"/>
  <c r="GW347" i="5" s="1"/>
  <c r="GM347" i="5" s="1"/>
  <c r="GM348" i="5" s="1"/>
  <c r="U307" i="5"/>
  <c r="GW304" i="5" s="1"/>
  <c r="GM304" i="5" s="1"/>
  <c r="GM305" i="5" s="1"/>
  <c r="U287" i="5"/>
  <c r="GW284" i="5" s="1"/>
  <c r="GM284" i="5" s="1"/>
  <c r="GM285" i="5" s="1"/>
  <c r="U244" i="5"/>
  <c r="GW241" i="5" s="1"/>
  <c r="GM241" i="5" s="1"/>
  <c r="GM242" i="5" s="1"/>
  <c r="U199" i="5"/>
  <c r="GW196" i="5" s="1"/>
  <c r="GM196" i="5" s="1"/>
  <c r="GM197" i="5" s="1"/>
  <c r="U156" i="5"/>
  <c r="GW153" i="5" s="1"/>
  <c r="GM153" i="5" s="1"/>
  <c r="GM154" i="5" s="1"/>
  <c r="U116" i="5"/>
  <c r="GW113" i="5" s="1"/>
  <c r="GM113" i="5" s="1"/>
  <c r="GM114" i="5" s="1"/>
  <c r="U73" i="5"/>
  <c r="GW70" i="5" s="1"/>
  <c r="GM70" i="5" s="1"/>
  <c r="GM71" i="5" s="1"/>
  <c r="U780" i="5"/>
  <c r="GW777" i="5" s="1"/>
  <c r="GM777" i="5" s="1"/>
  <c r="GM778" i="5" s="1"/>
  <c r="U720" i="5"/>
  <c r="GW717" i="5" s="1"/>
  <c r="GM717" i="5" s="1"/>
  <c r="GM718" i="5" s="1"/>
  <c r="U677" i="5"/>
  <c r="GW674" i="5" s="1"/>
  <c r="GM674" i="5" s="1"/>
  <c r="GM675" i="5" s="1"/>
  <c r="U634" i="5"/>
  <c r="GW631" i="5" s="1"/>
  <c r="GM631" i="5" s="1"/>
  <c r="GM632" i="5" s="1"/>
  <c r="U594" i="5"/>
  <c r="GW591" i="5" s="1"/>
  <c r="GM591" i="5" s="1"/>
  <c r="GM592" i="5" s="1"/>
  <c r="U551" i="5"/>
  <c r="GW548" i="5" s="1"/>
  <c r="GM548" i="5" s="1"/>
  <c r="GM549" i="5" s="1"/>
  <c r="U511" i="5"/>
  <c r="GW508" i="5" s="1"/>
  <c r="GM508" i="5" s="1"/>
  <c r="GM509" i="5" s="1"/>
  <c r="U468" i="5"/>
  <c r="GW465" i="5" s="1"/>
  <c r="GM465" i="5" s="1"/>
  <c r="GM466" i="5" s="1"/>
  <c r="U428" i="5"/>
  <c r="GW425" i="5" s="1"/>
  <c r="GM425" i="5" s="1"/>
  <c r="GM426" i="5" s="1"/>
  <c r="U385" i="5"/>
  <c r="GW382" i="5" s="1"/>
  <c r="GM382" i="5" s="1"/>
  <c r="GM383" i="5" s="1"/>
  <c r="U345" i="5"/>
  <c r="GW342" i="5" s="1"/>
  <c r="GM342" i="5" s="1"/>
  <c r="GM343" i="5" s="1"/>
  <c r="U302" i="5"/>
  <c r="GW299" i="5" s="1"/>
  <c r="GM299" i="5" s="1"/>
  <c r="GM300" i="5" s="1"/>
  <c r="U262" i="5"/>
  <c r="GW259" i="5" s="1"/>
  <c r="GM259" i="5" s="1"/>
  <c r="GM260" i="5" s="1"/>
  <c r="U214" i="5"/>
  <c r="GW211" i="5" s="1"/>
  <c r="GM211" i="5" s="1"/>
  <c r="GM212" i="5" s="1"/>
  <c r="U174" i="5"/>
  <c r="GW171" i="5" s="1"/>
  <c r="GM171" i="5" s="1"/>
  <c r="GM172" i="5" s="1"/>
  <c r="U131" i="5"/>
  <c r="GW128" i="5" s="1"/>
  <c r="GM128" i="5" s="1"/>
  <c r="GM129" i="5" s="1"/>
  <c r="U88" i="5"/>
  <c r="GW85" i="5" s="1"/>
  <c r="GM85" i="5" s="1"/>
  <c r="GM86" i="5" s="1"/>
  <c r="U48" i="5"/>
  <c r="GW45" i="5" s="1"/>
  <c r="GM45" i="5" s="1"/>
  <c r="GM46" i="5" s="1"/>
  <c r="U790" i="5"/>
  <c r="GW787" i="5" s="1"/>
  <c r="GM787" i="5" s="1"/>
  <c r="GM788" i="5" s="1"/>
  <c r="U770" i="5"/>
  <c r="GW767" i="5" s="1"/>
  <c r="GM767" i="5" s="1"/>
  <c r="GM768" i="5" s="1"/>
  <c r="U750" i="5"/>
  <c r="GW747" i="5" s="1"/>
  <c r="GM747" i="5" s="1"/>
  <c r="GM748" i="5" s="1"/>
  <c r="U730" i="5"/>
  <c r="GW727" i="5" s="1"/>
  <c r="GM727" i="5" s="1"/>
  <c r="GM728" i="5" s="1"/>
  <c r="U707" i="5"/>
  <c r="GW704" i="5" s="1"/>
  <c r="GM704" i="5" s="1"/>
  <c r="GM705" i="5" s="1"/>
  <c r="U687" i="5"/>
  <c r="GW684" i="5" s="1"/>
  <c r="GM684" i="5" s="1"/>
  <c r="GM685" i="5" s="1"/>
  <c r="U667" i="5"/>
  <c r="GW664" i="5" s="1"/>
  <c r="GM664" i="5" s="1"/>
  <c r="GM665" i="5" s="1"/>
  <c r="U647" i="5"/>
  <c r="GW644" i="5" s="1"/>
  <c r="GM644" i="5" s="1"/>
  <c r="GM645" i="5" s="1"/>
  <c r="U624" i="5"/>
  <c r="GW621" i="5" s="1"/>
  <c r="GM621" i="5" s="1"/>
  <c r="GM622" i="5" s="1"/>
  <c r="U604" i="5"/>
  <c r="GW601" i="5" s="1"/>
  <c r="GM601" i="5" s="1"/>
  <c r="GM602" i="5" s="1"/>
  <c r="U584" i="5"/>
  <c r="GW581" i="5" s="1"/>
  <c r="GM581" i="5" s="1"/>
  <c r="GM582" i="5" s="1"/>
  <c r="U564" i="5"/>
  <c r="GW561" i="5" s="1"/>
  <c r="GM561" i="5" s="1"/>
  <c r="GM562" i="5" s="1"/>
  <c r="U541" i="5"/>
  <c r="GW538" i="5" s="1"/>
  <c r="GM538" i="5" s="1"/>
  <c r="GM539" i="5" s="1"/>
  <c r="U521" i="5"/>
  <c r="GW518" i="5" s="1"/>
  <c r="GM518" i="5" s="1"/>
  <c r="GM519" i="5" s="1"/>
  <c r="U501" i="5"/>
  <c r="GW498" i="5" s="1"/>
  <c r="GM498" i="5" s="1"/>
  <c r="GM499" i="5" s="1"/>
  <c r="U478" i="5"/>
  <c r="GW475" i="5" s="1"/>
  <c r="GM475" i="5" s="1"/>
  <c r="GM476" i="5" s="1"/>
  <c r="U458" i="5"/>
  <c r="GW455" i="5" s="1"/>
  <c r="GM455" i="5" s="1"/>
  <c r="GM456" i="5" s="1"/>
  <c r="U438" i="5"/>
  <c r="GW435" i="5" s="1"/>
  <c r="GM435" i="5" s="1"/>
  <c r="GM436" i="5" s="1"/>
  <c r="U418" i="5"/>
  <c r="GW415" i="5" s="1"/>
  <c r="GM415" i="5" s="1"/>
  <c r="GM416" i="5" s="1"/>
  <c r="U395" i="5"/>
  <c r="GW392" i="5" s="1"/>
  <c r="GM392" i="5" s="1"/>
  <c r="GM393" i="5" s="1"/>
  <c r="U375" i="5"/>
  <c r="GW372" i="5" s="1"/>
  <c r="GM372" i="5" s="1"/>
  <c r="GM373" i="5" s="1"/>
  <c r="U355" i="5"/>
  <c r="GW352" i="5" s="1"/>
  <c r="GM352" i="5" s="1"/>
  <c r="GM353" i="5" s="1"/>
  <c r="U335" i="5"/>
  <c r="GW332" i="5" s="1"/>
  <c r="GM332" i="5" s="1"/>
  <c r="GM333" i="5" s="1"/>
  <c r="U312" i="5"/>
  <c r="GW309" i="5" s="1"/>
  <c r="GM309" i="5" s="1"/>
  <c r="GM310" i="5" s="1"/>
  <c r="U292" i="5"/>
  <c r="GW289" i="5" s="1"/>
  <c r="GM289" i="5" s="1"/>
  <c r="GM290" i="5" s="1"/>
  <c r="U272" i="5"/>
  <c r="GW269" i="5" s="1"/>
  <c r="GM269" i="5" s="1"/>
  <c r="GM270" i="5" s="1"/>
  <c r="U252" i="5"/>
  <c r="GW249" i="5" s="1"/>
  <c r="GM249" i="5" s="1"/>
  <c r="GM250" i="5" s="1"/>
  <c r="U229" i="5"/>
  <c r="GW226" i="5" s="1"/>
  <c r="GM226" i="5" s="1"/>
  <c r="GM227" i="5" s="1"/>
  <c r="U204" i="5"/>
  <c r="GW201" i="5" s="1"/>
  <c r="GM201" i="5" s="1"/>
  <c r="GM202" i="5" s="1"/>
  <c r="U184" i="5"/>
  <c r="GW181" i="5" s="1"/>
  <c r="GM181" i="5" s="1"/>
  <c r="GM182" i="5" s="1"/>
  <c r="U161" i="5"/>
  <c r="GW158" i="5" s="1"/>
  <c r="GM158" i="5" s="1"/>
  <c r="GM159" i="5" s="1"/>
  <c r="U141" i="5"/>
  <c r="GW138" i="5" s="1"/>
  <c r="GM138" i="5" s="1"/>
  <c r="GM139" i="5" s="1"/>
  <c r="U121" i="5"/>
  <c r="GW118" i="5" s="1"/>
  <c r="GM118" i="5" s="1"/>
  <c r="GM119" i="5" s="1"/>
  <c r="U101" i="5"/>
  <c r="GW98" i="5" s="1"/>
  <c r="GM98" i="5" s="1"/>
  <c r="GM99" i="5" s="1"/>
  <c r="U78" i="5"/>
  <c r="GW75" i="5" s="1"/>
  <c r="GM75" i="5" s="1"/>
  <c r="GM76" i="5" s="1"/>
  <c r="U58" i="5"/>
  <c r="GW55" i="5" s="1"/>
  <c r="GM55" i="5" s="1"/>
  <c r="GM56" i="5" s="1"/>
  <c r="U765" i="5"/>
  <c r="GW762" i="5" s="1"/>
  <c r="GM762" i="5" s="1"/>
  <c r="GM763" i="5" s="1"/>
  <c r="U725" i="5"/>
  <c r="GW722" i="5" s="1"/>
  <c r="GM722" i="5" s="1"/>
  <c r="GM723" i="5" s="1"/>
  <c r="U702" i="5"/>
  <c r="GW699" i="5" s="1"/>
  <c r="GM699" i="5" s="1"/>
  <c r="GM700" i="5" s="1"/>
  <c r="U662" i="5"/>
  <c r="GW659" i="5" s="1"/>
  <c r="GM659" i="5" s="1"/>
  <c r="GM660" i="5" s="1"/>
  <c r="U619" i="5"/>
  <c r="GW616" i="5" s="1"/>
  <c r="GM616" i="5" s="1"/>
  <c r="GM617" i="5" s="1"/>
  <c r="U579" i="5"/>
  <c r="GW576" i="5" s="1"/>
  <c r="GM576" i="5" s="1"/>
  <c r="GM577" i="5" s="1"/>
  <c r="U536" i="5"/>
  <c r="GW533" i="5" s="1"/>
  <c r="GM533" i="5" s="1"/>
  <c r="GM534" i="5" s="1"/>
  <c r="U496" i="5"/>
  <c r="GW493" i="5" s="1"/>
  <c r="GM493" i="5" s="1"/>
  <c r="GM494" i="5" s="1"/>
  <c r="U453" i="5"/>
  <c r="GW450" i="5" s="1"/>
  <c r="GM450" i="5" s="1"/>
  <c r="GM451" i="5" s="1"/>
  <c r="U413" i="5"/>
  <c r="GW410" i="5" s="1"/>
  <c r="GM410" i="5" s="1"/>
  <c r="GM411" i="5" s="1"/>
  <c r="U370" i="5"/>
  <c r="GW367" i="5" s="1"/>
  <c r="GM367" i="5" s="1"/>
  <c r="GM368" i="5" s="1"/>
  <c r="U330" i="5"/>
  <c r="GW327" i="5" s="1"/>
  <c r="GM327" i="5" s="1"/>
  <c r="GM328" i="5" s="1"/>
  <c r="U267" i="5"/>
  <c r="GW264" i="5" s="1"/>
  <c r="GM264" i="5" s="1"/>
  <c r="GM265" i="5" s="1"/>
  <c r="U219" i="5"/>
  <c r="GW216" i="5" s="1"/>
  <c r="GM216" i="5" s="1"/>
  <c r="GM217" i="5" s="1"/>
  <c r="U179" i="5"/>
  <c r="GW176" i="5" s="1"/>
  <c r="GM176" i="5" s="1"/>
  <c r="GM177" i="5" s="1"/>
  <c r="U136" i="5"/>
  <c r="GW133" i="5" s="1"/>
  <c r="GM133" i="5" s="1"/>
  <c r="GM134" i="5" s="1"/>
  <c r="U96" i="5"/>
  <c r="GW93" i="5" s="1"/>
  <c r="GM93" i="5" s="1"/>
  <c r="GM94" i="5" s="1"/>
  <c r="U53" i="5"/>
  <c r="GW50" i="5" s="1"/>
  <c r="GM50" i="5" s="1"/>
  <c r="GM51" i="5" s="1"/>
  <c r="U760" i="5"/>
  <c r="GW757" i="5" s="1"/>
  <c r="GM757" i="5" s="1"/>
  <c r="GM758" i="5" s="1"/>
  <c r="U740" i="5"/>
  <c r="GW737" i="5" s="1"/>
  <c r="GM737" i="5" s="1"/>
  <c r="GM738" i="5" s="1"/>
  <c r="U697" i="5"/>
  <c r="GW694" i="5" s="1"/>
  <c r="GM694" i="5" s="1"/>
  <c r="GM695" i="5" s="1"/>
  <c r="U657" i="5"/>
  <c r="GW654" i="5" s="1"/>
  <c r="GM654" i="5" s="1"/>
  <c r="GM655" i="5" s="1"/>
  <c r="U614" i="5"/>
  <c r="GW611" i="5" s="1"/>
  <c r="GM611" i="5" s="1"/>
  <c r="GM612" i="5" s="1"/>
  <c r="U574" i="5"/>
  <c r="GW571" i="5" s="1"/>
  <c r="GM571" i="5" s="1"/>
  <c r="GM572" i="5" s="1"/>
  <c r="U531" i="5"/>
  <c r="GW528" i="5" s="1"/>
  <c r="GM528" i="5" s="1"/>
  <c r="GM529" i="5" s="1"/>
  <c r="U491" i="5"/>
  <c r="GW488" i="5" s="1"/>
  <c r="GM488" i="5" s="1"/>
  <c r="GM489" i="5" s="1"/>
  <c r="U448" i="5"/>
  <c r="GW445" i="5" s="1"/>
  <c r="GM445" i="5" s="1"/>
  <c r="GM446" i="5" s="1"/>
  <c r="U408" i="5"/>
  <c r="GW405" i="5" s="1"/>
  <c r="GM405" i="5" s="1"/>
  <c r="GM406" i="5" s="1"/>
  <c r="U365" i="5"/>
  <c r="GW362" i="5" s="1"/>
  <c r="GM362" i="5" s="1"/>
  <c r="GM363" i="5" s="1"/>
  <c r="U322" i="5"/>
  <c r="GW319" i="5" s="1"/>
  <c r="GM319" i="5" s="1"/>
  <c r="GM320" i="5" s="1"/>
  <c r="U282" i="5"/>
  <c r="GW279" i="5" s="1"/>
  <c r="GM279" i="5" s="1"/>
  <c r="GM280" i="5" s="1"/>
  <c r="U239" i="5"/>
  <c r="GW236" i="5" s="1"/>
  <c r="GM236" i="5" s="1"/>
  <c r="GM237" i="5" s="1"/>
  <c r="U194" i="5"/>
  <c r="GW191" i="5" s="1"/>
  <c r="GM191" i="5" s="1"/>
  <c r="GM192" i="5" s="1"/>
  <c r="U151" i="5"/>
  <c r="GW148" i="5" s="1"/>
  <c r="GM148" i="5" s="1"/>
  <c r="GM149" i="5" s="1"/>
  <c r="U111" i="5"/>
  <c r="GW108" i="5" s="1"/>
  <c r="GM108" i="5" s="1"/>
  <c r="GM109" i="5" s="1"/>
  <c r="U68" i="5"/>
  <c r="GW65" i="5" s="1"/>
  <c r="GM65" i="5" s="1"/>
  <c r="GM66" i="5" s="1"/>
  <c r="AB790" i="5"/>
  <c r="AB780" i="5"/>
  <c r="GF779" i="5"/>
  <c r="HF778" i="5"/>
  <c r="HF780" i="5" s="1"/>
  <c r="AB770" i="5"/>
  <c r="AB760" i="5"/>
  <c r="AB750" i="5"/>
  <c r="GF749" i="5"/>
  <c r="AB745" i="5"/>
  <c r="AB740" i="5"/>
  <c r="AB735" i="5"/>
  <c r="GF734" i="5"/>
  <c r="AB730" i="5"/>
  <c r="AB725" i="5"/>
  <c r="AB720" i="5"/>
  <c r="GF711" i="5"/>
  <c r="HF705" i="5"/>
  <c r="HF707" i="5" s="1"/>
  <c r="AB672" i="5"/>
  <c r="AB642" i="5"/>
  <c r="GF641" i="5"/>
  <c r="AB634" i="5"/>
  <c r="HF627" i="5"/>
  <c r="HF629" i="5" s="1"/>
  <c r="GF618" i="5"/>
  <c r="GF613" i="5"/>
  <c r="HF612" i="5"/>
  <c r="HF614" i="5" s="1"/>
  <c r="HF607" i="5"/>
  <c r="HF609" i="5" s="1"/>
  <c r="HF597" i="5"/>
  <c r="HF599" i="5" s="1"/>
  <c r="GF588" i="5"/>
  <c r="HF582" i="5"/>
  <c r="HF584" i="5" s="1"/>
  <c r="AB579" i="5"/>
  <c r="GF568" i="5"/>
  <c r="AB551" i="5"/>
  <c r="GF550" i="5"/>
  <c r="AB546" i="5"/>
  <c r="GF545" i="5"/>
  <c r="HF544" i="5"/>
  <c r="HF546" i="5" s="1"/>
  <c r="HF539" i="5"/>
  <c r="HF541" i="5" s="1"/>
  <c r="AB521" i="5"/>
  <c r="GF505" i="5"/>
  <c r="HF504" i="5"/>
  <c r="HF506" i="5" s="1"/>
  <c r="GF500" i="5"/>
  <c r="HF788" i="5"/>
  <c r="HF790" i="5" s="1"/>
  <c r="GF774" i="5"/>
  <c r="HF773" i="5"/>
  <c r="HF775" i="5" s="1"/>
  <c r="AB755" i="5"/>
  <c r="GF754" i="5"/>
  <c r="HF753" i="5"/>
  <c r="HF755" i="5" s="1"/>
  <c r="HF733" i="5"/>
  <c r="HF735" i="5" s="1"/>
  <c r="AB712" i="5"/>
  <c r="GF661" i="5"/>
  <c r="GF656" i="5"/>
  <c r="GF646" i="5"/>
  <c r="HF640" i="5"/>
  <c r="HF642" i="5" s="1"/>
  <c r="HF632" i="5"/>
  <c r="HF634" i="5" s="1"/>
  <c r="AB629" i="5"/>
  <c r="GF628" i="5"/>
  <c r="HF622" i="5"/>
  <c r="HF624" i="5" s="1"/>
  <c r="AB619" i="5"/>
  <c r="AB614" i="5"/>
  <c r="AB599" i="5"/>
  <c r="GF598" i="5"/>
  <c r="GF593" i="5"/>
  <c r="AB589" i="5"/>
  <c r="HF587" i="5"/>
  <c r="HF589" i="5" s="1"/>
  <c r="HF577" i="5"/>
  <c r="HF579" i="5" s="1"/>
  <c r="GF573" i="5"/>
  <c r="AB569" i="5"/>
  <c r="GF555" i="5"/>
  <c r="GF525" i="5"/>
  <c r="HF524" i="5"/>
  <c r="HF526" i="5" s="1"/>
  <c r="AB506" i="5"/>
  <c r="AB501" i="5"/>
  <c r="AB785" i="5"/>
  <c r="GF784" i="5"/>
  <c r="HF783" i="5"/>
  <c r="HF785" i="5" s="1"/>
  <c r="AB775" i="5"/>
  <c r="HF768" i="5"/>
  <c r="HF770" i="5" s="1"/>
  <c r="HF758" i="5"/>
  <c r="HF760" i="5" s="1"/>
  <c r="HF748" i="5"/>
  <c r="HF750" i="5" s="1"/>
  <c r="HF718" i="5"/>
  <c r="HF720" i="5" s="1"/>
  <c r="AB707" i="5"/>
  <c r="GF706" i="5"/>
  <c r="GF696" i="5"/>
  <c r="HF695" i="5"/>
  <c r="HF697" i="5" s="1"/>
  <c r="GF691" i="5"/>
  <c r="HF690" i="5"/>
  <c r="HF692" i="5" s="1"/>
  <c r="AB687" i="5"/>
  <c r="GF686" i="5"/>
  <c r="AB682" i="5"/>
  <c r="GF681" i="5"/>
  <c r="HF680" i="5"/>
  <c r="HF682" i="5" s="1"/>
  <c r="GF676" i="5"/>
  <c r="HF670" i="5"/>
  <c r="HF672" i="5" s="1"/>
  <c r="AB667" i="5"/>
  <c r="GF666" i="5"/>
  <c r="HF665" i="5"/>
  <c r="HF667" i="5" s="1"/>
  <c r="AB662" i="5"/>
  <c r="AB657" i="5"/>
  <c r="AB652" i="5"/>
  <c r="GF651" i="5"/>
  <c r="AB647" i="5"/>
  <c r="AB609" i="5"/>
  <c r="GF608" i="5"/>
  <c r="GF603" i="5"/>
  <c r="HF602" i="5"/>
  <c r="HF604" i="5" s="1"/>
  <c r="AB594" i="5"/>
  <c r="HF592" i="5"/>
  <c r="HF594" i="5" s="1"/>
  <c r="AB584" i="5"/>
  <c r="AB574" i="5"/>
  <c r="HF572" i="5"/>
  <c r="HF574" i="5" s="1"/>
  <c r="AB556" i="5"/>
  <c r="GF540" i="5"/>
  <c r="GF535" i="5"/>
  <c r="HF534" i="5"/>
  <c r="HF536" i="5" s="1"/>
  <c r="AB531" i="5"/>
  <c r="GF530" i="5"/>
  <c r="AB526" i="5"/>
  <c r="GF515" i="5"/>
  <c r="HF514" i="5"/>
  <c r="HF516" i="5" s="1"/>
  <c r="HF499" i="5"/>
  <c r="HF501" i="5" s="1"/>
  <c r="GF789" i="5"/>
  <c r="GF769" i="5"/>
  <c r="AB765" i="5"/>
  <c r="GF764" i="5"/>
  <c r="HF763" i="5"/>
  <c r="HF765" i="5" s="1"/>
  <c r="GF759" i="5"/>
  <c r="GF744" i="5"/>
  <c r="HF743" i="5"/>
  <c r="HF745" i="5" s="1"/>
  <c r="GF739" i="5"/>
  <c r="HF738" i="5"/>
  <c r="HF740" i="5" s="1"/>
  <c r="GF729" i="5"/>
  <c r="HF728" i="5"/>
  <c r="HF730" i="5" s="1"/>
  <c r="GF724" i="5"/>
  <c r="HF723" i="5"/>
  <c r="HF725" i="5" s="1"/>
  <c r="GF719" i="5"/>
  <c r="HF710" i="5"/>
  <c r="HF712" i="5" s="1"/>
  <c r="AB702" i="5"/>
  <c r="GF701" i="5"/>
  <c r="HF700" i="5"/>
  <c r="HF702" i="5" s="1"/>
  <c r="AB697" i="5"/>
  <c r="AB692" i="5"/>
  <c r="HF685" i="5"/>
  <c r="HF687" i="5" s="1"/>
  <c r="AB677" i="5"/>
  <c r="HF675" i="5"/>
  <c r="HF677" i="5" s="1"/>
  <c r="GF671" i="5"/>
  <c r="HF660" i="5"/>
  <c r="HF662" i="5" s="1"/>
  <c r="HF655" i="5"/>
  <c r="HF657" i="5" s="1"/>
  <c r="HF650" i="5"/>
  <c r="HF652" i="5" s="1"/>
  <c r="HF645" i="5"/>
  <c r="HF647" i="5" s="1"/>
  <c r="GF633" i="5"/>
  <c r="AB624" i="5"/>
  <c r="GF623" i="5"/>
  <c r="HF617" i="5"/>
  <c r="HF619" i="5" s="1"/>
  <c r="AB604" i="5"/>
  <c r="GF583" i="5"/>
  <c r="GF578" i="5"/>
  <c r="HF567" i="5"/>
  <c r="HF569" i="5" s="1"/>
  <c r="AB564" i="5"/>
  <c r="GF563" i="5"/>
  <c r="HF562" i="5"/>
  <c r="HF564" i="5" s="1"/>
  <c r="HF554" i="5"/>
  <c r="HF556" i="5" s="1"/>
  <c r="HF549" i="5"/>
  <c r="HF551" i="5" s="1"/>
  <c r="AB541" i="5"/>
  <c r="AB536" i="5"/>
  <c r="HF529" i="5"/>
  <c r="HF531" i="5" s="1"/>
  <c r="GF520" i="5"/>
  <c r="HF519" i="5"/>
  <c r="HF521" i="5" s="1"/>
  <c r="AB516" i="5"/>
  <c r="AB511" i="5"/>
  <c r="GF510" i="5"/>
  <c r="HF509" i="5"/>
  <c r="HF511" i="5" s="1"/>
  <c r="GF490" i="5"/>
  <c r="GF477" i="5"/>
  <c r="AB473" i="5"/>
  <c r="GF472" i="5"/>
  <c r="HF471" i="5"/>
  <c r="HF473" i="5" s="1"/>
  <c r="AB458" i="5"/>
  <c r="GF452" i="5"/>
  <c r="HF441" i="5"/>
  <c r="HF443" i="5" s="1"/>
  <c r="AB413" i="5"/>
  <c r="AB408" i="5"/>
  <c r="GF407" i="5"/>
  <c r="GF399" i="5"/>
  <c r="GF384" i="5"/>
  <c r="GF374" i="5"/>
  <c r="HF363" i="5"/>
  <c r="HF365" i="5" s="1"/>
  <c r="AB345" i="5"/>
  <c r="AB340" i="5"/>
  <c r="HF328" i="5"/>
  <c r="HF330" i="5" s="1"/>
  <c r="HF242" i="5"/>
  <c r="HF244" i="5" s="1"/>
  <c r="AB224" i="5"/>
  <c r="GF223" i="5"/>
  <c r="HF212" i="5"/>
  <c r="HF214" i="5" s="1"/>
  <c r="AB209" i="5"/>
  <c r="HF207" i="5"/>
  <c r="HF209" i="5" s="1"/>
  <c r="HF202" i="5"/>
  <c r="HF204" i="5" s="1"/>
  <c r="HF197" i="5"/>
  <c r="HF199" i="5" s="1"/>
  <c r="AB189" i="5"/>
  <c r="GF178" i="5"/>
  <c r="HF177" i="5"/>
  <c r="HF179" i="5" s="1"/>
  <c r="HF320" i="5"/>
  <c r="HF322" i="5" s="1"/>
  <c r="AB317" i="5"/>
  <c r="GF311" i="5"/>
  <c r="AB302" i="5"/>
  <c r="AB292" i="5"/>
  <c r="AB282" i="5"/>
  <c r="GF276" i="5"/>
  <c r="GF271" i="5"/>
  <c r="GF495" i="5"/>
  <c r="AB491" i="5"/>
  <c r="HF484" i="5"/>
  <c r="HF486" i="5" s="1"/>
  <c r="AB478" i="5"/>
  <c r="AB468" i="5"/>
  <c r="GF467" i="5"/>
  <c r="HF461" i="5"/>
  <c r="HF463" i="5" s="1"/>
  <c r="HF456" i="5"/>
  <c r="HF458" i="5" s="1"/>
  <c r="AB453" i="5"/>
  <c r="GF447" i="5"/>
  <c r="AB443" i="5"/>
  <c r="GF442" i="5"/>
  <c r="HF426" i="5"/>
  <c r="HF428" i="5" s="1"/>
  <c r="GF422" i="5"/>
  <c r="HF421" i="5"/>
  <c r="HF423" i="5" s="1"/>
  <c r="GF417" i="5"/>
  <c r="HF416" i="5"/>
  <c r="HF418" i="5" s="1"/>
  <c r="HF406" i="5"/>
  <c r="HF408" i="5" s="1"/>
  <c r="AB400" i="5"/>
  <c r="AB395" i="5"/>
  <c r="GF394" i="5"/>
  <c r="AB390" i="5"/>
  <c r="GF389" i="5"/>
  <c r="AB385" i="5"/>
  <c r="HF373" i="5"/>
  <c r="HF375" i="5" s="1"/>
  <c r="AB370" i="5"/>
  <c r="HF358" i="5"/>
  <c r="HF360" i="5" s="1"/>
  <c r="AB350" i="5"/>
  <c r="GF349" i="5"/>
  <c r="HF348" i="5"/>
  <c r="HF350" i="5" s="1"/>
  <c r="AB330" i="5"/>
  <c r="GF329" i="5"/>
  <c r="GF243" i="5"/>
  <c r="HF237" i="5"/>
  <c r="HF239" i="5" s="1"/>
  <c r="HF227" i="5"/>
  <c r="HF229" i="5" s="1"/>
  <c r="HF217" i="5"/>
  <c r="HF219" i="5" s="1"/>
  <c r="AB214" i="5"/>
  <c r="GF213" i="5"/>
  <c r="AB204" i="5"/>
  <c r="GF203" i="5"/>
  <c r="GF198" i="5"/>
  <c r="AB194" i="5"/>
  <c r="HF187" i="5"/>
  <c r="HF189" i="5" s="1"/>
  <c r="AB184" i="5"/>
  <c r="GF183" i="5"/>
  <c r="AB179" i="5"/>
  <c r="GF173" i="5"/>
  <c r="AB312" i="5"/>
  <c r="HF295" i="5"/>
  <c r="HF297" i="5" s="1"/>
  <c r="HF290" i="5"/>
  <c r="HF292" i="5" s="1"/>
  <c r="AB287" i="5"/>
  <c r="GF286" i="5"/>
  <c r="HF285" i="5"/>
  <c r="HF287" i="5" s="1"/>
  <c r="AB277" i="5"/>
  <c r="AB272" i="5"/>
  <c r="AB252" i="5"/>
  <c r="GF160" i="5"/>
  <c r="AB496" i="5"/>
  <c r="HF494" i="5"/>
  <c r="HF496" i="5" s="1"/>
  <c r="AB486" i="5"/>
  <c r="GF485" i="5"/>
  <c r="GF462" i="5"/>
  <c r="HF451" i="5"/>
  <c r="HF453" i="5" s="1"/>
  <c r="AB448" i="5"/>
  <c r="HF446" i="5"/>
  <c r="HF448" i="5" s="1"/>
  <c r="GF437" i="5"/>
  <c r="GF432" i="5"/>
  <c r="HF431" i="5"/>
  <c r="HF433" i="5" s="1"/>
  <c r="AB423" i="5"/>
  <c r="AB418" i="5"/>
  <c r="HF411" i="5"/>
  <c r="HF413" i="5" s="1"/>
  <c r="HF388" i="5"/>
  <c r="HF390" i="5" s="1"/>
  <c r="GF379" i="5"/>
  <c r="HF378" i="5"/>
  <c r="HF380" i="5" s="1"/>
  <c r="GF369" i="5"/>
  <c r="GF364" i="5"/>
  <c r="AB360" i="5"/>
  <c r="GF359" i="5"/>
  <c r="GF354" i="5"/>
  <c r="HF343" i="5"/>
  <c r="HF345" i="5" s="1"/>
  <c r="HF338" i="5"/>
  <c r="HF340" i="5" s="1"/>
  <c r="AB335" i="5"/>
  <c r="GF334" i="5"/>
  <c r="HF333" i="5"/>
  <c r="HF335" i="5" s="1"/>
  <c r="AB244" i="5"/>
  <c r="GF228" i="5"/>
  <c r="GF218" i="5"/>
  <c r="AB199" i="5"/>
  <c r="GF193" i="5"/>
  <c r="HF192" i="5"/>
  <c r="HF194" i="5" s="1"/>
  <c r="AB174" i="5"/>
  <c r="HF172" i="5"/>
  <c r="HF174" i="5" s="1"/>
  <c r="HF315" i="5"/>
  <c r="HF317" i="5" s="1"/>
  <c r="HF310" i="5"/>
  <c r="HF312" i="5" s="1"/>
  <c r="HF300" i="5"/>
  <c r="HF302" i="5" s="1"/>
  <c r="GF266" i="5"/>
  <c r="HF489" i="5"/>
  <c r="HF491" i="5" s="1"/>
  <c r="HF476" i="5"/>
  <c r="HF478" i="5" s="1"/>
  <c r="HF466" i="5"/>
  <c r="HF468" i="5" s="1"/>
  <c r="AB463" i="5"/>
  <c r="GF457" i="5"/>
  <c r="AB438" i="5"/>
  <c r="HF436" i="5"/>
  <c r="HF438" i="5" s="1"/>
  <c r="AB433" i="5"/>
  <c r="AB428" i="5"/>
  <c r="GF427" i="5"/>
  <c r="GF412" i="5"/>
  <c r="HF398" i="5"/>
  <c r="HF400" i="5" s="1"/>
  <c r="HF393" i="5"/>
  <c r="HF395" i="5" s="1"/>
  <c r="HF383" i="5"/>
  <c r="HF385" i="5" s="1"/>
  <c r="AB380" i="5"/>
  <c r="AB375" i="5"/>
  <c r="HF368" i="5"/>
  <c r="HF370" i="5" s="1"/>
  <c r="AB365" i="5"/>
  <c r="AB355" i="5"/>
  <c r="HF353" i="5"/>
  <c r="HF355" i="5" s="1"/>
  <c r="GF344" i="5"/>
  <c r="GF339" i="5"/>
  <c r="AB239" i="5"/>
  <c r="GF238" i="5"/>
  <c r="AB234" i="5"/>
  <c r="GF233" i="5"/>
  <c r="HF232" i="5"/>
  <c r="HF234" i="5" s="1"/>
  <c r="AB229" i="5"/>
  <c r="HF222" i="5"/>
  <c r="HF224" i="5" s="1"/>
  <c r="AB219" i="5"/>
  <c r="GF208" i="5"/>
  <c r="GF188" i="5"/>
  <c r="HF182" i="5"/>
  <c r="HF184" i="5" s="1"/>
  <c r="AB322" i="5"/>
  <c r="GF321" i="5"/>
  <c r="GF316" i="5"/>
  <c r="AB307" i="5"/>
  <c r="GF306" i="5"/>
  <c r="HF305" i="5"/>
  <c r="HF307" i="5" s="1"/>
  <c r="GF301" i="5"/>
  <c r="AB297" i="5"/>
  <c r="GF296" i="5"/>
  <c r="GF291" i="5"/>
  <c r="GF281" i="5"/>
  <c r="HF280" i="5"/>
  <c r="HF282" i="5" s="1"/>
  <c r="HF275" i="5"/>
  <c r="HF277" i="5" s="1"/>
  <c r="HF270" i="5"/>
  <c r="HF272" i="5" s="1"/>
  <c r="AB267" i="5"/>
  <c r="HF159" i="5"/>
  <c r="HF161" i="5" s="1"/>
  <c r="GF256" i="5"/>
  <c r="HF255" i="5"/>
  <c r="HF257" i="5" s="1"/>
  <c r="GF155" i="5"/>
  <c r="GF140" i="5"/>
  <c r="AB136" i="5"/>
  <c r="AB101" i="5"/>
  <c r="HF51" i="5"/>
  <c r="HF53" i="5" s="1"/>
  <c r="GF261" i="5"/>
  <c r="HF260" i="5"/>
  <c r="HF262" i="5" s="1"/>
  <c r="AB257" i="5"/>
  <c r="GF251" i="5"/>
  <c r="GF145" i="5"/>
  <c r="HF144" i="5"/>
  <c r="HF146" i="5" s="1"/>
  <c r="AB141" i="5"/>
  <c r="HF134" i="5"/>
  <c r="HF136" i="5" s="1"/>
  <c r="HF124" i="5"/>
  <c r="HF126" i="5" s="1"/>
  <c r="GF115" i="5"/>
  <c r="HF109" i="5"/>
  <c r="HF111" i="5" s="1"/>
  <c r="HF104" i="5"/>
  <c r="HF106" i="5" s="1"/>
  <c r="HF99" i="5"/>
  <c r="HF101" i="5" s="1"/>
  <c r="GF95" i="5"/>
  <c r="AB83" i="5"/>
  <c r="GF82" i="5"/>
  <c r="GF77" i="5"/>
  <c r="HF66" i="5"/>
  <c r="HF68" i="5" s="1"/>
  <c r="AB63" i="5"/>
  <c r="HF61" i="5"/>
  <c r="HF63" i="5" s="1"/>
  <c r="HF56" i="5"/>
  <c r="HF58" i="5" s="1"/>
  <c r="AB48" i="5"/>
  <c r="AB151" i="5"/>
  <c r="AB146" i="5"/>
  <c r="HF139" i="5"/>
  <c r="HF141" i="5" s="1"/>
  <c r="AB131" i="5"/>
  <c r="GF120" i="5"/>
  <c r="HF114" i="5"/>
  <c r="HF116" i="5" s="1"/>
  <c r="GF110" i="5"/>
  <c r="AB106" i="5"/>
  <c r="AB96" i="5"/>
  <c r="AB78" i="5"/>
  <c r="GF52" i="5"/>
  <c r="HF46" i="5"/>
  <c r="HF48" i="5" s="1"/>
  <c r="HF265" i="5"/>
  <c r="HF267" i="5" s="1"/>
  <c r="AB262" i="5"/>
  <c r="GF150" i="5"/>
  <c r="GF130" i="5"/>
  <c r="AB121" i="5"/>
  <c r="AB116" i="5"/>
  <c r="GF105" i="5"/>
  <c r="GF87" i="5"/>
  <c r="HF76" i="5"/>
  <c r="HF78" i="5" s="1"/>
  <c r="HF250" i="5"/>
  <c r="HF252" i="5" s="1"/>
  <c r="GF165" i="5"/>
  <c r="HF164" i="5"/>
  <c r="HF166" i="5" s="1"/>
  <c r="HF154" i="5"/>
  <c r="HF156" i="5" s="1"/>
  <c r="GF135" i="5"/>
  <c r="HF129" i="5"/>
  <c r="HF131" i="5" s="1"/>
  <c r="AB126" i="5"/>
  <c r="GF125" i="5"/>
  <c r="HF119" i="5"/>
  <c r="HF121" i="5" s="1"/>
  <c r="AB111" i="5"/>
  <c r="GF100" i="5"/>
  <c r="HF94" i="5"/>
  <c r="HF96" i="5" s="1"/>
  <c r="AB88" i="5"/>
  <c r="HF81" i="5"/>
  <c r="HF83" i="5" s="1"/>
  <c r="GF72" i="5"/>
  <c r="HF71" i="5"/>
  <c r="HF73" i="5" s="1"/>
  <c r="GF67" i="5"/>
  <c r="AB58" i="5"/>
  <c r="GF57" i="5"/>
  <c r="AB53" i="5"/>
  <c r="AB166" i="5"/>
  <c r="AB161" i="5"/>
  <c r="AB156" i="5"/>
  <c r="HF149" i="5"/>
  <c r="HF151" i="5" s="1"/>
  <c r="HF86" i="5"/>
  <c r="HF88" i="5" s="1"/>
  <c r="AB73" i="5"/>
  <c r="AB68" i="5"/>
  <c r="GF62" i="5"/>
  <c r="GF47" i="5"/>
  <c r="AB43" i="5"/>
  <c r="DX100" i="8" a="1"/>
  <c r="DX100" i="8" s="1"/>
  <c r="EP100" i="8" s="1"/>
  <c r="DX106" i="8" a="1"/>
  <c r="DX106" i="8" s="1"/>
  <c r="EP106" i="8" s="1"/>
  <c r="DX113" i="8" a="1"/>
  <c r="DX113" i="8" s="1"/>
  <c r="EP113" i="8" s="1"/>
  <c r="DX119" i="8" a="1"/>
  <c r="DX119" i="8" s="1"/>
  <c r="EP119" i="8" s="1"/>
  <c r="DX132" i="8" a="1"/>
  <c r="DX132" i="8" s="1"/>
  <c r="EP132" i="8" s="1"/>
  <c r="DX138" i="8" a="1"/>
  <c r="DX138" i="8" s="1"/>
  <c r="EP138" i="8" s="1"/>
  <c r="DX97" i="8" a="1"/>
  <c r="DX97" i="8" s="1"/>
  <c r="EP97" i="8" s="1"/>
  <c r="DX101" i="8" a="1"/>
  <c r="DX101" i="8" s="1"/>
  <c r="EP101" i="8" s="1"/>
  <c r="DX107" i="8" a="1"/>
  <c r="DX107" i="8" s="1"/>
  <c r="EP107" i="8" s="1"/>
  <c r="DX120" i="8" a="1"/>
  <c r="DX120" i="8" s="1"/>
  <c r="EP120" i="8" s="1"/>
  <c r="DX126" i="8" a="1"/>
  <c r="DX126" i="8" s="1"/>
  <c r="EP126" i="8" s="1"/>
  <c r="DX133" i="8" a="1"/>
  <c r="DX133" i="8" s="1"/>
  <c r="EP133" i="8" s="1"/>
  <c r="DX139" i="8" a="1"/>
  <c r="DX139" i="8" s="1"/>
  <c r="EP139" i="8" s="1"/>
  <c r="DX108" i="8" a="1"/>
  <c r="DX108" i="8" s="1"/>
  <c r="EP108" i="8" s="1"/>
  <c r="DX114" i="8" a="1"/>
  <c r="DX114" i="8" s="1"/>
  <c r="EP114" i="8" s="1"/>
  <c r="DX121" i="8" a="1"/>
  <c r="DX121" i="8" s="1"/>
  <c r="EP121" i="8" s="1"/>
  <c r="DX127" i="8" a="1"/>
  <c r="DX127" i="8" s="1"/>
  <c r="EP127" i="8" s="1"/>
  <c r="DX140" i="8" a="1"/>
  <c r="DX140" i="8" s="1"/>
  <c r="EP140" i="8" s="1"/>
  <c r="DX98" i="8" a="1"/>
  <c r="DX98" i="8" s="1"/>
  <c r="EP98" i="8" s="1"/>
  <c r="DX102" i="8" a="1"/>
  <c r="DX102" i="8" s="1"/>
  <c r="EP102" i="8" s="1"/>
  <c r="DX103" i="8" a="1"/>
  <c r="DX103" i="8" s="1"/>
  <c r="EP103" i="8" s="1"/>
  <c r="DX116" i="8" a="1"/>
  <c r="DX116" i="8" s="1"/>
  <c r="EP116" i="8" s="1"/>
  <c r="DX122" i="8" a="1"/>
  <c r="DX122" i="8" s="1"/>
  <c r="EP122" i="8" s="1"/>
  <c r="DX129" i="8" a="1"/>
  <c r="DX129" i="8" s="1"/>
  <c r="EP129" i="8" s="1"/>
  <c r="DX135" i="8" a="1"/>
  <c r="DX135" i="8" s="1"/>
  <c r="EP135" i="8" s="1"/>
  <c r="DX104" i="8" a="1"/>
  <c r="DX104" i="8" s="1"/>
  <c r="EP104" i="8" s="1"/>
  <c r="DX110" i="8" a="1"/>
  <c r="DX110" i="8" s="1"/>
  <c r="EP110" i="8" s="1"/>
  <c r="DX117" i="8" a="1"/>
  <c r="DX117" i="8" s="1"/>
  <c r="EP117" i="8" s="1"/>
  <c r="DX123" i="8" a="1"/>
  <c r="DX123" i="8" s="1"/>
  <c r="EP123" i="8" s="1"/>
  <c r="DX136" i="8" a="1"/>
  <c r="DX136" i="8" s="1"/>
  <c r="EP136" i="8" s="1"/>
  <c r="DX94" i="8" a="1"/>
  <c r="DX94" i="8" s="1"/>
  <c r="EP94" i="8" s="1"/>
  <c r="DX142" i="8" a="1"/>
  <c r="DX142" i="8" s="1"/>
  <c r="EP142" i="8" s="1"/>
  <c r="DX105" i="8" a="1"/>
  <c r="DX105" i="8" s="1"/>
  <c r="EP105" i="8" s="1"/>
  <c r="DX111" i="8" a="1"/>
  <c r="DX111" i="8" s="1"/>
  <c r="EP111" i="8" s="1"/>
  <c r="DX124" i="8" a="1"/>
  <c r="DX124" i="8" s="1"/>
  <c r="EP124" i="8" s="1"/>
  <c r="DX130" i="8" a="1"/>
  <c r="DX130" i="8" s="1"/>
  <c r="EP130" i="8" s="1"/>
  <c r="DX137" i="8" a="1"/>
  <c r="DX137" i="8" s="1"/>
  <c r="EP137" i="8" s="1"/>
  <c r="DX95" i="8" a="1"/>
  <c r="DX95" i="8" s="1"/>
  <c r="EP95" i="8" s="1"/>
  <c r="DX99" i="8" a="1"/>
  <c r="DX99" i="8" s="1"/>
  <c r="EP99" i="8" s="1"/>
  <c r="DX112" i="8" a="1"/>
  <c r="DX112" i="8" s="1"/>
  <c r="EP112" i="8" s="1"/>
  <c r="DX118" i="8" a="1"/>
  <c r="DX118" i="8" s="1"/>
  <c r="EP118" i="8" s="1"/>
  <c r="DX125" i="8" a="1"/>
  <c r="DX125" i="8" s="1"/>
  <c r="EP125" i="8" s="1"/>
  <c r="DX131" i="8" a="1"/>
  <c r="DX131" i="8" s="1"/>
  <c r="EP131" i="8" s="1"/>
  <c r="DX96" i="8" a="1"/>
  <c r="DX96" i="8" s="1"/>
  <c r="EP96" i="8" s="1"/>
  <c r="DX109" i="8" a="1"/>
  <c r="DX109" i="8" s="1"/>
  <c r="EP109" i="8" s="1"/>
  <c r="DX115" i="8" a="1"/>
  <c r="DX115" i="8" s="1"/>
  <c r="EP115" i="8" s="1"/>
  <c r="DX128" i="8" a="1"/>
  <c r="DX128" i="8" s="1"/>
  <c r="EP128" i="8" s="1"/>
  <c r="DX134" i="8" a="1"/>
  <c r="DX134" i="8" s="1"/>
  <c r="EP134" i="8" s="1"/>
  <c r="DX141" i="8" a="1"/>
  <c r="DX141" i="8" s="1"/>
  <c r="EP141" i="8" s="1"/>
  <c r="GF42" i="5"/>
  <c r="HF41" i="5"/>
  <c r="HF43" i="5" s="1"/>
  <c r="DX93" i="8" a="1"/>
  <c r="DX93" i="8" s="1"/>
  <c r="EP93" i="8" s="1"/>
  <c r="G4" i="3"/>
  <c r="G8" i="3"/>
  <c r="G16" i="3"/>
  <c r="G17" i="3"/>
  <c r="G18" i="3"/>
  <c r="G19" i="3"/>
  <c r="G20" i="3"/>
  <c r="G21" i="3"/>
  <c r="G24" i="3"/>
  <c r="G25" i="3"/>
  <c r="G26" i="3"/>
  <c r="G27" i="3"/>
  <c r="G28" i="3"/>
  <c r="G29" i="3"/>
  <c r="G30" i="3"/>
  <c r="G31" i="3"/>
  <c r="G32" i="3"/>
  <c r="G33" i="3"/>
  <c r="G34" i="3"/>
  <c r="G35" i="3"/>
  <c r="G38" i="3"/>
  <c r="G39" i="3"/>
  <c r="G40" i="3"/>
  <c r="G41" i="3"/>
  <c r="G42" i="3"/>
  <c r="G43" i="3"/>
  <c r="G44" i="3"/>
  <c r="G45" i="3"/>
  <c r="G48" i="3"/>
  <c r="G49" i="3"/>
  <c r="G50" i="3"/>
  <c r="G51" i="3"/>
  <c r="G52" i="3"/>
  <c r="G53" i="3"/>
  <c r="G54" i="3"/>
  <c r="G55" i="3"/>
  <c r="G56" i="3"/>
  <c r="G57" i="3"/>
  <c r="G58" i="3"/>
  <c r="G59" i="3"/>
  <c r="G60" i="3"/>
  <c r="G63" i="3"/>
  <c r="G64" i="3"/>
  <c r="G65" i="3"/>
  <c r="G66" i="3"/>
  <c r="G67" i="3"/>
  <c r="G68" i="3"/>
  <c r="G69" i="3"/>
  <c r="G70" i="3"/>
  <c r="G71" i="3"/>
  <c r="G72" i="3"/>
  <c r="G73" i="3"/>
  <c r="G74" i="3"/>
  <c r="G75" i="3"/>
  <c r="G78" i="3"/>
  <c r="G79" i="3"/>
  <c r="G80" i="3"/>
  <c r="G81" i="3"/>
  <c r="G82" i="3"/>
  <c r="G83" i="3"/>
  <c r="G84" i="3"/>
  <c r="G85" i="3"/>
  <c r="G88" i="3"/>
  <c r="G89" i="3"/>
  <c r="G90" i="3"/>
  <c r="G91" i="3"/>
  <c r="G92" i="3"/>
  <c r="G93" i="3"/>
  <c r="G94" i="3"/>
  <c r="G95" i="3"/>
  <c r="G98" i="3"/>
  <c r="G99" i="3"/>
  <c r="G100" i="3"/>
  <c r="G101" i="3"/>
  <c r="G104" i="3"/>
  <c r="G105" i="3"/>
  <c r="G106" i="3"/>
  <c r="G107" i="3"/>
  <c r="G110" i="3"/>
  <c r="G111" i="3"/>
  <c r="G112" i="3"/>
  <c r="G113" i="3"/>
  <c r="G116" i="3"/>
  <c r="G117" i="3"/>
  <c r="G118" i="3"/>
  <c r="G119" i="3"/>
  <c r="G120" i="3"/>
  <c r="G121" i="3"/>
  <c r="G122" i="3"/>
  <c r="G125" i="3"/>
  <c r="G126" i="3"/>
  <c r="G127" i="3"/>
  <c r="G128" i="3"/>
  <c r="G129" i="3"/>
  <c r="G132" i="3"/>
  <c r="G133" i="3"/>
  <c r="G134" i="3"/>
  <c r="G135" i="3"/>
  <c r="G136" i="3"/>
  <c r="G137" i="3"/>
  <c r="G138" i="3"/>
  <c r="G139" i="3"/>
  <c r="G140" i="3"/>
  <c r="G141" i="3"/>
  <c r="G142" i="3"/>
  <c r="G143" i="3"/>
  <c r="G146" i="3"/>
  <c r="G147" i="3"/>
  <c r="G148" i="3"/>
  <c r="G149" i="3"/>
  <c r="G150" i="3"/>
  <c r="G151" i="3"/>
  <c r="G152" i="3"/>
  <c r="G153" i="3"/>
  <c r="G156" i="3"/>
  <c r="G157" i="3"/>
  <c r="G158" i="3"/>
  <c r="G160" i="3"/>
  <c r="G161" i="3"/>
  <c r="G162" i="3"/>
  <c r="G164" i="3"/>
  <c r="G165" i="3"/>
  <c r="G166" i="3"/>
  <c r="G168" i="3"/>
  <c r="G169" i="3"/>
  <c r="G170" i="3"/>
  <c r="G172" i="3"/>
  <c r="G173" i="3"/>
  <c r="G174" i="3"/>
  <c r="G177" i="3"/>
  <c r="G178" i="3"/>
  <c r="G179" i="3"/>
  <c r="G181" i="3"/>
  <c r="G182" i="3"/>
  <c r="G183" i="3"/>
  <c r="G185" i="3"/>
  <c r="G186" i="3"/>
  <c r="G187" i="3"/>
  <c r="G189" i="3"/>
  <c r="G190" i="3"/>
  <c r="G191" i="3"/>
  <c r="G193" i="3"/>
  <c r="G194" i="3"/>
  <c r="G195" i="3"/>
  <c r="G198" i="3"/>
  <c r="G199" i="3"/>
  <c r="G200" i="3"/>
  <c r="G202" i="3"/>
  <c r="G203" i="3"/>
  <c r="G204" i="3"/>
  <c r="G206" i="3"/>
  <c r="G207" i="3"/>
  <c r="G208" i="3"/>
  <c r="G210" i="3"/>
  <c r="G211" i="3"/>
  <c r="G212" i="3"/>
  <c r="G214" i="3"/>
  <c r="G215" i="3"/>
  <c r="G216" i="3"/>
  <c r="G219" i="3"/>
  <c r="G220" i="3"/>
  <c r="G221" i="3"/>
  <c r="G222" i="3"/>
  <c r="G223" i="3"/>
  <c r="G224" i="3"/>
  <c r="G225" i="3"/>
  <c r="G226" i="3"/>
  <c r="G229" i="3"/>
  <c r="G230" i="3"/>
  <c r="G231" i="3"/>
  <c r="G232" i="3"/>
  <c r="G233" i="3"/>
  <c r="G234" i="3"/>
  <c r="G235" i="3"/>
  <c r="G236" i="3"/>
  <c r="G237" i="3"/>
  <c r="G238" i="3"/>
  <c r="G239" i="3"/>
  <c r="G240" i="3"/>
  <c r="G241" i="3"/>
  <c r="G242" i="3"/>
  <c r="G243" i="3"/>
  <c r="G244" i="3"/>
  <c r="G247" i="3"/>
  <c r="G248" i="3"/>
  <c r="G249" i="3"/>
  <c r="G250" i="3"/>
  <c r="G251" i="3"/>
  <c r="G252" i="3"/>
  <c r="G253" i="3"/>
  <c r="G254" i="3"/>
  <c r="G255" i="3"/>
  <c r="G256" i="3"/>
  <c r="G307" i="3"/>
  <c r="G308" i="3"/>
  <c r="G309" i="3"/>
  <c r="G310" i="3"/>
  <c r="G311" i="3"/>
  <c r="G312" i="3"/>
  <c r="G313" i="3"/>
  <c r="G314" i="3"/>
  <c r="G315" i="3"/>
  <c r="G316" i="3"/>
  <c r="G317" i="3"/>
  <c r="G318" i="3"/>
  <c r="G319" i="3"/>
  <c r="G320" i="3"/>
  <c r="G321" i="3"/>
  <c r="G322" i="3"/>
  <c r="G323" i="3"/>
  <c r="G324" i="3"/>
  <c r="G325" i="3"/>
  <c r="G326" i="3"/>
  <c r="G327" i="3"/>
  <c r="G306" i="3"/>
  <c r="G300" i="3"/>
  <c r="G301" i="3"/>
  <c r="G302" i="3"/>
  <c r="G303" i="3"/>
  <c r="G299" i="3"/>
  <c r="G272" i="3"/>
  <c r="G273" i="3"/>
  <c r="G274" i="3"/>
  <c r="G275" i="3"/>
  <c r="G276" i="3"/>
  <c r="G277" i="3"/>
  <c r="G278" i="3"/>
  <c r="G279" i="3"/>
  <c r="G280" i="3"/>
  <c r="G281" i="3"/>
  <c r="G282" i="3"/>
  <c r="G283" i="3"/>
  <c r="G284" i="3"/>
  <c r="G285" i="3"/>
  <c r="G286" i="3"/>
  <c r="G287" i="3"/>
  <c r="G288" i="3"/>
  <c r="G289" i="3"/>
  <c r="G290" i="3"/>
  <c r="G291" i="3"/>
  <c r="G292" i="3"/>
  <c r="G293" i="3"/>
  <c r="G294" i="3"/>
  <c r="G295" i="3"/>
  <c r="G296" i="3"/>
  <c r="G271" i="3"/>
  <c r="G260" i="3"/>
  <c r="G261" i="3"/>
  <c r="G262" i="3"/>
  <c r="G263" i="3"/>
  <c r="G264" i="3"/>
  <c r="G265" i="3"/>
  <c r="G266" i="3"/>
  <c r="G267" i="3"/>
  <c r="G268" i="3"/>
  <c r="G259" i="3"/>
  <c r="GM194" i="5" l="1"/>
  <c r="GI192" i="5"/>
  <c r="GI363" i="5"/>
  <c r="AV362" i="5" s="1"/>
  <c r="HS363" i="5" s="1"/>
  <c r="HS365" i="5" s="1"/>
  <c r="GM365" i="5"/>
  <c r="GM531" i="5"/>
  <c r="GI529" i="5"/>
  <c r="GI695" i="5"/>
  <c r="AV694" i="5" s="1"/>
  <c r="GM697" i="5"/>
  <c r="GM96" i="5"/>
  <c r="GI94" i="5"/>
  <c r="GM267" i="5"/>
  <c r="GI265" i="5"/>
  <c r="GI451" i="5"/>
  <c r="GM453" i="5"/>
  <c r="GI617" i="5"/>
  <c r="AV616" i="5" s="1"/>
  <c r="HS617" i="5" s="1"/>
  <c r="HS619" i="5" s="1"/>
  <c r="GM619" i="5"/>
  <c r="GM765" i="5"/>
  <c r="GI763" i="5"/>
  <c r="GM121" i="5"/>
  <c r="GI119" i="5"/>
  <c r="AV118" i="5" s="1"/>
  <c r="HS119" i="5" s="1"/>
  <c r="HS121" i="5" s="1"/>
  <c r="GI202" i="5"/>
  <c r="GM204" i="5"/>
  <c r="GM292" i="5"/>
  <c r="GI290" i="5"/>
  <c r="AV289" i="5" s="1"/>
  <c r="HS290" i="5" s="1"/>
  <c r="HS292" i="5" s="1"/>
  <c r="GM375" i="5"/>
  <c r="GI373" i="5"/>
  <c r="GI456" i="5"/>
  <c r="AV455" i="5" s="1"/>
  <c r="GM458" i="5"/>
  <c r="GM541" i="5"/>
  <c r="GI539" i="5"/>
  <c r="GI622" i="5"/>
  <c r="AV621" i="5" s="1"/>
  <c r="GM624" i="5"/>
  <c r="GM707" i="5"/>
  <c r="GI705" i="5"/>
  <c r="GI788" i="5"/>
  <c r="AV787" i="5" s="1"/>
  <c r="HS788" i="5" s="1"/>
  <c r="HS790" i="5" s="1"/>
  <c r="GM790" i="5"/>
  <c r="GM174" i="5"/>
  <c r="GI172" i="5"/>
  <c r="GM345" i="5"/>
  <c r="GI343" i="5"/>
  <c r="AV342" i="5" s="1"/>
  <c r="HS343" i="5" s="1"/>
  <c r="HS345" i="5" s="1"/>
  <c r="GM511" i="5"/>
  <c r="GI509" i="5"/>
  <c r="GI675" i="5"/>
  <c r="AV674" i="5" s="1"/>
  <c r="GM677" i="5"/>
  <c r="GM116" i="5"/>
  <c r="GI114" i="5"/>
  <c r="AV113" i="5" s="1"/>
  <c r="HS114" i="5" s="1"/>
  <c r="HS116" i="5" s="1"/>
  <c r="GI285" i="5"/>
  <c r="AV284" i="5" s="1"/>
  <c r="HS285" i="5" s="1"/>
  <c r="HS287" i="5" s="1"/>
  <c r="GM287" i="5"/>
  <c r="GM433" i="5"/>
  <c r="GI431" i="5"/>
  <c r="GI597" i="5"/>
  <c r="AV596" i="5" s="1"/>
  <c r="GM599" i="5"/>
  <c r="GI783" i="5"/>
  <c r="GM785" i="5"/>
  <c r="GM126" i="5"/>
  <c r="GI124" i="5"/>
  <c r="AV123" i="5" s="1"/>
  <c r="HS124" i="5" s="1"/>
  <c r="HS126" i="5" s="1"/>
  <c r="GI207" i="5"/>
  <c r="GM209" i="5"/>
  <c r="GM297" i="5"/>
  <c r="GI295" i="5"/>
  <c r="AV294" i="5" s="1"/>
  <c r="HS295" i="5" s="1"/>
  <c r="HS297" i="5" s="1"/>
  <c r="GM380" i="5"/>
  <c r="GI378" i="5"/>
  <c r="GM463" i="5"/>
  <c r="GI461" i="5"/>
  <c r="AV460" i="5" s="1"/>
  <c r="GM546" i="5"/>
  <c r="GI544" i="5"/>
  <c r="GI627" i="5"/>
  <c r="AV626" i="5" s="1"/>
  <c r="GM629" i="5"/>
  <c r="GM712" i="5"/>
  <c r="GI710" i="5"/>
  <c r="GM68" i="5"/>
  <c r="GI66" i="5"/>
  <c r="AV65" i="5" s="1"/>
  <c r="GM239" i="5"/>
  <c r="GI237" i="5"/>
  <c r="GM408" i="5"/>
  <c r="GI406" i="5"/>
  <c r="AV405" i="5" s="1"/>
  <c r="HS406" i="5" s="1"/>
  <c r="HS408" i="5" s="1"/>
  <c r="GM574" i="5"/>
  <c r="GI572" i="5"/>
  <c r="GI738" i="5"/>
  <c r="AV737" i="5" s="1"/>
  <c r="HS738" i="5" s="1"/>
  <c r="HS740" i="5" s="1"/>
  <c r="GM740" i="5"/>
  <c r="GI134" i="5"/>
  <c r="GM136" i="5"/>
  <c r="GM330" i="5"/>
  <c r="GI328" i="5"/>
  <c r="AV327" i="5" s="1"/>
  <c r="GM496" i="5"/>
  <c r="GI494" i="5"/>
  <c r="GM662" i="5"/>
  <c r="GI660" i="5"/>
  <c r="AV659" i="5" s="1"/>
  <c r="HS660" i="5" s="1"/>
  <c r="HS662" i="5" s="1"/>
  <c r="GM58" i="5"/>
  <c r="GI56" i="5"/>
  <c r="GM141" i="5"/>
  <c r="GI139" i="5"/>
  <c r="AV138" i="5" s="1"/>
  <c r="HS139" i="5" s="1"/>
  <c r="HS141" i="5" s="1"/>
  <c r="GI227" i="5"/>
  <c r="AV226" i="5" s="1"/>
  <c r="HS227" i="5" s="1"/>
  <c r="HS229" i="5" s="1"/>
  <c r="GM229" i="5"/>
  <c r="GI310" i="5"/>
  <c r="AV309" i="5" s="1"/>
  <c r="HS310" i="5" s="1"/>
  <c r="HS312" i="5" s="1"/>
  <c r="GM312" i="5"/>
  <c r="GI393" i="5"/>
  <c r="GM395" i="5"/>
  <c r="GM478" i="5"/>
  <c r="GI476" i="5"/>
  <c r="GI562" i="5"/>
  <c r="GM564" i="5"/>
  <c r="GM647" i="5"/>
  <c r="GI645" i="5"/>
  <c r="AV644" i="5" s="1"/>
  <c r="GI728" i="5"/>
  <c r="GM730" i="5"/>
  <c r="GM48" i="5"/>
  <c r="GI46" i="5"/>
  <c r="AV45" i="5" s="1"/>
  <c r="HS46" i="5" s="1"/>
  <c r="HS48" i="5" s="1"/>
  <c r="GM214" i="5"/>
  <c r="GI212" i="5"/>
  <c r="GI383" i="5"/>
  <c r="AV382" i="5" s="1"/>
  <c r="GM385" i="5"/>
  <c r="GI549" i="5"/>
  <c r="GM551" i="5"/>
  <c r="GM720" i="5"/>
  <c r="GI718" i="5"/>
  <c r="AV717" i="5" s="1"/>
  <c r="HS718" i="5" s="1"/>
  <c r="HS720" i="5" s="1"/>
  <c r="GM156" i="5"/>
  <c r="GI154" i="5"/>
  <c r="GI305" i="5"/>
  <c r="AV304" i="5" s="1"/>
  <c r="GM307" i="5"/>
  <c r="GM473" i="5"/>
  <c r="GI471" i="5"/>
  <c r="GI640" i="5"/>
  <c r="AV639" i="5" s="1"/>
  <c r="HS640" i="5" s="1"/>
  <c r="HS642" i="5" s="1"/>
  <c r="GM642" i="5"/>
  <c r="GM63" i="5"/>
  <c r="GI61" i="5"/>
  <c r="GI144" i="5"/>
  <c r="AV143" i="5" s="1"/>
  <c r="HS144" i="5" s="1"/>
  <c r="HS146" i="5" s="1"/>
  <c r="GM146" i="5"/>
  <c r="GI232" i="5"/>
  <c r="GM234" i="5"/>
  <c r="GM317" i="5"/>
  <c r="GI315" i="5"/>
  <c r="AV314" i="5" s="1"/>
  <c r="GM400" i="5"/>
  <c r="GI398" i="5"/>
  <c r="GM486" i="5"/>
  <c r="GI484" i="5"/>
  <c r="AV483" i="5" s="1"/>
  <c r="HS484" i="5" s="1"/>
  <c r="HS486" i="5" s="1"/>
  <c r="GI567" i="5"/>
  <c r="GM569" i="5"/>
  <c r="GI650" i="5"/>
  <c r="AV649" i="5" s="1"/>
  <c r="GM652" i="5"/>
  <c r="GM735" i="5"/>
  <c r="GI733" i="5"/>
  <c r="GM111" i="5"/>
  <c r="GI109" i="5"/>
  <c r="AV108" i="5" s="1"/>
  <c r="GM282" i="5"/>
  <c r="GI280" i="5"/>
  <c r="GM448" i="5"/>
  <c r="GI446" i="5"/>
  <c r="AV445" i="5" s="1"/>
  <c r="HS446" i="5" s="1"/>
  <c r="HS448" i="5" s="1"/>
  <c r="GI612" i="5"/>
  <c r="GM614" i="5"/>
  <c r="GM760" i="5"/>
  <c r="GI758" i="5"/>
  <c r="AV757" i="5" s="1"/>
  <c r="GI177" i="5"/>
  <c r="GM179" i="5"/>
  <c r="GI368" i="5"/>
  <c r="AV367" i="5" s="1"/>
  <c r="HS368" i="5" s="1"/>
  <c r="HS370" i="5" s="1"/>
  <c r="GM370" i="5"/>
  <c r="GM536" i="5"/>
  <c r="GI534" i="5"/>
  <c r="GI700" i="5"/>
  <c r="AV699" i="5" s="1"/>
  <c r="HS700" i="5" s="1"/>
  <c r="HS702" i="5" s="1"/>
  <c r="GM702" i="5"/>
  <c r="GM78" i="5"/>
  <c r="GI76" i="5"/>
  <c r="GI159" i="5"/>
  <c r="AV158" i="5" s="1"/>
  <c r="HS159" i="5" s="1"/>
  <c r="HS161" i="5" s="1"/>
  <c r="GM161" i="5"/>
  <c r="GI250" i="5"/>
  <c r="AV249" i="5" s="1"/>
  <c r="GM252" i="5"/>
  <c r="GM335" i="5"/>
  <c r="GI333" i="5"/>
  <c r="AV332" i="5" s="1"/>
  <c r="HS333" i="5" s="1"/>
  <c r="HS335" i="5" s="1"/>
  <c r="GM418" i="5"/>
  <c r="GI416" i="5"/>
  <c r="GI499" i="5"/>
  <c r="AV498" i="5" s="1"/>
  <c r="HS499" i="5" s="1"/>
  <c r="HS501" i="5" s="1"/>
  <c r="GM501" i="5"/>
  <c r="GM584" i="5"/>
  <c r="GI582" i="5"/>
  <c r="GM667" i="5"/>
  <c r="GI665" i="5"/>
  <c r="AV664" i="5" s="1"/>
  <c r="HS665" i="5" s="1"/>
  <c r="HS667" i="5" s="1"/>
  <c r="GM750" i="5"/>
  <c r="GI748" i="5"/>
  <c r="GM88" i="5"/>
  <c r="GI86" i="5"/>
  <c r="GM262" i="5"/>
  <c r="GI260" i="5"/>
  <c r="AV259" i="5" s="1"/>
  <c r="HS260" i="5" s="1"/>
  <c r="HS262" i="5" s="1"/>
  <c r="GM428" i="5"/>
  <c r="GI426" i="5"/>
  <c r="AV425" i="5" s="1"/>
  <c r="GM594" i="5"/>
  <c r="GI592" i="5"/>
  <c r="GI778" i="5"/>
  <c r="GM780" i="5"/>
  <c r="GI197" i="5"/>
  <c r="AV196" i="5" s="1"/>
  <c r="HS197" i="5" s="1"/>
  <c r="HS199" i="5" s="1"/>
  <c r="GM199" i="5"/>
  <c r="GM350" i="5"/>
  <c r="GI348" i="5"/>
  <c r="AV347" i="5" s="1"/>
  <c r="HS348" i="5" s="1"/>
  <c r="HS350" i="5" s="1"/>
  <c r="GM516" i="5"/>
  <c r="GI514" i="5"/>
  <c r="GM682" i="5"/>
  <c r="GI680" i="5"/>
  <c r="AV679" i="5" s="1"/>
  <c r="GI81" i="5"/>
  <c r="AV80" i="5" s="1"/>
  <c r="HS81" i="5" s="1"/>
  <c r="HS83" i="5" s="1"/>
  <c r="GM83" i="5"/>
  <c r="GI164" i="5"/>
  <c r="AV163" i="5" s="1"/>
  <c r="GM166" i="5"/>
  <c r="GM257" i="5"/>
  <c r="GI255" i="5"/>
  <c r="GM340" i="5"/>
  <c r="GI338" i="5"/>
  <c r="AV337" i="5" s="1"/>
  <c r="HS338" i="5" s="1"/>
  <c r="HS340" i="5" s="1"/>
  <c r="GM423" i="5"/>
  <c r="GI421" i="5"/>
  <c r="GM506" i="5"/>
  <c r="GI504" i="5"/>
  <c r="AV503" i="5" s="1"/>
  <c r="GI587" i="5"/>
  <c r="GM589" i="5"/>
  <c r="GM672" i="5"/>
  <c r="GI670" i="5"/>
  <c r="AV669" i="5" s="1"/>
  <c r="HS670" i="5" s="1"/>
  <c r="HS672" i="5" s="1"/>
  <c r="GM755" i="5"/>
  <c r="GI753" i="5"/>
  <c r="GM151" i="5"/>
  <c r="GI149" i="5"/>
  <c r="AV148" i="5" s="1"/>
  <c r="HS149" i="5" s="1"/>
  <c r="HS151" i="5" s="1"/>
  <c r="GI320" i="5"/>
  <c r="GM322" i="5"/>
  <c r="GM491" i="5"/>
  <c r="GI489" i="5"/>
  <c r="GI655" i="5"/>
  <c r="GM657" i="5"/>
  <c r="GM53" i="5"/>
  <c r="GI51" i="5"/>
  <c r="AV50" i="5" s="1"/>
  <c r="HS51" i="5" s="1"/>
  <c r="HS53" i="5" s="1"/>
  <c r="GI217" i="5"/>
  <c r="GM219" i="5"/>
  <c r="GI411" i="5"/>
  <c r="AV410" i="5" s="1"/>
  <c r="HS411" i="5" s="1"/>
  <c r="HS413" i="5" s="1"/>
  <c r="GM413" i="5"/>
  <c r="GM579" i="5"/>
  <c r="GI577" i="5"/>
  <c r="GM725" i="5"/>
  <c r="GI723" i="5"/>
  <c r="AV722" i="5" s="1"/>
  <c r="GI99" i="5"/>
  <c r="GM101" i="5"/>
  <c r="GM184" i="5"/>
  <c r="GI182" i="5"/>
  <c r="AV181" i="5" s="1"/>
  <c r="HS182" i="5" s="1"/>
  <c r="HS184" i="5" s="1"/>
  <c r="GM272" i="5"/>
  <c r="GI270" i="5"/>
  <c r="GM355" i="5"/>
  <c r="GI353" i="5"/>
  <c r="AV352" i="5" s="1"/>
  <c r="GM438" i="5"/>
  <c r="GI436" i="5"/>
  <c r="GM521" i="5"/>
  <c r="GI519" i="5"/>
  <c r="AV518" i="5" s="1"/>
  <c r="GI602" i="5"/>
  <c r="GM604" i="5"/>
  <c r="GI685" i="5"/>
  <c r="AV684" i="5" s="1"/>
  <c r="GM687" i="5"/>
  <c r="GM770" i="5"/>
  <c r="GI768" i="5"/>
  <c r="GI129" i="5"/>
  <c r="AV128" i="5" s="1"/>
  <c r="HS129" i="5" s="1"/>
  <c r="HS131" i="5" s="1"/>
  <c r="GM131" i="5"/>
  <c r="GM302" i="5"/>
  <c r="GI300" i="5"/>
  <c r="AV299" i="5" s="1"/>
  <c r="GI466" i="5"/>
  <c r="AV465" i="5" s="1"/>
  <c r="HS466" i="5" s="1"/>
  <c r="HS468" i="5" s="1"/>
  <c r="GM468" i="5"/>
  <c r="GM634" i="5"/>
  <c r="GI632" i="5"/>
  <c r="GM73" i="5"/>
  <c r="GI71" i="5"/>
  <c r="AV70" i="5" s="1"/>
  <c r="HS71" i="5" s="1"/>
  <c r="HS73" i="5" s="1"/>
  <c r="GI242" i="5"/>
  <c r="GM244" i="5"/>
  <c r="GM390" i="5"/>
  <c r="GI388" i="5"/>
  <c r="AV387" i="5" s="1"/>
  <c r="GI554" i="5"/>
  <c r="GM556" i="5"/>
  <c r="GI743" i="5"/>
  <c r="GM745" i="5"/>
  <c r="GI104" i="5"/>
  <c r="GM106" i="5"/>
  <c r="GI187" i="5"/>
  <c r="AV186" i="5" s="1"/>
  <c r="HS187" i="5" s="1"/>
  <c r="HS189" i="5" s="1"/>
  <c r="GM189" i="5"/>
  <c r="GI275" i="5"/>
  <c r="GM277" i="5"/>
  <c r="GI358" i="5"/>
  <c r="AV357" i="5" s="1"/>
  <c r="HS358" i="5" s="1"/>
  <c r="HS360" i="5" s="1"/>
  <c r="GM360" i="5"/>
  <c r="GM443" i="5"/>
  <c r="GI441" i="5"/>
  <c r="GI524" i="5"/>
  <c r="AV523" i="5" s="1"/>
  <c r="HS524" i="5" s="1"/>
  <c r="HS526" i="5" s="1"/>
  <c r="GM526" i="5"/>
  <c r="GI607" i="5"/>
  <c r="GM609" i="5"/>
  <c r="GM692" i="5"/>
  <c r="GI690" i="5"/>
  <c r="AV689" i="5" s="1"/>
  <c r="GM775" i="5"/>
  <c r="GI773" i="5"/>
  <c r="AD166" i="5"/>
  <c r="IF165" i="5"/>
  <c r="AC166" i="5"/>
  <c r="AK165" i="5" s="1"/>
  <c r="IH165" i="5"/>
  <c r="II163" i="5" s="1"/>
  <c r="AD88" i="5"/>
  <c r="IF87" i="5"/>
  <c r="AC88" i="5"/>
  <c r="AK87" i="5" s="1"/>
  <c r="IH87" i="5"/>
  <c r="II85" i="5" s="1"/>
  <c r="AV85" i="5"/>
  <c r="AD116" i="5"/>
  <c r="AC116" i="5"/>
  <c r="AK115" i="5" s="1"/>
  <c r="IF115" i="5"/>
  <c r="IH115" i="5"/>
  <c r="II113" i="5" s="1"/>
  <c r="AD262" i="5"/>
  <c r="IF261" i="5"/>
  <c r="IH261" i="5"/>
  <c r="II259" i="5" s="1"/>
  <c r="AC262" i="5"/>
  <c r="AK261" i="5" s="1"/>
  <c r="AD78" i="5"/>
  <c r="AC78" i="5"/>
  <c r="AK77" i="5" s="1"/>
  <c r="IH77" i="5"/>
  <c r="II75" i="5" s="1"/>
  <c r="IF77" i="5"/>
  <c r="AV75" i="5"/>
  <c r="HS76" i="5" s="1"/>
  <c r="HS78" i="5" s="1"/>
  <c r="AD146" i="5"/>
  <c r="IF145" i="5"/>
  <c r="IH145" i="5"/>
  <c r="II143" i="5" s="1"/>
  <c r="AC146" i="5"/>
  <c r="AK145" i="5" s="1"/>
  <c r="IF266" i="5"/>
  <c r="AC267" i="5"/>
  <c r="AK266" i="5" s="1"/>
  <c r="AD267" i="5"/>
  <c r="IH266" i="5"/>
  <c r="II264" i="5" s="1"/>
  <c r="AV264" i="5"/>
  <c r="HS265" i="5" s="1"/>
  <c r="HS267" i="5" s="1"/>
  <c r="AC229" i="5"/>
  <c r="AK228" i="5" s="1"/>
  <c r="IH228" i="5"/>
  <c r="II226" i="5" s="1"/>
  <c r="IF228" i="5"/>
  <c r="AD229" i="5"/>
  <c r="AD375" i="5"/>
  <c r="IH374" i="5"/>
  <c r="II372" i="5" s="1"/>
  <c r="IF374" i="5"/>
  <c r="AC375" i="5"/>
  <c r="AK374" i="5" s="1"/>
  <c r="AV372" i="5"/>
  <c r="AD433" i="5"/>
  <c r="AC433" i="5"/>
  <c r="AK432" i="5" s="1"/>
  <c r="IH432" i="5"/>
  <c r="II430" i="5" s="1"/>
  <c r="IF432" i="5"/>
  <c r="AV430" i="5"/>
  <c r="AD463" i="5"/>
  <c r="AC463" i="5"/>
  <c r="AK462" i="5" s="1"/>
  <c r="IH462" i="5"/>
  <c r="II460" i="5" s="1"/>
  <c r="IF462" i="5"/>
  <c r="AD199" i="5"/>
  <c r="AC199" i="5"/>
  <c r="AK198" i="5" s="1"/>
  <c r="IH198" i="5"/>
  <c r="II196" i="5" s="1"/>
  <c r="IF198" i="5"/>
  <c r="AD448" i="5"/>
  <c r="IH447" i="5"/>
  <c r="II445" i="5" s="1"/>
  <c r="AC448" i="5"/>
  <c r="AK447" i="5" s="1"/>
  <c r="IF447" i="5"/>
  <c r="AD486" i="5"/>
  <c r="IF485" i="5"/>
  <c r="IH485" i="5"/>
  <c r="II483" i="5" s="1"/>
  <c r="AC486" i="5"/>
  <c r="AK485" i="5" s="1"/>
  <c r="AD252" i="5"/>
  <c r="IH251" i="5"/>
  <c r="II249" i="5" s="1"/>
  <c r="IF251" i="5"/>
  <c r="AC252" i="5"/>
  <c r="AK251" i="5" s="1"/>
  <c r="AC312" i="5"/>
  <c r="AK311" i="5" s="1"/>
  <c r="IF311" i="5"/>
  <c r="IH311" i="5"/>
  <c r="II309" i="5" s="1"/>
  <c r="AD312" i="5"/>
  <c r="AC184" i="5"/>
  <c r="AK183" i="5" s="1"/>
  <c r="IH183" i="5"/>
  <c r="II181" i="5" s="1"/>
  <c r="AD184" i="5"/>
  <c r="IF183" i="5"/>
  <c r="IH349" i="5"/>
  <c r="II347" i="5" s="1"/>
  <c r="AD350" i="5"/>
  <c r="AC350" i="5"/>
  <c r="AK349" i="5" s="1"/>
  <c r="IF349" i="5"/>
  <c r="AC385" i="5"/>
  <c r="AK384" i="5" s="1"/>
  <c r="IH384" i="5"/>
  <c r="II382" i="5" s="1"/>
  <c r="IF384" i="5"/>
  <c r="AD385" i="5"/>
  <c r="AD395" i="5"/>
  <c r="IF394" i="5"/>
  <c r="AC395" i="5"/>
  <c r="AK394" i="5" s="1"/>
  <c r="IH394" i="5"/>
  <c r="II392" i="5" s="1"/>
  <c r="AV392" i="5"/>
  <c r="HS393" i="5" s="1"/>
  <c r="HS395" i="5" s="1"/>
  <c r="AD478" i="5"/>
  <c r="IH477" i="5"/>
  <c r="II475" i="5" s="1"/>
  <c r="IF477" i="5"/>
  <c r="AC478" i="5"/>
  <c r="AK477" i="5" s="1"/>
  <c r="AV475" i="5"/>
  <c r="AD302" i="5"/>
  <c r="IH301" i="5"/>
  <c r="II299" i="5" s="1"/>
  <c r="AC302" i="5"/>
  <c r="AK301" i="5" s="1"/>
  <c r="IF301" i="5"/>
  <c r="IF339" i="5"/>
  <c r="AD340" i="5"/>
  <c r="AC340" i="5"/>
  <c r="AK339" i="5" s="1"/>
  <c r="IH339" i="5"/>
  <c r="II337" i="5" s="1"/>
  <c r="AD413" i="5"/>
  <c r="AC413" i="5"/>
  <c r="AK412" i="5" s="1"/>
  <c r="IH412" i="5"/>
  <c r="II410" i="5" s="1"/>
  <c r="IF412" i="5"/>
  <c r="AC516" i="5"/>
  <c r="AK515" i="5" s="1"/>
  <c r="IH515" i="5"/>
  <c r="II513" i="5" s="1"/>
  <c r="IF515" i="5"/>
  <c r="AD516" i="5"/>
  <c r="AV513" i="5"/>
  <c r="AD536" i="5"/>
  <c r="AC536" i="5"/>
  <c r="AK535" i="5" s="1"/>
  <c r="IF535" i="5"/>
  <c r="IH535" i="5"/>
  <c r="II533" i="5" s="1"/>
  <c r="AV533" i="5"/>
  <c r="HS534" i="5" s="1"/>
  <c r="HS536" i="5" s="1"/>
  <c r="AD697" i="5"/>
  <c r="AC697" i="5"/>
  <c r="AK696" i="5" s="1"/>
  <c r="IH696" i="5"/>
  <c r="II694" i="5" s="1"/>
  <c r="IF696" i="5"/>
  <c r="AD584" i="5"/>
  <c r="AC584" i="5"/>
  <c r="AK583" i="5" s="1"/>
  <c r="IH583" i="5"/>
  <c r="II581" i="5" s="1"/>
  <c r="IF583" i="5"/>
  <c r="AV581" i="5"/>
  <c r="IH774" i="5"/>
  <c r="II772" i="5" s="1"/>
  <c r="AD775" i="5"/>
  <c r="IF774" i="5"/>
  <c r="AC775" i="5"/>
  <c r="AK774" i="5" s="1"/>
  <c r="AV772" i="5"/>
  <c r="AC501" i="5"/>
  <c r="AK500" i="5" s="1"/>
  <c r="IH500" i="5"/>
  <c r="II498" i="5" s="1"/>
  <c r="IF500" i="5"/>
  <c r="AD501" i="5"/>
  <c r="IH598" i="5"/>
  <c r="II596" i="5" s="1"/>
  <c r="AC599" i="5"/>
  <c r="AK598" i="5" s="1"/>
  <c r="IF598" i="5"/>
  <c r="AD599" i="5"/>
  <c r="AD551" i="5"/>
  <c r="IF550" i="5"/>
  <c r="IH550" i="5"/>
  <c r="II548" i="5" s="1"/>
  <c r="AC551" i="5"/>
  <c r="AK550" i="5" s="1"/>
  <c r="AV548" i="5"/>
  <c r="AD53" i="5"/>
  <c r="AC53" i="5"/>
  <c r="AK52" i="5" s="1"/>
  <c r="IH52" i="5"/>
  <c r="II50" i="5" s="1"/>
  <c r="IF52" i="5"/>
  <c r="AC121" i="5"/>
  <c r="AK120" i="5" s="1"/>
  <c r="IF120" i="5"/>
  <c r="AD121" i="5"/>
  <c r="IH120" i="5"/>
  <c r="II118" i="5" s="1"/>
  <c r="AD96" i="5"/>
  <c r="IH95" i="5"/>
  <c r="II93" i="5" s="1"/>
  <c r="IF95" i="5"/>
  <c r="AC96" i="5"/>
  <c r="AK95" i="5" s="1"/>
  <c r="AV93" i="5"/>
  <c r="AC151" i="5"/>
  <c r="AK150" i="5" s="1"/>
  <c r="IF150" i="5"/>
  <c r="AD151" i="5"/>
  <c r="IH150" i="5"/>
  <c r="II148" i="5" s="1"/>
  <c r="AC63" i="5"/>
  <c r="AK62" i="5" s="1"/>
  <c r="IH62" i="5"/>
  <c r="II60" i="5" s="1"/>
  <c r="AD63" i="5"/>
  <c r="IF62" i="5"/>
  <c r="AV60" i="5"/>
  <c r="AC83" i="5"/>
  <c r="AK82" i="5" s="1"/>
  <c r="IF82" i="5"/>
  <c r="AD83" i="5"/>
  <c r="IH82" i="5"/>
  <c r="II80" i="5" s="1"/>
  <c r="AD141" i="5"/>
  <c r="IH140" i="5"/>
  <c r="II138" i="5" s="1"/>
  <c r="AC141" i="5"/>
  <c r="AK140" i="5" s="1"/>
  <c r="IF140" i="5"/>
  <c r="AD257" i="5"/>
  <c r="IF256" i="5"/>
  <c r="AC257" i="5"/>
  <c r="AK256" i="5" s="1"/>
  <c r="IH256" i="5"/>
  <c r="II254" i="5" s="1"/>
  <c r="AV254" i="5"/>
  <c r="AD101" i="5"/>
  <c r="IH100" i="5"/>
  <c r="II98" i="5" s="1"/>
  <c r="AC101" i="5"/>
  <c r="AK100" i="5" s="1"/>
  <c r="IF100" i="5"/>
  <c r="AV98" i="5"/>
  <c r="AD239" i="5"/>
  <c r="IF238" i="5"/>
  <c r="IH238" i="5"/>
  <c r="II236" i="5" s="1"/>
  <c r="AC239" i="5"/>
  <c r="AK238" i="5" s="1"/>
  <c r="AV236" i="5"/>
  <c r="HS237" i="5" s="1"/>
  <c r="HS239" i="5" s="1"/>
  <c r="IF354" i="5"/>
  <c r="AD355" i="5"/>
  <c r="AC355" i="5"/>
  <c r="AK354" i="5" s="1"/>
  <c r="IH354" i="5"/>
  <c r="II352" i="5" s="1"/>
  <c r="AC380" i="5"/>
  <c r="AK379" i="5" s="1"/>
  <c r="AD380" i="5"/>
  <c r="IF379" i="5"/>
  <c r="IH379" i="5"/>
  <c r="II377" i="5" s="1"/>
  <c r="AV377" i="5"/>
  <c r="HS378" i="5" s="1"/>
  <c r="HS380" i="5" s="1"/>
  <c r="AD174" i="5"/>
  <c r="IF173" i="5"/>
  <c r="IH173" i="5"/>
  <c r="II171" i="5" s="1"/>
  <c r="AC174" i="5"/>
  <c r="AK173" i="5" s="1"/>
  <c r="AV171" i="5"/>
  <c r="AD272" i="5"/>
  <c r="AC272" i="5"/>
  <c r="AK271" i="5" s="1"/>
  <c r="IF271" i="5"/>
  <c r="IH271" i="5"/>
  <c r="II269" i="5" s="1"/>
  <c r="AV269" i="5"/>
  <c r="HS270" i="5" s="1"/>
  <c r="HS272" i="5" s="1"/>
  <c r="AC287" i="5"/>
  <c r="AK286" i="5" s="1"/>
  <c r="IF286" i="5"/>
  <c r="AD287" i="5"/>
  <c r="IH286" i="5"/>
  <c r="II284" i="5" s="1"/>
  <c r="AD204" i="5"/>
  <c r="IF203" i="5"/>
  <c r="IH203" i="5"/>
  <c r="II201" i="5" s="1"/>
  <c r="AC204" i="5"/>
  <c r="AK203" i="5" s="1"/>
  <c r="AV201" i="5"/>
  <c r="HS202" i="5" s="1"/>
  <c r="HS204" i="5" s="1"/>
  <c r="AC330" i="5"/>
  <c r="AK329" i="5" s="1"/>
  <c r="IF329" i="5"/>
  <c r="AD330" i="5"/>
  <c r="IH329" i="5"/>
  <c r="II327" i="5" s="1"/>
  <c r="AD400" i="5"/>
  <c r="AC400" i="5"/>
  <c r="AK399" i="5" s="1"/>
  <c r="IH399" i="5"/>
  <c r="II397" i="5" s="1"/>
  <c r="IF399" i="5"/>
  <c r="AV397" i="5"/>
  <c r="AD443" i="5"/>
  <c r="IF442" i="5"/>
  <c r="IH442" i="5"/>
  <c r="II440" i="5" s="1"/>
  <c r="AC443" i="5"/>
  <c r="AK442" i="5" s="1"/>
  <c r="AV440" i="5"/>
  <c r="HS441" i="5" s="1"/>
  <c r="HS443" i="5" s="1"/>
  <c r="AC224" i="5"/>
  <c r="AK223" i="5" s="1"/>
  <c r="IF223" i="5"/>
  <c r="AD224" i="5"/>
  <c r="IH223" i="5"/>
  <c r="II221" i="5" s="1"/>
  <c r="AV221" i="5"/>
  <c r="IF344" i="5"/>
  <c r="AD345" i="5"/>
  <c r="IH344" i="5"/>
  <c r="II342" i="5" s="1"/>
  <c r="AC345" i="5"/>
  <c r="AK344" i="5" s="1"/>
  <c r="IF540" i="5"/>
  <c r="AD541" i="5"/>
  <c r="AC541" i="5"/>
  <c r="AK540" i="5" s="1"/>
  <c r="IH540" i="5"/>
  <c r="II538" i="5" s="1"/>
  <c r="AV538" i="5"/>
  <c r="HS539" i="5" s="1"/>
  <c r="HS541" i="5" s="1"/>
  <c r="IH623" i="5"/>
  <c r="II621" i="5" s="1"/>
  <c r="AD624" i="5"/>
  <c r="AC624" i="5"/>
  <c r="AK623" i="5" s="1"/>
  <c r="IF623" i="5"/>
  <c r="AD677" i="5"/>
  <c r="AC677" i="5"/>
  <c r="AK676" i="5" s="1"/>
  <c r="IF676" i="5"/>
  <c r="IH676" i="5"/>
  <c r="II674" i="5" s="1"/>
  <c r="AD765" i="5"/>
  <c r="AC765" i="5"/>
  <c r="AK764" i="5" s="1"/>
  <c r="IF764" i="5"/>
  <c r="IH764" i="5"/>
  <c r="II762" i="5" s="1"/>
  <c r="AV762" i="5"/>
  <c r="AD531" i="5"/>
  <c r="AC531" i="5"/>
  <c r="AK530" i="5" s="1"/>
  <c r="IF530" i="5"/>
  <c r="IH530" i="5"/>
  <c r="II528" i="5" s="1"/>
  <c r="AV528" i="5"/>
  <c r="HS529" i="5" s="1"/>
  <c r="HS531" i="5" s="1"/>
  <c r="AD556" i="5"/>
  <c r="IH555" i="5"/>
  <c r="II553" i="5" s="1"/>
  <c r="IF555" i="5"/>
  <c r="AC556" i="5"/>
  <c r="AK555" i="5" s="1"/>
  <c r="AV553" i="5"/>
  <c r="AD652" i="5"/>
  <c r="AC652" i="5"/>
  <c r="AK651" i="5" s="1"/>
  <c r="IH651" i="5"/>
  <c r="II649" i="5" s="1"/>
  <c r="IF651" i="5"/>
  <c r="IF686" i="5"/>
  <c r="AC687" i="5"/>
  <c r="AK686" i="5" s="1"/>
  <c r="IH686" i="5"/>
  <c r="II684" i="5" s="1"/>
  <c r="AD687" i="5"/>
  <c r="AD506" i="5"/>
  <c r="AC506" i="5"/>
  <c r="AK505" i="5" s="1"/>
  <c r="IH505" i="5"/>
  <c r="II503" i="5" s="1"/>
  <c r="IF505" i="5"/>
  <c r="AD569" i="5"/>
  <c r="IF568" i="5"/>
  <c r="AC569" i="5"/>
  <c r="AK568" i="5" s="1"/>
  <c r="IH568" i="5"/>
  <c r="II566" i="5" s="1"/>
  <c r="AV566" i="5"/>
  <c r="AC589" i="5"/>
  <c r="AK588" i="5" s="1"/>
  <c r="IF588" i="5"/>
  <c r="AD589" i="5"/>
  <c r="IH588" i="5"/>
  <c r="II586" i="5" s="1"/>
  <c r="AV586" i="5"/>
  <c r="HS587" i="5" s="1"/>
  <c r="HS589" i="5" s="1"/>
  <c r="AD614" i="5"/>
  <c r="IH613" i="5"/>
  <c r="II611" i="5" s="1"/>
  <c r="AC614" i="5"/>
  <c r="AK613" i="5" s="1"/>
  <c r="IF613" i="5"/>
  <c r="AV611" i="5"/>
  <c r="HS612" i="5" s="1"/>
  <c r="HS614" i="5" s="1"/>
  <c r="AC629" i="5"/>
  <c r="AK628" i="5" s="1"/>
  <c r="IF628" i="5"/>
  <c r="AD629" i="5"/>
  <c r="IH628" i="5"/>
  <c r="II626" i="5" s="1"/>
  <c r="AD642" i="5"/>
  <c r="AC642" i="5"/>
  <c r="AK641" i="5" s="1"/>
  <c r="IF641" i="5"/>
  <c r="IH641" i="5"/>
  <c r="II639" i="5" s="1"/>
  <c r="AC720" i="5"/>
  <c r="AK719" i="5" s="1"/>
  <c r="AD720" i="5"/>
  <c r="IH719" i="5"/>
  <c r="II717" i="5" s="1"/>
  <c r="IF719" i="5"/>
  <c r="AD735" i="5"/>
  <c r="AC735" i="5"/>
  <c r="AK734" i="5" s="1"/>
  <c r="IF734" i="5"/>
  <c r="IH734" i="5"/>
  <c r="II732" i="5" s="1"/>
  <c r="AV732" i="5"/>
  <c r="HS733" i="5" s="1"/>
  <c r="HS735" i="5" s="1"/>
  <c r="AD750" i="5"/>
  <c r="AC750" i="5"/>
  <c r="AK749" i="5" s="1"/>
  <c r="IF749" i="5"/>
  <c r="IH749" i="5"/>
  <c r="II747" i="5" s="1"/>
  <c r="AV747" i="5"/>
  <c r="HS748" i="5" s="1"/>
  <c r="HS750" i="5" s="1"/>
  <c r="AD68" i="5"/>
  <c r="IH67" i="5"/>
  <c r="II65" i="5" s="1"/>
  <c r="IF67" i="5"/>
  <c r="AC68" i="5"/>
  <c r="AK67" i="5" s="1"/>
  <c r="AD156" i="5"/>
  <c r="IF155" i="5"/>
  <c r="IH155" i="5"/>
  <c r="II153" i="5" s="1"/>
  <c r="AC156" i="5"/>
  <c r="AK155" i="5" s="1"/>
  <c r="AV153" i="5"/>
  <c r="HS154" i="5" s="1"/>
  <c r="HS156" i="5" s="1"/>
  <c r="AD126" i="5"/>
  <c r="IH125" i="5"/>
  <c r="II123" i="5" s="1"/>
  <c r="AC126" i="5"/>
  <c r="AK125" i="5" s="1"/>
  <c r="IF125" i="5"/>
  <c r="AD106" i="5"/>
  <c r="AC106" i="5"/>
  <c r="AK105" i="5" s="1"/>
  <c r="IF105" i="5"/>
  <c r="IH105" i="5"/>
  <c r="II103" i="5" s="1"/>
  <c r="AV103" i="5"/>
  <c r="HS104" i="5" s="1"/>
  <c r="HS106" i="5" s="1"/>
  <c r="AD131" i="5"/>
  <c r="IF130" i="5"/>
  <c r="IH130" i="5"/>
  <c r="II128" i="5" s="1"/>
  <c r="AC131" i="5"/>
  <c r="AK130" i="5" s="1"/>
  <c r="AC48" i="5"/>
  <c r="AK47" i="5" s="1"/>
  <c r="AD48" i="5"/>
  <c r="IF47" i="5"/>
  <c r="IH47" i="5"/>
  <c r="II45" i="5" s="1"/>
  <c r="AD136" i="5"/>
  <c r="IH135" i="5"/>
  <c r="II133" i="5" s="1"/>
  <c r="AC136" i="5"/>
  <c r="AK135" i="5" s="1"/>
  <c r="IF135" i="5"/>
  <c r="AV133" i="5"/>
  <c r="HS134" i="5" s="1"/>
  <c r="HS136" i="5" s="1"/>
  <c r="AD322" i="5"/>
  <c r="IH321" i="5"/>
  <c r="II319" i="5" s="1"/>
  <c r="IF321" i="5"/>
  <c r="AC322" i="5"/>
  <c r="AK321" i="5" s="1"/>
  <c r="AV319" i="5"/>
  <c r="IH218" i="5"/>
  <c r="II216" i="5" s="1"/>
  <c r="AD219" i="5"/>
  <c r="AC219" i="5"/>
  <c r="AK218" i="5" s="1"/>
  <c r="IF218" i="5"/>
  <c r="AV216" i="5"/>
  <c r="HS217" i="5" s="1"/>
  <c r="HS219" i="5" s="1"/>
  <c r="IH364" i="5"/>
  <c r="II362" i="5" s="1"/>
  <c r="AC365" i="5"/>
  <c r="AK364" i="5" s="1"/>
  <c r="AD365" i="5"/>
  <c r="IF364" i="5"/>
  <c r="AD438" i="5"/>
  <c r="IF437" i="5"/>
  <c r="AC438" i="5"/>
  <c r="AK437" i="5" s="1"/>
  <c r="IH437" i="5"/>
  <c r="II435" i="5" s="1"/>
  <c r="AV435" i="5"/>
  <c r="HS436" i="5" s="1"/>
  <c r="HS438" i="5" s="1"/>
  <c r="AC335" i="5"/>
  <c r="AK334" i="5" s="1"/>
  <c r="AD335" i="5"/>
  <c r="IF334" i="5"/>
  <c r="IH334" i="5"/>
  <c r="II332" i="5" s="1"/>
  <c r="AD418" i="5"/>
  <c r="IF417" i="5"/>
  <c r="AC418" i="5"/>
  <c r="AK417" i="5" s="1"/>
  <c r="IH417" i="5"/>
  <c r="II415" i="5" s="1"/>
  <c r="AV415" i="5"/>
  <c r="HS416" i="5" s="1"/>
  <c r="HS418" i="5" s="1"/>
  <c r="AD496" i="5"/>
  <c r="IF495" i="5"/>
  <c r="AC496" i="5"/>
  <c r="AK495" i="5" s="1"/>
  <c r="IH495" i="5"/>
  <c r="II493" i="5" s="1"/>
  <c r="AV493" i="5"/>
  <c r="IH276" i="5"/>
  <c r="II274" i="5" s="1"/>
  <c r="AD277" i="5"/>
  <c r="AC277" i="5"/>
  <c r="AK276" i="5" s="1"/>
  <c r="IF276" i="5"/>
  <c r="AV274" i="5"/>
  <c r="AC179" i="5"/>
  <c r="AK178" i="5" s="1"/>
  <c r="IH178" i="5"/>
  <c r="II176" i="5" s="1"/>
  <c r="IF178" i="5"/>
  <c r="AD179" i="5"/>
  <c r="AV176" i="5"/>
  <c r="AD194" i="5"/>
  <c r="IF193" i="5"/>
  <c r="AC194" i="5"/>
  <c r="AK193" i="5" s="1"/>
  <c r="IH193" i="5"/>
  <c r="II191" i="5" s="1"/>
  <c r="AV191" i="5"/>
  <c r="HS192" i="5" s="1"/>
  <c r="HS194" i="5" s="1"/>
  <c r="AD370" i="5"/>
  <c r="IH369" i="5"/>
  <c r="II367" i="5" s="1"/>
  <c r="IF369" i="5"/>
  <c r="AC370" i="5"/>
  <c r="AK369" i="5" s="1"/>
  <c r="IH389" i="5"/>
  <c r="II387" i="5" s="1"/>
  <c r="AC390" i="5"/>
  <c r="AK389" i="5" s="1"/>
  <c r="IF389" i="5"/>
  <c r="AD390" i="5"/>
  <c r="AD491" i="5"/>
  <c r="AC491" i="5"/>
  <c r="AK490" i="5" s="1"/>
  <c r="IF490" i="5"/>
  <c r="IH490" i="5"/>
  <c r="II488" i="5" s="1"/>
  <c r="AV488" i="5"/>
  <c r="HS489" i="5" s="1"/>
  <c r="HS491" i="5" s="1"/>
  <c r="AD282" i="5"/>
  <c r="AC282" i="5"/>
  <c r="AK281" i="5" s="1"/>
  <c r="IH281" i="5"/>
  <c r="II279" i="5" s="1"/>
  <c r="IF281" i="5"/>
  <c r="AV279" i="5"/>
  <c r="HS280" i="5" s="1"/>
  <c r="HS282" i="5" s="1"/>
  <c r="AD317" i="5"/>
  <c r="AC317" i="5"/>
  <c r="AK316" i="5" s="1"/>
  <c r="IH316" i="5"/>
  <c r="II314" i="5" s="1"/>
  <c r="IF316" i="5"/>
  <c r="AD189" i="5"/>
  <c r="AC189" i="5"/>
  <c r="AK188" i="5" s="1"/>
  <c r="IH188" i="5"/>
  <c r="II186" i="5" s="1"/>
  <c r="IF188" i="5"/>
  <c r="AC209" i="5"/>
  <c r="AK208" i="5" s="1"/>
  <c r="AD209" i="5"/>
  <c r="IF208" i="5"/>
  <c r="IH208" i="5"/>
  <c r="II206" i="5" s="1"/>
  <c r="AV206" i="5"/>
  <c r="HS207" i="5" s="1"/>
  <c r="HS209" i="5" s="1"/>
  <c r="AD473" i="5"/>
  <c r="IF472" i="5"/>
  <c r="AC473" i="5"/>
  <c r="AK472" i="5" s="1"/>
  <c r="IH472" i="5"/>
  <c r="II470" i="5" s="1"/>
  <c r="AV470" i="5"/>
  <c r="HS471" i="5" s="1"/>
  <c r="HS473" i="5" s="1"/>
  <c r="AD564" i="5"/>
  <c r="AC564" i="5"/>
  <c r="AK563" i="5" s="1"/>
  <c r="IF563" i="5"/>
  <c r="IH563" i="5"/>
  <c r="II561" i="5" s="1"/>
  <c r="AV561" i="5"/>
  <c r="AD604" i="5"/>
  <c r="IH603" i="5"/>
  <c r="II601" i="5" s="1"/>
  <c r="IF603" i="5"/>
  <c r="AC604" i="5"/>
  <c r="AK603" i="5" s="1"/>
  <c r="AV601" i="5"/>
  <c r="HS602" i="5" s="1"/>
  <c r="HS604" i="5" s="1"/>
  <c r="AD594" i="5"/>
  <c r="IH593" i="5"/>
  <c r="II591" i="5" s="1"/>
  <c r="IF593" i="5"/>
  <c r="AC594" i="5"/>
  <c r="AK593" i="5" s="1"/>
  <c r="AV591" i="5"/>
  <c r="AC609" i="5"/>
  <c r="AK608" i="5" s="1"/>
  <c r="IF608" i="5"/>
  <c r="AD609" i="5"/>
  <c r="IH608" i="5"/>
  <c r="II606" i="5" s="1"/>
  <c r="AV606" i="5"/>
  <c r="AD657" i="5"/>
  <c r="IH656" i="5"/>
  <c r="II654" i="5" s="1"/>
  <c r="AC657" i="5"/>
  <c r="AK656" i="5" s="1"/>
  <c r="IF656" i="5"/>
  <c r="AV654" i="5"/>
  <c r="HS655" i="5" s="1"/>
  <c r="HS657" i="5" s="1"/>
  <c r="AD667" i="5"/>
  <c r="IF666" i="5"/>
  <c r="AC667" i="5"/>
  <c r="AK666" i="5" s="1"/>
  <c r="IH666" i="5"/>
  <c r="II664" i="5" s="1"/>
  <c r="AD619" i="5"/>
  <c r="AC619" i="5"/>
  <c r="AK618" i="5" s="1"/>
  <c r="IH618" i="5"/>
  <c r="II616" i="5" s="1"/>
  <c r="IF618" i="5"/>
  <c r="AD521" i="5"/>
  <c r="AC521" i="5"/>
  <c r="AK520" i="5" s="1"/>
  <c r="IF520" i="5"/>
  <c r="IH520" i="5"/>
  <c r="II518" i="5" s="1"/>
  <c r="IH545" i="5"/>
  <c r="II543" i="5" s="1"/>
  <c r="AC546" i="5"/>
  <c r="AK545" i="5" s="1"/>
  <c r="IF545" i="5"/>
  <c r="AD546" i="5"/>
  <c r="AV543" i="5"/>
  <c r="HS544" i="5" s="1"/>
  <c r="HS546" i="5" s="1"/>
  <c r="AD579" i="5"/>
  <c r="IF578" i="5"/>
  <c r="AC579" i="5"/>
  <c r="AK578" i="5" s="1"/>
  <c r="IH578" i="5"/>
  <c r="II576" i="5" s="1"/>
  <c r="AV576" i="5"/>
  <c r="IF671" i="5"/>
  <c r="AD672" i="5"/>
  <c r="AC672" i="5"/>
  <c r="AK671" i="5" s="1"/>
  <c r="IH671" i="5"/>
  <c r="II669" i="5" s="1"/>
  <c r="AD725" i="5"/>
  <c r="AC725" i="5"/>
  <c r="AK724" i="5" s="1"/>
  <c r="IF724" i="5"/>
  <c r="IH724" i="5"/>
  <c r="II722" i="5" s="1"/>
  <c r="AD740" i="5"/>
  <c r="AC740" i="5"/>
  <c r="AK739" i="5" s="1"/>
  <c r="IH739" i="5"/>
  <c r="II737" i="5" s="1"/>
  <c r="IF739" i="5"/>
  <c r="IF759" i="5"/>
  <c r="AD760" i="5"/>
  <c r="AC760" i="5"/>
  <c r="AK759" i="5" s="1"/>
  <c r="IH759" i="5"/>
  <c r="II757" i="5" s="1"/>
  <c r="IH779" i="5"/>
  <c r="II777" i="5" s="1"/>
  <c r="AC780" i="5"/>
  <c r="AK779" i="5" s="1"/>
  <c r="IF779" i="5"/>
  <c r="AD780" i="5"/>
  <c r="AV777" i="5"/>
  <c r="AD73" i="5"/>
  <c r="AC73" i="5"/>
  <c r="AK72" i="5" s="1"/>
  <c r="IF72" i="5"/>
  <c r="IH72" i="5"/>
  <c r="II70" i="5" s="1"/>
  <c r="AC161" i="5"/>
  <c r="AK160" i="5" s="1"/>
  <c r="AD161" i="5"/>
  <c r="IH160" i="5"/>
  <c r="II158" i="5" s="1"/>
  <c r="IF160" i="5"/>
  <c r="AD58" i="5"/>
  <c r="AC58" i="5"/>
  <c r="AK57" i="5" s="1"/>
  <c r="IF57" i="5"/>
  <c r="IH57" i="5"/>
  <c r="II55" i="5" s="1"/>
  <c r="AV55" i="5"/>
  <c r="HS56" i="5" s="1"/>
  <c r="HS58" i="5" s="1"/>
  <c r="AD111" i="5"/>
  <c r="AC111" i="5"/>
  <c r="AK110" i="5" s="1"/>
  <c r="IH110" i="5"/>
  <c r="II108" i="5" s="1"/>
  <c r="IF110" i="5"/>
  <c r="AD297" i="5"/>
  <c r="IF296" i="5"/>
  <c r="IH296" i="5"/>
  <c r="II294" i="5" s="1"/>
  <c r="AC297" i="5"/>
  <c r="AK296" i="5" s="1"/>
  <c r="AD307" i="5"/>
  <c r="AC307" i="5"/>
  <c r="AK306" i="5" s="1"/>
  <c r="IF306" i="5"/>
  <c r="IH306" i="5"/>
  <c r="II304" i="5" s="1"/>
  <c r="IH233" i="5"/>
  <c r="II231" i="5" s="1"/>
  <c r="AC234" i="5"/>
  <c r="AK233" i="5" s="1"/>
  <c r="IF233" i="5"/>
  <c r="AD234" i="5"/>
  <c r="AV231" i="5"/>
  <c r="HS232" i="5" s="1"/>
  <c r="HS234" i="5" s="1"/>
  <c r="AC428" i="5"/>
  <c r="AK427" i="5" s="1"/>
  <c r="AD428" i="5"/>
  <c r="IF427" i="5"/>
  <c r="IH427" i="5"/>
  <c r="II425" i="5" s="1"/>
  <c r="AD244" i="5"/>
  <c r="IH243" i="5"/>
  <c r="II241" i="5" s="1"/>
  <c r="IF243" i="5"/>
  <c r="AC244" i="5"/>
  <c r="AK243" i="5" s="1"/>
  <c r="AV241" i="5"/>
  <c r="AD360" i="5"/>
  <c r="IH359" i="5"/>
  <c r="II357" i="5" s="1"/>
  <c r="AC360" i="5"/>
  <c r="AK359" i="5" s="1"/>
  <c r="IF359" i="5"/>
  <c r="AD423" i="5"/>
  <c r="AC423" i="5"/>
  <c r="AK422" i="5" s="1"/>
  <c r="IF422" i="5"/>
  <c r="IH422" i="5"/>
  <c r="II420" i="5" s="1"/>
  <c r="AV420" i="5"/>
  <c r="HS421" i="5" s="1"/>
  <c r="HS423" i="5" s="1"/>
  <c r="AD214" i="5"/>
  <c r="IF213" i="5"/>
  <c r="AC214" i="5"/>
  <c r="AK213" i="5" s="1"/>
  <c r="IH213" i="5"/>
  <c r="II211" i="5" s="1"/>
  <c r="AV211" i="5"/>
  <c r="IH452" i="5"/>
  <c r="II450" i="5" s="1"/>
  <c r="IF452" i="5"/>
  <c r="AD453" i="5"/>
  <c r="AC453" i="5"/>
  <c r="AK452" i="5" s="1"/>
  <c r="AV450" i="5"/>
  <c r="HS451" i="5" s="1"/>
  <c r="HS453" i="5" s="1"/>
  <c r="AD468" i="5"/>
  <c r="AC468" i="5"/>
  <c r="AK467" i="5" s="1"/>
  <c r="IF467" i="5"/>
  <c r="IH467" i="5"/>
  <c r="II465" i="5" s="1"/>
  <c r="AD292" i="5"/>
  <c r="AC292" i="5"/>
  <c r="AK291" i="5" s="1"/>
  <c r="IH291" i="5"/>
  <c r="II289" i="5" s="1"/>
  <c r="IF291" i="5"/>
  <c r="IH407" i="5"/>
  <c r="II405" i="5" s="1"/>
  <c r="AC408" i="5"/>
  <c r="AK407" i="5" s="1"/>
  <c r="IF407" i="5"/>
  <c r="AD408" i="5"/>
  <c r="AD458" i="5"/>
  <c r="AC458" i="5"/>
  <c r="AK457" i="5" s="1"/>
  <c r="IF457" i="5"/>
  <c r="IH457" i="5"/>
  <c r="II455" i="5" s="1"/>
  <c r="AD511" i="5"/>
  <c r="IH510" i="5"/>
  <c r="II508" i="5" s="1"/>
  <c r="AC511" i="5"/>
  <c r="AK510" i="5" s="1"/>
  <c r="IF510" i="5"/>
  <c r="AV508" i="5"/>
  <c r="HS509" i="5" s="1"/>
  <c r="HS511" i="5" s="1"/>
  <c r="AD692" i="5"/>
  <c r="AC692" i="5"/>
  <c r="AK691" i="5" s="1"/>
  <c r="IH691" i="5"/>
  <c r="II689" i="5" s="1"/>
  <c r="IF691" i="5"/>
  <c r="IH701" i="5"/>
  <c r="II699" i="5" s="1"/>
  <c r="AC702" i="5"/>
  <c r="AK701" i="5" s="1"/>
  <c r="IF701" i="5"/>
  <c r="AD702" i="5"/>
  <c r="IH525" i="5"/>
  <c r="II523" i="5" s="1"/>
  <c r="IF525" i="5"/>
  <c r="AD526" i="5"/>
  <c r="AC526" i="5"/>
  <c r="AK525" i="5" s="1"/>
  <c r="IF573" i="5"/>
  <c r="IH573" i="5"/>
  <c r="II571" i="5" s="1"/>
  <c r="AD574" i="5"/>
  <c r="AC574" i="5"/>
  <c r="AK573" i="5" s="1"/>
  <c r="AV571" i="5"/>
  <c r="AD647" i="5"/>
  <c r="IH646" i="5"/>
  <c r="II644" i="5" s="1"/>
  <c r="AC647" i="5"/>
  <c r="AK646" i="5" s="1"/>
  <c r="IF646" i="5"/>
  <c r="IF661" i="5"/>
  <c r="AD662" i="5"/>
  <c r="AC662" i="5"/>
  <c r="AK661" i="5" s="1"/>
  <c r="IH661" i="5"/>
  <c r="II659" i="5" s="1"/>
  <c r="AD682" i="5"/>
  <c r="AC682" i="5"/>
  <c r="AK681" i="5" s="1"/>
  <c r="IF681" i="5"/>
  <c r="IH681" i="5"/>
  <c r="II679" i="5" s="1"/>
  <c r="AD707" i="5"/>
  <c r="IF706" i="5"/>
  <c r="AC707" i="5"/>
  <c r="AK706" i="5" s="1"/>
  <c r="IH706" i="5"/>
  <c r="II704" i="5" s="1"/>
  <c r="AV704" i="5"/>
  <c r="HS705" i="5" s="1"/>
  <c r="HS707" i="5" s="1"/>
  <c r="AD785" i="5"/>
  <c r="IF784" i="5"/>
  <c r="AC785" i="5"/>
  <c r="AK784" i="5" s="1"/>
  <c r="IH784" i="5"/>
  <c r="II782" i="5" s="1"/>
  <c r="AV782" i="5"/>
  <c r="HS783" i="5" s="1"/>
  <c r="HS785" i="5" s="1"/>
  <c r="AD712" i="5"/>
  <c r="IF711" i="5"/>
  <c r="IH711" i="5"/>
  <c r="II709" i="5" s="1"/>
  <c r="AC712" i="5"/>
  <c r="AK711" i="5" s="1"/>
  <c r="AV709" i="5"/>
  <c r="HS710" i="5" s="1"/>
  <c r="HS712" i="5" s="1"/>
  <c r="AC755" i="5"/>
  <c r="AK754" i="5" s="1"/>
  <c r="AD755" i="5"/>
  <c r="IF754" i="5"/>
  <c r="IH754" i="5"/>
  <c r="II752" i="5" s="1"/>
  <c r="AV752" i="5"/>
  <c r="HS753" i="5" s="1"/>
  <c r="HS755" i="5" s="1"/>
  <c r="AD634" i="5"/>
  <c r="IF633" i="5"/>
  <c r="AC634" i="5"/>
  <c r="AK633" i="5" s="1"/>
  <c r="IH633" i="5"/>
  <c r="II631" i="5" s="1"/>
  <c r="AV631" i="5"/>
  <c r="AD730" i="5"/>
  <c r="AC730" i="5"/>
  <c r="AK729" i="5" s="1"/>
  <c r="IH729" i="5"/>
  <c r="II727" i="5" s="1"/>
  <c r="IF729" i="5"/>
  <c r="AV727" i="5"/>
  <c r="AD745" i="5"/>
  <c r="AC745" i="5"/>
  <c r="AK744" i="5" s="1"/>
  <c r="IF744" i="5"/>
  <c r="IH744" i="5"/>
  <c r="II742" i="5" s="1"/>
  <c r="AV742" i="5"/>
  <c r="HS743" i="5" s="1"/>
  <c r="HS745" i="5" s="1"/>
  <c r="AC770" i="5"/>
  <c r="AK769" i="5" s="1"/>
  <c r="AD770" i="5"/>
  <c r="IF769" i="5"/>
  <c r="IH769" i="5"/>
  <c r="II767" i="5" s="1"/>
  <c r="AV767" i="5"/>
  <c r="AD790" i="5"/>
  <c r="AC790" i="5"/>
  <c r="AK789" i="5" s="1"/>
  <c r="IH789" i="5"/>
  <c r="II787" i="5" s="1"/>
  <c r="IF789" i="5"/>
  <c r="EP92" i="8"/>
  <c r="DA55" i="8"/>
  <c r="DA42" i="8"/>
  <c r="DA48" i="8"/>
  <c r="DA45" i="8"/>
  <c r="DA54" i="8"/>
  <c r="DA51" i="8"/>
  <c r="DA41" i="8"/>
  <c r="DA37" i="8"/>
  <c r="DA44" i="8"/>
  <c r="DA50" i="8"/>
  <c r="DA47" i="8"/>
  <c r="DA40" i="8"/>
  <c r="DA53" i="8"/>
  <c r="DA43" i="8"/>
  <c r="DA49" i="8"/>
  <c r="DA46" i="8"/>
  <c r="DA39" i="8"/>
  <c r="DA52" i="8"/>
  <c r="AD43" i="5"/>
  <c r="AC43" i="5"/>
  <c r="AK42" i="5" s="1"/>
  <c r="AV40" i="5"/>
  <c r="IH42" i="5"/>
  <c r="II40" i="5" s="1"/>
  <c r="IF42" i="5"/>
  <c r="DZ124" i="8"/>
  <c r="DY124" i="8"/>
  <c r="DY126" i="8"/>
  <c r="DZ126" i="8"/>
  <c r="EA134" i="8"/>
  <c r="DY134" i="8"/>
  <c r="DZ134" i="8"/>
  <c r="DZ112" i="8"/>
  <c r="DY112" i="8"/>
  <c r="DY142" i="8"/>
  <c r="DZ142" i="8"/>
  <c r="EA142" i="8"/>
  <c r="DY129" i="8"/>
  <c r="DZ129" i="8"/>
  <c r="EA129" i="8"/>
  <c r="DY121" i="8"/>
  <c r="DZ121" i="8"/>
  <c r="DY101" i="8"/>
  <c r="DZ101" i="8"/>
  <c r="DY114" i="8"/>
  <c r="DZ114" i="8"/>
  <c r="DY97" i="8"/>
  <c r="DZ97" i="8"/>
  <c r="DY99" i="8"/>
  <c r="DZ99" i="8"/>
  <c r="DY122" i="8"/>
  <c r="DZ122" i="8"/>
  <c r="DY115" i="8"/>
  <c r="DZ115" i="8"/>
  <c r="DZ95" i="8"/>
  <c r="DY95" i="8"/>
  <c r="EA136" i="8"/>
  <c r="DZ136" i="8"/>
  <c r="DY136" i="8"/>
  <c r="DY116" i="8"/>
  <c r="DZ116" i="8"/>
  <c r="DZ108" i="8"/>
  <c r="DY108" i="8"/>
  <c r="DY138" i="8"/>
  <c r="DZ138" i="8"/>
  <c r="EA138" i="8"/>
  <c r="DZ128" i="8"/>
  <c r="DY128" i="8"/>
  <c r="DZ94" i="8"/>
  <c r="DY94" i="8"/>
  <c r="DY109" i="8"/>
  <c r="DZ109" i="8"/>
  <c r="DY137" i="8"/>
  <c r="EA137" i="8"/>
  <c r="DZ137" i="8"/>
  <c r="DY123" i="8"/>
  <c r="DZ123" i="8"/>
  <c r="DZ103" i="8"/>
  <c r="DY103" i="8"/>
  <c r="EA139" i="8"/>
  <c r="DZ139" i="8"/>
  <c r="DY139" i="8"/>
  <c r="DZ132" i="8"/>
  <c r="EA132" i="8"/>
  <c r="DY132" i="8"/>
  <c r="DY96" i="8"/>
  <c r="DZ96" i="8"/>
  <c r="DY130" i="8"/>
  <c r="EA130" i="8"/>
  <c r="DZ130" i="8"/>
  <c r="DY117" i="8"/>
  <c r="DZ117" i="8"/>
  <c r="DY102" i="8"/>
  <c r="DZ102" i="8"/>
  <c r="DY133" i="8"/>
  <c r="DZ133" i="8"/>
  <c r="EA133" i="8"/>
  <c r="DZ119" i="8"/>
  <c r="DY119" i="8"/>
  <c r="DY113" i="8"/>
  <c r="DZ113" i="8"/>
  <c r="DY98" i="8"/>
  <c r="DZ98" i="8"/>
  <c r="DZ93" i="8"/>
  <c r="DY93" i="8"/>
  <c r="DY125" i="8"/>
  <c r="DZ125" i="8"/>
  <c r="DY111" i="8"/>
  <c r="DZ111" i="8"/>
  <c r="DZ104" i="8"/>
  <c r="DY104" i="8"/>
  <c r="DZ140" i="8"/>
  <c r="DY140" i="8"/>
  <c r="EA140" i="8"/>
  <c r="DY120" i="8"/>
  <c r="DZ120" i="8"/>
  <c r="DY106" i="8"/>
  <c r="DZ106" i="8"/>
  <c r="DY131" i="8"/>
  <c r="EA131" i="8"/>
  <c r="DZ131" i="8"/>
  <c r="DY110" i="8"/>
  <c r="DZ110" i="8"/>
  <c r="DY141" i="8"/>
  <c r="EA141" i="8"/>
  <c r="DZ141" i="8"/>
  <c r="DY118" i="8"/>
  <c r="DZ118" i="8"/>
  <c r="DY105" i="8"/>
  <c r="DZ105" i="8"/>
  <c r="EA135" i="8"/>
  <c r="DY135" i="8"/>
  <c r="DZ135" i="8"/>
  <c r="DZ127" i="8"/>
  <c r="DY127" i="8"/>
  <c r="DZ107" i="8"/>
  <c r="DY107" i="8"/>
  <c r="DY100" i="8"/>
  <c r="DZ100" i="8"/>
  <c r="HS41" i="5"/>
  <c r="HS43" i="5" s="1"/>
  <c r="DA27" i="8"/>
  <c r="DA34" i="8"/>
  <c r="DA35" i="8"/>
  <c r="DA33" i="8"/>
  <c r="DX92" i="8"/>
  <c r="DA38" i="8"/>
  <c r="DA36" i="8"/>
  <c r="DA32" i="8"/>
  <c r="DA31" i="8"/>
  <c r="DA30" i="8"/>
  <c r="DA29" i="8"/>
  <c r="DA28" i="8"/>
  <c r="DA254" i="8"/>
  <c r="AA43" i="4"/>
  <c r="AA42" i="4"/>
  <c r="AA41" i="4"/>
  <c r="AA40" i="4"/>
  <c r="AA39" i="4"/>
  <c r="AA38" i="4"/>
  <c r="AA37" i="4"/>
  <c r="AA36" i="4"/>
  <c r="AA35" i="4"/>
  <c r="AA34" i="4"/>
  <c r="AA33" i="4"/>
  <c r="AA32" i="4"/>
  <c r="AA31" i="4"/>
  <c r="AB30" i="4"/>
  <c r="AA30" i="4"/>
  <c r="AB29" i="4"/>
  <c r="AA29" i="4"/>
  <c r="AB28" i="4"/>
  <c r="AA28" i="4"/>
  <c r="AB27" i="4"/>
  <c r="AA27" i="4"/>
  <c r="AB26" i="4"/>
  <c r="AA26" i="4"/>
  <c r="AB25" i="4"/>
  <c r="AA25" i="4"/>
  <c r="AB24" i="4"/>
  <c r="AA24" i="4"/>
  <c r="AB23" i="4"/>
  <c r="AA23" i="4"/>
  <c r="AB22" i="4"/>
  <c r="AA22" i="4"/>
  <c r="AB21" i="4"/>
  <c r="AA21" i="4"/>
  <c r="AB20" i="4"/>
  <c r="AA20" i="4"/>
  <c r="AB19" i="4"/>
  <c r="AA19" i="4"/>
  <c r="AB18" i="4"/>
  <c r="AA18" i="4"/>
  <c r="AB17" i="4"/>
  <c r="AA17" i="4"/>
  <c r="AB16" i="4"/>
  <c r="AA16" i="4"/>
  <c r="AB15" i="4"/>
  <c r="AA15" i="4"/>
  <c r="AB14" i="4"/>
  <c r="AA14" i="4"/>
  <c r="AB13" i="4"/>
  <c r="AA13" i="4"/>
  <c r="AB12" i="4"/>
  <c r="AA12" i="4"/>
  <c r="AB11" i="4"/>
  <c r="AA11" i="4"/>
  <c r="AB10" i="4"/>
  <c r="AA10" i="4"/>
  <c r="AB9" i="4"/>
  <c r="AA9" i="4"/>
  <c r="AB8" i="4"/>
  <c r="AA8" i="4"/>
  <c r="AB7" i="4"/>
  <c r="AA7" i="4"/>
  <c r="AB6" i="4"/>
  <c r="AA6" i="4"/>
  <c r="AB5" i="4"/>
  <c r="AA5" i="4"/>
  <c r="AB4" i="4"/>
  <c r="AA4" i="4"/>
  <c r="AA3" i="4"/>
  <c r="EM107" i="8" l="1" a="1"/>
  <c r="EM118" i="8" a="1"/>
  <c r="EM104" i="8" a="1"/>
  <c r="EM103" i="8" a="1"/>
  <c r="EM109" i="8" a="1"/>
  <c r="EM108" i="8" a="1"/>
  <c r="EM108" i="8" s="1"/>
  <c r="EM97" i="8" a="1"/>
  <c r="EM98" i="8" a="1"/>
  <c r="EM98" i="8" s="1"/>
  <c r="EM96" i="8" a="1"/>
  <c r="EM94" i="8" a="1"/>
  <c r="EM106" i="8" a="1"/>
  <c r="EM102" i="8" a="1"/>
  <c r="EM115" i="8" a="1"/>
  <c r="EM114" i="8" a="1"/>
  <c r="EM114" i="8" s="1"/>
  <c r="EM95" i="8" a="1"/>
  <c r="EM95" i="8" s="1"/>
  <c r="EM111" i="8" a="1"/>
  <c r="EM111" i="8" s="1"/>
  <c r="EM113" i="8" a="1"/>
  <c r="EM123" i="8" a="1"/>
  <c r="EM116" i="8" a="1"/>
  <c r="EM105" i="8" a="1"/>
  <c r="EM120" i="8" a="1"/>
  <c r="EM119" i="8" a="1"/>
  <c r="EM119" i="8" s="1"/>
  <c r="EM117" i="8" a="1"/>
  <c r="EM122" i="8" a="1"/>
  <c r="EM122" i="8" s="1"/>
  <c r="EM101" i="8" a="1"/>
  <c r="EM124" i="8" a="1"/>
  <c r="EM100" i="8" a="1"/>
  <c r="EM110" i="8" a="1"/>
  <c r="EM125" i="8" a="1"/>
  <c r="EM112" i="8" a="1"/>
  <c r="EM112" i="8" s="1"/>
  <c r="EM99" i="8" a="1"/>
  <c r="EM121" i="8" a="1"/>
  <c r="EM121" i="8" s="1"/>
  <c r="EN126" i="8"/>
  <c r="EL126" i="8"/>
  <c r="EN141" i="8"/>
  <c r="EL141" i="8"/>
  <c r="EN130" i="8"/>
  <c r="EL130" i="8"/>
  <c r="EL123" i="8"/>
  <c r="EM123" i="8"/>
  <c r="EN123" i="8"/>
  <c r="EL128" i="8"/>
  <c r="EN128" i="8"/>
  <c r="EN138" i="8"/>
  <c r="EL138" i="8"/>
  <c r="EL116" i="8"/>
  <c r="EM116" i="8"/>
  <c r="EN116" i="8"/>
  <c r="EL95" i="8"/>
  <c r="EN95" i="8"/>
  <c r="EL127" i="8"/>
  <c r="EN127" i="8"/>
  <c r="EN118" i="8"/>
  <c r="EL118" i="8"/>
  <c r="EM118" i="8"/>
  <c r="EL131" i="8"/>
  <c r="EN131" i="8"/>
  <c r="EL120" i="8"/>
  <c r="EN120" i="8"/>
  <c r="EM120" i="8"/>
  <c r="EN104" i="8"/>
  <c r="EL104" i="8"/>
  <c r="EM104" i="8"/>
  <c r="EL119" i="8"/>
  <c r="EN119" i="8"/>
  <c r="EN133" i="8"/>
  <c r="EL133" i="8"/>
  <c r="EN117" i="8"/>
  <c r="EL117" i="8"/>
  <c r="EM117" i="8"/>
  <c r="EL103" i="8"/>
  <c r="EN103" i="8"/>
  <c r="EM103" i="8"/>
  <c r="EN109" i="8"/>
  <c r="EL109" i="8"/>
  <c r="EM109" i="8"/>
  <c r="EL108" i="8"/>
  <c r="EN108" i="8"/>
  <c r="EL136" i="8"/>
  <c r="EN136" i="8"/>
  <c r="EN122" i="8"/>
  <c r="EL122" i="8"/>
  <c r="EN97" i="8"/>
  <c r="EL97" i="8"/>
  <c r="EM97" i="8"/>
  <c r="EN101" i="8"/>
  <c r="EL101" i="8"/>
  <c r="EM101" i="8"/>
  <c r="EN142" i="8"/>
  <c r="EL142" i="8"/>
  <c r="EN134" i="8"/>
  <c r="EL134" i="8"/>
  <c r="EL124" i="8"/>
  <c r="EN124" i="8"/>
  <c r="EM124" i="8"/>
  <c r="EL111" i="8"/>
  <c r="EN111" i="8"/>
  <c r="EL98" i="8"/>
  <c r="EN98" i="8"/>
  <c r="EN96" i="8"/>
  <c r="EL96" i="8"/>
  <c r="EM96" i="8"/>
  <c r="EL94" i="8"/>
  <c r="EM94" i="8"/>
  <c r="EN94" i="8"/>
  <c r="EN129" i="8"/>
  <c r="EL129" i="8"/>
  <c r="EN112" i="8"/>
  <c r="EL112" i="8"/>
  <c r="EL135" i="8"/>
  <c r="EN135" i="8"/>
  <c r="EN113" i="8"/>
  <c r="EL113" i="8"/>
  <c r="EM113" i="8"/>
  <c r="EL100" i="8"/>
  <c r="EM100" i="8"/>
  <c r="EN100" i="8"/>
  <c r="EL110" i="8"/>
  <c r="EN110" i="8"/>
  <c r="EM110" i="8"/>
  <c r="EN125" i="8"/>
  <c r="EL125" i="8"/>
  <c r="EM125" i="8"/>
  <c r="EL139" i="8"/>
  <c r="EN139" i="8"/>
  <c r="EL107" i="8"/>
  <c r="EN107" i="8"/>
  <c r="EM107" i="8"/>
  <c r="EN105" i="8"/>
  <c r="EL105" i="8"/>
  <c r="EM105" i="8"/>
  <c r="EL106" i="8"/>
  <c r="EN106" i="8"/>
  <c r="EM106" i="8"/>
  <c r="EL140" i="8"/>
  <c r="EN140" i="8"/>
  <c r="EL93" i="8"/>
  <c r="EN93" i="8"/>
  <c r="LB93" i="8"/>
  <c r="LB96" i="8" a="1"/>
  <c r="LB96" i="8" s="1"/>
  <c r="LB99" i="8" a="1"/>
  <c r="LB99" i="8" s="1"/>
  <c r="LB104" i="8" a="1"/>
  <c r="LB104" i="8" s="1"/>
  <c r="LB107" i="8" a="1"/>
  <c r="LB107" i="8" s="1"/>
  <c r="LB102" i="8" a="1"/>
  <c r="LB102" i="8" s="1"/>
  <c r="LB108" i="8" a="1"/>
  <c r="LB108" i="8" s="1"/>
  <c r="EM93" i="8"/>
  <c r="LB94" i="8" a="1"/>
  <c r="LB94" i="8" s="1"/>
  <c r="LB97" i="8" a="1"/>
  <c r="LB97" i="8" s="1"/>
  <c r="LB105" i="8" a="1"/>
  <c r="LB105" i="8" s="1"/>
  <c r="LB95" i="8" a="1"/>
  <c r="LB95" i="8" s="1"/>
  <c r="LB100" i="8" a="1"/>
  <c r="LB100" i="8" s="1"/>
  <c r="LB103" i="8" a="1"/>
  <c r="LB103" i="8" s="1"/>
  <c r="LB106" i="8" a="1"/>
  <c r="LB106" i="8" s="1"/>
  <c r="LB101" i="8" a="1"/>
  <c r="LB101" i="8" s="1"/>
  <c r="LB98" i="8" a="1"/>
  <c r="LB98" i="8" s="1"/>
  <c r="EL102" i="8"/>
  <c r="EN102" i="8"/>
  <c r="EM102" i="8"/>
  <c r="EL132" i="8"/>
  <c r="EN132" i="8"/>
  <c r="EN137" i="8"/>
  <c r="EL137" i="8"/>
  <c r="EL115" i="8"/>
  <c r="EN115" i="8"/>
  <c r="EM115" i="8"/>
  <c r="EL99" i="8"/>
  <c r="EN99" i="8"/>
  <c r="EM99" i="8"/>
  <c r="EL114" i="8"/>
  <c r="EN114" i="8"/>
  <c r="EN121" i="8"/>
  <c r="EL121" i="8"/>
  <c r="EM135" i="8"/>
  <c r="EM141" i="8"/>
  <c r="EM130" i="8"/>
  <c r="EM128" i="8"/>
  <c r="EM138" i="8"/>
  <c r="EM126" i="8"/>
  <c r="EM127" i="8"/>
  <c r="EM131" i="8"/>
  <c r="EM133" i="8"/>
  <c r="EM136" i="8"/>
  <c r="EM142" i="8"/>
  <c r="EM134" i="8"/>
  <c r="EM139" i="8"/>
  <c r="EM129" i="8"/>
  <c r="EM140" i="8"/>
  <c r="EM132" i="8"/>
  <c r="EM137" i="8"/>
  <c r="B81" i="3"/>
  <c r="A81" i="3"/>
  <c r="B80" i="3"/>
  <c r="A80" i="3"/>
  <c r="B79" i="3"/>
  <c r="A79" i="3"/>
  <c r="B78" i="3"/>
  <c r="A78" i="3"/>
  <c r="B4" i="3"/>
  <c r="A4" i="3"/>
  <c r="B307" i="3"/>
  <c r="B308" i="3"/>
  <c r="B309" i="3"/>
  <c r="B310" i="3"/>
  <c r="B311" i="3"/>
  <c r="B312" i="3"/>
  <c r="B313" i="3"/>
  <c r="B314" i="3"/>
  <c r="B315" i="3"/>
  <c r="B316" i="3"/>
  <c r="B317" i="3"/>
  <c r="B318" i="3"/>
  <c r="B319" i="3"/>
  <c r="B320" i="3"/>
  <c r="B321" i="3"/>
  <c r="B322" i="3"/>
  <c r="B323" i="3"/>
  <c r="B324" i="3"/>
  <c r="B325" i="3"/>
  <c r="B326" i="3"/>
  <c r="B327" i="3"/>
  <c r="B306" i="3"/>
  <c r="A299" i="3"/>
  <c r="A300" i="3"/>
  <c r="A301" i="3"/>
  <c r="A302" i="3"/>
  <c r="A303" i="3"/>
  <c r="A306" i="3"/>
  <c r="A307" i="3"/>
  <c r="A308" i="3"/>
  <c r="A309" i="3"/>
  <c r="A310" i="3"/>
  <c r="A311" i="3"/>
  <c r="A312" i="3"/>
  <c r="A313" i="3"/>
  <c r="A314" i="3"/>
  <c r="A315" i="3"/>
  <c r="A316" i="3"/>
  <c r="A317" i="3"/>
  <c r="A318" i="3"/>
  <c r="A319" i="3"/>
  <c r="A320" i="3"/>
  <c r="A321" i="3"/>
  <c r="A322" i="3"/>
  <c r="A323" i="3"/>
  <c r="A324" i="3"/>
  <c r="A325" i="3"/>
  <c r="A326" i="3"/>
  <c r="A327" i="3"/>
  <c r="A329" i="3"/>
  <c r="A330" i="3"/>
  <c r="A331" i="3"/>
  <c r="A332" i="3"/>
  <c r="A333" i="3"/>
  <c r="A334" i="3"/>
  <c r="A335" i="3"/>
  <c r="A336" i="3"/>
  <c r="A337" i="3"/>
  <c r="A338" i="3"/>
  <c r="A339" i="3"/>
  <c r="A340" i="3"/>
  <c r="A341" i="3"/>
  <c r="A342" i="3"/>
  <c r="A343" i="3"/>
  <c r="A344" i="3"/>
  <c r="A345" i="3"/>
  <c r="A346" i="3"/>
  <c r="A347" i="3"/>
  <c r="A348" i="3"/>
  <c r="A349" i="3"/>
  <c r="B73" i="3"/>
  <c r="B74" i="3"/>
  <c r="B75" i="3"/>
  <c r="B68" i="3"/>
  <c r="B69" i="3"/>
  <c r="B70" i="3"/>
  <c r="B71" i="3"/>
  <c r="B63" i="3"/>
  <c r="B64" i="3"/>
  <c r="B65" i="3"/>
  <c r="B66" i="3"/>
  <c r="B67" i="3"/>
  <c r="B82" i="3"/>
  <c r="B83" i="3"/>
  <c r="B84" i="3"/>
  <c r="B85" i="3"/>
  <c r="B92" i="3"/>
  <c r="B93" i="3"/>
  <c r="B94" i="3"/>
  <c r="B95" i="3"/>
  <c r="B88" i="3"/>
  <c r="B89" i="3"/>
  <c r="B90" i="3"/>
  <c r="B91" i="3"/>
  <c r="B98" i="3"/>
  <c r="B99" i="3"/>
  <c r="B100" i="3"/>
  <c r="B101" i="3"/>
  <c r="B104" i="3"/>
  <c r="B105" i="3"/>
  <c r="B106" i="3"/>
  <c r="B107" i="3"/>
  <c r="B108" i="3"/>
  <c r="B109" i="3"/>
  <c r="B110" i="3"/>
  <c r="B111" i="3"/>
  <c r="B112" i="3"/>
  <c r="B113" i="3"/>
  <c r="B116" i="3"/>
  <c r="B117" i="3"/>
  <c r="B118" i="3"/>
  <c r="B119" i="3"/>
  <c r="B120" i="3"/>
  <c r="B121" i="3"/>
  <c r="B122" i="3"/>
  <c r="B125" i="3"/>
  <c r="B126" i="3"/>
  <c r="B127" i="3"/>
  <c r="B128" i="3"/>
  <c r="B129" i="3"/>
  <c r="B140" i="3"/>
  <c r="B141" i="3"/>
  <c r="B142" i="3"/>
  <c r="B143" i="3"/>
  <c r="B136" i="3"/>
  <c r="B137" i="3"/>
  <c r="B138" i="3"/>
  <c r="B139" i="3"/>
  <c r="B132" i="3"/>
  <c r="B133" i="3"/>
  <c r="B134" i="3"/>
  <c r="B135" i="3"/>
  <c r="B146" i="3"/>
  <c r="B147" i="3"/>
  <c r="B148" i="3"/>
  <c r="B149" i="3"/>
  <c r="B150" i="3"/>
  <c r="B151" i="3"/>
  <c r="B152" i="3"/>
  <c r="B153" i="3"/>
  <c r="B156" i="3"/>
  <c r="B157" i="3"/>
  <c r="B158" i="3"/>
  <c r="B160" i="3"/>
  <c r="B161" i="3"/>
  <c r="B162" i="3"/>
  <c r="B164" i="3"/>
  <c r="B165" i="3"/>
  <c r="B166" i="3"/>
  <c r="B168" i="3"/>
  <c r="B169" i="3"/>
  <c r="B170" i="3"/>
  <c r="B172" i="3"/>
  <c r="B173" i="3"/>
  <c r="B174" i="3"/>
  <c r="B177" i="3"/>
  <c r="B178" i="3"/>
  <c r="B179" i="3"/>
  <c r="B181" i="3"/>
  <c r="B182" i="3"/>
  <c r="B183" i="3"/>
  <c r="B185" i="3"/>
  <c r="B186" i="3"/>
  <c r="B187" i="3"/>
  <c r="B189" i="3"/>
  <c r="B190" i="3"/>
  <c r="B191" i="3"/>
  <c r="B193" i="3"/>
  <c r="B194" i="3"/>
  <c r="B195" i="3"/>
  <c r="B198" i="3"/>
  <c r="B199" i="3"/>
  <c r="B200" i="3"/>
  <c r="B202" i="3"/>
  <c r="B203" i="3"/>
  <c r="B204" i="3"/>
  <c r="B206" i="3"/>
  <c r="B207" i="3"/>
  <c r="B208" i="3"/>
  <c r="B210" i="3"/>
  <c r="B211" i="3"/>
  <c r="B212" i="3"/>
  <c r="B214" i="3"/>
  <c r="B215" i="3"/>
  <c r="B216" i="3"/>
  <c r="B219" i="3"/>
  <c r="B220" i="3"/>
  <c r="B221" i="3"/>
  <c r="B222" i="3"/>
  <c r="B223" i="3"/>
  <c r="B224" i="3"/>
  <c r="B225" i="3"/>
  <c r="B226" i="3"/>
  <c r="B241" i="3"/>
  <c r="B242" i="3"/>
  <c r="B243" i="3"/>
  <c r="B244" i="3"/>
  <c r="B235" i="3"/>
  <c r="B236" i="3"/>
  <c r="B237" i="3"/>
  <c r="B238" i="3"/>
  <c r="B239" i="3"/>
  <c r="B240" i="3"/>
  <c r="B229" i="3"/>
  <c r="B230" i="3"/>
  <c r="B231" i="3"/>
  <c r="B232" i="3"/>
  <c r="B233" i="3"/>
  <c r="B234" i="3"/>
  <c r="B72" i="3"/>
  <c r="B24" i="3"/>
  <c r="B25" i="3"/>
  <c r="B26" i="3"/>
  <c r="B27" i="3"/>
  <c r="B28" i="3"/>
  <c r="B29" i="3"/>
  <c r="B30" i="3"/>
  <c r="B31" i="3"/>
  <c r="B32" i="3"/>
  <c r="B33" i="3"/>
  <c r="B34" i="3"/>
  <c r="B35" i="3"/>
  <c r="B38" i="3"/>
  <c r="B39" i="3"/>
  <c r="B40" i="3"/>
  <c r="B41" i="3"/>
  <c r="B42" i="3"/>
  <c r="B43" i="3"/>
  <c r="B44" i="3"/>
  <c r="B45" i="3"/>
  <c r="B48" i="3"/>
  <c r="B49" i="3"/>
  <c r="B50" i="3"/>
  <c r="B51" i="3"/>
  <c r="B52" i="3"/>
  <c r="B53" i="3"/>
  <c r="B54" i="3"/>
  <c r="B55" i="3"/>
  <c r="B56" i="3"/>
  <c r="B57" i="3"/>
  <c r="B58" i="3"/>
  <c r="B59" i="3"/>
  <c r="B60" i="3"/>
  <c r="B247" i="3"/>
  <c r="B248" i="3"/>
  <c r="B249" i="3"/>
  <c r="B250" i="3"/>
  <c r="B251" i="3"/>
  <c r="B252" i="3"/>
  <c r="B253" i="3"/>
  <c r="B254" i="3"/>
  <c r="B255" i="3"/>
  <c r="B256" i="3"/>
  <c r="B259" i="3"/>
  <c r="B260" i="3"/>
  <c r="B261" i="3"/>
  <c r="B262" i="3"/>
  <c r="B263" i="3"/>
  <c r="B264" i="3"/>
  <c r="B265" i="3"/>
  <c r="B266" i="3"/>
  <c r="B267" i="3"/>
  <c r="B268" i="3"/>
  <c r="B269" i="3"/>
  <c r="B270" i="3"/>
  <c r="B271" i="3"/>
  <c r="B272" i="3"/>
  <c r="B273" i="3"/>
  <c r="B274" i="3"/>
  <c r="B275" i="3"/>
  <c r="B276" i="3"/>
  <c r="B277" i="3"/>
  <c r="B278" i="3"/>
  <c r="B279" i="3"/>
  <c r="B280" i="3"/>
  <c r="B281" i="3"/>
  <c r="B282" i="3"/>
  <c r="B283" i="3"/>
  <c r="B284" i="3"/>
  <c r="B285" i="3"/>
  <c r="B286" i="3"/>
  <c r="B287" i="3"/>
  <c r="B288" i="3"/>
  <c r="B289" i="3"/>
  <c r="B290" i="3"/>
  <c r="B291" i="3"/>
  <c r="B292" i="3"/>
  <c r="B293" i="3"/>
  <c r="B294" i="3"/>
  <c r="B295" i="3"/>
  <c r="B296" i="3"/>
  <c r="B299" i="3"/>
  <c r="B300" i="3"/>
  <c r="B301" i="3"/>
  <c r="B302" i="3"/>
  <c r="B303" i="3"/>
  <c r="B329" i="3"/>
  <c r="B330" i="3"/>
  <c r="B331" i="3"/>
  <c r="B332" i="3"/>
  <c r="B333" i="3"/>
  <c r="B334" i="3"/>
  <c r="B335" i="3"/>
  <c r="B336" i="3"/>
  <c r="B337" i="3"/>
  <c r="B338" i="3"/>
  <c r="B339" i="3"/>
  <c r="B340" i="3"/>
  <c r="B341" i="3"/>
  <c r="B342" i="3"/>
  <c r="B343" i="3"/>
  <c r="B344" i="3"/>
  <c r="B345" i="3"/>
  <c r="B346" i="3"/>
  <c r="B347" i="3"/>
  <c r="B348" i="3"/>
  <c r="B349" i="3"/>
  <c r="B17" i="3"/>
  <c r="B18" i="3"/>
  <c r="B19" i="3"/>
  <c r="B20" i="3"/>
  <c r="B21" i="3"/>
  <c r="B16" i="3"/>
  <c r="B8" i="3"/>
  <c r="B7"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71" i="3"/>
  <c r="A261" i="3"/>
  <c r="A262" i="3"/>
  <c r="A263" i="3"/>
  <c r="A264" i="3"/>
  <c r="A265" i="3"/>
  <c r="A266" i="3"/>
  <c r="A267" i="3"/>
  <c r="A268" i="3"/>
  <c r="A259" i="3"/>
  <c r="A260" i="3"/>
  <c r="A248" i="3"/>
  <c r="A249" i="3"/>
  <c r="A250" i="3"/>
  <c r="A251" i="3"/>
  <c r="A252" i="3"/>
  <c r="A253" i="3"/>
  <c r="A254" i="3"/>
  <c r="A255" i="3"/>
  <c r="A256" i="3"/>
  <c r="A247" i="3"/>
  <c r="A234" i="3"/>
  <c r="A240" i="3"/>
  <c r="A58" i="3"/>
  <c r="A60" i="3"/>
  <c r="A59" i="3"/>
  <c r="A38" i="3"/>
  <c r="A39" i="3"/>
  <c r="A40" i="3"/>
  <c r="A41" i="3"/>
  <c r="A42" i="3"/>
  <c r="A43" i="3"/>
  <c r="A44" i="3"/>
  <c r="A45" i="3"/>
  <c r="A7" i="3"/>
  <c r="A8" i="3"/>
  <c r="A16" i="3"/>
  <c r="A17" i="3"/>
  <c r="A18" i="3"/>
  <c r="A19" i="3"/>
  <c r="A20" i="3"/>
  <c r="A21" i="3"/>
  <c r="A24" i="3"/>
  <c r="A25" i="3"/>
  <c r="A26" i="3"/>
  <c r="A27" i="3"/>
  <c r="A28" i="3"/>
  <c r="A29" i="3"/>
  <c r="A30" i="3"/>
  <c r="A31" i="3"/>
  <c r="A32" i="3"/>
  <c r="A33" i="3"/>
  <c r="A34" i="3"/>
  <c r="A35" i="3"/>
  <c r="A48" i="3"/>
  <c r="A49" i="3"/>
  <c r="A50" i="3"/>
  <c r="A51" i="3"/>
  <c r="A52" i="3"/>
  <c r="A53" i="3"/>
  <c r="A54" i="3"/>
  <c r="A55" i="3"/>
  <c r="A56" i="3"/>
  <c r="A57" i="3"/>
  <c r="A72" i="3"/>
  <c r="A73" i="3"/>
  <c r="A74" i="3"/>
  <c r="A75" i="3"/>
  <c r="A68" i="3"/>
  <c r="A69" i="3"/>
  <c r="A70" i="3"/>
  <c r="A71" i="3"/>
  <c r="A63" i="3"/>
  <c r="A64" i="3"/>
  <c r="A65" i="3"/>
  <c r="A66" i="3"/>
  <c r="A67" i="3"/>
  <c r="A82" i="3"/>
  <c r="A83" i="3"/>
  <c r="A84" i="3"/>
  <c r="A85" i="3"/>
  <c r="A92" i="3"/>
  <c r="A93" i="3"/>
  <c r="A94" i="3"/>
  <c r="A95" i="3"/>
  <c r="A88" i="3"/>
  <c r="A89" i="3"/>
  <c r="A90" i="3"/>
  <c r="A91" i="3"/>
  <c r="A98" i="3"/>
  <c r="A99" i="3"/>
  <c r="A100" i="3"/>
  <c r="A101" i="3"/>
  <c r="A104" i="3"/>
  <c r="A105" i="3"/>
  <c r="A106" i="3"/>
  <c r="A107" i="3"/>
  <c r="A110" i="3"/>
  <c r="A111" i="3"/>
  <c r="A112" i="3"/>
  <c r="A113" i="3"/>
  <c r="A116" i="3"/>
  <c r="A117" i="3"/>
  <c r="A118" i="3"/>
  <c r="A119" i="3"/>
  <c r="A120" i="3"/>
  <c r="A121" i="3"/>
  <c r="A122" i="3"/>
  <c r="A125" i="3"/>
  <c r="A126" i="3"/>
  <c r="A127" i="3"/>
  <c r="A128" i="3"/>
  <c r="A129" i="3"/>
  <c r="A140" i="3"/>
  <c r="A141" i="3"/>
  <c r="A142" i="3"/>
  <c r="A143" i="3"/>
  <c r="A136" i="3"/>
  <c r="A137" i="3"/>
  <c r="A138" i="3"/>
  <c r="A139" i="3"/>
  <c r="A132" i="3"/>
  <c r="A133" i="3"/>
  <c r="A134" i="3"/>
  <c r="A135" i="3"/>
  <c r="A146" i="3"/>
  <c r="A147" i="3"/>
  <c r="A148" i="3"/>
  <c r="A149" i="3"/>
  <c r="A150" i="3"/>
  <c r="A151" i="3"/>
  <c r="A152" i="3"/>
  <c r="A153" i="3"/>
  <c r="A156" i="3"/>
  <c r="A157" i="3"/>
  <c r="A158" i="3"/>
  <c r="A160" i="3"/>
  <c r="A161" i="3"/>
  <c r="A162" i="3"/>
  <c r="A164" i="3"/>
  <c r="A165" i="3"/>
  <c r="A166" i="3"/>
  <c r="A168" i="3"/>
  <c r="A169" i="3"/>
  <c r="A170" i="3"/>
  <c r="A172" i="3"/>
  <c r="A173" i="3"/>
  <c r="A174" i="3"/>
  <c r="A177" i="3"/>
  <c r="A178" i="3"/>
  <c r="A179" i="3"/>
  <c r="A181" i="3"/>
  <c r="A182" i="3"/>
  <c r="A183" i="3"/>
  <c r="A185" i="3"/>
  <c r="A186" i="3"/>
  <c r="A187" i="3"/>
  <c r="A189" i="3"/>
  <c r="A190" i="3"/>
  <c r="A191" i="3"/>
  <c r="A192" i="3"/>
  <c r="A193" i="3"/>
  <c r="A194" i="3"/>
  <c r="A195" i="3"/>
  <c r="A198" i="3"/>
  <c r="A199" i="3"/>
  <c r="A200" i="3"/>
  <c r="A202" i="3"/>
  <c r="A203" i="3"/>
  <c r="A204" i="3"/>
  <c r="A206" i="3"/>
  <c r="A207" i="3"/>
  <c r="A208" i="3"/>
  <c r="A210" i="3"/>
  <c r="A211" i="3"/>
  <c r="A212" i="3"/>
  <c r="A214" i="3"/>
  <c r="A215" i="3"/>
  <c r="A216" i="3"/>
  <c r="A219" i="3"/>
  <c r="A220" i="3"/>
  <c r="A221" i="3"/>
  <c r="A222" i="3"/>
  <c r="A223" i="3"/>
  <c r="A224" i="3"/>
  <c r="A225" i="3"/>
  <c r="A226" i="3"/>
  <c r="A241" i="3"/>
  <c r="A242" i="3"/>
  <c r="A243" i="3"/>
  <c r="A244" i="3"/>
  <c r="A235" i="3"/>
  <c r="A229" i="3"/>
  <c r="A236" i="3"/>
  <c r="A230" i="3"/>
  <c r="A237" i="3"/>
  <c r="A231" i="3"/>
  <c r="A238" i="3"/>
  <c r="A232" i="3"/>
  <c r="A239" i="3"/>
  <c r="A233" i="3"/>
  <c r="F10" i="4"/>
  <c r="F9" i="4"/>
  <c r="D7" i="4"/>
  <c r="D9" i="4" s="1"/>
  <c r="D10" i="4"/>
  <c r="EN143" i="8" l="1"/>
  <c r="EM143" i="8"/>
  <c r="BV49" i="8"/>
  <c r="BV46" i="8"/>
  <c r="BV39" i="8"/>
  <c r="BV52" i="8"/>
  <c r="BV48" i="8"/>
  <c r="BV54" i="8"/>
  <c r="BV43" i="8"/>
  <c r="BV47" i="8"/>
  <c r="BV44" i="8"/>
  <c r="BV37" i="8"/>
  <c r="BV41" i="8"/>
  <c r="BV50" i="8"/>
  <c r="BV40" i="8"/>
  <c r="BV42" i="8"/>
  <c r="BV45" i="8"/>
  <c r="BV51" i="8"/>
  <c r="BV53" i="8"/>
  <c r="BV55" i="8"/>
  <c r="CP76" i="8"/>
  <c r="CP75" i="8"/>
  <c r="CP74" i="8"/>
  <c r="CP73" i="8"/>
  <c r="CP72" i="8"/>
  <c r="CP71" i="8"/>
  <c r="CP70" i="8"/>
  <c r="CP69" i="8"/>
  <c r="CP68" i="8"/>
  <c r="CP67" i="8"/>
  <c r="CP66" i="8"/>
  <c r="CP65" i="8"/>
  <c r="CP64" i="8"/>
  <c r="CP63" i="8"/>
  <c r="CP62" i="8"/>
  <c r="H101" i="19" s="1"/>
  <c r="CP61" i="8"/>
  <c r="CP60" i="8"/>
  <c r="CP59" i="8"/>
  <c r="CP58" i="8"/>
  <c r="CP57" i="8"/>
  <c r="CP56" i="8"/>
  <c r="CP55" i="8"/>
  <c r="CP54" i="8"/>
  <c r="CP53" i="8"/>
  <c r="CP52" i="8"/>
  <c r="CP51" i="8"/>
  <c r="CP50" i="8"/>
  <c r="CP49" i="8"/>
  <c r="CP48" i="8"/>
  <c r="CP47" i="8"/>
  <c r="CP46" i="8"/>
  <c r="CP45" i="8"/>
  <c r="CP44" i="8"/>
  <c r="CP43" i="8"/>
  <c r="CP42" i="8"/>
  <c r="CP41" i="8"/>
  <c r="CP40" i="8"/>
  <c r="CP39" i="8"/>
  <c r="CP38" i="8"/>
  <c r="CP37" i="8"/>
  <c r="CP36" i="8"/>
  <c r="CP35" i="8"/>
  <c r="CP34" i="8"/>
  <c r="CP33" i="8"/>
  <c r="CP32" i="8"/>
  <c r="CP29" i="8"/>
  <c r="CP27" i="8"/>
  <c r="CP28" i="8"/>
  <c r="CP30" i="8"/>
  <c r="CP31" i="8"/>
  <c r="BV34" i="8"/>
  <c r="BV35" i="8"/>
  <c r="BV33" i="8"/>
  <c r="CP259" i="8"/>
  <c r="BV36" i="8"/>
  <c r="BM36" i="8" s="1"/>
  <c r="BM102" i="8" s="1"/>
  <c r="BV38" i="8"/>
  <c r="BM38" i="8" s="1"/>
  <c r="BM104" i="8" s="1"/>
  <c r="J7" i="14"/>
  <c r="BV32" i="8"/>
  <c r="BV31" i="8"/>
  <c r="BM31" i="8" s="1"/>
  <c r="BM97" i="8" s="1"/>
  <c r="C162" i="12"/>
  <c r="L7" i="5"/>
  <c r="J7" i="12"/>
  <c r="J23" i="12" s="1"/>
  <c r="K7" i="11"/>
  <c r="BV30" i="8"/>
  <c r="C165" i="12"/>
  <c r="D12" i="4"/>
  <c r="D21" i="4" s="1"/>
  <c r="BV28" i="8"/>
  <c r="BV27" i="8"/>
  <c r="CP258" i="8"/>
  <c r="DB254" i="8" s="1"/>
  <c r="BV258" i="8"/>
  <c r="BV29" i="8"/>
  <c r="DR7" i="8"/>
  <c r="J7" i="8"/>
  <c r="BR7" i="8"/>
  <c r="EO142" i="8" l="1" a="1"/>
  <c r="EO142" i="8" s="1"/>
  <c r="EO108" i="8" a="1"/>
  <c r="EO108" i="8" s="1"/>
  <c r="EO120" i="8" a="1"/>
  <c r="EO120" i="8" s="1"/>
  <c r="EO107" i="8" a="1"/>
  <c r="EO107" i="8" s="1"/>
  <c r="EO136" i="8" a="1"/>
  <c r="EO136" i="8" s="1"/>
  <c r="EO97" i="8" a="1"/>
  <c r="EO97" i="8" s="1"/>
  <c r="EO122" i="8" a="1"/>
  <c r="EO122" i="8" s="1"/>
  <c r="EO121" i="8" a="1"/>
  <c r="EO121" i="8" s="1"/>
  <c r="EO106" i="8" a="1"/>
  <c r="EO106" i="8" s="1"/>
  <c r="EO135" i="8" a="1"/>
  <c r="EO135" i="8" s="1"/>
  <c r="EO133" i="8" a="1"/>
  <c r="EO133" i="8" s="1"/>
  <c r="EO94" i="8" a="1"/>
  <c r="EO94" i="8" s="1"/>
  <c r="EO116" i="8" a="1"/>
  <c r="EO116" i="8" s="1"/>
  <c r="EO99" i="8" a="1"/>
  <c r="EO99" i="8" s="1"/>
  <c r="EO130" i="8" a="1"/>
  <c r="EO130" i="8" s="1"/>
  <c r="EO101" i="8" a="1"/>
  <c r="EO101" i="8" s="1"/>
  <c r="EO95" i="8" a="1"/>
  <c r="EO95" i="8" s="1"/>
  <c r="EO117" i="8" a="1"/>
  <c r="EO117" i="8" s="1"/>
  <c r="EO100" i="8" a="1"/>
  <c r="EO100" i="8" s="1"/>
  <c r="EO111" i="8" a="1"/>
  <c r="EO111" i="8" s="1"/>
  <c r="EO118" i="8" a="1"/>
  <c r="EO118" i="8" s="1"/>
  <c r="EO124" i="8" a="1"/>
  <c r="EO124" i="8" s="1"/>
  <c r="EO115" i="8" a="1"/>
  <c r="EO115" i="8" s="1"/>
  <c r="EO137" i="8" a="1"/>
  <c r="EO137" i="8" s="1"/>
  <c r="EO140" i="8" a="1"/>
  <c r="EO140" i="8" s="1"/>
  <c r="EO125" i="8" a="1"/>
  <c r="EO125" i="8" s="1"/>
  <c r="EO103" i="8" a="1"/>
  <c r="EO103" i="8" s="1"/>
  <c r="EO98" i="8" a="1"/>
  <c r="EO98" i="8" s="1"/>
  <c r="EO126" i="8" a="1"/>
  <c r="EO126" i="8" s="1"/>
  <c r="EO96" i="8" a="1"/>
  <c r="EO96" i="8" s="1"/>
  <c r="EO110" i="8" a="1"/>
  <c r="EO110" i="8" s="1"/>
  <c r="EO102" i="8" a="1"/>
  <c r="EO102" i="8" s="1"/>
  <c r="EO134" i="8" a="1"/>
  <c r="EO134" i="8" s="1"/>
  <c r="EO113" i="8" a="1"/>
  <c r="EO113" i="8" s="1"/>
  <c r="EO138" i="8" a="1"/>
  <c r="EO138" i="8" s="1"/>
  <c r="EO127" i="8" a="1"/>
  <c r="EO127" i="8" s="1"/>
  <c r="EO141" i="8" a="1"/>
  <c r="EO141" i="8" s="1"/>
  <c r="EO109" i="8" a="1"/>
  <c r="EO109" i="8" s="1"/>
  <c r="EO105" i="8" a="1"/>
  <c r="EO105" i="8" s="1"/>
  <c r="EO93" i="8" a="1"/>
  <c r="EO93" i="8" s="1"/>
  <c r="EO131" i="8" a="1"/>
  <c r="EO131" i="8" s="1"/>
  <c r="EO104" i="8" a="1"/>
  <c r="EO104" i="8" s="1"/>
  <c r="EO128" i="8" a="1"/>
  <c r="EO128" i="8" s="1"/>
  <c r="EO129" i="8" a="1"/>
  <c r="EO129" i="8" s="1"/>
  <c r="EO123" i="8" a="1"/>
  <c r="EO123" i="8" s="1"/>
  <c r="EO132" i="8" a="1"/>
  <c r="EO132" i="8" s="1"/>
  <c r="EO112" i="8" a="1"/>
  <c r="EO112" i="8" s="1"/>
  <c r="EO139" i="8" a="1"/>
  <c r="EO139" i="8" s="1"/>
  <c r="EO119" i="8" a="1"/>
  <c r="EO119" i="8" s="1"/>
  <c r="EO114" i="8" a="1"/>
  <c r="EO114" i="8" s="1"/>
  <c r="BM51" i="8"/>
  <c r="BM117" i="8" s="1"/>
  <c r="B90" i="19"/>
  <c r="BM47" i="8"/>
  <c r="BM113" i="8" s="1"/>
  <c r="B86" i="19"/>
  <c r="BM45" i="8"/>
  <c r="BM111" i="8" s="1"/>
  <c r="B84" i="19"/>
  <c r="BM43" i="8"/>
  <c r="BM109" i="8" s="1"/>
  <c r="B82" i="19"/>
  <c r="BM42" i="8"/>
  <c r="BM108" i="8" s="1"/>
  <c r="B81" i="19"/>
  <c r="BM54" i="8"/>
  <c r="BM120" i="8" s="1"/>
  <c r="B93" i="19"/>
  <c r="BM40" i="8"/>
  <c r="BM106" i="8" s="1"/>
  <c r="B79" i="19"/>
  <c r="BM48" i="8"/>
  <c r="BM114" i="8" s="1"/>
  <c r="B87" i="19"/>
  <c r="BM50" i="8"/>
  <c r="BM116" i="8" s="1"/>
  <c r="B89" i="19"/>
  <c r="BM52" i="8"/>
  <c r="BM118" i="8" s="1"/>
  <c r="B91" i="19"/>
  <c r="BM41" i="8"/>
  <c r="BM107" i="8" s="1"/>
  <c r="B80" i="19"/>
  <c r="BM39" i="8"/>
  <c r="BM105" i="8" s="1"/>
  <c r="B78" i="19"/>
  <c r="BM55" i="8"/>
  <c r="BM121" i="8" s="1"/>
  <c r="B94" i="19"/>
  <c r="BM37" i="8"/>
  <c r="BM103" i="8" s="1"/>
  <c r="B76" i="19"/>
  <c r="BM46" i="8"/>
  <c r="BM112" i="8" s="1"/>
  <c r="B85" i="19"/>
  <c r="BM53" i="8"/>
  <c r="BM119" i="8" s="1"/>
  <c r="B92" i="19"/>
  <c r="BM44" i="8"/>
  <c r="BM110" i="8" s="1"/>
  <c r="B83" i="19"/>
  <c r="BM49" i="8"/>
  <c r="BM115" i="8" s="1"/>
  <c r="B88" i="19"/>
  <c r="H78" i="19"/>
  <c r="H106" i="19"/>
  <c r="BM27" i="8"/>
  <c r="BM93" i="8" s="1"/>
  <c r="BY150" i="8"/>
  <c r="BY171" i="8"/>
  <c r="BY192" i="8"/>
  <c r="BY149" i="8"/>
  <c r="BY179" i="8"/>
  <c r="BY185" i="8"/>
  <c r="BY172" i="8"/>
  <c r="BY170" i="8"/>
  <c r="BY191" i="8"/>
  <c r="BY163" i="8"/>
  <c r="BY167" i="8"/>
  <c r="BY153" i="8"/>
  <c r="BY175" i="8"/>
  <c r="BY166" i="8"/>
  <c r="BY187" i="8"/>
  <c r="BY161" i="8"/>
  <c r="BY181" i="8"/>
  <c r="BY152" i="8"/>
  <c r="BY178" i="8"/>
  <c r="BY188" i="8"/>
  <c r="BY186" i="8"/>
  <c r="BY164" i="8"/>
  <c r="BY168" i="8"/>
  <c r="BY156" i="8"/>
  <c r="BY176" i="8"/>
  <c r="BY180" i="8"/>
  <c r="BY190" i="8"/>
  <c r="BY154" i="8"/>
  <c r="BY162" i="8"/>
  <c r="BY182" i="8"/>
  <c r="BY160" i="8"/>
  <c r="BY177" i="8"/>
  <c r="BY158" i="8"/>
  <c r="BY184" i="8"/>
  <c r="BY151" i="8"/>
  <c r="BY173" i="8"/>
  <c r="BY159" i="8"/>
  <c r="BY165" i="8"/>
  <c r="BY169" i="8"/>
  <c r="BY157" i="8"/>
  <c r="BY155" i="8"/>
  <c r="BY183" i="8"/>
  <c r="BY174" i="8"/>
  <c r="BY189" i="8"/>
  <c r="H102" i="19"/>
  <c r="H90" i="19"/>
  <c r="H94" i="19"/>
  <c r="H98" i="19"/>
  <c r="H114" i="19"/>
  <c r="H110" i="19"/>
  <c r="H77" i="19"/>
  <c r="H86" i="19"/>
  <c r="H74" i="19"/>
  <c r="H82" i="19"/>
  <c r="H70" i="19"/>
  <c r="H85" i="19"/>
  <c r="H107" i="19"/>
  <c r="H75" i="19"/>
  <c r="H87" i="19"/>
  <c r="H111" i="19"/>
  <c r="H103" i="19"/>
  <c r="H79" i="19"/>
  <c r="H99" i="19"/>
  <c r="H95" i="19"/>
  <c r="H91" i="19"/>
  <c r="H115" i="19"/>
  <c r="H71" i="19"/>
  <c r="H83" i="19"/>
  <c r="H76" i="19"/>
  <c r="H109" i="19"/>
  <c r="H113" i="19"/>
  <c r="H73" i="19"/>
  <c r="H105" i="19"/>
  <c r="H112" i="19"/>
  <c r="H81" i="19"/>
  <c r="H97" i="19"/>
  <c r="H93" i="19"/>
  <c r="H89" i="19"/>
  <c r="H80" i="19"/>
  <c r="H92" i="19"/>
  <c r="H72" i="19"/>
  <c r="H104" i="19"/>
  <c r="H96" i="19"/>
  <c r="H88" i="19"/>
  <c r="H108" i="19"/>
  <c r="H84" i="19"/>
  <c r="H100" i="19"/>
  <c r="BM34" i="8"/>
  <c r="BM100" i="8" s="1"/>
  <c r="B73" i="19"/>
  <c r="BM33" i="8"/>
  <c r="BM99" i="8" s="1"/>
  <c r="B72" i="19"/>
  <c r="BM35" i="8"/>
  <c r="BM101" i="8" s="1"/>
  <c r="B74" i="19"/>
  <c r="H66" i="19"/>
  <c r="B71" i="19"/>
  <c r="BM32" i="8"/>
  <c r="BM98" i="8" s="1"/>
  <c r="H69" i="19"/>
  <c r="BM30" i="8"/>
  <c r="BM96" i="8" s="1"/>
  <c r="H68" i="19"/>
  <c r="BM29" i="8"/>
  <c r="BM95" i="8" s="1"/>
  <c r="H67" i="19"/>
  <c r="BM28" i="8"/>
  <c r="BM94" i="8" s="1"/>
  <c r="B66" i="19"/>
  <c r="B69" i="19"/>
  <c r="B68" i="19"/>
  <c r="B67" i="19"/>
  <c r="B70" i="19"/>
  <c r="B77" i="19"/>
  <c r="B75" i="19"/>
  <c r="DR9" i="8"/>
  <c r="J9" i="14"/>
  <c r="BR9" i="8"/>
  <c r="J9" i="8"/>
  <c r="L9" i="5"/>
  <c r="J9" i="12"/>
  <c r="K9" i="11"/>
  <c r="BN141" i="8"/>
  <c r="BR141" i="8" s="1"/>
  <c r="DB75" i="8"/>
  <c r="DB41" i="8"/>
  <c r="BN107" i="8"/>
  <c r="BR107" i="8" s="1"/>
  <c r="BN136" i="8"/>
  <c r="BR136" i="8" s="1"/>
  <c r="DB70" i="8"/>
  <c r="DB30" i="8"/>
  <c r="BN96" i="8"/>
  <c r="BR96" i="8" s="1"/>
  <c r="BN124" i="8"/>
  <c r="BR124" i="8" s="1"/>
  <c r="DB58" i="8"/>
  <c r="DB49" i="8"/>
  <c r="BN115" i="8"/>
  <c r="BR115" i="8" s="1"/>
  <c r="BN113" i="8"/>
  <c r="BR113" i="8" s="1"/>
  <c r="DB47" i="8"/>
  <c r="DB60" i="8"/>
  <c r="BN126" i="8"/>
  <c r="BR126" i="8" s="1"/>
  <c r="DB73" i="8"/>
  <c r="BN139" i="8"/>
  <c r="BR139" i="8" s="1"/>
  <c r="DB37" i="8"/>
  <c r="BN103" i="8"/>
  <c r="BR103" i="8" s="1"/>
  <c r="DB76" i="8"/>
  <c r="BN142" i="8"/>
  <c r="BR142" i="8" s="1"/>
  <c r="DB72" i="8"/>
  <c r="BN138" i="8"/>
  <c r="BR138" i="8" s="1"/>
  <c r="BN122" i="8"/>
  <c r="BR122" i="8" s="1"/>
  <c r="DB56" i="8"/>
  <c r="BN130" i="8"/>
  <c r="BR130" i="8" s="1"/>
  <c r="DB64" i="8"/>
  <c r="BN106" i="8"/>
  <c r="BR106" i="8" s="1"/>
  <c r="DB40" i="8"/>
  <c r="BN127" i="8"/>
  <c r="BR127" i="8" s="1"/>
  <c r="DB61" i="8"/>
  <c r="BN119" i="8"/>
  <c r="BR119" i="8" s="1"/>
  <c r="DB53" i="8"/>
  <c r="BN110" i="8"/>
  <c r="BR110" i="8" s="1"/>
  <c r="DB44" i="8"/>
  <c r="DB55" i="8"/>
  <c r="BN121" i="8"/>
  <c r="BR121" i="8" s="1"/>
  <c r="BN133" i="8"/>
  <c r="BR133" i="8" s="1"/>
  <c r="DB67" i="8"/>
  <c r="BN105" i="8"/>
  <c r="BR105" i="8" s="1"/>
  <c r="DB39" i="8"/>
  <c r="BN135" i="8"/>
  <c r="BR135" i="8" s="1"/>
  <c r="DB69" i="8"/>
  <c r="BN129" i="8"/>
  <c r="BR129" i="8" s="1"/>
  <c r="DB63" i="8"/>
  <c r="BN123" i="8"/>
  <c r="BR123" i="8" s="1"/>
  <c r="DB57" i="8"/>
  <c r="BN137" i="8"/>
  <c r="BR137" i="8" s="1"/>
  <c r="DB71" i="8"/>
  <c r="BN109" i="8"/>
  <c r="BR109" i="8" s="1"/>
  <c r="DB43" i="8"/>
  <c r="BN128" i="8"/>
  <c r="BR128" i="8" s="1"/>
  <c r="DB62" i="8"/>
  <c r="BN112" i="8"/>
  <c r="BR112" i="8" s="1"/>
  <c r="DB46" i="8"/>
  <c r="DB48" i="8"/>
  <c r="BN114" i="8"/>
  <c r="BR114" i="8" s="1"/>
  <c r="BN132" i="8"/>
  <c r="BR132" i="8" s="1"/>
  <c r="DB66" i="8"/>
  <c r="BN116" i="8"/>
  <c r="BR116" i="8" s="1"/>
  <c r="DB50" i="8"/>
  <c r="BN100" i="8"/>
  <c r="BR100" i="8" s="1"/>
  <c r="DB34" i="8"/>
  <c r="DB52" i="8"/>
  <c r="BN118" i="8"/>
  <c r="BR118" i="8" s="1"/>
  <c r="BN102" i="8"/>
  <c r="BR102" i="8" s="1"/>
  <c r="DB36" i="8"/>
  <c r="BN101" i="8"/>
  <c r="BR101" i="8" s="1"/>
  <c r="DB35" i="8"/>
  <c r="BN111" i="8"/>
  <c r="BR111" i="8" s="1"/>
  <c r="DB45" i="8"/>
  <c r="BN140" i="8"/>
  <c r="BR140" i="8" s="1"/>
  <c r="DB74" i="8"/>
  <c r="DB65" i="8"/>
  <c r="BN131" i="8"/>
  <c r="BR131" i="8" s="1"/>
  <c r="BN120" i="8"/>
  <c r="BR120" i="8" s="1"/>
  <c r="DB54" i="8"/>
  <c r="DB33" i="8"/>
  <c r="BN99" i="8"/>
  <c r="BR99" i="8" s="1"/>
  <c r="BN134" i="8"/>
  <c r="BR134" i="8" s="1"/>
  <c r="DB68" i="8"/>
  <c r="BN97" i="8"/>
  <c r="BR97" i="8" s="1"/>
  <c r="DB31" i="8"/>
  <c r="DB29" i="8"/>
  <c r="BN95" i="8"/>
  <c r="BR95" i="8" s="1"/>
  <c r="DB51" i="8"/>
  <c r="BN117" i="8"/>
  <c r="BR117" i="8" s="1"/>
  <c r="DB59" i="8"/>
  <c r="BN125" i="8"/>
  <c r="BR125" i="8" s="1"/>
  <c r="BN104" i="8"/>
  <c r="BR104" i="8" s="1"/>
  <c r="DB38" i="8"/>
  <c r="BN98" i="8"/>
  <c r="BR98" i="8" s="1"/>
  <c r="DB32" i="8"/>
  <c r="BN94" i="8"/>
  <c r="BR94" i="8" s="1"/>
  <c r="DB28" i="8"/>
  <c r="BN108" i="8"/>
  <c r="BR108" i="8" s="1"/>
  <c r="DB42" i="8"/>
  <c r="BN93" i="8"/>
  <c r="BR93" i="8" s="1"/>
  <c r="DB27" i="8"/>
  <c r="AB50" i="5" l="1"/>
  <c r="AB70" i="5"/>
  <c r="AB93" i="5"/>
  <c r="AB113" i="5"/>
  <c r="AB133" i="5"/>
  <c r="AB153" i="5"/>
  <c r="AB176" i="5"/>
  <c r="AB196" i="5"/>
  <c r="AB216" i="5"/>
  <c r="AB236" i="5"/>
  <c r="AB259" i="5"/>
  <c r="AB279" i="5"/>
  <c r="AB299" i="5"/>
  <c r="AB319" i="5"/>
  <c r="AB362" i="5"/>
  <c r="AB405" i="5"/>
  <c r="AB445" i="5"/>
  <c r="AB488" i="5"/>
  <c r="AB528" i="5"/>
  <c r="AB591" i="5"/>
  <c r="AB631" i="5"/>
  <c r="AB674" i="5"/>
  <c r="AB787" i="5"/>
  <c r="AB747" i="5"/>
  <c r="AB55" i="5"/>
  <c r="AB75" i="5"/>
  <c r="AB98" i="5"/>
  <c r="AB118" i="5"/>
  <c r="AB138" i="5"/>
  <c r="AB158" i="5"/>
  <c r="AB181" i="5"/>
  <c r="AB201" i="5"/>
  <c r="AB221" i="5"/>
  <c r="AB241" i="5"/>
  <c r="AB264" i="5"/>
  <c r="AB284" i="5"/>
  <c r="AB304" i="5"/>
  <c r="AB327" i="5"/>
  <c r="AB347" i="5"/>
  <c r="AB367" i="5"/>
  <c r="AB387" i="5"/>
  <c r="AB410" i="5"/>
  <c r="AB430" i="5"/>
  <c r="AB450" i="5"/>
  <c r="AB470" i="5"/>
  <c r="AB493" i="5"/>
  <c r="AB513" i="5"/>
  <c r="AB533" i="5"/>
  <c r="AB553" i="5"/>
  <c r="AB576" i="5"/>
  <c r="AB596" i="5"/>
  <c r="AB616" i="5"/>
  <c r="AB639" i="5"/>
  <c r="AB659" i="5"/>
  <c r="AB679" i="5"/>
  <c r="AB699" i="5"/>
  <c r="AB782" i="5"/>
  <c r="AB762" i="5"/>
  <c r="AB742" i="5"/>
  <c r="AB332" i="5"/>
  <c r="AB392" i="5"/>
  <c r="AB415" i="5"/>
  <c r="AB455" i="5"/>
  <c r="AB498" i="5"/>
  <c r="AB538" i="5"/>
  <c r="AB581" i="5"/>
  <c r="AB601" i="5"/>
  <c r="AB644" i="5"/>
  <c r="AB684" i="5"/>
  <c r="AB777" i="5"/>
  <c r="AB40" i="5"/>
  <c r="AB60" i="5"/>
  <c r="AB80" i="5"/>
  <c r="AB103" i="5"/>
  <c r="AB123" i="5"/>
  <c r="AB143" i="5"/>
  <c r="AB163" i="5"/>
  <c r="AB186" i="5"/>
  <c r="AB206" i="5"/>
  <c r="AB226" i="5"/>
  <c r="AB249" i="5"/>
  <c r="AB269" i="5"/>
  <c r="AB289" i="5"/>
  <c r="AB309" i="5"/>
  <c r="AB352" i="5"/>
  <c r="AB372" i="5"/>
  <c r="AB435" i="5"/>
  <c r="AB475" i="5"/>
  <c r="AB518" i="5"/>
  <c r="AB561" i="5"/>
  <c r="AB621" i="5"/>
  <c r="AB664" i="5"/>
  <c r="AB704" i="5"/>
  <c r="AB757" i="5"/>
  <c r="AB45" i="5"/>
  <c r="AB65" i="5"/>
  <c r="AB85" i="5"/>
  <c r="AB108" i="5"/>
  <c r="AB128" i="5"/>
  <c r="AB148" i="5"/>
  <c r="AB171" i="5"/>
  <c r="AB191" i="5"/>
  <c r="AB211" i="5"/>
  <c r="AB231" i="5"/>
  <c r="AB254" i="5"/>
  <c r="AB274" i="5"/>
  <c r="AB294" i="5"/>
  <c r="AB314" i="5"/>
  <c r="AB337" i="5"/>
  <c r="AB357" i="5"/>
  <c r="AB377" i="5"/>
  <c r="AB397" i="5"/>
  <c r="AB420" i="5"/>
  <c r="AB440" i="5"/>
  <c r="AB460" i="5"/>
  <c r="AB483" i="5"/>
  <c r="AB503" i="5"/>
  <c r="AB523" i="5"/>
  <c r="AB543" i="5"/>
  <c r="AB566" i="5"/>
  <c r="AB586" i="5"/>
  <c r="AB606" i="5"/>
  <c r="AB626" i="5"/>
  <c r="AB649" i="5"/>
  <c r="AB669" i="5"/>
  <c r="AB689" i="5"/>
  <c r="AB709" i="5"/>
  <c r="AB772" i="5"/>
  <c r="AB752" i="5"/>
  <c r="AB342" i="5"/>
  <c r="AB382" i="5"/>
  <c r="AB425" i="5"/>
  <c r="AB465" i="5"/>
  <c r="AB508" i="5"/>
  <c r="AB548" i="5"/>
  <c r="AB571" i="5"/>
  <c r="AB611" i="5"/>
  <c r="AB654" i="5"/>
  <c r="AB694" i="5"/>
  <c r="AB767" i="5"/>
  <c r="FW782" i="5"/>
  <c r="IF767" i="5"/>
  <c r="IG767" i="5" s="1"/>
  <c r="FW767" i="5"/>
  <c r="GF762" i="5"/>
  <c r="FW757" i="5"/>
  <c r="FW742" i="5"/>
  <c r="FW722" i="5"/>
  <c r="FW717" i="5"/>
  <c r="IF699" i="5"/>
  <c r="IG699" i="5" s="1"/>
  <c r="FW699" i="5"/>
  <c r="FW694" i="5"/>
  <c r="IF689" i="5"/>
  <c r="IG689" i="5" s="1"/>
  <c r="FW689" i="5"/>
  <c r="IF679" i="5"/>
  <c r="IG679" i="5" s="1"/>
  <c r="GF674" i="5"/>
  <c r="GF659" i="5"/>
  <c r="FW654" i="5"/>
  <c r="FW644" i="5"/>
  <c r="GF606" i="5"/>
  <c r="GF601" i="5"/>
  <c r="IF586" i="5"/>
  <c r="IG586" i="5" s="1"/>
  <c r="FW586" i="5"/>
  <c r="FW581" i="5"/>
  <c r="IF576" i="5"/>
  <c r="IG576" i="5" s="1"/>
  <c r="GF571" i="5"/>
  <c r="IF566" i="5"/>
  <c r="IG566" i="5" s="1"/>
  <c r="GF561" i="5"/>
  <c r="GF538" i="5"/>
  <c r="GF533" i="5"/>
  <c r="GF523" i="5"/>
  <c r="IF518" i="5"/>
  <c r="IG518" i="5" s="1"/>
  <c r="FW508" i="5"/>
  <c r="FW493" i="5"/>
  <c r="FW488" i="5"/>
  <c r="GF483" i="5"/>
  <c r="GF470" i="5"/>
  <c r="IF460" i="5"/>
  <c r="IG460" i="5" s="1"/>
  <c r="FW450" i="5"/>
  <c r="FW445" i="5"/>
  <c r="IF440" i="5"/>
  <c r="IG440" i="5" s="1"/>
  <c r="FW440" i="5"/>
  <c r="GF430" i="5"/>
  <c r="IF425" i="5"/>
  <c r="IG425" i="5" s="1"/>
  <c r="IF420" i="5"/>
  <c r="IG420" i="5" s="1"/>
  <c r="GF405" i="5"/>
  <c r="FW392" i="5"/>
  <c r="GF382" i="5"/>
  <c r="FW372" i="5"/>
  <c r="GF352" i="5"/>
  <c r="GF347" i="5"/>
  <c r="IF342" i="5"/>
  <c r="IG342" i="5" s="1"/>
  <c r="GF332" i="5"/>
  <c r="GF241" i="5"/>
  <c r="FW236" i="5"/>
  <c r="FW231" i="5"/>
  <c r="IF221" i="5"/>
  <c r="IG221" i="5" s="1"/>
  <c r="IF201" i="5"/>
  <c r="IG201" i="5" s="1"/>
  <c r="GF186" i="5"/>
  <c r="FW787" i="5"/>
  <c r="GF777" i="5"/>
  <c r="GF772" i="5"/>
  <c r="IF757" i="5"/>
  <c r="IG757" i="5" s="1"/>
  <c r="FW752" i="5"/>
  <c r="GF747" i="5"/>
  <c r="FW737" i="5"/>
  <c r="FW732" i="5"/>
  <c r="FW727" i="5"/>
  <c r="IF722" i="5"/>
  <c r="IG722" i="5" s="1"/>
  <c r="FW709" i="5"/>
  <c r="GF704" i="5"/>
  <c r="GF684" i="5"/>
  <c r="GF679" i="5"/>
  <c r="IF674" i="5"/>
  <c r="IG674" i="5" s="1"/>
  <c r="GF669" i="5"/>
  <c r="GF664" i="5"/>
  <c r="FW649" i="5"/>
  <c r="IF639" i="5"/>
  <c r="IG639" i="5" s="1"/>
  <c r="FW639" i="5"/>
  <c r="IF631" i="5"/>
  <c r="IG631" i="5" s="1"/>
  <c r="FW631" i="5"/>
  <c r="FW626" i="5"/>
  <c r="FW621" i="5"/>
  <c r="GF616" i="5"/>
  <c r="GF611" i="5"/>
  <c r="GF596" i="5"/>
  <c r="GF591" i="5"/>
  <c r="GF576" i="5"/>
  <c r="FW566" i="5"/>
  <c r="GF553" i="5"/>
  <c r="FW548" i="5"/>
  <c r="GF543" i="5"/>
  <c r="FW528" i="5"/>
  <c r="FW518" i="5"/>
  <c r="GF513" i="5"/>
  <c r="GF503" i="5"/>
  <c r="GF498" i="5"/>
  <c r="GF475" i="5"/>
  <c r="GF465" i="5"/>
  <c r="FW460" i="5"/>
  <c r="GF455" i="5"/>
  <c r="IF450" i="5"/>
  <c r="IG450" i="5" s="1"/>
  <c r="FW435" i="5"/>
  <c r="FW425" i="5"/>
  <c r="FW420" i="5"/>
  <c r="FW415" i="5"/>
  <c r="GF410" i="5"/>
  <c r="GF397" i="5"/>
  <c r="IF387" i="5"/>
  <c r="IG387" i="5" s="1"/>
  <c r="FW387" i="5"/>
  <c r="IF382" i="5"/>
  <c r="IG382" i="5" s="1"/>
  <c r="FW377" i="5"/>
  <c r="IF367" i="5"/>
  <c r="IG367" i="5" s="1"/>
  <c r="FW367" i="5"/>
  <c r="GF362" i="5"/>
  <c r="GF357" i="5"/>
  <c r="GF342" i="5"/>
  <c r="FW337" i="5"/>
  <c r="IF332" i="5"/>
  <c r="IG332" i="5" s="1"/>
  <c r="FW327" i="5"/>
  <c r="GF226" i="5"/>
  <c r="FW221" i="5"/>
  <c r="GF216" i="5"/>
  <c r="FW211" i="5"/>
  <c r="GF206" i="5"/>
  <c r="FW201" i="5"/>
  <c r="IF196" i="5"/>
  <c r="IG196" i="5" s="1"/>
  <c r="FW196" i="5"/>
  <c r="FW191" i="5"/>
  <c r="GF181" i="5"/>
  <c r="GF782" i="5"/>
  <c r="GF767" i="5"/>
  <c r="FW762" i="5"/>
  <c r="GF757" i="5"/>
  <c r="GF742" i="5"/>
  <c r="GF722" i="5"/>
  <c r="GF717" i="5"/>
  <c r="GF699" i="5"/>
  <c r="GF694" i="5"/>
  <c r="GF689" i="5"/>
  <c r="FW674" i="5"/>
  <c r="IF659" i="5"/>
  <c r="IG659" i="5" s="1"/>
  <c r="FW659" i="5"/>
  <c r="GF654" i="5"/>
  <c r="GF644" i="5"/>
  <c r="IF621" i="5"/>
  <c r="IG621" i="5" s="1"/>
  <c r="IF606" i="5"/>
  <c r="IG606" i="5" s="1"/>
  <c r="FW606" i="5"/>
  <c r="FW601" i="5"/>
  <c r="GF586" i="5"/>
  <c r="GF581" i="5"/>
  <c r="FW571" i="5"/>
  <c r="FW561" i="5"/>
  <c r="IF538" i="5"/>
  <c r="IG538" i="5" s="1"/>
  <c r="FW538" i="5"/>
  <c r="FW533" i="5"/>
  <c r="FW523" i="5"/>
  <c r="GF508" i="5"/>
  <c r="GF493" i="5"/>
  <c r="GF488" i="5"/>
  <c r="FW483" i="5"/>
  <c r="FW470" i="5"/>
  <c r="IF465" i="5"/>
  <c r="IG465" i="5" s="1"/>
  <c r="GF450" i="5"/>
  <c r="GF445" i="5"/>
  <c r="GF440" i="5"/>
  <c r="FW430" i="5"/>
  <c r="FW405" i="5"/>
  <c r="GF392" i="5"/>
  <c r="FW382" i="5"/>
  <c r="IF377" i="5"/>
  <c r="IG377" i="5" s="1"/>
  <c r="GF372" i="5"/>
  <c r="FW352" i="5"/>
  <c r="FW347" i="5"/>
  <c r="FW332" i="5"/>
  <c r="FW241" i="5"/>
  <c r="GF236" i="5"/>
  <c r="GF231" i="5"/>
  <c r="IF216" i="5"/>
  <c r="IG216" i="5" s="1"/>
  <c r="IF206" i="5"/>
  <c r="IG206" i="5" s="1"/>
  <c r="IF191" i="5"/>
  <c r="IG191" i="5" s="1"/>
  <c r="FW186" i="5"/>
  <c r="GF787" i="5"/>
  <c r="IF777" i="5"/>
  <c r="IG777" i="5" s="1"/>
  <c r="FW777" i="5"/>
  <c r="IF772" i="5"/>
  <c r="IG772" i="5" s="1"/>
  <c r="FW772" i="5"/>
  <c r="IF762" i="5"/>
  <c r="IG762" i="5" s="1"/>
  <c r="GF752" i="5"/>
  <c r="IF747" i="5"/>
  <c r="IG747" i="5" s="1"/>
  <c r="FW747" i="5"/>
  <c r="IF742" i="5"/>
  <c r="IG742" i="5" s="1"/>
  <c r="GF737" i="5"/>
  <c r="GF732" i="5"/>
  <c r="GF727" i="5"/>
  <c r="GF709" i="5"/>
  <c r="FW704" i="5"/>
  <c r="FW684" i="5"/>
  <c r="FW679" i="5"/>
  <c r="IF669" i="5"/>
  <c r="IG669" i="5" s="1"/>
  <c r="FW669" i="5"/>
  <c r="IF664" i="5"/>
  <c r="IG664" i="5" s="1"/>
  <c r="FW664" i="5"/>
  <c r="GF649" i="5"/>
  <c r="GF639" i="5"/>
  <c r="GF631" i="5"/>
  <c r="GF626" i="5"/>
  <c r="GF621" i="5"/>
  <c r="IF616" i="5"/>
  <c r="IG616" i="5" s="1"/>
  <c r="FW616" i="5"/>
  <c r="FW611" i="5"/>
  <c r="FW596" i="5"/>
  <c r="FW591" i="5"/>
  <c r="IF581" i="5"/>
  <c r="IG581" i="5" s="1"/>
  <c r="FW576" i="5"/>
  <c r="GF566" i="5"/>
  <c r="IF561" i="5"/>
  <c r="IG561" i="5" s="1"/>
  <c r="FW553" i="5"/>
  <c r="GF548" i="5"/>
  <c r="IF543" i="5"/>
  <c r="IG543" i="5" s="1"/>
  <c r="FW543" i="5"/>
  <c r="IF533" i="5"/>
  <c r="IG533" i="5" s="1"/>
  <c r="GF528" i="5"/>
  <c r="IF523" i="5"/>
  <c r="IG523" i="5" s="1"/>
  <c r="GF518" i="5"/>
  <c r="FW513" i="5"/>
  <c r="FW503" i="5"/>
  <c r="FW498" i="5"/>
  <c r="FW475" i="5"/>
  <c r="FW465" i="5"/>
  <c r="GF460" i="5"/>
  <c r="FW455" i="5"/>
  <c r="GF435" i="5"/>
  <c r="GF425" i="5"/>
  <c r="GF420" i="5"/>
  <c r="GF415" i="5"/>
  <c r="FW410" i="5"/>
  <c r="IF405" i="5"/>
  <c r="IG405" i="5" s="1"/>
  <c r="FW397" i="5"/>
  <c r="GF387" i="5"/>
  <c r="GF377" i="5"/>
  <c r="GF367" i="5"/>
  <c r="FW362" i="5"/>
  <c r="FW357" i="5"/>
  <c r="IF347" i="5"/>
  <c r="IG347" i="5" s="1"/>
  <c r="FW342" i="5"/>
  <c r="GF337" i="5"/>
  <c r="GF327" i="5"/>
  <c r="IF231" i="5"/>
  <c r="IG231" i="5" s="1"/>
  <c r="FW226" i="5"/>
  <c r="GF221" i="5"/>
  <c r="FW216" i="5"/>
  <c r="GF211" i="5"/>
  <c r="FW206" i="5"/>
  <c r="GF201" i="5"/>
  <c r="GF196" i="5"/>
  <c r="GF191" i="5"/>
  <c r="FW181" i="5"/>
  <c r="IF176" i="5"/>
  <c r="IG176" i="5" s="1"/>
  <c r="FW176" i="5"/>
  <c r="GF314" i="5"/>
  <c r="GF304" i="5"/>
  <c r="GF299" i="5"/>
  <c r="IF289" i="5"/>
  <c r="IG289" i="5" s="1"/>
  <c r="FW289" i="5"/>
  <c r="GF279" i="5"/>
  <c r="FW259" i="5"/>
  <c r="GF254" i="5"/>
  <c r="IF158" i="5"/>
  <c r="IG158" i="5" s="1"/>
  <c r="FW148" i="5"/>
  <c r="GF138" i="5"/>
  <c r="FW128" i="5"/>
  <c r="GF123" i="5"/>
  <c r="FW98" i="5"/>
  <c r="GF85" i="5"/>
  <c r="FW171" i="5"/>
  <c r="IF319" i="5"/>
  <c r="IG319" i="5" s="1"/>
  <c r="FW319" i="5"/>
  <c r="GF309" i="5"/>
  <c r="GF294" i="5"/>
  <c r="FW284" i="5"/>
  <c r="FW274" i="5"/>
  <c r="FW269" i="5"/>
  <c r="GF264" i="5"/>
  <c r="GF249" i="5"/>
  <c r="FW163" i="5"/>
  <c r="GF158" i="5"/>
  <c r="FW153" i="5"/>
  <c r="GF143" i="5"/>
  <c r="IF133" i="5"/>
  <c r="IG133" i="5" s="1"/>
  <c r="FW133" i="5"/>
  <c r="FW118" i="5"/>
  <c r="GF113" i="5"/>
  <c r="GF108" i="5"/>
  <c r="GF103" i="5"/>
  <c r="GF75" i="5"/>
  <c r="FW65" i="5"/>
  <c r="GF60" i="5"/>
  <c r="FW45" i="5"/>
  <c r="GF176" i="5"/>
  <c r="FW314" i="5"/>
  <c r="FW304" i="5"/>
  <c r="FW299" i="5"/>
  <c r="GF289" i="5"/>
  <c r="IF284" i="5"/>
  <c r="IG284" i="5" s="1"/>
  <c r="FW279" i="5"/>
  <c r="GF259" i="5"/>
  <c r="FW254" i="5"/>
  <c r="IF249" i="5"/>
  <c r="IG249" i="5" s="1"/>
  <c r="GF148" i="5"/>
  <c r="FW138" i="5"/>
  <c r="GF128" i="5"/>
  <c r="FW123" i="5"/>
  <c r="IF103" i="5"/>
  <c r="IG103" i="5" s="1"/>
  <c r="GF98" i="5"/>
  <c r="GF93" i="5"/>
  <c r="FW85" i="5"/>
  <c r="GF80" i="5"/>
  <c r="IF75" i="5"/>
  <c r="IG75" i="5" s="1"/>
  <c r="GF70" i="5"/>
  <c r="FW55" i="5"/>
  <c r="FW50" i="5"/>
  <c r="FW80" i="5"/>
  <c r="FW70" i="5"/>
  <c r="GF50" i="5"/>
  <c r="GF171" i="5"/>
  <c r="GF319" i="5"/>
  <c r="FW309" i="5"/>
  <c r="FW294" i="5"/>
  <c r="GF284" i="5"/>
  <c r="GF274" i="5"/>
  <c r="GF269" i="5"/>
  <c r="FW264" i="5"/>
  <c r="FW249" i="5"/>
  <c r="GF163" i="5"/>
  <c r="FW158" i="5"/>
  <c r="GF153" i="5"/>
  <c r="FW143" i="5"/>
  <c r="GF133" i="5"/>
  <c r="GF118" i="5"/>
  <c r="FW113" i="5"/>
  <c r="FW108" i="5"/>
  <c r="FW103" i="5"/>
  <c r="FW75" i="5"/>
  <c r="GF65" i="5"/>
  <c r="FW60" i="5"/>
  <c r="GF45" i="5"/>
  <c r="FW93" i="5"/>
  <c r="GF55" i="5"/>
  <c r="IF254" i="5"/>
  <c r="IG254" i="5" s="1"/>
  <c r="IF279" i="5"/>
  <c r="IG279" i="5" s="1"/>
  <c r="IF186" i="5"/>
  <c r="IG186" i="5" s="1"/>
  <c r="IF596" i="5"/>
  <c r="IG596" i="5" s="1"/>
  <c r="IF352" i="5"/>
  <c r="IG352" i="5" s="1"/>
  <c r="IF752" i="5"/>
  <c r="IG752" i="5" s="1"/>
  <c r="IF737" i="5"/>
  <c r="IG737" i="5" s="1"/>
  <c r="IF488" i="5"/>
  <c r="IG488" i="5" s="1"/>
  <c r="IF709" i="5"/>
  <c r="IG709" i="5" s="1"/>
  <c r="IF626" i="5"/>
  <c r="IG626" i="5" s="1"/>
  <c r="IF503" i="5"/>
  <c r="IG503" i="5" s="1"/>
  <c r="IF455" i="5"/>
  <c r="IG455" i="5" s="1"/>
  <c r="IF397" i="5"/>
  <c r="IG397" i="5" s="1"/>
  <c r="IF211" i="5"/>
  <c r="IG211" i="5" s="1"/>
  <c r="IF241" i="5"/>
  <c r="IG241" i="5" s="1"/>
  <c r="IF294" i="5"/>
  <c r="IG294" i="5" s="1"/>
  <c r="IF153" i="5"/>
  <c r="IG153" i="5" s="1"/>
  <c r="IF128" i="5"/>
  <c r="IG128" i="5" s="1"/>
  <c r="IF93" i="5"/>
  <c r="IG93" i="5" s="1"/>
  <c r="IF85" i="5"/>
  <c r="IG85" i="5" s="1"/>
  <c r="IF60" i="5"/>
  <c r="IG60" i="5" s="1"/>
  <c r="IF138" i="5"/>
  <c r="IG138" i="5" s="1"/>
  <c r="IF118" i="5"/>
  <c r="IG118" i="5" s="1"/>
  <c r="IF70" i="5"/>
  <c r="IG70" i="5" s="1"/>
  <c r="IF45" i="5"/>
  <c r="IG45" i="5" s="1"/>
  <c r="IF299" i="5"/>
  <c r="IG299" i="5" s="1"/>
  <c r="IF259" i="5"/>
  <c r="IG259" i="5" s="1"/>
  <c r="IF483" i="5"/>
  <c r="IG483" i="5" s="1"/>
  <c r="IF601" i="5"/>
  <c r="IG601" i="5" s="1"/>
  <c r="IF357" i="5"/>
  <c r="IG357" i="5" s="1"/>
  <c r="IF337" i="5"/>
  <c r="IG337" i="5" s="1"/>
  <c r="IF181" i="5"/>
  <c r="IG181" i="5" s="1"/>
  <c r="IF498" i="5"/>
  <c r="IG498" i="5" s="1"/>
  <c r="IF787" i="5"/>
  <c r="IG787" i="5" s="1"/>
  <c r="IF704" i="5"/>
  <c r="IG704" i="5" s="1"/>
  <c r="IF591" i="5"/>
  <c r="IG591" i="5" s="1"/>
  <c r="IF493" i="5"/>
  <c r="IG493" i="5" s="1"/>
  <c r="IF553" i="5"/>
  <c r="IG553" i="5" s="1"/>
  <c r="IF475" i="5"/>
  <c r="IG475" i="5" s="1"/>
  <c r="IF392" i="5"/>
  <c r="IG392" i="5" s="1"/>
  <c r="IF171" i="5"/>
  <c r="IG171" i="5" s="1"/>
  <c r="IF236" i="5"/>
  <c r="IG236" i="5" s="1"/>
  <c r="IF274" i="5"/>
  <c r="IG274" i="5" s="1"/>
  <c r="IF113" i="5"/>
  <c r="IG113" i="5" s="1"/>
  <c r="IF98" i="5"/>
  <c r="IG98" i="5" s="1"/>
  <c r="IF50" i="5"/>
  <c r="IG50" i="5" s="1"/>
  <c r="IF163" i="5"/>
  <c r="IG163" i="5" s="1"/>
  <c r="IF148" i="5"/>
  <c r="IG148" i="5" s="1"/>
  <c r="IF123" i="5"/>
  <c r="IG123" i="5" s="1"/>
  <c r="IF108" i="5"/>
  <c r="IG108" i="5" s="1"/>
  <c r="IF65" i="5"/>
  <c r="IG65" i="5" s="1"/>
  <c r="IF304" i="5"/>
  <c r="IG304" i="5" s="1"/>
  <c r="IF513" i="5"/>
  <c r="IG513" i="5" s="1"/>
  <c r="IF684" i="5"/>
  <c r="IG684" i="5" s="1"/>
  <c r="IF415" i="5"/>
  <c r="IG415" i="5" s="1"/>
  <c r="IF226" i="5"/>
  <c r="IG226" i="5" s="1"/>
  <c r="IF694" i="5"/>
  <c r="IG694" i="5" s="1"/>
  <c r="IF782" i="5"/>
  <c r="IG782" i="5" s="1"/>
  <c r="IF644" i="5"/>
  <c r="IG644" i="5" s="1"/>
  <c r="IF611" i="5"/>
  <c r="IG611" i="5" s="1"/>
  <c r="IF508" i="5"/>
  <c r="IG508" i="5" s="1"/>
  <c r="IF528" i="5"/>
  <c r="IG528" i="5" s="1"/>
  <c r="IF548" i="5"/>
  <c r="IG548" i="5" s="1"/>
  <c r="IF435" i="5"/>
  <c r="IG435" i="5" s="1"/>
  <c r="IF470" i="5"/>
  <c r="IG470" i="5" s="1"/>
  <c r="IF372" i="5"/>
  <c r="IG372" i="5" s="1"/>
  <c r="IF314" i="5"/>
  <c r="IG314" i="5" s="1"/>
  <c r="IF55" i="5"/>
  <c r="IG55" i="5" s="1"/>
  <c r="IF80" i="5"/>
  <c r="IG80" i="5" s="1"/>
  <c r="IF269" i="5"/>
  <c r="IG269" i="5" s="1"/>
  <c r="IF309" i="5"/>
  <c r="IG309" i="5" s="1"/>
  <c r="IF571" i="5"/>
  <c r="IG571" i="5" s="1"/>
  <c r="IF430" i="5"/>
  <c r="IG430" i="5" s="1"/>
  <c r="IF727" i="5"/>
  <c r="IG727" i="5" s="1"/>
  <c r="IF362" i="5"/>
  <c r="IG362" i="5" s="1"/>
  <c r="IF717" i="5"/>
  <c r="IG717" i="5" s="1"/>
  <c r="IF732" i="5"/>
  <c r="IG732" i="5" s="1"/>
  <c r="IF654" i="5"/>
  <c r="IG654" i="5" s="1"/>
  <c r="IF649" i="5"/>
  <c r="IG649" i="5" s="1"/>
  <c r="IF410" i="5"/>
  <c r="IG410" i="5" s="1"/>
  <c r="IF445" i="5"/>
  <c r="IG445" i="5" s="1"/>
  <c r="IF327" i="5"/>
  <c r="IG327" i="5" s="1"/>
  <c r="IF264" i="5"/>
  <c r="IG264" i="5" s="1"/>
  <c r="IF143" i="5"/>
  <c r="IG143" i="5" s="1"/>
  <c r="HE788" i="5"/>
  <c r="HE790" i="5" s="1"/>
  <c r="IA787" i="5" s="1"/>
  <c r="HE743" i="5"/>
  <c r="HE745" i="5" s="1"/>
  <c r="IA742" i="5" s="1"/>
  <c r="HE718" i="5"/>
  <c r="HE720" i="5" s="1"/>
  <c r="IA717" i="5" s="1"/>
  <c r="HE710" i="5"/>
  <c r="HE712" i="5" s="1"/>
  <c r="IA709" i="5" s="1"/>
  <c r="HE685" i="5"/>
  <c r="HE687" i="5" s="1"/>
  <c r="IA684" i="5" s="1"/>
  <c r="HE632" i="5"/>
  <c r="HE634" i="5" s="1"/>
  <c r="IA631" i="5" s="1"/>
  <c r="HE549" i="5"/>
  <c r="HE551" i="5" s="1"/>
  <c r="IA548" i="5" s="1"/>
  <c r="HE612" i="5"/>
  <c r="HE614" i="5" s="1"/>
  <c r="IA611" i="5" s="1"/>
  <c r="HE592" i="5"/>
  <c r="HE594" i="5" s="1"/>
  <c r="IA591" i="5" s="1"/>
  <c r="HE519" i="5"/>
  <c r="HE521" i="5" s="1"/>
  <c r="IA518" i="5" s="1"/>
  <c r="HE645" i="5"/>
  <c r="HE647" i="5" s="1"/>
  <c r="IA644" i="5" s="1"/>
  <c r="HE607" i="5"/>
  <c r="HE609" i="5" s="1"/>
  <c r="IA606" i="5" s="1"/>
  <c r="HE572" i="5"/>
  <c r="HE574" i="5" s="1"/>
  <c r="IA571" i="5" s="1"/>
  <c r="HE461" i="5"/>
  <c r="HE463" i="5" s="1"/>
  <c r="IA460" i="5" s="1"/>
  <c r="HE353" i="5"/>
  <c r="HE355" i="5" s="1"/>
  <c r="IA352" i="5" s="1"/>
  <c r="HE416" i="5"/>
  <c r="HE418" i="5" s="1"/>
  <c r="IA415" i="5" s="1"/>
  <c r="HE358" i="5"/>
  <c r="HE360" i="5" s="1"/>
  <c r="IA357" i="5" s="1"/>
  <c r="HE227" i="5"/>
  <c r="HE229" i="5" s="1"/>
  <c r="IA226" i="5" s="1"/>
  <c r="HE222" i="5"/>
  <c r="HE224" i="5" s="1"/>
  <c r="IA221" i="5" s="1"/>
  <c r="HE192" i="5"/>
  <c r="HE194" i="5" s="1"/>
  <c r="IA191" i="5" s="1"/>
  <c r="HE159" i="5"/>
  <c r="HE161" i="5" s="1"/>
  <c r="IA158" i="5" s="1"/>
  <c r="HE373" i="5"/>
  <c r="HE375" i="5" s="1"/>
  <c r="IA372" i="5" s="1"/>
  <c r="HE368" i="5"/>
  <c r="HE370" i="5" s="1"/>
  <c r="IA367" i="5" s="1"/>
  <c r="HE212" i="5"/>
  <c r="HE214" i="5" s="1"/>
  <c r="IA211" i="5" s="1"/>
  <c r="HE197" i="5"/>
  <c r="HE199" i="5" s="1"/>
  <c r="IA196" i="5" s="1"/>
  <c r="HE177" i="5"/>
  <c r="HE179" i="5" s="1"/>
  <c r="IA176" i="5" s="1"/>
  <c r="HE154" i="5"/>
  <c r="HE156" i="5" s="1"/>
  <c r="IA153" i="5" s="1"/>
  <c r="HE207" i="5"/>
  <c r="HE209" i="5" s="1"/>
  <c r="IA206" i="5" s="1"/>
  <c r="HE320" i="5"/>
  <c r="HE322" i="5" s="1"/>
  <c r="IA319" i="5" s="1"/>
  <c r="HE456" i="5"/>
  <c r="HE458" i="5" s="1"/>
  <c r="IA455" i="5" s="1"/>
  <c r="HE134" i="5"/>
  <c r="HE136" i="5" s="1"/>
  <c r="IA133" i="5" s="1"/>
  <c r="HE119" i="5"/>
  <c r="HE121" i="5" s="1"/>
  <c r="IA118" i="5" s="1"/>
  <c r="HE94" i="5"/>
  <c r="HE96" i="5" s="1"/>
  <c r="IA93" i="5" s="1"/>
  <c r="HE343" i="5"/>
  <c r="HE345" i="5" s="1"/>
  <c r="IA342" i="5" s="1"/>
  <c r="HE51" i="5"/>
  <c r="HE53" i="5" s="1"/>
  <c r="IA50" i="5" s="1"/>
  <c r="HE86" i="5"/>
  <c r="HE88" i="5" s="1"/>
  <c r="IA85" i="5" s="1"/>
  <c r="HE129" i="5"/>
  <c r="HE131" i="5" s="1"/>
  <c r="IA128" i="5" s="1"/>
  <c r="HE71" i="5"/>
  <c r="HE73" i="5" s="1"/>
  <c r="IA70" i="5" s="1"/>
  <c r="HE778" i="5"/>
  <c r="HE780" i="5" s="1"/>
  <c r="IA777" i="5" s="1"/>
  <c r="HE768" i="5"/>
  <c r="HE770" i="5" s="1"/>
  <c r="IA767" i="5" s="1"/>
  <c r="HE773" i="5"/>
  <c r="HE775" i="5" s="1"/>
  <c r="IA772" i="5" s="1"/>
  <c r="HE758" i="5"/>
  <c r="HE760" i="5" s="1"/>
  <c r="IA757" i="5" s="1"/>
  <c r="HE753" i="5"/>
  <c r="HE755" i="5" s="1"/>
  <c r="IA752" i="5" s="1"/>
  <c r="HE670" i="5"/>
  <c r="HE672" i="5" s="1"/>
  <c r="IA669" i="5" s="1"/>
  <c r="HE660" i="5"/>
  <c r="HE662" i="5" s="1"/>
  <c r="IA659" i="5" s="1"/>
  <c r="HE602" i="5"/>
  <c r="HE604" i="5" s="1"/>
  <c r="IA601" i="5" s="1"/>
  <c r="HE622" i="5"/>
  <c r="HE624" i="5" s="1"/>
  <c r="IA621" i="5" s="1"/>
  <c r="HE582" i="5"/>
  <c r="HE584" i="5" s="1"/>
  <c r="IA581" i="5" s="1"/>
  <c r="HE567" i="5"/>
  <c r="HE569" i="5" s="1"/>
  <c r="IA566" i="5" s="1"/>
  <c r="HE534" i="5"/>
  <c r="HE536" i="5" s="1"/>
  <c r="IA533" i="5" s="1"/>
  <c r="HE514" i="5"/>
  <c r="HE516" i="5" s="1"/>
  <c r="IA513" i="5" s="1"/>
  <c r="HE494" i="5"/>
  <c r="HE496" i="5" s="1"/>
  <c r="IA493" i="5" s="1"/>
  <c r="HE441" i="5"/>
  <c r="HE443" i="5" s="1"/>
  <c r="IA440" i="5" s="1"/>
  <c r="HE504" i="5"/>
  <c r="HE506" i="5" s="1"/>
  <c r="IA503" i="5" s="1"/>
  <c r="HE431" i="5"/>
  <c r="HE433" i="5" s="1"/>
  <c r="IA430" i="5" s="1"/>
  <c r="HE363" i="5"/>
  <c r="HE365" i="5" s="1"/>
  <c r="IA362" i="5" s="1"/>
  <c r="HE426" i="5"/>
  <c r="HE428" i="5" s="1"/>
  <c r="IA425" i="5" s="1"/>
  <c r="HE393" i="5"/>
  <c r="HE395" i="5" s="1"/>
  <c r="IA392" i="5" s="1"/>
  <c r="HE378" i="5"/>
  <c r="HE380" i="5" s="1"/>
  <c r="IA377" i="5" s="1"/>
  <c r="HE466" i="5"/>
  <c r="HE468" i="5" s="1"/>
  <c r="IA465" i="5" s="1"/>
  <c r="HE650" i="5"/>
  <c r="HE652" i="5" s="1"/>
  <c r="IA649" i="5" s="1"/>
  <c r="HE333" i="5"/>
  <c r="HE335" i="5" s="1"/>
  <c r="IA332" i="5" s="1"/>
  <c r="HE237" i="5"/>
  <c r="HE239" i="5" s="1"/>
  <c r="IA236" i="5" s="1"/>
  <c r="HE270" i="5"/>
  <c r="HE272" i="5" s="1"/>
  <c r="IA269" i="5" s="1"/>
  <c r="HE164" i="5"/>
  <c r="HE166" i="5" s="1"/>
  <c r="IA163" i="5" s="1"/>
  <c r="HE139" i="5"/>
  <c r="HE141" i="5" s="1"/>
  <c r="IA138" i="5" s="1"/>
  <c r="HE406" i="5"/>
  <c r="HE408" i="5" s="1"/>
  <c r="IA405" i="5" s="1"/>
  <c r="HE242" i="5"/>
  <c r="HE244" i="5" s="1"/>
  <c r="IA241" i="5" s="1"/>
  <c r="HE217" i="5"/>
  <c r="HE219" i="5" s="1"/>
  <c r="IA216" i="5" s="1"/>
  <c r="HE280" i="5"/>
  <c r="HE282" i="5" s="1"/>
  <c r="IA279" i="5" s="1"/>
  <c r="HE328" i="5"/>
  <c r="HE330" i="5" s="1"/>
  <c r="IA327" i="5" s="1"/>
  <c r="HE182" i="5"/>
  <c r="HE184" i="5" s="1"/>
  <c r="IA181" i="5" s="1"/>
  <c r="HE250" i="5"/>
  <c r="HE252" i="5" s="1"/>
  <c r="IA249" i="5" s="1"/>
  <c r="HE66" i="5"/>
  <c r="HE68" i="5" s="1"/>
  <c r="IA65" i="5" s="1"/>
  <c r="HE305" i="5"/>
  <c r="HE307" i="5" s="1"/>
  <c r="IA304" i="5" s="1"/>
  <c r="HE124" i="5"/>
  <c r="HE126" i="5" s="1"/>
  <c r="IA123" i="5" s="1"/>
  <c r="HE99" i="5"/>
  <c r="HE101" i="5" s="1"/>
  <c r="IA98" i="5" s="1"/>
  <c r="HE310" i="5"/>
  <c r="HE312" i="5" s="1"/>
  <c r="IA309" i="5" s="1"/>
  <c r="HE56" i="5"/>
  <c r="HE58" i="5" s="1"/>
  <c r="IA55" i="5" s="1"/>
  <c r="HE144" i="5"/>
  <c r="HE146" i="5" s="1"/>
  <c r="IA143" i="5" s="1"/>
  <c r="HE149" i="5"/>
  <c r="HE151" i="5" s="1"/>
  <c r="IA148" i="5" s="1"/>
  <c r="HE748" i="5"/>
  <c r="HE750" i="5" s="1"/>
  <c r="IA747" i="5" s="1"/>
  <c r="HE763" i="5"/>
  <c r="HE765" i="5" s="1"/>
  <c r="IA762" i="5" s="1"/>
  <c r="HE783" i="5"/>
  <c r="HE785" i="5" s="1"/>
  <c r="IA782" i="5" s="1"/>
  <c r="HE690" i="5"/>
  <c r="HE692" i="5" s="1"/>
  <c r="IA689" i="5" s="1"/>
  <c r="HE733" i="5"/>
  <c r="HE735" i="5" s="1"/>
  <c r="IA732" i="5" s="1"/>
  <c r="HE695" i="5"/>
  <c r="HE697" i="5" s="1"/>
  <c r="IA694" i="5" s="1"/>
  <c r="HE640" i="5"/>
  <c r="HE642" i="5" s="1"/>
  <c r="IA639" i="5" s="1"/>
  <c r="HE723" i="5"/>
  <c r="HE725" i="5" s="1"/>
  <c r="IA722" i="5" s="1"/>
  <c r="HE680" i="5"/>
  <c r="HE682" i="5" s="1"/>
  <c r="IA679" i="5" s="1"/>
  <c r="HE484" i="5"/>
  <c r="HE486" i="5" s="1"/>
  <c r="IA483" i="5" s="1"/>
  <c r="HE524" i="5"/>
  <c r="HE526" i="5" s="1"/>
  <c r="IA523" i="5" s="1"/>
  <c r="HE509" i="5"/>
  <c r="HE511" i="5" s="1"/>
  <c r="IA508" i="5" s="1"/>
  <c r="HE577" i="5"/>
  <c r="HE579" i="5" s="1"/>
  <c r="IA576" i="5" s="1"/>
  <c r="HE499" i="5"/>
  <c r="HE501" i="5" s="1"/>
  <c r="IA498" i="5" s="1"/>
  <c r="HE471" i="5"/>
  <c r="HE473" i="5" s="1"/>
  <c r="IA470" i="5" s="1"/>
  <c r="HE383" i="5"/>
  <c r="HE385" i="5" s="1"/>
  <c r="IA382" i="5" s="1"/>
  <c r="HE398" i="5"/>
  <c r="HE400" i="5" s="1"/>
  <c r="IA397" i="5" s="1"/>
  <c r="HE338" i="5"/>
  <c r="HE340" i="5" s="1"/>
  <c r="IA337" i="5" s="1"/>
  <c r="HE285" i="5"/>
  <c r="HE287" i="5" s="1"/>
  <c r="IA284" i="5" s="1"/>
  <c r="HE255" i="5"/>
  <c r="HE257" i="5" s="1"/>
  <c r="IA254" i="5" s="1"/>
  <c r="HE436" i="5"/>
  <c r="HE438" i="5" s="1"/>
  <c r="IA435" i="5" s="1"/>
  <c r="HE232" i="5"/>
  <c r="HE234" i="5" s="1"/>
  <c r="IA231" i="5" s="1"/>
  <c r="HE295" i="5"/>
  <c r="HE297" i="5" s="1"/>
  <c r="IA294" i="5" s="1"/>
  <c r="HE109" i="5"/>
  <c r="HE111" i="5" s="1"/>
  <c r="IA108" i="5" s="1"/>
  <c r="HE348" i="5"/>
  <c r="HE350" i="5" s="1"/>
  <c r="IA347" i="5" s="1"/>
  <c r="HE300" i="5"/>
  <c r="HE302" i="5" s="1"/>
  <c r="IA299" i="5" s="1"/>
  <c r="HE104" i="5"/>
  <c r="HE106" i="5" s="1"/>
  <c r="IA103" i="5" s="1"/>
  <c r="HE265" i="5"/>
  <c r="HE267" i="5" s="1"/>
  <c r="IA264" i="5" s="1"/>
  <c r="HE81" i="5"/>
  <c r="HE83" i="5" s="1"/>
  <c r="IA80" i="5" s="1"/>
  <c r="HE738" i="5"/>
  <c r="HE740" i="5" s="1"/>
  <c r="IA737" i="5" s="1"/>
  <c r="AB732" i="5"/>
  <c r="HE728" i="5"/>
  <c r="HE730" i="5" s="1"/>
  <c r="IA727" i="5" s="1"/>
  <c r="HE705" i="5"/>
  <c r="HE707" i="5" s="1"/>
  <c r="IA704" i="5" s="1"/>
  <c r="HE675" i="5"/>
  <c r="HE677" i="5" s="1"/>
  <c r="IA674" i="5" s="1"/>
  <c r="AB727" i="5"/>
  <c r="HE700" i="5"/>
  <c r="HE702" i="5" s="1"/>
  <c r="IA699" i="5" s="1"/>
  <c r="HE665" i="5"/>
  <c r="HE667" i="5" s="1"/>
  <c r="IA664" i="5" s="1"/>
  <c r="HE655" i="5"/>
  <c r="HE657" i="5" s="1"/>
  <c r="IA654" i="5" s="1"/>
  <c r="HE587" i="5"/>
  <c r="HE589" i="5" s="1"/>
  <c r="IA586" i="5" s="1"/>
  <c r="HE627" i="5"/>
  <c r="HE629" i="5" s="1"/>
  <c r="IA626" i="5" s="1"/>
  <c r="HE562" i="5"/>
  <c r="HE564" i="5" s="1"/>
  <c r="IA561" i="5" s="1"/>
  <c r="HE554" i="5"/>
  <c r="HE556" i="5" s="1"/>
  <c r="IA553" i="5" s="1"/>
  <c r="HE544" i="5"/>
  <c r="HE546" i="5" s="1"/>
  <c r="IA543" i="5" s="1"/>
  <c r="HE539" i="5"/>
  <c r="HE541" i="5" s="1"/>
  <c r="IA538" i="5" s="1"/>
  <c r="HE489" i="5"/>
  <c r="HE491" i="5" s="1"/>
  <c r="IA488" i="5" s="1"/>
  <c r="HE597" i="5"/>
  <c r="HE599" i="5" s="1"/>
  <c r="IA596" i="5" s="1"/>
  <c r="HE476" i="5"/>
  <c r="HE478" i="5" s="1"/>
  <c r="IA475" i="5" s="1"/>
  <c r="HE451" i="5"/>
  <c r="HE453" i="5" s="1"/>
  <c r="IA450" i="5" s="1"/>
  <c r="AB722" i="5"/>
  <c r="HE617" i="5"/>
  <c r="HE619" i="5" s="1"/>
  <c r="IA616" i="5" s="1"/>
  <c r="HE529" i="5"/>
  <c r="HE531" i="5" s="1"/>
  <c r="IA528" i="5" s="1"/>
  <c r="HE388" i="5"/>
  <c r="HE390" i="5" s="1"/>
  <c r="IA387" i="5" s="1"/>
  <c r="HE411" i="5"/>
  <c r="HE413" i="5" s="1"/>
  <c r="IA410" i="5" s="1"/>
  <c r="HE446" i="5"/>
  <c r="HE448" i="5" s="1"/>
  <c r="IA445" i="5" s="1"/>
  <c r="HE421" i="5"/>
  <c r="HE423" i="5" s="1"/>
  <c r="IA420" i="5" s="1"/>
  <c r="HE202" i="5"/>
  <c r="HE204" i="5" s="1"/>
  <c r="IA201" i="5" s="1"/>
  <c r="HE315" i="5"/>
  <c r="HE317" i="5" s="1"/>
  <c r="IA314" i="5" s="1"/>
  <c r="HE187" i="5"/>
  <c r="HE189" i="5" s="1"/>
  <c r="IA186" i="5" s="1"/>
  <c r="HE172" i="5"/>
  <c r="HE174" i="5" s="1"/>
  <c r="IA171" i="5" s="1"/>
  <c r="HE260" i="5"/>
  <c r="HE262" i="5" s="1"/>
  <c r="IA259" i="5" s="1"/>
  <c r="HE76" i="5"/>
  <c r="HE78" i="5" s="1"/>
  <c r="IA75" i="5" s="1"/>
  <c r="HE61" i="5"/>
  <c r="HE63" i="5" s="1"/>
  <c r="IA60" i="5" s="1"/>
  <c r="HE290" i="5"/>
  <c r="HE292" i="5" s="1"/>
  <c r="IA289" i="5" s="1"/>
  <c r="HE275" i="5"/>
  <c r="HE277" i="5" s="1"/>
  <c r="IA274" i="5" s="1"/>
  <c r="HE114" i="5"/>
  <c r="HE116" i="5" s="1"/>
  <c r="IA113" i="5" s="1"/>
  <c r="HE46" i="5"/>
  <c r="HE48" i="5" s="1"/>
  <c r="IA45" i="5" s="1"/>
  <c r="AB717" i="5"/>
  <c r="AB737" i="5"/>
  <c r="IF40" i="5"/>
  <c r="IG40" i="5" s="1"/>
  <c r="BX114" i="8" a="1"/>
  <c r="BX114" i="8" s="1"/>
  <c r="CM114" i="8" s="1"/>
  <c r="BX119" i="8" a="1"/>
  <c r="BX119" i="8" s="1"/>
  <c r="CM119" i="8" s="1"/>
  <c r="BX130" i="8" a="1"/>
  <c r="BX130" i="8" s="1"/>
  <c r="CM130" i="8" s="1"/>
  <c r="BX135" i="8" a="1"/>
  <c r="BX135" i="8" s="1"/>
  <c r="CM135" i="8" s="1"/>
  <c r="BX103" i="8" a="1"/>
  <c r="BX103" i="8" s="1"/>
  <c r="CM103" i="8" s="1"/>
  <c r="BL232" i="8"/>
  <c r="BL237" i="8"/>
  <c r="BL234" i="8"/>
  <c r="BL242" i="8"/>
  <c r="BX109" i="8" a="1"/>
  <c r="BX109" i="8" s="1"/>
  <c r="CM109" i="8" s="1"/>
  <c r="BX120" i="8" a="1"/>
  <c r="BX120" i="8" s="1"/>
  <c r="CM120" i="8" s="1"/>
  <c r="BX125" i="8" a="1"/>
  <c r="BX125" i="8" s="1"/>
  <c r="CM125" i="8" s="1"/>
  <c r="BX136" i="8" a="1"/>
  <c r="BX136" i="8" s="1"/>
  <c r="CM136" i="8" s="1"/>
  <c r="BX141" i="8" a="1"/>
  <c r="BX141" i="8" s="1"/>
  <c r="CM141" i="8" s="1"/>
  <c r="BX98" i="8" a="1"/>
  <c r="BX98" i="8" s="1"/>
  <c r="CM98" i="8" s="1"/>
  <c r="BX104" i="8" a="1"/>
  <c r="BX104" i="8" s="1"/>
  <c r="CM104" i="8" s="1"/>
  <c r="BL228" i="8"/>
  <c r="BL238" i="8"/>
  <c r="BL229" i="8"/>
  <c r="BL230" i="8"/>
  <c r="BX102" i="8" a="1"/>
  <c r="BX102" i="8" s="1"/>
  <c r="CM102" i="8" s="1"/>
  <c r="BX110" i="8" a="1"/>
  <c r="BX110" i="8" s="1"/>
  <c r="CM110" i="8" s="1"/>
  <c r="BX115" i="8" a="1"/>
  <c r="BX115" i="8" s="1"/>
  <c r="CM115" i="8" s="1"/>
  <c r="BX126" i="8" a="1"/>
  <c r="BX126" i="8" s="1"/>
  <c r="CM126" i="8" s="1"/>
  <c r="BX131" i="8" a="1"/>
  <c r="BX131" i="8" s="1"/>
  <c r="CM131" i="8" s="1"/>
  <c r="BX142" i="8" a="1"/>
  <c r="BX142" i="8" s="1"/>
  <c r="CM142" i="8" s="1"/>
  <c r="BX99" i="8" a="1"/>
  <c r="BX99" i="8" s="1"/>
  <c r="CM99" i="8" s="1"/>
  <c r="BX93" i="8" a="1"/>
  <c r="BX93" i="8" s="1"/>
  <c r="CM93" i="8" s="1"/>
  <c r="BL243" i="8"/>
  <c r="BL233" i="8"/>
  <c r="BL239" i="8"/>
  <c r="BL244" i="8"/>
  <c r="BX140" i="8" a="1"/>
  <c r="BX140" i="8" s="1"/>
  <c r="CM140" i="8" s="1"/>
  <c r="BX105" i="8" a="1"/>
  <c r="BX105" i="8" s="1"/>
  <c r="CM105" i="8" s="1"/>
  <c r="BX116" i="8" a="1"/>
  <c r="BX116" i="8" s="1"/>
  <c r="CM116" i="8" s="1"/>
  <c r="BX121" i="8" a="1"/>
  <c r="BX121" i="8" s="1"/>
  <c r="CM121" i="8" s="1"/>
  <c r="BX132" i="8" a="1"/>
  <c r="BX132" i="8" s="1"/>
  <c r="CM132" i="8" s="1"/>
  <c r="BX137" i="8" a="1"/>
  <c r="BX137" i="8" s="1"/>
  <c r="CM137" i="8" s="1"/>
  <c r="BX94" i="8" a="1"/>
  <c r="BX94" i="8" s="1"/>
  <c r="CM94" i="8" s="1"/>
  <c r="BX129" i="8" a="1"/>
  <c r="BX129" i="8" s="1"/>
  <c r="CM129" i="8" s="1"/>
  <c r="BX106" i="8" a="1"/>
  <c r="BX106" i="8" s="1"/>
  <c r="CM106" i="8" s="1"/>
  <c r="BX111" i="8" a="1"/>
  <c r="BX111" i="8" s="1"/>
  <c r="CM111" i="8" s="1"/>
  <c r="BX122" i="8" a="1"/>
  <c r="BX122" i="8" s="1"/>
  <c r="CM122" i="8" s="1"/>
  <c r="BX127" i="8" a="1"/>
  <c r="BX127" i="8" s="1"/>
  <c r="CM127" i="8" s="1"/>
  <c r="BX138" i="8" a="1"/>
  <c r="BX138" i="8" s="1"/>
  <c r="CM138" i="8" s="1"/>
  <c r="BX95" i="8" a="1"/>
  <c r="BX95" i="8" s="1"/>
  <c r="CM95" i="8" s="1"/>
  <c r="BX100" i="8" a="1"/>
  <c r="BX100" i="8" s="1"/>
  <c r="CM100" i="8" s="1"/>
  <c r="BL225" i="8"/>
  <c r="BL235" i="8"/>
  <c r="BX113" i="8" a="1"/>
  <c r="BX113" i="8" s="1"/>
  <c r="CM113" i="8" s="1"/>
  <c r="BX112" i="8" a="1"/>
  <c r="BX112" i="8" s="1"/>
  <c r="CM112" i="8" s="1"/>
  <c r="BX117" i="8" a="1"/>
  <c r="BX117" i="8" s="1"/>
  <c r="CM117" i="8" s="1"/>
  <c r="BX128" i="8" a="1"/>
  <c r="BX128" i="8" s="1"/>
  <c r="CM128" i="8" s="1"/>
  <c r="BX133" i="8" a="1"/>
  <c r="BX133" i="8" s="1"/>
  <c r="CM133" i="8" s="1"/>
  <c r="BX101" i="8" a="1"/>
  <c r="BX101" i="8" s="1"/>
  <c r="CM101" i="8" s="1"/>
  <c r="BL240" i="8"/>
  <c r="BL226" i="8"/>
  <c r="BL231" i="8"/>
  <c r="BX108" i="8" a="1"/>
  <c r="BX108" i="8" s="1"/>
  <c r="CM108" i="8" s="1"/>
  <c r="BX97" i="8" a="1"/>
  <c r="BX97" i="8" s="1"/>
  <c r="CM97" i="8" s="1"/>
  <c r="BL236" i="8"/>
  <c r="BX107" i="8" a="1"/>
  <c r="BX107" i="8" s="1"/>
  <c r="CM107" i="8" s="1"/>
  <c r="BX118" i="8" a="1"/>
  <c r="BX118" i="8" s="1"/>
  <c r="CM118" i="8" s="1"/>
  <c r="BX123" i="8" a="1"/>
  <c r="BX123" i="8" s="1"/>
  <c r="CM123" i="8" s="1"/>
  <c r="BX134" i="8" a="1"/>
  <c r="BX134" i="8" s="1"/>
  <c r="CM134" i="8" s="1"/>
  <c r="BX139" i="8" a="1"/>
  <c r="BX139" i="8" s="1"/>
  <c r="CM139" i="8" s="1"/>
  <c r="BX96" i="8" a="1"/>
  <c r="BX96" i="8" s="1"/>
  <c r="CM96" i="8" s="1"/>
  <c r="BL241" i="8"/>
  <c r="BL227" i="8"/>
  <c r="BX124" i="8" a="1"/>
  <c r="BX124" i="8" s="1"/>
  <c r="CM124" i="8" s="1"/>
  <c r="BL224" i="8"/>
  <c r="BL213" i="8" a="1"/>
  <c r="BL213" i="8" s="1"/>
  <c r="BL215" i="8" a="1"/>
  <c r="BL215" i="8" s="1"/>
  <c r="BL217" i="8" a="1"/>
  <c r="BL217" i="8" s="1"/>
  <c r="BL219" i="8" a="1"/>
  <c r="BL219" i="8" s="1"/>
  <c r="BL222" i="8" a="1"/>
  <c r="BL222" i="8" s="1"/>
  <c r="BL202" i="8" a="1"/>
  <c r="BL202" i="8" s="1"/>
  <c r="BL206" i="8" a="1"/>
  <c r="BL206" i="8" s="1"/>
  <c r="BL210" i="8" a="1"/>
  <c r="BL210" i="8" s="1"/>
  <c r="BL197" i="8" a="1"/>
  <c r="BL197" i="8" s="1"/>
  <c r="BL214" i="8" a="1"/>
  <c r="BL214" i="8" s="1"/>
  <c r="BL216" i="8" a="1"/>
  <c r="BL216" i="8" s="1"/>
  <c r="BL220" i="8" a="1"/>
  <c r="BL220" i="8" s="1"/>
  <c r="BL204" i="8" a="1"/>
  <c r="BL204" i="8" s="1"/>
  <c r="BL195" i="8" a="1"/>
  <c r="BL195" i="8" s="1"/>
  <c r="BL223" i="8"/>
  <c r="BL199" i="8" a="1"/>
  <c r="BL199" i="8" s="1"/>
  <c r="BL203" i="8" a="1"/>
  <c r="BL203" i="8" s="1"/>
  <c r="BL207" i="8" a="1"/>
  <c r="BL207" i="8" s="1"/>
  <c r="BL211" i="8" a="1"/>
  <c r="BL211" i="8" s="1"/>
  <c r="BL212" i="8" a="1"/>
  <c r="BL212" i="8" s="1"/>
  <c r="BL218" i="8" a="1"/>
  <c r="BL218" i="8" s="1"/>
  <c r="BL200" i="8" a="1"/>
  <c r="BL200" i="8" s="1"/>
  <c r="BL208" i="8" a="1"/>
  <c r="BL208" i="8" s="1"/>
  <c r="BL198" i="8" a="1"/>
  <c r="BL198" i="8" s="1"/>
  <c r="BL221" i="8" a="1"/>
  <c r="BL221" i="8" s="1"/>
  <c r="BL201" i="8" a="1"/>
  <c r="BL201" i="8" s="1"/>
  <c r="BL205" i="8" a="1"/>
  <c r="BL205" i="8" s="1"/>
  <c r="BL196" i="8" a="1"/>
  <c r="BL196" i="8" s="1"/>
  <c r="BL209" i="8" a="1"/>
  <c r="BL209" i="8" s="1"/>
  <c r="FW40" i="5"/>
  <c r="GF40" i="5"/>
  <c r="GG40" i="5" s="1"/>
  <c r="HE41" i="5"/>
  <c r="HE43" i="5" s="1"/>
  <c r="CF186" i="8"/>
  <c r="CF170" i="8"/>
  <c r="CF154" i="8"/>
  <c r="CF188" i="8"/>
  <c r="CF185" i="8"/>
  <c r="CF180" i="8"/>
  <c r="CF175" i="8"/>
  <c r="CF162" i="8"/>
  <c r="CF192" i="8"/>
  <c r="CF187" i="8"/>
  <c r="CF177" i="8"/>
  <c r="CF152" i="8"/>
  <c r="CF158" i="8"/>
  <c r="CF178" i="8"/>
  <c r="CF183" i="8"/>
  <c r="CF189" i="8"/>
  <c r="CF184" i="8"/>
  <c r="CF179" i="8"/>
  <c r="CF166" i="8"/>
  <c r="CF169" i="8"/>
  <c r="CF164" i="8"/>
  <c r="CF159" i="8"/>
  <c r="CF181" i="8"/>
  <c r="CF176" i="8"/>
  <c r="CF171" i="8"/>
  <c r="CF182" i="8"/>
  <c r="CF161" i="8"/>
  <c r="CF167" i="8"/>
  <c r="CF150" i="8"/>
  <c r="CF173" i="8"/>
  <c r="CF168" i="8"/>
  <c r="CF163" i="8"/>
  <c r="CF151" i="8"/>
  <c r="CF153" i="8"/>
  <c r="CF190" i="8"/>
  <c r="CF172" i="8"/>
  <c r="CF165" i="8"/>
  <c r="CF160" i="8"/>
  <c r="CF155" i="8"/>
  <c r="CF156" i="8"/>
  <c r="CF157" i="8"/>
  <c r="CF174" i="8"/>
  <c r="CF191" i="8"/>
  <c r="CF149" i="8"/>
  <c r="BX145" i="8" a="1"/>
  <c r="BX145" i="8" s="1"/>
  <c r="BY145" i="8" s="1"/>
  <c r="CF145" i="8" s="1"/>
  <c r="BX147" i="8" a="1"/>
  <c r="BX147" i="8" s="1"/>
  <c r="BY147" i="8" s="1"/>
  <c r="CF147" i="8" s="1"/>
  <c r="BX146" i="8" a="1"/>
  <c r="BX146" i="8" s="1"/>
  <c r="BY146" i="8" s="1"/>
  <c r="CF146" i="8" s="1"/>
  <c r="BX143" i="8" a="1"/>
  <c r="BX143" i="8" s="1"/>
  <c r="BY143" i="8" s="1"/>
  <c r="CF143" i="8" s="1"/>
  <c r="BX144" i="8" a="1"/>
  <c r="BX144" i="8" s="1"/>
  <c r="BY144" i="8" s="1"/>
  <c r="CF144" i="8" s="1"/>
  <c r="BX148" i="8" a="1"/>
  <c r="BX148" i="8" s="1"/>
  <c r="BY148" i="8" s="1"/>
  <c r="CF148" i="8" s="1"/>
  <c r="AC737" i="5" l="1"/>
  <c r="AK737" i="5" s="1"/>
  <c r="AD737" i="5"/>
  <c r="HU738" i="5"/>
  <c r="HU740" i="5" s="1"/>
  <c r="AC362" i="5"/>
  <c r="AK362" i="5" s="1"/>
  <c r="AD362" i="5"/>
  <c r="HU363" i="5"/>
  <c r="HU365" i="5" s="1"/>
  <c r="HU305" i="5"/>
  <c r="HU307" i="5" s="1"/>
  <c r="AC304" i="5"/>
  <c r="AK304" i="5" s="1"/>
  <c r="AD304" i="5"/>
  <c r="AC528" i="5"/>
  <c r="AK528" i="5" s="1"/>
  <c r="HU529" i="5"/>
  <c r="HU531" i="5" s="1"/>
  <c r="AD528" i="5"/>
  <c r="HU778" i="5"/>
  <c r="HU780" i="5" s="1"/>
  <c r="AD777" i="5"/>
  <c r="AC777" i="5"/>
  <c r="AK777" i="5" s="1"/>
  <c r="HU353" i="5"/>
  <c r="HU355" i="5" s="1"/>
  <c r="AD352" i="5"/>
  <c r="AC352" i="5"/>
  <c r="AK352" i="5" s="1"/>
  <c r="AC631" i="5"/>
  <c r="AK631" i="5" s="1"/>
  <c r="AD631" i="5"/>
  <c r="HU632" i="5"/>
  <c r="HU634" i="5" s="1"/>
  <c r="HU436" i="5"/>
  <c r="HU438" i="5" s="1"/>
  <c r="AC435" i="5"/>
  <c r="AK435" i="5" s="1"/>
  <c r="AD435" i="5"/>
  <c r="HU378" i="5"/>
  <c r="HU380" i="5" s="1"/>
  <c r="AC377" i="5"/>
  <c r="AK377" i="5" s="1"/>
  <c r="AD377" i="5"/>
  <c r="HU320" i="5"/>
  <c r="HU322" i="5" s="1"/>
  <c r="AD319" i="5"/>
  <c r="AC319" i="5"/>
  <c r="AK319" i="5" s="1"/>
  <c r="AC211" i="5"/>
  <c r="AK211" i="5" s="1"/>
  <c r="HU212" i="5"/>
  <c r="HU214" i="5" s="1"/>
  <c r="AD211" i="5"/>
  <c r="AD664" i="5"/>
  <c r="AC664" i="5"/>
  <c r="AK664" i="5" s="1"/>
  <c r="HU665" i="5"/>
  <c r="HU667" i="5" s="1"/>
  <c r="HU695" i="5"/>
  <c r="HU697" i="5" s="1"/>
  <c r="AD694" i="5"/>
  <c r="AC694" i="5"/>
  <c r="AK694" i="5" s="1"/>
  <c r="HU76" i="5"/>
  <c r="HU78" i="5" s="1"/>
  <c r="AC75" i="5"/>
  <c r="AK75" i="5" s="1"/>
  <c r="AD75" i="5"/>
  <c r="AD201" i="5"/>
  <c r="AC201" i="5"/>
  <c r="AK201" i="5" s="1"/>
  <c r="HU202" i="5"/>
  <c r="HU204" i="5" s="1"/>
  <c r="HU660" i="5"/>
  <c r="HU662" i="5" s="1"/>
  <c r="AD659" i="5"/>
  <c r="AC659" i="5"/>
  <c r="AK659" i="5" s="1"/>
  <c r="HU788" i="5"/>
  <c r="HU790" i="5" s="1"/>
  <c r="AC787" i="5"/>
  <c r="AK787" i="5" s="1"/>
  <c r="AD787" i="5"/>
  <c r="AC553" i="5"/>
  <c r="AK553" i="5" s="1"/>
  <c r="AD553" i="5"/>
  <c r="HU554" i="5"/>
  <c r="HU556" i="5" s="1"/>
  <c r="AC327" i="5"/>
  <c r="AK327" i="5" s="1"/>
  <c r="HU328" i="5"/>
  <c r="HU330" i="5" s="1"/>
  <c r="AD327" i="5"/>
  <c r="AC226" i="5"/>
  <c r="AK226" i="5" s="1"/>
  <c r="AD226" i="5"/>
  <c r="HU227" i="5"/>
  <c r="HU229" i="5" s="1"/>
  <c r="HU315" i="5"/>
  <c r="HU317" i="5" s="1"/>
  <c r="AD314" i="5"/>
  <c r="AC314" i="5"/>
  <c r="AK314" i="5" s="1"/>
  <c r="AC191" i="5"/>
  <c r="AK191" i="5" s="1"/>
  <c r="AD191" i="5"/>
  <c r="HU192" i="5"/>
  <c r="HU194" i="5" s="1"/>
  <c r="AC113" i="5"/>
  <c r="AK113" i="5" s="1"/>
  <c r="AD113" i="5"/>
  <c r="HU114" i="5"/>
  <c r="HU116" i="5" s="1"/>
  <c r="AC93" i="5"/>
  <c r="AK93" i="5" s="1"/>
  <c r="HU94" i="5"/>
  <c r="HU96" i="5" s="1"/>
  <c r="AD93" i="5"/>
  <c r="AC206" i="5"/>
  <c r="AK206" i="5" s="1"/>
  <c r="HU207" i="5"/>
  <c r="HU209" i="5" s="1"/>
  <c r="AD206" i="5"/>
  <c r="AC586" i="5"/>
  <c r="AK586" i="5" s="1"/>
  <c r="AD586" i="5"/>
  <c r="HU587" i="5"/>
  <c r="HU589" i="5" s="1"/>
  <c r="IB203" i="5"/>
  <c r="IB201" i="5"/>
  <c r="AD475" i="5"/>
  <c r="HU476" i="5"/>
  <c r="HU478" i="5" s="1"/>
  <c r="AC475" i="5"/>
  <c r="AK475" i="5" s="1"/>
  <c r="AC430" i="5"/>
  <c r="AK430" i="5" s="1"/>
  <c r="AD430" i="5"/>
  <c r="HU431" i="5"/>
  <c r="HU433" i="5" s="1"/>
  <c r="IB616" i="5"/>
  <c r="IB618" i="5"/>
  <c r="IB598" i="5"/>
  <c r="IB596" i="5"/>
  <c r="IB545" i="5"/>
  <c r="IB543" i="5"/>
  <c r="IB586" i="5"/>
  <c r="IB588" i="5"/>
  <c r="HU728" i="5"/>
  <c r="HU730" i="5" s="1"/>
  <c r="AD727" i="5"/>
  <c r="AC727" i="5"/>
  <c r="AK727" i="5" s="1"/>
  <c r="HU733" i="5"/>
  <c r="HU735" i="5" s="1"/>
  <c r="AD732" i="5"/>
  <c r="AC732" i="5"/>
  <c r="AK732" i="5" s="1"/>
  <c r="IB266" i="5"/>
  <c r="IB301" i="5"/>
  <c r="HU466" i="5"/>
  <c r="HU468" i="5" s="1"/>
  <c r="AD465" i="5"/>
  <c r="AC465" i="5"/>
  <c r="AK465" i="5" s="1"/>
  <c r="IB435" i="5"/>
  <c r="IB437" i="5"/>
  <c r="HU577" i="5"/>
  <c r="HU579" i="5" s="1"/>
  <c r="AC576" i="5"/>
  <c r="AK576" i="5" s="1"/>
  <c r="AD576" i="5"/>
  <c r="IB470" i="5"/>
  <c r="IB472" i="5"/>
  <c r="IB510" i="5"/>
  <c r="IB508" i="5"/>
  <c r="IB724" i="5"/>
  <c r="IB722" i="5"/>
  <c r="IB734" i="5"/>
  <c r="IB732" i="5"/>
  <c r="IB747" i="5"/>
  <c r="IB749" i="5"/>
  <c r="IB145" i="5"/>
  <c r="IB100" i="5"/>
  <c r="IB251" i="5"/>
  <c r="IB281" i="5"/>
  <c r="IB140" i="5"/>
  <c r="IB238" i="5"/>
  <c r="HU597" i="5"/>
  <c r="HU599" i="5" s="1"/>
  <c r="AD596" i="5"/>
  <c r="AC596" i="5"/>
  <c r="AK596" i="5" s="1"/>
  <c r="IB364" i="5"/>
  <c r="IB362" i="5"/>
  <c r="IB442" i="5"/>
  <c r="IB440" i="5"/>
  <c r="IB535" i="5"/>
  <c r="IB533" i="5"/>
  <c r="IB581" i="5"/>
  <c r="IB583" i="5"/>
  <c r="AD684" i="5"/>
  <c r="AC684" i="5"/>
  <c r="AK684" i="5" s="1"/>
  <c r="HU685" i="5"/>
  <c r="HU687" i="5" s="1"/>
  <c r="IB671" i="5"/>
  <c r="IB669" i="5"/>
  <c r="AC762" i="5"/>
  <c r="AK762" i="5" s="1"/>
  <c r="AD762" i="5"/>
  <c r="HU763" i="5"/>
  <c r="HU765" i="5" s="1"/>
  <c r="IB130" i="5"/>
  <c r="IB344" i="5"/>
  <c r="HU124" i="5"/>
  <c r="HU126" i="5" s="1"/>
  <c r="AD123" i="5"/>
  <c r="AC123" i="5"/>
  <c r="AK123" i="5" s="1"/>
  <c r="IB321" i="5"/>
  <c r="IB319" i="5"/>
  <c r="AC241" i="5"/>
  <c r="AK241" i="5" s="1"/>
  <c r="AD241" i="5"/>
  <c r="HU242" i="5"/>
  <c r="HU244" i="5" s="1"/>
  <c r="IB211" i="5"/>
  <c r="IB213" i="5"/>
  <c r="IB160" i="5"/>
  <c r="AD382" i="5"/>
  <c r="AC382" i="5"/>
  <c r="AK382" i="5" s="1"/>
  <c r="HU383" i="5"/>
  <c r="HU385" i="5" s="1"/>
  <c r="IB359" i="5"/>
  <c r="AD450" i="5"/>
  <c r="HU451" i="5"/>
  <c r="HU453" i="5" s="1"/>
  <c r="AC450" i="5"/>
  <c r="AK450" i="5" s="1"/>
  <c r="IB606" i="5"/>
  <c r="IB608" i="5"/>
  <c r="IB613" i="5"/>
  <c r="IB611" i="5"/>
  <c r="IB709" i="5"/>
  <c r="IB711" i="5"/>
  <c r="AD176" i="5"/>
  <c r="AC176" i="5"/>
  <c r="AK176" i="5" s="1"/>
  <c r="HU177" i="5"/>
  <c r="HU179" i="5" s="1"/>
  <c r="AC483" i="5"/>
  <c r="AK483" i="5" s="1"/>
  <c r="HU484" i="5"/>
  <c r="HU486" i="5" s="1"/>
  <c r="AD483" i="5"/>
  <c r="AC757" i="5"/>
  <c r="AK757" i="5" s="1"/>
  <c r="AD757" i="5"/>
  <c r="HU758" i="5"/>
  <c r="HU760" i="5" s="1"/>
  <c r="HU471" i="5"/>
  <c r="HU473" i="5" s="1"/>
  <c r="AC470" i="5"/>
  <c r="AK470" i="5" s="1"/>
  <c r="AD470" i="5"/>
  <c r="AC654" i="5"/>
  <c r="AK654" i="5" s="1"/>
  <c r="AD654" i="5"/>
  <c r="HU655" i="5"/>
  <c r="HU657" i="5" s="1"/>
  <c r="AD221" i="5"/>
  <c r="HU222" i="5"/>
  <c r="HU224" i="5" s="1"/>
  <c r="AC221" i="5"/>
  <c r="AK221" i="5" s="1"/>
  <c r="HU217" i="5"/>
  <c r="HU219" i="5" s="1"/>
  <c r="AC216" i="5"/>
  <c r="AK216" i="5" s="1"/>
  <c r="AD216" i="5"/>
  <c r="HU86" i="5"/>
  <c r="HU88" i="5" s="1"/>
  <c r="AD85" i="5"/>
  <c r="AC85" i="5"/>
  <c r="AK85" i="5" s="1"/>
  <c r="HU81" i="5"/>
  <c r="HU83" i="5" s="1"/>
  <c r="AD80" i="5"/>
  <c r="AC80" i="5"/>
  <c r="AK80" i="5" s="1"/>
  <c r="HU343" i="5"/>
  <c r="HU345" i="5" s="1"/>
  <c r="AD342" i="5"/>
  <c r="AC342" i="5"/>
  <c r="AK342" i="5" s="1"/>
  <c r="AC410" i="5"/>
  <c r="AK410" i="5" s="1"/>
  <c r="AD410" i="5"/>
  <c r="HU411" i="5"/>
  <c r="HU413" i="5" s="1"/>
  <c r="AC649" i="5"/>
  <c r="AK649" i="5" s="1"/>
  <c r="HU650" i="5"/>
  <c r="HU652" i="5" s="1"/>
  <c r="AD649" i="5"/>
  <c r="HU250" i="5"/>
  <c r="HU252" i="5" s="1"/>
  <c r="AC249" i="5"/>
  <c r="AK249" i="5" s="1"/>
  <c r="AD249" i="5"/>
  <c r="AD498" i="5"/>
  <c r="AC498" i="5"/>
  <c r="AK498" i="5" s="1"/>
  <c r="HU499" i="5"/>
  <c r="HU501" i="5" s="1"/>
  <c r="AC118" i="5"/>
  <c r="AK118" i="5" s="1"/>
  <c r="AD118" i="5"/>
  <c r="HU119" i="5"/>
  <c r="HU121" i="5" s="1"/>
  <c r="AC289" i="5"/>
  <c r="AK289" i="5" s="1"/>
  <c r="AD289" i="5"/>
  <c r="HU290" i="5"/>
  <c r="HU292" i="5" s="1"/>
  <c r="HU572" i="5"/>
  <c r="HU574" i="5" s="1"/>
  <c r="AC571" i="5"/>
  <c r="AK571" i="5" s="1"/>
  <c r="AD571" i="5"/>
  <c r="AC523" i="5"/>
  <c r="AK523" i="5" s="1"/>
  <c r="AD523" i="5"/>
  <c r="HU524" i="5"/>
  <c r="HU526" i="5" s="1"/>
  <c r="AC742" i="5"/>
  <c r="AK742" i="5" s="1"/>
  <c r="AD742" i="5"/>
  <c r="HU743" i="5"/>
  <c r="HU745" i="5" s="1"/>
  <c r="HU61" i="5"/>
  <c r="HU63" i="5" s="1"/>
  <c r="AD60" i="5"/>
  <c r="AC60" i="5"/>
  <c r="AK60" i="5" s="1"/>
  <c r="HU680" i="5"/>
  <c r="HU682" i="5" s="1"/>
  <c r="AD679" i="5"/>
  <c r="AC679" i="5"/>
  <c r="AK679" i="5" s="1"/>
  <c r="AC548" i="5"/>
  <c r="AK548" i="5" s="1"/>
  <c r="AD548" i="5"/>
  <c r="HU549" i="5"/>
  <c r="HU551" i="5" s="1"/>
  <c r="IB47" i="5"/>
  <c r="IB115" i="5"/>
  <c r="IB113" i="5"/>
  <c r="IB62" i="5"/>
  <c r="IB173" i="5"/>
  <c r="HU232" i="5"/>
  <c r="HU234" i="5" s="1"/>
  <c r="AD231" i="5"/>
  <c r="AC231" i="5"/>
  <c r="AK231" i="5" s="1"/>
  <c r="IB412" i="5"/>
  <c r="IB410" i="5"/>
  <c r="IB389" i="5"/>
  <c r="AD722" i="5"/>
  <c r="AC722" i="5"/>
  <c r="AK722" i="5" s="1"/>
  <c r="HU723" i="5"/>
  <c r="HU725" i="5" s="1"/>
  <c r="IB488" i="5"/>
  <c r="IB490" i="5"/>
  <c r="IB555" i="5"/>
  <c r="IB553" i="5"/>
  <c r="IB654" i="5"/>
  <c r="IB656" i="5"/>
  <c r="IB674" i="5"/>
  <c r="IB676" i="5"/>
  <c r="IB737" i="5"/>
  <c r="IB739" i="5"/>
  <c r="AD299" i="5"/>
  <c r="AC299" i="5"/>
  <c r="AK299" i="5" s="1"/>
  <c r="HU300" i="5"/>
  <c r="HU302" i="5" s="1"/>
  <c r="IB349" i="5"/>
  <c r="IB233" i="5"/>
  <c r="IB256" i="5"/>
  <c r="IB399" i="5"/>
  <c r="HU544" i="5"/>
  <c r="HU546" i="5" s="1"/>
  <c r="AD543" i="5"/>
  <c r="AC543" i="5"/>
  <c r="AK543" i="5" s="1"/>
  <c r="IB525" i="5"/>
  <c r="IB523" i="5"/>
  <c r="IB639" i="5"/>
  <c r="IB641" i="5"/>
  <c r="IB691" i="5"/>
  <c r="IB689" i="5"/>
  <c r="AD108" i="5"/>
  <c r="AC108" i="5"/>
  <c r="AK108" i="5" s="1"/>
  <c r="HU109" i="5"/>
  <c r="HU111" i="5" s="1"/>
  <c r="IB57" i="5"/>
  <c r="IB123" i="5"/>
  <c r="IB125" i="5"/>
  <c r="IB183" i="5"/>
  <c r="IB218" i="5"/>
  <c r="IB216" i="5"/>
  <c r="IB165" i="5"/>
  <c r="IB334" i="5"/>
  <c r="IB379" i="5"/>
  <c r="IB377" i="5"/>
  <c r="IB430" i="5"/>
  <c r="IB432" i="5"/>
  <c r="HU456" i="5"/>
  <c r="HU458" i="5" s="1"/>
  <c r="AC455" i="5"/>
  <c r="AK455" i="5" s="1"/>
  <c r="AD455" i="5"/>
  <c r="AC611" i="5"/>
  <c r="AK611" i="5" s="1"/>
  <c r="HU612" i="5"/>
  <c r="HU614" i="5" s="1"/>
  <c r="AD611" i="5"/>
  <c r="IB621" i="5"/>
  <c r="IB623" i="5"/>
  <c r="AC709" i="5"/>
  <c r="AK709" i="5" s="1"/>
  <c r="HU710" i="5"/>
  <c r="HU712" i="5" s="1"/>
  <c r="AD709" i="5"/>
  <c r="IB752" i="5"/>
  <c r="IB754" i="5"/>
  <c r="IB769" i="5"/>
  <c r="IB767" i="5"/>
  <c r="IB85" i="5"/>
  <c r="IB87" i="5"/>
  <c r="IB95" i="5"/>
  <c r="IB93" i="5"/>
  <c r="IB135" i="5"/>
  <c r="HU182" i="5"/>
  <c r="HU184" i="5" s="1"/>
  <c r="AC181" i="5"/>
  <c r="AK181" i="5" s="1"/>
  <c r="AD181" i="5"/>
  <c r="IB155" i="5"/>
  <c r="IB369" i="5"/>
  <c r="IB191" i="5"/>
  <c r="IB193" i="5"/>
  <c r="HU441" i="5"/>
  <c r="HU443" i="5" s="1"/>
  <c r="AD440" i="5"/>
  <c r="AC440" i="5"/>
  <c r="AK440" i="5" s="1"/>
  <c r="AD372" i="5"/>
  <c r="HU373" i="5"/>
  <c r="HU375" i="5" s="1"/>
  <c r="AC372" i="5"/>
  <c r="AK372" i="5" s="1"/>
  <c r="IB460" i="5"/>
  <c r="IB462" i="5"/>
  <c r="IB644" i="5"/>
  <c r="IB646" i="5"/>
  <c r="IB548" i="5"/>
  <c r="IB550" i="5"/>
  <c r="IB717" i="5"/>
  <c r="IB719" i="5"/>
  <c r="AD621" i="5"/>
  <c r="AC621" i="5"/>
  <c r="AK621" i="5" s="1"/>
  <c r="HU622" i="5"/>
  <c r="HU624" i="5" s="1"/>
  <c r="AC163" i="5"/>
  <c r="AK163" i="5" s="1"/>
  <c r="AD163" i="5"/>
  <c r="HU164" i="5"/>
  <c r="HU166" i="5" s="1"/>
  <c r="AD699" i="5"/>
  <c r="AC699" i="5"/>
  <c r="AK699" i="5" s="1"/>
  <c r="HU700" i="5"/>
  <c r="HU702" i="5" s="1"/>
  <c r="AC488" i="5"/>
  <c r="AK488" i="5" s="1"/>
  <c r="AD488" i="5"/>
  <c r="HU489" i="5"/>
  <c r="HU491" i="5" s="1"/>
  <c r="AC581" i="5"/>
  <c r="AK581" i="5" s="1"/>
  <c r="HU582" i="5"/>
  <c r="HU584" i="5" s="1"/>
  <c r="AD581" i="5"/>
  <c r="AC148" i="5"/>
  <c r="AK148" i="5" s="1"/>
  <c r="HU149" i="5"/>
  <c r="HU151" i="5" s="1"/>
  <c r="AD148" i="5"/>
  <c r="AC158" i="5"/>
  <c r="AK158" i="5" s="1"/>
  <c r="AD158" i="5"/>
  <c r="HU159" i="5"/>
  <c r="HU161" i="5" s="1"/>
  <c r="HU237" i="5"/>
  <c r="HU239" i="5" s="1"/>
  <c r="AC236" i="5"/>
  <c r="AK236" i="5" s="1"/>
  <c r="AD236" i="5"/>
  <c r="AC538" i="5"/>
  <c r="AK538" i="5" s="1"/>
  <c r="AD538" i="5"/>
  <c r="HU539" i="5"/>
  <c r="HU541" i="5" s="1"/>
  <c r="AC171" i="5"/>
  <c r="AK171" i="5" s="1"/>
  <c r="AD171" i="5"/>
  <c r="HU172" i="5"/>
  <c r="HU174" i="5" s="1"/>
  <c r="AC337" i="5"/>
  <c r="AK337" i="5" s="1"/>
  <c r="HU338" i="5"/>
  <c r="HU340" i="5" s="1"/>
  <c r="AD337" i="5"/>
  <c r="HU718" i="5"/>
  <c r="HU720" i="5" s="1"/>
  <c r="AD717" i="5"/>
  <c r="AC717" i="5"/>
  <c r="AK717" i="5" s="1"/>
  <c r="AD98" i="5"/>
  <c r="HU99" i="5"/>
  <c r="HU101" i="5" s="1"/>
  <c r="AC98" i="5"/>
  <c r="AK98" i="5" s="1"/>
  <c r="HU154" i="5"/>
  <c r="HU156" i="5" s="1"/>
  <c r="AC153" i="5"/>
  <c r="AK153" i="5" s="1"/>
  <c r="AD153" i="5"/>
  <c r="HU592" i="5"/>
  <c r="HU594" i="5" s="1"/>
  <c r="AD591" i="5"/>
  <c r="AC591" i="5"/>
  <c r="AK591" i="5" s="1"/>
  <c r="AC65" i="5"/>
  <c r="AK65" i="5" s="1"/>
  <c r="AD65" i="5"/>
  <c r="HU66" i="5"/>
  <c r="HU68" i="5" s="1"/>
  <c r="HU280" i="5"/>
  <c r="HU282" i="5" s="1"/>
  <c r="AD279" i="5"/>
  <c r="AC279" i="5"/>
  <c r="AK279" i="5" s="1"/>
  <c r="AD357" i="5"/>
  <c r="AC357" i="5"/>
  <c r="AK357" i="5" s="1"/>
  <c r="HU358" i="5"/>
  <c r="HU360" i="5" s="1"/>
  <c r="HU514" i="5"/>
  <c r="HU516" i="5" s="1"/>
  <c r="AC513" i="5"/>
  <c r="AK513" i="5" s="1"/>
  <c r="AD513" i="5"/>
  <c r="AD772" i="5"/>
  <c r="HU773" i="5"/>
  <c r="HU775" i="5" s="1"/>
  <c r="AC772" i="5"/>
  <c r="AK772" i="5" s="1"/>
  <c r="AC269" i="5"/>
  <c r="AK269" i="5" s="1"/>
  <c r="HU270" i="5"/>
  <c r="HU272" i="5" s="1"/>
  <c r="AD269" i="5"/>
  <c r="AC460" i="5"/>
  <c r="AK460" i="5" s="1"/>
  <c r="AD460" i="5"/>
  <c r="HU461" i="5"/>
  <c r="HU463" i="5" s="1"/>
  <c r="AC55" i="5"/>
  <c r="AK55" i="5" s="1"/>
  <c r="AD55" i="5"/>
  <c r="HU56" i="5"/>
  <c r="HU58" i="5" s="1"/>
  <c r="IB276" i="5"/>
  <c r="IB75" i="5"/>
  <c r="IB77" i="5"/>
  <c r="IB188" i="5"/>
  <c r="IB422" i="5"/>
  <c r="HU421" i="5"/>
  <c r="HU423" i="5" s="1"/>
  <c r="AD420" i="5"/>
  <c r="AC420" i="5"/>
  <c r="AK420" i="5" s="1"/>
  <c r="HU627" i="5"/>
  <c r="HU629" i="5" s="1"/>
  <c r="AD626" i="5"/>
  <c r="AC626" i="5"/>
  <c r="AK626" i="5" s="1"/>
  <c r="IB450" i="5"/>
  <c r="IB452" i="5"/>
  <c r="IB538" i="5"/>
  <c r="IB540" i="5"/>
  <c r="IB563" i="5"/>
  <c r="IB561" i="5"/>
  <c r="IB664" i="5"/>
  <c r="IB666" i="5"/>
  <c r="IB704" i="5"/>
  <c r="IB706" i="5"/>
  <c r="IB80" i="5"/>
  <c r="IB82" i="5"/>
  <c r="HU197" i="5"/>
  <c r="HU199" i="5" s="1"/>
  <c r="AC196" i="5"/>
  <c r="AK196" i="5" s="1"/>
  <c r="AD196" i="5"/>
  <c r="IB110" i="5"/>
  <c r="IB108" i="5"/>
  <c r="HU393" i="5"/>
  <c r="HU395" i="5" s="1"/>
  <c r="AD392" i="5"/>
  <c r="AC392" i="5"/>
  <c r="AK392" i="5" s="1"/>
  <c r="IB286" i="5"/>
  <c r="AD518" i="5"/>
  <c r="AC518" i="5"/>
  <c r="AK518" i="5" s="1"/>
  <c r="HU519" i="5"/>
  <c r="HU521" i="5" s="1"/>
  <c r="IB500" i="5"/>
  <c r="IB498" i="5"/>
  <c r="IB483" i="5"/>
  <c r="IB485" i="5"/>
  <c r="HU670" i="5"/>
  <c r="HU672" i="5" s="1"/>
  <c r="AC669" i="5"/>
  <c r="AK669" i="5" s="1"/>
  <c r="AD669" i="5"/>
  <c r="IB784" i="5"/>
  <c r="IB782" i="5"/>
  <c r="IB148" i="5"/>
  <c r="IB150" i="5"/>
  <c r="IB311" i="5"/>
  <c r="IB306" i="5"/>
  <c r="IB304" i="5"/>
  <c r="IB327" i="5"/>
  <c r="IB329" i="5"/>
  <c r="IB241" i="5"/>
  <c r="IB243" i="5"/>
  <c r="HU255" i="5"/>
  <c r="HU257" i="5" s="1"/>
  <c r="AC254" i="5"/>
  <c r="AK254" i="5" s="1"/>
  <c r="AD254" i="5"/>
  <c r="IB651" i="5"/>
  <c r="IB649" i="5"/>
  <c r="IB394" i="5"/>
  <c r="AC566" i="5"/>
  <c r="AK566" i="5" s="1"/>
  <c r="AD566" i="5"/>
  <c r="HU567" i="5"/>
  <c r="HU569" i="5" s="1"/>
  <c r="IB493" i="5"/>
  <c r="IB495" i="5"/>
  <c r="HU640" i="5"/>
  <c r="HU642" i="5" s="1"/>
  <c r="AC639" i="5"/>
  <c r="AK639" i="5" s="1"/>
  <c r="AD639" i="5"/>
  <c r="IB603" i="5"/>
  <c r="IB601" i="5"/>
  <c r="AC752" i="5"/>
  <c r="AK752" i="5" s="1"/>
  <c r="AD752" i="5"/>
  <c r="HU753" i="5"/>
  <c r="HU755" i="5" s="1"/>
  <c r="IB759" i="5"/>
  <c r="IB757" i="5"/>
  <c r="IB779" i="5"/>
  <c r="IB777" i="5"/>
  <c r="IB52" i="5"/>
  <c r="IB120" i="5"/>
  <c r="IB118" i="5"/>
  <c r="HU333" i="5"/>
  <c r="HU335" i="5" s="1"/>
  <c r="AD332" i="5"/>
  <c r="AC332" i="5"/>
  <c r="AK332" i="5" s="1"/>
  <c r="HU187" i="5"/>
  <c r="HU189" i="5" s="1"/>
  <c r="AD186" i="5"/>
  <c r="AC186" i="5"/>
  <c r="AK186" i="5" s="1"/>
  <c r="IB176" i="5"/>
  <c r="IB178" i="5"/>
  <c r="IB374" i="5"/>
  <c r="IB372" i="5"/>
  <c r="IB223" i="5"/>
  <c r="IB221" i="5"/>
  <c r="AC606" i="5"/>
  <c r="AK606" i="5" s="1"/>
  <c r="AD606" i="5"/>
  <c r="HU607" i="5"/>
  <c r="HU609" i="5" s="1"/>
  <c r="IB417" i="5"/>
  <c r="HU504" i="5"/>
  <c r="HU506" i="5" s="1"/>
  <c r="AC503" i="5"/>
  <c r="AK503" i="5" s="1"/>
  <c r="AD503" i="5"/>
  <c r="IB520" i="5"/>
  <c r="IB518" i="5"/>
  <c r="IB631" i="5"/>
  <c r="IB633" i="5"/>
  <c r="IB742" i="5"/>
  <c r="IB744" i="5"/>
  <c r="AC508" i="5"/>
  <c r="AK508" i="5" s="1"/>
  <c r="AD508" i="5"/>
  <c r="HU509" i="5"/>
  <c r="HU511" i="5" s="1"/>
  <c r="AC674" i="5"/>
  <c r="AK674" i="5" s="1"/>
  <c r="AD674" i="5"/>
  <c r="HU675" i="5"/>
  <c r="HU677" i="5" s="1"/>
  <c r="AC644" i="5"/>
  <c r="AK644" i="5" s="1"/>
  <c r="HU645" i="5"/>
  <c r="HU647" i="5" s="1"/>
  <c r="AD644" i="5"/>
  <c r="AC294" i="5"/>
  <c r="AK294" i="5" s="1"/>
  <c r="HU295" i="5"/>
  <c r="HU297" i="5" s="1"/>
  <c r="AD294" i="5"/>
  <c r="AD415" i="5"/>
  <c r="AC415" i="5"/>
  <c r="AK415" i="5" s="1"/>
  <c r="HU416" i="5"/>
  <c r="HU418" i="5" s="1"/>
  <c r="AC704" i="5"/>
  <c r="AK704" i="5" s="1"/>
  <c r="HU705" i="5"/>
  <c r="HU707" i="5" s="1"/>
  <c r="AD704" i="5"/>
  <c r="AD747" i="5"/>
  <c r="HU748" i="5"/>
  <c r="HU750" i="5" s="1"/>
  <c r="AC747" i="5"/>
  <c r="AK747" i="5" s="1"/>
  <c r="AC128" i="5"/>
  <c r="AK128" i="5" s="1"/>
  <c r="HU129" i="5"/>
  <c r="HU131" i="5" s="1"/>
  <c r="AD128" i="5"/>
  <c r="HU310" i="5"/>
  <c r="HU312" i="5" s="1"/>
  <c r="AD309" i="5"/>
  <c r="AC309" i="5"/>
  <c r="AK309" i="5" s="1"/>
  <c r="AD45" i="5"/>
  <c r="AC45" i="5"/>
  <c r="AK45" i="5" s="1"/>
  <c r="HU46" i="5"/>
  <c r="HU48" i="5" s="1"/>
  <c r="AC259" i="5"/>
  <c r="AK259" i="5" s="1"/>
  <c r="AD259" i="5"/>
  <c r="HU260" i="5"/>
  <c r="HU262" i="5" s="1"/>
  <c r="HU388" i="5"/>
  <c r="HU390" i="5" s="1"/>
  <c r="AD387" i="5"/>
  <c r="AC387" i="5"/>
  <c r="AK387" i="5" s="1"/>
  <c r="HU446" i="5"/>
  <c r="HU448" i="5" s="1"/>
  <c r="AD445" i="5"/>
  <c r="AC445" i="5"/>
  <c r="AK445" i="5" s="1"/>
  <c r="AD347" i="5"/>
  <c r="AC347" i="5"/>
  <c r="AK347" i="5" s="1"/>
  <c r="HU348" i="5"/>
  <c r="HU350" i="5" s="1"/>
  <c r="HU104" i="5"/>
  <c r="HU106" i="5" s="1"/>
  <c r="AC103" i="5"/>
  <c r="AK103" i="5" s="1"/>
  <c r="AD103" i="5"/>
  <c r="HU144" i="5"/>
  <c r="HU146" i="5" s="1"/>
  <c r="AD143" i="5"/>
  <c r="AC143" i="5"/>
  <c r="AK143" i="5" s="1"/>
  <c r="AC767" i="5"/>
  <c r="AK767" i="5" s="1"/>
  <c r="AD767" i="5"/>
  <c r="HU768" i="5"/>
  <c r="HU770" i="5" s="1"/>
  <c r="AC264" i="5"/>
  <c r="AK264" i="5" s="1"/>
  <c r="AD264" i="5"/>
  <c r="HU265" i="5"/>
  <c r="HU267" i="5" s="1"/>
  <c r="AC601" i="5"/>
  <c r="AK601" i="5" s="1"/>
  <c r="HU602" i="5"/>
  <c r="HU604" i="5" s="1"/>
  <c r="AD601" i="5"/>
  <c r="AC533" i="5"/>
  <c r="AK533" i="5" s="1"/>
  <c r="AD533" i="5"/>
  <c r="HU534" i="5"/>
  <c r="HU536" i="5" s="1"/>
  <c r="AD689" i="5"/>
  <c r="AC689" i="5"/>
  <c r="AK689" i="5" s="1"/>
  <c r="HU690" i="5"/>
  <c r="HU692" i="5" s="1"/>
  <c r="AD50" i="5"/>
  <c r="HU51" i="5"/>
  <c r="HU53" i="5" s="1"/>
  <c r="AC50" i="5"/>
  <c r="AK50" i="5" s="1"/>
  <c r="HU139" i="5"/>
  <c r="HU141" i="5" s="1"/>
  <c r="AC138" i="5"/>
  <c r="AK138" i="5" s="1"/>
  <c r="AD138" i="5"/>
  <c r="IB291" i="5"/>
  <c r="IB289" i="5"/>
  <c r="IB261" i="5"/>
  <c r="IB259" i="5"/>
  <c r="IB316" i="5"/>
  <c r="IB314" i="5"/>
  <c r="IB447" i="5"/>
  <c r="IB445" i="5"/>
  <c r="HU426" i="5"/>
  <c r="HU428" i="5" s="1"/>
  <c r="AD425" i="5"/>
  <c r="AC425" i="5"/>
  <c r="AK425" i="5" s="1"/>
  <c r="IB528" i="5"/>
  <c r="IB530" i="5"/>
  <c r="IB475" i="5"/>
  <c r="IB477" i="5"/>
  <c r="AD616" i="5"/>
  <c r="AC616" i="5"/>
  <c r="AK616" i="5" s="1"/>
  <c r="HU617" i="5"/>
  <c r="HU619" i="5" s="1"/>
  <c r="IB628" i="5"/>
  <c r="IB626" i="5"/>
  <c r="IB699" i="5"/>
  <c r="IB701" i="5"/>
  <c r="IB727" i="5"/>
  <c r="IB729" i="5"/>
  <c r="HU71" i="5"/>
  <c r="HU73" i="5" s="1"/>
  <c r="AC70" i="5"/>
  <c r="AK70" i="5" s="1"/>
  <c r="AD70" i="5"/>
  <c r="IB105" i="5"/>
  <c r="IB294" i="5"/>
  <c r="IB296" i="5"/>
  <c r="AC405" i="5"/>
  <c r="AK405" i="5" s="1"/>
  <c r="AD405" i="5"/>
  <c r="HU406" i="5"/>
  <c r="HU408" i="5" s="1"/>
  <c r="IB339" i="5"/>
  <c r="IB337" i="5"/>
  <c r="IB382" i="5"/>
  <c r="IB384" i="5"/>
  <c r="IB578" i="5"/>
  <c r="IB576" i="5"/>
  <c r="IB681" i="5"/>
  <c r="IB679" i="5"/>
  <c r="IB694" i="5"/>
  <c r="IB696" i="5"/>
  <c r="IB762" i="5"/>
  <c r="IB764" i="5"/>
  <c r="AC133" i="5"/>
  <c r="AK133" i="5" s="1"/>
  <c r="AD133" i="5"/>
  <c r="HU134" i="5"/>
  <c r="HU136" i="5" s="1"/>
  <c r="AD367" i="5"/>
  <c r="AC367" i="5"/>
  <c r="AK367" i="5" s="1"/>
  <c r="HU368" i="5"/>
  <c r="HU370" i="5" s="1"/>
  <c r="IB65" i="5"/>
  <c r="IB67" i="5"/>
  <c r="AD493" i="5"/>
  <c r="AC493" i="5"/>
  <c r="AK493" i="5" s="1"/>
  <c r="HU494" i="5"/>
  <c r="HU496" i="5" s="1"/>
  <c r="IB407" i="5"/>
  <c r="IB271" i="5"/>
  <c r="IB269" i="5"/>
  <c r="IB465" i="5"/>
  <c r="IB467" i="5"/>
  <c r="IB427" i="5"/>
  <c r="IB505" i="5"/>
  <c r="IB503" i="5"/>
  <c r="IB515" i="5"/>
  <c r="IB513" i="5"/>
  <c r="IB566" i="5"/>
  <c r="IB568" i="5"/>
  <c r="IB659" i="5"/>
  <c r="IB661" i="5"/>
  <c r="AC782" i="5"/>
  <c r="AK782" i="5" s="1"/>
  <c r="AD782" i="5"/>
  <c r="HU783" i="5"/>
  <c r="HU785" i="5" s="1"/>
  <c r="IB774" i="5"/>
  <c r="IB772" i="5"/>
  <c r="IB72" i="5"/>
  <c r="IB70" i="5"/>
  <c r="HU275" i="5"/>
  <c r="HU277" i="5" s="1"/>
  <c r="AD274" i="5"/>
  <c r="AC274" i="5"/>
  <c r="AK274" i="5" s="1"/>
  <c r="AC284" i="5"/>
  <c r="AK284" i="5" s="1"/>
  <c r="AD284" i="5"/>
  <c r="HU285" i="5"/>
  <c r="HU287" i="5" s="1"/>
  <c r="IB455" i="5"/>
  <c r="IB457" i="5"/>
  <c r="IB208" i="5"/>
  <c r="IB206" i="5"/>
  <c r="IB196" i="5"/>
  <c r="IB198" i="5"/>
  <c r="AD397" i="5"/>
  <c r="HU398" i="5"/>
  <c r="HU400" i="5" s="1"/>
  <c r="AC397" i="5"/>
  <c r="AK397" i="5" s="1"/>
  <c r="IB228" i="5"/>
  <c r="IB226" i="5"/>
  <c r="HU562" i="5"/>
  <c r="HU564" i="5" s="1"/>
  <c r="AC561" i="5"/>
  <c r="AK561" i="5" s="1"/>
  <c r="AD561" i="5"/>
  <c r="IB352" i="5"/>
  <c r="IB354" i="5"/>
  <c r="IB571" i="5"/>
  <c r="IB573" i="5"/>
  <c r="IB591" i="5"/>
  <c r="IB593" i="5"/>
  <c r="IB686" i="5"/>
  <c r="IB684" i="5"/>
  <c r="IB787" i="5"/>
  <c r="IB789" i="5"/>
  <c r="CM92" i="8"/>
  <c r="AD40" i="5"/>
  <c r="AC40" i="5"/>
  <c r="AK40" i="5" s="1"/>
  <c r="HH41" i="5"/>
  <c r="HH43" i="5" s="1"/>
  <c r="IA40" i="5" s="1"/>
  <c r="IB42" i="5" s="1"/>
  <c r="BY115" i="8"/>
  <c r="BZ115" i="8"/>
  <c r="BM231" i="8"/>
  <c r="BN231" i="8"/>
  <c r="BY111" i="8"/>
  <c r="BZ111" i="8"/>
  <c r="BY123" i="8"/>
  <c r="BZ123" i="8"/>
  <c r="CA123" i="8"/>
  <c r="BM240" i="8"/>
  <c r="BN240" i="8"/>
  <c r="BM225" i="8"/>
  <c r="BN225" i="8"/>
  <c r="CA129" i="8"/>
  <c r="BZ129" i="8"/>
  <c r="BY129" i="8"/>
  <c r="BM244" i="8"/>
  <c r="BN244" i="8"/>
  <c r="BZ126" i="8"/>
  <c r="CA126" i="8"/>
  <c r="BY126" i="8"/>
  <c r="BZ104" i="8"/>
  <c r="BY104" i="8"/>
  <c r="BM234" i="8"/>
  <c r="BN234" i="8"/>
  <c r="BZ101" i="8"/>
  <c r="BY101" i="8"/>
  <c r="BN239" i="8"/>
  <c r="BM239" i="8"/>
  <c r="BZ124" i="8"/>
  <c r="CA124" i="8"/>
  <c r="BY124" i="8"/>
  <c r="CA133" i="8"/>
  <c r="BZ133" i="8"/>
  <c r="BY133" i="8"/>
  <c r="BZ110" i="8"/>
  <c r="BY110" i="8"/>
  <c r="CA141" i="8"/>
  <c r="BZ141" i="8"/>
  <c r="BY141" i="8"/>
  <c r="BM232" i="8"/>
  <c r="BN232" i="8"/>
  <c r="BZ118" i="8"/>
  <c r="BY118" i="8"/>
  <c r="BZ98" i="8"/>
  <c r="BY98" i="8"/>
  <c r="BM237" i="8"/>
  <c r="BN237" i="8"/>
  <c r="BY107" i="8"/>
  <c r="BZ107" i="8"/>
  <c r="BZ95" i="8"/>
  <c r="BY95" i="8"/>
  <c r="CA137" i="8"/>
  <c r="BZ137" i="8"/>
  <c r="BY137" i="8"/>
  <c r="BM233" i="8"/>
  <c r="BN233" i="8"/>
  <c r="BN227" i="8"/>
  <c r="BM227" i="8"/>
  <c r="BM236" i="8"/>
  <c r="BN236" i="8"/>
  <c r="BZ128" i="8"/>
  <c r="CA128" i="8"/>
  <c r="BY128" i="8"/>
  <c r="BZ138" i="8"/>
  <c r="CA138" i="8"/>
  <c r="BY138" i="8"/>
  <c r="BZ132" i="8"/>
  <c r="CA132" i="8"/>
  <c r="BY132" i="8"/>
  <c r="BM243" i="8"/>
  <c r="BN243" i="8"/>
  <c r="BZ102" i="8"/>
  <c r="BY102" i="8"/>
  <c r="BZ136" i="8"/>
  <c r="CA136" i="8"/>
  <c r="BY136" i="8"/>
  <c r="BY103" i="8"/>
  <c r="BZ103" i="8"/>
  <c r="BZ94" i="8"/>
  <c r="BY94" i="8"/>
  <c r="BM241" i="8"/>
  <c r="BN241" i="8"/>
  <c r="BY97" i="8"/>
  <c r="BZ97" i="8"/>
  <c r="BZ117" i="8"/>
  <c r="BY117" i="8"/>
  <c r="BY127" i="8"/>
  <c r="BZ127" i="8"/>
  <c r="CA127" i="8"/>
  <c r="BZ121" i="8"/>
  <c r="BY121" i="8"/>
  <c r="BZ93" i="8"/>
  <c r="BY93" i="8"/>
  <c r="BM230" i="8"/>
  <c r="BN230" i="8"/>
  <c r="CA125" i="8"/>
  <c r="BZ125" i="8"/>
  <c r="BY125" i="8"/>
  <c r="BZ135" i="8"/>
  <c r="CA135" i="8"/>
  <c r="BY135" i="8"/>
  <c r="BZ96" i="8"/>
  <c r="BY96" i="8"/>
  <c r="BZ108" i="8"/>
  <c r="BY108" i="8"/>
  <c r="BZ112" i="8"/>
  <c r="BY112" i="8"/>
  <c r="BZ122" i="8"/>
  <c r="CA122" i="8"/>
  <c r="BY122" i="8"/>
  <c r="BZ116" i="8"/>
  <c r="BY116" i="8"/>
  <c r="BY99" i="8"/>
  <c r="BZ99" i="8"/>
  <c r="BM229" i="8"/>
  <c r="BN229" i="8"/>
  <c r="BZ120" i="8"/>
  <c r="BY120" i="8"/>
  <c r="BZ130" i="8"/>
  <c r="CA130" i="8"/>
  <c r="BY130" i="8"/>
  <c r="BZ142" i="8"/>
  <c r="CA142" i="8"/>
  <c r="BY142" i="8"/>
  <c r="BZ109" i="8"/>
  <c r="BY109" i="8"/>
  <c r="BY119" i="8"/>
  <c r="BZ119" i="8"/>
  <c r="BZ100" i="8"/>
  <c r="BY100" i="8"/>
  <c r="BZ139" i="8"/>
  <c r="CA139" i="8"/>
  <c r="BY139" i="8"/>
  <c r="BZ113" i="8"/>
  <c r="BY113" i="8"/>
  <c r="BZ105" i="8"/>
  <c r="BY105" i="8"/>
  <c r="BM238" i="8"/>
  <c r="BN238" i="8"/>
  <c r="BZ134" i="8"/>
  <c r="CA134" i="8"/>
  <c r="BY134" i="8"/>
  <c r="BM226" i="8"/>
  <c r="BN226" i="8"/>
  <c r="BM235" i="8"/>
  <c r="BN235" i="8"/>
  <c r="BZ106" i="8"/>
  <c r="BY106" i="8"/>
  <c r="BZ140" i="8"/>
  <c r="CA140" i="8"/>
  <c r="BY140" i="8"/>
  <c r="BY131" i="8"/>
  <c r="CA131" i="8"/>
  <c r="BZ131" i="8"/>
  <c r="BM228" i="8"/>
  <c r="BN228" i="8"/>
  <c r="BM242" i="8"/>
  <c r="BN242" i="8"/>
  <c r="BZ114" i="8"/>
  <c r="BY114" i="8"/>
  <c r="BM221" i="8"/>
  <c r="BM207" i="8"/>
  <c r="BM214" i="8"/>
  <c r="BM196" i="8"/>
  <c r="BM204" i="8"/>
  <c r="BM222" i="8"/>
  <c r="BM205" i="8"/>
  <c r="BM198" i="8"/>
  <c r="BM212" i="8"/>
  <c r="BM199" i="8"/>
  <c r="BM220" i="8"/>
  <c r="BM210" i="8"/>
  <c r="BM219" i="8"/>
  <c r="BM224" i="8"/>
  <c r="BN224" i="8"/>
  <c r="BM209" i="8"/>
  <c r="BM200" i="8"/>
  <c r="BM195" i="8"/>
  <c r="BM202" i="8"/>
  <c r="BM215" i="8"/>
  <c r="BM218" i="8"/>
  <c r="BM203" i="8"/>
  <c r="BM197" i="8"/>
  <c r="BM213" i="8"/>
  <c r="BM201" i="8"/>
  <c r="BM208" i="8"/>
  <c r="BM211" i="8"/>
  <c r="BM223" i="8"/>
  <c r="BN223" i="8"/>
  <c r="BM216" i="8"/>
  <c r="BM206" i="8"/>
  <c r="BM217" i="8"/>
  <c r="HU41" i="5"/>
  <c r="HU43" i="5" s="1"/>
  <c r="IB397" i="5" l="1"/>
  <c r="IC397" i="5" s="1"/>
  <c r="IB392" i="5"/>
  <c r="IC392" i="5" s="1"/>
  <c r="IB231" i="5"/>
  <c r="IC231" i="5" s="1"/>
  <c r="IB425" i="5"/>
  <c r="IC425" i="5" s="1"/>
  <c r="IB103" i="5"/>
  <c r="IC103" i="5" s="1"/>
  <c r="IB60" i="5"/>
  <c r="IC60" i="5" s="1"/>
  <c r="IB415" i="5"/>
  <c r="IC415" i="5" s="1"/>
  <c r="IB405" i="5"/>
  <c r="IC405" i="5" s="1"/>
  <c r="IB274" i="5"/>
  <c r="IC274" i="5" s="1"/>
  <c r="IB420" i="5"/>
  <c r="IC420" i="5" s="1"/>
  <c r="IB133" i="5"/>
  <c r="IC133" i="5" s="1"/>
  <c r="IB158" i="5"/>
  <c r="IC158" i="5" s="1"/>
  <c r="IB138" i="5"/>
  <c r="IC138" i="5" s="1"/>
  <c r="IB299" i="5"/>
  <c r="IC299" i="5" s="1"/>
  <c r="IB367" i="5"/>
  <c r="IC367" i="5" s="1"/>
  <c r="IB332" i="5"/>
  <c r="IC332" i="5" s="1"/>
  <c r="IB387" i="5"/>
  <c r="IC387" i="5" s="1"/>
  <c r="IB128" i="5"/>
  <c r="IC128" i="5" s="1"/>
  <c r="IB249" i="5"/>
  <c r="IC249" i="5" s="1"/>
  <c r="IB143" i="5"/>
  <c r="IC143" i="5" s="1"/>
  <c r="IB186" i="5"/>
  <c r="IC186" i="5" s="1"/>
  <c r="IB153" i="5"/>
  <c r="IC153" i="5" s="1"/>
  <c r="IB55" i="5"/>
  <c r="IC55" i="5" s="1"/>
  <c r="IB347" i="5"/>
  <c r="IC347" i="5" s="1"/>
  <c r="IB45" i="5"/>
  <c r="IC45" i="5" s="1"/>
  <c r="IB98" i="5"/>
  <c r="IC98" i="5" s="1"/>
  <c r="IB264" i="5"/>
  <c r="IC264" i="5" s="1"/>
  <c r="IB50" i="5"/>
  <c r="IC50" i="5" s="1"/>
  <c r="IB309" i="5"/>
  <c r="IC309" i="5" s="1"/>
  <c r="IB284" i="5"/>
  <c r="IC284" i="5" s="1"/>
  <c r="IB163" i="5"/>
  <c r="IC163" i="5" s="1"/>
  <c r="IB181" i="5"/>
  <c r="IC181" i="5" s="1"/>
  <c r="IB254" i="5"/>
  <c r="IC254" i="5" s="1"/>
  <c r="IB171" i="5"/>
  <c r="IC171" i="5" s="1"/>
  <c r="IB357" i="5"/>
  <c r="IC357" i="5" s="1"/>
  <c r="IB342" i="5"/>
  <c r="IC342" i="5" s="1"/>
  <c r="IB236" i="5"/>
  <c r="IC236" i="5" s="1"/>
  <c r="IB279" i="5"/>
  <c r="IC279" i="5" s="1"/>
  <c r="IC304" i="5"/>
  <c r="IC93" i="5"/>
  <c r="IC767" i="5"/>
  <c r="IC553" i="5"/>
  <c r="IC533" i="5"/>
  <c r="IC362" i="5"/>
  <c r="IC226" i="5"/>
  <c r="IC513" i="5"/>
  <c r="IC221" i="5"/>
  <c r="IC118" i="5"/>
  <c r="IC777" i="5"/>
  <c r="IC65" i="5"/>
  <c r="IC382" i="5"/>
  <c r="IC699" i="5"/>
  <c r="IC717" i="5"/>
  <c r="IC430" i="5"/>
  <c r="IC123" i="5"/>
  <c r="IC762" i="5"/>
  <c r="IC483" i="5"/>
  <c r="IC644" i="5"/>
  <c r="IC621" i="5"/>
  <c r="IC503" i="5"/>
  <c r="IC518" i="5"/>
  <c r="IC372" i="5"/>
  <c r="IC757" i="5"/>
  <c r="IC782" i="5"/>
  <c r="IC689" i="5"/>
  <c r="IC523" i="5"/>
  <c r="IC113" i="5"/>
  <c r="IC571" i="5"/>
  <c r="IC196" i="5"/>
  <c r="IC455" i="5"/>
  <c r="IC694" i="5"/>
  <c r="IC727" i="5"/>
  <c r="IC440" i="5"/>
  <c r="IC787" i="5"/>
  <c r="IC591" i="5"/>
  <c r="IC352" i="5"/>
  <c r="IC269" i="5"/>
  <c r="IC616" i="5"/>
  <c r="IC561" i="5"/>
  <c r="IC548" i="5"/>
  <c r="IC460" i="5"/>
  <c r="IC191" i="5"/>
  <c r="IC611" i="5"/>
  <c r="IC747" i="5"/>
  <c r="IC470" i="5"/>
  <c r="IC586" i="5"/>
  <c r="IC206" i="5"/>
  <c r="IC772" i="5"/>
  <c r="IC566" i="5"/>
  <c r="IC465" i="5"/>
  <c r="IC679" i="5"/>
  <c r="IC294" i="5"/>
  <c r="IC475" i="5"/>
  <c r="IC314" i="5"/>
  <c r="IC289" i="5"/>
  <c r="IC742" i="5"/>
  <c r="IC601" i="5"/>
  <c r="IC649" i="5"/>
  <c r="IC327" i="5"/>
  <c r="IC108" i="5"/>
  <c r="IC704" i="5"/>
  <c r="IC450" i="5"/>
  <c r="IC75" i="5"/>
  <c r="IC85" i="5"/>
  <c r="IC752" i="5"/>
  <c r="IC216" i="5"/>
  <c r="IC737" i="5"/>
  <c r="IC654" i="5"/>
  <c r="IC488" i="5"/>
  <c r="IC581" i="5"/>
  <c r="IC732" i="5"/>
  <c r="IC508" i="5"/>
  <c r="IC435" i="5"/>
  <c r="IC543" i="5"/>
  <c r="IC201" i="5"/>
  <c r="IC684" i="5"/>
  <c r="IC70" i="5"/>
  <c r="IC659" i="5"/>
  <c r="IC576" i="5"/>
  <c r="IC337" i="5"/>
  <c r="IC626" i="5"/>
  <c r="IC528" i="5"/>
  <c r="IC445" i="5"/>
  <c r="IC259" i="5"/>
  <c r="IC631" i="5"/>
  <c r="IC176" i="5"/>
  <c r="IC493" i="5"/>
  <c r="IC241" i="5"/>
  <c r="IC148" i="5"/>
  <c r="IC498" i="5"/>
  <c r="IC80" i="5"/>
  <c r="IC664" i="5"/>
  <c r="IC538" i="5"/>
  <c r="IC377" i="5"/>
  <c r="IC639" i="5"/>
  <c r="IC674" i="5"/>
  <c r="IC410" i="5"/>
  <c r="IC709" i="5"/>
  <c r="IC606" i="5"/>
  <c r="IC211" i="5"/>
  <c r="IC319" i="5"/>
  <c r="IC669" i="5"/>
  <c r="IC722" i="5"/>
  <c r="IC596" i="5"/>
  <c r="CI105" i="8"/>
  <c r="CJ105" i="8"/>
  <c r="CK105" i="8"/>
  <c r="CJ102" i="8"/>
  <c r="CK102" i="8"/>
  <c r="CI102" i="8"/>
  <c r="CJ114" i="8"/>
  <c r="CI114" i="8"/>
  <c r="CK114" i="8"/>
  <c r="CI131" i="8"/>
  <c r="CK131" i="8"/>
  <c r="CJ131" i="8"/>
  <c r="CI116" i="8"/>
  <c r="CJ116" i="8"/>
  <c r="CK116" i="8"/>
  <c r="CJ94" i="8"/>
  <c r="CK94" i="8"/>
  <c r="CI94" i="8"/>
  <c r="CI107" i="8"/>
  <c r="CK107" i="8"/>
  <c r="CJ107" i="8"/>
  <c r="CI115" i="8"/>
  <c r="CK115" i="8"/>
  <c r="CJ115" i="8"/>
  <c r="CJ130" i="8"/>
  <c r="CI130" i="8"/>
  <c r="CK130" i="8"/>
  <c r="CI140" i="8"/>
  <c r="CJ140" i="8"/>
  <c r="CK140" i="8"/>
  <c r="CI113" i="8"/>
  <c r="CJ113" i="8"/>
  <c r="CK113" i="8"/>
  <c r="CK119" i="8"/>
  <c r="CI119" i="8"/>
  <c r="CJ119" i="8"/>
  <c r="CI96" i="8"/>
  <c r="CJ96" i="8"/>
  <c r="CK96" i="8"/>
  <c r="CK127" i="8"/>
  <c r="CI127" i="8"/>
  <c r="CJ127" i="8"/>
  <c r="CJ128" i="8"/>
  <c r="CI128" i="8"/>
  <c r="CK128" i="8"/>
  <c r="CI141" i="8"/>
  <c r="CK141" i="8"/>
  <c r="CJ141" i="8"/>
  <c r="CI124" i="8"/>
  <c r="CJ124" i="8"/>
  <c r="CK124" i="8"/>
  <c r="CI129" i="8"/>
  <c r="CJ129" i="8"/>
  <c r="CK129" i="8"/>
  <c r="CJ134" i="8"/>
  <c r="CK134" i="8"/>
  <c r="CI134" i="8"/>
  <c r="CI109" i="8"/>
  <c r="CK109" i="8"/>
  <c r="CJ109" i="8"/>
  <c r="CJ120" i="8"/>
  <c r="CI120" i="8"/>
  <c r="CK120" i="8"/>
  <c r="CJ122" i="8"/>
  <c r="CK122" i="8"/>
  <c r="CI122" i="8"/>
  <c r="CI117" i="8"/>
  <c r="CK117" i="8"/>
  <c r="CJ117" i="8"/>
  <c r="CI137" i="8"/>
  <c r="CJ137" i="8"/>
  <c r="CK137" i="8"/>
  <c r="CJ104" i="8"/>
  <c r="CI104" i="8"/>
  <c r="CK104" i="8"/>
  <c r="CI123" i="8"/>
  <c r="CK123" i="8"/>
  <c r="CJ123" i="8"/>
  <c r="CI139" i="8"/>
  <c r="CK139" i="8"/>
  <c r="CJ139" i="8"/>
  <c r="CK135" i="8"/>
  <c r="CI135" i="8"/>
  <c r="CJ135" i="8"/>
  <c r="CJ93" i="8"/>
  <c r="CK93" i="8"/>
  <c r="CI93" i="8"/>
  <c r="CK103" i="8"/>
  <c r="CI103" i="8"/>
  <c r="CJ103" i="8"/>
  <c r="CI132" i="8"/>
  <c r="CJ132" i="8"/>
  <c r="CK132" i="8"/>
  <c r="CJ98" i="8"/>
  <c r="CK98" i="8"/>
  <c r="CI98" i="8"/>
  <c r="CI108" i="8"/>
  <c r="CJ108" i="8"/>
  <c r="CK108" i="8"/>
  <c r="CJ106" i="8"/>
  <c r="CK106" i="8"/>
  <c r="CI106" i="8"/>
  <c r="CJ142" i="8"/>
  <c r="CK142" i="8"/>
  <c r="CI142" i="8"/>
  <c r="CJ136" i="8"/>
  <c r="CI136" i="8"/>
  <c r="CK136" i="8"/>
  <c r="CJ110" i="8"/>
  <c r="CK110" i="8"/>
  <c r="CI110" i="8"/>
  <c r="CJ126" i="8"/>
  <c r="CK126" i="8"/>
  <c r="CI126" i="8"/>
  <c r="CK111" i="8"/>
  <c r="CI111" i="8"/>
  <c r="CJ111" i="8"/>
  <c r="CI99" i="8"/>
  <c r="CK99" i="8"/>
  <c r="CJ99" i="8"/>
  <c r="CJ112" i="8"/>
  <c r="CI112" i="8"/>
  <c r="CK112" i="8"/>
  <c r="CI121" i="8"/>
  <c r="CJ121" i="8"/>
  <c r="CK121" i="8"/>
  <c r="CI97" i="8"/>
  <c r="CJ97" i="8"/>
  <c r="CK97" i="8"/>
  <c r="CK95" i="8"/>
  <c r="CI95" i="8"/>
  <c r="CJ95" i="8"/>
  <c r="CJ118" i="8"/>
  <c r="CK118" i="8"/>
  <c r="CI118" i="8"/>
  <c r="CI100" i="8"/>
  <c r="CJ100" i="8"/>
  <c r="CK100" i="8"/>
  <c r="CI125" i="8"/>
  <c r="CK125" i="8"/>
  <c r="CJ125" i="8"/>
  <c r="CJ138" i="8"/>
  <c r="CK138" i="8"/>
  <c r="CI138" i="8"/>
  <c r="CI133" i="8"/>
  <c r="CK133" i="8"/>
  <c r="CJ133" i="8"/>
  <c r="CI101" i="8"/>
  <c r="CJ101" i="8"/>
  <c r="CK101" i="8"/>
  <c r="CK143" i="8" l="1"/>
  <c r="CJ143" i="8"/>
  <c r="EQ33" i="5"/>
  <c r="CL96" i="8" l="1" a="1"/>
  <c r="CL96" i="8" s="1"/>
  <c r="CL108" i="8" a="1"/>
  <c r="CL108" i="8" s="1"/>
  <c r="CL133" i="8" a="1"/>
  <c r="CL133" i="8" s="1"/>
  <c r="CL116" i="8" a="1"/>
  <c r="CL116" i="8" s="1"/>
  <c r="CL134" i="8" a="1"/>
  <c r="CL134" i="8" s="1"/>
  <c r="CL120" i="8" a="1"/>
  <c r="CL120" i="8" s="1"/>
  <c r="CL139" i="8" a="1"/>
  <c r="CL139" i="8" s="1"/>
  <c r="CL93" i="8" a="1"/>
  <c r="CL93" i="8" s="1"/>
  <c r="CL132" i="8" a="1"/>
  <c r="CL132" i="8" s="1"/>
  <c r="CL111" i="8" a="1"/>
  <c r="CL111" i="8" s="1"/>
  <c r="CL112" i="8" a="1"/>
  <c r="CL112" i="8" s="1"/>
  <c r="CL97" i="8" a="1"/>
  <c r="CL97" i="8" s="1"/>
  <c r="CL130" i="8" a="1"/>
  <c r="CL130" i="8" s="1"/>
  <c r="CL128" i="8" a="1"/>
  <c r="CL128" i="8" s="1"/>
  <c r="CL118" i="8" a="1"/>
  <c r="CL118" i="8" s="1"/>
  <c r="CL94" i="8" a="1"/>
  <c r="CL94" i="8" s="1"/>
  <c r="CL142" i="8" a="1"/>
  <c r="CL142" i="8" s="1"/>
  <c r="CL115" i="8" a="1"/>
  <c r="CL115" i="8" s="1"/>
  <c r="CL129" i="8" a="1"/>
  <c r="CL129" i="8" s="1"/>
  <c r="CL121" i="8" a="1"/>
  <c r="CL121" i="8" s="1"/>
  <c r="CL100" i="8" a="1"/>
  <c r="CL100" i="8" s="1"/>
  <c r="CL101" i="8" a="1"/>
  <c r="CL101" i="8" s="1"/>
  <c r="CL141" i="8" a="1"/>
  <c r="CL141" i="8" s="1"/>
  <c r="CL99" i="8" a="1"/>
  <c r="CL99" i="8" s="1"/>
  <c r="CL131" i="8" a="1"/>
  <c r="CL131" i="8" s="1"/>
  <c r="CL138" i="8" a="1"/>
  <c r="CL138" i="8" s="1"/>
  <c r="CL109" i="8" a="1"/>
  <c r="CL109" i="8" s="1"/>
  <c r="CL137" i="8" a="1"/>
  <c r="CL137" i="8" s="1"/>
  <c r="CL119" i="8" a="1"/>
  <c r="CL119" i="8" s="1"/>
  <c r="CL135" i="8" a="1"/>
  <c r="CL135" i="8" s="1"/>
  <c r="CL105" i="8" a="1"/>
  <c r="CL105" i="8" s="1"/>
  <c r="CL106" i="8" a="1"/>
  <c r="CL106" i="8" s="1"/>
  <c r="CL117" i="8" a="1"/>
  <c r="CL117" i="8" s="1"/>
  <c r="CL122" i="8" a="1"/>
  <c r="CL122" i="8" s="1"/>
  <c r="CL104" i="8" a="1"/>
  <c r="CL104" i="8" s="1"/>
  <c r="CL126" i="8" a="1"/>
  <c r="CL126" i="8" s="1"/>
  <c r="CL113" i="8" a="1"/>
  <c r="CL113" i="8" s="1"/>
  <c r="CL102" i="8" a="1"/>
  <c r="CL102" i="8" s="1"/>
  <c r="CL136" i="8" a="1"/>
  <c r="CL136" i="8" s="1"/>
  <c r="CL127" i="8" a="1"/>
  <c r="CL127" i="8" s="1"/>
  <c r="CL125" i="8" a="1"/>
  <c r="CL125" i="8" s="1"/>
  <c r="CL124" i="8" a="1"/>
  <c r="CL124" i="8" s="1"/>
  <c r="CL98" i="8" a="1"/>
  <c r="CL98" i="8" s="1"/>
  <c r="CL140" i="8" a="1"/>
  <c r="CL140" i="8" s="1"/>
  <c r="CL110" i="8" a="1"/>
  <c r="CL110" i="8" s="1"/>
  <c r="CL95" i="8" a="1"/>
  <c r="CL95" i="8" s="1"/>
  <c r="CL103" i="8" a="1"/>
  <c r="CL103" i="8" s="1"/>
  <c r="CL107" i="8" a="1"/>
  <c r="CL107" i="8" s="1"/>
  <c r="CL123" i="8" a="1"/>
  <c r="CL123" i="8" s="1"/>
  <c r="CL114" i="8" a="1"/>
  <c r="CL114" i="8" s="1"/>
  <c r="HR61" i="5" l="1"/>
  <c r="HR63" i="5" s="1"/>
  <c r="HR66" i="5"/>
  <c r="HR68" i="5" s="1"/>
  <c r="HR421" i="5"/>
  <c r="HR423" i="5" s="1"/>
  <c r="HR56" i="5"/>
  <c r="HR58" i="5" s="1"/>
  <c r="HR406" i="5"/>
  <c r="HR408" i="5" s="1"/>
  <c r="HR416" i="5"/>
  <c r="HR418" i="5" s="1"/>
  <c r="HR393" i="5"/>
  <c r="HR395" i="5" s="1"/>
  <c r="HR398" i="5"/>
  <c r="HR400" i="5" s="1"/>
  <c r="HR383" i="5"/>
  <c r="HR385" i="5" s="1"/>
  <c r="HR388" i="5"/>
  <c r="HR390" i="5" s="1"/>
  <c r="HR373" i="5"/>
  <c r="HR375" i="5" s="1"/>
  <c r="HR378" i="5"/>
  <c r="HR380" i="5" s="1"/>
  <c r="CN142" i="8" a="1"/>
  <c r="CN142" i="8" s="1"/>
  <c r="CN104" i="8" a="1"/>
  <c r="CN104" i="8" s="1"/>
  <c r="CN97" i="8" a="1"/>
  <c r="CN97" i="8" s="1"/>
  <c r="CN123" i="8" a="1"/>
  <c r="CN123" i="8" s="1"/>
  <c r="CN141" i="8" a="1"/>
  <c r="CN141" i="8" s="1"/>
  <c r="CN136" i="8" a="1"/>
  <c r="CN136" i="8" s="1"/>
  <c r="CN117" i="8" a="1"/>
  <c r="CN117" i="8" s="1"/>
  <c r="CN135" i="8" a="1"/>
  <c r="CN135" i="8" s="1"/>
  <c r="CN113" i="8" a="1"/>
  <c r="CN113" i="8" s="1"/>
  <c r="CN99" i="8" a="1"/>
  <c r="CN99" i="8" s="1"/>
  <c r="CN137" i="8" a="1"/>
  <c r="CN137" i="8" s="1"/>
  <c r="CN131" i="8" a="1"/>
  <c r="CN131" i="8" s="1"/>
  <c r="CN98" i="8" a="1"/>
  <c r="CN98" i="8" s="1"/>
  <c r="CN138" i="8" a="1"/>
  <c r="CN138" i="8" s="1"/>
  <c r="CN103" i="8" a="1"/>
  <c r="CN103" i="8" s="1"/>
  <c r="CN114" i="8" a="1"/>
  <c r="CN114" i="8" s="1"/>
  <c r="CN124" i="8" a="1"/>
  <c r="CN124" i="8" s="1"/>
  <c r="CN107" i="8" a="1"/>
  <c r="CN107" i="8" s="1"/>
  <c r="CN94" i="8" a="1"/>
  <c r="CN94" i="8" s="1"/>
  <c r="CN126" i="8" a="1"/>
  <c r="CN126" i="8" s="1"/>
  <c r="CN120" i="8" a="1"/>
  <c r="CN120" i="8" s="1"/>
  <c r="CN140" i="8" a="1"/>
  <c r="CN140" i="8" s="1"/>
  <c r="CN130" i="8" a="1"/>
  <c r="CN130" i="8" s="1"/>
  <c r="CN106" i="8" a="1"/>
  <c r="CN106" i="8" s="1"/>
  <c r="CN119" i="8" a="1"/>
  <c r="CN119" i="8" s="1"/>
  <c r="CN101" i="8" a="1"/>
  <c r="CN101" i="8" s="1"/>
  <c r="CN132" i="8" a="1"/>
  <c r="CN132" i="8" s="1"/>
  <c r="CN121" i="8" a="1"/>
  <c r="CN121" i="8" s="1"/>
  <c r="CN115" i="8" a="1"/>
  <c r="CN115" i="8" s="1"/>
  <c r="CN105" i="8" a="1"/>
  <c r="CN105" i="8" s="1"/>
  <c r="CN118" i="8" a="1"/>
  <c r="CN118" i="8" s="1"/>
  <c r="CN100" i="8" a="1"/>
  <c r="CN100" i="8" s="1"/>
  <c r="CN133" i="8" a="1"/>
  <c r="CN133" i="8" s="1"/>
  <c r="CN108" i="8" a="1"/>
  <c r="CN108" i="8" s="1"/>
  <c r="CN95" i="8" a="1"/>
  <c r="CN95" i="8" s="1"/>
  <c r="CN127" i="8" a="1"/>
  <c r="CN127" i="8" s="1"/>
  <c r="CN110" i="8" a="1"/>
  <c r="CN110" i="8" s="1"/>
  <c r="CN129" i="8" a="1"/>
  <c r="CN129" i="8" s="1"/>
  <c r="CN112" i="8" a="1"/>
  <c r="CN112" i="8" s="1"/>
  <c r="CN125" i="8" a="1"/>
  <c r="CN125" i="8" s="1"/>
  <c r="CN109" i="8" a="1"/>
  <c r="CN109" i="8" s="1"/>
  <c r="CN96" i="8" a="1"/>
  <c r="CN96" i="8" s="1"/>
  <c r="CN139" i="8" a="1"/>
  <c r="CN139" i="8" s="1"/>
  <c r="CN116" i="8" a="1"/>
  <c r="CN116" i="8" s="1"/>
  <c r="CN93" i="8" a="1"/>
  <c r="CN93" i="8" s="1"/>
  <c r="CN122" i="8" a="1"/>
  <c r="CN122" i="8" s="1"/>
  <c r="CN102" i="8" a="1"/>
  <c r="CN102" i="8" s="1"/>
  <c r="CN134" i="8" a="1"/>
  <c r="CN134" i="8" s="1"/>
  <c r="CN128" i="8" a="1"/>
  <c r="CN128" i="8" s="1"/>
  <c r="CN111" i="8" a="1"/>
  <c r="CN111" i="8" s="1"/>
  <c r="BO4" i="19" l="1"/>
  <c r="U561" i="21" s="1"/>
  <c r="U443" i="21" s="1"/>
  <c r="U561" i="20" l="1"/>
  <c r="U443" i="20" s="1"/>
  <c r="E78" i="8"/>
  <c r="E77" i="8"/>
  <c r="BX92" i="8"/>
  <c r="A77" i="8" l="1"/>
  <c r="A78" i="8"/>
  <c r="IB40" i="5" l="1"/>
  <c r="IC8" i="5" s="1"/>
  <c r="IC40" i="5" l="1"/>
  <c r="IC6" i="5"/>
  <c r="ID6" i="5" l="1"/>
  <c r="IF6" i="5" s="1"/>
  <c r="IG6" i="5" s="1"/>
  <c r="ID8" i="5"/>
  <c r="IF8" i="5" s="1"/>
  <c r="IG8" i="5" s="1"/>
  <c r="HR41" i="5" s="1"/>
  <c r="HR43" i="5" s="1"/>
  <c r="HQ778" i="5" l="1"/>
  <c r="HQ780" i="5" s="1"/>
  <c r="HW780" i="5" s="1"/>
  <c r="HQ783" i="5"/>
  <c r="HQ785" i="5" s="1"/>
  <c r="HW785" i="5" s="1"/>
  <c r="HQ753" i="5"/>
  <c r="HQ755" i="5" s="1"/>
  <c r="HW755" i="5" s="1"/>
  <c r="HQ738" i="5"/>
  <c r="HQ740" i="5" s="1"/>
  <c r="HW740" i="5" s="1"/>
  <c r="HQ723" i="5"/>
  <c r="HQ725" i="5" s="1"/>
  <c r="HW725" i="5" s="1"/>
  <c r="HQ728" i="5"/>
  <c r="HQ730" i="5" s="1"/>
  <c r="HW730" i="5" s="1"/>
  <c r="HQ758" i="5"/>
  <c r="HQ760" i="5" s="1"/>
  <c r="HW760" i="5" s="1"/>
  <c r="HQ748" i="5"/>
  <c r="HQ750" i="5" s="1"/>
  <c r="HW750" i="5" s="1"/>
  <c r="HQ763" i="5"/>
  <c r="HQ765" i="5" s="1"/>
  <c r="HW765" i="5" s="1"/>
  <c r="HQ718" i="5"/>
  <c r="HQ720" i="5" s="1"/>
  <c r="HW720" i="5" s="1"/>
  <c r="HQ773" i="5"/>
  <c r="HQ775" i="5" s="1"/>
  <c r="HW775" i="5" s="1"/>
  <c r="HQ743" i="5"/>
  <c r="HQ745" i="5" s="1"/>
  <c r="HW745" i="5" s="1"/>
  <c r="HQ733" i="5"/>
  <c r="HQ735" i="5" s="1"/>
  <c r="HW735" i="5" s="1"/>
  <c r="HQ788" i="5"/>
  <c r="HQ790" i="5" s="1"/>
  <c r="HW790" i="5" s="1"/>
  <c r="HQ768" i="5"/>
  <c r="HQ770" i="5" s="1"/>
  <c r="HW770" i="5" s="1"/>
  <c r="HQ710" i="5"/>
  <c r="HQ712" i="5" s="1"/>
  <c r="HW712" i="5" s="1"/>
  <c r="HQ685" i="5"/>
  <c r="HQ687" i="5" s="1"/>
  <c r="HW687" i="5" s="1"/>
  <c r="HQ650" i="5"/>
  <c r="HQ652" i="5" s="1"/>
  <c r="HW652" i="5" s="1"/>
  <c r="HQ655" i="5"/>
  <c r="HQ657" i="5" s="1"/>
  <c r="HW657" i="5" s="1"/>
  <c r="HQ675" i="5"/>
  <c r="HQ677" i="5" s="1"/>
  <c r="HW677" i="5" s="1"/>
  <c r="HQ670" i="5"/>
  <c r="HQ672" i="5" s="1"/>
  <c r="HW672" i="5" s="1"/>
  <c r="HQ640" i="5"/>
  <c r="HQ642" i="5" s="1"/>
  <c r="HW642" i="5" s="1"/>
  <c r="HQ695" i="5"/>
  <c r="HQ697" i="5" s="1"/>
  <c r="HW697" i="5" s="1"/>
  <c r="HQ660" i="5"/>
  <c r="HQ662" i="5" s="1"/>
  <c r="HW662" i="5" s="1"/>
  <c r="HQ680" i="5"/>
  <c r="HQ682" i="5" s="1"/>
  <c r="HW682" i="5" s="1"/>
  <c r="HQ700" i="5"/>
  <c r="HQ702" i="5" s="1"/>
  <c r="HW702" i="5" s="1"/>
  <c r="HQ645" i="5"/>
  <c r="HQ647" i="5" s="1"/>
  <c r="HW647" i="5" s="1"/>
  <c r="HQ665" i="5"/>
  <c r="HQ667" i="5" s="1"/>
  <c r="HW667" i="5" s="1"/>
  <c r="HQ690" i="5"/>
  <c r="HQ692" i="5" s="1"/>
  <c r="HW692" i="5" s="1"/>
  <c r="HQ705" i="5"/>
  <c r="HQ707" i="5" s="1"/>
  <c r="HW707" i="5" s="1"/>
  <c r="HQ627" i="5"/>
  <c r="HQ629" i="5" s="1"/>
  <c r="HW629" i="5" s="1"/>
  <c r="HQ612" i="5"/>
  <c r="HQ614" i="5" s="1"/>
  <c r="HW614" i="5" s="1"/>
  <c r="HQ602" i="5"/>
  <c r="HQ604" i="5" s="1"/>
  <c r="HW604" i="5" s="1"/>
  <c r="HQ592" i="5"/>
  <c r="HQ594" i="5" s="1"/>
  <c r="HW594" i="5" s="1"/>
  <c r="HQ572" i="5"/>
  <c r="HQ574" i="5" s="1"/>
  <c r="HW574" i="5" s="1"/>
  <c r="HQ562" i="5"/>
  <c r="HQ564" i="5" s="1"/>
  <c r="HW564" i="5" s="1"/>
  <c r="HQ607" i="5"/>
  <c r="HQ609" i="5" s="1"/>
  <c r="HW609" i="5" s="1"/>
  <c r="HQ577" i="5"/>
  <c r="HQ579" i="5" s="1"/>
  <c r="HW579" i="5" s="1"/>
  <c r="HQ582" i="5"/>
  <c r="HQ584" i="5" s="1"/>
  <c r="HW584" i="5" s="1"/>
  <c r="HQ622" i="5"/>
  <c r="HQ624" i="5" s="1"/>
  <c r="HW624" i="5" s="1"/>
  <c r="HQ587" i="5"/>
  <c r="HQ589" i="5" s="1"/>
  <c r="HW589" i="5" s="1"/>
  <c r="HQ597" i="5"/>
  <c r="HQ599" i="5" s="1"/>
  <c r="HW599" i="5" s="1"/>
  <c r="HQ632" i="5"/>
  <c r="HQ634" i="5" s="1"/>
  <c r="HW634" i="5" s="1"/>
  <c r="HQ567" i="5"/>
  <c r="HQ569" i="5" s="1"/>
  <c r="HW569" i="5" s="1"/>
  <c r="HQ617" i="5"/>
  <c r="HQ619" i="5" s="1"/>
  <c r="HW619" i="5" s="1"/>
  <c r="HQ554" i="5"/>
  <c r="HQ556" i="5" s="1"/>
  <c r="HW556" i="5" s="1"/>
  <c r="HQ529" i="5"/>
  <c r="HQ531" i="5" s="1"/>
  <c r="HW531" i="5" s="1"/>
  <c r="HQ514" i="5"/>
  <c r="HQ516" i="5" s="1"/>
  <c r="HW516" i="5" s="1"/>
  <c r="HQ499" i="5"/>
  <c r="HQ501" i="5" s="1"/>
  <c r="HW501" i="5" s="1"/>
  <c r="HQ484" i="5"/>
  <c r="HQ486" i="5" s="1"/>
  <c r="HW486" i="5" s="1"/>
  <c r="HQ489" i="5"/>
  <c r="HQ491" i="5" s="1"/>
  <c r="HW491" i="5" s="1"/>
  <c r="HQ494" i="5"/>
  <c r="HQ496" i="5" s="1"/>
  <c r="HW496" i="5" s="1"/>
  <c r="HQ524" i="5"/>
  <c r="HQ526" i="5" s="1"/>
  <c r="HW526" i="5" s="1"/>
  <c r="HQ539" i="5"/>
  <c r="HQ541" i="5" s="1"/>
  <c r="HW541" i="5" s="1"/>
  <c r="HQ509" i="5"/>
  <c r="HQ511" i="5" s="1"/>
  <c r="HW511" i="5" s="1"/>
  <c r="HQ504" i="5"/>
  <c r="HQ506" i="5" s="1"/>
  <c r="HW506" i="5" s="1"/>
  <c r="HQ519" i="5"/>
  <c r="HQ521" i="5" s="1"/>
  <c r="HW521" i="5" s="1"/>
  <c r="HQ544" i="5"/>
  <c r="HQ546" i="5" s="1"/>
  <c r="HW546" i="5" s="1"/>
  <c r="HQ534" i="5"/>
  <c r="HQ536" i="5" s="1"/>
  <c r="HW536" i="5" s="1"/>
  <c r="HQ549" i="5"/>
  <c r="HQ551" i="5" s="1"/>
  <c r="HW551" i="5" s="1"/>
  <c r="HQ476" i="5"/>
  <c r="HQ478" i="5" s="1"/>
  <c r="HW478" i="5" s="1"/>
  <c r="HQ456" i="5"/>
  <c r="HQ458" i="5" s="1"/>
  <c r="HW458" i="5" s="1"/>
  <c r="HQ431" i="5"/>
  <c r="HQ433" i="5" s="1"/>
  <c r="HW433" i="5" s="1"/>
  <c r="HQ436" i="5"/>
  <c r="HQ438" i="5" s="1"/>
  <c r="HW438" i="5" s="1"/>
  <c r="HQ416" i="5"/>
  <c r="HQ418" i="5" s="1"/>
  <c r="HW418" i="5" s="1"/>
  <c r="HQ421" i="5"/>
  <c r="HQ423" i="5" s="1"/>
  <c r="HW423" i="5" s="1"/>
  <c r="HQ426" i="5"/>
  <c r="HQ428" i="5" s="1"/>
  <c r="HW428" i="5" s="1"/>
  <c r="HQ461" i="5"/>
  <c r="HQ463" i="5" s="1"/>
  <c r="HW463" i="5" s="1"/>
  <c r="HQ466" i="5"/>
  <c r="HQ468" i="5" s="1"/>
  <c r="HW468" i="5" s="1"/>
  <c r="HQ411" i="5"/>
  <c r="HQ413" i="5" s="1"/>
  <c r="HW413" i="5" s="1"/>
  <c r="HQ451" i="5"/>
  <c r="HQ453" i="5" s="1"/>
  <c r="HW453" i="5" s="1"/>
  <c r="HQ471" i="5"/>
  <c r="HQ473" i="5" s="1"/>
  <c r="HW473" i="5" s="1"/>
  <c r="HQ446" i="5"/>
  <c r="HQ448" i="5" s="1"/>
  <c r="HW448" i="5" s="1"/>
  <c r="HQ441" i="5"/>
  <c r="HQ443" i="5" s="1"/>
  <c r="HW443" i="5" s="1"/>
  <c r="HQ406" i="5"/>
  <c r="HQ408" i="5" s="1"/>
  <c r="HW408" i="5" s="1"/>
  <c r="HQ393" i="5"/>
  <c r="HQ395" i="5" s="1"/>
  <c r="HW395" i="5" s="1"/>
  <c r="HQ383" i="5"/>
  <c r="HQ385" i="5" s="1"/>
  <c r="HW385" i="5" s="1"/>
  <c r="HQ398" i="5"/>
  <c r="HQ400" i="5" s="1"/>
  <c r="HW400" i="5" s="1"/>
  <c r="HQ373" i="5"/>
  <c r="HQ375" i="5" s="1"/>
  <c r="HW375" i="5" s="1"/>
  <c r="HQ363" i="5"/>
  <c r="HQ365" i="5" s="1"/>
  <c r="HW365" i="5" s="1"/>
  <c r="HQ358" i="5"/>
  <c r="HQ360" i="5" s="1"/>
  <c r="HW360" i="5" s="1"/>
  <c r="HQ328" i="5"/>
  <c r="HQ330" i="5" s="1"/>
  <c r="HW330" i="5" s="1"/>
  <c r="HQ333" i="5"/>
  <c r="HQ335" i="5" s="1"/>
  <c r="HW335" i="5" s="1"/>
  <c r="HQ353" i="5"/>
  <c r="HQ355" i="5" s="1"/>
  <c r="HW355" i="5" s="1"/>
  <c r="HQ348" i="5"/>
  <c r="HQ350" i="5" s="1"/>
  <c r="HW350" i="5" s="1"/>
  <c r="HQ338" i="5"/>
  <c r="HQ340" i="5" s="1"/>
  <c r="HW340" i="5" s="1"/>
  <c r="HQ368" i="5"/>
  <c r="HQ370" i="5" s="1"/>
  <c r="HW370" i="5" s="1"/>
  <c r="HQ388" i="5"/>
  <c r="HQ390" i="5" s="1"/>
  <c r="HW390" i="5" s="1"/>
  <c r="HQ378" i="5"/>
  <c r="HQ380" i="5" s="1"/>
  <c r="HW380" i="5" s="1"/>
  <c r="HQ343" i="5"/>
  <c r="HQ345" i="5" s="1"/>
  <c r="HW345" i="5" s="1"/>
  <c r="HQ222" i="5"/>
  <c r="HQ224" i="5" s="1"/>
  <c r="HW224" i="5" s="1"/>
  <c r="HQ242" i="5"/>
  <c r="HQ244" i="5" s="1"/>
  <c r="HW244" i="5" s="1"/>
  <c r="HQ227" i="5"/>
  <c r="HQ229" i="5" s="1"/>
  <c r="HW229" i="5" s="1"/>
  <c r="HQ212" i="5"/>
  <c r="HQ214" i="5" s="1"/>
  <c r="HW214" i="5" s="1"/>
  <c r="HQ187" i="5"/>
  <c r="HQ189" i="5" s="1"/>
  <c r="HW189" i="5" s="1"/>
  <c r="HQ192" i="5"/>
  <c r="HQ194" i="5" s="1"/>
  <c r="HW194" i="5" s="1"/>
  <c r="HQ172" i="5"/>
  <c r="HQ174" i="5" s="1"/>
  <c r="HW174" i="5" s="1"/>
  <c r="HQ217" i="5"/>
  <c r="HQ219" i="5" s="1"/>
  <c r="HW219" i="5" s="1"/>
  <c r="HQ182" i="5"/>
  <c r="HQ184" i="5" s="1"/>
  <c r="HW184" i="5" s="1"/>
  <c r="HQ177" i="5"/>
  <c r="HQ179" i="5" s="1"/>
  <c r="HW179" i="5" s="1"/>
  <c r="HQ197" i="5"/>
  <c r="HQ199" i="5" s="1"/>
  <c r="HW199" i="5" s="1"/>
  <c r="HQ207" i="5"/>
  <c r="HQ209" i="5" s="1"/>
  <c r="HW209" i="5" s="1"/>
  <c r="HQ232" i="5"/>
  <c r="HQ234" i="5" s="1"/>
  <c r="HW234" i="5" s="1"/>
  <c r="HQ237" i="5"/>
  <c r="HQ239" i="5" s="1"/>
  <c r="HW239" i="5" s="1"/>
  <c r="HQ202" i="5"/>
  <c r="HQ204" i="5" s="1"/>
  <c r="HW204" i="5" s="1"/>
  <c r="HQ164" i="5"/>
  <c r="HQ166" i="5" s="1"/>
  <c r="HW166" i="5" s="1"/>
  <c r="HY166" i="5" s="1"/>
  <c r="B163" i="5" s="1"/>
  <c r="HQ310" i="5"/>
  <c r="HQ312" i="5" s="1"/>
  <c r="HW312" i="5" s="1"/>
  <c r="HQ280" i="5"/>
  <c r="HQ282" i="5" s="1"/>
  <c r="HW282" i="5" s="1"/>
  <c r="HQ255" i="5"/>
  <c r="HQ257" i="5" s="1"/>
  <c r="HW257" i="5" s="1"/>
  <c r="HQ290" i="5"/>
  <c r="HQ292" i="5" s="1"/>
  <c r="HW292" i="5" s="1"/>
  <c r="HQ265" i="5"/>
  <c r="HQ267" i="5" s="1"/>
  <c r="HW267" i="5" s="1"/>
  <c r="HQ260" i="5"/>
  <c r="HQ262" i="5" s="1"/>
  <c r="HW262" i="5" s="1"/>
  <c r="HQ275" i="5"/>
  <c r="HQ277" i="5" s="1"/>
  <c r="HW277" i="5" s="1"/>
  <c r="HQ250" i="5"/>
  <c r="HQ252" i="5" s="1"/>
  <c r="HW252" i="5" s="1"/>
  <c r="HQ295" i="5"/>
  <c r="HQ297" i="5" s="1"/>
  <c r="HW297" i="5" s="1"/>
  <c r="HQ300" i="5"/>
  <c r="HQ302" i="5" s="1"/>
  <c r="HW302" i="5" s="1"/>
  <c r="HQ320" i="5"/>
  <c r="HQ322" i="5" s="1"/>
  <c r="HW322" i="5" s="1"/>
  <c r="HQ305" i="5"/>
  <c r="HQ307" i="5" s="1"/>
  <c r="HW307" i="5" s="1"/>
  <c r="HQ285" i="5"/>
  <c r="HQ287" i="5" s="1"/>
  <c r="HW287" i="5" s="1"/>
  <c r="HQ270" i="5"/>
  <c r="HQ272" i="5" s="1"/>
  <c r="HW272" i="5" s="1"/>
  <c r="HQ315" i="5"/>
  <c r="HQ317" i="5" s="1"/>
  <c r="HW317" i="5" s="1"/>
  <c r="HQ154" i="5"/>
  <c r="HQ156" i="5" s="1"/>
  <c r="HW156" i="5" s="1"/>
  <c r="HY156" i="5" s="1"/>
  <c r="B153" i="5" s="1"/>
  <c r="HQ159" i="5"/>
  <c r="HQ161" i="5" s="1"/>
  <c r="HW161" i="5" s="1"/>
  <c r="HQ144" i="5"/>
  <c r="HQ146" i="5" s="1"/>
  <c r="HW146" i="5" s="1"/>
  <c r="HY146" i="5" s="1"/>
  <c r="B143" i="5" s="1"/>
  <c r="HQ149" i="5"/>
  <c r="HQ151" i="5" s="1"/>
  <c r="HW151" i="5" s="1"/>
  <c r="HQ134" i="5"/>
  <c r="HQ136" i="5" s="1"/>
  <c r="HW136" i="5" s="1"/>
  <c r="HY136" i="5" s="1"/>
  <c r="B133" i="5" s="1"/>
  <c r="HQ139" i="5"/>
  <c r="HQ141" i="5" s="1"/>
  <c r="HW141" i="5" s="1"/>
  <c r="HQ124" i="5"/>
  <c r="HQ126" i="5" s="1"/>
  <c r="HW126" i="5" s="1"/>
  <c r="HY126" i="5" s="1"/>
  <c r="B123" i="5" s="1"/>
  <c r="HQ129" i="5"/>
  <c r="HQ131" i="5" s="1"/>
  <c r="HW131" i="5" s="1"/>
  <c r="HQ114" i="5"/>
  <c r="HQ116" i="5" s="1"/>
  <c r="HW116" i="5" s="1"/>
  <c r="HY116" i="5" s="1"/>
  <c r="B113" i="5" s="1"/>
  <c r="HQ119" i="5"/>
  <c r="HQ121" i="5" s="1"/>
  <c r="HW121" i="5" s="1"/>
  <c r="HQ104" i="5"/>
  <c r="HQ106" i="5" s="1"/>
  <c r="HW106" i="5" s="1"/>
  <c r="HY106" i="5" s="1"/>
  <c r="B103" i="5" s="1"/>
  <c r="HQ109" i="5"/>
  <c r="HQ111" i="5" s="1"/>
  <c r="HW111" i="5" s="1"/>
  <c r="HQ94" i="5"/>
  <c r="HQ96" i="5" s="1"/>
  <c r="HW96" i="5" s="1"/>
  <c r="HY96" i="5" s="1"/>
  <c r="B93" i="5" s="1"/>
  <c r="HQ99" i="5"/>
  <c r="HQ101" i="5" s="1"/>
  <c r="HW101" i="5" s="1"/>
  <c r="HQ81" i="5"/>
  <c r="HQ83" i="5" s="1"/>
  <c r="HW83" i="5" s="1"/>
  <c r="HY81" i="5" s="1"/>
  <c r="HQ86" i="5"/>
  <c r="HQ88" i="5" s="1"/>
  <c r="HW88" i="5" s="1"/>
  <c r="HQ71" i="5"/>
  <c r="HQ73" i="5" s="1"/>
  <c r="HW73" i="5" s="1"/>
  <c r="HY73" i="5" s="1"/>
  <c r="B70" i="5" s="1"/>
  <c r="HQ76" i="5"/>
  <c r="HQ78" i="5" s="1"/>
  <c r="HW78" i="5" s="1"/>
  <c r="HQ61" i="5"/>
  <c r="HQ63" i="5" s="1"/>
  <c r="HW63" i="5" s="1"/>
  <c r="HW60" i="5" s="1"/>
  <c r="HQ66" i="5"/>
  <c r="HQ68" i="5" s="1"/>
  <c r="HW68" i="5" s="1"/>
  <c r="HQ51" i="5"/>
  <c r="HQ53" i="5" s="1"/>
  <c r="HW53" i="5" s="1"/>
  <c r="HY53" i="5" s="1"/>
  <c r="B50" i="5" s="1"/>
  <c r="HQ56" i="5"/>
  <c r="HQ58" i="5" s="1"/>
  <c r="HW58" i="5" s="1"/>
  <c r="HQ46" i="5"/>
  <c r="HQ48" i="5" s="1"/>
  <c r="HW48" i="5" s="1"/>
  <c r="HQ41" i="5"/>
  <c r="HQ43" i="5" s="1"/>
  <c r="HW43" i="5" s="1"/>
  <c r="HY41" i="5" s="1"/>
  <c r="BK24" i="22" s="1"/>
  <c r="B124" i="19"/>
  <c r="HY750" i="5" l="1"/>
  <c r="B747" i="5" s="1"/>
  <c r="HY748" i="5"/>
  <c r="HW747" i="5"/>
  <c r="HY770" i="5"/>
  <c r="B767" i="5" s="1"/>
  <c r="HY768" i="5"/>
  <c r="HW767" i="5"/>
  <c r="HW757" i="5"/>
  <c r="HY760" i="5"/>
  <c r="B757" i="5" s="1"/>
  <c r="HY758" i="5"/>
  <c r="HY790" i="5"/>
  <c r="B787" i="5" s="1"/>
  <c r="HY788" i="5"/>
  <c r="HW787" i="5"/>
  <c r="HY730" i="5"/>
  <c r="B727" i="5" s="1"/>
  <c r="HW727" i="5"/>
  <c r="HY728" i="5"/>
  <c r="HY735" i="5"/>
  <c r="B732" i="5" s="1"/>
  <c r="HY733" i="5"/>
  <c r="HW732" i="5"/>
  <c r="HY725" i="5"/>
  <c r="B722" i="5" s="1"/>
  <c r="HY723" i="5"/>
  <c r="HW722" i="5"/>
  <c r="HY745" i="5"/>
  <c r="B742" i="5" s="1"/>
  <c r="HY743" i="5"/>
  <c r="HW742" i="5"/>
  <c r="HY738" i="5"/>
  <c r="HW737" i="5"/>
  <c r="HY740" i="5"/>
  <c r="B737" i="5" s="1"/>
  <c r="HW772" i="5"/>
  <c r="HY775" i="5"/>
  <c r="B772" i="5" s="1"/>
  <c r="HY773" i="5"/>
  <c r="HY755" i="5"/>
  <c r="B752" i="5" s="1"/>
  <c r="HY753" i="5"/>
  <c r="HW752" i="5"/>
  <c r="HY718" i="5"/>
  <c r="HW717" i="5"/>
  <c r="HY720" i="5"/>
  <c r="B717" i="5" s="1"/>
  <c r="HY783" i="5"/>
  <c r="HW782" i="5"/>
  <c r="HY785" i="5"/>
  <c r="B782" i="5" s="1"/>
  <c r="HY765" i="5"/>
  <c r="B762" i="5" s="1"/>
  <c r="HY763" i="5"/>
  <c r="HW762" i="5"/>
  <c r="HY778" i="5"/>
  <c r="HW777" i="5"/>
  <c r="HY780" i="5"/>
  <c r="B777" i="5" s="1"/>
  <c r="HY697" i="5"/>
  <c r="B694" i="5" s="1"/>
  <c r="HY695" i="5"/>
  <c r="HW694" i="5"/>
  <c r="HY705" i="5"/>
  <c r="HW704" i="5"/>
  <c r="HY707" i="5"/>
  <c r="B704" i="5" s="1"/>
  <c r="HY642" i="5"/>
  <c r="B639" i="5" s="1"/>
  <c r="HY640" i="5"/>
  <c r="HW639" i="5"/>
  <c r="HY692" i="5"/>
  <c r="B689" i="5" s="1"/>
  <c r="HY690" i="5"/>
  <c r="HW689" i="5"/>
  <c r="HY672" i="5"/>
  <c r="B669" i="5" s="1"/>
  <c r="HW669" i="5"/>
  <c r="HY670" i="5"/>
  <c r="HY665" i="5"/>
  <c r="HW664" i="5"/>
  <c r="HY667" i="5"/>
  <c r="B664" i="5" s="1"/>
  <c r="HY677" i="5"/>
  <c r="B674" i="5" s="1"/>
  <c r="HY675" i="5"/>
  <c r="HW674" i="5"/>
  <c r="HY647" i="5"/>
  <c r="B644" i="5" s="1"/>
  <c r="HY645" i="5"/>
  <c r="HW644" i="5"/>
  <c r="HY657" i="5"/>
  <c r="B654" i="5" s="1"/>
  <c r="HY655" i="5"/>
  <c r="HW654" i="5"/>
  <c r="HY700" i="5"/>
  <c r="HW699" i="5"/>
  <c r="HY702" i="5"/>
  <c r="B699" i="5" s="1"/>
  <c r="HY652" i="5"/>
  <c r="B649" i="5" s="1"/>
  <c r="HY650" i="5"/>
  <c r="HW649" i="5"/>
  <c r="HY680" i="5"/>
  <c r="HY682" i="5"/>
  <c r="B679" i="5" s="1"/>
  <c r="HW679" i="5"/>
  <c r="HW684" i="5"/>
  <c r="HY687" i="5"/>
  <c r="B684" i="5" s="1"/>
  <c r="HY685" i="5"/>
  <c r="HY662" i="5"/>
  <c r="B659" i="5" s="1"/>
  <c r="HW659" i="5"/>
  <c r="HY660" i="5"/>
  <c r="HY712" i="5"/>
  <c r="B709" i="5" s="1"/>
  <c r="HY710" i="5"/>
  <c r="HW709" i="5"/>
  <c r="HW576" i="5"/>
  <c r="HY577" i="5"/>
  <c r="HY579" i="5"/>
  <c r="B576" i="5" s="1"/>
  <c r="HY619" i="5"/>
  <c r="B616" i="5" s="1"/>
  <c r="HY617" i="5"/>
  <c r="HW616" i="5"/>
  <c r="HW606" i="5"/>
  <c r="HY607" i="5"/>
  <c r="HY609" i="5"/>
  <c r="B606" i="5" s="1"/>
  <c r="HY567" i="5"/>
  <c r="HW566" i="5"/>
  <c r="HY569" i="5"/>
  <c r="B566" i="5" s="1"/>
  <c r="HY564" i="5"/>
  <c r="B561" i="5" s="1"/>
  <c r="HY562" i="5"/>
  <c r="HW561" i="5"/>
  <c r="HY634" i="5"/>
  <c r="B631" i="5" s="1"/>
  <c r="HY632" i="5"/>
  <c r="HW631" i="5"/>
  <c r="HY574" i="5"/>
  <c r="B571" i="5" s="1"/>
  <c r="HY572" i="5"/>
  <c r="HW571" i="5"/>
  <c r="HW596" i="5"/>
  <c r="HY597" i="5"/>
  <c r="HY599" i="5"/>
  <c r="B596" i="5" s="1"/>
  <c r="HY594" i="5"/>
  <c r="B591" i="5" s="1"/>
  <c r="HY592" i="5"/>
  <c r="HW591" i="5"/>
  <c r="HY587" i="5"/>
  <c r="HY589" i="5"/>
  <c r="B586" i="5" s="1"/>
  <c r="HW586" i="5"/>
  <c r="HY602" i="5"/>
  <c r="HY604" i="5"/>
  <c r="B601" i="5" s="1"/>
  <c r="HW601" i="5"/>
  <c r="HW621" i="5"/>
  <c r="HY622" i="5"/>
  <c r="HY624" i="5"/>
  <c r="B621" i="5" s="1"/>
  <c r="HY612" i="5"/>
  <c r="HW611" i="5"/>
  <c r="HY614" i="5"/>
  <c r="B611" i="5" s="1"/>
  <c r="HY584" i="5"/>
  <c r="B581" i="5" s="1"/>
  <c r="HY582" i="5"/>
  <c r="HW581" i="5"/>
  <c r="HY627" i="5"/>
  <c r="HW626" i="5"/>
  <c r="HY629" i="5"/>
  <c r="B626" i="5" s="1"/>
  <c r="HY549" i="5"/>
  <c r="HW548" i="5"/>
  <c r="HY551" i="5"/>
  <c r="B548" i="5" s="1"/>
  <c r="HY496" i="5"/>
  <c r="B493" i="5" s="1"/>
  <c r="HY494" i="5"/>
  <c r="HW493" i="5"/>
  <c r="HW523" i="5"/>
  <c r="HY526" i="5"/>
  <c r="B523" i="5" s="1"/>
  <c r="HY524" i="5"/>
  <c r="HY534" i="5"/>
  <c r="HW533" i="5"/>
  <c r="HY536" i="5"/>
  <c r="B533" i="5" s="1"/>
  <c r="HY491" i="5"/>
  <c r="B488" i="5" s="1"/>
  <c r="HW488" i="5"/>
  <c r="HY489" i="5"/>
  <c r="HY544" i="5"/>
  <c r="HW543" i="5"/>
  <c r="HY546" i="5"/>
  <c r="B543" i="5" s="1"/>
  <c r="HY486" i="5"/>
  <c r="B483" i="5" s="1"/>
  <c r="HY484" i="5"/>
  <c r="HW483" i="5"/>
  <c r="HY521" i="5"/>
  <c r="B518" i="5" s="1"/>
  <c r="HY519" i="5"/>
  <c r="HW518" i="5"/>
  <c r="HW498" i="5"/>
  <c r="HY501" i="5"/>
  <c r="B498" i="5" s="1"/>
  <c r="HY499" i="5"/>
  <c r="HY506" i="5"/>
  <c r="B503" i="5" s="1"/>
  <c r="HY504" i="5"/>
  <c r="HW503" i="5"/>
  <c r="HY516" i="5"/>
  <c r="B513" i="5" s="1"/>
  <c r="HY514" i="5"/>
  <c r="HW513" i="5"/>
  <c r="HY509" i="5"/>
  <c r="HW508" i="5"/>
  <c r="HY511" i="5"/>
  <c r="B508" i="5" s="1"/>
  <c r="HY529" i="5"/>
  <c r="HW528" i="5"/>
  <c r="HY531" i="5"/>
  <c r="B528" i="5" s="1"/>
  <c r="HY541" i="5"/>
  <c r="B538" i="5" s="1"/>
  <c r="HW538" i="5"/>
  <c r="HY539" i="5"/>
  <c r="HY556" i="5"/>
  <c r="B553" i="5" s="1"/>
  <c r="HY554" i="5"/>
  <c r="HW553" i="5"/>
  <c r="HW460" i="5"/>
  <c r="HY463" i="5"/>
  <c r="B460" i="5" s="1"/>
  <c r="HY461" i="5"/>
  <c r="HY406" i="5"/>
  <c r="HW405" i="5"/>
  <c r="HY408" i="5"/>
  <c r="B405" i="5" s="1"/>
  <c r="HY428" i="5"/>
  <c r="B425" i="5" s="1"/>
  <c r="HY426" i="5"/>
  <c r="HW425" i="5"/>
  <c r="HY443" i="5"/>
  <c r="B440" i="5" s="1"/>
  <c r="HY441" i="5"/>
  <c r="HW440" i="5"/>
  <c r="HY423" i="5"/>
  <c r="B420" i="5" s="1"/>
  <c r="HY421" i="5"/>
  <c r="HW420" i="5"/>
  <c r="HY446" i="5"/>
  <c r="HY448" i="5"/>
  <c r="B445" i="5" s="1"/>
  <c r="HW445" i="5"/>
  <c r="HY416" i="5"/>
  <c r="HY418" i="5"/>
  <c r="B415" i="5" s="1"/>
  <c r="HW415" i="5"/>
  <c r="HY471" i="5"/>
  <c r="HW470" i="5"/>
  <c r="HY473" i="5"/>
  <c r="B470" i="5" s="1"/>
  <c r="HY438" i="5"/>
  <c r="B435" i="5" s="1"/>
  <c r="HY436" i="5"/>
  <c r="HW435" i="5"/>
  <c r="HW450" i="5"/>
  <c r="HY453" i="5"/>
  <c r="B450" i="5" s="1"/>
  <c r="HY451" i="5"/>
  <c r="HY433" i="5"/>
  <c r="B430" i="5" s="1"/>
  <c r="HY431" i="5"/>
  <c r="HW430" i="5"/>
  <c r="HY411" i="5"/>
  <c r="HW410" i="5"/>
  <c r="HY413" i="5"/>
  <c r="B410" i="5" s="1"/>
  <c r="HY458" i="5"/>
  <c r="B455" i="5" s="1"/>
  <c r="HY456" i="5"/>
  <c r="HW455" i="5"/>
  <c r="HY466" i="5"/>
  <c r="HW465" i="5"/>
  <c r="HY468" i="5"/>
  <c r="B465" i="5" s="1"/>
  <c r="HY478" i="5"/>
  <c r="B475" i="5" s="1"/>
  <c r="HY476" i="5"/>
  <c r="HW475" i="5"/>
  <c r="HY335" i="5"/>
  <c r="B332" i="5" s="1"/>
  <c r="HY333" i="5"/>
  <c r="HW332" i="5"/>
  <c r="HY378" i="5"/>
  <c r="HW377" i="5"/>
  <c r="HY380" i="5"/>
  <c r="B377" i="5" s="1"/>
  <c r="HY360" i="5"/>
  <c r="B357" i="5" s="1"/>
  <c r="HW357" i="5"/>
  <c r="HY358" i="5"/>
  <c r="HY388" i="5"/>
  <c r="HW387" i="5"/>
  <c r="HY390" i="5"/>
  <c r="B387" i="5" s="1"/>
  <c r="HW362" i="5"/>
  <c r="HY365" i="5"/>
  <c r="B362" i="5" s="1"/>
  <c r="HY363" i="5"/>
  <c r="HY328" i="5"/>
  <c r="HW327" i="5"/>
  <c r="HY330" i="5"/>
  <c r="B327" i="5" s="1"/>
  <c r="HY368" i="5"/>
  <c r="HW367" i="5"/>
  <c r="HY370" i="5"/>
  <c r="B367" i="5" s="1"/>
  <c r="HY373" i="5"/>
  <c r="HY375" i="5"/>
  <c r="B372" i="5" s="1"/>
  <c r="HW372" i="5"/>
  <c r="HY340" i="5"/>
  <c r="B337" i="5" s="1"/>
  <c r="HY338" i="5"/>
  <c r="HW337" i="5"/>
  <c r="HY400" i="5"/>
  <c r="B397" i="5" s="1"/>
  <c r="HY398" i="5"/>
  <c r="HW397" i="5"/>
  <c r="HY345" i="5"/>
  <c r="B342" i="5" s="1"/>
  <c r="HW342" i="5"/>
  <c r="HY343" i="5"/>
  <c r="HY350" i="5"/>
  <c r="B347" i="5" s="1"/>
  <c r="HW347" i="5"/>
  <c r="HY348" i="5"/>
  <c r="HY385" i="5"/>
  <c r="B382" i="5" s="1"/>
  <c r="HW382" i="5"/>
  <c r="HY383" i="5"/>
  <c r="HY355" i="5"/>
  <c r="B352" i="5" s="1"/>
  <c r="HW352" i="5"/>
  <c r="HY353" i="5"/>
  <c r="HY393" i="5"/>
  <c r="HW392" i="5"/>
  <c r="HY395" i="5"/>
  <c r="B392" i="5" s="1"/>
  <c r="HY219" i="5"/>
  <c r="B216" i="5" s="1"/>
  <c r="HW216" i="5"/>
  <c r="HY217" i="5"/>
  <c r="HY237" i="5"/>
  <c r="HW236" i="5"/>
  <c r="HY239" i="5"/>
  <c r="B236" i="5" s="1"/>
  <c r="HW191" i="5"/>
  <c r="HY192" i="5"/>
  <c r="HY194" i="5"/>
  <c r="B191" i="5" s="1"/>
  <c r="HW163" i="5"/>
  <c r="CW163" i="5" s="1"/>
  <c r="HY232" i="5"/>
  <c r="HW231" i="5"/>
  <c r="HY234" i="5"/>
  <c r="B231" i="5" s="1"/>
  <c r="HW186" i="5"/>
  <c r="HY187" i="5"/>
  <c r="HY189" i="5"/>
  <c r="B186" i="5" s="1"/>
  <c r="HY202" i="5"/>
  <c r="HY204" i="5"/>
  <c r="B201" i="5" s="1"/>
  <c r="HW201" i="5"/>
  <c r="HY164" i="5"/>
  <c r="HY209" i="5"/>
  <c r="B206" i="5" s="1"/>
  <c r="HY207" i="5"/>
  <c r="HW206" i="5"/>
  <c r="HY214" i="5"/>
  <c r="B211" i="5" s="1"/>
  <c r="HY212" i="5"/>
  <c r="HW211" i="5"/>
  <c r="HY199" i="5"/>
  <c r="B196" i="5" s="1"/>
  <c r="HY197" i="5"/>
  <c r="HW196" i="5"/>
  <c r="HY229" i="5"/>
  <c r="B226" i="5" s="1"/>
  <c r="HW226" i="5"/>
  <c r="HY227" i="5"/>
  <c r="HW176" i="5"/>
  <c r="HY179" i="5"/>
  <c r="B176" i="5" s="1"/>
  <c r="HY177" i="5"/>
  <c r="HY244" i="5"/>
  <c r="B241" i="5" s="1"/>
  <c r="HY242" i="5"/>
  <c r="HW241" i="5"/>
  <c r="HY174" i="5"/>
  <c r="B171" i="5" s="1"/>
  <c r="HY172" i="5"/>
  <c r="HW171" i="5"/>
  <c r="HW181" i="5"/>
  <c r="HY182" i="5"/>
  <c r="HY184" i="5"/>
  <c r="B181" i="5" s="1"/>
  <c r="HY224" i="5"/>
  <c r="B221" i="5" s="1"/>
  <c r="HW221" i="5"/>
  <c r="HY222" i="5"/>
  <c r="HY297" i="5"/>
  <c r="B294" i="5" s="1"/>
  <c r="HY295" i="5"/>
  <c r="HW294" i="5"/>
  <c r="HY292" i="5"/>
  <c r="B289" i="5" s="1"/>
  <c r="HW289" i="5"/>
  <c r="HY290" i="5"/>
  <c r="HY252" i="5"/>
  <c r="B249" i="5" s="1"/>
  <c r="HY250" i="5"/>
  <c r="HW249" i="5"/>
  <c r="HY257" i="5"/>
  <c r="B254" i="5" s="1"/>
  <c r="HY255" i="5"/>
  <c r="HW254" i="5"/>
  <c r="HY287" i="5"/>
  <c r="B284" i="5" s="1"/>
  <c r="HY285" i="5"/>
  <c r="HW284" i="5"/>
  <c r="HY282" i="5"/>
  <c r="B279" i="5" s="1"/>
  <c r="HW279" i="5"/>
  <c r="HY280" i="5"/>
  <c r="HY312" i="5"/>
  <c r="B309" i="5" s="1"/>
  <c r="HY310" i="5"/>
  <c r="HW309" i="5"/>
  <c r="HY315" i="5"/>
  <c r="HY317" i="5"/>
  <c r="B314" i="5" s="1"/>
  <c r="HW314" i="5"/>
  <c r="HY305" i="5"/>
  <c r="HY307" i="5"/>
  <c r="B304" i="5" s="1"/>
  <c r="HW304" i="5"/>
  <c r="HY275" i="5"/>
  <c r="HY277" i="5"/>
  <c r="B274" i="5" s="1"/>
  <c r="HW274" i="5"/>
  <c r="HY267" i="5"/>
  <c r="B264" i="5" s="1"/>
  <c r="HY265" i="5"/>
  <c r="HW264" i="5"/>
  <c r="HY322" i="5"/>
  <c r="B319" i="5" s="1"/>
  <c r="HY320" i="5"/>
  <c r="HW319" i="5"/>
  <c r="HY272" i="5"/>
  <c r="B269" i="5" s="1"/>
  <c r="HW269" i="5"/>
  <c r="HY270" i="5"/>
  <c r="HY302" i="5"/>
  <c r="B299" i="5" s="1"/>
  <c r="HY300" i="5"/>
  <c r="HW299" i="5"/>
  <c r="HY262" i="5"/>
  <c r="B259" i="5" s="1"/>
  <c r="HY260" i="5"/>
  <c r="HW259" i="5"/>
  <c r="HW153" i="5"/>
  <c r="CS155" i="5" s="1"/>
  <c r="HY154" i="5"/>
  <c r="HY161" i="5"/>
  <c r="B158" i="5" s="1"/>
  <c r="HY159" i="5"/>
  <c r="HW158" i="5"/>
  <c r="HW143" i="5"/>
  <c r="CS143" i="5" s="1"/>
  <c r="HY144" i="5"/>
  <c r="HY151" i="5"/>
  <c r="B148" i="5" s="1"/>
  <c r="HY149" i="5"/>
  <c r="HW148" i="5"/>
  <c r="HW133" i="5"/>
  <c r="HX133" i="5" s="1"/>
  <c r="HY134" i="5"/>
  <c r="HY141" i="5"/>
  <c r="B138" i="5" s="1"/>
  <c r="HY139" i="5"/>
  <c r="HW138" i="5"/>
  <c r="HW123" i="5"/>
  <c r="CS125" i="5" s="1"/>
  <c r="HY124" i="5"/>
  <c r="HY131" i="5"/>
  <c r="B128" i="5" s="1"/>
  <c r="HY129" i="5"/>
  <c r="HW128" i="5"/>
  <c r="HW113" i="5"/>
  <c r="CS115" i="5" s="1"/>
  <c r="HY114" i="5"/>
  <c r="HY121" i="5"/>
  <c r="B118" i="5" s="1"/>
  <c r="HY119" i="5"/>
  <c r="HW118" i="5"/>
  <c r="HW103" i="5"/>
  <c r="HX103" i="5" s="1"/>
  <c r="HY104" i="5"/>
  <c r="HY111" i="5"/>
  <c r="B108" i="5" s="1"/>
  <c r="HY109" i="5"/>
  <c r="HW108" i="5"/>
  <c r="HW93" i="5"/>
  <c r="CW93" i="5" s="1"/>
  <c r="HY94" i="5"/>
  <c r="HY99" i="5"/>
  <c r="HW98" i="5"/>
  <c r="HY101" i="5"/>
  <c r="B98" i="5" s="1"/>
  <c r="HY83" i="5"/>
  <c r="B80" i="5" s="1"/>
  <c r="HW80" i="5"/>
  <c r="DG80" i="5" s="1"/>
  <c r="HY86" i="5"/>
  <c r="HW85" i="5"/>
  <c r="HY88" i="5"/>
  <c r="B85" i="5" s="1"/>
  <c r="HW70" i="5"/>
  <c r="DG70" i="5" s="1"/>
  <c r="HY71" i="5"/>
  <c r="HY78" i="5"/>
  <c r="B75" i="5" s="1"/>
  <c r="HY76" i="5"/>
  <c r="HW75" i="5"/>
  <c r="HY63" i="5"/>
  <c r="B60" i="5" s="1"/>
  <c r="HY61" i="5"/>
  <c r="HY68" i="5"/>
  <c r="B65" i="5" s="1"/>
  <c r="HY66" i="5"/>
  <c r="HW65" i="5"/>
  <c r="CS62" i="5"/>
  <c r="DG60" i="5"/>
  <c r="CW60" i="5"/>
  <c r="HX60" i="5"/>
  <c r="DC60" i="5"/>
  <c r="DC62" i="5"/>
  <c r="EI60" i="5" s="1"/>
  <c r="AL62" i="5"/>
  <c r="CW62" i="5"/>
  <c r="ED60" i="5" s="1"/>
  <c r="AO60" i="5"/>
  <c r="EJ60" i="5" s="1"/>
  <c r="CV62" i="5"/>
  <c r="CZ60" i="5"/>
  <c r="CY60" i="5"/>
  <c r="AL60" i="5"/>
  <c r="DD62" i="5"/>
  <c r="DP60" i="5" s="1"/>
  <c r="HX62" i="5"/>
  <c r="CU62" i="5"/>
  <c r="CT60" i="5"/>
  <c r="FX60" i="5" s="1"/>
  <c r="FY60" i="5" s="1"/>
  <c r="DG62" i="5"/>
  <c r="EF60" i="5" s="1"/>
  <c r="CT62" i="5"/>
  <c r="EL60" i="5"/>
  <c r="CV60" i="5"/>
  <c r="CS60" i="5"/>
  <c r="HW50" i="5"/>
  <c r="CS52" i="5" s="1"/>
  <c r="HY51" i="5"/>
  <c r="HY56" i="5"/>
  <c r="HW55" i="5"/>
  <c r="HY58" i="5"/>
  <c r="B55" i="5" s="1"/>
  <c r="HY48" i="5"/>
  <c r="B45" i="5" s="1"/>
  <c r="HW45" i="5"/>
  <c r="HY46" i="5"/>
  <c r="HY43" i="5"/>
  <c r="B40" i="5" s="1"/>
  <c r="HW40" i="5"/>
  <c r="CT42" i="5" s="1"/>
  <c r="FD40" i="5" s="1"/>
  <c r="CA36" i="22"/>
  <c r="CC25" i="22"/>
  <c r="B140" i="19"/>
  <c r="B169" i="19"/>
  <c r="BO28" i="22"/>
  <c r="BU34" i="22"/>
  <c r="BU36" i="22"/>
  <c r="BQ38" i="22"/>
  <c r="BY29" i="22"/>
  <c r="B182" i="19"/>
  <c r="BW26" i="22"/>
  <c r="BQ28" i="22"/>
  <c r="BW25" i="22"/>
  <c r="BY36" i="22"/>
  <c r="BM25" i="22"/>
  <c r="BO26" i="22"/>
  <c r="B158" i="19"/>
  <c r="BU27" i="22"/>
  <c r="BS29" i="22"/>
  <c r="B155" i="19"/>
  <c r="BK26" i="22"/>
  <c r="B131" i="19"/>
  <c r="CC34" i="22"/>
  <c r="BK33" i="22"/>
  <c r="B126" i="19"/>
  <c r="BQ25" i="22"/>
  <c r="BU35" i="22"/>
  <c r="BY25" i="22"/>
  <c r="B133" i="19"/>
  <c r="CA34" i="22"/>
  <c r="BU31" i="22"/>
  <c r="BM24" i="22"/>
  <c r="BK32" i="22"/>
  <c r="BM30" i="22"/>
  <c r="BW24" i="22"/>
  <c r="BO38" i="22"/>
  <c r="BU33" i="22"/>
  <c r="BM34" i="22"/>
  <c r="B150" i="19"/>
  <c r="BO25" i="22"/>
  <c r="BM38" i="22"/>
  <c r="BQ36" i="22"/>
  <c r="CA31" i="22"/>
  <c r="B195" i="19"/>
  <c r="BO27" i="22"/>
  <c r="BQ35" i="22"/>
  <c r="B174" i="19"/>
  <c r="B167" i="19"/>
  <c r="CA35" i="22"/>
  <c r="BY37" i="22"/>
  <c r="BK25" i="22"/>
  <c r="BQ33" i="22"/>
  <c r="BO30" i="22"/>
  <c r="BQ29" i="22"/>
  <c r="CC30" i="22"/>
  <c r="BW32" i="22"/>
  <c r="BM28" i="22"/>
  <c r="BY26" i="22"/>
  <c r="B192" i="19"/>
  <c r="BK28" i="22"/>
  <c r="BS34" i="22"/>
  <c r="B177" i="19"/>
  <c r="BW30" i="22"/>
  <c r="BU37" i="22"/>
  <c r="BY24" i="22"/>
  <c r="B187" i="19"/>
  <c r="BY31" i="22"/>
  <c r="CA25" i="22"/>
  <c r="CC28" i="22"/>
  <c r="B160" i="19"/>
  <c r="CC33" i="22"/>
  <c r="BS25" i="22"/>
  <c r="BQ27" i="22"/>
  <c r="BM32" i="22"/>
  <c r="BW35" i="22"/>
  <c r="BW31" i="22"/>
  <c r="BS27" i="22"/>
  <c r="BK29" i="22"/>
  <c r="BW37" i="22"/>
  <c r="CC27" i="22"/>
  <c r="BQ24" i="22"/>
  <c r="CA26" i="22"/>
  <c r="BW38" i="22"/>
  <c r="B178" i="19"/>
  <c r="CC38" i="22"/>
  <c r="B145" i="19"/>
  <c r="B197" i="19"/>
  <c r="CC32" i="22"/>
  <c r="BO24" i="22"/>
  <c r="B165" i="19"/>
  <c r="BY34" i="22"/>
  <c r="BU25" i="22"/>
  <c r="BU30" i="22"/>
  <c r="CC31" i="22"/>
  <c r="B135" i="19"/>
  <c r="BW34" i="22"/>
  <c r="BS35" i="22"/>
  <c r="BY35" i="22"/>
  <c r="BW29" i="22"/>
  <c r="B134" i="19"/>
  <c r="BY38" i="22"/>
  <c r="CA28" i="22"/>
  <c r="CA38" i="22"/>
  <c r="BO37" i="22"/>
  <c r="B203" i="19"/>
  <c r="CA37" i="22"/>
  <c r="BO36" i="22"/>
  <c r="CC24" i="22"/>
  <c r="B125" i="19"/>
  <c r="BU28" i="22"/>
  <c r="BY28" i="22"/>
  <c r="BS33" i="22"/>
  <c r="BK27" i="22"/>
  <c r="BS26" i="22"/>
  <c r="BQ30" i="22"/>
  <c r="B262" i="19"/>
  <c r="BO32" i="22"/>
  <c r="BW33" i="22"/>
  <c r="BQ34" i="22"/>
  <c r="B183" i="19"/>
  <c r="BS24" i="22"/>
  <c r="BM35" i="22"/>
  <c r="B172" i="19"/>
  <c r="B161" i="19"/>
  <c r="BO35" i="22"/>
  <c r="CA30" i="22"/>
  <c r="BU26" i="22"/>
  <c r="B170" i="19"/>
  <c r="BY30" i="22"/>
  <c r="BO29" i="22"/>
  <c r="BO34" i="22"/>
  <c r="CA24" i="22"/>
  <c r="CA27" i="22"/>
  <c r="BU32" i="22"/>
  <c r="B162" i="19"/>
  <c r="BK31" i="22"/>
  <c r="BS36" i="22"/>
  <c r="BM29" i="22"/>
  <c r="BY27" i="22"/>
  <c r="BS31" i="22"/>
  <c r="CA32" i="22"/>
  <c r="BS28" i="22"/>
  <c r="BY33" i="22"/>
  <c r="CC37" i="22"/>
  <c r="B185" i="19"/>
  <c r="BU38" i="22"/>
  <c r="B200" i="19"/>
  <c r="CC29" i="22"/>
  <c r="BM27" i="22"/>
  <c r="BS38" i="22"/>
  <c r="BQ37" i="22"/>
  <c r="BW36" i="22"/>
  <c r="BK30" i="22"/>
  <c r="BY32" i="22"/>
  <c r="BM26" i="22"/>
  <c r="BM37" i="22"/>
  <c r="CC26" i="22"/>
  <c r="BS37" i="22"/>
  <c r="BS30" i="22"/>
  <c r="B180" i="19"/>
  <c r="BQ26" i="22"/>
  <c r="BM31" i="22"/>
  <c r="BW27" i="22"/>
  <c r="BM33" i="22"/>
  <c r="CC35" i="22"/>
  <c r="B190" i="19"/>
  <c r="BS32" i="22"/>
  <c r="BU29" i="22"/>
  <c r="CA29" i="22"/>
  <c r="BM36" i="22"/>
  <c r="B164" i="19"/>
  <c r="B136" i="19"/>
  <c r="CC36" i="22"/>
  <c r="BW28" i="22"/>
  <c r="CA33" i="22"/>
  <c r="BQ31" i="22"/>
  <c r="BO31" i="22"/>
  <c r="BO33" i="22"/>
  <c r="B186" i="19"/>
  <c r="BU24" i="22"/>
  <c r="B175" i="19"/>
  <c r="BQ32" i="22"/>
  <c r="EL163" i="5" l="1"/>
  <c r="HX163" i="5"/>
  <c r="CY163" i="5"/>
  <c r="DG163" i="5"/>
  <c r="DJ163" i="5" s="1"/>
  <c r="EC163" i="5" s="1"/>
  <c r="CV165" i="5"/>
  <c r="DC163" i="5"/>
  <c r="AO163" i="5"/>
  <c r="EJ163" i="5" s="1"/>
  <c r="DD165" i="5"/>
  <c r="DP163" i="5" s="1"/>
  <c r="DQ163" i="5" s="1"/>
  <c r="CS165" i="5"/>
  <c r="CT165" i="5"/>
  <c r="FD163" i="5" s="1"/>
  <c r="CU165" i="5"/>
  <c r="AL165" i="5"/>
  <c r="DG165" i="5"/>
  <c r="EF163" i="5" s="1"/>
  <c r="HX165" i="5"/>
  <c r="CW165" i="5"/>
  <c r="CX163" i="5" s="1"/>
  <c r="DC165" i="5"/>
  <c r="EI163" i="5" s="1"/>
  <c r="CV163" i="5"/>
  <c r="AL163" i="5"/>
  <c r="CZ163" i="5"/>
  <c r="CS163" i="5"/>
  <c r="CT163" i="5"/>
  <c r="FX163" i="5" s="1"/>
  <c r="FY163" i="5" s="1"/>
  <c r="CS744" i="5"/>
  <c r="DD744" i="5"/>
  <c r="DP742" i="5" s="1"/>
  <c r="HX742" i="5"/>
  <c r="DC744" i="5"/>
  <c r="AL744" i="5"/>
  <c r="CW744" i="5"/>
  <c r="CV744" i="5"/>
  <c r="DG744" i="5"/>
  <c r="EF742" i="5" s="1"/>
  <c r="CT744" i="5"/>
  <c r="CZ742" i="5"/>
  <c r="CY742" i="5"/>
  <c r="AL742" i="5"/>
  <c r="CU744" i="5"/>
  <c r="EH742" i="5" s="1"/>
  <c r="DG742" i="5"/>
  <c r="CW742" i="5"/>
  <c r="CV742" i="5"/>
  <c r="EL742" i="5"/>
  <c r="CT742" i="5"/>
  <c r="FX742" i="5" s="1"/>
  <c r="FY742" i="5" s="1"/>
  <c r="DC742" i="5"/>
  <c r="CS742" i="5"/>
  <c r="HX744" i="5"/>
  <c r="EI742" i="5"/>
  <c r="AO742" i="5"/>
  <c r="EJ742" i="5" s="1"/>
  <c r="DC759" i="5"/>
  <c r="EI757" i="5" s="1"/>
  <c r="AL759" i="5"/>
  <c r="CW759" i="5"/>
  <c r="HX759" i="5"/>
  <c r="CU759" i="5"/>
  <c r="DG759" i="5"/>
  <c r="EF757" i="5" s="1"/>
  <c r="CT759" i="5"/>
  <c r="CV759" i="5"/>
  <c r="HX757" i="5"/>
  <c r="CZ757" i="5"/>
  <c r="CS759" i="5"/>
  <c r="EH757" i="5" s="1"/>
  <c r="CY757" i="5"/>
  <c r="AL757" i="5"/>
  <c r="ED757" i="5"/>
  <c r="CX757" i="5"/>
  <c r="EL757" i="5"/>
  <c r="DG757" i="5"/>
  <c r="CW757" i="5"/>
  <c r="CV757" i="5"/>
  <c r="CT757" i="5"/>
  <c r="FX757" i="5" s="1"/>
  <c r="FY757" i="5" s="1"/>
  <c r="DC757" i="5"/>
  <c r="CS757" i="5"/>
  <c r="DD759" i="5"/>
  <c r="DP757" i="5" s="1"/>
  <c r="AO757" i="5"/>
  <c r="EJ757" i="5" s="1"/>
  <c r="CV782" i="5"/>
  <c r="DD784" i="5"/>
  <c r="DP782" i="5" s="1"/>
  <c r="HX782" i="5"/>
  <c r="CT782" i="5"/>
  <c r="FX782" i="5" s="1"/>
  <c r="FY782" i="5" s="1"/>
  <c r="DC784" i="5"/>
  <c r="EI782" i="5" s="1"/>
  <c r="AL784" i="5"/>
  <c r="DC782" i="5"/>
  <c r="CS782" i="5"/>
  <c r="CW784" i="5"/>
  <c r="AO782" i="5"/>
  <c r="EJ782" i="5" s="1"/>
  <c r="CV784" i="5"/>
  <c r="EF782" i="5"/>
  <c r="CZ782" i="5"/>
  <c r="HX784" i="5"/>
  <c r="CU784" i="5"/>
  <c r="CY782" i="5"/>
  <c r="AL782" i="5"/>
  <c r="DG784" i="5"/>
  <c r="CT784" i="5"/>
  <c r="EL782" i="5"/>
  <c r="CS784" i="5"/>
  <c r="DG782" i="5"/>
  <c r="CW782" i="5"/>
  <c r="CX782" i="5" s="1"/>
  <c r="CS729" i="5"/>
  <c r="DC729" i="5"/>
  <c r="EI727" i="5" s="1"/>
  <c r="AL729" i="5"/>
  <c r="CW729" i="5"/>
  <c r="HX729" i="5"/>
  <c r="CU729" i="5"/>
  <c r="CY727" i="5"/>
  <c r="AL727" i="5"/>
  <c r="DG729" i="5"/>
  <c r="EF727" i="5" s="1"/>
  <c r="CT729" i="5"/>
  <c r="EL727" i="5"/>
  <c r="DD729" i="5"/>
  <c r="DP727" i="5" s="1"/>
  <c r="DG727" i="5"/>
  <c r="CT727" i="5"/>
  <c r="FX727" i="5" s="1"/>
  <c r="FY727" i="5" s="1"/>
  <c r="CV729" i="5"/>
  <c r="CS727" i="5"/>
  <c r="AO727" i="5"/>
  <c r="EJ727" i="5" s="1"/>
  <c r="DC727" i="5"/>
  <c r="CV727" i="5"/>
  <c r="CZ727" i="5"/>
  <c r="HX727" i="5"/>
  <c r="CW727" i="5"/>
  <c r="DG769" i="5"/>
  <c r="CT769" i="5"/>
  <c r="EL767" i="5"/>
  <c r="ED767" i="5"/>
  <c r="CS769" i="5"/>
  <c r="DG767" i="5"/>
  <c r="CW767" i="5"/>
  <c r="CV767" i="5"/>
  <c r="DD769" i="5"/>
  <c r="DP767" i="5" s="1"/>
  <c r="HX767" i="5"/>
  <c r="EI767" i="5"/>
  <c r="CT767" i="5"/>
  <c r="FX767" i="5" s="1"/>
  <c r="FY767" i="5" s="1"/>
  <c r="DC769" i="5"/>
  <c r="AL769" i="5"/>
  <c r="DC767" i="5"/>
  <c r="CS767" i="5"/>
  <c r="CW769" i="5"/>
  <c r="AO767" i="5"/>
  <c r="EJ767" i="5" s="1"/>
  <c r="CV769" i="5"/>
  <c r="CZ767" i="5"/>
  <c r="HX769" i="5"/>
  <c r="CU769" i="5"/>
  <c r="CY767" i="5"/>
  <c r="AL767" i="5"/>
  <c r="CS724" i="5"/>
  <c r="DG722" i="5"/>
  <c r="CW722" i="5"/>
  <c r="CV722" i="5"/>
  <c r="DD724" i="5"/>
  <c r="DP722" i="5" s="1"/>
  <c r="HX722" i="5"/>
  <c r="CT722" i="5"/>
  <c r="FX722" i="5" s="1"/>
  <c r="FY722" i="5" s="1"/>
  <c r="DC724" i="5"/>
  <c r="EI722" i="5" s="1"/>
  <c r="AL724" i="5"/>
  <c r="DC722" i="5"/>
  <c r="CS722" i="5"/>
  <c r="CW724" i="5"/>
  <c r="AO722" i="5"/>
  <c r="EJ722" i="5" s="1"/>
  <c r="CT724" i="5"/>
  <c r="CV724" i="5"/>
  <c r="CZ722" i="5"/>
  <c r="EL722" i="5"/>
  <c r="HX724" i="5"/>
  <c r="CU724" i="5"/>
  <c r="CY722" i="5"/>
  <c r="AL722" i="5"/>
  <c r="DG724" i="5"/>
  <c r="DH722" i="5" s="1"/>
  <c r="DD779" i="5"/>
  <c r="DP777" i="5" s="1"/>
  <c r="HX777" i="5"/>
  <c r="CT777" i="5"/>
  <c r="FX777" i="5" s="1"/>
  <c r="FY777" i="5" s="1"/>
  <c r="DC779" i="5"/>
  <c r="EI777" i="5" s="1"/>
  <c r="AL779" i="5"/>
  <c r="DC777" i="5"/>
  <c r="CS777" i="5"/>
  <c r="CW779" i="5"/>
  <c r="ED777" i="5" s="1"/>
  <c r="CV779" i="5"/>
  <c r="HX779" i="5"/>
  <c r="CU779" i="5"/>
  <c r="CY777" i="5"/>
  <c r="AL777" i="5"/>
  <c r="DG779" i="5"/>
  <c r="EF777" i="5" s="1"/>
  <c r="CT779" i="5"/>
  <c r="EL777" i="5"/>
  <c r="DH777" i="5"/>
  <c r="CS779" i="5"/>
  <c r="DG777" i="5"/>
  <c r="CW777" i="5"/>
  <c r="CV777" i="5"/>
  <c r="AO777" i="5"/>
  <c r="EJ777" i="5" s="1"/>
  <c r="CZ777" i="5"/>
  <c r="DC774" i="5"/>
  <c r="EI772" i="5" s="1"/>
  <c r="AL774" i="5"/>
  <c r="CW774" i="5"/>
  <c r="DG774" i="5"/>
  <c r="EF772" i="5" s="1"/>
  <c r="CT774" i="5"/>
  <c r="EL772" i="5"/>
  <c r="CY772" i="5"/>
  <c r="AL772" i="5"/>
  <c r="HX774" i="5"/>
  <c r="DD774" i="5"/>
  <c r="DP772" i="5" s="1"/>
  <c r="CV774" i="5"/>
  <c r="DG772" i="5"/>
  <c r="CW772" i="5"/>
  <c r="CU774" i="5"/>
  <c r="CV772" i="5"/>
  <c r="CS774" i="5"/>
  <c r="HX772" i="5"/>
  <c r="CT772" i="5"/>
  <c r="FX772" i="5" s="1"/>
  <c r="FY772" i="5" s="1"/>
  <c r="DC772" i="5"/>
  <c r="CS772" i="5"/>
  <c r="AO772" i="5"/>
  <c r="EJ772" i="5" s="1"/>
  <c r="CZ772" i="5"/>
  <c r="CS789" i="5"/>
  <c r="DG787" i="5"/>
  <c r="CW787" i="5"/>
  <c r="CV787" i="5"/>
  <c r="DD789" i="5"/>
  <c r="DP787" i="5" s="1"/>
  <c r="HX787" i="5"/>
  <c r="CT787" i="5"/>
  <c r="FX787" i="5" s="1"/>
  <c r="FY787" i="5" s="1"/>
  <c r="DC789" i="5"/>
  <c r="EI787" i="5" s="1"/>
  <c r="AL789" i="5"/>
  <c r="DC787" i="5"/>
  <c r="CS787" i="5"/>
  <c r="CW789" i="5"/>
  <c r="AO787" i="5"/>
  <c r="EJ787" i="5" s="1"/>
  <c r="CV789" i="5"/>
  <c r="CZ787" i="5"/>
  <c r="HX789" i="5"/>
  <c r="CU789" i="5"/>
  <c r="EH787" i="5" s="1"/>
  <c r="CY787" i="5"/>
  <c r="AL787" i="5"/>
  <c r="DG789" i="5"/>
  <c r="CT789" i="5"/>
  <c r="EL787" i="5"/>
  <c r="CV717" i="5"/>
  <c r="DD719" i="5"/>
  <c r="DP717" i="5" s="1"/>
  <c r="HX717" i="5"/>
  <c r="EI717" i="5"/>
  <c r="CT717" i="5"/>
  <c r="FX717" i="5" s="1"/>
  <c r="FY717" i="5" s="1"/>
  <c r="CS719" i="5"/>
  <c r="DC719" i="5"/>
  <c r="AL719" i="5"/>
  <c r="DC717" i="5"/>
  <c r="CS717" i="5"/>
  <c r="DG717" i="5"/>
  <c r="CW717" i="5"/>
  <c r="CW719" i="5"/>
  <c r="AO717" i="5"/>
  <c r="EJ717" i="5" s="1"/>
  <c r="CV719" i="5"/>
  <c r="CZ717" i="5"/>
  <c r="HX719" i="5"/>
  <c r="CU719" i="5"/>
  <c r="EH717" i="5" s="1"/>
  <c r="CY717" i="5"/>
  <c r="AL717" i="5"/>
  <c r="DG719" i="5"/>
  <c r="EF717" i="5" s="1"/>
  <c r="CT719" i="5"/>
  <c r="EL717" i="5"/>
  <c r="DG749" i="5"/>
  <c r="EF747" i="5" s="1"/>
  <c r="CT749" i="5"/>
  <c r="EL747" i="5"/>
  <c r="CS749" i="5"/>
  <c r="DG747" i="5"/>
  <c r="DH747" i="5" s="1"/>
  <c r="CW747" i="5"/>
  <c r="CV747" i="5"/>
  <c r="DD749" i="5"/>
  <c r="DP747" i="5" s="1"/>
  <c r="HX747" i="5"/>
  <c r="CT747" i="5"/>
  <c r="FX747" i="5" s="1"/>
  <c r="FY747" i="5" s="1"/>
  <c r="DC749" i="5"/>
  <c r="EI747" i="5" s="1"/>
  <c r="AL749" i="5"/>
  <c r="DC747" i="5"/>
  <c r="CS747" i="5"/>
  <c r="CW749" i="5"/>
  <c r="AO747" i="5"/>
  <c r="EJ747" i="5" s="1"/>
  <c r="CV749" i="5"/>
  <c r="HX749" i="5"/>
  <c r="CU749" i="5"/>
  <c r="CY747" i="5"/>
  <c r="AL747" i="5"/>
  <c r="CZ747" i="5"/>
  <c r="CS764" i="5"/>
  <c r="EH762" i="5" s="1"/>
  <c r="CV762" i="5"/>
  <c r="DD764" i="5"/>
  <c r="DP762" i="5" s="1"/>
  <c r="HX762" i="5"/>
  <c r="CT762" i="5"/>
  <c r="FX762" i="5" s="1"/>
  <c r="FY762" i="5" s="1"/>
  <c r="DC764" i="5"/>
  <c r="EI762" i="5" s="1"/>
  <c r="AL764" i="5"/>
  <c r="DC762" i="5"/>
  <c r="CS762" i="5"/>
  <c r="CW764" i="5"/>
  <c r="ED762" i="5" s="1"/>
  <c r="AO762" i="5"/>
  <c r="EJ762" i="5" s="1"/>
  <c r="CV764" i="5"/>
  <c r="CZ762" i="5"/>
  <c r="HX764" i="5"/>
  <c r="CU764" i="5"/>
  <c r="CY762" i="5"/>
  <c r="AL762" i="5"/>
  <c r="DG764" i="5"/>
  <c r="DH762" i="5" s="1"/>
  <c r="CT764" i="5"/>
  <c r="EL762" i="5"/>
  <c r="CX762" i="5"/>
  <c r="CW762" i="5"/>
  <c r="DG762" i="5"/>
  <c r="HX739" i="5"/>
  <c r="CU739" i="5"/>
  <c r="CY737" i="5"/>
  <c r="AL737" i="5"/>
  <c r="DG739" i="5"/>
  <c r="EF737" i="5" s="1"/>
  <c r="CT739" i="5"/>
  <c r="EL737" i="5"/>
  <c r="CV737" i="5"/>
  <c r="DD739" i="5"/>
  <c r="DP737" i="5" s="1"/>
  <c r="HX737" i="5"/>
  <c r="CT737" i="5"/>
  <c r="FX737" i="5" s="1"/>
  <c r="FY737" i="5" s="1"/>
  <c r="DC739" i="5"/>
  <c r="EI737" i="5" s="1"/>
  <c r="AL739" i="5"/>
  <c r="DC737" i="5"/>
  <c r="CS737" i="5"/>
  <c r="CW739" i="5"/>
  <c r="AO737" i="5"/>
  <c r="EJ737" i="5" s="1"/>
  <c r="CV739" i="5"/>
  <c r="CZ737" i="5"/>
  <c r="CW737" i="5"/>
  <c r="CS739" i="5"/>
  <c r="DG737" i="5"/>
  <c r="DG734" i="5"/>
  <c r="EF732" i="5" s="1"/>
  <c r="CT734" i="5"/>
  <c r="EL732" i="5"/>
  <c r="CS734" i="5"/>
  <c r="DG732" i="5"/>
  <c r="CW732" i="5"/>
  <c r="DD734" i="5"/>
  <c r="DP732" i="5" s="1"/>
  <c r="HX732" i="5"/>
  <c r="CT732" i="5"/>
  <c r="FX732" i="5" s="1"/>
  <c r="FY732" i="5" s="1"/>
  <c r="DC734" i="5"/>
  <c r="EI732" i="5" s="1"/>
  <c r="AL734" i="5"/>
  <c r="DC732" i="5"/>
  <c r="CS732" i="5"/>
  <c r="CW734" i="5"/>
  <c r="CV734" i="5"/>
  <c r="CZ732" i="5"/>
  <c r="HX734" i="5"/>
  <c r="CU734" i="5"/>
  <c r="EH732" i="5" s="1"/>
  <c r="CY732" i="5"/>
  <c r="AL732" i="5"/>
  <c r="CV732" i="5"/>
  <c r="AO732" i="5"/>
  <c r="EJ732" i="5" s="1"/>
  <c r="HX754" i="5"/>
  <c r="CU754" i="5"/>
  <c r="CY752" i="5"/>
  <c r="AL752" i="5"/>
  <c r="DG754" i="5"/>
  <c r="CT754" i="5"/>
  <c r="EL752" i="5"/>
  <c r="CS754" i="5"/>
  <c r="EH752" i="5" s="1"/>
  <c r="DG752" i="5"/>
  <c r="CW752" i="5"/>
  <c r="CV752" i="5"/>
  <c r="DD754" i="5"/>
  <c r="DP752" i="5" s="1"/>
  <c r="HX752" i="5"/>
  <c r="CT752" i="5"/>
  <c r="FX752" i="5" s="1"/>
  <c r="FY752" i="5" s="1"/>
  <c r="DC754" i="5"/>
  <c r="EI752" i="5" s="1"/>
  <c r="AL754" i="5"/>
  <c r="DC752" i="5"/>
  <c r="CS752" i="5"/>
  <c r="CW754" i="5"/>
  <c r="AO752" i="5"/>
  <c r="EJ752" i="5" s="1"/>
  <c r="CV754" i="5"/>
  <c r="CZ752" i="5"/>
  <c r="DG646" i="5"/>
  <c r="CT646" i="5"/>
  <c r="EL644" i="5"/>
  <c r="CS646" i="5"/>
  <c r="DG644" i="5"/>
  <c r="DH644" i="5" s="1"/>
  <c r="CW644" i="5"/>
  <c r="CV644" i="5"/>
  <c r="DD646" i="5"/>
  <c r="DP644" i="5" s="1"/>
  <c r="HX644" i="5"/>
  <c r="CT644" i="5"/>
  <c r="FX644" i="5" s="1"/>
  <c r="FY644" i="5" s="1"/>
  <c r="DC646" i="5"/>
  <c r="EI644" i="5" s="1"/>
  <c r="AL646" i="5"/>
  <c r="CW646" i="5"/>
  <c r="AO644" i="5"/>
  <c r="EJ644" i="5" s="1"/>
  <c r="CV646" i="5"/>
  <c r="EF644" i="5"/>
  <c r="CZ644" i="5"/>
  <c r="HX646" i="5"/>
  <c r="CU646" i="5"/>
  <c r="CY644" i="5"/>
  <c r="AL644" i="5"/>
  <c r="CS644" i="5"/>
  <c r="DC644" i="5"/>
  <c r="CS671" i="5"/>
  <c r="CV669" i="5"/>
  <c r="DC671" i="5"/>
  <c r="EI669" i="5" s="1"/>
  <c r="AL671" i="5"/>
  <c r="CW671" i="5"/>
  <c r="ED669" i="5" s="1"/>
  <c r="CV671" i="5"/>
  <c r="CZ669" i="5"/>
  <c r="DG671" i="5"/>
  <c r="EF669" i="5" s="1"/>
  <c r="CT671" i="5"/>
  <c r="HX671" i="5"/>
  <c r="HX669" i="5"/>
  <c r="DC669" i="5"/>
  <c r="CY669" i="5"/>
  <c r="DD671" i="5"/>
  <c r="DP669" i="5" s="1"/>
  <c r="CU671" i="5"/>
  <c r="CW669" i="5"/>
  <c r="CX669" i="5" s="1"/>
  <c r="EL669" i="5"/>
  <c r="CT669" i="5"/>
  <c r="FX669" i="5" s="1"/>
  <c r="FY669" i="5" s="1"/>
  <c r="AO669" i="5"/>
  <c r="EJ669" i="5" s="1"/>
  <c r="DG669" i="5"/>
  <c r="CS669" i="5"/>
  <c r="AL669" i="5"/>
  <c r="CS711" i="5"/>
  <c r="DG709" i="5"/>
  <c r="CW709" i="5"/>
  <c r="CV709" i="5"/>
  <c r="DD711" i="5"/>
  <c r="DP709" i="5" s="1"/>
  <c r="HX709" i="5"/>
  <c r="CT709" i="5"/>
  <c r="FX709" i="5" s="1"/>
  <c r="FY709" i="5" s="1"/>
  <c r="DC711" i="5"/>
  <c r="EI709" i="5" s="1"/>
  <c r="AL711" i="5"/>
  <c r="DC709" i="5"/>
  <c r="CS709" i="5"/>
  <c r="CW711" i="5"/>
  <c r="ED709" i="5" s="1"/>
  <c r="AO709" i="5"/>
  <c r="EJ709" i="5" s="1"/>
  <c r="CV711" i="5"/>
  <c r="CZ709" i="5"/>
  <c r="HX711" i="5"/>
  <c r="CU711" i="5"/>
  <c r="CY709" i="5"/>
  <c r="AL709" i="5"/>
  <c r="EL709" i="5"/>
  <c r="DG711" i="5"/>
  <c r="CT711" i="5"/>
  <c r="CV684" i="5"/>
  <c r="DC686" i="5"/>
  <c r="EI684" i="5" s="1"/>
  <c r="AL686" i="5"/>
  <c r="DC684" i="5"/>
  <c r="CS684" i="5"/>
  <c r="CV686" i="5"/>
  <c r="CZ684" i="5"/>
  <c r="HX686" i="5"/>
  <c r="CU686" i="5"/>
  <c r="CY684" i="5"/>
  <c r="AL684" i="5"/>
  <c r="CS686" i="5"/>
  <c r="EL684" i="5"/>
  <c r="CW684" i="5"/>
  <c r="DG686" i="5"/>
  <c r="EF684" i="5" s="1"/>
  <c r="CT684" i="5"/>
  <c r="FX684" i="5" s="1"/>
  <c r="FY684" i="5" s="1"/>
  <c r="AO684" i="5"/>
  <c r="EJ684" i="5" s="1"/>
  <c r="DD686" i="5"/>
  <c r="DP684" i="5" s="1"/>
  <c r="CW686" i="5"/>
  <c r="ED684" i="5" s="1"/>
  <c r="HX684" i="5"/>
  <c r="DG684" i="5"/>
  <c r="CT686" i="5"/>
  <c r="DD701" i="5"/>
  <c r="DP699" i="5" s="1"/>
  <c r="HX699" i="5"/>
  <c r="CT699" i="5"/>
  <c r="FX699" i="5" s="1"/>
  <c r="FY699" i="5" s="1"/>
  <c r="DC701" i="5"/>
  <c r="EI699" i="5" s="1"/>
  <c r="AL701" i="5"/>
  <c r="DC699" i="5"/>
  <c r="CS699" i="5"/>
  <c r="CW701" i="5"/>
  <c r="HX701" i="5"/>
  <c r="CU701" i="5"/>
  <c r="CY699" i="5"/>
  <c r="AL699" i="5"/>
  <c r="DG701" i="5"/>
  <c r="CT701" i="5"/>
  <c r="EL699" i="5"/>
  <c r="CX699" i="5"/>
  <c r="CS701" i="5"/>
  <c r="DG699" i="5"/>
  <c r="CW699" i="5"/>
  <c r="CV701" i="5"/>
  <c r="EF699" i="5"/>
  <c r="CZ699" i="5"/>
  <c r="CV699" i="5"/>
  <c r="AO699" i="5"/>
  <c r="EJ699" i="5" s="1"/>
  <c r="DG676" i="5"/>
  <c r="CT676" i="5"/>
  <c r="EL674" i="5"/>
  <c r="CS676" i="5"/>
  <c r="DG674" i="5"/>
  <c r="CW674" i="5"/>
  <c r="DD676" i="5"/>
  <c r="DP674" i="5" s="1"/>
  <c r="HX674" i="5"/>
  <c r="CT674" i="5"/>
  <c r="FX674" i="5" s="1"/>
  <c r="FY674" i="5" s="1"/>
  <c r="DC676" i="5"/>
  <c r="EI674" i="5" s="1"/>
  <c r="AL676" i="5"/>
  <c r="DC674" i="5"/>
  <c r="CS674" i="5"/>
  <c r="CW676" i="5"/>
  <c r="AO674" i="5"/>
  <c r="EJ674" i="5" s="1"/>
  <c r="HX676" i="5"/>
  <c r="CU676" i="5"/>
  <c r="CY674" i="5"/>
  <c r="AL674" i="5"/>
  <c r="CV676" i="5"/>
  <c r="CZ674" i="5"/>
  <c r="CV674" i="5"/>
  <c r="CV704" i="5"/>
  <c r="DD706" i="5"/>
  <c r="DP704" i="5" s="1"/>
  <c r="HX704" i="5"/>
  <c r="CT704" i="5"/>
  <c r="FX704" i="5" s="1"/>
  <c r="FY704" i="5" s="1"/>
  <c r="DC706" i="5"/>
  <c r="EI704" i="5" s="1"/>
  <c r="AL706" i="5"/>
  <c r="DC704" i="5"/>
  <c r="CS704" i="5"/>
  <c r="CW706" i="5"/>
  <c r="CV706" i="5"/>
  <c r="CZ704" i="5"/>
  <c r="HX706" i="5"/>
  <c r="CU706" i="5"/>
  <c r="CY704" i="5"/>
  <c r="AL704" i="5"/>
  <c r="DG706" i="5"/>
  <c r="EF704" i="5" s="1"/>
  <c r="CT706" i="5"/>
  <c r="EL704" i="5"/>
  <c r="CS706" i="5"/>
  <c r="DG704" i="5"/>
  <c r="DH704" i="5" s="1"/>
  <c r="AO704" i="5"/>
  <c r="EJ704" i="5" s="1"/>
  <c r="CW704" i="5"/>
  <c r="CX704" i="5" s="1"/>
  <c r="DD681" i="5"/>
  <c r="DP679" i="5" s="1"/>
  <c r="HX679" i="5"/>
  <c r="HX681" i="5"/>
  <c r="CU681" i="5"/>
  <c r="DG681" i="5"/>
  <c r="CT681" i="5"/>
  <c r="AL681" i="5"/>
  <c r="CY679" i="5"/>
  <c r="AL679" i="5"/>
  <c r="EL679" i="5"/>
  <c r="DC681" i="5"/>
  <c r="EI679" i="5" s="1"/>
  <c r="CV679" i="5"/>
  <c r="CW681" i="5"/>
  <c r="CT679" i="5"/>
  <c r="FX679" i="5" s="1"/>
  <c r="FY679" i="5" s="1"/>
  <c r="CV681" i="5"/>
  <c r="DC679" i="5"/>
  <c r="CS679" i="5"/>
  <c r="CS681" i="5"/>
  <c r="AO679" i="5"/>
  <c r="EJ679" i="5" s="1"/>
  <c r="EF679" i="5"/>
  <c r="CZ679" i="5"/>
  <c r="DG679" i="5"/>
  <c r="DH679" i="5" s="1"/>
  <c r="CW679" i="5"/>
  <c r="CS691" i="5"/>
  <c r="DG689" i="5"/>
  <c r="CW689" i="5"/>
  <c r="DD691" i="5"/>
  <c r="DP689" i="5" s="1"/>
  <c r="HX689" i="5"/>
  <c r="CT689" i="5"/>
  <c r="FX689" i="5" s="1"/>
  <c r="FY689" i="5" s="1"/>
  <c r="DC691" i="5"/>
  <c r="EI689" i="5" s="1"/>
  <c r="AL691" i="5"/>
  <c r="DC689" i="5"/>
  <c r="CS689" i="5"/>
  <c r="CW691" i="5"/>
  <c r="ED689" i="5" s="1"/>
  <c r="AO689" i="5"/>
  <c r="EJ689" i="5" s="1"/>
  <c r="CV691" i="5"/>
  <c r="CZ689" i="5"/>
  <c r="HX691" i="5"/>
  <c r="CU691" i="5"/>
  <c r="CY689" i="5"/>
  <c r="DG691" i="5"/>
  <c r="EF689" i="5" s="1"/>
  <c r="CT691" i="5"/>
  <c r="EL689" i="5"/>
  <c r="AL689" i="5"/>
  <c r="CV689" i="5"/>
  <c r="CV656" i="5"/>
  <c r="CZ654" i="5"/>
  <c r="HX656" i="5"/>
  <c r="CU656" i="5"/>
  <c r="CY654" i="5"/>
  <c r="AL654" i="5"/>
  <c r="CS656" i="5"/>
  <c r="EH654" i="5" s="1"/>
  <c r="CV654" i="5"/>
  <c r="DD656" i="5"/>
  <c r="DP654" i="5" s="1"/>
  <c r="HX654" i="5"/>
  <c r="CT654" i="5"/>
  <c r="FX654" i="5" s="1"/>
  <c r="FY654" i="5" s="1"/>
  <c r="CW656" i="5"/>
  <c r="AL656" i="5"/>
  <c r="DG654" i="5"/>
  <c r="DC654" i="5"/>
  <c r="EL654" i="5"/>
  <c r="DG656" i="5"/>
  <c r="EF654" i="5" s="1"/>
  <c r="CW654" i="5"/>
  <c r="AO654" i="5"/>
  <c r="EJ654" i="5" s="1"/>
  <c r="CS654" i="5"/>
  <c r="DC656" i="5"/>
  <c r="EI654" i="5" s="1"/>
  <c r="CT656" i="5"/>
  <c r="ED654" i="5"/>
  <c r="DC696" i="5"/>
  <c r="EI694" i="5" s="1"/>
  <c r="AL696" i="5"/>
  <c r="CW696" i="5"/>
  <c r="ED694" i="5" s="1"/>
  <c r="DG696" i="5"/>
  <c r="EF694" i="5" s="1"/>
  <c r="CT696" i="5"/>
  <c r="CS696" i="5"/>
  <c r="EL694" i="5"/>
  <c r="DD696" i="5"/>
  <c r="DP694" i="5" s="1"/>
  <c r="CV696" i="5"/>
  <c r="CV694" i="5"/>
  <c r="HX696" i="5"/>
  <c r="CU696" i="5"/>
  <c r="EH694" i="5" s="1"/>
  <c r="HX694" i="5"/>
  <c r="CT694" i="5"/>
  <c r="FX694" i="5" s="1"/>
  <c r="FY694" i="5" s="1"/>
  <c r="DC694" i="5"/>
  <c r="CS694" i="5"/>
  <c r="AO694" i="5"/>
  <c r="EJ694" i="5" s="1"/>
  <c r="CZ694" i="5"/>
  <c r="CY694" i="5"/>
  <c r="AL694" i="5"/>
  <c r="DG694" i="5"/>
  <c r="CW694" i="5"/>
  <c r="CW661" i="5"/>
  <c r="ED659" i="5" s="1"/>
  <c r="AO659" i="5"/>
  <c r="EJ659" i="5" s="1"/>
  <c r="CV661" i="5"/>
  <c r="CZ659" i="5"/>
  <c r="HX661" i="5"/>
  <c r="DG661" i="5"/>
  <c r="EF659" i="5" s="1"/>
  <c r="CT661" i="5"/>
  <c r="EL659" i="5"/>
  <c r="CS661" i="5"/>
  <c r="EH659" i="5" s="1"/>
  <c r="DG659" i="5"/>
  <c r="CW659" i="5"/>
  <c r="CV659" i="5"/>
  <c r="DC661" i="5"/>
  <c r="EI659" i="5" s="1"/>
  <c r="AL661" i="5"/>
  <c r="DC659" i="5"/>
  <c r="CS659" i="5"/>
  <c r="DD661" i="5"/>
  <c r="DP659" i="5" s="1"/>
  <c r="HX659" i="5"/>
  <c r="CU661" i="5"/>
  <c r="CY659" i="5"/>
  <c r="AL659" i="5"/>
  <c r="CT659" i="5"/>
  <c r="FX659" i="5" s="1"/>
  <c r="FY659" i="5" s="1"/>
  <c r="CU651" i="5"/>
  <c r="CY649" i="5"/>
  <c r="AL649" i="5"/>
  <c r="DG651" i="5"/>
  <c r="EF649" i="5" s="1"/>
  <c r="CT651" i="5"/>
  <c r="EL649" i="5"/>
  <c r="HX651" i="5"/>
  <c r="CS651" i="5"/>
  <c r="EH649" i="5" s="1"/>
  <c r="DG649" i="5"/>
  <c r="CW649" i="5"/>
  <c r="CV649" i="5"/>
  <c r="DD651" i="5"/>
  <c r="DP649" i="5" s="1"/>
  <c r="HX649" i="5"/>
  <c r="CT649" i="5"/>
  <c r="FX649" i="5" s="1"/>
  <c r="FY649" i="5" s="1"/>
  <c r="DC651" i="5"/>
  <c r="EI649" i="5" s="1"/>
  <c r="AL651" i="5"/>
  <c r="DC649" i="5"/>
  <c r="CS649" i="5"/>
  <c r="CW651" i="5"/>
  <c r="AO649" i="5"/>
  <c r="EJ649" i="5" s="1"/>
  <c r="CV651" i="5"/>
  <c r="CZ649" i="5"/>
  <c r="DD666" i="5"/>
  <c r="DP664" i="5" s="1"/>
  <c r="HX666" i="5"/>
  <c r="CU666" i="5"/>
  <c r="DC664" i="5"/>
  <c r="CS664" i="5"/>
  <c r="AL666" i="5"/>
  <c r="AO664" i="5"/>
  <c r="EJ664" i="5" s="1"/>
  <c r="DC666" i="5"/>
  <c r="EI664" i="5" s="1"/>
  <c r="CZ664" i="5"/>
  <c r="CW666" i="5"/>
  <c r="CY664" i="5"/>
  <c r="AL664" i="5"/>
  <c r="CV666" i="5"/>
  <c r="EL664" i="5"/>
  <c r="CT666" i="5"/>
  <c r="DG664" i="5"/>
  <c r="CW664" i="5"/>
  <c r="CS666" i="5"/>
  <c r="EH664" i="5" s="1"/>
  <c r="DG666" i="5"/>
  <c r="EF664" i="5" s="1"/>
  <c r="HX664" i="5"/>
  <c r="CT664" i="5"/>
  <c r="FX664" i="5" s="1"/>
  <c r="FY664" i="5" s="1"/>
  <c r="CV664" i="5"/>
  <c r="CS641" i="5"/>
  <c r="DD641" i="5"/>
  <c r="DP639" i="5" s="1"/>
  <c r="HX639" i="5"/>
  <c r="CT639" i="5"/>
  <c r="FX639" i="5" s="1"/>
  <c r="FY639" i="5" s="1"/>
  <c r="DC641" i="5"/>
  <c r="EI639" i="5" s="1"/>
  <c r="AL641" i="5"/>
  <c r="DC639" i="5"/>
  <c r="CS639" i="5"/>
  <c r="CV641" i="5"/>
  <c r="CZ639" i="5"/>
  <c r="HX641" i="5"/>
  <c r="CU641" i="5"/>
  <c r="DG641" i="5"/>
  <c r="EF639" i="5" s="1"/>
  <c r="CT641" i="5"/>
  <c r="EL639" i="5"/>
  <c r="DG639" i="5"/>
  <c r="CW641" i="5"/>
  <c r="CY639" i="5"/>
  <c r="CW639" i="5"/>
  <c r="CX639" i="5" s="1"/>
  <c r="AO639" i="5"/>
  <c r="EJ639" i="5" s="1"/>
  <c r="CV639" i="5"/>
  <c r="AL639" i="5"/>
  <c r="DG155" i="5"/>
  <c r="EF153" i="5" s="1"/>
  <c r="CS563" i="5"/>
  <c r="DG561" i="5"/>
  <c r="CW561" i="5"/>
  <c r="CV561" i="5"/>
  <c r="DD563" i="5"/>
  <c r="DP561" i="5" s="1"/>
  <c r="HX561" i="5"/>
  <c r="CT561" i="5"/>
  <c r="FX561" i="5" s="1"/>
  <c r="FY561" i="5" s="1"/>
  <c r="DC563" i="5"/>
  <c r="EI561" i="5" s="1"/>
  <c r="AL563" i="5"/>
  <c r="DC561" i="5"/>
  <c r="CS561" i="5"/>
  <c r="CW563" i="5"/>
  <c r="AO561" i="5"/>
  <c r="EJ561" i="5" s="1"/>
  <c r="CV563" i="5"/>
  <c r="CZ561" i="5"/>
  <c r="HX563" i="5"/>
  <c r="CU563" i="5"/>
  <c r="CY561" i="5"/>
  <c r="AL561" i="5"/>
  <c r="DG563" i="5"/>
  <c r="DH561" i="5" s="1"/>
  <c r="CT563" i="5"/>
  <c r="EL561" i="5"/>
  <c r="DC608" i="5"/>
  <c r="EI606" i="5" s="1"/>
  <c r="AL608" i="5"/>
  <c r="DC606" i="5"/>
  <c r="CS606" i="5"/>
  <c r="DG608" i="5"/>
  <c r="EF606" i="5" s="1"/>
  <c r="CT608" i="5"/>
  <c r="EL606" i="5"/>
  <c r="HX606" i="5"/>
  <c r="AO606" i="5"/>
  <c r="EJ606" i="5" s="1"/>
  <c r="AL606" i="5"/>
  <c r="DD608" i="5"/>
  <c r="DP606" i="5" s="1"/>
  <c r="CZ606" i="5"/>
  <c r="CW608" i="5"/>
  <c r="ED606" i="5" s="1"/>
  <c r="CY606" i="5"/>
  <c r="CV608" i="5"/>
  <c r="CW606" i="5"/>
  <c r="HX608" i="5"/>
  <c r="CV606" i="5"/>
  <c r="CT606" i="5"/>
  <c r="FX606" i="5" s="1"/>
  <c r="FY606" i="5" s="1"/>
  <c r="CU608" i="5"/>
  <c r="CS608" i="5"/>
  <c r="DG606" i="5"/>
  <c r="CV155" i="5"/>
  <c r="DD613" i="5"/>
  <c r="DP611" i="5" s="1"/>
  <c r="HX611" i="5"/>
  <c r="CT611" i="5"/>
  <c r="FX611" i="5" s="1"/>
  <c r="FY611" i="5" s="1"/>
  <c r="CW613" i="5"/>
  <c r="ED611" i="5" s="1"/>
  <c r="AO611" i="5"/>
  <c r="EJ611" i="5" s="1"/>
  <c r="HX613" i="5"/>
  <c r="CU613" i="5"/>
  <c r="CY611" i="5"/>
  <c r="AL611" i="5"/>
  <c r="CS611" i="5"/>
  <c r="EL611" i="5"/>
  <c r="DG611" i="5"/>
  <c r="DC613" i="5"/>
  <c r="EI611" i="5" s="1"/>
  <c r="CV613" i="5"/>
  <c r="DC611" i="5"/>
  <c r="CT613" i="5"/>
  <c r="CZ611" i="5"/>
  <c r="CS613" i="5"/>
  <c r="CW611" i="5"/>
  <c r="DG613" i="5"/>
  <c r="EF611" i="5" s="1"/>
  <c r="AL613" i="5"/>
  <c r="CV611" i="5"/>
  <c r="CV588" i="5"/>
  <c r="CZ586" i="5"/>
  <c r="DG588" i="5"/>
  <c r="EF586" i="5" s="1"/>
  <c r="CT588" i="5"/>
  <c r="EL586" i="5"/>
  <c r="CV586" i="5"/>
  <c r="DC588" i="5"/>
  <c r="DG586" i="5"/>
  <c r="CW588" i="5"/>
  <c r="CU588" i="5"/>
  <c r="EI586" i="5"/>
  <c r="DC586" i="5"/>
  <c r="CS588" i="5"/>
  <c r="HX588" i="5"/>
  <c r="CY586" i="5"/>
  <c r="AL588" i="5"/>
  <c r="CW586" i="5"/>
  <c r="AO586" i="5"/>
  <c r="EJ586" i="5" s="1"/>
  <c r="HX586" i="5"/>
  <c r="CT586" i="5"/>
  <c r="FX586" i="5" s="1"/>
  <c r="FY586" i="5" s="1"/>
  <c r="AL586" i="5"/>
  <c r="DD588" i="5"/>
  <c r="DP586" i="5" s="1"/>
  <c r="CS586" i="5"/>
  <c r="HX598" i="5"/>
  <c r="CU598" i="5"/>
  <c r="DG598" i="5"/>
  <c r="CT598" i="5"/>
  <c r="CW598" i="5"/>
  <c r="DC596" i="5"/>
  <c r="CS596" i="5"/>
  <c r="CV598" i="5"/>
  <c r="CS598" i="5"/>
  <c r="CZ596" i="5"/>
  <c r="EF596" i="5"/>
  <c r="AL598" i="5"/>
  <c r="DD598" i="5"/>
  <c r="DP596" i="5" s="1"/>
  <c r="EL596" i="5"/>
  <c r="CV596" i="5"/>
  <c r="DG596" i="5"/>
  <c r="HX596" i="5"/>
  <c r="DC598" i="5"/>
  <c r="EI596" i="5" s="1"/>
  <c r="CY596" i="5"/>
  <c r="CW596" i="5"/>
  <c r="AO596" i="5"/>
  <c r="EJ596" i="5" s="1"/>
  <c r="CT596" i="5"/>
  <c r="FX596" i="5" s="1"/>
  <c r="FY596" i="5" s="1"/>
  <c r="AL596" i="5"/>
  <c r="CW618" i="5"/>
  <c r="DG618" i="5"/>
  <c r="EF616" i="5" s="1"/>
  <c r="CS618" i="5"/>
  <c r="HX618" i="5"/>
  <c r="CT618" i="5"/>
  <c r="CV616" i="5"/>
  <c r="AL618" i="5"/>
  <c r="DD618" i="5"/>
  <c r="DP616" i="5" s="1"/>
  <c r="DC616" i="5"/>
  <c r="CS616" i="5"/>
  <c r="DC618" i="5"/>
  <c r="EI616" i="5" s="1"/>
  <c r="CV618" i="5"/>
  <c r="CZ616" i="5"/>
  <c r="EL616" i="5"/>
  <c r="DG616" i="5"/>
  <c r="CY616" i="5"/>
  <c r="CU618" i="5"/>
  <c r="CW616" i="5"/>
  <c r="AO616" i="5"/>
  <c r="EJ616" i="5" s="1"/>
  <c r="CT616" i="5"/>
  <c r="FX616" i="5" s="1"/>
  <c r="FY616" i="5" s="1"/>
  <c r="AL616" i="5"/>
  <c r="HX616" i="5"/>
  <c r="DC155" i="5"/>
  <c r="EI153" i="5" s="1"/>
  <c r="CV573" i="5"/>
  <c r="HX573" i="5"/>
  <c r="CU573" i="5"/>
  <c r="CY571" i="5"/>
  <c r="AL571" i="5"/>
  <c r="CW573" i="5"/>
  <c r="ED571" i="5" s="1"/>
  <c r="CW571" i="5"/>
  <c r="CT573" i="5"/>
  <c r="DG571" i="5"/>
  <c r="CV571" i="5"/>
  <c r="CS573" i="5"/>
  <c r="EH571" i="5" s="1"/>
  <c r="HX571" i="5"/>
  <c r="CT571" i="5"/>
  <c r="FX571" i="5" s="1"/>
  <c r="FY571" i="5" s="1"/>
  <c r="DG573" i="5"/>
  <c r="EF571" i="5" s="1"/>
  <c r="CS571" i="5"/>
  <c r="DC571" i="5"/>
  <c r="AO571" i="5"/>
  <c r="EJ571" i="5" s="1"/>
  <c r="AL573" i="5"/>
  <c r="EL571" i="5"/>
  <c r="DD573" i="5"/>
  <c r="DP571" i="5" s="1"/>
  <c r="CZ571" i="5"/>
  <c r="DC573" i="5"/>
  <c r="EI571" i="5" s="1"/>
  <c r="CV626" i="5"/>
  <c r="DD628" i="5"/>
  <c r="DP626" i="5" s="1"/>
  <c r="HX626" i="5"/>
  <c r="CT626" i="5"/>
  <c r="FX626" i="5" s="1"/>
  <c r="FY626" i="5" s="1"/>
  <c r="DC628" i="5"/>
  <c r="EI626" i="5" s="1"/>
  <c r="AL628" i="5"/>
  <c r="DC626" i="5"/>
  <c r="CS626" i="5"/>
  <c r="CW628" i="5"/>
  <c r="CV628" i="5"/>
  <c r="CZ626" i="5"/>
  <c r="HX628" i="5"/>
  <c r="CU628" i="5"/>
  <c r="CY626" i="5"/>
  <c r="AL626" i="5"/>
  <c r="DG628" i="5"/>
  <c r="EL626" i="5"/>
  <c r="CT628" i="5"/>
  <c r="CS628" i="5"/>
  <c r="DG626" i="5"/>
  <c r="ED626" i="5"/>
  <c r="AO626" i="5"/>
  <c r="EJ626" i="5" s="1"/>
  <c r="CW626" i="5"/>
  <c r="CW593" i="5"/>
  <c r="AO591" i="5"/>
  <c r="EJ591" i="5" s="1"/>
  <c r="HX593" i="5"/>
  <c r="CU593" i="5"/>
  <c r="CY591" i="5"/>
  <c r="AL591" i="5"/>
  <c r="CS593" i="5"/>
  <c r="DG591" i="5"/>
  <c r="CW591" i="5"/>
  <c r="DD593" i="5"/>
  <c r="DP591" i="5" s="1"/>
  <c r="HX591" i="5"/>
  <c r="DG593" i="5"/>
  <c r="EF591" i="5" s="1"/>
  <c r="DC591" i="5"/>
  <c r="CZ591" i="5"/>
  <c r="DC593" i="5"/>
  <c r="EI591" i="5" s="1"/>
  <c r="CV593" i="5"/>
  <c r="ED591" i="5"/>
  <c r="CV591" i="5"/>
  <c r="CT593" i="5"/>
  <c r="CT591" i="5"/>
  <c r="FX591" i="5" s="1"/>
  <c r="FY591" i="5" s="1"/>
  <c r="CS591" i="5"/>
  <c r="EL591" i="5"/>
  <c r="AL593" i="5"/>
  <c r="DG568" i="5"/>
  <c r="CT568" i="5"/>
  <c r="EL566" i="5"/>
  <c r="CS568" i="5"/>
  <c r="DG566" i="5"/>
  <c r="CW566" i="5"/>
  <c r="CV566" i="5"/>
  <c r="DD568" i="5"/>
  <c r="DP566" i="5" s="1"/>
  <c r="HX566" i="5"/>
  <c r="CT566" i="5"/>
  <c r="FX566" i="5" s="1"/>
  <c r="FY566" i="5" s="1"/>
  <c r="DC568" i="5"/>
  <c r="EI566" i="5" s="1"/>
  <c r="AL568" i="5"/>
  <c r="DC566" i="5"/>
  <c r="CS566" i="5"/>
  <c r="CW568" i="5"/>
  <c r="AO566" i="5"/>
  <c r="EJ566" i="5" s="1"/>
  <c r="CV568" i="5"/>
  <c r="CZ566" i="5"/>
  <c r="HX568" i="5"/>
  <c r="CU568" i="5"/>
  <c r="EH566" i="5" s="1"/>
  <c r="CY566" i="5"/>
  <c r="AL566" i="5"/>
  <c r="CS583" i="5"/>
  <c r="DG581" i="5"/>
  <c r="CW581" i="5"/>
  <c r="DD583" i="5"/>
  <c r="DP581" i="5" s="1"/>
  <c r="HX581" i="5"/>
  <c r="CT581" i="5"/>
  <c r="FX581" i="5" s="1"/>
  <c r="FY581" i="5" s="1"/>
  <c r="HX583" i="5"/>
  <c r="DC583" i="5"/>
  <c r="EI581" i="5" s="1"/>
  <c r="CS581" i="5"/>
  <c r="CW583" i="5"/>
  <c r="DC581" i="5"/>
  <c r="AO581" i="5"/>
  <c r="EJ581" i="5" s="1"/>
  <c r="CV583" i="5"/>
  <c r="CU583" i="5"/>
  <c r="CZ581" i="5"/>
  <c r="AL581" i="5"/>
  <c r="CT583" i="5"/>
  <c r="EL581" i="5"/>
  <c r="AL583" i="5"/>
  <c r="CY581" i="5"/>
  <c r="CV581" i="5"/>
  <c r="DG583" i="5"/>
  <c r="EF581" i="5" s="1"/>
  <c r="DC623" i="5"/>
  <c r="AL623" i="5"/>
  <c r="DC621" i="5"/>
  <c r="CS621" i="5"/>
  <c r="CW623" i="5"/>
  <c r="HX623" i="5"/>
  <c r="CU623" i="5"/>
  <c r="CY621" i="5"/>
  <c r="AL621" i="5"/>
  <c r="DG623" i="5"/>
  <c r="CT623" i="5"/>
  <c r="EL621" i="5"/>
  <c r="ED621" i="5"/>
  <c r="CS623" i="5"/>
  <c r="DG621" i="5"/>
  <c r="AO621" i="5"/>
  <c r="EJ621" i="5" s="1"/>
  <c r="HX621" i="5"/>
  <c r="EI621" i="5"/>
  <c r="CZ621" i="5"/>
  <c r="CW621" i="5"/>
  <c r="DD623" i="5"/>
  <c r="DP621" i="5" s="1"/>
  <c r="CV621" i="5"/>
  <c r="CT621" i="5"/>
  <c r="FX621" i="5" s="1"/>
  <c r="FY621" i="5" s="1"/>
  <c r="CV623" i="5"/>
  <c r="CS633" i="5"/>
  <c r="DG631" i="5"/>
  <c r="CW631" i="5"/>
  <c r="CV631" i="5"/>
  <c r="DD633" i="5"/>
  <c r="DP631" i="5" s="1"/>
  <c r="HX631" i="5"/>
  <c r="CT631" i="5"/>
  <c r="FX631" i="5" s="1"/>
  <c r="FY631" i="5" s="1"/>
  <c r="DC633" i="5"/>
  <c r="EI631" i="5" s="1"/>
  <c r="AL633" i="5"/>
  <c r="DC631" i="5"/>
  <c r="CS631" i="5"/>
  <c r="CW633" i="5"/>
  <c r="ED631" i="5" s="1"/>
  <c r="AO631" i="5"/>
  <c r="EJ631" i="5" s="1"/>
  <c r="CV633" i="5"/>
  <c r="CZ631" i="5"/>
  <c r="HX633" i="5"/>
  <c r="CU633" i="5"/>
  <c r="CY631" i="5"/>
  <c r="AL631" i="5"/>
  <c r="DG633" i="5"/>
  <c r="EF631" i="5" s="1"/>
  <c r="CT633" i="5"/>
  <c r="EL631" i="5"/>
  <c r="DD603" i="5"/>
  <c r="DP601" i="5" s="1"/>
  <c r="HX601" i="5"/>
  <c r="CT601" i="5"/>
  <c r="FX601" i="5" s="1"/>
  <c r="FY601" i="5" s="1"/>
  <c r="CW603" i="5"/>
  <c r="CV603" i="5"/>
  <c r="CZ601" i="5"/>
  <c r="HX603" i="5"/>
  <c r="CU603" i="5"/>
  <c r="CY601" i="5"/>
  <c r="AL601" i="5"/>
  <c r="DG603" i="5"/>
  <c r="EF601" i="5" s="1"/>
  <c r="CT603" i="5"/>
  <c r="CW601" i="5"/>
  <c r="CV601" i="5"/>
  <c r="AO601" i="5"/>
  <c r="EJ601" i="5" s="1"/>
  <c r="DC603" i="5"/>
  <c r="EI601" i="5" s="1"/>
  <c r="EL601" i="5"/>
  <c r="DG601" i="5"/>
  <c r="CS601" i="5"/>
  <c r="CS603" i="5"/>
  <c r="AL603" i="5"/>
  <c r="DC601" i="5"/>
  <c r="DC578" i="5"/>
  <c r="EI576" i="5" s="1"/>
  <c r="AL578" i="5"/>
  <c r="DC576" i="5"/>
  <c r="CS576" i="5"/>
  <c r="CW578" i="5"/>
  <c r="AO576" i="5"/>
  <c r="EJ576" i="5" s="1"/>
  <c r="CV578" i="5"/>
  <c r="CZ576" i="5"/>
  <c r="DG578" i="5"/>
  <c r="EF576" i="5" s="1"/>
  <c r="CT578" i="5"/>
  <c r="EL576" i="5"/>
  <c r="CV576" i="5"/>
  <c r="CY576" i="5"/>
  <c r="HX576" i="5"/>
  <c r="CW576" i="5"/>
  <c r="AL576" i="5"/>
  <c r="CT576" i="5"/>
  <c r="FX576" i="5" s="1"/>
  <c r="FY576" i="5" s="1"/>
  <c r="DD578" i="5"/>
  <c r="DP576" i="5" s="1"/>
  <c r="CU578" i="5"/>
  <c r="CS578" i="5"/>
  <c r="DG576" i="5"/>
  <c r="HX578" i="5"/>
  <c r="CS520" i="5"/>
  <c r="DG518" i="5"/>
  <c r="CW518" i="5"/>
  <c r="DD520" i="5"/>
  <c r="DP518" i="5" s="1"/>
  <c r="HX518" i="5"/>
  <c r="CT518" i="5"/>
  <c r="FX518" i="5" s="1"/>
  <c r="FY518" i="5" s="1"/>
  <c r="DC520" i="5"/>
  <c r="EI518" i="5" s="1"/>
  <c r="AL520" i="5"/>
  <c r="DC518" i="5"/>
  <c r="CS518" i="5"/>
  <c r="CW520" i="5"/>
  <c r="CX518" i="5" s="1"/>
  <c r="AO518" i="5"/>
  <c r="EJ518" i="5" s="1"/>
  <c r="CV520" i="5"/>
  <c r="CZ518" i="5"/>
  <c r="HX520" i="5"/>
  <c r="CU520" i="5"/>
  <c r="DG520" i="5"/>
  <c r="EF518" i="5" s="1"/>
  <c r="CT520" i="5"/>
  <c r="EL518" i="5"/>
  <c r="CY518" i="5"/>
  <c r="AL518" i="5"/>
  <c r="CV518" i="5"/>
  <c r="DC525" i="5"/>
  <c r="AL525" i="5"/>
  <c r="HX525" i="5"/>
  <c r="CU525" i="5"/>
  <c r="DG525" i="5"/>
  <c r="CT525" i="5"/>
  <c r="EL523" i="5"/>
  <c r="DG523" i="5"/>
  <c r="CW523" i="5"/>
  <c r="HX523" i="5"/>
  <c r="CV523" i="5"/>
  <c r="DD525" i="5"/>
  <c r="DP523" i="5" s="1"/>
  <c r="EI523" i="5"/>
  <c r="CT523" i="5"/>
  <c r="FX523" i="5" s="1"/>
  <c r="FY523" i="5" s="1"/>
  <c r="CW525" i="5"/>
  <c r="DC523" i="5"/>
  <c r="CS523" i="5"/>
  <c r="CV525" i="5"/>
  <c r="AO523" i="5"/>
  <c r="EJ523" i="5" s="1"/>
  <c r="CS525" i="5"/>
  <c r="EH523" i="5" s="1"/>
  <c r="EF523" i="5"/>
  <c r="CZ523" i="5"/>
  <c r="CY523" i="5"/>
  <c r="AL523" i="5"/>
  <c r="DD530" i="5"/>
  <c r="DP528" i="5" s="1"/>
  <c r="HX528" i="5"/>
  <c r="CT528" i="5"/>
  <c r="FX528" i="5" s="1"/>
  <c r="FY528" i="5" s="1"/>
  <c r="DC530" i="5"/>
  <c r="EI528" i="5" s="1"/>
  <c r="AL530" i="5"/>
  <c r="DC528" i="5"/>
  <c r="CS528" i="5"/>
  <c r="CW530" i="5"/>
  <c r="ED528" i="5" s="1"/>
  <c r="CV530" i="5"/>
  <c r="CZ528" i="5"/>
  <c r="HX530" i="5"/>
  <c r="CU530" i="5"/>
  <c r="CY528" i="5"/>
  <c r="AL528" i="5"/>
  <c r="DG530" i="5"/>
  <c r="EF528" i="5" s="1"/>
  <c r="CT530" i="5"/>
  <c r="EL528" i="5"/>
  <c r="CS530" i="5"/>
  <c r="DG528" i="5"/>
  <c r="DH528" i="5" s="1"/>
  <c r="CW528" i="5"/>
  <c r="CX528" i="5" s="1"/>
  <c r="CV528" i="5"/>
  <c r="AO528" i="5"/>
  <c r="EJ528" i="5" s="1"/>
  <c r="DD505" i="5"/>
  <c r="DP503" i="5" s="1"/>
  <c r="HX503" i="5"/>
  <c r="CT503" i="5"/>
  <c r="FX503" i="5" s="1"/>
  <c r="FY503" i="5" s="1"/>
  <c r="DC505" i="5"/>
  <c r="EI503" i="5" s="1"/>
  <c r="AL505" i="5"/>
  <c r="DC503" i="5"/>
  <c r="CS503" i="5"/>
  <c r="CW505" i="5"/>
  <c r="ED503" i="5" s="1"/>
  <c r="AO503" i="5"/>
  <c r="EJ503" i="5" s="1"/>
  <c r="CV505" i="5"/>
  <c r="CZ503" i="5"/>
  <c r="HX505" i="5"/>
  <c r="CU505" i="5"/>
  <c r="CY503" i="5"/>
  <c r="AL503" i="5"/>
  <c r="DG505" i="5"/>
  <c r="CT505" i="5"/>
  <c r="EL503" i="5"/>
  <c r="CS505" i="5"/>
  <c r="DG503" i="5"/>
  <c r="CW503" i="5"/>
  <c r="CX503" i="5" s="1"/>
  <c r="CV503" i="5"/>
  <c r="CV490" i="5"/>
  <c r="CZ488" i="5"/>
  <c r="HX490" i="5"/>
  <c r="CU490" i="5"/>
  <c r="CY488" i="5"/>
  <c r="AL488" i="5"/>
  <c r="DC490" i="5"/>
  <c r="DG490" i="5"/>
  <c r="CT490" i="5"/>
  <c r="EL488" i="5"/>
  <c r="AL490" i="5"/>
  <c r="DC488" i="5"/>
  <c r="CS490" i="5"/>
  <c r="DG488" i="5"/>
  <c r="CW488" i="5"/>
  <c r="CV488" i="5"/>
  <c r="DD490" i="5"/>
  <c r="DP488" i="5" s="1"/>
  <c r="HX488" i="5"/>
  <c r="EI488" i="5"/>
  <c r="CT488" i="5"/>
  <c r="FX488" i="5" s="1"/>
  <c r="FY488" i="5" s="1"/>
  <c r="CS488" i="5"/>
  <c r="CW490" i="5"/>
  <c r="AO488" i="5"/>
  <c r="EJ488" i="5" s="1"/>
  <c r="CW495" i="5"/>
  <c r="HX495" i="5"/>
  <c r="CU495" i="5"/>
  <c r="DG495" i="5"/>
  <c r="EF493" i="5" s="1"/>
  <c r="CT495" i="5"/>
  <c r="EL493" i="5"/>
  <c r="DD495" i="5"/>
  <c r="DP493" i="5" s="1"/>
  <c r="HX493" i="5"/>
  <c r="CV495" i="5"/>
  <c r="CV493" i="5"/>
  <c r="CY493" i="5"/>
  <c r="CS495" i="5"/>
  <c r="DG493" i="5"/>
  <c r="CT493" i="5"/>
  <c r="FX493" i="5" s="1"/>
  <c r="FY493" i="5" s="1"/>
  <c r="CS493" i="5"/>
  <c r="AO493" i="5"/>
  <c r="EJ493" i="5" s="1"/>
  <c r="AL495" i="5"/>
  <c r="DC493" i="5"/>
  <c r="AL493" i="5"/>
  <c r="CZ493" i="5"/>
  <c r="DC495" i="5"/>
  <c r="EI493" i="5" s="1"/>
  <c r="CW493" i="5"/>
  <c r="CS555" i="5"/>
  <c r="DG553" i="5"/>
  <c r="CW553" i="5"/>
  <c r="CV553" i="5"/>
  <c r="DD555" i="5"/>
  <c r="DP553" i="5" s="1"/>
  <c r="HX553" i="5"/>
  <c r="CT553" i="5"/>
  <c r="FX553" i="5" s="1"/>
  <c r="FY553" i="5" s="1"/>
  <c r="DC555" i="5"/>
  <c r="EI553" i="5" s="1"/>
  <c r="AL555" i="5"/>
  <c r="DC553" i="5"/>
  <c r="CS553" i="5"/>
  <c r="CW555" i="5"/>
  <c r="AO553" i="5"/>
  <c r="EJ553" i="5" s="1"/>
  <c r="CV555" i="5"/>
  <c r="CZ553" i="5"/>
  <c r="HX555" i="5"/>
  <c r="CU555" i="5"/>
  <c r="EH553" i="5" s="1"/>
  <c r="CY553" i="5"/>
  <c r="AL553" i="5"/>
  <c r="DG555" i="5"/>
  <c r="EF553" i="5" s="1"/>
  <c r="CT555" i="5"/>
  <c r="EL553" i="5"/>
  <c r="HX485" i="5"/>
  <c r="CU485" i="5"/>
  <c r="CY483" i="5"/>
  <c r="AL483" i="5"/>
  <c r="DG485" i="5"/>
  <c r="CT485" i="5"/>
  <c r="EL483" i="5"/>
  <c r="CS485" i="5"/>
  <c r="DG483" i="5"/>
  <c r="CW483" i="5"/>
  <c r="CV483" i="5"/>
  <c r="DD485" i="5"/>
  <c r="DP483" i="5" s="1"/>
  <c r="HX483" i="5"/>
  <c r="CT483" i="5"/>
  <c r="FX483" i="5" s="1"/>
  <c r="FY483" i="5" s="1"/>
  <c r="DC485" i="5"/>
  <c r="EI483" i="5" s="1"/>
  <c r="AL485" i="5"/>
  <c r="DC483" i="5"/>
  <c r="CS483" i="5"/>
  <c r="CW485" i="5"/>
  <c r="CV485" i="5"/>
  <c r="EF483" i="5"/>
  <c r="CZ483" i="5"/>
  <c r="AO483" i="5"/>
  <c r="EJ483" i="5" s="1"/>
  <c r="DD510" i="5"/>
  <c r="DP508" i="5" s="1"/>
  <c r="HX508" i="5"/>
  <c r="CT508" i="5"/>
  <c r="FX508" i="5" s="1"/>
  <c r="FY508" i="5" s="1"/>
  <c r="CV510" i="5"/>
  <c r="CZ508" i="5"/>
  <c r="HX510" i="5"/>
  <c r="CU510" i="5"/>
  <c r="CY508" i="5"/>
  <c r="AL508" i="5"/>
  <c r="DG510" i="5"/>
  <c r="CT510" i="5"/>
  <c r="EL508" i="5"/>
  <c r="CS508" i="5"/>
  <c r="DC510" i="5"/>
  <c r="EI508" i="5" s="1"/>
  <c r="CW510" i="5"/>
  <c r="DG508" i="5"/>
  <c r="CS510" i="5"/>
  <c r="DC508" i="5"/>
  <c r="AL510" i="5"/>
  <c r="CW508" i="5"/>
  <c r="CV508" i="5"/>
  <c r="AO508" i="5"/>
  <c r="EJ508" i="5" s="1"/>
  <c r="CV533" i="5"/>
  <c r="DD535" i="5"/>
  <c r="DP533" i="5" s="1"/>
  <c r="HX533" i="5"/>
  <c r="CT533" i="5"/>
  <c r="FX533" i="5" s="1"/>
  <c r="FY533" i="5" s="1"/>
  <c r="DC535" i="5"/>
  <c r="EI533" i="5" s="1"/>
  <c r="AL535" i="5"/>
  <c r="DC533" i="5"/>
  <c r="CS533" i="5"/>
  <c r="CW535" i="5"/>
  <c r="ED533" i="5" s="1"/>
  <c r="AO533" i="5"/>
  <c r="EJ533" i="5" s="1"/>
  <c r="CV535" i="5"/>
  <c r="CZ533" i="5"/>
  <c r="HX535" i="5"/>
  <c r="CU535" i="5"/>
  <c r="CY533" i="5"/>
  <c r="AL533" i="5"/>
  <c r="DG535" i="5"/>
  <c r="CT535" i="5"/>
  <c r="EL533" i="5"/>
  <c r="CS535" i="5"/>
  <c r="DG533" i="5"/>
  <c r="CW533" i="5"/>
  <c r="CV548" i="5"/>
  <c r="DD550" i="5"/>
  <c r="DP548" i="5" s="1"/>
  <c r="HX548" i="5"/>
  <c r="CT548" i="5"/>
  <c r="FX548" i="5" s="1"/>
  <c r="FY548" i="5" s="1"/>
  <c r="DC550" i="5"/>
  <c r="EI548" i="5" s="1"/>
  <c r="AL550" i="5"/>
  <c r="DC548" i="5"/>
  <c r="CS548" i="5"/>
  <c r="CW550" i="5"/>
  <c r="ED548" i="5" s="1"/>
  <c r="AO548" i="5"/>
  <c r="EJ548" i="5" s="1"/>
  <c r="CV550" i="5"/>
  <c r="CZ548" i="5"/>
  <c r="HX550" i="5"/>
  <c r="CU550" i="5"/>
  <c r="CY548" i="5"/>
  <c r="AL548" i="5"/>
  <c r="DG550" i="5"/>
  <c r="EF548" i="5" s="1"/>
  <c r="CT550" i="5"/>
  <c r="EL548" i="5"/>
  <c r="CS550" i="5"/>
  <c r="EH548" i="5" s="1"/>
  <c r="DG548" i="5"/>
  <c r="CW548" i="5"/>
  <c r="DC540" i="5"/>
  <c r="EI538" i="5" s="1"/>
  <c r="AL540" i="5"/>
  <c r="CW540" i="5"/>
  <c r="DG540" i="5"/>
  <c r="EF538" i="5" s="1"/>
  <c r="CT540" i="5"/>
  <c r="CS540" i="5"/>
  <c r="DG538" i="5"/>
  <c r="CW538" i="5"/>
  <c r="CV538" i="5"/>
  <c r="HX538" i="5"/>
  <c r="CT538" i="5"/>
  <c r="FX538" i="5" s="1"/>
  <c r="FY538" i="5" s="1"/>
  <c r="DC538" i="5"/>
  <c r="CS538" i="5"/>
  <c r="AO538" i="5"/>
  <c r="EJ538" i="5" s="1"/>
  <c r="DD540" i="5"/>
  <c r="DP538" i="5" s="1"/>
  <c r="CZ538" i="5"/>
  <c r="CV540" i="5"/>
  <c r="CY538" i="5"/>
  <c r="AL538" i="5"/>
  <c r="HX540" i="5"/>
  <c r="CU540" i="5"/>
  <c r="EH538" i="5" s="1"/>
  <c r="EL538" i="5"/>
  <c r="CV513" i="5"/>
  <c r="CW515" i="5"/>
  <c r="AO513" i="5"/>
  <c r="EJ513" i="5" s="1"/>
  <c r="CV515" i="5"/>
  <c r="CZ513" i="5"/>
  <c r="HX515" i="5"/>
  <c r="CU515" i="5"/>
  <c r="CY513" i="5"/>
  <c r="AL513" i="5"/>
  <c r="DG515" i="5"/>
  <c r="EF513" i="5" s="1"/>
  <c r="AL515" i="5"/>
  <c r="EL513" i="5"/>
  <c r="DC513" i="5"/>
  <c r="DD515" i="5"/>
  <c r="DP513" i="5" s="1"/>
  <c r="CX513" i="5"/>
  <c r="DC515" i="5"/>
  <c r="EI513" i="5" s="1"/>
  <c r="CW513" i="5"/>
  <c r="CT515" i="5"/>
  <c r="HX513" i="5"/>
  <c r="CT513" i="5"/>
  <c r="FX513" i="5" s="1"/>
  <c r="FY513" i="5" s="1"/>
  <c r="CS515" i="5"/>
  <c r="ED513" i="5"/>
  <c r="CS513" i="5"/>
  <c r="DG513" i="5"/>
  <c r="DC500" i="5"/>
  <c r="AL500" i="5"/>
  <c r="DC498" i="5"/>
  <c r="CS498" i="5"/>
  <c r="CW500" i="5"/>
  <c r="ED498" i="5" s="1"/>
  <c r="CV500" i="5"/>
  <c r="CZ498" i="5"/>
  <c r="HX500" i="5"/>
  <c r="CU500" i="5"/>
  <c r="CY498" i="5"/>
  <c r="AL498" i="5"/>
  <c r="DG500" i="5"/>
  <c r="EF498" i="5" s="1"/>
  <c r="CT500" i="5"/>
  <c r="EL498" i="5"/>
  <c r="CS500" i="5"/>
  <c r="EH498" i="5" s="1"/>
  <c r="DG498" i="5"/>
  <c r="CW498" i="5"/>
  <c r="CV498" i="5"/>
  <c r="HX498" i="5"/>
  <c r="DD500" i="5"/>
  <c r="DP498" i="5" s="1"/>
  <c r="CT498" i="5"/>
  <c r="FX498" i="5" s="1"/>
  <c r="FY498" i="5" s="1"/>
  <c r="AO498" i="5"/>
  <c r="EJ498" i="5" s="1"/>
  <c r="EI498" i="5"/>
  <c r="DD545" i="5"/>
  <c r="DP543" i="5" s="1"/>
  <c r="HX543" i="5"/>
  <c r="CT543" i="5"/>
  <c r="FX543" i="5" s="1"/>
  <c r="FY543" i="5" s="1"/>
  <c r="DC545" i="5"/>
  <c r="EI543" i="5" s="1"/>
  <c r="AL545" i="5"/>
  <c r="DC543" i="5"/>
  <c r="CS543" i="5"/>
  <c r="CW545" i="5"/>
  <c r="HX545" i="5"/>
  <c r="CU545" i="5"/>
  <c r="CY543" i="5"/>
  <c r="AL543" i="5"/>
  <c r="DG545" i="5"/>
  <c r="EF543" i="5" s="1"/>
  <c r="CT545" i="5"/>
  <c r="EL543" i="5"/>
  <c r="ED543" i="5"/>
  <c r="CS545" i="5"/>
  <c r="DG543" i="5"/>
  <c r="CW543" i="5"/>
  <c r="CZ543" i="5"/>
  <c r="CV543" i="5"/>
  <c r="AO543" i="5"/>
  <c r="EJ543" i="5" s="1"/>
  <c r="CV545" i="5"/>
  <c r="CS457" i="5"/>
  <c r="DG455" i="5"/>
  <c r="CW455" i="5"/>
  <c r="DD457" i="5"/>
  <c r="DP455" i="5" s="1"/>
  <c r="HX455" i="5"/>
  <c r="CT455" i="5"/>
  <c r="FX455" i="5" s="1"/>
  <c r="FY455" i="5" s="1"/>
  <c r="DC457" i="5"/>
  <c r="EI455" i="5" s="1"/>
  <c r="AL457" i="5"/>
  <c r="DC455" i="5"/>
  <c r="CS455" i="5"/>
  <c r="CW457" i="5"/>
  <c r="AO455" i="5"/>
  <c r="EJ455" i="5" s="1"/>
  <c r="CV457" i="5"/>
  <c r="CZ455" i="5"/>
  <c r="HX457" i="5"/>
  <c r="CU457" i="5"/>
  <c r="CY455" i="5"/>
  <c r="AL455" i="5"/>
  <c r="CT457" i="5"/>
  <c r="DG457" i="5"/>
  <c r="EF455" i="5" s="1"/>
  <c r="EL455" i="5"/>
  <c r="CV455" i="5"/>
  <c r="CV470" i="5"/>
  <c r="DD472" i="5"/>
  <c r="DP470" i="5" s="1"/>
  <c r="HX470" i="5"/>
  <c r="CT470" i="5"/>
  <c r="FX470" i="5" s="1"/>
  <c r="FY470" i="5" s="1"/>
  <c r="DC472" i="5"/>
  <c r="EI470" i="5" s="1"/>
  <c r="AL472" i="5"/>
  <c r="DC470" i="5"/>
  <c r="CS470" i="5"/>
  <c r="CW472" i="5"/>
  <c r="CV472" i="5"/>
  <c r="CZ470" i="5"/>
  <c r="HX472" i="5"/>
  <c r="CU472" i="5"/>
  <c r="CY470" i="5"/>
  <c r="AL470" i="5"/>
  <c r="DG472" i="5"/>
  <c r="EF470" i="5" s="1"/>
  <c r="CT472" i="5"/>
  <c r="EL470" i="5"/>
  <c r="DG470" i="5"/>
  <c r="AO470" i="5"/>
  <c r="EJ470" i="5" s="1"/>
  <c r="CW470" i="5"/>
  <c r="CS472" i="5"/>
  <c r="CS422" i="5"/>
  <c r="DD422" i="5"/>
  <c r="DP420" i="5" s="1"/>
  <c r="HX420" i="5"/>
  <c r="CT420" i="5"/>
  <c r="FX420" i="5" s="1"/>
  <c r="FY420" i="5" s="1"/>
  <c r="DC422" i="5"/>
  <c r="EI420" i="5" s="1"/>
  <c r="AL422" i="5"/>
  <c r="CW422" i="5"/>
  <c r="HX422" i="5"/>
  <c r="CU422" i="5"/>
  <c r="DG420" i="5"/>
  <c r="CV420" i="5"/>
  <c r="CS420" i="5"/>
  <c r="AO420" i="5"/>
  <c r="EJ420" i="5" s="1"/>
  <c r="EL420" i="5"/>
  <c r="DC420" i="5"/>
  <c r="AL420" i="5"/>
  <c r="DG422" i="5"/>
  <c r="CZ420" i="5"/>
  <c r="CY420" i="5"/>
  <c r="CV422" i="5"/>
  <c r="CT422" i="5"/>
  <c r="CW420" i="5"/>
  <c r="CS477" i="5"/>
  <c r="DG475" i="5"/>
  <c r="CW475" i="5"/>
  <c r="CV475" i="5"/>
  <c r="DD477" i="5"/>
  <c r="DP475" i="5" s="1"/>
  <c r="HX475" i="5"/>
  <c r="CT475" i="5"/>
  <c r="FX475" i="5" s="1"/>
  <c r="FY475" i="5" s="1"/>
  <c r="DC477" i="5"/>
  <c r="EI475" i="5" s="1"/>
  <c r="AL477" i="5"/>
  <c r="DC475" i="5"/>
  <c r="CS475" i="5"/>
  <c r="CW477" i="5"/>
  <c r="AO475" i="5"/>
  <c r="EJ475" i="5" s="1"/>
  <c r="CV477" i="5"/>
  <c r="CZ475" i="5"/>
  <c r="HX477" i="5"/>
  <c r="CU477" i="5"/>
  <c r="EH475" i="5" s="1"/>
  <c r="CY475" i="5"/>
  <c r="AL475" i="5"/>
  <c r="EL475" i="5"/>
  <c r="DG477" i="5"/>
  <c r="CT477" i="5"/>
  <c r="CS417" i="5"/>
  <c r="DG415" i="5"/>
  <c r="CW415" i="5"/>
  <c r="CV415" i="5"/>
  <c r="DD417" i="5"/>
  <c r="DP415" i="5" s="1"/>
  <c r="HX415" i="5"/>
  <c r="CT415" i="5"/>
  <c r="FX415" i="5" s="1"/>
  <c r="FY415" i="5" s="1"/>
  <c r="DC417" i="5"/>
  <c r="EI415" i="5" s="1"/>
  <c r="AL417" i="5"/>
  <c r="DC415" i="5"/>
  <c r="CS415" i="5"/>
  <c r="CW417" i="5"/>
  <c r="ED415" i="5" s="1"/>
  <c r="AO415" i="5"/>
  <c r="EJ415" i="5" s="1"/>
  <c r="CV417" i="5"/>
  <c r="CZ415" i="5"/>
  <c r="HX417" i="5"/>
  <c r="CU417" i="5"/>
  <c r="CY415" i="5"/>
  <c r="AL415" i="5"/>
  <c r="DG417" i="5"/>
  <c r="EL415" i="5"/>
  <c r="CT417" i="5"/>
  <c r="DD407" i="5"/>
  <c r="DP405" i="5" s="1"/>
  <c r="HX405" i="5"/>
  <c r="DC407" i="5"/>
  <c r="EI405" i="5" s="1"/>
  <c r="AL407" i="5"/>
  <c r="DC405" i="5"/>
  <c r="CS405" i="5"/>
  <c r="HX407" i="5"/>
  <c r="CU407" i="5"/>
  <c r="CY405" i="5"/>
  <c r="AL405" i="5"/>
  <c r="DG407" i="5"/>
  <c r="EF405" i="5" s="1"/>
  <c r="CT407" i="5"/>
  <c r="EL405" i="5"/>
  <c r="CS407" i="5"/>
  <c r="DG405" i="5"/>
  <c r="AO405" i="5"/>
  <c r="EJ405" i="5" s="1"/>
  <c r="CW407" i="5"/>
  <c r="CZ405" i="5"/>
  <c r="CV407" i="5"/>
  <c r="CW405" i="5"/>
  <c r="CT405" i="5"/>
  <c r="FX405" i="5" s="1"/>
  <c r="FY405" i="5" s="1"/>
  <c r="CV405" i="5"/>
  <c r="CV450" i="5"/>
  <c r="DC452" i="5"/>
  <c r="AL452" i="5"/>
  <c r="DC450" i="5"/>
  <c r="CS450" i="5"/>
  <c r="CW452" i="5"/>
  <c r="ED450" i="5" s="1"/>
  <c r="CV452" i="5"/>
  <c r="CZ450" i="5"/>
  <c r="HX452" i="5"/>
  <c r="CU452" i="5"/>
  <c r="DG452" i="5"/>
  <c r="EF450" i="5" s="1"/>
  <c r="CT452" i="5"/>
  <c r="EL450" i="5"/>
  <c r="CS452" i="5"/>
  <c r="EH450" i="5" s="1"/>
  <c r="HX450" i="5"/>
  <c r="CT450" i="5"/>
  <c r="FX450" i="5" s="1"/>
  <c r="FY450" i="5" s="1"/>
  <c r="AL450" i="5"/>
  <c r="EI450" i="5"/>
  <c r="DG450" i="5"/>
  <c r="DH450" i="5" s="1"/>
  <c r="CY450" i="5"/>
  <c r="DD452" i="5"/>
  <c r="DP450" i="5" s="1"/>
  <c r="AO450" i="5"/>
  <c r="EJ450" i="5" s="1"/>
  <c r="CW450" i="5"/>
  <c r="CV442" i="5"/>
  <c r="CZ440" i="5"/>
  <c r="HX442" i="5"/>
  <c r="CU442" i="5"/>
  <c r="CY440" i="5"/>
  <c r="DG442" i="5"/>
  <c r="EF440" i="5" s="1"/>
  <c r="CT442" i="5"/>
  <c r="EL440" i="5"/>
  <c r="CS442" i="5"/>
  <c r="DG440" i="5"/>
  <c r="CW440" i="5"/>
  <c r="CV440" i="5"/>
  <c r="DD442" i="5"/>
  <c r="DP440" i="5" s="1"/>
  <c r="HX440" i="5"/>
  <c r="CT440" i="5"/>
  <c r="FX440" i="5" s="1"/>
  <c r="FY440" i="5" s="1"/>
  <c r="DC442" i="5"/>
  <c r="EI440" i="5" s="1"/>
  <c r="AL442" i="5"/>
  <c r="DC440" i="5"/>
  <c r="CS440" i="5"/>
  <c r="AO440" i="5"/>
  <c r="EJ440" i="5" s="1"/>
  <c r="AL440" i="5"/>
  <c r="CW442" i="5"/>
  <c r="CV410" i="5"/>
  <c r="DD412" i="5"/>
  <c r="DP410" i="5" s="1"/>
  <c r="HX410" i="5"/>
  <c r="CT410" i="5"/>
  <c r="FX410" i="5" s="1"/>
  <c r="FY410" i="5" s="1"/>
  <c r="DC412" i="5"/>
  <c r="EI410" i="5" s="1"/>
  <c r="AL412" i="5"/>
  <c r="CW412" i="5"/>
  <c r="ED410" i="5" s="1"/>
  <c r="AO410" i="5"/>
  <c r="EJ410" i="5" s="1"/>
  <c r="CV412" i="5"/>
  <c r="CZ410" i="5"/>
  <c r="HX412" i="5"/>
  <c r="CU412" i="5"/>
  <c r="CY410" i="5"/>
  <c r="AL410" i="5"/>
  <c r="DG412" i="5"/>
  <c r="EF410" i="5" s="1"/>
  <c r="CT412" i="5"/>
  <c r="EL410" i="5"/>
  <c r="DG410" i="5"/>
  <c r="DC410" i="5"/>
  <c r="CW410" i="5"/>
  <c r="CS410" i="5"/>
  <c r="CS412" i="5"/>
  <c r="HX437" i="5"/>
  <c r="CU437" i="5"/>
  <c r="CY435" i="5"/>
  <c r="AL435" i="5"/>
  <c r="DD437" i="5"/>
  <c r="DP435" i="5" s="1"/>
  <c r="HX435" i="5"/>
  <c r="CT435" i="5"/>
  <c r="FX435" i="5" s="1"/>
  <c r="FY435" i="5" s="1"/>
  <c r="DC437" i="5"/>
  <c r="EI435" i="5" s="1"/>
  <c r="AL437" i="5"/>
  <c r="CW437" i="5"/>
  <c r="CV437" i="5"/>
  <c r="EL435" i="5"/>
  <c r="CT437" i="5"/>
  <c r="CW435" i="5"/>
  <c r="CS437" i="5"/>
  <c r="CV435" i="5"/>
  <c r="DG435" i="5"/>
  <c r="CS435" i="5"/>
  <c r="AO435" i="5"/>
  <c r="EJ435" i="5" s="1"/>
  <c r="DG437" i="5"/>
  <c r="EF435" i="5" s="1"/>
  <c r="DC435" i="5"/>
  <c r="CZ435" i="5"/>
  <c r="DD447" i="5"/>
  <c r="DP445" i="5" s="1"/>
  <c r="HX447" i="5"/>
  <c r="CU447" i="5"/>
  <c r="DG447" i="5"/>
  <c r="EF445" i="5" s="1"/>
  <c r="AO445" i="5"/>
  <c r="EJ445" i="5" s="1"/>
  <c r="AL447" i="5"/>
  <c r="CZ445" i="5"/>
  <c r="CY445" i="5"/>
  <c r="AL445" i="5"/>
  <c r="DC447" i="5"/>
  <c r="EI445" i="5" s="1"/>
  <c r="EL445" i="5"/>
  <c r="CW447" i="5"/>
  <c r="DG445" i="5"/>
  <c r="CW445" i="5"/>
  <c r="CV447" i="5"/>
  <c r="CV445" i="5"/>
  <c r="CT447" i="5"/>
  <c r="HX445" i="5"/>
  <c r="CT445" i="5"/>
  <c r="FX445" i="5" s="1"/>
  <c r="FY445" i="5" s="1"/>
  <c r="CS447" i="5"/>
  <c r="DC445" i="5"/>
  <c r="CS445" i="5"/>
  <c r="DD467" i="5"/>
  <c r="DP465" i="5" s="1"/>
  <c r="HX465" i="5"/>
  <c r="CT465" i="5"/>
  <c r="FX465" i="5" s="1"/>
  <c r="FY465" i="5" s="1"/>
  <c r="DC467" i="5"/>
  <c r="EI465" i="5" s="1"/>
  <c r="AL467" i="5"/>
  <c r="DC465" i="5"/>
  <c r="CS465" i="5"/>
  <c r="CW467" i="5"/>
  <c r="HX467" i="5"/>
  <c r="CU467" i="5"/>
  <c r="CY465" i="5"/>
  <c r="AL465" i="5"/>
  <c r="DG467" i="5"/>
  <c r="EF465" i="5" s="1"/>
  <c r="CT467" i="5"/>
  <c r="EL465" i="5"/>
  <c r="CS467" i="5"/>
  <c r="DG465" i="5"/>
  <c r="CW465" i="5"/>
  <c r="CV467" i="5"/>
  <c r="CZ465" i="5"/>
  <c r="AO465" i="5"/>
  <c r="EJ465" i="5" s="1"/>
  <c r="CV465" i="5"/>
  <c r="HX432" i="5"/>
  <c r="CU432" i="5"/>
  <c r="CY430" i="5"/>
  <c r="AL430" i="5"/>
  <c r="DG432" i="5"/>
  <c r="EF430" i="5" s="1"/>
  <c r="CT432" i="5"/>
  <c r="EL430" i="5"/>
  <c r="CS432" i="5"/>
  <c r="DG430" i="5"/>
  <c r="CW430" i="5"/>
  <c r="CV430" i="5"/>
  <c r="DD432" i="5"/>
  <c r="DP430" i="5" s="1"/>
  <c r="HX430" i="5"/>
  <c r="CT430" i="5"/>
  <c r="FX430" i="5" s="1"/>
  <c r="FY430" i="5" s="1"/>
  <c r="DC432" i="5"/>
  <c r="EI430" i="5" s="1"/>
  <c r="AL432" i="5"/>
  <c r="DC430" i="5"/>
  <c r="CS430" i="5"/>
  <c r="CW432" i="5"/>
  <c r="AO430" i="5"/>
  <c r="EJ430" i="5" s="1"/>
  <c r="CZ430" i="5"/>
  <c r="CV432" i="5"/>
  <c r="DG427" i="5"/>
  <c r="EF425" i="5" s="1"/>
  <c r="CT427" i="5"/>
  <c r="EL425" i="5"/>
  <c r="CS427" i="5"/>
  <c r="DG425" i="5"/>
  <c r="CW425" i="5"/>
  <c r="CV425" i="5"/>
  <c r="DD427" i="5"/>
  <c r="DP425" i="5" s="1"/>
  <c r="HX425" i="5"/>
  <c r="CT425" i="5"/>
  <c r="FX425" i="5" s="1"/>
  <c r="FY425" i="5" s="1"/>
  <c r="DC427" i="5"/>
  <c r="EI425" i="5" s="1"/>
  <c r="AL427" i="5"/>
  <c r="DC425" i="5"/>
  <c r="CS425" i="5"/>
  <c r="CW427" i="5"/>
  <c r="CV427" i="5"/>
  <c r="CZ425" i="5"/>
  <c r="AL425" i="5"/>
  <c r="CY425" i="5"/>
  <c r="HX427" i="5"/>
  <c r="CU427" i="5"/>
  <c r="AO425" i="5"/>
  <c r="EJ425" i="5" s="1"/>
  <c r="DC462" i="5"/>
  <c r="EI460" i="5" s="1"/>
  <c r="AL462" i="5"/>
  <c r="CW462" i="5"/>
  <c r="CS462" i="5"/>
  <c r="CV462" i="5"/>
  <c r="EL460" i="5"/>
  <c r="CU462" i="5"/>
  <c r="DG460" i="5"/>
  <c r="CW460" i="5"/>
  <c r="CT462" i="5"/>
  <c r="CV460" i="5"/>
  <c r="CT460" i="5"/>
  <c r="FX460" i="5" s="1"/>
  <c r="FY460" i="5" s="1"/>
  <c r="HX460" i="5"/>
  <c r="DC460" i="5"/>
  <c r="CS460" i="5"/>
  <c r="DG462" i="5"/>
  <c r="EF460" i="5" s="1"/>
  <c r="AO460" i="5"/>
  <c r="EJ460" i="5" s="1"/>
  <c r="HX462" i="5"/>
  <c r="CZ460" i="5"/>
  <c r="DD462" i="5"/>
  <c r="DP460" i="5" s="1"/>
  <c r="AL460" i="5"/>
  <c r="CY460" i="5"/>
  <c r="CW344" i="5"/>
  <c r="ED342" i="5" s="1"/>
  <c r="AO342" i="5"/>
  <c r="EJ342" i="5" s="1"/>
  <c r="CV344" i="5"/>
  <c r="CZ342" i="5"/>
  <c r="HX344" i="5"/>
  <c r="DG344" i="5"/>
  <c r="EF342" i="5" s="1"/>
  <c r="CT344" i="5"/>
  <c r="EL342" i="5"/>
  <c r="DC344" i="5"/>
  <c r="EI342" i="5" s="1"/>
  <c r="CT342" i="5"/>
  <c r="FX342" i="5" s="1"/>
  <c r="FY342" i="5" s="1"/>
  <c r="AL342" i="5"/>
  <c r="CU344" i="5"/>
  <c r="DG342" i="5"/>
  <c r="CS342" i="5"/>
  <c r="CS344" i="5"/>
  <c r="AL344" i="5"/>
  <c r="CY342" i="5"/>
  <c r="DD344" i="5"/>
  <c r="DP342" i="5" s="1"/>
  <c r="DC342" i="5"/>
  <c r="CW342" i="5"/>
  <c r="HX342" i="5"/>
  <c r="CV342" i="5"/>
  <c r="DD374" i="5"/>
  <c r="DP372" i="5" s="1"/>
  <c r="HX372" i="5"/>
  <c r="CT372" i="5"/>
  <c r="FX372" i="5" s="1"/>
  <c r="FY372" i="5" s="1"/>
  <c r="CW374" i="5"/>
  <c r="ED372" i="5" s="1"/>
  <c r="HX374" i="5"/>
  <c r="CU374" i="5"/>
  <c r="CY372" i="5"/>
  <c r="AL372" i="5"/>
  <c r="DG374" i="5"/>
  <c r="EF372" i="5" s="1"/>
  <c r="CT374" i="5"/>
  <c r="CS374" i="5"/>
  <c r="CV374" i="5"/>
  <c r="DC372" i="5"/>
  <c r="AL374" i="5"/>
  <c r="CZ372" i="5"/>
  <c r="EL372" i="5"/>
  <c r="CW372" i="5"/>
  <c r="DC374" i="5"/>
  <c r="EI372" i="5" s="1"/>
  <c r="DG372" i="5"/>
  <c r="CS372" i="5"/>
  <c r="AO372" i="5"/>
  <c r="EJ372" i="5" s="1"/>
  <c r="CV372" i="5"/>
  <c r="CV359" i="5"/>
  <c r="HX359" i="5"/>
  <c r="CU359" i="5"/>
  <c r="DG359" i="5"/>
  <c r="EF357" i="5" s="1"/>
  <c r="CT359" i="5"/>
  <c r="CZ357" i="5"/>
  <c r="AL359" i="5"/>
  <c r="CY357" i="5"/>
  <c r="AL357" i="5"/>
  <c r="HX357" i="5"/>
  <c r="EL357" i="5"/>
  <c r="DD359" i="5"/>
  <c r="DP357" i="5" s="1"/>
  <c r="DG357" i="5"/>
  <c r="CW357" i="5"/>
  <c r="CW359" i="5"/>
  <c r="CT357" i="5"/>
  <c r="FX357" i="5" s="1"/>
  <c r="FY357" i="5" s="1"/>
  <c r="CS359" i="5"/>
  <c r="CS357" i="5"/>
  <c r="AO357" i="5"/>
  <c r="EJ357" i="5" s="1"/>
  <c r="DC359" i="5"/>
  <c r="EI357" i="5" s="1"/>
  <c r="DC357" i="5"/>
  <c r="CV357" i="5"/>
  <c r="DG384" i="5"/>
  <c r="EF382" i="5" s="1"/>
  <c r="CT384" i="5"/>
  <c r="CS384" i="5"/>
  <c r="HX384" i="5"/>
  <c r="DC384" i="5"/>
  <c r="EI382" i="5" s="1"/>
  <c r="DG382" i="5"/>
  <c r="CW382" i="5"/>
  <c r="CW384" i="5"/>
  <c r="ED382" i="5" s="1"/>
  <c r="CV382" i="5"/>
  <c r="CV384" i="5"/>
  <c r="HX382" i="5"/>
  <c r="CT382" i="5"/>
  <c r="FX382" i="5" s="1"/>
  <c r="FY382" i="5" s="1"/>
  <c r="CU384" i="5"/>
  <c r="DC382" i="5"/>
  <c r="CS382" i="5"/>
  <c r="AO382" i="5"/>
  <c r="EJ382" i="5" s="1"/>
  <c r="CZ382" i="5"/>
  <c r="AL384" i="5"/>
  <c r="CY382" i="5"/>
  <c r="AL382" i="5"/>
  <c r="DD384" i="5"/>
  <c r="DP382" i="5" s="1"/>
  <c r="EL382" i="5"/>
  <c r="CS399" i="5"/>
  <c r="DG397" i="5"/>
  <c r="CW397" i="5"/>
  <c r="CV397" i="5"/>
  <c r="DD399" i="5"/>
  <c r="DP397" i="5" s="1"/>
  <c r="HX397" i="5"/>
  <c r="CT397" i="5"/>
  <c r="FX397" i="5" s="1"/>
  <c r="FY397" i="5" s="1"/>
  <c r="DC399" i="5"/>
  <c r="EI397" i="5" s="1"/>
  <c r="AL399" i="5"/>
  <c r="DC397" i="5"/>
  <c r="CS397" i="5"/>
  <c r="CW399" i="5"/>
  <c r="AO397" i="5"/>
  <c r="EJ397" i="5" s="1"/>
  <c r="CV399" i="5"/>
  <c r="CZ397" i="5"/>
  <c r="HX399" i="5"/>
  <c r="CU399" i="5"/>
  <c r="CY397" i="5"/>
  <c r="AL397" i="5"/>
  <c r="EL397" i="5"/>
  <c r="DG399" i="5"/>
  <c r="EF397" i="5" s="1"/>
  <c r="CT399" i="5"/>
  <c r="DC364" i="5"/>
  <c r="EI362" i="5" s="1"/>
  <c r="AL364" i="5"/>
  <c r="CW364" i="5"/>
  <c r="ED362" i="5" s="1"/>
  <c r="AO362" i="5"/>
  <c r="EJ362" i="5" s="1"/>
  <c r="CV364" i="5"/>
  <c r="CZ362" i="5"/>
  <c r="HX364" i="5"/>
  <c r="CU364" i="5"/>
  <c r="CY362" i="5"/>
  <c r="AL362" i="5"/>
  <c r="DG364" i="5"/>
  <c r="CT364" i="5"/>
  <c r="CS364" i="5"/>
  <c r="DD364" i="5"/>
  <c r="DP362" i="5" s="1"/>
  <c r="HX362" i="5"/>
  <c r="CV362" i="5"/>
  <c r="CT362" i="5"/>
  <c r="FX362" i="5" s="1"/>
  <c r="FY362" i="5" s="1"/>
  <c r="DG362" i="5"/>
  <c r="CS362" i="5"/>
  <c r="DC362" i="5"/>
  <c r="EL362" i="5"/>
  <c r="CW362" i="5"/>
  <c r="CV377" i="5"/>
  <c r="DD379" i="5"/>
  <c r="DP377" i="5" s="1"/>
  <c r="HX377" i="5"/>
  <c r="DC379" i="5"/>
  <c r="EI377" i="5" s="1"/>
  <c r="AL379" i="5"/>
  <c r="DC377" i="5"/>
  <c r="CS377" i="5"/>
  <c r="CW379" i="5"/>
  <c r="CV379" i="5"/>
  <c r="CZ377" i="5"/>
  <c r="HX379" i="5"/>
  <c r="CU379" i="5"/>
  <c r="CY377" i="5"/>
  <c r="AL377" i="5"/>
  <c r="DG379" i="5"/>
  <c r="CT379" i="5"/>
  <c r="EL377" i="5"/>
  <c r="CW377" i="5"/>
  <c r="AO377" i="5"/>
  <c r="EJ377" i="5" s="1"/>
  <c r="CS379" i="5"/>
  <c r="CT377" i="5"/>
  <c r="FX377" i="5" s="1"/>
  <c r="FY377" i="5" s="1"/>
  <c r="DG377" i="5"/>
  <c r="CV392" i="5"/>
  <c r="DD394" i="5"/>
  <c r="DP392" i="5" s="1"/>
  <c r="HX392" i="5"/>
  <c r="CT392" i="5"/>
  <c r="FX392" i="5" s="1"/>
  <c r="FY392" i="5" s="1"/>
  <c r="DC394" i="5"/>
  <c r="EI392" i="5" s="1"/>
  <c r="AL394" i="5"/>
  <c r="DC392" i="5"/>
  <c r="CS392" i="5"/>
  <c r="CW394" i="5"/>
  <c r="ED392" i="5" s="1"/>
  <c r="CV394" i="5"/>
  <c r="CZ392" i="5"/>
  <c r="HX394" i="5"/>
  <c r="CU394" i="5"/>
  <c r="CY392" i="5"/>
  <c r="AL392" i="5"/>
  <c r="DG394" i="5"/>
  <c r="EF392" i="5" s="1"/>
  <c r="CT394" i="5"/>
  <c r="EL392" i="5"/>
  <c r="AO392" i="5"/>
  <c r="EJ392" i="5" s="1"/>
  <c r="CS394" i="5"/>
  <c r="DG392" i="5"/>
  <c r="CW392" i="5"/>
  <c r="DD369" i="5"/>
  <c r="DP367" i="5" s="1"/>
  <c r="HX367" i="5"/>
  <c r="CT367" i="5"/>
  <c r="FX367" i="5" s="1"/>
  <c r="FY367" i="5" s="1"/>
  <c r="DC369" i="5"/>
  <c r="EI367" i="5" s="1"/>
  <c r="AL369" i="5"/>
  <c r="DC367" i="5"/>
  <c r="CS367" i="5"/>
  <c r="CW369" i="5"/>
  <c r="ED367" i="5" s="1"/>
  <c r="AO367" i="5"/>
  <c r="EJ367" i="5" s="1"/>
  <c r="CV369" i="5"/>
  <c r="CZ367" i="5"/>
  <c r="CU369" i="5"/>
  <c r="CY367" i="5"/>
  <c r="AL367" i="5"/>
  <c r="DG369" i="5"/>
  <c r="CT369" i="5"/>
  <c r="EL367" i="5"/>
  <c r="CV367" i="5"/>
  <c r="DG367" i="5"/>
  <c r="CW367" i="5"/>
  <c r="HX369" i="5"/>
  <c r="CS369" i="5"/>
  <c r="CS133" i="5"/>
  <c r="DG349" i="5"/>
  <c r="EF347" i="5" s="1"/>
  <c r="CT349" i="5"/>
  <c r="CW349" i="5"/>
  <c r="ED347" i="5" s="1"/>
  <c r="HX347" i="5"/>
  <c r="CT347" i="5"/>
  <c r="FX347" i="5" s="1"/>
  <c r="FY347" i="5" s="1"/>
  <c r="CV349" i="5"/>
  <c r="CS347" i="5"/>
  <c r="AO347" i="5"/>
  <c r="EJ347" i="5" s="1"/>
  <c r="HX349" i="5"/>
  <c r="CU349" i="5"/>
  <c r="DC347" i="5"/>
  <c r="CS349" i="5"/>
  <c r="AL347" i="5"/>
  <c r="DG347" i="5"/>
  <c r="DD349" i="5"/>
  <c r="DP347" i="5" s="1"/>
  <c r="CZ347" i="5"/>
  <c r="DC349" i="5"/>
  <c r="CY347" i="5"/>
  <c r="CW347" i="5"/>
  <c r="AL349" i="5"/>
  <c r="CV347" i="5"/>
  <c r="CV339" i="5"/>
  <c r="HX339" i="5"/>
  <c r="CU339" i="5"/>
  <c r="CS339" i="5"/>
  <c r="HX337" i="5"/>
  <c r="EL337" i="5"/>
  <c r="DG339" i="5"/>
  <c r="EF337" i="5" s="1"/>
  <c r="DG337" i="5"/>
  <c r="CW337" i="5"/>
  <c r="CV337" i="5"/>
  <c r="AL339" i="5"/>
  <c r="CT337" i="5"/>
  <c r="FX337" i="5" s="1"/>
  <c r="FY337" i="5" s="1"/>
  <c r="DC339" i="5"/>
  <c r="EI337" i="5" s="1"/>
  <c r="AO337" i="5"/>
  <c r="EJ337" i="5" s="1"/>
  <c r="CW339" i="5"/>
  <c r="CT339" i="5"/>
  <c r="DC337" i="5"/>
  <c r="CZ337" i="5"/>
  <c r="CY337" i="5"/>
  <c r="AL337" i="5"/>
  <c r="CS337" i="5"/>
  <c r="DD339" i="5"/>
  <c r="DP337" i="5" s="1"/>
  <c r="DD389" i="5"/>
  <c r="DP387" i="5" s="1"/>
  <c r="HX387" i="5"/>
  <c r="CT387" i="5"/>
  <c r="FX387" i="5" s="1"/>
  <c r="FY387" i="5" s="1"/>
  <c r="DC389" i="5"/>
  <c r="EI387" i="5" s="1"/>
  <c r="AL389" i="5"/>
  <c r="DC387" i="5"/>
  <c r="CS387" i="5"/>
  <c r="CW389" i="5"/>
  <c r="HX389" i="5"/>
  <c r="CU389" i="5"/>
  <c r="CY387" i="5"/>
  <c r="AL387" i="5"/>
  <c r="DG389" i="5"/>
  <c r="EF387" i="5" s="1"/>
  <c r="CT389" i="5"/>
  <c r="EL387" i="5"/>
  <c r="ED387" i="5"/>
  <c r="CS389" i="5"/>
  <c r="DG387" i="5"/>
  <c r="CW387" i="5"/>
  <c r="CZ387" i="5"/>
  <c r="AO387" i="5"/>
  <c r="EJ387" i="5" s="1"/>
  <c r="CV387" i="5"/>
  <c r="CV389" i="5"/>
  <c r="CS334" i="5"/>
  <c r="DG332" i="5"/>
  <c r="CW332" i="5"/>
  <c r="CV332" i="5"/>
  <c r="DD334" i="5"/>
  <c r="DP332" i="5" s="1"/>
  <c r="HX332" i="5"/>
  <c r="CT332" i="5"/>
  <c r="FX332" i="5" s="1"/>
  <c r="FY332" i="5" s="1"/>
  <c r="DC334" i="5"/>
  <c r="EI332" i="5" s="1"/>
  <c r="AL334" i="5"/>
  <c r="DC332" i="5"/>
  <c r="CS332" i="5"/>
  <c r="CV334" i="5"/>
  <c r="CZ332" i="5"/>
  <c r="DG334" i="5"/>
  <c r="EF332" i="5" s="1"/>
  <c r="CW334" i="5"/>
  <c r="ED332" i="5" s="1"/>
  <c r="HX334" i="5"/>
  <c r="CU334" i="5"/>
  <c r="EL332" i="5"/>
  <c r="AL332" i="5"/>
  <c r="CT334" i="5"/>
  <c r="AO332" i="5"/>
  <c r="EJ332" i="5" s="1"/>
  <c r="CY332" i="5"/>
  <c r="HX354" i="5"/>
  <c r="CU354" i="5"/>
  <c r="CY352" i="5"/>
  <c r="AL352" i="5"/>
  <c r="DG354" i="5"/>
  <c r="CT354" i="5"/>
  <c r="EL352" i="5"/>
  <c r="CS354" i="5"/>
  <c r="DG352" i="5"/>
  <c r="CW352" i="5"/>
  <c r="DC354" i="5"/>
  <c r="EI352" i="5" s="1"/>
  <c r="AL354" i="5"/>
  <c r="CZ352" i="5"/>
  <c r="DD354" i="5"/>
  <c r="DP352" i="5" s="1"/>
  <c r="CV352" i="5"/>
  <c r="CW354" i="5"/>
  <c r="CT352" i="5"/>
  <c r="FX352" i="5" s="1"/>
  <c r="FY352" i="5" s="1"/>
  <c r="CV354" i="5"/>
  <c r="CS352" i="5"/>
  <c r="AO352" i="5"/>
  <c r="EJ352" i="5" s="1"/>
  <c r="DC352" i="5"/>
  <c r="HX352" i="5"/>
  <c r="CV327" i="5"/>
  <c r="DD329" i="5"/>
  <c r="DP327" i="5" s="1"/>
  <c r="HX327" i="5"/>
  <c r="CT327" i="5"/>
  <c r="FX327" i="5" s="1"/>
  <c r="FY327" i="5" s="1"/>
  <c r="DC329" i="5"/>
  <c r="EI327" i="5" s="1"/>
  <c r="AL329" i="5"/>
  <c r="DC327" i="5"/>
  <c r="CS327" i="5"/>
  <c r="CW329" i="5"/>
  <c r="HX329" i="5"/>
  <c r="CU329" i="5"/>
  <c r="CY327" i="5"/>
  <c r="AL327" i="5"/>
  <c r="CT329" i="5"/>
  <c r="DG327" i="5"/>
  <c r="CS329" i="5"/>
  <c r="CZ327" i="5"/>
  <c r="AO327" i="5"/>
  <c r="EJ327" i="5" s="1"/>
  <c r="DG329" i="5"/>
  <c r="EF327" i="5" s="1"/>
  <c r="EL327" i="5"/>
  <c r="CW327" i="5"/>
  <c r="CV329" i="5"/>
  <c r="AO133" i="5"/>
  <c r="EJ133" i="5" s="1"/>
  <c r="DC228" i="5"/>
  <c r="EI226" i="5" s="1"/>
  <c r="AL228" i="5"/>
  <c r="CW228" i="5"/>
  <c r="ED226" i="5" s="1"/>
  <c r="DG228" i="5"/>
  <c r="EF226" i="5" s="1"/>
  <c r="CT228" i="5"/>
  <c r="CS228" i="5"/>
  <c r="CZ226" i="5"/>
  <c r="CY226" i="5"/>
  <c r="AL226" i="5"/>
  <c r="EL226" i="5"/>
  <c r="HX228" i="5"/>
  <c r="CU228" i="5"/>
  <c r="HX226" i="5"/>
  <c r="CT226" i="5"/>
  <c r="FX226" i="5" s="1"/>
  <c r="FY226" i="5" s="1"/>
  <c r="CV228" i="5"/>
  <c r="DG226" i="5"/>
  <c r="DC226" i="5"/>
  <c r="CW226" i="5"/>
  <c r="AO226" i="5"/>
  <c r="EJ226" i="5" s="1"/>
  <c r="DD228" i="5"/>
  <c r="DP226" i="5" s="1"/>
  <c r="CV226" i="5"/>
  <c r="CS226" i="5"/>
  <c r="CS208" i="5"/>
  <c r="CV206" i="5"/>
  <c r="DD208" i="5"/>
  <c r="DP206" i="5" s="1"/>
  <c r="HX206" i="5"/>
  <c r="CT206" i="5"/>
  <c r="FX206" i="5" s="1"/>
  <c r="FY206" i="5" s="1"/>
  <c r="CW208" i="5"/>
  <c r="AO206" i="5"/>
  <c r="EJ206" i="5" s="1"/>
  <c r="DC208" i="5"/>
  <c r="EI206" i="5" s="1"/>
  <c r="CZ206" i="5"/>
  <c r="CV208" i="5"/>
  <c r="CY206" i="5"/>
  <c r="CU208" i="5"/>
  <c r="CT208" i="5"/>
  <c r="CW206" i="5"/>
  <c r="AL208" i="5"/>
  <c r="CS206" i="5"/>
  <c r="AL206" i="5"/>
  <c r="EL206" i="5"/>
  <c r="DG206" i="5"/>
  <c r="HX208" i="5"/>
  <c r="DG208" i="5"/>
  <c r="DC206" i="5"/>
  <c r="DC193" i="5"/>
  <c r="EI191" i="5" s="1"/>
  <c r="AL193" i="5"/>
  <c r="DC191" i="5"/>
  <c r="CS191" i="5"/>
  <c r="HX193" i="5"/>
  <c r="CU193" i="5"/>
  <c r="CY191" i="5"/>
  <c r="AL191" i="5"/>
  <c r="CS193" i="5"/>
  <c r="CZ191" i="5"/>
  <c r="DG193" i="5"/>
  <c r="EL191" i="5"/>
  <c r="CW191" i="5"/>
  <c r="CV191" i="5"/>
  <c r="DD193" i="5"/>
  <c r="DP191" i="5" s="1"/>
  <c r="DG191" i="5"/>
  <c r="CT191" i="5"/>
  <c r="FX191" i="5" s="1"/>
  <c r="FY191" i="5" s="1"/>
  <c r="CW193" i="5"/>
  <c r="CT193" i="5"/>
  <c r="HX191" i="5"/>
  <c r="CV193" i="5"/>
  <c r="AO191" i="5"/>
  <c r="EJ191" i="5" s="1"/>
  <c r="EF191" i="5"/>
  <c r="HX223" i="5"/>
  <c r="CU223" i="5"/>
  <c r="CY221" i="5"/>
  <c r="AL221" i="5"/>
  <c r="DG223" i="5"/>
  <c r="CT223" i="5"/>
  <c r="EL221" i="5"/>
  <c r="CS223" i="5"/>
  <c r="DG221" i="5"/>
  <c r="CW221" i="5"/>
  <c r="DC223" i="5"/>
  <c r="EI221" i="5" s="1"/>
  <c r="AL223" i="5"/>
  <c r="DC221" i="5"/>
  <c r="CS221" i="5"/>
  <c r="DD223" i="5"/>
  <c r="DP221" i="5" s="1"/>
  <c r="CW223" i="5"/>
  <c r="CZ221" i="5"/>
  <c r="CV223" i="5"/>
  <c r="CV221" i="5"/>
  <c r="HX221" i="5"/>
  <c r="AO221" i="5"/>
  <c r="EJ221" i="5" s="1"/>
  <c r="CT221" i="5"/>
  <c r="FX221" i="5" s="1"/>
  <c r="FY221" i="5" s="1"/>
  <c r="CS243" i="5"/>
  <c r="DG241" i="5"/>
  <c r="CW241" i="5"/>
  <c r="CV241" i="5"/>
  <c r="DD243" i="5"/>
  <c r="DP241" i="5" s="1"/>
  <c r="HX241" i="5"/>
  <c r="CT241" i="5"/>
  <c r="FX241" i="5" s="1"/>
  <c r="FY241" i="5" s="1"/>
  <c r="DC243" i="5"/>
  <c r="EI241" i="5" s="1"/>
  <c r="AL243" i="5"/>
  <c r="DC241" i="5"/>
  <c r="CS241" i="5"/>
  <c r="CW243" i="5"/>
  <c r="ED241" i="5" s="1"/>
  <c r="AO241" i="5"/>
  <c r="EJ241" i="5" s="1"/>
  <c r="CV243" i="5"/>
  <c r="CZ241" i="5"/>
  <c r="HX243" i="5"/>
  <c r="CU243" i="5"/>
  <c r="CY241" i="5"/>
  <c r="AL241" i="5"/>
  <c r="DG243" i="5"/>
  <c r="EF241" i="5" s="1"/>
  <c r="CT243" i="5"/>
  <c r="EL241" i="5"/>
  <c r="HX188" i="5"/>
  <c r="CU188" i="5"/>
  <c r="CY186" i="5"/>
  <c r="AL186" i="5"/>
  <c r="DG188" i="5"/>
  <c r="CT188" i="5"/>
  <c r="CS188" i="5"/>
  <c r="CV186" i="5"/>
  <c r="DD188" i="5"/>
  <c r="DP186" i="5" s="1"/>
  <c r="CV188" i="5"/>
  <c r="CZ186" i="5"/>
  <c r="CS186" i="5"/>
  <c r="HX186" i="5"/>
  <c r="EL186" i="5"/>
  <c r="DG186" i="5"/>
  <c r="DC188" i="5"/>
  <c r="EI186" i="5" s="1"/>
  <c r="CW188" i="5"/>
  <c r="DC186" i="5"/>
  <c r="CT186" i="5"/>
  <c r="FX186" i="5" s="1"/>
  <c r="FY186" i="5" s="1"/>
  <c r="AL188" i="5"/>
  <c r="CW186" i="5"/>
  <c r="AO186" i="5"/>
  <c r="EJ186" i="5" s="1"/>
  <c r="CS198" i="5"/>
  <c r="DG196" i="5"/>
  <c r="CW196" i="5"/>
  <c r="DD198" i="5"/>
  <c r="DP196" i="5" s="1"/>
  <c r="HX196" i="5"/>
  <c r="CT196" i="5"/>
  <c r="FX196" i="5" s="1"/>
  <c r="FY196" i="5" s="1"/>
  <c r="DC198" i="5"/>
  <c r="EI196" i="5" s="1"/>
  <c r="AL198" i="5"/>
  <c r="CW198" i="5"/>
  <c r="CV198" i="5"/>
  <c r="CZ196" i="5"/>
  <c r="CU198" i="5"/>
  <c r="CY196" i="5"/>
  <c r="HX198" i="5"/>
  <c r="CT198" i="5"/>
  <c r="AO196" i="5"/>
  <c r="EJ196" i="5" s="1"/>
  <c r="CV196" i="5"/>
  <c r="AL196" i="5"/>
  <c r="CS196" i="5"/>
  <c r="DG198" i="5"/>
  <c r="EF196" i="5" s="1"/>
  <c r="DC196" i="5"/>
  <c r="EL196" i="5"/>
  <c r="CV236" i="5"/>
  <c r="DD238" i="5"/>
  <c r="DP236" i="5" s="1"/>
  <c r="HX236" i="5"/>
  <c r="CT236" i="5"/>
  <c r="FX236" i="5" s="1"/>
  <c r="FY236" i="5" s="1"/>
  <c r="DC238" i="5"/>
  <c r="EI236" i="5" s="1"/>
  <c r="AL238" i="5"/>
  <c r="DC236" i="5"/>
  <c r="CS236" i="5"/>
  <c r="CW238" i="5"/>
  <c r="CV238" i="5"/>
  <c r="CZ236" i="5"/>
  <c r="HX238" i="5"/>
  <c r="CU238" i="5"/>
  <c r="CY236" i="5"/>
  <c r="AL236" i="5"/>
  <c r="DG238" i="5"/>
  <c r="EF236" i="5" s="1"/>
  <c r="CT238" i="5"/>
  <c r="EL236" i="5"/>
  <c r="CS238" i="5"/>
  <c r="DG236" i="5"/>
  <c r="CW236" i="5"/>
  <c r="AO236" i="5"/>
  <c r="EJ236" i="5" s="1"/>
  <c r="DD233" i="5"/>
  <c r="DP231" i="5" s="1"/>
  <c r="HX231" i="5"/>
  <c r="CT231" i="5"/>
  <c r="FX231" i="5" s="1"/>
  <c r="FY231" i="5" s="1"/>
  <c r="DC233" i="5"/>
  <c r="EI231" i="5" s="1"/>
  <c r="AL233" i="5"/>
  <c r="DC231" i="5"/>
  <c r="CS231" i="5"/>
  <c r="CW233" i="5"/>
  <c r="ED231" i="5" s="1"/>
  <c r="HX233" i="5"/>
  <c r="CU233" i="5"/>
  <c r="CY231" i="5"/>
  <c r="AL231" i="5"/>
  <c r="DG233" i="5"/>
  <c r="EF231" i="5" s="1"/>
  <c r="CT233" i="5"/>
  <c r="EL231" i="5"/>
  <c r="CS233" i="5"/>
  <c r="DG231" i="5"/>
  <c r="CW231" i="5"/>
  <c r="CV231" i="5"/>
  <c r="AO231" i="5"/>
  <c r="EJ231" i="5" s="1"/>
  <c r="CV233" i="5"/>
  <c r="CZ231" i="5"/>
  <c r="DD203" i="5"/>
  <c r="DP201" i="5" s="1"/>
  <c r="DC203" i="5"/>
  <c r="EI201" i="5" s="1"/>
  <c r="HX203" i="5"/>
  <c r="CV203" i="5"/>
  <c r="EL201" i="5"/>
  <c r="CU203" i="5"/>
  <c r="DG201" i="5"/>
  <c r="CW201" i="5"/>
  <c r="CT203" i="5"/>
  <c r="CV201" i="5"/>
  <c r="CS203" i="5"/>
  <c r="HX201" i="5"/>
  <c r="CT201" i="5"/>
  <c r="FX201" i="5" s="1"/>
  <c r="FY201" i="5" s="1"/>
  <c r="DG203" i="5"/>
  <c r="EF201" i="5" s="1"/>
  <c r="DC201" i="5"/>
  <c r="CS201" i="5"/>
  <c r="AL203" i="5"/>
  <c r="AO201" i="5"/>
  <c r="EJ201" i="5" s="1"/>
  <c r="CZ201" i="5"/>
  <c r="AL201" i="5"/>
  <c r="CW203" i="5"/>
  <c r="CY201" i="5"/>
  <c r="DG183" i="5"/>
  <c r="EF181" i="5" s="1"/>
  <c r="CT183" i="5"/>
  <c r="HX183" i="5"/>
  <c r="CU183" i="5"/>
  <c r="DC183" i="5"/>
  <c r="EI181" i="5" s="1"/>
  <c r="HX181" i="5"/>
  <c r="CT181" i="5"/>
  <c r="FX181" i="5" s="1"/>
  <c r="FY181" i="5" s="1"/>
  <c r="DD183" i="5"/>
  <c r="DP181" i="5" s="1"/>
  <c r="EL181" i="5"/>
  <c r="CV181" i="5"/>
  <c r="CW183" i="5"/>
  <c r="ED181" i="5" s="1"/>
  <c r="DC181" i="5"/>
  <c r="CS181" i="5"/>
  <c r="CV183" i="5"/>
  <c r="AO181" i="5"/>
  <c r="EJ181" i="5" s="1"/>
  <c r="CS183" i="5"/>
  <c r="CZ181" i="5"/>
  <c r="CY181" i="5"/>
  <c r="AL181" i="5"/>
  <c r="AL183" i="5"/>
  <c r="DG181" i="5"/>
  <c r="CW181" i="5"/>
  <c r="DD213" i="5"/>
  <c r="DP211" i="5" s="1"/>
  <c r="HX211" i="5"/>
  <c r="CT213" i="5"/>
  <c r="EL211" i="5"/>
  <c r="DG213" i="5"/>
  <c r="EF211" i="5" s="1"/>
  <c r="CS213" i="5"/>
  <c r="DG211" i="5"/>
  <c r="CW211" i="5"/>
  <c r="CV211" i="5"/>
  <c r="HX213" i="5"/>
  <c r="DC213" i="5"/>
  <c r="EI211" i="5" s="1"/>
  <c r="DC211" i="5"/>
  <c r="CS211" i="5"/>
  <c r="CZ211" i="5"/>
  <c r="CY211" i="5"/>
  <c r="AO211" i="5"/>
  <c r="EJ211" i="5" s="1"/>
  <c r="CT211" i="5"/>
  <c r="FX211" i="5" s="1"/>
  <c r="FY211" i="5" s="1"/>
  <c r="CW213" i="5"/>
  <c r="AL211" i="5"/>
  <c r="CV213" i="5"/>
  <c r="CU213" i="5"/>
  <c r="AL213" i="5"/>
  <c r="DG218" i="5"/>
  <c r="EF216" i="5" s="1"/>
  <c r="CT218" i="5"/>
  <c r="EL216" i="5"/>
  <c r="CV216" i="5"/>
  <c r="CW218" i="5"/>
  <c r="AO216" i="5"/>
  <c r="EJ216" i="5" s="1"/>
  <c r="CY216" i="5"/>
  <c r="DD218" i="5"/>
  <c r="DP216" i="5" s="1"/>
  <c r="CW216" i="5"/>
  <c r="DC218" i="5"/>
  <c r="EI216" i="5" s="1"/>
  <c r="HX216" i="5"/>
  <c r="CT216" i="5"/>
  <c r="FX216" i="5" s="1"/>
  <c r="FY216" i="5" s="1"/>
  <c r="CV218" i="5"/>
  <c r="CS216" i="5"/>
  <c r="AL216" i="5"/>
  <c r="CS218" i="5"/>
  <c r="HX218" i="5"/>
  <c r="DG216" i="5"/>
  <c r="DC216" i="5"/>
  <c r="CU218" i="5"/>
  <c r="CZ216" i="5"/>
  <c r="AL218" i="5"/>
  <c r="CW173" i="5"/>
  <c r="ED171" i="5" s="1"/>
  <c r="AO171" i="5"/>
  <c r="EJ171" i="5" s="1"/>
  <c r="CV173" i="5"/>
  <c r="CZ171" i="5"/>
  <c r="HX173" i="5"/>
  <c r="CU173" i="5"/>
  <c r="CY171" i="5"/>
  <c r="AL171" i="5"/>
  <c r="DG173" i="5"/>
  <c r="CT173" i="5"/>
  <c r="EL171" i="5"/>
  <c r="CS173" i="5"/>
  <c r="DG171" i="5"/>
  <c r="CW171" i="5"/>
  <c r="CV171" i="5"/>
  <c r="DD173" i="5"/>
  <c r="DP171" i="5" s="1"/>
  <c r="HX171" i="5"/>
  <c r="CT171" i="5"/>
  <c r="FX171" i="5" s="1"/>
  <c r="FY171" i="5" s="1"/>
  <c r="CS171" i="5"/>
  <c r="DC173" i="5"/>
  <c r="EI171" i="5" s="1"/>
  <c r="AL173" i="5"/>
  <c r="DC171" i="5"/>
  <c r="DC178" i="5"/>
  <c r="EI176" i="5" s="1"/>
  <c r="AL178" i="5"/>
  <c r="DC176" i="5"/>
  <c r="CS176" i="5"/>
  <c r="CW178" i="5"/>
  <c r="ED176" i="5" s="1"/>
  <c r="AO176" i="5"/>
  <c r="EJ176" i="5" s="1"/>
  <c r="CV178" i="5"/>
  <c r="CZ176" i="5"/>
  <c r="HX178" i="5"/>
  <c r="CU178" i="5"/>
  <c r="CY176" i="5"/>
  <c r="AL176" i="5"/>
  <c r="DG178" i="5"/>
  <c r="EF176" i="5" s="1"/>
  <c r="CT178" i="5"/>
  <c r="EL176" i="5"/>
  <c r="CS178" i="5"/>
  <c r="DG176" i="5"/>
  <c r="CW176" i="5"/>
  <c r="CV176" i="5"/>
  <c r="DD178" i="5"/>
  <c r="DP176" i="5" s="1"/>
  <c r="HX176" i="5"/>
  <c r="CT176" i="5"/>
  <c r="FX176" i="5" s="1"/>
  <c r="FY176" i="5" s="1"/>
  <c r="CZ133" i="5"/>
  <c r="CT155" i="5"/>
  <c r="FD153" i="5" s="1"/>
  <c r="CZ153" i="5"/>
  <c r="DD155" i="5"/>
  <c r="DP153" i="5" s="1"/>
  <c r="DS153" i="5" s="1"/>
  <c r="DX153" i="5" s="1"/>
  <c r="HX306" i="5"/>
  <c r="CU306" i="5"/>
  <c r="DG306" i="5"/>
  <c r="CT306" i="5"/>
  <c r="DD306" i="5"/>
  <c r="DP304" i="5" s="1"/>
  <c r="CW306" i="5"/>
  <c r="ED304" i="5" s="1"/>
  <c r="CZ304" i="5"/>
  <c r="CV306" i="5"/>
  <c r="CY304" i="5"/>
  <c r="AL304" i="5"/>
  <c r="CS306" i="5"/>
  <c r="EL304" i="5"/>
  <c r="DG304" i="5"/>
  <c r="CW304" i="5"/>
  <c r="AL306" i="5"/>
  <c r="CV304" i="5"/>
  <c r="HX304" i="5"/>
  <c r="CT304" i="5"/>
  <c r="FX304" i="5" s="1"/>
  <c r="FY304" i="5" s="1"/>
  <c r="DC304" i="5"/>
  <c r="CS304" i="5"/>
  <c r="DC306" i="5"/>
  <c r="EI304" i="5" s="1"/>
  <c r="AO304" i="5"/>
  <c r="EJ304" i="5" s="1"/>
  <c r="CS281" i="5"/>
  <c r="DG279" i="5"/>
  <c r="CW279" i="5"/>
  <c r="CV279" i="5"/>
  <c r="DC281" i="5"/>
  <c r="EI279" i="5" s="1"/>
  <c r="AL281" i="5"/>
  <c r="DC279" i="5"/>
  <c r="CS279" i="5"/>
  <c r="CW281" i="5"/>
  <c r="ED279" i="5" s="1"/>
  <c r="AO279" i="5"/>
  <c r="EJ279" i="5" s="1"/>
  <c r="CV281" i="5"/>
  <c r="CZ279" i="5"/>
  <c r="HX281" i="5"/>
  <c r="CU281" i="5"/>
  <c r="CY279" i="5"/>
  <c r="AL279" i="5"/>
  <c r="DG281" i="5"/>
  <c r="EF279" i="5" s="1"/>
  <c r="CT281" i="5"/>
  <c r="EL279" i="5"/>
  <c r="HX279" i="5"/>
  <c r="CT279" i="5"/>
  <c r="FX279" i="5" s="1"/>
  <c r="FY279" i="5" s="1"/>
  <c r="DD281" i="5"/>
  <c r="DP279" i="5" s="1"/>
  <c r="DC291" i="5"/>
  <c r="EI289" i="5" s="1"/>
  <c r="AL291" i="5"/>
  <c r="HX291" i="5"/>
  <c r="DG291" i="5"/>
  <c r="EF289" i="5" s="1"/>
  <c r="CT291" i="5"/>
  <c r="CY289" i="5"/>
  <c r="AL289" i="5"/>
  <c r="DD291" i="5"/>
  <c r="DP289" i="5" s="1"/>
  <c r="EL289" i="5"/>
  <c r="CV291" i="5"/>
  <c r="CV289" i="5"/>
  <c r="CU291" i="5"/>
  <c r="HX289" i="5"/>
  <c r="CT289" i="5"/>
  <c r="FX289" i="5" s="1"/>
  <c r="FY289" i="5" s="1"/>
  <c r="CS291" i="5"/>
  <c r="DC289" i="5"/>
  <c r="CS289" i="5"/>
  <c r="AO289" i="5"/>
  <c r="EJ289" i="5" s="1"/>
  <c r="CZ289" i="5"/>
  <c r="CW291" i="5"/>
  <c r="DG289" i="5"/>
  <c r="CW289" i="5"/>
  <c r="DC271" i="5"/>
  <c r="EI269" i="5" s="1"/>
  <c r="AL271" i="5"/>
  <c r="DC269" i="5"/>
  <c r="CS269" i="5"/>
  <c r="CW271" i="5"/>
  <c r="AO269" i="5"/>
  <c r="EJ269" i="5" s="1"/>
  <c r="CV271" i="5"/>
  <c r="CZ269" i="5"/>
  <c r="CU271" i="5"/>
  <c r="CY269" i="5"/>
  <c r="AL269" i="5"/>
  <c r="DG271" i="5"/>
  <c r="EF269" i="5" s="1"/>
  <c r="CT271" i="5"/>
  <c r="EL269" i="5"/>
  <c r="HX271" i="5"/>
  <c r="CS271" i="5"/>
  <c r="DG269" i="5"/>
  <c r="CW269" i="5"/>
  <c r="CV269" i="5"/>
  <c r="DD271" i="5"/>
  <c r="DP269" i="5" s="1"/>
  <c r="HX269" i="5"/>
  <c r="CT269" i="5"/>
  <c r="FX269" i="5" s="1"/>
  <c r="FY269" i="5" s="1"/>
  <c r="CV321" i="5"/>
  <c r="CZ319" i="5"/>
  <c r="DG321" i="5"/>
  <c r="EF319" i="5" s="1"/>
  <c r="CT321" i="5"/>
  <c r="CS321" i="5"/>
  <c r="CV319" i="5"/>
  <c r="DD321" i="5"/>
  <c r="DP319" i="5" s="1"/>
  <c r="HX319" i="5"/>
  <c r="CT319" i="5"/>
  <c r="FX319" i="5" s="1"/>
  <c r="FY319" i="5" s="1"/>
  <c r="AO319" i="5"/>
  <c r="EJ319" i="5" s="1"/>
  <c r="DC321" i="5"/>
  <c r="EI319" i="5" s="1"/>
  <c r="DG319" i="5"/>
  <c r="CS319" i="5"/>
  <c r="AL319" i="5"/>
  <c r="HX321" i="5"/>
  <c r="CW321" i="5"/>
  <c r="CU321" i="5"/>
  <c r="DC319" i="5"/>
  <c r="AL321" i="5"/>
  <c r="CY319" i="5"/>
  <c r="CW319" i="5"/>
  <c r="EL319" i="5"/>
  <c r="AL153" i="5"/>
  <c r="CW155" i="5"/>
  <c r="CV153" i="5"/>
  <c r="CV261" i="5"/>
  <c r="CZ259" i="5"/>
  <c r="HX261" i="5"/>
  <c r="CU261" i="5"/>
  <c r="CY259" i="5"/>
  <c r="AL259" i="5"/>
  <c r="DG261" i="5"/>
  <c r="EF259" i="5" s="1"/>
  <c r="CT261" i="5"/>
  <c r="EL259" i="5"/>
  <c r="CS261" i="5"/>
  <c r="DG259" i="5"/>
  <c r="CW259" i="5"/>
  <c r="CV259" i="5"/>
  <c r="DD261" i="5"/>
  <c r="DP259" i="5" s="1"/>
  <c r="HX259" i="5"/>
  <c r="CT259" i="5"/>
  <c r="FX259" i="5" s="1"/>
  <c r="FY259" i="5" s="1"/>
  <c r="DC261" i="5"/>
  <c r="EI259" i="5" s="1"/>
  <c r="AL261" i="5"/>
  <c r="DC259" i="5"/>
  <c r="CS259" i="5"/>
  <c r="CW261" i="5"/>
  <c r="AO259" i="5"/>
  <c r="EJ259" i="5" s="1"/>
  <c r="DG296" i="5"/>
  <c r="EF294" i="5" s="1"/>
  <c r="CT296" i="5"/>
  <c r="EL294" i="5"/>
  <c r="CS296" i="5"/>
  <c r="DD296" i="5"/>
  <c r="DP294" i="5" s="1"/>
  <c r="HX294" i="5"/>
  <c r="CT294" i="5"/>
  <c r="FX294" i="5" s="1"/>
  <c r="FY294" i="5" s="1"/>
  <c r="DC296" i="5"/>
  <c r="EI294" i="5" s="1"/>
  <c r="AL296" i="5"/>
  <c r="CV296" i="5"/>
  <c r="CZ294" i="5"/>
  <c r="HX296" i="5"/>
  <c r="CU296" i="5"/>
  <c r="CY294" i="5"/>
  <c r="AL294" i="5"/>
  <c r="DC294" i="5"/>
  <c r="CV294" i="5"/>
  <c r="AO294" i="5"/>
  <c r="EJ294" i="5" s="1"/>
  <c r="CS294" i="5"/>
  <c r="CW296" i="5"/>
  <c r="DG294" i="5"/>
  <c r="CW294" i="5"/>
  <c r="DC135" i="5"/>
  <c r="EI133" i="5" s="1"/>
  <c r="CY153" i="5"/>
  <c r="CS153" i="5"/>
  <c r="CW153" i="5"/>
  <c r="HX316" i="5"/>
  <c r="CU316" i="5"/>
  <c r="DD316" i="5"/>
  <c r="DP314" i="5" s="1"/>
  <c r="CS316" i="5"/>
  <c r="AO314" i="5"/>
  <c r="EJ314" i="5" s="1"/>
  <c r="DG316" i="5"/>
  <c r="EF314" i="5" s="1"/>
  <c r="CZ314" i="5"/>
  <c r="AL316" i="5"/>
  <c r="CY314" i="5"/>
  <c r="AL314" i="5"/>
  <c r="EL314" i="5"/>
  <c r="DC316" i="5"/>
  <c r="EI314" i="5" s="1"/>
  <c r="DG314" i="5"/>
  <c r="CW314" i="5"/>
  <c r="CV316" i="5"/>
  <c r="DC314" i="5"/>
  <c r="CW316" i="5"/>
  <c r="CV314" i="5"/>
  <c r="CT316" i="5"/>
  <c r="HX314" i="5"/>
  <c r="CT314" i="5"/>
  <c r="FX314" i="5" s="1"/>
  <c r="FY314" i="5" s="1"/>
  <c r="CS314" i="5"/>
  <c r="HX256" i="5"/>
  <c r="CU256" i="5"/>
  <c r="CY254" i="5"/>
  <c r="AL254" i="5"/>
  <c r="DG256" i="5"/>
  <c r="EF254" i="5" s="1"/>
  <c r="CT256" i="5"/>
  <c r="EL254" i="5"/>
  <c r="CS256" i="5"/>
  <c r="DG254" i="5"/>
  <c r="CW254" i="5"/>
  <c r="CV254" i="5"/>
  <c r="DD256" i="5"/>
  <c r="DP254" i="5" s="1"/>
  <c r="HX254" i="5"/>
  <c r="CT254" i="5"/>
  <c r="FX254" i="5" s="1"/>
  <c r="FY254" i="5" s="1"/>
  <c r="DC256" i="5"/>
  <c r="EI254" i="5" s="1"/>
  <c r="AL256" i="5"/>
  <c r="DC254" i="5"/>
  <c r="CS254" i="5"/>
  <c r="CW256" i="5"/>
  <c r="AO254" i="5"/>
  <c r="EJ254" i="5" s="1"/>
  <c r="CV256" i="5"/>
  <c r="CZ254" i="5"/>
  <c r="CT133" i="5"/>
  <c r="FX133" i="5" s="1"/>
  <c r="FY133" i="5" s="1"/>
  <c r="CU155" i="5"/>
  <c r="EH153" i="5" s="1"/>
  <c r="DC153" i="5"/>
  <c r="DG153" i="5"/>
  <c r="HX135" i="5"/>
  <c r="CU135" i="5"/>
  <c r="HX155" i="5"/>
  <c r="AL155" i="5"/>
  <c r="HX301" i="5"/>
  <c r="CU301" i="5"/>
  <c r="CY299" i="5"/>
  <c r="AL299" i="5"/>
  <c r="DG301" i="5"/>
  <c r="CT301" i="5"/>
  <c r="EL299" i="5"/>
  <c r="CS301" i="5"/>
  <c r="DG299" i="5"/>
  <c r="CW299" i="5"/>
  <c r="CV299" i="5"/>
  <c r="DD301" i="5"/>
  <c r="DP299" i="5" s="1"/>
  <c r="HX299" i="5"/>
  <c r="CT299" i="5"/>
  <c r="FX299" i="5" s="1"/>
  <c r="FY299" i="5" s="1"/>
  <c r="DC301" i="5"/>
  <c r="EI299" i="5" s="1"/>
  <c r="AL301" i="5"/>
  <c r="DC299" i="5"/>
  <c r="CS299" i="5"/>
  <c r="CW301" i="5"/>
  <c r="ED299" i="5" s="1"/>
  <c r="AO299" i="5"/>
  <c r="EJ299" i="5" s="1"/>
  <c r="CV301" i="5"/>
  <c r="CZ299" i="5"/>
  <c r="CV274" i="5"/>
  <c r="DD276" i="5"/>
  <c r="DP274" i="5" s="1"/>
  <c r="HX274" i="5"/>
  <c r="CT274" i="5"/>
  <c r="FX274" i="5" s="1"/>
  <c r="FY274" i="5" s="1"/>
  <c r="CW276" i="5"/>
  <c r="AO274" i="5"/>
  <c r="EJ274" i="5" s="1"/>
  <c r="CV276" i="5"/>
  <c r="CZ274" i="5"/>
  <c r="HX276" i="5"/>
  <c r="CU276" i="5"/>
  <c r="CY274" i="5"/>
  <c r="AL274" i="5"/>
  <c r="DG276" i="5"/>
  <c r="CT276" i="5"/>
  <c r="EL274" i="5"/>
  <c r="CS276" i="5"/>
  <c r="DG274" i="5"/>
  <c r="CW274" i="5"/>
  <c r="DC274" i="5"/>
  <c r="CS274" i="5"/>
  <c r="DC276" i="5"/>
  <c r="EI274" i="5" s="1"/>
  <c r="AL276" i="5"/>
  <c r="DG286" i="5"/>
  <c r="EF284" i="5" s="1"/>
  <c r="CT286" i="5"/>
  <c r="EL284" i="5"/>
  <c r="CS286" i="5"/>
  <c r="DG284" i="5"/>
  <c r="CW284" i="5"/>
  <c r="DD286" i="5"/>
  <c r="DP284" i="5" s="1"/>
  <c r="HX284" i="5"/>
  <c r="CT284" i="5"/>
  <c r="FX284" i="5" s="1"/>
  <c r="FY284" i="5" s="1"/>
  <c r="DC286" i="5"/>
  <c r="EI284" i="5" s="1"/>
  <c r="AL286" i="5"/>
  <c r="DC284" i="5"/>
  <c r="CS284" i="5"/>
  <c r="CW286" i="5"/>
  <c r="ED284" i="5" s="1"/>
  <c r="AO284" i="5"/>
  <c r="EJ284" i="5" s="1"/>
  <c r="CV286" i="5"/>
  <c r="CZ284" i="5"/>
  <c r="HX286" i="5"/>
  <c r="CU286" i="5"/>
  <c r="CY284" i="5"/>
  <c r="AL284" i="5"/>
  <c r="CV284" i="5"/>
  <c r="EL133" i="5"/>
  <c r="AO153" i="5"/>
  <c r="EJ153" i="5" s="1"/>
  <c r="CV311" i="5"/>
  <c r="CZ309" i="5"/>
  <c r="HX311" i="5"/>
  <c r="CU311" i="5"/>
  <c r="CY309" i="5"/>
  <c r="AL309" i="5"/>
  <c r="DG311" i="5"/>
  <c r="EF309" i="5" s="1"/>
  <c r="CT311" i="5"/>
  <c r="CS311" i="5"/>
  <c r="CV309" i="5"/>
  <c r="CW309" i="5"/>
  <c r="DD311" i="5"/>
  <c r="DP309" i="5" s="1"/>
  <c r="CT309" i="5"/>
  <c r="FX309" i="5" s="1"/>
  <c r="FY309" i="5" s="1"/>
  <c r="DC311" i="5"/>
  <c r="EI309" i="5" s="1"/>
  <c r="CS309" i="5"/>
  <c r="AO309" i="5"/>
  <c r="EJ309" i="5" s="1"/>
  <c r="CW311" i="5"/>
  <c r="ED309" i="5" s="1"/>
  <c r="HX309" i="5"/>
  <c r="EL309" i="5"/>
  <c r="DG309" i="5"/>
  <c r="AL311" i="5"/>
  <c r="DC309" i="5"/>
  <c r="DG251" i="5"/>
  <c r="EF249" i="5" s="1"/>
  <c r="CT251" i="5"/>
  <c r="EL249" i="5"/>
  <c r="CS251" i="5"/>
  <c r="DG249" i="5"/>
  <c r="CW249" i="5"/>
  <c r="AO249" i="5"/>
  <c r="EJ249" i="5" s="1"/>
  <c r="CV249" i="5"/>
  <c r="DD251" i="5"/>
  <c r="DP249" i="5" s="1"/>
  <c r="HX249" i="5"/>
  <c r="CT249" i="5"/>
  <c r="FX249" i="5" s="1"/>
  <c r="FY249" i="5" s="1"/>
  <c r="DC251" i="5"/>
  <c r="EI249" i="5" s="1"/>
  <c r="AL251" i="5"/>
  <c r="DC249" i="5"/>
  <c r="CS249" i="5"/>
  <c r="CW251" i="5"/>
  <c r="CV251" i="5"/>
  <c r="CZ249" i="5"/>
  <c r="HX251" i="5"/>
  <c r="CU251" i="5"/>
  <c r="EH249" i="5" s="1"/>
  <c r="CY249" i="5"/>
  <c r="AL249" i="5"/>
  <c r="AL133" i="5"/>
  <c r="EL153" i="5"/>
  <c r="HX153" i="5"/>
  <c r="CW266" i="5"/>
  <c r="ED264" i="5" s="1"/>
  <c r="AO264" i="5"/>
  <c r="EJ264" i="5" s="1"/>
  <c r="CV266" i="5"/>
  <c r="CZ264" i="5"/>
  <c r="HX266" i="5"/>
  <c r="CU266" i="5"/>
  <c r="CY264" i="5"/>
  <c r="AL264" i="5"/>
  <c r="DG266" i="5"/>
  <c r="CT266" i="5"/>
  <c r="EL264" i="5"/>
  <c r="CS266" i="5"/>
  <c r="DG264" i="5"/>
  <c r="CW264" i="5"/>
  <c r="CV264" i="5"/>
  <c r="DD266" i="5"/>
  <c r="DP264" i="5" s="1"/>
  <c r="HX264" i="5"/>
  <c r="CT264" i="5"/>
  <c r="FX264" i="5" s="1"/>
  <c r="FY264" i="5" s="1"/>
  <c r="DC266" i="5"/>
  <c r="EI264" i="5" s="1"/>
  <c r="AL266" i="5"/>
  <c r="DC264" i="5"/>
  <c r="CS264" i="5"/>
  <c r="DD135" i="5"/>
  <c r="DP133" i="5" s="1"/>
  <c r="DQ133" i="5" s="1"/>
  <c r="CW135" i="5"/>
  <c r="ED133" i="5" s="1"/>
  <c r="CV133" i="5"/>
  <c r="CT135" i="5"/>
  <c r="FD133" i="5" s="1"/>
  <c r="DC133" i="5"/>
  <c r="CW133" i="5"/>
  <c r="DG135" i="5"/>
  <c r="EF133" i="5" s="1"/>
  <c r="AL135" i="5"/>
  <c r="DG133" i="5"/>
  <c r="CS135" i="5"/>
  <c r="CY133" i="5"/>
  <c r="CV135" i="5"/>
  <c r="CT153" i="5"/>
  <c r="FX153" i="5" s="1"/>
  <c r="FY153" i="5" s="1"/>
  <c r="ED163" i="5"/>
  <c r="CW143" i="5"/>
  <c r="DG145" i="5"/>
  <c r="EF143" i="5" s="1"/>
  <c r="AO143" i="5"/>
  <c r="EJ143" i="5" s="1"/>
  <c r="CT143" i="5"/>
  <c r="FX143" i="5" s="1"/>
  <c r="FY143" i="5" s="1"/>
  <c r="DC143" i="5"/>
  <c r="AL143" i="5"/>
  <c r="AL145" i="5"/>
  <c r="DG143" i="5"/>
  <c r="CY143" i="5"/>
  <c r="DC145" i="5"/>
  <c r="EI143" i="5" s="1"/>
  <c r="CS145" i="5"/>
  <c r="CS160" i="5"/>
  <c r="CW158" i="5"/>
  <c r="CV158" i="5"/>
  <c r="DD160" i="5"/>
  <c r="DP158" i="5" s="1"/>
  <c r="HX158" i="5"/>
  <c r="CT158" i="5"/>
  <c r="FX158" i="5" s="1"/>
  <c r="FY158" i="5" s="1"/>
  <c r="DC158" i="5"/>
  <c r="DC160" i="5"/>
  <c r="EI158" i="5" s="1"/>
  <c r="AL160" i="5"/>
  <c r="CS158" i="5"/>
  <c r="CW160" i="5"/>
  <c r="ED158" i="5" s="1"/>
  <c r="AO158" i="5"/>
  <c r="EJ158" i="5" s="1"/>
  <c r="HX160" i="5"/>
  <c r="CU160" i="5"/>
  <c r="CY158" i="5"/>
  <c r="AL158" i="5"/>
  <c r="CV160" i="5"/>
  <c r="CZ158" i="5"/>
  <c r="DG160" i="5"/>
  <c r="EF158" i="5" s="1"/>
  <c r="CT160" i="5"/>
  <c r="EL158" i="5"/>
  <c r="DG158" i="5"/>
  <c r="CU145" i="5"/>
  <c r="HX143" i="5"/>
  <c r="HX145" i="5"/>
  <c r="DD145" i="5"/>
  <c r="DP143" i="5" s="1"/>
  <c r="DQ143" i="5" s="1"/>
  <c r="CW145" i="5"/>
  <c r="EL143" i="5"/>
  <c r="CZ143" i="5"/>
  <c r="CV143" i="5"/>
  <c r="CT145" i="5"/>
  <c r="FD143" i="5" s="1"/>
  <c r="CV145" i="5"/>
  <c r="HX95" i="5"/>
  <c r="CS150" i="5"/>
  <c r="DG148" i="5"/>
  <c r="CW148" i="5"/>
  <c r="CV148" i="5"/>
  <c r="DD150" i="5"/>
  <c r="DP148" i="5" s="1"/>
  <c r="HX148" i="5"/>
  <c r="CT148" i="5"/>
  <c r="FX148" i="5" s="1"/>
  <c r="FY148" i="5" s="1"/>
  <c r="AO148" i="5"/>
  <c r="EJ148" i="5" s="1"/>
  <c r="DC150" i="5"/>
  <c r="EI148" i="5" s="1"/>
  <c r="AL150" i="5"/>
  <c r="DC148" i="5"/>
  <c r="CS148" i="5"/>
  <c r="CW150" i="5"/>
  <c r="CV150" i="5"/>
  <c r="CZ148" i="5"/>
  <c r="HX150" i="5"/>
  <c r="CU150" i="5"/>
  <c r="EH148" i="5" s="1"/>
  <c r="CY148" i="5"/>
  <c r="AL148" i="5"/>
  <c r="DG150" i="5"/>
  <c r="EF148" i="5" s="1"/>
  <c r="CT150" i="5"/>
  <c r="EL148" i="5"/>
  <c r="DG125" i="5"/>
  <c r="CY113" i="5"/>
  <c r="AL95" i="5"/>
  <c r="CT115" i="5"/>
  <c r="FD113" i="5" s="1"/>
  <c r="DC95" i="5"/>
  <c r="EI93" i="5" s="1"/>
  <c r="DD115" i="5"/>
  <c r="DP113" i="5" s="1"/>
  <c r="DQ115" i="5" s="1"/>
  <c r="AO123" i="5"/>
  <c r="EJ123" i="5" s="1"/>
  <c r="DG113" i="5"/>
  <c r="DC123" i="5"/>
  <c r="CS140" i="5"/>
  <c r="DG138" i="5"/>
  <c r="CW138" i="5"/>
  <c r="CV138" i="5"/>
  <c r="DD140" i="5"/>
  <c r="DP138" i="5" s="1"/>
  <c r="HX138" i="5"/>
  <c r="CT138" i="5"/>
  <c r="FX138" i="5" s="1"/>
  <c r="FY138" i="5" s="1"/>
  <c r="DC140" i="5"/>
  <c r="EI138" i="5" s="1"/>
  <c r="AL140" i="5"/>
  <c r="DC138" i="5"/>
  <c r="CS138" i="5"/>
  <c r="CW140" i="5"/>
  <c r="ED138" i="5" s="1"/>
  <c r="AO138" i="5"/>
  <c r="EJ138" i="5" s="1"/>
  <c r="CV140" i="5"/>
  <c r="CZ138" i="5"/>
  <c r="HX140" i="5"/>
  <c r="CU140" i="5"/>
  <c r="CY138" i="5"/>
  <c r="AL138" i="5"/>
  <c r="DG140" i="5"/>
  <c r="EF138" i="5" s="1"/>
  <c r="CT140" i="5"/>
  <c r="EL138" i="5"/>
  <c r="CU95" i="5"/>
  <c r="DD105" i="5"/>
  <c r="DP103" i="5" s="1"/>
  <c r="DQ105" i="5" s="1"/>
  <c r="AL113" i="5"/>
  <c r="CZ113" i="5"/>
  <c r="HX113" i="5"/>
  <c r="HX125" i="5"/>
  <c r="DC125" i="5"/>
  <c r="EI123" i="5" s="1"/>
  <c r="CZ123" i="5"/>
  <c r="CT123" i="5"/>
  <c r="FX123" i="5" s="1"/>
  <c r="FY123" i="5" s="1"/>
  <c r="AO113" i="5"/>
  <c r="EJ113" i="5" s="1"/>
  <c r="CV113" i="5"/>
  <c r="EL123" i="5"/>
  <c r="CV125" i="5"/>
  <c r="HX123" i="5"/>
  <c r="CW115" i="5"/>
  <c r="ED113" i="5" s="1"/>
  <c r="EL113" i="5"/>
  <c r="CT125" i="5"/>
  <c r="FD123" i="5" s="1"/>
  <c r="CV123" i="5"/>
  <c r="DD125" i="5"/>
  <c r="DP123" i="5" s="1"/>
  <c r="DQ125" i="5" s="1"/>
  <c r="DG115" i="5"/>
  <c r="EF113" i="5" s="1"/>
  <c r="AL123" i="5"/>
  <c r="CW125" i="5"/>
  <c r="CW123" i="5"/>
  <c r="CW80" i="5"/>
  <c r="DJ80" i="5" s="1"/>
  <c r="EC80" i="5" s="1"/>
  <c r="CU115" i="5"/>
  <c r="EH113" i="5" s="1"/>
  <c r="AL115" i="5"/>
  <c r="CY123" i="5"/>
  <c r="CS123" i="5"/>
  <c r="DG123" i="5"/>
  <c r="HX115" i="5"/>
  <c r="CT113" i="5"/>
  <c r="FX113" i="5" s="1"/>
  <c r="FY113" i="5" s="1"/>
  <c r="CU125" i="5"/>
  <c r="EH123" i="5" s="1"/>
  <c r="AL125" i="5"/>
  <c r="CV128" i="5"/>
  <c r="DD130" i="5"/>
  <c r="DP128" i="5" s="1"/>
  <c r="HX128" i="5"/>
  <c r="CT128" i="5"/>
  <c r="FX128" i="5" s="1"/>
  <c r="FY128" i="5" s="1"/>
  <c r="AO128" i="5"/>
  <c r="EJ128" i="5" s="1"/>
  <c r="DC130" i="5"/>
  <c r="EI128" i="5" s="1"/>
  <c r="AL130" i="5"/>
  <c r="DC128" i="5"/>
  <c r="CS128" i="5"/>
  <c r="CW130" i="5"/>
  <c r="CV130" i="5"/>
  <c r="CZ128" i="5"/>
  <c r="HX130" i="5"/>
  <c r="CU130" i="5"/>
  <c r="CY128" i="5"/>
  <c r="AL128" i="5"/>
  <c r="DG128" i="5"/>
  <c r="DG130" i="5"/>
  <c r="CT130" i="5"/>
  <c r="EL128" i="5"/>
  <c r="CS130" i="5"/>
  <c r="CW128" i="5"/>
  <c r="DG103" i="5"/>
  <c r="CS113" i="5"/>
  <c r="CS72" i="5"/>
  <c r="CY93" i="5"/>
  <c r="DC93" i="5"/>
  <c r="CV72" i="5"/>
  <c r="CS70" i="5"/>
  <c r="EL80" i="5"/>
  <c r="CZ93" i="5"/>
  <c r="CT93" i="5"/>
  <c r="FX93" i="5" s="1"/>
  <c r="FY93" i="5" s="1"/>
  <c r="EF123" i="5"/>
  <c r="HX82" i="5"/>
  <c r="EL93" i="5"/>
  <c r="CV95" i="5"/>
  <c r="HX93" i="5"/>
  <c r="CT105" i="5"/>
  <c r="FD103" i="5" s="1"/>
  <c r="AO80" i="5"/>
  <c r="EJ80" i="5" s="1"/>
  <c r="CT95" i="5"/>
  <c r="FD93" i="5" s="1"/>
  <c r="AO93" i="5"/>
  <c r="EJ93" i="5" s="1"/>
  <c r="DD95" i="5"/>
  <c r="DP93" i="5" s="1"/>
  <c r="DQ93" i="5" s="1"/>
  <c r="CV105" i="5"/>
  <c r="DC113" i="5"/>
  <c r="CW113" i="5"/>
  <c r="AL82" i="5"/>
  <c r="DG95" i="5"/>
  <c r="EF93" i="5" s="1"/>
  <c r="CW95" i="5"/>
  <c r="CX93" i="5" s="1"/>
  <c r="DG93" i="5"/>
  <c r="DJ93" i="5" s="1"/>
  <c r="EC93" i="5" s="1"/>
  <c r="DC103" i="5"/>
  <c r="DG72" i="5"/>
  <c r="EF70" i="5" s="1"/>
  <c r="AL93" i="5"/>
  <c r="CS93" i="5"/>
  <c r="CS95" i="5"/>
  <c r="DC105" i="5"/>
  <c r="EI103" i="5" s="1"/>
  <c r="CV115" i="5"/>
  <c r="DC115" i="5"/>
  <c r="EI113" i="5" s="1"/>
  <c r="CV82" i="5"/>
  <c r="DG105" i="5"/>
  <c r="EF103" i="5" s="1"/>
  <c r="AL105" i="5"/>
  <c r="CV103" i="5"/>
  <c r="CY103" i="5"/>
  <c r="AL103" i="5"/>
  <c r="CS105" i="5"/>
  <c r="CS120" i="5"/>
  <c r="DG118" i="5"/>
  <c r="CW118" i="5"/>
  <c r="CV118" i="5"/>
  <c r="DD120" i="5"/>
  <c r="DP118" i="5" s="1"/>
  <c r="HX118" i="5"/>
  <c r="CT118" i="5"/>
  <c r="FX118" i="5" s="1"/>
  <c r="FY118" i="5" s="1"/>
  <c r="AO118" i="5"/>
  <c r="EJ118" i="5" s="1"/>
  <c r="DC120" i="5"/>
  <c r="EI118" i="5" s="1"/>
  <c r="AL120" i="5"/>
  <c r="DC118" i="5"/>
  <c r="CS118" i="5"/>
  <c r="CW120" i="5"/>
  <c r="CV120" i="5"/>
  <c r="CZ118" i="5"/>
  <c r="HX120" i="5"/>
  <c r="CU120" i="5"/>
  <c r="CY118" i="5"/>
  <c r="AL118" i="5"/>
  <c r="DG120" i="5"/>
  <c r="CT120" i="5"/>
  <c r="EL118" i="5"/>
  <c r="CT82" i="5"/>
  <c r="FD80" i="5" s="1"/>
  <c r="DC82" i="5"/>
  <c r="EI80" i="5" s="1"/>
  <c r="CW105" i="5"/>
  <c r="ED103" i="5" s="1"/>
  <c r="CU105" i="5"/>
  <c r="AL80" i="5"/>
  <c r="CW82" i="5"/>
  <c r="ED80" i="5" s="1"/>
  <c r="CZ103" i="5"/>
  <c r="HX105" i="5"/>
  <c r="CY80" i="5"/>
  <c r="HX80" i="5"/>
  <c r="CV93" i="5"/>
  <c r="CW103" i="5"/>
  <c r="AO103" i="5"/>
  <c r="EJ103" i="5" s="1"/>
  <c r="CT103" i="5"/>
  <c r="FX103" i="5" s="1"/>
  <c r="FY103" i="5" s="1"/>
  <c r="CU82" i="5"/>
  <c r="EL103" i="5"/>
  <c r="CS103" i="5"/>
  <c r="EL70" i="5"/>
  <c r="AO70" i="5"/>
  <c r="EJ70" i="5" s="1"/>
  <c r="CT72" i="5"/>
  <c r="FD70" i="5" s="1"/>
  <c r="CW72" i="5"/>
  <c r="AL70" i="5"/>
  <c r="AL72" i="5"/>
  <c r="CY70" i="5"/>
  <c r="HX70" i="5"/>
  <c r="CV70" i="5"/>
  <c r="HX72" i="5"/>
  <c r="CW70" i="5"/>
  <c r="DJ70" i="5" s="1"/>
  <c r="EC70" i="5" s="1"/>
  <c r="CZ70" i="5"/>
  <c r="CS110" i="5"/>
  <c r="DG108" i="5"/>
  <c r="CW108" i="5"/>
  <c r="CV108" i="5"/>
  <c r="AO108" i="5"/>
  <c r="EJ108" i="5" s="1"/>
  <c r="DD110" i="5"/>
  <c r="DP108" i="5" s="1"/>
  <c r="HX108" i="5"/>
  <c r="CT108" i="5"/>
  <c r="FX108" i="5" s="1"/>
  <c r="FY108" i="5" s="1"/>
  <c r="DC110" i="5"/>
  <c r="EI108" i="5" s="1"/>
  <c r="AL110" i="5"/>
  <c r="DC108" i="5"/>
  <c r="CS108" i="5"/>
  <c r="EL108" i="5"/>
  <c r="CW110" i="5"/>
  <c r="CV110" i="5"/>
  <c r="CZ108" i="5"/>
  <c r="DG110" i="5"/>
  <c r="EF108" i="5" s="1"/>
  <c r="CT110" i="5"/>
  <c r="HX110" i="5"/>
  <c r="CU110" i="5"/>
  <c r="CY108" i="5"/>
  <c r="AL108" i="5"/>
  <c r="CZ80" i="5"/>
  <c r="AL50" i="5"/>
  <c r="CW98" i="5"/>
  <c r="CV98" i="5"/>
  <c r="AL100" i="5"/>
  <c r="DC98" i="5"/>
  <c r="DD100" i="5"/>
  <c r="DP98" i="5" s="1"/>
  <c r="HX98" i="5"/>
  <c r="CT98" i="5"/>
  <c r="FX98" i="5" s="1"/>
  <c r="FY98" i="5" s="1"/>
  <c r="CS98" i="5"/>
  <c r="DC100" i="5"/>
  <c r="EI98" i="5" s="1"/>
  <c r="CW100" i="5"/>
  <c r="ED98" i="5" s="1"/>
  <c r="AO98" i="5"/>
  <c r="EJ98" i="5" s="1"/>
  <c r="CV100" i="5"/>
  <c r="CZ98" i="5"/>
  <c r="HX100" i="5"/>
  <c r="CU100" i="5"/>
  <c r="CY98" i="5"/>
  <c r="AL98" i="5"/>
  <c r="DG98" i="5"/>
  <c r="DG100" i="5"/>
  <c r="CT100" i="5"/>
  <c r="EL98" i="5"/>
  <c r="CS100" i="5"/>
  <c r="CT80" i="5"/>
  <c r="FX80" i="5" s="1"/>
  <c r="FY80" i="5" s="1"/>
  <c r="CT52" i="5"/>
  <c r="FD50" i="5" s="1"/>
  <c r="DG82" i="5"/>
  <c r="CS80" i="5"/>
  <c r="DD82" i="5"/>
  <c r="DP80" i="5" s="1"/>
  <c r="DS80" i="5" s="1"/>
  <c r="DX80" i="5" s="1"/>
  <c r="CU72" i="5"/>
  <c r="CT70" i="5"/>
  <c r="FX70" i="5" s="1"/>
  <c r="FY70" i="5" s="1"/>
  <c r="CV80" i="5"/>
  <c r="CS82" i="5"/>
  <c r="DC80" i="5"/>
  <c r="DD72" i="5"/>
  <c r="DP70" i="5" s="1"/>
  <c r="DQ70" i="5" s="1"/>
  <c r="CV50" i="5"/>
  <c r="CV85" i="5"/>
  <c r="DC87" i="5"/>
  <c r="EI85" i="5" s="1"/>
  <c r="AL87" i="5"/>
  <c r="DD87" i="5"/>
  <c r="DP85" i="5" s="1"/>
  <c r="HX85" i="5"/>
  <c r="CT85" i="5"/>
  <c r="FX85" i="5" s="1"/>
  <c r="FY85" i="5" s="1"/>
  <c r="DC85" i="5"/>
  <c r="CS85" i="5"/>
  <c r="CW87" i="5"/>
  <c r="AO85" i="5"/>
  <c r="EJ85" i="5" s="1"/>
  <c r="CV87" i="5"/>
  <c r="CZ85" i="5"/>
  <c r="CS87" i="5"/>
  <c r="DG85" i="5"/>
  <c r="CW85" i="5"/>
  <c r="HX87" i="5"/>
  <c r="CU87" i="5"/>
  <c r="CY85" i="5"/>
  <c r="AL85" i="5"/>
  <c r="DG87" i="5"/>
  <c r="EF85" i="5" s="1"/>
  <c r="CT87" i="5"/>
  <c r="EL85" i="5"/>
  <c r="DC70" i="5"/>
  <c r="DC72" i="5"/>
  <c r="EI70" i="5" s="1"/>
  <c r="DJ60" i="5"/>
  <c r="EC60" i="5" s="1"/>
  <c r="EH60" i="5"/>
  <c r="AM60" i="5"/>
  <c r="HX52" i="5"/>
  <c r="CZ50" i="5"/>
  <c r="CV52" i="5"/>
  <c r="CS77" i="5"/>
  <c r="DG75" i="5"/>
  <c r="CW75" i="5"/>
  <c r="DD77" i="5"/>
  <c r="DP75" i="5" s="1"/>
  <c r="HX75" i="5"/>
  <c r="CT75" i="5"/>
  <c r="FX75" i="5" s="1"/>
  <c r="FY75" i="5" s="1"/>
  <c r="CZ75" i="5"/>
  <c r="HX77" i="5"/>
  <c r="DC77" i="5"/>
  <c r="EI75" i="5" s="1"/>
  <c r="AL77" i="5"/>
  <c r="DC75" i="5"/>
  <c r="CS75" i="5"/>
  <c r="CW77" i="5"/>
  <c r="ED75" i="5" s="1"/>
  <c r="AO75" i="5"/>
  <c r="EJ75" i="5" s="1"/>
  <c r="CV77" i="5"/>
  <c r="CU77" i="5"/>
  <c r="AL75" i="5"/>
  <c r="DG77" i="5"/>
  <c r="EF75" i="5" s="1"/>
  <c r="CT77" i="5"/>
  <c r="EL75" i="5"/>
  <c r="CV75" i="5"/>
  <c r="CY75" i="5"/>
  <c r="CW52" i="5"/>
  <c r="ED50" i="5" s="1"/>
  <c r="AO50" i="5"/>
  <c r="EJ50" i="5" s="1"/>
  <c r="DG52" i="5"/>
  <c r="EF50" i="5" s="1"/>
  <c r="HX50" i="5"/>
  <c r="CT50" i="5"/>
  <c r="FX50" i="5" s="1"/>
  <c r="FY50" i="5" s="1"/>
  <c r="CY50" i="5"/>
  <c r="AL52" i="5"/>
  <c r="DA60" i="5"/>
  <c r="DC52" i="5"/>
  <c r="CS50" i="5"/>
  <c r="DD52" i="5"/>
  <c r="DP50" i="5" s="1"/>
  <c r="DQ50" i="5" s="1"/>
  <c r="DG50" i="5"/>
  <c r="DK62" i="5"/>
  <c r="CX60" i="5"/>
  <c r="CS67" i="5"/>
  <c r="CV65" i="5"/>
  <c r="DD67" i="5"/>
  <c r="DP65" i="5" s="1"/>
  <c r="HX65" i="5"/>
  <c r="CT65" i="5"/>
  <c r="FX65" i="5" s="1"/>
  <c r="FY65" i="5" s="1"/>
  <c r="DC65" i="5"/>
  <c r="CS65" i="5"/>
  <c r="AO65" i="5"/>
  <c r="EJ65" i="5" s="1"/>
  <c r="DC67" i="5"/>
  <c r="EI65" i="5" s="1"/>
  <c r="AL67" i="5"/>
  <c r="CW67" i="5"/>
  <c r="ED65" i="5" s="1"/>
  <c r="CV67" i="5"/>
  <c r="CZ65" i="5"/>
  <c r="EL65" i="5"/>
  <c r="DG65" i="5"/>
  <c r="CW65" i="5"/>
  <c r="HX67" i="5"/>
  <c r="CU67" i="5"/>
  <c r="CY65" i="5"/>
  <c r="AL65" i="5"/>
  <c r="DG67" i="5"/>
  <c r="EF65" i="5" s="1"/>
  <c r="CT67" i="5"/>
  <c r="DH60" i="5"/>
  <c r="DQ62" i="5"/>
  <c r="DQ60" i="5"/>
  <c r="DS60" i="5"/>
  <c r="DX60" i="5" s="1"/>
  <c r="FD60" i="5"/>
  <c r="CU52" i="5"/>
  <c r="EH50" i="5" s="1"/>
  <c r="DC50" i="5"/>
  <c r="CW50" i="5"/>
  <c r="DD57" i="5"/>
  <c r="DP55" i="5" s="1"/>
  <c r="HX55" i="5"/>
  <c r="CT55" i="5"/>
  <c r="FX55" i="5" s="1"/>
  <c r="FY55" i="5" s="1"/>
  <c r="CW57" i="5"/>
  <c r="AO55" i="5"/>
  <c r="EJ55" i="5" s="1"/>
  <c r="CZ55" i="5"/>
  <c r="DC57" i="5"/>
  <c r="AL57" i="5"/>
  <c r="DC55" i="5"/>
  <c r="CS55" i="5"/>
  <c r="CW55" i="5"/>
  <c r="CV55" i="5"/>
  <c r="CV57" i="5"/>
  <c r="HX57" i="5"/>
  <c r="CU57" i="5"/>
  <c r="CY55" i="5"/>
  <c r="AL55" i="5"/>
  <c r="DG57" i="5"/>
  <c r="CT57" i="5"/>
  <c r="CS57" i="5"/>
  <c r="DG55" i="5"/>
  <c r="CV45" i="5"/>
  <c r="DC45" i="5"/>
  <c r="CS45" i="5"/>
  <c r="AO45" i="5"/>
  <c r="EJ45" i="5" s="1"/>
  <c r="DD47" i="5"/>
  <c r="DP45" i="5" s="1"/>
  <c r="HX45" i="5"/>
  <c r="CT45" i="5"/>
  <c r="FX45" i="5" s="1"/>
  <c r="FY45" i="5" s="1"/>
  <c r="DG45" i="5"/>
  <c r="CW45" i="5"/>
  <c r="DC47" i="5"/>
  <c r="AL47" i="5"/>
  <c r="CW47" i="5"/>
  <c r="ED45" i="5" s="1"/>
  <c r="CV47" i="5"/>
  <c r="CZ45" i="5"/>
  <c r="HX47" i="5"/>
  <c r="CU47" i="5"/>
  <c r="CY45" i="5"/>
  <c r="AL45" i="5"/>
  <c r="DG47" i="5"/>
  <c r="CT47" i="5"/>
  <c r="CS47" i="5"/>
  <c r="AL40" i="5"/>
  <c r="CW40" i="5"/>
  <c r="HX40" i="5"/>
  <c r="CS40" i="5"/>
  <c r="CS42" i="5"/>
  <c r="CU42" i="5"/>
  <c r="CT40" i="5"/>
  <c r="FX40" i="5" s="1"/>
  <c r="FY40" i="5" s="1"/>
  <c r="AL42" i="5"/>
  <c r="DG40" i="5"/>
  <c r="CZ40" i="5"/>
  <c r="DC40" i="5"/>
  <c r="HX42" i="5"/>
  <c r="DG42" i="5"/>
  <c r="EF40" i="5" s="1"/>
  <c r="CV40" i="5"/>
  <c r="AO40" i="5"/>
  <c r="EJ40" i="5" s="1"/>
  <c r="CV42" i="5"/>
  <c r="DC42" i="5"/>
  <c r="DW40" i="5" s="1"/>
  <c r="EL40" i="5" s="1"/>
  <c r="DD42" i="5"/>
  <c r="DP40" i="5" s="1"/>
  <c r="DQ42" i="5" s="1"/>
  <c r="CW42" i="5"/>
  <c r="ED40" i="5" s="1"/>
  <c r="CY40" i="5"/>
  <c r="DK769" i="5" l="1"/>
  <c r="EI55" i="5"/>
  <c r="DW55" i="5"/>
  <c r="EL55" i="5" s="1"/>
  <c r="EI50" i="5"/>
  <c r="DW50" i="5"/>
  <c r="EL50" i="5" s="1"/>
  <c r="EI45" i="5"/>
  <c r="DW45" i="5"/>
  <c r="EL45" i="5" s="1"/>
  <c r="DA722" i="5"/>
  <c r="DK72" i="5"/>
  <c r="DL70" i="5" s="1"/>
  <c r="DK442" i="5"/>
  <c r="EI347" i="5"/>
  <c r="DW347" i="5"/>
  <c r="EL347" i="5" s="1"/>
  <c r="EH337" i="5"/>
  <c r="CX342" i="5"/>
  <c r="CX176" i="5"/>
  <c r="DH153" i="5"/>
  <c r="DH163" i="5"/>
  <c r="EH143" i="5"/>
  <c r="DJ654" i="5"/>
  <c r="EC654" i="5" s="1"/>
  <c r="EG654" i="5" s="1"/>
  <c r="DK681" i="5"/>
  <c r="AM163" i="5"/>
  <c r="DJ596" i="5"/>
  <c r="AM684" i="5"/>
  <c r="DA163" i="5"/>
  <c r="DK165" i="5"/>
  <c r="DL163" i="5" s="1"/>
  <c r="DK407" i="5"/>
  <c r="DJ611" i="5"/>
  <c r="DK651" i="5"/>
  <c r="AM659" i="5"/>
  <c r="AM445" i="5"/>
  <c r="DS163" i="5"/>
  <c r="DX163" i="5" s="1"/>
  <c r="DK598" i="5"/>
  <c r="DQ165" i="5"/>
  <c r="DK155" i="5"/>
  <c r="EH80" i="5"/>
  <c r="CX465" i="5"/>
  <c r="ED405" i="5"/>
  <c r="AM405" i="5"/>
  <c r="DH415" i="5"/>
  <c r="EH503" i="5"/>
  <c r="EH518" i="5"/>
  <c r="AM616" i="5"/>
  <c r="EH616" i="5"/>
  <c r="CX606" i="5"/>
  <c r="EH679" i="5"/>
  <c r="DH684" i="5"/>
  <c r="DH669" i="5"/>
  <c r="DK739" i="5"/>
  <c r="EH772" i="5"/>
  <c r="EH231" i="5"/>
  <c r="CX659" i="5"/>
  <c r="DH694" i="5"/>
  <c r="EH674" i="5"/>
  <c r="EH684" i="5"/>
  <c r="DH737" i="5"/>
  <c r="CX747" i="5"/>
  <c r="DK724" i="5"/>
  <c r="AM767" i="5"/>
  <c r="CX727" i="5"/>
  <c r="EH727" i="5"/>
  <c r="EH782" i="5"/>
  <c r="AM782" i="5"/>
  <c r="DH757" i="5"/>
  <c r="AM757" i="5"/>
  <c r="DH752" i="5"/>
  <c r="CX684" i="5"/>
  <c r="AM669" i="5"/>
  <c r="AM762" i="5"/>
  <c r="CX186" i="5"/>
  <c r="CX80" i="5"/>
  <c r="EH269" i="5"/>
  <c r="CX387" i="5"/>
  <c r="EH367" i="5"/>
  <c r="EH342" i="5"/>
  <c r="EH440" i="5"/>
  <c r="DH475" i="5"/>
  <c r="DH455" i="5"/>
  <c r="CX553" i="5"/>
  <c r="DH601" i="5"/>
  <c r="DH566" i="5"/>
  <c r="DH571" i="5"/>
  <c r="CX561" i="5"/>
  <c r="DH674" i="5"/>
  <c r="EH699" i="5"/>
  <c r="DH699" i="5"/>
  <c r="EH669" i="5"/>
  <c r="EH644" i="5"/>
  <c r="DJ752" i="5"/>
  <c r="EC752" i="5" s="1"/>
  <c r="CX752" i="5"/>
  <c r="DJ722" i="5"/>
  <c r="EC722" i="5" s="1"/>
  <c r="DH782" i="5"/>
  <c r="EH392" i="5"/>
  <c r="CX445" i="5"/>
  <c r="EH483" i="5"/>
  <c r="EH528" i="5"/>
  <c r="CX649" i="5"/>
  <c r="EH704" i="5"/>
  <c r="EH737" i="5"/>
  <c r="EF762" i="5"/>
  <c r="DH787" i="5"/>
  <c r="EH163" i="5"/>
  <c r="DH264" i="5"/>
  <c r="DH445" i="5"/>
  <c r="CX475" i="5"/>
  <c r="DA508" i="5"/>
  <c r="EH493" i="5"/>
  <c r="CX566" i="5"/>
  <c r="DH586" i="5"/>
  <c r="DH654" i="5"/>
  <c r="EH689" i="5"/>
  <c r="DJ737" i="5"/>
  <c r="EC737" i="5" s="1"/>
  <c r="DA737" i="5"/>
  <c r="DA747" i="5"/>
  <c r="EH747" i="5"/>
  <c r="CX717" i="5"/>
  <c r="AM787" i="5"/>
  <c r="DH772" i="5"/>
  <c r="DK774" i="5"/>
  <c r="EH777" i="5"/>
  <c r="EH722" i="5"/>
  <c r="EH767" i="5"/>
  <c r="DH767" i="5"/>
  <c r="DK784" i="5"/>
  <c r="DJ757" i="5"/>
  <c r="DK759" i="5"/>
  <c r="DH742" i="5"/>
  <c r="DQ103" i="5"/>
  <c r="DJ133" i="5"/>
  <c r="EC133" i="5" s="1"/>
  <c r="EE133" i="5" s="1"/>
  <c r="FE133" i="5" s="1"/>
  <c r="DA153" i="5"/>
  <c r="DA581" i="5"/>
  <c r="DJ727" i="5"/>
  <c r="DL60" i="5"/>
  <c r="DQ153" i="5"/>
  <c r="AM631" i="5"/>
  <c r="DK641" i="5"/>
  <c r="DJ664" i="5"/>
  <c r="DJ689" i="5"/>
  <c r="EC689" i="5" s="1"/>
  <c r="EE689" i="5" s="1"/>
  <c r="DJ717" i="5"/>
  <c r="DJ772" i="5"/>
  <c r="DA470" i="5"/>
  <c r="DA654" i="5"/>
  <c r="DA644" i="5"/>
  <c r="DA732" i="5"/>
  <c r="DK749" i="5"/>
  <c r="DK729" i="5"/>
  <c r="DA782" i="5"/>
  <c r="DK256" i="5"/>
  <c r="DK432" i="5"/>
  <c r="AM611" i="5"/>
  <c r="DJ639" i="5"/>
  <c r="AM649" i="5"/>
  <c r="AM694" i="5"/>
  <c r="DA717" i="5"/>
  <c r="DA757" i="5"/>
  <c r="DK744" i="5"/>
  <c r="DJ264" i="5"/>
  <c r="EC264" i="5" s="1"/>
  <c r="DK427" i="5"/>
  <c r="AM538" i="5"/>
  <c r="AM561" i="5"/>
  <c r="DA659" i="5"/>
  <c r="AM709" i="5"/>
  <c r="DJ732" i="5"/>
  <c r="EC732" i="5" s="1"/>
  <c r="AM747" i="5"/>
  <c r="AM772" i="5"/>
  <c r="DA742" i="5"/>
  <c r="EH309" i="5"/>
  <c r="EH181" i="5"/>
  <c r="DJ377" i="5"/>
  <c r="EC377" i="5" s="1"/>
  <c r="AM460" i="5"/>
  <c r="DK467" i="5"/>
  <c r="DH538" i="5"/>
  <c r="DJ548" i="5"/>
  <c r="EC548" i="5" s="1"/>
  <c r="EG548" i="5" s="1"/>
  <c r="DH503" i="5"/>
  <c r="FD747" i="5"/>
  <c r="DQ787" i="5"/>
  <c r="DQ789" i="5"/>
  <c r="DS787" i="5"/>
  <c r="DX787" i="5" s="1"/>
  <c r="DA772" i="5"/>
  <c r="DQ722" i="5"/>
  <c r="DQ724" i="5"/>
  <c r="DS722" i="5"/>
  <c r="DX722" i="5" s="1"/>
  <c r="FD782" i="5"/>
  <c r="DA75" i="5"/>
  <c r="EH289" i="5"/>
  <c r="DH508" i="5"/>
  <c r="DJ488" i="5"/>
  <c r="EC488" i="5" s="1"/>
  <c r="DJ503" i="5"/>
  <c r="EC503" i="5" s="1"/>
  <c r="EE503" i="5" s="1"/>
  <c r="DA528" i="5"/>
  <c r="DJ518" i="5"/>
  <c r="DJ586" i="5"/>
  <c r="CX694" i="5"/>
  <c r="DK676" i="5"/>
  <c r="DA684" i="5"/>
  <c r="EH709" i="5"/>
  <c r="DK754" i="5"/>
  <c r="AM752" i="5"/>
  <c r="AM732" i="5"/>
  <c r="CX737" i="5"/>
  <c r="DK764" i="5"/>
  <c r="AM717" i="5"/>
  <c r="FD787" i="5"/>
  <c r="EF787" i="5"/>
  <c r="ED722" i="5"/>
  <c r="DJ767" i="5"/>
  <c r="DH727" i="5"/>
  <c r="EH445" i="5"/>
  <c r="EH405" i="5"/>
  <c r="EF674" i="5"/>
  <c r="DJ674" i="5"/>
  <c r="DA752" i="5"/>
  <c r="DQ717" i="5"/>
  <c r="DQ719" i="5"/>
  <c r="DS717" i="5"/>
  <c r="DX717" i="5" s="1"/>
  <c r="CX772" i="5"/>
  <c r="DJ777" i="5"/>
  <c r="FD722" i="5"/>
  <c r="DA767" i="5"/>
  <c r="FD767" i="5"/>
  <c r="ED727" i="5"/>
  <c r="DJ742" i="5"/>
  <c r="DK291" i="5"/>
  <c r="EH621" i="5"/>
  <c r="DA616" i="5"/>
  <c r="EH606" i="5"/>
  <c r="CX679" i="5"/>
  <c r="DS752" i="5"/>
  <c r="DX752" i="5" s="1"/>
  <c r="DQ752" i="5"/>
  <c r="DQ754" i="5"/>
  <c r="DK734" i="5"/>
  <c r="CX732" i="5"/>
  <c r="ED737" i="5"/>
  <c r="DQ762" i="5"/>
  <c r="DQ764" i="5"/>
  <c r="DS762" i="5"/>
  <c r="DX762" i="5" s="1"/>
  <c r="DJ787" i="5"/>
  <c r="ED772" i="5"/>
  <c r="FD777" i="5"/>
  <c r="DK779" i="5"/>
  <c r="CX722" i="5"/>
  <c r="EC727" i="5"/>
  <c r="DH616" i="5"/>
  <c r="DH649" i="5"/>
  <c r="EF752" i="5"/>
  <c r="DH732" i="5"/>
  <c r="FD762" i="5"/>
  <c r="DS747" i="5"/>
  <c r="DX747" i="5" s="1"/>
  <c r="DQ747" i="5"/>
  <c r="DQ749" i="5"/>
  <c r="DH717" i="5"/>
  <c r="DK719" i="5"/>
  <c r="DA787" i="5"/>
  <c r="FD727" i="5"/>
  <c r="DQ759" i="5"/>
  <c r="DS757" i="5"/>
  <c r="DX757" i="5" s="1"/>
  <c r="DQ757" i="5"/>
  <c r="ED742" i="5"/>
  <c r="FD742" i="5"/>
  <c r="DQ744" i="5"/>
  <c r="DQ742" i="5"/>
  <c r="DS742" i="5"/>
  <c r="DX742" i="5" s="1"/>
  <c r="DK540" i="5"/>
  <c r="DH576" i="5"/>
  <c r="EH601" i="5"/>
  <c r="DK583" i="5"/>
  <c r="DK593" i="5"/>
  <c r="EH586" i="5"/>
  <c r="DJ561" i="5"/>
  <c r="DK666" i="5"/>
  <c r="DH659" i="5"/>
  <c r="AM679" i="5"/>
  <c r="DA674" i="5"/>
  <c r="ED674" i="5"/>
  <c r="DH709" i="5"/>
  <c r="DJ644" i="5"/>
  <c r="ED752" i="5"/>
  <c r="DS732" i="5"/>
  <c r="DX732" i="5" s="1"/>
  <c r="DQ734" i="5"/>
  <c r="DQ732" i="5"/>
  <c r="ED732" i="5"/>
  <c r="FD737" i="5"/>
  <c r="ED717" i="5"/>
  <c r="CX787" i="5"/>
  <c r="DQ774" i="5"/>
  <c r="DS772" i="5"/>
  <c r="DX772" i="5" s="1"/>
  <c r="DQ772" i="5"/>
  <c r="FD772" i="5"/>
  <c r="AM777" i="5"/>
  <c r="DQ779" i="5"/>
  <c r="DS777" i="5"/>
  <c r="DX777" i="5" s="1"/>
  <c r="DQ777" i="5"/>
  <c r="FD757" i="5"/>
  <c r="EH299" i="5"/>
  <c r="DK578" i="5"/>
  <c r="DA679" i="5"/>
  <c r="DJ704" i="5"/>
  <c r="EC704" i="5" s="1"/>
  <c r="DK706" i="5"/>
  <c r="DA669" i="5"/>
  <c r="DS737" i="5"/>
  <c r="DX737" i="5" s="1"/>
  <c r="DQ737" i="5"/>
  <c r="DQ739" i="5"/>
  <c r="ED747" i="5"/>
  <c r="DK789" i="5"/>
  <c r="DA777" i="5"/>
  <c r="EF722" i="5"/>
  <c r="DS767" i="5"/>
  <c r="DX767" i="5" s="1"/>
  <c r="DQ767" i="5"/>
  <c r="DQ769" i="5"/>
  <c r="CX767" i="5"/>
  <c r="AM727" i="5"/>
  <c r="ED782" i="5"/>
  <c r="EC757" i="5"/>
  <c r="CX742" i="5"/>
  <c r="DA430" i="5"/>
  <c r="DH465" i="5"/>
  <c r="AM513" i="5"/>
  <c r="EF508" i="5"/>
  <c r="DH483" i="5"/>
  <c r="DH621" i="5"/>
  <c r="EH591" i="5"/>
  <c r="DA626" i="5"/>
  <c r="EH611" i="5"/>
  <c r="AM606" i="5"/>
  <c r="EH561" i="5"/>
  <c r="EH639" i="5"/>
  <c r="DJ709" i="5"/>
  <c r="FD752" i="5"/>
  <c r="FD732" i="5"/>
  <c r="AM737" i="5"/>
  <c r="DJ762" i="5"/>
  <c r="DA762" i="5"/>
  <c r="DJ747" i="5"/>
  <c r="FD717" i="5"/>
  <c r="ED787" i="5"/>
  <c r="EC772" i="5"/>
  <c r="CX777" i="5"/>
  <c r="AM722" i="5"/>
  <c r="EF767" i="5"/>
  <c r="DQ729" i="5"/>
  <c r="DS727" i="5"/>
  <c r="DX727" i="5" s="1"/>
  <c r="DQ727" i="5"/>
  <c r="DA727" i="5"/>
  <c r="DJ782" i="5"/>
  <c r="DQ782" i="5"/>
  <c r="DQ784" i="5"/>
  <c r="DS782" i="5"/>
  <c r="DX782" i="5" s="1"/>
  <c r="AM742" i="5"/>
  <c r="DH289" i="5"/>
  <c r="DK203" i="5"/>
  <c r="DH191" i="5"/>
  <c r="AM327" i="5"/>
  <c r="EH347" i="5"/>
  <c r="CX367" i="5"/>
  <c r="DA465" i="5"/>
  <c r="CX450" i="5"/>
  <c r="DH470" i="5"/>
  <c r="AM455" i="5"/>
  <c r="EH543" i="5"/>
  <c r="DH513" i="5"/>
  <c r="AM548" i="5"/>
  <c r="CX533" i="5"/>
  <c r="DJ493" i="5"/>
  <c r="DK490" i="5"/>
  <c r="DA523" i="5"/>
  <c r="DK525" i="5"/>
  <c r="AM518" i="5"/>
  <c r="EH576" i="5"/>
  <c r="DK603" i="5"/>
  <c r="DK633" i="5"/>
  <c r="DJ621" i="5"/>
  <c r="DJ581" i="5"/>
  <c r="EC581" i="5" s="1"/>
  <c r="EH626" i="5"/>
  <c r="DA639" i="5"/>
  <c r="DA664" i="5"/>
  <c r="DS664" i="5"/>
  <c r="DX664" i="5" s="1"/>
  <c r="DQ666" i="5"/>
  <c r="DQ664" i="5"/>
  <c r="DQ654" i="5"/>
  <c r="DQ656" i="5"/>
  <c r="DS654" i="5"/>
  <c r="DX654" i="5" s="1"/>
  <c r="CX689" i="5"/>
  <c r="DK691" i="5"/>
  <c r="DJ679" i="5"/>
  <c r="AM704" i="5"/>
  <c r="EC674" i="5"/>
  <c r="DJ699" i="5"/>
  <c r="DK686" i="5"/>
  <c r="DJ684" i="5"/>
  <c r="FD709" i="5"/>
  <c r="DK711" i="5"/>
  <c r="FD669" i="5"/>
  <c r="EH264" i="5"/>
  <c r="DA352" i="5"/>
  <c r="DA382" i="5"/>
  <c r="EF415" i="5"/>
  <c r="DJ631" i="5"/>
  <c r="DH606" i="5"/>
  <c r="FD639" i="5"/>
  <c r="FD664" i="5"/>
  <c r="DS649" i="5"/>
  <c r="DX649" i="5" s="1"/>
  <c r="DQ649" i="5"/>
  <c r="DQ651" i="5"/>
  <c r="DA649" i="5"/>
  <c r="DJ694" i="5"/>
  <c r="DH689" i="5"/>
  <c r="DA704" i="5"/>
  <c r="FD699" i="5"/>
  <c r="DK701" i="5"/>
  <c r="DQ669" i="5"/>
  <c r="DQ671" i="5"/>
  <c r="DS669" i="5"/>
  <c r="DX669" i="5" s="1"/>
  <c r="AM644" i="5"/>
  <c r="EH410" i="5"/>
  <c r="EH533" i="5"/>
  <c r="EH488" i="5"/>
  <c r="DS639" i="5"/>
  <c r="DX639" i="5" s="1"/>
  <c r="DQ641" i="5"/>
  <c r="DQ639" i="5"/>
  <c r="CX664" i="5"/>
  <c r="DQ691" i="5"/>
  <c r="DS689" i="5"/>
  <c r="DX689" i="5" s="1"/>
  <c r="DQ689" i="5"/>
  <c r="DS679" i="5"/>
  <c r="DX679" i="5" s="1"/>
  <c r="DQ679" i="5"/>
  <c r="DQ681" i="5"/>
  <c r="DQ709" i="5"/>
  <c r="DQ711" i="5"/>
  <c r="DS709" i="5"/>
  <c r="DX709" i="5" s="1"/>
  <c r="DS644" i="5"/>
  <c r="DX644" i="5" s="1"/>
  <c r="DQ644" i="5"/>
  <c r="DQ646" i="5"/>
  <c r="CX644" i="5"/>
  <c r="DH493" i="5"/>
  <c r="DA601" i="5"/>
  <c r="EH631" i="5"/>
  <c r="AM621" i="5"/>
  <c r="DH626" i="5"/>
  <c r="CX571" i="5"/>
  <c r="DJ616" i="5"/>
  <c r="DA596" i="5"/>
  <c r="DA606" i="5"/>
  <c r="AM639" i="5"/>
  <c r="EC639" i="5"/>
  <c r="DH664" i="5"/>
  <c r="DQ661" i="5"/>
  <c r="DS659" i="5"/>
  <c r="DX659" i="5" s="1"/>
  <c r="DQ659" i="5"/>
  <c r="DQ704" i="5"/>
  <c r="DQ706" i="5"/>
  <c r="DS704" i="5"/>
  <c r="DX704" i="5" s="1"/>
  <c r="CX674" i="5"/>
  <c r="AM699" i="5"/>
  <c r="DQ701" i="5"/>
  <c r="DS699" i="5"/>
  <c r="DX699" i="5" s="1"/>
  <c r="DQ699" i="5"/>
  <c r="DQ684" i="5"/>
  <c r="DS684" i="5"/>
  <c r="DX684" i="5" s="1"/>
  <c r="DQ686" i="5"/>
  <c r="EF709" i="5"/>
  <c r="DJ669" i="5"/>
  <c r="EH314" i="5"/>
  <c r="DJ259" i="5"/>
  <c r="EC259" i="5" s="1"/>
  <c r="AM269" i="5"/>
  <c r="AM279" i="5"/>
  <c r="DK354" i="5"/>
  <c r="DA332" i="5"/>
  <c r="EH460" i="5"/>
  <c r="DJ410" i="5"/>
  <c r="EC410" i="5" s="1"/>
  <c r="AM475" i="5"/>
  <c r="EH508" i="5"/>
  <c r="AM483" i="5"/>
  <c r="AM553" i="5"/>
  <c r="EF503" i="5"/>
  <c r="DH631" i="5"/>
  <c r="DA621" i="5"/>
  <c r="EH581" i="5"/>
  <c r="AM566" i="5"/>
  <c r="DH591" i="5"/>
  <c r="DH596" i="5"/>
  <c r="CX611" i="5"/>
  <c r="DK608" i="5"/>
  <c r="ED664" i="5"/>
  <c r="DJ649" i="5"/>
  <c r="ED649" i="5"/>
  <c r="DJ659" i="5"/>
  <c r="DA694" i="5"/>
  <c r="FD654" i="5"/>
  <c r="CX654" i="5"/>
  <c r="DK656" i="5"/>
  <c r="AM654" i="5"/>
  <c r="FD689" i="5"/>
  <c r="ED704" i="5"/>
  <c r="AM674" i="5"/>
  <c r="DA699" i="5"/>
  <c r="FD684" i="5"/>
  <c r="CX709" i="5"/>
  <c r="DK646" i="5"/>
  <c r="ED644" i="5"/>
  <c r="DK125" i="5"/>
  <c r="DJ269" i="5"/>
  <c r="EC269" i="5" s="1"/>
  <c r="EH372" i="5"/>
  <c r="EH430" i="5"/>
  <c r="DK447" i="5"/>
  <c r="EH470" i="5"/>
  <c r="DJ483" i="5"/>
  <c r="FD659" i="5"/>
  <c r="FD694" i="5"/>
  <c r="FD679" i="5"/>
  <c r="DS674" i="5"/>
  <c r="DX674" i="5" s="1"/>
  <c r="DQ676" i="5"/>
  <c r="DQ674" i="5"/>
  <c r="DH123" i="5"/>
  <c r="DA498" i="5"/>
  <c r="DH533" i="5"/>
  <c r="DK618" i="5"/>
  <c r="EH596" i="5"/>
  <c r="DH639" i="5"/>
  <c r="FD649" i="5"/>
  <c r="DK661" i="5"/>
  <c r="AM689" i="5"/>
  <c r="DA689" i="5"/>
  <c r="FD704" i="5"/>
  <c r="DA709" i="5"/>
  <c r="FD644" i="5"/>
  <c r="DH410" i="5"/>
  <c r="AM533" i="5"/>
  <c r="AM523" i="5"/>
  <c r="DA576" i="5"/>
  <c r="DA571" i="5"/>
  <c r="ED596" i="5"/>
  <c r="DA561" i="5"/>
  <c r="ED639" i="5"/>
  <c r="EC664" i="5"/>
  <c r="AM664" i="5"/>
  <c r="DQ696" i="5"/>
  <c r="DS694" i="5"/>
  <c r="DX694" i="5" s="1"/>
  <c r="DQ694" i="5"/>
  <c r="DK696" i="5"/>
  <c r="ED679" i="5"/>
  <c r="FD674" i="5"/>
  <c r="ED699" i="5"/>
  <c r="EC709" i="5"/>
  <c r="DK671" i="5"/>
  <c r="EC644" i="5"/>
  <c r="EH377" i="5"/>
  <c r="DQ155" i="5"/>
  <c r="DJ357" i="5"/>
  <c r="EC357" i="5" s="1"/>
  <c r="DK437" i="5"/>
  <c r="EH415" i="5"/>
  <c r="CX470" i="5"/>
  <c r="DA513" i="5"/>
  <c r="DH548" i="5"/>
  <c r="DJ508" i="5"/>
  <c r="EC508" i="5" s="1"/>
  <c r="DJ553" i="5"/>
  <c r="EC553" i="5" s="1"/>
  <c r="DA488" i="5"/>
  <c r="AM528" i="5"/>
  <c r="DQ578" i="5"/>
  <c r="DS576" i="5"/>
  <c r="DX576" i="5" s="1"/>
  <c r="DQ576" i="5"/>
  <c r="CX576" i="5"/>
  <c r="AM601" i="5"/>
  <c r="DQ623" i="5"/>
  <c r="DS621" i="5"/>
  <c r="DX621" i="5" s="1"/>
  <c r="DQ621" i="5"/>
  <c r="DA566" i="5"/>
  <c r="FD566" i="5"/>
  <c r="DJ591" i="5"/>
  <c r="EF626" i="5"/>
  <c r="AM596" i="5"/>
  <c r="DQ598" i="5"/>
  <c r="DS596" i="5"/>
  <c r="DX596" i="5" s="1"/>
  <c r="DQ596" i="5"/>
  <c r="FD561" i="5"/>
  <c r="EF561" i="5"/>
  <c r="DH611" i="5"/>
  <c r="AM93" i="5"/>
  <c r="EH465" i="5"/>
  <c r="DJ455" i="5"/>
  <c r="DJ543" i="5"/>
  <c r="EH513" i="5"/>
  <c r="EF533" i="5"/>
  <c r="DH553" i="5"/>
  <c r="AM576" i="5"/>
  <c r="ED576" i="5"/>
  <c r="FD631" i="5"/>
  <c r="EF621" i="5"/>
  <c r="CX621" i="5"/>
  <c r="CX581" i="5"/>
  <c r="DK568" i="5"/>
  <c r="FD591" i="5"/>
  <c r="AM626" i="5"/>
  <c r="DK573" i="5"/>
  <c r="FD616" i="5"/>
  <c r="CX596" i="5"/>
  <c r="CX538" i="5"/>
  <c r="DJ606" i="5"/>
  <c r="EH435" i="5"/>
  <c r="ED538" i="5"/>
  <c r="DK485" i="5"/>
  <c r="DH523" i="5"/>
  <c r="DJ576" i="5"/>
  <c r="ED601" i="5"/>
  <c r="DJ601" i="5"/>
  <c r="DK628" i="5"/>
  <c r="AM571" i="5"/>
  <c r="CX586" i="5"/>
  <c r="DK613" i="5"/>
  <c r="DS606" i="5"/>
  <c r="DX606" i="5" s="1"/>
  <c r="DQ606" i="5"/>
  <c r="DQ608" i="5"/>
  <c r="CX498" i="5"/>
  <c r="AM508" i="5"/>
  <c r="DK495" i="5"/>
  <c r="FD576" i="5"/>
  <c r="FD581" i="5"/>
  <c r="DS566" i="5"/>
  <c r="DX566" i="5" s="1"/>
  <c r="DQ566" i="5"/>
  <c r="DQ568" i="5"/>
  <c r="DS571" i="5"/>
  <c r="DX571" i="5" s="1"/>
  <c r="DQ573" i="5"/>
  <c r="DQ571" i="5"/>
  <c r="DS586" i="5"/>
  <c r="DX586" i="5" s="1"/>
  <c r="DQ586" i="5"/>
  <c r="DQ588" i="5"/>
  <c r="FD606" i="5"/>
  <c r="EC561" i="5"/>
  <c r="DQ631" i="5"/>
  <c r="DQ633" i="5"/>
  <c r="DS631" i="5"/>
  <c r="DX631" i="5" s="1"/>
  <c r="FD611" i="5"/>
  <c r="EH319" i="5"/>
  <c r="DK218" i="5"/>
  <c r="EH455" i="5"/>
  <c r="DH543" i="5"/>
  <c r="DK510" i="5"/>
  <c r="DH488" i="5"/>
  <c r="CX601" i="5"/>
  <c r="DQ603" i="5"/>
  <c r="DS601" i="5"/>
  <c r="DX601" i="5" s="1"/>
  <c r="DQ601" i="5"/>
  <c r="DA631" i="5"/>
  <c r="DK623" i="5"/>
  <c r="AM581" i="5"/>
  <c r="DH581" i="5"/>
  <c r="EF566" i="5"/>
  <c r="AM591" i="5"/>
  <c r="DJ626" i="5"/>
  <c r="DQ626" i="5"/>
  <c r="DQ628" i="5"/>
  <c r="DS626" i="5"/>
  <c r="DX626" i="5" s="1"/>
  <c r="ED616" i="5"/>
  <c r="FD596" i="5"/>
  <c r="AM586" i="5"/>
  <c r="DA586" i="5"/>
  <c r="DK588" i="5"/>
  <c r="ED586" i="5"/>
  <c r="DA611" i="5"/>
  <c r="DK563" i="5"/>
  <c r="DK82" i="5"/>
  <c r="DL80" i="5" s="1"/>
  <c r="CX319" i="5"/>
  <c r="DH269" i="5"/>
  <c r="EH304" i="5"/>
  <c r="DH387" i="5"/>
  <c r="DK399" i="5"/>
  <c r="DH435" i="5"/>
  <c r="AM415" i="5"/>
  <c r="DH420" i="5"/>
  <c r="DK545" i="5"/>
  <c r="DA533" i="5"/>
  <c r="EC493" i="5"/>
  <c r="ED493" i="5"/>
  <c r="AM503" i="5"/>
  <c r="FD601" i="5"/>
  <c r="CX631" i="5"/>
  <c r="EC631" i="5"/>
  <c r="FD621" i="5"/>
  <c r="ED566" i="5"/>
  <c r="CX591" i="5"/>
  <c r="DA591" i="5"/>
  <c r="FD626" i="5"/>
  <c r="FD571" i="5"/>
  <c r="CX616" i="5"/>
  <c r="DQ618" i="5"/>
  <c r="DQ616" i="5"/>
  <c r="DS616" i="5"/>
  <c r="DX616" i="5" s="1"/>
  <c r="EC596" i="5"/>
  <c r="EC611" i="5"/>
  <c r="ED561" i="5"/>
  <c r="DS581" i="5"/>
  <c r="DX581" i="5" s="1"/>
  <c r="DQ581" i="5"/>
  <c r="DQ583" i="5"/>
  <c r="CX327" i="5"/>
  <c r="DH332" i="5"/>
  <c r="DH367" i="5"/>
  <c r="AM397" i="5"/>
  <c r="EH425" i="5"/>
  <c r="DH430" i="5"/>
  <c r="DH405" i="5"/>
  <c r="DA415" i="5"/>
  <c r="CX415" i="5"/>
  <c r="AM420" i="5"/>
  <c r="CX548" i="5"/>
  <c r="DK530" i="5"/>
  <c r="DJ523" i="5"/>
  <c r="EC621" i="5"/>
  <c r="ED581" i="5"/>
  <c r="DJ566" i="5"/>
  <c r="DQ593" i="5"/>
  <c r="DS591" i="5"/>
  <c r="DX591" i="5" s="1"/>
  <c r="DQ591" i="5"/>
  <c r="CX626" i="5"/>
  <c r="DJ571" i="5"/>
  <c r="EC586" i="5"/>
  <c r="FD586" i="5"/>
  <c r="DQ613" i="5"/>
  <c r="DS611" i="5"/>
  <c r="DX611" i="5" s="1"/>
  <c r="DQ611" i="5"/>
  <c r="DQ561" i="5"/>
  <c r="DQ563" i="5"/>
  <c r="DS561" i="5"/>
  <c r="DX561" i="5" s="1"/>
  <c r="DA113" i="5"/>
  <c r="EH236" i="5"/>
  <c r="EH352" i="5"/>
  <c r="AM425" i="5"/>
  <c r="DJ405" i="5"/>
  <c r="EC405" i="5" s="1"/>
  <c r="DJ475" i="5"/>
  <c r="AM498" i="5"/>
  <c r="DQ513" i="5"/>
  <c r="DQ515" i="5"/>
  <c r="DS513" i="5"/>
  <c r="DX513" i="5" s="1"/>
  <c r="FD548" i="5"/>
  <c r="DK535" i="5"/>
  <c r="DQ485" i="5"/>
  <c r="DS483" i="5"/>
  <c r="DX483" i="5" s="1"/>
  <c r="DQ483" i="5"/>
  <c r="CX483" i="5"/>
  <c r="CX493" i="5"/>
  <c r="FD488" i="5"/>
  <c r="DA518" i="5"/>
  <c r="DK520" i="5"/>
  <c r="AM299" i="5"/>
  <c r="CX181" i="5"/>
  <c r="EH327" i="5"/>
  <c r="AM337" i="5"/>
  <c r="EH362" i="5"/>
  <c r="DK359" i="5"/>
  <c r="DK462" i="5"/>
  <c r="DJ430" i="5"/>
  <c r="EC430" i="5" s="1"/>
  <c r="AM430" i="5"/>
  <c r="DK472" i="5"/>
  <c r="DQ500" i="5"/>
  <c r="DS498" i="5"/>
  <c r="DX498" i="5" s="1"/>
  <c r="DQ498" i="5"/>
  <c r="DK515" i="5"/>
  <c r="DQ540" i="5"/>
  <c r="DQ538" i="5"/>
  <c r="DS538" i="5"/>
  <c r="DX538" i="5" s="1"/>
  <c r="FD508" i="5"/>
  <c r="DS488" i="5"/>
  <c r="DX488" i="5" s="1"/>
  <c r="DQ488" i="5"/>
  <c r="DQ490" i="5"/>
  <c r="EF488" i="5"/>
  <c r="DQ530" i="5"/>
  <c r="DS528" i="5"/>
  <c r="DX528" i="5" s="1"/>
  <c r="DQ528" i="5"/>
  <c r="ED153" i="5"/>
  <c r="DH171" i="5"/>
  <c r="CX231" i="5"/>
  <c r="DJ435" i="5"/>
  <c r="EC435" i="5" s="1"/>
  <c r="EF475" i="5"/>
  <c r="EH420" i="5"/>
  <c r="DK500" i="5"/>
  <c r="FD513" i="5"/>
  <c r="FD538" i="5"/>
  <c r="DJ533" i="5"/>
  <c r="DQ533" i="5"/>
  <c r="DQ535" i="5"/>
  <c r="DS533" i="5"/>
  <c r="DX533" i="5" s="1"/>
  <c r="ED483" i="5"/>
  <c r="DA553" i="5"/>
  <c r="DA493" i="5"/>
  <c r="DA503" i="5"/>
  <c r="DJ528" i="5"/>
  <c r="DQ520" i="5"/>
  <c r="DS518" i="5"/>
  <c r="DX518" i="5" s="1"/>
  <c r="DQ518" i="5"/>
  <c r="DH357" i="5"/>
  <c r="EH397" i="5"/>
  <c r="DJ382" i="5"/>
  <c r="EC382" i="5" s="1"/>
  <c r="EG382" i="5" s="1"/>
  <c r="DH342" i="5"/>
  <c r="DH460" i="5"/>
  <c r="DH440" i="5"/>
  <c r="EF420" i="5"/>
  <c r="AM470" i="5"/>
  <c r="FD543" i="5"/>
  <c r="DH498" i="5"/>
  <c r="DJ513" i="5"/>
  <c r="DA538" i="5"/>
  <c r="DA548" i="5"/>
  <c r="FD533" i="5"/>
  <c r="AM488" i="5"/>
  <c r="FD528" i="5"/>
  <c r="DQ525" i="5"/>
  <c r="DS523" i="5"/>
  <c r="DX523" i="5" s="1"/>
  <c r="DQ523" i="5"/>
  <c r="CX523" i="5"/>
  <c r="DH518" i="5"/>
  <c r="DJ171" i="5"/>
  <c r="EC171" i="5" s="1"/>
  <c r="EE171" i="5" s="1"/>
  <c r="DH241" i="5"/>
  <c r="EH221" i="5"/>
  <c r="CX206" i="5"/>
  <c r="CX430" i="5"/>
  <c r="DK412" i="5"/>
  <c r="DJ420" i="5"/>
  <c r="EC420" i="5" s="1"/>
  <c r="EC543" i="5"/>
  <c r="FD483" i="5"/>
  <c r="DK555" i="5"/>
  <c r="FD493" i="5"/>
  <c r="CX488" i="5"/>
  <c r="DK505" i="5"/>
  <c r="ED518" i="5"/>
  <c r="ED460" i="5"/>
  <c r="CX425" i="5"/>
  <c r="AM435" i="5"/>
  <c r="DK417" i="5"/>
  <c r="AM543" i="5"/>
  <c r="DQ545" i="5"/>
  <c r="DS543" i="5"/>
  <c r="DX543" i="5" s="1"/>
  <c r="DQ543" i="5"/>
  <c r="DJ498" i="5"/>
  <c r="DJ538" i="5"/>
  <c r="DK550" i="5"/>
  <c r="CX508" i="5"/>
  <c r="EC483" i="5"/>
  <c r="ED553" i="5"/>
  <c r="AM493" i="5"/>
  <c r="ED523" i="5"/>
  <c r="EC518" i="5"/>
  <c r="CX254" i="5"/>
  <c r="DJ314" i="5"/>
  <c r="EC314" i="5" s="1"/>
  <c r="EH387" i="5"/>
  <c r="DA435" i="5"/>
  <c r="DA543" i="5"/>
  <c r="FD498" i="5"/>
  <c r="DQ553" i="5"/>
  <c r="DQ555" i="5"/>
  <c r="DS553" i="5"/>
  <c r="DX553" i="5" s="1"/>
  <c r="ED488" i="5"/>
  <c r="DQ505" i="5"/>
  <c r="DS503" i="5"/>
  <c r="DX503" i="5" s="1"/>
  <c r="DQ503" i="5"/>
  <c r="FD518" i="5"/>
  <c r="AM264" i="5"/>
  <c r="DK261" i="5"/>
  <c r="AM226" i="5"/>
  <c r="DK389" i="5"/>
  <c r="DH347" i="5"/>
  <c r="DH377" i="5"/>
  <c r="EH382" i="5"/>
  <c r="EH357" i="5"/>
  <c r="CX543" i="5"/>
  <c r="DQ548" i="5"/>
  <c r="DQ550" i="5"/>
  <c r="DS548" i="5"/>
  <c r="DX548" i="5" s="1"/>
  <c r="ED508" i="5"/>
  <c r="DS508" i="5"/>
  <c r="DX508" i="5" s="1"/>
  <c r="DQ510" i="5"/>
  <c r="DQ508" i="5"/>
  <c r="DA483" i="5"/>
  <c r="FD553" i="5"/>
  <c r="DQ495" i="5"/>
  <c r="DS493" i="5"/>
  <c r="DX493" i="5" s="1"/>
  <c r="DQ493" i="5"/>
  <c r="FD503" i="5"/>
  <c r="FD523" i="5"/>
  <c r="EH171" i="5"/>
  <c r="EH211" i="5"/>
  <c r="AM352" i="5"/>
  <c r="DK339" i="5"/>
  <c r="DJ460" i="5"/>
  <c r="DJ440" i="5"/>
  <c r="DS405" i="5"/>
  <c r="DX405" i="5" s="1"/>
  <c r="DQ407" i="5"/>
  <c r="DQ405" i="5"/>
  <c r="DQ422" i="5"/>
  <c r="DS420" i="5"/>
  <c r="DX420" i="5" s="1"/>
  <c r="DQ420" i="5"/>
  <c r="DK457" i="5"/>
  <c r="DS103" i="5"/>
  <c r="DX103" i="5" s="1"/>
  <c r="DH362" i="5"/>
  <c r="DS430" i="5"/>
  <c r="DX430" i="5" s="1"/>
  <c r="DQ430" i="5"/>
  <c r="DQ432" i="5"/>
  <c r="DS445" i="5"/>
  <c r="DX445" i="5" s="1"/>
  <c r="DQ445" i="5"/>
  <c r="DQ447" i="5"/>
  <c r="FD440" i="5"/>
  <c r="EH93" i="5"/>
  <c r="DK135" i="5"/>
  <c r="CX133" i="5"/>
  <c r="DA264" i="5"/>
  <c r="DH299" i="5"/>
  <c r="EH259" i="5"/>
  <c r="DK271" i="5"/>
  <c r="CX279" i="5"/>
  <c r="AM211" i="5"/>
  <c r="DK198" i="5"/>
  <c r="EH196" i="5"/>
  <c r="AM191" i="5"/>
  <c r="EH226" i="5"/>
  <c r="DH327" i="5"/>
  <c r="CX332" i="5"/>
  <c r="DH337" i="5"/>
  <c r="DA397" i="5"/>
  <c r="AM382" i="5"/>
  <c r="DA425" i="5"/>
  <c r="ED465" i="5"/>
  <c r="ED445" i="5"/>
  <c r="FD410" i="5"/>
  <c r="AM440" i="5"/>
  <c r="FD405" i="5"/>
  <c r="DK422" i="5"/>
  <c r="DQ470" i="5"/>
  <c r="DQ472" i="5"/>
  <c r="DS470" i="5"/>
  <c r="DX470" i="5" s="1"/>
  <c r="DQ457" i="5"/>
  <c r="DS455" i="5"/>
  <c r="DX455" i="5" s="1"/>
  <c r="DQ455" i="5"/>
  <c r="DJ113" i="5"/>
  <c r="EC113" i="5" s="1"/>
  <c r="EE113" i="5" s="1"/>
  <c r="FE113" i="5" s="1"/>
  <c r="DH254" i="5"/>
  <c r="EF171" i="5"/>
  <c r="DJ362" i="5"/>
  <c r="EC362" i="5" s="1"/>
  <c r="DA460" i="5"/>
  <c r="DS425" i="5"/>
  <c r="DX425" i="5" s="1"/>
  <c r="DQ425" i="5"/>
  <c r="DQ427" i="5"/>
  <c r="ED430" i="5"/>
  <c r="DJ465" i="5"/>
  <c r="DJ445" i="5"/>
  <c r="DA440" i="5"/>
  <c r="DJ450" i="5"/>
  <c r="AM450" i="5"/>
  <c r="FD415" i="5"/>
  <c r="DA475" i="5"/>
  <c r="FD420" i="5"/>
  <c r="ED420" i="5"/>
  <c r="ED470" i="5"/>
  <c r="ED455" i="5"/>
  <c r="DH221" i="5"/>
  <c r="DJ327" i="5"/>
  <c r="EC327" i="5" s="1"/>
  <c r="EH332" i="5"/>
  <c r="AM392" i="5"/>
  <c r="CX357" i="5"/>
  <c r="DH425" i="5"/>
  <c r="FD465" i="5"/>
  <c r="FD435" i="5"/>
  <c r="AM410" i="5"/>
  <c r="FD450" i="5"/>
  <c r="DQ415" i="5"/>
  <c r="DQ417" i="5"/>
  <c r="DS415" i="5"/>
  <c r="DX415" i="5" s="1"/>
  <c r="EC475" i="5"/>
  <c r="CX420" i="5"/>
  <c r="DJ470" i="5"/>
  <c r="FD455" i="5"/>
  <c r="DJ254" i="5"/>
  <c r="EC254" i="5" s="1"/>
  <c r="DH231" i="5"/>
  <c r="DJ191" i="5"/>
  <c r="EC191" i="5" s="1"/>
  <c r="EH206" i="5"/>
  <c r="DJ226" i="5"/>
  <c r="EC226" i="5" s="1"/>
  <c r="DK334" i="5"/>
  <c r="DK349" i="5"/>
  <c r="DA367" i="5"/>
  <c r="DH392" i="5"/>
  <c r="AM377" i="5"/>
  <c r="CX362" i="5"/>
  <c r="DH397" i="5"/>
  <c r="CX382" i="5"/>
  <c r="DQ462" i="5"/>
  <c r="DS460" i="5"/>
  <c r="DX460" i="5" s="1"/>
  <c r="DQ460" i="5"/>
  <c r="CX460" i="5"/>
  <c r="ED425" i="5"/>
  <c r="FD430" i="5"/>
  <c r="ED435" i="5"/>
  <c r="CX435" i="5"/>
  <c r="DA410" i="5"/>
  <c r="DQ410" i="5"/>
  <c r="DQ412" i="5"/>
  <c r="DS410" i="5"/>
  <c r="DX410" i="5" s="1"/>
  <c r="DS440" i="5"/>
  <c r="DX440" i="5" s="1"/>
  <c r="DQ440" i="5"/>
  <c r="DQ442" i="5"/>
  <c r="CX440" i="5"/>
  <c r="DQ450" i="5"/>
  <c r="DQ452" i="5"/>
  <c r="DS450" i="5"/>
  <c r="DX450" i="5" s="1"/>
  <c r="DK452" i="5"/>
  <c r="DA405" i="5"/>
  <c r="FD475" i="5"/>
  <c r="DK477" i="5"/>
  <c r="FD470" i="5"/>
  <c r="EC455" i="5"/>
  <c r="DA279" i="5"/>
  <c r="EH176" i="5"/>
  <c r="DJ216" i="5"/>
  <c r="EC216" i="5" s="1"/>
  <c r="DJ211" i="5"/>
  <c r="EC211" i="5" s="1"/>
  <c r="DA201" i="5"/>
  <c r="DK233" i="5"/>
  <c r="DA196" i="5"/>
  <c r="AM241" i="5"/>
  <c r="DA206" i="5"/>
  <c r="DH382" i="5"/>
  <c r="DJ372" i="5"/>
  <c r="EC372" i="5" s="1"/>
  <c r="DJ425" i="5"/>
  <c r="AM465" i="5"/>
  <c r="DQ467" i="5"/>
  <c r="DS465" i="5"/>
  <c r="DX465" i="5" s="1"/>
  <c r="DQ465" i="5"/>
  <c r="DA445" i="5"/>
  <c r="CX410" i="5"/>
  <c r="CX405" i="5"/>
  <c r="ED475" i="5"/>
  <c r="CX455" i="5"/>
  <c r="DA455" i="5"/>
  <c r="EH254" i="5"/>
  <c r="DJ241" i="5"/>
  <c r="EC241" i="5" s="1"/>
  <c r="EG241" i="5" s="1"/>
  <c r="DH352" i="5"/>
  <c r="EF362" i="5"/>
  <c r="FD460" i="5"/>
  <c r="FD425" i="5"/>
  <c r="FD445" i="5"/>
  <c r="DQ437" i="5"/>
  <c r="DS435" i="5"/>
  <c r="DX435" i="5" s="1"/>
  <c r="DQ435" i="5"/>
  <c r="ED440" i="5"/>
  <c r="DA450" i="5"/>
  <c r="DJ415" i="5"/>
  <c r="DQ475" i="5"/>
  <c r="DQ477" i="5"/>
  <c r="DS475" i="5"/>
  <c r="DX475" i="5" s="1"/>
  <c r="DA420" i="5"/>
  <c r="DA269" i="5"/>
  <c r="EH279" i="5"/>
  <c r="DA304" i="5"/>
  <c r="AM176" i="5"/>
  <c r="DH211" i="5"/>
  <c r="DH236" i="5"/>
  <c r="CX196" i="5"/>
  <c r="CX241" i="5"/>
  <c r="DH206" i="5"/>
  <c r="DA226" i="5"/>
  <c r="DK329" i="5"/>
  <c r="DJ352" i="5"/>
  <c r="CX337" i="5"/>
  <c r="DA347" i="5"/>
  <c r="EF367" i="5"/>
  <c r="DJ392" i="5"/>
  <c r="DQ392" i="5"/>
  <c r="DQ394" i="5"/>
  <c r="DS392" i="5"/>
  <c r="DX392" i="5" s="1"/>
  <c r="FD377" i="5"/>
  <c r="EF377" i="5"/>
  <c r="DQ382" i="5"/>
  <c r="DQ384" i="5"/>
  <c r="DS382" i="5"/>
  <c r="DX382" i="5" s="1"/>
  <c r="DQ359" i="5"/>
  <c r="DS357" i="5"/>
  <c r="DX357" i="5" s="1"/>
  <c r="DQ357" i="5"/>
  <c r="DK374" i="5"/>
  <c r="AM158" i="5"/>
  <c r="DH201" i="5"/>
  <c r="FD327" i="5"/>
  <c r="FD352" i="5"/>
  <c r="FD367" i="5"/>
  <c r="FD362" i="5"/>
  <c r="FD372" i="5"/>
  <c r="EH133" i="5"/>
  <c r="AM153" i="5"/>
  <c r="DQ327" i="5"/>
  <c r="DQ329" i="5"/>
  <c r="DS327" i="5"/>
  <c r="DX327" i="5" s="1"/>
  <c r="ED337" i="5"/>
  <c r="FD347" i="5"/>
  <c r="FD392" i="5"/>
  <c r="FD397" i="5"/>
  <c r="DQ135" i="5"/>
  <c r="CX304" i="5"/>
  <c r="DK213" i="5"/>
  <c r="DJ236" i="5"/>
  <c r="EC236" i="5" s="1"/>
  <c r="DJ221" i="5"/>
  <c r="EC221" i="5" s="1"/>
  <c r="DA221" i="5"/>
  <c r="DK193" i="5"/>
  <c r="ED327" i="5"/>
  <c r="DA327" i="5"/>
  <c r="EF352" i="5"/>
  <c r="DQ332" i="5"/>
  <c r="DS332" i="5"/>
  <c r="DX332" i="5" s="1"/>
  <c r="DQ334" i="5"/>
  <c r="DJ387" i="5"/>
  <c r="DA337" i="5"/>
  <c r="DJ337" i="5"/>
  <c r="DS347" i="5"/>
  <c r="DQ347" i="5"/>
  <c r="DQ349" i="5"/>
  <c r="AM367" i="5"/>
  <c r="DA377" i="5"/>
  <c r="DK379" i="5"/>
  <c r="DQ377" i="5"/>
  <c r="DQ379" i="5"/>
  <c r="DS377" i="5"/>
  <c r="DX377" i="5" s="1"/>
  <c r="AM362" i="5"/>
  <c r="ED397" i="5"/>
  <c r="ED357" i="5"/>
  <c r="DH372" i="5"/>
  <c r="CX372" i="5"/>
  <c r="AM372" i="5"/>
  <c r="DQ344" i="5"/>
  <c r="DS342" i="5"/>
  <c r="DX342" i="5" s="1"/>
  <c r="DQ342" i="5"/>
  <c r="ED70" i="5"/>
  <c r="EG70" i="5" s="1"/>
  <c r="DS93" i="5"/>
  <c r="DX93" i="5" s="1"/>
  <c r="DJ143" i="5"/>
  <c r="EC143" i="5" s="1"/>
  <c r="DH274" i="5"/>
  <c r="DA133" i="5"/>
  <c r="AM181" i="5"/>
  <c r="EH186" i="5"/>
  <c r="DS352" i="5"/>
  <c r="DX352" i="5" s="1"/>
  <c r="DQ354" i="5"/>
  <c r="DQ352" i="5"/>
  <c r="FD332" i="5"/>
  <c r="FD387" i="5"/>
  <c r="CX377" i="5"/>
  <c r="DA362" i="5"/>
  <c r="DQ397" i="5"/>
  <c r="DQ399" i="5"/>
  <c r="DS397" i="5"/>
  <c r="DX397" i="5" s="1"/>
  <c r="DA372" i="5"/>
  <c r="DQ374" i="5"/>
  <c r="DS372" i="5"/>
  <c r="DX372" i="5" s="1"/>
  <c r="DQ372" i="5"/>
  <c r="DA342" i="5"/>
  <c r="DQ95" i="5"/>
  <c r="DQ113" i="5"/>
  <c r="EH216" i="5"/>
  <c r="DA181" i="5"/>
  <c r="EH201" i="5"/>
  <c r="ED186" i="5"/>
  <c r="EH241" i="5"/>
  <c r="DH226" i="5"/>
  <c r="CX352" i="5"/>
  <c r="AM332" i="5"/>
  <c r="DQ389" i="5"/>
  <c r="DS387" i="5"/>
  <c r="DX387" i="5" s="1"/>
  <c r="DQ387" i="5"/>
  <c r="DK369" i="5"/>
  <c r="DA392" i="5"/>
  <c r="DQ364" i="5"/>
  <c r="DS362" i="5"/>
  <c r="DX362" i="5" s="1"/>
  <c r="DQ362" i="5"/>
  <c r="DK384" i="5"/>
  <c r="FD382" i="5"/>
  <c r="FD357" i="5"/>
  <c r="AM342" i="5"/>
  <c r="CX70" i="5"/>
  <c r="DH70" i="5"/>
  <c r="DS113" i="5"/>
  <c r="DX113" i="5" s="1"/>
  <c r="CX249" i="5"/>
  <c r="AM284" i="5"/>
  <c r="DH304" i="5"/>
  <c r="DH186" i="5"/>
  <c r="EH191" i="5"/>
  <c r="DJ332" i="5"/>
  <c r="AM387" i="5"/>
  <c r="DJ347" i="5"/>
  <c r="AM347" i="5"/>
  <c r="CX347" i="5"/>
  <c r="CX392" i="5"/>
  <c r="DK394" i="5"/>
  <c r="ED377" i="5"/>
  <c r="DK364" i="5"/>
  <c r="CX397" i="5"/>
  <c r="AM357" i="5"/>
  <c r="FD342" i="5"/>
  <c r="CX113" i="5"/>
  <c r="DA284" i="5"/>
  <c r="EH274" i="5"/>
  <c r="DJ153" i="5"/>
  <c r="EC153" i="5" s="1"/>
  <c r="DH176" i="5"/>
  <c r="AM196" i="5"/>
  <c r="ED352" i="5"/>
  <c r="DA387" i="5"/>
  <c r="DQ339" i="5"/>
  <c r="DS337" i="5"/>
  <c r="DX337" i="5" s="1"/>
  <c r="DQ337" i="5"/>
  <c r="FD337" i="5"/>
  <c r="DJ367" i="5"/>
  <c r="DQ369" i="5"/>
  <c r="DS367" i="5"/>
  <c r="DX367" i="5" s="1"/>
  <c r="DQ367" i="5"/>
  <c r="DJ397" i="5"/>
  <c r="DA357" i="5"/>
  <c r="DJ342" i="5"/>
  <c r="DK344" i="5"/>
  <c r="DK243" i="5"/>
  <c r="AM221" i="5"/>
  <c r="ED191" i="5"/>
  <c r="DQ193" i="5"/>
  <c r="DQ191" i="5"/>
  <c r="DS191" i="5"/>
  <c r="DX191" i="5" s="1"/>
  <c r="AM206" i="5"/>
  <c r="FD206" i="5"/>
  <c r="CX284" i="5"/>
  <c r="FD216" i="5"/>
  <c r="FD236" i="5"/>
  <c r="EF186" i="5"/>
  <c r="FD226" i="5"/>
  <c r="AM103" i="5"/>
  <c r="EH284" i="5"/>
  <c r="DK321" i="5"/>
  <c r="DH319" i="5"/>
  <c r="AM216" i="5"/>
  <c r="FD211" i="5"/>
  <c r="DK183" i="5"/>
  <c r="DS201" i="5"/>
  <c r="DX201" i="5" s="1"/>
  <c r="DQ203" i="5"/>
  <c r="DQ201" i="5"/>
  <c r="DJ231" i="5"/>
  <c r="AM236" i="5"/>
  <c r="AM186" i="5"/>
  <c r="DQ241" i="5"/>
  <c r="DQ243" i="5"/>
  <c r="DS241" i="5"/>
  <c r="DX241" i="5" s="1"/>
  <c r="CX221" i="5"/>
  <c r="FD241" i="5"/>
  <c r="CX153" i="5"/>
  <c r="DH249" i="5"/>
  <c r="DH309" i="5"/>
  <c r="CX274" i="5"/>
  <c r="AM294" i="5"/>
  <c r="DQ178" i="5"/>
  <c r="DS176" i="5"/>
  <c r="DX176" i="5" s="1"/>
  <c r="DQ176" i="5"/>
  <c r="DA176" i="5"/>
  <c r="AM171" i="5"/>
  <c r="CX201" i="5"/>
  <c r="FD231" i="5"/>
  <c r="DA236" i="5"/>
  <c r="ED196" i="5"/>
  <c r="DA186" i="5"/>
  <c r="EF221" i="5"/>
  <c r="FD191" i="5"/>
  <c r="DK208" i="5"/>
  <c r="DK228" i="5"/>
  <c r="ED211" i="5"/>
  <c r="FD186" i="5"/>
  <c r="CX299" i="5"/>
  <c r="AM319" i="5"/>
  <c r="DA171" i="5"/>
  <c r="DS216" i="5"/>
  <c r="DX216" i="5" s="1"/>
  <c r="DQ216" i="5"/>
  <c r="DQ218" i="5"/>
  <c r="CX216" i="5"/>
  <c r="DA211" i="5"/>
  <c r="DS211" i="5"/>
  <c r="DX211" i="5" s="1"/>
  <c r="DQ211" i="5"/>
  <c r="DQ213" i="5"/>
  <c r="DH181" i="5"/>
  <c r="AM201" i="5"/>
  <c r="CX236" i="5"/>
  <c r="DK238" i="5"/>
  <c r="DH196" i="5"/>
  <c r="DQ186" i="5"/>
  <c r="DQ188" i="5"/>
  <c r="DS186" i="5"/>
  <c r="DX186" i="5" s="1"/>
  <c r="DK223" i="5"/>
  <c r="ED221" i="5"/>
  <c r="EF206" i="5"/>
  <c r="FD171" i="5"/>
  <c r="CX158" i="5"/>
  <c r="EF264" i="5"/>
  <c r="AM133" i="5"/>
  <c r="DA254" i="5"/>
  <c r="AM314" i="5"/>
  <c r="DH279" i="5"/>
  <c r="DK178" i="5"/>
  <c r="DQ173" i="5"/>
  <c r="DS171" i="5"/>
  <c r="DX171" i="5" s="1"/>
  <c r="DQ171" i="5"/>
  <c r="CX171" i="5"/>
  <c r="DA216" i="5"/>
  <c r="DH216" i="5"/>
  <c r="DQ183" i="5"/>
  <c r="DQ181" i="5"/>
  <c r="DS181" i="5"/>
  <c r="DX181" i="5" s="1"/>
  <c r="FD201" i="5"/>
  <c r="ED201" i="5"/>
  <c r="AM231" i="5"/>
  <c r="DQ233" i="5"/>
  <c r="DS231" i="5"/>
  <c r="DX231" i="5" s="1"/>
  <c r="DQ231" i="5"/>
  <c r="CX191" i="5"/>
  <c r="DJ206" i="5"/>
  <c r="DK251" i="5"/>
  <c r="DK311" i="5"/>
  <c r="EF274" i="5"/>
  <c r="DA314" i="5"/>
  <c r="EH294" i="5"/>
  <c r="DH259" i="5"/>
  <c r="ED319" i="5"/>
  <c r="CX269" i="5"/>
  <c r="ED289" i="5"/>
  <c r="EF304" i="5"/>
  <c r="DK173" i="5"/>
  <c r="ED216" i="5"/>
  <c r="CX211" i="5"/>
  <c r="DJ181" i="5"/>
  <c r="FD181" i="5"/>
  <c r="DJ201" i="5"/>
  <c r="DA231" i="5"/>
  <c r="ED236" i="5"/>
  <c r="DQ236" i="5"/>
  <c r="DQ238" i="5"/>
  <c r="DS236" i="5"/>
  <c r="DX236" i="5" s="1"/>
  <c r="DQ198" i="5"/>
  <c r="DS196" i="5"/>
  <c r="DX196" i="5" s="1"/>
  <c r="DQ196" i="5"/>
  <c r="DJ186" i="5"/>
  <c r="DK188" i="5"/>
  <c r="DA241" i="5"/>
  <c r="DS221" i="5"/>
  <c r="DX221" i="5" s="1"/>
  <c r="DQ221" i="5"/>
  <c r="DQ223" i="5"/>
  <c r="FD221" i="5"/>
  <c r="DA191" i="5"/>
  <c r="ED206" i="5"/>
  <c r="CX226" i="5"/>
  <c r="FD176" i="5"/>
  <c r="CX123" i="5"/>
  <c r="CX143" i="5"/>
  <c r="DA143" i="5"/>
  <c r="DH143" i="5"/>
  <c r="DJ289" i="5"/>
  <c r="DJ279" i="5"/>
  <c r="EC279" i="5" s="1"/>
  <c r="DJ176" i="5"/>
  <c r="FD196" i="5"/>
  <c r="DJ196" i="5"/>
  <c r="DQ206" i="5"/>
  <c r="DQ208" i="5"/>
  <c r="DS206" i="5"/>
  <c r="DX206" i="5" s="1"/>
  <c r="DQ228" i="5"/>
  <c r="DS226" i="5"/>
  <c r="DX226" i="5" s="1"/>
  <c r="DQ226" i="5"/>
  <c r="DJ103" i="5"/>
  <c r="EC103" i="5" s="1"/>
  <c r="EG103" i="5" s="1"/>
  <c r="AM80" i="5"/>
  <c r="AM143" i="5"/>
  <c r="DK266" i="5"/>
  <c r="ED249" i="5"/>
  <c r="DQ309" i="5"/>
  <c r="DQ311" i="5"/>
  <c r="DS309" i="5"/>
  <c r="DX309" i="5" s="1"/>
  <c r="DK286" i="5"/>
  <c r="DA274" i="5"/>
  <c r="DA299" i="5"/>
  <c r="FD259" i="5"/>
  <c r="FD304" i="5"/>
  <c r="FD299" i="5"/>
  <c r="DK145" i="5"/>
  <c r="EH158" i="5"/>
  <c r="AM249" i="5"/>
  <c r="DJ249" i="5"/>
  <c r="DJ309" i="5"/>
  <c r="AM309" i="5"/>
  <c r="DH284" i="5"/>
  <c r="DS299" i="5"/>
  <c r="DX299" i="5" s="1"/>
  <c r="DQ299" i="5"/>
  <c r="DQ301" i="5"/>
  <c r="ED254" i="5"/>
  <c r="DK316" i="5"/>
  <c r="DK296" i="5"/>
  <c r="CX294" i="5"/>
  <c r="DH93" i="5"/>
  <c r="DA249" i="5"/>
  <c r="FD249" i="5"/>
  <c r="DA309" i="5"/>
  <c r="DS284" i="5"/>
  <c r="DX284" i="5" s="1"/>
  <c r="DQ286" i="5"/>
  <c r="DQ284" i="5"/>
  <c r="DK276" i="5"/>
  <c r="EF299" i="5"/>
  <c r="DS314" i="5"/>
  <c r="DX314" i="5" s="1"/>
  <c r="DQ316" i="5"/>
  <c r="DQ314" i="5"/>
  <c r="DA294" i="5"/>
  <c r="DH294" i="5"/>
  <c r="AM259" i="5"/>
  <c r="DQ319" i="5"/>
  <c r="DS319" i="5"/>
  <c r="DX319" i="5" s="1"/>
  <c r="DQ321" i="5"/>
  <c r="ED269" i="5"/>
  <c r="DS289" i="5"/>
  <c r="DX289" i="5" s="1"/>
  <c r="DQ289" i="5"/>
  <c r="DQ291" i="5"/>
  <c r="DS143" i="5"/>
  <c r="DX143" i="5" s="1"/>
  <c r="FD264" i="5"/>
  <c r="CX309" i="5"/>
  <c r="DJ284" i="5"/>
  <c r="ED274" i="5"/>
  <c r="FD254" i="5"/>
  <c r="CX314" i="5"/>
  <c r="ED294" i="5"/>
  <c r="DA259" i="5"/>
  <c r="DJ319" i="5"/>
  <c r="AM289" i="5"/>
  <c r="DK281" i="5"/>
  <c r="DS249" i="5"/>
  <c r="DX249" i="5" s="1"/>
  <c r="DQ249" i="5"/>
  <c r="DQ251" i="5"/>
  <c r="DS133" i="5"/>
  <c r="DX133" i="5" s="1"/>
  <c r="DQ145" i="5"/>
  <c r="FD284" i="5"/>
  <c r="DJ274" i="5"/>
  <c r="DJ299" i="5"/>
  <c r="DH314" i="5"/>
  <c r="DS259" i="5"/>
  <c r="DX259" i="5" s="1"/>
  <c r="DQ259" i="5"/>
  <c r="DQ261" i="5"/>
  <c r="CX259" i="5"/>
  <c r="FD269" i="5"/>
  <c r="DA289" i="5"/>
  <c r="AM254" i="5"/>
  <c r="ED314" i="5"/>
  <c r="DJ294" i="5"/>
  <c r="FD294" i="5"/>
  <c r="DA319" i="5"/>
  <c r="FD274" i="5"/>
  <c r="DA123" i="5"/>
  <c r="DQ274" i="5"/>
  <c r="DQ276" i="5"/>
  <c r="DS274" i="5"/>
  <c r="DX274" i="5" s="1"/>
  <c r="ED259" i="5"/>
  <c r="FD319" i="5"/>
  <c r="CX289" i="5"/>
  <c r="FD289" i="5"/>
  <c r="FD279" i="5"/>
  <c r="DJ304" i="5"/>
  <c r="DK306" i="5"/>
  <c r="DQ266" i="5"/>
  <c r="DS264" i="5"/>
  <c r="DX264" i="5" s="1"/>
  <c r="DQ264" i="5"/>
  <c r="CX264" i="5"/>
  <c r="FD309" i="5"/>
  <c r="AM274" i="5"/>
  <c r="DK301" i="5"/>
  <c r="DS254" i="5"/>
  <c r="DX254" i="5" s="1"/>
  <c r="DQ254" i="5"/>
  <c r="DQ256" i="5"/>
  <c r="FD314" i="5"/>
  <c r="DS294" i="5"/>
  <c r="DX294" i="5" s="1"/>
  <c r="DQ296" i="5"/>
  <c r="DQ294" i="5"/>
  <c r="DQ271" i="5"/>
  <c r="DS269" i="5"/>
  <c r="DX269" i="5" s="1"/>
  <c r="DQ269" i="5"/>
  <c r="DQ279" i="5"/>
  <c r="DQ281" i="5"/>
  <c r="DS279" i="5"/>
  <c r="DX279" i="5" s="1"/>
  <c r="AM304" i="5"/>
  <c r="DS304" i="5"/>
  <c r="DX304" i="5" s="1"/>
  <c r="DQ306" i="5"/>
  <c r="DQ304" i="5"/>
  <c r="DK160" i="5"/>
  <c r="EG163" i="5"/>
  <c r="EE163" i="5"/>
  <c r="FE163" i="5" s="1"/>
  <c r="DH133" i="5"/>
  <c r="DH158" i="5"/>
  <c r="DA158" i="5"/>
  <c r="DK150" i="5"/>
  <c r="DA148" i="5"/>
  <c r="ED143" i="5"/>
  <c r="DQ158" i="5"/>
  <c r="DQ160" i="5"/>
  <c r="DS158" i="5"/>
  <c r="DX158" i="5" s="1"/>
  <c r="FD158" i="5"/>
  <c r="DJ158" i="5"/>
  <c r="DA70" i="5"/>
  <c r="ED123" i="5"/>
  <c r="AM148" i="5"/>
  <c r="DJ148" i="5"/>
  <c r="DK95" i="5"/>
  <c r="DL93" i="5" s="1"/>
  <c r="DH113" i="5"/>
  <c r="DA103" i="5"/>
  <c r="CX118" i="5"/>
  <c r="AM113" i="5"/>
  <c r="ED93" i="5"/>
  <c r="EG93" i="5" s="1"/>
  <c r="DA93" i="5"/>
  <c r="EH108" i="5"/>
  <c r="DS70" i="5"/>
  <c r="DX70" i="5" s="1"/>
  <c r="DA80" i="5"/>
  <c r="CX148" i="5"/>
  <c r="DS123" i="5"/>
  <c r="DX123" i="5" s="1"/>
  <c r="EH70" i="5"/>
  <c r="DK105" i="5"/>
  <c r="DH103" i="5"/>
  <c r="DQ123" i="5"/>
  <c r="DH118" i="5"/>
  <c r="AM138" i="5"/>
  <c r="DH148" i="5"/>
  <c r="DJ138" i="5"/>
  <c r="EC138" i="5" s="1"/>
  <c r="ED148" i="5"/>
  <c r="DJ123" i="5"/>
  <c r="DQ148" i="5"/>
  <c r="DQ150" i="5"/>
  <c r="DS148" i="5"/>
  <c r="DX148" i="5" s="1"/>
  <c r="FD148" i="5"/>
  <c r="DH50" i="5"/>
  <c r="CX138" i="5"/>
  <c r="DH138" i="5"/>
  <c r="EH138" i="5"/>
  <c r="DK140" i="5"/>
  <c r="DQ138" i="5"/>
  <c r="DQ140" i="5"/>
  <c r="DS138" i="5"/>
  <c r="DX138" i="5" s="1"/>
  <c r="AM70" i="5"/>
  <c r="FD138" i="5"/>
  <c r="DA128" i="5"/>
  <c r="DA138" i="5"/>
  <c r="AM118" i="5"/>
  <c r="DJ118" i="5"/>
  <c r="EC118" i="5" s="1"/>
  <c r="EH128" i="5"/>
  <c r="DH128" i="5"/>
  <c r="DK130" i="5"/>
  <c r="AM123" i="5"/>
  <c r="DJ128" i="5"/>
  <c r="EC128" i="5" s="1"/>
  <c r="DK115" i="5"/>
  <c r="CX128" i="5"/>
  <c r="DQ128" i="5"/>
  <c r="DQ130" i="5"/>
  <c r="DS128" i="5"/>
  <c r="DX128" i="5" s="1"/>
  <c r="DK120" i="5"/>
  <c r="FD128" i="5"/>
  <c r="EF128" i="5"/>
  <c r="AM128" i="5"/>
  <c r="EH118" i="5"/>
  <c r="ED128" i="5"/>
  <c r="DQ118" i="5"/>
  <c r="DQ120" i="5"/>
  <c r="DS118" i="5"/>
  <c r="DX118" i="5" s="1"/>
  <c r="DA50" i="5"/>
  <c r="CX108" i="5"/>
  <c r="ED118" i="5"/>
  <c r="EH103" i="5"/>
  <c r="FD118" i="5"/>
  <c r="EF118" i="5"/>
  <c r="CX103" i="5"/>
  <c r="AM108" i="5"/>
  <c r="DA118" i="5"/>
  <c r="DH108" i="5"/>
  <c r="DA108" i="5"/>
  <c r="DK110" i="5"/>
  <c r="EH65" i="5"/>
  <c r="DH98" i="5"/>
  <c r="DJ108" i="5"/>
  <c r="FD108" i="5"/>
  <c r="ED108" i="5"/>
  <c r="CX98" i="5"/>
  <c r="DQ108" i="5"/>
  <c r="DS108" i="5"/>
  <c r="DX108" i="5" s="1"/>
  <c r="DQ110" i="5"/>
  <c r="AM65" i="5"/>
  <c r="AM50" i="5"/>
  <c r="DQ72" i="5"/>
  <c r="DQ82" i="5"/>
  <c r="DH65" i="5"/>
  <c r="DS50" i="5"/>
  <c r="DQ80" i="5"/>
  <c r="DQ52" i="5"/>
  <c r="EH98" i="5"/>
  <c r="EH85" i="5"/>
  <c r="EF98" i="5"/>
  <c r="DA85" i="5"/>
  <c r="AM75" i="5"/>
  <c r="AM98" i="5"/>
  <c r="DJ98" i="5"/>
  <c r="FD98" i="5"/>
  <c r="DA98" i="5"/>
  <c r="DQ98" i="5"/>
  <c r="DQ100" i="5"/>
  <c r="DS98" i="5"/>
  <c r="DX98" i="5" s="1"/>
  <c r="DK100" i="5"/>
  <c r="DH85" i="5"/>
  <c r="DK87" i="5"/>
  <c r="DJ85" i="5"/>
  <c r="EC85" i="5" s="1"/>
  <c r="DA55" i="5"/>
  <c r="AM85" i="5"/>
  <c r="EF80" i="5"/>
  <c r="EG80" i="5" s="1"/>
  <c r="DH80" i="5"/>
  <c r="DQ85" i="5"/>
  <c r="DQ87" i="5"/>
  <c r="DS85" i="5"/>
  <c r="DX85" i="5" s="1"/>
  <c r="CX85" i="5"/>
  <c r="CX75" i="5"/>
  <c r="ED85" i="5"/>
  <c r="FD85" i="5"/>
  <c r="EH75" i="5"/>
  <c r="CX55" i="5"/>
  <c r="DK52" i="5"/>
  <c r="DH75" i="5"/>
  <c r="EE80" i="5"/>
  <c r="FE80" i="5" s="1"/>
  <c r="DQ75" i="5"/>
  <c r="DQ77" i="5"/>
  <c r="DS75" i="5"/>
  <c r="DX75" i="5" s="1"/>
  <c r="DJ50" i="5"/>
  <c r="EC50" i="5" s="1"/>
  <c r="EG50" i="5" s="1"/>
  <c r="FD75" i="5"/>
  <c r="DK77" i="5"/>
  <c r="DJ75" i="5"/>
  <c r="EH55" i="5"/>
  <c r="DJ65" i="5"/>
  <c r="EC65" i="5" s="1"/>
  <c r="EG65" i="5" s="1"/>
  <c r="CX65" i="5"/>
  <c r="DS65" i="5"/>
  <c r="DX65" i="5" s="1"/>
  <c r="DQ67" i="5"/>
  <c r="DQ65" i="5"/>
  <c r="CX50" i="5"/>
  <c r="FD65" i="5"/>
  <c r="DK67" i="5"/>
  <c r="DA65" i="5"/>
  <c r="AM55" i="5"/>
  <c r="EH45" i="5"/>
  <c r="EG60" i="5"/>
  <c r="EE60" i="5"/>
  <c r="FE60" i="5" s="1"/>
  <c r="DH55" i="5"/>
  <c r="DJ45" i="5"/>
  <c r="EC45" i="5" s="1"/>
  <c r="FD55" i="5"/>
  <c r="DK57" i="5"/>
  <c r="EF55" i="5"/>
  <c r="CX45" i="5"/>
  <c r="DQ57" i="5"/>
  <c r="DS55" i="5"/>
  <c r="DQ55" i="5"/>
  <c r="DJ55" i="5"/>
  <c r="DH45" i="5"/>
  <c r="ED55" i="5"/>
  <c r="AM45" i="5"/>
  <c r="FD45" i="5"/>
  <c r="EF45" i="5"/>
  <c r="DA45" i="5"/>
  <c r="DK47" i="5"/>
  <c r="DQ45" i="5"/>
  <c r="DQ47" i="5"/>
  <c r="DS45" i="5"/>
  <c r="AM40" i="5"/>
  <c r="DJ40" i="5"/>
  <c r="EC40" i="5" s="1"/>
  <c r="EE40" i="5" s="1"/>
  <c r="FE40" i="5" s="1"/>
  <c r="EI40" i="5"/>
  <c r="DH40" i="5"/>
  <c r="EH40" i="5"/>
  <c r="DK42" i="5"/>
  <c r="CX40" i="5"/>
  <c r="DA40" i="5"/>
  <c r="DS40" i="5"/>
  <c r="DX40" i="5" s="1"/>
  <c r="DQ40" i="5"/>
  <c r="DS107" i="8"/>
  <c r="DT107" i="8" s="1"/>
  <c r="BS152" i="8"/>
  <c r="BT152" i="8" s="1"/>
  <c r="DS93" i="8"/>
  <c r="DT93" i="8" s="1"/>
  <c r="BS121" i="8"/>
  <c r="CA121" i="8" s="1"/>
  <c r="BS109" i="8"/>
  <c r="BT109" i="8" s="1"/>
  <c r="DS97" i="8"/>
  <c r="DT97" i="8" s="1"/>
  <c r="BS145" i="8"/>
  <c r="BT145" i="8" s="1"/>
  <c r="BS141" i="8"/>
  <c r="BT141" i="8" s="1"/>
  <c r="BS108" i="8"/>
  <c r="BT108" i="8" s="1"/>
  <c r="BS136" i="8"/>
  <c r="BT136" i="8" s="1"/>
  <c r="BS113" i="8"/>
  <c r="BS173" i="8"/>
  <c r="BT173" i="8" s="1"/>
  <c r="BS161" i="8"/>
  <c r="BT161" i="8" s="1"/>
  <c r="BS140" i="8"/>
  <c r="BT140" i="8" s="1"/>
  <c r="BS107" i="8"/>
  <c r="BT107" i="8" s="1"/>
  <c r="BS166" i="8"/>
  <c r="BT166" i="8" s="1"/>
  <c r="BS95" i="8"/>
  <c r="BT95" i="8" s="1"/>
  <c r="DS119" i="8"/>
  <c r="DT119" i="8" s="1"/>
  <c r="BS104" i="8"/>
  <c r="BT104" i="8" s="1"/>
  <c r="BS172" i="8"/>
  <c r="BT172" i="8" s="1"/>
  <c r="DS100" i="8"/>
  <c r="DT100" i="8" s="1"/>
  <c r="BS139" i="8"/>
  <c r="BT139" i="8" s="1"/>
  <c r="DS112" i="8"/>
  <c r="DT112" i="8" s="1"/>
  <c r="BS134" i="8"/>
  <c r="BT134" i="8" s="1"/>
  <c r="DS117" i="8"/>
  <c r="DT117" i="8" s="1"/>
  <c r="DS95" i="8"/>
  <c r="DT95" i="8" s="1"/>
  <c r="BS171" i="8"/>
  <c r="BT171" i="8" s="1"/>
  <c r="BS102" i="8"/>
  <c r="BT102" i="8" s="1"/>
  <c r="BS123" i="8"/>
  <c r="BT123" i="8" s="1"/>
  <c r="BS155" i="8"/>
  <c r="BT155" i="8" s="1"/>
  <c r="DS101" i="8"/>
  <c r="DT101" i="8" s="1"/>
  <c r="BS182" i="8"/>
  <c r="BT182" i="8" s="1"/>
  <c r="DS128" i="8"/>
  <c r="DS118" i="8"/>
  <c r="DT118" i="8" s="1"/>
  <c r="BS187" i="8"/>
  <c r="BT187" i="8" s="1"/>
  <c r="DS133" i="8"/>
  <c r="DT133" i="8" s="1"/>
  <c r="BS118" i="8"/>
  <c r="BS150" i="8"/>
  <c r="BT150" i="8" s="1"/>
  <c r="BS112" i="8"/>
  <c r="BS101" i="8"/>
  <c r="BT101" i="8" s="1"/>
  <c r="BS165" i="8"/>
  <c r="BT165" i="8" s="1"/>
  <c r="DS94" i="8"/>
  <c r="DT94" i="8" s="1"/>
  <c r="DS111" i="8"/>
  <c r="DT111" i="8" s="1"/>
  <c r="BS105" i="8"/>
  <c r="BT105" i="8" s="1"/>
  <c r="DS98" i="8"/>
  <c r="DT98" i="8" s="1"/>
  <c r="BS93" i="8"/>
  <c r="BT93" i="8" s="1"/>
  <c r="BS184" i="8"/>
  <c r="BT184" i="8" s="1"/>
  <c r="DS138" i="8"/>
  <c r="DT138" i="8" s="1"/>
  <c r="BS132" i="8"/>
  <c r="BT132" i="8" s="1"/>
  <c r="BS100" i="8"/>
  <c r="BT100" i="8" s="1"/>
  <c r="BS164" i="8"/>
  <c r="BT164" i="8" s="1"/>
  <c r="DS142" i="8"/>
  <c r="EA128" i="8" s="1"/>
  <c r="DS110" i="8"/>
  <c r="DT110" i="8" s="1"/>
  <c r="BS135" i="8"/>
  <c r="BT135" i="8" s="1"/>
  <c r="BS119" i="8"/>
  <c r="BS103" i="8"/>
  <c r="BT103" i="8" s="1"/>
  <c r="BS183" i="8"/>
  <c r="BT183" i="8" s="1"/>
  <c r="BS167" i="8"/>
  <c r="BT167" i="8" s="1"/>
  <c r="BS151" i="8"/>
  <c r="BT151" i="8" s="1"/>
  <c r="DS96" i="8"/>
  <c r="DS129" i="8"/>
  <c r="DT129" i="8" s="1"/>
  <c r="DS113" i="8"/>
  <c r="DT113" i="8" s="1"/>
  <c r="AK78" i="8"/>
  <c r="C78" i="8" s="1"/>
  <c r="BS130" i="8"/>
  <c r="BT130" i="8" s="1"/>
  <c r="BS114" i="8"/>
  <c r="BS98" i="8"/>
  <c r="BT98" i="8" s="1"/>
  <c r="BS178" i="8"/>
  <c r="BT178" i="8" s="1"/>
  <c r="BS162" i="8"/>
  <c r="BT162" i="8" s="1"/>
  <c r="BS146" i="8"/>
  <c r="BT146" i="8" s="1"/>
  <c r="DS140" i="8"/>
  <c r="DT140" i="8" s="1"/>
  <c r="DS124" i="8"/>
  <c r="DS108" i="8"/>
  <c r="DT108" i="8" s="1"/>
  <c r="BS97" i="8"/>
  <c r="BT97" i="8" s="1"/>
  <c r="BS133" i="8"/>
  <c r="BT133" i="8" s="1"/>
  <c r="BS177" i="8"/>
  <c r="BT177" i="8" s="1"/>
  <c r="DS115" i="8"/>
  <c r="DT115" i="8" s="1"/>
  <c r="BS192" i="8"/>
  <c r="DS130" i="8"/>
  <c r="DT130" i="8" s="1"/>
  <c r="BS125" i="8"/>
  <c r="BT125" i="8" s="1"/>
  <c r="BS189" i="8"/>
  <c r="BT189" i="8" s="1"/>
  <c r="BS157" i="8"/>
  <c r="BT157" i="8" s="1"/>
  <c r="DS135" i="8"/>
  <c r="DT135" i="8" s="1"/>
  <c r="DS103" i="8"/>
  <c r="DT103" i="8" s="1"/>
  <c r="BS185" i="8"/>
  <c r="BT185" i="8" s="1"/>
  <c r="DS139" i="8"/>
  <c r="DT139" i="8" s="1"/>
  <c r="BS128" i="8"/>
  <c r="BT128" i="8" s="1"/>
  <c r="BS176" i="8"/>
  <c r="BT176" i="8" s="1"/>
  <c r="DS122" i="8"/>
  <c r="DT122" i="8" s="1"/>
  <c r="BS124" i="8"/>
  <c r="BT124" i="8" s="1"/>
  <c r="BS188" i="8"/>
  <c r="BT188" i="8" s="1"/>
  <c r="BS156" i="8"/>
  <c r="BT156" i="8" s="1"/>
  <c r="DS134" i="8"/>
  <c r="DT134" i="8" s="1"/>
  <c r="DS102" i="8"/>
  <c r="DT102" i="8" s="1"/>
  <c r="BS131" i="8"/>
  <c r="BT131" i="8" s="1"/>
  <c r="BS115" i="8"/>
  <c r="BS99" i="8"/>
  <c r="BT99" i="8" s="1"/>
  <c r="BS179" i="8"/>
  <c r="BT179" i="8" s="1"/>
  <c r="BS163" i="8"/>
  <c r="BT163" i="8" s="1"/>
  <c r="BS147" i="8"/>
  <c r="BT147" i="8" s="1"/>
  <c r="DS141" i="8"/>
  <c r="DS125" i="8"/>
  <c r="DS109" i="8"/>
  <c r="DT109" i="8" s="1"/>
  <c r="BS96" i="8"/>
  <c r="BS126" i="8"/>
  <c r="BT126" i="8" s="1"/>
  <c r="BS110" i="8"/>
  <c r="BT110" i="8" s="1"/>
  <c r="BS190" i="8"/>
  <c r="BT190" i="8" s="1"/>
  <c r="BS174" i="8"/>
  <c r="BT174" i="8" s="1"/>
  <c r="BS158" i="8"/>
  <c r="BT158" i="8" s="1"/>
  <c r="BS142" i="8"/>
  <c r="BT142" i="8" s="1"/>
  <c r="DS136" i="8"/>
  <c r="DT136" i="8" s="1"/>
  <c r="DS120" i="8"/>
  <c r="DT120" i="8" s="1"/>
  <c r="DS104" i="8"/>
  <c r="DT104" i="8" s="1"/>
  <c r="DS131" i="8"/>
  <c r="DT131" i="8" s="1"/>
  <c r="BS144" i="8"/>
  <c r="BT144" i="8" s="1"/>
  <c r="BS137" i="8"/>
  <c r="BT137" i="8" s="1"/>
  <c r="BS153" i="8"/>
  <c r="BT153" i="8" s="1"/>
  <c r="AK77" i="8"/>
  <c r="C77" i="8" s="1"/>
  <c r="BS168" i="8"/>
  <c r="BT168" i="8" s="1"/>
  <c r="DS114" i="8"/>
  <c r="BS117" i="8"/>
  <c r="BS181" i="8"/>
  <c r="BT181" i="8" s="1"/>
  <c r="BS149" i="8"/>
  <c r="BT149" i="8" s="1"/>
  <c r="DS127" i="8"/>
  <c r="BS129" i="8"/>
  <c r="BT129" i="8" s="1"/>
  <c r="BS169" i="8"/>
  <c r="BT169" i="8" s="1"/>
  <c r="DS123" i="8"/>
  <c r="BS120" i="8"/>
  <c r="BS160" i="8"/>
  <c r="BT160" i="8" s="1"/>
  <c r="DS106" i="8"/>
  <c r="DT106" i="8" s="1"/>
  <c r="BS116" i="8"/>
  <c r="BS180" i="8"/>
  <c r="BT180" i="8" s="1"/>
  <c r="BS148" i="8"/>
  <c r="BT148" i="8" s="1"/>
  <c r="DS126" i="8"/>
  <c r="DT126" i="8" s="1"/>
  <c r="BS94" i="8"/>
  <c r="BS127" i="8"/>
  <c r="BT127" i="8" s="1"/>
  <c r="BS111" i="8"/>
  <c r="BT111" i="8" s="1"/>
  <c r="BS191" i="8"/>
  <c r="BS175" i="8"/>
  <c r="BT175" i="8" s="1"/>
  <c r="BS159" i="8"/>
  <c r="BT159" i="8" s="1"/>
  <c r="BS143" i="8"/>
  <c r="DS137" i="8"/>
  <c r="DT137" i="8" s="1"/>
  <c r="DS121" i="8"/>
  <c r="DT121" i="8" s="1"/>
  <c r="DS105" i="8"/>
  <c r="DT105" i="8" s="1"/>
  <c r="BS138" i="8"/>
  <c r="BT138" i="8" s="1"/>
  <c r="BS122" i="8"/>
  <c r="BT122" i="8" s="1"/>
  <c r="BS106" i="8"/>
  <c r="BT106" i="8" s="1"/>
  <c r="BS186" i="8"/>
  <c r="BT186" i="8" s="1"/>
  <c r="BS170" i="8"/>
  <c r="BT170" i="8" s="1"/>
  <c r="BS154" i="8"/>
  <c r="BT154" i="8" s="1"/>
  <c r="DS99" i="8"/>
  <c r="DT99" i="8" s="1"/>
  <c r="DS132" i="8"/>
  <c r="DT132" i="8" s="1"/>
  <c r="DS116" i="8"/>
  <c r="DT116" i="8" s="1"/>
  <c r="DX55" i="5" l="1"/>
  <c r="DX50" i="5"/>
  <c r="DX45" i="5"/>
  <c r="EE654" i="5"/>
  <c r="FE654" i="5" s="1"/>
  <c r="DL709" i="5"/>
  <c r="DX347" i="5"/>
  <c r="EA116" i="8"/>
  <c r="DL654" i="5"/>
  <c r="DL405" i="5"/>
  <c r="DL596" i="5"/>
  <c r="DL611" i="5"/>
  <c r="EG113" i="5"/>
  <c r="EG133" i="5"/>
  <c r="DL133" i="5"/>
  <c r="DL752" i="5"/>
  <c r="DL553" i="5"/>
  <c r="DL455" i="5"/>
  <c r="EG732" i="5"/>
  <c r="DL737" i="5"/>
  <c r="EE382" i="5"/>
  <c r="FE382" i="5" s="1"/>
  <c r="DL113" i="5"/>
  <c r="EE241" i="5"/>
  <c r="FE241" i="5" s="1"/>
  <c r="EE153" i="5"/>
  <c r="FE153" i="5" s="1"/>
  <c r="DL503" i="5"/>
  <c r="DL644" i="5"/>
  <c r="EG503" i="5"/>
  <c r="DL254" i="5"/>
  <c r="EG171" i="5"/>
  <c r="EE737" i="5"/>
  <c r="FE737" i="5" s="1"/>
  <c r="DL314" i="5"/>
  <c r="DL722" i="5"/>
  <c r="DL689" i="5"/>
  <c r="DL410" i="5"/>
  <c r="EG581" i="5"/>
  <c r="DL269" i="5"/>
  <c r="EG314" i="5"/>
  <c r="DL508" i="5"/>
  <c r="DL621" i="5"/>
  <c r="EG689" i="5"/>
  <c r="DL171" i="5"/>
  <c r="EE508" i="5"/>
  <c r="FE508" i="5" s="1"/>
  <c r="DL639" i="5"/>
  <c r="DL772" i="5"/>
  <c r="DL727" i="5"/>
  <c r="DL143" i="5"/>
  <c r="DL757" i="5"/>
  <c r="DL717" i="5"/>
  <c r="EC717" i="5"/>
  <c r="EE717" i="5" s="1"/>
  <c r="FE717" i="5" s="1"/>
  <c r="DL483" i="5"/>
  <c r="DL264" i="5"/>
  <c r="DL377" i="5"/>
  <c r="EE493" i="5"/>
  <c r="FE493" i="5" s="1"/>
  <c r="DL561" i="5"/>
  <c r="DL103" i="5"/>
  <c r="DL153" i="5"/>
  <c r="EE548" i="5"/>
  <c r="FE548" i="5" s="1"/>
  <c r="EE103" i="5"/>
  <c r="FE103" i="5" s="1"/>
  <c r="DL259" i="5"/>
  <c r="DL664" i="5"/>
  <c r="DL581" i="5"/>
  <c r="DL674" i="5"/>
  <c r="DL518" i="5"/>
  <c r="DL241" i="5"/>
  <c r="DL211" i="5"/>
  <c r="DL548" i="5"/>
  <c r="EG493" i="5"/>
  <c r="EG153" i="5"/>
  <c r="DL493" i="5"/>
  <c r="EE488" i="5"/>
  <c r="FE488" i="5" s="1"/>
  <c r="DL732" i="5"/>
  <c r="EG216" i="5"/>
  <c r="DL216" i="5"/>
  <c r="DL327" i="5"/>
  <c r="DL420" i="5"/>
  <c r="DL430" i="5"/>
  <c r="DL523" i="5"/>
  <c r="EE704" i="5"/>
  <c r="FE704" i="5" s="1"/>
  <c r="EE143" i="5"/>
  <c r="FE143" i="5" s="1"/>
  <c r="DL382" i="5"/>
  <c r="EG327" i="5"/>
  <c r="DL488" i="5"/>
  <c r="DL586" i="5"/>
  <c r="DL704" i="5"/>
  <c r="DL221" i="5"/>
  <c r="DL435" i="5"/>
  <c r="FE689" i="5"/>
  <c r="EG737" i="5"/>
  <c r="EG752" i="5"/>
  <c r="DL475" i="5"/>
  <c r="DL747" i="5"/>
  <c r="EC747" i="5"/>
  <c r="DL767" i="5"/>
  <c r="EC767" i="5"/>
  <c r="EE752" i="5"/>
  <c r="FE752" i="5" s="1"/>
  <c r="DL787" i="5"/>
  <c r="EC787" i="5"/>
  <c r="DL762" i="5"/>
  <c r="EC762" i="5"/>
  <c r="EE727" i="5"/>
  <c r="FE727" i="5" s="1"/>
  <c r="EG727" i="5"/>
  <c r="DL742" i="5"/>
  <c r="EC742" i="5"/>
  <c r="DL777" i="5"/>
  <c r="EC777" i="5"/>
  <c r="DL782" i="5"/>
  <c r="EC782" i="5"/>
  <c r="EE772" i="5"/>
  <c r="FE772" i="5" s="1"/>
  <c r="EG772" i="5"/>
  <c r="DL362" i="5"/>
  <c r="DL226" i="5"/>
  <c r="DL372" i="5"/>
  <c r="EE732" i="5"/>
  <c r="FE732" i="5" s="1"/>
  <c r="EE221" i="5"/>
  <c r="FE221" i="5" s="1"/>
  <c r="EG191" i="5"/>
  <c r="DL631" i="5"/>
  <c r="EG722" i="5"/>
  <c r="EE722" i="5"/>
  <c r="FE722" i="5" s="1"/>
  <c r="EC523" i="5"/>
  <c r="EE523" i="5" s="1"/>
  <c r="FE523" i="5" s="1"/>
  <c r="EE757" i="5"/>
  <c r="FE757" i="5" s="1"/>
  <c r="EG757" i="5"/>
  <c r="EG644" i="5"/>
  <c r="EE644" i="5"/>
  <c r="FE644" i="5" s="1"/>
  <c r="DL684" i="5"/>
  <c r="EC684" i="5"/>
  <c r="EG664" i="5"/>
  <c r="EE664" i="5"/>
  <c r="FE664" i="5" s="1"/>
  <c r="DL659" i="5"/>
  <c r="EC659" i="5"/>
  <c r="EG362" i="5"/>
  <c r="EG709" i="5"/>
  <c r="EE709" i="5"/>
  <c r="FE709" i="5" s="1"/>
  <c r="DL616" i="5"/>
  <c r="EC616" i="5"/>
  <c r="EG616" i="5" s="1"/>
  <c r="DL694" i="5"/>
  <c r="EC694" i="5"/>
  <c r="DL699" i="5"/>
  <c r="EC699" i="5"/>
  <c r="DL669" i="5"/>
  <c r="EC669" i="5"/>
  <c r="EG674" i="5"/>
  <c r="EE674" i="5"/>
  <c r="FE674" i="5" s="1"/>
  <c r="EG704" i="5"/>
  <c r="DL649" i="5"/>
  <c r="EC649" i="5"/>
  <c r="EG639" i="5"/>
  <c r="EE639" i="5"/>
  <c r="FE639" i="5" s="1"/>
  <c r="DL679" i="5"/>
  <c r="EC679" i="5"/>
  <c r="EE596" i="5"/>
  <c r="FE596" i="5" s="1"/>
  <c r="EG596" i="5"/>
  <c r="DL601" i="5"/>
  <c r="EC601" i="5"/>
  <c r="DL606" i="5"/>
  <c r="EC606" i="5"/>
  <c r="EE362" i="5"/>
  <c r="FE362" i="5" s="1"/>
  <c r="DL543" i="5"/>
  <c r="FE503" i="5"/>
  <c r="DL566" i="5"/>
  <c r="EC566" i="5"/>
  <c r="DL576" i="5"/>
  <c r="EC576" i="5"/>
  <c r="DL591" i="5"/>
  <c r="EC591" i="5"/>
  <c r="EG586" i="5"/>
  <c r="EE586" i="5"/>
  <c r="FE586" i="5" s="1"/>
  <c r="DL571" i="5"/>
  <c r="EC571" i="5"/>
  <c r="EE621" i="5"/>
  <c r="FE621" i="5" s="1"/>
  <c r="EG621" i="5"/>
  <c r="EE581" i="5"/>
  <c r="FE581" i="5" s="1"/>
  <c r="DL357" i="5"/>
  <c r="EG561" i="5"/>
  <c r="EE561" i="5"/>
  <c r="FE561" i="5" s="1"/>
  <c r="EG611" i="5"/>
  <c r="EE611" i="5"/>
  <c r="FE611" i="5" s="1"/>
  <c r="EG631" i="5"/>
  <c r="EE631" i="5"/>
  <c r="FE631" i="5" s="1"/>
  <c r="DL626" i="5"/>
  <c r="EC626" i="5"/>
  <c r="EE483" i="5"/>
  <c r="FE483" i="5" s="1"/>
  <c r="EG483" i="5"/>
  <c r="EG543" i="5"/>
  <c r="EE543" i="5"/>
  <c r="FE543" i="5" s="1"/>
  <c r="FE171" i="5"/>
  <c r="EG518" i="5"/>
  <c r="EE518" i="5"/>
  <c r="FE518" i="5" s="1"/>
  <c r="DL538" i="5"/>
  <c r="EC538" i="5"/>
  <c r="DL528" i="5"/>
  <c r="EC528" i="5"/>
  <c r="DL533" i="5"/>
  <c r="EC533" i="5"/>
  <c r="DL498" i="5"/>
  <c r="EC498" i="5"/>
  <c r="DL513" i="5"/>
  <c r="EC513" i="5"/>
  <c r="EG488" i="5"/>
  <c r="EG553" i="5"/>
  <c r="EE553" i="5"/>
  <c r="FE553" i="5" s="1"/>
  <c r="EG508" i="5"/>
  <c r="DL191" i="5"/>
  <c r="EE216" i="5"/>
  <c r="FE216" i="5" s="1"/>
  <c r="EE405" i="5"/>
  <c r="FE405" i="5" s="1"/>
  <c r="EG405" i="5"/>
  <c r="DL440" i="5"/>
  <c r="EC440" i="5"/>
  <c r="DL236" i="5"/>
  <c r="EG455" i="5"/>
  <c r="EE455" i="5"/>
  <c r="FE455" i="5" s="1"/>
  <c r="EE435" i="5"/>
  <c r="FE435" i="5" s="1"/>
  <c r="EG435" i="5"/>
  <c r="EE420" i="5"/>
  <c r="FE420" i="5" s="1"/>
  <c r="EG420" i="5"/>
  <c r="DL445" i="5"/>
  <c r="EC445" i="5"/>
  <c r="DL460" i="5"/>
  <c r="EC460" i="5"/>
  <c r="EE430" i="5"/>
  <c r="FE430" i="5" s="1"/>
  <c r="EG430" i="5"/>
  <c r="DL465" i="5"/>
  <c r="EC465" i="5"/>
  <c r="EG410" i="5"/>
  <c r="EE410" i="5"/>
  <c r="FE410" i="5" s="1"/>
  <c r="DL425" i="5"/>
  <c r="EC425" i="5"/>
  <c r="DL470" i="5"/>
  <c r="EC470" i="5"/>
  <c r="DL415" i="5"/>
  <c r="EC415" i="5"/>
  <c r="EG475" i="5"/>
  <c r="EE475" i="5"/>
  <c r="FE475" i="5" s="1"/>
  <c r="DL450" i="5"/>
  <c r="EC450" i="5"/>
  <c r="DL352" i="5"/>
  <c r="EC352" i="5"/>
  <c r="EG143" i="5"/>
  <c r="DL279" i="5"/>
  <c r="EE377" i="5"/>
  <c r="FE377" i="5" s="1"/>
  <c r="EG377" i="5"/>
  <c r="EE372" i="5"/>
  <c r="FE372" i="5" s="1"/>
  <c r="EG372" i="5"/>
  <c r="DL347" i="5"/>
  <c r="EC347" i="5"/>
  <c r="EE327" i="5"/>
  <c r="FE327" i="5" s="1"/>
  <c r="EE70" i="5"/>
  <c r="FE70" i="5" s="1"/>
  <c r="DL367" i="5"/>
  <c r="EC367" i="5"/>
  <c r="DL392" i="5"/>
  <c r="EC392" i="5"/>
  <c r="EG221" i="5"/>
  <c r="DL397" i="5"/>
  <c r="EC397" i="5"/>
  <c r="DL332" i="5"/>
  <c r="EC332" i="5"/>
  <c r="DL337" i="5"/>
  <c r="EC337" i="5"/>
  <c r="DL342" i="5"/>
  <c r="EC342" i="5"/>
  <c r="EE357" i="5"/>
  <c r="FE357" i="5" s="1"/>
  <c r="EG357" i="5"/>
  <c r="DL148" i="5"/>
  <c r="DL387" i="5"/>
  <c r="EC387" i="5"/>
  <c r="DL206" i="5"/>
  <c r="EC206" i="5"/>
  <c r="EG211" i="5"/>
  <c r="EE211" i="5"/>
  <c r="FE211" i="5" s="1"/>
  <c r="EE191" i="5"/>
  <c r="FE191" i="5" s="1"/>
  <c r="DL176" i="5"/>
  <c r="EC176" i="5"/>
  <c r="DL186" i="5"/>
  <c r="EC186" i="5"/>
  <c r="EG236" i="5"/>
  <c r="EE236" i="5"/>
  <c r="FE236" i="5" s="1"/>
  <c r="DL231" i="5"/>
  <c r="EC231" i="5"/>
  <c r="EE226" i="5"/>
  <c r="FE226" i="5" s="1"/>
  <c r="EG226" i="5"/>
  <c r="DL181" i="5"/>
  <c r="EC181" i="5"/>
  <c r="DL196" i="5"/>
  <c r="EC196" i="5"/>
  <c r="DL201" i="5"/>
  <c r="EC201" i="5"/>
  <c r="DL289" i="5"/>
  <c r="EC289" i="5"/>
  <c r="DL304" i="5"/>
  <c r="EC304" i="5"/>
  <c r="EG264" i="5"/>
  <c r="EE264" i="5"/>
  <c r="FE264" i="5" s="1"/>
  <c r="EG279" i="5"/>
  <c r="EE279" i="5"/>
  <c r="FE279" i="5" s="1"/>
  <c r="DL284" i="5"/>
  <c r="EC284" i="5"/>
  <c r="EE254" i="5"/>
  <c r="FE254" i="5" s="1"/>
  <c r="EG254" i="5"/>
  <c r="DL319" i="5"/>
  <c r="EC319" i="5"/>
  <c r="EG269" i="5"/>
  <c r="EE269" i="5"/>
  <c r="FE269" i="5" s="1"/>
  <c r="DL309" i="5"/>
  <c r="EC309" i="5"/>
  <c r="DL299" i="5"/>
  <c r="EC299" i="5"/>
  <c r="DL274" i="5"/>
  <c r="EC274" i="5"/>
  <c r="EE314" i="5"/>
  <c r="FE314" i="5" s="1"/>
  <c r="DL294" i="5"/>
  <c r="EC294" i="5"/>
  <c r="EE259" i="5"/>
  <c r="FE259" i="5" s="1"/>
  <c r="EG259" i="5"/>
  <c r="DL249" i="5"/>
  <c r="EC249" i="5"/>
  <c r="EE93" i="5"/>
  <c r="FE93" i="5" s="1"/>
  <c r="DL158" i="5"/>
  <c r="EC158" i="5"/>
  <c r="EC148" i="5"/>
  <c r="EE148" i="5" s="1"/>
  <c r="FE148" i="5" s="1"/>
  <c r="DL138" i="5"/>
  <c r="DL118" i="5"/>
  <c r="DL123" i="5"/>
  <c r="EC123" i="5"/>
  <c r="DL128" i="5"/>
  <c r="EG138" i="5"/>
  <c r="EE138" i="5"/>
  <c r="FE138" i="5" s="1"/>
  <c r="EG128" i="5"/>
  <c r="EE128" i="5"/>
  <c r="FE128" i="5" s="1"/>
  <c r="EE50" i="5"/>
  <c r="FE50" i="5" s="1"/>
  <c r="EG118" i="5"/>
  <c r="EE118" i="5"/>
  <c r="FE118" i="5" s="1"/>
  <c r="DL108" i="5"/>
  <c r="EC108" i="5"/>
  <c r="DL98" i="5"/>
  <c r="EC98" i="5"/>
  <c r="EE85" i="5"/>
  <c r="FE85" i="5" s="1"/>
  <c r="EL33" i="5"/>
  <c r="DL50" i="5"/>
  <c r="DL85" i="5"/>
  <c r="EG85" i="5"/>
  <c r="EE65" i="5"/>
  <c r="FE65" i="5" s="1"/>
  <c r="DL75" i="5"/>
  <c r="EC75" i="5"/>
  <c r="DL65" i="5"/>
  <c r="DL45" i="5"/>
  <c r="DL55" i="5"/>
  <c r="EC55" i="5"/>
  <c r="EG45" i="5"/>
  <c r="EE45" i="5"/>
  <c r="FE45" i="5" s="1"/>
  <c r="BN206" i="8"/>
  <c r="EA115" i="8"/>
  <c r="DL40" i="5"/>
  <c r="EA126" i="8"/>
  <c r="EA127" i="8"/>
  <c r="EA124" i="8"/>
  <c r="EA125" i="8"/>
  <c r="EA114" i="8"/>
  <c r="EA122" i="8"/>
  <c r="EA123" i="8"/>
  <c r="EA108" i="8"/>
  <c r="EA112" i="8"/>
  <c r="EA110" i="8"/>
  <c r="EA111" i="8"/>
  <c r="EA113" i="8"/>
  <c r="DT125" i="8"/>
  <c r="EA119" i="8"/>
  <c r="DT128" i="8"/>
  <c r="EA121" i="8"/>
  <c r="DT127" i="8"/>
  <c r="EA120" i="8"/>
  <c r="DT123" i="8"/>
  <c r="EA117" i="8"/>
  <c r="DT124" i="8"/>
  <c r="EA118" i="8"/>
  <c r="CA118" i="8"/>
  <c r="BN220" i="8"/>
  <c r="BN208" i="8"/>
  <c r="BN222" i="8"/>
  <c r="CA120" i="8"/>
  <c r="CA119" i="8"/>
  <c r="BN221" i="8"/>
  <c r="CA106" i="8"/>
  <c r="BN196" i="8"/>
  <c r="CA107" i="8"/>
  <c r="BN209" i="8"/>
  <c r="BT117" i="8"/>
  <c r="CA113" i="8"/>
  <c r="BN215" i="8"/>
  <c r="BT118" i="8"/>
  <c r="BN216" i="8"/>
  <c r="CA114" i="8"/>
  <c r="BT120" i="8"/>
  <c r="CA116" i="8"/>
  <c r="BN218" i="8"/>
  <c r="BT114" i="8"/>
  <c r="BN212" i="8"/>
  <c r="CA110" i="8"/>
  <c r="BT113" i="8"/>
  <c r="CA109" i="8"/>
  <c r="BN211" i="8"/>
  <c r="BT116" i="8"/>
  <c r="CA112" i="8"/>
  <c r="BN214" i="8"/>
  <c r="BT115" i="8"/>
  <c r="CA111" i="8"/>
  <c r="BN213" i="8"/>
  <c r="BT121" i="8"/>
  <c r="CA117" i="8"/>
  <c r="BN219" i="8"/>
  <c r="BT119" i="8"/>
  <c r="CA115" i="8"/>
  <c r="BN217" i="8"/>
  <c r="BT112" i="8"/>
  <c r="CA108" i="8"/>
  <c r="BN210" i="8"/>
  <c r="EA109" i="8"/>
  <c r="EA105" i="8"/>
  <c r="EA107" i="8"/>
  <c r="EA106" i="8"/>
  <c r="CA104" i="8"/>
  <c r="BN202" i="8"/>
  <c r="EA103" i="8"/>
  <c r="CA100" i="8"/>
  <c r="CA99" i="8"/>
  <c r="BN204" i="8"/>
  <c r="CA102" i="8"/>
  <c r="EA96" i="8"/>
  <c r="BN200" i="8"/>
  <c r="EA102" i="8"/>
  <c r="CA101" i="8"/>
  <c r="BN203" i="8"/>
  <c r="BN205" i="8"/>
  <c r="CA105" i="8"/>
  <c r="CA103" i="8"/>
  <c r="BN207" i="8"/>
  <c r="EA101" i="8"/>
  <c r="BN201" i="8"/>
  <c r="BN199" i="8"/>
  <c r="EA104" i="8"/>
  <c r="CA96" i="8"/>
  <c r="DJ32" i="5"/>
  <c r="DL32" i="5" s="1"/>
  <c r="DK32" i="5"/>
  <c r="EG40" i="5"/>
  <c r="DT114" i="8"/>
  <c r="DT141" i="8"/>
  <c r="EA95" i="8"/>
  <c r="EA99" i="8"/>
  <c r="DT142" i="8"/>
  <c r="CA97" i="8"/>
  <c r="BT143" i="8"/>
  <c r="BN197" i="8"/>
  <c r="BN198" i="8"/>
  <c r="CA95" i="8"/>
  <c r="BT96" i="8"/>
  <c r="EA94" i="8"/>
  <c r="BT94" i="8"/>
  <c r="CA94" i="8"/>
  <c r="BN195" i="8"/>
  <c r="CA93" i="8"/>
  <c r="EA93" i="8"/>
  <c r="DT96" i="8"/>
  <c r="EA97" i="8"/>
  <c r="EA98" i="8"/>
  <c r="BT191" i="8"/>
  <c r="CA98" i="8"/>
  <c r="EA100" i="8"/>
  <c r="BT192" i="8"/>
  <c r="EG523" i="5" l="1"/>
  <c r="EG717" i="5"/>
  <c r="EG762" i="5"/>
  <c r="EE762" i="5"/>
  <c r="FE762" i="5" s="1"/>
  <c r="EE777" i="5"/>
  <c r="FE777" i="5" s="1"/>
  <c r="EG777" i="5"/>
  <c r="EG787" i="5"/>
  <c r="EE787" i="5"/>
  <c r="FE787" i="5" s="1"/>
  <c r="EG742" i="5"/>
  <c r="EE742" i="5"/>
  <c r="FE742" i="5" s="1"/>
  <c r="EG747" i="5"/>
  <c r="EE747" i="5"/>
  <c r="FE747" i="5" s="1"/>
  <c r="EG767" i="5"/>
  <c r="EE767" i="5"/>
  <c r="FE767" i="5" s="1"/>
  <c r="EG782" i="5"/>
  <c r="EE782" i="5"/>
  <c r="FE782" i="5" s="1"/>
  <c r="EE684" i="5"/>
  <c r="FE684" i="5" s="1"/>
  <c r="EG684" i="5"/>
  <c r="EG694" i="5"/>
  <c r="EE694" i="5"/>
  <c r="FE694" i="5" s="1"/>
  <c r="EG669" i="5"/>
  <c r="EE669" i="5"/>
  <c r="FE669" i="5" s="1"/>
  <c r="EG659" i="5"/>
  <c r="EE659" i="5"/>
  <c r="FE659" i="5" s="1"/>
  <c r="EE679" i="5"/>
  <c r="FE679" i="5" s="1"/>
  <c r="EG679" i="5"/>
  <c r="EE649" i="5"/>
  <c r="FE649" i="5" s="1"/>
  <c r="EG649" i="5"/>
  <c r="EE616" i="5"/>
  <c r="FE616" i="5" s="1"/>
  <c r="EE699" i="5"/>
  <c r="FE699" i="5" s="1"/>
  <c r="EG699" i="5"/>
  <c r="EE601" i="5"/>
  <c r="FE601" i="5" s="1"/>
  <c r="EG601" i="5"/>
  <c r="EE571" i="5"/>
  <c r="FE571" i="5" s="1"/>
  <c r="EG571" i="5"/>
  <c r="EE626" i="5"/>
  <c r="FE626" i="5" s="1"/>
  <c r="EG626" i="5"/>
  <c r="EG576" i="5"/>
  <c r="EE576" i="5"/>
  <c r="FE576" i="5" s="1"/>
  <c r="EG566" i="5"/>
  <c r="EE566" i="5"/>
  <c r="FE566" i="5" s="1"/>
  <c r="EG591" i="5"/>
  <c r="EE591" i="5"/>
  <c r="FE591" i="5" s="1"/>
  <c r="EG606" i="5"/>
  <c r="EE606" i="5"/>
  <c r="FE606" i="5" s="1"/>
  <c r="EG498" i="5"/>
  <c r="EE498" i="5"/>
  <c r="FE498" i="5" s="1"/>
  <c r="EG533" i="5"/>
  <c r="EE533" i="5"/>
  <c r="FE533" i="5" s="1"/>
  <c r="EG528" i="5"/>
  <c r="EE528" i="5"/>
  <c r="FE528" i="5" s="1"/>
  <c r="EG513" i="5"/>
  <c r="EE513" i="5"/>
  <c r="FE513" i="5" s="1"/>
  <c r="EG538" i="5"/>
  <c r="EE538" i="5"/>
  <c r="FE538" i="5" s="1"/>
  <c r="EE450" i="5"/>
  <c r="FE450" i="5" s="1"/>
  <c r="EG450" i="5"/>
  <c r="EE440" i="5"/>
  <c r="FE440" i="5" s="1"/>
  <c r="EG440" i="5"/>
  <c r="EG465" i="5"/>
  <c r="EE465" i="5"/>
  <c r="FE465" i="5" s="1"/>
  <c r="EG460" i="5"/>
  <c r="EE460" i="5"/>
  <c r="FE460" i="5" s="1"/>
  <c r="EE470" i="5"/>
  <c r="FE470" i="5" s="1"/>
  <c r="EG470" i="5"/>
  <c r="EG445" i="5"/>
  <c r="EE445" i="5"/>
  <c r="FE445" i="5" s="1"/>
  <c r="EG415" i="5"/>
  <c r="EE415" i="5"/>
  <c r="FE415" i="5" s="1"/>
  <c r="EG425" i="5"/>
  <c r="EE425" i="5"/>
  <c r="FE425" i="5" s="1"/>
  <c r="EG342" i="5"/>
  <c r="EE342" i="5"/>
  <c r="FE342" i="5" s="1"/>
  <c r="EG392" i="5"/>
  <c r="EE392" i="5"/>
  <c r="FE392" i="5" s="1"/>
  <c r="EG337" i="5"/>
  <c r="EE337" i="5"/>
  <c r="FE337" i="5" s="1"/>
  <c r="EE332" i="5"/>
  <c r="FE332" i="5" s="1"/>
  <c r="EG332" i="5"/>
  <c r="EE347" i="5"/>
  <c r="FE347" i="5" s="1"/>
  <c r="EG347" i="5"/>
  <c r="EG367" i="5"/>
  <c r="EE367" i="5"/>
  <c r="FE367" i="5" s="1"/>
  <c r="EE352" i="5"/>
  <c r="FE352" i="5" s="1"/>
  <c r="EG352" i="5"/>
  <c r="EE387" i="5"/>
  <c r="FE387" i="5" s="1"/>
  <c r="EG387" i="5"/>
  <c r="EG397" i="5"/>
  <c r="EE397" i="5"/>
  <c r="FE397" i="5" s="1"/>
  <c r="EE231" i="5"/>
  <c r="FE231" i="5" s="1"/>
  <c r="EG231" i="5"/>
  <c r="EG176" i="5"/>
  <c r="EE176" i="5"/>
  <c r="FE176" i="5" s="1"/>
  <c r="EG201" i="5"/>
  <c r="EE201" i="5"/>
  <c r="FE201" i="5" s="1"/>
  <c r="EG196" i="5"/>
  <c r="EE196" i="5"/>
  <c r="FE196" i="5" s="1"/>
  <c r="EE181" i="5"/>
  <c r="FE181" i="5" s="1"/>
  <c r="EG181" i="5"/>
  <c r="EE186" i="5"/>
  <c r="FE186" i="5" s="1"/>
  <c r="EG186" i="5"/>
  <c r="EG206" i="5"/>
  <c r="EE206" i="5"/>
  <c r="FE206" i="5" s="1"/>
  <c r="EE289" i="5"/>
  <c r="FE289" i="5" s="1"/>
  <c r="EG289" i="5"/>
  <c r="EE309" i="5"/>
  <c r="FE309" i="5" s="1"/>
  <c r="EG309" i="5"/>
  <c r="EE299" i="5"/>
  <c r="FE299" i="5" s="1"/>
  <c r="EG299" i="5"/>
  <c r="EG319" i="5"/>
  <c r="EE319" i="5"/>
  <c r="FE319" i="5" s="1"/>
  <c r="EE294" i="5"/>
  <c r="FE294" i="5" s="1"/>
  <c r="EG294" i="5"/>
  <c r="EG274" i="5"/>
  <c r="EE274" i="5"/>
  <c r="FE274" i="5" s="1"/>
  <c r="EG284" i="5"/>
  <c r="EE284" i="5"/>
  <c r="FE284" i="5" s="1"/>
  <c r="EE304" i="5"/>
  <c r="FE304" i="5" s="1"/>
  <c r="EG304" i="5"/>
  <c r="EG148" i="5"/>
  <c r="EG249" i="5"/>
  <c r="EE249" i="5"/>
  <c r="FE249" i="5" s="1"/>
  <c r="EG158" i="5"/>
  <c r="EE158" i="5"/>
  <c r="FE158" i="5" s="1"/>
  <c r="EG123" i="5"/>
  <c r="EE123" i="5"/>
  <c r="FE123" i="5" s="1"/>
  <c r="EG108" i="5"/>
  <c r="EE108" i="5"/>
  <c r="FE108" i="5" s="1"/>
  <c r="EG98" i="5"/>
  <c r="EE98" i="5"/>
  <c r="FE98" i="5" s="1"/>
  <c r="EE75" i="5"/>
  <c r="FE75" i="5" s="1"/>
  <c r="EG75" i="5"/>
  <c r="EG55" i="5"/>
  <c r="EE55" i="5"/>
  <c r="FE55" i="5" s="1"/>
  <c r="DL36" i="5"/>
  <c r="CD120" i="8" a="1"/>
  <c r="CD120" i="8" s="1"/>
  <c r="CE120" i="8" s="1"/>
  <c r="E58" i="8" s="1"/>
  <c r="BR199" i="8" a="1"/>
  <c r="BR199" i="8" s="1"/>
  <c r="ED120" i="8" a="1"/>
  <c r="ED120" i="8" s="1"/>
  <c r="EF120" i="8" s="1"/>
  <c r="Y58" i="8" s="1"/>
  <c r="ED126" i="8" a="1"/>
  <c r="ED126" i="8" s="1"/>
  <c r="EF126" i="8" s="1"/>
  <c r="Y64" i="8" s="1"/>
  <c r="ED132" i="8" a="1"/>
  <c r="ED132" i="8" s="1"/>
  <c r="EG132" i="8" s="1"/>
  <c r="AA70" i="8" s="1"/>
  <c r="ED100" i="8" a="1"/>
  <c r="ED100" i="8" s="1"/>
  <c r="EF100" i="8" s="1"/>
  <c r="Y38" i="8" s="1"/>
  <c r="ED104" i="8" a="1"/>
  <c r="ED104" i="8" s="1"/>
  <c r="EF104" i="8" s="1"/>
  <c r="Y42" i="8" s="1"/>
  <c r="ED140" i="8" a="1"/>
  <c r="ED140" i="8" s="1"/>
  <c r="EI140" i="8" s="1"/>
  <c r="P78" i="8" s="1"/>
  <c r="ED139" i="8" a="1"/>
  <c r="ED139" i="8" s="1"/>
  <c r="EF139" i="8" s="1"/>
  <c r="Y77" i="8" s="1"/>
  <c r="ED114" i="8" a="1"/>
  <c r="ED114" i="8" s="1"/>
  <c r="EG114" i="8" s="1"/>
  <c r="AA52" i="8" s="1"/>
  <c r="ED118" i="8" a="1"/>
  <c r="ED118" i="8" s="1"/>
  <c r="EI118" i="8" s="1"/>
  <c r="P56" i="8" s="1"/>
  <c r="ED129" i="8" a="1"/>
  <c r="ED129" i="8" s="1"/>
  <c r="EI129" i="8" s="1"/>
  <c r="P67" i="8" s="1"/>
  <c r="ED109" i="8" a="1"/>
  <c r="ED109" i="8" s="1"/>
  <c r="EF109" i="8" s="1"/>
  <c r="Y47" i="8" s="1"/>
  <c r="ED117" i="8" a="1"/>
  <c r="ED117" i="8" s="1"/>
  <c r="EI117" i="8" s="1"/>
  <c r="P55" i="8" s="1"/>
  <c r="ED142" i="8" a="1"/>
  <c r="ED142" i="8" s="1"/>
  <c r="EI142" i="8" s="1"/>
  <c r="ED122" i="8" a="1"/>
  <c r="ED122" i="8" s="1"/>
  <c r="EI122" i="8" s="1"/>
  <c r="P60" i="8" s="1"/>
  <c r="CD134" i="8" a="1"/>
  <c r="CD134" i="8" s="1"/>
  <c r="CF134" i="8" s="1"/>
  <c r="N72" i="8" s="1"/>
  <c r="ED113" i="8" a="1"/>
  <c r="ED113" i="8" s="1"/>
  <c r="EH113" i="8" s="1"/>
  <c r="Z51" i="8" s="1"/>
  <c r="ED94" i="8" a="1"/>
  <c r="ED94" i="8" s="1"/>
  <c r="EH94" i="8" s="1"/>
  <c r="Z32" i="8" s="1"/>
  <c r="ED138" i="8" a="1"/>
  <c r="ED138" i="8" s="1"/>
  <c r="EH138" i="8" s="1"/>
  <c r="Z76" i="8" s="1"/>
  <c r="ED127" i="8" a="1"/>
  <c r="ED127" i="8" s="1"/>
  <c r="EF127" i="8" s="1"/>
  <c r="Y65" i="8" s="1"/>
  <c r="ED102" i="8" a="1"/>
  <c r="ED102" i="8" s="1"/>
  <c r="EI102" i="8" s="1"/>
  <c r="P40" i="8" s="1"/>
  <c r="ED110" i="8" a="1"/>
  <c r="ED110" i="8" s="1"/>
  <c r="EE110" i="8" s="1"/>
  <c r="ED123" i="8" a="1"/>
  <c r="ED123" i="8" s="1"/>
  <c r="EE123" i="8" s="1"/>
  <c r="ED101" i="8" a="1"/>
  <c r="ED101" i="8" s="1"/>
  <c r="EF101" i="8" s="1"/>
  <c r="Y39" i="8" s="1"/>
  <c r="ED95" i="8" a="1"/>
  <c r="ED95" i="8" s="1"/>
  <c r="EE95" i="8" s="1"/>
  <c r="ED137" i="8" a="1"/>
  <c r="ED137" i="8" s="1"/>
  <c r="EF137" i="8" s="1"/>
  <c r="Y75" i="8" s="1"/>
  <c r="ED125" i="8" a="1"/>
  <c r="ED125" i="8" s="1"/>
  <c r="EF125" i="8" s="1"/>
  <c r="Y63" i="8" s="1"/>
  <c r="ED141" i="8" a="1"/>
  <c r="ED141" i="8" s="1"/>
  <c r="EI141" i="8" s="1"/>
  <c r="ED131" i="8" a="1"/>
  <c r="ED131" i="8" s="1"/>
  <c r="EG131" i="8" s="1"/>
  <c r="AA69" i="8" s="1"/>
  <c r="ED135" i="8" a="1"/>
  <c r="ED135" i="8" s="1"/>
  <c r="EG135" i="8" s="1"/>
  <c r="AA73" i="8" s="1"/>
  <c r="ED133" i="8" a="1"/>
  <c r="ED133" i="8" s="1"/>
  <c r="EG133" i="8" s="1"/>
  <c r="AA71" i="8" s="1"/>
  <c r="ED116" i="8" a="1"/>
  <c r="ED116" i="8" s="1"/>
  <c r="EE116" i="8" s="1"/>
  <c r="ED134" i="8" a="1"/>
  <c r="ED134" i="8" s="1"/>
  <c r="EE134" i="8" s="1"/>
  <c r="ED130" i="8" a="1"/>
  <c r="ED130" i="8" s="1"/>
  <c r="EH130" i="8" s="1"/>
  <c r="Z68" i="8" s="1"/>
  <c r="ED108" i="8" a="1"/>
  <c r="ED108" i="8" s="1"/>
  <c r="EF108" i="8" s="1"/>
  <c r="Y46" i="8" s="1"/>
  <c r="ED119" i="8" a="1"/>
  <c r="ED119" i="8" s="1"/>
  <c r="EE119" i="8" s="1"/>
  <c r="ED99" i="8" a="1"/>
  <c r="ED99" i="8" s="1"/>
  <c r="EE99" i="8" s="1"/>
  <c r="ED96" i="8" a="1"/>
  <c r="ED96" i="8" s="1"/>
  <c r="EF96" i="8" s="1"/>
  <c r="Y34" i="8" s="1"/>
  <c r="ED105" i="8" a="1"/>
  <c r="ED105" i="8" s="1"/>
  <c r="EE105" i="8" s="1"/>
  <c r="ED124" i="8" a="1"/>
  <c r="ED124" i="8" s="1"/>
  <c r="EI124" i="8" s="1"/>
  <c r="P62" i="8" s="1"/>
  <c r="ED115" i="8" a="1"/>
  <c r="ED115" i="8" s="1"/>
  <c r="EE115" i="8" s="1"/>
  <c r="ED103" i="8" a="1"/>
  <c r="ED103" i="8" s="1"/>
  <c r="EE103" i="8" s="1"/>
  <c r="ED97" i="8" a="1"/>
  <c r="ED97" i="8" s="1"/>
  <c r="EI97" i="8" s="1"/>
  <c r="P35" i="8" s="1"/>
  <c r="ED121" i="8" a="1"/>
  <c r="ED121" i="8" s="1"/>
  <c r="EH121" i="8" s="1"/>
  <c r="Z59" i="8" s="1"/>
  <c r="ED111" i="8" a="1"/>
  <c r="ED111" i="8" s="1"/>
  <c r="EG111" i="8" s="1"/>
  <c r="AA49" i="8" s="1"/>
  <c r="ED128" i="8" a="1"/>
  <c r="ED128" i="8" s="1"/>
  <c r="EG128" i="8" s="1"/>
  <c r="AA66" i="8" s="1"/>
  <c r="ED112" i="8" a="1"/>
  <c r="ED112" i="8" s="1"/>
  <c r="EE112" i="8" s="1"/>
  <c r="ED107" i="8" a="1"/>
  <c r="ED107" i="8" s="1"/>
  <c r="EG107" i="8" s="1"/>
  <c r="AA45" i="8" s="1"/>
  <c r="ED136" i="8" a="1"/>
  <c r="ED136" i="8" s="1"/>
  <c r="EE136" i="8" s="1"/>
  <c r="ED93" i="8" a="1"/>
  <c r="ED93" i="8" s="1"/>
  <c r="EE93" i="8" s="1"/>
  <c r="ED98" i="8" a="1"/>
  <c r="ED98" i="8" s="1"/>
  <c r="EG98" i="8" s="1"/>
  <c r="AA36" i="8" s="1"/>
  <c r="ED106" i="8" a="1"/>
  <c r="ED106" i="8" s="1"/>
  <c r="EI106" i="8" s="1"/>
  <c r="P44" i="8" s="1"/>
  <c r="CD105" i="8" a="1"/>
  <c r="CD105" i="8" s="1"/>
  <c r="CG105" i="8" s="1"/>
  <c r="C43" i="8" s="1"/>
  <c r="CD126" i="8" a="1"/>
  <c r="CD126" i="8" s="1"/>
  <c r="CE126" i="8" s="1"/>
  <c r="E64" i="8" s="1"/>
  <c r="AK64" i="8" s="1"/>
  <c r="CD95" i="8" a="1"/>
  <c r="CD95" i="8" s="1"/>
  <c r="CG95" i="8" s="1"/>
  <c r="C33" i="8" s="1"/>
  <c r="CD122" i="8" a="1"/>
  <c r="CD122" i="8" s="1"/>
  <c r="CF122" i="8" s="1"/>
  <c r="N60" i="8" s="1"/>
  <c r="CD99" i="8" a="1"/>
  <c r="CD99" i="8" s="1"/>
  <c r="CE99" i="8" s="1"/>
  <c r="E37" i="8" s="1"/>
  <c r="CD125" i="8" a="1"/>
  <c r="CD125" i="8" s="1"/>
  <c r="CE125" i="8" s="1"/>
  <c r="E63" i="8" s="1"/>
  <c r="CD115" i="8" a="1"/>
  <c r="CD115" i="8" s="1"/>
  <c r="CE115" i="8" s="1"/>
  <c r="E53" i="8" s="1"/>
  <c r="CD93" i="8" a="1"/>
  <c r="CD93" i="8" s="1"/>
  <c r="CE93" i="8" s="1"/>
  <c r="E31" i="8" s="1"/>
  <c r="AK31" i="8" s="1"/>
  <c r="CD111" i="8" a="1"/>
  <c r="CD111" i="8" s="1"/>
  <c r="CG111" i="8" s="1"/>
  <c r="C49" i="8" s="1"/>
  <c r="CD98" i="8" a="1"/>
  <c r="CD98" i="8" s="1"/>
  <c r="CF98" i="8" s="1"/>
  <c r="N36" i="8" s="1"/>
  <c r="CD137" i="8" a="1"/>
  <c r="CD137" i="8" s="1"/>
  <c r="CF137" i="8" s="1"/>
  <c r="N75" i="8" s="1"/>
  <c r="CD132" i="8" a="1"/>
  <c r="CD132" i="8" s="1"/>
  <c r="CG132" i="8" s="1"/>
  <c r="C70" i="8" s="1"/>
  <c r="BR197" i="8" a="1"/>
  <c r="BR197" i="8" s="1"/>
  <c r="BR202" i="8" a="1"/>
  <c r="BR202" i="8" s="1"/>
  <c r="BR200" i="8" a="1"/>
  <c r="BR200" i="8" s="1"/>
  <c r="CD96" i="8" a="1"/>
  <c r="CD96" i="8" s="1"/>
  <c r="CE96" i="8" s="1"/>
  <c r="E34" i="8" s="1"/>
  <c r="BR204" i="8" a="1"/>
  <c r="BR204" i="8" s="1"/>
  <c r="CD129" i="8" a="1"/>
  <c r="CD129" i="8" s="1"/>
  <c r="CG129" i="8" s="1"/>
  <c r="C67" i="8" s="1"/>
  <c r="CD139" i="8" a="1"/>
  <c r="CD139" i="8" s="1"/>
  <c r="CE139" i="8" s="1"/>
  <c r="CD119" i="8" a="1"/>
  <c r="CD119" i="8" s="1"/>
  <c r="CF119" i="8" s="1"/>
  <c r="N57" i="8" s="1"/>
  <c r="CD135" i="8" a="1"/>
  <c r="CD135" i="8" s="1"/>
  <c r="CF135" i="8" s="1"/>
  <c r="N73" i="8" s="1"/>
  <c r="CD136" i="8" a="1"/>
  <c r="CD136" i="8" s="1"/>
  <c r="CF136" i="8" s="1"/>
  <c r="N74" i="8" s="1"/>
  <c r="CD127" i="8" a="1"/>
  <c r="CD127" i="8" s="1"/>
  <c r="CE127" i="8" s="1"/>
  <c r="E65" i="8" s="1"/>
  <c r="AK65" i="8" s="1"/>
  <c r="CD133" i="8" a="1"/>
  <c r="CD133" i="8" s="1"/>
  <c r="CG133" i="8" s="1"/>
  <c r="C71" i="8" s="1"/>
  <c r="CD138" i="8" a="1"/>
  <c r="CD138" i="8" s="1"/>
  <c r="CE138" i="8" s="1"/>
  <c r="E76" i="8" s="1"/>
  <c r="CD128" i="8" a="1"/>
  <c r="CD128" i="8" s="1"/>
  <c r="CF128" i="8" s="1"/>
  <c r="N66" i="8" s="1"/>
  <c r="CD131" i="8" a="1"/>
  <c r="CD131" i="8" s="1"/>
  <c r="CF131" i="8" s="1"/>
  <c r="N69" i="8" s="1"/>
  <c r="CD110" i="8" a="1"/>
  <c r="CD110" i="8" s="1"/>
  <c r="CF110" i="8" s="1"/>
  <c r="N48" i="8" s="1"/>
  <c r="CD102" i="8" a="1"/>
  <c r="CD102" i="8" s="1"/>
  <c r="CF102" i="8" s="1"/>
  <c r="N40" i="8" s="1"/>
  <c r="CD108" i="8" a="1"/>
  <c r="CD108" i="8" s="1"/>
  <c r="CE108" i="8" s="1"/>
  <c r="E46" i="8" s="1"/>
  <c r="AK46" i="8" s="1"/>
  <c r="BR205" i="8" a="1"/>
  <c r="BR205" i="8" s="1"/>
  <c r="CD114" i="8" a="1"/>
  <c r="CD114" i="8" s="1"/>
  <c r="CE114" i="8" s="1"/>
  <c r="E52" i="8" s="1"/>
  <c r="CD123" i="8" a="1"/>
  <c r="CD123" i="8" s="1"/>
  <c r="CG123" i="8" s="1"/>
  <c r="C61" i="8" s="1"/>
  <c r="CD124" i="8" a="1"/>
  <c r="CD124" i="8" s="1"/>
  <c r="CG124" i="8" s="1"/>
  <c r="C62" i="8" s="1"/>
  <c r="BR201" i="8" a="1"/>
  <c r="BR201" i="8" s="1"/>
  <c r="CD94" i="8" a="1"/>
  <c r="CD94" i="8" s="1"/>
  <c r="CG94" i="8" s="1"/>
  <c r="C32" i="8" s="1"/>
  <c r="CD113" i="8" a="1"/>
  <c r="CD113" i="8" s="1"/>
  <c r="CF113" i="8" s="1"/>
  <c r="N51" i="8" s="1"/>
  <c r="CD141" i="8" a="1"/>
  <c r="CD141" i="8" s="1"/>
  <c r="CE141" i="8" s="1"/>
  <c r="BR198" i="8" a="1"/>
  <c r="BR198" i="8" s="1"/>
  <c r="CD104" i="8" a="1"/>
  <c r="CD104" i="8" s="1"/>
  <c r="CE104" i="8" s="1"/>
  <c r="E42" i="8" s="1"/>
  <c r="CD100" i="8" a="1"/>
  <c r="CD100" i="8" s="1"/>
  <c r="CE100" i="8" s="1"/>
  <c r="E38" i="8" s="1"/>
  <c r="CD109" i="8" a="1"/>
  <c r="CD109" i="8" s="1"/>
  <c r="CF109" i="8" s="1"/>
  <c r="N47" i="8" s="1"/>
  <c r="BR203" i="8" a="1"/>
  <c r="BR203" i="8" s="1"/>
  <c r="CD101" i="8" a="1"/>
  <c r="CD101" i="8" s="1"/>
  <c r="CG101" i="8" s="1"/>
  <c r="C39" i="8" s="1"/>
  <c r="CD140" i="8" a="1"/>
  <c r="CD140" i="8" s="1"/>
  <c r="CG140" i="8" s="1"/>
  <c r="CD130" i="8" a="1"/>
  <c r="CD130" i="8" s="1"/>
  <c r="CF130" i="8" s="1"/>
  <c r="N68" i="8" s="1"/>
  <c r="BR195" i="8" a="1"/>
  <c r="BR195" i="8" s="1"/>
  <c r="CD121" i="8" a="1"/>
  <c r="CD121" i="8" s="1"/>
  <c r="CE121" i="8" s="1"/>
  <c r="E59" i="8" s="1"/>
  <c r="CD97" i="8" a="1"/>
  <c r="CD97" i="8" s="1"/>
  <c r="CG97" i="8" s="1"/>
  <c r="C35" i="8" s="1"/>
  <c r="CD118" i="8" a="1"/>
  <c r="CD118" i="8" s="1"/>
  <c r="CE118" i="8" s="1"/>
  <c r="E56" i="8" s="1"/>
  <c r="CD116" i="8" a="1"/>
  <c r="CD116" i="8" s="1"/>
  <c r="CF116" i="8" s="1"/>
  <c r="N54" i="8" s="1"/>
  <c r="CD103" i="8" a="1"/>
  <c r="CD103" i="8" s="1"/>
  <c r="CF103" i="8" s="1"/>
  <c r="N41" i="8" s="1"/>
  <c r="CD106" i="8" a="1"/>
  <c r="CD106" i="8" s="1"/>
  <c r="CF106" i="8" s="1"/>
  <c r="N44" i="8" s="1"/>
  <c r="CD117" i="8" a="1"/>
  <c r="CD117" i="8" s="1"/>
  <c r="CG117" i="8" s="1"/>
  <c r="C55" i="8" s="1"/>
  <c r="CD142" i="8" a="1"/>
  <c r="CD142" i="8" s="1"/>
  <c r="CF142" i="8" s="1"/>
  <c r="CD107" i="8" a="1"/>
  <c r="CD107" i="8" s="1"/>
  <c r="CF107" i="8" s="1"/>
  <c r="N45" i="8" s="1"/>
  <c r="BR196" i="8" a="1"/>
  <c r="BR196" i="8" s="1"/>
  <c r="CD112" i="8" a="1"/>
  <c r="CD112" i="8" s="1"/>
  <c r="CE112" i="8" s="1"/>
  <c r="E50" i="8" s="1"/>
  <c r="FE36" i="5" l="1"/>
  <c r="R74" i="8"/>
  <c r="AL74" i="8" s="1"/>
  <c r="R53" i="8"/>
  <c r="AL53" i="8" s="1"/>
  <c r="R72" i="8"/>
  <c r="AL72" i="8" s="1"/>
  <c r="R57" i="8"/>
  <c r="AL57" i="8" s="1"/>
  <c r="R54" i="8"/>
  <c r="R50" i="8"/>
  <c r="AL50" i="8" s="1"/>
  <c r="R43" i="8"/>
  <c r="AL43" i="8" s="1"/>
  <c r="R61" i="8"/>
  <c r="AL61" i="8" s="1"/>
  <c r="R41" i="8"/>
  <c r="AL41" i="8" s="1"/>
  <c r="R48" i="8"/>
  <c r="AL48" i="8" s="1"/>
  <c r="R37" i="8"/>
  <c r="AL37" i="8" s="1"/>
  <c r="R33" i="8"/>
  <c r="AL33" i="8" s="1"/>
  <c r="R31" i="8"/>
  <c r="A53" i="8"/>
  <c r="AK53" i="8"/>
  <c r="A63" i="8"/>
  <c r="AK63" i="8"/>
  <c r="A56" i="8"/>
  <c r="AK56" i="8"/>
  <c r="A38" i="8"/>
  <c r="AK38" i="8"/>
  <c r="A37" i="8"/>
  <c r="AK37" i="8"/>
  <c r="A50" i="8"/>
  <c r="AK50" i="8"/>
  <c r="A76" i="8"/>
  <c r="AK76" i="8"/>
  <c r="A59" i="8"/>
  <c r="AK59" i="8"/>
  <c r="A42" i="8"/>
  <c r="AK42" i="8"/>
  <c r="A52" i="8"/>
  <c r="AK52" i="8"/>
  <c r="A34" i="8"/>
  <c r="AK34" i="8"/>
  <c r="A58" i="8"/>
  <c r="AK58" i="8"/>
  <c r="EH140" i="8"/>
  <c r="Z78" i="8" s="1"/>
  <c r="EE108" i="8"/>
  <c r="EG97" i="8"/>
  <c r="AA35" i="8" s="1"/>
  <c r="EH97" i="8"/>
  <c r="Z35" i="8" s="1"/>
  <c r="EG142" i="8"/>
  <c r="EG124" i="8"/>
  <c r="AA62" i="8" s="1"/>
  <c r="EI139" i="8"/>
  <c r="P77" i="8" s="1"/>
  <c r="EG140" i="8"/>
  <c r="AA78" i="8" s="1"/>
  <c r="EG112" i="8"/>
  <c r="AA50" i="8" s="1"/>
  <c r="EF112" i="8"/>
  <c r="Y50" i="8" s="1"/>
  <c r="EI112" i="8"/>
  <c r="P50" i="8" s="1"/>
  <c r="EH112" i="8"/>
  <c r="Z50" i="8" s="1"/>
  <c r="EE133" i="8"/>
  <c r="EG137" i="8"/>
  <c r="AA75" i="8" s="1"/>
  <c r="EE137" i="8"/>
  <c r="EF140" i="8"/>
  <c r="Y78" i="8" s="1"/>
  <c r="EE140" i="8"/>
  <c r="EE124" i="8"/>
  <c r="EE122" i="8"/>
  <c r="EH124" i="8"/>
  <c r="Z62" i="8" s="1"/>
  <c r="CE105" i="8"/>
  <c r="E43" i="8" s="1"/>
  <c r="EH120" i="8"/>
  <c r="Z58" i="8" s="1"/>
  <c r="CF105" i="8"/>
  <c r="N43" i="8" s="1"/>
  <c r="EI113" i="8"/>
  <c r="P51" i="8" s="1"/>
  <c r="EI137" i="8"/>
  <c r="P75" i="8" s="1"/>
  <c r="CG134" i="8"/>
  <c r="C72" i="8" s="1"/>
  <c r="EH109" i="8"/>
  <c r="Z47" i="8" s="1"/>
  <c r="CE134" i="8"/>
  <c r="E72" i="8" s="1"/>
  <c r="AK72" i="8" s="1"/>
  <c r="EF124" i="8"/>
  <c r="Y62" i="8" s="1"/>
  <c r="EE142" i="8"/>
  <c r="EH110" i="8"/>
  <c r="Z48" i="8" s="1"/>
  <c r="EI133" i="8"/>
  <c r="P71" i="8" s="1"/>
  <c r="EE113" i="8"/>
  <c r="EF133" i="8"/>
  <c r="Y71" i="8" s="1"/>
  <c r="EI93" i="8"/>
  <c r="P31" i="8" s="1"/>
  <c r="EF142" i="8"/>
  <c r="EG113" i="8"/>
  <c r="AA51" i="8" s="1"/>
  <c r="EH142" i="8"/>
  <c r="EF113" i="8"/>
  <c r="Y51" i="8" s="1"/>
  <c r="EH133" i="8"/>
  <c r="Z71" i="8" s="1"/>
  <c r="EI120" i="8"/>
  <c r="P58" i="8" s="1"/>
  <c r="EH139" i="8"/>
  <c r="Z77" i="8" s="1"/>
  <c r="EG122" i="8"/>
  <c r="AA60" i="8" s="1"/>
  <c r="EG139" i="8"/>
  <c r="AA77" i="8" s="1"/>
  <c r="EE139" i="8"/>
  <c r="EH122" i="8"/>
  <c r="Z60" i="8" s="1"/>
  <c r="EE120" i="8"/>
  <c r="EF122" i="8"/>
  <c r="Y60" i="8" s="1"/>
  <c r="EG120" i="8"/>
  <c r="AA58" i="8" s="1"/>
  <c r="A64" i="8"/>
  <c r="EF128" i="8"/>
  <c r="Y66" i="8" s="1"/>
  <c r="EE128" i="8"/>
  <c r="EF93" i="8"/>
  <c r="Y31" i="8" s="1"/>
  <c r="EI110" i="8"/>
  <c r="P48" i="8" s="1"/>
  <c r="EG108" i="8"/>
  <c r="AA46" i="8" s="1"/>
  <c r="CE122" i="8"/>
  <c r="E60" i="8" s="1"/>
  <c r="EF97" i="8"/>
  <c r="Y35" i="8" s="1"/>
  <c r="EF110" i="8"/>
  <c r="Y48" i="8" s="1"/>
  <c r="EI108" i="8"/>
  <c r="P46" i="8" s="1"/>
  <c r="EH108" i="8"/>
  <c r="Z46" i="8" s="1"/>
  <c r="EE97" i="8"/>
  <c r="CG122" i="8"/>
  <c r="C60" i="8" s="1"/>
  <c r="EH93" i="8"/>
  <c r="Z31" i="8" s="1"/>
  <c r="EG110" i="8"/>
  <c r="AA48" i="8" s="1"/>
  <c r="CE101" i="8"/>
  <c r="E39" i="8" s="1"/>
  <c r="AK39" i="8" s="1"/>
  <c r="EH137" i="8"/>
  <c r="Z75" i="8" s="1"/>
  <c r="EG93" i="8"/>
  <c r="AA31" i="8" s="1"/>
  <c r="EI96" i="8"/>
  <c r="P34" i="8" s="1"/>
  <c r="CF120" i="8"/>
  <c r="N58" i="8" s="1"/>
  <c r="EH131" i="8"/>
  <c r="Z69" i="8" s="1"/>
  <c r="CF111" i="8"/>
  <c r="N49" i="8" s="1"/>
  <c r="CE111" i="8"/>
  <c r="E49" i="8" s="1"/>
  <c r="EG105" i="8"/>
  <c r="AA43" i="8" s="1"/>
  <c r="EG129" i="8"/>
  <c r="AA67" i="8" s="1"/>
  <c r="EH96" i="8"/>
  <c r="Z34" i="8" s="1"/>
  <c r="EF131" i="8"/>
  <c r="Y69" i="8" s="1"/>
  <c r="EG96" i="8"/>
  <c r="AA34" i="8" s="1"/>
  <c r="EF129" i="8"/>
  <c r="Y67" i="8" s="1"/>
  <c r="EF95" i="8"/>
  <c r="Y33" i="8" s="1"/>
  <c r="EI95" i="8"/>
  <c r="P33" i="8" s="1"/>
  <c r="CG120" i="8"/>
  <c r="C58" i="8" s="1"/>
  <c r="EE129" i="8"/>
  <c r="EI131" i="8"/>
  <c r="P69" i="8" s="1"/>
  <c r="EE96" i="8"/>
  <c r="EH95" i="8"/>
  <c r="Z33" i="8" s="1"/>
  <c r="EH129" i="8"/>
  <c r="Z67" i="8" s="1"/>
  <c r="EG95" i="8"/>
  <c r="AA33" i="8" s="1"/>
  <c r="EE131" i="8"/>
  <c r="CG119" i="8"/>
  <c r="C57" i="8" s="1"/>
  <c r="CE132" i="8"/>
  <c r="E70" i="8" s="1"/>
  <c r="CE103" i="8"/>
  <c r="E41" i="8" s="1"/>
  <c r="CE119" i="8"/>
  <c r="E57" i="8" s="1"/>
  <c r="CF94" i="8"/>
  <c r="N32" i="8" s="1"/>
  <c r="CF132" i="8"/>
  <c r="N70" i="8" s="1"/>
  <c r="A65" i="8"/>
  <c r="EG106" i="8"/>
  <c r="AA44" i="8" s="1"/>
  <c r="EE132" i="8"/>
  <c r="EE106" i="8"/>
  <c r="EF106" i="8"/>
  <c r="Y44" i="8" s="1"/>
  <c r="CG127" i="8"/>
  <c r="C65" i="8" s="1"/>
  <c r="EH106" i="8"/>
  <c r="Z44" i="8" s="1"/>
  <c r="EI126" i="8"/>
  <c r="P64" i="8" s="1"/>
  <c r="EE125" i="8"/>
  <c r="EG126" i="8"/>
  <c r="AA64" i="8" s="1"/>
  <c r="EH126" i="8"/>
  <c r="Z64" i="8" s="1"/>
  <c r="EE126" i="8"/>
  <c r="EH118" i="8"/>
  <c r="Z56" i="8" s="1"/>
  <c r="CG103" i="8"/>
  <c r="C41" i="8" s="1"/>
  <c r="EF141" i="8"/>
  <c r="EF98" i="8"/>
  <c r="Y36" i="8" s="1"/>
  <c r="EI138" i="8"/>
  <c r="P76" i="8" s="1"/>
  <c r="EF132" i="8"/>
  <c r="Y70" i="8" s="1"/>
  <c r="EG118" i="8"/>
  <c r="AA56" i="8" s="1"/>
  <c r="EE101" i="8"/>
  <c r="EG101" i="8"/>
  <c r="AA39" i="8" s="1"/>
  <c r="CG110" i="8"/>
  <c r="C48" i="8" s="1"/>
  <c r="EH111" i="8"/>
  <c r="Z49" i="8" s="1"/>
  <c r="EF138" i="8"/>
  <c r="Y76" i="8" s="1"/>
  <c r="EG99" i="8"/>
  <c r="AA37" i="8" s="1"/>
  <c r="EI101" i="8"/>
  <c r="P39" i="8" s="1"/>
  <c r="EE141" i="8"/>
  <c r="EF118" i="8"/>
  <c r="Y56" i="8" s="1"/>
  <c r="EH101" i="8"/>
  <c r="Z39" i="8" s="1"/>
  <c r="EG138" i="8"/>
  <c r="AA76" i="8" s="1"/>
  <c r="EE118" i="8"/>
  <c r="EH141" i="8"/>
  <c r="CE110" i="8"/>
  <c r="E48" i="8" s="1"/>
  <c r="EE138" i="8"/>
  <c r="EI132" i="8"/>
  <c r="P70" i="8" s="1"/>
  <c r="EG141" i="8"/>
  <c r="EH132" i="8"/>
  <c r="Z70" i="8" s="1"/>
  <c r="CF99" i="8"/>
  <c r="N37" i="8" s="1"/>
  <c r="CF101" i="8"/>
  <c r="N39" i="8" s="1"/>
  <c r="CG109" i="8"/>
  <c r="C47" i="8" s="1"/>
  <c r="CE94" i="8"/>
  <c r="E32" i="8" s="1"/>
  <c r="AK32" i="8" s="1"/>
  <c r="EH104" i="8"/>
  <c r="Z42" i="8" s="1"/>
  <c r="EG116" i="8"/>
  <c r="AA54" i="8" s="1"/>
  <c r="EH107" i="8"/>
  <c r="Z45" i="8" s="1"/>
  <c r="CF129" i="8"/>
  <c r="N67" i="8" s="1"/>
  <c r="CG128" i="8"/>
  <c r="C66" i="8" s="1"/>
  <c r="CF123" i="8"/>
  <c r="N61" i="8" s="1"/>
  <c r="EE127" i="8"/>
  <c r="CE97" i="8"/>
  <c r="E35" i="8" s="1"/>
  <c r="EH117" i="8"/>
  <c r="Z55" i="8" s="1"/>
  <c r="EI115" i="8"/>
  <c r="P53" i="8" s="1"/>
  <c r="EF115" i="8"/>
  <c r="Y53" i="8" s="1"/>
  <c r="CE128" i="8"/>
  <c r="E66" i="8" s="1"/>
  <c r="AK66" i="8" s="1"/>
  <c r="CF124" i="8"/>
  <c r="N62" i="8" s="1"/>
  <c r="CE124" i="8"/>
  <c r="E62" i="8" s="1"/>
  <c r="EI127" i="8"/>
  <c r="P65" i="8" s="1"/>
  <c r="EG115" i="8"/>
  <c r="AA53" i="8" s="1"/>
  <c r="EH116" i="8"/>
  <c r="Z54" i="8" s="1"/>
  <c r="CG118" i="8"/>
  <c r="C56" i="8" s="1"/>
  <c r="EG127" i="8"/>
  <c r="AA65" i="8" s="1"/>
  <c r="EE117" i="8"/>
  <c r="EI104" i="8"/>
  <c r="P42" i="8" s="1"/>
  <c r="CE109" i="8"/>
  <c r="E47" i="8" s="1"/>
  <c r="CE98" i="8"/>
  <c r="E36" i="8" s="1"/>
  <c r="CE129" i="8"/>
  <c r="E67" i="8" s="1"/>
  <c r="EF107" i="8"/>
  <c r="Y45" i="8" s="1"/>
  <c r="EF116" i="8"/>
  <c r="Y54" i="8" s="1"/>
  <c r="CF118" i="8"/>
  <c r="N56" i="8" s="1"/>
  <c r="CF126" i="8"/>
  <c r="N64" i="8" s="1"/>
  <c r="EE104" i="8"/>
  <c r="EG104" i="8"/>
  <c r="AA42" i="8" s="1"/>
  <c r="EF117" i="8"/>
  <c r="Y55" i="8" s="1"/>
  <c r="EH127" i="8"/>
  <c r="Z65" i="8" s="1"/>
  <c r="CG126" i="8"/>
  <c r="C64" i="8" s="1"/>
  <c r="EG117" i="8"/>
  <c r="AA55" i="8" s="1"/>
  <c r="CG98" i="8"/>
  <c r="C36" i="8" s="1"/>
  <c r="EH115" i="8"/>
  <c r="Z53" i="8" s="1"/>
  <c r="CF112" i="8"/>
  <c r="N50" i="8" s="1"/>
  <c r="EE107" i="8"/>
  <c r="EI107" i="8"/>
  <c r="P45" i="8" s="1"/>
  <c r="CG112" i="8"/>
  <c r="C50" i="8" s="1"/>
  <c r="EI116" i="8"/>
  <c r="P54" i="8" s="1"/>
  <c r="EH105" i="8"/>
  <c r="Z43" i="8" s="1"/>
  <c r="EI105" i="8"/>
  <c r="P43" i="8" s="1"/>
  <c r="EI109" i="8"/>
  <c r="P47" i="8" s="1"/>
  <c r="EI135" i="8"/>
  <c r="P73" i="8" s="1"/>
  <c r="CF93" i="8"/>
  <c r="N31" i="8" s="1"/>
  <c r="EF105" i="8"/>
  <c r="Y43" i="8" s="1"/>
  <c r="EG100" i="8"/>
  <c r="AA38" i="8" s="1"/>
  <c r="EH135" i="8"/>
  <c r="Z73" i="8" s="1"/>
  <c r="EF135" i="8"/>
  <c r="Y73" i="8" s="1"/>
  <c r="EI128" i="8"/>
  <c r="P66" i="8" s="1"/>
  <c r="EH100" i="8"/>
  <c r="Z38" i="8" s="1"/>
  <c r="EH128" i="8"/>
  <c r="Z66" i="8" s="1"/>
  <c r="EE109" i="8"/>
  <c r="EG109" i="8"/>
  <c r="AA47" i="8" s="1"/>
  <c r="EE135" i="8"/>
  <c r="CE133" i="8"/>
  <c r="E71" i="8" s="1"/>
  <c r="AK71" i="8" s="1"/>
  <c r="EE100" i="8"/>
  <c r="EI100" i="8"/>
  <c r="P38" i="8" s="1"/>
  <c r="EI121" i="8"/>
  <c r="P59" i="8" s="1"/>
  <c r="EE121" i="8"/>
  <c r="EI119" i="8"/>
  <c r="P57" i="8" s="1"/>
  <c r="EG94" i="8"/>
  <c r="AA32" i="8" s="1"/>
  <c r="EF119" i="8"/>
  <c r="Y57" i="8" s="1"/>
  <c r="EH114" i="8"/>
  <c r="Z52" i="8" s="1"/>
  <c r="EI114" i="8"/>
  <c r="P52" i="8" s="1"/>
  <c r="EG119" i="8"/>
  <c r="AA57" i="8" s="1"/>
  <c r="EI125" i="8"/>
  <c r="P63" i="8" s="1"/>
  <c r="CG99" i="8"/>
  <c r="C37" i="8" s="1"/>
  <c r="EF94" i="8"/>
  <c r="Y32" i="8" s="1"/>
  <c r="EH123" i="8"/>
  <c r="Z61" i="8" s="1"/>
  <c r="EH119" i="8"/>
  <c r="Z57" i="8" s="1"/>
  <c r="EG121" i="8"/>
  <c r="AA59" i="8" s="1"/>
  <c r="EH125" i="8"/>
  <c r="Z63" i="8" s="1"/>
  <c r="EF123" i="8"/>
  <c r="Y61" i="8" s="1"/>
  <c r="EI123" i="8"/>
  <c r="P61" i="8" s="1"/>
  <c r="EG125" i="8"/>
  <c r="AA63" i="8" s="1"/>
  <c r="EF114" i="8"/>
  <c r="Y52" i="8" s="1"/>
  <c r="CG102" i="8"/>
  <c r="C40" i="8" s="1"/>
  <c r="EG123" i="8"/>
  <c r="AA61" i="8" s="1"/>
  <c r="EI94" i="8"/>
  <c r="P32" i="8" s="1"/>
  <c r="EE94" i="8"/>
  <c r="EF121" i="8"/>
  <c r="Y59" i="8" s="1"/>
  <c r="EE114" i="8"/>
  <c r="CG131" i="8"/>
  <c r="C69" i="8" s="1"/>
  <c r="EG134" i="8"/>
  <c r="AA72" i="8" s="1"/>
  <c r="EI99" i="8"/>
  <c r="P37" i="8" s="1"/>
  <c r="EH99" i="8"/>
  <c r="Z37" i="8" s="1"/>
  <c r="EI111" i="8"/>
  <c r="P49" i="8" s="1"/>
  <c r="CF125" i="8"/>
  <c r="N63" i="8" s="1"/>
  <c r="A46" i="8"/>
  <c r="CG141" i="8"/>
  <c r="EH98" i="8"/>
  <c r="Z36" i="8" s="1"/>
  <c r="CG130" i="8"/>
  <c r="C68" i="8" s="1"/>
  <c r="EH134" i="8"/>
  <c r="Z72" i="8" s="1"/>
  <c r="EF111" i="8"/>
  <c r="Y49" i="8" s="1"/>
  <c r="EI134" i="8"/>
  <c r="P72" i="8" s="1"/>
  <c r="CE130" i="8"/>
  <c r="E68" i="8" s="1"/>
  <c r="EF99" i="8"/>
  <c r="Y37" i="8" s="1"/>
  <c r="CG108" i="8"/>
  <c r="C46" i="8" s="1"/>
  <c r="CF108" i="8"/>
  <c r="N46" i="8" s="1"/>
  <c r="EE98" i="8"/>
  <c r="EI98" i="8"/>
  <c r="P36" i="8" s="1"/>
  <c r="EF134" i="8"/>
  <c r="Y72" i="8" s="1"/>
  <c r="CF141" i="8"/>
  <c r="EE111" i="8"/>
  <c r="CG125" i="8"/>
  <c r="C63" i="8" s="1"/>
  <c r="CF95" i="8"/>
  <c r="N33" i="8" s="1"/>
  <c r="EG103" i="8"/>
  <c r="AA41" i="8" s="1"/>
  <c r="CE116" i="8"/>
  <c r="E54" i="8" s="1"/>
  <c r="EG102" i="8"/>
  <c r="AA40" i="8" s="1"/>
  <c r="EI136" i="8"/>
  <c r="P74" i="8" s="1"/>
  <c r="CF139" i="8"/>
  <c r="N77" i="8" s="1"/>
  <c r="CG116" i="8"/>
  <c r="C54" i="8" s="1"/>
  <c r="EE130" i="8"/>
  <c r="EG136" i="8"/>
  <c r="AA74" i="8" s="1"/>
  <c r="EE102" i="8"/>
  <c r="CE131" i="8"/>
  <c r="E69" i="8" s="1"/>
  <c r="EG130" i="8"/>
  <c r="AA68" i="8" s="1"/>
  <c r="EI103" i="8"/>
  <c r="P41" i="8" s="1"/>
  <c r="EF103" i="8"/>
  <c r="Y41" i="8" s="1"/>
  <c r="EF102" i="8"/>
  <c r="Y40" i="8" s="1"/>
  <c r="CE137" i="8"/>
  <c r="E75" i="8" s="1"/>
  <c r="CG137" i="8"/>
  <c r="C75" i="8" s="1"/>
  <c r="CG139" i="8"/>
  <c r="CE95" i="8"/>
  <c r="E33" i="8" s="1"/>
  <c r="EH102" i="8"/>
  <c r="Z40" i="8" s="1"/>
  <c r="EF130" i="8"/>
  <c r="Y68" i="8" s="1"/>
  <c r="EI130" i="8"/>
  <c r="P68" i="8" s="1"/>
  <c r="EF136" i="8"/>
  <c r="Y74" i="8" s="1"/>
  <c r="EH103" i="8"/>
  <c r="Z41" i="8" s="1"/>
  <c r="EH136" i="8"/>
  <c r="Z74" i="8" s="1"/>
  <c r="CE140" i="8"/>
  <c r="CE113" i="8"/>
  <c r="E51" i="8" s="1"/>
  <c r="CE135" i="8"/>
  <c r="E73" i="8" s="1"/>
  <c r="AK73" i="8" s="1"/>
  <c r="CE102" i="8"/>
  <c r="E40" i="8" s="1"/>
  <c r="AK40" i="8" s="1"/>
  <c r="CG113" i="8"/>
  <c r="C51" i="8" s="1"/>
  <c r="CG135" i="8"/>
  <c r="C73" i="8" s="1"/>
  <c r="CE106" i="8"/>
  <c r="E44" i="8" s="1"/>
  <c r="CF140" i="8"/>
  <c r="N78" i="8" s="1"/>
  <c r="CG106" i="8"/>
  <c r="C44" i="8" s="1"/>
  <c r="CF121" i="8"/>
  <c r="N59" i="8" s="1"/>
  <c r="CF100" i="8"/>
  <c r="N38" i="8" s="1"/>
  <c r="CG100" i="8"/>
  <c r="C38" i="8" s="1"/>
  <c r="CG138" i="8"/>
  <c r="C76" i="8" s="1"/>
  <c r="CG114" i="8"/>
  <c r="C52" i="8" s="1"/>
  <c r="A31" i="8"/>
  <c r="CE123" i="8"/>
  <c r="E61" i="8" s="1"/>
  <c r="CG104" i="8"/>
  <c r="C42" i="8" s="1"/>
  <c r="CG107" i="8"/>
  <c r="C45" i="8" s="1"/>
  <c r="CF138" i="8"/>
  <c r="N76" i="8" s="1"/>
  <c r="CF133" i="8"/>
  <c r="N71" i="8" s="1"/>
  <c r="CF97" i="8"/>
  <c r="N35" i="8" s="1"/>
  <c r="CF104" i="8"/>
  <c r="N42" i="8" s="1"/>
  <c r="CF96" i="8"/>
  <c r="N34" i="8" s="1"/>
  <c r="CE107" i="8"/>
  <c r="E45" i="8" s="1"/>
  <c r="CG96" i="8"/>
  <c r="C34" i="8" s="1"/>
  <c r="CG93" i="8"/>
  <c r="C31" i="8" s="1"/>
  <c r="CF114" i="8"/>
  <c r="N52" i="8" s="1"/>
  <c r="CG121" i="8"/>
  <c r="C59" i="8" s="1"/>
  <c r="CF127" i="8"/>
  <c r="N65" i="8" s="1"/>
  <c r="CE117" i="8"/>
  <c r="E55" i="8" s="1"/>
  <c r="CG115" i="8"/>
  <c r="C53" i="8" s="1"/>
  <c r="CF115" i="8"/>
  <c r="N53" i="8" s="1"/>
  <c r="CF117" i="8"/>
  <c r="N55" i="8" s="1"/>
  <c r="CG142" i="8"/>
  <c r="CE142" i="8"/>
  <c r="CE136" i="8"/>
  <c r="E74" i="8" s="1"/>
  <c r="AK74" i="8" s="1"/>
  <c r="CG136" i="8"/>
  <c r="C74" i="8" s="1"/>
  <c r="AC57" i="8" l="1"/>
  <c r="AL54" i="8"/>
  <c r="AC74" i="8"/>
  <c r="AC72" i="8"/>
  <c r="AL31" i="8"/>
  <c r="AC61" i="8"/>
  <c r="R76" i="8"/>
  <c r="AC76" i="8" s="1"/>
  <c r="R69" i="8"/>
  <c r="AC69" i="8" s="1"/>
  <c r="R66" i="8"/>
  <c r="AL66" i="8" s="1"/>
  <c r="R68" i="8"/>
  <c r="AL68" i="8" s="1"/>
  <c r="R65" i="8"/>
  <c r="AL65" i="8" s="1"/>
  <c r="R63" i="8"/>
  <c r="AL63" i="8" s="1"/>
  <c r="R58" i="8"/>
  <c r="AC58" i="8" s="1"/>
  <c r="R60" i="8"/>
  <c r="AC60" i="8" s="1"/>
  <c r="R75" i="8"/>
  <c r="AC75" i="8" s="1"/>
  <c r="R38" i="8"/>
  <c r="AL38" i="8" s="1"/>
  <c r="R47" i="8"/>
  <c r="AL47" i="8" s="1"/>
  <c r="R45" i="8"/>
  <c r="AL45" i="8" s="1"/>
  <c r="R52" i="8"/>
  <c r="AL52" i="8" s="1"/>
  <c r="R59" i="8"/>
  <c r="AC59" i="8" s="1"/>
  <c r="R42" i="8"/>
  <c r="R39" i="8"/>
  <c r="AL39" i="8" s="1"/>
  <c r="R64" i="8"/>
  <c r="AL64" i="8" s="1"/>
  <c r="R44" i="8"/>
  <c r="AL44" i="8" s="1"/>
  <c r="R67" i="8"/>
  <c r="AL67" i="8" s="1"/>
  <c r="R62" i="8"/>
  <c r="AC62" i="8" s="1"/>
  <c r="R46" i="8"/>
  <c r="AL46" i="8" s="1"/>
  <c r="R40" i="8"/>
  <c r="AL40" i="8" s="1"/>
  <c r="R49" i="8"/>
  <c r="AL49" i="8" s="1"/>
  <c r="R73" i="8"/>
  <c r="AC73" i="8" s="1"/>
  <c r="R55" i="8"/>
  <c r="R56" i="8"/>
  <c r="R70" i="8"/>
  <c r="AL70" i="8" s="1"/>
  <c r="R77" i="8"/>
  <c r="AC77" i="8" s="1"/>
  <c r="R51" i="8"/>
  <c r="AL51" i="8" s="1"/>
  <c r="R78" i="8"/>
  <c r="AL78" i="8" s="1"/>
  <c r="R71" i="8"/>
  <c r="AL71" i="8" s="1"/>
  <c r="R36" i="8"/>
  <c r="AL36" i="8" s="1"/>
  <c r="R35" i="8"/>
  <c r="AL35" i="8" s="1"/>
  <c r="R32" i="8"/>
  <c r="AL32" i="8" s="1"/>
  <c r="R34" i="8"/>
  <c r="AL34" i="8" s="1"/>
  <c r="A68" i="8"/>
  <c r="AK68" i="8"/>
  <c r="A67" i="8"/>
  <c r="AK67" i="8"/>
  <c r="A45" i="8"/>
  <c r="AK45" i="8"/>
  <c r="A61" i="8"/>
  <c r="AK61" i="8"/>
  <c r="A36" i="8"/>
  <c r="AK36" i="8"/>
  <c r="A35" i="8"/>
  <c r="AK35" i="8"/>
  <c r="A57" i="8"/>
  <c r="AK57" i="8"/>
  <c r="AL69" i="8"/>
  <c r="A49" i="8"/>
  <c r="AK49" i="8"/>
  <c r="A43" i="8"/>
  <c r="AK43" i="8"/>
  <c r="A75" i="8"/>
  <c r="AK75" i="8"/>
  <c r="A48" i="8"/>
  <c r="AK48" i="8"/>
  <c r="A54" i="8"/>
  <c r="AK54" i="8"/>
  <c r="A44" i="8"/>
  <c r="AK44" i="8"/>
  <c r="A47" i="8"/>
  <c r="AK47" i="8"/>
  <c r="A41" i="8"/>
  <c r="AK41" i="8"/>
  <c r="A60" i="8"/>
  <c r="AK60" i="8"/>
  <c r="A55" i="8"/>
  <c r="AK55" i="8"/>
  <c r="A51" i="8"/>
  <c r="AK51" i="8"/>
  <c r="A33" i="8"/>
  <c r="AK33" i="8"/>
  <c r="A69" i="8"/>
  <c r="AK69" i="8"/>
  <c r="A62" i="8"/>
  <c r="AK62" i="8"/>
  <c r="A70" i="8"/>
  <c r="AK70" i="8"/>
  <c r="A72" i="8"/>
  <c r="A39" i="8"/>
  <c r="A71" i="8"/>
  <c r="A73" i="8"/>
  <c r="A66" i="8"/>
  <c r="A32" i="8"/>
  <c r="A40" i="8"/>
  <c r="P28" i="8"/>
  <c r="C28" i="8"/>
  <c r="A74" i="8"/>
  <c r="GB40" i="5" l="1"/>
  <c r="DN40" i="5" s="1"/>
  <c r="DZ40" i="5" s="1"/>
  <c r="EA40" i="5" s="1"/>
  <c r="GB50" i="5"/>
  <c r="FZ50" i="5" s="1"/>
  <c r="GB65" i="5"/>
  <c r="GA65" i="5" s="1"/>
  <c r="GB93" i="5"/>
  <c r="GA93" i="5" s="1"/>
  <c r="GB113" i="5"/>
  <c r="DN113" i="5" s="1"/>
  <c r="GB133" i="5"/>
  <c r="DN133" i="5" s="1"/>
  <c r="GB153" i="5"/>
  <c r="GA153" i="5" s="1"/>
  <c r="GB284" i="5"/>
  <c r="GA284" i="5" s="1"/>
  <c r="GB314" i="5"/>
  <c r="DN314" i="5" s="1"/>
  <c r="GB299" i="5"/>
  <c r="GA299" i="5" s="1"/>
  <c r="GB294" i="5"/>
  <c r="GA294" i="5" s="1"/>
  <c r="GB206" i="5"/>
  <c r="GA206" i="5" s="1"/>
  <c r="GB181" i="5"/>
  <c r="GA181" i="5" s="1"/>
  <c r="GB186" i="5"/>
  <c r="FZ186" i="5" s="1"/>
  <c r="GB216" i="5"/>
  <c r="GA216" i="5" s="1"/>
  <c r="GB347" i="5"/>
  <c r="GA347" i="5" s="1"/>
  <c r="GB387" i="5"/>
  <c r="GA387" i="5" s="1"/>
  <c r="GB372" i="5"/>
  <c r="GA372" i="5" s="1"/>
  <c r="GB425" i="5"/>
  <c r="FZ425" i="5" s="1"/>
  <c r="GB435" i="5"/>
  <c r="FZ435" i="5" s="1"/>
  <c r="GB415" i="5"/>
  <c r="FZ415" i="5" s="1"/>
  <c r="GB475" i="5"/>
  <c r="GA475" i="5" s="1"/>
  <c r="GB523" i="5"/>
  <c r="GA523" i="5" s="1"/>
  <c r="GB548" i="5"/>
  <c r="FZ548" i="5" s="1"/>
  <c r="GB483" i="5"/>
  <c r="DN483" i="5" s="1"/>
  <c r="GB518" i="5"/>
  <c r="FZ518" i="5" s="1"/>
  <c r="GB596" i="5"/>
  <c r="FZ596" i="5" s="1"/>
  <c r="GB631" i="5"/>
  <c r="FZ631" i="5" s="1"/>
  <c r="GB591" i="5"/>
  <c r="FZ591" i="5" s="1"/>
  <c r="GB571" i="5"/>
  <c r="FZ571" i="5" s="1"/>
  <c r="GB669" i="5"/>
  <c r="GA669" i="5" s="1"/>
  <c r="GB639" i="5"/>
  <c r="GA639" i="5" s="1"/>
  <c r="GB674" i="5"/>
  <c r="DN674" i="5" s="1"/>
  <c r="GB772" i="5"/>
  <c r="FZ772" i="5" s="1"/>
  <c r="GB727" i="5"/>
  <c r="GA727" i="5" s="1"/>
  <c r="GB787" i="5"/>
  <c r="DN787" i="5" s="1"/>
  <c r="GB752" i="5"/>
  <c r="FZ752" i="5" s="1"/>
  <c r="GB55" i="5"/>
  <c r="FZ55" i="5" s="1"/>
  <c r="GB75" i="5"/>
  <c r="FZ75" i="5" s="1"/>
  <c r="GB98" i="5"/>
  <c r="DN98" i="5" s="1"/>
  <c r="GB118" i="5"/>
  <c r="FZ118" i="5" s="1"/>
  <c r="GB138" i="5"/>
  <c r="FZ138" i="5" s="1"/>
  <c r="GB158" i="5"/>
  <c r="GA158" i="5" s="1"/>
  <c r="GB279" i="5"/>
  <c r="FZ279" i="5" s="1"/>
  <c r="GB274" i="5"/>
  <c r="GA274" i="5" s="1"/>
  <c r="GB309" i="5"/>
  <c r="GA309" i="5" s="1"/>
  <c r="GB304" i="5"/>
  <c r="DN304" i="5" s="1"/>
  <c r="GB241" i="5"/>
  <c r="GA241" i="5" s="1"/>
  <c r="GB236" i="5"/>
  <c r="FZ236" i="5" s="1"/>
  <c r="GB191" i="5"/>
  <c r="FZ191" i="5" s="1"/>
  <c r="GB352" i="5"/>
  <c r="GA352" i="5" s="1"/>
  <c r="GB362" i="5"/>
  <c r="FZ362" i="5" s="1"/>
  <c r="GB392" i="5"/>
  <c r="DN392" i="5" s="1"/>
  <c r="GB367" i="5"/>
  <c r="DN367" i="5" s="1"/>
  <c r="GB405" i="5"/>
  <c r="DN405" i="5" s="1"/>
  <c r="GB420" i="5"/>
  <c r="FZ420" i="5" s="1"/>
  <c r="GB410" i="5"/>
  <c r="GA410" i="5" s="1"/>
  <c r="GB440" i="5"/>
  <c r="GA440" i="5" s="1"/>
  <c r="GB528" i="5"/>
  <c r="GA528" i="5" s="1"/>
  <c r="GB503" i="5"/>
  <c r="FZ503" i="5" s="1"/>
  <c r="GB538" i="5"/>
  <c r="GA538" i="5" s="1"/>
  <c r="GB513" i="5"/>
  <c r="GA513" i="5" s="1"/>
  <c r="GB606" i="5"/>
  <c r="GA606" i="5" s="1"/>
  <c r="GB561" i="5"/>
  <c r="FZ561" i="5" s="1"/>
  <c r="GB566" i="5"/>
  <c r="GA566" i="5" s="1"/>
  <c r="GB659" i="5"/>
  <c r="FZ659" i="5" s="1"/>
  <c r="GB644" i="5"/>
  <c r="FZ644" i="5" s="1"/>
  <c r="GB684" i="5"/>
  <c r="DN684" i="5" s="1"/>
  <c r="GB694" i="5"/>
  <c r="GA694" i="5" s="1"/>
  <c r="GB782" i="5"/>
  <c r="FZ782" i="5" s="1"/>
  <c r="GB762" i="5"/>
  <c r="FZ762" i="5" s="1"/>
  <c r="GB767" i="5"/>
  <c r="GA767" i="5" s="1"/>
  <c r="GB777" i="5"/>
  <c r="GA777" i="5" s="1"/>
  <c r="GB45" i="5"/>
  <c r="FZ45" i="5" s="1"/>
  <c r="GB60" i="5"/>
  <c r="DN60" i="5" s="1"/>
  <c r="GB80" i="5"/>
  <c r="DN80" i="5" s="1"/>
  <c r="GB103" i="5"/>
  <c r="FZ103" i="5" s="1"/>
  <c r="GB123" i="5"/>
  <c r="GA123" i="5" s="1"/>
  <c r="GB143" i="5"/>
  <c r="GA143" i="5" s="1"/>
  <c r="GB163" i="5"/>
  <c r="DN163" i="5" s="1"/>
  <c r="GB254" i="5"/>
  <c r="FZ254" i="5" s="1"/>
  <c r="GB269" i="5"/>
  <c r="FZ269" i="5" s="1"/>
  <c r="GB289" i="5"/>
  <c r="GA289" i="5" s="1"/>
  <c r="GB171" i="5"/>
  <c r="FZ171" i="5" s="1"/>
  <c r="GB201" i="5"/>
  <c r="DN201" i="5" s="1"/>
  <c r="GB196" i="5"/>
  <c r="FZ196" i="5" s="1"/>
  <c r="GB231" i="5"/>
  <c r="DN231" i="5" s="1"/>
  <c r="GB357" i="5"/>
  <c r="DN357" i="5" s="1"/>
  <c r="GB337" i="5"/>
  <c r="FZ337" i="5" s="1"/>
  <c r="GB332" i="5"/>
  <c r="FZ332" i="5" s="1"/>
  <c r="GB327" i="5"/>
  <c r="FZ327" i="5" s="1"/>
  <c r="GB460" i="5"/>
  <c r="GA460" i="5" s="1"/>
  <c r="GB455" i="5"/>
  <c r="DN455" i="5" s="1"/>
  <c r="GB465" i="5"/>
  <c r="DN465" i="5" s="1"/>
  <c r="GB430" i="5"/>
  <c r="GA430" i="5" s="1"/>
  <c r="GB533" i="5"/>
  <c r="GA533" i="5" s="1"/>
  <c r="GB493" i="5"/>
  <c r="DN493" i="5" s="1"/>
  <c r="GB498" i="5"/>
  <c r="FZ498" i="5" s="1"/>
  <c r="GB626" i="5"/>
  <c r="DN626" i="5" s="1"/>
  <c r="GB586" i="5"/>
  <c r="DN586" i="5" s="1"/>
  <c r="GB601" i="5"/>
  <c r="DN601" i="5" s="1"/>
  <c r="GB621" i="5"/>
  <c r="GA621" i="5" s="1"/>
  <c r="GB664" i="5"/>
  <c r="DN664" i="5" s="1"/>
  <c r="GB649" i="5"/>
  <c r="FZ649" i="5" s="1"/>
  <c r="GB704" i="5"/>
  <c r="GA704" i="5" s="1"/>
  <c r="GB654" i="5"/>
  <c r="DN654" i="5" s="1"/>
  <c r="GB757" i="5"/>
  <c r="DN757" i="5" s="1"/>
  <c r="GB747" i="5"/>
  <c r="GA747" i="5" s="1"/>
  <c r="GB732" i="5"/>
  <c r="GA732" i="5" s="1"/>
  <c r="GB722" i="5"/>
  <c r="FZ722" i="5" s="1"/>
  <c r="GB70" i="5"/>
  <c r="FZ70" i="5" s="1"/>
  <c r="GB85" i="5"/>
  <c r="GA85" i="5" s="1"/>
  <c r="GB108" i="5"/>
  <c r="FZ108" i="5" s="1"/>
  <c r="GB128" i="5"/>
  <c r="GA128" i="5" s="1"/>
  <c r="GB148" i="5"/>
  <c r="DN148" i="5" s="1"/>
  <c r="GB319" i="5"/>
  <c r="FZ319" i="5" s="1"/>
  <c r="GB259" i="5"/>
  <c r="FZ259" i="5" s="1"/>
  <c r="GB264" i="5"/>
  <c r="GA264" i="5" s="1"/>
  <c r="GB249" i="5"/>
  <c r="GA249" i="5" s="1"/>
  <c r="GB226" i="5"/>
  <c r="FZ226" i="5" s="1"/>
  <c r="GB221" i="5"/>
  <c r="GA221" i="5" s="1"/>
  <c r="GB176" i="5"/>
  <c r="FZ176" i="5" s="1"/>
  <c r="GB211" i="5"/>
  <c r="GA211" i="5" s="1"/>
  <c r="GB382" i="5"/>
  <c r="FZ382" i="5" s="1"/>
  <c r="GB342" i="5"/>
  <c r="GA342" i="5" s="1"/>
  <c r="GB397" i="5"/>
  <c r="DN397" i="5" s="1"/>
  <c r="GB377" i="5"/>
  <c r="DN377" i="5" s="1"/>
  <c r="GB470" i="5"/>
  <c r="DN470" i="5" s="1"/>
  <c r="GB450" i="5"/>
  <c r="DN450" i="5" s="1"/>
  <c r="GB445" i="5"/>
  <c r="GA445" i="5" s="1"/>
  <c r="GB543" i="5"/>
  <c r="DN543" i="5" s="1"/>
  <c r="GB488" i="5"/>
  <c r="FZ488" i="5" s="1"/>
  <c r="GB508" i="5"/>
  <c r="FZ508" i="5" s="1"/>
  <c r="GB553" i="5"/>
  <c r="FZ553" i="5" s="1"/>
  <c r="GB581" i="5"/>
  <c r="GA581" i="5" s="1"/>
  <c r="GB611" i="5"/>
  <c r="GA611" i="5" s="1"/>
  <c r="GB576" i="5"/>
  <c r="GA576" i="5" s="1"/>
  <c r="GB616" i="5"/>
  <c r="GA616" i="5" s="1"/>
  <c r="GB679" i="5"/>
  <c r="GA679" i="5" s="1"/>
  <c r="GB689" i="5"/>
  <c r="FZ689" i="5" s="1"/>
  <c r="GB709" i="5"/>
  <c r="FZ709" i="5" s="1"/>
  <c r="GB699" i="5"/>
  <c r="GA699" i="5" s="1"/>
  <c r="GB737" i="5"/>
  <c r="DN737" i="5" s="1"/>
  <c r="GB742" i="5"/>
  <c r="GA742" i="5" s="1"/>
  <c r="GB717" i="5"/>
  <c r="FZ717" i="5" s="1"/>
  <c r="GA772" i="5"/>
  <c r="GA757" i="5"/>
  <c r="AC63" i="8"/>
  <c r="AL59" i="8"/>
  <c r="AC65" i="8"/>
  <c r="AL76" i="8"/>
  <c r="AL75" i="8"/>
  <c r="AC78" i="8"/>
  <c r="AC64" i="8"/>
  <c r="AL60" i="8"/>
  <c r="AC66" i="8"/>
  <c r="AC67" i="8"/>
  <c r="AL56" i="8"/>
  <c r="AC68" i="8"/>
  <c r="AL42" i="8"/>
  <c r="AL82" i="8" s="1"/>
  <c r="AL58" i="8"/>
  <c r="AC71" i="8"/>
  <c r="AL55" i="8"/>
  <c r="AL73" i="8"/>
  <c r="EQ98" i="8" a="1"/>
  <c r="EQ98" i="8" s="1"/>
  <c r="AL77" i="8"/>
  <c r="AC70" i="8"/>
  <c r="EQ107" i="8" a="1"/>
  <c r="EQ107" i="8" s="1"/>
  <c r="EQ130" i="8" a="1"/>
  <c r="EQ130" i="8" s="1"/>
  <c r="EQ140" i="8" a="1"/>
  <c r="EQ140" i="8" s="1"/>
  <c r="EQ103" i="8" a="1"/>
  <c r="EQ103" i="8" s="1"/>
  <c r="EQ118" i="8" a="1"/>
  <c r="EQ118" i="8" s="1"/>
  <c r="EQ100" i="8" a="1"/>
  <c r="EQ100" i="8" s="1"/>
  <c r="EQ119" i="8" a="1"/>
  <c r="EQ119" i="8" s="1"/>
  <c r="EQ137" i="8" a="1"/>
  <c r="EQ137" i="8" s="1"/>
  <c r="EQ101" i="8" a="1"/>
  <c r="EQ101" i="8" s="1"/>
  <c r="EQ120" i="8" a="1"/>
  <c r="EQ120" i="8" s="1"/>
  <c r="EQ116" i="8" a="1"/>
  <c r="EQ116" i="8" s="1"/>
  <c r="EQ109" i="8" a="1"/>
  <c r="EQ109" i="8" s="1"/>
  <c r="EQ136" i="8" a="1"/>
  <c r="EQ136" i="8" s="1"/>
  <c r="EQ134" i="8" a="1"/>
  <c r="EQ134" i="8" s="1"/>
  <c r="EQ97" i="8" a="1"/>
  <c r="EQ97" i="8" s="1"/>
  <c r="EQ123" i="8" a="1"/>
  <c r="EQ123" i="8" s="1"/>
  <c r="EQ95" i="8" a="1"/>
  <c r="EQ95" i="8" s="1"/>
  <c r="EQ110" i="8" a="1"/>
  <c r="EQ110" i="8" s="1"/>
  <c r="AL62" i="8"/>
  <c r="EQ139" i="8" a="1"/>
  <c r="EQ139" i="8" s="1"/>
  <c r="EQ94" i="8" a="1"/>
  <c r="EQ94" i="8" s="1"/>
  <c r="EQ125" i="8" a="1"/>
  <c r="EQ125" i="8" s="1"/>
  <c r="EQ135" i="8" a="1"/>
  <c r="EQ135" i="8" s="1"/>
  <c r="EQ138" i="8" a="1"/>
  <c r="EQ138" i="8" s="1"/>
  <c r="EQ113" i="8" a="1"/>
  <c r="EQ113" i="8" s="1"/>
  <c r="EQ111" i="8" a="1"/>
  <c r="EQ111" i="8" s="1"/>
  <c r="EQ96" i="8" a="1"/>
  <c r="EQ96" i="8" s="1"/>
  <c r="EQ126" i="8" a="1"/>
  <c r="EQ126" i="8" s="1"/>
  <c r="EQ117" i="8" a="1"/>
  <c r="EQ117" i="8" s="1"/>
  <c r="EQ115" i="8" a="1"/>
  <c r="EQ115" i="8" s="1"/>
  <c r="EQ141" i="8" a="1"/>
  <c r="EQ141" i="8" s="1"/>
  <c r="EQ99" i="8" a="1"/>
  <c r="EQ99" i="8" s="1"/>
  <c r="EQ108" i="8" a="1"/>
  <c r="EQ108" i="8" s="1"/>
  <c r="EQ129" i="8" a="1"/>
  <c r="EQ129" i="8" s="1"/>
  <c r="EQ106" i="8" a="1"/>
  <c r="EQ106" i="8" s="1"/>
  <c r="EQ112" i="8" a="1"/>
  <c r="EQ112" i="8" s="1"/>
  <c r="EQ142" i="8" a="1"/>
  <c r="EQ142" i="8" s="1"/>
  <c r="EQ105" i="8" a="1"/>
  <c r="EQ105" i="8" s="1"/>
  <c r="EQ131" i="8" a="1"/>
  <c r="EQ131" i="8" s="1"/>
  <c r="EQ122" i="8" a="1"/>
  <c r="EQ122" i="8" s="1"/>
  <c r="EQ114" i="8" a="1"/>
  <c r="EQ114" i="8" s="1"/>
  <c r="EQ124" i="8" a="1"/>
  <c r="EQ124" i="8" s="1"/>
  <c r="EQ132" i="8" a="1"/>
  <c r="EQ132" i="8" s="1"/>
  <c r="EQ104" i="8" a="1"/>
  <c r="EQ104" i="8" s="1"/>
  <c r="EQ102" i="8" a="1"/>
  <c r="EQ102" i="8" s="1"/>
  <c r="EQ128" i="8" a="1"/>
  <c r="EQ128" i="8" s="1"/>
  <c r="EQ133" i="8" a="1"/>
  <c r="EQ133" i="8" s="1"/>
  <c r="EQ121" i="8" a="1"/>
  <c r="EQ121" i="8" s="1"/>
  <c r="EQ127" i="8" a="1"/>
  <c r="EQ127" i="8" s="1"/>
  <c r="EQ93" i="8" a="1"/>
  <c r="EQ93" i="8" s="1"/>
  <c r="DN123" i="5" l="1"/>
  <c r="DZ123" i="5" s="1"/>
  <c r="EA123" i="5" s="1"/>
  <c r="AT123" i="5" s="1"/>
  <c r="DN186" i="5"/>
  <c r="DR186" i="5" s="1"/>
  <c r="EK186" i="5" s="1"/>
  <c r="GA70" i="5"/>
  <c r="FZ304" i="5"/>
  <c r="GC304" i="5" s="1"/>
  <c r="GD304" i="5" s="1"/>
  <c r="DN596" i="5"/>
  <c r="DR596" i="5" s="1"/>
  <c r="EK596" i="5" s="1"/>
  <c r="DO42" i="5"/>
  <c r="FZ40" i="5"/>
  <c r="GC40" i="5" s="1"/>
  <c r="GD40" i="5" s="1"/>
  <c r="DO40" i="5"/>
  <c r="DR40" i="5"/>
  <c r="EK40" i="5" s="1"/>
  <c r="GA40" i="5"/>
  <c r="FZ143" i="5"/>
  <c r="FZ430" i="5"/>
  <c r="GA60" i="5"/>
  <c r="FZ289" i="5"/>
  <c r="DN352" i="5"/>
  <c r="DO354" i="5" s="1"/>
  <c r="FZ523" i="5"/>
  <c r="DN158" i="5"/>
  <c r="DR158" i="5" s="1"/>
  <c r="EK158" i="5" s="1"/>
  <c r="DN216" i="5"/>
  <c r="DZ216" i="5" s="1"/>
  <c r="EA216" i="5" s="1"/>
  <c r="AT216" i="5" s="1"/>
  <c r="FZ405" i="5"/>
  <c r="GC405" i="5" s="1"/>
  <c r="GD405" i="5" s="1"/>
  <c r="DN669" i="5"/>
  <c r="DO671" i="5" s="1"/>
  <c r="FZ60" i="5"/>
  <c r="GC60" i="5" s="1"/>
  <c r="GD60" i="5" s="1"/>
  <c r="GA75" i="5"/>
  <c r="DN528" i="5"/>
  <c r="DZ528" i="5" s="1"/>
  <c r="EA528" i="5" s="1"/>
  <c r="AT528" i="5" s="1"/>
  <c r="DN727" i="5"/>
  <c r="DZ727" i="5" s="1"/>
  <c r="EA727" i="5" s="1"/>
  <c r="AT727" i="5" s="1"/>
  <c r="GA231" i="5"/>
  <c r="GA626" i="5"/>
  <c r="GA148" i="5"/>
  <c r="GA664" i="5"/>
  <c r="DN249" i="5"/>
  <c r="DZ249" i="5" s="1"/>
  <c r="EA249" i="5" s="1"/>
  <c r="AT249" i="5" s="1"/>
  <c r="FZ211" i="5"/>
  <c r="GA543" i="5"/>
  <c r="FZ377" i="5"/>
  <c r="GC377" i="5" s="1"/>
  <c r="GD377" i="5" s="1"/>
  <c r="FZ581" i="5"/>
  <c r="FZ679" i="5"/>
  <c r="FZ737" i="5"/>
  <c r="GC737" i="5" s="1"/>
  <c r="GD737" i="5" s="1"/>
  <c r="DN143" i="5"/>
  <c r="DO143" i="5" s="1"/>
  <c r="FZ148" i="5"/>
  <c r="GC148" i="5" s="1"/>
  <c r="GD148" i="5" s="1"/>
  <c r="FZ153" i="5"/>
  <c r="DN289" i="5"/>
  <c r="DO289" i="5" s="1"/>
  <c r="GA304" i="5"/>
  <c r="FZ294" i="5"/>
  <c r="DN211" i="5"/>
  <c r="DZ211" i="5" s="1"/>
  <c r="EA211" i="5" s="1"/>
  <c r="FZ231" i="5"/>
  <c r="GC231" i="5" s="1"/>
  <c r="GD231" i="5" s="1"/>
  <c r="GA377" i="5"/>
  <c r="GA327" i="5"/>
  <c r="DN430" i="5"/>
  <c r="DO430" i="5" s="1"/>
  <c r="GA405" i="5"/>
  <c r="GA425" i="5"/>
  <c r="DN523" i="5"/>
  <c r="DO525" i="5" s="1"/>
  <c r="FZ543" i="5"/>
  <c r="GC543" i="5" s="1"/>
  <c r="GD543" i="5" s="1"/>
  <c r="FZ606" i="5"/>
  <c r="DN581" i="5"/>
  <c r="DZ581" i="5" s="1"/>
  <c r="EA581" i="5" s="1"/>
  <c r="AT581" i="5" s="1"/>
  <c r="FZ626" i="5"/>
  <c r="GC626" i="5" s="1"/>
  <c r="GD626" i="5" s="1"/>
  <c r="GA644" i="5"/>
  <c r="DN679" i="5"/>
  <c r="DR679" i="5" s="1"/>
  <c r="EK679" i="5" s="1"/>
  <c r="FZ664" i="5"/>
  <c r="GC664" i="5" s="1"/>
  <c r="GD664" i="5" s="1"/>
  <c r="GA762" i="5"/>
  <c r="FZ757" i="5"/>
  <c r="GC757" i="5" s="1"/>
  <c r="GD757" i="5" s="1"/>
  <c r="DN70" i="5"/>
  <c r="DR70" i="5" s="1"/>
  <c r="EK70" i="5" s="1"/>
  <c r="DN75" i="5"/>
  <c r="DZ75" i="5" s="1"/>
  <c r="EA75" i="5" s="1"/>
  <c r="AT75" i="5" s="1"/>
  <c r="DN65" i="5"/>
  <c r="DZ65" i="5" s="1"/>
  <c r="EA65" i="5" s="1"/>
  <c r="AT65" i="5" s="1"/>
  <c r="DN153" i="5"/>
  <c r="DR153" i="5" s="1"/>
  <c r="EK153" i="5" s="1"/>
  <c r="FZ158" i="5"/>
  <c r="FZ249" i="5"/>
  <c r="DN294" i="5"/>
  <c r="DR294" i="5" s="1"/>
  <c r="EK294" i="5" s="1"/>
  <c r="FZ216" i="5"/>
  <c r="DN327" i="5"/>
  <c r="GC327" i="5" s="1"/>
  <c r="GD327" i="5" s="1"/>
  <c r="FZ352" i="5"/>
  <c r="DN425" i="5"/>
  <c r="DZ425" i="5" s="1"/>
  <c r="EA425" i="5" s="1"/>
  <c r="AT425" i="5" s="1"/>
  <c r="FZ528" i="5"/>
  <c r="DN606" i="5"/>
  <c r="DO606" i="5" s="1"/>
  <c r="GA596" i="5"/>
  <c r="DN644" i="5"/>
  <c r="DZ644" i="5" s="1"/>
  <c r="EA644" i="5" s="1"/>
  <c r="AT644" i="5" s="1"/>
  <c r="FZ669" i="5"/>
  <c r="DN762" i="5"/>
  <c r="DR762" i="5" s="1"/>
  <c r="EK762" i="5" s="1"/>
  <c r="FZ727" i="5"/>
  <c r="GA737" i="5"/>
  <c r="FZ65" i="5"/>
  <c r="FZ133" i="5"/>
  <c r="GC133" i="5" s="1"/>
  <c r="GD133" i="5" s="1"/>
  <c r="DN475" i="5"/>
  <c r="DR475" i="5" s="1"/>
  <c r="EK475" i="5" s="1"/>
  <c r="GA518" i="5"/>
  <c r="GA50" i="5"/>
  <c r="GA138" i="5"/>
  <c r="FZ309" i="5"/>
  <c r="GA191" i="5"/>
  <c r="FZ367" i="5"/>
  <c r="GC367" i="5" s="1"/>
  <c r="GD367" i="5" s="1"/>
  <c r="GA45" i="5"/>
  <c r="DN513" i="5"/>
  <c r="DZ513" i="5" s="1"/>
  <c r="EA513" i="5" s="1"/>
  <c r="AT513" i="5" s="1"/>
  <c r="FZ465" i="5"/>
  <c r="GC465" i="5" s="1"/>
  <c r="GD465" i="5" s="1"/>
  <c r="DN128" i="5"/>
  <c r="DR128" i="5" s="1"/>
  <c r="EK128" i="5" s="1"/>
  <c r="DN571" i="5"/>
  <c r="DO571" i="5" s="1"/>
  <c r="GA176" i="5"/>
  <c r="GA269" i="5"/>
  <c r="FZ440" i="5"/>
  <c r="GA98" i="5"/>
  <c r="DN561" i="5"/>
  <c r="DR561" i="5" s="1"/>
  <c r="EK561" i="5" s="1"/>
  <c r="FZ206" i="5"/>
  <c r="GA80" i="5"/>
  <c r="FZ93" i="5"/>
  <c r="GA163" i="5"/>
  <c r="FZ284" i="5"/>
  <c r="DN347" i="5"/>
  <c r="DO347" i="5" s="1"/>
  <c r="FZ241" i="5"/>
  <c r="FZ639" i="5"/>
  <c r="FZ460" i="5"/>
  <c r="FZ85" i="5"/>
  <c r="GA226" i="5"/>
  <c r="GA649" i="5"/>
  <c r="GA357" i="5"/>
  <c r="FZ621" i="5"/>
  <c r="GA254" i="5"/>
  <c r="DN181" i="5"/>
  <c r="DR181" i="5" s="1"/>
  <c r="EK181" i="5" s="1"/>
  <c r="FZ455" i="5"/>
  <c r="GC455" i="5" s="1"/>
  <c r="GD455" i="5" s="1"/>
  <c r="FZ113" i="5"/>
  <c r="GC113" i="5" s="1"/>
  <c r="GD113" i="5" s="1"/>
  <c r="FZ674" i="5"/>
  <c r="GC674" i="5" s="1"/>
  <c r="GD674" i="5" s="1"/>
  <c r="DN382" i="5"/>
  <c r="DO384" i="5" s="1"/>
  <c r="GA488" i="5"/>
  <c r="GA319" i="5"/>
  <c r="FZ397" i="5"/>
  <c r="GC397" i="5" s="1"/>
  <c r="GD397" i="5" s="1"/>
  <c r="GA470" i="5"/>
  <c r="GA498" i="5"/>
  <c r="FZ80" i="5"/>
  <c r="GC80" i="5" s="1"/>
  <c r="GD80" i="5" s="1"/>
  <c r="DN85" i="5"/>
  <c r="DO87" i="5" s="1"/>
  <c r="DN93" i="5"/>
  <c r="DO95" i="5" s="1"/>
  <c r="FZ98" i="5"/>
  <c r="GC98" i="5" s="1"/>
  <c r="GD98" i="5" s="1"/>
  <c r="FZ163" i="5"/>
  <c r="GC163" i="5" s="1"/>
  <c r="GD163" i="5" s="1"/>
  <c r="GA279" i="5"/>
  <c r="DN284" i="5"/>
  <c r="DO286" i="5" s="1"/>
  <c r="DN319" i="5"/>
  <c r="DO319" i="5" s="1"/>
  <c r="GA171" i="5"/>
  <c r="DN241" i="5"/>
  <c r="DO243" i="5" s="1"/>
  <c r="DN206" i="5"/>
  <c r="DR206" i="5" s="1"/>
  <c r="EK206" i="5" s="1"/>
  <c r="DN226" i="5"/>
  <c r="DO228" i="5" s="1"/>
  <c r="GA362" i="5"/>
  <c r="FZ357" i="5"/>
  <c r="GC357" i="5" s="1"/>
  <c r="GD357" i="5" s="1"/>
  <c r="GA420" i="5"/>
  <c r="GA435" i="5"/>
  <c r="DN460" i="5"/>
  <c r="DO462" i="5" s="1"/>
  <c r="GA503" i="5"/>
  <c r="GA548" i="5"/>
  <c r="GA631" i="5"/>
  <c r="DN639" i="5"/>
  <c r="DZ639" i="5" s="1"/>
  <c r="EA639" i="5" s="1"/>
  <c r="AT639" i="5" s="1"/>
  <c r="DN279" i="5"/>
  <c r="DR279" i="5" s="1"/>
  <c r="EK279" i="5" s="1"/>
  <c r="DN171" i="5"/>
  <c r="DZ171" i="5" s="1"/>
  <c r="EA171" i="5" s="1"/>
  <c r="AT171" i="5" s="1"/>
  <c r="DN362" i="5"/>
  <c r="GC362" i="5" s="1"/>
  <c r="GD362" i="5" s="1"/>
  <c r="FZ347" i="5"/>
  <c r="GA382" i="5"/>
  <c r="DN420" i="5"/>
  <c r="GC420" i="5" s="1"/>
  <c r="GD420" i="5" s="1"/>
  <c r="DN435" i="5"/>
  <c r="GC435" i="5" s="1"/>
  <c r="GD435" i="5" s="1"/>
  <c r="FZ470" i="5"/>
  <c r="GC470" i="5" s="1"/>
  <c r="GD470" i="5" s="1"/>
  <c r="DN503" i="5"/>
  <c r="DR503" i="5" s="1"/>
  <c r="EK503" i="5" s="1"/>
  <c r="DN548" i="5"/>
  <c r="DO548" i="5" s="1"/>
  <c r="DN631" i="5"/>
  <c r="DO631" i="5" s="1"/>
  <c r="GA586" i="5"/>
  <c r="GA561" i="5"/>
  <c r="GA684" i="5"/>
  <c r="DN533" i="5"/>
  <c r="DZ533" i="5" s="1"/>
  <c r="EA533" i="5" s="1"/>
  <c r="AT533" i="5" s="1"/>
  <c r="FZ533" i="5"/>
  <c r="FZ787" i="5"/>
  <c r="GC787" i="5" s="1"/>
  <c r="GD787" i="5" s="1"/>
  <c r="GA108" i="5"/>
  <c r="GA118" i="5"/>
  <c r="DN274" i="5"/>
  <c r="DR274" i="5" s="1"/>
  <c r="EK274" i="5" s="1"/>
  <c r="FZ392" i="5"/>
  <c r="GC392" i="5" s="1"/>
  <c r="GD392" i="5" s="1"/>
  <c r="FZ314" i="5"/>
  <c r="GC314" i="5" s="1"/>
  <c r="GD314" i="5" s="1"/>
  <c r="FZ201" i="5"/>
  <c r="GC201" i="5" s="1"/>
  <c r="GD201" i="5" s="1"/>
  <c r="GA337" i="5"/>
  <c r="FZ483" i="5"/>
  <c r="GC483" i="5" s="1"/>
  <c r="GD483" i="5" s="1"/>
  <c r="GA103" i="5"/>
  <c r="GA236" i="5"/>
  <c r="GA415" i="5"/>
  <c r="DN566" i="5"/>
  <c r="DO568" i="5" s="1"/>
  <c r="GA591" i="5"/>
  <c r="GA752" i="5"/>
  <c r="GA450" i="5"/>
  <c r="DN689" i="5"/>
  <c r="GC689" i="5" s="1"/>
  <c r="GD689" i="5" s="1"/>
  <c r="DN342" i="5"/>
  <c r="DO342" i="5" s="1"/>
  <c r="FZ493" i="5"/>
  <c r="GC493" i="5" s="1"/>
  <c r="GD493" i="5" s="1"/>
  <c r="GA601" i="5"/>
  <c r="DN553" i="5"/>
  <c r="DO555" i="5" s="1"/>
  <c r="GA654" i="5"/>
  <c r="GA113" i="5"/>
  <c r="FZ274" i="5"/>
  <c r="GA314" i="5"/>
  <c r="DN259" i="5"/>
  <c r="GC259" i="5" s="1"/>
  <c r="GD259" i="5" s="1"/>
  <c r="FZ181" i="5"/>
  <c r="DN221" i="5"/>
  <c r="DR221" i="5" s="1"/>
  <c r="EK221" i="5" s="1"/>
  <c r="GA201" i="5"/>
  <c r="FZ342" i="5"/>
  <c r="GA392" i="5"/>
  <c r="DN387" i="5"/>
  <c r="DR387" i="5" s="1"/>
  <c r="EK387" i="5" s="1"/>
  <c r="GA455" i="5"/>
  <c r="DN410" i="5"/>
  <c r="DO410" i="5" s="1"/>
  <c r="FZ450" i="5"/>
  <c r="GC450" i="5" s="1"/>
  <c r="GD450" i="5" s="1"/>
  <c r="DN538" i="5"/>
  <c r="DZ538" i="5" s="1"/>
  <c r="EA538" i="5" s="1"/>
  <c r="AT538" i="5" s="1"/>
  <c r="GA483" i="5"/>
  <c r="DN508" i="5"/>
  <c r="DO508" i="5" s="1"/>
  <c r="GA493" i="5"/>
  <c r="FZ566" i="5"/>
  <c r="FZ601" i="5"/>
  <c r="GC601" i="5" s="1"/>
  <c r="GD601" i="5" s="1"/>
  <c r="DN694" i="5"/>
  <c r="DO696" i="5" s="1"/>
  <c r="GA674" i="5"/>
  <c r="GA709" i="5"/>
  <c r="DN704" i="5"/>
  <c r="DR704" i="5" s="1"/>
  <c r="EK704" i="5" s="1"/>
  <c r="DN777" i="5"/>
  <c r="DO779" i="5" s="1"/>
  <c r="GA717" i="5"/>
  <c r="DN732" i="5"/>
  <c r="DZ732" i="5" s="1"/>
  <c r="EA732" i="5" s="1"/>
  <c r="AT732" i="5" s="1"/>
  <c r="DN103" i="5"/>
  <c r="DZ103" i="5" s="1"/>
  <c r="EA103" i="5" s="1"/>
  <c r="AT103" i="5" s="1"/>
  <c r="DN108" i="5"/>
  <c r="DZ108" i="5" s="1"/>
  <c r="EA108" i="5" s="1"/>
  <c r="AT108" i="5" s="1"/>
  <c r="DN118" i="5"/>
  <c r="DR118" i="5" s="1"/>
  <c r="EK118" i="5" s="1"/>
  <c r="GA259" i="5"/>
  <c r="DN254" i="5"/>
  <c r="DR254" i="5" s="1"/>
  <c r="EK254" i="5" s="1"/>
  <c r="FZ221" i="5"/>
  <c r="DN236" i="5"/>
  <c r="DZ236" i="5" s="1"/>
  <c r="EA236" i="5" s="1"/>
  <c r="AT236" i="5" s="1"/>
  <c r="DN337" i="5"/>
  <c r="DZ337" i="5" s="1"/>
  <c r="EA337" i="5" s="1"/>
  <c r="FZ387" i="5"/>
  <c r="FZ410" i="5"/>
  <c r="DN415" i="5"/>
  <c r="DO417" i="5" s="1"/>
  <c r="FZ538" i="5"/>
  <c r="GA508" i="5"/>
  <c r="DN591" i="5"/>
  <c r="DZ591" i="5" s="1"/>
  <c r="EA591" i="5" s="1"/>
  <c r="AT591" i="5" s="1"/>
  <c r="DN576" i="5"/>
  <c r="DR576" i="5" s="1"/>
  <c r="EK576" i="5" s="1"/>
  <c r="FZ694" i="5"/>
  <c r="FZ704" i="5"/>
  <c r="FZ777" i="5"/>
  <c r="DN752" i="5"/>
  <c r="DZ752" i="5" s="1"/>
  <c r="EA752" i="5" s="1"/>
  <c r="AT752" i="5" s="1"/>
  <c r="FZ732" i="5"/>
  <c r="FZ576" i="5"/>
  <c r="GA722" i="5"/>
  <c r="DN55" i="5"/>
  <c r="GC55" i="5" s="1"/>
  <c r="GD55" i="5" s="1"/>
  <c r="FZ123" i="5"/>
  <c r="FZ128" i="5"/>
  <c r="GA133" i="5"/>
  <c r="DN264" i="5"/>
  <c r="DZ264" i="5" s="1"/>
  <c r="EA264" i="5" s="1"/>
  <c r="AT264" i="5" s="1"/>
  <c r="DN299" i="5"/>
  <c r="DO301" i="5" s="1"/>
  <c r="DN196" i="5"/>
  <c r="DR196" i="5" s="1"/>
  <c r="EK196" i="5" s="1"/>
  <c r="GA186" i="5"/>
  <c r="GA367" i="5"/>
  <c r="DN372" i="5"/>
  <c r="DO374" i="5" s="1"/>
  <c r="GA397" i="5"/>
  <c r="DN332" i="5"/>
  <c r="DZ332" i="5" s="1"/>
  <c r="EA332" i="5" s="1"/>
  <c r="AT332" i="5" s="1"/>
  <c r="FZ475" i="5"/>
  <c r="GA465" i="5"/>
  <c r="FZ513" i="5"/>
  <c r="GA553" i="5"/>
  <c r="GA571" i="5"/>
  <c r="DN45" i="5"/>
  <c r="DO47" i="5" s="1"/>
  <c r="DN50" i="5"/>
  <c r="DR50" i="5" s="1"/>
  <c r="EK50" i="5" s="1"/>
  <c r="GA55" i="5"/>
  <c r="DN138" i="5"/>
  <c r="DO138" i="5" s="1"/>
  <c r="FZ264" i="5"/>
  <c r="DN269" i="5"/>
  <c r="DO269" i="5" s="1"/>
  <c r="DN309" i="5"/>
  <c r="DR309" i="5" s="1"/>
  <c r="EK309" i="5" s="1"/>
  <c r="FZ299" i="5"/>
  <c r="GA196" i="5"/>
  <c r="DN191" i="5"/>
  <c r="DR191" i="5" s="1"/>
  <c r="EK191" i="5" s="1"/>
  <c r="DN176" i="5"/>
  <c r="DZ176" i="5" s="1"/>
  <c r="EA176" i="5" s="1"/>
  <c r="AT176" i="5" s="1"/>
  <c r="FZ372" i="5"/>
  <c r="GA332" i="5"/>
  <c r="DN440" i="5"/>
  <c r="DN445" i="5"/>
  <c r="DO447" i="5" s="1"/>
  <c r="DN518" i="5"/>
  <c r="DO518" i="5" s="1"/>
  <c r="FZ616" i="5"/>
  <c r="DN782" i="5"/>
  <c r="DZ782" i="5" s="1"/>
  <c r="EA782" i="5" s="1"/>
  <c r="AT782" i="5" s="1"/>
  <c r="FZ445" i="5"/>
  <c r="DN498" i="5"/>
  <c r="DZ498" i="5" s="1"/>
  <c r="EA498" i="5" s="1"/>
  <c r="AT498" i="5" s="1"/>
  <c r="DN621" i="5"/>
  <c r="DN659" i="5"/>
  <c r="DO661" i="5" s="1"/>
  <c r="DN709" i="5"/>
  <c r="DZ709" i="5" s="1"/>
  <c r="EA709" i="5" s="1"/>
  <c r="AT709" i="5" s="1"/>
  <c r="DN717" i="5"/>
  <c r="DZ717" i="5" s="1"/>
  <c r="EA717" i="5" s="1"/>
  <c r="AT717" i="5" s="1"/>
  <c r="DN488" i="5"/>
  <c r="DO488" i="5" s="1"/>
  <c r="DN616" i="5"/>
  <c r="DO618" i="5" s="1"/>
  <c r="FZ586" i="5"/>
  <c r="GC586" i="5" s="1"/>
  <c r="GD586" i="5" s="1"/>
  <c r="FZ699" i="5"/>
  <c r="DN649" i="5"/>
  <c r="DZ649" i="5" s="1"/>
  <c r="EA649" i="5" s="1"/>
  <c r="AT649" i="5" s="1"/>
  <c r="FZ684" i="5"/>
  <c r="GC684" i="5" s="1"/>
  <c r="GD684" i="5" s="1"/>
  <c r="FZ747" i="5"/>
  <c r="GA782" i="5"/>
  <c r="FZ611" i="5"/>
  <c r="GA689" i="5"/>
  <c r="GA659" i="5"/>
  <c r="DN722" i="5"/>
  <c r="DO722" i="5" s="1"/>
  <c r="FZ767" i="5"/>
  <c r="DN772" i="5"/>
  <c r="DZ772" i="5" s="1"/>
  <c r="EA772" i="5" s="1"/>
  <c r="AT772" i="5" s="1"/>
  <c r="DN611" i="5"/>
  <c r="DO613" i="5" s="1"/>
  <c r="DN699" i="5"/>
  <c r="DR699" i="5" s="1"/>
  <c r="EK699" i="5" s="1"/>
  <c r="FZ654" i="5"/>
  <c r="GC654" i="5" s="1"/>
  <c r="GD654" i="5" s="1"/>
  <c r="DN747" i="5"/>
  <c r="DO749" i="5" s="1"/>
  <c r="DN767" i="5"/>
  <c r="DR767" i="5" s="1"/>
  <c r="EK767" i="5" s="1"/>
  <c r="GA787" i="5"/>
  <c r="DN742" i="5"/>
  <c r="DO742" i="5" s="1"/>
  <c r="FZ742" i="5"/>
  <c r="DZ737" i="5"/>
  <c r="EA737" i="5" s="1"/>
  <c r="AT737" i="5" s="1"/>
  <c r="DO737" i="5"/>
  <c r="DO739" i="5"/>
  <c r="DR737" i="5"/>
  <c r="EK737" i="5" s="1"/>
  <c r="EK722" i="5"/>
  <c r="EK772" i="5"/>
  <c r="EK782" i="5"/>
  <c r="EK727" i="5"/>
  <c r="EK752" i="5"/>
  <c r="DR757" i="5"/>
  <c r="EK757" i="5" s="1"/>
  <c r="DO759" i="5"/>
  <c r="DZ757" i="5"/>
  <c r="EA757" i="5" s="1"/>
  <c r="AT757" i="5" s="1"/>
  <c r="DO757" i="5"/>
  <c r="DR787" i="5"/>
  <c r="EK787" i="5" s="1"/>
  <c r="DZ787" i="5"/>
  <c r="EA787" i="5" s="1"/>
  <c r="AT787" i="5" s="1"/>
  <c r="DO787" i="5"/>
  <c r="DO789" i="5"/>
  <c r="DO656" i="5"/>
  <c r="DZ654" i="5"/>
  <c r="EA654" i="5" s="1"/>
  <c r="AT654" i="5" s="1"/>
  <c r="DR654" i="5"/>
  <c r="EK654" i="5" s="1"/>
  <c r="DO654" i="5"/>
  <c r="DO664" i="5"/>
  <c r="DR664" i="5"/>
  <c r="EK664" i="5" s="1"/>
  <c r="DO666" i="5"/>
  <c r="DZ664" i="5"/>
  <c r="EA664" i="5" s="1"/>
  <c r="AT664" i="5" s="1"/>
  <c r="DR674" i="5"/>
  <c r="EK674" i="5" s="1"/>
  <c r="DZ674" i="5"/>
  <c r="EA674" i="5" s="1"/>
  <c r="AT674" i="5" s="1"/>
  <c r="DO674" i="5"/>
  <c r="DO676" i="5"/>
  <c r="EK644" i="5"/>
  <c r="DO684" i="5"/>
  <c r="DO686" i="5"/>
  <c r="DR684" i="5"/>
  <c r="EK684" i="5" s="1"/>
  <c r="DZ684" i="5"/>
  <c r="EA684" i="5" s="1"/>
  <c r="AT684" i="5" s="1"/>
  <c r="DO588" i="5"/>
  <c r="DR586" i="5"/>
  <c r="EK586" i="5" s="1"/>
  <c r="DO586" i="5"/>
  <c r="DZ586" i="5"/>
  <c r="EA586" i="5" s="1"/>
  <c r="AT586" i="5" s="1"/>
  <c r="DZ601" i="5"/>
  <c r="EA601" i="5" s="1"/>
  <c r="AT601" i="5" s="1"/>
  <c r="DO603" i="5"/>
  <c r="DR601" i="5"/>
  <c r="EK601" i="5" s="1"/>
  <c r="DO601" i="5"/>
  <c r="DZ626" i="5"/>
  <c r="EA626" i="5" s="1"/>
  <c r="AT626" i="5" s="1"/>
  <c r="DO626" i="5"/>
  <c r="DO628" i="5"/>
  <c r="DR626" i="5"/>
  <c r="EK626" i="5" s="1"/>
  <c r="DR483" i="5"/>
  <c r="EK483" i="5" s="1"/>
  <c r="DZ483" i="5"/>
  <c r="EA483" i="5" s="1"/>
  <c r="AT483" i="5" s="1"/>
  <c r="DO483" i="5"/>
  <c r="DO485" i="5"/>
  <c r="DZ543" i="5"/>
  <c r="EA543" i="5" s="1"/>
  <c r="AT543" i="5" s="1"/>
  <c r="DO543" i="5"/>
  <c r="DR543" i="5"/>
  <c r="DO545" i="5"/>
  <c r="EK543" i="5"/>
  <c r="DZ493" i="5"/>
  <c r="EA493" i="5" s="1"/>
  <c r="AT493" i="5" s="1"/>
  <c r="DR493" i="5"/>
  <c r="EK493" i="5" s="1"/>
  <c r="DO495" i="5"/>
  <c r="DO493" i="5"/>
  <c r="DZ470" i="5"/>
  <c r="EA470" i="5" s="1"/>
  <c r="AT470" i="5" s="1"/>
  <c r="DO470" i="5"/>
  <c r="DO472" i="5"/>
  <c r="DR470" i="5"/>
  <c r="EK470" i="5" s="1"/>
  <c r="DZ465" i="5"/>
  <c r="EA465" i="5" s="1"/>
  <c r="AT465" i="5" s="1"/>
  <c r="DO465" i="5"/>
  <c r="DR465" i="5"/>
  <c r="EK465" i="5" s="1"/>
  <c r="DO467" i="5"/>
  <c r="DO405" i="5"/>
  <c r="DZ405" i="5"/>
  <c r="EA405" i="5" s="1"/>
  <c r="AT405" i="5" s="1"/>
  <c r="DO407" i="5"/>
  <c r="DR405" i="5"/>
  <c r="EK405" i="5" s="1"/>
  <c r="DR455" i="5"/>
  <c r="EK455" i="5" s="1"/>
  <c r="DZ455" i="5"/>
  <c r="EA455" i="5" s="1"/>
  <c r="AT455" i="5" s="1"/>
  <c r="DO455" i="5"/>
  <c r="DO457" i="5"/>
  <c r="DO450" i="5"/>
  <c r="DO452" i="5"/>
  <c r="DZ450" i="5"/>
  <c r="EA450" i="5" s="1"/>
  <c r="AT450" i="5" s="1"/>
  <c r="DR450" i="5"/>
  <c r="EK450" i="5" s="1"/>
  <c r="DO377" i="5"/>
  <c r="DO379" i="5"/>
  <c r="DZ377" i="5"/>
  <c r="EA377" i="5" s="1"/>
  <c r="AT377" i="5" s="1"/>
  <c r="DR377" i="5"/>
  <c r="EK377" i="5" s="1"/>
  <c r="DR397" i="5"/>
  <c r="EK397" i="5" s="1"/>
  <c r="DZ397" i="5"/>
  <c r="EA397" i="5" s="1"/>
  <c r="AT397" i="5" s="1"/>
  <c r="DO397" i="5"/>
  <c r="DO399" i="5"/>
  <c r="DO359" i="5"/>
  <c r="DR357" i="5"/>
  <c r="EK357" i="5" s="1"/>
  <c r="DZ357" i="5"/>
  <c r="EA357" i="5" s="1"/>
  <c r="AT357" i="5" s="1"/>
  <c r="DO357" i="5"/>
  <c r="DZ367" i="5"/>
  <c r="EA367" i="5" s="1"/>
  <c r="AT367" i="5" s="1"/>
  <c r="DO367" i="5"/>
  <c r="DO369" i="5"/>
  <c r="DR367" i="5"/>
  <c r="EK367" i="5" s="1"/>
  <c r="DZ392" i="5"/>
  <c r="EA392" i="5" s="1"/>
  <c r="AT392" i="5" s="1"/>
  <c r="DO392" i="5"/>
  <c r="DO394" i="5"/>
  <c r="DR392" i="5"/>
  <c r="EK392" i="5" s="1"/>
  <c r="DR201" i="5"/>
  <c r="EK201" i="5" s="1"/>
  <c r="DO203" i="5"/>
  <c r="DZ201" i="5"/>
  <c r="EA201" i="5" s="1"/>
  <c r="AT201" i="5" s="1"/>
  <c r="DO201" i="5"/>
  <c r="DZ231" i="5"/>
  <c r="EA231" i="5" s="1"/>
  <c r="AT231" i="5" s="1"/>
  <c r="DO231" i="5"/>
  <c r="DR231" i="5"/>
  <c r="EK231" i="5" s="1"/>
  <c r="DO233" i="5"/>
  <c r="DR304" i="5"/>
  <c r="EK304" i="5" s="1"/>
  <c r="DO306" i="5"/>
  <c r="DZ304" i="5"/>
  <c r="EA304" i="5" s="1"/>
  <c r="AT304" i="5" s="1"/>
  <c r="DO304" i="5"/>
  <c r="DO316" i="5"/>
  <c r="DR314" i="5"/>
  <c r="EK314" i="5" s="1"/>
  <c r="DZ314" i="5"/>
  <c r="EA314" i="5" s="1"/>
  <c r="AT314" i="5" s="1"/>
  <c r="DO314" i="5"/>
  <c r="DR163" i="5"/>
  <c r="EK163" i="5" s="1"/>
  <c r="DZ163" i="5"/>
  <c r="EA163" i="5" s="1"/>
  <c r="AT163" i="5" s="1"/>
  <c r="DO163" i="5"/>
  <c r="DO165" i="5"/>
  <c r="DR148" i="5"/>
  <c r="EK148" i="5" s="1"/>
  <c r="DZ148" i="5"/>
  <c r="EA148" i="5" s="1"/>
  <c r="AT148" i="5" s="1"/>
  <c r="DO148" i="5"/>
  <c r="DO150" i="5"/>
  <c r="DR133" i="5"/>
  <c r="EK133" i="5" s="1"/>
  <c r="DZ133" i="5"/>
  <c r="EA133" i="5" s="1"/>
  <c r="AT133" i="5" s="1"/>
  <c r="DO133" i="5"/>
  <c r="DO135" i="5"/>
  <c r="DR113" i="5"/>
  <c r="EK113" i="5" s="1"/>
  <c r="DZ113" i="5"/>
  <c r="EA113" i="5" s="1"/>
  <c r="AT113" i="5" s="1"/>
  <c r="DO113" i="5"/>
  <c r="DO115" i="5"/>
  <c r="DR98" i="5"/>
  <c r="EK98" i="5" s="1"/>
  <c r="DO98" i="5"/>
  <c r="DZ98" i="5"/>
  <c r="EA98" i="5" s="1"/>
  <c r="AT98" i="5" s="1"/>
  <c r="DO100" i="5"/>
  <c r="DZ80" i="5"/>
  <c r="EA80" i="5" s="1"/>
  <c r="AT80" i="5" s="1"/>
  <c r="DO80" i="5"/>
  <c r="DO82" i="5"/>
  <c r="DR80" i="5"/>
  <c r="EK80" i="5" s="1"/>
  <c r="DR60" i="5"/>
  <c r="EK60" i="5" s="1"/>
  <c r="DO60" i="5"/>
  <c r="DO62" i="5"/>
  <c r="DZ60" i="5"/>
  <c r="EA60" i="5" s="1"/>
  <c r="AT60" i="5" s="1"/>
  <c r="AM82" i="8"/>
  <c r="AK83" i="8" s="1" a="1"/>
  <c r="AK83" i="8" s="1"/>
  <c r="AT40" i="5"/>
  <c r="GC704" i="5" l="1"/>
  <c r="GD704" i="5" s="1"/>
  <c r="GC621" i="5"/>
  <c r="GD621" i="5" s="1"/>
  <c r="GC732" i="5"/>
  <c r="GD732" i="5" s="1"/>
  <c r="GC347" i="5"/>
  <c r="GD347" i="5" s="1"/>
  <c r="GC538" i="5"/>
  <c r="GD538" i="5" s="1"/>
  <c r="GC709" i="5"/>
  <c r="GD709" i="5" s="1"/>
  <c r="GC410" i="5"/>
  <c r="GD410" i="5" s="1"/>
  <c r="GC727" i="5"/>
  <c r="GD727" i="5" s="1"/>
  <c r="GC274" i="5"/>
  <c r="GD274" i="5" s="1"/>
  <c r="DO530" i="5"/>
  <c r="DO352" i="5"/>
  <c r="GC216" i="5"/>
  <c r="GD216" i="5" s="1"/>
  <c r="GC211" i="5"/>
  <c r="GD211" i="5" s="1"/>
  <c r="AT211" i="5" s="1"/>
  <c r="DO186" i="5"/>
  <c r="GC777" i="5"/>
  <c r="GD777" i="5" s="1"/>
  <c r="DR727" i="5"/>
  <c r="DO427" i="5"/>
  <c r="DO125" i="5"/>
  <c r="DO118" i="5"/>
  <c r="DO644" i="5"/>
  <c r="DR123" i="5"/>
  <c r="EK123" i="5" s="1"/>
  <c r="GC294" i="5"/>
  <c r="GD294" i="5" s="1"/>
  <c r="DR55" i="5"/>
  <c r="EK55" i="5" s="1"/>
  <c r="DO123" i="5"/>
  <c r="GC596" i="5"/>
  <c r="GD596" i="5" s="1"/>
  <c r="DZ294" i="5"/>
  <c r="EA294" i="5" s="1"/>
  <c r="AT294" i="5" s="1"/>
  <c r="DO596" i="5"/>
  <c r="DO160" i="5"/>
  <c r="DR65" i="5"/>
  <c r="EK65" i="5" s="1"/>
  <c r="DZ158" i="5"/>
  <c r="EA158" i="5" s="1"/>
  <c r="AT158" i="5" s="1"/>
  <c r="DO249" i="5"/>
  <c r="DZ523" i="5"/>
  <c r="EA523" i="5" s="1"/>
  <c r="AT523" i="5" s="1"/>
  <c r="GC123" i="5"/>
  <c r="GD123" i="5" s="1"/>
  <c r="GC186" i="5"/>
  <c r="GD186" i="5" s="1"/>
  <c r="DZ186" i="5"/>
  <c r="EA186" i="5" s="1"/>
  <c r="AT186" i="5" s="1"/>
  <c r="DZ128" i="5"/>
  <c r="EA128" i="5" s="1"/>
  <c r="AT128" i="5" s="1"/>
  <c r="DO218" i="5"/>
  <c r="DO188" i="5"/>
  <c r="DZ153" i="5"/>
  <c r="EA153" i="5" s="1"/>
  <c r="AT153" i="5" s="1"/>
  <c r="DR211" i="5"/>
  <c r="EK211" i="5" s="1"/>
  <c r="DR347" i="5"/>
  <c r="EK347" i="5" s="1"/>
  <c r="DO432" i="5"/>
  <c r="DO67" i="5"/>
  <c r="DO294" i="5"/>
  <c r="DR249" i="5"/>
  <c r="EK249" i="5" s="1"/>
  <c r="GC425" i="5"/>
  <c r="GD425" i="5" s="1"/>
  <c r="GC65" i="5"/>
  <c r="GD65" i="5" s="1"/>
  <c r="DR138" i="5"/>
  <c r="EK138" i="5" s="1"/>
  <c r="DO158" i="5"/>
  <c r="DO296" i="5"/>
  <c r="DO251" i="5"/>
  <c r="DZ226" i="5"/>
  <c r="EA226" i="5" s="1"/>
  <c r="AT226" i="5" s="1"/>
  <c r="DR425" i="5"/>
  <c r="EK425" i="5" s="1"/>
  <c r="DO523" i="5"/>
  <c r="DO598" i="5"/>
  <c r="DR644" i="5"/>
  <c r="DO65" i="5"/>
  <c r="DZ319" i="5"/>
  <c r="EA319" i="5" s="1"/>
  <c r="AT319" i="5" s="1"/>
  <c r="DO425" i="5"/>
  <c r="DR523" i="5"/>
  <c r="EK523" i="5" s="1"/>
  <c r="DZ596" i="5"/>
  <c r="EA596" i="5" s="1"/>
  <c r="AT596" i="5" s="1"/>
  <c r="DO646" i="5"/>
  <c r="GC138" i="5"/>
  <c r="GD138" i="5" s="1"/>
  <c r="DO266" i="5"/>
  <c r="DR319" i="5"/>
  <c r="EK319" i="5" s="1"/>
  <c r="GC644" i="5"/>
  <c r="GD644" i="5" s="1"/>
  <c r="GC153" i="5"/>
  <c r="GD153" i="5" s="1"/>
  <c r="DO130" i="5"/>
  <c r="DO155" i="5"/>
  <c r="DO213" i="5"/>
  <c r="DO216" i="5"/>
  <c r="DZ347" i="5"/>
  <c r="EA347" i="5" s="1"/>
  <c r="AT347" i="5" s="1"/>
  <c r="DZ430" i="5"/>
  <c r="EA430" i="5" s="1"/>
  <c r="AT430" i="5" s="1"/>
  <c r="DO128" i="5"/>
  <c r="DO153" i="5"/>
  <c r="DO211" i="5"/>
  <c r="DR216" i="5"/>
  <c r="EK216" i="5" s="1"/>
  <c r="DO349" i="5"/>
  <c r="DR430" i="5"/>
  <c r="EK430" i="5" s="1"/>
  <c r="GC440" i="5"/>
  <c r="GD440" i="5" s="1"/>
  <c r="GC128" i="5"/>
  <c r="GD128" i="5" s="1"/>
  <c r="GC158" i="5"/>
  <c r="GD158" i="5" s="1"/>
  <c r="DO72" i="5"/>
  <c r="DZ352" i="5"/>
  <c r="EA352" i="5" s="1"/>
  <c r="AT352" i="5" s="1"/>
  <c r="DR528" i="5"/>
  <c r="EK528" i="5" s="1"/>
  <c r="DR606" i="5"/>
  <c r="EK606" i="5" s="1"/>
  <c r="DO291" i="5"/>
  <c r="DR352" i="5"/>
  <c r="EK352" i="5" s="1"/>
  <c r="DO528" i="5"/>
  <c r="DO764" i="5"/>
  <c r="DR327" i="5"/>
  <c r="EK327" i="5" s="1"/>
  <c r="GC528" i="5"/>
  <c r="GD528" i="5" s="1"/>
  <c r="GC352" i="5"/>
  <c r="GD352" i="5" s="1"/>
  <c r="GC249" i="5"/>
  <c r="GD249" i="5" s="1"/>
  <c r="GC523" i="5"/>
  <c r="GD523" i="5" s="1"/>
  <c r="GC342" i="5"/>
  <c r="GD342" i="5" s="1"/>
  <c r="DO145" i="5"/>
  <c r="DR581" i="5"/>
  <c r="EK581" i="5" s="1"/>
  <c r="GC332" i="5"/>
  <c r="GD332" i="5" s="1"/>
  <c r="DZ669" i="5"/>
  <c r="EA669" i="5" s="1"/>
  <c r="AT669" i="5" s="1"/>
  <c r="GC75" i="5"/>
  <c r="GD75" i="5" s="1"/>
  <c r="DR75" i="5"/>
  <c r="EK75" i="5" s="1"/>
  <c r="GC430" i="5"/>
  <c r="GD430" i="5" s="1"/>
  <c r="DO77" i="5"/>
  <c r="DO284" i="5"/>
  <c r="DO583" i="5"/>
  <c r="DO669" i="5"/>
  <c r="DO75" i="5"/>
  <c r="GC143" i="5"/>
  <c r="GD143" i="5" s="1"/>
  <c r="DR143" i="5"/>
  <c r="EK143" i="5" s="1"/>
  <c r="DR513" i="5"/>
  <c r="EK513" i="5" s="1"/>
  <c r="DO581" i="5"/>
  <c r="GC581" i="5"/>
  <c r="GD581" i="5" s="1"/>
  <c r="GC669" i="5"/>
  <c r="GD669" i="5" s="1"/>
  <c r="DR669" i="5"/>
  <c r="EK669" i="5" s="1"/>
  <c r="DO729" i="5"/>
  <c r="GC445" i="5"/>
  <c r="GD445" i="5" s="1"/>
  <c r="DZ475" i="5"/>
  <c r="EA475" i="5" s="1"/>
  <c r="AT475" i="5" s="1"/>
  <c r="DZ143" i="5"/>
  <c r="EA143" i="5" s="1"/>
  <c r="AT143" i="5" s="1"/>
  <c r="DO727" i="5"/>
  <c r="DO70" i="5"/>
  <c r="DO241" i="5"/>
  <c r="DR571" i="5"/>
  <c r="EK571" i="5" s="1"/>
  <c r="DO679" i="5"/>
  <c r="GC241" i="5"/>
  <c r="GD241" i="5" s="1"/>
  <c r="GC606" i="5"/>
  <c r="GD606" i="5" s="1"/>
  <c r="GC70" i="5"/>
  <c r="GD70" i="5" s="1"/>
  <c r="DZ70" i="5"/>
  <c r="EA70" i="5" s="1"/>
  <c r="AT70" i="5" s="1"/>
  <c r="DZ289" i="5"/>
  <c r="EA289" i="5" s="1"/>
  <c r="AT289" i="5" s="1"/>
  <c r="DO329" i="5"/>
  <c r="GC571" i="5"/>
  <c r="GD571" i="5" s="1"/>
  <c r="DO573" i="5"/>
  <c r="DO608" i="5"/>
  <c r="GC679" i="5"/>
  <c r="GD679" i="5" s="1"/>
  <c r="DZ679" i="5"/>
  <c r="EA679" i="5" s="1"/>
  <c r="AT679" i="5" s="1"/>
  <c r="DO762" i="5"/>
  <c r="GC289" i="5"/>
  <c r="GD289" i="5" s="1"/>
  <c r="DR289" i="5"/>
  <c r="EK289" i="5" s="1"/>
  <c r="DZ279" i="5"/>
  <c r="EA279" i="5" s="1"/>
  <c r="AT279" i="5" s="1"/>
  <c r="DO327" i="5"/>
  <c r="DZ571" i="5"/>
  <c r="EA571" i="5" s="1"/>
  <c r="AT571" i="5" s="1"/>
  <c r="DZ606" i="5"/>
  <c r="EA606" i="5" s="1"/>
  <c r="AT606" i="5" s="1"/>
  <c r="DO681" i="5"/>
  <c r="DZ762" i="5"/>
  <c r="EA762" i="5" s="1"/>
  <c r="AT762" i="5" s="1"/>
  <c r="GC762" i="5"/>
  <c r="GD762" i="5" s="1"/>
  <c r="DZ327" i="5"/>
  <c r="EA327" i="5" s="1"/>
  <c r="AT327" i="5" s="1"/>
  <c r="DO45" i="5"/>
  <c r="DO387" i="5"/>
  <c r="DO540" i="5"/>
  <c r="DO93" i="5"/>
  <c r="DZ382" i="5"/>
  <c r="EA382" i="5" s="1"/>
  <c r="AT382" i="5" s="1"/>
  <c r="DO477" i="5"/>
  <c r="DO515" i="5"/>
  <c r="GC108" i="5"/>
  <c r="GD108" i="5" s="1"/>
  <c r="DR176" i="5"/>
  <c r="EK176" i="5" s="1"/>
  <c r="DO183" i="5"/>
  <c r="DO475" i="5"/>
  <c r="DO513" i="5"/>
  <c r="GC475" i="5"/>
  <c r="GD475" i="5" s="1"/>
  <c r="DO261" i="5"/>
  <c r="DZ206" i="5"/>
  <c r="EA206" i="5" s="1"/>
  <c r="AT206" i="5" s="1"/>
  <c r="GC171" i="5"/>
  <c r="GD171" i="5" s="1"/>
  <c r="GC513" i="5"/>
  <c r="GD513" i="5" s="1"/>
  <c r="DZ93" i="5"/>
  <c r="EA93" i="5" s="1"/>
  <c r="AT93" i="5" s="1"/>
  <c r="DO110" i="5"/>
  <c r="DZ284" i="5"/>
  <c r="EA284" i="5" s="1"/>
  <c r="AT284" i="5" s="1"/>
  <c r="DZ309" i="5"/>
  <c r="EA309" i="5" s="1"/>
  <c r="AT309" i="5" s="1"/>
  <c r="DO181" i="5"/>
  <c r="DR171" i="5"/>
  <c r="EK171" i="5" s="1"/>
  <c r="DZ342" i="5"/>
  <c r="EA342" i="5" s="1"/>
  <c r="AT342" i="5" s="1"/>
  <c r="DR332" i="5"/>
  <c r="EK332" i="5" s="1"/>
  <c r="DZ445" i="5"/>
  <c r="EA445" i="5" s="1"/>
  <c r="AT445" i="5" s="1"/>
  <c r="DO563" i="5"/>
  <c r="DO694" i="5"/>
  <c r="GC93" i="5"/>
  <c r="GD93" i="5" s="1"/>
  <c r="DR93" i="5"/>
  <c r="EK93" i="5" s="1"/>
  <c r="DR108" i="5"/>
  <c r="EK108" i="5" s="1"/>
  <c r="DR284" i="5"/>
  <c r="EK284" i="5" s="1"/>
  <c r="DO309" i="5"/>
  <c r="DO173" i="5"/>
  <c r="DO412" i="5"/>
  <c r="GC548" i="5"/>
  <c r="GD548" i="5" s="1"/>
  <c r="DR611" i="5"/>
  <c r="EK611" i="5" s="1"/>
  <c r="DO777" i="5"/>
  <c r="DR259" i="5"/>
  <c r="EK259" i="5" s="1"/>
  <c r="DO208" i="5"/>
  <c r="DO382" i="5"/>
  <c r="DO422" i="5"/>
  <c r="DO510" i="5"/>
  <c r="DZ548" i="5"/>
  <c r="EA548" i="5" s="1"/>
  <c r="AT548" i="5" s="1"/>
  <c r="DO591" i="5"/>
  <c r="DO108" i="5"/>
  <c r="DO259" i="5"/>
  <c r="DO311" i="5"/>
  <c r="DO178" i="5"/>
  <c r="DZ181" i="5"/>
  <c r="EA181" i="5" s="1"/>
  <c r="AT181" i="5" s="1"/>
  <c r="DO206" i="5"/>
  <c r="DO171" i="5"/>
  <c r="GC382" i="5"/>
  <c r="GD382" i="5" s="1"/>
  <c r="DR382" i="5"/>
  <c r="EK382" i="5" s="1"/>
  <c r="DO344" i="5"/>
  <c r="DO334" i="5"/>
  <c r="GC176" i="5"/>
  <c r="GD176" i="5" s="1"/>
  <c r="DR445" i="5"/>
  <c r="EK445" i="5" s="1"/>
  <c r="DR420" i="5"/>
  <c r="EK420" i="5" s="1"/>
  <c r="DZ410" i="5"/>
  <c r="EA410" i="5" s="1"/>
  <c r="AT410" i="5" s="1"/>
  <c r="DZ508" i="5"/>
  <c r="EA508" i="5" s="1"/>
  <c r="AT508" i="5" s="1"/>
  <c r="DR548" i="5"/>
  <c r="EK548" i="5" s="1"/>
  <c r="GC508" i="5"/>
  <c r="GD508" i="5" s="1"/>
  <c r="DR591" i="5"/>
  <c r="EK591" i="5" s="1"/>
  <c r="DO561" i="5"/>
  <c r="DZ694" i="5"/>
  <c r="EA694" i="5" s="1"/>
  <c r="AT694" i="5" s="1"/>
  <c r="DZ777" i="5"/>
  <c r="EA777" i="5" s="1"/>
  <c r="AT777" i="5" s="1"/>
  <c r="DZ259" i="5"/>
  <c r="EA259" i="5" s="1"/>
  <c r="AT259" i="5" s="1"/>
  <c r="GC309" i="5"/>
  <c r="GD309" i="5" s="1"/>
  <c r="DO176" i="5"/>
  <c r="GC206" i="5"/>
  <c r="GD206" i="5" s="1"/>
  <c r="DR342" i="5"/>
  <c r="EK342" i="5" s="1"/>
  <c r="DO332" i="5"/>
  <c r="DO445" i="5"/>
  <c r="DZ420" i="5"/>
  <c r="EA420" i="5" s="1"/>
  <c r="AT420" i="5" s="1"/>
  <c r="DR410" i="5"/>
  <c r="EK410" i="5" s="1"/>
  <c r="DR508" i="5"/>
  <c r="EK508" i="5" s="1"/>
  <c r="DO550" i="5"/>
  <c r="DO593" i="5"/>
  <c r="GC561" i="5"/>
  <c r="GD561" i="5" s="1"/>
  <c r="DZ561" i="5"/>
  <c r="EA561" i="5" s="1"/>
  <c r="AT561" i="5" s="1"/>
  <c r="DR709" i="5"/>
  <c r="EK709" i="5" s="1"/>
  <c r="GC694" i="5"/>
  <c r="GD694" i="5" s="1"/>
  <c r="DO420" i="5"/>
  <c r="GC591" i="5"/>
  <c r="GD591" i="5" s="1"/>
  <c r="DR694" i="5"/>
  <c r="EK694" i="5" s="1"/>
  <c r="DR777" i="5"/>
  <c r="EK777" i="5" s="1"/>
  <c r="GC181" i="5"/>
  <c r="GD181" i="5" s="1"/>
  <c r="GC284" i="5"/>
  <c r="GD284" i="5" s="1"/>
  <c r="DZ55" i="5"/>
  <c r="EA55" i="5" s="1"/>
  <c r="AT55" i="5" s="1"/>
  <c r="DO264" i="5"/>
  <c r="DR236" i="5"/>
  <c r="EK236" i="5" s="1"/>
  <c r="GC226" i="5"/>
  <c r="GD226" i="5" s="1"/>
  <c r="DO226" i="5"/>
  <c r="DO57" i="5"/>
  <c r="DO120" i="5"/>
  <c r="DZ138" i="5"/>
  <c r="EA138" i="5" s="1"/>
  <c r="AT138" i="5" s="1"/>
  <c r="DR264" i="5"/>
  <c r="EK264" i="5" s="1"/>
  <c r="DO321" i="5"/>
  <c r="GC236" i="5"/>
  <c r="GD236" i="5" s="1"/>
  <c r="DO236" i="5"/>
  <c r="DR226" i="5"/>
  <c r="EK226" i="5" s="1"/>
  <c r="DR435" i="5"/>
  <c r="EK435" i="5" s="1"/>
  <c r="DO520" i="5"/>
  <c r="DO55" i="5"/>
  <c r="GC118" i="5"/>
  <c r="GD118" i="5" s="1"/>
  <c r="DZ118" i="5"/>
  <c r="EA118" i="5" s="1"/>
  <c r="AT118" i="5" s="1"/>
  <c r="DO140" i="5"/>
  <c r="GC319" i="5"/>
  <c r="GD319" i="5" s="1"/>
  <c r="DR362" i="5"/>
  <c r="EK362" i="5" s="1"/>
  <c r="DR415" i="5"/>
  <c r="EK415" i="5" s="1"/>
  <c r="DZ631" i="5"/>
  <c r="EA631" i="5" s="1"/>
  <c r="AT631" i="5" s="1"/>
  <c r="DO85" i="5"/>
  <c r="DO505" i="5"/>
  <c r="GC85" i="5"/>
  <c r="GD85" i="5" s="1"/>
  <c r="DZ85" i="5"/>
  <c r="EA85" i="5" s="1"/>
  <c r="AT85" i="5" s="1"/>
  <c r="DO281" i="5"/>
  <c r="DZ241" i="5"/>
  <c r="EA241" i="5" s="1"/>
  <c r="AT241" i="5" s="1"/>
  <c r="DO503" i="5"/>
  <c r="DR85" i="5"/>
  <c r="EK85" i="5" s="1"/>
  <c r="DO279" i="5"/>
  <c r="DR241" i="5"/>
  <c r="EK241" i="5" s="1"/>
  <c r="GC503" i="5"/>
  <c r="GD503" i="5" s="1"/>
  <c r="DZ503" i="5"/>
  <c r="EA503" i="5" s="1"/>
  <c r="AT503" i="5" s="1"/>
  <c r="GC279" i="5"/>
  <c r="GD279" i="5" s="1"/>
  <c r="DR639" i="5"/>
  <c r="EK639" i="5" s="1"/>
  <c r="DO223" i="5"/>
  <c r="DR337" i="5"/>
  <c r="EK337" i="5" s="1"/>
  <c r="DO621" i="5"/>
  <c r="DO732" i="5"/>
  <c r="DO299" i="5"/>
  <c r="DO276" i="5"/>
  <c r="DO372" i="5"/>
  <c r="GC488" i="5"/>
  <c r="GD488" i="5" s="1"/>
  <c r="DZ488" i="5"/>
  <c r="EA488" i="5" s="1"/>
  <c r="AT488" i="5" s="1"/>
  <c r="DR45" i="5"/>
  <c r="EK45" i="5" s="1"/>
  <c r="DR460" i="5"/>
  <c r="EK460" i="5" s="1"/>
  <c r="GC221" i="5"/>
  <c r="GD221" i="5" s="1"/>
  <c r="GC264" i="5"/>
  <c r="GD264" i="5" s="1"/>
  <c r="DZ299" i="5"/>
  <c r="EA299" i="5" s="1"/>
  <c r="AT299" i="5" s="1"/>
  <c r="DZ274" i="5"/>
  <c r="EA274" i="5" s="1"/>
  <c r="AT274" i="5" s="1"/>
  <c r="DZ221" i="5"/>
  <c r="EA221" i="5" s="1"/>
  <c r="AT221" i="5" s="1"/>
  <c r="DZ387" i="5"/>
  <c r="EA387" i="5" s="1"/>
  <c r="AT387" i="5" s="1"/>
  <c r="DR372" i="5"/>
  <c r="EK372" i="5" s="1"/>
  <c r="DO339" i="5"/>
  <c r="DO460" i="5"/>
  <c r="DR538" i="5"/>
  <c r="EK538" i="5" s="1"/>
  <c r="DR488" i="5"/>
  <c r="EK488" i="5" s="1"/>
  <c r="DR621" i="5"/>
  <c r="EK621" i="5" s="1"/>
  <c r="DO641" i="5"/>
  <c r="DR732" i="5"/>
  <c r="EK732" i="5" s="1"/>
  <c r="GC299" i="5"/>
  <c r="GD299" i="5" s="1"/>
  <c r="GC533" i="5"/>
  <c r="GD533" i="5" s="1"/>
  <c r="GC45" i="5"/>
  <c r="GD45" i="5" s="1"/>
  <c r="DZ45" i="5"/>
  <c r="EA45" i="5" s="1"/>
  <c r="AT45" i="5" s="1"/>
  <c r="DR299" i="5"/>
  <c r="EK299" i="5" s="1"/>
  <c r="DO274" i="5"/>
  <c r="DO221" i="5"/>
  <c r="DO389" i="5"/>
  <c r="DZ372" i="5"/>
  <c r="EA372" i="5" s="1"/>
  <c r="AT372" i="5" s="1"/>
  <c r="DO337" i="5"/>
  <c r="GC460" i="5"/>
  <c r="GD460" i="5" s="1"/>
  <c r="DZ460" i="5"/>
  <c r="EA460" i="5" s="1"/>
  <c r="AT460" i="5" s="1"/>
  <c r="DO538" i="5"/>
  <c r="DO490" i="5"/>
  <c r="DO623" i="5"/>
  <c r="GC639" i="5"/>
  <c r="GD639" i="5" s="1"/>
  <c r="DO639" i="5"/>
  <c r="GC337" i="5"/>
  <c r="GD337" i="5" s="1"/>
  <c r="AT337" i="5" s="1"/>
  <c r="DZ621" i="5"/>
  <c r="EA621" i="5" s="1"/>
  <c r="AT621" i="5" s="1"/>
  <c r="DZ362" i="5"/>
  <c r="EA362" i="5" s="1"/>
  <c r="AT362" i="5" s="1"/>
  <c r="DO437" i="5"/>
  <c r="DR533" i="5"/>
  <c r="EK533" i="5" s="1"/>
  <c r="DR631" i="5"/>
  <c r="EK631" i="5" s="1"/>
  <c r="DO362" i="5"/>
  <c r="DZ435" i="5"/>
  <c r="EA435" i="5" s="1"/>
  <c r="AT435" i="5" s="1"/>
  <c r="DO535" i="5"/>
  <c r="DO633" i="5"/>
  <c r="GC631" i="5"/>
  <c r="GD631" i="5" s="1"/>
  <c r="DO238" i="5"/>
  <c r="DO364" i="5"/>
  <c r="DO435" i="5"/>
  <c r="DO533" i="5"/>
  <c r="DO576" i="5"/>
  <c r="DR649" i="5"/>
  <c r="EK649" i="5" s="1"/>
  <c r="DO734" i="5"/>
  <c r="GC387" i="5"/>
  <c r="GD387" i="5" s="1"/>
  <c r="DO498" i="5"/>
  <c r="DZ742" i="5"/>
  <c r="EA742" i="5" s="1"/>
  <c r="AT742" i="5" s="1"/>
  <c r="DO50" i="5"/>
  <c r="DR742" i="5"/>
  <c r="EK742" i="5" s="1"/>
  <c r="GC372" i="5"/>
  <c r="GD372" i="5" s="1"/>
  <c r="GC103" i="5"/>
  <c r="GD103" i="5" s="1"/>
  <c r="DO651" i="5"/>
  <c r="DO769" i="5"/>
  <c r="DO105" i="5"/>
  <c r="DZ191" i="5"/>
  <c r="EA191" i="5" s="1"/>
  <c r="DR440" i="5"/>
  <c r="EK440" i="5" s="1"/>
  <c r="DZ689" i="5"/>
  <c r="EA689" i="5" s="1"/>
  <c r="AT689" i="5" s="1"/>
  <c r="DO52" i="5"/>
  <c r="DR103" i="5"/>
  <c r="EK103" i="5" s="1"/>
  <c r="DO256" i="5"/>
  <c r="DZ269" i="5"/>
  <c r="EA269" i="5" s="1"/>
  <c r="AT269" i="5" s="1"/>
  <c r="GC196" i="5"/>
  <c r="GD196" i="5" s="1"/>
  <c r="DO566" i="5"/>
  <c r="DO706" i="5"/>
  <c r="DO196" i="5"/>
  <c r="DO553" i="5"/>
  <c r="DR659" i="5"/>
  <c r="EK659" i="5" s="1"/>
  <c r="DO103" i="5"/>
  <c r="DO254" i="5"/>
  <c r="DR269" i="5"/>
  <c r="EK269" i="5" s="1"/>
  <c r="DO193" i="5"/>
  <c r="DO198" i="5"/>
  <c r="DO442" i="5"/>
  <c r="DZ553" i="5"/>
  <c r="EA553" i="5" s="1"/>
  <c r="AT553" i="5" s="1"/>
  <c r="DZ566" i="5"/>
  <c r="EA566" i="5" s="1"/>
  <c r="AT566" i="5" s="1"/>
  <c r="DO704" i="5"/>
  <c r="DR689" i="5"/>
  <c r="EK689" i="5" s="1"/>
  <c r="DZ50" i="5"/>
  <c r="EA50" i="5" s="1"/>
  <c r="AT50" i="5" s="1"/>
  <c r="GC50" i="5"/>
  <c r="GD50" i="5" s="1"/>
  <c r="GC254" i="5"/>
  <c r="GD254" i="5" s="1"/>
  <c r="DZ254" i="5"/>
  <c r="EA254" i="5" s="1"/>
  <c r="AT254" i="5" s="1"/>
  <c r="GC269" i="5"/>
  <c r="GD269" i="5" s="1"/>
  <c r="DO271" i="5"/>
  <c r="DO191" i="5"/>
  <c r="DZ196" i="5"/>
  <c r="EA196" i="5" s="1"/>
  <c r="AT196" i="5" s="1"/>
  <c r="DO440" i="5"/>
  <c r="DR553" i="5"/>
  <c r="EK553" i="5" s="1"/>
  <c r="GC566" i="5"/>
  <c r="GD566" i="5" s="1"/>
  <c r="DR566" i="5"/>
  <c r="EK566" i="5" s="1"/>
  <c r="GC616" i="5"/>
  <c r="GD616" i="5" s="1"/>
  <c r="DZ704" i="5"/>
  <c r="EA704" i="5" s="1"/>
  <c r="AT704" i="5" s="1"/>
  <c r="DO691" i="5"/>
  <c r="GC553" i="5"/>
  <c r="GD553" i="5" s="1"/>
  <c r="DR782" i="5"/>
  <c r="GC191" i="5"/>
  <c r="GD191" i="5" s="1"/>
  <c r="DZ440" i="5"/>
  <c r="EA440" i="5" s="1"/>
  <c r="AT440" i="5" s="1"/>
  <c r="DZ659" i="5"/>
  <c r="EA659" i="5" s="1"/>
  <c r="AT659" i="5" s="1"/>
  <c r="DO689" i="5"/>
  <c r="DO782" i="5"/>
  <c r="GC659" i="5"/>
  <c r="GD659" i="5" s="1"/>
  <c r="DR616" i="5"/>
  <c r="EK616" i="5" s="1"/>
  <c r="DO659" i="5"/>
  <c r="DO784" i="5"/>
  <c r="DR772" i="5"/>
  <c r="GC782" i="5"/>
  <c r="GD782" i="5" s="1"/>
  <c r="DO752" i="5"/>
  <c r="DO415" i="5"/>
  <c r="DR498" i="5"/>
  <c r="EK498" i="5" s="1"/>
  <c r="DZ518" i="5"/>
  <c r="EA518" i="5" s="1"/>
  <c r="AT518" i="5" s="1"/>
  <c r="GC576" i="5"/>
  <c r="GD576" i="5" s="1"/>
  <c r="DZ576" i="5"/>
  <c r="EA576" i="5" s="1"/>
  <c r="AT576" i="5" s="1"/>
  <c r="DO699" i="5"/>
  <c r="DR752" i="5"/>
  <c r="DR717" i="5"/>
  <c r="EK717" i="5" s="1"/>
  <c r="DZ415" i="5"/>
  <c r="EA415" i="5" s="1"/>
  <c r="GC498" i="5"/>
  <c r="GD498" i="5" s="1"/>
  <c r="DO500" i="5"/>
  <c r="GC518" i="5"/>
  <c r="GD518" i="5" s="1"/>
  <c r="DR518" i="5"/>
  <c r="EK518" i="5" s="1"/>
  <c r="DO578" i="5"/>
  <c r="GC415" i="5"/>
  <c r="GD415" i="5" s="1"/>
  <c r="GC752" i="5"/>
  <c r="GD752" i="5" s="1"/>
  <c r="DO754" i="5"/>
  <c r="GC717" i="5"/>
  <c r="GD717" i="5" s="1"/>
  <c r="DO717" i="5"/>
  <c r="DZ722" i="5"/>
  <c r="EA722" i="5" s="1"/>
  <c r="AT722" i="5" s="1"/>
  <c r="DO719" i="5"/>
  <c r="DO616" i="5"/>
  <c r="GC772" i="5"/>
  <c r="GD772" i="5" s="1"/>
  <c r="DO747" i="5"/>
  <c r="DZ616" i="5"/>
  <c r="EA616" i="5" s="1"/>
  <c r="AT616" i="5" s="1"/>
  <c r="DO772" i="5"/>
  <c r="GC611" i="5"/>
  <c r="GD611" i="5" s="1"/>
  <c r="DZ611" i="5"/>
  <c r="EA611" i="5" s="1"/>
  <c r="AT611" i="5" s="1"/>
  <c r="DO711" i="5"/>
  <c r="DZ767" i="5"/>
  <c r="EA767" i="5" s="1"/>
  <c r="AT767" i="5" s="1"/>
  <c r="DO611" i="5"/>
  <c r="DO709" i="5"/>
  <c r="GC699" i="5"/>
  <c r="GD699" i="5" s="1"/>
  <c r="GC767" i="5"/>
  <c r="GD767" i="5" s="1"/>
  <c r="DZ699" i="5"/>
  <c r="EA699" i="5" s="1"/>
  <c r="AT699" i="5" s="1"/>
  <c r="DR722" i="5"/>
  <c r="DO701" i="5"/>
  <c r="DO724" i="5"/>
  <c r="DO767" i="5"/>
  <c r="DZ747" i="5"/>
  <c r="EA747" i="5" s="1"/>
  <c r="AT747" i="5" s="1"/>
  <c r="GC722" i="5"/>
  <c r="GD722" i="5" s="1"/>
  <c r="GC742" i="5"/>
  <c r="GD742" i="5" s="1"/>
  <c r="DO649" i="5"/>
  <c r="GC747" i="5"/>
  <c r="GD747" i="5" s="1"/>
  <c r="DO744" i="5"/>
  <c r="DR747" i="5"/>
  <c r="EK747" i="5" s="1"/>
  <c r="DO774" i="5"/>
  <c r="GC649" i="5"/>
  <c r="GD649" i="5" s="1"/>
  <c r="BP899" i="5"/>
  <c r="BK882" i="5"/>
  <c r="F57" i="10" s="1"/>
  <c r="BK896" i="5"/>
  <c r="BH889" i="5"/>
  <c r="C64" i="10" s="1"/>
  <c r="BW894" i="5"/>
  <c r="R69" i="10" s="1"/>
  <c r="BR888" i="5"/>
  <c r="M63" i="10" s="1"/>
  <c r="CD886" i="5"/>
  <c r="Y61" i="10" s="1"/>
  <c r="BP900" i="5"/>
  <c r="BR892" i="5"/>
  <c r="M67" i="10" s="1"/>
  <c r="CD877" i="5"/>
  <c r="Y52" i="10" s="1"/>
  <c r="BL883" i="5"/>
  <c r="G58" i="10" s="1"/>
  <c r="BI883" i="5"/>
  <c r="D58" i="10" s="1"/>
  <c r="BL878" i="5"/>
  <c r="G53" i="10" s="1"/>
  <c r="BP898" i="5"/>
  <c r="BH893" i="5"/>
  <c r="C68" i="10" s="1"/>
  <c r="BR880" i="5"/>
  <c r="M55" i="10" s="1"/>
  <c r="BP881" i="5"/>
  <c r="K56" i="10" s="1"/>
  <c r="BK878" i="5"/>
  <c r="F53" i="10" s="1"/>
  <c r="BP877" i="5"/>
  <c r="K52" i="10" s="1"/>
  <c r="BR890" i="5"/>
  <c r="M65" i="10" s="1"/>
  <c r="BK885" i="5"/>
  <c r="F60" i="10" s="1"/>
  <c r="BK879" i="5"/>
  <c r="F54" i="10" s="1"/>
  <c r="BR879" i="5"/>
  <c r="M54" i="10" s="1"/>
  <c r="BV898" i="5"/>
  <c r="CC883" i="5"/>
  <c r="X58" i="10" s="1"/>
  <c r="BH901" i="5"/>
  <c r="C88" i="10" s="1"/>
  <c r="BR894" i="5"/>
  <c r="M69" i="10" s="1"/>
  <c r="CD896" i="5"/>
  <c r="BR878" i="5"/>
  <c r="M53" i="10" s="1"/>
  <c r="BH895" i="5"/>
  <c r="C70" i="10" s="1"/>
  <c r="CC877" i="5"/>
  <c r="X52" i="10" s="1"/>
  <c r="BV895" i="5"/>
  <c r="Q70" i="10" s="1"/>
  <c r="BR901" i="5"/>
  <c r="BW885" i="5"/>
  <c r="R60" i="10" s="1"/>
  <c r="BX894" i="5"/>
  <c r="S69" i="10" s="1"/>
  <c r="CD885" i="5"/>
  <c r="Y60" i="10" s="1"/>
  <c r="BP891" i="5"/>
  <c r="K66" i="10" s="1"/>
  <c r="BH899" i="5"/>
  <c r="C86" i="10" s="1"/>
  <c r="BY880" i="5"/>
  <c r="T55" i="10" s="1"/>
  <c r="BL885" i="5"/>
  <c r="G60" i="10" s="1"/>
  <c r="BI897" i="5"/>
  <c r="BW897" i="5"/>
  <c r="BY894" i="5"/>
  <c r="T69" i="10" s="1"/>
  <c r="BR882" i="5"/>
  <c r="M57" i="10" s="1"/>
  <c r="BI894" i="5"/>
  <c r="D69" i="10" s="1"/>
  <c r="CC887" i="5"/>
  <c r="BK899" i="5"/>
  <c r="BL888" i="5"/>
  <c r="G63" i="10" s="1"/>
  <c r="BK898" i="5"/>
  <c r="BY899" i="5"/>
  <c r="CC888" i="5"/>
  <c r="X63" i="10" s="1"/>
  <c r="CD898" i="5"/>
  <c r="BL889" i="5"/>
  <c r="G64" i="10" s="1"/>
  <c r="CC885" i="5"/>
  <c r="X60" i="10" s="1"/>
  <c r="BV891" i="5"/>
  <c r="Q66" i="10" s="1"/>
  <c r="BL886" i="5"/>
  <c r="G61" i="10" s="1"/>
  <c r="BH881" i="5"/>
  <c r="C56" i="10" s="1"/>
  <c r="BI879" i="5"/>
  <c r="D54" i="10" s="1"/>
  <c r="BI880" i="5"/>
  <c r="D55" i="10" s="1"/>
  <c r="CC878" i="5"/>
  <c r="X53" i="10" s="1"/>
  <c r="CD897" i="5"/>
  <c r="CD882" i="5"/>
  <c r="Y57" i="10" s="1"/>
  <c r="BY884" i="5"/>
  <c r="T59" i="10" s="1"/>
  <c r="BP892" i="5"/>
  <c r="K67" i="10" s="1"/>
  <c r="BP888" i="5"/>
  <c r="K63" i="10" s="1"/>
  <c r="BV885" i="5"/>
  <c r="Q60" i="10" s="1"/>
  <c r="BK888" i="5"/>
  <c r="F63" i="10" s="1"/>
  <c r="BK892" i="5"/>
  <c r="F67" i="10" s="1"/>
  <c r="BV900" i="5"/>
  <c r="BY893" i="5"/>
  <c r="T68" i="10" s="1"/>
  <c r="BV896" i="5"/>
  <c r="CC880" i="5"/>
  <c r="X55" i="10" s="1"/>
  <c r="BY900" i="5"/>
  <c r="BL900" i="5"/>
  <c r="BI900" i="5"/>
  <c r="BI899" i="5"/>
  <c r="BX891" i="5"/>
  <c r="S66" i="10" s="1"/>
  <c r="BY898" i="5"/>
  <c r="BW893" i="5"/>
  <c r="CC900" i="5"/>
  <c r="BY891" i="5"/>
  <c r="T66" i="10" s="1"/>
  <c r="CD889" i="5"/>
  <c r="Y64" i="10" s="1"/>
  <c r="BL890" i="5"/>
  <c r="G65" i="10" s="1"/>
  <c r="BH894" i="5"/>
  <c r="C69" i="10" s="1"/>
  <c r="BV887" i="5"/>
  <c r="Q62" i="10" s="1"/>
  <c r="BP884" i="5"/>
  <c r="K59" i="10" s="1"/>
  <c r="CD881" i="5"/>
  <c r="Y56" i="10" s="1"/>
  <c r="BY895" i="5"/>
  <c r="T70" i="10" s="1"/>
  <c r="BV899" i="5"/>
  <c r="BP896" i="5"/>
  <c r="CC884" i="5"/>
  <c r="X59" i="10" s="1"/>
  <c r="BI888" i="5"/>
  <c r="D63" i="10" s="1"/>
  <c r="BP894" i="5"/>
  <c r="K69" i="10" s="1"/>
  <c r="CC886" i="5"/>
  <c r="X61" i="10" s="1"/>
  <c r="BX897" i="5"/>
  <c r="BR885" i="5"/>
  <c r="M60" i="10" s="1"/>
  <c r="CC895" i="5"/>
  <c r="X70" i="10" s="1"/>
  <c r="BY887" i="5"/>
  <c r="T62" i="10" s="1"/>
  <c r="BW900" i="5"/>
  <c r="BR897" i="5"/>
  <c r="BL894" i="5"/>
  <c r="G69" i="10" s="1"/>
  <c r="BK877" i="5"/>
  <c r="F52" i="10" s="1"/>
  <c r="BI891" i="5"/>
  <c r="D66" i="10" s="1"/>
  <c r="BR896" i="5"/>
  <c r="BV893" i="5"/>
  <c r="Q68" i="10" s="1"/>
  <c r="BI895" i="5"/>
  <c r="D70" i="10" s="1"/>
  <c r="BH898" i="5"/>
  <c r="C85" i="10" s="1"/>
  <c r="BX895" i="5"/>
  <c r="S70" i="10" s="1"/>
  <c r="BH886" i="5"/>
  <c r="C61" i="10" s="1"/>
  <c r="BL895" i="5"/>
  <c r="G70" i="10" s="1"/>
  <c r="CD900" i="5"/>
  <c r="CC899" i="5"/>
  <c r="BI878" i="5"/>
  <c r="D53" i="10" s="1"/>
  <c r="BY883" i="5"/>
  <c r="T58" i="10" s="1"/>
  <c r="BR893" i="5"/>
  <c r="M68" i="10" s="1"/>
  <c r="BY879" i="5"/>
  <c r="T54" i="10" s="1"/>
  <c r="BP880" i="5"/>
  <c r="K55" i="10" s="1"/>
  <c r="BK897" i="5"/>
  <c r="CD895" i="5"/>
  <c r="Y70" i="10" s="1"/>
  <c r="BY890" i="5"/>
  <c r="T65" i="10" s="1"/>
  <c r="BV894" i="5"/>
  <c r="Q69" i="10" s="1"/>
  <c r="BL879" i="5"/>
  <c r="G54" i="10" s="1"/>
  <c r="CC898" i="5"/>
  <c r="BX893" i="5"/>
  <c r="BR881" i="5"/>
  <c r="M56" i="10" s="1"/>
  <c r="BK901" i="5"/>
  <c r="BH900" i="5"/>
  <c r="C87" i="10" s="1"/>
  <c r="BK895" i="5"/>
  <c r="F70" i="10" s="1"/>
  <c r="BL877" i="5"/>
  <c r="G52" i="10" s="1"/>
  <c r="BP901" i="5"/>
  <c r="BL897" i="5"/>
  <c r="BL901" i="5"/>
  <c r="BR884" i="5"/>
  <c r="M59" i="10" s="1"/>
  <c r="CC891" i="5"/>
  <c r="X66" i="10" s="1"/>
  <c r="BK900" i="5"/>
  <c r="BH887" i="5"/>
  <c r="C62" i="10" s="1"/>
  <c r="CC879" i="5"/>
  <c r="X54" i="10" s="1"/>
  <c r="BW896" i="5"/>
  <c r="CD888" i="5"/>
  <c r="Y63" i="10" s="1"/>
  <c r="BX901" i="5"/>
  <c r="CD893" i="5"/>
  <c r="Y68" i="10" s="1"/>
  <c r="BP878" i="5"/>
  <c r="K53" i="10" s="1"/>
  <c r="BI892" i="5"/>
  <c r="D67" i="10" s="1"/>
  <c r="BL880" i="5"/>
  <c r="G55" i="10" s="1"/>
  <c r="BK884" i="5"/>
  <c r="F59" i="10" s="1"/>
  <c r="BK887" i="5"/>
  <c r="F62" i="10" s="1"/>
  <c r="BR900" i="5"/>
  <c r="BP883" i="5"/>
  <c r="K58" i="10" s="1"/>
  <c r="BL896" i="5"/>
  <c r="BI896" i="5"/>
  <c r="BL891" i="5"/>
  <c r="G66" i="10" s="1"/>
  <c r="CC894" i="5"/>
  <c r="X69" i="10" s="1"/>
  <c r="BX889" i="5"/>
  <c r="S64" i="10" s="1"/>
  <c r="BW895" i="5"/>
  <c r="R70" i="10" s="1"/>
  <c r="BL887" i="5"/>
  <c r="G62" i="10" s="1"/>
  <c r="CC890" i="5"/>
  <c r="X65" i="10" s="1"/>
  <c r="BX885" i="5"/>
  <c r="S60" i="10" s="1"/>
  <c r="BR889" i="5"/>
  <c r="M64" i="10" s="1"/>
  <c r="BL881" i="5"/>
  <c r="G56" i="10" s="1"/>
  <c r="BK881" i="5"/>
  <c r="F56" i="10" s="1"/>
  <c r="BR887" i="5"/>
  <c r="M62" i="10" s="1"/>
  <c r="CD879" i="5"/>
  <c r="Y54" i="10" s="1"/>
  <c r="CC901" i="5"/>
  <c r="BW887" i="5"/>
  <c r="R62" i="10" s="1"/>
  <c r="BP890" i="5"/>
  <c r="K65" i="10" s="1"/>
  <c r="CC882" i="5"/>
  <c r="X57" i="10" s="1"/>
  <c r="BY877" i="5"/>
  <c r="T52" i="10" s="1"/>
  <c r="BW899" i="5"/>
  <c r="BK894" i="5"/>
  <c r="F69" i="10" s="1"/>
  <c r="BP879" i="5"/>
  <c r="K54" i="10" s="1"/>
  <c r="CD884" i="5"/>
  <c r="Y59" i="10" s="1"/>
  <c r="BI884" i="5"/>
  <c r="D59" i="10" s="1"/>
  <c r="BL899" i="5"/>
  <c r="BH890" i="5"/>
  <c r="C65" i="10" s="1"/>
  <c r="BH885" i="5"/>
  <c r="C60" i="10" s="1"/>
  <c r="CD899" i="5"/>
  <c r="BP893" i="5"/>
  <c r="K68" i="10" s="1"/>
  <c r="BX896" i="5"/>
  <c r="CD891" i="5"/>
  <c r="Y66" i="10" s="1"/>
  <c r="BI889" i="5"/>
  <c r="D64" i="10" s="1"/>
  <c r="BI886" i="5"/>
  <c r="D61" i="10" s="1"/>
  <c r="BR899" i="5"/>
  <c r="BY886" i="5"/>
  <c r="T61" i="10" s="1"/>
  <c r="BY901" i="5"/>
  <c r="BY896" i="5"/>
  <c r="BK883" i="5"/>
  <c r="F58" i="10" s="1"/>
  <c r="BH891" i="5"/>
  <c r="C66" i="10" s="1"/>
  <c r="BI893" i="5"/>
  <c r="D68" i="10" s="1"/>
  <c r="BI901" i="5"/>
  <c r="BI877" i="5"/>
  <c r="D52" i="10" s="1"/>
  <c r="BL884" i="5"/>
  <c r="G59" i="10" s="1"/>
  <c r="BK890" i="5"/>
  <c r="F65" i="10" s="1"/>
  <c r="BL893" i="5"/>
  <c r="G68" i="10" s="1"/>
  <c r="BY892" i="5"/>
  <c r="T67" i="10" s="1"/>
  <c r="BK889" i="5"/>
  <c r="F64" i="10" s="1"/>
  <c r="BP886" i="5"/>
  <c r="K61" i="10" s="1"/>
  <c r="CD887" i="5"/>
  <c r="Y62" i="10" s="1"/>
  <c r="BY882" i="5"/>
  <c r="T57" i="10" s="1"/>
  <c r="BY897" i="5"/>
  <c r="BP882" i="5"/>
  <c r="K57" i="10" s="1"/>
  <c r="CD883" i="5"/>
  <c r="Y58" i="10" s="1"/>
  <c r="BY878" i="5"/>
  <c r="T53" i="10" s="1"/>
  <c r="BW891" i="5"/>
  <c r="R66" i="10" s="1"/>
  <c r="BI885" i="5"/>
  <c r="D60" i="10" s="1"/>
  <c r="BP887" i="5"/>
  <c r="K62" i="10" s="1"/>
  <c r="BW889" i="5"/>
  <c r="R64" i="10" s="1"/>
  <c r="BR877" i="5"/>
  <c r="M52" i="10" s="1"/>
  <c r="CD894" i="5"/>
  <c r="Y69" i="10" s="1"/>
  <c r="BY889" i="5"/>
  <c r="T64" i="10" s="1"/>
  <c r="BR883" i="5"/>
  <c r="M58" i="10" s="1"/>
  <c r="BP889" i="5"/>
  <c r="K64" i="10" s="1"/>
  <c r="CC897" i="5"/>
  <c r="BY885" i="5"/>
  <c r="T60" i="10" s="1"/>
  <c r="BV897" i="5"/>
  <c r="BK880" i="5"/>
  <c r="F55" i="10" s="1"/>
  <c r="BI890" i="5"/>
  <c r="D65" i="10" s="1"/>
  <c r="BI881" i="5"/>
  <c r="CD880" i="5"/>
  <c r="Y55" i="10" s="1"/>
  <c r="BX887" i="5"/>
  <c r="S62" i="10" s="1"/>
  <c r="BV889" i="5"/>
  <c r="Q64" i="10" s="1"/>
  <c r="BX899" i="5"/>
  <c r="BV901" i="5"/>
  <c r="BK893" i="5"/>
  <c r="F68" i="10" s="1"/>
  <c r="BH888" i="5"/>
  <c r="C63" i="10" s="1"/>
  <c r="BI882" i="5"/>
  <c r="D57" i="10" s="1"/>
  <c r="BH896" i="5"/>
  <c r="C83" i="10" s="1"/>
  <c r="BL898" i="5"/>
  <c r="BR895" i="5"/>
  <c r="M70" i="10" s="1"/>
  <c r="BP885" i="5"/>
  <c r="K60" i="10" s="1"/>
  <c r="CC893" i="5"/>
  <c r="X68" i="10" s="1"/>
  <c r="BY881" i="5"/>
  <c r="T56" i="10" s="1"/>
  <c r="BR891" i="5"/>
  <c r="M66" i="10" s="1"/>
  <c r="BP897" i="5"/>
  <c r="CC889" i="5"/>
  <c r="X64" i="10" s="1"/>
  <c r="BX900" i="5"/>
  <c r="BK886" i="5"/>
  <c r="F61" i="10" s="1"/>
  <c r="BW898" i="5"/>
  <c r="BX898" i="5"/>
  <c r="BR886" i="5"/>
  <c r="M61" i="10" s="1"/>
  <c r="CD878" i="5"/>
  <c r="Y53" i="10" s="1"/>
  <c r="CC896" i="5"/>
  <c r="BW901" i="5"/>
  <c r="BR898" i="5"/>
  <c r="CC881" i="5"/>
  <c r="X56" i="10" s="1"/>
  <c r="CC892" i="5"/>
  <c r="X67" i="10" s="1"/>
  <c r="BY888" i="5"/>
  <c r="T63" i="10" s="1"/>
  <c r="BI887" i="5"/>
  <c r="BH897" i="5"/>
  <c r="C84" i="10" s="1"/>
  <c r="BP895" i="5"/>
  <c r="K70" i="10" s="1"/>
  <c r="BL892" i="5"/>
  <c r="G67" i="10" s="1"/>
  <c r="BK891" i="5"/>
  <c r="F66" i="10" s="1"/>
  <c r="CD890" i="5"/>
  <c r="Y65" i="10" s="1"/>
  <c r="CD901" i="5"/>
  <c r="BL882" i="5"/>
  <c r="G57" i="10" s="1"/>
  <c r="CD892" i="5"/>
  <c r="Y67" i="10" s="1"/>
  <c r="BI898" i="5"/>
  <c r="BH883" i="5"/>
  <c r="C58" i="10" s="1"/>
  <c r="BH877" i="5"/>
  <c r="C52" i="10" s="1"/>
  <c r="BH884" i="5"/>
  <c r="C59" i="10" s="1"/>
  <c r="BH879" i="5" l="1"/>
  <c r="C54" i="10" s="1"/>
  <c r="CE899" i="5"/>
  <c r="AT191" i="5"/>
  <c r="AT415" i="5"/>
  <c r="BJ901" i="5"/>
  <c r="BN896" i="5"/>
  <c r="BT896" i="5" s="1"/>
  <c r="BD896" i="5" s="1"/>
  <c r="BH878" i="5"/>
  <c r="C53" i="10" s="1"/>
  <c r="BO898" i="5"/>
  <c r="CG898" i="5" s="1"/>
  <c r="BH892" i="5"/>
  <c r="C67" i="10" s="1"/>
  <c r="BU892" i="5"/>
  <c r="P67" i="10" s="1"/>
  <c r="BH880" i="5"/>
  <c r="C55" i="10" s="1"/>
  <c r="BZ877" i="5"/>
  <c r="U52" i="10" s="1"/>
  <c r="BU899" i="5"/>
  <c r="BJ898" i="5"/>
  <c r="CE900" i="5"/>
  <c r="CE877" i="5"/>
  <c r="Z52" i="10" s="1"/>
  <c r="AD52" i="10" s="1"/>
  <c r="BJ896" i="5"/>
  <c r="BO896" i="5"/>
  <c r="CG896" i="5" s="1"/>
  <c r="CE886" i="5"/>
  <c r="Z61" i="10" s="1"/>
  <c r="BU898" i="5"/>
  <c r="EK33" i="5"/>
  <c r="EN33" i="5" s="1"/>
  <c r="EN50" i="5" s="1"/>
  <c r="EP50" i="5" s="1"/>
  <c r="BO891" i="5"/>
  <c r="CG891" i="5" s="1"/>
  <c r="AB66" i="10" s="1"/>
  <c r="CE896" i="5"/>
  <c r="BJ892" i="5"/>
  <c r="E67" i="10" s="1"/>
  <c r="AF60" i="10"/>
  <c r="BO901" i="5"/>
  <c r="CG901" i="5" s="1"/>
  <c r="BU901" i="5"/>
  <c r="BJ899" i="5"/>
  <c r="BU889" i="5"/>
  <c r="P64" i="10" s="1"/>
  <c r="BJ889" i="5"/>
  <c r="E64" i="10" s="1"/>
  <c r="BO899" i="5"/>
  <c r="CG899" i="5" s="1"/>
  <c r="BO889" i="5"/>
  <c r="CG889" i="5" s="1"/>
  <c r="AB64" i="10" s="1"/>
  <c r="F45" i="10"/>
  <c r="BO883" i="5"/>
  <c r="J58" i="10" s="1"/>
  <c r="BZ880" i="5"/>
  <c r="U55" i="10" s="1"/>
  <c r="BJ891" i="5"/>
  <c r="E66" i="10" s="1"/>
  <c r="BM900" i="5"/>
  <c r="BQ900" i="5" s="1"/>
  <c r="BZ882" i="5"/>
  <c r="U57" i="10" s="1"/>
  <c r="BZ898" i="5"/>
  <c r="BZ892" i="5"/>
  <c r="U67" i="10" s="1"/>
  <c r="BJ877" i="5"/>
  <c r="E52" i="10" s="1"/>
  <c r="CA880" i="5"/>
  <c r="V55" i="10" s="1"/>
  <c r="BZ891" i="5"/>
  <c r="U66" i="10" s="1"/>
  <c r="BN894" i="5"/>
  <c r="I69" i="10" s="1"/>
  <c r="EN108" i="5"/>
  <c r="EP108" i="5" s="1"/>
  <c r="BZ893" i="5"/>
  <c r="U68" i="10" s="1"/>
  <c r="BM880" i="5"/>
  <c r="H55" i="10" s="1"/>
  <c r="BM877" i="5"/>
  <c r="H52" i="10" s="1"/>
  <c r="CA884" i="5"/>
  <c r="V59" i="10" s="1"/>
  <c r="BN880" i="5"/>
  <c r="BT880" i="5" s="1"/>
  <c r="BD880" i="5" s="1"/>
  <c r="BN889" i="5"/>
  <c r="I64" i="10" s="1"/>
  <c r="BM881" i="5"/>
  <c r="H56" i="10" s="1"/>
  <c r="BZ894" i="5"/>
  <c r="U69" i="10" s="1"/>
  <c r="CA882" i="5"/>
  <c r="V57" i="10" s="1"/>
  <c r="BZ896" i="5"/>
  <c r="BM889" i="5"/>
  <c r="H64" i="10" s="1"/>
  <c r="CA878" i="5"/>
  <c r="V53" i="10" s="1"/>
  <c r="CA893" i="5"/>
  <c r="V68" i="10" s="1"/>
  <c r="BN883" i="5"/>
  <c r="I58" i="10" s="1"/>
  <c r="BM883" i="5"/>
  <c r="H58" i="10" s="1"/>
  <c r="BM879" i="5"/>
  <c r="BZ883" i="5"/>
  <c r="U58" i="10" s="1"/>
  <c r="BN898" i="5"/>
  <c r="BT898" i="5" s="1"/>
  <c r="BD898" i="5" s="1"/>
  <c r="BZ895" i="5"/>
  <c r="U70" i="10" s="1"/>
  <c r="BN891" i="5"/>
  <c r="I66" i="10" s="1"/>
  <c r="CA886" i="5"/>
  <c r="V61" i="10" s="1"/>
  <c r="BZ897" i="5"/>
  <c r="BZ879" i="5"/>
  <c r="U54" i="10" s="1"/>
  <c r="BM892" i="5"/>
  <c r="H67" i="10" s="1"/>
  <c r="CA896" i="5"/>
  <c r="BN901" i="5"/>
  <c r="BT901" i="5" s="1"/>
  <c r="BD901" i="5" s="1"/>
  <c r="BN878" i="5"/>
  <c r="BT878" i="5" s="1"/>
  <c r="BD878" i="5" s="1"/>
  <c r="CA887" i="5"/>
  <c r="V62" i="10" s="1"/>
  <c r="CA890" i="5"/>
  <c r="V65" i="10" s="1"/>
  <c r="BN881" i="5"/>
  <c r="I56" i="10" s="1"/>
  <c r="CA899" i="5"/>
  <c r="BN882" i="5"/>
  <c r="I57" i="10" s="1"/>
  <c r="BN893" i="5"/>
  <c r="I68" i="10" s="1"/>
  <c r="BZ886" i="5"/>
  <c r="U61" i="10" s="1"/>
  <c r="BM886" i="5"/>
  <c r="H61" i="10" s="1"/>
  <c r="BM893" i="5"/>
  <c r="H68" i="10" s="1"/>
  <c r="CA889" i="5"/>
  <c r="V64" i="10" s="1"/>
  <c r="BN900" i="5"/>
  <c r="BT900" i="5" s="1"/>
  <c r="BD900" i="5" s="1"/>
  <c r="BZ901" i="5"/>
  <c r="CA901" i="5"/>
  <c r="BN884" i="5"/>
  <c r="I59" i="10" s="1"/>
  <c r="BN899" i="5"/>
  <c r="BT899" i="5" s="1"/>
  <c r="BD899" i="5" s="1"/>
  <c r="BZ888" i="5"/>
  <c r="U63" i="10" s="1"/>
  <c r="CA883" i="5"/>
  <c r="V58" i="10" s="1"/>
  <c r="BM895" i="5"/>
  <c r="H70" i="10" s="1"/>
  <c r="BZ900" i="5"/>
  <c r="CA895" i="5"/>
  <c r="V70" i="10" s="1"/>
  <c r="BM887" i="5"/>
  <c r="H62" i="10" s="1"/>
  <c r="CA885" i="5"/>
  <c r="V60" i="10" s="1"/>
  <c r="BN879" i="5"/>
  <c r="BT879" i="5" s="1"/>
  <c r="BD879" i="5" s="1"/>
  <c r="CA894" i="5"/>
  <c r="V69" i="10" s="1"/>
  <c r="CA897" i="5"/>
  <c r="BZ889" i="5"/>
  <c r="U64" i="10" s="1"/>
  <c r="BN888" i="5"/>
  <c r="I63" i="10" s="1"/>
  <c r="BZ884" i="5"/>
  <c r="U59" i="10" s="1"/>
  <c r="CA879" i="5"/>
  <c r="V54" i="10" s="1"/>
  <c r="BM897" i="5"/>
  <c r="BQ897" i="5" s="1"/>
  <c r="BM888" i="5"/>
  <c r="H63" i="10" s="1"/>
  <c r="BM901" i="5"/>
  <c r="BQ901" i="5" s="1"/>
  <c r="BM891" i="5"/>
  <c r="H66" i="10" s="1"/>
  <c r="BM882" i="5"/>
  <c r="H57" i="10" s="1"/>
  <c r="CA881" i="5"/>
  <c r="V56" i="10" s="1"/>
  <c r="CA898" i="5"/>
  <c r="BM898" i="5"/>
  <c r="BQ898" i="5" s="1"/>
  <c r="BM894" i="5"/>
  <c r="H69" i="10" s="1"/>
  <c r="BM896" i="5"/>
  <c r="BQ896" i="5" s="1"/>
  <c r="CA888" i="5"/>
  <c r="V63" i="10" s="1"/>
  <c r="BZ885" i="5"/>
  <c r="U60" i="10" s="1"/>
  <c r="CA877" i="5"/>
  <c r="V52" i="10" s="1"/>
  <c r="CA900" i="5"/>
  <c r="BM885" i="5"/>
  <c r="H60" i="10" s="1"/>
  <c r="BN886" i="5"/>
  <c r="I61" i="10" s="1"/>
  <c r="BZ887" i="5"/>
  <c r="U62" i="10" s="1"/>
  <c r="BN895" i="5"/>
  <c r="I70" i="10" s="1"/>
  <c r="BN877" i="5"/>
  <c r="BT877" i="5" s="1"/>
  <c r="BD877" i="5" s="1"/>
  <c r="BZ899" i="5"/>
  <c r="BM899" i="5"/>
  <c r="BQ899" i="5" s="1"/>
  <c r="CA892" i="5"/>
  <c r="V67" i="10" s="1"/>
  <c r="BN892" i="5"/>
  <c r="I67" i="10" s="1"/>
  <c r="BN890" i="5"/>
  <c r="I65" i="10" s="1"/>
  <c r="BM890" i="5"/>
  <c r="H65" i="10" s="1"/>
  <c r="CA891" i="5"/>
  <c r="V66" i="10" s="1"/>
  <c r="BZ881" i="5"/>
  <c r="U56" i="10" s="1"/>
  <c r="BN885" i="5"/>
  <c r="I60" i="10" s="1"/>
  <c r="BZ878" i="5"/>
  <c r="U53" i="10" s="1"/>
  <c r="BN887" i="5"/>
  <c r="I62" i="10" s="1"/>
  <c r="BN897" i="5"/>
  <c r="BT897" i="5" s="1"/>
  <c r="BD897" i="5" s="1"/>
  <c r="BZ890" i="5"/>
  <c r="U65" i="10" s="1"/>
  <c r="BM878" i="5"/>
  <c r="H53" i="10" s="1"/>
  <c r="BM884" i="5"/>
  <c r="H59" i="10" s="1"/>
  <c r="BU900" i="5"/>
  <c r="BO897" i="5"/>
  <c r="CG897" i="5" s="1"/>
  <c r="CE887" i="5"/>
  <c r="Z62" i="10" s="1"/>
  <c r="BU878" i="5"/>
  <c r="P53" i="10" s="1"/>
  <c r="X62" i="10"/>
  <c r="X76" i="10" s="1"/>
  <c r="BU888" i="5"/>
  <c r="P63" i="10" s="1"/>
  <c r="BJ883" i="5"/>
  <c r="E58" i="10" s="1"/>
  <c r="CE885" i="5"/>
  <c r="Z60" i="10" s="1"/>
  <c r="CE891" i="5"/>
  <c r="Z66" i="10" s="1"/>
  <c r="AD66" i="10" s="1"/>
  <c r="AF69" i="10"/>
  <c r="BU885" i="5"/>
  <c r="P60" i="10" s="1"/>
  <c r="K74" i="10"/>
  <c r="AC29" i="10" s="1"/>
  <c r="F44" i="10"/>
  <c r="BJ879" i="5"/>
  <c r="E54" i="10" s="1"/>
  <c r="AF64" i="10"/>
  <c r="BJ900" i="5"/>
  <c r="CE898" i="5"/>
  <c r="BU884" i="5"/>
  <c r="P59" i="10" s="1"/>
  <c r="BJ888" i="5"/>
  <c r="E63" i="10" s="1"/>
  <c r="CE895" i="5"/>
  <c r="Z70" i="10" s="1"/>
  <c r="AD70" i="10" s="1"/>
  <c r="CE889" i="5"/>
  <c r="Z64" i="10" s="1"/>
  <c r="AD64" i="10" s="1"/>
  <c r="BU883" i="5"/>
  <c r="P58" i="10" s="1"/>
  <c r="CE888" i="5"/>
  <c r="Z63" i="10" s="1"/>
  <c r="CE880" i="5"/>
  <c r="Z55" i="10" s="1"/>
  <c r="AD55" i="10" s="1"/>
  <c r="BO887" i="5"/>
  <c r="J62" i="10" s="1"/>
  <c r="CE901" i="5"/>
  <c r="AF70" i="10"/>
  <c r="CE897" i="5"/>
  <c r="E44" i="10"/>
  <c r="AF62" i="10"/>
  <c r="BO892" i="5"/>
  <c r="J67" i="10" s="1"/>
  <c r="BJ886" i="5"/>
  <c r="E61" i="10" s="1"/>
  <c r="BU890" i="5"/>
  <c r="P65" i="10" s="1"/>
  <c r="BO886" i="5"/>
  <c r="CG886" i="5" s="1"/>
  <c r="AB61" i="10" s="1"/>
  <c r="BU880" i="5"/>
  <c r="P55" i="10" s="1"/>
  <c r="BU881" i="5"/>
  <c r="P56" i="10" s="1"/>
  <c r="CE890" i="5"/>
  <c r="Z65" i="10" s="1"/>
  <c r="AD65" i="10" s="1"/>
  <c r="BO885" i="5"/>
  <c r="CG885" i="5" s="1"/>
  <c r="AB60" i="10" s="1"/>
  <c r="BO900" i="5"/>
  <c r="CG900" i="5" s="1"/>
  <c r="CE881" i="5"/>
  <c r="Z56" i="10" s="1"/>
  <c r="AD56" i="10" s="1"/>
  <c r="BO894" i="5"/>
  <c r="J69" i="10" s="1"/>
  <c r="BU894" i="5"/>
  <c r="P69" i="10" s="1"/>
  <c r="BJ885" i="5"/>
  <c r="E60" i="10" s="1"/>
  <c r="BJ897" i="5"/>
  <c r="BH882" i="5"/>
  <c r="C57" i="10" s="1"/>
  <c r="M74" i="10"/>
  <c r="BU895" i="5"/>
  <c r="P70" i="10" s="1"/>
  <c r="BJ882" i="5"/>
  <c r="E57" i="10" s="1"/>
  <c r="G74" i="10"/>
  <c r="BJ884" i="5"/>
  <c r="E59" i="10" s="1"/>
  <c r="BO890" i="5"/>
  <c r="CG890" i="5" s="1"/>
  <c r="AB65" i="10" s="1"/>
  <c r="BJ893" i="5"/>
  <c r="E68" i="10" s="1"/>
  <c r="CE882" i="5"/>
  <c r="Z57" i="10" s="1"/>
  <c r="AD57" i="10" s="1"/>
  <c r="CE884" i="5"/>
  <c r="Z59" i="10" s="1"/>
  <c r="BO877" i="5"/>
  <c r="CG877" i="5" s="1"/>
  <c r="AB52" i="10" s="1"/>
  <c r="BO882" i="5"/>
  <c r="J57" i="10" s="1"/>
  <c r="D62" i="10"/>
  <c r="D74" i="10" s="1"/>
  <c r="BO878" i="5"/>
  <c r="J53" i="10" s="1"/>
  <c r="BU887" i="5"/>
  <c r="P62" i="10" s="1"/>
  <c r="BU893" i="5"/>
  <c r="P68" i="10" s="1"/>
  <c r="BJ878" i="5"/>
  <c r="E53" i="10" s="1"/>
  <c r="BJ894" i="5"/>
  <c r="E69" i="10" s="1"/>
  <c r="BU886" i="5"/>
  <c r="P61" i="10" s="1"/>
  <c r="BU882" i="5"/>
  <c r="P57" i="10" s="1"/>
  <c r="BJ890" i="5"/>
  <c r="E65" i="10" s="1"/>
  <c r="E45" i="10"/>
  <c r="BU896" i="5"/>
  <c r="BO880" i="5"/>
  <c r="J55" i="10" s="1"/>
  <c r="F43" i="10"/>
  <c r="F72" i="10"/>
  <c r="M72" i="10"/>
  <c r="BI903" i="5"/>
  <c r="BI6" i="5" s="1"/>
  <c r="T72" i="10"/>
  <c r="Y74" i="10"/>
  <c r="K72" i="10"/>
  <c r="CC903" i="5"/>
  <c r="K28" i="5" s="1"/>
  <c r="Y76" i="10"/>
  <c r="F76" i="10"/>
  <c r="BU877" i="5"/>
  <c r="P52" i="10" s="1"/>
  <c r="BJ895" i="5"/>
  <c r="E70" i="10" s="1"/>
  <c r="CE894" i="5"/>
  <c r="Z69" i="10" s="1"/>
  <c r="AD69" i="10" s="1"/>
  <c r="BP903" i="5"/>
  <c r="BP6" i="5" s="1"/>
  <c r="BJ880" i="5"/>
  <c r="E55" i="10" s="1"/>
  <c r="CE893" i="5"/>
  <c r="Z68" i="10" s="1"/>
  <c r="AD68" i="10" s="1"/>
  <c r="F74" i="10"/>
  <c r="G76" i="10"/>
  <c r="T76" i="10"/>
  <c r="BU897" i="5"/>
  <c r="BO884" i="5"/>
  <c r="J59" i="10" s="1"/>
  <c r="BO895" i="5"/>
  <c r="J70" i="10" s="1"/>
  <c r="BO879" i="5"/>
  <c r="J54" i="10" s="1"/>
  <c r="BR903" i="5"/>
  <c r="BR6" i="5" s="1"/>
  <c r="BK903" i="5"/>
  <c r="BK6" i="5" s="1"/>
  <c r="BJ887" i="5"/>
  <c r="E62" i="10" s="1"/>
  <c r="T74" i="10"/>
  <c r="Y72" i="10"/>
  <c r="CE883" i="5"/>
  <c r="Z58" i="10" s="1"/>
  <c r="AF66" i="10"/>
  <c r="BU891" i="5"/>
  <c r="P66" i="10" s="1"/>
  <c r="D56" i="10"/>
  <c r="D72" i="10" s="1"/>
  <c r="CD903" i="5"/>
  <c r="K30" i="5" s="1"/>
  <c r="K76" i="10"/>
  <c r="BO881" i="5"/>
  <c r="CG881" i="5" s="1"/>
  <c r="AB56" i="10" s="1"/>
  <c r="CE878" i="5"/>
  <c r="Z53" i="10" s="1"/>
  <c r="AD53" i="10" s="1"/>
  <c r="BJ881" i="5"/>
  <c r="E56" i="10" s="1"/>
  <c r="G72" i="10"/>
  <c r="BU879" i="5"/>
  <c r="P54" i="10" s="1"/>
  <c r="BY903" i="5"/>
  <c r="BY6" i="5" s="1"/>
  <c r="CE879" i="5"/>
  <c r="Z54" i="10" s="1"/>
  <c r="AD54" i="10" s="1"/>
  <c r="M76" i="10"/>
  <c r="BL903" i="5"/>
  <c r="BL6" i="5" s="1"/>
  <c r="CE892" i="5"/>
  <c r="Z67" i="10" s="1"/>
  <c r="AD67" i="10" s="1"/>
  <c r="BO888" i="5"/>
  <c r="J63" i="10" s="1"/>
  <c r="BO893" i="5"/>
  <c r="CG893" i="5" s="1"/>
  <c r="AB68" i="10" s="1"/>
  <c r="E43" i="10"/>
  <c r="C74" i="10"/>
  <c r="X72" i="10"/>
  <c r="R68" i="10"/>
  <c r="Z42" i="10" l="1"/>
  <c r="L72" i="20"/>
  <c r="L72" i="21" s="1"/>
  <c r="EN65" i="5"/>
  <c r="EP65" i="5" s="1"/>
  <c r="EN103" i="5"/>
  <c r="EP103" i="5" s="1"/>
  <c r="EN55" i="5"/>
  <c r="EP55" i="5" s="1"/>
  <c r="EN85" i="5"/>
  <c r="EP85" i="5" s="1"/>
  <c r="EN60" i="5"/>
  <c r="EP60" i="5" s="1"/>
  <c r="EN70" i="5"/>
  <c r="EP70" i="5" s="1"/>
  <c r="EN93" i="5"/>
  <c r="EP93" i="5" s="1"/>
  <c r="EN98" i="5"/>
  <c r="EP98" i="5" s="1"/>
  <c r="EN40" i="5"/>
  <c r="EP40" i="5" s="1"/>
  <c r="EN80" i="5"/>
  <c r="EP80" i="5" s="1"/>
  <c r="EN45" i="5"/>
  <c r="EP45" i="5" s="1"/>
  <c r="BV877" i="5" s="1"/>
  <c r="Q52" i="10" s="1"/>
  <c r="EN75" i="5"/>
  <c r="EP75" i="5" s="1"/>
  <c r="J64" i="10"/>
  <c r="BT894" i="5"/>
  <c r="BD894" i="5" s="1"/>
  <c r="BT889" i="5"/>
  <c r="BD889" i="5" s="1"/>
  <c r="J66" i="10"/>
  <c r="EM33" i="5"/>
  <c r="EM108" i="5" s="1"/>
  <c r="EO108" i="5" s="1"/>
  <c r="EQ108" i="5" s="1"/>
  <c r="CG883" i="5"/>
  <c r="AB58" i="10" s="1"/>
  <c r="BQ877" i="5"/>
  <c r="L52" i="10" s="1"/>
  <c r="EM757" i="5"/>
  <c r="EO757" i="5" s="1"/>
  <c r="EM742" i="5"/>
  <c r="EO742" i="5" s="1"/>
  <c r="EM732" i="5"/>
  <c r="EO732" i="5" s="1"/>
  <c r="EM782" i="5"/>
  <c r="EO782" i="5" s="1"/>
  <c r="EM737" i="5"/>
  <c r="EO737" i="5" s="1"/>
  <c r="EM727" i="5"/>
  <c r="EO727" i="5" s="1"/>
  <c r="EM767" i="5"/>
  <c r="EO767" i="5" s="1"/>
  <c r="EM752" i="5"/>
  <c r="EO752" i="5" s="1"/>
  <c r="EM747" i="5"/>
  <c r="EO747" i="5" s="1"/>
  <c r="EM762" i="5"/>
  <c r="EO762" i="5" s="1"/>
  <c r="EM787" i="5"/>
  <c r="EO787" i="5" s="1"/>
  <c r="EM772" i="5"/>
  <c r="EO772" i="5" s="1"/>
  <c r="EM717" i="5"/>
  <c r="EO717" i="5" s="1"/>
  <c r="EM722" i="5"/>
  <c r="EO722" i="5" s="1"/>
  <c r="EM777" i="5"/>
  <c r="EO777" i="5" s="1"/>
  <c r="BT881" i="5"/>
  <c r="BD881" i="5" s="1"/>
  <c r="EN113" i="5"/>
  <c r="EP113" i="5" s="1"/>
  <c r="EN752" i="5"/>
  <c r="EP752" i="5" s="1"/>
  <c r="EN777" i="5"/>
  <c r="EP777" i="5" s="1"/>
  <c r="EN772" i="5"/>
  <c r="EP772" i="5" s="1"/>
  <c r="EN757" i="5"/>
  <c r="EP757" i="5" s="1"/>
  <c r="EN767" i="5"/>
  <c r="EP767" i="5" s="1"/>
  <c r="EN717" i="5"/>
  <c r="EP717" i="5" s="1"/>
  <c r="EN747" i="5"/>
  <c r="EP747" i="5" s="1"/>
  <c r="EN737" i="5"/>
  <c r="EP737" i="5" s="1"/>
  <c r="EN732" i="5"/>
  <c r="EP732" i="5" s="1"/>
  <c r="EN787" i="5"/>
  <c r="EP787" i="5" s="1"/>
  <c r="EN782" i="5"/>
  <c r="EP782" i="5" s="1"/>
  <c r="EN727" i="5"/>
  <c r="EP727" i="5" s="1"/>
  <c r="EN762" i="5"/>
  <c r="EP762" i="5" s="1"/>
  <c r="EN722" i="5"/>
  <c r="EP722" i="5" s="1"/>
  <c r="EN742" i="5"/>
  <c r="EP742" i="5" s="1"/>
  <c r="EM684" i="5"/>
  <c r="EO684" i="5" s="1"/>
  <c r="EM654" i="5"/>
  <c r="EO654" i="5" s="1"/>
  <c r="EM639" i="5"/>
  <c r="EO639" i="5" s="1"/>
  <c r="EM689" i="5"/>
  <c r="EO689" i="5" s="1"/>
  <c r="EM674" i="5"/>
  <c r="EO674" i="5" s="1"/>
  <c r="EM649" i="5"/>
  <c r="EO649" i="5" s="1"/>
  <c r="EM664" i="5"/>
  <c r="EO664" i="5" s="1"/>
  <c r="EM709" i="5"/>
  <c r="EO709" i="5" s="1"/>
  <c r="EM699" i="5"/>
  <c r="EO699" i="5" s="1"/>
  <c r="EM679" i="5"/>
  <c r="EO679" i="5" s="1"/>
  <c r="EM704" i="5"/>
  <c r="EO704" i="5" s="1"/>
  <c r="EM669" i="5"/>
  <c r="EO669" i="5" s="1"/>
  <c r="EM694" i="5"/>
  <c r="EO694" i="5" s="1"/>
  <c r="EM659" i="5"/>
  <c r="EO659" i="5" s="1"/>
  <c r="EM644" i="5"/>
  <c r="EO644" i="5" s="1"/>
  <c r="EN699" i="5"/>
  <c r="EP699" i="5" s="1"/>
  <c r="EN639" i="5"/>
  <c r="EP639" i="5" s="1"/>
  <c r="EN679" i="5"/>
  <c r="EP679" i="5" s="1"/>
  <c r="EN684" i="5"/>
  <c r="EP684" i="5" s="1"/>
  <c r="EN659" i="5"/>
  <c r="EP659" i="5" s="1"/>
  <c r="EN694" i="5"/>
  <c r="EP694" i="5" s="1"/>
  <c r="EN664" i="5"/>
  <c r="EP664" i="5" s="1"/>
  <c r="EN704" i="5"/>
  <c r="EP704" i="5" s="1"/>
  <c r="EN669" i="5"/>
  <c r="EP669" i="5" s="1"/>
  <c r="EN649" i="5"/>
  <c r="EP649" i="5" s="1"/>
  <c r="EN654" i="5"/>
  <c r="EP654" i="5" s="1"/>
  <c r="EN674" i="5"/>
  <c r="EP674" i="5" s="1"/>
  <c r="EN709" i="5"/>
  <c r="EP709" i="5" s="1"/>
  <c r="EN689" i="5"/>
  <c r="EP689" i="5" s="1"/>
  <c r="EN644" i="5"/>
  <c r="EP644" i="5" s="1"/>
  <c r="EN591" i="5"/>
  <c r="EP591" i="5" s="1"/>
  <c r="EN596" i="5"/>
  <c r="EP596" i="5" s="1"/>
  <c r="EN571" i="5"/>
  <c r="EP571" i="5" s="1"/>
  <c r="EN626" i="5"/>
  <c r="EP626" i="5" s="1"/>
  <c r="EN561" i="5"/>
  <c r="EP561" i="5" s="1"/>
  <c r="EN611" i="5"/>
  <c r="EP611" i="5" s="1"/>
  <c r="EN586" i="5"/>
  <c r="EP586" i="5" s="1"/>
  <c r="EN606" i="5"/>
  <c r="EP606" i="5" s="1"/>
  <c r="EN581" i="5"/>
  <c r="EP581" i="5" s="1"/>
  <c r="EN621" i="5"/>
  <c r="EP621" i="5" s="1"/>
  <c r="EN576" i="5"/>
  <c r="EP576" i="5" s="1"/>
  <c r="EN631" i="5"/>
  <c r="EP631" i="5" s="1"/>
  <c r="EN616" i="5"/>
  <c r="EP616" i="5" s="1"/>
  <c r="EN566" i="5"/>
  <c r="EP566" i="5" s="1"/>
  <c r="EN601" i="5"/>
  <c r="EP601" i="5" s="1"/>
  <c r="EM566" i="5"/>
  <c r="EO566" i="5" s="1"/>
  <c r="EM616" i="5"/>
  <c r="EO616" i="5" s="1"/>
  <c r="EM571" i="5"/>
  <c r="EO571" i="5" s="1"/>
  <c r="EM626" i="5"/>
  <c r="EO626" i="5" s="1"/>
  <c r="EM561" i="5"/>
  <c r="EO561" i="5" s="1"/>
  <c r="EM576" i="5"/>
  <c r="EO576" i="5" s="1"/>
  <c r="EM581" i="5"/>
  <c r="EO581" i="5" s="1"/>
  <c r="EM591" i="5"/>
  <c r="EO591" i="5" s="1"/>
  <c r="EM631" i="5"/>
  <c r="EO631" i="5" s="1"/>
  <c r="EM606" i="5"/>
  <c r="EO606" i="5" s="1"/>
  <c r="EM611" i="5"/>
  <c r="EO611" i="5" s="1"/>
  <c r="EM596" i="5"/>
  <c r="EO596" i="5" s="1"/>
  <c r="EM601" i="5"/>
  <c r="EO601" i="5" s="1"/>
  <c r="EM621" i="5"/>
  <c r="EO621" i="5" s="1"/>
  <c r="EM586" i="5"/>
  <c r="EO586" i="5" s="1"/>
  <c r="EN523" i="5"/>
  <c r="EP523" i="5" s="1"/>
  <c r="EN498" i="5"/>
  <c r="EP498" i="5" s="1"/>
  <c r="EN533" i="5"/>
  <c r="EP533" i="5" s="1"/>
  <c r="EN483" i="5"/>
  <c r="EP483" i="5" s="1"/>
  <c r="EN538" i="5"/>
  <c r="EP538" i="5" s="1"/>
  <c r="EN493" i="5"/>
  <c r="EP493" i="5" s="1"/>
  <c r="EN508" i="5"/>
  <c r="EP508" i="5" s="1"/>
  <c r="EN548" i="5"/>
  <c r="EP548" i="5" s="1"/>
  <c r="EN518" i="5"/>
  <c r="EP518" i="5" s="1"/>
  <c r="EN553" i="5"/>
  <c r="EP553" i="5" s="1"/>
  <c r="EN528" i="5"/>
  <c r="EP528" i="5" s="1"/>
  <c r="EN488" i="5"/>
  <c r="EP488" i="5" s="1"/>
  <c r="EN503" i="5"/>
  <c r="EP503" i="5" s="1"/>
  <c r="EN513" i="5"/>
  <c r="EP513" i="5" s="1"/>
  <c r="EN543" i="5"/>
  <c r="EP543" i="5" s="1"/>
  <c r="EM528" i="5"/>
  <c r="EO528" i="5" s="1"/>
  <c r="EM538" i="5"/>
  <c r="EO538" i="5" s="1"/>
  <c r="EM488" i="5"/>
  <c r="EO488" i="5" s="1"/>
  <c r="EM483" i="5"/>
  <c r="EO483" i="5" s="1"/>
  <c r="EM523" i="5"/>
  <c r="EO523" i="5" s="1"/>
  <c r="EM503" i="5"/>
  <c r="EO503" i="5" s="1"/>
  <c r="EM498" i="5"/>
  <c r="EO498" i="5" s="1"/>
  <c r="EM513" i="5"/>
  <c r="EO513" i="5" s="1"/>
  <c r="EM533" i="5"/>
  <c r="EO533" i="5" s="1"/>
  <c r="EM518" i="5"/>
  <c r="EO518" i="5" s="1"/>
  <c r="EQ518" i="5" s="1"/>
  <c r="EM543" i="5"/>
  <c r="EO543" i="5" s="1"/>
  <c r="EM508" i="5"/>
  <c r="EO508" i="5" s="1"/>
  <c r="EM548" i="5"/>
  <c r="EO548" i="5" s="1"/>
  <c r="EM553" i="5"/>
  <c r="EO553" i="5" s="1"/>
  <c r="EM493" i="5"/>
  <c r="EO493" i="5" s="1"/>
  <c r="EN465" i="5"/>
  <c r="EP465" i="5" s="1"/>
  <c r="EN425" i="5"/>
  <c r="EP425" i="5" s="1"/>
  <c r="EN445" i="5"/>
  <c r="EP445" i="5" s="1"/>
  <c r="EN475" i="5"/>
  <c r="EP475" i="5" s="1"/>
  <c r="EN440" i="5"/>
  <c r="EP440" i="5" s="1"/>
  <c r="EN460" i="5"/>
  <c r="EP460" i="5" s="1"/>
  <c r="EN405" i="5"/>
  <c r="EP405" i="5" s="1"/>
  <c r="EN410" i="5"/>
  <c r="EP410" i="5" s="1"/>
  <c r="EN415" i="5"/>
  <c r="EP415" i="5" s="1"/>
  <c r="EN435" i="5"/>
  <c r="EP435" i="5" s="1"/>
  <c r="EN455" i="5"/>
  <c r="EP455" i="5" s="1"/>
  <c r="EN420" i="5"/>
  <c r="EP420" i="5" s="1"/>
  <c r="EN430" i="5"/>
  <c r="EP430" i="5" s="1"/>
  <c r="EN450" i="5"/>
  <c r="EP450" i="5" s="1"/>
  <c r="EN470" i="5"/>
  <c r="EP470" i="5" s="1"/>
  <c r="O53" i="10"/>
  <c r="AE53" i="10" s="1"/>
  <c r="EM440" i="5"/>
  <c r="EO440" i="5" s="1"/>
  <c r="EM470" i="5"/>
  <c r="EO470" i="5" s="1"/>
  <c r="EM465" i="5"/>
  <c r="EO465" i="5" s="1"/>
  <c r="EM405" i="5"/>
  <c r="EO405" i="5" s="1"/>
  <c r="EM410" i="5"/>
  <c r="EO410" i="5" s="1"/>
  <c r="EM460" i="5"/>
  <c r="EO460" i="5" s="1"/>
  <c r="EM475" i="5"/>
  <c r="EO475" i="5" s="1"/>
  <c r="EM450" i="5"/>
  <c r="EO450" i="5" s="1"/>
  <c r="EM430" i="5"/>
  <c r="EO430" i="5" s="1"/>
  <c r="EM455" i="5"/>
  <c r="EO455" i="5" s="1"/>
  <c r="EM445" i="5"/>
  <c r="EO445" i="5" s="1"/>
  <c r="EM415" i="5"/>
  <c r="EO415" i="5" s="1"/>
  <c r="EN128" i="5"/>
  <c r="EP128" i="5" s="1"/>
  <c r="EN138" i="5"/>
  <c r="EP138" i="5" s="1"/>
  <c r="EN397" i="5"/>
  <c r="EP397" i="5" s="1"/>
  <c r="EN387" i="5"/>
  <c r="EP387" i="5" s="1"/>
  <c r="EN377" i="5"/>
  <c r="EP377" i="5" s="1"/>
  <c r="EN367" i="5"/>
  <c r="EP367" i="5" s="1"/>
  <c r="EN352" i="5"/>
  <c r="EP352" i="5" s="1"/>
  <c r="EN372" i="5"/>
  <c r="EP372" i="5" s="1"/>
  <c r="EN337" i="5"/>
  <c r="EP337" i="5" s="1"/>
  <c r="EN332" i="5"/>
  <c r="EP332" i="5" s="1"/>
  <c r="EN342" i="5"/>
  <c r="EP342" i="5" s="1"/>
  <c r="EN382" i="5"/>
  <c r="EP382" i="5" s="1"/>
  <c r="EN327" i="5"/>
  <c r="EP327" i="5" s="1"/>
  <c r="EN362" i="5"/>
  <c r="EP362" i="5" s="1"/>
  <c r="EN357" i="5"/>
  <c r="EP357" i="5" s="1"/>
  <c r="EN347" i="5"/>
  <c r="EP347" i="5" s="1"/>
  <c r="EN392" i="5"/>
  <c r="EP392" i="5" s="1"/>
  <c r="EM392" i="5"/>
  <c r="EO392" i="5" s="1"/>
  <c r="EM372" i="5"/>
  <c r="EO372" i="5" s="1"/>
  <c r="EM397" i="5"/>
  <c r="EO397" i="5" s="1"/>
  <c r="EM352" i="5"/>
  <c r="EO352" i="5" s="1"/>
  <c r="EM362" i="5"/>
  <c r="EO362" i="5" s="1"/>
  <c r="EM377" i="5"/>
  <c r="EO377" i="5" s="1"/>
  <c r="EM191" i="5"/>
  <c r="EO191" i="5" s="1"/>
  <c r="EN148" i="5"/>
  <c r="EP148" i="5" s="1"/>
  <c r="EN163" i="5"/>
  <c r="EP163" i="5" s="1"/>
  <c r="EN143" i="5"/>
  <c r="EP143" i="5" s="1"/>
  <c r="EN158" i="5"/>
  <c r="EP158" i="5" s="1"/>
  <c r="EN133" i="5"/>
  <c r="EP133" i="5" s="1"/>
  <c r="EN201" i="5"/>
  <c r="EP201" i="5" s="1"/>
  <c r="EN176" i="5"/>
  <c r="EP176" i="5" s="1"/>
  <c r="EN236" i="5"/>
  <c r="EP236" i="5" s="1"/>
  <c r="EN181" i="5"/>
  <c r="EP181" i="5" s="1"/>
  <c r="EN206" i="5"/>
  <c r="EP206" i="5" s="1"/>
  <c r="EN221" i="5"/>
  <c r="EP221" i="5" s="1"/>
  <c r="EN216" i="5"/>
  <c r="EP216" i="5" s="1"/>
  <c r="EN211" i="5"/>
  <c r="EP211" i="5" s="1"/>
  <c r="EN231" i="5"/>
  <c r="EP231" i="5" s="1"/>
  <c r="EN196" i="5"/>
  <c r="EP196" i="5" s="1"/>
  <c r="EN241" i="5"/>
  <c r="EP241" i="5" s="1"/>
  <c r="EN226" i="5"/>
  <c r="EP226" i="5" s="1"/>
  <c r="EN191" i="5"/>
  <c r="EP191" i="5" s="1"/>
  <c r="BV886" i="5" s="1"/>
  <c r="Q61" i="10" s="1"/>
  <c r="AF61" i="10" s="1"/>
  <c r="EN186" i="5"/>
  <c r="EP186" i="5" s="1"/>
  <c r="EN171" i="5"/>
  <c r="EP171" i="5" s="1"/>
  <c r="EN274" i="5"/>
  <c r="EP274" i="5" s="1"/>
  <c r="EN284" i="5"/>
  <c r="EP284" i="5" s="1"/>
  <c r="EN254" i="5"/>
  <c r="EP254" i="5" s="1"/>
  <c r="EN294" i="5"/>
  <c r="EP294" i="5" s="1"/>
  <c r="EN249" i="5"/>
  <c r="EP249" i="5" s="1"/>
  <c r="EN314" i="5"/>
  <c r="EP314" i="5" s="1"/>
  <c r="EN279" i="5"/>
  <c r="EP279" i="5" s="1"/>
  <c r="EN259" i="5"/>
  <c r="EP259" i="5" s="1"/>
  <c r="EN264" i="5"/>
  <c r="EP264" i="5" s="1"/>
  <c r="EN269" i="5"/>
  <c r="EP269" i="5" s="1"/>
  <c r="EN319" i="5"/>
  <c r="EP319" i="5" s="1"/>
  <c r="EN299" i="5"/>
  <c r="EP299" i="5" s="1"/>
  <c r="EN304" i="5"/>
  <c r="EP304" i="5" s="1"/>
  <c r="EN309" i="5"/>
  <c r="EP309" i="5" s="1"/>
  <c r="EN289" i="5"/>
  <c r="EP289" i="5" s="1"/>
  <c r="BT883" i="5"/>
  <c r="O58" i="10" s="1"/>
  <c r="EN123" i="5"/>
  <c r="EP123" i="5" s="1"/>
  <c r="EN118" i="5"/>
  <c r="EP118" i="5" s="1"/>
  <c r="EN153" i="5"/>
  <c r="EP153" i="5" s="1"/>
  <c r="I53" i="10"/>
  <c r="EM148" i="5"/>
  <c r="EO148" i="5" s="1"/>
  <c r="X74" i="10"/>
  <c r="J52" i="10"/>
  <c r="BQ889" i="5"/>
  <c r="L64" i="10" s="1"/>
  <c r="I55" i="10"/>
  <c r="F47" i="10"/>
  <c r="F49" i="10" s="1"/>
  <c r="BT887" i="5"/>
  <c r="BD887" i="5" s="1"/>
  <c r="BT888" i="5"/>
  <c r="O63" i="10" s="1"/>
  <c r="O52" i="10"/>
  <c r="AE52" i="10" s="1"/>
  <c r="I52" i="10"/>
  <c r="BQ879" i="5"/>
  <c r="L54" i="10" s="1"/>
  <c r="BQ888" i="5"/>
  <c r="L63" i="10" s="1"/>
  <c r="AE63" i="10" s="1"/>
  <c r="O54" i="10"/>
  <c r="AE54" i="10" s="1"/>
  <c r="BQ887" i="5"/>
  <c r="L62" i="10" s="1"/>
  <c r="AE62" i="10" s="1"/>
  <c r="U72" i="10"/>
  <c r="BQ882" i="5"/>
  <c r="L57" i="10" s="1"/>
  <c r="BH903" i="5"/>
  <c r="BH6" i="5" s="1"/>
  <c r="I54" i="10"/>
  <c r="BT895" i="5"/>
  <c r="BD895" i="5" s="1"/>
  <c r="BT884" i="5"/>
  <c r="BD884" i="5" s="1"/>
  <c r="BT893" i="5"/>
  <c r="BD893" i="5" s="1"/>
  <c r="BT882" i="5"/>
  <c r="BD882" i="5" s="1"/>
  <c r="CG878" i="5"/>
  <c r="AB53" i="10" s="1"/>
  <c r="H54" i="10"/>
  <c r="H76" i="10" s="1"/>
  <c r="L78" i="20" s="1"/>
  <c r="L78" i="21" s="1"/>
  <c r="O55" i="10"/>
  <c r="AE55" i="10" s="1"/>
  <c r="BT886" i="5"/>
  <c r="BD886" i="5" s="1"/>
  <c r="CD6" i="5"/>
  <c r="CG882" i="5"/>
  <c r="AB57" i="10" s="1"/>
  <c r="BQ884" i="5"/>
  <c r="L59" i="10" s="1"/>
  <c r="AE59" i="10" s="1"/>
  <c r="I74" i="10"/>
  <c r="BZ903" i="5"/>
  <c r="BZ905" i="5" s="1"/>
  <c r="T79" i="10" s="1"/>
  <c r="O102" i="20" s="1"/>
  <c r="O102" i="21" s="1"/>
  <c r="U74" i="10"/>
  <c r="V74" i="10"/>
  <c r="V76" i="10"/>
  <c r="BQ883" i="5"/>
  <c r="L58" i="10" s="1"/>
  <c r="AE58" i="10" s="1"/>
  <c r="BT892" i="5"/>
  <c r="BD892" i="5" s="1"/>
  <c r="BQ892" i="5"/>
  <c r="L67" i="10" s="1"/>
  <c r="H74" i="10"/>
  <c r="BT890" i="5"/>
  <c r="BD890" i="5" s="1"/>
  <c r="J60" i="10"/>
  <c r="CG880" i="5"/>
  <c r="AB55" i="10" s="1"/>
  <c r="U76" i="10"/>
  <c r="J61" i="10"/>
  <c r="CG892" i="5"/>
  <c r="AB67" i="10" s="1"/>
  <c r="BT891" i="5"/>
  <c r="BD891" i="5" s="1"/>
  <c r="BQ891" i="5"/>
  <c r="L66" i="10" s="1"/>
  <c r="V72" i="10"/>
  <c r="BM903" i="5"/>
  <c r="BM6" i="5" s="1"/>
  <c r="CA903" i="5"/>
  <c r="CA906" i="5" s="1"/>
  <c r="T78" i="10" s="1"/>
  <c r="AC9" i="10"/>
  <c r="AC24" i="10"/>
  <c r="AC19" i="10"/>
  <c r="CG879" i="5"/>
  <c r="AB54" i="10" s="1"/>
  <c r="BN903" i="5"/>
  <c r="BN6" i="5" s="1"/>
  <c r="BT885" i="5"/>
  <c r="O60" i="10" s="1"/>
  <c r="J65" i="10"/>
  <c r="CG887" i="5"/>
  <c r="AB62" i="10" s="1"/>
  <c r="CC6" i="5"/>
  <c r="BQ880" i="5"/>
  <c r="L55" i="10" s="1"/>
  <c r="AC14" i="10"/>
  <c r="AC23" i="10"/>
  <c r="BQ890" i="5"/>
  <c r="L65" i="10" s="1"/>
  <c r="BQ885" i="5"/>
  <c r="L60" i="10" s="1"/>
  <c r="AE60" i="10" s="1"/>
  <c r="E74" i="10"/>
  <c r="BQ881" i="5"/>
  <c r="L56" i="10" s="1"/>
  <c r="BQ893" i="5"/>
  <c r="L68" i="10" s="1"/>
  <c r="BH910" i="5"/>
  <c r="AC28" i="10"/>
  <c r="AC31" i="10" s="1"/>
  <c r="CG894" i="5"/>
  <c r="AB69" i="10" s="1"/>
  <c r="AC8" i="10"/>
  <c r="BQ878" i="5"/>
  <c r="L53" i="10" s="1"/>
  <c r="P74" i="10"/>
  <c r="CE903" i="5"/>
  <c r="CE6" i="5" s="1"/>
  <c r="BQ886" i="5"/>
  <c r="L61" i="10" s="1"/>
  <c r="AE61" i="10" s="1"/>
  <c r="E47" i="10"/>
  <c r="E49" i="10" s="1"/>
  <c r="D76" i="10"/>
  <c r="P72" i="10"/>
  <c r="E72" i="10"/>
  <c r="Z74" i="10"/>
  <c r="BU903" i="5"/>
  <c r="BU6" i="5" s="1"/>
  <c r="CG895" i="5"/>
  <c r="AB70" i="10" s="1"/>
  <c r="Z76" i="10"/>
  <c r="BQ894" i="5"/>
  <c r="L69" i="10" s="1"/>
  <c r="AC13" i="10"/>
  <c r="AD72" i="10"/>
  <c r="I13" i="10" s="1"/>
  <c r="I16" i="10" s="1"/>
  <c r="K32" i="5"/>
  <c r="P76" i="10"/>
  <c r="AC18" i="10"/>
  <c r="BQ895" i="5"/>
  <c r="L70" i="10" s="1"/>
  <c r="Z72" i="10"/>
  <c r="E76" i="10"/>
  <c r="J56" i="10"/>
  <c r="CG888" i="5"/>
  <c r="AB63" i="10" s="1"/>
  <c r="BJ903" i="5"/>
  <c r="BJ6" i="5" s="1"/>
  <c r="CG884" i="5"/>
  <c r="AB59" i="10" s="1"/>
  <c r="J68" i="10"/>
  <c r="BO903" i="5"/>
  <c r="BO6" i="5" s="1"/>
  <c r="BW886" i="5"/>
  <c r="R61" i="10" s="1"/>
  <c r="BV881" i="5"/>
  <c r="Q56" i="10" s="1"/>
  <c r="BW881" i="5"/>
  <c r="R56" i="10" s="1"/>
  <c r="BV884" i="5"/>
  <c r="Q59" i="10" s="1"/>
  <c r="AF59" i="10" s="1"/>
  <c r="BW883" i="5"/>
  <c r="R58" i="10" s="1"/>
  <c r="BV883" i="5"/>
  <c r="Q58" i="10" s="1"/>
  <c r="S68" i="10"/>
  <c r="AF68" i="10" s="1"/>
  <c r="BV882" i="5" l="1"/>
  <c r="Q57" i="10" s="1"/>
  <c r="BV879" i="5"/>
  <c r="Q54" i="10" s="1"/>
  <c r="EQ493" i="5"/>
  <c r="EQ548" i="5"/>
  <c r="EQ611" i="5"/>
  <c r="L84" i="20"/>
  <c r="L84" i="21" s="1"/>
  <c r="BV888" i="5"/>
  <c r="Q63" i="10" s="1"/>
  <c r="AF63" i="10" s="1"/>
  <c r="EQ631" i="5"/>
  <c r="EM274" i="5"/>
  <c r="EO274" i="5" s="1"/>
  <c r="EQ274" i="5" s="1"/>
  <c r="EM211" i="5"/>
  <c r="EO211" i="5" s="1"/>
  <c r="EQ211" i="5" s="1"/>
  <c r="EM337" i="5"/>
  <c r="EO337" i="5" s="1"/>
  <c r="EQ337" i="5" s="1"/>
  <c r="EM420" i="5"/>
  <c r="EO420" i="5" s="1"/>
  <c r="EQ420" i="5" s="1"/>
  <c r="EQ410" i="5"/>
  <c r="EM425" i="5"/>
  <c r="EO425" i="5" s="1"/>
  <c r="EQ425" i="5" s="1"/>
  <c r="EM435" i="5"/>
  <c r="EO435" i="5" s="1"/>
  <c r="EQ435" i="5" s="1"/>
  <c r="EM367" i="5"/>
  <c r="EO367" i="5" s="1"/>
  <c r="EQ367" i="5" s="1"/>
  <c r="EM382" i="5"/>
  <c r="EO382" i="5" s="1"/>
  <c r="EQ382" i="5" s="1"/>
  <c r="EM387" i="5"/>
  <c r="EO387" i="5" s="1"/>
  <c r="EQ387" i="5" s="1"/>
  <c r="EM357" i="5"/>
  <c r="EO357" i="5" s="1"/>
  <c r="EQ357" i="5" s="1"/>
  <c r="EM347" i="5"/>
  <c r="EO347" i="5" s="1"/>
  <c r="EM332" i="5"/>
  <c r="EO332" i="5" s="1"/>
  <c r="EQ332" i="5" s="1"/>
  <c r="EM342" i="5"/>
  <c r="EO342" i="5" s="1"/>
  <c r="EQ342" i="5" s="1"/>
  <c r="EM231" i="5"/>
  <c r="EO231" i="5" s="1"/>
  <c r="EQ231" i="5" s="1"/>
  <c r="EM314" i="5"/>
  <c r="EO314" i="5" s="1"/>
  <c r="EQ314" i="5" s="1"/>
  <c r="EM319" i="5"/>
  <c r="EO319" i="5" s="1"/>
  <c r="EQ319" i="5" s="1"/>
  <c r="EM327" i="5"/>
  <c r="EO327" i="5" s="1"/>
  <c r="EQ327" i="5" s="1"/>
  <c r="EM269" i="5"/>
  <c r="EO269" i="5" s="1"/>
  <c r="EQ269" i="5" s="1"/>
  <c r="EM309" i="5"/>
  <c r="EO309" i="5" s="1"/>
  <c r="EQ309" i="5" s="1"/>
  <c r="EM284" i="5"/>
  <c r="EO284" i="5" s="1"/>
  <c r="EQ284" i="5" s="1"/>
  <c r="EM304" i="5"/>
  <c r="EO304" i="5" s="1"/>
  <c r="EQ304" i="5" s="1"/>
  <c r="EM294" i="5"/>
  <c r="EO294" i="5" s="1"/>
  <c r="EQ294" i="5" s="1"/>
  <c r="EM299" i="5"/>
  <c r="EO299" i="5" s="1"/>
  <c r="EQ299" i="5" s="1"/>
  <c r="EM289" i="5"/>
  <c r="EO289" i="5" s="1"/>
  <c r="EQ289" i="5" s="1"/>
  <c r="EM259" i="5"/>
  <c r="EO259" i="5" s="1"/>
  <c r="EQ259" i="5" s="1"/>
  <c r="EM279" i="5"/>
  <c r="EO279" i="5" s="1"/>
  <c r="EQ279" i="5" s="1"/>
  <c r="EM264" i="5"/>
  <c r="EO264" i="5" s="1"/>
  <c r="EQ264" i="5" s="1"/>
  <c r="EM254" i="5"/>
  <c r="EO254" i="5" s="1"/>
  <c r="EQ254" i="5" s="1"/>
  <c r="EM249" i="5"/>
  <c r="EO249" i="5" s="1"/>
  <c r="EQ249" i="5" s="1"/>
  <c r="EM236" i="5"/>
  <c r="EO236" i="5" s="1"/>
  <c r="EQ236" i="5" s="1"/>
  <c r="EM226" i="5"/>
  <c r="EO226" i="5" s="1"/>
  <c r="EQ226" i="5" s="1"/>
  <c r="EM221" i="5"/>
  <c r="EO221" i="5" s="1"/>
  <c r="EQ221" i="5" s="1"/>
  <c r="EM241" i="5"/>
  <c r="EO241" i="5" s="1"/>
  <c r="EQ241" i="5" s="1"/>
  <c r="EM216" i="5"/>
  <c r="EO216" i="5" s="1"/>
  <c r="EQ216" i="5" s="1"/>
  <c r="EM186" i="5"/>
  <c r="EO186" i="5" s="1"/>
  <c r="EQ186" i="5" s="1"/>
  <c r="EM201" i="5"/>
  <c r="EO201" i="5" s="1"/>
  <c r="EQ201" i="5" s="1"/>
  <c r="EM196" i="5"/>
  <c r="EO196" i="5" s="1"/>
  <c r="EQ196" i="5" s="1"/>
  <c r="EM206" i="5"/>
  <c r="EO206" i="5" s="1"/>
  <c r="EQ206" i="5" s="1"/>
  <c r="EM181" i="5"/>
  <c r="EO181" i="5" s="1"/>
  <c r="EQ181" i="5" s="1"/>
  <c r="EM176" i="5"/>
  <c r="EO176" i="5" s="1"/>
  <c r="EQ176" i="5" s="1"/>
  <c r="EM171" i="5"/>
  <c r="EO171" i="5" s="1"/>
  <c r="EQ171" i="5" s="1"/>
  <c r="EM163" i="5"/>
  <c r="EO163" i="5" s="1"/>
  <c r="EQ163" i="5" s="1"/>
  <c r="EM138" i="5"/>
  <c r="EO138" i="5" s="1"/>
  <c r="EQ138" i="5" s="1"/>
  <c r="EM158" i="5"/>
  <c r="EO158" i="5" s="1"/>
  <c r="EQ158" i="5" s="1"/>
  <c r="EM153" i="5"/>
  <c r="EO153" i="5" s="1"/>
  <c r="EQ153" i="5" s="1"/>
  <c r="BV890" i="5"/>
  <c r="Q65" i="10" s="1"/>
  <c r="EM143" i="5"/>
  <c r="EO143" i="5" s="1"/>
  <c r="EQ143" i="5" s="1"/>
  <c r="EM133" i="5"/>
  <c r="EO133" i="5" s="1"/>
  <c r="EQ133" i="5" s="1"/>
  <c r="EM40" i="5"/>
  <c r="EO40" i="5" s="1"/>
  <c r="BW882" i="5" s="1"/>
  <c r="R57" i="10" s="1"/>
  <c r="EM60" i="5"/>
  <c r="EO60" i="5" s="1"/>
  <c r="EQ60" i="5" s="1"/>
  <c r="EM85" i="5"/>
  <c r="EO85" i="5" s="1"/>
  <c r="EQ85" i="5" s="1"/>
  <c r="EM113" i="5"/>
  <c r="EO113" i="5" s="1"/>
  <c r="EQ113" i="5" s="1"/>
  <c r="EM50" i="5"/>
  <c r="EO50" i="5" s="1"/>
  <c r="EQ50" i="5" s="1"/>
  <c r="EM75" i="5"/>
  <c r="EO75" i="5" s="1"/>
  <c r="EQ75" i="5" s="1"/>
  <c r="EM123" i="5"/>
  <c r="EO123" i="5" s="1"/>
  <c r="EQ123" i="5" s="1"/>
  <c r="EM65" i="5"/>
  <c r="EO65" i="5" s="1"/>
  <c r="EQ65" i="5" s="1"/>
  <c r="EM118" i="5"/>
  <c r="EO118" i="5" s="1"/>
  <c r="EQ118" i="5" s="1"/>
  <c r="EM128" i="5"/>
  <c r="EO128" i="5" s="1"/>
  <c r="EQ128" i="5" s="1"/>
  <c r="EM45" i="5"/>
  <c r="EO45" i="5" s="1"/>
  <c r="EQ45" i="5" s="1"/>
  <c r="EM55" i="5"/>
  <c r="EO55" i="5" s="1"/>
  <c r="EQ55" i="5" s="1"/>
  <c r="AC26" i="10"/>
  <c r="EM103" i="5"/>
  <c r="EO103" i="5" s="1"/>
  <c r="EQ103" i="5" s="1"/>
  <c r="EM70" i="5"/>
  <c r="EO70" i="5" s="1"/>
  <c r="EQ70" i="5" s="1"/>
  <c r="EM80" i="5"/>
  <c r="EO80" i="5" s="1"/>
  <c r="EQ80" i="5" s="1"/>
  <c r="EM93" i="5"/>
  <c r="EO93" i="5" s="1"/>
  <c r="EQ93" i="5" s="1"/>
  <c r="EM98" i="5"/>
  <c r="EO98" i="5" s="1"/>
  <c r="EQ98" i="5" s="1"/>
  <c r="BV892" i="5"/>
  <c r="Q67" i="10" s="1"/>
  <c r="BV878" i="5"/>
  <c r="Q53" i="10" s="1"/>
  <c r="EQ503" i="5"/>
  <c r="O69" i="10"/>
  <c r="AE69" i="10" s="1"/>
  <c r="O66" i="10"/>
  <c r="AE66" i="10" s="1"/>
  <c r="O68" i="10"/>
  <c r="AE68" i="10" s="1"/>
  <c r="O64" i="10"/>
  <c r="AE64" i="10" s="1"/>
  <c r="BZ6" i="5"/>
  <c r="EQ455" i="5"/>
  <c r="EQ576" i="5"/>
  <c r="EQ397" i="5"/>
  <c r="O59" i="10"/>
  <c r="EQ601" i="5"/>
  <c r="I8" i="10"/>
  <c r="I11" i="10" s="1"/>
  <c r="EQ445" i="5"/>
  <c r="EQ523" i="5"/>
  <c r="EQ586" i="5"/>
  <c r="EQ571" i="5"/>
  <c r="O61" i="10"/>
  <c r="AC3" i="10"/>
  <c r="EQ513" i="5"/>
  <c r="O65" i="10"/>
  <c r="AE65" i="10" s="1"/>
  <c r="EQ430" i="5"/>
  <c r="EQ561" i="5"/>
  <c r="BD883" i="5"/>
  <c r="EQ566" i="5"/>
  <c r="EQ533" i="5"/>
  <c r="EQ752" i="5"/>
  <c r="EQ777" i="5"/>
  <c r="AC4" i="10"/>
  <c r="EQ362" i="5"/>
  <c r="EQ591" i="5"/>
  <c r="EQ737" i="5"/>
  <c r="EQ352" i="5"/>
  <c r="EQ483" i="5"/>
  <c r="EQ767" i="5"/>
  <c r="EQ488" i="5"/>
  <c r="EQ722" i="5"/>
  <c r="EQ727" i="5"/>
  <c r="EQ450" i="5"/>
  <c r="EQ717" i="5"/>
  <c r="EQ528" i="5"/>
  <c r="EQ581" i="5"/>
  <c r="EQ772" i="5"/>
  <c r="EQ782" i="5"/>
  <c r="O56" i="10"/>
  <c r="AE56" i="10" s="1"/>
  <c r="EQ460" i="5"/>
  <c r="EQ621" i="5"/>
  <c r="EQ787" i="5"/>
  <c r="EQ732" i="5"/>
  <c r="EQ762" i="5"/>
  <c r="EQ742" i="5"/>
  <c r="EQ415" i="5"/>
  <c r="EQ596" i="5"/>
  <c r="EQ626" i="5"/>
  <c r="EQ747" i="5"/>
  <c r="EQ757" i="5"/>
  <c r="EQ709" i="5"/>
  <c r="EQ644" i="5"/>
  <c r="EQ664" i="5"/>
  <c r="EQ659" i="5"/>
  <c r="EQ649" i="5"/>
  <c r="EQ694" i="5"/>
  <c r="EQ674" i="5"/>
  <c r="EQ669" i="5"/>
  <c r="EQ689" i="5"/>
  <c r="EQ704" i="5"/>
  <c r="EQ639" i="5"/>
  <c r="EQ679" i="5"/>
  <c r="EQ654" i="5"/>
  <c r="EQ699" i="5"/>
  <c r="EQ684" i="5"/>
  <c r="EQ475" i="5"/>
  <c r="EQ498" i="5"/>
  <c r="EQ553" i="5"/>
  <c r="EQ377" i="5"/>
  <c r="EQ606" i="5"/>
  <c r="EQ616" i="5"/>
  <c r="I28" i="10"/>
  <c r="I31" i="10" s="1"/>
  <c r="I18" i="10"/>
  <c r="I21" i="10" s="1"/>
  <c r="BV880" i="5"/>
  <c r="Q55" i="10" s="1"/>
  <c r="EQ465" i="5"/>
  <c r="EQ508" i="5"/>
  <c r="EQ543" i="5"/>
  <c r="EQ538" i="5"/>
  <c r="EQ405" i="5"/>
  <c r="I23" i="10"/>
  <c r="I26" i="10" s="1"/>
  <c r="EQ470" i="5"/>
  <c r="EQ440" i="5"/>
  <c r="EQ148" i="5"/>
  <c r="O62" i="10"/>
  <c r="EQ372" i="5"/>
  <c r="EQ392" i="5"/>
  <c r="EQ191" i="5"/>
  <c r="BX886" i="5" s="1"/>
  <c r="S61" i="10" s="1"/>
  <c r="O57" i="10"/>
  <c r="AE57" i="10" s="1"/>
  <c r="G14" i="10"/>
  <c r="P14" i="10" s="1"/>
  <c r="I72" i="10"/>
  <c r="G19" i="10"/>
  <c r="P19" i="10" s="1"/>
  <c r="G49" i="10"/>
  <c r="J19" i="10" s="1"/>
  <c r="H72" i="10"/>
  <c r="AC11" i="10"/>
  <c r="G24" i="10"/>
  <c r="P24" i="10" s="1"/>
  <c r="G29" i="10"/>
  <c r="P29" i="10" s="1"/>
  <c r="G4" i="10"/>
  <c r="L76" i="20" s="1"/>
  <c r="L76" i="21" s="1"/>
  <c r="J74" i="10"/>
  <c r="BD888" i="5"/>
  <c r="I76" i="10"/>
  <c r="AC16" i="10"/>
  <c r="CA6" i="5"/>
  <c r="O70" i="10"/>
  <c r="AE70" i="10" s="1"/>
  <c r="G9" i="10"/>
  <c r="P9" i="10" s="1"/>
  <c r="BT903" i="5"/>
  <c r="BT6" i="5" s="1"/>
  <c r="L72" i="10"/>
  <c r="O67" i="10"/>
  <c r="AE67" i="10" s="1"/>
  <c r="BD885" i="5"/>
  <c r="J76" i="10"/>
  <c r="L74" i="20" s="1"/>
  <c r="L74" i="21" s="1"/>
  <c r="AC21" i="10"/>
  <c r="AC6" i="10" s="1"/>
  <c r="BH909" i="5"/>
  <c r="G47" i="10"/>
  <c r="BQ903" i="5"/>
  <c r="BQ6" i="5" s="1"/>
  <c r="E28" i="5"/>
  <c r="T31" i="14" s="1"/>
  <c r="T37" i="14" s="1"/>
  <c r="L74" i="10"/>
  <c r="L76" i="10"/>
  <c r="J72" i="10"/>
  <c r="BX881" i="5"/>
  <c r="S56" i="10" s="1"/>
  <c r="AF56" i="10" s="1"/>
  <c r="BX883" i="5"/>
  <c r="S58" i="10" s="1"/>
  <c r="AF58" i="10"/>
  <c r="BW884" i="5"/>
  <c r="R59" i="10" s="1"/>
  <c r="BW877" i="5" l="1"/>
  <c r="R52" i="10" s="1"/>
  <c r="Z43" i="10"/>
  <c r="Z44" i="10" s="1"/>
  <c r="AA44" i="10" s="1"/>
  <c r="L82" i="20"/>
  <c r="L82" i="21" s="1"/>
  <c r="EQ347" i="5"/>
  <c r="BX879" i="5" s="1"/>
  <c r="S54" i="10" s="1"/>
  <c r="AF54" i="10" s="1"/>
  <c r="BW879" i="5"/>
  <c r="R54" i="10" s="1"/>
  <c r="Q74" i="10"/>
  <c r="BW888" i="5"/>
  <c r="R63" i="10" s="1"/>
  <c r="R74" i="10" s="1"/>
  <c r="AD9" i="10" s="1"/>
  <c r="AE9" i="10" s="1"/>
  <c r="AF9" i="10" s="1"/>
  <c r="AG9" i="10" s="1"/>
  <c r="BX888" i="5"/>
  <c r="S63" i="10" s="1"/>
  <c r="BX890" i="5"/>
  <c r="S65" i="10" s="1"/>
  <c r="AF65" i="10" s="1"/>
  <c r="BW890" i="5"/>
  <c r="R65" i="10" s="1"/>
  <c r="BW892" i="5"/>
  <c r="R67" i="10" s="1"/>
  <c r="Q72" i="10"/>
  <c r="J9" i="10"/>
  <c r="J14" i="10"/>
  <c r="O74" i="10"/>
  <c r="BE865" i="5" a="1"/>
  <c r="BE865" i="5" s="1"/>
  <c r="BF865" i="5" s="1"/>
  <c r="BF32" i="5" s="1"/>
  <c r="I3" i="10"/>
  <c r="I6" i="10" s="1"/>
  <c r="P4" i="10"/>
  <c r="BH911" i="5"/>
  <c r="BE862" i="5" a="1"/>
  <c r="BE862" i="5" s="1"/>
  <c r="BF862" i="5" s="1"/>
  <c r="BF26" i="5" s="1"/>
  <c r="BE864" i="5" a="1"/>
  <c r="BE864" i="5" s="1"/>
  <c r="BF864" i="5" s="1"/>
  <c r="BF30" i="5" s="1"/>
  <c r="BE860" i="5" a="1"/>
  <c r="BE860" i="5" s="1"/>
  <c r="BF860" i="5" s="1"/>
  <c r="BG860" i="5" s="1"/>
  <c r="BH860" i="5" s="1"/>
  <c r="Q76" i="10"/>
  <c r="BV903" i="5"/>
  <c r="BV6" i="5" s="1"/>
  <c r="BE855" i="5" a="1"/>
  <c r="BE855" i="5" s="1"/>
  <c r="BF855" i="5" s="1"/>
  <c r="BF12" i="5" s="1"/>
  <c r="AE72" i="10"/>
  <c r="AH58" i="10" s="1"/>
  <c r="AJ58" i="10" s="1"/>
  <c r="J24" i="10"/>
  <c r="E30" i="5"/>
  <c r="Z31" i="14" s="1"/>
  <c r="O72" i="10"/>
  <c r="O76" i="10"/>
  <c r="L80" i="20" s="1"/>
  <c r="L80" i="21" s="1"/>
  <c r="BE854" i="5" a="1"/>
  <c r="BE854" i="5" s="1"/>
  <c r="BF854" i="5" s="1"/>
  <c r="BG854" i="5" s="1"/>
  <c r="BG10" i="5" s="1"/>
  <c r="BE861" i="5" a="1"/>
  <c r="BE861" i="5" s="1"/>
  <c r="BF861" i="5" s="1"/>
  <c r="BF24" i="5" s="1"/>
  <c r="BE866" i="5" a="1"/>
  <c r="BE866" i="5" s="1"/>
  <c r="BF866" i="5" s="1"/>
  <c r="BG866" i="5" s="1"/>
  <c r="BH866" i="5" s="1"/>
  <c r="BI866" i="5" s="1"/>
  <c r="BE863" i="5" a="1"/>
  <c r="BE863" i="5" s="1"/>
  <c r="BF863" i="5" s="1"/>
  <c r="BG863" i="5" s="1"/>
  <c r="BH863" i="5" s="1"/>
  <c r="BE856" i="5" a="1"/>
  <c r="BE856" i="5" s="1"/>
  <c r="BF856" i="5" s="1"/>
  <c r="BF14" i="5" s="1"/>
  <c r="BE858" i="5" a="1"/>
  <c r="BE858" i="5" s="1"/>
  <c r="BF858" i="5" s="1"/>
  <c r="BG858" i="5" s="1"/>
  <c r="BH858" i="5" s="1"/>
  <c r="BE867" i="5" a="1"/>
  <c r="BE867" i="5" s="1"/>
  <c r="BF867" i="5" s="1"/>
  <c r="BG867" i="5" s="1"/>
  <c r="BH867" i="5" s="1"/>
  <c r="BI867" i="5" s="1"/>
  <c r="BJ867" i="5" s="1"/>
  <c r="BK867" i="5" s="1"/>
  <c r="BL867" i="5" s="1"/>
  <c r="BM867" i="5" s="1"/>
  <c r="BN867" i="5" s="1"/>
  <c r="BO867" i="5" s="1"/>
  <c r="BP867" i="5" s="1"/>
  <c r="BQ867" i="5" s="1"/>
  <c r="BR867" i="5" s="1"/>
  <c r="BS867" i="5" s="1"/>
  <c r="BT867" i="5" s="1"/>
  <c r="BU867" i="5" s="1"/>
  <c r="BV867" i="5" s="1"/>
  <c r="BW867" i="5" s="1"/>
  <c r="BX867" i="5" s="1"/>
  <c r="BY867" i="5" s="1"/>
  <c r="BZ867" i="5" s="1"/>
  <c r="CA867" i="5" s="1"/>
  <c r="CB867" i="5" s="1"/>
  <c r="CC867" i="5" s="1"/>
  <c r="CD867" i="5" s="1"/>
  <c r="CE867" i="5" s="1"/>
  <c r="CF867" i="5" s="1"/>
  <c r="CG867" i="5" s="1"/>
  <c r="BE859" i="5" a="1"/>
  <c r="BE859" i="5" s="1"/>
  <c r="BF859" i="5" s="1"/>
  <c r="BF20" i="5" s="1"/>
  <c r="BE857" i="5" a="1"/>
  <c r="BE857" i="5" s="1"/>
  <c r="BF857" i="5" s="1"/>
  <c r="BG857" i="5" s="1"/>
  <c r="BG16" i="5" s="1"/>
  <c r="BE853" i="5" a="1"/>
  <c r="BE853" i="5" s="1"/>
  <c r="CH853" i="5" s="1"/>
  <c r="EQ40" i="5"/>
  <c r="BX882" i="5" s="1"/>
  <c r="S57" i="10" s="1"/>
  <c r="AF57" i="10" s="1"/>
  <c r="BW880" i="5"/>
  <c r="R55" i="10" s="1"/>
  <c r="BW878" i="5"/>
  <c r="R53" i="10" s="1"/>
  <c r="J4" i="10"/>
  <c r="T28" i="5" s="1"/>
  <c r="BX892" i="5"/>
  <c r="S67" i="10" s="1"/>
  <c r="AF67" i="10" s="1"/>
  <c r="BX884" i="5"/>
  <c r="S59" i="10" s="1"/>
  <c r="BX880" i="5" l="1"/>
  <c r="S55" i="10" s="1"/>
  <c r="AF55" i="10" s="1"/>
  <c r="BX877" i="5"/>
  <c r="S52" i="10" s="1"/>
  <c r="AF52" i="10" s="1"/>
  <c r="S74" i="10"/>
  <c r="BX878" i="5"/>
  <c r="S53" i="10" s="1"/>
  <c r="AF53" i="10" s="1"/>
  <c r="CH858" i="5"/>
  <c r="CH865" i="5"/>
  <c r="AH60" i="10"/>
  <c r="AI60" i="10" s="1"/>
  <c r="BG22" i="5"/>
  <c r="CH855" i="5"/>
  <c r="CH860" i="5"/>
  <c r="AH55" i="10"/>
  <c r="AI55" i="10" s="1"/>
  <c r="AH66" i="10"/>
  <c r="AJ66" i="10" s="1"/>
  <c r="AH62" i="10"/>
  <c r="AI62" i="10" s="1"/>
  <c r="BF33" i="5"/>
  <c r="AH69" i="10"/>
  <c r="AI69" i="10" s="1"/>
  <c r="BF22" i="5"/>
  <c r="AH61" i="10"/>
  <c r="AJ61" i="10" s="1"/>
  <c r="AH65" i="10"/>
  <c r="AJ65" i="10" s="1"/>
  <c r="AH56" i="10"/>
  <c r="AI56" i="10" s="1"/>
  <c r="BG865" i="5"/>
  <c r="BH865" i="5" s="1"/>
  <c r="BH32" i="5" s="1"/>
  <c r="CH864" i="5"/>
  <c r="BG864" i="5"/>
  <c r="BH864" i="5" s="1"/>
  <c r="BI864" i="5" s="1"/>
  <c r="BG18" i="5"/>
  <c r="BG855" i="5"/>
  <c r="BG12" i="5" s="1"/>
  <c r="BG861" i="5"/>
  <c r="BH861" i="5" s="1"/>
  <c r="BI861" i="5" s="1"/>
  <c r="BH854" i="5"/>
  <c r="BH10" i="5" s="1"/>
  <c r="CH854" i="5"/>
  <c r="CH862" i="5"/>
  <c r="BF18" i="5"/>
  <c r="CH867" i="5"/>
  <c r="CH866" i="5"/>
  <c r="BG862" i="5"/>
  <c r="BH862" i="5" s="1"/>
  <c r="BH26" i="5" s="1"/>
  <c r="G8" i="10"/>
  <c r="G11" i="10" s="1"/>
  <c r="P11" i="10" s="1"/>
  <c r="AH68" i="10"/>
  <c r="AI68" i="10" s="1"/>
  <c r="AH67" i="10"/>
  <c r="AJ67" i="10" s="1"/>
  <c r="AI58" i="10"/>
  <c r="AH59" i="10"/>
  <c r="AI59" i="10" s="1"/>
  <c r="AH70" i="10"/>
  <c r="AI70" i="10" s="1"/>
  <c r="AH64" i="10"/>
  <c r="AI64" i="10" s="1"/>
  <c r="G23" i="10"/>
  <c r="P23" i="10" s="1"/>
  <c r="AH54" i="10"/>
  <c r="AI54" i="10" s="1"/>
  <c r="AH52" i="10"/>
  <c r="AI52" i="10" s="1"/>
  <c r="G28" i="10"/>
  <c r="G31" i="10" s="1"/>
  <c r="P31" i="10" s="1"/>
  <c r="AH57" i="10"/>
  <c r="AI57" i="10" s="1"/>
  <c r="G18" i="10"/>
  <c r="Q43" i="10" s="1"/>
  <c r="P18" i="10" s="1"/>
  <c r="AH53" i="10"/>
  <c r="AJ53" i="10" s="1"/>
  <c r="AH63" i="10"/>
  <c r="AJ63" i="10" s="1"/>
  <c r="G13" i="10"/>
  <c r="G16" i="10" s="1"/>
  <c r="P16" i="10" s="1"/>
  <c r="BH857" i="5"/>
  <c r="BH16" i="5" s="1"/>
  <c r="BF10" i="5"/>
  <c r="CH859" i="5"/>
  <c r="CH861" i="5"/>
  <c r="BF853" i="5"/>
  <c r="BF8" i="5" s="1"/>
  <c r="BH33" i="5"/>
  <c r="BG33" i="5"/>
  <c r="BG28" i="5"/>
  <c r="BF28" i="5"/>
  <c r="CH863" i="5"/>
  <c r="CH857" i="5"/>
  <c r="BG856" i="5"/>
  <c r="BG14" i="5" s="1"/>
  <c r="CH856" i="5"/>
  <c r="BF16" i="5"/>
  <c r="BG859" i="5"/>
  <c r="BG20" i="5" s="1"/>
  <c r="R72" i="10"/>
  <c r="BW903" i="5"/>
  <c r="BW6" i="5" s="1"/>
  <c r="R76" i="10"/>
  <c r="AD13" i="10" s="1"/>
  <c r="AE13" i="10" s="1"/>
  <c r="AF13" i="10" s="1"/>
  <c r="AG13" i="10" s="1"/>
  <c r="AD29" i="10"/>
  <c r="AE29" i="10" s="1"/>
  <c r="AF29" i="10" s="1"/>
  <c r="AG29" i="10" s="1"/>
  <c r="AD14" i="10"/>
  <c r="AE14" i="10" s="1"/>
  <c r="AF14" i="10" s="1"/>
  <c r="AG14" i="10" s="1"/>
  <c r="AD24" i="10"/>
  <c r="AE24" i="10" s="1"/>
  <c r="AD19" i="10"/>
  <c r="AE19" i="10" s="1"/>
  <c r="AF19" i="10" s="1"/>
  <c r="AG19" i="10" s="1"/>
  <c r="AF74" i="10"/>
  <c r="C4" i="10" s="1"/>
  <c r="D4" i="10" s="1"/>
  <c r="BI860" i="5"/>
  <c r="BH22" i="5"/>
  <c r="BI863" i="5"/>
  <c r="BH28" i="5"/>
  <c r="BI858" i="5"/>
  <c r="BH18" i="5"/>
  <c r="BJ866" i="5"/>
  <c r="BI33" i="5"/>
  <c r="AF72" i="10" l="1"/>
  <c r="C23" i="10" s="1"/>
  <c r="D23" i="10" s="1"/>
  <c r="AI61" i="10"/>
  <c r="S72" i="10"/>
  <c r="S76" i="10"/>
  <c r="BX903" i="5"/>
  <c r="BX6" i="5" s="1"/>
  <c r="AJ60" i="10"/>
  <c r="BI865" i="5"/>
  <c r="BI32" i="5" s="1"/>
  <c r="AJ62" i="10"/>
  <c r="AJ56" i="10"/>
  <c r="AJ69" i="10"/>
  <c r="AJ55" i="10"/>
  <c r="AI66" i="10"/>
  <c r="BG32" i="5"/>
  <c r="AI65" i="10"/>
  <c r="BH30" i="5"/>
  <c r="BG30" i="5"/>
  <c r="BG24" i="5"/>
  <c r="BH856" i="5"/>
  <c r="BI856" i="5" s="1"/>
  <c r="BJ856" i="5" s="1"/>
  <c r="BH855" i="5"/>
  <c r="BI855" i="5" s="1"/>
  <c r="BI12" i="5" s="1"/>
  <c r="BH24" i="5"/>
  <c r="BI854" i="5"/>
  <c r="BJ854" i="5" s="1"/>
  <c r="AJ57" i="10"/>
  <c r="BI857" i="5"/>
  <c r="BI16" i="5" s="1"/>
  <c r="BG26" i="5"/>
  <c r="BI862" i="5"/>
  <c r="BI26" i="5" s="1"/>
  <c r="C93" i="10"/>
  <c r="P28" i="10"/>
  <c r="AI63" i="10"/>
  <c r="G21" i="10"/>
  <c r="P21" i="10" s="1"/>
  <c r="AJ54" i="10"/>
  <c r="AI67" i="10"/>
  <c r="BF852" i="5"/>
  <c r="AJ59" i="10"/>
  <c r="P8" i="10"/>
  <c r="AJ68" i="10"/>
  <c r="AJ52" i="10"/>
  <c r="G3" i="10"/>
  <c r="G6" i="10" s="1"/>
  <c r="P13" i="10"/>
  <c r="AJ70" i="10"/>
  <c r="AI53" i="10"/>
  <c r="AJ64" i="10"/>
  <c r="AH72" i="10"/>
  <c r="G26" i="10"/>
  <c r="P26" i="10" s="1"/>
  <c r="BG853" i="5"/>
  <c r="BG8" i="5" s="1"/>
  <c r="BH859" i="5"/>
  <c r="BI859" i="5" s="1"/>
  <c r="BI20" i="5" s="1"/>
  <c r="AD4" i="10"/>
  <c r="AD8" i="10"/>
  <c r="AE8" i="10" s="1"/>
  <c r="AF8" i="10" s="1"/>
  <c r="AG8" i="10" s="1"/>
  <c r="AD18" i="10"/>
  <c r="AD21" i="10" s="1"/>
  <c r="AE21" i="10" s="1"/>
  <c r="AF21" i="10" s="1"/>
  <c r="AG21" i="10" s="1"/>
  <c r="AD23" i="10"/>
  <c r="AD26" i="10" s="1"/>
  <c r="AE26" i="10" s="1"/>
  <c r="AF26" i="10" s="1"/>
  <c r="AD28" i="10"/>
  <c r="AE28" i="10" s="1"/>
  <c r="AF28" i="10" s="1"/>
  <c r="AG28" i="10" s="1"/>
  <c r="AD16" i="10"/>
  <c r="AE16" i="10" s="1"/>
  <c r="AF16" i="10" s="1"/>
  <c r="AG16" i="10" s="1"/>
  <c r="P3" i="10"/>
  <c r="C14" i="10"/>
  <c r="D14" i="10" s="1"/>
  <c r="K14" i="10" s="1"/>
  <c r="C24" i="10"/>
  <c r="D24" i="10" s="1"/>
  <c r="K24" i="10" s="1"/>
  <c r="C29" i="10"/>
  <c r="D29" i="10" s="1"/>
  <c r="K29" i="10" s="1"/>
  <c r="C19" i="10"/>
  <c r="D19" i="10" s="1"/>
  <c r="K19" i="10" s="1"/>
  <c r="C9" i="10"/>
  <c r="D9" i="10" s="1"/>
  <c r="K9" i="10" s="1"/>
  <c r="AF24" i="10"/>
  <c r="AF4" i="10" s="1"/>
  <c r="AE4" i="10"/>
  <c r="K4" i="10"/>
  <c r="BJ861" i="5"/>
  <c r="BI24" i="5"/>
  <c r="BJ858" i="5"/>
  <c r="BI18" i="5"/>
  <c r="BJ860" i="5"/>
  <c r="BI22" i="5"/>
  <c r="BK866" i="5"/>
  <c r="BJ33" i="5"/>
  <c r="BJ864" i="5"/>
  <c r="BI30" i="5"/>
  <c r="BJ863" i="5"/>
  <c r="BI28" i="5"/>
  <c r="AF75" i="10" l="1"/>
  <c r="C8" i="10"/>
  <c r="D8" i="10" s="1"/>
  <c r="C98" i="10" s="1"/>
  <c r="C13" i="10"/>
  <c r="D13" i="10" s="1"/>
  <c r="T13" i="10" s="1"/>
  <c r="C18" i="10"/>
  <c r="D18" i="10" s="1"/>
  <c r="D21" i="10" s="1"/>
  <c r="BH14" i="5"/>
  <c r="BJ865" i="5"/>
  <c r="BK865" i="5" s="1"/>
  <c r="BJ855" i="5"/>
  <c r="BK855" i="5" s="1"/>
  <c r="BJ857" i="5"/>
  <c r="BJ16" i="5" s="1"/>
  <c r="BI14" i="5"/>
  <c r="BH12" i="5"/>
  <c r="BI10" i="5"/>
  <c r="BJ862" i="5"/>
  <c r="BK862" i="5" s="1"/>
  <c r="BJ859" i="5"/>
  <c r="BJ20" i="5" s="1"/>
  <c r="AI72" i="10"/>
  <c r="L8" i="10" s="1"/>
  <c r="C99" i="10" s="1"/>
  <c r="BH853" i="5"/>
  <c r="BH8" i="5" s="1"/>
  <c r="P6" i="10"/>
  <c r="N31" i="14" s="1"/>
  <c r="AJ72" i="10"/>
  <c r="H8" i="10" s="1"/>
  <c r="CG6" i="5" s="1"/>
  <c r="BH20" i="5"/>
  <c r="AD3" i="10"/>
  <c r="AD11" i="10"/>
  <c r="AE11" i="10" s="1"/>
  <c r="AF11" i="10" s="1"/>
  <c r="AG11" i="10" s="1"/>
  <c r="AE18" i="10"/>
  <c r="AF18" i="10" s="1"/>
  <c r="AF3" i="10" s="1"/>
  <c r="AE23" i="10"/>
  <c r="AF23" i="10" s="1"/>
  <c r="AD31" i="10"/>
  <c r="AE31" i="10" s="1"/>
  <c r="AF31" i="10" s="1"/>
  <c r="AG31" i="10" s="1"/>
  <c r="D26" i="10"/>
  <c r="C26" i="10"/>
  <c r="AG24" i="10"/>
  <c r="AG4" i="10" s="1"/>
  <c r="BK864" i="5"/>
  <c r="BJ30" i="5"/>
  <c r="BK861" i="5"/>
  <c r="BJ24" i="5"/>
  <c r="BK863" i="5"/>
  <c r="BJ28" i="5"/>
  <c r="BL866" i="5"/>
  <c r="BK33" i="5"/>
  <c r="BK856" i="5"/>
  <c r="BJ14" i="5"/>
  <c r="BK860" i="5"/>
  <c r="BJ22" i="5"/>
  <c r="BK858" i="5"/>
  <c r="BJ18" i="5"/>
  <c r="BK854" i="5"/>
  <c r="BJ10" i="5"/>
  <c r="AG26" i="10"/>
  <c r="C11" i="10" l="1"/>
  <c r="D16" i="10"/>
  <c r="C16" i="10"/>
  <c r="T18" i="10"/>
  <c r="T3" i="10" s="1"/>
  <c r="C21" i="10"/>
  <c r="D11" i="10"/>
  <c r="T8" i="10"/>
  <c r="A98" i="10" s="1"/>
  <c r="BJ32" i="5"/>
  <c r="BK857" i="5"/>
  <c r="BK16" i="5" s="1"/>
  <c r="BJ12" i="5"/>
  <c r="AX10" i="5"/>
  <c r="BK859" i="5"/>
  <c r="BK20" i="5" s="1"/>
  <c r="BJ26" i="5"/>
  <c r="L28" i="10"/>
  <c r="U28" i="10" s="1"/>
  <c r="Y28" i="10" s="1"/>
  <c r="J28" i="10" s="1"/>
  <c r="J30" i="10" s="1"/>
  <c r="J31" i="10" s="1"/>
  <c r="L13" i="10"/>
  <c r="U13" i="10" s="1"/>
  <c r="L18" i="10"/>
  <c r="U18" i="10" s="1"/>
  <c r="U3" i="10" s="1"/>
  <c r="C94" i="10"/>
  <c r="L23" i="10"/>
  <c r="U23" i="10" s="1"/>
  <c r="Y23" i="10" s="1"/>
  <c r="J23" i="10" s="1"/>
  <c r="U8" i="10"/>
  <c r="A99" i="10" s="1"/>
  <c r="BI853" i="5"/>
  <c r="BI8" i="5" s="1"/>
  <c r="N8" i="10"/>
  <c r="O8" i="10" s="1"/>
  <c r="AX8" i="5" s="1"/>
  <c r="H13" i="10"/>
  <c r="Q13" i="10" s="1"/>
  <c r="Q8" i="10"/>
  <c r="H23" i="10"/>
  <c r="Q23" i="10" s="1"/>
  <c r="H11" i="10"/>
  <c r="H18" i="10"/>
  <c r="H3" i="10" s="1"/>
  <c r="AE3" i="10"/>
  <c r="AB72" i="10"/>
  <c r="H28" i="10"/>
  <c r="N28" i="10" s="1"/>
  <c r="AA28" i="10" s="1"/>
  <c r="AG18" i="10"/>
  <c r="AG3" i="10" s="1"/>
  <c r="AG6" i="10"/>
  <c r="AE6" i="10"/>
  <c r="AD6" i="10"/>
  <c r="AF6" i="10"/>
  <c r="AG23" i="10"/>
  <c r="BL860" i="5"/>
  <c r="BK22" i="5"/>
  <c r="BM866" i="5"/>
  <c r="BL33" i="5"/>
  <c r="BL861" i="5"/>
  <c r="BK24" i="5"/>
  <c r="BL865" i="5"/>
  <c r="BK32" i="5"/>
  <c r="BL864" i="5"/>
  <c r="BK30" i="5"/>
  <c r="BL858" i="5"/>
  <c r="BK18" i="5"/>
  <c r="BL856" i="5"/>
  <c r="BK14" i="5"/>
  <c r="BL863" i="5"/>
  <c r="BK28" i="5"/>
  <c r="BL855" i="5"/>
  <c r="BK12" i="5"/>
  <c r="BL862" i="5"/>
  <c r="BK26" i="5"/>
  <c r="BL854" i="5"/>
  <c r="BK10" i="5"/>
  <c r="Q11" i="10" l="1"/>
  <c r="BL857" i="5"/>
  <c r="BM857" i="5" s="1"/>
  <c r="BL859" i="5"/>
  <c r="BL20" i="5" s="1"/>
  <c r="L3" i="10"/>
  <c r="V106" i="20" s="1"/>
  <c r="V106" i="21" s="1"/>
  <c r="K30" i="10"/>
  <c r="C28" i="10"/>
  <c r="C31" i="10" s="1"/>
  <c r="H31" i="10"/>
  <c r="A96" i="10"/>
  <c r="W8" i="10"/>
  <c r="A101" i="10" s="1"/>
  <c r="C96" i="10"/>
  <c r="C101" i="10" s="1"/>
  <c r="A97" i="10"/>
  <c r="AA8" i="10"/>
  <c r="V8" i="10" s="1"/>
  <c r="A100" i="10" s="1"/>
  <c r="N23" i="10"/>
  <c r="O23" i="10" s="1"/>
  <c r="BJ853" i="5"/>
  <c r="BJ8" i="5" s="1"/>
  <c r="N13" i="10"/>
  <c r="O13" i="10" s="1"/>
  <c r="Q18" i="10"/>
  <c r="H21" i="10"/>
  <c r="Q21" i="10" s="1"/>
  <c r="Q44" i="10"/>
  <c r="N18" i="10" s="1"/>
  <c r="N3" i="10" s="1"/>
  <c r="H16" i="10"/>
  <c r="Q16" i="10" s="1"/>
  <c r="H26" i="10"/>
  <c r="Q26" i="10" s="1"/>
  <c r="C3" i="10"/>
  <c r="C6" i="10" s="1"/>
  <c r="H6" i="10"/>
  <c r="BM862" i="5"/>
  <c r="BL26" i="5"/>
  <c r="BM855" i="5"/>
  <c r="BL12" i="5"/>
  <c r="BM856" i="5"/>
  <c r="BL14" i="5"/>
  <c r="BM864" i="5"/>
  <c r="BL30" i="5"/>
  <c r="BM861" i="5"/>
  <c r="BL24" i="5"/>
  <c r="BM860" i="5"/>
  <c r="BL22" i="5"/>
  <c r="BM863" i="5"/>
  <c r="BL28" i="5"/>
  <c r="BM858" i="5"/>
  <c r="BL18" i="5"/>
  <c r="BM865" i="5"/>
  <c r="BL32" i="5"/>
  <c r="BN866" i="5"/>
  <c r="BM33" i="5"/>
  <c r="BM854" i="5"/>
  <c r="BL10" i="5"/>
  <c r="K20" i="5"/>
  <c r="R23" i="10"/>
  <c r="J25" i="10"/>
  <c r="K23" i="10"/>
  <c r="O28" i="10" l="1"/>
  <c r="BL16" i="5"/>
  <c r="M23" i="10"/>
  <c r="BM859" i="5"/>
  <c r="BM20" i="5" s="1"/>
  <c r="A103" i="10"/>
  <c r="D28" i="10"/>
  <c r="K28" i="10" s="1"/>
  <c r="M28" i="10" s="1"/>
  <c r="O18" i="10"/>
  <c r="O3" i="10" s="1"/>
  <c r="Z37" i="14" s="1"/>
  <c r="BK853" i="5"/>
  <c r="BK8" i="5" s="1"/>
  <c r="AA13" i="10"/>
  <c r="V13" i="10" s="1"/>
  <c r="Y8" i="10"/>
  <c r="J8" i="10" s="1"/>
  <c r="J10" i="10" s="1"/>
  <c r="K10" i="10" s="1"/>
  <c r="C95" i="10"/>
  <c r="C100" i="10" s="1"/>
  <c r="C103" i="10" s="1"/>
  <c r="A95" i="10"/>
  <c r="C97" i="10"/>
  <c r="AA23" i="10"/>
  <c r="W13" i="10"/>
  <c r="AA18" i="10"/>
  <c r="V18" i="10" s="1"/>
  <c r="W18" i="10"/>
  <c r="W3" i="10" s="1"/>
  <c r="D3" i="10"/>
  <c r="D6" i="10" s="1"/>
  <c r="BN857" i="5"/>
  <c r="BM16" i="5"/>
  <c r="BN865" i="5"/>
  <c r="BM32" i="5"/>
  <c r="BN863" i="5"/>
  <c r="BM28" i="5"/>
  <c r="BN860" i="5"/>
  <c r="BM22" i="5"/>
  <c r="BN864" i="5"/>
  <c r="BM30" i="5"/>
  <c r="BN855" i="5"/>
  <c r="BM12" i="5"/>
  <c r="BO866" i="5"/>
  <c r="BN33" i="5"/>
  <c r="BN858" i="5"/>
  <c r="BM18" i="5"/>
  <c r="BN861" i="5"/>
  <c r="BM24" i="5"/>
  <c r="BN856" i="5"/>
  <c r="BM14" i="5"/>
  <c r="BN862" i="5"/>
  <c r="BM26" i="5"/>
  <c r="BN854" i="5"/>
  <c r="BM10" i="5"/>
  <c r="H31" i="14"/>
  <c r="K25" i="10"/>
  <c r="J26" i="10"/>
  <c r="R26" i="10" s="1"/>
  <c r="AA26" i="5" l="1"/>
  <c r="V108" i="20"/>
  <c r="V108" i="21" s="1"/>
  <c r="Q28" i="10"/>
  <c r="Q3" i="10" s="1"/>
  <c r="BN859" i="5"/>
  <c r="BN20" i="5" s="1"/>
  <c r="R28" i="10"/>
  <c r="Z46" i="10"/>
  <c r="D31" i="10"/>
  <c r="K31" i="10" s="1"/>
  <c r="R8" i="10"/>
  <c r="K8" i="10"/>
  <c r="M8" i="10" s="1"/>
  <c r="BL853" i="5"/>
  <c r="BL8" i="5" s="1"/>
  <c r="Y13" i="10"/>
  <c r="J13" i="10" s="1"/>
  <c r="J15" i="10" s="1"/>
  <c r="K15" i="10" s="1"/>
  <c r="AA3" i="10"/>
  <c r="V3" i="10"/>
  <c r="Y18" i="10"/>
  <c r="BO862" i="5"/>
  <c r="BN26" i="5"/>
  <c r="BO861" i="5"/>
  <c r="BN24" i="5"/>
  <c r="BO858" i="5"/>
  <c r="BN18" i="5"/>
  <c r="BO855" i="5"/>
  <c r="BN12" i="5"/>
  <c r="BO860" i="5"/>
  <c r="BN22" i="5"/>
  <c r="BO865" i="5"/>
  <c r="BN32" i="5"/>
  <c r="BO856" i="5"/>
  <c r="BN14" i="5"/>
  <c r="BP866" i="5"/>
  <c r="BO33" i="5"/>
  <c r="BO864" i="5"/>
  <c r="BN30" i="5"/>
  <c r="BO863" i="5"/>
  <c r="BN28" i="5"/>
  <c r="BO857" i="5"/>
  <c r="BN16" i="5"/>
  <c r="BO854" i="5"/>
  <c r="BN10" i="5"/>
  <c r="E32" i="5"/>
  <c r="K26" i="10"/>
  <c r="J11" i="10"/>
  <c r="Q31" i="10" l="1"/>
  <c r="Q6" i="10" s="1"/>
  <c r="N35" i="14" s="1"/>
  <c r="BO859" i="5"/>
  <c r="BP859" i="5" s="1"/>
  <c r="R31" i="10"/>
  <c r="R13" i="10"/>
  <c r="BM853" i="5"/>
  <c r="BM8" i="5" s="1"/>
  <c r="K13" i="10"/>
  <c r="M13" i="10" s="1"/>
  <c r="J16" i="10"/>
  <c r="K16" i="10" s="1"/>
  <c r="J18" i="10"/>
  <c r="R18" i="10" s="1"/>
  <c r="R3" i="10" s="1"/>
  <c r="Y3" i="10"/>
  <c r="BP857" i="5"/>
  <c r="BO16" i="5"/>
  <c r="BP864" i="5"/>
  <c r="BO30" i="5"/>
  <c r="BP865" i="5"/>
  <c r="BO32" i="5"/>
  <c r="BP855" i="5"/>
  <c r="BO12" i="5"/>
  <c r="BP861" i="5"/>
  <c r="BO24" i="5"/>
  <c r="BP863" i="5"/>
  <c r="BO28" i="5"/>
  <c r="BQ866" i="5"/>
  <c r="BP33" i="5"/>
  <c r="BP856" i="5"/>
  <c r="BO14" i="5"/>
  <c r="BP860" i="5"/>
  <c r="BO22" i="5"/>
  <c r="BP858" i="5"/>
  <c r="BO18" i="5"/>
  <c r="BP862" i="5"/>
  <c r="BO26" i="5"/>
  <c r="BP854" i="5"/>
  <c r="BO10" i="5"/>
  <c r="K22" i="5"/>
  <c r="K11" i="10"/>
  <c r="R11" i="10"/>
  <c r="Z35" i="14"/>
  <c r="AX6" i="5"/>
  <c r="AO326" i="5" s="1"/>
  <c r="BO20" i="5" l="1"/>
  <c r="R16" i="10"/>
  <c r="BN853" i="5"/>
  <c r="BN8" i="5" s="1"/>
  <c r="K18" i="10"/>
  <c r="J20" i="10"/>
  <c r="J21" i="10" s="1"/>
  <c r="R21" i="10" s="1"/>
  <c r="R6" i="10" s="1"/>
  <c r="J3" i="10"/>
  <c r="T26" i="5" s="1"/>
  <c r="AO716" i="5"/>
  <c r="AO248" i="5"/>
  <c r="AO560" i="5"/>
  <c r="AO170" i="5"/>
  <c r="AO482" i="5"/>
  <c r="AO404" i="5"/>
  <c r="AO638" i="5"/>
  <c r="X20" i="5"/>
  <c r="Y28" i="5"/>
  <c r="BQ862" i="5"/>
  <c r="BP26" i="5"/>
  <c r="BQ860" i="5"/>
  <c r="BP22" i="5"/>
  <c r="BR866" i="5"/>
  <c r="BQ33" i="5"/>
  <c r="BQ861" i="5"/>
  <c r="BP24" i="5"/>
  <c r="BQ865" i="5"/>
  <c r="BP32" i="5"/>
  <c r="BQ864" i="5"/>
  <c r="BP30" i="5"/>
  <c r="BQ858" i="5"/>
  <c r="BP18" i="5"/>
  <c r="BQ856" i="5"/>
  <c r="BP14" i="5"/>
  <c r="BQ863" i="5"/>
  <c r="BP28" i="5"/>
  <c r="BQ855" i="5"/>
  <c r="BP12" i="5"/>
  <c r="BQ859" i="5"/>
  <c r="BP20" i="5"/>
  <c r="BQ857" i="5"/>
  <c r="BP16" i="5"/>
  <c r="BQ854" i="5"/>
  <c r="BP10" i="5"/>
  <c r="H33" i="14"/>
  <c r="AO92" i="5"/>
  <c r="BO853" i="5" l="1"/>
  <c r="BO8" i="5" s="1"/>
  <c r="N37" i="14"/>
  <c r="K20" i="10"/>
  <c r="J5" i="10"/>
  <c r="K21" i="10"/>
  <c r="J6" i="10"/>
  <c r="M18" i="10"/>
  <c r="M3" i="10" s="1"/>
  <c r="K3" i="10"/>
  <c r="V55" i="14"/>
  <c r="BR857" i="5"/>
  <c r="BQ16" i="5"/>
  <c r="BR855" i="5"/>
  <c r="BQ12" i="5"/>
  <c r="BR856" i="5"/>
  <c r="BQ14" i="5"/>
  <c r="BR864" i="5"/>
  <c r="BQ30" i="5"/>
  <c r="BR861" i="5"/>
  <c r="BQ24" i="5"/>
  <c r="BR860" i="5"/>
  <c r="BQ22" i="5"/>
  <c r="BR859" i="5"/>
  <c r="BQ20" i="5"/>
  <c r="BR863" i="5"/>
  <c r="BQ28" i="5"/>
  <c r="BR858" i="5"/>
  <c r="BQ18" i="5"/>
  <c r="BR865" i="5"/>
  <c r="BQ32" i="5"/>
  <c r="BS866" i="5"/>
  <c r="BR33" i="5"/>
  <c r="BR862" i="5"/>
  <c r="BQ26" i="5"/>
  <c r="BR854" i="5"/>
  <c r="BQ10" i="5"/>
  <c r="BP853" i="5" l="1"/>
  <c r="BP8" i="5" s="1"/>
  <c r="K5" i="10"/>
  <c r="T30" i="5"/>
  <c r="K6" i="10"/>
  <c r="BS865" i="5"/>
  <c r="BR32" i="5"/>
  <c r="BS860" i="5"/>
  <c r="BR22" i="5"/>
  <c r="BS855" i="5"/>
  <c r="BR12" i="5"/>
  <c r="BS862" i="5"/>
  <c r="BR26" i="5"/>
  <c r="BS863" i="5"/>
  <c r="BR28" i="5"/>
  <c r="BS864" i="5"/>
  <c r="BR30" i="5"/>
  <c r="BT866" i="5"/>
  <c r="BS33" i="5"/>
  <c r="BS858" i="5"/>
  <c r="BR18" i="5"/>
  <c r="BS859" i="5"/>
  <c r="BR20" i="5"/>
  <c r="BS861" i="5"/>
  <c r="BR24" i="5"/>
  <c r="BS856" i="5"/>
  <c r="BR14" i="5"/>
  <c r="BS857" i="5"/>
  <c r="BR16" i="5"/>
  <c r="BS854" i="5"/>
  <c r="BR10" i="5"/>
  <c r="BQ853" i="5" l="1"/>
  <c r="BQ8" i="5" s="1"/>
  <c r="AH55" i="14"/>
  <c r="AD35" i="22" s="1"/>
  <c r="T20" i="5"/>
  <c r="T32" i="5"/>
  <c r="BT857" i="5"/>
  <c r="BS16" i="5"/>
  <c r="BT861" i="5"/>
  <c r="BS24" i="5"/>
  <c r="BT864" i="5"/>
  <c r="BS30" i="5"/>
  <c r="BT862" i="5"/>
  <c r="BS26" i="5"/>
  <c r="BT860" i="5"/>
  <c r="BS22" i="5"/>
  <c r="BT858" i="5"/>
  <c r="BS18" i="5"/>
  <c r="BT856" i="5"/>
  <c r="BS14" i="5"/>
  <c r="BT859" i="5"/>
  <c r="BS20" i="5"/>
  <c r="BU866" i="5"/>
  <c r="BT33" i="5"/>
  <c r="BT863" i="5"/>
  <c r="BS28" i="5"/>
  <c r="BT855" i="5"/>
  <c r="BS12" i="5"/>
  <c r="BT865" i="5"/>
  <c r="BS32" i="5"/>
  <c r="BT854" i="5"/>
  <c r="BS10" i="5"/>
  <c r="BR853" i="5" l="1"/>
  <c r="BR8" i="5" s="1"/>
  <c r="AJ31" i="14"/>
  <c r="AJ37" i="14" s="1"/>
  <c r="AX2" i="5"/>
  <c r="AR326" i="5" s="1"/>
  <c r="BU863" i="5"/>
  <c r="BT28" i="5"/>
  <c r="BU859" i="5"/>
  <c r="BT20" i="5"/>
  <c r="BU858" i="5"/>
  <c r="BT18" i="5"/>
  <c r="BU861" i="5"/>
  <c r="BT24" i="5"/>
  <c r="BU865" i="5"/>
  <c r="BT32" i="5"/>
  <c r="BU862" i="5"/>
  <c r="BT26" i="5"/>
  <c r="BU855" i="5"/>
  <c r="BT12" i="5"/>
  <c r="BV866" i="5"/>
  <c r="BU33" i="5"/>
  <c r="BU856" i="5"/>
  <c r="BT14" i="5"/>
  <c r="BU860" i="5"/>
  <c r="BT22" i="5"/>
  <c r="BU864" i="5"/>
  <c r="BT30" i="5"/>
  <c r="BU857" i="5"/>
  <c r="BT16" i="5"/>
  <c r="BU854" i="5"/>
  <c r="BT10" i="5"/>
  <c r="L102" i="21" l="1"/>
  <c r="O72" i="21"/>
  <c r="L102" i="20"/>
  <c r="O72" i="20"/>
  <c r="U322" i="20" s="1"/>
  <c r="BS853" i="5"/>
  <c r="BS8" i="5" s="1"/>
  <c r="AR170" i="5"/>
  <c r="AR638" i="5"/>
  <c r="AR716" i="5"/>
  <c r="B2" i="5"/>
  <c r="AR482" i="5"/>
  <c r="AR560" i="5"/>
  <c r="AR92" i="5"/>
  <c r="AR404" i="5"/>
  <c r="AR248" i="5"/>
  <c r="BV857" i="5"/>
  <c r="BU16" i="5"/>
  <c r="BW866" i="5"/>
  <c r="BV33" i="5"/>
  <c r="BV862" i="5"/>
  <c r="BU26" i="5"/>
  <c r="BV859" i="5"/>
  <c r="BU20" i="5"/>
  <c r="BV860" i="5"/>
  <c r="BU22" i="5"/>
  <c r="BV861" i="5"/>
  <c r="BU24" i="5"/>
  <c r="BV864" i="5"/>
  <c r="BU30" i="5"/>
  <c r="BV856" i="5"/>
  <c r="BU14" i="5"/>
  <c r="BV855" i="5"/>
  <c r="BU12" i="5"/>
  <c r="BV865" i="5"/>
  <c r="BU32" i="5"/>
  <c r="BV858" i="5"/>
  <c r="BU18" i="5"/>
  <c r="BV863" i="5"/>
  <c r="BU28" i="5"/>
  <c r="BV854" i="5"/>
  <c r="BU10" i="5"/>
  <c r="K24" i="5"/>
  <c r="BT853" i="5" l="1"/>
  <c r="BT8" i="5" s="1"/>
  <c r="BW863" i="5"/>
  <c r="BV28" i="5"/>
  <c r="BW856" i="5"/>
  <c r="BV14" i="5"/>
  <c r="BW861" i="5"/>
  <c r="BV24" i="5"/>
  <c r="BW859" i="5"/>
  <c r="BV20" i="5"/>
  <c r="BX866" i="5"/>
  <c r="BW33" i="5"/>
  <c r="BW865" i="5"/>
  <c r="BV32" i="5"/>
  <c r="BW858" i="5"/>
  <c r="BV18" i="5"/>
  <c r="BW855" i="5"/>
  <c r="BV12" i="5"/>
  <c r="BW864" i="5"/>
  <c r="BV30" i="5"/>
  <c r="BW860" i="5"/>
  <c r="BV22" i="5"/>
  <c r="BW862" i="5"/>
  <c r="BV26" i="5"/>
  <c r="BW857" i="5"/>
  <c r="BV16" i="5"/>
  <c r="BW854" i="5"/>
  <c r="BV10" i="5"/>
  <c r="H35" i="14"/>
  <c r="AX4" i="5"/>
  <c r="AM326" i="5" s="1"/>
  <c r="BU853" i="5" l="1"/>
  <c r="BU8" i="5" s="1"/>
  <c r="B4" i="5"/>
  <c r="AM638" i="5"/>
  <c r="AM248" i="5"/>
  <c r="AM560" i="5"/>
  <c r="AM170" i="5"/>
  <c r="AM482" i="5"/>
  <c r="AM404" i="5"/>
  <c r="AM716" i="5"/>
  <c r="BX857" i="5"/>
  <c r="BW16" i="5"/>
  <c r="BX860" i="5"/>
  <c r="BW22" i="5"/>
  <c r="BX855" i="5"/>
  <c r="BW12" i="5"/>
  <c r="BX865" i="5"/>
  <c r="BW32" i="5"/>
  <c r="BX859" i="5"/>
  <c r="BW20" i="5"/>
  <c r="BX856" i="5"/>
  <c r="BW14" i="5"/>
  <c r="BX862" i="5"/>
  <c r="BW26" i="5"/>
  <c r="BX864" i="5"/>
  <c r="BW30" i="5"/>
  <c r="BX858" i="5"/>
  <c r="BW18" i="5"/>
  <c r="BY866" i="5"/>
  <c r="BX33" i="5"/>
  <c r="BX861" i="5"/>
  <c r="BW24" i="5"/>
  <c r="BX863" i="5"/>
  <c r="BW28" i="5"/>
  <c r="BW10" i="5"/>
  <c r="BX854" i="5"/>
  <c r="AM92" i="5"/>
  <c r="H37" i="14"/>
  <c r="AJ35" i="14"/>
  <c r="BV853" i="5" l="1"/>
  <c r="BV8" i="5" s="1"/>
  <c r="BY863" i="5"/>
  <c r="BX28" i="5"/>
  <c r="BZ866" i="5"/>
  <c r="BY33" i="5"/>
  <c r="BY864" i="5"/>
  <c r="BX30" i="5"/>
  <c r="BY856" i="5"/>
  <c r="BX14" i="5"/>
  <c r="BY865" i="5"/>
  <c r="BX32" i="5"/>
  <c r="BY860" i="5"/>
  <c r="BX22" i="5"/>
  <c r="BY861" i="5"/>
  <c r="BX24" i="5"/>
  <c r="BY858" i="5"/>
  <c r="BX18" i="5"/>
  <c r="BY862" i="5"/>
  <c r="BX26" i="5"/>
  <c r="BY859" i="5"/>
  <c r="BX20" i="5"/>
  <c r="BY855" i="5"/>
  <c r="BX12" i="5"/>
  <c r="BY857" i="5"/>
  <c r="BX16" i="5"/>
  <c r="BY854" i="5"/>
  <c r="BX10" i="5"/>
  <c r="BW853" i="5" l="1"/>
  <c r="BW8" i="5" s="1"/>
  <c r="BZ857" i="5"/>
  <c r="BY16" i="5"/>
  <c r="BZ858" i="5"/>
  <c r="BY18" i="5"/>
  <c r="CA866" i="5"/>
  <c r="BZ33" i="5"/>
  <c r="BZ859" i="5"/>
  <c r="BY20" i="5"/>
  <c r="BZ860" i="5"/>
  <c r="BY22" i="5"/>
  <c r="BZ856" i="5"/>
  <c r="BY14" i="5"/>
  <c r="BZ855" i="5"/>
  <c r="BY12" i="5"/>
  <c r="BZ862" i="5"/>
  <c r="BY26" i="5"/>
  <c r="BZ861" i="5"/>
  <c r="BY24" i="5"/>
  <c r="BZ865" i="5"/>
  <c r="BY32" i="5"/>
  <c r="BZ864" i="5"/>
  <c r="BY30" i="5"/>
  <c r="BZ863" i="5"/>
  <c r="BY28" i="5"/>
  <c r="BZ854" i="5"/>
  <c r="BY10" i="5"/>
  <c r="BX853" i="5" l="1"/>
  <c r="BX8" i="5" s="1"/>
  <c r="CA863" i="5"/>
  <c r="BZ28" i="5"/>
  <c r="CA862" i="5"/>
  <c r="BZ26" i="5"/>
  <c r="CA856" i="5"/>
  <c r="BZ14" i="5"/>
  <c r="CA858" i="5"/>
  <c r="BZ18" i="5"/>
  <c r="CA865" i="5"/>
  <c r="BZ32" i="5"/>
  <c r="CA859" i="5"/>
  <c r="BZ20" i="5"/>
  <c r="CA864" i="5"/>
  <c r="BZ30" i="5"/>
  <c r="CA861" i="5"/>
  <c r="BZ24" i="5"/>
  <c r="CA855" i="5"/>
  <c r="BZ12" i="5"/>
  <c r="CA860" i="5"/>
  <c r="BZ22" i="5"/>
  <c r="CB866" i="5"/>
  <c r="CA33" i="5"/>
  <c r="CA857" i="5"/>
  <c r="BZ16" i="5"/>
  <c r="CA854" i="5"/>
  <c r="BZ10" i="5"/>
  <c r="BY853" i="5" l="1"/>
  <c r="BY8" i="5" s="1"/>
  <c r="CB857" i="5"/>
  <c r="CA16" i="5"/>
  <c r="CB860" i="5"/>
  <c r="CA22" i="5"/>
  <c r="CB859" i="5"/>
  <c r="CA20" i="5"/>
  <c r="CB858" i="5"/>
  <c r="CA18" i="5"/>
  <c r="CB862" i="5"/>
  <c r="CA26" i="5"/>
  <c r="CB861" i="5"/>
  <c r="CA24" i="5"/>
  <c r="CC866" i="5"/>
  <c r="CB33" i="5"/>
  <c r="CB855" i="5"/>
  <c r="CA12" i="5"/>
  <c r="CB864" i="5"/>
  <c r="CA30" i="5"/>
  <c r="CB865" i="5"/>
  <c r="CA32" i="5"/>
  <c r="CB856" i="5"/>
  <c r="CA14" i="5"/>
  <c r="CB863" i="5"/>
  <c r="CA28" i="5"/>
  <c r="CB854" i="5"/>
  <c r="CA10" i="5"/>
  <c r="AC51" i="8" l="1"/>
  <c r="AC56" i="8"/>
  <c r="AC50" i="8"/>
  <c r="AC48" i="8"/>
  <c r="AC45" i="8"/>
  <c r="BZ853" i="5"/>
  <c r="BZ8" i="5" s="1"/>
  <c r="AC42" i="8"/>
  <c r="AC43" i="8"/>
  <c r="AC41" i="8"/>
  <c r="AC39" i="8"/>
  <c r="AC36" i="8"/>
  <c r="AC35" i="8"/>
  <c r="CC865" i="5"/>
  <c r="CB32" i="5"/>
  <c r="CC861" i="5"/>
  <c r="CB24" i="5"/>
  <c r="CC860" i="5"/>
  <c r="CB22" i="5"/>
  <c r="CC863" i="5"/>
  <c r="CB28" i="5"/>
  <c r="CC855" i="5"/>
  <c r="CB12" i="5"/>
  <c r="CC858" i="5"/>
  <c r="CB18" i="5"/>
  <c r="CC856" i="5"/>
  <c r="CB14" i="5"/>
  <c r="CC864" i="5"/>
  <c r="CB30" i="5"/>
  <c r="CD866" i="5"/>
  <c r="CC33" i="5"/>
  <c r="CC862" i="5"/>
  <c r="CB26" i="5"/>
  <c r="CC859" i="5"/>
  <c r="CB20" i="5"/>
  <c r="CC857" i="5"/>
  <c r="CB16" i="5"/>
  <c r="CC854" i="5"/>
  <c r="CB10" i="5"/>
  <c r="CA853" i="5" l="1"/>
  <c r="CA8" i="5" s="1"/>
  <c r="CD857" i="5"/>
  <c r="CC16" i="5"/>
  <c r="CD864" i="5"/>
  <c r="CC30" i="5"/>
  <c r="CD858" i="5"/>
  <c r="CC18" i="5"/>
  <c r="CD863" i="5"/>
  <c r="CC28" i="5"/>
  <c r="CD861" i="5"/>
  <c r="CC24" i="5"/>
  <c r="CD862" i="5"/>
  <c r="CC26" i="5"/>
  <c r="CD859" i="5"/>
  <c r="CC20" i="5"/>
  <c r="CE866" i="5"/>
  <c r="CD33" i="5"/>
  <c r="CD856" i="5"/>
  <c r="CC14" i="5"/>
  <c r="CD855" i="5"/>
  <c r="CC12" i="5"/>
  <c r="CD860" i="5"/>
  <c r="CC22" i="5"/>
  <c r="CD865" i="5"/>
  <c r="CC32" i="5"/>
  <c r="CD854" i="5"/>
  <c r="CC10" i="5"/>
  <c r="CB853" i="5" l="1"/>
  <c r="CB8" i="5" s="1"/>
  <c r="CE865" i="5"/>
  <c r="CD32" i="5"/>
  <c r="CF866" i="5"/>
  <c r="CE33" i="5"/>
  <c r="CE862" i="5"/>
  <c r="CD26" i="5"/>
  <c r="CE864" i="5"/>
  <c r="CD30" i="5"/>
  <c r="CE855" i="5"/>
  <c r="CD12" i="5"/>
  <c r="CE863" i="5"/>
  <c r="CD28" i="5"/>
  <c r="CE860" i="5"/>
  <c r="CD22" i="5"/>
  <c r="CE856" i="5"/>
  <c r="CD14" i="5"/>
  <c r="CE859" i="5"/>
  <c r="CD20" i="5"/>
  <c r="CE861" i="5"/>
  <c r="CD24" i="5"/>
  <c r="CE858" i="5"/>
  <c r="CD18" i="5"/>
  <c r="CE857" i="5"/>
  <c r="CD16" i="5"/>
  <c r="CE854" i="5"/>
  <c r="CD10" i="5"/>
  <c r="O80" i="21" l="1"/>
  <c r="O80" i="20"/>
  <c r="CC853" i="5"/>
  <c r="CC8" i="5" s="1"/>
  <c r="CF857" i="5"/>
  <c r="CE16" i="5"/>
  <c r="CF861" i="5"/>
  <c r="CE24" i="5"/>
  <c r="CF863" i="5"/>
  <c r="CE28" i="5"/>
  <c r="CF864" i="5"/>
  <c r="CE30" i="5"/>
  <c r="CG866" i="5"/>
  <c r="CG33" i="5" s="1"/>
  <c r="CF33" i="5"/>
  <c r="CF856" i="5"/>
  <c r="CE14" i="5"/>
  <c r="CF858" i="5"/>
  <c r="CE18" i="5"/>
  <c r="CF859" i="5"/>
  <c r="CE20" i="5"/>
  <c r="CF860" i="5"/>
  <c r="CE22" i="5"/>
  <c r="CF855" i="5"/>
  <c r="CE12" i="5"/>
  <c r="CF862" i="5"/>
  <c r="CE26" i="5"/>
  <c r="CF865" i="5"/>
  <c r="CE32" i="5"/>
  <c r="CF854" i="5"/>
  <c r="CE10" i="5"/>
  <c r="CD853" i="5" l="1"/>
  <c r="CD8" i="5" s="1"/>
  <c r="CG855" i="5"/>
  <c r="CG12" i="5" s="1"/>
  <c r="CF12" i="5"/>
  <c r="CG856" i="5"/>
  <c r="CG14" i="5" s="1"/>
  <c r="CF14" i="5"/>
  <c r="CG861" i="5"/>
  <c r="CG24" i="5" s="1"/>
  <c r="CF24" i="5"/>
  <c r="CG865" i="5"/>
  <c r="CG32" i="5" s="1"/>
  <c r="CF32" i="5"/>
  <c r="CG859" i="5"/>
  <c r="CG20" i="5" s="1"/>
  <c r="CF20" i="5"/>
  <c r="CG864" i="5"/>
  <c r="CG30" i="5" s="1"/>
  <c r="CF30" i="5"/>
  <c r="CG862" i="5"/>
  <c r="CG26" i="5" s="1"/>
  <c r="CF26" i="5"/>
  <c r="CG860" i="5"/>
  <c r="CG22" i="5" s="1"/>
  <c r="CF22" i="5"/>
  <c r="CG858" i="5"/>
  <c r="CG18" i="5" s="1"/>
  <c r="CF18" i="5"/>
  <c r="CG863" i="5"/>
  <c r="CG28" i="5" s="1"/>
  <c r="CF28" i="5"/>
  <c r="CG857" i="5"/>
  <c r="CG16" i="5" s="1"/>
  <c r="CF16" i="5"/>
  <c r="CG854" i="5"/>
  <c r="CG10" i="5" s="1"/>
  <c r="CF10" i="5"/>
  <c r="KY73" i="8"/>
  <c r="HW28" i="8"/>
  <c r="HQ59" i="8"/>
  <c r="FZ54" i="8"/>
  <c r="JU29" i="8"/>
  <c r="C150" i="19"/>
  <c r="GY57" i="8"/>
  <c r="IV73" i="8"/>
  <c r="IU58" i="8"/>
  <c r="GW60" i="8"/>
  <c r="C238" i="19"/>
  <c r="GY62" i="8"/>
  <c r="HI68" i="8"/>
  <c r="HN71" i="8"/>
  <c r="HD40" i="8"/>
  <c r="HV63" i="8"/>
  <c r="KY50" i="8"/>
  <c r="B206" i="19"/>
  <c r="HV73" i="8"/>
  <c r="JT66" i="8"/>
  <c r="HQ47" i="8"/>
  <c r="KU59" i="8"/>
  <c r="HQ27" i="8"/>
  <c r="HW55" i="8"/>
  <c r="KS37" i="8"/>
  <c r="C138" i="19"/>
  <c r="IU62" i="8"/>
  <c r="HV60" i="8"/>
  <c r="GW49" i="8"/>
  <c r="KX71" i="8"/>
  <c r="HW60" i="8"/>
  <c r="GY48" i="8"/>
  <c r="HQ74" i="8"/>
  <c r="KY31" i="8"/>
  <c r="KY67" i="8"/>
  <c r="JU32" i="8"/>
  <c r="B237" i="19"/>
  <c r="KX50" i="8"/>
  <c r="C227" i="19"/>
  <c r="GA70" i="8"/>
  <c r="IV50" i="8"/>
  <c r="JT51" i="8"/>
  <c r="KS76" i="8"/>
  <c r="HI49" i="8"/>
  <c r="HD70" i="8"/>
  <c r="HI70" i="8"/>
  <c r="GW40" i="8"/>
  <c r="HD56" i="8"/>
  <c r="KY38" i="8"/>
  <c r="JU28" i="8"/>
  <c r="GW48" i="8"/>
  <c r="C144" i="19"/>
  <c r="HD66" i="8"/>
  <c r="GY55" i="8"/>
  <c r="HW73" i="8"/>
  <c r="JT73" i="8"/>
  <c r="HN67" i="8"/>
  <c r="FZ71" i="8"/>
  <c r="B159" i="19"/>
  <c r="HW53" i="8"/>
  <c r="HN57" i="8"/>
  <c r="B233" i="19"/>
  <c r="C179" i="19"/>
  <c r="FZ66" i="8"/>
  <c r="KY54" i="8"/>
  <c r="GX37" i="8"/>
  <c r="FZ32" i="8"/>
  <c r="HV40" i="8"/>
  <c r="KX54" i="8"/>
  <c r="HI54" i="8"/>
  <c r="JT33" i="8"/>
  <c r="HN76" i="8"/>
  <c r="KX41" i="8"/>
  <c r="C126" i="19"/>
  <c r="GY65" i="8"/>
  <c r="IV56" i="8"/>
  <c r="C186" i="19"/>
  <c r="KX29" i="8"/>
  <c r="C226" i="19"/>
  <c r="JT43" i="8"/>
  <c r="JU54" i="8"/>
  <c r="C235" i="19"/>
  <c r="GA34" i="8"/>
  <c r="C139" i="19"/>
  <c r="C148" i="19"/>
  <c r="KU57" i="8"/>
  <c r="FU38" i="8"/>
  <c r="GW69" i="8"/>
  <c r="IV45" i="8"/>
  <c r="KY34" i="8"/>
  <c r="HN58" i="8"/>
  <c r="GX74" i="8"/>
  <c r="B259" i="19"/>
  <c r="B191" i="19"/>
  <c r="JU71" i="8"/>
  <c r="HD75" i="8"/>
  <c r="KU64" i="8"/>
  <c r="HI71" i="8"/>
  <c r="HV39" i="8"/>
  <c r="HD49" i="8"/>
  <c r="KY45" i="8"/>
  <c r="GX69" i="8"/>
  <c r="KY64" i="8"/>
  <c r="FZ43" i="8"/>
  <c r="HW57" i="8"/>
  <c r="GY35" i="8"/>
  <c r="KU31" i="8"/>
  <c r="KY28" i="8"/>
  <c r="GA65" i="8"/>
  <c r="JU31" i="8"/>
  <c r="B220" i="19"/>
  <c r="B258" i="19"/>
  <c r="FZ74" i="8"/>
  <c r="KX62" i="8"/>
  <c r="GX63" i="8"/>
  <c r="FZ68" i="8"/>
  <c r="IU71" i="8"/>
  <c r="FZ64" i="8"/>
  <c r="HN51" i="8"/>
  <c r="C157" i="19"/>
  <c r="HN72" i="8"/>
  <c r="KU46" i="8"/>
  <c r="IU53" i="8"/>
  <c r="FZ65" i="8"/>
  <c r="HW75" i="8"/>
  <c r="KX49" i="8"/>
  <c r="HI76" i="8"/>
  <c r="C128" i="19"/>
  <c r="C208" i="19"/>
  <c r="HI58" i="8"/>
  <c r="HD60" i="8"/>
  <c r="C142" i="19"/>
  <c r="KS72" i="8"/>
  <c r="HQ41" i="8"/>
  <c r="C173" i="19"/>
  <c r="IV58" i="8"/>
  <c r="C253" i="19"/>
  <c r="G53" i="19"/>
  <c r="GW29" i="8"/>
  <c r="KS42" i="8"/>
  <c r="B137" i="19"/>
  <c r="HN68" i="8"/>
  <c r="HV32" i="8"/>
  <c r="HN61" i="8"/>
  <c r="JU39" i="8"/>
  <c r="HV33" i="8"/>
  <c r="HI51" i="8"/>
  <c r="HN66" i="8"/>
  <c r="HV41" i="8"/>
  <c r="HQ55" i="8"/>
  <c r="C197" i="19"/>
  <c r="KX44" i="8"/>
  <c r="C162" i="19"/>
  <c r="B247" i="19"/>
  <c r="GX65" i="8"/>
  <c r="IV75" i="8"/>
  <c r="B216" i="19"/>
  <c r="HD44" i="8"/>
  <c r="KS53" i="8"/>
  <c r="FU41" i="8"/>
  <c r="GA71" i="8"/>
  <c r="GY44" i="8"/>
  <c r="KS73" i="8"/>
  <c r="KX58" i="8"/>
  <c r="HV37" i="8"/>
  <c r="IV70" i="8"/>
  <c r="HD33" i="8"/>
  <c r="HQ60" i="8"/>
  <c r="HI73" i="8"/>
  <c r="GW31" i="8"/>
  <c r="KX70" i="8"/>
  <c r="IV38" i="8"/>
  <c r="C161" i="19"/>
  <c r="FU31" i="8"/>
  <c r="HW46" i="8"/>
  <c r="KU34" i="8"/>
  <c r="IV35" i="8"/>
  <c r="FZ70" i="8"/>
  <c r="GY49" i="8"/>
  <c r="HQ39" i="8"/>
  <c r="C147" i="19"/>
  <c r="HD45" i="8"/>
  <c r="GX52" i="8"/>
  <c r="IV61" i="8"/>
  <c r="HV58" i="8"/>
  <c r="GX33" i="8"/>
  <c r="HQ52" i="8"/>
  <c r="GY74" i="8"/>
  <c r="GY34" i="8"/>
  <c r="KU56" i="8"/>
  <c r="HW27" i="8"/>
  <c r="KX32" i="8"/>
  <c r="FU71" i="8"/>
  <c r="HQ63" i="8"/>
  <c r="KS33" i="8"/>
  <c r="JU40" i="8"/>
  <c r="KX28" i="8"/>
  <c r="KU32" i="8"/>
  <c r="C163" i="19"/>
  <c r="B264" i="19"/>
  <c r="GW62" i="8"/>
  <c r="C251" i="19"/>
  <c r="C198" i="19"/>
  <c r="GW37" i="8"/>
  <c r="HV72" i="8"/>
  <c r="FZ55" i="8"/>
  <c r="C145" i="19"/>
  <c r="KU35" i="8"/>
  <c r="FU57" i="8"/>
  <c r="C247" i="19"/>
  <c r="GW64" i="8"/>
  <c r="GX27" i="8"/>
  <c r="GA57" i="8"/>
  <c r="HQ29" i="8"/>
  <c r="FZ39" i="8"/>
  <c r="FU64" i="8"/>
  <c r="HD47" i="8"/>
  <c r="HV34" i="8"/>
  <c r="KU40" i="8"/>
  <c r="HW61" i="8"/>
  <c r="B210" i="19"/>
  <c r="IV33" i="8"/>
  <c r="GA56" i="8"/>
  <c r="FU73" i="8"/>
  <c r="C215" i="19"/>
  <c r="HN65" i="8"/>
  <c r="GA45" i="8"/>
  <c r="B240" i="19"/>
  <c r="KY57" i="8"/>
  <c r="JU48" i="8"/>
  <c r="KU63" i="8"/>
  <c r="HW72" i="8"/>
  <c r="KX31" i="8"/>
  <c r="HV51" i="8"/>
  <c r="B217" i="19"/>
  <c r="HQ70" i="8"/>
  <c r="KU66" i="8"/>
  <c r="KU33" i="8"/>
  <c r="B227" i="19"/>
  <c r="HQ75" i="8"/>
  <c r="F53" i="19"/>
  <c r="GA67" i="8"/>
  <c r="IV60" i="8"/>
  <c r="C133" i="19"/>
  <c r="C263" i="19"/>
  <c r="KY74" i="8"/>
  <c r="GA35" i="8"/>
  <c r="KU43" i="8"/>
  <c r="GA44" i="8"/>
  <c r="C261" i="19"/>
  <c r="KS52" i="8"/>
  <c r="KS39" i="8"/>
  <c r="FZ45" i="8"/>
  <c r="C169" i="19"/>
  <c r="GX31" i="8"/>
  <c r="C206" i="19"/>
  <c r="HD28" i="8"/>
  <c r="FU58" i="8"/>
  <c r="GA64" i="8"/>
  <c r="KS60" i="8"/>
  <c r="KU44" i="8"/>
  <c r="HD74" i="8"/>
  <c r="GA72" i="8"/>
  <c r="C209" i="19"/>
  <c r="JU52" i="8"/>
  <c r="C174" i="19"/>
  <c r="IU64" i="8"/>
  <c r="HN63" i="8"/>
  <c r="B199" i="19"/>
  <c r="C216" i="19"/>
  <c r="IU55" i="8"/>
  <c r="JT37" i="8"/>
  <c r="B255" i="19"/>
  <c r="GA32" i="8"/>
  <c r="HV71" i="8"/>
  <c r="B127" i="19"/>
  <c r="HN45" i="8"/>
  <c r="GW71" i="8"/>
  <c r="C245" i="19"/>
  <c r="GA58" i="8"/>
  <c r="KY48" i="8"/>
  <c r="HW50" i="8"/>
  <c r="GY68" i="8"/>
  <c r="JT74" i="8"/>
  <c r="HV31" i="8"/>
  <c r="FU37" i="8"/>
  <c r="JT38" i="8"/>
  <c r="FU33" i="8"/>
  <c r="HQ61" i="8"/>
  <c r="HW31" i="8"/>
  <c r="C151" i="19"/>
  <c r="C210" i="19"/>
  <c r="HD52" i="8"/>
  <c r="JT75" i="8"/>
  <c r="GW45" i="8"/>
  <c r="C262" i="19"/>
  <c r="GX68" i="8"/>
  <c r="IV72" i="8"/>
  <c r="IU51" i="8"/>
  <c r="KS41" i="8"/>
  <c r="C182" i="19"/>
  <c r="HI48" i="8"/>
  <c r="HI52" i="8"/>
  <c r="B149" i="19"/>
  <c r="C218" i="19"/>
  <c r="KU45" i="8"/>
  <c r="IV64" i="8"/>
  <c r="B239" i="19"/>
  <c r="KX53" i="8"/>
  <c r="B188" i="19"/>
  <c r="KY44" i="8"/>
  <c r="B250" i="19"/>
  <c r="GX57" i="8"/>
  <c r="HN39" i="8"/>
  <c r="JU76" i="8"/>
  <c r="KX65" i="8"/>
  <c r="HQ68" i="8"/>
  <c r="HI45" i="8"/>
  <c r="HW64" i="8"/>
  <c r="HQ57" i="8"/>
  <c r="FU53" i="8"/>
  <c r="GW58" i="8"/>
  <c r="KU28" i="8"/>
  <c r="FZ51" i="8"/>
  <c r="HQ42" i="8"/>
  <c r="HD58" i="8"/>
  <c r="KS58" i="8"/>
  <c r="HD29" i="8"/>
  <c r="KX42" i="8"/>
  <c r="GA66" i="8"/>
  <c r="IV51" i="8"/>
  <c r="IU28" i="8"/>
  <c r="GW56" i="8"/>
  <c r="HI29" i="8"/>
  <c r="KS29" i="8"/>
  <c r="FZ67" i="8"/>
  <c r="IU38" i="8"/>
  <c r="HI42" i="8"/>
  <c r="FZ57" i="8"/>
  <c r="B225" i="19"/>
  <c r="HV69" i="8"/>
  <c r="GA55" i="8"/>
  <c r="C134" i="19"/>
  <c r="FZ49" i="8"/>
  <c r="KS28" i="8"/>
  <c r="JT71" i="8"/>
  <c r="HN41" i="8"/>
  <c r="FU75" i="8"/>
  <c r="HV49" i="8"/>
  <c r="GW38" i="8"/>
  <c r="GY58" i="8"/>
  <c r="HW32" i="8"/>
  <c r="FZ42" i="8"/>
  <c r="B152" i="19"/>
  <c r="FZ59" i="8"/>
  <c r="KY53" i="8"/>
  <c r="GX45" i="8"/>
  <c r="FZ48" i="8"/>
  <c r="HN54" i="8"/>
  <c r="B207" i="19"/>
  <c r="B245" i="19"/>
  <c r="JU41" i="8"/>
  <c r="C228" i="19"/>
  <c r="JT53" i="8"/>
  <c r="GA37" i="8"/>
  <c r="C132" i="19"/>
  <c r="HN46" i="8"/>
  <c r="IV30" i="8"/>
  <c r="GW75" i="8"/>
  <c r="HV42" i="8"/>
  <c r="FZ29" i="8"/>
  <c r="IV49" i="8"/>
  <c r="B163" i="19"/>
  <c r="KS43" i="8"/>
  <c r="KS34" i="8"/>
  <c r="HD65" i="8"/>
  <c r="KU48" i="8"/>
  <c r="KS47" i="8"/>
  <c r="GX58" i="8"/>
  <c r="JU56" i="8"/>
  <c r="GW66" i="8"/>
  <c r="IV67" i="8"/>
  <c r="FZ63" i="8"/>
  <c r="GY50" i="8"/>
  <c r="HN27" i="8"/>
  <c r="KX40" i="8"/>
  <c r="IV41" i="8"/>
  <c r="KX39" i="8"/>
  <c r="B193" i="19"/>
  <c r="GX39" i="8"/>
  <c r="HV36" i="8"/>
  <c r="GY33" i="8"/>
  <c r="HI47" i="8"/>
  <c r="HW29" i="8"/>
  <c r="KY56" i="8"/>
  <c r="GY30" i="8"/>
  <c r="KX34" i="8"/>
  <c r="GX71" i="8"/>
  <c r="KX64" i="8"/>
  <c r="HV57" i="8"/>
  <c r="HV27" i="8"/>
  <c r="JU55" i="8"/>
  <c r="HN29" i="8"/>
  <c r="HN64" i="8"/>
  <c r="JU64" i="8"/>
  <c r="JU45" i="8"/>
  <c r="GW46" i="8"/>
  <c r="C136" i="19"/>
  <c r="GW32" i="8"/>
  <c r="C259" i="19"/>
  <c r="HD53" i="8"/>
  <c r="B224" i="19"/>
  <c r="C203" i="19"/>
  <c r="KS75" i="8"/>
  <c r="C230" i="19"/>
  <c r="IV59" i="8"/>
  <c r="GA38" i="8"/>
  <c r="GX72" i="8"/>
  <c r="HN69" i="8"/>
  <c r="HQ40" i="8"/>
  <c r="FZ60" i="8"/>
  <c r="GY64" i="8"/>
  <c r="JT34" i="8"/>
  <c r="C221" i="19"/>
  <c r="JT40" i="8"/>
  <c r="JU57" i="8"/>
  <c r="JU59" i="8"/>
  <c r="KY27" i="8"/>
  <c r="HN75" i="8"/>
  <c r="HV52" i="8"/>
  <c r="HD46" i="8"/>
  <c r="IU70" i="8"/>
  <c r="C167" i="19"/>
  <c r="JU69" i="8"/>
  <c r="HD72" i="8"/>
  <c r="HN50" i="8"/>
  <c r="HV28" i="8"/>
  <c r="GA29" i="8"/>
  <c r="HV76" i="8"/>
  <c r="JU38" i="8"/>
  <c r="HI30" i="8"/>
  <c r="HN62" i="8"/>
  <c r="IU42" i="8"/>
  <c r="GW67" i="8"/>
  <c r="KU41" i="8"/>
  <c r="IV76" i="8"/>
  <c r="HQ73" i="8"/>
  <c r="JU68" i="8"/>
  <c r="GY52" i="8"/>
  <c r="FU30" i="8"/>
  <c r="FU45" i="8"/>
  <c r="IU31" i="8"/>
  <c r="C266" i="19"/>
  <c r="HI62" i="8"/>
  <c r="JU62" i="8"/>
  <c r="HI53" i="8"/>
  <c r="HQ45" i="8"/>
  <c r="IU60" i="8"/>
  <c r="KS46" i="8"/>
  <c r="B215" i="19"/>
  <c r="B139" i="19"/>
  <c r="IU54" i="8"/>
  <c r="KX38" i="8"/>
  <c r="J54" i="19"/>
  <c r="C170" i="19"/>
  <c r="HN59" i="8"/>
  <c r="JT65" i="8"/>
  <c r="FZ31" i="8"/>
  <c r="HV59" i="8"/>
  <c r="HV53" i="8"/>
  <c r="HQ71" i="8"/>
  <c r="C171" i="19"/>
  <c r="HI50" i="8"/>
  <c r="KS35" i="8"/>
  <c r="HI65" i="8"/>
  <c r="B146" i="19"/>
  <c r="IV36" i="8"/>
  <c r="JT41" i="8"/>
  <c r="IU69" i="8"/>
  <c r="HQ62" i="8"/>
  <c r="GX55" i="8"/>
  <c r="KY65" i="8"/>
  <c r="GX54" i="8"/>
  <c r="C207" i="19"/>
  <c r="IV52" i="8"/>
  <c r="GA42" i="8"/>
  <c r="FU50" i="8"/>
  <c r="C164" i="19"/>
  <c r="IU65" i="8"/>
  <c r="GA27" i="8"/>
  <c r="KX27" i="8"/>
  <c r="KY30" i="8"/>
  <c r="GX49" i="8"/>
  <c r="C222" i="19"/>
  <c r="JU50" i="8"/>
  <c r="JT29" i="8"/>
  <c r="KX47" i="8"/>
  <c r="JU60" i="8"/>
  <c r="C193" i="19"/>
  <c r="FZ30" i="8"/>
  <c r="HN49" i="8"/>
  <c r="C172" i="19"/>
  <c r="KY72" i="8"/>
  <c r="B221" i="19"/>
  <c r="FZ36" i="8"/>
  <c r="KU49" i="8"/>
  <c r="GY72" i="8"/>
  <c r="B138" i="19"/>
  <c r="GX50" i="8"/>
  <c r="JT28" i="8"/>
  <c r="KS32" i="8"/>
  <c r="C236" i="19"/>
  <c r="HI31" i="8"/>
  <c r="FU66" i="8"/>
  <c r="GW34" i="8"/>
  <c r="GX30" i="8"/>
  <c r="IU50" i="8"/>
  <c r="GA62" i="8"/>
  <c r="HW36" i="8"/>
  <c r="HQ37" i="8"/>
  <c r="FU69" i="8"/>
  <c r="HI34" i="8"/>
  <c r="C185" i="19"/>
  <c r="FZ40" i="8"/>
  <c r="GY45" i="8"/>
  <c r="KU52" i="8"/>
  <c r="KU53" i="8"/>
  <c r="JT31" i="8"/>
  <c r="IV47" i="8"/>
  <c r="IV74" i="8"/>
  <c r="C211" i="19"/>
  <c r="B201" i="19"/>
  <c r="HN53" i="8"/>
  <c r="C212" i="19"/>
  <c r="GX38" i="8"/>
  <c r="HD54" i="8"/>
  <c r="JT69" i="8"/>
  <c r="HW66" i="8"/>
  <c r="IV34" i="8"/>
  <c r="IU30" i="8"/>
  <c r="C123" i="19"/>
  <c r="KX35" i="8"/>
  <c r="GX41" i="8"/>
  <c r="JT52" i="8"/>
  <c r="FZ28" i="8"/>
  <c r="B246" i="19"/>
  <c r="HW74" i="8"/>
  <c r="FZ41" i="8"/>
  <c r="IU63" i="8"/>
  <c r="B231" i="19"/>
  <c r="GY43" i="8"/>
  <c r="C195" i="19"/>
  <c r="B143" i="19"/>
  <c r="GY66" i="8"/>
  <c r="HV68" i="8"/>
  <c r="HV47" i="8"/>
  <c r="IV40" i="8"/>
  <c r="HD37" i="8"/>
  <c r="GA73" i="8"/>
  <c r="GY54" i="8"/>
  <c r="HW52" i="8"/>
  <c r="KU36" i="8"/>
  <c r="C188" i="19"/>
  <c r="HW59" i="8"/>
  <c r="B222" i="19"/>
  <c r="B128" i="19"/>
  <c r="C229" i="19"/>
  <c r="HQ58" i="8"/>
  <c r="HD67" i="8"/>
  <c r="HN73" i="8"/>
  <c r="HD55" i="8"/>
  <c r="C192" i="19"/>
  <c r="IV31" i="8"/>
  <c r="GY56" i="8"/>
  <c r="GA49" i="8"/>
  <c r="B148" i="19"/>
  <c r="HI75" i="8"/>
  <c r="HI32" i="8"/>
  <c r="KS40" i="8"/>
  <c r="IV62" i="8"/>
  <c r="B142" i="19"/>
  <c r="JT76" i="8"/>
  <c r="IV54" i="8"/>
  <c r="HW62" i="8"/>
  <c r="C183" i="19"/>
  <c r="B218" i="19"/>
  <c r="GX60" i="8"/>
  <c r="C153" i="19"/>
  <c r="C196" i="19"/>
  <c r="KX72" i="8"/>
  <c r="KX67" i="8"/>
  <c r="KX56" i="8"/>
  <c r="B260" i="19"/>
  <c r="KX57" i="8"/>
  <c r="B166" i="19"/>
  <c r="HD69" i="8"/>
  <c r="B157" i="19"/>
  <c r="B129" i="19"/>
  <c r="JU44" i="8"/>
  <c r="GA68" i="8"/>
  <c r="GY39" i="8"/>
  <c r="FU52" i="8"/>
  <c r="GY29" i="8"/>
  <c r="JT58" i="8"/>
  <c r="KU65" i="8"/>
  <c r="IV68" i="8"/>
  <c r="HI74" i="8"/>
  <c r="GW73" i="8"/>
  <c r="B230" i="19"/>
  <c r="C168" i="19"/>
  <c r="HW54" i="8"/>
  <c r="JT35" i="8"/>
  <c r="KY66" i="8"/>
  <c r="B181" i="19"/>
  <c r="B226" i="19"/>
  <c r="KU71" i="8"/>
  <c r="GY38" i="8"/>
  <c r="HN36" i="8"/>
  <c r="GW70" i="8"/>
  <c r="GA75" i="8"/>
  <c r="IU43" i="8"/>
  <c r="C159" i="19"/>
  <c r="FZ47" i="8"/>
  <c r="GY67" i="8"/>
  <c r="HI41" i="8"/>
  <c r="HQ34" i="8"/>
  <c r="KS27" i="8"/>
  <c r="GA33" i="8"/>
  <c r="C202" i="19"/>
  <c r="JT44" i="8"/>
  <c r="B232" i="19"/>
  <c r="FU65" i="8"/>
  <c r="JU46" i="8"/>
  <c r="JT50" i="8"/>
  <c r="FU60" i="8"/>
  <c r="HD27" i="8"/>
  <c r="KY36" i="8"/>
  <c r="KS54" i="8"/>
  <c r="GX59" i="8"/>
  <c r="JT56" i="8"/>
  <c r="B266" i="19"/>
  <c r="KY68" i="8"/>
  <c r="C254" i="19"/>
  <c r="FZ33" i="8"/>
  <c r="IV32" i="8"/>
  <c r="IV44" i="8"/>
  <c r="HW38" i="8"/>
  <c r="C194" i="19"/>
  <c r="KU47" i="8"/>
  <c r="JT49" i="8"/>
  <c r="HD68" i="8"/>
  <c r="JU35" i="8"/>
  <c r="GW44" i="8"/>
  <c r="HQ38" i="8"/>
  <c r="JU70" i="8"/>
  <c r="GX76" i="8"/>
  <c r="KX69" i="8"/>
  <c r="GX66" i="8"/>
  <c r="GY53" i="8"/>
  <c r="HI72" i="8"/>
  <c r="HD63" i="8"/>
  <c r="IU57" i="8"/>
  <c r="FU68" i="8"/>
  <c r="FZ75" i="8"/>
  <c r="HW39" i="8"/>
  <c r="JT60" i="8"/>
  <c r="B196" i="19"/>
  <c r="IU36" i="8"/>
  <c r="GA41" i="8"/>
  <c r="KS68" i="8"/>
  <c r="KS59" i="8"/>
  <c r="IV65" i="8"/>
  <c r="IV28" i="8"/>
  <c r="B242" i="19"/>
  <c r="HW37" i="8"/>
  <c r="KY43" i="8"/>
  <c r="HI44" i="8"/>
  <c r="HV56" i="8"/>
  <c r="JU47" i="8"/>
  <c r="HV30" i="8"/>
  <c r="KS66" i="8"/>
  <c r="KY63" i="8"/>
  <c r="KX33" i="8"/>
  <c r="B151" i="19"/>
  <c r="HI67" i="8"/>
  <c r="GA43" i="8"/>
  <c r="KU72" i="8"/>
  <c r="GA61" i="8"/>
  <c r="HI36" i="8"/>
  <c r="IV37" i="8"/>
  <c r="FU44" i="8"/>
  <c r="KS64" i="8"/>
  <c r="HN33" i="8"/>
  <c r="C187" i="19"/>
  <c r="FZ52" i="8"/>
  <c r="HV35" i="8"/>
  <c r="KX55" i="8"/>
  <c r="KX36" i="8"/>
  <c r="B202" i="19"/>
  <c r="B209" i="19"/>
  <c r="B144" i="19"/>
  <c r="HD31" i="8"/>
  <c r="B253" i="19"/>
  <c r="KS71" i="8"/>
  <c r="KY58" i="8"/>
  <c r="C200" i="19"/>
  <c r="GA31" i="8"/>
  <c r="HV44" i="8"/>
  <c r="KU74" i="8"/>
  <c r="KS36" i="8"/>
  <c r="B228" i="19"/>
  <c r="C255" i="19"/>
  <c r="FU63" i="8"/>
  <c r="IU52" i="8"/>
  <c r="GA28" i="8"/>
  <c r="B189" i="19"/>
  <c r="B254" i="19"/>
  <c r="HQ35" i="8"/>
  <c r="GW36" i="8"/>
  <c r="B243" i="19"/>
  <c r="HV50" i="8"/>
  <c r="JU66" i="8"/>
  <c r="C233" i="19"/>
  <c r="B184" i="19"/>
  <c r="C219" i="19"/>
  <c r="HW43" i="8"/>
  <c r="C191" i="19"/>
  <c r="HV48" i="8"/>
  <c r="FZ56" i="8"/>
  <c r="C237" i="19"/>
  <c r="IU61" i="8"/>
  <c r="IU32" i="8"/>
  <c r="HQ64" i="8"/>
  <c r="JU53" i="8"/>
  <c r="C131" i="19"/>
  <c r="C260" i="19"/>
  <c r="JT61" i="8"/>
  <c r="B208" i="19"/>
  <c r="FU39" i="8"/>
  <c r="IU48" i="8"/>
  <c r="KS48" i="8"/>
  <c r="J53" i="19"/>
  <c r="KU67" i="8"/>
  <c r="KY61" i="8"/>
  <c r="KX61" i="8"/>
  <c r="JT45" i="8"/>
  <c r="C137" i="19"/>
  <c r="GA50" i="8"/>
  <c r="JU73" i="8"/>
  <c r="GA69" i="8"/>
  <c r="HQ48" i="8"/>
  <c r="KY55" i="8"/>
  <c r="FU47" i="8"/>
  <c r="HW65" i="8"/>
  <c r="KY69" i="8"/>
  <c r="GA59" i="8"/>
  <c r="HQ31" i="8"/>
  <c r="KX60" i="8"/>
  <c r="HD39" i="8"/>
  <c r="B132" i="19"/>
  <c r="HW58" i="8"/>
  <c r="JU74" i="8"/>
  <c r="C122" i="19"/>
  <c r="HW51" i="8"/>
  <c r="KY70" i="8"/>
  <c r="KU30" i="8"/>
  <c r="FU62" i="8"/>
  <c r="KU76" i="8"/>
  <c r="C248" i="19"/>
  <c r="B265" i="19"/>
  <c r="KY75" i="8"/>
  <c r="HW68" i="8"/>
  <c r="HI35" i="8"/>
  <c r="KU29" i="8"/>
  <c r="FU48" i="8"/>
  <c r="FZ34" i="8"/>
  <c r="HV29" i="8"/>
  <c r="B212" i="19"/>
  <c r="KX46" i="8"/>
  <c r="FZ72" i="8"/>
  <c r="HN31" i="8"/>
  <c r="JT62" i="8"/>
  <c r="GW27" i="8"/>
  <c r="KX66" i="8"/>
  <c r="JU49" i="8"/>
  <c r="FZ58" i="8"/>
  <c r="B261" i="19"/>
  <c r="HQ56" i="8"/>
  <c r="KU60" i="8"/>
  <c r="HQ65" i="8"/>
  <c r="B234" i="19"/>
  <c r="HW45" i="8"/>
  <c r="JT46" i="8"/>
  <c r="GY47" i="8"/>
  <c r="IV66" i="8"/>
  <c r="HV38" i="8"/>
  <c r="KS57" i="8"/>
  <c r="IV48" i="8"/>
  <c r="HW35" i="8"/>
  <c r="HQ28" i="8"/>
  <c r="FU76" i="8"/>
  <c r="KX76" i="8"/>
  <c r="KS62" i="8"/>
  <c r="KY29" i="8"/>
  <c r="HW44" i="8"/>
  <c r="FZ27" i="8"/>
  <c r="IV46" i="8"/>
  <c r="GW51" i="8"/>
  <c r="HD32" i="8"/>
  <c r="HV66" i="8"/>
  <c r="JU34" i="8"/>
  <c r="GY60" i="8"/>
  <c r="HD64" i="8"/>
  <c r="FZ61" i="8"/>
  <c r="GX44" i="8"/>
  <c r="HI43" i="8"/>
  <c r="IU59" i="8"/>
  <c r="IU72" i="8"/>
  <c r="GA76" i="8"/>
  <c r="HN38" i="8"/>
  <c r="C224" i="19"/>
  <c r="HN55" i="8"/>
  <c r="C124" i="19"/>
  <c r="JU43" i="8"/>
  <c r="GW30" i="8"/>
  <c r="GY32" i="8"/>
  <c r="JT68" i="8"/>
  <c r="KU50" i="8"/>
  <c r="KY40" i="8"/>
  <c r="HV55" i="8"/>
  <c r="GY37" i="8"/>
  <c r="C220" i="19"/>
  <c r="HQ33" i="8"/>
  <c r="GX35" i="8"/>
  <c r="GW53" i="8"/>
  <c r="IU73" i="8"/>
  <c r="B213" i="19"/>
  <c r="B252" i="19"/>
  <c r="C258" i="19"/>
  <c r="FZ46" i="8"/>
  <c r="HD41" i="8"/>
  <c r="GA53" i="8"/>
  <c r="KX37" i="8"/>
  <c r="GW33" i="8"/>
  <c r="C176" i="19"/>
  <c r="GW65" i="8"/>
  <c r="GX42" i="8"/>
  <c r="GA46" i="8"/>
  <c r="HQ67" i="8"/>
  <c r="GX36" i="8"/>
  <c r="KS61" i="8"/>
  <c r="HD38" i="8"/>
  <c r="C190" i="19"/>
  <c r="HD34" i="8"/>
  <c r="HI27" i="8"/>
  <c r="HN34" i="8"/>
  <c r="KS74" i="8"/>
  <c r="IV27" i="8"/>
  <c r="KU75" i="8"/>
  <c r="HQ32" i="8"/>
  <c r="HN35" i="8"/>
  <c r="IU27" i="8"/>
  <c r="C265" i="19"/>
  <c r="GA30" i="8"/>
  <c r="JT47" i="8"/>
  <c r="GY73" i="8"/>
  <c r="JT70" i="8"/>
  <c r="HQ44" i="8"/>
  <c r="C175" i="19"/>
  <c r="C242" i="19"/>
  <c r="HI56" i="8"/>
  <c r="JT30" i="8"/>
  <c r="HI57" i="8"/>
  <c r="IV71" i="8"/>
  <c r="FZ53" i="8"/>
  <c r="IV63" i="8"/>
  <c r="JU42" i="8"/>
  <c r="IU56" i="8"/>
  <c r="JU51" i="8"/>
  <c r="HV67" i="8"/>
  <c r="C154" i="19"/>
  <c r="C213" i="19"/>
  <c r="C178" i="19"/>
  <c r="C129" i="19"/>
  <c r="HI28" i="8"/>
  <c r="IU35" i="8"/>
  <c r="GW61" i="8"/>
  <c r="HQ43" i="8"/>
  <c r="GW63" i="8"/>
  <c r="FU29" i="8"/>
  <c r="HV75" i="8"/>
  <c r="HV54" i="8"/>
  <c r="C177" i="19"/>
  <c r="KU51" i="8"/>
  <c r="HQ36" i="8"/>
  <c r="JU58" i="8"/>
  <c r="B244" i="19"/>
  <c r="HQ50" i="8"/>
  <c r="HD43" i="8"/>
  <c r="KU68" i="8"/>
  <c r="GX75" i="8"/>
  <c r="KS50" i="8"/>
  <c r="C252" i="19"/>
  <c r="HV74" i="8"/>
  <c r="C130" i="19"/>
  <c r="IV43" i="8"/>
  <c r="C155" i="19"/>
  <c r="HN30" i="8"/>
  <c r="KU42" i="8"/>
  <c r="FU34" i="8"/>
  <c r="B238" i="19"/>
  <c r="KX75" i="8"/>
  <c r="GX53" i="8"/>
  <c r="GY42" i="8"/>
  <c r="KU61" i="8"/>
  <c r="IU68" i="8"/>
  <c r="HW56" i="8"/>
  <c r="JT54" i="8"/>
  <c r="GX62" i="8"/>
  <c r="C180" i="19"/>
  <c r="FU49" i="8"/>
  <c r="HI66" i="8"/>
  <c r="C160" i="19"/>
  <c r="HI64" i="8"/>
  <c r="JU33" i="8"/>
  <c r="GY27" i="8"/>
  <c r="B123" i="19"/>
  <c r="C264" i="19"/>
  <c r="GY63" i="8"/>
  <c r="KX73" i="8"/>
  <c r="KX43" i="8"/>
  <c r="B249" i="19"/>
  <c r="GX28" i="8"/>
  <c r="GA39" i="8"/>
  <c r="JT59" i="8"/>
  <c r="GW42" i="8"/>
  <c r="KS45" i="8"/>
  <c r="JT63" i="8"/>
  <c r="KY49" i="8"/>
  <c r="C217" i="19"/>
  <c r="B248" i="19"/>
  <c r="KS49" i="8"/>
  <c r="C156" i="19"/>
  <c r="HN28" i="8"/>
  <c r="IU75" i="8"/>
  <c r="C234" i="19"/>
  <c r="FZ76" i="8"/>
  <c r="HQ51" i="8"/>
  <c r="JU61" i="8"/>
  <c r="KY62" i="8"/>
  <c r="KU55" i="8"/>
  <c r="C205" i="19"/>
  <c r="KY59" i="8"/>
  <c r="HQ76" i="8"/>
  <c r="JU36" i="8"/>
  <c r="IU49" i="8"/>
  <c r="C214" i="19"/>
  <c r="FU74" i="8"/>
  <c r="B173" i="19"/>
  <c r="C239" i="19"/>
  <c r="KS31" i="8"/>
  <c r="HI33" i="8"/>
  <c r="HI59" i="8"/>
  <c r="FZ69" i="8"/>
  <c r="KY32" i="8"/>
  <c r="KY52" i="8"/>
  <c r="GW35" i="8"/>
  <c r="IU29" i="8"/>
  <c r="HN40" i="8"/>
  <c r="C199" i="19"/>
  <c r="HQ72" i="8"/>
  <c r="GA60" i="8"/>
  <c r="B154" i="19"/>
  <c r="B214" i="19"/>
  <c r="B256" i="19"/>
  <c r="FZ35" i="8"/>
  <c r="B236" i="19"/>
  <c r="KU70" i="8"/>
  <c r="C201" i="19"/>
  <c r="HW67" i="8"/>
  <c r="GA52" i="8"/>
  <c r="GA47" i="8"/>
  <c r="IU74" i="8"/>
  <c r="KY41" i="8"/>
  <c r="KX63" i="8"/>
  <c r="KX45" i="8"/>
  <c r="GW76" i="8"/>
  <c r="FU36" i="8"/>
  <c r="HI39" i="8"/>
  <c r="C241" i="19"/>
  <c r="C158" i="19"/>
  <c r="GX56" i="8"/>
  <c r="B235" i="19"/>
  <c r="KY71" i="8"/>
  <c r="FU27" i="8"/>
  <c r="B179" i="19"/>
  <c r="KX74" i="8"/>
  <c r="HN32" i="8"/>
  <c r="KS69" i="8"/>
  <c r="HI55" i="8"/>
  <c r="B229" i="19"/>
  <c r="KY39" i="8"/>
  <c r="KY60" i="8"/>
  <c r="HW47" i="8"/>
  <c r="GX29" i="8"/>
  <c r="KS63" i="8"/>
  <c r="KU39" i="8"/>
  <c r="HW71" i="8"/>
  <c r="HV70" i="8"/>
  <c r="KS70" i="8"/>
  <c r="C246" i="19"/>
  <c r="JT39" i="8"/>
  <c r="HW41" i="8"/>
  <c r="HQ49" i="8"/>
  <c r="FU70" i="8"/>
  <c r="B53" i="19"/>
  <c r="GX73" i="8"/>
  <c r="HI69" i="8"/>
  <c r="C189" i="19"/>
  <c r="HQ46" i="8"/>
  <c r="HD61" i="8"/>
  <c r="IU67" i="8"/>
  <c r="KY37" i="8"/>
  <c r="JT67" i="8"/>
  <c r="GW59" i="8"/>
  <c r="C125" i="19"/>
  <c r="IU40" i="8"/>
  <c r="HN44" i="8"/>
  <c r="JT27" i="8"/>
  <c r="GW39" i="8"/>
  <c r="HW48" i="8"/>
  <c r="KY35" i="8"/>
  <c r="HD57" i="8"/>
  <c r="KY42" i="8"/>
  <c r="HW34" i="8"/>
  <c r="KS65" i="8"/>
  <c r="GY75" i="8"/>
  <c r="GX32" i="8"/>
  <c r="IU37" i="8"/>
  <c r="HD51" i="8"/>
  <c r="GX47" i="8"/>
  <c r="B156" i="19"/>
  <c r="C204" i="19"/>
  <c r="IV29" i="8"/>
  <c r="IV69" i="8"/>
  <c r="KX52" i="8"/>
  <c r="GA48" i="8"/>
  <c r="FU35" i="8"/>
  <c r="JT72" i="8"/>
  <c r="KY51" i="8"/>
  <c r="B205" i="19"/>
  <c r="HV46" i="8"/>
  <c r="HI63" i="8"/>
  <c r="IU47" i="8"/>
  <c r="C140" i="19"/>
  <c r="HD42" i="8"/>
  <c r="GW74" i="8"/>
  <c r="C146" i="19"/>
  <c r="HN60" i="8"/>
  <c r="HD59" i="8"/>
  <c r="FU61" i="8"/>
  <c r="C257" i="19"/>
  <c r="HI37" i="8"/>
  <c r="FZ44" i="8"/>
  <c r="JT36" i="8"/>
  <c r="HQ66" i="8"/>
  <c r="JT48" i="8"/>
  <c r="IU34" i="8"/>
  <c r="GY61" i="8"/>
  <c r="IV55" i="8"/>
  <c r="C243" i="19"/>
  <c r="FU40" i="8"/>
  <c r="HV62" i="8"/>
  <c r="GY40" i="8"/>
  <c r="C244" i="19"/>
  <c r="GY36" i="8"/>
  <c r="KU62" i="8"/>
  <c r="KX30" i="8"/>
  <c r="HN37" i="8"/>
  <c r="KS51" i="8"/>
  <c r="C141" i="19"/>
  <c r="JT64" i="8"/>
  <c r="HQ53" i="8"/>
  <c r="HI46" i="8"/>
  <c r="FU46" i="8"/>
  <c r="B168" i="19"/>
  <c r="FU55" i="8"/>
  <c r="HW42" i="8"/>
  <c r="GY46" i="8"/>
  <c r="HQ69" i="8"/>
  <c r="FU43" i="8"/>
  <c r="HN74" i="8"/>
  <c r="KS30" i="8"/>
  <c r="GX40" i="8"/>
  <c r="B194" i="19"/>
  <c r="KU73" i="8"/>
  <c r="GW47" i="8"/>
  <c r="JT55" i="8"/>
  <c r="HD71" i="8"/>
  <c r="FU54" i="8"/>
  <c r="IU66" i="8"/>
  <c r="IU41" i="8"/>
  <c r="HN47" i="8"/>
  <c r="JU65" i="8"/>
  <c r="JT57" i="8"/>
  <c r="GW28" i="8"/>
  <c r="KX68" i="8"/>
  <c r="GA40" i="8"/>
  <c r="FU51" i="8"/>
  <c r="HI60" i="8"/>
  <c r="HN56" i="8"/>
  <c r="C165" i="19"/>
  <c r="GX34" i="8"/>
  <c r="KU54" i="8"/>
  <c r="FU56" i="8"/>
  <c r="IV53" i="8"/>
  <c r="HW70" i="8"/>
  <c r="KS38" i="8"/>
  <c r="IU76" i="8"/>
  <c r="HV65" i="8"/>
  <c r="KY47" i="8"/>
  <c r="KS55" i="8"/>
  <c r="C231" i="19"/>
  <c r="HQ54" i="8"/>
  <c r="HW69" i="8"/>
  <c r="JU72" i="8"/>
  <c r="GX61" i="8"/>
  <c r="GY69" i="8"/>
  <c r="JU30" i="8"/>
  <c r="HD36" i="8"/>
  <c r="IV42" i="8"/>
  <c r="HN43" i="8"/>
  <c r="IU45" i="8"/>
  <c r="JU27" i="8"/>
  <c r="FU28" i="8"/>
  <c r="GW52" i="8"/>
  <c r="E53" i="19"/>
  <c r="IU39" i="8"/>
  <c r="JU67" i="8"/>
  <c r="HD62" i="8"/>
  <c r="GW55" i="8"/>
  <c r="GA63" i="8"/>
  <c r="HN42" i="8"/>
  <c r="FU32" i="8"/>
  <c r="HW33" i="8"/>
  <c r="IV57" i="8"/>
  <c r="HV43" i="8"/>
  <c r="GX64" i="8"/>
  <c r="GX48" i="8"/>
  <c r="HN52" i="8"/>
  <c r="C143" i="19"/>
  <c r="B147" i="19"/>
  <c r="GX67" i="8"/>
  <c r="JU63" i="8"/>
  <c r="IV39" i="8"/>
  <c r="FU67" i="8"/>
  <c r="HD48" i="8"/>
  <c r="C149" i="19"/>
  <c r="GY28" i="8"/>
  <c r="C127" i="19"/>
  <c r="HD35" i="8"/>
  <c r="FZ50" i="8"/>
  <c r="GW54" i="8"/>
  <c r="HW40" i="8"/>
  <c r="KX51" i="8"/>
  <c r="FZ73" i="8"/>
  <c r="HW63" i="8"/>
  <c r="C223" i="19"/>
  <c r="HW30" i="8"/>
  <c r="C135" i="19"/>
  <c r="HD73" i="8"/>
  <c r="HQ30" i="8"/>
  <c r="KU69" i="8"/>
  <c r="IU44" i="8"/>
  <c r="GW50" i="8"/>
  <c r="GA36" i="8"/>
  <c r="HI40" i="8"/>
  <c r="GX51" i="8"/>
  <c r="C184" i="19"/>
  <c r="FU72" i="8"/>
  <c r="HI38" i="8"/>
  <c r="HV45" i="8"/>
  <c r="HD50" i="8"/>
  <c r="C232" i="19"/>
  <c r="KX48" i="8"/>
  <c r="KU38" i="8"/>
  <c r="KU27" i="8"/>
  <c r="HN70" i="8"/>
  <c r="GX43" i="8"/>
  <c r="IU33" i="8"/>
  <c r="GY31" i="8"/>
  <c r="FZ38" i="8"/>
  <c r="GA74" i="8"/>
  <c r="IU46" i="8"/>
  <c r="KU37" i="8"/>
  <c r="KU58" i="8"/>
  <c r="B198" i="19"/>
  <c r="FU42" i="8"/>
  <c r="GY71" i="8"/>
  <c r="KS56" i="8"/>
  <c r="GW41" i="8"/>
  <c r="FZ37" i="8"/>
  <c r="B171" i="19"/>
  <c r="B219" i="19"/>
  <c r="JU37" i="8"/>
  <c r="GA54" i="8"/>
  <c r="C152" i="19"/>
  <c r="HN48" i="8"/>
  <c r="JU75" i="8"/>
  <c r="C249" i="19"/>
  <c r="C225" i="19"/>
  <c r="B223" i="19"/>
  <c r="GX70" i="8"/>
  <c r="GA51" i="8"/>
  <c r="GY59" i="8"/>
  <c r="B263" i="19"/>
  <c r="KY76" i="8"/>
  <c r="GY41" i="8"/>
  <c r="GY51" i="8"/>
  <c r="HI61" i="8"/>
  <c r="B204" i="19"/>
  <c r="GW68" i="8"/>
  <c r="C250" i="19"/>
  <c r="B251" i="19"/>
  <c r="HD76" i="8"/>
  <c r="GW72" i="8"/>
  <c r="KS67" i="8"/>
  <c r="KS44" i="8"/>
  <c r="HD30" i="8"/>
  <c r="HV64" i="8"/>
  <c r="FU59" i="8"/>
  <c r="B153" i="19"/>
  <c r="C256" i="19"/>
  <c r="B241" i="19"/>
  <c r="KY33" i="8"/>
  <c r="GY76" i="8"/>
  <c r="C240" i="19"/>
  <c r="B122" i="19"/>
  <c r="B211" i="19"/>
  <c r="C166" i="19"/>
  <c r="HW49" i="8"/>
  <c r="KX59" i="8"/>
  <c r="B176" i="19"/>
  <c r="JT32" i="8"/>
  <c r="HW76" i="8"/>
  <c r="B257" i="19"/>
  <c r="GX46" i="8"/>
  <c r="GY70" i="8"/>
  <c r="HV61" i="8"/>
  <c r="GW43" i="8"/>
  <c r="KY46" i="8"/>
  <c r="B130" i="19"/>
  <c r="FZ62" i="8"/>
  <c r="C181" i="19"/>
  <c r="JT42" i="8"/>
  <c r="B141" i="19"/>
  <c r="GW57" i="8"/>
  <c r="AD254" i="19" l="1"/>
  <c r="AQ254" i="19"/>
  <c r="AG254" i="19"/>
  <c r="L254" i="19"/>
  <c r="E254" i="19"/>
  <c r="J254" i="19"/>
  <c r="AC254" i="19"/>
  <c r="AS254" i="19"/>
  <c r="T254" i="19"/>
  <c r="AI254" i="19" s="1"/>
  <c r="F254" i="19"/>
  <c r="O254" i="19"/>
  <c r="W254" i="19"/>
  <c r="Z254" i="19"/>
  <c r="P254" i="19"/>
  <c r="M254" i="19"/>
  <c r="Q254" i="19"/>
  <c r="AB254" i="19"/>
  <c r="V254" i="19"/>
  <c r="G254" i="19"/>
  <c r="R254" i="19"/>
  <c r="I254" i="19"/>
  <c r="D254" i="19"/>
  <c r="AA254" i="19"/>
  <c r="H254" i="19"/>
  <c r="U254" i="19"/>
  <c r="Y254" i="19"/>
  <c r="AE254" i="19"/>
  <c r="AF254" i="19"/>
  <c r="K254" i="19"/>
  <c r="N254" i="19"/>
  <c r="X254" i="19"/>
  <c r="AR254" i="19"/>
  <c r="S254" i="19"/>
  <c r="AE159" i="19"/>
  <c r="R159" i="19"/>
  <c r="J159" i="19"/>
  <c r="G159" i="19"/>
  <c r="AA159" i="19"/>
  <c r="W159" i="19"/>
  <c r="F159" i="19"/>
  <c r="D159" i="19"/>
  <c r="S159" i="19"/>
  <c r="M159" i="19"/>
  <c r="AQ159" i="19"/>
  <c r="I159" i="19"/>
  <c r="AD159" i="19"/>
  <c r="AR159" i="19"/>
  <c r="Q159" i="19"/>
  <c r="Z159" i="19"/>
  <c r="AB159" i="19"/>
  <c r="AF159" i="19"/>
  <c r="AC159" i="19"/>
  <c r="H159" i="19"/>
  <c r="X159" i="19"/>
  <c r="AS159" i="19"/>
  <c r="Y159" i="19"/>
  <c r="O159" i="19"/>
  <c r="N159" i="19"/>
  <c r="T159" i="19"/>
  <c r="AI159" i="19" s="1"/>
  <c r="AL159" i="19" s="1"/>
  <c r="P159" i="19"/>
  <c r="K159" i="19"/>
  <c r="V159" i="19"/>
  <c r="AG159" i="19"/>
  <c r="L159" i="19"/>
  <c r="E159" i="19"/>
  <c r="U159" i="19"/>
  <c r="O185" i="19"/>
  <c r="AD185" i="19"/>
  <c r="AQ185" i="19"/>
  <c r="X185" i="19"/>
  <c r="H185" i="19"/>
  <c r="N185" i="19"/>
  <c r="I185" i="19"/>
  <c r="AR185" i="19"/>
  <c r="AE185" i="19"/>
  <c r="S185" i="19"/>
  <c r="Q185" i="19"/>
  <c r="U185" i="19"/>
  <c r="Y185" i="19"/>
  <c r="AC185" i="19"/>
  <c r="D185" i="19"/>
  <c r="AS185" i="19"/>
  <c r="W185" i="19"/>
  <c r="T185" i="19"/>
  <c r="AI185" i="19" s="1"/>
  <c r="E185" i="19"/>
  <c r="AB185" i="19"/>
  <c r="AA185" i="19"/>
  <c r="G185" i="19"/>
  <c r="R185" i="19"/>
  <c r="AF185" i="19"/>
  <c r="AG185" i="19"/>
  <c r="P185" i="19"/>
  <c r="K185" i="19"/>
  <c r="F185" i="19"/>
  <c r="Z185" i="19"/>
  <c r="V185" i="19"/>
  <c r="J185" i="19"/>
  <c r="M185" i="19"/>
  <c r="L185" i="19"/>
  <c r="AS127" i="19"/>
  <c r="H127" i="19"/>
  <c r="AR127" i="19"/>
  <c r="T127" i="19"/>
  <c r="AI127" i="19" s="1"/>
  <c r="K127" i="19"/>
  <c r="AG127" i="19"/>
  <c r="AA127" i="19"/>
  <c r="AE127" i="19"/>
  <c r="Z127" i="19"/>
  <c r="U127" i="19"/>
  <c r="G127" i="19"/>
  <c r="L127" i="19"/>
  <c r="M127" i="19"/>
  <c r="N127" i="19"/>
  <c r="AB127" i="19"/>
  <c r="I127" i="19"/>
  <c r="S127" i="19"/>
  <c r="Y127" i="19"/>
  <c r="AD127" i="19"/>
  <c r="R127" i="19"/>
  <c r="W127" i="19"/>
  <c r="V127" i="19"/>
  <c r="O127" i="19"/>
  <c r="F127" i="19"/>
  <c r="AQ127" i="19"/>
  <c r="X127" i="19"/>
  <c r="D127" i="19"/>
  <c r="J127" i="19"/>
  <c r="Q127" i="19"/>
  <c r="AF127" i="19"/>
  <c r="E127" i="19"/>
  <c r="P127" i="19"/>
  <c r="AC127" i="19"/>
  <c r="Z189" i="19"/>
  <c r="AC189" i="19"/>
  <c r="AS189" i="19"/>
  <c r="Y189" i="19"/>
  <c r="AD189" i="19"/>
  <c r="F189" i="19"/>
  <c r="V189" i="19"/>
  <c r="X189" i="19"/>
  <c r="D189" i="19"/>
  <c r="R189" i="19"/>
  <c r="Q189" i="19"/>
  <c r="AR189" i="19"/>
  <c r="AE189" i="19"/>
  <c r="T189" i="19"/>
  <c r="AI189" i="19" s="1"/>
  <c r="G189" i="19"/>
  <c r="N189" i="19"/>
  <c r="L189" i="19"/>
  <c r="AB189" i="19"/>
  <c r="O189" i="19"/>
  <c r="H189" i="19"/>
  <c r="P189" i="19"/>
  <c r="K189" i="19"/>
  <c r="U189" i="19"/>
  <c r="S189" i="19"/>
  <c r="I189" i="19"/>
  <c r="W189" i="19"/>
  <c r="AG189" i="19"/>
  <c r="J189" i="19"/>
  <c r="AF189" i="19"/>
  <c r="AA189" i="19"/>
  <c r="E189" i="19"/>
  <c r="M189" i="19"/>
  <c r="AQ189" i="19"/>
  <c r="R223" i="19"/>
  <c r="J223" i="19"/>
  <c r="AF223" i="19"/>
  <c r="S223" i="19"/>
  <c r="N223" i="19"/>
  <c r="I223" i="19"/>
  <c r="Q223" i="19"/>
  <c r="M223" i="19"/>
  <c r="AQ223" i="19"/>
  <c r="AG223" i="19"/>
  <c r="H223" i="19"/>
  <c r="AC223" i="19"/>
  <c r="AB223" i="19"/>
  <c r="E223" i="19"/>
  <c r="AE223" i="19"/>
  <c r="AD223" i="19"/>
  <c r="W223" i="19"/>
  <c r="AA223" i="19"/>
  <c r="Y223" i="19"/>
  <c r="X223" i="19"/>
  <c r="K223" i="19"/>
  <c r="T223" i="19"/>
  <c r="AI223" i="19" s="1"/>
  <c r="P223" i="19"/>
  <c r="Z223" i="19"/>
  <c r="F223" i="19"/>
  <c r="O223" i="19"/>
  <c r="U223" i="19"/>
  <c r="D223" i="19"/>
  <c r="L223" i="19"/>
  <c r="V223" i="19"/>
  <c r="AS223" i="19"/>
  <c r="G223" i="19"/>
  <c r="AR223" i="19"/>
  <c r="H222" i="19"/>
  <c r="V222" i="19"/>
  <c r="AQ222" i="19"/>
  <c r="K222" i="19"/>
  <c r="X222" i="19"/>
  <c r="T222" i="19"/>
  <c r="AI222" i="19" s="1"/>
  <c r="J222" i="19"/>
  <c r="G222" i="19"/>
  <c r="AD222" i="19"/>
  <c r="E222" i="19"/>
  <c r="AE222" i="19"/>
  <c r="D222" i="19"/>
  <c r="AG222" i="19"/>
  <c r="F222" i="19"/>
  <c r="P222" i="19"/>
  <c r="W222" i="19"/>
  <c r="N222" i="19"/>
  <c r="Y222" i="19"/>
  <c r="AB222" i="19"/>
  <c r="AC222" i="19"/>
  <c r="S222" i="19"/>
  <c r="Z222" i="19"/>
  <c r="O222" i="19"/>
  <c r="Q222" i="19"/>
  <c r="AF222" i="19"/>
  <c r="M222" i="19"/>
  <c r="R222" i="19"/>
  <c r="AS222" i="19"/>
  <c r="AR222" i="19"/>
  <c r="AA222" i="19"/>
  <c r="L222" i="19"/>
  <c r="I222" i="19"/>
  <c r="U222" i="19"/>
  <c r="E131" i="19"/>
  <c r="Y131" i="19"/>
  <c r="AA131" i="19"/>
  <c r="N131" i="19"/>
  <c r="G131" i="19"/>
  <c r="AQ131" i="19"/>
  <c r="P131" i="19"/>
  <c r="M131" i="19"/>
  <c r="AB131" i="19"/>
  <c r="Z131" i="19"/>
  <c r="AS131" i="19"/>
  <c r="AE131" i="19"/>
  <c r="W131" i="19"/>
  <c r="AD131" i="19"/>
  <c r="H131" i="19"/>
  <c r="O131" i="19"/>
  <c r="I131" i="19"/>
  <c r="L131" i="19"/>
  <c r="AG131" i="19"/>
  <c r="AF131" i="19"/>
  <c r="R131" i="19"/>
  <c r="S131" i="19"/>
  <c r="V131" i="19"/>
  <c r="K131" i="19"/>
  <c r="D131" i="19"/>
  <c r="Q131" i="19"/>
  <c r="U131" i="19"/>
  <c r="J131" i="19"/>
  <c r="AR131" i="19"/>
  <c r="X131" i="19"/>
  <c r="F131" i="19"/>
  <c r="T131" i="19"/>
  <c r="AI131" i="19" s="1"/>
  <c r="AO131" i="19" s="1"/>
  <c r="AC131" i="19"/>
  <c r="Z165" i="19"/>
  <c r="P165" i="19"/>
  <c r="F165" i="19"/>
  <c r="J165" i="19"/>
  <c r="G165" i="19"/>
  <c r="AR165" i="19"/>
  <c r="R165" i="19"/>
  <c r="T165" i="19"/>
  <c r="AI165" i="19" s="1"/>
  <c r="AN165" i="19" s="1"/>
  <c r="Y165" i="19"/>
  <c r="N165" i="19"/>
  <c r="AB165" i="19"/>
  <c r="D165" i="19"/>
  <c r="Q165" i="19"/>
  <c r="I165" i="19"/>
  <c r="X165" i="19"/>
  <c r="S165" i="19"/>
  <c r="AC165" i="19"/>
  <c r="AA165" i="19"/>
  <c r="O165" i="19"/>
  <c r="AE165" i="19"/>
  <c r="H165" i="19"/>
  <c r="M165" i="19"/>
  <c r="AG165" i="19"/>
  <c r="AS165" i="19"/>
  <c r="V165" i="19"/>
  <c r="W165" i="19"/>
  <c r="AF165" i="19"/>
  <c r="L165" i="19"/>
  <c r="AD165" i="19"/>
  <c r="K165" i="19"/>
  <c r="AQ165" i="19"/>
  <c r="U165" i="19"/>
  <c r="E165" i="19"/>
  <c r="S231" i="19"/>
  <c r="Q231" i="19"/>
  <c r="AD231" i="19"/>
  <c r="AS231" i="19"/>
  <c r="AR231" i="19"/>
  <c r="AF231" i="19"/>
  <c r="L231" i="19"/>
  <c r="AG231" i="19"/>
  <c r="H231" i="19"/>
  <c r="N231" i="19"/>
  <c r="K231" i="19"/>
  <c r="AC231" i="19"/>
  <c r="U231" i="19"/>
  <c r="G231" i="19"/>
  <c r="F231" i="19"/>
  <c r="AA231" i="19"/>
  <c r="Y231" i="19"/>
  <c r="V231" i="19"/>
  <c r="AB231" i="19"/>
  <c r="R231" i="19"/>
  <c r="D231" i="19"/>
  <c r="I231" i="19"/>
  <c r="AE231" i="19"/>
  <c r="T231" i="19"/>
  <c r="AI231" i="19" s="1"/>
  <c r="AN231" i="19" s="1"/>
  <c r="O231" i="19"/>
  <c r="E231" i="19"/>
  <c r="X231" i="19"/>
  <c r="P231" i="19"/>
  <c r="Z231" i="19"/>
  <c r="AQ231" i="19"/>
  <c r="M231" i="19"/>
  <c r="W231" i="19"/>
  <c r="J231" i="19"/>
  <c r="J257" i="19"/>
  <c r="AQ257" i="19"/>
  <c r="AR257" i="19"/>
  <c r="I257" i="19"/>
  <c r="L257" i="19"/>
  <c r="M257" i="19"/>
  <c r="G257" i="19"/>
  <c r="D257" i="19"/>
  <c r="P257" i="19"/>
  <c r="W257" i="19"/>
  <c r="K257" i="19"/>
  <c r="H257" i="19"/>
  <c r="N257" i="19"/>
  <c r="T257" i="19"/>
  <c r="AI257" i="19" s="1"/>
  <c r="AM257" i="19" s="1"/>
  <c r="AG257" i="19"/>
  <c r="Z257" i="19"/>
  <c r="AS257" i="19"/>
  <c r="S257" i="19"/>
  <c r="F257" i="19"/>
  <c r="E257" i="19"/>
  <c r="R257" i="19"/>
  <c r="AF257" i="19"/>
  <c r="U257" i="19"/>
  <c r="V257" i="19"/>
  <c r="AB257" i="19"/>
  <c r="X257" i="19"/>
  <c r="Y257" i="19"/>
  <c r="AD257" i="19"/>
  <c r="O257" i="19"/>
  <c r="AE257" i="19"/>
  <c r="AC257" i="19"/>
  <c r="AA257" i="19"/>
  <c r="Q257" i="19"/>
  <c r="S202" i="19"/>
  <c r="W202" i="19"/>
  <c r="AD202" i="19"/>
  <c r="Y202" i="19"/>
  <c r="P202" i="19"/>
  <c r="AA202" i="19"/>
  <c r="D202" i="19"/>
  <c r="I202" i="19"/>
  <c r="AS202" i="19"/>
  <c r="R202" i="19"/>
  <c r="F202" i="19"/>
  <c r="U202" i="19"/>
  <c r="X202" i="19"/>
  <c r="AG202" i="19"/>
  <c r="V202" i="19"/>
  <c r="AQ202" i="19"/>
  <c r="N202" i="19"/>
  <c r="M202" i="19"/>
  <c r="T202" i="19"/>
  <c r="AI202" i="19" s="1"/>
  <c r="AP202" i="19" s="1"/>
  <c r="AE202" i="19"/>
  <c r="AB202" i="19"/>
  <c r="AR202" i="19"/>
  <c r="K202" i="19"/>
  <c r="O202" i="19"/>
  <c r="H202" i="19"/>
  <c r="E202" i="19"/>
  <c r="G202" i="19"/>
  <c r="AF202" i="19"/>
  <c r="AC202" i="19"/>
  <c r="Q202" i="19"/>
  <c r="L202" i="19"/>
  <c r="Z202" i="19"/>
  <c r="J202" i="19"/>
  <c r="AQ158" i="19"/>
  <c r="L158" i="19"/>
  <c r="U158" i="19"/>
  <c r="Q158" i="19"/>
  <c r="W158" i="19"/>
  <c r="AE158" i="19"/>
  <c r="N158" i="19"/>
  <c r="AS158" i="19"/>
  <c r="P158" i="19"/>
  <c r="H158" i="19"/>
  <c r="T158" i="19"/>
  <c r="AI158" i="19" s="1"/>
  <c r="AK158" i="19" s="1"/>
  <c r="AB158" i="19"/>
  <c r="AR158" i="19"/>
  <c r="E158" i="19"/>
  <c r="Y158" i="19"/>
  <c r="AG158" i="19"/>
  <c r="R158" i="19"/>
  <c r="I158" i="19"/>
  <c r="AA158" i="19"/>
  <c r="O158" i="19"/>
  <c r="M158" i="19"/>
  <c r="S158" i="19"/>
  <c r="AC158" i="19"/>
  <c r="Z158" i="19"/>
  <c r="D158" i="19"/>
  <c r="F158" i="19"/>
  <c r="G158" i="19"/>
  <c r="AD158" i="19"/>
  <c r="K158" i="19"/>
  <c r="X158" i="19"/>
  <c r="J158" i="19"/>
  <c r="AF158" i="19"/>
  <c r="V158" i="19"/>
  <c r="R199" i="19"/>
  <c r="M199" i="19"/>
  <c r="AS199" i="19"/>
  <c r="D199" i="19"/>
  <c r="O199" i="19"/>
  <c r="Z199" i="19"/>
  <c r="N199" i="19"/>
  <c r="U199" i="19"/>
  <c r="I199" i="19"/>
  <c r="G199" i="19"/>
  <c r="P199" i="19"/>
  <c r="AF199" i="19"/>
  <c r="AA199" i="19"/>
  <c r="X199" i="19"/>
  <c r="AE199" i="19"/>
  <c r="AD199" i="19"/>
  <c r="V199" i="19"/>
  <c r="H199" i="19"/>
  <c r="Q199" i="19"/>
  <c r="S199" i="19"/>
  <c r="AQ199" i="19"/>
  <c r="AR199" i="19"/>
  <c r="Y199" i="19"/>
  <c r="T199" i="19"/>
  <c r="AI199" i="19" s="1"/>
  <c r="AP199" i="19" s="1"/>
  <c r="K199" i="19"/>
  <c r="F199" i="19"/>
  <c r="W199" i="19"/>
  <c r="AG199" i="19"/>
  <c r="J199" i="19"/>
  <c r="AB199" i="19"/>
  <c r="E199" i="19"/>
  <c r="L199" i="19"/>
  <c r="AC199" i="19"/>
  <c r="L226" i="19"/>
  <c r="AA226" i="19"/>
  <c r="W226" i="19"/>
  <c r="AF226" i="19"/>
  <c r="I226" i="19"/>
  <c r="M226" i="19"/>
  <c r="AE226" i="19"/>
  <c r="S226" i="19"/>
  <c r="Y226" i="19"/>
  <c r="H226" i="19"/>
  <c r="P226" i="19"/>
  <c r="X226" i="19"/>
  <c r="V226" i="19"/>
  <c r="D226" i="19"/>
  <c r="AG226" i="19"/>
  <c r="AQ226" i="19"/>
  <c r="E226" i="19"/>
  <c r="U226" i="19"/>
  <c r="AR226" i="19"/>
  <c r="G226" i="19"/>
  <c r="AS226" i="19"/>
  <c r="AC226" i="19"/>
  <c r="AD226" i="19"/>
  <c r="K226" i="19"/>
  <c r="N226" i="19"/>
  <c r="R226" i="19"/>
  <c r="J226" i="19"/>
  <c r="T226" i="19"/>
  <c r="AI226" i="19" s="1"/>
  <c r="AB226" i="19"/>
  <c r="O226" i="19"/>
  <c r="F226" i="19"/>
  <c r="Q226" i="19"/>
  <c r="Z226" i="19"/>
  <c r="F137" i="19"/>
  <c r="G137" i="19"/>
  <c r="AD137" i="19"/>
  <c r="W137" i="19"/>
  <c r="S137" i="19"/>
  <c r="D137" i="19"/>
  <c r="R137" i="19"/>
  <c r="Q137" i="19"/>
  <c r="AS137" i="19"/>
  <c r="M137" i="19"/>
  <c r="AE137" i="19"/>
  <c r="AB137" i="19"/>
  <c r="AA137" i="19"/>
  <c r="N137" i="19"/>
  <c r="P137" i="19"/>
  <c r="O137" i="19"/>
  <c r="E137" i="19"/>
  <c r="AC137" i="19"/>
  <c r="T137" i="19"/>
  <c r="AI137" i="19" s="1"/>
  <c r="Z137" i="19"/>
  <c r="Y137" i="19"/>
  <c r="AQ137" i="19"/>
  <c r="V137" i="19"/>
  <c r="H137" i="19"/>
  <c r="K137" i="19"/>
  <c r="L137" i="19"/>
  <c r="AF137" i="19"/>
  <c r="J137" i="19"/>
  <c r="AG137" i="19"/>
  <c r="U137" i="19"/>
  <c r="AR137" i="19"/>
  <c r="I137" i="19"/>
  <c r="X137" i="19"/>
  <c r="AG132" i="19"/>
  <c r="E132" i="19"/>
  <c r="N132" i="19"/>
  <c r="J132" i="19"/>
  <c r="F132" i="19"/>
  <c r="Q132" i="19"/>
  <c r="AR132" i="19"/>
  <c r="Z132" i="19"/>
  <c r="AA132" i="19"/>
  <c r="AF132" i="19"/>
  <c r="P132" i="19"/>
  <c r="AQ132" i="19"/>
  <c r="U132" i="19"/>
  <c r="AB132" i="19"/>
  <c r="T132" i="19"/>
  <c r="AI132" i="19" s="1"/>
  <c r="AN132" i="19" s="1"/>
  <c r="W132" i="19"/>
  <c r="Y132" i="19"/>
  <c r="G132" i="19"/>
  <c r="D132" i="19"/>
  <c r="O132" i="19"/>
  <c r="L132" i="19"/>
  <c r="V132" i="19"/>
  <c r="AC132" i="19"/>
  <c r="AE132" i="19"/>
  <c r="X132" i="19"/>
  <c r="K132" i="19"/>
  <c r="M132" i="19"/>
  <c r="I132" i="19"/>
  <c r="AS132" i="19"/>
  <c r="AD132" i="19"/>
  <c r="R132" i="19"/>
  <c r="S132" i="19"/>
  <c r="H132" i="19"/>
  <c r="P152" i="19"/>
  <c r="AB152" i="19"/>
  <c r="H152" i="19"/>
  <c r="F152" i="19"/>
  <c r="T152" i="19"/>
  <c r="AI152" i="19" s="1"/>
  <c r="AP152" i="19" s="1"/>
  <c r="D152" i="19"/>
  <c r="Q152" i="19"/>
  <c r="O152" i="19"/>
  <c r="AQ152" i="19"/>
  <c r="AA152" i="19"/>
  <c r="U152" i="19"/>
  <c r="E152" i="19"/>
  <c r="AF152" i="19"/>
  <c r="Z152" i="19"/>
  <c r="I152" i="19"/>
  <c r="J152" i="19"/>
  <c r="AC152" i="19"/>
  <c r="AG152" i="19"/>
  <c r="Y152" i="19"/>
  <c r="L152" i="19"/>
  <c r="S152" i="19"/>
  <c r="N152" i="19"/>
  <c r="X152" i="19"/>
  <c r="K152" i="19"/>
  <c r="M152" i="19"/>
  <c r="W152" i="19"/>
  <c r="AD152" i="19"/>
  <c r="V152" i="19"/>
  <c r="AE152" i="19"/>
  <c r="AR152" i="19"/>
  <c r="R152" i="19"/>
  <c r="AS152" i="19"/>
  <c r="G152" i="19"/>
  <c r="AQ207" i="19"/>
  <c r="H207" i="19"/>
  <c r="Z207" i="19"/>
  <c r="O207" i="19"/>
  <c r="E207" i="19"/>
  <c r="G207" i="19"/>
  <c r="W207" i="19"/>
  <c r="AF207" i="19"/>
  <c r="AR207" i="19"/>
  <c r="S207" i="19"/>
  <c r="R207" i="19"/>
  <c r="AD207" i="19"/>
  <c r="AG207" i="19"/>
  <c r="AB207" i="19"/>
  <c r="Q207" i="19"/>
  <c r="AC207" i="19"/>
  <c r="L207" i="19"/>
  <c r="AS207" i="19"/>
  <c r="N207" i="19"/>
  <c r="AA207" i="19"/>
  <c r="F207" i="19"/>
  <c r="V207" i="19"/>
  <c r="AE207" i="19"/>
  <c r="T207" i="19"/>
  <c r="AI207" i="19" s="1"/>
  <c r="P207" i="19"/>
  <c r="M207" i="19"/>
  <c r="U207" i="19"/>
  <c r="J207" i="19"/>
  <c r="D207" i="19"/>
  <c r="K207" i="19"/>
  <c r="I207" i="19"/>
  <c r="Y207" i="19"/>
  <c r="X207" i="19"/>
  <c r="O130" i="19"/>
  <c r="S130" i="19"/>
  <c r="R130" i="19"/>
  <c r="F130" i="19"/>
  <c r="V130" i="19"/>
  <c r="AB130" i="19"/>
  <c r="AF130" i="19"/>
  <c r="K130" i="19"/>
  <c r="Y130" i="19"/>
  <c r="AA130" i="19"/>
  <c r="D130" i="19"/>
  <c r="AD130" i="19"/>
  <c r="P130" i="19"/>
  <c r="AC130" i="19"/>
  <c r="AQ130" i="19"/>
  <c r="X130" i="19"/>
  <c r="Q130" i="19"/>
  <c r="Z130" i="19"/>
  <c r="AS130" i="19"/>
  <c r="M130" i="19"/>
  <c r="AG130" i="19"/>
  <c r="J130" i="19"/>
  <c r="W130" i="19"/>
  <c r="L130" i="19"/>
  <c r="I130" i="19"/>
  <c r="T130" i="19"/>
  <c r="AI130" i="19" s="1"/>
  <c r="G130" i="19"/>
  <c r="AE130" i="19"/>
  <c r="H130" i="19"/>
  <c r="U130" i="19"/>
  <c r="E130" i="19"/>
  <c r="AR130" i="19"/>
  <c r="N130" i="19"/>
  <c r="AB260" i="19"/>
  <c r="K260" i="19"/>
  <c r="I260" i="19"/>
  <c r="G260" i="19"/>
  <c r="Y260" i="19"/>
  <c r="E260" i="19"/>
  <c r="R260" i="19"/>
  <c r="Z260" i="19"/>
  <c r="L260" i="19"/>
  <c r="AA260" i="19"/>
  <c r="W260" i="19"/>
  <c r="J260" i="19"/>
  <c r="AR260" i="19"/>
  <c r="AE260" i="19"/>
  <c r="V260" i="19"/>
  <c r="N260" i="19"/>
  <c r="M260" i="19"/>
  <c r="X260" i="19"/>
  <c r="AS260" i="19"/>
  <c r="D260" i="19"/>
  <c r="AF260" i="19"/>
  <c r="H260" i="19"/>
  <c r="O260" i="19"/>
  <c r="T260" i="19"/>
  <c r="AI260" i="19" s="1"/>
  <c r="AC260" i="19"/>
  <c r="AQ260" i="19"/>
  <c r="Q260" i="19"/>
  <c r="AG260" i="19"/>
  <c r="S260" i="19"/>
  <c r="F260" i="19"/>
  <c r="P260" i="19"/>
  <c r="AD260" i="19"/>
  <c r="U260" i="19"/>
  <c r="E237" i="19"/>
  <c r="R237" i="19"/>
  <c r="J237" i="19"/>
  <c r="K237" i="19"/>
  <c r="AB237" i="19"/>
  <c r="V237" i="19"/>
  <c r="O237" i="19"/>
  <c r="AD237" i="19"/>
  <c r="T237" i="19"/>
  <c r="AI237" i="19" s="1"/>
  <c r="AL237" i="19" s="1"/>
  <c r="AA237" i="19"/>
  <c r="AS237" i="19"/>
  <c r="L237" i="19"/>
  <c r="X237" i="19"/>
  <c r="M237" i="19"/>
  <c r="AG237" i="19"/>
  <c r="U237" i="19"/>
  <c r="AE237" i="19"/>
  <c r="G237" i="19"/>
  <c r="D237" i="19"/>
  <c r="Q237" i="19"/>
  <c r="Z237" i="19"/>
  <c r="AF237" i="19"/>
  <c r="S237" i="19"/>
  <c r="F237" i="19"/>
  <c r="AR237" i="19"/>
  <c r="W237" i="19"/>
  <c r="N237" i="19"/>
  <c r="AQ237" i="19"/>
  <c r="Y237" i="19"/>
  <c r="I237" i="19"/>
  <c r="H237" i="19"/>
  <c r="AC237" i="19"/>
  <c r="P237" i="19"/>
  <c r="I214" i="19"/>
  <c r="P214" i="19"/>
  <c r="AG214" i="19"/>
  <c r="Y214" i="19"/>
  <c r="V214" i="19"/>
  <c r="R214" i="19"/>
  <c r="K214" i="19"/>
  <c r="U214" i="19"/>
  <c r="S214" i="19"/>
  <c r="X214" i="19"/>
  <c r="G214" i="19"/>
  <c r="AE214" i="19"/>
  <c r="AF214" i="19"/>
  <c r="AD214" i="19"/>
  <c r="O214" i="19"/>
  <c r="AS214" i="19"/>
  <c r="AR214" i="19"/>
  <c r="D214" i="19"/>
  <c r="H214" i="19"/>
  <c r="AB214" i="19"/>
  <c r="AA214" i="19"/>
  <c r="Q214" i="19"/>
  <c r="J214" i="19"/>
  <c r="AQ214" i="19"/>
  <c r="AC214" i="19"/>
  <c r="T214" i="19"/>
  <c r="AI214" i="19" s="1"/>
  <c r="AM214" i="19" s="1"/>
  <c r="F214" i="19"/>
  <c r="L214" i="19"/>
  <c r="Z214" i="19"/>
  <c r="N214" i="19"/>
  <c r="M214" i="19"/>
  <c r="E214" i="19"/>
  <c r="W214" i="19"/>
  <c r="I129" i="19"/>
  <c r="F129" i="19"/>
  <c r="AS129" i="19"/>
  <c r="Q129" i="19"/>
  <c r="G129" i="19"/>
  <c r="Y129" i="19"/>
  <c r="W129" i="19"/>
  <c r="AG129" i="19"/>
  <c r="R129" i="19"/>
  <c r="H129" i="19"/>
  <c r="K129" i="19"/>
  <c r="AB129" i="19"/>
  <c r="AC129" i="19"/>
  <c r="U129" i="19"/>
  <c r="V129" i="19"/>
  <c r="E129" i="19"/>
  <c r="AE129" i="19"/>
  <c r="AQ129" i="19"/>
  <c r="L129" i="19"/>
  <c r="T129" i="19"/>
  <c r="AI129" i="19" s="1"/>
  <c r="AL129" i="19" s="1"/>
  <c r="P129" i="19"/>
  <c r="AD129" i="19"/>
  <c r="AF129" i="19"/>
  <c r="N129" i="19"/>
  <c r="D129" i="19"/>
  <c r="Z129" i="19"/>
  <c r="AR129" i="19"/>
  <c r="X129" i="19"/>
  <c r="S129" i="19"/>
  <c r="M129" i="19"/>
  <c r="J129" i="19"/>
  <c r="AA129" i="19"/>
  <c r="O129" i="19"/>
  <c r="Q149" i="19"/>
  <c r="V149" i="19"/>
  <c r="AE149" i="19"/>
  <c r="Z149" i="19"/>
  <c r="W149" i="19"/>
  <c r="T149" i="19"/>
  <c r="AI149" i="19" s="1"/>
  <c r="Y149" i="19"/>
  <c r="U149" i="19"/>
  <c r="M149" i="19"/>
  <c r="AB149" i="19"/>
  <c r="K149" i="19"/>
  <c r="F149" i="19"/>
  <c r="AR149" i="19"/>
  <c r="L149" i="19"/>
  <c r="I149" i="19"/>
  <c r="AG149" i="19"/>
  <c r="D149" i="19"/>
  <c r="O149" i="19"/>
  <c r="P149" i="19"/>
  <c r="J149" i="19"/>
  <c r="H149" i="19"/>
  <c r="AC149" i="19"/>
  <c r="E149" i="19"/>
  <c r="AQ149" i="19"/>
  <c r="AA149" i="19"/>
  <c r="G149" i="19"/>
  <c r="R149" i="19"/>
  <c r="AS149" i="19"/>
  <c r="AF149" i="19"/>
  <c r="S149" i="19"/>
  <c r="N149" i="19"/>
  <c r="X149" i="19"/>
  <c r="AD149" i="19"/>
  <c r="O249" i="19"/>
  <c r="W249" i="19"/>
  <c r="G249" i="19"/>
  <c r="Q249" i="19"/>
  <c r="H249" i="19"/>
  <c r="E249" i="19"/>
  <c r="U249" i="19"/>
  <c r="AR249" i="19"/>
  <c r="AC249" i="19"/>
  <c r="N249" i="19"/>
  <c r="R249" i="19"/>
  <c r="P249" i="19"/>
  <c r="T249" i="19"/>
  <c r="AI249" i="19" s="1"/>
  <c r="AP249" i="19" s="1"/>
  <c r="X249" i="19"/>
  <c r="AD249" i="19"/>
  <c r="Z249" i="19"/>
  <c r="AE249" i="19"/>
  <c r="AB249" i="19"/>
  <c r="Y249" i="19"/>
  <c r="S249" i="19"/>
  <c r="I249" i="19"/>
  <c r="D249" i="19"/>
  <c r="AS249" i="19"/>
  <c r="J249" i="19"/>
  <c r="F249" i="19"/>
  <c r="AG249" i="19"/>
  <c r="V249" i="19"/>
  <c r="M249" i="19"/>
  <c r="AA249" i="19"/>
  <c r="AQ249" i="19"/>
  <c r="AF249" i="19"/>
  <c r="L249" i="19"/>
  <c r="K249" i="19"/>
  <c r="E195" i="19"/>
  <c r="Y195" i="19"/>
  <c r="W195" i="19"/>
  <c r="AE195" i="19"/>
  <c r="F195" i="19"/>
  <c r="T195" i="19"/>
  <c r="AI195" i="19" s="1"/>
  <c r="AL195" i="19" s="1"/>
  <c r="N195" i="19"/>
  <c r="AQ195" i="19"/>
  <c r="AA195" i="19"/>
  <c r="AG195" i="19"/>
  <c r="V195" i="19"/>
  <c r="D195" i="19"/>
  <c r="AS195" i="19"/>
  <c r="R195" i="19"/>
  <c r="I195" i="19"/>
  <c r="G195" i="19"/>
  <c r="AD195" i="19"/>
  <c r="AB195" i="19"/>
  <c r="M195" i="19"/>
  <c r="S195" i="19"/>
  <c r="P195" i="19"/>
  <c r="H195" i="19"/>
  <c r="K195" i="19"/>
  <c r="AF195" i="19"/>
  <c r="L195" i="19"/>
  <c r="AR195" i="19"/>
  <c r="Z195" i="19"/>
  <c r="X195" i="19"/>
  <c r="O195" i="19"/>
  <c r="Q195" i="19"/>
  <c r="J195" i="19"/>
  <c r="U195" i="19"/>
  <c r="AC195" i="19"/>
  <c r="I243" i="19"/>
  <c r="W243" i="19"/>
  <c r="AA243" i="19"/>
  <c r="J243" i="19"/>
  <c r="AR243" i="19"/>
  <c r="G243" i="19"/>
  <c r="V243" i="19"/>
  <c r="P243" i="19"/>
  <c r="K243" i="19"/>
  <c r="AG243" i="19"/>
  <c r="F243" i="19"/>
  <c r="S243" i="19"/>
  <c r="AS243" i="19"/>
  <c r="AE243" i="19"/>
  <c r="M243" i="19"/>
  <c r="Z243" i="19"/>
  <c r="AQ243" i="19"/>
  <c r="N243" i="19"/>
  <c r="AC243" i="19"/>
  <c r="AF243" i="19"/>
  <c r="X243" i="19"/>
  <c r="R243" i="19"/>
  <c r="Q243" i="19"/>
  <c r="AB243" i="19"/>
  <c r="T243" i="19"/>
  <c r="AI243" i="19" s="1"/>
  <c r="Y243" i="19"/>
  <c r="L243" i="19"/>
  <c r="E243" i="19"/>
  <c r="O243" i="19"/>
  <c r="D243" i="19"/>
  <c r="U243" i="19"/>
  <c r="AD243" i="19"/>
  <c r="H243" i="19"/>
  <c r="Q167" i="19"/>
  <c r="H167" i="19"/>
  <c r="L167" i="19"/>
  <c r="W167" i="19"/>
  <c r="X167" i="19"/>
  <c r="J167" i="19"/>
  <c r="F167" i="19"/>
  <c r="U167" i="19"/>
  <c r="T167" i="19"/>
  <c r="AI167" i="19" s="1"/>
  <c r="G167" i="19"/>
  <c r="I167" i="19"/>
  <c r="AC167" i="19"/>
  <c r="AA167" i="19"/>
  <c r="R167" i="19"/>
  <c r="M167" i="19"/>
  <c r="E167" i="19"/>
  <c r="D167" i="19"/>
  <c r="AB167" i="19"/>
  <c r="S167" i="19"/>
  <c r="AQ167" i="19"/>
  <c r="K167" i="19"/>
  <c r="Y167" i="19"/>
  <c r="V167" i="19"/>
  <c r="AG167" i="19"/>
  <c r="AE167" i="19"/>
  <c r="AR167" i="19"/>
  <c r="N167" i="19"/>
  <c r="AS167" i="19"/>
  <c r="AF167" i="19"/>
  <c r="O167" i="19"/>
  <c r="P167" i="19"/>
  <c r="Z167" i="19"/>
  <c r="AD167" i="19"/>
  <c r="Y256" i="19"/>
  <c r="J256" i="19"/>
  <c r="X256" i="19"/>
  <c r="AS256" i="19"/>
  <c r="K256" i="19"/>
  <c r="AB256" i="19"/>
  <c r="O256" i="19"/>
  <c r="F256" i="19"/>
  <c r="N256" i="19"/>
  <c r="G256" i="19"/>
  <c r="AF256" i="19"/>
  <c r="AQ256" i="19"/>
  <c r="D256" i="19"/>
  <c r="AC256" i="19"/>
  <c r="Q256" i="19"/>
  <c r="L256" i="19"/>
  <c r="T256" i="19"/>
  <c r="AI256" i="19" s="1"/>
  <c r="AP256" i="19" s="1"/>
  <c r="E256" i="19"/>
  <c r="R256" i="19"/>
  <c r="AA256" i="19"/>
  <c r="M256" i="19"/>
  <c r="AE256" i="19"/>
  <c r="S256" i="19"/>
  <c r="H256" i="19"/>
  <c r="V256" i="19"/>
  <c r="AR256" i="19"/>
  <c r="W256" i="19"/>
  <c r="P256" i="19"/>
  <c r="AG256" i="19"/>
  <c r="Z256" i="19"/>
  <c r="U256" i="19"/>
  <c r="AD256" i="19"/>
  <c r="I256" i="19"/>
  <c r="M213" i="19"/>
  <c r="L213" i="19"/>
  <c r="AQ213" i="19"/>
  <c r="AD213" i="19"/>
  <c r="X213" i="19"/>
  <c r="S213" i="19"/>
  <c r="H213" i="19"/>
  <c r="J213" i="19"/>
  <c r="D213" i="19"/>
  <c r="T213" i="19"/>
  <c r="AI213" i="19" s="1"/>
  <c r="AN213" i="19" s="1"/>
  <c r="AA213" i="19"/>
  <c r="AR213" i="19"/>
  <c r="E213" i="19"/>
  <c r="AS213" i="19"/>
  <c r="K213" i="19"/>
  <c r="G213" i="19"/>
  <c r="AC213" i="19"/>
  <c r="R213" i="19"/>
  <c r="F213" i="19"/>
  <c r="U213" i="19"/>
  <c r="P213" i="19"/>
  <c r="AB213" i="19"/>
  <c r="Z213" i="19"/>
  <c r="W213" i="19"/>
  <c r="AF213" i="19"/>
  <c r="O213" i="19"/>
  <c r="V213" i="19"/>
  <c r="Y213" i="19"/>
  <c r="AE213" i="19"/>
  <c r="N213" i="19"/>
  <c r="I213" i="19"/>
  <c r="Q213" i="19"/>
  <c r="AG213" i="19"/>
  <c r="N246" i="19"/>
  <c r="AG246" i="19"/>
  <c r="M246" i="19"/>
  <c r="F246" i="19"/>
  <c r="AC246" i="19"/>
  <c r="AA246" i="19"/>
  <c r="K246" i="19"/>
  <c r="AE246" i="19"/>
  <c r="E246" i="19"/>
  <c r="V246" i="19"/>
  <c r="AS246" i="19"/>
  <c r="AF246" i="19"/>
  <c r="L246" i="19"/>
  <c r="T246" i="19"/>
  <c r="AI246" i="19" s="1"/>
  <c r="Q246" i="19"/>
  <c r="Z246" i="19"/>
  <c r="AR246" i="19"/>
  <c r="P246" i="19"/>
  <c r="J246" i="19"/>
  <c r="AB246" i="19"/>
  <c r="AQ246" i="19"/>
  <c r="U246" i="19"/>
  <c r="I246" i="19"/>
  <c r="H246" i="19"/>
  <c r="R246" i="19"/>
  <c r="S246" i="19"/>
  <c r="AD246" i="19"/>
  <c r="G246" i="19"/>
  <c r="X246" i="19"/>
  <c r="O246" i="19"/>
  <c r="Y246" i="19"/>
  <c r="W246" i="19"/>
  <c r="D246" i="19"/>
  <c r="S175" i="19"/>
  <c r="AA175" i="19"/>
  <c r="J175" i="19"/>
  <c r="R175" i="19"/>
  <c r="D175" i="19"/>
  <c r="L175" i="19"/>
  <c r="N175" i="19"/>
  <c r="AE175" i="19"/>
  <c r="E175" i="19"/>
  <c r="AG175" i="19"/>
  <c r="AD175" i="19"/>
  <c r="AB175" i="19"/>
  <c r="AQ175" i="19"/>
  <c r="F175" i="19"/>
  <c r="X175" i="19"/>
  <c r="W175" i="19"/>
  <c r="P175" i="19"/>
  <c r="K175" i="19"/>
  <c r="O175" i="19"/>
  <c r="U175" i="19"/>
  <c r="Z175" i="19"/>
  <c r="M175" i="19"/>
  <c r="Q175" i="19"/>
  <c r="V175" i="19"/>
  <c r="I175" i="19"/>
  <c r="H175" i="19"/>
  <c r="AS175" i="19"/>
  <c r="T175" i="19"/>
  <c r="AI175" i="19" s="1"/>
  <c r="G175" i="19"/>
  <c r="AR175" i="19"/>
  <c r="AF175" i="19"/>
  <c r="AC175" i="19"/>
  <c r="Y175" i="19"/>
  <c r="W182" i="19"/>
  <c r="H182" i="19"/>
  <c r="M182" i="19"/>
  <c r="P182" i="19"/>
  <c r="D182" i="19"/>
  <c r="AF182" i="19"/>
  <c r="F182" i="19"/>
  <c r="J182" i="19"/>
  <c r="AB182" i="19"/>
  <c r="U182" i="19"/>
  <c r="R182" i="19"/>
  <c r="AQ182" i="19"/>
  <c r="Q182" i="19"/>
  <c r="Z182" i="19"/>
  <c r="AE182" i="19"/>
  <c r="E182" i="19"/>
  <c r="I182" i="19"/>
  <c r="X182" i="19"/>
  <c r="L182" i="19"/>
  <c r="G182" i="19"/>
  <c r="T182" i="19"/>
  <c r="AI182" i="19" s="1"/>
  <c r="O182" i="19"/>
  <c r="AS182" i="19"/>
  <c r="AD182" i="19"/>
  <c r="AC182" i="19"/>
  <c r="AG182" i="19"/>
  <c r="Y182" i="19"/>
  <c r="AA182" i="19"/>
  <c r="V182" i="19"/>
  <c r="AR182" i="19"/>
  <c r="N182" i="19"/>
  <c r="S182" i="19"/>
  <c r="K182" i="19"/>
  <c r="I241" i="19"/>
  <c r="AB241" i="19"/>
  <c r="X241" i="19"/>
  <c r="AE241" i="19"/>
  <c r="AQ241" i="19"/>
  <c r="AD241" i="19"/>
  <c r="Q241" i="19"/>
  <c r="P241" i="19"/>
  <c r="V241" i="19"/>
  <c r="M241" i="19"/>
  <c r="AS241" i="19"/>
  <c r="N241" i="19"/>
  <c r="L241" i="19"/>
  <c r="H241" i="19"/>
  <c r="G241" i="19"/>
  <c r="W241" i="19"/>
  <c r="F241" i="19"/>
  <c r="T241" i="19"/>
  <c r="AI241" i="19" s="1"/>
  <c r="AR241" i="19"/>
  <c r="S241" i="19"/>
  <c r="O241" i="19"/>
  <c r="Y241" i="19"/>
  <c r="E241" i="19"/>
  <c r="AG241" i="19"/>
  <c r="U241" i="19"/>
  <c r="AF241" i="19"/>
  <c r="R241" i="19"/>
  <c r="AA241" i="19"/>
  <c r="Z241" i="19"/>
  <c r="AC241" i="19"/>
  <c r="K241" i="19"/>
  <c r="J241" i="19"/>
  <c r="D241" i="19"/>
  <c r="M188" i="19"/>
  <c r="Z188" i="19"/>
  <c r="AB188" i="19"/>
  <c r="T188" i="19"/>
  <c r="AI188" i="19" s="1"/>
  <c r="AP188" i="19" s="1"/>
  <c r="N188" i="19"/>
  <c r="X188" i="19"/>
  <c r="AR188" i="19"/>
  <c r="S188" i="19"/>
  <c r="AC188" i="19"/>
  <c r="I188" i="19"/>
  <c r="J188" i="19"/>
  <c r="AE188" i="19"/>
  <c r="H188" i="19"/>
  <c r="Y188" i="19"/>
  <c r="R188" i="19"/>
  <c r="AF188" i="19"/>
  <c r="V188" i="19"/>
  <c r="L188" i="19"/>
  <c r="W188" i="19"/>
  <c r="AG188" i="19"/>
  <c r="O188" i="19"/>
  <c r="AQ188" i="19"/>
  <c r="AS188" i="19"/>
  <c r="AD188" i="19"/>
  <c r="U188" i="19"/>
  <c r="D188" i="19"/>
  <c r="G188" i="19"/>
  <c r="F188" i="19"/>
  <c r="K188" i="19"/>
  <c r="E188" i="19"/>
  <c r="AA188" i="19"/>
  <c r="P188" i="19"/>
  <c r="Q188" i="19"/>
  <c r="AG247" i="19"/>
  <c r="X247" i="19"/>
  <c r="AQ247" i="19"/>
  <c r="J247" i="19"/>
  <c r="L247" i="19"/>
  <c r="S247" i="19"/>
  <c r="U247" i="19"/>
  <c r="R247" i="19"/>
  <c r="Z247" i="19"/>
  <c r="I247" i="19"/>
  <c r="AC247" i="19"/>
  <c r="G247" i="19"/>
  <c r="AD247" i="19"/>
  <c r="W247" i="19"/>
  <c r="H247" i="19"/>
  <c r="AF247" i="19"/>
  <c r="N247" i="19"/>
  <c r="AR247" i="19"/>
  <c r="E247" i="19"/>
  <c r="V247" i="19"/>
  <c r="T247" i="19"/>
  <c r="AI247" i="19" s="1"/>
  <c r="AP247" i="19" s="1"/>
  <c r="P247" i="19"/>
  <c r="AS247" i="19"/>
  <c r="D247" i="19"/>
  <c r="Y247" i="19"/>
  <c r="O247" i="19"/>
  <c r="Q247" i="19"/>
  <c r="AE247" i="19"/>
  <c r="M247" i="19"/>
  <c r="AA247" i="19"/>
  <c r="AB247" i="19"/>
  <c r="K247" i="19"/>
  <c r="F247" i="19"/>
  <c r="AA179" i="19"/>
  <c r="P179" i="19"/>
  <c r="U179" i="19"/>
  <c r="Q179" i="19"/>
  <c r="AF179" i="19"/>
  <c r="W179" i="19"/>
  <c r="AD179" i="19"/>
  <c r="Z179" i="19"/>
  <c r="T179" i="19"/>
  <c r="AI179" i="19" s="1"/>
  <c r="AO179" i="19" s="1"/>
  <c r="D179" i="19"/>
  <c r="H179" i="19"/>
  <c r="I179" i="19"/>
  <c r="F179" i="19"/>
  <c r="AQ179" i="19"/>
  <c r="G179" i="19"/>
  <c r="X179" i="19"/>
  <c r="AS179" i="19"/>
  <c r="AB179" i="19"/>
  <c r="AR179" i="19"/>
  <c r="R179" i="19"/>
  <c r="M179" i="19"/>
  <c r="O179" i="19"/>
  <c r="AE179" i="19"/>
  <c r="J179" i="19"/>
  <c r="AC179" i="19"/>
  <c r="Y179" i="19"/>
  <c r="N179" i="19"/>
  <c r="S179" i="19"/>
  <c r="L179" i="19"/>
  <c r="K179" i="19"/>
  <c r="E179" i="19"/>
  <c r="V179" i="19"/>
  <c r="AG179" i="19"/>
  <c r="E239" i="19"/>
  <c r="V239" i="19"/>
  <c r="F239" i="19"/>
  <c r="K239" i="19"/>
  <c r="H239" i="19"/>
  <c r="G239" i="19"/>
  <c r="X239" i="19"/>
  <c r="T239" i="19"/>
  <c r="AI239" i="19" s="1"/>
  <c r="AL239" i="19" s="1"/>
  <c r="Y239" i="19"/>
  <c r="J239" i="19"/>
  <c r="Z239" i="19"/>
  <c r="W239" i="19"/>
  <c r="AQ239" i="19"/>
  <c r="D239" i="19"/>
  <c r="M239" i="19"/>
  <c r="AD239" i="19"/>
  <c r="AA239" i="19"/>
  <c r="I239" i="19"/>
  <c r="O239" i="19"/>
  <c r="P239" i="19"/>
  <c r="AE239" i="19"/>
  <c r="AR239" i="19"/>
  <c r="U239" i="19"/>
  <c r="N239" i="19"/>
  <c r="AG239" i="19"/>
  <c r="R239" i="19"/>
  <c r="AC239" i="19"/>
  <c r="AB239" i="19"/>
  <c r="AF239" i="19"/>
  <c r="Q239" i="19"/>
  <c r="S239" i="19"/>
  <c r="AS239" i="19"/>
  <c r="L239" i="19"/>
  <c r="AR164" i="19"/>
  <c r="H164" i="19"/>
  <c r="Q164" i="19"/>
  <c r="AE164" i="19"/>
  <c r="S164" i="19"/>
  <c r="AC164" i="19"/>
  <c r="J164" i="19"/>
  <c r="Z164" i="19"/>
  <c r="W164" i="19"/>
  <c r="D164" i="19"/>
  <c r="M164" i="19"/>
  <c r="Y164" i="19"/>
  <c r="T164" i="19"/>
  <c r="AI164" i="19" s="1"/>
  <c r="AL164" i="19" s="1"/>
  <c r="P164" i="19"/>
  <c r="G164" i="19"/>
  <c r="V164" i="19"/>
  <c r="AS164" i="19"/>
  <c r="F164" i="19"/>
  <c r="AQ164" i="19"/>
  <c r="O164" i="19"/>
  <c r="L164" i="19"/>
  <c r="X164" i="19"/>
  <c r="AD164" i="19"/>
  <c r="AF164" i="19"/>
  <c r="I164" i="19"/>
  <c r="AB164" i="19"/>
  <c r="R164" i="19"/>
  <c r="U164" i="19"/>
  <c r="K164" i="19"/>
  <c r="E164" i="19"/>
  <c r="AA164" i="19"/>
  <c r="N164" i="19"/>
  <c r="AG164" i="19"/>
  <c r="AF162" i="19"/>
  <c r="AC162" i="19"/>
  <c r="R162" i="19"/>
  <c r="U162" i="19"/>
  <c r="L162" i="19"/>
  <c r="AA162" i="19"/>
  <c r="G162" i="19"/>
  <c r="H162" i="19"/>
  <c r="Z162" i="19"/>
  <c r="F162" i="19"/>
  <c r="N162" i="19"/>
  <c r="AG162" i="19"/>
  <c r="AE162" i="19"/>
  <c r="AD162" i="19"/>
  <c r="AR162" i="19"/>
  <c r="W162" i="19"/>
  <c r="S162" i="19"/>
  <c r="V162" i="19"/>
  <c r="E162" i="19"/>
  <c r="O162" i="19"/>
  <c r="T162" i="19"/>
  <c r="AI162" i="19" s="1"/>
  <c r="AK162" i="19" s="1"/>
  <c r="J162" i="19"/>
  <c r="I162" i="19"/>
  <c r="AQ162" i="19"/>
  <c r="Y162" i="19"/>
  <c r="AB162" i="19"/>
  <c r="D162" i="19"/>
  <c r="AS162" i="19"/>
  <c r="Q162" i="19"/>
  <c r="K162" i="19"/>
  <c r="X162" i="19"/>
  <c r="M162" i="19"/>
  <c r="P162" i="19"/>
  <c r="AF147" i="19"/>
  <c r="W147" i="19"/>
  <c r="AB147" i="19"/>
  <c r="AE147" i="19"/>
  <c r="AA147" i="19"/>
  <c r="S147" i="19"/>
  <c r="G147" i="19"/>
  <c r="AR147" i="19"/>
  <c r="J147" i="19"/>
  <c r="E147" i="19"/>
  <c r="N147" i="19"/>
  <c r="Y147" i="19"/>
  <c r="F147" i="19"/>
  <c r="AS147" i="19"/>
  <c r="T147" i="19"/>
  <c r="AI147" i="19" s="1"/>
  <c r="AN147" i="19" s="1"/>
  <c r="AQ147" i="19"/>
  <c r="P147" i="19"/>
  <c r="K147" i="19"/>
  <c r="D147" i="19"/>
  <c r="U147" i="19"/>
  <c r="AG147" i="19"/>
  <c r="AC147" i="19"/>
  <c r="O147" i="19"/>
  <c r="Q147" i="19"/>
  <c r="R147" i="19"/>
  <c r="Z147" i="19"/>
  <c r="V147" i="19"/>
  <c r="X147" i="19"/>
  <c r="AD147" i="19"/>
  <c r="L147" i="19"/>
  <c r="H147" i="19"/>
  <c r="M147" i="19"/>
  <c r="I147" i="19"/>
  <c r="Q227" i="19"/>
  <c r="L227" i="19"/>
  <c r="AF227" i="19"/>
  <c r="AD227" i="19"/>
  <c r="AB227" i="19"/>
  <c r="AC227" i="19"/>
  <c r="F227" i="19"/>
  <c r="AG227" i="19"/>
  <c r="H227" i="19"/>
  <c r="X227" i="19"/>
  <c r="P227" i="19"/>
  <c r="AR227" i="19"/>
  <c r="O227" i="19"/>
  <c r="AQ227" i="19"/>
  <c r="G227" i="19"/>
  <c r="K227" i="19"/>
  <c r="D227" i="19"/>
  <c r="AS227" i="19"/>
  <c r="E227" i="19"/>
  <c r="AA227" i="19"/>
  <c r="Y227" i="19"/>
  <c r="V227" i="19"/>
  <c r="R227" i="19"/>
  <c r="N227" i="19"/>
  <c r="S227" i="19"/>
  <c r="W227" i="19"/>
  <c r="M227" i="19"/>
  <c r="AE227" i="19"/>
  <c r="T227" i="19"/>
  <c r="AI227" i="19" s="1"/>
  <c r="AP227" i="19" s="1"/>
  <c r="U227" i="19"/>
  <c r="I227" i="19"/>
  <c r="J227" i="19"/>
  <c r="Z227" i="19"/>
  <c r="S140" i="19"/>
  <c r="AC140" i="19"/>
  <c r="V140" i="19"/>
  <c r="G140" i="19"/>
  <c r="AQ140" i="19"/>
  <c r="AA140" i="19"/>
  <c r="D140" i="19"/>
  <c r="AR140" i="19"/>
  <c r="F140" i="19"/>
  <c r="L140" i="19"/>
  <c r="Q140" i="19"/>
  <c r="X140" i="19"/>
  <c r="AG140" i="19"/>
  <c r="AS140" i="19"/>
  <c r="AB140" i="19"/>
  <c r="T140" i="19"/>
  <c r="AI140" i="19" s="1"/>
  <c r="AL140" i="19" s="1"/>
  <c r="M140" i="19"/>
  <c r="Z140" i="19"/>
  <c r="I140" i="19"/>
  <c r="AD140" i="19"/>
  <c r="J140" i="19"/>
  <c r="R140" i="19"/>
  <c r="K140" i="19"/>
  <c r="AE140" i="19"/>
  <c r="W140" i="19"/>
  <c r="H140" i="19"/>
  <c r="Y140" i="19"/>
  <c r="O140" i="19"/>
  <c r="U140" i="19"/>
  <c r="AF140" i="19"/>
  <c r="P140" i="19"/>
  <c r="E140" i="19"/>
  <c r="N140" i="19"/>
  <c r="T245" i="19"/>
  <c r="AI245" i="19" s="1"/>
  <c r="G245" i="19"/>
  <c r="S245" i="19"/>
  <c r="J245" i="19"/>
  <c r="AA245" i="19"/>
  <c r="D245" i="19"/>
  <c r="AB245" i="19"/>
  <c r="U245" i="19"/>
  <c r="H245" i="19"/>
  <c r="AS245" i="19"/>
  <c r="AR245" i="19"/>
  <c r="Y245" i="19"/>
  <c r="L245" i="19"/>
  <c r="M245" i="19"/>
  <c r="N245" i="19"/>
  <c r="AC245" i="19"/>
  <c r="R245" i="19"/>
  <c r="AG245" i="19"/>
  <c r="F245" i="19"/>
  <c r="X245" i="19"/>
  <c r="AD245" i="19"/>
  <c r="O245" i="19"/>
  <c r="I245" i="19"/>
  <c r="Z245" i="19"/>
  <c r="AQ245" i="19"/>
  <c r="AE245" i="19"/>
  <c r="P245" i="19"/>
  <c r="Q245" i="19"/>
  <c r="K245" i="19"/>
  <c r="AF245" i="19"/>
  <c r="E245" i="19"/>
  <c r="W245" i="19"/>
  <c r="V245" i="19"/>
  <c r="H196" i="19"/>
  <c r="AS196" i="19"/>
  <c r="AR196" i="19"/>
  <c r="W196" i="19"/>
  <c r="AE196" i="19"/>
  <c r="F196" i="19"/>
  <c r="AB196" i="19"/>
  <c r="X196" i="19"/>
  <c r="R196" i="19"/>
  <c r="J196" i="19"/>
  <c r="T196" i="19"/>
  <c r="AI196" i="19" s="1"/>
  <c r="AN196" i="19" s="1"/>
  <c r="AA196" i="19"/>
  <c r="Q196" i="19"/>
  <c r="K196" i="19"/>
  <c r="U196" i="19"/>
  <c r="AG196" i="19"/>
  <c r="L196" i="19"/>
  <c r="S196" i="19"/>
  <c r="D196" i="19"/>
  <c r="V196" i="19"/>
  <c r="M196" i="19"/>
  <c r="I196" i="19"/>
  <c r="AF196" i="19"/>
  <c r="AC196" i="19"/>
  <c r="N196" i="19"/>
  <c r="O196" i="19"/>
  <c r="P196" i="19"/>
  <c r="E196" i="19"/>
  <c r="G196" i="19"/>
  <c r="Y196" i="19"/>
  <c r="AD196" i="19"/>
  <c r="AQ196" i="19"/>
  <c r="Z196" i="19"/>
  <c r="Z209" i="19"/>
  <c r="G209" i="19"/>
  <c r="J209" i="19"/>
  <c r="Q209" i="19"/>
  <c r="U209" i="19"/>
  <c r="W209" i="19"/>
  <c r="K209" i="19"/>
  <c r="L209" i="19"/>
  <c r="D209" i="19"/>
  <c r="AS209" i="19"/>
  <c r="S209" i="19"/>
  <c r="V209" i="19"/>
  <c r="AQ209" i="19"/>
  <c r="AB209" i="19"/>
  <c r="AR209" i="19"/>
  <c r="F209" i="19"/>
  <c r="I209" i="19"/>
  <c r="X209" i="19"/>
  <c r="AF209" i="19"/>
  <c r="P209" i="19"/>
  <c r="O209" i="19"/>
  <c r="AE209" i="19"/>
  <c r="M209" i="19"/>
  <c r="AG209" i="19"/>
  <c r="N209" i="19"/>
  <c r="H209" i="19"/>
  <c r="T209" i="19"/>
  <c r="AI209" i="19" s="1"/>
  <c r="AO209" i="19" s="1"/>
  <c r="Y209" i="19"/>
  <c r="AD209" i="19"/>
  <c r="AA209" i="19"/>
  <c r="E209" i="19"/>
  <c r="AC209" i="19"/>
  <c r="R209" i="19"/>
  <c r="V232" i="19"/>
  <c r="D232" i="19"/>
  <c r="T232" i="19"/>
  <c r="AI232" i="19" s="1"/>
  <c r="AN232" i="19" s="1"/>
  <c r="AF232" i="19"/>
  <c r="I232" i="19"/>
  <c r="M232" i="19"/>
  <c r="G232" i="19"/>
  <c r="Z232" i="19"/>
  <c r="AR232" i="19"/>
  <c r="X232" i="19"/>
  <c r="AA232" i="19"/>
  <c r="AB232" i="19"/>
  <c r="E232" i="19"/>
  <c r="AG232" i="19"/>
  <c r="AD232" i="19"/>
  <c r="Y232" i="19"/>
  <c r="L232" i="19"/>
  <c r="S232" i="19"/>
  <c r="J232" i="19"/>
  <c r="N232" i="19"/>
  <c r="H232" i="19"/>
  <c r="Q232" i="19"/>
  <c r="O232" i="19"/>
  <c r="W232" i="19"/>
  <c r="F232" i="19"/>
  <c r="AQ232" i="19"/>
  <c r="K232" i="19"/>
  <c r="AS232" i="19"/>
  <c r="AE232" i="19"/>
  <c r="P232" i="19"/>
  <c r="R232" i="19"/>
  <c r="U232" i="19"/>
  <c r="AC232" i="19"/>
  <c r="AS155" i="19"/>
  <c r="R155" i="19"/>
  <c r="E155" i="19"/>
  <c r="Z155" i="19"/>
  <c r="I155" i="19"/>
  <c r="P155" i="19"/>
  <c r="S155" i="19"/>
  <c r="J155" i="19"/>
  <c r="W155" i="19"/>
  <c r="Y155" i="19"/>
  <c r="V155" i="19"/>
  <c r="U155" i="19"/>
  <c r="T155" i="19"/>
  <c r="AI155" i="19" s="1"/>
  <c r="AP155" i="19" s="1"/>
  <c r="Q155" i="19"/>
  <c r="X155" i="19"/>
  <c r="AE155" i="19"/>
  <c r="L155" i="19"/>
  <c r="AA155" i="19"/>
  <c r="AQ155" i="19"/>
  <c r="K155" i="19"/>
  <c r="AG155" i="19"/>
  <c r="AR155" i="19"/>
  <c r="AB155" i="19"/>
  <c r="D155" i="19"/>
  <c r="AF155" i="19"/>
  <c r="AD155" i="19"/>
  <c r="G155" i="19"/>
  <c r="M155" i="19"/>
  <c r="F155" i="19"/>
  <c r="O155" i="19"/>
  <c r="N155" i="19"/>
  <c r="AC155" i="19"/>
  <c r="H155" i="19"/>
  <c r="P253" i="19"/>
  <c r="D253" i="19"/>
  <c r="G253" i="19"/>
  <c r="Z253" i="19"/>
  <c r="AC253" i="19"/>
  <c r="K253" i="19"/>
  <c r="T253" i="19"/>
  <c r="AI253" i="19" s="1"/>
  <c r="AP253" i="19" s="1"/>
  <c r="L253" i="19"/>
  <c r="H253" i="19"/>
  <c r="Q253" i="19"/>
  <c r="J253" i="19"/>
  <c r="V253" i="19"/>
  <c r="AG253" i="19"/>
  <c r="AE253" i="19"/>
  <c r="S253" i="19"/>
  <c r="U253" i="19"/>
  <c r="AR253" i="19"/>
  <c r="O253" i="19"/>
  <c r="W253" i="19"/>
  <c r="AD253" i="19"/>
  <c r="R253" i="19"/>
  <c r="AS253" i="19"/>
  <c r="X253" i="19"/>
  <c r="AQ253" i="19"/>
  <c r="AA253" i="19"/>
  <c r="AB253" i="19"/>
  <c r="M253" i="19"/>
  <c r="F253" i="19"/>
  <c r="Y253" i="19"/>
  <c r="N253" i="19"/>
  <c r="I253" i="19"/>
  <c r="AF253" i="19"/>
  <c r="E253" i="19"/>
  <c r="F153" i="19"/>
  <c r="E153" i="19"/>
  <c r="X153" i="19"/>
  <c r="AR153" i="19"/>
  <c r="J153" i="19"/>
  <c r="I153" i="19"/>
  <c r="AE153" i="19"/>
  <c r="T153" i="19"/>
  <c r="AI153" i="19" s="1"/>
  <c r="AN153" i="19" s="1"/>
  <c r="AG153" i="19"/>
  <c r="V153" i="19"/>
  <c r="N153" i="19"/>
  <c r="AS153" i="19"/>
  <c r="AQ153" i="19"/>
  <c r="L153" i="19"/>
  <c r="M153" i="19"/>
  <c r="O153" i="19"/>
  <c r="D153" i="19"/>
  <c r="Y153" i="19"/>
  <c r="K153" i="19"/>
  <c r="S153" i="19"/>
  <c r="AB153" i="19"/>
  <c r="AA153" i="19"/>
  <c r="H153" i="19"/>
  <c r="AD153" i="19"/>
  <c r="Q153" i="19"/>
  <c r="P153" i="19"/>
  <c r="G153" i="19"/>
  <c r="U153" i="19"/>
  <c r="Z153" i="19"/>
  <c r="R153" i="19"/>
  <c r="AF153" i="19"/>
  <c r="W153" i="19"/>
  <c r="AC153" i="19"/>
  <c r="K197" i="19"/>
  <c r="AA197" i="19"/>
  <c r="W197" i="19"/>
  <c r="O197" i="19"/>
  <c r="X197" i="19"/>
  <c r="AB197" i="19"/>
  <c r="Y197" i="19"/>
  <c r="V197" i="19"/>
  <c r="F197" i="19"/>
  <c r="AC197" i="19"/>
  <c r="I197" i="19"/>
  <c r="J197" i="19"/>
  <c r="P197" i="19"/>
  <c r="N197" i="19"/>
  <c r="H197" i="19"/>
  <c r="AE197" i="19"/>
  <c r="AR197" i="19"/>
  <c r="U197" i="19"/>
  <c r="D197" i="19"/>
  <c r="S197" i="19"/>
  <c r="G197" i="19"/>
  <c r="Z197" i="19"/>
  <c r="Q197" i="19"/>
  <c r="AG197" i="19"/>
  <c r="E197" i="19"/>
  <c r="AF197" i="19"/>
  <c r="AQ197" i="19"/>
  <c r="R197" i="19"/>
  <c r="AD197" i="19"/>
  <c r="T197" i="19"/>
  <c r="AI197" i="19" s="1"/>
  <c r="AS197" i="19"/>
  <c r="L197" i="19"/>
  <c r="M197" i="19"/>
  <c r="AE211" i="19"/>
  <c r="I211" i="19"/>
  <c r="V211" i="19"/>
  <c r="M211" i="19"/>
  <c r="Q211" i="19"/>
  <c r="P211" i="19"/>
  <c r="F211" i="19"/>
  <c r="W211" i="19"/>
  <c r="Z211" i="19"/>
  <c r="R211" i="19"/>
  <c r="AB211" i="19"/>
  <c r="AG211" i="19"/>
  <c r="N211" i="19"/>
  <c r="AC211" i="19"/>
  <c r="AQ211" i="19"/>
  <c r="U211" i="19"/>
  <c r="AF211" i="19"/>
  <c r="E211" i="19"/>
  <c r="J211" i="19"/>
  <c r="AA211" i="19"/>
  <c r="K211" i="19"/>
  <c r="Y211" i="19"/>
  <c r="G211" i="19"/>
  <c r="AS211" i="19"/>
  <c r="D211" i="19"/>
  <c r="T211" i="19"/>
  <c r="AI211" i="19" s="1"/>
  <c r="AN211" i="19" s="1"/>
  <c r="X211" i="19"/>
  <c r="S211" i="19"/>
  <c r="AR211" i="19"/>
  <c r="O211" i="19"/>
  <c r="AD211" i="19"/>
  <c r="H211" i="19"/>
  <c r="L211" i="19"/>
  <c r="Y166" i="19"/>
  <c r="M166" i="19"/>
  <c r="R166" i="19"/>
  <c r="N166" i="19"/>
  <c r="U166" i="19"/>
  <c r="W166" i="19"/>
  <c r="V166" i="19"/>
  <c r="S166" i="19"/>
  <c r="T166" i="19"/>
  <c r="AI166" i="19" s="1"/>
  <c r="AP166" i="19" s="1"/>
  <c r="L166" i="19"/>
  <c r="AG166" i="19"/>
  <c r="AC166" i="19"/>
  <c r="E166" i="19"/>
  <c r="K166" i="19"/>
  <c r="F166" i="19"/>
  <c r="G166" i="19"/>
  <c r="AR166" i="19"/>
  <c r="Q166" i="19"/>
  <c r="AQ166" i="19"/>
  <c r="Z166" i="19"/>
  <c r="J166" i="19"/>
  <c r="AB166" i="19"/>
  <c r="AA166" i="19"/>
  <c r="AF166" i="19"/>
  <c r="D166" i="19"/>
  <c r="AE166" i="19"/>
  <c r="O166" i="19"/>
  <c r="P166" i="19"/>
  <c r="AS166" i="19"/>
  <c r="AD166" i="19"/>
  <c r="I166" i="19"/>
  <c r="X166" i="19"/>
  <c r="H166" i="19"/>
  <c r="V230" i="19"/>
  <c r="J230" i="19"/>
  <c r="AB230" i="19"/>
  <c r="N230" i="19"/>
  <c r="AD230" i="19"/>
  <c r="P230" i="19"/>
  <c r="H230" i="19"/>
  <c r="AE230" i="19"/>
  <c r="O230" i="19"/>
  <c r="W230" i="19"/>
  <c r="Y230" i="19"/>
  <c r="AR230" i="19"/>
  <c r="Q230" i="19"/>
  <c r="AQ230" i="19"/>
  <c r="S230" i="19"/>
  <c r="AC230" i="19"/>
  <c r="G230" i="19"/>
  <c r="U230" i="19"/>
  <c r="AS230" i="19"/>
  <c r="R230" i="19"/>
  <c r="AG230" i="19"/>
  <c r="K230" i="19"/>
  <c r="M230" i="19"/>
  <c r="F230" i="19"/>
  <c r="I230" i="19"/>
  <c r="AA230" i="19"/>
  <c r="E230" i="19"/>
  <c r="AF230" i="19"/>
  <c r="D230" i="19"/>
  <c r="L230" i="19"/>
  <c r="T230" i="19"/>
  <c r="AI230" i="19" s="1"/>
  <c r="Z230" i="19"/>
  <c r="X230" i="19"/>
  <c r="AC141" i="19"/>
  <c r="Q141" i="19"/>
  <c r="AS141" i="19"/>
  <c r="K141" i="19"/>
  <c r="AE141" i="19"/>
  <c r="J141" i="19"/>
  <c r="R141" i="19"/>
  <c r="W141" i="19"/>
  <c r="N141" i="19"/>
  <c r="T141" i="19"/>
  <c r="AI141" i="19" s="1"/>
  <c r="AK141" i="19" s="1"/>
  <c r="AG141" i="19"/>
  <c r="O141" i="19"/>
  <c r="S141" i="19"/>
  <c r="AA141" i="19"/>
  <c r="P141" i="19"/>
  <c r="AQ141" i="19"/>
  <c r="D141" i="19"/>
  <c r="H141" i="19"/>
  <c r="AB141" i="19"/>
  <c r="AR141" i="19"/>
  <c r="AD141" i="19"/>
  <c r="L141" i="19"/>
  <c r="U141" i="19"/>
  <c r="Y141" i="19"/>
  <c r="X141" i="19"/>
  <c r="G141" i="19"/>
  <c r="AF141" i="19"/>
  <c r="M141" i="19"/>
  <c r="F141" i="19"/>
  <c r="E141" i="19"/>
  <c r="V141" i="19"/>
  <c r="I141" i="19"/>
  <c r="Z141" i="19"/>
  <c r="M218" i="19"/>
  <c r="Q218" i="19"/>
  <c r="AB218" i="19"/>
  <c r="AG218" i="19"/>
  <c r="S218" i="19"/>
  <c r="R218" i="19"/>
  <c r="L218" i="19"/>
  <c r="X218" i="19"/>
  <c r="H218" i="19"/>
  <c r="AQ218" i="19"/>
  <c r="Z218" i="19"/>
  <c r="AE218" i="19"/>
  <c r="K218" i="19"/>
  <c r="U218" i="19"/>
  <c r="AR218" i="19"/>
  <c r="I218" i="19"/>
  <c r="T218" i="19"/>
  <c r="AI218" i="19" s="1"/>
  <c r="AM218" i="19" s="1"/>
  <c r="Y218" i="19"/>
  <c r="G218" i="19"/>
  <c r="O218" i="19"/>
  <c r="F218" i="19"/>
  <c r="N218" i="19"/>
  <c r="AF218" i="19"/>
  <c r="P218" i="19"/>
  <c r="AA218" i="19"/>
  <c r="D218" i="19"/>
  <c r="V218" i="19"/>
  <c r="J218" i="19"/>
  <c r="AD218" i="19"/>
  <c r="AS218" i="19"/>
  <c r="E218" i="19"/>
  <c r="AC218" i="19"/>
  <c r="W218" i="19"/>
  <c r="G198" i="19"/>
  <c r="AQ198" i="19"/>
  <c r="E198" i="19"/>
  <c r="AR198" i="19"/>
  <c r="AE198" i="19"/>
  <c r="F198" i="19"/>
  <c r="P198" i="19"/>
  <c r="AD198" i="19"/>
  <c r="O198" i="19"/>
  <c r="Y198" i="19"/>
  <c r="J198" i="19"/>
  <c r="M198" i="19"/>
  <c r="K198" i="19"/>
  <c r="H198" i="19"/>
  <c r="AG198" i="19"/>
  <c r="D198" i="19"/>
  <c r="AB198" i="19"/>
  <c r="Z198" i="19"/>
  <c r="AA198" i="19"/>
  <c r="S198" i="19"/>
  <c r="R198" i="19"/>
  <c r="AF198" i="19"/>
  <c r="I198" i="19"/>
  <c r="AS198" i="19"/>
  <c r="U198" i="19"/>
  <c r="AC198" i="19"/>
  <c r="L198" i="19"/>
  <c r="Q198" i="19"/>
  <c r="T198" i="19"/>
  <c r="AI198" i="19" s="1"/>
  <c r="AM198" i="19" s="1"/>
  <c r="X198" i="19"/>
  <c r="N198" i="19"/>
  <c r="W198" i="19"/>
  <c r="V198" i="19"/>
  <c r="S191" i="19"/>
  <c r="O191" i="19"/>
  <c r="R191" i="19"/>
  <c r="Y191" i="19"/>
  <c r="AA191" i="19"/>
  <c r="AD191" i="19"/>
  <c r="H191" i="19"/>
  <c r="AC191" i="19"/>
  <c r="AG191" i="19"/>
  <c r="AF191" i="19"/>
  <c r="AB191" i="19"/>
  <c r="Q191" i="19"/>
  <c r="U191" i="19"/>
  <c r="Z191" i="19"/>
  <c r="L191" i="19"/>
  <c r="X191" i="19"/>
  <c r="I191" i="19"/>
  <c r="F191" i="19"/>
  <c r="E191" i="19"/>
  <c r="AE191" i="19"/>
  <c r="G191" i="19"/>
  <c r="AQ191" i="19"/>
  <c r="T191" i="19"/>
  <c r="AI191" i="19" s="1"/>
  <c r="AL191" i="19" s="1"/>
  <c r="AR191" i="19"/>
  <c r="N191" i="19"/>
  <c r="P191" i="19"/>
  <c r="V191" i="19"/>
  <c r="M191" i="19"/>
  <c r="W191" i="19"/>
  <c r="AS191" i="19"/>
  <c r="J191" i="19"/>
  <c r="D191" i="19"/>
  <c r="K191" i="19"/>
  <c r="Y173" i="19"/>
  <c r="P173" i="19"/>
  <c r="Z173" i="19"/>
  <c r="Q173" i="19"/>
  <c r="L173" i="19"/>
  <c r="T173" i="19"/>
  <c r="AI173" i="19" s="1"/>
  <c r="AM173" i="19" s="1"/>
  <c r="I173" i="19"/>
  <c r="AB173" i="19"/>
  <c r="K173" i="19"/>
  <c r="AD173" i="19"/>
  <c r="U173" i="19"/>
  <c r="J173" i="19"/>
  <c r="AG173" i="19"/>
  <c r="S173" i="19"/>
  <c r="AF173" i="19"/>
  <c r="AR173" i="19"/>
  <c r="AE173" i="19"/>
  <c r="R173" i="19"/>
  <c r="G173" i="19"/>
  <c r="D173" i="19"/>
  <c r="AA173" i="19"/>
  <c r="AS173" i="19"/>
  <c r="H173" i="19"/>
  <c r="AC173" i="19"/>
  <c r="E173" i="19"/>
  <c r="W173" i="19"/>
  <c r="F173" i="19"/>
  <c r="V173" i="19"/>
  <c r="N173" i="19"/>
  <c r="AQ173" i="19"/>
  <c r="M173" i="19"/>
  <c r="O173" i="19"/>
  <c r="X173" i="19"/>
  <c r="G248" i="19"/>
  <c r="T248" i="19"/>
  <c r="AI248" i="19" s="1"/>
  <c r="AK248" i="19" s="1"/>
  <c r="AG248" i="19"/>
  <c r="AR248" i="19"/>
  <c r="E248" i="19"/>
  <c r="AS248" i="19"/>
  <c r="F248" i="19"/>
  <c r="M248" i="19"/>
  <c r="X248" i="19"/>
  <c r="J248" i="19"/>
  <c r="AB248" i="19"/>
  <c r="L248" i="19"/>
  <c r="K248" i="19"/>
  <c r="Q248" i="19"/>
  <c r="Y248" i="19"/>
  <c r="S248" i="19"/>
  <c r="Z248" i="19"/>
  <c r="V248" i="19"/>
  <c r="I248" i="19"/>
  <c r="AD248" i="19"/>
  <c r="W248" i="19"/>
  <c r="P248" i="19"/>
  <c r="R248" i="19"/>
  <c r="H248" i="19"/>
  <c r="O248" i="19"/>
  <c r="AQ248" i="19"/>
  <c r="AA248" i="19"/>
  <c r="AF248" i="19"/>
  <c r="AE248" i="19"/>
  <c r="D248" i="19"/>
  <c r="AC248" i="19"/>
  <c r="U248" i="19"/>
  <c r="N248" i="19"/>
  <c r="R236" i="19"/>
  <c r="T236" i="19"/>
  <c r="AI236" i="19" s="1"/>
  <c r="AL236" i="19" s="1"/>
  <c r="AC236" i="19"/>
  <c r="U236" i="19"/>
  <c r="AS236" i="19"/>
  <c r="L236" i="19"/>
  <c r="Y236" i="19"/>
  <c r="P236" i="19"/>
  <c r="N236" i="19"/>
  <c r="AE236" i="19"/>
  <c r="AQ236" i="19"/>
  <c r="Q236" i="19"/>
  <c r="J236" i="19"/>
  <c r="AD236" i="19"/>
  <c r="AF236" i="19"/>
  <c r="K236" i="19"/>
  <c r="AG236" i="19"/>
  <c r="D236" i="19"/>
  <c r="I236" i="19"/>
  <c r="W236" i="19"/>
  <c r="S236" i="19"/>
  <c r="M236" i="19"/>
  <c r="E236" i="19"/>
  <c r="Z236" i="19"/>
  <c r="AB236" i="19"/>
  <c r="AR236" i="19"/>
  <c r="V236" i="19"/>
  <c r="O236" i="19"/>
  <c r="H236" i="19"/>
  <c r="AA236" i="19"/>
  <c r="F236" i="19"/>
  <c r="X236" i="19"/>
  <c r="G236" i="19"/>
  <c r="E258" i="19"/>
  <c r="O258" i="19"/>
  <c r="AS258" i="19"/>
  <c r="N258" i="19"/>
  <c r="M258" i="19"/>
  <c r="T258" i="19"/>
  <c r="AI258" i="19" s="1"/>
  <c r="AA258" i="19"/>
  <c r="D258" i="19"/>
  <c r="AR258" i="19"/>
  <c r="AD258" i="19"/>
  <c r="U258" i="19"/>
  <c r="G258" i="19"/>
  <c r="K258" i="19"/>
  <c r="Y258" i="19"/>
  <c r="AG258" i="19"/>
  <c r="AC258" i="19"/>
  <c r="L258" i="19"/>
  <c r="J258" i="19"/>
  <c r="F258" i="19"/>
  <c r="S258" i="19"/>
  <c r="V258" i="19"/>
  <c r="Z258" i="19"/>
  <c r="Q258" i="19"/>
  <c r="R258" i="19"/>
  <c r="I258" i="19"/>
  <c r="AB258" i="19"/>
  <c r="X258" i="19"/>
  <c r="P258" i="19"/>
  <c r="AE258" i="19"/>
  <c r="H258" i="19"/>
  <c r="AQ258" i="19"/>
  <c r="W258" i="19"/>
  <c r="AF258" i="19"/>
  <c r="T183" i="19"/>
  <c r="AI183" i="19" s="1"/>
  <c r="AM183" i="19" s="1"/>
  <c r="X183" i="19"/>
  <c r="AE183" i="19"/>
  <c r="I183" i="19"/>
  <c r="O183" i="19"/>
  <c r="AQ183" i="19"/>
  <c r="F183" i="19"/>
  <c r="P183" i="19"/>
  <c r="N183" i="19"/>
  <c r="AG183" i="19"/>
  <c r="U183" i="19"/>
  <c r="R183" i="19"/>
  <c r="M183" i="19"/>
  <c r="AR183" i="19"/>
  <c r="AB183" i="19"/>
  <c r="AS183" i="19"/>
  <c r="AC183" i="19"/>
  <c r="E183" i="19"/>
  <c r="AA183" i="19"/>
  <c r="V183" i="19"/>
  <c r="AF183" i="19"/>
  <c r="Q183" i="19"/>
  <c r="L183" i="19"/>
  <c r="AD183" i="19"/>
  <c r="J183" i="19"/>
  <c r="H183" i="19"/>
  <c r="Z183" i="19"/>
  <c r="S183" i="19"/>
  <c r="G183" i="19"/>
  <c r="D183" i="19"/>
  <c r="W183" i="19"/>
  <c r="K183" i="19"/>
  <c r="Y183" i="19"/>
  <c r="AB217" i="19"/>
  <c r="Q217" i="19"/>
  <c r="AA217" i="19"/>
  <c r="AF217" i="19"/>
  <c r="S217" i="19"/>
  <c r="AQ217" i="19"/>
  <c r="K217" i="19"/>
  <c r="G217" i="19"/>
  <c r="AE217" i="19"/>
  <c r="D217" i="19"/>
  <c r="H217" i="19"/>
  <c r="P217" i="19"/>
  <c r="E217" i="19"/>
  <c r="Z217" i="19"/>
  <c r="J217" i="19"/>
  <c r="M217" i="19"/>
  <c r="L217" i="19"/>
  <c r="F217" i="19"/>
  <c r="R217" i="19"/>
  <c r="X217" i="19"/>
  <c r="AR217" i="19"/>
  <c r="O217" i="19"/>
  <c r="T217" i="19"/>
  <c r="AI217" i="19" s="1"/>
  <c r="AN217" i="19" s="1"/>
  <c r="U217" i="19"/>
  <c r="AS217" i="19"/>
  <c r="AC217" i="19"/>
  <c r="N217" i="19"/>
  <c r="AD217" i="19"/>
  <c r="AG217" i="19"/>
  <c r="V217" i="19"/>
  <c r="W217" i="19"/>
  <c r="I217" i="19"/>
  <c r="Y217" i="19"/>
  <c r="K171" i="19"/>
  <c r="Q171" i="19"/>
  <c r="P171" i="19"/>
  <c r="AE171" i="19"/>
  <c r="AF171" i="19"/>
  <c r="AS171" i="19"/>
  <c r="AG171" i="19"/>
  <c r="D171" i="19"/>
  <c r="L171" i="19"/>
  <c r="H171" i="19"/>
  <c r="J171" i="19"/>
  <c r="R171" i="19"/>
  <c r="N171" i="19"/>
  <c r="AA171" i="19"/>
  <c r="S171" i="19"/>
  <c r="X171" i="19"/>
  <c r="E171" i="19"/>
  <c r="V171" i="19"/>
  <c r="M171" i="19"/>
  <c r="AB171" i="19"/>
  <c r="U171" i="19"/>
  <c r="G171" i="19"/>
  <c r="AR171" i="19"/>
  <c r="I171" i="19"/>
  <c r="O171" i="19"/>
  <c r="Z171" i="19"/>
  <c r="F171" i="19"/>
  <c r="T171" i="19"/>
  <c r="AI171" i="19" s="1"/>
  <c r="AO171" i="19" s="1"/>
  <c r="W171" i="19"/>
  <c r="AC171" i="19"/>
  <c r="AD171" i="19"/>
  <c r="AQ171" i="19"/>
  <c r="Y171" i="19"/>
  <c r="AG261" i="19"/>
  <c r="V261" i="19"/>
  <c r="R261" i="19"/>
  <c r="W261" i="19"/>
  <c r="F261" i="19"/>
  <c r="T261" i="19"/>
  <c r="AI261" i="19" s="1"/>
  <c r="AO261" i="19" s="1"/>
  <c r="AE261" i="19"/>
  <c r="AA261" i="19"/>
  <c r="AB261" i="19"/>
  <c r="P261" i="19"/>
  <c r="N261" i="19"/>
  <c r="M261" i="19"/>
  <c r="J261" i="19"/>
  <c r="Y261" i="19"/>
  <c r="AR261" i="19"/>
  <c r="U261" i="19"/>
  <c r="H261" i="19"/>
  <c r="AS261" i="19"/>
  <c r="E261" i="19"/>
  <c r="I261" i="19"/>
  <c r="X261" i="19"/>
  <c r="AC261" i="19"/>
  <c r="K261" i="19"/>
  <c r="AQ261" i="19"/>
  <c r="G261" i="19"/>
  <c r="D261" i="19"/>
  <c r="S261" i="19"/>
  <c r="L261" i="19"/>
  <c r="AF261" i="19"/>
  <c r="Q261" i="19"/>
  <c r="AD261" i="19"/>
  <c r="O261" i="19"/>
  <c r="Z261" i="19"/>
  <c r="Z215" i="19"/>
  <c r="F215" i="19"/>
  <c r="D215" i="19"/>
  <c r="E215" i="19"/>
  <c r="AQ215" i="19"/>
  <c r="I215" i="19"/>
  <c r="S215" i="19"/>
  <c r="N215" i="19"/>
  <c r="W215" i="19"/>
  <c r="AA215" i="19"/>
  <c r="P215" i="19"/>
  <c r="H215" i="19"/>
  <c r="T215" i="19"/>
  <c r="AI215" i="19" s="1"/>
  <c r="AK215" i="19" s="1"/>
  <c r="AF215" i="19"/>
  <c r="V215" i="19"/>
  <c r="Y215" i="19"/>
  <c r="M215" i="19"/>
  <c r="AE215" i="19"/>
  <c r="U215" i="19"/>
  <c r="AD215" i="19"/>
  <c r="Q215" i="19"/>
  <c r="AS215" i="19"/>
  <c r="AB215" i="19"/>
  <c r="R215" i="19"/>
  <c r="G215" i="19"/>
  <c r="AC215" i="19"/>
  <c r="X215" i="19"/>
  <c r="O215" i="19"/>
  <c r="K215" i="19"/>
  <c r="J215" i="19"/>
  <c r="AG215" i="19"/>
  <c r="AR215" i="19"/>
  <c r="L215" i="19"/>
  <c r="T168" i="19"/>
  <c r="AI168" i="19" s="1"/>
  <c r="AP168" i="19" s="1"/>
  <c r="Z168" i="19"/>
  <c r="S168" i="19"/>
  <c r="U168" i="19"/>
  <c r="AG168" i="19"/>
  <c r="F168" i="19"/>
  <c r="AB168" i="19"/>
  <c r="L168" i="19"/>
  <c r="AA168" i="19"/>
  <c r="H168" i="19"/>
  <c r="AS168" i="19"/>
  <c r="AQ168" i="19"/>
  <c r="AF168" i="19"/>
  <c r="O168" i="19"/>
  <c r="Y168" i="19"/>
  <c r="P168" i="19"/>
  <c r="W168" i="19"/>
  <c r="AR168" i="19"/>
  <c r="X168" i="19"/>
  <c r="N168" i="19"/>
  <c r="G168" i="19"/>
  <c r="J168" i="19"/>
  <c r="D168" i="19"/>
  <c r="Q168" i="19"/>
  <c r="AC168" i="19"/>
  <c r="I168" i="19"/>
  <c r="E168" i="19"/>
  <c r="AD168" i="19"/>
  <c r="AE168" i="19"/>
  <c r="R168" i="19"/>
  <c r="K168" i="19"/>
  <c r="M168" i="19"/>
  <c r="V168" i="19"/>
  <c r="K160" i="19"/>
  <c r="T160" i="19"/>
  <c r="AI160" i="19" s="1"/>
  <c r="AL160" i="19" s="1"/>
  <c r="AE160" i="19"/>
  <c r="L160" i="19"/>
  <c r="Q160" i="19"/>
  <c r="AC160" i="19"/>
  <c r="Y160" i="19"/>
  <c r="F160" i="19"/>
  <c r="AF160" i="19"/>
  <c r="M160" i="19"/>
  <c r="U160" i="19"/>
  <c r="E160" i="19"/>
  <c r="P160" i="19"/>
  <c r="J160" i="19"/>
  <c r="D160" i="19"/>
  <c r="AD160" i="19"/>
  <c r="R160" i="19"/>
  <c r="V160" i="19"/>
  <c r="H160" i="19"/>
  <c r="G160" i="19"/>
  <c r="AR160" i="19"/>
  <c r="W160" i="19"/>
  <c r="AS160" i="19"/>
  <c r="S160" i="19"/>
  <c r="AQ160" i="19"/>
  <c r="I160" i="19"/>
  <c r="Z160" i="19"/>
  <c r="AB160" i="19"/>
  <c r="AG160" i="19"/>
  <c r="AA160" i="19"/>
  <c r="O160" i="19"/>
  <c r="X160" i="19"/>
  <c r="N160" i="19"/>
  <c r="Y219" i="19"/>
  <c r="V219" i="19"/>
  <c r="K219" i="19"/>
  <c r="AG219" i="19"/>
  <c r="T219" i="19"/>
  <c r="AI219" i="19" s="1"/>
  <c r="AP219" i="19" s="1"/>
  <c r="AR219" i="19"/>
  <c r="G219" i="19"/>
  <c r="AC219" i="19"/>
  <c r="E219" i="19"/>
  <c r="R219" i="19"/>
  <c r="P219" i="19"/>
  <c r="AB219" i="19"/>
  <c r="D219" i="19"/>
  <c r="S219" i="19"/>
  <c r="AQ219" i="19"/>
  <c r="AF219" i="19"/>
  <c r="J219" i="19"/>
  <c r="H219" i="19"/>
  <c r="Z219" i="19"/>
  <c r="U219" i="19"/>
  <c r="Q219" i="19"/>
  <c r="AD219" i="19"/>
  <c r="W219" i="19"/>
  <c r="M219" i="19"/>
  <c r="AA219" i="19"/>
  <c r="O219" i="19"/>
  <c r="F219" i="19"/>
  <c r="I219" i="19"/>
  <c r="L219" i="19"/>
  <c r="N219" i="19"/>
  <c r="AS219" i="19"/>
  <c r="X219" i="19"/>
  <c r="AE219" i="19"/>
  <c r="R225" i="19"/>
  <c r="P225" i="19"/>
  <c r="AS225" i="19"/>
  <c r="M225" i="19"/>
  <c r="Q225" i="19"/>
  <c r="T225" i="19"/>
  <c r="AI225" i="19" s="1"/>
  <c r="AO225" i="19" s="1"/>
  <c r="I225" i="19"/>
  <c r="O225" i="19"/>
  <c r="U225" i="19"/>
  <c r="D225" i="19"/>
  <c r="K225" i="19"/>
  <c r="AE225" i="19"/>
  <c r="AA225" i="19"/>
  <c r="AR225" i="19"/>
  <c r="X225" i="19"/>
  <c r="AC225" i="19"/>
  <c r="AF225" i="19"/>
  <c r="Y225" i="19"/>
  <c r="AB225" i="19"/>
  <c r="N225" i="19"/>
  <c r="F225" i="19"/>
  <c r="H225" i="19"/>
  <c r="AQ225" i="19"/>
  <c r="AG225" i="19"/>
  <c r="W225" i="19"/>
  <c r="J225" i="19"/>
  <c r="L225" i="19"/>
  <c r="G225" i="19"/>
  <c r="E225" i="19"/>
  <c r="Z225" i="19"/>
  <c r="V225" i="19"/>
  <c r="AD225" i="19"/>
  <c r="S225" i="19"/>
  <c r="I180" i="19"/>
  <c r="AE180" i="19"/>
  <c r="AR180" i="19"/>
  <c r="AF180" i="19"/>
  <c r="D180" i="19"/>
  <c r="AG180" i="19"/>
  <c r="O180" i="19"/>
  <c r="N180" i="19"/>
  <c r="H180" i="19"/>
  <c r="M180" i="19"/>
  <c r="R180" i="19"/>
  <c r="T180" i="19"/>
  <c r="AI180" i="19" s="1"/>
  <c r="AM180" i="19" s="1"/>
  <c r="P180" i="19"/>
  <c r="AA180" i="19"/>
  <c r="G180" i="19"/>
  <c r="K180" i="19"/>
  <c r="X180" i="19"/>
  <c r="V180" i="19"/>
  <c r="AQ180" i="19"/>
  <c r="S180" i="19"/>
  <c r="L180" i="19"/>
  <c r="U180" i="19"/>
  <c r="AD180" i="19"/>
  <c r="AC180" i="19"/>
  <c r="E180" i="19"/>
  <c r="F180" i="19"/>
  <c r="Y180" i="19"/>
  <c r="Z180" i="19"/>
  <c r="AB180" i="19"/>
  <c r="Q180" i="19"/>
  <c r="W180" i="19"/>
  <c r="J180" i="19"/>
  <c r="AS180" i="19"/>
  <c r="K142" i="19"/>
  <c r="AA142" i="19"/>
  <c r="E142" i="19"/>
  <c r="AQ142" i="19"/>
  <c r="AE142" i="19"/>
  <c r="L142" i="19"/>
  <c r="G142" i="19"/>
  <c r="Q142" i="19"/>
  <c r="R142" i="19"/>
  <c r="AD142" i="19"/>
  <c r="T142" i="19"/>
  <c r="AI142" i="19" s="1"/>
  <c r="AP142" i="19" s="1"/>
  <c r="J142" i="19"/>
  <c r="AS142" i="19"/>
  <c r="P142" i="19"/>
  <c r="O142" i="19"/>
  <c r="F142" i="19"/>
  <c r="AG142" i="19"/>
  <c r="V142" i="19"/>
  <c r="AC142" i="19"/>
  <c r="I142" i="19"/>
  <c r="AR142" i="19"/>
  <c r="Z142" i="19"/>
  <c r="M142" i="19"/>
  <c r="Y142" i="19"/>
  <c r="X142" i="19"/>
  <c r="S142" i="19"/>
  <c r="D142" i="19"/>
  <c r="W142" i="19"/>
  <c r="AB142" i="19"/>
  <c r="N142" i="19"/>
  <c r="U142" i="19"/>
  <c r="H142" i="19"/>
  <c r="AF142" i="19"/>
  <c r="K265" i="19"/>
  <c r="L265" i="19"/>
  <c r="F265" i="19"/>
  <c r="AF265" i="19"/>
  <c r="Y265" i="19"/>
  <c r="R265" i="19"/>
  <c r="U265" i="19"/>
  <c r="AD265" i="19"/>
  <c r="W265" i="19"/>
  <c r="G265" i="19"/>
  <c r="E265" i="19"/>
  <c r="AB265" i="19"/>
  <c r="T265" i="19"/>
  <c r="AI265" i="19" s="1"/>
  <c r="AO265" i="19" s="1"/>
  <c r="N265" i="19"/>
  <c r="P265" i="19"/>
  <c r="AE265" i="19"/>
  <c r="Q265" i="19"/>
  <c r="AQ265" i="19"/>
  <c r="AS265" i="19"/>
  <c r="S265" i="19"/>
  <c r="AR265" i="19"/>
  <c r="J265" i="19"/>
  <c r="D265" i="19"/>
  <c r="X265" i="19"/>
  <c r="AG265" i="19"/>
  <c r="AC265" i="19"/>
  <c r="V265" i="19"/>
  <c r="I265" i="19"/>
  <c r="AA265" i="19"/>
  <c r="H265" i="19"/>
  <c r="M265" i="19"/>
  <c r="O265" i="19"/>
  <c r="Z265" i="19"/>
  <c r="Z163" i="19"/>
  <c r="AQ163" i="19"/>
  <c r="E163" i="19"/>
  <c r="S163" i="19"/>
  <c r="M163" i="19"/>
  <c r="K163" i="19"/>
  <c r="L163" i="19"/>
  <c r="AE163" i="19"/>
  <c r="AR163" i="19"/>
  <c r="Y163" i="19"/>
  <c r="AD163" i="19"/>
  <c r="Q163" i="19"/>
  <c r="AB163" i="19"/>
  <c r="U163" i="19"/>
  <c r="G163" i="19"/>
  <c r="J163" i="19"/>
  <c r="O163" i="19"/>
  <c r="V163" i="19"/>
  <c r="I163" i="19"/>
  <c r="AG163" i="19"/>
  <c r="T163" i="19"/>
  <c r="AI163" i="19" s="1"/>
  <c r="AO163" i="19" s="1"/>
  <c r="AA163" i="19"/>
  <c r="R163" i="19"/>
  <c r="D163" i="19"/>
  <c r="N163" i="19"/>
  <c r="H163" i="19"/>
  <c r="W163" i="19"/>
  <c r="F163" i="19"/>
  <c r="AS163" i="19"/>
  <c r="AF163" i="19"/>
  <c r="X163" i="19"/>
  <c r="P163" i="19"/>
  <c r="AC163" i="19"/>
  <c r="AR251" i="19"/>
  <c r="N251" i="19"/>
  <c r="AF251" i="19"/>
  <c r="P251" i="19"/>
  <c r="I251" i="19"/>
  <c r="AA251" i="19"/>
  <c r="AS251" i="19"/>
  <c r="E251" i="19"/>
  <c r="F251" i="19"/>
  <c r="L251" i="19"/>
  <c r="W251" i="19"/>
  <c r="J251" i="19"/>
  <c r="X251" i="19"/>
  <c r="O251" i="19"/>
  <c r="V251" i="19"/>
  <c r="U251" i="19"/>
  <c r="M251" i="19"/>
  <c r="AB251" i="19"/>
  <c r="S251" i="19"/>
  <c r="AC251" i="19"/>
  <c r="H251" i="19"/>
  <c r="Y251" i="19"/>
  <c r="R251" i="19"/>
  <c r="G251" i="19"/>
  <c r="Q251" i="19"/>
  <c r="AD251" i="19"/>
  <c r="AQ251" i="19"/>
  <c r="Z251" i="19"/>
  <c r="T251" i="19"/>
  <c r="AI251" i="19" s="1"/>
  <c r="AK251" i="19" s="1"/>
  <c r="K251" i="19"/>
  <c r="AE251" i="19"/>
  <c r="AG251" i="19"/>
  <c r="D251" i="19"/>
  <c r="P204" i="19"/>
  <c r="X204" i="19"/>
  <c r="AD204" i="19"/>
  <c r="V204" i="19"/>
  <c r="AS204" i="19"/>
  <c r="T204" i="19"/>
  <c r="AI204" i="19" s="1"/>
  <c r="AN204" i="19" s="1"/>
  <c r="H204" i="19"/>
  <c r="W204" i="19"/>
  <c r="AG204" i="19"/>
  <c r="O204" i="19"/>
  <c r="D204" i="19"/>
  <c r="I204" i="19"/>
  <c r="AF204" i="19"/>
  <c r="N204" i="19"/>
  <c r="Z204" i="19"/>
  <c r="R204" i="19"/>
  <c r="AC204" i="19"/>
  <c r="M204" i="19"/>
  <c r="E204" i="19"/>
  <c r="AR204" i="19"/>
  <c r="Y204" i="19"/>
  <c r="L204" i="19"/>
  <c r="K204" i="19"/>
  <c r="J204" i="19"/>
  <c r="F204" i="19"/>
  <c r="Q204" i="19"/>
  <c r="AE204" i="19"/>
  <c r="G204" i="19"/>
  <c r="AA204" i="19"/>
  <c r="S204" i="19"/>
  <c r="U204" i="19"/>
  <c r="AQ204" i="19"/>
  <c r="AB204" i="19"/>
  <c r="N148" i="19"/>
  <c r="O148" i="19"/>
  <c r="J148" i="19"/>
  <c r="H148" i="19"/>
  <c r="I148" i="19"/>
  <c r="X148" i="19"/>
  <c r="AD148" i="19"/>
  <c r="E148" i="19"/>
  <c r="K148" i="19"/>
  <c r="S148" i="19"/>
  <c r="AF148" i="19"/>
  <c r="Y148" i="19"/>
  <c r="AS148" i="19"/>
  <c r="AE148" i="19"/>
  <c r="AA148" i="19"/>
  <c r="D148" i="19"/>
  <c r="G148" i="19"/>
  <c r="L148" i="19"/>
  <c r="AR148" i="19"/>
  <c r="AC148" i="19"/>
  <c r="R148" i="19"/>
  <c r="AB148" i="19"/>
  <c r="W148" i="19"/>
  <c r="V148" i="19"/>
  <c r="AQ148" i="19"/>
  <c r="F148" i="19"/>
  <c r="T148" i="19"/>
  <c r="AI148" i="19" s="1"/>
  <c r="AL148" i="19" s="1"/>
  <c r="U148" i="19"/>
  <c r="M148" i="19"/>
  <c r="Q148" i="19"/>
  <c r="AG148" i="19"/>
  <c r="Z148" i="19"/>
  <c r="P148" i="19"/>
  <c r="AG233" i="19"/>
  <c r="M233" i="19"/>
  <c r="AR233" i="19"/>
  <c r="P233" i="19"/>
  <c r="H233" i="19"/>
  <c r="S233" i="19"/>
  <c r="Y233" i="19"/>
  <c r="X233" i="19"/>
  <c r="Z233" i="19"/>
  <c r="AC233" i="19"/>
  <c r="R233" i="19"/>
  <c r="AD233" i="19"/>
  <c r="AF233" i="19"/>
  <c r="O233" i="19"/>
  <c r="G233" i="19"/>
  <c r="AQ233" i="19"/>
  <c r="I233" i="19"/>
  <c r="Q233" i="19"/>
  <c r="AA233" i="19"/>
  <c r="J233" i="19"/>
  <c r="AE233" i="19"/>
  <c r="L233" i="19"/>
  <c r="AB233" i="19"/>
  <c r="V233" i="19"/>
  <c r="E233" i="19"/>
  <c r="F233" i="19"/>
  <c r="K233" i="19"/>
  <c r="AS233" i="19"/>
  <c r="T233" i="19"/>
  <c r="AI233" i="19" s="1"/>
  <c r="U233" i="19"/>
  <c r="W233" i="19"/>
  <c r="D233" i="19"/>
  <c r="N233" i="19"/>
  <c r="V161" i="19"/>
  <c r="AF161" i="19"/>
  <c r="N161" i="19"/>
  <c r="O161" i="19"/>
  <c r="AS161" i="19"/>
  <c r="W161" i="19"/>
  <c r="G161" i="19"/>
  <c r="AC161" i="19"/>
  <c r="M161" i="19"/>
  <c r="Q161" i="19"/>
  <c r="U161" i="19"/>
  <c r="AE161" i="19"/>
  <c r="H161" i="19"/>
  <c r="I161" i="19"/>
  <c r="R161" i="19"/>
  <c r="L161" i="19"/>
  <c r="K161" i="19"/>
  <c r="T161" i="19"/>
  <c r="AI161" i="19" s="1"/>
  <c r="AO161" i="19" s="1"/>
  <c r="J161" i="19"/>
  <c r="AG161" i="19"/>
  <c r="AB161" i="19"/>
  <c r="AD161" i="19"/>
  <c r="AR161" i="19"/>
  <c r="P161" i="19"/>
  <c r="E161" i="19"/>
  <c r="Z161" i="19"/>
  <c r="D161" i="19"/>
  <c r="AQ161" i="19"/>
  <c r="X161" i="19"/>
  <c r="S161" i="19"/>
  <c r="Y161" i="19"/>
  <c r="F161" i="19"/>
  <c r="AA161" i="19"/>
  <c r="W205" i="19"/>
  <c r="P205" i="19"/>
  <c r="AD205" i="19"/>
  <c r="J205" i="19"/>
  <c r="F205" i="19"/>
  <c r="K205" i="19"/>
  <c r="R205" i="19"/>
  <c r="AA205" i="19"/>
  <c r="Z205" i="19"/>
  <c r="E205" i="19"/>
  <c r="AC205" i="19"/>
  <c r="O205" i="19"/>
  <c r="AE205" i="19"/>
  <c r="T205" i="19"/>
  <c r="AI205" i="19" s="1"/>
  <c r="AK205" i="19" s="1"/>
  <c r="H205" i="19"/>
  <c r="L205" i="19"/>
  <c r="S205" i="19"/>
  <c r="AR205" i="19"/>
  <c r="AF205" i="19"/>
  <c r="AS205" i="19"/>
  <c r="M205" i="19"/>
  <c r="AQ205" i="19"/>
  <c r="U205" i="19"/>
  <c r="D205" i="19"/>
  <c r="X205" i="19"/>
  <c r="AB205" i="19"/>
  <c r="Q205" i="19"/>
  <c r="I205" i="19"/>
  <c r="N205" i="19"/>
  <c r="G205" i="19"/>
  <c r="AG205" i="19"/>
  <c r="Y205" i="19"/>
  <c r="V205" i="19"/>
  <c r="AG181" i="19"/>
  <c r="AD181" i="19"/>
  <c r="AA181" i="19"/>
  <c r="W181" i="19"/>
  <c r="N181" i="19"/>
  <c r="M181" i="19"/>
  <c r="F181" i="19"/>
  <c r="T181" i="19"/>
  <c r="AI181" i="19" s="1"/>
  <c r="AN181" i="19" s="1"/>
  <c r="K181" i="19"/>
  <c r="P181" i="19"/>
  <c r="S181" i="19"/>
  <c r="E181" i="19"/>
  <c r="G181" i="19"/>
  <c r="L181" i="19"/>
  <c r="AC181" i="19"/>
  <c r="AS181" i="19"/>
  <c r="Y181" i="19"/>
  <c r="H181" i="19"/>
  <c r="AQ181" i="19"/>
  <c r="AE181" i="19"/>
  <c r="AR181" i="19"/>
  <c r="V181" i="19"/>
  <c r="X181" i="19"/>
  <c r="AB181" i="19"/>
  <c r="O181" i="19"/>
  <c r="D181" i="19"/>
  <c r="R181" i="19"/>
  <c r="Q181" i="19"/>
  <c r="AF181" i="19"/>
  <c r="I181" i="19"/>
  <c r="J181" i="19"/>
  <c r="Z181" i="19"/>
  <c r="U181" i="19"/>
  <c r="U172" i="19"/>
  <c r="D172" i="19"/>
  <c r="F172" i="19"/>
  <c r="E172" i="19"/>
  <c r="Z172" i="19"/>
  <c r="S172" i="19"/>
  <c r="K172" i="19"/>
  <c r="AR172" i="19"/>
  <c r="T172" i="19"/>
  <c r="AI172" i="19" s="1"/>
  <c r="AC172" i="19"/>
  <c r="R172" i="19"/>
  <c r="Q172" i="19"/>
  <c r="AE172" i="19"/>
  <c r="W172" i="19"/>
  <c r="AA172" i="19"/>
  <c r="P172" i="19"/>
  <c r="Y172" i="19"/>
  <c r="H172" i="19"/>
  <c r="M172" i="19"/>
  <c r="G172" i="19"/>
  <c r="N172" i="19"/>
  <c r="AS172" i="19"/>
  <c r="O172" i="19"/>
  <c r="AB172" i="19"/>
  <c r="AG172" i="19"/>
  <c r="L172" i="19"/>
  <c r="AF172" i="19"/>
  <c r="I172" i="19"/>
  <c r="V172" i="19"/>
  <c r="AD172" i="19"/>
  <c r="X172" i="19"/>
  <c r="J172" i="19"/>
  <c r="AQ172" i="19"/>
  <c r="AA187" i="19"/>
  <c r="N187" i="19"/>
  <c r="U187" i="19"/>
  <c r="F187" i="19"/>
  <c r="AD187" i="19"/>
  <c r="Q187" i="19"/>
  <c r="O187" i="19"/>
  <c r="E187" i="19"/>
  <c r="D187" i="19"/>
  <c r="AR187" i="19"/>
  <c r="L187" i="19"/>
  <c r="S187" i="19"/>
  <c r="AC187" i="19"/>
  <c r="Z187" i="19"/>
  <c r="T187" i="19"/>
  <c r="AI187" i="19" s="1"/>
  <c r="AK187" i="19" s="1"/>
  <c r="X187" i="19"/>
  <c r="R187" i="19"/>
  <c r="V187" i="19"/>
  <c r="AE187" i="19"/>
  <c r="AG187" i="19"/>
  <c r="P187" i="19"/>
  <c r="I187" i="19"/>
  <c r="AF187" i="19"/>
  <c r="AB187" i="19"/>
  <c r="W187" i="19"/>
  <c r="J187" i="19"/>
  <c r="G187" i="19"/>
  <c r="AS187" i="19"/>
  <c r="M187" i="19"/>
  <c r="Y187" i="19"/>
  <c r="AQ187" i="19"/>
  <c r="K187" i="19"/>
  <c r="H187" i="19"/>
  <c r="AC262" i="19"/>
  <c r="O262" i="19"/>
  <c r="Y262" i="19"/>
  <c r="V262" i="19"/>
  <c r="AS262" i="19"/>
  <c r="AA262" i="19"/>
  <c r="R262" i="19"/>
  <c r="E262" i="19"/>
  <c r="K262" i="19"/>
  <c r="AR262" i="19"/>
  <c r="AB262" i="19"/>
  <c r="L262" i="19"/>
  <c r="AF262" i="19"/>
  <c r="M262" i="19"/>
  <c r="I262" i="19"/>
  <c r="S262" i="19"/>
  <c r="N262" i="19"/>
  <c r="D262" i="19"/>
  <c r="J262" i="19"/>
  <c r="P262" i="19"/>
  <c r="H262" i="19"/>
  <c r="F262" i="19"/>
  <c r="W262" i="19"/>
  <c r="U262" i="19"/>
  <c r="AD262" i="19"/>
  <c r="G262" i="19"/>
  <c r="T262" i="19"/>
  <c r="AI262" i="19" s="1"/>
  <c r="AM262" i="19" s="1"/>
  <c r="AQ262" i="19"/>
  <c r="Q262" i="19"/>
  <c r="X262" i="19"/>
  <c r="AG262" i="19"/>
  <c r="Z262" i="19"/>
  <c r="AE262" i="19"/>
  <c r="AE156" i="19"/>
  <c r="G156" i="19"/>
  <c r="F156" i="19"/>
  <c r="AF156" i="19"/>
  <c r="M156" i="19"/>
  <c r="Q156" i="19"/>
  <c r="N156" i="19"/>
  <c r="AD156" i="19"/>
  <c r="Y156" i="19"/>
  <c r="L156" i="19"/>
  <c r="W156" i="19"/>
  <c r="H156" i="19"/>
  <c r="O156" i="19"/>
  <c r="AC156" i="19"/>
  <c r="E156" i="19"/>
  <c r="J156" i="19"/>
  <c r="AQ156" i="19"/>
  <c r="S156" i="19"/>
  <c r="Z156" i="19"/>
  <c r="V156" i="19"/>
  <c r="K156" i="19"/>
  <c r="AA156" i="19"/>
  <c r="AR156" i="19"/>
  <c r="AB156" i="19"/>
  <c r="T156" i="19"/>
  <c r="AI156" i="19" s="1"/>
  <c r="AM156" i="19" s="1"/>
  <c r="R156" i="19"/>
  <c r="P156" i="19"/>
  <c r="AG156" i="19"/>
  <c r="I156" i="19"/>
  <c r="U156" i="19"/>
  <c r="D156" i="19"/>
  <c r="AS156" i="19"/>
  <c r="X156" i="19"/>
  <c r="U206" i="19"/>
  <c r="S206" i="19"/>
  <c r="H206" i="19"/>
  <c r="X206" i="19"/>
  <c r="D206" i="19"/>
  <c r="AG206" i="19"/>
  <c r="J206" i="19"/>
  <c r="P206" i="19"/>
  <c r="AD206" i="19"/>
  <c r="Q206" i="19"/>
  <c r="Z206" i="19"/>
  <c r="O206" i="19"/>
  <c r="K206" i="19"/>
  <c r="AQ206" i="19"/>
  <c r="AC206" i="19"/>
  <c r="AF206" i="19"/>
  <c r="L206" i="19"/>
  <c r="Y206" i="19"/>
  <c r="F206" i="19"/>
  <c r="AE206" i="19"/>
  <c r="I206" i="19"/>
  <c r="N206" i="19"/>
  <c r="AA206" i="19"/>
  <c r="R206" i="19"/>
  <c r="G206" i="19"/>
  <c r="E206" i="19"/>
  <c r="W206" i="19"/>
  <c r="T206" i="19"/>
  <c r="AI206" i="19" s="1"/>
  <c r="AK206" i="19" s="1"/>
  <c r="M206" i="19"/>
  <c r="V206" i="19"/>
  <c r="AR206" i="19"/>
  <c r="AS206" i="19"/>
  <c r="AB206" i="19"/>
  <c r="AQ252" i="19"/>
  <c r="AA252" i="19"/>
  <c r="K252" i="19"/>
  <c r="I252" i="19"/>
  <c r="S252" i="19"/>
  <c r="AS252" i="19"/>
  <c r="P252" i="19"/>
  <c r="AB252" i="19"/>
  <c r="D252" i="19"/>
  <c r="AR252" i="19"/>
  <c r="L252" i="19"/>
  <c r="F252" i="19"/>
  <c r="M252" i="19"/>
  <c r="N252" i="19"/>
  <c r="Y252" i="19"/>
  <c r="T252" i="19"/>
  <c r="AI252" i="19" s="1"/>
  <c r="O252" i="19"/>
  <c r="V252" i="19"/>
  <c r="G252" i="19"/>
  <c r="Z252" i="19"/>
  <c r="AG252" i="19"/>
  <c r="Q252" i="19"/>
  <c r="W252" i="19"/>
  <c r="X252" i="19"/>
  <c r="AC252" i="19"/>
  <c r="U252" i="19"/>
  <c r="AE252" i="19"/>
  <c r="H252" i="19"/>
  <c r="AD252" i="19"/>
  <c r="J252" i="19"/>
  <c r="AF252" i="19"/>
  <c r="E252" i="19"/>
  <c r="R252" i="19"/>
  <c r="AQ208" i="19"/>
  <c r="X208" i="19"/>
  <c r="M208" i="19"/>
  <c r="AB208" i="19"/>
  <c r="J208" i="19"/>
  <c r="S208" i="19"/>
  <c r="V208" i="19"/>
  <c r="Z208" i="19"/>
  <c r="W208" i="19"/>
  <c r="AF208" i="19"/>
  <c r="O208" i="19"/>
  <c r="AD208" i="19"/>
  <c r="AS208" i="19"/>
  <c r="N208" i="19"/>
  <c r="K208" i="19"/>
  <c r="P208" i="19"/>
  <c r="D208" i="19"/>
  <c r="E208" i="19"/>
  <c r="AA208" i="19"/>
  <c r="L208" i="19"/>
  <c r="T208" i="19"/>
  <c r="AI208" i="19" s="1"/>
  <c r="AN208" i="19" s="1"/>
  <c r="G208" i="19"/>
  <c r="U208" i="19"/>
  <c r="F208" i="19"/>
  <c r="R208" i="19"/>
  <c r="AE208" i="19"/>
  <c r="Y208" i="19"/>
  <c r="AG208" i="19"/>
  <c r="H208" i="19"/>
  <c r="I208" i="19"/>
  <c r="AR208" i="19"/>
  <c r="AC208" i="19"/>
  <c r="Q208" i="19"/>
  <c r="W259" i="19"/>
  <c r="K259" i="19"/>
  <c r="G259" i="19"/>
  <c r="H259" i="19"/>
  <c r="U259" i="19"/>
  <c r="AG259" i="19"/>
  <c r="N259" i="19"/>
  <c r="AS259" i="19"/>
  <c r="AR259" i="19"/>
  <c r="AC259" i="19"/>
  <c r="AE259" i="19"/>
  <c r="AB259" i="19"/>
  <c r="O259" i="19"/>
  <c r="M259" i="19"/>
  <c r="Z259" i="19"/>
  <c r="F259" i="19"/>
  <c r="Q259" i="19"/>
  <c r="AQ259" i="19"/>
  <c r="X259" i="19"/>
  <c r="AF259" i="19"/>
  <c r="S259" i="19"/>
  <c r="R259" i="19"/>
  <c r="E259" i="19"/>
  <c r="Y259" i="19"/>
  <c r="AD259" i="19"/>
  <c r="J259" i="19"/>
  <c r="T259" i="19"/>
  <c r="AI259" i="19" s="1"/>
  <c r="AL259" i="19" s="1"/>
  <c r="I259" i="19"/>
  <c r="AA259" i="19"/>
  <c r="V259" i="19"/>
  <c r="L259" i="19"/>
  <c r="P259" i="19"/>
  <c r="D259" i="19"/>
  <c r="N128" i="19"/>
  <c r="I128" i="19"/>
  <c r="AQ128" i="19"/>
  <c r="U128" i="19"/>
  <c r="J128" i="19"/>
  <c r="X128" i="19"/>
  <c r="AB128" i="19"/>
  <c r="F128" i="19"/>
  <c r="M128" i="19"/>
  <c r="H128" i="19"/>
  <c r="O128" i="19"/>
  <c r="AD128" i="19"/>
  <c r="AR128" i="19"/>
  <c r="AE128" i="19"/>
  <c r="V128" i="19"/>
  <c r="L128" i="19"/>
  <c r="Z128" i="19"/>
  <c r="R128" i="19"/>
  <c r="K128" i="19"/>
  <c r="E128" i="19"/>
  <c r="T128" i="19"/>
  <c r="AI128" i="19" s="1"/>
  <c r="AO128" i="19" s="1"/>
  <c r="W128" i="19"/>
  <c r="AF128" i="19"/>
  <c r="P128" i="19"/>
  <c r="AA128" i="19"/>
  <c r="D128" i="19"/>
  <c r="Q128" i="19"/>
  <c r="Y128" i="19"/>
  <c r="AC128" i="19"/>
  <c r="S128" i="19"/>
  <c r="G128" i="19"/>
  <c r="AS128" i="19"/>
  <c r="AG128" i="19"/>
  <c r="Y244" i="19"/>
  <c r="AR244" i="19"/>
  <c r="T244" i="19"/>
  <c r="AI244" i="19" s="1"/>
  <c r="AN244" i="19" s="1"/>
  <c r="AQ244" i="19"/>
  <c r="F244" i="19"/>
  <c r="R244" i="19"/>
  <c r="K244" i="19"/>
  <c r="N244" i="19"/>
  <c r="Q244" i="19"/>
  <c r="O244" i="19"/>
  <c r="AG244" i="19"/>
  <c r="H244" i="19"/>
  <c r="I244" i="19"/>
  <c r="G244" i="19"/>
  <c r="J244" i="19"/>
  <c r="AA244" i="19"/>
  <c r="S244" i="19"/>
  <c r="E244" i="19"/>
  <c r="D244" i="19"/>
  <c r="W244" i="19"/>
  <c r="P244" i="19"/>
  <c r="AD244" i="19"/>
  <c r="X244" i="19"/>
  <c r="V244" i="19"/>
  <c r="M244" i="19"/>
  <c r="AF244" i="19"/>
  <c r="AE244" i="19"/>
  <c r="L244" i="19"/>
  <c r="Z244" i="19"/>
  <c r="AS244" i="19"/>
  <c r="AB244" i="19"/>
  <c r="AC244" i="19"/>
  <c r="U244" i="19"/>
  <c r="AA139" i="19"/>
  <c r="R139" i="19"/>
  <c r="P139" i="19"/>
  <c r="Z139" i="19"/>
  <c r="AQ139" i="19"/>
  <c r="F139" i="19"/>
  <c r="Y139" i="19"/>
  <c r="AS139" i="19"/>
  <c r="M139" i="19"/>
  <c r="L139" i="19"/>
  <c r="AF139" i="19"/>
  <c r="E139" i="19"/>
  <c r="U139" i="19"/>
  <c r="O139" i="19"/>
  <c r="AB139" i="19"/>
  <c r="I139" i="19"/>
  <c r="AE139" i="19"/>
  <c r="G139" i="19"/>
  <c r="N139" i="19"/>
  <c r="D139" i="19"/>
  <c r="H139" i="19"/>
  <c r="AR139" i="19"/>
  <c r="K139" i="19"/>
  <c r="AC139" i="19"/>
  <c r="AD139" i="19"/>
  <c r="AG139" i="19"/>
  <c r="X139" i="19"/>
  <c r="W139" i="19"/>
  <c r="J139" i="19"/>
  <c r="V139" i="19"/>
  <c r="T139" i="19"/>
  <c r="AI139" i="19" s="1"/>
  <c r="AK139" i="19" s="1"/>
  <c r="Q139" i="19"/>
  <c r="S139" i="19"/>
  <c r="U220" i="19"/>
  <c r="R220" i="19"/>
  <c r="M220" i="19"/>
  <c r="F220" i="19"/>
  <c r="G220" i="19"/>
  <c r="X220" i="19"/>
  <c r="P220" i="19"/>
  <c r="O220" i="19"/>
  <c r="N220" i="19"/>
  <c r="J220" i="19"/>
  <c r="W220" i="19"/>
  <c r="S220" i="19"/>
  <c r="AA220" i="19"/>
  <c r="I220" i="19"/>
  <c r="Z220" i="19"/>
  <c r="Y220" i="19"/>
  <c r="AS220" i="19"/>
  <c r="L220" i="19"/>
  <c r="AE220" i="19"/>
  <c r="AC220" i="19"/>
  <c r="V220" i="19"/>
  <c r="H220" i="19"/>
  <c r="AR220" i="19"/>
  <c r="AG220" i="19"/>
  <c r="AB220" i="19"/>
  <c r="AQ220" i="19"/>
  <c r="K220" i="19"/>
  <c r="T220" i="19"/>
  <c r="AI220" i="19" s="1"/>
  <c r="Q220" i="19"/>
  <c r="AF220" i="19"/>
  <c r="E220" i="19"/>
  <c r="AD220" i="19"/>
  <c r="D220" i="19"/>
  <c r="AQ157" i="19"/>
  <c r="U157" i="19"/>
  <c r="H157" i="19"/>
  <c r="AB157" i="19"/>
  <c r="R157" i="19"/>
  <c r="Y157" i="19"/>
  <c r="AG157" i="19"/>
  <c r="F157" i="19"/>
  <c r="AS157" i="19"/>
  <c r="W157" i="19"/>
  <c r="P157" i="19"/>
  <c r="L157" i="19"/>
  <c r="N157" i="19"/>
  <c r="AC157" i="19"/>
  <c r="D157" i="19"/>
  <c r="K157" i="19"/>
  <c r="AE157" i="19"/>
  <c r="M157" i="19"/>
  <c r="O157" i="19"/>
  <c r="I157" i="19"/>
  <c r="AF157" i="19"/>
  <c r="Z157" i="19"/>
  <c r="AR157" i="19"/>
  <c r="AD157" i="19"/>
  <c r="E157" i="19"/>
  <c r="G157" i="19"/>
  <c r="S157" i="19"/>
  <c r="AA157" i="19"/>
  <c r="T157" i="19"/>
  <c r="AI157" i="19" s="1"/>
  <c r="AL157" i="19" s="1"/>
  <c r="V157" i="19"/>
  <c r="J157" i="19"/>
  <c r="X157" i="19"/>
  <c r="Q157" i="19"/>
  <c r="L194" i="19"/>
  <c r="K194" i="19"/>
  <c r="T194" i="19"/>
  <c r="AI194" i="19" s="1"/>
  <c r="AL194" i="19" s="1"/>
  <c r="AG194" i="19"/>
  <c r="N194" i="19"/>
  <c r="AQ194" i="19"/>
  <c r="AD194" i="19"/>
  <c r="AR194" i="19"/>
  <c r="AE194" i="19"/>
  <c r="X194" i="19"/>
  <c r="G194" i="19"/>
  <c r="I194" i="19"/>
  <c r="AB194" i="19"/>
  <c r="S194" i="19"/>
  <c r="Y194" i="19"/>
  <c r="J194" i="19"/>
  <c r="R194" i="19"/>
  <c r="V194" i="19"/>
  <c r="D194" i="19"/>
  <c r="Q194" i="19"/>
  <c r="F194" i="19"/>
  <c r="H194" i="19"/>
  <c r="W194" i="19"/>
  <c r="P194" i="19"/>
  <c r="Z194" i="19"/>
  <c r="U194" i="19"/>
  <c r="AC194" i="19"/>
  <c r="AA194" i="19"/>
  <c r="O194" i="19"/>
  <c r="AS194" i="19"/>
  <c r="E194" i="19"/>
  <c r="AF194" i="19"/>
  <c r="M194" i="19"/>
  <c r="AE170" i="19"/>
  <c r="O170" i="19"/>
  <c r="X170" i="19"/>
  <c r="Z170" i="19"/>
  <c r="M170" i="19"/>
  <c r="V170" i="19"/>
  <c r="AB170" i="19"/>
  <c r="AR170" i="19"/>
  <c r="Y170" i="19"/>
  <c r="AS170" i="19"/>
  <c r="E170" i="19"/>
  <c r="F170" i="19"/>
  <c r="U170" i="19"/>
  <c r="N170" i="19"/>
  <c r="R170" i="19"/>
  <c r="Q170" i="19"/>
  <c r="T170" i="19"/>
  <c r="AI170" i="19" s="1"/>
  <c r="AN170" i="19" s="1"/>
  <c r="W170" i="19"/>
  <c r="AF170" i="19"/>
  <c r="D170" i="19"/>
  <c r="J170" i="19"/>
  <c r="K170" i="19"/>
  <c r="G170" i="19"/>
  <c r="S170" i="19"/>
  <c r="I170" i="19"/>
  <c r="AG170" i="19"/>
  <c r="AC170" i="19"/>
  <c r="H170" i="19"/>
  <c r="P170" i="19"/>
  <c r="L170" i="19"/>
  <c r="AA170" i="19"/>
  <c r="AD170" i="19"/>
  <c r="AQ170" i="19"/>
  <c r="I136" i="19"/>
  <c r="AF136" i="19"/>
  <c r="D136" i="19"/>
  <c r="AG136" i="19"/>
  <c r="P136" i="19"/>
  <c r="M136" i="19"/>
  <c r="F136" i="19"/>
  <c r="AQ136" i="19"/>
  <c r="U136" i="19"/>
  <c r="R136" i="19"/>
  <c r="J136" i="19"/>
  <c r="Q136" i="19"/>
  <c r="G136" i="19"/>
  <c r="S136" i="19"/>
  <c r="E136" i="19"/>
  <c r="Z136" i="19"/>
  <c r="V136" i="19"/>
  <c r="AR136" i="19"/>
  <c r="O136" i="19"/>
  <c r="H136" i="19"/>
  <c r="T136" i="19"/>
  <c r="AI136" i="19" s="1"/>
  <c r="AP136" i="19" s="1"/>
  <c r="X136" i="19"/>
  <c r="AA136" i="19"/>
  <c r="K136" i="19"/>
  <c r="L136" i="19"/>
  <c r="N136" i="19"/>
  <c r="AC136" i="19"/>
  <c r="AD136" i="19"/>
  <c r="Y136" i="19"/>
  <c r="AS136" i="19"/>
  <c r="AB136" i="19"/>
  <c r="AE136" i="19"/>
  <c r="W136" i="19"/>
  <c r="H210" i="19"/>
  <c r="U210" i="19"/>
  <c r="J210" i="19"/>
  <c r="X210" i="19"/>
  <c r="Q210" i="19"/>
  <c r="F210" i="19"/>
  <c r="V210" i="19"/>
  <c r="G210" i="19"/>
  <c r="D210" i="19"/>
  <c r="AD210" i="19"/>
  <c r="R210" i="19"/>
  <c r="N210" i="19"/>
  <c r="AC210" i="19"/>
  <c r="AF210" i="19"/>
  <c r="Z210" i="19"/>
  <c r="K210" i="19"/>
  <c r="M210" i="19"/>
  <c r="AS210" i="19"/>
  <c r="AB210" i="19"/>
  <c r="S210" i="19"/>
  <c r="T210" i="19"/>
  <c r="AI210" i="19" s="1"/>
  <c r="AE210" i="19"/>
  <c r="AG210" i="19"/>
  <c r="AQ210" i="19"/>
  <c r="Y210" i="19"/>
  <c r="O210" i="19"/>
  <c r="L210" i="19"/>
  <c r="W210" i="19"/>
  <c r="P210" i="19"/>
  <c r="AR210" i="19"/>
  <c r="I210" i="19"/>
  <c r="E210" i="19"/>
  <c r="AA210" i="19"/>
  <c r="AF138" i="19"/>
  <c r="T138" i="19"/>
  <c r="AI138" i="19" s="1"/>
  <c r="AP138" i="19" s="1"/>
  <c r="R138" i="19"/>
  <c r="W138" i="19"/>
  <c r="O138" i="19"/>
  <c r="P138" i="19"/>
  <c r="AE138" i="19"/>
  <c r="D138" i="19"/>
  <c r="M138" i="19"/>
  <c r="X138" i="19"/>
  <c r="AB138" i="19"/>
  <c r="Z138" i="19"/>
  <c r="S138" i="19"/>
  <c r="U138" i="19"/>
  <c r="AQ138" i="19"/>
  <c r="Y138" i="19"/>
  <c r="Q138" i="19"/>
  <c r="E138" i="19"/>
  <c r="H138" i="19"/>
  <c r="I138" i="19"/>
  <c r="G138" i="19"/>
  <c r="AR138" i="19"/>
  <c r="AD138" i="19"/>
  <c r="AA138" i="19"/>
  <c r="F138" i="19"/>
  <c r="L138" i="19"/>
  <c r="AG138" i="19"/>
  <c r="K138" i="19"/>
  <c r="AC138" i="19"/>
  <c r="N138" i="19"/>
  <c r="J138" i="19"/>
  <c r="V138" i="19"/>
  <c r="AS138" i="19"/>
  <c r="AF203" i="19"/>
  <c r="Q203" i="19"/>
  <c r="E203" i="19"/>
  <c r="F203" i="19"/>
  <c r="X203" i="19"/>
  <c r="AE203" i="19"/>
  <c r="M203" i="19"/>
  <c r="T203" i="19"/>
  <c r="AI203" i="19" s="1"/>
  <c r="AK203" i="19" s="1"/>
  <c r="Y203" i="19"/>
  <c r="N203" i="19"/>
  <c r="S203" i="19"/>
  <c r="Z203" i="19"/>
  <c r="I203" i="19"/>
  <c r="AS203" i="19"/>
  <c r="J203" i="19"/>
  <c r="V203" i="19"/>
  <c r="O203" i="19"/>
  <c r="H203" i="19"/>
  <c r="W203" i="19"/>
  <c r="AG203" i="19"/>
  <c r="U203" i="19"/>
  <c r="AQ203" i="19"/>
  <c r="AB203" i="19"/>
  <c r="R203" i="19"/>
  <c r="P203" i="19"/>
  <c r="D203" i="19"/>
  <c r="G203" i="19"/>
  <c r="AC203" i="19"/>
  <c r="AA203" i="19"/>
  <c r="L203" i="19"/>
  <c r="AD203" i="19"/>
  <c r="K203" i="19"/>
  <c r="AR203" i="19"/>
  <c r="R234" i="19"/>
  <c r="AC234" i="19"/>
  <c r="L234" i="19"/>
  <c r="V234" i="19"/>
  <c r="M234" i="19"/>
  <c r="AD234" i="19"/>
  <c r="AF234" i="19"/>
  <c r="I234" i="19"/>
  <c r="AQ234" i="19"/>
  <c r="H234" i="19"/>
  <c r="AE234" i="19"/>
  <c r="N234" i="19"/>
  <c r="S234" i="19"/>
  <c r="Q234" i="19"/>
  <c r="F234" i="19"/>
  <c r="AB234" i="19"/>
  <c r="AR234" i="19"/>
  <c r="E234" i="19"/>
  <c r="AA234" i="19"/>
  <c r="Z234" i="19"/>
  <c r="T234" i="19"/>
  <c r="AI234" i="19" s="1"/>
  <c r="AK234" i="19" s="1"/>
  <c r="P234" i="19"/>
  <c r="AG234" i="19"/>
  <c r="O234" i="19"/>
  <c r="W234" i="19"/>
  <c r="Y234" i="19"/>
  <c r="X234" i="19"/>
  <c r="U234" i="19"/>
  <c r="AS234" i="19"/>
  <c r="K234" i="19"/>
  <c r="G234" i="19"/>
  <c r="D234" i="19"/>
  <c r="J234" i="19"/>
  <c r="D145" i="19"/>
  <c r="AS145" i="19"/>
  <c r="X145" i="19"/>
  <c r="AQ145" i="19"/>
  <c r="L145" i="19"/>
  <c r="V145" i="19"/>
  <c r="G145" i="19"/>
  <c r="O145" i="19"/>
  <c r="K145" i="19"/>
  <c r="AD145" i="19"/>
  <c r="AB145" i="19"/>
  <c r="F145" i="19"/>
  <c r="AE145" i="19"/>
  <c r="AR145" i="19"/>
  <c r="R145" i="19"/>
  <c r="AF145" i="19"/>
  <c r="E145" i="19"/>
  <c r="Q145" i="19"/>
  <c r="Y145" i="19"/>
  <c r="AC145" i="19"/>
  <c r="AA145" i="19"/>
  <c r="M145" i="19"/>
  <c r="P145" i="19"/>
  <c r="T145" i="19"/>
  <c r="AI145" i="19" s="1"/>
  <c r="AM145" i="19" s="1"/>
  <c r="J145" i="19"/>
  <c r="H145" i="19"/>
  <c r="W145" i="19"/>
  <c r="I145" i="19"/>
  <c r="Z145" i="19"/>
  <c r="AG145" i="19"/>
  <c r="N145" i="19"/>
  <c r="S145" i="19"/>
  <c r="U145" i="19"/>
  <c r="U235" i="19"/>
  <c r="K235" i="19"/>
  <c r="S235" i="19"/>
  <c r="Y235" i="19"/>
  <c r="M235" i="19"/>
  <c r="V235" i="19"/>
  <c r="AS235" i="19"/>
  <c r="AC235" i="19"/>
  <c r="J235" i="19"/>
  <c r="AF235" i="19"/>
  <c r="N235" i="19"/>
  <c r="E235" i="19"/>
  <c r="Q235" i="19"/>
  <c r="O235" i="19"/>
  <c r="AE235" i="19"/>
  <c r="AD235" i="19"/>
  <c r="AB235" i="19"/>
  <c r="I235" i="19"/>
  <c r="AG235" i="19"/>
  <c r="F235" i="19"/>
  <c r="H235" i="19"/>
  <c r="T235" i="19"/>
  <c r="AI235" i="19" s="1"/>
  <c r="AM235" i="19" s="1"/>
  <c r="D235" i="19"/>
  <c r="L235" i="19"/>
  <c r="W235" i="19"/>
  <c r="AR235" i="19"/>
  <c r="AQ235" i="19"/>
  <c r="G235" i="19"/>
  <c r="X235" i="19"/>
  <c r="R235" i="19"/>
  <c r="P235" i="19"/>
  <c r="AA235" i="19"/>
  <c r="Z235" i="19"/>
  <c r="O169" i="19"/>
  <c r="K169" i="19"/>
  <c r="Z169" i="19"/>
  <c r="F169" i="19"/>
  <c r="L169" i="19"/>
  <c r="AF169" i="19"/>
  <c r="H169" i="19"/>
  <c r="AS169" i="19"/>
  <c r="AA169" i="19"/>
  <c r="V169" i="19"/>
  <c r="N169" i="19"/>
  <c r="AB169" i="19"/>
  <c r="J169" i="19"/>
  <c r="W169" i="19"/>
  <c r="R169" i="19"/>
  <c r="I169" i="19"/>
  <c r="D169" i="19"/>
  <c r="AC169" i="19"/>
  <c r="AE169" i="19"/>
  <c r="G169" i="19"/>
  <c r="Q169" i="19"/>
  <c r="P169" i="19"/>
  <c r="AQ169" i="19"/>
  <c r="Y169" i="19"/>
  <c r="AG169" i="19"/>
  <c r="X169" i="19"/>
  <c r="T169" i="19"/>
  <c r="AI169" i="19" s="1"/>
  <c r="AO169" i="19" s="1"/>
  <c r="S169" i="19"/>
  <c r="AR169" i="19"/>
  <c r="M169" i="19"/>
  <c r="U169" i="19"/>
  <c r="AD169" i="19"/>
  <c r="E169" i="19"/>
  <c r="N177" i="19"/>
  <c r="AR177" i="19"/>
  <c r="L177" i="19"/>
  <c r="AD177" i="19"/>
  <c r="AF177" i="19"/>
  <c r="Z177" i="19"/>
  <c r="AG177" i="19"/>
  <c r="V177" i="19"/>
  <c r="X177" i="19"/>
  <c r="Y177" i="19"/>
  <c r="T177" i="19"/>
  <c r="AI177" i="19" s="1"/>
  <c r="AP177" i="19" s="1"/>
  <c r="S177" i="19"/>
  <c r="D177" i="19"/>
  <c r="H177" i="19"/>
  <c r="J177" i="19"/>
  <c r="AS177" i="19"/>
  <c r="AE177" i="19"/>
  <c r="AB177" i="19"/>
  <c r="R177" i="19"/>
  <c r="AC177" i="19"/>
  <c r="AQ177" i="19"/>
  <c r="P177" i="19"/>
  <c r="Q177" i="19"/>
  <c r="AA177" i="19"/>
  <c r="U177" i="19"/>
  <c r="G177" i="19"/>
  <c r="F177" i="19"/>
  <c r="E177" i="19"/>
  <c r="O177" i="19"/>
  <c r="I177" i="19"/>
  <c r="K177" i="19"/>
  <c r="M177" i="19"/>
  <c r="W177" i="19"/>
  <c r="AF238" i="19"/>
  <c r="AB238" i="19"/>
  <c r="E238" i="19"/>
  <c r="W238" i="19"/>
  <c r="AS238" i="19"/>
  <c r="Y238" i="19"/>
  <c r="D238" i="19"/>
  <c r="J238" i="19"/>
  <c r="T238" i="19"/>
  <c r="AI238" i="19" s="1"/>
  <c r="AO238" i="19" s="1"/>
  <c r="G238" i="19"/>
  <c r="AE238" i="19"/>
  <c r="X238" i="19"/>
  <c r="V238" i="19"/>
  <c r="R238" i="19"/>
  <c r="AA238" i="19"/>
  <c r="I238" i="19"/>
  <c r="O238" i="19"/>
  <c r="Z238" i="19"/>
  <c r="AD238" i="19"/>
  <c r="AR238" i="19"/>
  <c r="S238" i="19"/>
  <c r="AC238" i="19"/>
  <c r="K238" i="19"/>
  <c r="U238" i="19"/>
  <c r="F238" i="19"/>
  <c r="AG238" i="19"/>
  <c r="L238" i="19"/>
  <c r="M238" i="19"/>
  <c r="N238" i="19"/>
  <c r="AQ238" i="19"/>
  <c r="P238" i="19"/>
  <c r="Q238" i="19"/>
  <c r="H238" i="19"/>
  <c r="Y154" i="19"/>
  <c r="I154" i="19"/>
  <c r="O154" i="19"/>
  <c r="AS154" i="19"/>
  <c r="L154" i="19"/>
  <c r="AG154" i="19"/>
  <c r="W154" i="19"/>
  <c r="U154" i="19"/>
  <c r="Z154" i="19"/>
  <c r="F154" i="19"/>
  <c r="AB154" i="19"/>
  <c r="E154" i="19"/>
  <c r="D154" i="19"/>
  <c r="AF154" i="19"/>
  <c r="T154" i="19"/>
  <c r="AI154" i="19" s="1"/>
  <c r="AM154" i="19" s="1"/>
  <c r="K154" i="19"/>
  <c r="S154" i="19"/>
  <c r="Q154" i="19"/>
  <c r="J154" i="19"/>
  <c r="AR154" i="19"/>
  <c r="AA154" i="19"/>
  <c r="G154" i="19"/>
  <c r="AE154" i="19"/>
  <c r="AD154" i="19"/>
  <c r="P154" i="19"/>
  <c r="AQ154" i="19"/>
  <c r="N154" i="19"/>
  <c r="V154" i="19"/>
  <c r="X154" i="19"/>
  <c r="R154" i="19"/>
  <c r="AC154" i="19"/>
  <c r="M154" i="19"/>
  <c r="H154" i="19"/>
  <c r="N143" i="19"/>
  <c r="T143" i="19"/>
  <c r="AI143" i="19" s="1"/>
  <c r="AP143" i="19" s="1"/>
  <c r="L143" i="19"/>
  <c r="R143" i="19"/>
  <c r="H143" i="19"/>
  <c r="AA143" i="19"/>
  <c r="P143" i="19"/>
  <c r="J143" i="19"/>
  <c r="U143" i="19"/>
  <c r="AD143" i="19"/>
  <c r="AB143" i="19"/>
  <c r="AQ143" i="19"/>
  <c r="AG143" i="19"/>
  <c r="V143" i="19"/>
  <c r="X143" i="19"/>
  <c r="O143" i="19"/>
  <c r="Y143" i="19"/>
  <c r="AF143" i="19"/>
  <c r="I143" i="19"/>
  <c r="S143" i="19"/>
  <c r="AS143" i="19"/>
  <c r="AE143" i="19"/>
  <c r="Z143" i="19"/>
  <c r="M143" i="19"/>
  <c r="AC143" i="19"/>
  <c r="E143" i="19"/>
  <c r="W143" i="19"/>
  <c r="K143" i="19"/>
  <c r="Q143" i="19"/>
  <c r="AR143" i="19"/>
  <c r="G143" i="19"/>
  <c r="D143" i="19"/>
  <c r="F143" i="19"/>
  <c r="Q186" i="19"/>
  <c r="E186" i="19"/>
  <c r="AA186" i="19"/>
  <c r="AQ186" i="19"/>
  <c r="G186" i="19"/>
  <c r="N186" i="19"/>
  <c r="F186" i="19"/>
  <c r="I186" i="19"/>
  <c r="L186" i="19"/>
  <c r="O186" i="19"/>
  <c r="Y186" i="19"/>
  <c r="M186" i="19"/>
  <c r="H186" i="19"/>
  <c r="AF186" i="19"/>
  <c r="W186" i="19"/>
  <c r="U186" i="19"/>
  <c r="AR186" i="19"/>
  <c r="AC186" i="19"/>
  <c r="R186" i="19"/>
  <c r="AB186" i="19"/>
  <c r="S186" i="19"/>
  <c r="Z186" i="19"/>
  <c r="AG186" i="19"/>
  <c r="AE186" i="19"/>
  <c r="P186" i="19"/>
  <c r="T186" i="19"/>
  <c r="AI186" i="19" s="1"/>
  <c r="AS186" i="19"/>
  <c r="J186" i="19"/>
  <c r="AD186" i="19"/>
  <c r="K186" i="19"/>
  <c r="X186" i="19"/>
  <c r="V186" i="19"/>
  <c r="D186" i="19"/>
  <c r="M250" i="19"/>
  <c r="X250" i="19"/>
  <c r="AQ250" i="19"/>
  <c r="O250" i="19"/>
  <c r="G250" i="19"/>
  <c r="AD250" i="19"/>
  <c r="AB250" i="19"/>
  <c r="R250" i="19"/>
  <c r="V250" i="19"/>
  <c r="AR250" i="19"/>
  <c r="J250" i="19"/>
  <c r="N250" i="19"/>
  <c r="Y250" i="19"/>
  <c r="AS250" i="19"/>
  <c r="D250" i="19"/>
  <c r="U250" i="19"/>
  <c r="AE250" i="19"/>
  <c r="K250" i="19"/>
  <c r="Q250" i="19"/>
  <c r="T250" i="19"/>
  <c r="AI250" i="19" s="1"/>
  <c r="E250" i="19"/>
  <c r="AG250" i="19"/>
  <c r="S250" i="19"/>
  <c r="P250" i="19"/>
  <c r="W250" i="19"/>
  <c r="H250" i="19"/>
  <c r="AF250" i="19"/>
  <c r="F250" i="19"/>
  <c r="L250" i="19"/>
  <c r="I250" i="19"/>
  <c r="AC250" i="19"/>
  <c r="Z250" i="19"/>
  <c r="AA250" i="19"/>
  <c r="J144" i="19"/>
  <c r="AC144" i="19"/>
  <c r="Z144" i="19"/>
  <c r="Y144" i="19"/>
  <c r="X144" i="19"/>
  <c r="AG144" i="19"/>
  <c r="AB144" i="19"/>
  <c r="O144" i="19"/>
  <c r="R144" i="19"/>
  <c r="S144" i="19"/>
  <c r="M144" i="19"/>
  <c r="W144" i="19"/>
  <c r="I144" i="19"/>
  <c r="P144" i="19"/>
  <c r="AA144" i="19"/>
  <c r="AD144" i="19"/>
  <c r="T144" i="19"/>
  <c r="AI144" i="19" s="1"/>
  <c r="F144" i="19"/>
  <c r="E144" i="19"/>
  <c r="H144" i="19"/>
  <c r="Q144" i="19"/>
  <c r="AS144" i="19"/>
  <c r="AR144" i="19"/>
  <c r="N144" i="19"/>
  <c r="V144" i="19"/>
  <c r="L144" i="19"/>
  <c r="U144" i="19"/>
  <c r="K144" i="19"/>
  <c r="AE144" i="19"/>
  <c r="G144" i="19"/>
  <c r="D144" i="19"/>
  <c r="AF144" i="19"/>
  <c r="AQ144" i="19"/>
  <c r="AD264" i="19"/>
  <c r="T264" i="19"/>
  <c r="AI264" i="19" s="1"/>
  <c r="AO264" i="19" s="1"/>
  <c r="F264" i="19"/>
  <c r="O264" i="19"/>
  <c r="L264" i="19"/>
  <c r="S264" i="19"/>
  <c r="AR264" i="19"/>
  <c r="D264" i="19"/>
  <c r="G264" i="19"/>
  <c r="AG264" i="19"/>
  <c r="V264" i="19"/>
  <c r="K264" i="19"/>
  <c r="AB264" i="19"/>
  <c r="R264" i="19"/>
  <c r="AE264" i="19"/>
  <c r="E264" i="19"/>
  <c r="AS264" i="19"/>
  <c r="H264" i="19"/>
  <c r="U264" i="19"/>
  <c r="M264" i="19"/>
  <c r="W264" i="19"/>
  <c r="Y264" i="19"/>
  <c r="AC264" i="19"/>
  <c r="AA264" i="19"/>
  <c r="X264" i="19"/>
  <c r="J264" i="19"/>
  <c r="I264" i="19"/>
  <c r="AF264" i="19"/>
  <c r="Q264" i="19"/>
  <c r="AQ264" i="19"/>
  <c r="N264" i="19"/>
  <c r="Z264" i="19"/>
  <c r="P264" i="19"/>
  <c r="I190" i="19"/>
  <c r="V190" i="19"/>
  <c r="AE190" i="19"/>
  <c r="P190" i="19"/>
  <c r="AF190" i="19"/>
  <c r="M190" i="19"/>
  <c r="K190" i="19"/>
  <c r="R190" i="19"/>
  <c r="G190" i="19"/>
  <c r="J190" i="19"/>
  <c r="AB190" i="19"/>
  <c r="D190" i="19"/>
  <c r="N190" i="19"/>
  <c r="AC190" i="19"/>
  <c r="U190" i="19"/>
  <c r="Y190" i="19"/>
  <c r="E190" i="19"/>
  <c r="Q190" i="19"/>
  <c r="Z190" i="19"/>
  <c r="AG190" i="19"/>
  <c r="AA190" i="19"/>
  <c r="H190" i="19"/>
  <c r="S190" i="19"/>
  <c r="L190" i="19"/>
  <c r="T190" i="19"/>
  <c r="AI190" i="19" s="1"/>
  <c r="AO190" i="19" s="1"/>
  <c r="O190" i="19"/>
  <c r="AS190" i="19"/>
  <c r="AD190" i="19"/>
  <c r="X190" i="19"/>
  <c r="AR190" i="19"/>
  <c r="F190" i="19"/>
  <c r="W190" i="19"/>
  <c r="AQ190" i="19"/>
  <c r="S151" i="19"/>
  <c r="P151" i="19"/>
  <c r="N151" i="19"/>
  <c r="J151" i="19"/>
  <c r="M151" i="19"/>
  <c r="H151" i="19"/>
  <c r="AE151" i="19"/>
  <c r="AF151" i="19"/>
  <c r="AS151" i="19"/>
  <c r="AR151" i="19"/>
  <c r="X151" i="19"/>
  <c r="I151" i="19"/>
  <c r="R151" i="19"/>
  <c r="Y151" i="19"/>
  <c r="K151" i="19"/>
  <c r="G151" i="19"/>
  <c r="D151" i="19"/>
  <c r="V151" i="19"/>
  <c r="F151" i="19"/>
  <c r="W151" i="19"/>
  <c r="AB151" i="19"/>
  <c r="L151" i="19"/>
  <c r="AA151" i="19"/>
  <c r="U151" i="19"/>
  <c r="AQ151" i="19"/>
  <c r="Z151" i="19"/>
  <c r="O151" i="19"/>
  <c r="E151" i="19"/>
  <c r="T151" i="19"/>
  <c r="AI151" i="19" s="1"/>
  <c r="Q151" i="19"/>
  <c r="AG151" i="19"/>
  <c r="AD151" i="19"/>
  <c r="AC151" i="19"/>
  <c r="S184" i="19"/>
  <c r="AE184" i="19"/>
  <c r="AD184" i="19"/>
  <c r="AB184" i="19"/>
  <c r="R184" i="19"/>
  <c r="H184" i="19"/>
  <c r="V184" i="19"/>
  <c r="K184" i="19"/>
  <c r="F184" i="19"/>
  <c r="J184" i="19"/>
  <c r="AC184" i="19"/>
  <c r="L184" i="19"/>
  <c r="AQ184" i="19"/>
  <c r="N184" i="19"/>
  <c r="U184" i="19"/>
  <c r="E184" i="19"/>
  <c r="X184" i="19"/>
  <c r="P184" i="19"/>
  <c r="AG184" i="19"/>
  <c r="AA184" i="19"/>
  <c r="I184" i="19"/>
  <c r="AS184" i="19"/>
  <c r="AR184" i="19"/>
  <c r="Q184" i="19"/>
  <c r="Z184" i="19"/>
  <c r="G184" i="19"/>
  <c r="T184" i="19"/>
  <c r="AI184" i="19" s="1"/>
  <c r="AN184" i="19" s="1"/>
  <c r="AF184" i="19"/>
  <c r="Y184" i="19"/>
  <c r="M184" i="19"/>
  <c r="O184" i="19"/>
  <c r="D184" i="19"/>
  <c r="W184" i="19"/>
  <c r="AD192" i="19"/>
  <c r="R192" i="19"/>
  <c r="X192" i="19"/>
  <c r="S192" i="19"/>
  <c r="AR192" i="19"/>
  <c r="AG192" i="19"/>
  <c r="W192" i="19"/>
  <c r="L192" i="19"/>
  <c r="J192" i="19"/>
  <c r="AA192" i="19"/>
  <c r="K192" i="19"/>
  <c r="V192" i="19"/>
  <c r="N192" i="19"/>
  <c r="AE192" i="19"/>
  <c r="I192" i="19"/>
  <c r="Q192" i="19"/>
  <c r="E192" i="19"/>
  <c r="AB192" i="19"/>
  <c r="H192" i="19"/>
  <c r="U192" i="19"/>
  <c r="Y192" i="19"/>
  <c r="T192" i="19"/>
  <c r="AI192" i="19" s="1"/>
  <c r="AN192" i="19" s="1"/>
  <c r="M192" i="19"/>
  <c r="D192" i="19"/>
  <c r="AQ192" i="19"/>
  <c r="P192" i="19"/>
  <c r="G192" i="19"/>
  <c r="F192" i="19"/>
  <c r="AS192" i="19"/>
  <c r="AC192" i="19"/>
  <c r="Z192" i="19"/>
  <c r="O192" i="19"/>
  <c r="AF192" i="19"/>
  <c r="AR201" i="19"/>
  <c r="I201" i="19"/>
  <c r="AB201" i="19"/>
  <c r="U201" i="19"/>
  <c r="K201" i="19"/>
  <c r="P201" i="19"/>
  <c r="AD201" i="19"/>
  <c r="Y201" i="19"/>
  <c r="AG201" i="19"/>
  <c r="H201" i="19"/>
  <c r="Q201" i="19"/>
  <c r="F201" i="19"/>
  <c r="AQ201" i="19"/>
  <c r="O201" i="19"/>
  <c r="AF201" i="19"/>
  <c r="R201" i="19"/>
  <c r="AS201" i="19"/>
  <c r="Z201" i="19"/>
  <c r="W201" i="19"/>
  <c r="T201" i="19"/>
  <c r="AI201" i="19" s="1"/>
  <c r="AN201" i="19" s="1"/>
  <c r="AE201" i="19"/>
  <c r="N201" i="19"/>
  <c r="D201" i="19"/>
  <c r="AA201" i="19"/>
  <c r="S201" i="19"/>
  <c r="V201" i="19"/>
  <c r="L201" i="19"/>
  <c r="X201" i="19"/>
  <c r="AC201" i="19"/>
  <c r="E201" i="19"/>
  <c r="G201" i="19"/>
  <c r="M201" i="19"/>
  <c r="J201" i="19"/>
  <c r="AR263" i="19"/>
  <c r="W263" i="19"/>
  <c r="E263" i="19"/>
  <c r="D263" i="19"/>
  <c r="AB263" i="19"/>
  <c r="K263" i="19"/>
  <c r="L263" i="19"/>
  <c r="X263" i="19"/>
  <c r="AA263" i="19"/>
  <c r="Y263" i="19"/>
  <c r="M263" i="19"/>
  <c r="N263" i="19"/>
  <c r="J263" i="19"/>
  <c r="AE263" i="19"/>
  <c r="I263" i="19"/>
  <c r="H263" i="19"/>
  <c r="AF263" i="19"/>
  <c r="AC263" i="19"/>
  <c r="V263" i="19"/>
  <c r="S263" i="19"/>
  <c r="O263" i="19"/>
  <c r="T263" i="19"/>
  <c r="AI263" i="19" s="1"/>
  <c r="AG263" i="19"/>
  <c r="AD263" i="19"/>
  <c r="P263" i="19"/>
  <c r="R263" i="19"/>
  <c r="F263" i="19"/>
  <c r="Q263" i="19"/>
  <c r="U263" i="19"/>
  <c r="Z263" i="19"/>
  <c r="AQ263" i="19"/>
  <c r="AS263" i="19"/>
  <c r="G263" i="19"/>
  <c r="L255" i="19"/>
  <c r="AB255" i="19"/>
  <c r="F255" i="19"/>
  <c r="N255" i="19"/>
  <c r="I255" i="19"/>
  <c r="M255" i="19"/>
  <c r="R255" i="19"/>
  <c r="H255" i="19"/>
  <c r="D255" i="19"/>
  <c r="J255" i="19"/>
  <c r="W255" i="19"/>
  <c r="Q255" i="19"/>
  <c r="AF255" i="19"/>
  <c r="K255" i="19"/>
  <c r="AQ255" i="19"/>
  <c r="O255" i="19"/>
  <c r="G255" i="19"/>
  <c r="AR255" i="19"/>
  <c r="AG255" i="19"/>
  <c r="AE255" i="19"/>
  <c r="X255" i="19"/>
  <c r="T255" i="19"/>
  <c r="AI255" i="19" s="1"/>
  <c r="AP255" i="19" s="1"/>
  <c r="AS255" i="19"/>
  <c r="AA255" i="19"/>
  <c r="U255" i="19"/>
  <c r="V255" i="19"/>
  <c r="E255" i="19"/>
  <c r="Y255" i="19"/>
  <c r="S255" i="19"/>
  <c r="P255" i="19"/>
  <c r="Z255" i="19"/>
  <c r="AD255" i="19"/>
  <c r="AC255" i="19"/>
  <c r="Z135" i="19"/>
  <c r="Y135" i="19"/>
  <c r="K135" i="19"/>
  <c r="G135" i="19"/>
  <c r="AC135" i="19"/>
  <c r="M135" i="19"/>
  <c r="AG135" i="19"/>
  <c r="T135" i="19"/>
  <c r="AI135" i="19" s="1"/>
  <c r="AK135" i="19" s="1"/>
  <c r="AF135" i="19"/>
  <c r="AS135" i="19"/>
  <c r="AD135" i="19"/>
  <c r="F135" i="19"/>
  <c r="W135" i="19"/>
  <c r="L135" i="19"/>
  <c r="AR135" i="19"/>
  <c r="I135" i="19"/>
  <c r="P135" i="19"/>
  <c r="AA135" i="19"/>
  <c r="H135" i="19"/>
  <c r="X135" i="19"/>
  <c r="AE135" i="19"/>
  <c r="E135" i="19"/>
  <c r="N135" i="19"/>
  <c r="J135" i="19"/>
  <c r="AB135" i="19"/>
  <c r="D135" i="19"/>
  <c r="R135" i="19"/>
  <c r="V135" i="19"/>
  <c r="S135" i="19"/>
  <c r="O135" i="19"/>
  <c r="AQ135" i="19"/>
  <c r="Q135" i="19"/>
  <c r="U135" i="19"/>
  <c r="Z150" i="19"/>
  <c r="AB150" i="19"/>
  <c r="AD150" i="19"/>
  <c r="R150" i="19"/>
  <c r="U150" i="19"/>
  <c r="Y150" i="19"/>
  <c r="F150" i="19"/>
  <c r="S150" i="19"/>
  <c r="AG150" i="19"/>
  <c r="V150" i="19"/>
  <c r="AE150" i="19"/>
  <c r="O150" i="19"/>
  <c r="N150" i="19"/>
  <c r="AQ150" i="19"/>
  <c r="AA150" i="19"/>
  <c r="H150" i="19"/>
  <c r="D150" i="19"/>
  <c r="AS150" i="19"/>
  <c r="I150" i="19"/>
  <c r="AF150" i="19"/>
  <c r="K150" i="19"/>
  <c r="AR150" i="19"/>
  <c r="M150" i="19"/>
  <c r="L150" i="19"/>
  <c r="Q150" i="19"/>
  <c r="X150" i="19"/>
  <c r="AC150" i="19"/>
  <c r="J150" i="19"/>
  <c r="G150" i="19"/>
  <c r="E150" i="19"/>
  <c r="W150" i="19"/>
  <c r="T150" i="19"/>
  <c r="AI150" i="19" s="1"/>
  <c r="AO150" i="19" s="1"/>
  <c r="P150" i="19"/>
  <c r="AD193" i="19"/>
  <c r="AA193" i="19"/>
  <c r="H193" i="19"/>
  <c r="N193" i="19"/>
  <c r="R193" i="19"/>
  <c r="G193" i="19"/>
  <c r="AQ193" i="19"/>
  <c r="L193" i="19"/>
  <c r="K193" i="19"/>
  <c r="J193" i="19"/>
  <c r="X193" i="19"/>
  <c r="AS193" i="19"/>
  <c r="P193" i="19"/>
  <c r="Z193" i="19"/>
  <c r="V193" i="19"/>
  <c r="I193" i="19"/>
  <c r="U193" i="19"/>
  <c r="AF193" i="19"/>
  <c r="AG193" i="19"/>
  <c r="E193" i="19"/>
  <c r="S193" i="19"/>
  <c r="Q193" i="19"/>
  <c r="Y193" i="19"/>
  <c r="F193" i="19"/>
  <c r="AE193" i="19"/>
  <c r="D193" i="19"/>
  <c r="T193" i="19"/>
  <c r="AI193" i="19" s="1"/>
  <c r="AK193" i="19" s="1"/>
  <c r="O193" i="19"/>
  <c r="W193" i="19"/>
  <c r="AC193" i="19"/>
  <c r="AB193" i="19"/>
  <c r="M193" i="19"/>
  <c r="AR193" i="19"/>
  <c r="AD212" i="19"/>
  <c r="Y212" i="19"/>
  <c r="Z212" i="19"/>
  <c r="J212" i="19"/>
  <c r="Q212" i="19"/>
  <c r="M212" i="19"/>
  <c r="V212" i="19"/>
  <c r="AC212" i="19"/>
  <c r="L212" i="19"/>
  <c r="AR212" i="19"/>
  <c r="N212" i="19"/>
  <c r="E212" i="19"/>
  <c r="R212" i="19"/>
  <c r="AE212" i="19"/>
  <c r="H212" i="19"/>
  <c r="AB212" i="19"/>
  <c r="T212" i="19"/>
  <c r="AI212" i="19" s="1"/>
  <c r="AM212" i="19" s="1"/>
  <c r="AF212" i="19"/>
  <c r="G212" i="19"/>
  <c r="S212" i="19"/>
  <c r="AG212" i="19"/>
  <c r="I212" i="19"/>
  <c r="X212" i="19"/>
  <c r="AQ212" i="19"/>
  <c r="O212" i="19"/>
  <c r="D212" i="19"/>
  <c r="W212" i="19"/>
  <c r="AA212" i="19"/>
  <c r="P212" i="19"/>
  <c r="K212" i="19"/>
  <c r="AS212" i="19"/>
  <c r="F212" i="19"/>
  <c r="U212" i="19"/>
  <c r="I216" i="19"/>
  <c r="AQ216" i="19"/>
  <c r="H216" i="19"/>
  <c r="X216" i="19"/>
  <c r="AC216" i="19"/>
  <c r="AE216" i="19"/>
  <c r="P216" i="19"/>
  <c r="AS216" i="19"/>
  <c r="U216" i="19"/>
  <c r="N216" i="19"/>
  <c r="S216" i="19"/>
  <c r="AR216" i="19"/>
  <c r="R216" i="19"/>
  <c r="J216" i="19"/>
  <c r="T216" i="19"/>
  <c r="AI216" i="19" s="1"/>
  <c r="AN216" i="19" s="1"/>
  <c r="V216" i="19"/>
  <c r="AA216" i="19"/>
  <c r="Z216" i="19"/>
  <c r="AD216" i="19"/>
  <c r="G216" i="19"/>
  <c r="O216" i="19"/>
  <c r="AB216" i="19"/>
  <c r="M216" i="19"/>
  <c r="D216" i="19"/>
  <c r="K216" i="19"/>
  <c r="L216" i="19"/>
  <c r="AF216" i="19"/>
  <c r="Y216" i="19"/>
  <c r="Q216" i="19"/>
  <c r="F216" i="19"/>
  <c r="AG216" i="19"/>
  <c r="E216" i="19"/>
  <c r="W216" i="19"/>
  <c r="S124" i="19"/>
  <c r="W124" i="19"/>
  <c r="D124" i="19"/>
  <c r="AC124" i="19"/>
  <c r="AQ124" i="19"/>
  <c r="AD124" i="19"/>
  <c r="Z124" i="19"/>
  <c r="AS124" i="19"/>
  <c r="U124" i="19"/>
  <c r="F124" i="19"/>
  <c r="E124" i="19"/>
  <c r="AF124" i="19"/>
  <c r="Q124" i="19"/>
  <c r="M124" i="19"/>
  <c r="AE124" i="19"/>
  <c r="AA124" i="19"/>
  <c r="R124" i="19"/>
  <c r="AB124" i="19"/>
  <c r="T124" i="19"/>
  <c r="AI124" i="19" s="1"/>
  <c r="AL124" i="19" s="1"/>
  <c r="L124" i="19"/>
  <c r="N124" i="19"/>
  <c r="X124" i="19"/>
  <c r="I124" i="19"/>
  <c r="AR124" i="19"/>
  <c r="O124" i="19"/>
  <c r="G124" i="19"/>
  <c r="AG124" i="19"/>
  <c r="J124" i="19"/>
  <c r="K124" i="19"/>
  <c r="V124" i="19"/>
  <c r="H124" i="19"/>
  <c r="P124" i="19"/>
  <c r="Y124" i="19"/>
  <c r="R228" i="19"/>
  <c r="V228" i="19"/>
  <c r="Y228" i="19"/>
  <c r="W228" i="19"/>
  <c r="X228" i="19"/>
  <c r="AB228" i="19"/>
  <c r="AD228" i="19"/>
  <c r="AF228" i="19"/>
  <c r="AR228" i="19"/>
  <c r="M228" i="19"/>
  <c r="N228" i="19"/>
  <c r="G228" i="19"/>
  <c r="O228" i="19"/>
  <c r="K228" i="19"/>
  <c r="E228" i="19"/>
  <c r="Q228" i="19"/>
  <c r="L228" i="19"/>
  <c r="T228" i="19"/>
  <c r="AI228" i="19" s="1"/>
  <c r="AM228" i="19" s="1"/>
  <c r="Z228" i="19"/>
  <c r="AQ228" i="19"/>
  <c r="I228" i="19"/>
  <c r="F228" i="19"/>
  <c r="AC228" i="19"/>
  <c r="S228" i="19"/>
  <c r="D228" i="19"/>
  <c r="P228" i="19"/>
  <c r="AE228" i="19"/>
  <c r="U228" i="19"/>
  <c r="J228" i="19"/>
  <c r="H228" i="19"/>
  <c r="AS228" i="19"/>
  <c r="AG228" i="19"/>
  <c r="AA228" i="19"/>
  <c r="AR123" i="19"/>
  <c r="Q123" i="19"/>
  <c r="M123" i="19"/>
  <c r="AQ123" i="19"/>
  <c r="Z123" i="19"/>
  <c r="L123" i="19"/>
  <c r="AS123" i="19"/>
  <c r="G123" i="19"/>
  <c r="T123" i="19"/>
  <c r="AI123" i="19" s="1"/>
  <c r="AP123" i="19" s="1"/>
  <c r="AC123" i="19"/>
  <c r="S123" i="19"/>
  <c r="O123" i="19"/>
  <c r="K123" i="19"/>
  <c r="R123" i="19"/>
  <c r="E123" i="19"/>
  <c r="J123" i="19"/>
  <c r="N123" i="19"/>
  <c r="U123" i="19"/>
  <c r="D123" i="19"/>
  <c r="P123" i="19"/>
  <c r="AA123" i="19"/>
  <c r="AG123" i="19"/>
  <c r="AE123" i="19"/>
  <c r="W123" i="19"/>
  <c r="V123" i="19"/>
  <c r="AF123" i="19"/>
  <c r="AB123" i="19"/>
  <c r="X123" i="19"/>
  <c r="AD123" i="19"/>
  <c r="I123" i="19"/>
  <c r="H123" i="19"/>
  <c r="Y123" i="19"/>
  <c r="F123" i="19"/>
  <c r="AQ134" i="19"/>
  <c r="K134" i="19"/>
  <c r="AE134" i="19"/>
  <c r="AB134" i="19"/>
  <c r="N134" i="19"/>
  <c r="Y134" i="19"/>
  <c r="V134" i="19"/>
  <c r="S134" i="19"/>
  <c r="P134" i="19"/>
  <c r="J134" i="19"/>
  <c r="I134" i="19"/>
  <c r="M134" i="19"/>
  <c r="E134" i="19"/>
  <c r="U134" i="19"/>
  <c r="W134" i="19"/>
  <c r="R134" i="19"/>
  <c r="AF134" i="19"/>
  <c r="AC134" i="19"/>
  <c r="AA134" i="19"/>
  <c r="H134" i="19"/>
  <c r="D134" i="19"/>
  <c r="AG134" i="19"/>
  <c r="AR134" i="19"/>
  <c r="AS134" i="19"/>
  <c r="O134" i="19"/>
  <c r="AD134" i="19"/>
  <c r="Q134" i="19"/>
  <c r="G134" i="19"/>
  <c r="F134" i="19"/>
  <c r="Z134" i="19"/>
  <c r="L134" i="19"/>
  <c r="T134" i="19"/>
  <c r="AI134" i="19" s="1"/>
  <c r="AM134" i="19" s="1"/>
  <c r="X134" i="19"/>
  <c r="H126" i="19"/>
  <c r="AC126" i="19"/>
  <c r="AE126" i="19"/>
  <c r="AQ126" i="19"/>
  <c r="K126" i="19"/>
  <c r="G126" i="19"/>
  <c r="M126" i="19"/>
  <c r="T126" i="19"/>
  <c r="AI126" i="19" s="1"/>
  <c r="AM126" i="19" s="1"/>
  <c r="W126" i="19"/>
  <c r="AG126" i="19"/>
  <c r="N126" i="19"/>
  <c r="V126" i="19"/>
  <c r="O126" i="19"/>
  <c r="AR126" i="19"/>
  <c r="U126" i="19"/>
  <c r="Q126" i="19"/>
  <c r="J126" i="19"/>
  <c r="S126" i="19"/>
  <c r="AS126" i="19"/>
  <c r="L126" i="19"/>
  <c r="AF126" i="19"/>
  <c r="P126" i="19"/>
  <c r="D126" i="19"/>
  <c r="Z126" i="19"/>
  <c r="AB126" i="19"/>
  <c r="F126" i="19"/>
  <c r="R126" i="19"/>
  <c r="AA126" i="19"/>
  <c r="X126" i="19"/>
  <c r="Y126" i="19"/>
  <c r="E126" i="19"/>
  <c r="AD126" i="19"/>
  <c r="I126" i="19"/>
  <c r="AA133" i="19"/>
  <c r="H133" i="19"/>
  <c r="AE133" i="19"/>
  <c r="P133" i="19"/>
  <c r="AQ133" i="19"/>
  <c r="J133" i="19"/>
  <c r="K133" i="19"/>
  <c r="X133" i="19"/>
  <c r="W133" i="19"/>
  <c r="AR133" i="19"/>
  <c r="Y133" i="19"/>
  <c r="F133" i="19"/>
  <c r="O133" i="19"/>
  <c r="AD133" i="19"/>
  <c r="AC133" i="19"/>
  <c r="M133" i="19"/>
  <c r="AG133" i="19"/>
  <c r="T133" i="19"/>
  <c r="AI133" i="19" s="1"/>
  <c r="AP133" i="19" s="1"/>
  <c r="L133" i="19"/>
  <c r="Q133" i="19"/>
  <c r="V133" i="19"/>
  <c r="E133" i="19"/>
  <c r="I133" i="19"/>
  <c r="U133" i="19"/>
  <c r="S133" i="19"/>
  <c r="D133" i="19"/>
  <c r="AS133" i="19"/>
  <c r="Z133" i="19"/>
  <c r="G133" i="19"/>
  <c r="AF133" i="19"/>
  <c r="N133" i="19"/>
  <c r="R133" i="19"/>
  <c r="AB133" i="19"/>
  <c r="AB242" i="19"/>
  <c r="V242" i="19"/>
  <c r="H242" i="19"/>
  <c r="AQ242" i="19"/>
  <c r="T242" i="19"/>
  <c r="AI242" i="19" s="1"/>
  <c r="AN242" i="19" s="1"/>
  <c r="U242" i="19"/>
  <c r="D242" i="19"/>
  <c r="AR242" i="19"/>
  <c r="AF242" i="19"/>
  <c r="X242" i="19"/>
  <c r="S242" i="19"/>
  <c r="L242" i="19"/>
  <c r="I242" i="19"/>
  <c r="F242" i="19"/>
  <c r="G242" i="19"/>
  <c r="N242" i="19"/>
  <c r="J242" i="19"/>
  <c r="P242" i="19"/>
  <c r="Y242" i="19"/>
  <c r="M242" i="19"/>
  <c r="AD242" i="19"/>
  <c r="E242" i="19"/>
  <c r="AC242" i="19"/>
  <c r="AE242" i="19"/>
  <c r="AS242" i="19"/>
  <c r="Q242" i="19"/>
  <c r="AA242" i="19"/>
  <c r="O242" i="19"/>
  <c r="W242" i="19"/>
  <c r="R242" i="19"/>
  <c r="Z242" i="19"/>
  <c r="K242" i="19"/>
  <c r="AG242" i="19"/>
  <c r="AG146" i="19"/>
  <c r="X146" i="19"/>
  <c r="Y146" i="19"/>
  <c r="AE146" i="19"/>
  <c r="Z146" i="19"/>
  <c r="S146" i="19"/>
  <c r="M146" i="19"/>
  <c r="AD146" i="19"/>
  <c r="Q146" i="19"/>
  <c r="AQ146" i="19"/>
  <c r="AF146" i="19"/>
  <c r="E146" i="19"/>
  <c r="K146" i="19"/>
  <c r="R146" i="19"/>
  <c r="N146" i="19"/>
  <c r="U146" i="19"/>
  <c r="O146" i="19"/>
  <c r="D146" i="19"/>
  <c r="I146" i="19"/>
  <c r="H146" i="19"/>
  <c r="AS146" i="19"/>
  <c r="AA146" i="19"/>
  <c r="L146" i="19"/>
  <c r="J146" i="19"/>
  <c r="T146" i="19"/>
  <c r="AI146" i="19" s="1"/>
  <c r="AN146" i="19" s="1"/>
  <c r="AC146" i="19"/>
  <c r="F146" i="19"/>
  <c r="AB146" i="19"/>
  <c r="AR146" i="19"/>
  <c r="W146" i="19"/>
  <c r="V146" i="19"/>
  <c r="G146" i="19"/>
  <c r="P146" i="19"/>
  <c r="H224" i="19"/>
  <c r="L224" i="19"/>
  <c r="P224" i="19"/>
  <c r="AB224" i="19"/>
  <c r="AF224" i="19"/>
  <c r="S224" i="19"/>
  <c r="Z224" i="19"/>
  <c r="AQ224" i="19"/>
  <c r="D224" i="19"/>
  <c r="Y224" i="19"/>
  <c r="AR224" i="19"/>
  <c r="F224" i="19"/>
  <c r="I224" i="19"/>
  <c r="E224" i="19"/>
  <c r="J224" i="19"/>
  <c r="O224" i="19"/>
  <c r="AA224" i="19"/>
  <c r="AC224" i="19"/>
  <c r="V224" i="19"/>
  <c r="W224" i="19"/>
  <c r="G224" i="19"/>
  <c r="AD224" i="19"/>
  <c r="N224" i="19"/>
  <c r="U224" i="19"/>
  <c r="AE224" i="19"/>
  <c r="AG224" i="19"/>
  <c r="Q224" i="19"/>
  <c r="T224" i="19"/>
  <c r="AI224" i="19" s="1"/>
  <c r="AN224" i="19" s="1"/>
  <c r="AS224" i="19"/>
  <c r="M224" i="19"/>
  <c r="X224" i="19"/>
  <c r="K224" i="19"/>
  <c r="R224" i="19"/>
  <c r="L229" i="19"/>
  <c r="G229" i="19"/>
  <c r="AB229" i="19"/>
  <c r="AF229" i="19"/>
  <c r="V229" i="19"/>
  <c r="AS229" i="19"/>
  <c r="S229" i="19"/>
  <c r="R229" i="19"/>
  <c r="Z229" i="19"/>
  <c r="F229" i="19"/>
  <c r="W229" i="19"/>
  <c r="K229" i="19"/>
  <c r="AE229" i="19"/>
  <c r="J229" i="19"/>
  <c r="AQ229" i="19"/>
  <c r="U229" i="19"/>
  <c r="E229" i="19"/>
  <c r="H229" i="19"/>
  <c r="Y229" i="19"/>
  <c r="Q229" i="19"/>
  <c r="M229" i="19"/>
  <c r="P229" i="19"/>
  <c r="D229" i="19"/>
  <c r="I229" i="19"/>
  <c r="N229" i="19"/>
  <c r="O229" i="19"/>
  <c r="AA229" i="19"/>
  <c r="X229" i="19"/>
  <c r="AD229" i="19"/>
  <c r="AC229" i="19"/>
  <c r="AG229" i="19"/>
  <c r="T229" i="19"/>
  <c r="AI229" i="19" s="1"/>
  <c r="AK229" i="19" s="1"/>
  <c r="AR229" i="19"/>
  <c r="E240" i="19"/>
  <c r="Q240" i="19"/>
  <c r="H240" i="19"/>
  <c r="T240" i="19"/>
  <c r="AI240" i="19" s="1"/>
  <c r="AK240" i="19" s="1"/>
  <c r="Z240" i="19"/>
  <c r="N240" i="19"/>
  <c r="AE240" i="19"/>
  <c r="W240" i="19"/>
  <c r="L240" i="19"/>
  <c r="R240" i="19"/>
  <c r="AA240" i="19"/>
  <c r="J240" i="19"/>
  <c r="AR240" i="19"/>
  <c r="AF240" i="19"/>
  <c r="AD240" i="19"/>
  <c r="O240" i="19"/>
  <c r="V240" i="19"/>
  <c r="AC240" i="19"/>
  <c r="G240" i="19"/>
  <c r="F240" i="19"/>
  <c r="AQ240" i="19"/>
  <c r="P240" i="19"/>
  <c r="D240" i="19"/>
  <c r="S240" i="19"/>
  <c r="K240" i="19"/>
  <c r="AS240" i="19"/>
  <c r="X240" i="19"/>
  <c r="Y240" i="19"/>
  <c r="AB240" i="19"/>
  <c r="AG240" i="19"/>
  <c r="U240" i="19"/>
  <c r="I240" i="19"/>
  <c r="M240" i="19"/>
  <c r="E176" i="19"/>
  <c r="W176" i="19"/>
  <c r="AE176" i="19"/>
  <c r="G176" i="19"/>
  <c r="M176" i="19"/>
  <c r="L176" i="19"/>
  <c r="P176" i="19"/>
  <c r="S176" i="19"/>
  <c r="AA176" i="19"/>
  <c r="AQ176" i="19"/>
  <c r="N176" i="19"/>
  <c r="X176" i="19"/>
  <c r="AG176" i="19"/>
  <c r="AD176" i="19"/>
  <c r="Q176" i="19"/>
  <c r="O176" i="19"/>
  <c r="T176" i="19"/>
  <c r="AI176" i="19" s="1"/>
  <c r="AL176" i="19" s="1"/>
  <c r="Z176" i="19"/>
  <c r="AF176" i="19"/>
  <c r="I176" i="19"/>
  <c r="AB176" i="19"/>
  <c r="U176" i="19"/>
  <c r="R176" i="19"/>
  <c r="J176" i="19"/>
  <c r="K176" i="19"/>
  <c r="D176" i="19"/>
  <c r="Y176" i="19"/>
  <c r="V176" i="19"/>
  <c r="AC176" i="19"/>
  <c r="AR176" i="19"/>
  <c r="H176" i="19"/>
  <c r="F176" i="19"/>
  <c r="AS176" i="19"/>
  <c r="AD266" i="19"/>
  <c r="J266" i="19"/>
  <c r="T266" i="19"/>
  <c r="AI266" i="19" s="1"/>
  <c r="AP266" i="19" s="1"/>
  <c r="P266" i="19"/>
  <c r="L266" i="19"/>
  <c r="AQ266" i="19"/>
  <c r="Q266" i="19"/>
  <c r="W266" i="19"/>
  <c r="K266" i="19"/>
  <c r="Z266" i="19"/>
  <c r="X266" i="19"/>
  <c r="Y266" i="19"/>
  <c r="AB266" i="19"/>
  <c r="AR266" i="19"/>
  <c r="E266" i="19"/>
  <c r="R266" i="19"/>
  <c r="U266" i="19"/>
  <c r="H266" i="19"/>
  <c r="O266" i="19"/>
  <c r="M266" i="19"/>
  <c r="AC266" i="19"/>
  <c r="V266" i="19"/>
  <c r="I266" i="19"/>
  <c r="AF266" i="19"/>
  <c r="S266" i="19"/>
  <c r="AA266" i="19"/>
  <c r="F266" i="19"/>
  <c r="AE266" i="19"/>
  <c r="AS266" i="19"/>
  <c r="D266" i="19"/>
  <c r="N266" i="19"/>
  <c r="G266" i="19"/>
  <c r="AG266" i="19"/>
  <c r="J125" i="19"/>
  <c r="AG125" i="19"/>
  <c r="U125" i="19"/>
  <c r="AD125" i="19"/>
  <c r="P125" i="19"/>
  <c r="AR125" i="19"/>
  <c r="E125" i="19"/>
  <c r="Q125" i="19"/>
  <c r="M125" i="19"/>
  <c r="X125" i="19"/>
  <c r="R125" i="19"/>
  <c r="V125" i="19"/>
  <c r="N125" i="19"/>
  <c r="D125" i="19"/>
  <c r="G125" i="19"/>
  <c r="AQ125" i="19"/>
  <c r="W125" i="19"/>
  <c r="AC125" i="19"/>
  <c r="AB125" i="19"/>
  <c r="H125" i="19"/>
  <c r="K125" i="19"/>
  <c r="S125" i="19"/>
  <c r="AS125" i="19"/>
  <c r="Z125" i="19"/>
  <c r="O125" i="19"/>
  <c r="I125" i="19"/>
  <c r="Y125" i="19"/>
  <c r="AF125" i="19"/>
  <c r="AE125" i="19"/>
  <c r="L125" i="19"/>
  <c r="T125" i="19"/>
  <c r="AI125" i="19" s="1"/>
  <c r="AN125" i="19" s="1"/>
  <c r="AA125" i="19"/>
  <c r="F125" i="19"/>
  <c r="G178" i="19"/>
  <c r="AA178" i="19"/>
  <c r="H178" i="19"/>
  <c r="AE178" i="19"/>
  <c r="AD178" i="19"/>
  <c r="N178" i="19"/>
  <c r="AR178" i="19"/>
  <c r="Y178" i="19"/>
  <c r="F178" i="19"/>
  <c r="U178" i="19"/>
  <c r="L178" i="19"/>
  <c r="AB178" i="19"/>
  <c r="I178" i="19"/>
  <c r="O178" i="19"/>
  <c r="K178" i="19"/>
  <c r="AQ178" i="19"/>
  <c r="M178" i="19"/>
  <c r="R178" i="19"/>
  <c r="D178" i="19"/>
  <c r="AC178" i="19"/>
  <c r="AS178" i="19"/>
  <c r="W178" i="19"/>
  <c r="S178" i="19"/>
  <c r="P178" i="19"/>
  <c r="X178" i="19"/>
  <c r="AG178" i="19"/>
  <c r="V178" i="19"/>
  <c r="T178" i="19"/>
  <c r="AI178" i="19" s="1"/>
  <c r="AK178" i="19" s="1"/>
  <c r="Q178" i="19"/>
  <c r="AF178" i="19"/>
  <c r="Z178" i="19"/>
  <c r="J178" i="19"/>
  <c r="E178" i="19"/>
  <c r="F174" i="19"/>
  <c r="Z174" i="19"/>
  <c r="J174" i="19"/>
  <c r="AA174" i="19"/>
  <c r="AE174" i="19"/>
  <c r="R174" i="19"/>
  <c r="AS174" i="19"/>
  <c r="G174" i="19"/>
  <c r="I174" i="19"/>
  <c r="E174" i="19"/>
  <c r="AR174" i="19"/>
  <c r="N174" i="19"/>
  <c r="AD174" i="19"/>
  <c r="W174" i="19"/>
  <c r="V174" i="19"/>
  <c r="AQ174" i="19"/>
  <c r="AF174" i="19"/>
  <c r="M174" i="19"/>
  <c r="X174" i="19"/>
  <c r="O174" i="19"/>
  <c r="AC174" i="19"/>
  <c r="P174" i="19"/>
  <c r="S174" i="19"/>
  <c r="T174" i="19"/>
  <c r="AI174" i="19" s="1"/>
  <c r="AK174" i="19" s="1"/>
  <c r="U174" i="19"/>
  <c r="D174" i="19"/>
  <c r="AB174" i="19"/>
  <c r="AG174" i="19"/>
  <c r="L174" i="19"/>
  <c r="Y174" i="19"/>
  <c r="Q174" i="19"/>
  <c r="K174" i="19"/>
  <c r="H174" i="19"/>
  <c r="S200" i="19"/>
  <c r="T200" i="19"/>
  <c r="AI200" i="19" s="1"/>
  <c r="AK200" i="19" s="1"/>
  <c r="H200" i="19"/>
  <c r="L200" i="19"/>
  <c r="J200" i="19"/>
  <c r="O200" i="19"/>
  <c r="G200" i="19"/>
  <c r="E200" i="19"/>
  <c r="Q200" i="19"/>
  <c r="P200" i="19"/>
  <c r="D200" i="19"/>
  <c r="X200" i="19"/>
  <c r="V200" i="19"/>
  <c r="K200" i="19"/>
  <c r="AQ200" i="19"/>
  <c r="AS200" i="19"/>
  <c r="AG200" i="19"/>
  <c r="AE200" i="19"/>
  <c r="R200" i="19"/>
  <c r="AA200" i="19"/>
  <c r="Z200" i="19"/>
  <c r="AF200" i="19"/>
  <c r="AB200" i="19"/>
  <c r="Y200" i="19"/>
  <c r="U200" i="19"/>
  <c r="F200" i="19"/>
  <c r="N200" i="19"/>
  <c r="I200" i="19"/>
  <c r="M200" i="19"/>
  <c r="AC200" i="19"/>
  <c r="W200" i="19"/>
  <c r="AR200" i="19"/>
  <c r="AD200" i="19"/>
  <c r="P221" i="19"/>
  <c r="K221" i="19"/>
  <c r="T221" i="19"/>
  <c r="AI221" i="19" s="1"/>
  <c r="AO221" i="19" s="1"/>
  <c r="AB221" i="19"/>
  <c r="U221" i="19"/>
  <c r="D221" i="19"/>
  <c r="X221" i="19"/>
  <c r="AS221" i="19"/>
  <c r="AE221" i="19"/>
  <c r="H221" i="19"/>
  <c r="W221" i="19"/>
  <c r="J221" i="19"/>
  <c r="AR221" i="19"/>
  <c r="R221" i="19"/>
  <c r="O221" i="19"/>
  <c r="Y221" i="19"/>
  <c r="G221" i="19"/>
  <c r="AF221" i="19"/>
  <c r="F221" i="19"/>
  <c r="AQ221" i="19"/>
  <c r="I221" i="19"/>
  <c r="S221" i="19"/>
  <c r="Q221" i="19"/>
  <c r="AA221" i="19"/>
  <c r="AD221" i="19"/>
  <c r="L221" i="19"/>
  <c r="V221" i="19"/>
  <c r="AG221" i="19"/>
  <c r="N221" i="19"/>
  <c r="E221" i="19"/>
  <c r="AC221" i="19"/>
  <c r="Z221" i="19"/>
  <c r="M221" i="19"/>
  <c r="AO199" i="19"/>
  <c r="AK153" i="19"/>
  <c r="AN199" i="19"/>
  <c r="AM199" i="19"/>
  <c r="AM139" i="19"/>
  <c r="AL168" i="19"/>
  <c r="AO168" i="19"/>
  <c r="AN171" i="19"/>
  <c r="AK232" i="19"/>
  <c r="AM162" i="19"/>
  <c r="AL162" i="19"/>
  <c r="AN162" i="19"/>
  <c r="AN259" i="19"/>
  <c r="AK259" i="19"/>
  <c r="AM259" i="19"/>
  <c r="AP162" i="19"/>
  <c r="AO162" i="19"/>
  <c r="AK130" i="19"/>
  <c r="AN203" i="19"/>
  <c r="AM130" i="19"/>
  <c r="AK180" i="19"/>
  <c r="AM231" i="19"/>
  <c r="AM164" i="19"/>
  <c r="AO164" i="19"/>
  <c r="AK171" i="19"/>
  <c r="AK168" i="19"/>
  <c r="AO172" i="19"/>
  <c r="AO142" i="19"/>
  <c r="AP232" i="19"/>
  <c r="AL199" i="19"/>
  <c r="AL171" i="19"/>
  <c r="AL153" i="19"/>
  <c r="AN172" i="19"/>
  <c r="AK199" i="19"/>
  <c r="AP164" i="19"/>
  <c r="AK172" i="19"/>
  <c r="AP222" i="19"/>
  <c r="AL232" i="19"/>
  <c r="AP171" i="19"/>
  <c r="AN164" i="19"/>
  <c r="AO222" i="19"/>
  <c r="AM171" i="19"/>
  <c r="AN168" i="19"/>
  <c r="AK164" i="19"/>
  <c r="AM172" i="19"/>
  <c r="AM168" i="19"/>
  <c r="AO259" i="19"/>
  <c r="AP259" i="19"/>
  <c r="AK155" i="19"/>
  <c r="AO203" i="19"/>
  <c r="AO155" i="19"/>
  <c r="AP203" i="19"/>
  <c r="AN155" i="19"/>
  <c r="AP225" i="19"/>
  <c r="AN140" i="19"/>
  <c r="AK231" i="19"/>
  <c r="AK225" i="19"/>
  <c r="AM155" i="19"/>
  <c r="AN142" i="19"/>
  <c r="AL142" i="19"/>
  <c r="AP180" i="19"/>
  <c r="AL180" i="19"/>
  <c r="AL155" i="19"/>
  <c r="AN180" i="19"/>
  <c r="AM225" i="19"/>
  <c r="AN225" i="19"/>
  <c r="AL225" i="19"/>
  <c r="AL231" i="19"/>
  <c r="AK142" i="19"/>
  <c r="AM203" i="19"/>
  <c r="AM142" i="19"/>
  <c r="AO180" i="19"/>
  <c r="AM185" i="19"/>
  <c r="AK185" i="19"/>
  <c r="AP185" i="19"/>
  <c r="AL185" i="19"/>
  <c r="AO185" i="19"/>
  <c r="AN185" i="19"/>
  <c r="AP130" i="19"/>
  <c r="AN130" i="19"/>
  <c r="AL238" i="19"/>
  <c r="AO177" i="19"/>
  <c r="AN246" i="19"/>
  <c r="AP246" i="19"/>
  <c r="AO246" i="19"/>
  <c r="AL246" i="19"/>
  <c r="AK246" i="19"/>
  <c r="AM246" i="19"/>
  <c r="AO231" i="19"/>
  <c r="AP231" i="19"/>
  <c r="AK258" i="19"/>
  <c r="AO258" i="19"/>
  <c r="AN258" i="19"/>
  <c r="AP258" i="19"/>
  <c r="AM258" i="19"/>
  <c r="AL258" i="19"/>
  <c r="AK129" i="19"/>
  <c r="AO137" i="19"/>
  <c r="AN137" i="19"/>
  <c r="AL137" i="19"/>
  <c r="AM137" i="19"/>
  <c r="AP137" i="19"/>
  <c r="AK137" i="19"/>
  <c r="AL245" i="19"/>
  <c r="AK245" i="19"/>
  <c r="AP245" i="19"/>
  <c r="AN245" i="19"/>
  <c r="AO245" i="19"/>
  <c r="AM245" i="19"/>
  <c r="AN189" i="19"/>
  <c r="AM189" i="19"/>
  <c r="AK189" i="19"/>
  <c r="AO189" i="19"/>
  <c r="AL189" i="19"/>
  <c r="AP189" i="19"/>
  <c r="AN230" i="19"/>
  <c r="AK230" i="19"/>
  <c r="AM230" i="19"/>
  <c r="AO230" i="19"/>
  <c r="AL230" i="19"/>
  <c r="AP230" i="19"/>
  <c r="AO167" i="19"/>
  <c r="AN167" i="19"/>
  <c r="AK167" i="19"/>
  <c r="AM167" i="19"/>
  <c r="AP167" i="19"/>
  <c r="AL167" i="19"/>
  <c r="AM233" i="19"/>
  <c r="AP233" i="19"/>
  <c r="AN233" i="19"/>
  <c r="AL233" i="19"/>
  <c r="AO233" i="19"/>
  <c r="AK233" i="19"/>
  <c r="AO175" i="19"/>
  <c r="AP175" i="19"/>
  <c r="AL175" i="19"/>
  <c r="AM175" i="19"/>
  <c r="AN175" i="19"/>
  <c r="AK175" i="19"/>
  <c r="AM159" i="19"/>
  <c r="AK260" i="19"/>
  <c r="AN260" i="19"/>
  <c r="AL260" i="19"/>
  <c r="AO260" i="19"/>
  <c r="AM260" i="19"/>
  <c r="AP260" i="19"/>
  <c r="CE853" i="5"/>
  <c r="CE8" i="5" s="1"/>
  <c r="AE122" i="19"/>
  <c r="AG122" i="19"/>
  <c r="K122" i="19"/>
  <c r="H122" i="19"/>
  <c r="Z122" i="19"/>
  <c r="P122" i="19"/>
  <c r="AS122" i="19"/>
  <c r="O122" i="19"/>
  <c r="L122" i="19"/>
  <c r="Y122" i="19"/>
  <c r="AA122" i="19"/>
  <c r="D122" i="19"/>
  <c r="T122" i="19"/>
  <c r="S122" i="19"/>
  <c r="I122" i="19"/>
  <c r="Q122" i="19"/>
  <c r="AD122" i="19"/>
  <c r="U122" i="19"/>
  <c r="R122" i="19"/>
  <c r="AR122" i="19"/>
  <c r="F122" i="19"/>
  <c r="X122" i="19"/>
  <c r="AQ122" i="19"/>
  <c r="J122" i="19"/>
  <c r="G122" i="19"/>
  <c r="AC122" i="19"/>
  <c r="M122" i="19"/>
  <c r="AF122" i="19"/>
  <c r="AB122" i="19"/>
  <c r="N122" i="19"/>
  <c r="E122" i="19"/>
  <c r="W122" i="19"/>
  <c r="V122" i="19"/>
  <c r="AP169" i="19" l="1"/>
  <c r="AK218" i="19"/>
  <c r="AN148" i="19"/>
  <c r="AM141" i="19"/>
  <c r="AO191" i="19"/>
  <c r="AM148" i="19"/>
  <c r="AN218" i="19"/>
  <c r="AL173" i="19"/>
  <c r="AN209" i="19"/>
  <c r="AL141" i="19"/>
  <c r="AP209" i="19"/>
  <c r="AM191" i="19"/>
  <c r="AM251" i="19"/>
  <c r="AP148" i="19"/>
  <c r="AK173" i="19"/>
  <c r="AL209" i="19"/>
  <c r="AP191" i="19"/>
  <c r="AK247" i="19"/>
  <c r="AN251" i="19"/>
  <c r="AN191" i="19"/>
  <c r="AK148" i="19"/>
  <c r="AP251" i="19"/>
  <c r="AO148" i="19"/>
  <c r="AL218" i="19"/>
  <c r="AO173" i="19"/>
  <c r="AL247" i="19"/>
  <c r="AM247" i="19"/>
  <c r="AL251" i="19"/>
  <c r="AO218" i="19"/>
  <c r="AP173" i="19"/>
  <c r="AK191" i="19"/>
  <c r="AM209" i="19"/>
  <c r="AP218" i="19"/>
  <c r="AN173" i="19"/>
  <c r="AN247" i="19"/>
  <c r="AK209" i="19"/>
  <c r="AO251" i="19"/>
  <c r="AO247" i="19"/>
  <c r="AL203" i="19"/>
  <c r="AL177" i="19"/>
  <c r="AN177" i="19"/>
  <c r="AK177" i="19"/>
  <c r="AM177" i="19"/>
  <c r="AM187" i="19"/>
  <c r="AK249" i="19"/>
  <c r="AK239" i="19"/>
  <c r="AO166" i="19"/>
  <c r="AN152" i="19"/>
  <c r="AM166" i="19"/>
  <c r="AM133" i="19"/>
  <c r="AM153" i="19"/>
  <c r="AP124" i="19"/>
  <c r="AM242" i="19"/>
  <c r="AP261" i="19"/>
  <c r="AK214" i="19"/>
  <c r="AP211" i="19"/>
  <c r="AO212" i="19"/>
  <c r="AO237" i="19"/>
  <c r="AL249" i="19"/>
  <c r="AL152" i="19"/>
  <c r="AO248" i="19"/>
  <c r="AO211" i="19"/>
  <c r="AL202" i="19"/>
  <c r="AN235" i="19"/>
  <c r="AK237" i="19"/>
  <c r="AO129" i="19"/>
  <c r="AP140" i="19"/>
  <c r="AO140" i="19"/>
  <c r="AM192" i="19"/>
  <c r="AM204" i="19"/>
  <c r="AK140" i="19"/>
  <c r="AM140" i="19"/>
  <c r="AO234" i="19"/>
  <c r="AP234" i="19"/>
  <c r="AO206" i="19"/>
  <c r="AO159" i="19"/>
  <c r="AK204" i="19"/>
  <c r="AO219" i="19"/>
  <c r="AP194" i="19"/>
  <c r="AK219" i="19"/>
  <c r="AN264" i="19"/>
  <c r="AK192" i="19"/>
  <c r="AP159" i="19"/>
  <c r="AP204" i="19"/>
  <c r="AP129" i="19"/>
  <c r="AO187" i="19"/>
  <c r="AN219" i="19"/>
  <c r="AP190" i="19"/>
  <c r="AN159" i="19"/>
  <c r="AN129" i="19"/>
  <c r="AM206" i="19"/>
  <c r="AK159" i="19"/>
  <c r="AM129" i="19"/>
  <c r="AM219" i="19"/>
  <c r="AM194" i="19"/>
  <c r="AL187" i="19"/>
  <c r="AN234" i="19"/>
  <c r="AL219" i="19"/>
  <c r="AN187" i="19"/>
  <c r="AP187" i="19"/>
  <c r="AP201" i="19"/>
  <c r="AN161" i="19"/>
  <c r="AM161" i="19"/>
  <c r="AL181" i="19"/>
  <c r="AO153" i="19"/>
  <c r="AP150" i="19"/>
  <c r="AP153" i="19"/>
  <c r="AM264" i="19"/>
  <c r="AP192" i="19"/>
  <c r="AK264" i="19"/>
  <c r="AN194" i="19"/>
  <c r="AK190" i="19"/>
  <c r="AO154" i="19"/>
  <c r="AK154" i="19"/>
  <c r="AL154" i="19"/>
  <c r="AN154" i="19"/>
  <c r="AN190" i="19"/>
  <c r="AM234" i="19"/>
  <c r="AK194" i="19"/>
  <c r="AO194" i="19"/>
  <c r="AL234" i="19"/>
  <c r="AP264" i="19"/>
  <c r="AL264" i="19"/>
  <c r="AP154" i="19"/>
  <c r="AL192" i="19"/>
  <c r="AM249" i="19"/>
  <c r="AK152" i="19"/>
  <c r="AN237" i="19"/>
  <c r="AL211" i="19"/>
  <c r="AP239" i="19"/>
  <c r="AN179" i="19"/>
  <c r="AK166" i="19"/>
  <c r="AP198" i="19"/>
  <c r="AO249" i="19"/>
  <c r="AM248" i="19"/>
  <c r="AM211" i="19"/>
  <c r="AM202" i="19"/>
  <c r="AN166" i="19"/>
  <c r="AN249" i="19"/>
  <c r="AO255" i="19"/>
  <c r="AL248" i="19"/>
  <c r="AK211" i="19"/>
  <c r="AO202" i="19"/>
  <c r="AK179" i="19"/>
  <c r="AL166" i="19"/>
  <c r="AO152" i="19"/>
  <c r="AP237" i="19"/>
  <c r="AN248" i="19"/>
  <c r="AK202" i="19"/>
  <c r="AL179" i="19"/>
  <c r="AM152" i="19"/>
  <c r="AM237" i="19"/>
  <c r="AP248" i="19"/>
  <c r="AL193" i="19"/>
  <c r="AN202" i="19"/>
  <c r="AM138" i="19"/>
  <c r="AP179" i="19"/>
  <c r="AM208" i="19"/>
  <c r="AP193" i="19"/>
  <c r="AO138" i="19"/>
  <c r="AM179" i="19"/>
  <c r="AK198" i="19"/>
  <c r="AM239" i="19"/>
  <c r="AN239" i="19"/>
  <c r="AO239" i="19"/>
  <c r="AP170" i="19"/>
  <c r="AK133" i="19"/>
  <c r="AL133" i="19"/>
  <c r="AN124" i="19"/>
  <c r="AN212" i="19"/>
  <c r="AM150" i="19"/>
  <c r="AN266" i="19"/>
  <c r="AL134" i="19"/>
  <c r="AO242" i="19"/>
  <c r="AP135" i="19"/>
  <c r="AL228" i="19"/>
  <c r="AO134" i="19"/>
  <c r="AN135" i="19"/>
  <c r="AM123" i="19"/>
  <c r="AL135" i="19"/>
  <c r="AM135" i="19"/>
  <c r="AO135" i="19"/>
  <c r="AK228" i="19"/>
  <c r="AK123" i="19"/>
  <c r="AK124" i="19"/>
  <c r="AK134" i="19"/>
  <c r="AK242" i="19"/>
  <c r="AO228" i="19"/>
  <c r="AL242" i="19"/>
  <c r="AM216" i="19"/>
  <c r="AL126" i="19"/>
  <c r="AO192" i="19"/>
  <c r="AN133" i="19"/>
  <c r="AP212" i="19"/>
  <c r="AK176" i="19"/>
  <c r="AP161" i="19"/>
  <c r="AO176" i="19"/>
  <c r="AO126" i="19"/>
  <c r="AO224" i="19"/>
  <c r="AK201" i="19"/>
  <c r="AL150" i="19"/>
  <c r="AO201" i="19"/>
  <c r="AK161" i="19"/>
  <c r="AN176" i="19"/>
  <c r="AK126" i="19"/>
  <c r="AM181" i="19"/>
  <c r="AM201" i="19"/>
  <c r="AP176" i="19"/>
  <c r="AN126" i="19"/>
  <c r="AP126" i="19"/>
  <c r="AO181" i="19"/>
  <c r="AL201" i="19"/>
  <c r="AL170" i="19"/>
  <c r="AM176" i="19"/>
  <c r="AK150" i="19"/>
  <c r="AK170" i="19"/>
  <c r="AP181" i="19"/>
  <c r="AL161" i="19"/>
  <c r="AM170" i="19"/>
  <c r="AN150" i="19"/>
  <c r="AM224" i="19"/>
  <c r="AK181" i="19"/>
  <c r="AO170" i="19"/>
  <c r="AN240" i="19"/>
  <c r="AM195" i="19"/>
  <c r="AM196" i="19"/>
  <c r="AN253" i="19"/>
  <c r="AO257" i="19"/>
  <c r="AO165" i="19"/>
  <c r="AN262" i="19"/>
  <c r="AK128" i="19"/>
  <c r="AK224" i="19"/>
  <c r="AK221" i="19"/>
  <c r="AL221" i="19"/>
  <c r="AL174" i="19"/>
  <c r="AO133" i="19"/>
  <c r="AL125" i="19"/>
  <c r="AO266" i="19"/>
  <c r="AN221" i="19"/>
  <c r="AP228" i="19"/>
  <c r="AN228" i="19"/>
  <c r="AM124" i="19"/>
  <c r="AP174" i="19"/>
  <c r="AO174" i="19"/>
  <c r="AM266" i="19"/>
  <c r="AP242" i="19"/>
  <c r="AO123" i="19"/>
  <c r="AN174" i="19"/>
  <c r="AM174" i="19"/>
  <c r="AN145" i="19"/>
  <c r="AK146" i="19"/>
  <c r="AN134" i="19"/>
  <c r="AN123" i="19"/>
  <c r="AL123" i="19"/>
  <c r="AK255" i="19"/>
  <c r="AN138" i="19"/>
  <c r="AP208" i="19"/>
  <c r="AO208" i="19"/>
  <c r="AN193" i="19"/>
  <c r="AL138" i="19"/>
  <c r="AO124" i="19"/>
  <c r="AL208" i="19"/>
  <c r="AP235" i="19"/>
  <c r="AP134" i="19"/>
  <c r="AO193" i="19"/>
  <c r="AL146" i="19"/>
  <c r="AK235" i="19"/>
  <c r="AO235" i="19"/>
  <c r="AL158" i="19"/>
  <c r="AN255" i="19"/>
  <c r="AK138" i="19"/>
  <c r="AM255" i="19"/>
  <c r="AL244" i="19"/>
  <c r="AP265" i="19"/>
  <c r="AO146" i="19"/>
  <c r="AL255" i="19"/>
  <c r="AM193" i="19"/>
  <c r="AO158" i="19"/>
  <c r="AK208" i="19"/>
  <c r="AL235" i="19"/>
  <c r="AL227" i="19"/>
  <c r="AP217" i="19"/>
  <c r="AM205" i="19"/>
  <c r="AO216" i="19"/>
  <c r="AK169" i="19"/>
  <c r="AO244" i="19"/>
  <c r="AN238" i="19"/>
  <c r="AK265" i="19"/>
  <c r="AM221" i="19"/>
  <c r="AL216" i="19"/>
  <c r="AP238" i="19"/>
  <c r="AO188" i="19"/>
  <c r="AL217" i="19"/>
  <c r="AM238" i="19"/>
  <c r="AK236" i="19"/>
  <c r="AO139" i="19"/>
  <c r="AO160" i="19"/>
  <c r="AN157" i="19"/>
  <c r="AN139" i="19"/>
  <c r="AP240" i="19"/>
  <c r="AN205" i="19"/>
  <c r="AK216" i="19"/>
  <c r="AL169" i="19"/>
  <c r="AK238" i="19"/>
  <c r="AM131" i="19"/>
  <c r="AP216" i="19"/>
  <c r="AP131" i="19"/>
  <c r="AP221" i="19"/>
  <c r="AN265" i="19"/>
  <c r="AM158" i="19"/>
  <c r="AK132" i="19"/>
  <c r="AN156" i="19"/>
  <c r="AN227" i="19"/>
  <c r="AK131" i="19"/>
  <c r="AL229" i="19"/>
  <c r="AN188" i="19"/>
  <c r="AK227" i="19"/>
  <c r="AK160" i="19"/>
  <c r="AO205" i="19"/>
  <c r="AN131" i="19"/>
  <c r="AK188" i="19"/>
  <c r="AL131" i="19"/>
  <c r="AO227" i="19"/>
  <c r="AM188" i="19"/>
  <c r="AM160" i="19"/>
  <c r="AP205" i="19"/>
  <c r="AL265" i="19"/>
  <c r="AP156" i="19"/>
  <c r="AN160" i="19"/>
  <c r="AL188" i="19"/>
  <c r="AL205" i="19"/>
  <c r="AL200" i="19"/>
  <c r="AM265" i="19"/>
  <c r="AO156" i="19"/>
  <c r="AP160" i="19"/>
  <c r="AK244" i="19"/>
  <c r="AN158" i="19"/>
  <c r="AL156" i="19"/>
  <c r="AK156" i="19"/>
  <c r="AM227" i="19"/>
  <c r="AP158" i="19"/>
  <c r="AK195" i="19"/>
  <c r="AM200" i="19"/>
  <c r="AL253" i="19"/>
  <c r="AO196" i="19"/>
  <c r="AM147" i="19"/>
  <c r="AK147" i="19"/>
  <c r="AL165" i="19"/>
  <c r="AO262" i="19"/>
  <c r="AL213" i="19"/>
  <c r="AK165" i="19"/>
  <c r="AO213" i="19"/>
  <c r="AP200" i="19"/>
  <c r="AO253" i="19"/>
  <c r="AL196" i="19"/>
  <c r="AP257" i="19"/>
  <c r="AK183" i="19"/>
  <c r="AM240" i="19"/>
  <c r="AN215" i="19"/>
  <c r="AM261" i="19"/>
  <c r="AM128" i="19"/>
  <c r="AK163" i="19"/>
  <c r="AP165" i="19"/>
  <c r="AP213" i="19"/>
  <c r="AO200" i="19"/>
  <c r="AM253" i="19"/>
  <c r="AL183" i="19"/>
  <c r="AL257" i="19"/>
  <c r="AP215" i="19"/>
  <c r="AL261" i="19"/>
  <c r="AN200" i="19"/>
  <c r="AN163" i="19"/>
  <c r="AP195" i="19"/>
  <c r="AO183" i="19"/>
  <c r="AN261" i="19"/>
  <c r="AK262" i="19"/>
  <c r="AM213" i="19"/>
  <c r="AN195" i="19"/>
  <c r="AK196" i="19"/>
  <c r="AP183" i="19"/>
  <c r="AM215" i="19"/>
  <c r="AL240" i="19"/>
  <c r="AO240" i="19"/>
  <c r="AP262" i="19"/>
  <c r="AK213" i="19"/>
  <c r="AK253" i="19"/>
  <c r="AL163" i="19"/>
  <c r="AM163" i="19"/>
  <c r="AM165" i="19"/>
  <c r="AL262" i="19"/>
  <c r="AO195" i="19"/>
  <c r="AP196" i="19"/>
  <c r="AN183" i="19"/>
  <c r="AN257" i="19"/>
  <c r="AK257" i="19"/>
  <c r="AL147" i="19"/>
  <c r="AL128" i="19"/>
  <c r="AP147" i="19"/>
  <c r="AK266" i="19"/>
  <c r="AP163" i="19"/>
  <c r="AK261" i="19"/>
  <c r="AN128" i="19"/>
  <c r="AP128" i="19"/>
  <c r="AO147" i="19"/>
  <c r="AI122" i="19"/>
  <c r="AP122" i="19" s="1"/>
  <c r="AK252" i="19"/>
  <c r="AP252" i="19"/>
  <c r="AL215" i="19"/>
  <c r="AO215" i="19"/>
  <c r="AN214" i="19"/>
  <c r="AL214" i="19"/>
  <c r="AO214" i="19"/>
  <c r="AP214" i="19"/>
  <c r="AP244" i="19"/>
  <c r="AL143" i="19"/>
  <c r="AL145" i="19"/>
  <c r="AO252" i="19"/>
  <c r="AL266" i="19"/>
  <c r="AP146" i="19"/>
  <c r="AM146" i="19"/>
  <c r="AK217" i="19"/>
  <c r="AM217" i="19"/>
  <c r="AO217" i="19"/>
  <c r="AO236" i="19"/>
  <c r="AP236" i="19"/>
  <c r="AM236" i="19"/>
  <c r="AN236" i="19"/>
  <c r="AP132" i="19"/>
  <c r="AO132" i="19"/>
  <c r="AM132" i="19"/>
  <c r="AL132" i="19"/>
  <c r="AN127" i="19"/>
  <c r="AP127" i="19"/>
  <c r="AO127" i="19"/>
  <c r="AL127" i="19"/>
  <c r="AK127" i="19"/>
  <c r="AM127" i="19"/>
  <c r="AL184" i="19"/>
  <c r="AM244" i="19"/>
  <c r="AN143" i="19"/>
  <c r="AN136" i="19"/>
  <c r="AO145" i="19"/>
  <c r="AL212" i="19"/>
  <c r="AK212" i="19"/>
  <c r="AM263" i="19"/>
  <c r="AL263" i="19"/>
  <c r="AO263" i="19"/>
  <c r="AP263" i="19"/>
  <c r="AN263" i="19"/>
  <c r="AK263" i="19"/>
  <c r="AO198" i="19"/>
  <c r="AN198" i="19"/>
  <c r="AL198" i="19"/>
  <c r="AK182" i="19"/>
  <c r="AL182" i="19"/>
  <c r="AO182" i="19"/>
  <c r="AM182" i="19"/>
  <c r="AN182" i="19"/>
  <c r="AP182" i="19"/>
  <c r="AL256" i="19"/>
  <c r="AN256" i="19"/>
  <c r="AM256" i="19"/>
  <c r="AO256" i="19"/>
  <c r="AK256" i="19"/>
  <c r="AL149" i="19"/>
  <c r="AM149" i="19"/>
  <c r="AK149" i="19"/>
  <c r="AO149" i="19"/>
  <c r="AN149" i="19"/>
  <c r="AP149" i="19"/>
  <c r="AK184" i="19"/>
  <c r="AK143" i="19"/>
  <c r="AO136" i="19"/>
  <c r="AM252" i="19"/>
  <c r="AM169" i="19"/>
  <c r="AN169" i="19"/>
  <c r="AM157" i="19"/>
  <c r="AO157" i="19"/>
  <c r="AP157" i="19"/>
  <c r="AK157" i="19"/>
  <c r="AP139" i="19"/>
  <c r="AL139" i="19"/>
  <c r="AO130" i="19"/>
  <c r="AL130" i="19"/>
  <c r="AO184" i="19"/>
  <c r="AM143" i="19"/>
  <c r="AM190" i="19"/>
  <c r="AL190" i="19"/>
  <c r="AM250" i="19"/>
  <c r="AO250" i="19"/>
  <c r="AK250" i="19"/>
  <c r="AN250" i="19"/>
  <c r="AL250" i="19"/>
  <c r="AP250" i="19"/>
  <c r="AP172" i="19"/>
  <c r="AL172" i="19"/>
  <c r="AL241" i="19"/>
  <c r="AK241" i="19"/>
  <c r="AO241" i="19"/>
  <c r="AN241" i="19"/>
  <c r="AP241" i="19"/>
  <c r="AM241" i="19"/>
  <c r="AN243" i="19"/>
  <c r="AL243" i="19"/>
  <c r="AO243" i="19"/>
  <c r="AM243" i="19"/>
  <c r="AK243" i="19"/>
  <c r="AP243" i="19"/>
  <c r="AK222" i="19"/>
  <c r="AN222" i="19"/>
  <c r="AM222" i="19"/>
  <c r="AL222" i="19"/>
  <c r="AM184" i="19"/>
  <c r="AO143" i="19"/>
  <c r="AM136" i="19"/>
  <c r="AK136" i="19"/>
  <c r="AP125" i="19"/>
  <c r="AO125" i="19"/>
  <c r="AK125" i="19"/>
  <c r="AM125" i="19"/>
  <c r="AL224" i="19"/>
  <c r="AP224" i="19"/>
  <c r="AK220" i="19"/>
  <c r="AL220" i="19"/>
  <c r="AM220" i="19"/>
  <c r="AO220" i="19"/>
  <c r="AP220" i="19"/>
  <c r="AN220" i="19"/>
  <c r="AN206" i="19"/>
  <c r="AL206" i="19"/>
  <c r="AP206" i="19"/>
  <c r="AO204" i="19"/>
  <c r="AL204" i="19"/>
  <c r="AL223" i="19"/>
  <c r="AO223" i="19"/>
  <c r="AP223" i="19"/>
  <c r="AN223" i="19"/>
  <c r="AK223" i="19"/>
  <c r="AM223" i="19"/>
  <c r="AP184" i="19"/>
  <c r="AP145" i="19"/>
  <c r="AL252" i="19"/>
  <c r="AK145" i="19"/>
  <c r="AN144" i="19"/>
  <c r="AM144" i="19"/>
  <c r="AK144" i="19"/>
  <c r="AO144" i="19"/>
  <c r="AP144" i="19"/>
  <c r="AL144" i="19"/>
  <c r="AM232" i="19"/>
  <c r="AO232" i="19"/>
  <c r="AK207" i="19"/>
  <c r="AL207" i="19"/>
  <c r="AP207" i="19"/>
  <c r="AN207" i="19"/>
  <c r="AO207" i="19"/>
  <c r="AM207" i="19"/>
  <c r="AO226" i="19"/>
  <c r="AL226" i="19"/>
  <c r="AN226" i="19"/>
  <c r="AK226" i="19"/>
  <c r="AM226" i="19"/>
  <c r="AP226" i="19"/>
  <c r="AM229" i="19"/>
  <c r="AP229" i="19"/>
  <c r="AN229" i="19"/>
  <c r="AO229" i="19"/>
  <c r="AL136" i="19"/>
  <c r="AN252" i="19"/>
  <c r="AO178" i="19"/>
  <c r="AL178" i="19"/>
  <c r="AN178" i="19"/>
  <c r="AP178" i="19"/>
  <c r="AM178" i="19"/>
  <c r="AM151" i="19"/>
  <c r="AP151" i="19"/>
  <c r="AL151" i="19"/>
  <c r="AK151" i="19"/>
  <c r="AO151" i="19"/>
  <c r="AN151" i="19"/>
  <c r="AN186" i="19"/>
  <c r="AO186" i="19"/>
  <c r="AK186" i="19"/>
  <c r="AL186" i="19"/>
  <c r="AP186" i="19"/>
  <c r="AM186" i="19"/>
  <c r="AN210" i="19"/>
  <c r="AK210" i="19"/>
  <c r="AL210" i="19"/>
  <c r="AO210" i="19"/>
  <c r="AP210" i="19"/>
  <c r="AM210" i="19"/>
  <c r="AO141" i="19"/>
  <c r="AP141" i="19"/>
  <c r="AN141" i="19"/>
  <c r="AL197" i="19"/>
  <c r="AK197" i="19"/>
  <c r="AP197" i="19"/>
  <c r="AN197" i="19"/>
  <c r="AO197" i="19"/>
  <c r="AM197" i="19"/>
  <c r="AN254" i="19"/>
  <c r="AO254" i="19"/>
  <c r="AL254" i="19"/>
  <c r="AK254" i="19"/>
  <c r="AM254" i="19"/>
  <c r="AP254" i="19"/>
  <c r="CF853" i="5"/>
  <c r="CF8" i="5" s="1"/>
  <c r="AM122" i="19" l="1"/>
  <c r="AN122" i="19"/>
  <c r="AO122" i="19"/>
  <c r="AL122" i="19"/>
  <c r="AK122" i="19"/>
  <c r="CG853" i="5"/>
  <c r="CG8" i="5" s="1"/>
  <c r="AA93" i="11" l="1"/>
  <c r="BG95" i="11" l="1"/>
  <c r="L93" i="11"/>
  <c r="BF95" i="11" s="1"/>
  <c r="AK73" i="14" s="1"/>
  <c r="AU13" i="19"/>
  <c r="BU5" i="19" l="1"/>
  <c r="AD44" i="22"/>
  <c r="P32" i="22"/>
  <c r="P44" i="22"/>
  <c r="U91" i="11" l="1"/>
  <c r="H91" i="11" s="1"/>
  <c r="BF91" i="11" s="1"/>
  <c r="AH71" i="14" s="1"/>
  <c r="AS13" i="19"/>
  <c r="BS5" i="19" l="1"/>
  <c r="AD42" i="22"/>
  <c r="P42" i="22"/>
  <c r="BG91" i="11"/>
  <c r="U83" i="11"/>
  <c r="H83" i="11" s="1"/>
  <c r="BF83" i="11" l="1"/>
  <c r="AH63" i="14" s="1"/>
  <c r="V23" i="14"/>
  <c r="BG83" i="11"/>
  <c r="AB23" i="14"/>
  <c r="M48" i="20"/>
  <c r="M48" i="21" s="1"/>
  <c r="P30" i="22"/>
  <c r="AO13" i="19"/>
  <c r="BO5" i="19" l="1"/>
  <c r="AD38" i="22"/>
  <c r="M38" i="20"/>
  <c r="M38" i="21" s="1"/>
  <c r="P38" i="22"/>
  <c r="P26" i="22"/>
  <c r="U85" i="11" l="1"/>
  <c r="H85" i="11" s="1"/>
  <c r="U89" i="11"/>
  <c r="U87" i="11"/>
  <c r="H87" i="11" s="1"/>
  <c r="BF87" i="11" l="1"/>
  <c r="AH67" i="14" s="1"/>
  <c r="V27" i="14"/>
  <c r="BG89" i="11"/>
  <c r="H89" i="11"/>
  <c r="BF85" i="11"/>
  <c r="AH65" i="14" s="1"/>
  <c r="V25" i="14"/>
  <c r="M50" i="20"/>
  <c r="M50" i="21" s="1"/>
  <c r="BG85" i="11"/>
  <c r="AB25" i="14"/>
  <c r="M52" i="20"/>
  <c r="M52" i="21" s="1"/>
  <c r="BG87" i="11"/>
  <c r="AB27" i="14"/>
  <c r="U81" i="11"/>
  <c r="H81" i="11" s="1"/>
  <c r="U93" i="11"/>
  <c r="BF89" i="11" l="1"/>
  <c r="AH69" i="14" s="1"/>
  <c r="AD40" i="22"/>
  <c r="BF81" i="11"/>
  <c r="AH57" i="14" s="1"/>
  <c r="V21" i="14"/>
  <c r="AD39" i="22"/>
  <c r="BG93" i="11"/>
  <c r="H93" i="11"/>
  <c r="BF93" i="11" s="1"/>
  <c r="AH73" i="14" s="1"/>
  <c r="BG81" i="11"/>
  <c r="AB21" i="14"/>
  <c r="M42" i="20"/>
  <c r="M42" i="21" s="1"/>
  <c r="M46" i="20"/>
  <c r="M46" i="21" s="1"/>
  <c r="P28" i="22"/>
  <c r="P40" i="22"/>
  <c r="P43" i="22"/>
  <c r="M40" i="20"/>
  <c r="M40" i="21" s="1"/>
  <c r="AD43" i="22" l="1"/>
  <c r="P31" i="22"/>
  <c r="AD41" i="22"/>
  <c r="AD36" i="22"/>
  <c r="M36" i="20"/>
  <c r="M36" i="21" s="1"/>
  <c r="P27" i="22"/>
  <c r="P39" i="22"/>
  <c r="P29" i="22" l="1"/>
  <c r="P41" i="22"/>
  <c r="P25" i="22" l="1"/>
  <c r="P37" i="22"/>
  <c r="JH31" i="8" l="1"/>
  <c r="GM41" i="8"/>
  <c r="GM55" i="8"/>
  <c r="IX69" i="8"/>
  <c r="GZ51" i="8"/>
  <c r="II75" i="8"/>
  <c r="IN60" i="8"/>
  <c r="HO37" i="8"/>
  <c r="IL64" i="8"/>
  <c r="HK63" i="8"/>
  <c r="KT60" i="8"/>
  <c r="KC63" i="8"/>
  <c r="IE47" i="8"/>
  <c r="KC42" i="8"/>
  <c r="HX70" i="8"/>
  <c r="GC40" i="8"/>
  <c r="GP41" i="8"/>
  <c r="GC66" i="8"/>
  <c r="GV32" i="8"/>
  <c r="FP43" i="8"/>
  <c r="GF69" i="8"/>
  <c r="HA67" i="8"/>
  <c r="KC36" i="8"/>
  <c r="IN66" i="8"/>
  <c r="HB56" i="8"/>
  <c r="GO27" i="8"/>
  <c r="GH33" i="8"/>
  <c r="KA76" i="8"/>
  <c r="JA61" i="8"/>
  <c r="IH52" i="8"/>
  <c r="IQ32" i="8"/>
  <c r="HA71" i="8"/>
  <c r="HT70" i="8"/>
  <c r="JC63" i="8"/>
  <c r="ID33" i="8"/>
  <c r="IL63" i="8"/>
  <c r="JV38" i="8"/>
  <c r="IH44" i="8"/>
  <c r="IQ40" i="8"/>
  <c r="JA45" i="8"/>
  <c r="IZ75" i="8"/>
  <c r="KG65" i="8"/>
  <c r="HF67" i="8"/>
  <c r="IC34" i="8"/>
  <c r="KR64" i="8"/>
  <c r="IB76" i="8"/>
  <c r="JM28" i="8"/>
  <c r="JD35" i="8"/>
  <c r="HL46" i="8"/>
  <c r="GG47" i="8"/>
  <c r="IB37" i="8"/>
  <c r="JS56" i="8"/>
  <c r="GJ57" i="8"/>
  <c r="HO38" i="8"/>
  <c r="II38" i="8"/>
  <c r="GP40" i="8"/>
  <c r="GH37" i="8"/>
  <c r="IW39" i="8"/>
  <c r="JV45" i="8"/>
  <c r="KK63" i="8"/>
  <c r="JN73" i="8"/>
  <c r="IJ35" i="8"/>
  <c r="HB64" i="8"/>
  <c r="FM30" i="8"/>
  <c r="KJ73" i="8"/>
  <c r="KA29" i="8"/>
  <c r="IO36" i="8"/>
  <c r="JI59" i="8"/>
  <c r="HH75" i="8"/>
  <c r="IF34" i="8"/>
  <c r="IA52" i="8"/>
  <c r="HR55" i="8"/>
  <c r="KP28" i="8"/>
  <c r="IZ53" i="8"/>
  <c r="IL65" i="8"/>
  <c r="JI33" i="8"/>
  <c r="KW33" i="8"/>
  <c r="JQ58" i="8"/>
  <c r="HZ68" i="8"/>
  <c r="IR38" i="8"/>
  <c r="KJ46" i="8"/>
  <c r="HE37" i="8"/>
  <c r="JF74" i="8"/>
  <c r="IX42" i="8"/>
  <c r="KG45" i="8"/>
  <c r="IB36" i="8"/>
  <c r="GE32" i="8"/>
  <c r="KB35" i="8"/>
  <c r="FS34" i="8"/>
  <c r="ID40" i="8"/>
  <c r="JV47" i="8"/>
  <c r="HU27" i="8"/>
  <c r="KL32" i="8"/>
  <c r="KV68" i="8"/>
  <c r="HZ49" i="8"/>
  <c r="GL75" i="8"/>
  <c r="KB34" i="8"/>
  <c r="KM69" i="8"/>
  <c r="T51" i="19"/>
  <c r="GN54" i="8"/>
  <c r="GM53" i="8"/>
  <c r="JV42" i="8"/>
  <c r="KL41" i="8"/>
  <c r="GT52" i="8"/>
  <c r="JL33" i="8"/>
  <c r="HO54" i="8"/>
  <c r="HC40" i="8"/>
  <c r="HH48" i="8"/>
  <c r="HU39" i="8"/>
  <c r="KJ28" i="8"/>
  <c r="HT52" i="8"/>
  <c r="KL65" i="8"/>
  <c r="KR36" i="8"/>
  <c r="HF39" i="8"/>
  <c r="FW31" i="8"/>
  <c r="KH65" i="8"/>
  <c r="IN49" i="8"/>
  <c r="JQ71" i="8"/>
  <c r="KL70" i="8"/>
  <c r="IJ59" i="8"/>
  <c r="IW72" i="8"/>
  <c r="IM48" i="8"/>
  <c r="IW67" i="8"/>
  <c r="JQ55" i="8"/>
  <c r="KI32" i="8"/>
  <c r="KF47" i="8"/>
  <c r="FW71" i="8"/>
  <c r="IP35" i="8"/>
  <c r="IW29" i="8"/>
  <c r="GJ45" i="8"/>
  <c r="KH70" i="8"/>
  <c r="GF55" i="8"/>
  <c r="IB62" i="8"/>
  <c r="IQ68" i="8"/>
  <c r="GS40" i="8"/>
  <c r="FP36" i="8"/>
  <c r="GR63" i="8"/>
  <c r="FM34" i="8"/>
  <c r="HE45" i="8"/>
  <c r="HX68" i="8"/>
  <c r="FL59" i="8"/>
  <c r="FX45" i="8"/>
  <c r="HY69" i="8"/>
  <c r="IP38" i="8"/>
  <c r="JG53" i="8"/>
  <c r="HR66" i="8"/>
  <c r="JQ34" i="8"/>
  <c r="HJ45" i="8"/>
  <c r="HB38" i="8"/>
  <c r="JA50" i="8"/>
  <c r="JC68" i="8"/>
  <c r="HK67" i="8"/>
  <c r="GZ39" i="8"/>
  <c r="KT71" i="8"/>
  <c r="GR67" i="8"/>
  <c r="KA68" i="8"/>
  <c r="IT67" i="8"/>
  <c r="FL28" i="8"/>
  <c r="HY51" i="8"/>
  <c r="FO68" i="8"/>
  <c r="HL27" i="8"/>
  <c r="FO44" i="8"/>
  <c r="GI35" i="8"/>
  <c r="FO73" i="8"/>
  <c r="JL62" i="8"/>
  <c r="HZ66" i="8"/>
  <c r="ID48" i="8"/>
  <c r="IF31" i="8"/>
  <c r="JP52" i="8"/>
  <c r="JZ61" i="8"/>
  <c r="IW27" i="8"/>
  <c r="IM45" i="8"/>
  <c r="GF59" i="8"/>
  <c r="GR40" i="8"/>
  <c r="KP33" i="8"/>
  <c r="GC51" i="8"/>
  <c r="GS56" i="8"/>
  <c r="KD58" i="8"/>
  <c r="KI61" i="8"/>
  <c r="JE46" i="8"/>
  <c r="IC40" i="8"/>
  <c r="HU51" i="8"/>
  <c r="HF54" i="8"/>
  <c r="GP38" i="8"/>
  <c r="JZ67" i="8"/>
  <c r="GE36" i="8"/>
  <c r="HM64" i="8"/>
  <c r="HY63" i="8"/>
  <c r="FS48" i="8"/>
  <c r="HR62" i="8"/>
  <c r="FT37" i="8"/>
  <c r="JL68" i="8"/>
  <c r="KL56" i="8"/>
  <c r="KI42" i="8"/>
  <c r="I54" i="19"/>
  <c r="IA62" i="8"/>
  <c r="IR70" i="8"/>
  <c r="ID75" i="8"/>
  <c r="FS37" i="8"/>
  <c r="IL58" i="8"/>
  <c r="HZ57" i="8"/>
  <c r="GF47" i="8"/>
  <c r="JK28" i="8"/>
  <c r="GO64" i="8"/>
  <c r="KB58" i="8"/>
  <c r="IN39" i="8"/>
  <c r="JC62" i="8"/>
  <c r="IK34" i="8"/>
  <c r="JA76" i="8"/>
  <c r="IE48" i="8"/>
  <c r="GI69" i="8"/>
  <c r="HM71" i="8"/>
  <c r="GQ57" i="8"/>
  <c r="II55" i="8"/>
  <c r="GJ41" i="8"/>
  <c r="HO55" i="8"/>
  <c r="IC47" i="8"/>
  <c r="HG62" i="8"/>
  <c r="JV71" i="8"/>
  <c r="GI59" i="8"/>
  <c r="II37" i="8"/>
  <c r="HU53" i="8"/>
  <c r="IX64" i="8"/>
  <c r="HU62" i="8"/>
  <c r="KN52" i="8"/>
  <c r="II30" i="8"/>
  <c r="JK74" i="8"/>
  <c r="HO76" i="8"/>
  <c r="JQ74" i="8"/>
  <c r="JB46" i="8"/>
  <c r="FV39" i="8"/>
  <c r="JO65" i="8"/>
  <c r="IB43" i="8"/>
  <c r="GZ61" i="8"/>
  <c r="GL31" i="8"/>
  <c r="HJ66" i="8"/>
  <c r="KV53" i="8"/>
  <c r="FQ45" i="8"/>
  <c r="HP43" i="8"/>
  <c r="FQ28" i="8"/>
  <c r="IR47" i="8"/>
  <c r="JQ29" i="8"/>
  <c r="KA72" i="8"/>
  <c r="JX62" i="8"/>
  <c r="KQ36" i="8"/>
  <c r="IH53" i="8"/>
  <c r="KV66" i="8"/>
  <c r="JL34" i="8"/>
  <c r="IC42" i="8"/>
  <c r="KM39" i="8"/>
  <c r="GJ50" i="8"/>
  <c r="IC57" i="8"/>
  <c r="GV63" i="8"/>
  <c r="GJ63" i="8"/>
  <c r="JC55" i="8"/>
  <c r="KK47" i="8"/>
  <c r="KD30" i="8"/>
  <c r="IJ53" i="8"/>
  <c r="IP44" i="8"/>
  <c r="KR71" i="8"/>
  <c r="JC43" i="8"/>
  <c r="KH38" i="8"/>
  <c r="IR49" i="8"/>
  <c r="HM72" i="8"/>
  <c r="HZ48" i="8"/>
  <c r="FO69" i="8"/>
  <c r="GE43" i="8"/>
  <c r="GO52" i="8"/>
  <c r="JI63" i="8"/>
  <c r="FV55" i="8"/>
  <c r="KK71" i="8"/>
  <c r="JI35" i="8"/>
  <c r="IW70" i="8"/>
  <c r="GG71" i="8"/>
  <c r="KI49" i="8"/>
  <c r="HG35" i="8"/>
  <c r="GR42" i="8"/>
  <c r="GN68" i="8"/>
  <c r="IG65" i="8"/>
  <c r="HZ51" i="8"/>
  <c r="IG30" i="8"/>
  <c r="JY36" i="8"/>
  <c r="IZ39" i="8"/>
  <c r="FO37" i="8"/>
  <c r="GZ41" i="8"/>
  <c r="IK74" i="8"/>
  <c r="GP32" i="8"/>
  <c r="KL69" i="8"/>
  <c r="HP47" i="8"/>
  <c r="KL76" i="8"/>
  <c r="KN73" i="8"/>
  <c r="KM36" i="8"/>
  <c r="IZ40" i="8"/>
  <c r="KV35" i="8"/>
  <c r="GJ54" i="8"/>
  <c r="GV71" i="8"/>
  <c r="KL64" i="8"/>
  <c r="GH44" i="8"/>
  <c r="GM43" i="8"/>
  <c r="JJ68" i="8"/>
  <c r="JL31" i="8"/>
  <c r="ID35" i="8"/>
  <c r="IB73" i="8"/>
  <c r="FM60" i="8"/>
  <c r="FL29" i="8"/>
  <c r="GH69" i="8"/>
  <c r="FW35" i="8"/>
  <c r="GF54" i="8"/>
  <c r="KB62" i="8"/>
  <c r="IX54" i="8"/>
  <c r="JP72" i="8"/>
  <c r="HF66" i="8"/>
  <c r="KR51" i="8"/>
  <c r="JF40" i="8"/>
  <c r="JG44" i="8"/>
  <c r="HY65" i="8"/>
  <c r="FW76" i="8"/>
  <c r="IA56" i="8"/>
  <c r="GP34" i="8"/>
  <c r="KA33" i="8"/>
  <c r="HZ52" i="8"/>
  <c r="GC74" i="8"/>
  <c r="KC58" i="8"/>
  <c r="IJ58" i="8"/>
  <c r="AA51" i="19"/>
  <c r="KT33" i="8"/>
  <c r="IN52" i="8"/>
  <c r="IG72" i="8"/>
  <c r="GS45" i="8"/>
  <c r="IG38" i="8"/>
  <c r="JN55" i="8"/>
  <c r="HL37" i="8"/>
  <c r="JS60" i="8"/>
  <c r="FL36" i="8"/>
  <c r="HT35" i="8"/>
  <c r="KC60" i="8"/>
  <c r="JK63" i="8"/>
  <c r="JP47" i="8"/>
  <c r="KJ36" i="8"/>
  <c r="FK58" i="8"/>
  <c r="U52" i="19"/>
  <c r="GD72" i="8"/>
  <c r="IT58" i="8"/>
  <c r="FW32" i="8"/>
  <c r="HL43" i="8"/>
  <c r="FN72" i="8"/>
  <c r="HR31" i="8"/>
  <c r="JK55" i="8"/>
  <c r="FX68" i="8"/>
  <c r="GJ65" i="8"/>
  <c r="GJ76" i="8"/>
  <c r="KD31" i="8"/>
  <c r="HP56" i="8"/>
  <c r="GP47" i="8"/>
  <c r="HS70" i="8"/>
  <c r="FQ71" i="8"/>
  <c r="FL68" i="8"/>
  <c r="HR46" i="8"/>
  <c r="KR35" i="8"/>
  <c r="GQ33" i="8"/>
  <c r="GN39" i="8"/>
  <c r="KP72" i="8"/>
  <c r="FX46" i="8"/>
  <c r="HK44" i="8"/>
  <c r="JR56" i="8"/>
  <c r="HS52" i="8"/>
  <c r="KL67" i="8"/>
  <c r="GR68" i="8"/>
  <c r="HE75" i="8"/>
  <c r="JZ29" i="8"/>
  <c r="FT61" i="8"/>
  <c r="FN74" i="8"/>
  <c r="KF27" i="8"/>
  <c r="IW57" i="8"/>
  <c r="FM73" i="8"/>
  <c r="GF31" i="8"/>
  <c r="IC54" i="8"/>
  <c r="GR37" i="8"/>
  <c r="JN54" i="8"/>
  <c r="JK56" i="8"/>
  <c r="HC69" i="8"/>
  <c r="GL57" i="8"/>
  <c r="HL30" i="8"/>
  <c r="FP76" i="8"/>
  <c r="KM40" i="8"/>
  <c r="KQ60" i="8"/>
  <c r="KL73" i="8"/>
  <c r="GM73" i="8"/>
  <c r="GF34" i="8"/>
  <c r="KF38" i="8"/>
  <c r="IM46" i="8"/>
  <c r="HO35" i="8"/>
  <c r="KE42" i="8"/>
  <c r="JI47" i="8"/>
  <c r="IS72" i="8"/>
  <c r="IS68" i="8"/>
  <c r="JB64" i="8"/>
  <c r="FV54" i="8"/>
  <c r="II58" i="8"/>
  <c r="HJ64" i="8"/>
  <c r="HU38" i="8"/>
  <c r="KT53" i="8"/>
  <c r="JD43" i="8"/>
  <c r="JQ76" i="8"/>
  <c r="FQ68" i="8"/>
  <c r="GS73" i="8"/>
  <c r="ID72" i="8"/>
  <c r="GI75" i="8"/>
  <c r="FX33" i="8"/>
  <c r="KM71" i="8"/>
  <c r="II54" i="8"/>
  <c r="HC57" i="8"/>
  <c r="JX30" i="8"/>
  <c r="KJ34" i="8"/>
  <c r="HE28" i="8"/>
  <c r="KN41" i="8"/>
  <c r="JI58" i="8"/>
  <c r="FV49" i="8"/>
  <c r="FN60" i="8"/>
  <c r="JG41" i="8"/>
  <c r="GH66" i="8"/>
  <c r="JK72" i="8"/>
  <c r="IP49" i="8"/>
  <c r="GK61" i="8"/>
  <c r="JI53" i="8"/>
  <c r="HY64" i="8"/>
  <c r="IC69" i="8"/>
  <c r="KC57" i="8"/>
  <c r="FY53" i="8"/>
  <c r="FY60" i="8"/>
  <c r="KD59" i="8"/>
  <c r="GF74" i="8"/>
  <c r="HX55" i="8"/>
  <c r="HU31" i="8"/>
  <c r="IS57" i="8"/>
  <c r="FW73" i="8"/>
  <c r="KN50" i="8"/>
  <c r="KA41" i="8"/>
  <c r="KN35" i="8"/>
  <c r="HH69" i="8"/>
  <c r="JJ65" i="8"/>
  <c r="JB33" i="8"/>
  <c r="JB74" i="8"/>
  <c r="HX50" i="8"/>
  <c r="IR41" i="8"/>
  <c r="GC67" i="8"/>
  <c r="HO58" i="8"/>
  <c r="FX67" i="8"/>
  <c r="GZ49" i="8"/>
  <c r="FX76" i="8"/>
  <c r="IK59" i="8"/>
  <c r="JJ61" i="8"/>
  <c r="IT55" i="8"/>
  <c r="HX56" i="8"/>
  <c r="KG55" i="8"/>
  <c r="HA37" i="8"/>
  <c r="GS33" i="8"/>
  <c r="IP59" i="8"/>
  <c r="JL29" i="8"/>
  <c r="GR56" i="8"/>
  <c r="KJ60" i="8"/>
  <c r="HY76" i="8"/>
  <c r="GI73" i="8"/>
  <c r="KH64" i="8"/>
  <c r="JL60" i="8"/>
  <c r="JM39" i="8"/>
  <c r="IX28" i="8"/>
  <c r="GH40" i="8"/>
  <c r="KD32" i="8"/>
  <c r="ID49" i="8"/>
  <c r="GR48" i="8"/>
  <c r="KT59" i="8"/>
  <c r="IR28" i="8"/>
  <c r="IJ57" i="8"/>
  <c r="JM61" i="8"/>
  <c r="HH50" i="8"/>
  <c r="HO57" i="8"/>
  <c r="JH51" i="8"/>
  <c r="IF51" i="8"/>
  <c r="KG46" i="8"/>
  <c r="JQ67" i="8"/>
  <c r="FX54" i="8"/>
  <c r="KG38" i="8"/>
  <c r="KE38" i="8"/>
  <c r="FT30" i="8"/>
  <c r="HP76" i="8"/>
  <c r="GR49" i="8"/>
  <c r="HE66" i="8"/>
  <c r="HK51" i="8"/>
  <c r="HA32" i="8"/>
  <c r="HE76" i="8"/>
  <c r="KO28" i="8"/>
  <c r="KQ48" i="8"/>
  <c r="IJ51" i="8"/>
  <c r="IR27" i="8"/>
  <c r="HU44" i="8"/>
  <c r="FK69" i="8"/>
  <c r="KD69" i="8"/>
  <c r="GN55" i="8"/>
  <c r="GV62" i="8"/>
  <c r="GV36" i="8"/>
  <c r="JX47" i="8"/>
  <c r="GE65" i="8"/>
  <c r="GF43" i="8"/>
  <c r="ID38" i="8"/>
  <c r="HZ65" i="8"/>
  <c r="KI52" i="8"/>
  <c r="KG43" i="8"/>
  <c r="JM70" i="8"/>
  <c r="GE27" i="8"/>
  <c r="L51" i="19"/>
  <c r="B51" i="19"/>
  <c r="KV61" i="8"/>
  <c r="IL29" i="8"/>
  <c r="JH46" i="8"/>
  <c r="IB28" i="8"/>
  <c r="FV29" i="8"/>
  <c r="JS51" i="8"/>
  <c r="JZ33" i="8"/>
  <c r="JF62" i="8"/>
  <c r="HF49" i="8"/>
  <c r="IT48" i="8"/>
  <c r="KV69" i="8"/>
  <c r="IO70" i="8"/>
  <c r="FY47" i="8"/>
  <c r="HJ55" i="8"/>
  <c r="KP55" i="8"/>
  <c r="IO45" i="8"/>
  <c r="HU61" i="8"/>
  <c r="HK72" i="8"/>
  <c r="IM40" i="8"/>
  <c r="IQ74" i="8"/>
  <c r="KD28" i="8"/>
  <c r="JG66" i="8"/>
  <c r="GB48" i="8"/>
  <c r="JD56" i="8"/>
  <c r="KF67" i="8"/>
  <c r="HT68" i="8"/>
  <c r="GH30" i="8"/>
  <c r="KE50" i="8"/>
  <c r="JF46" i="8"/>
  <c r="GK42" i="8"/>
  <c r="FS76" i="8"/>
  <c r="K51" i="19"/>
  <c r="IJ42" i="8"/>
  <c r="JM45" i="8"/>
  <c r="HH34" i="8"/>
  <c r="IN61" i="8"/>
  <c r="HB37" i="8"/>
  <c r="KA59" i="8"/>
  <c r="JG64" i="8"/>
  <c r="HG32" i="8"/>
  <c r="GL48" i="8"/>
  <c r="IC30" i="8"/>
  <c r="GL39" i="8"/>
  <c r="JH53" i="8"/>
  <c r="JR60" i="8"/>
  <c r="FP69" i="8"/>
  <c r="IW50" i="8"/>
  <c r="FT76" i="8"/>
  <c r="HE42" i="8"/>
  <c r="JE75" i="8"/>
  <c r="IF72" i="8"/>
  <c r="JP42" i="8"/>
  <c r="JE41" i="8"/>
  <c r="HY52" i="8"/>
  <c r="GE75" i="8"/>
  <c r="IO57" i="8"/>
  <c r="FP72" i="8"/>
  <c r="KP65" i="8"/>
  <c r="ID57" i="8"/>
  <c r="GN34" i="8"/>
  <c r="IX68" i="8"/>
  <c r="HA64" i="8"/>
  <c r="JB65" i="8"/>
  <c r="KA64" i="8"/>
  <c r="KE55" i="8"/>
  <c r="JW42" i="8"/>
  <c r="JP38" i="8"/>
  <c r="IW64" i="8"/>
  <c r="FV52" i="8"/>
  <c r="JC70" i="8"/>
  <c r="FS75" i="8"/>
  <c r="FR40" i="8"/>
  <c r="IS36" i="8"/>
  <c r="KA38" i="8"/>
  <c r="FP65" i="8"/>
  <c r="KL62" i="8"/>
  <c r="HP30" i="8"/>
  <c r="FX66" i="8"/>
  <c r="HS55" i="8"/>
  <c r="JY47" i="8"/>
  <c r="GO73" i="8"/>
  <c r="IF63" i="8"/>
  <c r="HE62" i="8"/>
  <c r="JY75" i="8"/>
  <c r="KL29" i="8"/>
  <c r="JH38" i="8"/>
  <c r="FQ35" i="8"/>
  <c r="FL40" i="8"/>
  <c r="GV76" i="8"/>
  <c r="GV59" i="8"/>
  <c r="GG73" i="8"/>
  <c r="FM39" i="8"/>
  <c r="FM64" i="8"/>
  <c r="GF64" i="8"/>
  <c r="JG28" i="8"/>
  <c r="FR47" i="8"/>
  <c r="JX65" i="8"/>
  <c r="JN71" i="8"/>
  <c r="JS62" i="8"/>
  <c r="HJ69" i="8"/>
  <c r="KE43" i="8"/>
  <c r="IM58" i="8"/>
  <c r="KV73" i="8"/>
  <c r="HO56" i="8"/>
  <c r="GD27" i="8"/>
  <c r="IY36" i="8"/>
  <c r="FO64" i="8"/>
  <c r="JQ48" i="8"/>
  <c r="IE74" i="8"/>
  <c r="IG69" i="8"/>
  <c r="IO67" i="8"/>
  <c r="FY34" i="8"/>
  <c r="JD74" i="8"/>
  <c r="GK56" i="8"/>
  <c r="KT30" i="8"/>
  <c r="GN74" i="8"/>
  <c r="JE76" i="8"/>
  <c r="JX74" i="8"/>
  <c r="FP53" i="8"/>
  <c r="FM48" i="8"/>
  <c r="JP35" i="8"/>
  <c r="GO50" i="8"/>
  <c r="FL60" i="8"/>
  <c r="GC43" i="8"/>
  <c r="IT51" i="8"/>
  <c r="KM62" i="8"/>
  <c r="HX35" i="8"/>
  <c r="HK56" i="8"/>
  <c r="IK49" i="8"/>
  <c r="GJ28" i="8"/>
  <c r="KC45" i="8"/>
  <c r="GL55" i="8"/>
  <c r="KE27" i="8"/>
  <c r="JM36" i="8"/>
  <c r="JJ45" i="8"/>
  <c r="JO35" i="8"/>
  <c r="JY76" i="8"/>
  <c r="IF60" i="8"/>
  <c r="GL66" i="8"/>
  <c r="FQ33" i="8"/>
  <c r="JB71" i="8"/>
  <c r="JQ43" i="8"/>
  <c r="JJ52" i="8"/>
  <c r="JX48" i="8"/>
  <c r="IX51" i="8"/>
  <c r="HU58" i="8"/>
  <c r="IP52" i="8"/>
  <c r="HT46" i="8"/>
  <c r="JA46" i="8"/>
  <c r="KN27" i="8"/>
  <c r="JY39" i="8"/>
  <c r="KI45" i="8"/>
  <c r="HZ30" i="8"/>
  <c r="IB32" i="8"/>
  <c r="FP60" i="8"/>
  <c r="HA59" i="8"/>
  <c r="KN59" i="8"/>
  <c r="FY49" i="8"/>
  <c r="JX70" i="8"/>
  <c r="GI70" i="8"/>
  <c r="IE55" i="8"/>
  <c r="HE67" i="8"/>
  <c r="FY64" i="8"/>
  <c r="HX32" i="8"/>
  <c r="FL64" i="8"/>
  <c r="JJ66" i="8"/>
  <c r="HZ43" i="8"/>
  <c r="IE33" i="8"/>
  <c r="IK35" i="8"/>
  <c r="GT42" i="8"/>
  <c r="IK55" i="8"/>
  <c r="IN42" i="8"/>
  <c r="IA49" i="8"/>
  <c r="GG49" i="8"/>
  <c r="FS61" i="8"/>
  <c r="KG54" i="8"/>
  <c r="HX72" i="8"/>
  <c r="HZ69" i="8"/>
  <c r="IL35" i="8"/>
  <c r="FS62" i="8"/>
  <c r="FY29" i="8"/>
  <c r="JB68" i="8"/>
  <c r="GB61" i="8"/>
  <c r="IW40" i="8"/>
  <c r="HR40" i="8"/>
  <c r="HC29" i="8"/>
  <c r="HH74" i="8"/>
  <c r="IC59" i="8"/>
  <c r="FT50" i="8"/>
  <c r="KR41" i="8"/>
  <c r="GB37" i="8"/>
  <c r="GZ63" i="8"/>
  <c r="GC60" i="8"/>
  <c r="JL67" i="8"/>
  <c r="IH29" i="8"/>
  <c r="GR71" i="8"/>
  <c r="GI34" i="8"/>
  <c r="HJ71" i="8"/>
  <c r="JZ70" i="8"/>
  <c r="JW39" i="8"/>
  <c r="JR53" i="8"/>
  <c r="HG54" i="8"/>
  <c r="JS68" i="8"/>
  <c r="GB34" i="8"/>
  <c r="IR44" i="8"/>
  <c r="FM66" i="8"/>
  <c r="FM44" i="8"/>
  <c r="JY65" i="8"/>
  <c r="HT43" i="8"/>
  <c r="JO47" i="8"/>
  <c r="IZ73" i="8"/>
  <c r="KR68" i="8"/>
  <c r="HC60" i="8"/>
  <c r="IO47" i="8"/>
  <c r="JN61" i="8"/>
  <c r="JS69" i="8"/>
  <c r="HE44" i="8"/>
  <c r="IM69" i="8"/>
  <c r="FL44" i="8"/>
  <c r="ID71" i="8"/>
  <c r="GO72" i="8"/>
  <c r="JZ34" i="8"/>
  <c r="GD50" i="8"/>
  <c r="FV67" i="8"/>
  <c r="IS30" i="8"/>
  <c r="HH42" i="8"/>
  <c r="JZ57" i="8"/>
  <c r="GK33" i="8"/>
  <c r="FK75" i="8"/>
  <c r="JY40" i="8"/>
  <c r="IJ72" i="8"/>
  <c r="HY71" i="8"/>
  <c r="KI68" i="8"/>
  <c r="GG29" i="8"/>
  <c r="JL57" i="8"/>
  <c r="KK59" i="8"/>
  <c r="GQ66" i="8"/>
  <c r="KH53" i="8"/>
  <c r="IK31" i="8"/>
  <c r="JA54" i="8"/>
  <c r="FN69" i="8"/>
  <c r="HS39" i="8"/>
  <c r="FM61" i="8"/>
  <c r="FW45" i="8"/>
  <c r="GI74" i="8"/>
  <c r="GM74" i="8"/>
  <c r="JC64" i="8"/>
  <c r="KW56" i="8"/>
  <c r="HH53" i="8"/>
  <c r="JP70" i="8"/>
  <c r="FY38" i="8"/>
  <c r="IQ54" i="8"/>
  <c r="GQ63" i="8"/>
  <c r="JM68" i="8"/>
  <c r="IL40" i="8"/>
  <c r="KI35" i="8"/>
  <c r="KE67" i="8"/>
  <c r="FO36" i="8"/>
  <c r="JG31" i="8"/>
  <c r="JS47" i="8"/>
  <c r="JR57" i="8"/>
  <c r="GQ27" i="8"/>
  <c r="FY46" i="8"/>
  <c r="KG58" i="8"/>
  <c r="JJ38" i="8"/>
  <c r="JR27" i="8"/>
  <c r="GU52" i="8"/>
  <c r="JN30" i="8"/>
  <c r="HJ74" i="8"/>
  <c r="HH41" i="8"/>
  <c r="ID46" i="8"/>
  <c r="HH61" i="8"/>
  <c r="KJ76" i="8"/>
  <c r="IQ28" i="8"/>
  <c r="JD38" i="8"/>
  <c r="KM60" i="8"/>
  <c r="JX42" i="8"/>
  <c r="FR45" i="8"/>
  <c r="GC70" i="8"/>
  <c r="JI55" i="8"/>
  <c r="FN70" i="8"/>
  <c r="HT75" i="8"/>
  <c r="IK60" i="8"/>
  <c r="IP69" i="8"/>
  <c r="KD76" i="8"/>
  <c r="HA68" i="8"/>
  <c r="JG60" i="8"/>
  <c r="KF57" i="8"/>
  <c r="FX35" i="8"/>
  <c r="KB47" i="8"/>
  <c r="HL59" i="8"/>
  <c r="KV44" i="8"/>
  <c r="KQ54" i="8"/>
  <c r="IF75" i="8"/>
  <c r="IL70" i="8"/>
  <c r="JE42" i="8"/>
  <c r="FV70" i="8"/>
  <c r="FK53" i="8"/>
  <c r="JE59" i="8"/>
  <c r="JE70" i="8"/>
  <c r="JK76" i="8"/>
  <c r="GS74" i="8"/>
  <c r="KL39" i="8"/>
  <c r="IP40" i="8"/>
  <c r="GF37" i="8"/>
  <c r="IE58" i="8"/>
  <c r="GT64" i="8"/>
  <c r="HF34" i="8"/>
  <c r="FN73" i="8"/>
  <c r="FT72" i="8"/>
  <c r="HA45" i="8"/>
  <c r="IT54" i="8"/>
  <c r="HZ67" i="8"/>
  <c r="KA67" i="8"/>
  <c r="HB52" i="8"/>
  <c r="HZ32" i="8"/>
  <c r="GN72" i="8"/>
  <c r="HL61" i="8"/>
  <c r="KJ29" i="8"/>
  <c r="KN66" i="8"/>
  <c r="JD40" i="8"/>
  <c r="KF56" i="8"/>
  <c r="IH42" i="8"/>
  <c r="HA31" i="8"/>
  <c r="KL58" i="8"/>
  <c r="HH40" i="8"/>
  <c r="KV45" i="8"/>
  <c r="IY52" i="8"/>
  <c r="FO75" i="8"/>
  <c r="IK50" i="8"/>
  <c r="JY37" i="8"/>
  <c r="JA41" i="8"/>
  <c r="GK30" i="8"/>
  <c r="KL42" i="8"/>
  <c r="JY64" i="8"/>
  <c r="GO69" i="8"/>
  <c r="JE40" i="8"/>
  <c r="FY42" i="8"/>
  <c r="GD44" i="8"/>
  <c r="HM59" i="8"/>
  <c r="JI42" i="8"/>
  <c r="IG43" i="8"/>
  <c r="IR50" i="8"/>
  <c r="KF62" i="8"/>
  <c r="JJ59" i="8"/>
  <c r="FN30" i="8"/>
  <c r="HH54" i="8"/>
  <c r="GH52" i="8"/>
  <c r="FY67" i="8"/>
  <c r="JO70" i="8"/>
  <c r="HS57" i="8"/>
  <c r="JA29" i="8"/>
  <c r="GQ71" i="8"/>
  <c r="II27" i="8"/>
  <c r="GU50" i="8"/>
  <c r="JN29" i="8"/>
  <c r="FM41" i="8"/>
  <c r="IM38" i="8"/>
  <c r="KC50" i="8"/>
  <c r="IA35" i="8"/>
  <c r="JF37" i="8"/>
  <c r="FR59" i="8"/>
  <c r="JL32" i="8"/>
  <c r="KT49" i="8"/>
  <c r="HF69" i="8"/>
  <c r="JJ64" i="8"/>
  <c r="KI47" i="8"/>
  <c r="IA73" i="8"/>
  <c r="JX56" i="8"/>
  <c r="IR59" i="8"/>
  <c r="KV74" i="8"/>
  <c r="FV31" i="8"/>
  <c r="FN50" i="8"/>
  <c r="GI33" i="8"/>
  <c r="FK56" i="8"/>
  <c r="II73" i="8"/>
  <c r="IP42" i="8"/>
  <c r="HB63" i="8"/>
  <c r="IH62" i="8"/>
  <c r="IB52" i="8"/>
  <c r="KO50" i="8"/>
  <c r="KN44" i="8"/>
  <c r="KH33" i="8"/>
  <c r="GT47" i="8"/>
  <c r="JR69" i="8"/>
  <c r="HO36" i="8"/>
  <c r="IC70" i="8"/>
  <c r="JY38" i="8"/>
  <c r="IW45" i="8"/>
  <c r="IY35" i="8"/>
  <c r="IT57" i="8"/>
  <c r="IC32" i="8"/>
  <c r="FP75" i="8"/>
  <c r="FW41" i="8"/>
  <c r="H53" i="19"/>
  <c r="GR46" i="8"/>
  <c r="IZ36" i="8"/>
  <c r="GE56" i="8"/>
  <c r="II36" i="8"/>
  <c r="KM41" i="8"/>
  <c r="JC65" i="8"/>
  <c r="JX69" i="8"/>
  <c r="IN35" i="8"/>
  <c r="HB29" i="8"/>
  <c r="GS67" i="8"/>
  <c r="FP70" i="8"/>
  <c r="IQ50" i="8"/>
  <c r="HU57" i="8"/>
  <c r="GT72" i="8"/>
  <c r="HB72" i="8"/>
  <c r="JC69" i="8"/>
  <c r="FO55" i="8"/>
  <c r="HJ57" i="8"/>
  <c r="HO72" i="8"/>
  <c r="HA60" i="8"/>
  <c r="JP44" i="8"/>
  <c r="FS72" i="8"/>
  <c r="KH36" i="8"/>
  <c r="JF44" i="8"/>
  <c r="FW39" i="8"/>
  <c r="HP33" i="8"/>
  <c r="JJ31" i="8"/>
  <c r="GI45" i="8"/>
  <c r="GE37" i="8"/>
  <c r="FO60" i="8"/>
  <c r="GO67" i="8"/>
  <c r="GH45" i="8"/>
  <c r="JF73" i="8"/>
  <c r="II45" i="8"/>
  <c r="HS41" i="8"/>
  <c r="GM42" i="8"/>
  <c r="IX76" i="8"/>
  <c r="HM60" i="8"/>
  <c r="GV49" i="8"/>
  <c r="KR48" i="8"/>
  <c r="GZ31" i="8"/>
  <c r="GQ72" i="8"/>
  <c r="FT66" i="8"/>
  <c r="IP28" i="8"/>
  <c r="FR33" i="8"/>
  <c r="JP55" i="8"/>
  <c r="ID41" i="8"/>
  <c r="JQ75" i="8"/>
  <c r="KJ75" i="8"/>
  <c r="HU43" i="8"/>
  <c r="KT32" i="8"/>
  <c r="IJ73" i="8"/>
  <c r="IN38" i="8"/>
  <c r="FP49" i="8"/>
  <c r="GM27" i="8"/>
  <c r="FO35" i="8"/>
  <c r="JR75" i="8"/>
  <c r="IN56" i="8"/>
  <c r="KJ47" i="8"/>
  <c r="HO53" i="8"/>
  <c r="GD37" i="8"/>
  <c r="HH57" i="8"/>
  <c r="JE56" i="8"/>
  <c r="GR33" i="8"/>
  <c r="HA54" i="8"/>
  <c r="HH39" i="8"/>
  <c r="IY63" i="8"/>
  <c r="KQ73" i="8"/>
  <c r="GB36" i="8"/>
  <c r="JH68" i="8"/>
  <c r="JP34" i="8"/>
  <c r="FK65" i="8"/>
  <c r="HR47" i="8"/>
  <c r="GB55" i="8"/>
  <c r="JL73" i="8"/>
  <c r="JG50" i="8"/>
  <c r="FX60" i="8"/>
  <c r="IP54" i="8"/>
  <c r="HO67" i="8"/>
  <c r="KM53" i="8"/>
  <c r="GQ50" i="8"/>
  <c r="IN45" i="8"/>
  <c r="KM44" i="8"/>
  <c r="KN76" i="8"/>
  <c r="KW71" i="8"/>
  <c r="JQ47" i="8"/>
  <c r="KA51" i="8"/>
  <c r="HY46" i="8"/>
  <c r="HB31" i="8"/>
  <c r="IF38" i="8"/>
  <c r="FK33" i="8"/>
  <c r="KH27" i="8"/>
  <c r="JK50" i="8"/>
  <c r="IS46" i="8"/>
  <c r="JP30" i="8"/>
  <c r="GD35" i="8"/>
  <c r="HP45" i="8"/>
  <c r="JG69" i="8"/>
  <c r="JZ31" i="8"/>
  <c r="FL37" i="8"/>
  <c r="GI66" i="8"/>
  <c r="IR55" i="8"/>
  <c r="GV57" i="8"/>
  <c r="JF39" i="8"/>
  <c r="KA32" i="8"/>
  <c r="IH40" i="8"/>
  <c r="HL33" i="8"/>
  <c r="HA44" i="8"/>
  <c r="JN32" i="8"/>
  <c r="HY45" i="8"/>
  <c r="ID62" i="8"/>
  <c r="GD60" i="8"/>
  <c r="JV67" i="8"/>
  <c r="GP64" i="8"/>
  <c r="KI63" i="8"/>
  <c r="FN53" i="8"/>
  <c r="GN66" i="8"/>
  <c r="GM76" i="8"/>
  <c r="GU65" i="8"/>
  <c r="IA76" i="8"/>
  <c r="KN42" i="8"/>
  <c r="KC64" i="8"/>
  <c r="KJ49" i="8"/>
  <c r="JC49" i="8"/>
  <c r="KD44" i="8"/>
  <c r="GO51" i="8"/>
  <c r="KT36" i="8"/>
  <c r="HH72" i="8"/>
  <c r="KG69" i="8"/>
  <c r="FX58" i="8"/>
  <c r="II72" i="8"/>
  <c r="GQ68" i="8"/>
  <c r="IK65" i="8"/>
  <c r="ID29" i="8"/>
  <c r="HP68" i="8"/>
  <c r="KO58" i="8"/>
  <c r="GU54" i="8"/>
  <c r="IE76" i="8"/>
  <c r="FO51" i="8"/>
  <c r="HS37" i="8"/>
  <c r="GK50" i="8"/>
  <c r="HP34" i="8"/>
  <c r="HL28" i="8"/>
  <c r="HX67" i="8"/>
  <c r="HY33" i="8"/>
  <c r="JD63" i="8"/>
  <c r="GZ72" i="8"/>
  <c r="JD30" i="8"/>
  <c r="KB70" i="8"/>
  <c r="GV46" i="8"/>
  <c r="GL37" i="8"/>
  <c r="IH55" i="8"/>
  <c r="HM74" i="8"/>
  <c r="KW54" i="8"/>
  <c r="JH27" i="8"/>
  <c r="FQ49" i="8"/>
  <c r="IE31" i="8"/>
  <c r="KB36" i="8"/>
  <c r="HE27" i="8"/>
  <c r="FV64" i="8"/>
  <c r="GS70" i="8"/>
  <c r="KJ35" i="8"/>
  <c r="FN68" i="8"/>
  <c r="GZ65" i="8"/>
  <c r="JL59" i="8"/>
  <c r="HF27" i="8"/>
  <c r="KO51" i="8"/>
  <c r="FR27" i="8"/>
  <c r="KV33" i="8"/>
  <c r="II76" i="8"/>
  <c r="JQ63" i="8"/>
  <c r="HB40" i="8"/>
  <c r="HR37" i="8"/>
  <c r="HR63" i="8"/>
  <c r="KL51" i="8"/>
  <c r="KR59" i="8"/>
  <c r="JB36" i="8"/>
  <c r="KC54" i="8"/>
  <c r="JR54" i="8"/>
  <c r="GO63" i="8"/>
  <c r="HY60" i="8"/>
  <c r="FO39" i="8"/>
  <c r="KE46" i="8"/>
  <c r="IH34" i="8"/>
  <c r="HT53" i="8"/>
  <c r="KO65" i="8"/>
  <c r="KG63" i="8"/>
  <c r="GO30" i="8"/>
  <c r="IH32" i="8"/>
  <c r="KB63" i="8"/>
  <c r="HZ58" i="8"/>
  <c r="KP74" i="8"/>
  <c r="FM70" i="8"/>
  <c r="IO34" i="8"/>
  <c r="JB49" i="8"/>
  <c r="IB50" i="8"/>
  <c r="FK28" i="8"/>
  <c r="JG37" i="8"/>
  <c r="GB62" i="8"/>
  <c r="GZ54" i="8"/>
  <c r="GV29" i="8"/>
  <c r="IN28" i="8"/>
  <c r="JK27" i="8"/>
  <c r="HF71" i="8"/>
  <c r="JB35" i="8"/>
  <c r="GJ49" i="8"/>
  <c r="KF41" i="8"/>
  <c r="ID63" i="8"/>
  <c r="IZ74" i="8"/>
  <c r="GH32" i="8"/>
  <c r="IB51" i="8"/>
  <c r="JS53" i="8"/>
  <c r="GG76" i="8"/>
  <c r="FS29" i="8"/>
  <c r="KN69" i="8"/>
  <c r="JG39" i="8"/>
  <c r="KT51" i="8"/>
  <c r="HZ75" i="8"/>
  <c r="JX51" i="8"/>
  <c r="HF75" i="8"/>
  <c r="IF55" i="8"/>
  <c r="GR51" i="8"/>
  <c r="FL51" i="8"/>
  <c r="JC47" i="8"/>
  <c r="JI40" i="8"/>
  <c r="JN53" i="8"/>
  <c r="HG75" i="8"/>
  <c r="II35" i="8"/>
  <c r="GD68" i="8"/>
  <c r="IK58" i="8"/>
  <c r="GM70" i="8"/>
  <c r="KA54" i="8"/>
  <c r="KM27" i="8"/>
  <c r="JA32" i="8"/>
  <c r="GL70" i="8"/>
  <c r="GS65" i="8"/>
  <c r="GH29" i="8"/>
  <c r="GN76" i="8"/>
  <c r="HG43" i="8"/>
  <c r="FV46" i="8"/>
  <c r="GN63" i="8"/>
  <c r="IK52" i="8"/>
  <c r="IF53" i="8"/>
  <c r="FN27" i="8"/>
  <c r="ID55" i="8"/>
  <c r="IH49" i="8"/>
  <c r="FW70" i="8"/>
  <c r="IR42" i="8"/>
  <c r="FP45" i="8"/>
  <c r="JD49" i="8"/>
  <c r="JR40" i="8"/>
  <c r="II42" i="8"/>
  <c r="KL63" i="8"/>
  <c r="HF46" i="8"/>
  <c r="KQ76" i="8"/>
  <c r="JO61" i="8"/>
  <c r="F54" i="19"/>
  <c r="JW68" i="8"/>
  <c r="HT66" i="8"/>
  <c r="JY53" i="8"/>
  <c r="KB31" i="8"/>
  <c r="HG29" i="8"/>
  <c r="JM46" i="8"/>
  <c r="HE70" i="8"/>
  <c r="FS31" i="8"/>
  <c r="FP31" i="8"/>
  <c r="GV50" i="8"/>
  <c r="HK34" i="8"/>
  <c r="HE38" i="8"/>
  <c r="JO49" i="8"/>
  <c r="HA75" i="8"/>
  <c r="FM59" i="8"/>
  <c r="HL65" i="8"/>
  <c r="JK42" i="8"/>
  <c r="IZ49" i="8"/>
  <c r="HR69" i="8"/>
  <c r="JJ53" i="8"/>
  <c r="HP54" i="8"/>
  <c r="HL68" i="8"/>
  <c r="JM52" i="8"/>
  <c r="GN70" i="8"/>
  <c r="JL27" i="8"/>
  <c r="HC71" i="8"/>
  <c r="KG57" i="8"/>
  <c r="IW30" i="8"/>
  <c r="ID74" i="8"/>
  <c r="KB68" i="8"/>
  <c r="IF49" i="8"/>
  <c r="IA69" i="8"/>
  <c r="IW32" i="8"/>
  <c r="IZ34" i="8"/>
  <c r="KT63" i="8"/>
  <c r="KK75" i="8"/>
  <c r="S15" i="19"/>
  <c r="KF44" i="8"/>
  <c r="JH40" i="8"/>
  <c r="GG72" i="8"/>
  <c r="JG34" i="8"/>
  <c r="IF65" i="8"/>
  <c r="KK36" i="8"/>
  <c r="JA44" i="8"/>
  <c r="KN31" i="8"/>
  <c r="IW59" i="8"/>
  <c r="FY74" i="8"/>
  <c r="FK49" i="8"/>
  <c r="HE54" i="8"/>
  <c r="IT34" i="8"/>
  <c r="FK54" i="8"/>
  <c r="GF71" i="8"/>
  <c r="JR51" i="8"/>
  <c r="FR37" i="8"/>
  <c r="JG54" i="8"/>
  <c r="IJ62" i="8"/>
  <c r="IP68" i="8"/>
  <c r="KM64" i="8"/>
  <c r="JN58" i="8"/>
  <c r="HX45" i="8"/>
  <c r="FW48" i="8"/>
  <c r="IM39" i="8"/>
  <c r="IK76" i="8"/>
  <c r="FW38" i="8"/>
  <c r="IE66" i="8"/>
  <c r="KB48" i="8"/>
  <c r="JB51" i="8"/>
  <c r="IP76" i="8"/>
  <c r="HZ62" i="8"/>
  <c r="GC63" i="8"/>
  <c r="KJ56" i="8"/>
  <c r="JD68" i="8"/>
  <c r="IX32" i="8"/>
  <c r="IF59" i="8"/>
  <c r="HH35" i="8"/>
  <c r="GQ44" i="8"/>
  <c r="JP64" i="8"/>
  <c r="JP75" i="8"/>
  <c r="JC52" i="8"/>
  <c r="KA62" i="8"/>
  <c r="IP30" i="8"/>
  <c r="JF50" i="8"/>
  <c r="KE60" i="8"/>
  <c r="KL47" i="8"/>
  <c r="IT68" i="8"/>
  <c r="KL55" i="8"/>
  <c r="GP74" i="8"/>
  <c r="IH43" i="8"/>
  <c r="GE41" i="8"/>
  <c r="FV44" i="8"/>
  <c r="HA39" i="8"/>
  <c r="KR50" i="8"/>
  <c r="JP67" i="8"/>
  <c r="KA66" i="8"/>
  <c r="GN60" i="8"/>
  <c r="HP27" i="8"/>
  <c r="KK51" i="8"/>
  <c r="E52" i="19"/>
  <c r="FV37" i="8"/>
  <c r="IS62" i="8"/>
  <c r="JB38" i="8"/>
  <c r="KG71" i="8"/>
  <c r="KD67" i="8"/>
  <c r="GM66" i="8"/>
  <c r="JX34" i="8"/>
  <c r="JV30" i="8"/>
  <c r="GC64" i="8"/>
  <c r="JN68" i="8"/>
  <c r="HR50" i="8"/>
  <c r="IY62" i="8"/>
  <c r="FT68" i="8"/>
  <c r="FK73" i="8"/>
  <c r="FY76" i="8"/>
  <c r="GQ40" i="8"/>
  <c r="IA29" i="8"/>
  <c r="GU29" i="8"/>
  <c r="KJ31" i="8"/>
  <c r="GS61" i="8"/>
  <c r="HG50" i="8"/>
  <c r="JY72" i="8"/>
  <c r="FR43" i="8"/>
  <c r="HU54" i="8"/>
  <c r="GC53" i="8"/>
  <c r="KG70" i="8"/>
  <c r="FR51" i="8"/>
  <c r="JR46" i="8"/>
  <c r="GB73" i="8"/>
  <c r="KV42" i="8"/>
  <c r="JG40" i="8"/>
  <c r="GR38" i="8"/>
  <c r="KG53" i="8"/>
  <c r="JS42" i="8"/>
  <c r="JK68" i="8"/>
  <c r="GE71" i="8"/>
  <c r="HY75" i="8"/>
  <c r="KJ67" i="8"/>
  <c r="KH32" i="8"/>
  <c r="JI49" i="8"/>
  <c r="HU33" i="8"/>
  <c r="IW51" i="8"/>
  <c r="IE71" i="8"/>
  <c r="KV48" i="8"/>
  <c r="GU30" i="8"/>
  <c r="JF69" i="8"/>
  <c r="JS40" i="8"/>
  <c r="GM68" i="8"/>
  <c r="GK49" i="8"/>
  <c r="IK27" i="8"/>
  <c r="GO70" i="8"/>
  <c r="GP29" i="8"/>
  <c r="FL30" i="8"/>
  <c r="HC64" i="8"/>
  <c r="IQ58" i="8"/>
  <c r="IZ32" i="8"/>
  <c r="GR69" i="8"/>
  <c r="GQ37" i="8"/>
  <c r="JX60" i="8"/>
  <c r="HH56" i="8"/>
  <c r="IO73" i="8"/>
  <c r="HE73" i="8"/>
  <c r="KF63" i="8"/>
  <c r="IK42" i="8"/>
  <c r="GK63" i="8"/>
  <c r="IW48" i="8"/>
  <c r="JB66" i="8"/>
  <c r="GU27" i="8"/>
  <c r="HM46" i="8"/>
  <c r="HH33" i="8"/>
  <c r="JG61" i="8"/>
  <c r="HR32" i="8"/>
  <c r="HP31" i="8"/>
  <c r="GF27" i="8"/>
  <c r="HE50" i="8"/>
  <c r="GG65" i="8"/>
  <c r="JA62" i="8"/>
  <c r="HB73" i="8"/>
  <c r="HB50" i="8"/>
  <c r="FM28" i="8"/>
  <c r="JK60" i="8"/>
  <c r="IK64" i="8"/>
  <c r="ID68" i="8"/>
  <c r="IZ51" i="8"/>
  <c r="HE43" i="8"/>
  <c r="FM56" i="8"/>
  <c r="IA33" i="8"/>
  <c r="IW65" i="8"/>
  <c r="HS49" i="8"/>
  <c r="IY33" i="8"/>
  <c r="JY35" i="8"/>
  <c r="GL63" i="8"/>
  <c r="JV73" i="8"/>
  <c r="FL61" i="8"/>
  <c r="KA48" i="8"/>
  <c r="HR39" i="8"/>
  <c r="IQ37" i="8"/>
  <c r="JC42" i="8"/>
  <c r="JQ54" i="8"/>
  <c r="IP50" i="8"/>
  <c r="IQ65" i="8"/>
  <c r="JM64" i="8"/>
  <c r="IL62" i="8"/>
  <c r="FK47" i="8"/>
  <c r="GQ34" i="8"/>
  <c r="KJ42" i="8"/>
  <c r="KC70" i="8"/>
  <c r="GL28" i="8"/>
  <c r="JN43" i="8"/>
  <c r="JC72" i="8"/>
  <c r="JZ45" i="8"/>
  <c r="IX62" i="8"/>
  <c r="IE53" i="8"/>
  <c r="JG74" i="8"/>
  <c r="KR66" i="8"/>
  <c r="JE55" i="8"/>
  <c r="JZ28" i="8"/>
  <c r="GT40" i="8"/>
  <c r="GJ75" i="8"/>
  <c r="IJ30" i="8"/>
  <c r="HE63" i="8"/>
  <c r="JY31" i="8"/>
  <c r="JM40" i="8"/>
  <c r="FR34" i="8"/>
  <c r="FR65" i="8"/>
  <c r="GG31" i="8"/>
  <c r="IX71" i="8"/>
  <c r="KK76" i="8"/>
  <c r="HJ32" i="8"/>
  <c r="GE67" i="8"/>
  <c r="GJ33" i="8"/>
  <c r="IM37" i="8"/>
  <c r="HX62" i="8"/>
  <c r="IZ70" i="8"/>
  <c r="KN38" i="8"/>
  <c r="KE31" i="8"/>
  <c r="KJ70" i="8"/>
  <c r="FN28" i="8"/>
  <c r="HX48" i="8"/>
  <c r="FO50" i="8"/>
  <c r="KE33" i="8"/>
  <c r="FQ72" i="8"/>
  <c r="JD72" i="8"/>
  <c r="FR52" i="8"/>
  <c r="JH66" i="8"/>
  <c r="HE72" i="8"/>
  <c r="KN49" i="8"/>
  <c r="HX37" i="8"/>
  <c r="I52" i="19"/>
  <c r="IF36" i="8"/>
  <c r="KL48" i="8"/>
  <c r="JJ48" i="8"/>
  <c r="KL36" i="8"/>
  <c r="JK59" i="8"/>
  <c r="ID56" i="8"/>
  <c r="JZ76" i="8"/>
  <c r="JI66" i="8"/>
  <c r="JX71" i="8"/>
  <c r="FS44" i="8"/>
  <c r="FT54" i="8"/>
  <c r="FP34" i="8"/>
  <c r="FX49" i="8"/>
  <c r="KR31" i="8"/>
  <c r="IT76" i="8"/>
  <c r="FQ48" i="8"/>
  <c r="GF32" i="8"/>
  <c r="GZ42" i="8"/>
  <c r="JN59" i="8"/>
  <c r="FS46" i="8"/>
  <c r="GJ44" i="8"/>
  <c r="IN65" i="8"/>
  <c r="FV41" i="8"/>
  <c r="HM28" i="8"/>
  <c r="FW63" i="8"/>
  <c r="FV65" i="8"/>
  <c r="IE41" i="8"/>
  <c r="JY54" i="8"/>
  <c r="HX61" i="8"/>
  <c r="HM45" i="8"/>
  <c r="JZ48" i="8"/>
  <c r="GS46" i="8"/>
  <c r="KD66" i="8"/>
  <c r="KQ43" i="8"/>
  <c r="HX54" i="8"/>
  <c r="IG50" i="8"/>
  <c r="JI46" i="8"/>
  <c r="KB67" i="8"/>
  <c r="IT37" i="8"/>
  <c r="KJ38" i="8"/>
  <c r="JM62" i="8"/>
  <c r="HC44" i="8"/>
  <c r="IF54" i="8"/>
  <c r="FV27" i="8"/>
  <c r="FY56" i="8"/>
  <c r="KT56" i="8"/>
  <c r="IL73" i="8"/>
  <c r="FQ75" i="8"/>
  <c r="IG57" i="8"/>
  <c r="JY62" i="8"/>
  <c r="KW76" i="8"/>
  <c r="JP74" i="8"/>
  <c r="JM74" i="8"/>
  <c r="IZ64" i="8"/>
  <c r="IG60" i="8"/>
  <c r="HR72" i="8"/>
  <c r="HM27" i="8"/>
  <c r="IC63" i="8"/>
  <c r="HK29" i="8"/>
  <c r="GT35" i="8"/>
  <c r="GD36" i="8"/>
  <c r="HB75" i="8"/>
  <c r="FS73" i="8"/>
  <c r="IA44" i="8"/>
  <c r="GT31" i="8"/>
  <c r="IH56" i="8"/>
  <c r="HB35" i="8"/>
  <c r="HY58" i="8"/>
  <c r="IC44" i="8"/>
  <c r="JN39" i="8"/>
  <c r="IR73" i="8"/>
  <c r="JP33" i="8"/>
  <c r="JE32" i="8"/>
  <c r="FO48" i="8"/>
  <c r="IS76" i="8"/>
  <c r="KW45" i="8"/>
  <c r="FL72" i="8"/>
  <c r="GL35" i="8"/>
  <c r="GI41" i="8"/>
  <c r="FP48" i="8"/>
  <c r="KF58" i="8"/>
  <c r="KA46" i="8"/>
  <c r="JJ69" i="8"/>
  <c r="HX71" i="8"/>
  <c r="IX35" i="8"/>
  <c r="JH71" i="8"/>
  <c r="JZ69" i="8"/>
  <c r="JG70" i="8"/>
  <c r="JK62" i="8"/>
  <c r="GL49" i="8"/>
  <c r="HH27" i="8"/>
  <c r="KC37" i="8"/>
  <c r="KJ32" i="8"/>
  <c r="KW59" i="8"/>
  <c r="KG44" i="8"/>
  <c r="FP56" i="8"/>
  <c r="GJ58" i="8"/>
  <c r="HR65" i="8"/>
  <c r="JQ37" i="8"/>
  <c r="IG35" i="8"/>
  <c r="KE76" i="8"/>
  <c r="IM59" i="8"/>
  <c r="IP72" i="8"/>
  <c r="HJ60" i="8"/>
  <c r="IH46" i="8"/>
  <c r="GV47" i="8"/>
  <c r="HZ28" i="8"/>
  <c r="KR76" i="8"/>
  <c r="JB40" i="8"/>
  <c r="KQ39" i="8"/>
  <c r="W54" i="19"/>
  <c r="HG39" i="8"/>
  <c r="KR61" i="8"/>
  <c r="HC33" i="8"/>
  <c r="HM69" i="8"/>
  <c r="KC46" i="8"/>
  <c r="JN64" i="8"/>
  <c r="KD29" i="8"/>
  <c r="FT51" i="8"/>
  <c r="HE56" i="8"/>
  <c r="IK48" i="8"/>
  <c r="HK62" i="8"/>
  <c r="JG30" i="8"/>
  <c r="FW43" i="8"/>
  <c r="GL69" i="8"/>
  <c r="GT46" i="8"/>
  <c r="KR52" i="8"/>
  <c r="IJ48" i="8"/>
  <c r="GK52" i="8"/>
  <c r="HY31" i="8"/>
  <c r="GN36" i="8"/>
  <c r="GC56" i="8"/>
  <c r="GO46" i="8"/>
  <c r="GG44" i="8"/>
  <c r="GV64" i="8"/>
  <c r="IL53" i="8"/>
  <c r="IM74" i="8"/>
  <c r="KL40" i="8"/>
  <c r="JI30" i="8"/>
  <c r="KE69" i="8"/>
  <c r="KO64" i="8"/>
  <c r="FT52" i="8"/>
  <c r="JX59" i="8"/>
  <c r="HJ41" i="8"/>
  <c r="JV41" i="8"/>
  <c r="GZ52" i="8"/>
  <c r="JX75" i="8"/>
  <c r="GM69" i="8"/>
  <c r="IF39" i="8"/>
  <c r="GB43" i="8"/>
  <c r="KC69" i="8"/>
  <c r="KN72" i="8"/>
  <c r="KQ72" i="8"/>
  <c r="KD40" i="8"/>
  <c r="IB54" i="8"/>
  <c r="JJ54" i="8"/>
  <c r="KI60" i="8"/>
  <c r="JX68" i="8"/>
  <c r="GD51" i="8"/>
  <c r="KM51" i="8"/>
  <c r="P15" i="19"/>
  <c r="IR40" i="8"/>
  <c r="JS63" i="8"/>
  <c r="GT30" i="8"/>
  <c r="HZ38" i="8"/>
  <c r="IH39" i="8"/>
  <c r="JL52" i="8"/>
  <c r="KO45" i="8"/>
  <c r="GM36" i="8"/>
  <c r="JF63" i="8"/>
  <c r="IC71" i="8"/>
  <c r="FX31" i="8"/>
  <c r="HS47" i="8"/>
  <c r="JM42" i="8"/>
  <c r="GV66" i="8"/>
  <c r="GO65" i="8"/>
  <c r="IE32" i="8"/>
  <c r="JP76" i="8"/>
  <c r="JQ70" i="8"/>
  <c r="IZ48" i="8"/>
  <c r="JI75" i="8"/>
  <c r="HC55" i="8"/>
  <c r="JG36" i="8"/>
  <c r="IK75" i="8"/>
  <c r="KA40" i="8"/>
  <c r="HT57" i="8"/>
  <c r="GN41" i="8"/>
  <c r="HH38" i="8"/>
  <c r="GG64" i="8"/>
  <c r="HT31" i="8"/>
  <c r="IZ54" i="8"/>
  <c r="KE74" i="8"/>
  <c r="IQ38" i="8"/>
  <c r="FN76" i="8"/>
  <c r="FT70" i="8"/>
  <c r="GI27" i="8"/>
  <c r="GL42" i="8"/>
  <c r="GV75" i="8"/>
  <c r="IL68" i="8"/>
  <c r="IQ71" i="8"/>
  <c r="IJ74" i="8"/>
  <c r="IL42" i="8"/>
  <c r="FO40" i="8"/>
  <c r="HT63" i="8"/>
  <c r="GI48" i="8"/>
  <c r="HS72" i="8"/>
  <c r="IR30" i="8"/>
  <c r="IK44" i="8"/>
  <c r="IA39" i="8"/>
  <c r="HG56" i="8"/>
  <c r="GC73" i="8"/>
  <c r="JM47" i="8"/>
  <c r="GZ74" i="8"/>
  <c r="GV56" i="8"/>
  <c r="HY44" i="8"/>
  <c r="II28" i="8"/>
  <c r="JN52" i="8"/>
  <c r="FS30" i="8"/>
  <c r="JM32" i="8"/>
  <c r="IG44" i="8"/>
  <c r="IW76" i="8"/>
  <c r="GB70" i="8"/>
  <c r="IY47" i="8"/>
  <c r="FV68" i="8"/>
  <c r="GI49" i="8"/>
  <c r="KK69" i="8"/>
  <c r="IZ27" i="8"/>
  <c r="GG40" i="8"/>
  <c r="HC45" i="8"/>
  <c r="KV34" i="8"/>
  <c r="IF68" i="8"/>
  <c r="IQ30" i="8"/>
  <c r="IH41" i="8"/>
  <c r="HC66" i="8"/>
  <c r="FN32" i="8"/>
  <c r="KK56" i="8"/>
  <c r="JY61" i="8"/>
  <c r="JI71" i="8"/>
  <c r="IJ33" i="8"/>
  <c r="IC62" i="8"/>
  <c r="FR44" i="8"/>
  <c r="HM32" i="8"/>
  <c r="JY66" i="8"/>
  <c r="IH28" i="8"/>
  <c r="JZ30" i="8"/>
  <c r="GT75" i="8"/>
  <c r="KB56" i="8"/>
  <c r="IT61" i="8"/>
  <c r="HG30" i="8"/>
  <c r="ID44" i="8"/>
  <c r="IS59" i="8"/>
  <c r="HR43" i="8"/>
  <c r="HF61" i="8"/>
  <c r="HR57" i="8"/>
  <c r="GH43" i="8"/>
  <c r="GZ30" i="8"/>
  <c r="HF60" i="8"/>
  <c r="IN53" i="8"/>
  <c r="JC74" i="8"/>
  <c r="GB45" i="8"/>
  <c r="IK61" i="8"/>
  <c r="GS59" i="8"/>
  <c r="GJ36" i="8"/>
  <c r="JA30" i="8"/>
  <c r="FW60" i="8"/>
  <c r="JO27" i="8"/>
  <c r="JY51" i="8"/>
  <c r="KE49" i="8"/>
  <c r="FQ39" i="8"/>
  <c r="KW53" i="8"/>
  <c r="GH70" i="8"/>
  <c r="KQ50" i="8"/>
  <c r="KH52" i="8"/>
  <c r="GZ68" i="8"/>
  <c r="JH42" i="8"/>
  <c r="IQ69" i="8"/>
  <c r="IE75" i="8"/>
  <c r="IT44" i="8"/>
  <c r="IE70" i="8"/>
  <c r="JF48" i="8"/>
  <c r="IZ56" i="8"/>
  <c r="KQ27" i="8"/>
  <c r="IK67" i="8"/>
  <c r="KM35" i="8"/>
  <c r="JR72" i="8"/>
  <c r="IN47" i="8"/>
  <c r="IG67" i="8"/>
  <c r="JY48" i="8"/>
  <c r="GE44" i="8"/>
  <c r="HT64" i="8"/>
  <c r="GC29" i="8"/>
  <c r="IZ69" i="8"/>
  <c r="JH36" i="8"/>
  <c r="IC36" i="8"/>
  <c r="IB49" i="8"/>
  <c r="HO30" i="8"/>
  <c r="IC49" i="8"/>
  <c r="HY61" i="8"/>
  <c r="KP49" i="8"/>
  <c r="KI50" i="8"/>
  <c r="KF66" i="8"/>
  <c r="GR60" i="8"/>
  <c r="JX53" i="8"/>
  <c r="GM72" i="8"/>
  <c r="FY35" i="8"/>
  <c r="IG51" i="8"/>
  <c r="IQ27" i="8"/>
  <c r="HB67" i="8"/>
  <c r="KI40" i="8"/>
  <c r="JP58" i="8"/>
  <c r="HL70" i="8"/>
  <c r="GS64" i="8"/>
  <c r="HO27" i="8"/>
  <c r="KW72" i="8"/>
  <c r="IP36" i="8"/>
  <c r="GZ47" i="8"/>
  <c r="FQ73" i="8"/>
  <c r="HF57" i="8"/>
  <c r="KG75" i="8"/>
  <c r="GQ75" i="8"/>
  <c r="HX47" i="8"/>
  <c r="KI44" i="8"/>
  <c r="FL31" i="8"/>
  <c r="JX29" i="8"/>
  <c r="GH42" i="8"/>
  <c r="GJ61" i="8"/>
  <c r="HL58" i="8"/>
  <c r="FY54" i="8"/>
  <c r="KK73" i="8"/>
  <c r="HH76" i="8"/>
  <c r="HC75" i="8"/>
  <c r="JJ51" i="8"/>
  <c r="JW52" i="8"/>
  <c r="IH27" i="8"/>
  <c r="KR40" i="8"/>
  <c r="HT56" i="8"/>
  <c r="GH71" i="8"/>
  <c r="IX46" i="8"/>
  <c r="GN30" i="8"/>
  <c r="HY34" i="8"/>
  <c r="HT29" i="8"/>
  <c r="JN56" i="8"/>
  <c r="GZ38" i="8"/>
  <c r="KE45" i="8"/>
  <c r="GD75" i="8"/>
  <c r="IQ57" i="8"/>
  <c r="HX27" i="8"/>
  <c r="KO33" i="8"/>
  <c r="JJ41" i="8"/>
  <c r="HK70" i="8"/>
  <c r="KO31" i="8"/>
  <c r="JZ50" i="8"/>
  <c r="IO58" i="8"/>
  <c r="GI43" i="8"/>
  <c r="GK34" i="8"/>
  <c r="JC29" i="8"/>
  <c r="GO40" i="8"/>
  <c r="HE35" i="8"/>
  <c r="KJ43" i="8"/>
  <c r="KT73" i="8"/>
  <c r="IJ43" i="8"/>
  <c r="GV58" i="8"/>
  <c r="KT65" i="8"/>
  <c r="KW69" i="8"/>
  <c r="JE48" i="8"/>
  <c r="HA55" i="8"/>
  <c r="JR58" i="8"/>
  <c r="JM37" i="8"/>
  <c r="IW43" i="8"/>
  <c r="HJ76" i="8"/>
  <c r="IL52" i="8"/>
  <c r="JY33" i="8"/>
  <c r="JK37" i="8"/>
  <c r="GZ59" i="8"/>
  <c r="KI71" i="8"/>
  <c r="HM34" i="8"/>
  <c r="HC38" i="8"/>
  <c r="FL39" i="8"/>
  <c r="HE59" i="8"/>
  <c r="IW35" i="8"/>
  <c r="FK51" i="8"/>
  <c r="KK29" i="8"/>
  <c r="HL49" i="8"/>
  <c r="HT61" i="8"/>
  <c r="IZ45" i="8"/>
  <c r="IR52" i="8"/>
  <c r="IM43" i="8"/>
  <c r="HX43" i="8"/>
  <c r="JK65" i="8"/>
  <c r="GB58" i="8"/>
  <c r="GM39" i="8"/>
  <c r="JL43" i="8"/>
  <c r="GV41" i="8"/>
  <c r="JA42" i="8"/>
  <c r="JP73" i="8"/>
  <c r="HX65" i="8"/>
  <c r="GE57" i="8"/>
  <c r="KI37" i="8"/>
  <c r="KI29" i="8"/>
  <c r="HZ61" i="8"/>
  <c r="GB39" i="8"/>
  <c r="GO43" i="8"/>
  <c r="IC55" i="8"/>
  <c r="GK45" i="8"/>
  <c r="HF74" i="8"/>
  <c r="JV40" i="8"/>
  <c r="IF43" i="8"/>
  <c r="HH51" i="8"/>
  <c r="KD33" i="8"/>
  <c r="JW34" i="8"/>
  <c r="KK45" i="8"/>
  <c r="G54" i="19"/>
  <c r="JS73" i="8"/>
  <c r="IE43" i="8"/>
  <c r="GM33" i="8"/>
  <c r="HS64" i="8"/>
  <c r="HZ35" i="8"/>
  <c r="IO64" i="8"/>
  <c r="GH34" i="8"/>
  <c r="KH50" i="8"/>
  <c r="KD35" i="8"/>
  <c r="HJ30" i="8"/>
  <c r="GL60" i="8"/>
  <c r="JS54" i="8"/>
  <c r="HE46" i="8"/>
  <c r="IM31" i="8"/>
  <c r="GQ35" i="8"/>
  <c r="KE71" i="8"/>
  <c r="KO43" i="8"/>
  <c r="GG75" i="8"/>
  <c r="HZ27" i="8"/>
  <c r="JD71" i="8"/>
  <c r="KR60" i="8"/>
  <c r="GD38" i="8"/>
  <c r="IE56" i="8"/>
  <c r="FL27" i="8"/>
  <c r="KN60" i="8"/>
  <c r="JQ44" i="8"/>
  <c r="KA61" i="8"/>
  <c r="HS32" i="8"/>
  <c r="IR61" i="8"/>
  <c r="GP27" i="8"/>
  <c r="ID36" i="8"/>
  <c r="JW35" i="8"/>
  <c r="IH63" i="8"/>
  <c r="JO74" i="8"/>
  <c r="GS54" i="8"/>
  <c r="IC61" i="8"/>
  <c r="FX27" i="8"/>
  <c r="KG67" i="8"/>
  <c r="IA70" i="8"/>
  <c r="GE34" i="8"/>
  <c r="JX33" i="8"/>
  <c r="JA53" i="8"/>
  <c r="HC31" i="8"/>
  <c r="FP59" i="8"/>
  <c r="HO70" i="8"/>
  <c r="KF60" i="8"/>
  <c r="HO39" i="8"/>
  <c r="HA66" i="8"/>
  <c r="JA71" i="8"/>
  <c r="FV47" i="8"/>
  <c r="KB76" i="8"/>
  <c r="JK44" i="8"/>
  <c r="GV30" i="8"/>
  <c r="JK36" i="8"/>
  <c r="IC35" i="8"/>
  <c r="JP45" i="8"/>
  <c r="JQ60" i="8"/>
  <c r="IH73" i="8"/>
  <c r="IM71" i="8"/>
  <c r="GK46" i="8"/>
  <c r="HH55" i="8"/>
  <c r="KE56" i="8"/>
  <c r="JO31" i="8"/>
  <c r="KF28" i="8"/>
  <c r="GK69" i="8"/>
  <c r="HC74" i="8"/>
  <c r="KK58" i="8"/>
  <c r="HE65" i="8"/>
  <c r="FO71" i="8"/>
  <c r="FW56" i="8"/>
  <c r="FP33" i="8"/>
  <c r="II59" i="8"/>
  <c r="IQ76" i="8"/>
  <c r="IQ52" i="8"/>
  <c r="IR48" i="8"/>
  <c r="KC51" i="8"/>
  <c r="IB63" i="8"/>
  <c r="IS75" i="8"/>
  <c r="IY55" i="8"/>
  <c r="FO72" i="8"/>
  <c r="IP37" i="8"/>
  <c r="KD46" i="8"/>
  <c r="JW76" i="8"/>
  <c r="T54" i="19"/>
  <c r="IW74" i="8"/>
  <c r="HO74" i="8"/>
  <c r="JW72" i="8"/>
  <c r="IS58" i="8"/>
  <c r="IL49" i="8"/>
  <c r="GB60" i="8"/>
  <c r="IX53" i="8"/>
  <c r="HY73" i="8"/>
  <c r="FY63" i="8"/>
  <c r="GO49" i="8"/>
  <c r="KP73" i="8"/>
  <c r="IA58" i="8"/>
  <c r="GK39" i="8"/>
  <c r="JW60" i="8"/>
  <c r="JP66" i="8"/>
  <c r="HX76" i="8"/>
  <c r="HB28" i="8"/>
  <c r="JW27" i="8"/>
  <c r="KD60" i="8"/>
  <c r="IQ72" i="8"/>
  <c r="GL74" i="8"/>
  <c r="GT55" i="8"/>
  <c r="HA49" i="8"/>
  <c r="ID65" i="8"/>
  <c r="IT64" i="8"/>
  <c r="JK38" i="8"/>
  <c r="KK54" i="8"/>
  <c r="FV60" i="8"/>
  <c r="IX44" i="8"/>
  <c r="JS33" i="8"/>
  <c r="FY48" i="8"/>
  <c r="HC67" i="8"/>
  <c r="JC28" i="8"/>
  <c r="JV57" i="8"/>
  <c r="GB49" i="8"/>
  <c r="KT50" i="8"/>
  <c r="FL54" i="8"/>
  <c r="JP39" i="8"/>
  <c r="GC59" i="8"/>
  <c r="HS71" i="8"/>
  <c r="GO37" i="8"/>
  <c r="GJ60" i="8"/>
  <c r="HO50" i="8"/>
  <c r="KT43" i="8"/>
  <c r="FO38" i="8"/>
  <c r="KN61" i="8"/>
  <c r="GN49" i="8"/>
  <c r="JQ62" i="8"/>
  <c r="KO32" i="8"/>
  <c r="GQ29" i="8"/>
  <c r="HL76" i="8"/>
  <c r="GD47" i="8"/>
  <c r="GZ55" i="8"/>
  <c r="GK36" i="8"/>
  <c r="KQ37" i="8"/>
  <c r="JC73" i="8"/>
  <c r="GD76" i="8"/>
  <c r="IK32" i="8"/>
  <c r="IK45" i="8"/>
  <c r="KM45" i="8"/>
  <c r="IQ48" i="8"/>
  <c r="GQ45" i="8"/>
  <c r="GV70" i="8"/>
  <c r="GU49" i="8"/>
  <c r="IW73" i="8"/>
  <c r="KK46" i="8"/>
  <c r="JR68" i="8"/>
  <c r="FT28" i="8"/>
  <c r="IF69" i="8"/>
  <c r="IZ72" i="8"/>
  <c r="II56" i="8"/>
  <c r="JC27" i="8"/>
  <c r="HG68" i="8"/>
  <c r="B52" i="19"/>
  <c r="FO30" i="8"/>
  <c r="JM55" i="8"/>
  <c r="O15" i="19"/>
  <c r="IR75" i="8"/>
  <c r="KB39" i="8"/>
  <c r="JF35" i="8"/>
  <c r="H51" i="19"/>
  <c r="JN74" i="8"/>
  <c r="GP66" i="8"/>
  <c r="JA47" i="8"/>
  <c r="FL66" i="8"/>
  <c r="IF71" i="8"/>
  <c r="ID28" i="8"/>
  <c r="IY37" i="8"/>
  <c r="GB66" i="8"/>
  <c r="FW52" i="8"/>
  <c r="GF30" i="8"/>
  <c r="JH60" i="8"/>
  <c r="IZ35" i="8"/>
  <c r="GN43" i="8"/>
  <c r="JQ40" i="8"/>
  <c r="FN38" i="8"/>
  <c r="HS66" i="8"/>
  <c r="JM43" i="8"/>
  <c r="KP27" i="8"/>
  <c r="KV41" i="8"/>
  <c r="JN41" i="8"/>
  <c r="JX38" i="8"/>
  <c r="IS49" i="8"/>
  <c r="FL62" i="8"/>
  <c r="HP37" i="8"/>
  <c r="HU56" i="8"/>
  <c r="HY36" i="8"/>
  <c r="IM57" i="8"/>
  <c r="HF43" i="8"/>
  <c r="HU70" i="8"/>
  <c r="FT57" i="8"/>
  <c r="JY69" i="8"/>
  <c r="IW52" i="8"/>
  <c r="GQ74" i="8"/>
  <c r="HG70" i="8"/>
  <c r="GC52" i="8"/>
  <c r="FP62" i="8"/>
  <c r="IO49" i="8"/>
  <c r="GP30" i="8"/>
  <c r="IL44" i="8"/>
  <c r="FO59" i="8"/>
  <c r="JZ66" i="8"/>
  <c r="IT69" i="8"/>
  <c r="KR44" i="8"/>
  <c r="JZ55" i="8"/>
  <c r="HZ70" i="8"/>
  <c r="HB49" i="8"/>
  <c r="GM71" i="8"/>
  <c r="KF69" i="8"/>
  <c r="IR57" i="8"/>
  <c r="IM65" i="8"/>
  <c r="IX52" i="8"/>
  <c r="KC61" i="8"/>
  <c r="JJ74" i="8"/>
  <c r="KO53" i="8"/>
  <c r="KM54" i="8"/>
  <c r="FS33" i="8"/>
  <c r="KO57" i="8"/>
  <c r="GS47" i="8"/>
  <c r="HH32" i="8"/>
  <c r="JM41" i="8"/>
  <c r="HP71" i="8"/>
  <c r="IX58" i="8"/>
  <c r="FK27" i="8"/>
  <c r="KV63" i="8"/>
  <c r="JB75" i="8"/>
  <c r="KF48" i="8"/>
  <c r="JN48" i="8"/>
  <c r="HC76" i="8"/>
  <c r="JY70" i="8"/>
  <c r="KG59" i="8"/>
  <c r="JO46" i="8"/>
  <c r="JF34" i="8"/>
  <c r="GB38" i="8"/>
  <c r="GV65" i="8"/>
  <c r="IP58" i="8"/>
  <c r="JM30" i="8"/>
  <c r="KV65" i="8"/>
  <c r="IQ43" i="8"/>
  <c r="HU47" i="8"/>
  <c r="GZ33" i="8"/>
  <c r="IS35" i="8"/>
  <c r="JL54" i="8"/>
  <c r="HS67" i="8"/>
  <c r="JJ62" i="8"/>
  <c r="JY58" i="8"/>
  <c r="FO56" i="8"/>
  <c r="IM61" i="8"/>
  <c r="IW46" i="8"/>
  <c r="KT48" i="8"/>
  <c r="JK45" i="8"/>
  <c r="KD39" i="8"/>
  <c r="FW62" i="8"/>
  <c r="FS47" i="8"/>
  <c r="IC37" i="8"/>
  <c r="FP39" i="8"/>
  <c r="II62" i="8"/>
  <c r="IP27" i="8"/>
  <c r="GL45" i="8"/>
  <c r="FP55" i="8"/>
  <c r="KF55" i="8"/>
  <c r="IJ44" i="8"/>
  <c r="KL66" i="8"/>
  <c r="HM73" i="8"/>
  <c r="KR58" i="8"/>
  <c r="KH57" i="8"/>
  <c r="HK58" i="8"/>
  <c r="HO40" i="8"/>
  <c r="HS43" i="8"/>
  <c r="KV27" i="8"/>
  <c r="KA47" i="8"/>
  <c r="KI34" i="8"/>
  <c r="FN63" i="8"/>
  <c r="KC75" i="8"/>
  <c r="HS76" i="8"/>
  <c r="O51" i="19"/>
  <c r="GU42" i="8"/>
  <c r="GC39" i="8"/>
  <c r="FL71" i="8"/>
  <c r="GN33" i="8"/>
  <c r="IW62" i="8"/>
  <c r="HP41" i="8"/>
  <c r="KR55" i="8"/>
  <c r="JG27" i="8"/>
  <c r="FN42" i="8"/>
  <c r="GR70" i="8"/>
  <c r="JN42" i="8"/>
  <c r="HU36" i="8"/>
  <c r="KQ52" i="8"/>
  <c r="JP51" i="8"/>
  <c r="GB51" i="8"/>
  <c r="GQ60" i="8"/>
  <c r="KK55" i="8"/>
  <c r="IB45" i="8"/>
  <c r="FR57" i="8"/>
  <c r="GJ55" i="8"/>
  <c r="JZ75" i="8"/>
  <c r="GI42" i="8"/>
  <c r="KV38" i="8"/>
  <c r="IQ51" i="8"/>
  <c r="HO33" i="8"/>
  <c r="GN46" i="8"/>
  <c r="GK70" i="8"/>
  <c r="HR73" i="8"/>
  <c r="AB51" i="19"/>
  <c r="HL35" i="8"/>
  <c r="IR64" i="8"/>
  <c r="KA28" i="8"/>
  <c r="JA57" i="8"/>
  <c r="KC38" i="8"/>
  <c r="FW34" i="8"/>
  <c r="IR33" i="8"/>
  <c r="JX27" i="8"/>
  <c r="HP62" i="8"/>
  <c r="KM76" i="8"/>
  <c r="GU57" i="8"/>
  <c r="GL65" i="8"/>
  <c r="JL72" i="8"/>
  <c r="HC72" i="8"/>
  <c r="GU56" i="8"/>
  <c r="IB53" i="8"/>
  <c r="GU68" i="8"/>
  <c r="GQ28" i="8"/>
  <c r="JW73" i="8"/>
  <c r="HA38" i="8"/>
  <c r="IZ31" i="8"/>
  <c r="ID43" i="8"/>
  <c r="JQ30" i="8"/>
  <c r="JO56" i="8"/>
  <c r="JW55" i="8"/>
  <c r="JX58" i="8"/>
  <c r="FT34" i="8"/>
  <c r="IG33" i="8"/>
  <c r="KM34" i="8"/>
  <c r="HH44" i="8"/>
  <c r="HF31" i="8"/>
  <c r="KR27" i="8"/>
  <c r="KW44" i="8"/>
  <c r="JR30" i="8"/>
  <c r="FO31" i="8"/>
  <c r="IO69" i="8"/>
  <c r="JB69" i="8"/>
  <c r="GG70" i="8"/>
  <c r="IO28" i="8"/>
  <c r="IM63" i="8"/>
  <c r="JE53" i="8"/>
  <c r="HP39" i="8"/>
  <c r="JZ60" i="8"/>
  <c r="IK46" i="8"/>
  <c r="HS69" i="8"/>
  <c r="GF66" i="8"/>
  <c r="HG59" i="8"/>
  <c r="GB68" i="8"/>
  <c r="HU59" i="8"/>
  <c r="GN53" i="8"/>
  <c r="GC41" i="8"/>
  <c r="IK73" i="8"/>
  <c r="HT48" i="8"/>
  <c r="II53" i="8"/>
  <c r="FO29" i="8"/>
  <c r="GH27" i="8"/>
  <c r="FS43" i="8"/>
  <c r="JQ53" i="8"/>
  <c r="GE49" i="8"/>
  <c r="HA53" i="8"/>
  <c r="KA31" i="8"/>
  <c r="FY30" i="8"/>
  <c r="IF32" i="8"/>
  <c r="FS49" i="8"/>
  <c r="IF37" i="8"/>
  <c r="FK52" i="8"/>
  <c r="HY48" i="8"/>
  <c r="JX49" i="8"/>
  <c r="KP69" i="8"/>
  <c r="JH72" i="8"/>
  <c r="KM37" i="8"/>
  <c r="KH42" i="8"/>
  <c r="JM69" i="8"/>
  <c r="IB30" i="8"/>
  <c r="IY60" i="8"/>
  <c r="HB27" i="8"/>
  <c r="HK49" i="8"/>
  <c r="GP53" i="8"/>
  <c r="IY58" i="8"/>
  <c r="KP42" i="8"/>
  <c r="KA52" i="8"/>
  <c r="FV32" i="8"/>
  <c r="KH37" i="8"/>
  <c r="IG74" i="8"/>
  <c r="JB72" i="8"/>
  <c r="JY59" i="8"/>
  <c r="IG31" i="8"/>
  <c r="HC37" i="8"/>
  <c r="HY38" i="8"/>
  <c r="FR39" i="8"/>
  <c r="FX65" i="8"/>
  <c r="KB33" i="8"/>
  <c r="JI31" i="8"/>
  <c r="HE47" i="8"/>
  <c r="GL33" i="8"/>
  <c r="JM57" i="8"/>
  <c r="JM49" i="8"/>
  <c r="KE63" i="8"/>
  <c r="FS70" i="8"/>
  <c r="JS48" i="8"/>
  <c r="JV51" i="8"/>
  <c r="IZ42" i="8"/>
  <c r="FV34" i="8"/>
  <c r="KE64" i="8"/>
  <c r="GE40" i="8"/>
  <c r="IJ64" i="8"/>
  <c r="FN37" i="8"/>
  <c r="KB32" i="8"/>
  <c r="FT29" i="8"/>
  <c r="II32" i="8"/>
  <c r="HY41" i="8"/>
  <c r="GC55" i="8"/>
  <c r="GL61" i="8"/>
  <c r="JZ42" i="8"/>
  <c r="HK52" i="8"/>
  <c r="IX31" i="8"/>
  <c r="FQ61" i="8"/>
  <c r="HX58" i="8"/>
  <c r="KB55" i="8"/>
  <c r="FM65" i="8"/>
  <c r="JM63" i="8"/>
  <c r="GG48" i="8"/>
  <c r="GD67" i="8"/>
  <c r="KG29" i="8"/>
  <c r="FM76" i="8"/>
  <c r="HE58" i="8"/>
  <c r="KR54" i="8"/>
  <c r="HL53" i="8"/>
  <c r="KW60" i="8"/>
  <c r="JI29" i="8"/>
  <c r="HG45" i="8"/>
  <c r="KF29" i="8"/>
  <c r="FY28" i="8"/>
  <c r="KK62" i="8"/>
  <c r="HT45" i="8"/>
  <c r="FY59" i="8"/>
  <c r="IS52" i="8"/>
  <c r="JW46" i="8"/>
  <c r="HZ53" i="8"/>
  <c r="IQ61" i="8"/>
  <c r="FO43" i="8"/>
  <c r="KG64" i="8"/>
  <c r="KP68" i="8"/>
  <c r="IS34" i="8"/>
  <c r="KJ63" i="8"/>
  <c r="FS35" i="8"/>
  <c r="GO45" i="8"/>
  <c r="HJ54" i="8"/>
  <c r="JR41" i="8"/>
  <c r="JO63" i="8"/>
  <c r="GS35" i="8"/>
  <c r="JH32" i="8"/>
  <c r="JE47" i="8"/>
  <c r="JI51" i="8"/>
  <c r="JB34" i="8"/>
  <c r="HS27" i="8"/>
  <c r="GJ51" i="8"/>
  <c r="KN28" i="8"/>
  <c r="IS54" i="8"/>
  <c r="IS51" i="8"/>
  <c r="IR37" i="8"/>
  <c r="JP50" i="8"/>
  <c r="GP48" i="8"/>
  <c r="FY39" i="8"/>
  <c r="KV40" i="8"/>
  <c r="JH74" i="8"/>
  <c r="IP61" i="8"/>
  <c r="HB30" i="8"/>
  <c r="GF75" i="8"/>
  <c r="IW55" i="8"/>
  <c r="KO63" i="8"/>
  <c r="JE51" i="8"/>
  <c r="JD27" i="8"/>
  <c r="GT63" i="8"/>
  <c r="KJ40" i="8"/>
  <c r="HR49" i="8"/>
  <c r="B15" i="19"/>
  <c r="IY39" i="8"/>
  <c r="HG63" i="8"/>
  <c r="IL69" i="8"/>
  <c r="GN38" i="8"/>
  <c r="JJ47" i="8"/>
  <c r="GC68" i="8"/>
  <c r="FV53" i="8"/>
  <c r="KE48" i="8"/>
  <c r="JD53" i="8"/>
  <c r="IM53" i="8"/>
  <c r="JN34" i="8"/>
  <c r="KK61" i="8"/>
  <c r="IQ44" i="8"/>
  <c r="GM61" i="8"/>
  <c r="GV38" i="8"/>
  <c r="GV37" i="8"/>
  <c r="JM56" i="8"/>
  <c r="JW62" i="8"/>
  <c r="JV46" i="8"/>
  <c r="GP61" i="8"/>
  <c r="GV67" i="8"/>
  <c r="GL46" i="8"/>
  <c r="GO75" i="8"/>
  <c r="HK53" i="8"/>
  <c r="JB76" i="8"/>
  <c r="GM44" i="8"/>
  <c r="KJ64" i="8"/>
  <c r="JA72" i="8"/>
  <c r="GD62" i="8"/>
  <c r="GE35" i="8"/>
  <c r="IS56" i="8"/>
  <c r="JX40" i="8"/>
  <c r="IN73" i="8"/>
  <c r="GB63" i="8"/>
  <c r="KF54" i="8"/>
  <c r="JZ68" i="8"/>
  <c r="KF76" i="8"/>
  <c r="GZ64" i="8"/>
  <c r="IL47" i="8"/>
  <c r="GF36" i="8"/>
  <c r="JR34" i="8"/>
  <c r="HK59" i="8"/>
  <c r="GM34" i="8"/>
  <c r="GC44" i="8"/>
  <c r="HH52" i="8"/>
  <c r="KQ32" i="8"/>
  <c r="GC47" i="8"/>
  <c r="FY62" i="8"/>
  <c r="G15" i="19"/>
  <c r="JN67" i="8"/>
  <c r="GR36" i="8"/>
  <c r="GS76" i="8"/>
  <c r="JJ37" i="8"/>
  <c r="IG61" i="8"/>
  <c r="KL72" i="8"/>
  <c r="FX64" i="8"/>
  <c r="IO72" i="8"/>
  <c r="IQ33" i="8"/>
  <c r="GZ27" i="8"/>
  <c r="GS41" i="8"/>
  <c r="HR48" i="8"/>
  <c r="GE51" i="8"/>
  <c r="IO35" i="8"/>
  <c r="KR72" i="8"/>
  <c r="JM29" i="8"/>
  <c r="FP61" i="8"/>
  <c r="KM59" i="8"/>
  <c r="HC42" i="8"/>
  <c r="GO29" i="8"/>
  <c r="GN57" i="8"/>
  <c r="KE39" i="8"/>
  <c r="IW66" i="8"/>
  <c r="GI44" i="8"/>
  <c r="IT49" i="8"/>
  <c r="JE35" i="8"/>
  <c r="HM33" i="8"/>
  <c r="JQ69" i="8"/>
  <c r="FO41" i="8"/>
  <c r="KR45" i="8"/>
  <c r="FX50" i="8"/>
  <c r="KG27" i="8"/>
  <c r="IW41" i="8"/>
  <c r="KV32" i="8"/>
  <c r="HH63" i="8"/>
  <c r="GS55" i="8"/>
  <c r="JO71" i="8"/>
  <c r="GS39" i="8"/>
  <c r="KG32" i="8"/>
  <c r="IX75" i="8"/>
  <c r="KQ59" i="8"/>
  <c r="IC65" i="8"/>
  <c r="FQ53" i="8"/>
  <c r="JK71" i="8"/>
  <c r="GN35" i="8"/>
  <c r="JQ38" i="8"/>
  <c r="KN48" i="8"/>
  <c r="JB48" i="8"/>
  <c r="KP54" i="8"/>
  <c r="HZ31" i="8"/>
  <c r="HX57" i="8"/>
  <c r="HR59" i="8"/>
  <c r="FM57" i="8"/>
  <c r="IO32" i="8"/>
  <c r="KJ48" i="8"/>
  <c r="GF45" i="8"/>
  <c r="IB71" i="8"/>
  <c r="JM54" i="8"/>
  <c r="GS75" i="8"/>
  <c r="JE62" i="8"/>
  <c r="JB44" i="8"/>
  <c r="GU55" i="8"/>
  <c r="IK47" i="8"/>
  <c r="HL48" i="8"/>
  <c r="HT40" i="8"/>
  <c r="JW43" i="8"/>
  <c r="IX39" i="8"/>
  <c r="IN54" i="8"/>
  <c r="HK38" i="8"/>
  <c r="KG51" i="8"/>
  <c r="IJ55" i="8"/>
  <c r="HP42" i="8"/>
  <c r="HR52" i="8"/>
  <c r="HR33" i="8"/>
  <c r="JN44" i="8"/>
  <c r="GN51" i="8"/>
  <c r="IL60" i="8"/>
  <c r="FT69" i="8"/>
  <c r="JA31" i="8"/>
  <c r="HT44" i="8"/>
  <c r="GQ31" i="8"/>
  <c r="HR51" i="8"/>
  <c r="JC54" i="8"/>
  <c r="HY49" i="8"/>
  <c r="HF59" i="8"/>
  <c r="GS37" i="8"/>
  <c r="KO70" i="8"/>
  <c r="KH56" i="8"/>
  <c r="HA73" i="8"/>
  <c r="KA44" i="8"/>
  <c r="JA69" i="8"/>
  <c r="IN70" i="8"/>
  <c r="HO32" i="8"/>
  <c r="KL59" i="8"/>
  <c r="GT41" i="8"/>
  <c r="JE39" i="8"/>
  <c r="IM44" i="8"/>
  <c r="HT72" i="8"/>
  <c r="GG50" i="8"/>
  <c r="HM36" i="8"/>
  <c r="IA28" i="8"/>
  <c r="HF37" i="8"/>
  <c r="HO64" i="8"/>
  <c r="FT75" i="8"/>
  <c r="FS63" i="8"/>
  <c r="HJ46" i="8"/>
  <c r="HS53" i="8"/>
  <c r="IA54" i="8"/>
  <c r="GS28" i="8"/>
  <c r="JX61" i="8"/>
  <c r="KP57" i="8"/>
  <c r="KT72" i="8"/>
  <c r="GH31" i="8"/>
  <c r="FK59" i="8"/>
  <c r="II61" i="8"/>
  <c r="IE38" i="8"/>
  <c r="IF74" i="8"/>
  <c r="JP56" i="8"/>
  <c r="HP51" i="8"/>
  <c r="HZ73" i="8"/>
  <c r="FM75" i="8"/>
  <c r="JQ32" i="8"/>
  <c r="JO59" i="8"/>
  <c r="IT38" i="8"/>
  <c r="GK53" i="8"/>
  <c r="IY51" i="8"/>
  <c r="JI74" i="8"/>
  <c r="KK48" i="8"/>
  <c r="FX38" i="8"/>
  <c r="GJ74" i="8"/>
  <c r="IY70" i="8"/>
  <c r="KW36" i="8"/>
  <c r="GL38" i="8"/>
  <c r="GV73" i="8"/>
  <c r="KV49" i="8"/>
  <c r="HH28" i="8"/>
  <c r="HR41" i="8"/>
  <c r="IF29" i="8"/>
  <c r="JC51" i="8"/>
  <c r="GS58" i="8"/>
  <c r="FT35" i="8"/>
  <c r="GZ50" i="8"/>
  <c r="JJ55" i="8"/>
  <c r="FY40" i="8"/>
  <c r="KT47" i="8"/>
  <c r="JW61" i="8"/>
  <c r="HA30" i="8"/>
  <c r="KR63" i="8"/>
  <c r="IB74" i="8"/>
  <c r="KD71" i="8"/>
  <c r="JK69" i="8"/>
  <c r="KV57" i="8"/>
  <c r="JS66" i="8"/>
  <c r="IA38" i="8"/>
  <c r="KO76" i="8"/>
  <c r="KJ52" i="8"/>
  <c r="JE61" i="8"/>
  <c r="FT32" i="8"/>
  <c r="IF30" i="8"/>
  <c r="JI44" i="8"/>
  <c r="JF60" i="8"/>
  <c r="GT28" i="8"/>
  <c r="HY74" i="8"/>
  <c r="GM32" i="8"/>
  <c r="GT73" i="8"/>
  <c r="HJ63" i="8"/>
  <c r="HE34" i="8"/>
  <c r="KW34" i="8"/>
  <c r="HL36" i="8"/>
  <c r="JS67" i="8"/>
  <c r="KI33" i="8"/>
  <c r="JR36" i="8"/>
  <c r="GR65" i="8"/>
  <c r="FS60" i="8"/>
  <c r="HA46" i="8"/>
  <c r="KM73" i="8"/>
  <c r="GM58" i="8"/>
  <c r="JH58" i="8"/>
  <c r="JD45" i="8"/>
  <c r="FV58" i="8"/>
  <c r="GO38" i="8"/>
  <c r="GM48" i="8"/>
  <c r="GV55" i="8"/>
  <c r="JH28" i="8"/>
  <c r="KA73" i="8"/>
  <c r="JA34" i="8"/>
  <c r="KG60" i="8"/>
  <c r="HP48" i="8"/>
  <c r="JI72" i="8"/>
  <c r="IA65" i="8"/>
  <c r="GN44" i="8"/>
  <c r="JH61" i="8"/>
  <c r="FW37" i="8"/>
  <c r="GL40" i="8"/>
  <c r="JI52" i="8"/>
  <c r="HL69" i="8"/>
  <c r="FO66" i="8"/>
  <c r="IY73" i="8"/>
  <c r="KO36" i="8"/>
  <c r="GP73" i="8"/>
  <c r="KJ66" i="8"/>
  <c r="KC49" i="8"/>
  <c r="IP32" i="8"/>
  <c r="JV59" i="8"/>
  <c r="IW71" i="8"/>
  <c r="KA27" i="8"/>
  <c r="KO30" i="8"/>
  <c r="GB75" i="8"/>
  <c r="GM29" i="8"/>
  <c r="GU60" i="8"/>
  <c r="GF56" i="8"/>
  <c r="IH71" i="8"/>
  <c r="HU30" i="8"/>
  <c r="KD47" i="8"/>
  <c r="GP50" i="8"/>
  <c r="KG42" i="8"/>
  <c r="JN66" i="8"/>
  <c r="KV71" i="8"/>
  <c r="GG67" i="8"/>
  <c r="KL74" i="8"/>
  <c r="II39" i="8"/>
  <c r="GU33" i="8"/>
  <c r="KE29" i="8"/>
  <c r="FN52" i="8"/>
  <c r="HO48" i="8"/>
  <c r="IA71" i="8"/>
  <c r="JP41" i="8"/>
  <c r="JC66" i="8"/>
  <c r="JH57" i="8"/>
  <c r="KE57" i="8"/>
  <c r="JI48" i="8"/>
  <c r="JD41" i="8"/>
  <c r="FX47" i="8"/>
  <c r="GN64" i="8"/>
  <c r="KO49" i="8"/>
  <c r="JF75" i="8"/>
  <c r="IG75" i="8"/>
  <c r="JJ42" i="8"/>
  <c r="JJ27" i="8"/>
  <c r="IA74" i="8"/>
  <c r="GF29" i="8"/>
  <c r="KK65" i="8"/>
  <c r="JA38" i="8"/>
  <c r="GS31" i="8"/>
  <c r="IY41" i="8"/>
  <c r="GB72" i="8"/>
  <c r="FP46" i="8"/>
  <c r="IF27" i="8"/>
  <c r="II70" i="8"/>
  <c r="II64" i="8"/>
  <c r="IF61" i="8"/>
  <c r="IS74" i="8"/>
  <c r="KI53" i="8"/>
  <c r="JZ49" i="8"/>
  <c r="HK69" i="8"/>
  <c r="KW51" i="8"/>
  <c r="KB29" i="8"/>
  <c r="HT62" i="8"/>
  <c r="KE66" i="8"/>
  <c r="GB41" i="8"/>
  <c r="HG61" i="8"/>
  <c r="IM73" i="8"/>
  <c r="HO34" i="8"/>
  <c r="JR50" i="8"/>
  <c r="II33" i="8"/>
  <c r="IQ73" i="8"/>
  <c r="FX44" i="8"/>
  <c r="IW47" i="8"/>
  <c r="GG43" i="8"/>
  <c r="HG53" i="8"/>
  <c r="FW72" i="8"/>
  <c r="KI57" i="8"/>
  <c r="HJ70" i="8"/>
  <c r="GK62" i="8"/>
  <c r="JI76" i="8"/>
  <c r="IO59" i="8"/>
  <c r="IE46" i="8"/>
  <c r="HG38" i="8"/>
  <c r="JA37" i="8"/>
  <c r="FM27" i="8"/>
  <c r="IS29" i="8"/>
  <c r="IR56" i="8"/>
  <c r="GH68" i="8"/>
  <c r="GQ76" i="8"/>
  <c r="JS46" i="8"/>
  <c r="HG44" i="8"/>
  <c r="GQ52" i="8"/>
  <c r="IF28" i="8"/>
  <c r="II63" i="8"/>
  <c r="IB31" i="8"/>
  <c r="GR44" i="8"/>
  <c r="FR63" i="8"/>
  <c r="JR70" i="8"/>
  <c r="IW36" i="8"/>
  <c r="KL33" i="8"/>
  <c r="GR66" i="8"/>
  <c r="KI73" i="8"/>
  <c r="JJ56" i="8"/>
  <c r="GR54" i="8"/>
  <c r="KD75" i="8"/>
  <c r="KO40" i="8"/>
  <c r="ID47" i="8"/>
  <c r="KB40" i="8"/>
  <c r="FO61" i="8"/>
  <c r="KF75" i="8"/>
  <c r="KV46" i="8"/>
  <c r="II68" i="8"/>
  <c r="GT62" i="8"/>
  <c r="KF49" i="8"/>
  <c r="FK64" i="8"/>
  <c r="HS74" i="8"/>
  <c r="GD31" i="8"/>
  <c r="GD61" i="8"/>
  <c r="GD49" i="8"/>
  <c r="GK76" i="8"/>
  <c r="IY34" i="8"/>
  <c r="JK52" i="8"/>
  <c r="GH41" i="8"/>
  <c r="GZ46" i="8"/>
  <c r="IJ50" i="8"/>
  <c r="GL62" i="8"/>
  <c r="IX57" i="8"/>
  <c r="FY72" i="8"/>
  <c r="KQ38" i="8"/>
  <c r="IW37" i="8"/>
  <c r="IG70" i="8"/>
  <c r="FR35" i="8"/>
  <c r="IJ66" i="8"/>
  <c r="GQ65" i="8"/>
  <c r="IS43" i="8"/>
  <c r="GC61" i="8"/>
  <c r="KQ63" i="8"/>
  <c r="HR76" i="8"/>
  <c r="JK47" i="8"/>
  <c r="FX30" i="8"/>
  <c r="KQ62" i="8"/>
  <c r="GG46" i="8"/>
  <c r="GR57" i="8"/>
  <c r="KI51" i="8"/>
  <c r="GT76" i="8"/>
  <c r="JO30" i="8"/>
  <c r="JN60" i="8"/>
  <c r="FM47" i="8"/>
  <c r="FY44" i="8"/>
  <c r="GL58" i="8"/>
  <c r="JS31" i="8"/>
  <c r="JJ50" i="8"/>
  <c r="KW70" i="8"/>
  <c r="II31" i="8"/>
  <c r="IB66" i="8"/>
  <c r="HK32" i="8"/>
  <c r="KG66" i="8"/>
  <c r="JA39" i="8"/>
  <c r="IT47" i="8"/>
  <c r="KM47" i="8"/>
  <c r="GK66" i="8"/>
  <c r="IS61" i="8"/>
  <c r="JL38" i="8"/>
  <c r="JR39" i="8"/>
  <c r="HM49" i="8"/>
  <c r="GR58" i="8"/>
  <c r="KH69" i="8"/>
  <c r="JG56" i="8"/>
  <c r="HA76" i="8"/>
  <c r="KN56" i="8"/>
  <c r="JF53" i="8"/>
  <c r="KW67" i="8"/>
  <c r="HT58" i="8"/>
  <c r="KB59" i="8"/>
  <c r="KA65" i="8"/>
  <c r="JN69" i="8"/>
  <c r="KP62" i="8"/>
  <c r="KV75" i="8"/>
  <c r="GR41" i="8"/>
  <c r="JS70" i="8"/>
  <c r="JV32" i="8"/>
  <c r="JQ68" i="8"/>
  <c r="IO29" i="8"/>
  <c r="HF65" i="8"/>
  <c r="HL51" i="8"/>
  <c r="HX30" i="8"/>
  <c r="IQ31" i="8"/>
  <c r="JF45" i="8"/>
  <c r="JS36" i="8"/>
  <c r="HE55" i="8"/>
  <c r="GP28" i="8"/>
  <c r="JB58" i="8"/>
  <c r="KE53" i="8"/>
  <c r="GK32" i="8"/>
  <c r="IT72" i="8"/>
  <c r="JG51" i="8"/>
  <c r="KP37" i="8"/>
  <c r="IF76" i="8"/>
  <c r="KV55" i="8"/>
  <c r="HK66" i="8"/>
  <c r="HB69" i="8"/>
  <c r="I15" i="19"/>
  <c r="GL44" i="8"/>
  <c r="FQ70" i="8"/>
  <c r="IE54" i="8"/>
  <c r="HK75" i="8"/>
  <c r="JQ72" i="8"/>
  <c r="JC45" i="8"/>
  <c r="JO45" i="8"/>
  <c r="GR53" i="8"/>
  <c r="HY28" i="8"/>
  <c r="IS60" i="8"/>
  <c r="KN65" i="8"/>
  <c r="JX32" i="8"/>
  <c r="GP42" i="8"/>
  <c r="JW37" i="8"/>
  <c r="JP53" i="8"/>
  <c r="HZ47" i="8"/>
  <c r="IX60" i="8"/>
  <c r="KG37" i="8"/>
  <c r="IH35" i="8"/>
  <c r="IH30" i="8"/>
  <c r="JR67" i="8"/>
  <c r="IC33" i="8"/>
  <c r="JL63" i="8"/>
  <c r="IF66" i="8"/>
  <c r="FQ63" i="8"/>
  <c r="HE51" i="8"/>
  <c r="GH47" i="8"/>
  <c r="IJ70" i="8"/>
  <c r="KT52" i="8"/>
  <c r="IO74" i="8"/>
  <c r="KR34" i="8"/>
  <c r="KH40" i="8"/>
  <c r="HL64" i="8"/>
  <c r="GN28" i="8"/>
  <c r="KV60" i="8"/>
  <c r="JJ30" i="8"/>
  <c r="JW67" i="8"/>
  <c r="HK68" i="8"/>
  <c r="KJ68" i="8"/>
  <c r="GL67" i="8"/>
  <c r="JP57" i="8"/>
  <c r="JS55" i="8"/>
  <c r="IB60" i="8"/>
  <c r="FK55" i="8"/>
  <c r="IM30" i="8"/>
  <c r="JE63" i="8"/>
  <c r="FV35" i="8"/>
  <c r="IL30" i="8"/>
  <c r="JR52" i="8"/>
  <c r="JI39" i="8"/>
  <c r="GM65" i="8"/>
  <c r="GC76" i="8"/>
  <c r="JV28" i="8"/>
  <c r="GK37" i="8"/>
  <c r="JV31" i="8"/>
  <c r="JX37" i="8"/>
  <c r="JD61" i="8"/>
  <c r="JH75" i="8"/>
  <c r="FW33" i="8"/>
  <c r="KG74" i="8"/>
  <c r="IJ47" i="8"/>
  <c r="IQ55" i="8"/>
  <c r="IC45" i="8"/>
  <c r="GJ40" i="8"/>
  <c r="IW49" i="8"/>
  <c r="JZ74" i="8"/>
  <c r="HA47" i="8"/>
  <c r="JL44" i="8"/>
  <c r="IS40" i="8"/>
  <c r="GG41" i="8"/>
  <c r="JO51" i="8"/>
  <c r="FX57" i="8"/>
  <c r="KJ51" i="8"/>
  <c r="JY50" i="8"/>
  <c r="IO31" i="8"/>
  <c r="HJ49" i="8"/>
  <c r="GL52" i="8"/>
  <c r="KI41" i="8"/>
  <c r="HJ43" i="8"/>
  <c r="IG49" i="8"/>
  <c r="JS75" i="8"/>
  <c r="AF19" i="19"/>
  <c r="HL42" i="8"/>
  <c r="GE70" i="8"/>
  <c r="IH51" i="8"/>
  <c r="KK44" i="8"/>
  <c r="GT58" i="8"/>
  <c r="IL56" i="8"/>
  <c r="HB53" i="8"/>
  <c r="KL31" i="8"/>
  <c r="IW60" i="8"/>
  <c r="KG62" i="8"/>
  <c r="JK35" i="8"/>
  <c r="IQ35" i="8"/>
  <c r="JD48" i="8"/>
  <c r="JM60" i="8"/>
  <c r="KW75" i="8"/>
  <c r="HF73" i="8"/>
  <c r="JD51" i="8"/>
  <c r="KR73" i="8"/>
  <c r="HH37" i="8"/>
  <c r="JE58" i="8"/>
  <c r="GJ68" i="8"/>
  <c r="FW54" i="8"/>
  <c r="IB59" i="8"/>
  <c r="FS53" i="8"/>
  <c r="JC44" i="8"/>
  <c r="HX53" i="8"/>
  <c r="FV72" i="8"/>
  <c r="FL58" i="8"/>
  <c r="KT37" i="8"/>
  <c r="GH54" i="8"/>
  <c r="KW48" i="8"/>
  <c r="GC48" i="8"/>
  <c r="GN40" i="8"/>
  <c r="IK54" i="8"/>
  <c r="IZ43" i="8"/>
  <c r="HK61" i="8"/>
  <c r="JQ52" i="8"/>
  <c r="GE47" i="8"/>
  <c r="JQ49" i="8"/>
  <c r="HB44" i="8"/>
  <c r="FL56" i="8"/>
  <c r="JF58" i="8"/>
  <c r="JN46" i="8"/>
  <c r="IB34" i="8"/>
  <c r="JB37" i="8"/>
  <c r="IB41" i="8"/>
  <c r="GR30" i="8"/>
  <c r="KM52" i="8"/>
  <c r="GJ47" i="8"/>
  <c r="JI64" i="8"/>
  <c r="GU53" i="8"/>
  <c r="IZ50" i="8"/>
  <c r="JW53" i="8"/>
  <c r="JE69" i="8"/>
  <c r="HO68" i="8"/>
  <c r="HF35" i="8"/>
  <c r="JO40" i="8"/>
  <c r="IK70" i="8"/>
  <c r="KH54" i="8"/>
  <c r="GI30" i="8"/>
  <c r="GH63" i="8"/>
  <c r="KE47" i="8"/>
  <c r="KI75" i="8"/>
  <c r="II51" i="8"/>
  <c r="IJ34" i="8"/>
  <c r="IJ75" i="8"/>
  <c r="FR76" i="8"/>
  <c r="JL76" i="8"/>
  <c r="HF32" i="8"/>
  <c r="JQ65" i="8"/>
  <c r="HF36" i="8"/>
  <c r="HF56" i="8"/>
  <c r="GD34" i="8"/>
  <c r="HK35" i="8"/>
  <c r="IA40" i="8"/>
  <c r="GI50" i="8"/>
  <c r="JE33" i="8"/>
  <c r="JG71" i="8"/>
  <c r="GI55" i="8"/>
  <c r="FO70" i="8"/>
  <c r="FS67" i="8"/>
  <c r="FO76" i="8"/>
  <c r="HP49" i="8"/>
  <c r="FK32" i="8"/>
  <c r="AE51" i="19"/>
  <c r="JW64" i="8"/>
  <c r="JY57" i="8"/>
  <c r="HM51" i="8"/>
  <c r="GZ35" i="8"/>
  <c r="GP57" i="8"/>
  <c r="JH44" i="8"/>
  <c r="FN34" i="8"/>
  <c r="KB49" i="8"/>
  <c r="HB41" i="8"/>
  <c r="GG62" i="8"/>
  <c r="FL74" i="8"/>
  <c r="FT27" i="8"/>
  <c r="JP31" i="8"/>
  <c r="GZ44" i="8"/>
  <c r="GR74" i="8"/>
  <c r="FT71" i="8"/>
  <c r="FM37" i="8"/>
  <c r="FW59" i="8"/>
  <c r="JB52" i="8"/>
  <c r="HJ62" i="8"/>
  <c r="GD41" i="8"/>
  <c r="IL28" i="8"/>
  <c r="JK53" i="8"/>
  <c r="KT28" i="8"/>
  <c r="IR71" i="8"/>
  <c r="JI57" i="8"/>
  <c r="GU40" i="8"/>
  <c r="KH76" i="8"/>
  <c r="IF40" i="8"/>
  <c r="FW69" i="8"/>
  <c r="KT42" i="8"/>
  <c r="IT29" i="8"/>
  <c r="FN29" i="8"/>
  <c r="II60" i="8"/>
  <c r="IE49" i="8"/>
  <c r="HY42" i="8"/>
  <c r="JN62" i="8"/>
  <c r="JG59" i="8"/>
  <c r="JH34" i="8"/>
  <c r="JF76" i="8"/>
  <c r="JC53" i="8"/>
  <c r="FO65" i="8"/>
  <c r="IL76" i="8"/>
  <c r="KP36" i="8"/>
  <c r="IL38" i="8"/>
  <c r="IO76" i="8"/>
  <c r="KN32" i="8"/>
  <c r="HT69" i="8"/>
  <c r="KK50" i="8"/>
  <c r="GF35" i="8"/>
  <c r="FK35" i="8"/>
  <c r="HE68" i="8"/>
  <c r="GH51" i="8"/>
  <c r="FR29" i="8"/>
  <c r="HK31" i="8"/>
  <c r="IJ29" i="8"/>
  <c r="IW61" i="8"/>
  <c r="IZ61" i="8"/>
  <c r="HJ29" i="8"/>
  <c r="ID70" i="8"/>
  <c r="JB53" i="8"/>
  <c r="FY43" i="8"/>
  <c r="IE42" i="8"/>
  <c r="JN35" i="8"/>
  <c r="KG72" i="8"/>
  <c r="KT76" i="8"/>
  <c r="KT68" i="8"/>
  <c r="KC32" i="8"/>
  <c r="HM41" i="8"/>
  <c r="JD33" i="8"/>
  <c r="KQ42" i="8"/>
  <c r="JE27" i="8"/>
  <c r="FP28" i="8"/>
  <c r="HA35" i="8"/>
  <c r="JP54" i="8"/>
  <c r="HM54" i="8"/>
  <c r="IM36" i="8"/>
  <c r="HM67" i="8"/>
  <c r="IC50" i="8"/>
  <c r="KF64" i="8"/>
  <c r="JV61" i="8"/>
  <c r="GN27" i="8"/>
  <c r="JQ35" i="8"/>
  <c r="JJ57" i="8"/>
  <c r="HS65" i="8"/>
  <c r="JO64" i="8"/>
  <c r="GB47" i="8"/>
  <c r="IX55" i="8"/>
  <c r="HZ39" i="8"/>
  <c r="GE31" i="8"/>
  <c r="JP68" i="8"/>
  <c r="HL56" i="8"/>
  <c r="FL35" i="8"/>
  <c r="FL41" i="8"/>
  <c r="JH62" i="8"/>
  <c r="KE75" i="8"/>
  <c r="JC50" i="8"/>
  <c r="IZ58" i="8"/>
  <c r="FW68" i="8"/>
  <c r="JB60" i="8"/>
  <c r="KT66" i="8"/>
  <c r="JK54" i="8"/>
  <c r="KB27" i="8"/>
  <c r="IL66" i="8"/>
  <c r="M54" i="19"/>
  <c r="KF52" i="8"/>
  <c r="IC38" i="8"/>
  <c r="FX62" i="8"/>
  <c r="GU45" i="8"/>
  <c r="IS70" i="8"/>
  <c r="FR54" i="8"/>
  <c r="JY28" i="8"/>
  <c r="IJ32" i="8"/>
  <c r="JD47" i="8"/>
  <c r="JB28" i="8"/>
  <c r="GK28" i="8"/>
  <c r="GR61" i="8"/>
  <c r="JJ32" i="8"/>
  <c r="JW50" i="8"/>
  <c r="HU48" i="8"/>
  <c r="HP69" i="8"/>
  <c r="HA28" i="8"/>
  <c r="GQ36" i="8"/>
  <c r="ID37" i="8"/>
  <c r="KF35" i="8"/>
  <c r="IL74" i="8"/>
  <c r="JH35" i="8"/>
  <c r="GI61" i="8"/>
  <c r="KA74" i="8"/>
  <c r="IZ38" i="8"/>
  <c r="JC48" i="8"/>
  <c r="FL63" i="8"/>
  <c r="KV58" i="8"/>
  <c r="HZ60" i="8"/>
  <c r="HU55" i="8"/>
  <c r="HP40" i="8"/>
  <c r="GT45" i="8"/>
  <c r="HX40" i="8"/>
  <c r="GK41" i="8"/>
  <c r="FL43" i="8"/>
  <c r="KI31" i="8"/>
  <c r="HB45" i="8"/>
  <c r="IN27" i="8"/>
  <c r="KM65" i="8"/>
  <c r="HH36" i="8"/>
  <c r="KJ45" i="8"/>
  <c r="HC51" i="8"/>
  <c r="KQ69" i="8"/>
  <c r="KV76" i="8"/>
  <c r="JH39" i="8"/>
  <c r="KV50" i="8"/>
  <c r="HH47" i="8"/>
  <c r="JY73" i="8"/>
  <c r="JY42" i="8"/>
  <c r="GG63" i="8"/>
  <c r="HT32" i="8"/>
  <c r="JM27" i="8"/>
  <c r="GB76" i="8"/>
  <c r="KF53" i="8"/>
  <c r="GU34" i="8"/>
  <c r="GB50" i="8"/>
  <c r="HG67" i="8"/>
  <c r="JH73" i="8"/>
  <c r="JQ57" i="8"/>
  <c r="HZ40" i="8"/>
  <c r="IM62" i="8"/>
  <c r="KC52" i="8"/>
  <c r="IC39" i="8"/>
  <c r="HS33" i="8"/>
  <c r="IS39" i="8"/>
  <c r="HJ65" i="8"/>
  <c r="HE48" i="8"/>
  <c r="JH55" i="8"/>
  <c r="IY48" i="8"/>
  <c r="HY66" i="8"/>
  <c r="II71" i="8"/>
  <c r="JE74" i="8"/>
  <c r="GU43" i="8"/>
  <c r="KF36" i="8"/>
  <c r="IM32" i="8"/>
  <c r="KT70" i="8"/>
  <c r="KH41" i="8"/>
  <c r="KP30" i="8"/>
  <c r="JO38" i="8"/>
  <c r="GJ64" i="8"/>
  <c r="FT56" i="8"/>
  <c r="HU68" i="8"/>
  <c r="IJ63" i="8"/>
  <c r="IS66" i="8"/>
  <c r="JC35" i="8"/>
  <c r="FP66" i="8"/>
  <c r="FL67" i="8"/>
  <c r="KQ67" i="8"/>
  <c r="GK27" i="8"/>
  <c r="JL41" i="8"/>
  <c r="HC61" i="8"/>
  <c r="IR51" i="8"/>
  <c r="JZ27" i="8"/>
  <c r="JZ65" i="8"/>
  <c r="GO44" i="8"/>
  <c r="ID39" i="8"/>
  <c r="HU66" i="8"/>
  <c r="II67" i="8"/>
  <c r="GH74" i="8"/>
  <c r="HS38" i="8"/>
  <c r="FQ52" i="8"/>
  <c r="II57" i="8"/>
  <c r="JL40" i="8"/>
  <c r="JS44" i="8"/>
  <c r="GN45" i="8"/>
  <c r="FK38" i="8"/>
  <c r="GD43" i="8"/>
  <c r="HS73" i="8"/>
  <c r="JE29" i="8"/>
  <c r="IH47" i="8"/>
  <c r="KB61" i="8"/>
  <c r="HX74" i="8"/>
  <c r="HL50" i="8"/>
  <c r="JX43" i="8"/>
  <c r="FQ62" i="8"/>
  <c r="JD60" i="8"/>
  <c r="IZ37" i="8"/>
  <c r="KV56" i="8"/>
  <c r="FK50" i="8"/>
  <c r="KT67" i="8"/>
  <c r="JH49" i="8"/>
  <c r="IC51" i="8"/>
  <c r="JI28" i="8"/>
  <c r="JW48" i="8"/>
  <c r="IC53" i="8"/>
  <c r="GC32" i="8"/>
  <c r="GP68" i="8"/>
  <c r="IT56" i="8"/>
  <c r="FN41" i="8"/>
  <c r="GF72" i="8"/>
  <c r="JW49" i="8"/>
  <c r="HA52" i="8"/>
  <c r="KL52" i="8"/>
  <c r="FK43" i="8"/>
  <c r="JM71" i="8"/>
  <c r="KB43" i="8"/>
  <c r="ID32" i="8"/>
  <c r="FS69" i="8"/>
  <c r="GD63" i="8"/>
  <c r="HP29" i="8"/>
  <c r="IK68" i="8"/>
  <c r="JW59" i="8"/>
  <c r="FV42" i="8"/>
  <c r="GT27" i="8"/>
  <c r="JV54" i="8"/>
  <c r="JY43" i="8"/>
  <c r="JJ70" i="8"/>
  <c r="IM27" i="8"/>
  <c r="FQ43" i="8"/>
  <c r="KI28" i="8"/>
  <c r="JA33" i="8"/>
  <c r="IE59" i="8"/>
  <c r="IB33" i="8"/>
  <c r="ID31" i="8"/>
  <c r="JJ76" i="8"/>
  <c r="HS56" i="8"/>
  <c r="HT74" i="8"/>
  <c r="IA36" i="8"/>
  <c r="JP36" i="8"/>
  <c r="FY71" i="8"/>
  <c r="HX49" i="8"/>
  <c r="FN48" i="8"/>
  <c r="KE61" i="8"/>
  <c r="FN43" i="8"/>
  <c r="GZ73" i="8"/>
  <c r="IX49" i="8"/>
  <c r="JB61" i="8"/>
  <c r="JZ63" i="8"/>
  <c r="JA36" i="8"/>
  <c r="JC59" i="8"/>
  <c r="KH67" i="8"/>
  <c r="KO35" i="8"/>
  <c r="KV31" i="8"/>
  <c r="FQ40" i="8"/>
  <c r="KL68" i="8"/>
  <c r="JL74" i="8"/>
  <c r="HO47" i="8"/>
  <c r="HF28" i="8"/>
  <c r="KW68" i="8"/>
  <c r="KF46" i="8"/>
  <c r="KL46" i="8"/>
  <c r="IH45" i="8"/>
  <c r="KA49" i="8"/>
  <c r="IL50" i="8"/>
  <c r="FR32" i="8"/>
  <c r="HY39" i="8"/>
  <c r="FK30" i="8"/>
  <c r="HO31" i="8"/>
  <c r="FX74" i="8"/>
  <c r="FQ59" i="8"/>
  <c r="KI72" i="8"/>
  <c r="JW29" i="8"/>
  <c r="JY60" i="8"/>
  <c r="HP73" i="8"/>
  <c r="FT44" i="8"/>
  <c r="HF58" i="8"/>
  <c r="KI58" i="8"/>
  <c r="HC63" i="8"/>
  <c r="KD62" i="8"/>
  <c r="GG58" i="8"/>
  <c r="HY57" i="8"/>
  <c r="GZ28" i="8"/>
  <c r="IB57" i="8"/>
  <c r="FP68" i="8"/>
  <c r="FX32" i="8"/>
  <c r="FR46" i="8"/>
  <c r="KO37" i="8"/>
  <c r="GQ73" i="8"/>
  <c r="GL50" i="8"/>
  <c r="JJ63" i="8"/>
  <c r="JJ43" i="8"/>
  <c r="JP27" i="8"/>
  <c r="HH31" i="8"/>
  <c r="JL66" i="8"/>
  <c r="KV64" i="8"/>
  <c r="IC28" i="8"/>
  <c r="BI10" i="19"/>
  <c r="KA70" i="8"/>
  <c r="GQ67" i="8"/>
  <c r="JJ46" i="8"/>
  <c r="IC31" i="8"/>
  <c r="JN45" i="8"/>
  <c r="AD10" i="19"/>
  <c r="IC48" i="8"/>
  <c r="GE55" i="8"/>
  <c r="HT34" i="8"/>
  <c r="GZ34" i="8"/>
  <c r="JE43" i="8"/>
  <c r="HA41" i="8"/>
  <c r="IO68" i="8"/>
  <c r="GU62" i="8"/>
  <c r="JX66" i="8"/>
  <c r="GG33" i="8"/>
  <c r="JP60" i="8"/>
  <c r="GL72" i="8"/>
  <c r="HU71" i="8"/>
  <c r="GZ56" i="8"/>
  <c r="JE49" i="8"/>
  <c r="FY41" i="8"/>
  <c r="JZ53" i="8"/>
  <c r="KD45" i="8"/>
  <c r="IQ64" i="8"/>
  <c r="HM63" i="8"/>
  <c r="IO54" i="8"/>
  <c r="IQ67" i="8"/>
  <c r="HO41" i="8"/>
  <c r="IA46" i="8"/>
  <c r="GF57" i="8"/>
  <c r="JZ44" i="8"/>
  <c r="FQ47" i="8"/>
  <c r="HO51" i="8"/>
  <c r="JP37" i="8"/>
  <c r="KF70" i="8"/>
  <c r="IE30" i="8"/>
  <c r="KP31" i="8"/>
  <c r="JX28" i="8"/>
  <c r="HM70" i="8"/>
  <c r="FR67" i="8"/>
  <c r="KK42" i="8"/>
  <c r="IA30" i="8"/>
  <c r="IA64" i="8"/>
  <c r="IY65" i="8"/>
  <c r="JN75" i="8"/>
  <c r="FX48" i="8"/>
  <c r="GO53" i="8"/>
  <c r="HL32" i="8"/>
  <c r="GZ69" i="8"/>
  <c r="KH43" i="8"/>
  <c r="FW57" i="8"/>
  <c r="IY67" i="8"/>
  <c r="GP59" i="8"/>
  <c r="HX39" i="8"/>
  <c r="IE52" i="8"/>
  <c r="KW65" i="8"/>
  <c r="KK32" i="8"/>
  <c r="KB45" i="8"/>
  <c r="GJ71" i="8"/>
  <c r="GT71" i="8"/>
  <c r="HM50" i="8"/>
  <c r="HO63" i="8"/>
  <c r="JC75" i="8"/>
  <c r="HX34" i="8"/>
  <c r="IX56" i="8"/>
  <c r="FK71" i="8"/>
  <c r="IY27" i="8"/>
  <c r="JO66" i="8"/>
  <c r="FV74" i="8"/>
  <c r="JW47" i="8"/>
  <c r="FS65" i="8"/>
  <c r="KQ66" i="8"/>
  <c r="GJ42" i="8"/>
  <c r="IT63" i="8"/>
  <c r="GP49" i="8"/>
  <c r="GH61" i="8"/>
  <c r="IS44" i="8"/>
  <c r="KO66" i="8"/>
  <c r="JS29" i="8"/>
  <c r="HP72" i="8"/>
  <c r="JE65" i="8"/>
  <c r="IM72" i="8"/>
  <c r="JH37" i="8"/>
  <c r="IG48" i="8"/>
  <c r="GP65" i="8"/>
  <c r="KK41" i="8"/>
  <c r="IB38" i="8"/>
  <c r="IM34" i="8"/>
  <c r="IF33" i="8"/>
  <c r="IP34" i="8"/>
  <c r="IS48" i="8"/>
  <c r="IK40" i="8"/>
  <c r="IE50" i="8"/>
  <c r="HG31" i="8"/>
  <c r="IH37" i="8"/>
  <c r="KJ74" i="8"/>
  <c r="IF45" i="8"/>
  <c r="IY44" i="8"/>
  <c r="JL65" i="8"/>
  <c r="HM31" i="8"/>
  <c r="JQ36" i="8"/>
  <c r="GP37" i="8"/>
  <c r="KQ68" i="8"/>
  <c r="JX73" i="8"/>
  <c r="KB64" i="8"/>
  <c r="AP13" i="19"/>
  <c r="HP75" i="8"/>
  <c r="KR37" i="8"/>
  <c r="IA32" i="8"/>
  <c r="IR66" i="8"/>
  <c r="GO60" i="8"/>
  <c r="KL75" i="8"/>
  <c r="IL46" i="8"/>
  <c r="JK33" i="8"/>
  <c r="GR50" i="8"/>
  <c r="JO69" i="8"/>
  <c r="HM40" i="8"/>
  <c r="FQ58" i="8"/>
  <c r="KH30" i="8"/>
  <c r="HM43" i="8"/>
  <c r="FM69" i="8"/>
  <c r="GP72" i="8"/>
  <c r="JS71" i="8"/>
  <c r="GV74" i="8"/>
  <c r="KM68" i="8"/>
  <c r="IZ67" i="8"/>
  <c r="FS57" i="8"/>
  <c r="IB40" i="8"/>
  <c r="JP62" i="8"/>
  <c r="IH61" i="8"/>
  <c r="HU67" i="8"/>
  <c r="HY35" i="8"/>
  <c r="JY44" i="8"/>
  <c r="IO53" i="8"/>
  <c r="HA58" i="8"/>
  <c r="JR76" i="8"/>
  <c r="GU51" i="8"/>
  <c r="HF29" i="8"/>
  <c r="IX59" i="8"/>
  <c r="KC30" i="8"/>
  <c r="HY29" i="8"/>
  <c r="KE72" i="8"/>
  <c r="IT36" i="8"/>
  <c r="IQ66" i="8"/>
  <c r="KT29" i="8"/>
  <c r="IN48" i="8"/>
  <c r="HM48" i="8"/>
  <c r="HG55" i="8"/>
  <c r="FW47" i="8"/>
  <c r="IN63" i="8"/>
  <c r="JY52" i="8"/>
  <c r="KB53" i="8"/>
  <c r="IA51" i="8"/>
  <c r="HE36" i="8"/>
  <c r="GQ51" i="8"/>
  <c r="FM54" i="8"/>
  <c r="KB38" i="8"/>
  <c r="HB48" i="8"/>
  <c r="IG58" i="8"/>
  <c r="GZ36" i="8"/>
  <c r="KM63" i="8"/>
  <c r="KT35" i="8"/>
  <c r="IA63" i="8"/>
  <c r="FM32" i="8"/>
  <c r="KG30" i="8"/>
  <c r="JY67" i="8"/>
  <c r="HO59" i="8"/>
  <c r="KD50" i="8"/>
  <c r="HP58" i="8"/>
  <c r="IP51" i="8"/>
  <c r="GI54" i="8"/>
  <c r="FR72" i="8"/>
  <c r="IN43" i="8"/>
  <c r="IH33" i="8"/>
  <c r="HL39" i="8"/>
  <c r="IP66" i="8"/>
  <c r="GF65" i="8"/>
  <c r="GU64" i="8"/>
  <c r="HM66" i="8"/>
  <c r="IY72" i="8"/>
  <c r="HO52" i="8"/>
  <c r="FW46" i="8"/>
  <c r="GE30" i="8"/>
  <c r="FY31" i="8"/>
  <c r="IR46" i="8"/>
  <c r="GJ52" i="8"/>
  <c r="KO46" i="8"/>
  <c r="KM58" i="8"/>
  <c r="JD34" i="8"/>
  <c r="IS73" i="8"/>
  <c r="JR35" i="8"/>
  <c r="KG50" i="8"/>
  <c r="IX74" i="8"/>
  <c r="KV62" i="8"/>
  <c r="IR31" i="8"/>
  <c r="FQ41" i="8"/>
  <c r="HG51" i="8"/>
  <c r="GE33" i="8"/>
  <c r="GE52" i="8"/>
  <c r="KM30" i="8"/>
  <c r="IM55" i="8"/>
  <c r="GG74" i="8"/>
  <c r="IZ47" i="8"/>
  <c r="IK36" i="8"/>
  <c r="IT62" i="8"/>
  <c r="FV69" i="8"/>
  <c r="KR47" i="8"/>
  <c r="T52" i="19"/>
  <c r="HU63" i="8"/>
  <c r="GT74" i="8"/>
  <c r="KQ75" i="8"/>
  <c r="HG42" i="8"/>
  <c r="KB60" i="8"/>
  <c r="JC33" i="8"/>
  <c r="KT69" i="8"/>
  <c r="FW51" i="8"/>
  <c r="KC55" i="8"/>
  <c r="IJ37" i="8"/>
  <c r="KJ59" i="8"/>
  <c r="JK49" i="8"/>
  <c r="KR57" i="8"/>
  <c r="FT42" i="8"/>
  <c r="HZ36" i="8"/>
  <c r="JJ34" i="8"/>
  <c r="GG68" i="8"/>
  <c r="JB39" i="8"/>
  <c r="HK71" i="8"/>
  <c r="GS69" i="8"/>
  <c r="KW39" i="8"/>
  <c r="GK58" i="8"/>
  <c r="JA67" i="8"/>
  <c r="GB59" i="8"/>
  <c r="IA42" i="8"/>
  <c r="IP70" i="8"/>
  <c r="GO33" i="8"/>
  <c r="KE70" i="8"/>
  <c r="JM58" i="8"/>
  <c r="FY57" i="8"/>
  <c r="HJ44" i="8"/>
  <c r="JR62" i="8"/>
  <c r="IR53" i="8"/>
  <c r="JK67" i="8"/>
  <c r="KL28" i="8"/>
  <c r="JO39" i="8"/>
  <c r="FY32" i="8"/>
  <c r="B54" i="19"/>
  <c r="FX52" i="8"/>
  <c r="II40" i="8"/>
  <c r="GF39" i="8"/>
  <c r="HP28" i="8"/>
  <c r="FK36" i="8"/>
  <c r="IO37" i="8"/>
  <c r="FN56" i="8"/>
  <c r="KW35" i="8"/>
  <c r="KP51" i="8"/>
  <c r="IE51" i="8"/>
  <c r="KH74" i="8"/>
  <c r="J15" i="19"/>
  <c r="FY73" i="8"/>
  <c r="JW41" i="8"/>
  <c r="FS38" i="8"/>
  <c r="HY37" i="8"/>
  <c r="JI60" i="8"/>
  <c r="JD31" i="8"/>
  <c r="GQ62" i="8"/>
  <c r="P51" i="19"/>
  <c r="GR45" i="8"/>
  <c r="JM44" i="8"/>
  <c r="IC41" i="8"/>
  <c r="GL29" i="8"/>
  <c r="KR65" i="8"/>
  <c r="JD50" i="8"/>
  <c r="HZ50" i="8"/>
  <c r="KB41" i="8"/>
  <c r="JA63" i="8"/>
  <c r="JI54" i="8"/>
  <c r="GS34" i="8"/>
  <c r="HR45" i="8"/>
  <c r="JE28" i="8"/>
  <c r="GF73" i="8"/>
  <c r="JF32" i="8"/>
  <c r="IZ30" i="8"/>
  <c r="KT75" i="8"/>
  <c r="N51" i="19"/>
  <c r="KI56" i="8"/>
  <c r="JG75" i="8"/>
  <c r="GF61" i="8"/>
  <c r="FT60" i="8"/>
  <c r="JB62" i="8"/>
  <c r="HG76" i="8"/>
  <c r="GN73" i="8"/>
  <c r="HX31" i="8"/>
  <c r="JB54" i="8"/>
  <c r="HX51" i="8"/>
  <c r="GS43" i="8"/>
  <c r="GS38" i="8"/>
  <c r="IN40" i="8"/>
  <c r="KC59" i="8"/>
  <c r="JY49" i="8"/>
  <c r="GK40" i="8"/>
  <c r="IM76" i="8"/>
  <c r="IJ54" i="8"/>
  <c r="IY69" i="8"/>
  <c r="FM38" i="8"/>
  <c r="HC59" i="8"/>
  <c r="GG60" i="8"/>
  <c r="JO67" i="8"/>
  <c r="FM67" i="8"/>
  <c r="GM50" i="8"/>
  <c r="FS42" i="8"/>
  <c r="JM31" i="8"/>
  <c r="KC31" i="8"/>
  <c r="HF33" i="8"/>
  <c r="FS55" i="8"/>
  <c r="HS58" i="8"/>
  <c r="KC66" i="8"/>
  <c r="JZ38" i="8"/>
  <c r="JB55" i="8"/>
  <c r="FS71" i="8"/>
  <c r="JH43" i="8"/>
  <c r="JW45" i="8"/>
  <c r="KH29" i="8"/>
  <c r="HJ27" i="8"/>
  <c r="HP32" i="8"/>
  <c r="FX71" i="8"/>
  <c r="HA74" i="8"/>
  <c r="GG56" i="8"/>
  <c r="JZ59" i="8"/>
  <c r="W52" i="19"/>
  <c r="KB52" i="8"/>
  <c r="JI61" i="8"/>
  <c r="KN62" i="8"/>
  <c r="HC54" i="8"/>
  <c r="KT58" i="8"/>
  <c r="IA67" i="8"/>
  <c r="IA68" i="8"/>
  <c r="HK74" i="8"/>
  <c r="HK27" i="8"/>
  <c r="HF50" i="8"/>
  <c r="GU37" i="8"/>
  <c r="JB31" i="8"/>
  <c r="GK65" i="8"/>
  <c r="IW42" i="8"/>
  <c r="GB42" i="8"/>
  <c r="GS29" i="8"/>
  <c r="IO39" i="8"/>
  <c r="JG62" i="8"/>
  <c r="IP39" i="8"/>
  <c r="IH57" i="8"/>
  <c r="KH49" i="8"/>
  <c r="JE73" i="8"/>
  <c r="IZ57" i="8"/>
  <c r="GD55" i="8"/>
  <c r="KN37" i="8"/>
  <c r="FY50" i="8"/>
  <c r="HO75" i="8"/>
  <c r="JK61" i="8"/>
  <c r="FR49" i="8"/>
  <c r="JR38" i="8"/>
  <c r="HE74" i="8"/>
  <c r="HR75" i="8"/>
  <c r="GP70" i="8"/>
  <c r="HZ45" i="8"/>
  <c r="IG28" i="8"/>
  <c r="HK73" i="8"/>
  <c r="KH58" i="8"/>
  <c r="JL47" i="8"/>
  <c r="JQ56" i="8"/>
  <c r="JL70" i="8"/>
  <c r="KW27" i="8"/>
  <c r="FS36" i="8"/>
  <c r="IR76" i="8"/>
  <c r="KR43" i="8"/>
  <c r="IO56" i="8"/>
  <c r="IW33" i="8"/>
  <c r="FN59" i="8"/>
  <c r="KL49" i="8"/>
  <c r="GG54" i="8"/>
  <c r="JL53" i="8"/>
  <c r="IW31" i="8"/>
  <c r="KR32" i="8"/>
  <c r="IR45" i="8"/>
  <c r="GO56" i="8"/>
  <c r="GH62" i="8"/>
  <c r="IG34" i="8"/>
  <c r="HM44" i="8"/>
  <c r="HS34" i="8"/>
  <c r="IB29" i="8"/>
  <c r="IM75" i="8"/>
  <c r="IO63" i="8"/>
  <c r="HG71" i="8"/>
  <c r="KW63" i="8"/>
  <c r="KI74" i="8"/>
  <c r="JG49" i="8"/>
  <c r="KP44" i="8"/>
  <c r="GZ57" i="8"/>
  <c r="ID34" i="8"/>
  <c r="GV34" i="8"/>
  <c r="GF51" i="8"/>
  <c r="IH54" i="8"/>
  <c r="IP75" i="8"/>
  <c r="IO61" i="8"/>
  <c r="IM52" i="8"/>
  <c r="KC41" i="8"/>
  <c r="IY56" i="8"/>
  <c r="GT66" i="8"/>
  <c r="GJ66" i="8"/>
  <c r="HH29" i="8"/>
  <c r="JN49" i="8"/>
  <c r="KF51" i="8"/>
  <c r="IH58" i="8"/>
  <c r="JM67" i="8"/>
  <c r="IJ27" i="8"/>
  <c r="IK63" i="8"/>
  <c r="KO55" i="8"/>
  <c r="KN64" i="8"/>
  <c r="KW66" i="8"/>
  <c r="KJ72" i="8"/>
  <c r="JW40" i="8"/>
  <c r="IH72" i="8"/>
  <c r="IP73" i="8"/>
  <c r="HF47" i="8"/>
  <c r="JD57" i="8"/>
  <c r="HS30" i="8"/>
  <c r="GC34" i="8"/>
  <c r="JR42" i="8"/>
  <c r="IG68" i="8"/>
  <c r="IZ59" i="8"/>
  <c r="JD62" i="8"/>
  <c r="HL41" i="8"/>
  <c r="JP71" i="8"/>
  <c r="GV45" i="8"/>
  <c r="IO50" i="8"/>
  <c r="AR13" i="19"/>
  <c r="IN50" i="8"/>
  <c r="FW53" i="8"/>
  <c r="IM60" i="8"/>
  <c r="GG53" i="8"/>
  <c r="HJ58" i="8"/>
  <c r="KA71" i="8"/>
  <c r="HZ56" i="8"/>
  <c r="HC73" i="8"/>
  <c r="FQ74" i="8"/>
  <c r="IX61" i="8"/>
  <c r="GE74" i="8"/>
  <c r="GC28" i="8"/>
  <c r="GO39" i="8"/>
  <c r="FM74" i="8"/>
  <c r="JR28" i="8"/>
  <c r="HX52" i="8"/>
  <c r="HH59" i="8"/>
  <c r="JR65" i="8"/>
  <c r="HM30" i="8"/>
  <c r="KF42" i="8"/>
  <c r="FQ66" i="8"/>
  <c r="IH75" i="8"/>
  <c r="JS61" i="8"/>
  <c r="GD69" i="8"/>
  <c r="JN76" i="8"/>
  <c r="HS42" i="8"/>
  <c r="JY27" i="8"/>
  <c r="KW42" i="8"/>
  <c r="FN55" i="8"/>
  <c r="JH45" i="8"/>
  <c r="GZ66" i="8"/>
  <c r="JG45" i="8"/>
  <c r="IA75" i="8"/>
  <c r="JH59" i="8"/>
  <c r="GK44" i="8"/>
  <c r="JR29" i="8"/>
  <c r="JE45" i="8"/>
  <c r="JX54" i="8"/>
  <c r="HL63" i="8"/>
  <c r="GE39" i="8"/>
  <c r="ID61" i="8"/>
  <c r="JA28" i="8"/>
  <c r="GS48" i="8"/>
  <c r="JI27" i="8"/>
  <c r="GM47" i="8"/>
  <c r="JD42" i="8"/>
  <c r="HH64" i="8"/>
  <c r="IL43" i="8"/>
  <c r="JR37" i="8"/>
  <c r="HA72" i="8"/>
  <c r="GS36" i="8"/>
  <c r="KW43" i="8"/>
  <c r="KO73" i="8"/>
  <c r="GT29" i="8"/>
  <c r="FO33" i="8"/>
  <c r="IR32" i="8"/>
  <c r="IQ59" i="8"/>
  <c r="KT39" i="8"/>
  <c r="IC72" i="8"/>
  <c r="KT41" i="8"/>
  <c r="KV51" i="8"/>
  <c r="GS53" i="8"/>
  <c r="GI67" i="8"/>
  <c r="HC47" i="8"/>
  <c r="JW30" i="8"/>
  <c r="KH59" i="8"/>
  <c r="KM67" i="8"/>
  <c r="GC38" i="8"/>
  <c r="GH67" i="8"/>
  <c r="IG29" i="8"/>
  <c r="HK42" i="8"/>
  <c r="HS46" i="8"/>
  <c r="KP64" i="8"/>
  <c r="IP65" i="8"/>
  <c r="GG34" i="8"/>
  <c r="JF33" i="8"/>
  <c r="GJ53" i="8"/>
  <c r="JX67" i="8"/>
  <c r="KJ53" i="8"/>
  <c r="IZ68" i="8"/>
  <c r="GD54" i="8"/>
  <c r="GZ76" i="8"/>
  <c r="JQ33" i="8"/>
  <c r="HA33" i="8"/>
  <c r="FQ51" i="8"/>
  <c r="FO45" i="8"/>
  <c r="GJ48" i="8"/>
  <c r="HS61" i="8"/>
  <c r="HJ72" i="8"/>
  <c r="JK32" i="8"/>
  <c r="HR60" i="8"/>
  <c r="GL30" i="8"/>
  <c r="IN29" i="8"/>
  <c r="FR73" i="8"/>
  <c r="HF42" i="8"/>
  <c r="GM51" i="8"/>
  <c r="IW63" i="8"/>
  <c r="GG27" i="8"/>
  <c r="GE58" i="8"/>
  <c r="KP35" i="8"/>
  <c r="KQ70" i="8"/>
  <c r="FT74" i="8"/>
  <c r="FM55" i="8"/>
  <c r="FS39" i="8"/>
  <c r="HP52" i="8"/>
  <c r="GL41" i="8"/>
  <c r="KG73" i="8"/>
  <c r="IZ55" i="8"/>
  <c r="JJ58" i="8"/>
  <c r="JO50" i="8"/>
  <c r="KF73" i="8"/>
  <c r="GV28" i="8"/>
  <c r="GL47" i="8"/>
  <c r="HC36" i="8"/>
  <c r="JI45" i="8"/>
  <c r="ID58" i="8"/>
  <c r="FL70" i="8"/>
  <c r="GB44" i="8"/>
  <c r="FV40" i="8"/>
  <c r="FP41" i="8"/>
  <c r="KK38" i="8"/>
  <c r="IQ34" i="8"/>
  <c r="FL76" i="8"/>
  <c r="JK40" i="8"/>
  <c r="FP35" i="8"/>
  <c r="FK41" i="8"/>
  <c r="HJ59" i="8"/>
  <c r="FK70" i="8"/>
  <c r="HZ55" i="8"/>
  <c r="HM61" i="8"/>
  <c r="GP75" i="8"/>
  <c r="IE68" i="8"/>
  <c r="KP47" i="8"/>
  <c r="JX31" i="8"/>
  <c r="JW69" i="8"/>
  <c r="GH35" i="8"/>
  <c r="KO56" i="8"/>
  <c r="GQ58" i="8"/>
  <c r="JB56" i="8"/>
  <c r="IB65" i="8"/>
  <c r="GV39" i="8"/>
  <c r="L15" i="19"/>
  <c r="KO68" i="8"/>
  <c r="JZ37" i="8"/>
  <c r="HO49" i="8"/>
  <c r="KJ39" i="8"/>
  <c r="KW30" i="8"/>
  <c r="FK48" i="8"/>
  <c r="FL38" i="8"/>
  <c r="HR53" i="8"/>
  <c r="JJ33" i="8"/>
  <c r="KF40" i="8"/>
  <c r="KQ53" i="8"/>
  <c r="JD37" i="8"/>
  <c r="JX45" i="8"/>
  <c r="IC74" i="8"/>
  <c r="KW47" i="8"/>
  <c r="JX36" i="8"/>
  <c r="IZ28" i="8"/>
  <c r="FN65" i="8"/>
  <c r="JD32" i="8"/>
  <c r="FW58" i="8"/>
  <c r="FR50" i="8"/>
  <c r="KB37" i="8"/>
  <c r="GL43" i="8"/>
  <c r="HR70" i="8"/>
  <c r="GF44" i="8"/>
  <c r="HT55" i="8"/>
  <c r="KP71" i="8"/>
  <c r="IY46" i="8"/>
  <c r="IL54" i="8"/>
  <c r="IF44" i="8"/>
  <c r="IJ38" i="8"/>
  <c r="IB48" i="8"/>
  <c r="JN36" i="8"/>
  <c r="GH59" i="8"/>
  <c r="KQ71" i="8"/>
  <c r="HB61" i="8"/>
  <c r="HZ34" i="8"/>
  <c r="IR67" i="8"/>
  <c r="GO42" i="8"/>
  <c r="JR47" i="8"/>
  <c r="KP67" i="8"/>
  <c r="IK57" i="8"/>
  <c r="HB59" i="8"/>
  <c r="KR30" i="8"/>
  <c r="JJ75" i="8"/>
  <c r="KG61" i="8"/>
  <c r="GO36" i="8"/>
  <c r="GD46" i="8"/>
  <c r="JB45" i="8"/>
  <c r="KQ74" i="8"/>
  <c r="JB27" i="8"/>
  <c r="JZ46" i="8"/>
  <c r="GI31" i="8"/>
  <c r="IR74" i="8"/>
  <c r="GE46" i="8"/>
  <c r="GM64" i="8"/>
  <c r="KC65" i="8"/>
  <c r="KG39" i="8"/>
  <c r="U51" i="19"/>
  <c r="JA27" i="8"/>
  <c r="HL55" i="8"/>
  <c r="FT65" i="8"/>
  <c r="KK70" i="8"/>
  <c r="KN70" i="8"/>
  <c r="JV63" i="8"/>
  <c r="IW68" i="8"/>
  <c r="HL47" i="8"/>
  <c r="HR64" i="8"/>
  <c r="GE68" i="8"/>
  <c r="GD65" i="8"/>
  <c r="KR42" i="8"/>
  <c r="KA39" i="8"/>
  <c r="V54" i="19"/>
  <c r="HG34" i="8"/>
  <c r="JG43" i="8"/>
  <c r="HK36" i="8"/>
  <c r="HB36" i="8"/>
  <c r="ID50" i="8"/>
  <c r="HU60" i="8"/>
  <c r="FY36" i="8"/>
  <c r="HA51" i="8"/>
  <c r="GT49" i="8"/>
  <c r="IY30" i="8"/>
  <c r="FY70" i="8"/>
  <c r="HA27" i="8"/>
  <c r="KR74" i="8"/>
  <c r="JQ45" i="8"/>
  <c r="HL74" i="8"/>
  <c r="JF43" i="8"/>
  <c r="HF62" i="8"/>
  <c r="GC27" i="8"/>
  <c r="GG32" i="8"/>
  <c r="HF30" i="8"/>
  <c r="JR48" i="8"/>
  <c r="GC30" i="8"/>
  <c r="JM59" i="8"/>
  <c r="FS27" i="8"/>
  <c r="IX45" i="8"/>
  <c r="JF51" i="8"/>
  <c r="JD67" i="8"/>
  <c r="GD53" i="8"/>
  <c r="JN47" i="8"/>
  <c r="JI62" i="8"/>
  <c r="JA48" i="8"/>
  <c r="GU32" i="8"/>
  <c r="IS42" i="8"/>
  <c r="KE52" i="8"/>
  <c r="GZ32" i="8"/>
  <c r="GU41" i="8"/>
  <c r="KP58" i="8"/>
  <c r="JD44" i="8"/>
  <c r="HR36" i="8"/>
  <c r="KA56" i="8"/>
  <c r="GZ53" i="8"/>
  <c r="GO34" i="8"/>
  <c r="FV50" i="8"/>
  <c r="GM57" i="8"/>
  <c r="FX56" i="8"/>
  <c r="KI46" i="8"/>
  <c r="JV36" i="8"/>
  <c r="L54" i="19"/>
  <c r="JZ51" i="8"/>
  <c r="GS30" i="8"/>
  <c r="JN65" i="8"/>
  <c r="GQ30" i="8"/>
  <c r="IA41" i="8"/>
  <c r="GZ29" i="8"/>
  <c r="FK31" i="8"/>
  <c r="HU46" i="8"/>
  <c r="GT34" i="8"/>
  <c r="HX33" i="8"/>
  <c r="IK53" i="8"/>
  <c r="FQ37" i="8"/>
  <c r="FX51" i="8"/>
  <c r="IG63" i="8"/>
  <c r="GI37" i="8"/>
  <c r="HC28" i="8"/>
  <c r="HG46" i="8"/>
  <c r="IT45" i="8"/>
  <c r="IR34" i="8"/>
  <c r="IM56" i="8"/>
  <c r="JF27" i="8"/>
  <c r="KW31" i="8"/>
  <c r="JI36" i="8"/>
  <c r="IZ60" i="8"/>
  <c r="JX50" i="8"/>
  <c r="KT44" i="8"/>
  <c r="FM40" i="8"/>
  <c r="HU40" i="8"/>
  <c r="JV52" i="8"/>
  <c r="IT42" i="8"/>
  <c r="GD29" i="8"/>
  <c r="JO54" i="8"/>
  <c r="KQ34" i="8"/>
  <c r="IC67" i="8"/>
  <c r="GJ27" i="8"/>
  <c r="JO41" i="8"/>
  <c r="IB44" i="8"/>
  <c r="JF41" i="8"/>
  <c r="IX41" i="8"/>
  <c r="FV45" i="8"/>
  <c r="GL54" i="8"/>
  <c r="HT38" i="8"/>
  <c r="HK43" i="8"/>
  <c r="GU35" i="8"/>
  <c r="FS40" i="8"/>
  <c r="JO33" i="8"/>
  <c r="JW33" i="8"/>
  <c r="GB56" i="8"/>
  <c r="HO62" i="8"/>
  <c r="JH52" i="8"/>
  <c r="HF44" i="8"/>
  <c r="IS33" i="8"/>
  <c r="FM62" i="8"/>
  <c r="KI48" i="8"/>
  <c r="JG67" i="8"/>
  <c r="JR43" i="8"/>
  <c r="GP52" i="8"/>
  <c r="GD56" i="8"/>
  <c r="HT30" i="8"/>
  <c r="HR44" i="8"/>
  <c r="JD28" i="8"/>
  <c r="KF68" i="8"/>
  <c r="GV42" i="8"/>
  <c r="IC68" i="8"/>
  <c r="JX39" i="8"/>
  <c r="JV48" i="8"/>
  <c r="JY56" i="8"/>
  <c r="IB69" i="8"/>
  <c r="KJ58" i="8"/>
  <c r="GG45" i="8"/>
  <c r="HB68" i="8"/>
  <c r="M51" i="19"/>
  <c r="GQ43" i="8"/>
  <c r="JM53" i="8"/>
  <c r="HX75" i="8"/>
  <c r="KW52" i="8"/>
  <c r="GL34" i="8"/>
  <c r="GF76" i="8"/>
  <c r="KI70" i="8"/>
  <c r="GM37" i="8"/>
  <c r="KQ28" i="8"/>
  <c r="GE72" i="8"/>
  <c r="IS63" i="8"/>
  <c r="FN44" i="8"/>
  <c r="HT71" i="8"/>
  <c r="IG73" i="8"/>
  <c r="GO71" i="8"/>
  <c r="GC42" i="8"/>
  <c r="KG28" i="8"/>
  <c r="GG30" i="8"/>
  <c r="GP44" i="8"/>
  <c r="FL42" i="8"/>
  <c r="KI76" i="8"/>
  <c r="KQ30" i="8"/>
  <c r="IH67" i="8"/>
  <c r="KH39" i="8"/>
  <c r="IP74" i="8"/>
  <c r="KB46" i="8"/>
  <c r="HC46" i="8"/>
  <c r="HO69" i="8"/>
  <c r="GC69" i="8"/>
  <c r="JQ27" i="8"/>
  <c r="JA40" i="8"/>
  <c r="KJ37" i="8"/>
  <c r="JL35" i="8"/>
  <c r="HY30" i="8"/>
  <c r="FR69" i="8"/>
  <c r="FN45" i="8"/>
  <c r="IN46" i="8"/>
  <c r="GT68" i="8"/>
  <c r="HP74" i="8"/>
  <c r="JL58" i="8"/>
  <c r="FN33" i="8"/>
  <c r="IS47" i="8"/>
  <c r="HU74" i="8"/>
  <c r="KL71" i="8"/>
  <c r="KA75" i="8"/>
  <c r="GG66" i="8"/>
  <c r="II43" i="8"/>
  <c r="GH64" i="8"/>
  <c r="HY70" i="8"/>
  <c r="KF30" i="8"/>
  <c r="JN33" i="8"/>
  <c r="HU49" i="8"/>
  <c r="GT48" i="8"/>
  <c r="FN49" i="8"/>
  <c r="HZ54" i="8"/>
  <c r="FR62" i="8"/>
  <c r="GP69" i="8"/>
  <c r="FK61" i="8"/>
  <c r="KG34" i="8"/>
  <c r="FQ65" i="8"/>
  <c r="KF65" i="8"/>
  <c r="IX73" i="8"/>
  <c r="IF47" i="8"/>
  <c r="JL64" i="8"/>
  <c r="JD66" i="8"/>
  <c r="KR38" i="8"/>
  <c r="IK41" i="8"/>
  <c r="JR45" i="8"/>
  <c r="KW38" i="8"/>
  <c r="JA55" i="8"/>
  <c r="FY65" i="8"/>
  <c r="KW64" i="8"/>
  <c r="JS59" i="8"/>
  <c r="JM66" i="8"/>
  <c r="FY58" i="8"/>
  <c r="FQ64" i="8"/>
  <c r="FS58" i="8"/>
  <c r="HK55" i="8"/>
  <c r="HG57" i="8"/>
  <c r="JK46" i="8"/>
  <c r="GN29" i="8"/>
  <c r="JO62" i="8"/>
  <c r="JA35" i="8"/>
  <c r="KA58" i="8"/>
  <c r="JS74" i="8"/>
  <c r="JD69" i="8"/>
  <c r="IZ44" i="8"/>
  <c r="GI58" i="8"/>
  <c r="JO44" i="8"/>
  <c r="KO34" i="8"/>
  <c r="IN32" i="8"/>
  <c r="KK43" i="8"/>
  <c r="IJ49" i="8"/>
  <c r="FW27" i="8"/>
  <c r="FN47" i="8"/>
  <c r="GR72" i="8"/>
  <c r="KL60" i="8"/>
  <c r="FK76" i="8"/>
  <c r="II65" i="8"/>
  <c r="KD36" i="8"/>
  <c r="GT33" i="8"/>
  <c r="JC36" i="8"/>
  <c r="KV36" i="8"/>
  <c r="HR29" i="8"/>
  <c r="GT65" i="8"/>
  <c r="GR27" i="8"/>
  <c r="GE73" i="8"/>
  <c r="IR58" i="8"/>
  <c r="GH57" i="8"/>
  <c r="KB44" i="8"/>
  <c r="KA36" i="8"/>
  <c r="FO63" i="8"/>
  <c r="FY69" i="8"/>
  <c r="GT57" i="8"/>
  <c r="I53" i="19"/>
  <c r="ID73" i="8"/>
  <c r="U15" i="19"/>
  <c r="JC34" i="8"/>
  <c r="KF34" i="8"/>
  <c r="GI38" i="8"/>
  <c r="HT50" i="8"/>
  <c r="IY38" i="8"/>
  <c r="JM50" i="8"/>
  <c r="KD73" i="8"/>
  <c r="KM70" i="8"/>
  <c r="KK27" i="8"/>
  <c r="JC67" i="8"/>
  <c r="HT37" i="8"/>
  <c r="IN71" i="8"/>
  <c r="FK29" i="8"/>
  <c r="GO35" i="8"/>
  <c r="FV71" i="8"/>
  <c r="IG76" i="8"/>
  <c r="GT70" i="8"/>
  <c r="KW37" i="8"/>
  <c r="FO53" i="8"/>
  <c r="JO52" i="8"/>
  <c r="FX28" i="8"/>
  <c r="AG19" i="19"/>
  <c r="KI59" i="8"/>
  <c r="IS28" i="8"/>
  <c r="GT67" i="8"/>
  <c r="JV69" i="8"/>
  <c r="IY28" i="8"/>
  <c r="GC58" i="8"/>
  <c r="JH67" i="8"/>
  <c r="JR55" i="8"/>
  <c r="GE63" i="8"/>
  <c r="JZ35" i="8"/>
  <c r="IN69" i="8"/>
  <c r="JV29" i="8"/>
  <c r="FM51" i="8"/>
  <c r="HP64" i="8"/>
  <c r="GK51" i="8"/>
  <c r="JJ28" i="8"/>
  <c r="HO43" i="8"/>
  <c r="HF68" i="8"/>
  <c r="AK20" i="19"/>
  <c r="GJ62" i="8"/>
  <c r="GI46" i="8"/>
  <c r="HO46" i="8"/>
  <c r="GK43" i="8"/>
  <c r="HP44" i="8"/>
  <c r="GC31" i="8"/>
  <c r="HK50" i="8"/>
  <c r="KG41" i="8"/>
  <c r="JF71" i="8"/>
  <c r="JR59" i="8"/>
  <c r="KW62" i="8"/>
  <c r="FW61" i="8"/>
  <c r="FQ44" i="8"/>
  <c r="GM54" i="8"/>
  <c r="KN71" i="8"/>
  <c r="IH60" i="8"/>
  <c r="HR27" i="8"/>
  <c r="HG74" i="8"/>
  <c r="KT31" i="8"/>
  <c r="FN36" i="8"/>
  <c r="FN71" i="8"/>
  <c r="AB10" i="19"/>
  <c r="FW36" i="8"/>
  <c r="FY51" i="8"/>
  <c r="HR42" i="8"/>
  <c r="GH49" i="8"/>
  <c r="KL53" i="8"/>
  <c r="GD40" i="8"/>
  <c r="JC37" i="8"/>
  <c r="GF28" i="8"/>
  <c r="GI57" i="8"/>
  <c r="FR31" i="8"/>
  <c r="HT59" i="8"/>
  <c r="FL50" i="8"/>
  <c r="FX34" i="8"/>
  <c r="KV39" i="8"/>
  <c r="GN50" i="8"/>
  <c r="JW57" i="8"/>
  <c r="KW73" i="8"/>
  <c r="GJ59" i="8"/>
  <c r="KI38" i="8"/>
  <c r="KN75" i="8"/>
  <c r="HC32" i="8"/>
  <c r="JX57" i="8"/>
  <c r="JL56" i="8"/>
  <c r="GC50" i="8"/>
  <c r="HS51" i="8"/>
  <c r="HZ42" i="8"/>
  <c r="GP31" i="8"/>
  <c r="KF71" i="8"/>
  <c r="IJ36" i="8"/>
  <c r="IL31" i="8"/>
  <c r="HA69" i="8"/>
  <c r="GJ37" i="8"/>
  <c r="HH70" i="8"/>
  <c r="FR56" i="8"/>
  <c r="HB57" i="8"/>
  <c r="IX40" i="8"/>
  <c r="GK38" i="8"/>
  <c r="IX63" i="8"/>
  <c r="KM61" i="8"/>
  <c r="HG58" i="8"/>
  <c r="FN40" i="8"/>
  <c r="JL55" i="8"/>
  <c r="HK65" i="8"/>
  <c r="IM70" i="8"/>
  <c r="JA49" i="8"/>
  <c r="GN61" i="8"/>
  <c r="JP43" i="8"/>
  <c r="GK67" i="8"/>
  <c r="FT45" i="8"/>
  <c r="KE62" i="8"/>
  <c r="FY33" i="8"/>
  <c r="GU47" i="8"/>
  <c r="FL34" i="8"/>
  <c r="JV75" i="8"/>
  <c r="FL32" i="8"/>
  <c r="GS44" i="8"/>
  <c r="IS41" i="8"/>
  <c r="JA73" i="8"/>
  <c r="JR66" i="8"/>
  <c r="GC75" i="8"/>
  <c r="HR61" i="8"/>
  <c r="HA61" i="8"/>
  <c r="GJ43" i="8"/>
  <c r="KB51" i="8"/>
  <c r="GJ29" i="8"/>
  <c r="HK28" i="8"/>
  <c r="AL20" i="19"/>
  <c r="FY68" i="8"/>
  <c r="GN69" i="8"/>
  <c r="IM42" i="8"/>
  <c r="GV54" i="8"/>
  <c r="HZ44" i="8"/>
  <c r="KQ33" i="8"/>
  <c r="IN58" i="8"/>
  <c r="GZ67" i="8"/>
  <c r="JF72" i="8"/>
  <c r="GV43" i="8"/>
  <c r="GI53" i="8"/>
  <c r="GV61" i="8"/>
  <c r="KA34" i="8"/>
  <c r="KJ61" i="8"/>
  <c r="JS43" i="8"/>
  <c r="GC72" i="8"/>
  <c r="JG76" i="8"/>
  <c r="HA70" i="8"/>
  <c r="FK39" i="8"/>
  <c r="HL44" i="8"/>
  <c r="GO62" i="8"/>
  <c r="FP74" i="8"/>
  <c r="FP73" i="8"/>
  <c r="KL50" i="8"/>
  <c r="JS32" i="8"/>
  <c r="KL35" i="8"/>
  <c r="AI20" i="19"/>
  <c r="II74" i="8"/>
  <c r="GI56" i="8"/>
  <c r="HE52" i="8"/>
  <c r="JV27" i="8"/>
  <c r="GP35" i="8"/>
  <c r="GT44" i="8"/>
  <c r="KO27" i="8"/>
  <c r="FO27" i="8"/>
  <c r="KP45" i="8"/>
  <c r="GQ70" i="8"/>
  <c r="FM49" i="8"/>
  <c r="HY59" i="8"/>
  <c r="KR62" i="8"/>
  <c r="HB33" i="8"/>
  <c r="FR74" i="8"/>
  <c r="FM71" i="8"/>
  <c r="KH45" i="8"/>
  <c r="HK47" i="8"/>
  <c r="KH28" i="8"/>
  <c r="HM38" i="8"/>
  <c r="HT60" i="8"/>
  <c r="KH63" i="8"/>
  <c r="HY56" i="8"/>
  <c r="GF38" i="8"/>
  <c r="IL48" i="8"/>
  <c r="IG37" i="8"/>
  <c r="KG56" i="8"/>
  <c r="GI28" i="8"/>
  <c r="HY47" i="8"/>
  <c r="IP45" i="8"/>
  <c r="GQ55" i="8"/>
  <c r="HU29" i="8"/>
  <c r="IJ69" i="8"/>
  <c r="FT47" i="8"/>
  <c r="JM35" i="8"/>
  <c r="HM58" i="8"/>
  <c r="HJ36" i="8"/>
  <c r="FL55" i="8"/>
  <c r="GF53" i="8"/>
  <c r="GZ45" i="8"/>
  <c r="JL37" i="8"/>
  <c r="FT64" i="8"/>
  <c r="IA59" i="8"/>
  <c r="IA31" i="8"/>
  <c r="KW46" i="8"/>
  <c r="IN72" i="8"/>
  <c r="IB70" i="8"/>
  <c r="JB57" i="8"/>
  <c r="IE44" i="8"/>
  <c r="HR58" i="8"/>
  <c r="HT51" i="8"/>
  <c r="IZ71" i="8"/>
  <c r="JM34" i="8"/>
  <c r="IG54" i="8"/>
  <c r="IO66" i="8"/>
  <c r="HJ40" i="8"/>
  <c r="KA35" i="8"/>
  <c r="IY54" i="8"/>
  <c r="KN33" i="8"/>
  <c r="FS64" i="8"/>
  <c r="GB27" i="8"/>
  <c r="FV56" i="8"/>
  <c r="GH65" i="8"/>
  <c r="ID66" i="8"/>
  <c r="GE64" i="8"/>
  <c r="IT52" i="8"/>
  <c r="GP54" i="8"/>
  <c r="GH72" i="8"/>
  <c r="IM68" i="8"/>
  <c r="FO47" i="8"/>
  <c r="KF43" i="8"/>
  <c r="JK73" i="8"/>
  <c r="FK44" i="8"/>
  <c r="X51" i="19"/>
  <c r="IH59" i="8"/>
  <c r="GS72" i="8"/>
  <c r="FS56" i="8"/>
  <c r="IN31" i="8"/>
  <c r="FS59" i="8"/>
  <c r="KL43" i="8"/>
  <c r="GJ56" i="8"/>
  <c r="IL51" i="8"/>
  <c r="IN34" i="8"/>
  <c r="FP52" i="8"/>
  <c r="IB67" i="8"/>
  <c r="IY45" i="8"/>
  <c r="JG55" i="8"/>
  <c r="FY37" i="8"/>
  <c r="KR75" i="8"/>
  <c r="Z10" i="19"/>
  <c r="HH68" i="8"/>
  <c r="GC49" i="8"/>
  <c r="FO52" i="8"/>
  <c r="JL46" i="8"/>
  <c r="GI64" i="8"/>
  <c r="HJ47" i="8"/>
  <c r="HB74" i="8"/>
  <c r="HJ42" i="8"/>
  <c r="GD74" i="8"/>
  <c r="JV70" i="8"/>
  <c r="IF56" i="8"/>
  <c r="KO69" i="8"/>
  <c r="FN58" i="8"/>
  <c r="GD59" i="8"/>
  <c r="KR69" i="8"/>
  <c r="IE60" i="8"/>
  <c r="JF68" i="8"/>
  <c r="KM31" i="8"/>
  <c r="IQ29" i="8"/>
  <c r="HC34" i="8"/>
  <c r="FL73" i="8"/>
  <c r="KQ35" i="8"/>
  <c r="JK58" i="8"/>
  <c r="HA42" i="8"/>
  <c r="IN74" i="8"/>
  <c r="JI69" i="8"/>
  <c r="HX36" i="8"/>
  <c r="KD41" i="8"/>
  <c r="GC54" i="8"/>
  <c r="GQ64" i="8"/>
  <c r="JB67" i="8"/>
  <c r="IG39" i="8"/>
  <c r="JH29" i="8"/>
  <c r="JX46" i="8"/>
  <c r="JG63" i="8"/>
  <c r="IL33" i="8"/>
  <c r="JI70" i="8"/>
  <c r="FX75" i="8"/>
  <c r="L52" i="19"/>
  <c r="JX76" i="8"/>
  <c r="HZ64" i="8"/>
  <c r="IQ39" i="8"/>
  <c r="GG57" i="8"/>
  <c r="GC37" i="8"/>
  <c r="GS68" i="8"/>
  <c r="JH50" i="8"/>
  <c r="JG72" i="8"/>
  <c r="HK76" i="8"/>
  <c r="GE53" i="8"/>
  <c r="KN43" i="8"/>
  <c r="HK64" i="8"/>
  <c r="JG32" i="8"/>
  <c r="FX72" i="8"/>
  <c r="HZ37" i="8"/>
  <c r="GV72" i="8"/>
  <c r="GP58" i="8"/>
  <c r="GR28" i="8"/>
  <c r="GU46" i="8"/>
  <c r="JF65" i="8"/>
  <c r="JV74" i="8"/>
  <c r="JS49" i="8"/>
  <c r="JD55" i="8"/>
  <c r="HP53" i="8"/>
  <c r="JK75" i="8"/>
  <c r="FV73" i="8"/>
  <c r="FR60" i="8"/>
  <c r="FT43" i="8"/>
  <c r="FR28" i="8"/>
  <c r="GI60" i="8"/>
  <c r="GV35" i="8"/>
  <c r="GM52" i="8"/>
  <c r="FM45" i="8"/>
  <c r="GR64" i="8"/>
  <c r="JB42" i="8"/>
  <c r="IG62" i="8"/>
  <c r="GL64" i="8"/>
  <c r="IG56" i="8"/>
  <c r="JD64" i="8"/>
  <c r="HC58" i="8"/>
  <c r="FP64" i="8"/>
  <c r="GD73" i="8"/>
  <c r="IJ61" i="8"/>
  <c r="IX36" i="8"/>
  <c r="GT36" i="8"/>
  <c r="KT74" i="8"/>
  <c r="IM47" i="8"/>
  <c r="IC64" i="8"/>
  <c r="IC60" i="8"/>
  <c r="KQ45" i="8"/>
  <c r="KK37" i="8"/>
  <c r="HP38" i="8"/>
  <c r="HS63" i="8"/>
  <c r="FR68" i="8"/>
  <c r="IO38" i="8"/>
  <c r="GO28" i="8"/>
  <c r="JW28" i="8"/>
  <c r="IR63" i="8"/>
  <c r="JJ67" i="8"/>
  <c r="HJ33" i="8"/>
  <c r="KN40" i="8"/>
  <c r="HF72" i="8"/>
  <c r="JX72" i="8"/>
  <c r="JO76" i="8"/>
  <c r="IW28" i="8"/>
  <c r="H15" i="19"/>
  <c r="JJ36" i="8"/>
  <c r="GC35" i="8"/>
  <c r="KP39" i="8"/>
  <c r="HL72" i="8"/>
  <c r="HE39" i="8"/>
  <c r="IL39" i="8"/>
  <c r="KP32" i="8"/>
  <c r="HO60" i="8"/>
  <c r="IW44" i="8"/>
  <c r="FO67" i="8"/>
  <c r="HB42" i="8"/>
  <c r="JI56" i="8"/>
  <c r="KG33" i="8"/>
  <c r="KE34" i="8"/>
  <c r="GF68" i="8"/>
  <c r="KN57" i="8"/>
  <c r="IX37" i="8"/>
  <c r="IL36" i="8"/>
  <c r="GK47" i="8"/>
  <c r="KJ33" i="8"/>
  <c r="HA57" i="8"/>
  <c r="GH75" i="8"/>
  <c r="FS28" i="8"/>
  <c r="KV59" i="8"/>
  <c r="GS49" i="8"/>
  <c r="IP53" i="8"/>
  <c r="GN32" i="8"/>
  <c r="IC76" i="8"/>
  <c r="JH33" i="8"/>
  <c r="KO62" i="8"/>
  <c r="KB65" i="8"/>
  <c r="IB39" i="8"/>
  <c r="GE48" i="8"/>
  <c r="JO75" i="8"/>
  <c r="GJ35" i="8"/>
  <c r="HB71" i="8"/>
  <c r="IS31" i="8"/>
  <c r="FP54" i="8"/>
  <c r="GV27" i="8"/>
  <c r="JP69" i="8"/>
  <c r="KT61" i="8"/>
  <c r="JI65" i="8"/>
  <c r="JC60" i="8"/>
  <c r="IT39" i="8"/>
  <c r="GE50" i="8"/>
  <c r="GB53" i="8"/>
  <c r="JG48" i="8"/>
  <c r="HU73" i="8"/>
  <c r="GF41" i="8"/>
  <c r="HC62" i="8"/>
  <c r="GM63" i="8"/>
  <c r="IE72" i="8"/>
  <c r="JS41" i="8"/>
  <c r="HF52" i="8"/>
  <c r="II48" i="8"/>
  <c r="KW55" i="8"/>
  <c r="FX69" i="8"/>
  <c r="JH47" i="8"/>
  <c r="IS65" i="8"/>
  <c r="IM51" i="8"/>
  <c r="HL60" i="8"/>
  <c r="GF60" i="8"/>
  <c r="IP46" i="8"/>
  <c r="GT56" i="8"/>
  <c r="JS76" i="8"/>
  <c r="HB60" i="8"/>
  <c r="JJ72" i="8"/>
  <c r="GG42" i="8"/>
  <c r="GZ37" i="8"/>
  <c r="FX61" i="8"/>
  <c r="JM48" i="8"/>
  <c r="JN63" i="8"/>
  <c r="KM38" i="8"/>
  <c r="IP60" i="8"/>
  <c r="FW65" i="8"/>
  <c r="HU28" i="8"/>
  <c r="GH38" i="8"/>
  <c r="JD46" i="8"/>
  <c r="IM28" i="8"/>
  <c r="JI73" i="8"/>
  <c r="GQ49" i="8"/>
  <c r="JE44" i="8"/>
  <c r="IH65" i="8"/>
  <c r="JV50" i="8"/>
  <c r="IE65" i="8"/>
  <c r="HU72" i="8"/>
  <c r="JS37" i="8"/>
  <c r="I51" i="19"/>
  <c r="HO28" i="8"/>
  <c r="JF47" i="8"/>
  <c r="HR28" i="8"/>
  <c r="GM59" i="8"/>
  <c r="HE41" i="8"/>
  <c r="HZ41" i="8"/>
  <c r="FS41" i="8"/>
  <c r="IW38" i="8"/>
  <c r="FV33" i="8"/>
  <c r="KK53" i="8"/>
  <c r="HB66" i="8"/>
  <c r="JS27" i="8"/>
  <c r="KF50" i="8"/>
  <c r="AF20" i="19"/>
  <c r="IT53" i="8"/>
  <c r="KL30" i="8"/>
  <c r="JL48" i="8"/>
  <c r="IA55" i="8"/>
  <c r="JE36" i="8"/>
  <c r="GP60" i="8"/>
  <c r="IG46" i="8"/>
  <c r="GI36" i="8"/>
  <c r="IY61" i="8"/>
  <c r="GU71" i="8"/>
  <c r="FS45" i="8"/>
  <c r="KW58" i="8"/>
  <c r="KR53" i="8"/>
  <c r="GF70" i="8"/>
  <c r="HL34" i="8"/>
  <c r="JM38" i="8"/>
  <c r="HM57" i="8"/>
  <c r="IT33" i="8"/>
  <c r="HX59" i="8"/>
  <c r="FT38" i="8"/>
  <c r="KN39" i="8"/>
  <c r="FR36" i="8"/>
  <c r="HG73" i="8"/>
  <c r="JB59" i="8"/>
  <c r="IZ41" i="8"/>
  <c r="GJ72" i="8"/>
  <c r="IT28" i="8"/>
  <c r="KE73" i="8"/>
  <c r="JW38" i="8"/>
  <c r="IH48" i="8"/>
  <c r="JI43" i="8"/>
  <c r="KK39" i="8"/>
  <c r="KN29" i="8"/>
  <c r="HH43" i="8"/>
  <c r="KW57" i="8"/>
  <c r="IH66" i="8"/>
  <c r="HC56" i="8"/>
  <c r="HZ72" i="8"/>
  <c r="KA53" i="8"/>
  <c r="KQ44" i="8"/>
  <c r="FX63" i="8"/>
  <c r="JY46" i="8"/>
  <c r="IZ76" i="8"/>
  <c r="KG76" i="8"/>
  <c r="GE59" i="8"/>
  <c r="HH45" i="8"/>
  <c r="FW66" i="8"/>
  <c r="KM72" i="8"/>
  <c r="KP46" i="8"/>
  <c r="IG32" i="8"/>
  <c r="KV67" i="8"/>
  <c r="IE39" i="8"/>
  <c r="GL76" i="8"/>
  <c r="JX64" i="8"/>
  <c r="IH70" i="8"/>
  <c r="FP71" i="8"/>
  <c r="GZ43" i="8"/>
  <c r="HE40" i="8"/>
  <c r="KT62" i="8"/>
  <c r="HH60" i="8"/>
  <c r="FW64" i="8"/>
  <c r="FR64" i="8"/>
  <c r="IF58" i="8"/>
  <c r="FT62" i="8"/>
  <c r="IH76" i="8"/>
  <c r="JZ40" i="8"/>
  <c r="GP51" i="8"/>
  <c r="HC48" i="8"/>
  <c r="GQ38" i="8"/>
  <c r="JQ51" i="8"/>
  <c r="IJ39" i="8"/>
  <c r="ID76" i="8"/>
  <c r="FP44" i="8"/>
  <c r="HX42" i="8"/>
  <c r="HS60" i="8"/>
  <c r="JS35" i="8"/>
  <c r="JY34" i="8"/>
  <c r="JZ39" i="8"/>
  <c r="JF54" i="8"/>
  <c r="KK72" i="8"/>
  <c r="IB75" i="8"/>
  <c r="GI62" i="8"/>
  <c r="KO39" i="8"/>
  <c r="JZ36" i="8"/>
  <c r="KH51" i="8"/>
  <c r="FK57" i="8"/>
  <c r="IO55" i="8"/>
  <c r="IN37" i="8"/>
  <c r="HL31" i="8"/>
  <c r="HT27" i="8"/>
  <c r="HT42" i="8"/>
  <c r="FS50" i="8"/>
  <c r="HX44" i="8"/>
  <c r="AM13" i="19"/>
  <c r="KQ56" i="8"/>
  <c r="KQ41" i="8"/>
  <c r="KG31" i="8"/>
  <c r="HT36" i="8"/>
  <c r="KC76" i="8"/>
  <c r="KC56" i="8"/>
  <c r="JV33" i="8"/>
  <c r="FR66" i="8"/>
  <c r="KH31" i="8"/>
  <c r="GF42" i="8"/>
  <c r="JY63" i="8"/>
  <c r="GQ47" i="8"/>
  <c r="GI65" i="8"/>
  <c r="FV66" i="8"/>
  <c r="JC38" i="8"/>
  <c r="IJ71" i="8"/>
  <c r="IQ42" i="8"/>
  <c r="JH76" i="8"/>
  <c r="JK34" i="8"/>
  <c r="GK35" i="8"/>
  <c r="IS32" i="8"/>
  <c r="JI32" i="8"/>
  <c r="KO75" i="8"/>
  <c r="KN67" i="8"/>
  <c r="JF36" i="8"/>
  <c r="HX66" i="8"/>
  <c r="KJ50" i="8"/>
  <c r="IM64" i="8"/>
  <c r="JI37" i="8"/>
  <c r="JD59" i="8"/>
  <c r="HZ33" i="8"/>
  <c r="GP36" i="8"/>
  <c r="JO68" i="8"/>
  <c r="GG61" i="8"/>
  <c r="IO52" i="8"/>
  <c r="JL61" i="8"/>
  <c r="IK28" i="8"/>
  <c r="JJ40" i="8"/>
  <c r="KC35" i="8"/>
  <c r="HA29" i="8"/>
  <c r="N54" i="19"/>
  <c r="HL75" i="8"/>
  <c r="GD39" i="8"/>
  <c r="GE28" i="8"/>
  <c r="KQ47" i="8"/>
  <c r="GM56" i="8"/>
  <c r="JR44" i="8"/>
  <c r="JO72" i="8"/>
  <c r="JV64" i="8"/>
  <c r="HC49" i="8"/>
  <c r="IZ62" i="8"/>
  <c r="HJ53" i="8"/>
  <c r="IX67" i="8"/>
  <c r="GT59" i="8"/>
  <c r="GQ69" i="8"/>
  <c r="IB46" i="8"/>
  <c r="IY76" i="8"/>
  <c r="KM28" i="8"/>
  <c r="HP65" i="8"/>
  <c r="GD30" i="8"/>
  <c r="FT49" i="8"/>
  <c r="FX37" i="8"/>
  <c r="FQ31" i="8"/>
  <c r="GT61" i="8"/>
  <c r="KN51" i="8"/>
  <c r="HC53" i="8"/>
  <c r="HP60" i="8"/>
  <c r="KL27" i="8"/>
  <c r="IS50" i="8"/>
  <c r="JD75" i="8"/>
  <c r="GU61" i="8"/>
  <c r="GD70" i="8"/>
  <c r="IR65" i="8"/>
  <c r="AH19" i="19"/>
  <c r="BD10" i="19"/>
  <c r="IF41" i="8"/>
  <c r="FL45" i="8"/>
  <c r="FO62" i="8"/>
  <c r="KN58" i="8"/>
  <c r="KD43" i="8"/>
  <c r="GP67" i="8"/>
  <c r="HE61" i="8"/>
  <c r="FR30" i="8"/>
  <c r="KD52" i="8"/>
  <c r="GN75" i="8"/>
  <c r="IB47" i="8"/>
  <c r="FO74" i="8"/>
  <c r="KC40" i="8"/>
  <c r="GG39" i="8"/>
  <c r="JO28" i="8"/>
  <c r="HZ59" i="8"/>
  <c r="HX29" i="8"/>
  <c r="GI68" i="8"/>
  <c r="KR56" i="8"/>
  <c r="HC50" i="8"/>
  <c r="IY49" i="8"/>
  <c r="IG66" i="8"/>
  <c r="FX41" i="8"/>
  <c r="IZ52" i="8"/>
  <c r="IB56" i="8"/>
  <c r="IX43" i="8"/>
  <c r="HL29" i="8"/>
  <c r="IT50" i="8"/>
  <c r="FR53" i="8"/>
  <c r="IL67" i="8"/>
  <c r="FQ54" i="8"/>
  <c r="HG60" i="8"/>
  <c r="IY40" i="8"/>
  <c r="JS58" i="8"/>
  <c r="HL71" i="8"/>
  <c r="KI30" i="8"/>
  <c r="GR43" i="8"/>
  <c r="GQ39" i="8"/>
  <c r="KP63" i="8"/>
  <c r="IH38" i="8"/>
  <c r="GD48" i="8"/>
  <c r="JF31" i="8"/>
  <c r="HL40" i="8"/>
  <c r="IY53" i="8"/>
  <c r="KG36" i="8"/>
  <c r="GH46" i="8"/>
  <c r="AA10" i="19"/>
  <c r="FL65" i="8"/>
  <c r="KD74" i="8"/>
  <c r="GF40" i="8"/>
  <c r="KQ55" i="8"/>
  <c r="GM31" i="8"/>
  <c r="IX65" i="8"/>
  <c r="GK75" i="8"/>
  <c r="KC53" i="8"/>
  <c r="JG52" i="8"/>
  <c r="HO73" i="8"/>
  <c r="GH73" i="8"/>
  <c r="KW49" i="8"/>
  <c r="HC30" i="8"/>
  <c r="ID54" i="8"/>
  <c r="KA63" i="8"/>
  <c r="KV52" i="8"/>
  <c r="GS57" i="8"/>
  <c r="KP52" i="8"/>
  <c r="GQ56" i="8"/>
  <c r="HG37" i="8"/>
  <c r="FP67" i="8"/>
  <c r="JA66" i="8"/>
  <c r="FL33" i="8"/>
  <c r="JZ41" i="8"/>
  <c r="GF48" i="8"/>
  <c r="GC71" i="8"/>
  <c r="KD70" i="8"/>
  <c r="IX70" i="8"/>
  <c r="FW42" i="8"/>
  <c r="IS38" i="8"/>
  <c r="GF63" i="8"/>
  <c r="JB41" i="8"/>
  <c r="JV39" i="8"/>
  <c r="II49" i="8"/>
  <c r="GE54" i="8"/>
  <c r="KM43" i="8"/>
  <c r="GL27" i="8"/>
  <c r="KN74" i="8"/>
  <c r="KH61" i="8"/>
  <c r="HR71" i="8"/>
  <c r="KM48" i="8"/>
  <c r="JQ59" i="8"/>
  <c r="GN31" i="8"/>
  <c r="HL67" i="8"/>
  <c r="GS52" i="8"/>
  <c r="JC58" i="8"/>
  <c r="FN75" i="8"/>
  <c r="KK64" i="8"/>
  <c r="GN62" i="8"/>
  <c r="HR56" i="8"/>
  <c r="GJ73" i="8"/>
  <c r="KP38" i="8"/>
  <c r="IY64" i="8"/>
  <c r="JG57" i="8"/>
  <c r="GD71" i="8"/>
  <c r="JV44" i="8"/>
  <c r="HM37" i="8"/>
  <c r="HT49" i="8"/>
  <c r="JE71" i="8"/>
  <c r="HK60" i="8"/>
  <c r="FS52" i="8"/>
  <c r="IK30" i="8"/>
  <c r="GB32" i="8"/>
  <c r="KL57" i="8"/>
  <c r="IH69" i="8"/>
  <c r="KC68" i="8"/>
  <c r="JS45" i="8"/>
  <c r="HU64" i="8"/>
  <c r="IM33" i="8"/>
  <c r="FL75" i="8"/>
  <c r="GM67" i="8"/>
  <c r="KG40" i="8"/>
  <c r="GL59" i="8"/>
  <c r="FP30" i="8"/>
  <c r="KD72" i="8"/>
  <c r="KI66" i="8"/>
  <c r="KH73" i="8"/>
  <c r="FK63" i="8"/>
  <c r="GD45" i="8"/>
  <c r="KM46" i="8"/>
  <c r="IC73" i="8"/>
  <c r="HC68" i="8"/>
  <c r="JW54" i="8"/>
  <c r="JJ29" i="8"/>
  <c r="IP55" i="8"/>
  <c r="JO60" i="8"/>
  <c r="JG42" i="8"/>
  <c r="IP63" i="8"/>
  <c r="HK41" i="8"/>
  <c r="GU73" i="8"/>
  <c r="FY66" i="8"/>
  <c r="GG69" i="8"/>
  <c r="HR54" i="8"/>
  <c r="JR49" i="8"/>
  <c r="GK59" i="8"/>
  <c r="FO54" i="8"/>
  <c r="FQ50" i="8"/>
  <c r="KV47" i="8"/>
  <c r="KD63" i="8"/>
  <c r="KC29" i="8"/>
  <c r="GZ40" i="8"/>
  <c r="HP63" i="8"/>
  <c r="KD27" i="8"/>
  <c r="HU75" i="8"/>
  <c r="JF56" i="8"/>
  <c r="IN30" i="8"/>
  <c r="IJ60" i="8"/>
  <c r="JK70" i="8"/>
  <c r="FW50" i="8"/>
  <c r="AM19" i="19"/>
  <c r="KV29" i="8"/>
  <c r="FX53" i="8"/>
  <c r="HO71" i="8"/>
  <c r="HS68" i="8"/>
  <c r="KO41" i="8"/>
  <c r="KK33" i="8"/>
  <c r="HA56" i="8"/>
  <c r="J51" i="19"/>
  <c r="GS50" i="8"/>
  <c r="KO74" i="8"/>
  <c r="GN37" i="8"/>
  <c r="JV58" i="8"/>
  <c r="HK37" i="8"/>
  <c r="KE37" i="8"/>
  <c r="HJ28" i="8"/>
  <c r="HU37" i="8"/>
  <c r="KM33" i="8"/>
  <c r="GR29" i="8"/>
  <c r="IF52" i="8"/>
  <c r="GR76" i="8"/>
  <c r="FK67" i="8"/>
  <c r="FX59" i="8"/>
  <c r="GK71" i="8"/>
  <c r="HS36" i="8"/>
  <c r="IB35" i="8"/>
  <c r="IC52" i="8"/>
  <c r="GT38" i="8"/>
  <c r="IE61" i="8"/>
  <c r="FP27" i="8"/>
  <c r="FK60" i="8"/>
  <c r="GT54" i="8"/>
  <c r="HL62" i="8"/>
  <c r="FO58" i="8"/>
  <c r="JZ47" i="8"/>
  <c r="IO51" i="8"/>
  <c r="JW56" i="8"/>
  <c r="KL61" i="8"/>
  <c r="HT47" i="8"/>
  <c r="HG36" i="8"/>
  <c r="JE64" i="8"/>
  <c r="IS53" i="8"/>
  <c r="JE54" i="8"/>
  <c r="KQ49" i="8"/>
  <c r="IT30" i="8"/>
  <c r="GJ39" i="8"/>
  <c r="KP61" i="8"/>
  <c r="IW75" i="8"/>
  <c r="HG47" i="8"/>
  <c r="JE60" i="8"/>
  <c r="HZ76" i="8"/>
  <c r="HG40" i="8"/>
  <c r="JJ71" i="8"/>
  <c r="GL68" i="8"/>
  <c r="IZ66" i="8"/>
  <c r="JI41" i="8"/>
  <c r="GB64" i="8"/>
  <c r="FQ55" i="8"/>
  <c r="FV43" i="8"/>
  <c r="KB54" i="8"/>
  <c r="JW70" i="8"/>
  <c r="GS27" i="8"/>
  <c r="HH30" i="8"/>
  <c r="FS51" i="8"/>
  <c r="HY72" i="8"/>
  <c r="JO37" i="8"/>
  <c r="GU66" i="8"/>
  <c r="IB64" i="8"/>
  <c r="IB58" i="8"/>
  <c r="KD48" i="8"/>
  <c r="JV68" i="8"/>
  <c r="FY55" i="8"/>
  <c r="GB33" i="8"/>
  <c r="HE30" i="8"/>
  <c r="JR73" i="8"/>
  <c r="JQ41" i="8"/>
  <c r="IX72" i="8"/>
  <c r="KC28" i="8"/>
  <c r="GC46" i="8"/>
  <c r="JA51" i="8"/>
  <c r="IT71" i="8"/>
  <c r="GT32" i="8"/>
  <c r="JL51" i="8"/>
  <c r="FP50" i="8"/>
  <c r="KW61" i="8"/>
  <c r="FV57" i="8"/>
  <c r="GD33" i="8"/>
  <c r="HT54" i="8"/>
  <c r="FL69" i="8"/>
  <c r="JV49" i="8"/>
  <c r="IS55" i="8"/>
  <c r="FQ57" i="8"/>
  <c r="IE37" i="8"/>
  <c r="KM50" i="8"/>
  <c r="IK62" i="8"/>
  <c r="FT63" i="8"/>
  <c r="IG52" i="8"/>
  <c r="IR62" i="8"/>
  <c r="GU76" i="8"/>
  <c r="HL54" i="8"/>
  <c r="HJ34" i="8"/>
  <c r="KL54" i="8"/>
  <c r="KA30" i="8"/>
  <c r="JL49" i="8"/>
  <c r="GB31" i="8"/>
  <c r="HE53" i="8"/>
  <c r="GO61" i="8"/>
  <c r="KM74" i="8"/>
  <c r="GU31" i="8"/>
  <c r="GM30" i="8"/>
  <c r="JQ39" i="8"/>
  <c r="KJ62" i="8"/>
  <c r="GH36" i="8"/>
  <c r="IP31" i="8"/>
  <c r="HB76" i="8"/>
  <c r="HS35" i="8"/>
  <c r="IY31" i="8"/>
  <c r="KJ69" i="8"/>
  <c r="KJ54" i="8"/>
  <c r="KN68" i="8"/>
  <c r="GT37" i="8"/>
  <c r="IS64" i="8"/>
  <c r="FK66" i="8"/>
  <c r="KL34" i="8"/>
  <c r="HM75" i="8"/>
  <c r="GI39" i="8"/>
  <c r="KM75" i="8"/>
  <c r="IG47" i="8"/>
  <c r="GB40" i="8"/>
  <c r="FR48" i="8"/>
  <c r="HX46" i="8"/>
  <c r="GO47" i="8"/>
  <c r="IM41" i="8"/>
  <c r="JZ73" i="8"/>
  <c r="HK30" i="8"/>
  <c r="IK33" i="8"/>
  <c r="HJ31" i="8"/>
  <c r="GJ67" i="8"/>
  <c r="FO46" i="8"/>
  <c r="IH74" i="8"/>
  <c r="HJ35" i="8"/>
  <c r="GN59" i="8"/>
  <c r="GU75" i="8"/>
  <c r="GT69" i="8"/>
  <c r="FT48" i="8"/>
  <c r="HX41" i="8"/>
  <c r="FQ30" i="8"/>
  <c r="JS50" i="8"/>
  <c r="GJ70" i="8"/>
  <c r="FV48" i="8"/>
  <c r="KF61" i="8"/>
  <c r="JR63" i="8"/>
  <c r="HH65" i="8"/>
  <c r="JD52" i="8"/>
  <c r="GL53" i="8"/>
  <c r="FT58" i="8"/>
  <c r="HH62" i="8"/>
  <c r="GL73" i="8"/>
  <c r="HH49" i="8"/>
  <c r="KD38" i="8"/>
  <c r="FP51" i="8"/>
  <c r="JV55" i="8"/>
  <c r="GB74" i="8"/>
  <c r="JH48" i="8"/>
  <c r="GK68" i="8"/>
  <c r="IY50" i="8"/>
  <c r="KG48" i="8"/>
  <c r="Y10" i="19"/>
  <c r="BK10" i="19"/>
  <c r="GO76" i="8"/>
  <c r="GL56" i="8"/>
  <c r="KK31" i="8"/>
  <c r="FN67" i="8"/>
  <c r="GE38" i="8"/>
  <c r="KD57" i="8"/>
  <c r="FQ32" i="8"/>
  <c r="IZ29" i="8"/>
  <c r="KH48" i="8"/>
  <c r="GF49" i="8"/>
  <c r="JS72" i="8"/>
  <c r="JE38" i="8"/>
  <c r="GU74" i="8"/>
  <c r="FN66" i="8"/>
  <c r="HS54" i="8"/>
  <c r="HX60" i="8"/>
  <c r="FW75" i="8"/>
  <c r="IX38" i="8"/>
  <c r="KG68" i="8"/>
  <c r="GG36" i="8"/>
  <c r="FM52" i="8"/>
  <c r="IJ31" i="8"/>
  <c r="GI71" i="8"/>
  <c r="KD34" i="8"/>
  <c r="T15" i="19"/>
  <c r="KI36" i="8"/>
  <c r="JQ66" i="8"/>
  <c r="IK38" i="8"/>
  <c r="FN62" i="8"/>
  <c r="GV69" i="8"/>
  <c r="ID30" i="8"/>
  <c r="GP46" i="8"/>
  <c r="IY71" i="8"/>
  <c r="JO73" i="8"/>
  <c r="IO33" i="8"/>
  <c r="KK34" i="8"/>
  <c r="G51" i="19"/>
  <c r="JV60" i="8"/>
  <c r="FX40" i="8"/>
  <c r="FO34" i="8"/>
  <c r="KE28" i="8"/>
  <c r="JS39" i="8"/>
  <c r="HJ67" i="8"/>
  <c r="GQ32" i="8"/>
  <c r="IZ33" i="8"/>
  <c r="FP29" i="8"/>
  <c r="KC71" i="8"/>
  <c r="GD32" i="8"/>
  <c r="KK49" i="8"/>
  <c r="JK30" i="8"/>
  <c r="HT39" i="8"/>
  <c r="JZ64" i="8"/>
  <c r="GE29" i="8"/>
  <c r="JE50" i="8"/>
  <c r="IA61" i="8"/>
  <c r="KH35" i="8"/>
  <c r="IA48" i="8"/>
  <c r="JL71" i="8"/>
  <c r="GT53" i="8"/>
  <c r="FR38" i="8"/>
  <c r="JP29" i="8"/>
  <c r="IN55" i="8"/>
  <c r="FV51" i="8"/>
  <c r="IO71" i="8"/>
  <c r="JE37" i="8"/>
  <c r="KI62" i="8"/>
  <c r="II69" i="8"/>
  <c r="HY32" i="8"/>
  <c r="GG35" i="8"/>
  <c r="IP41" i="8"/>
  <c r="FO28" i="8"/>
  <c r="KA69" i="8"/>
  <c r="IM29" i="8"/>
  <c r="GI51" i="8"/>
  <c r="FV61" i="8"/>
  <c r="JR64" i="8"/>
  <c r="JK43" i="8"/>
  <c r="II47" i="8"/>
  <c r="JF28" i="8"/>
  <c r="GF62" i="8"/>
  <c r="ID67" i="8"/>
  <c r="JL45" i="8"/>
  <c r="HT65" i="8"/>
  <c r="GS71" i="8"/>
  <c r="IG55" i="8"/>
  <c r="JV72" i="8"/>
  <c r="HM29" i="8"/>
  <c r="IH68" i="8"/>
  <c r="JG46" i="8"/>
  <c r="HP59" i="8"/>
  <c r="JC31" i="8"/>
  <c r="JA59" i="8"/>
  <c r="KO47" i="8"/>
  <c r="IW58" i="8"/>
  <c r="HS45" i="8"/>
  <c r="KE41" i="8"/>
  <c r="GT39" i="8"/>
  <c r="JP59" i="8"/>
  <c r="GD64" i="8"/>
  <c r="JM51" i="8"/>
  <c r="JF57" i="8"/>
  <c r="IY42" i="8"/>
  <c r="HB46" i="8"/>
  <c r="GN71" i="8"/>
  <c r="KO42" i="8"/>
  <c r="IT65" i="8"/>
  <c r="IQ36" i="8"/>
  <c r="JK66" i="8"/>
  <c r="GC33" i="8"/>
  <c r="KC74" i="8"/>
  <c r="IA72" i="8"/>
  <c r="IM67" i="8"/>
  <c r="FR75" i="8"/>
  <c r="GZ71" i="8"/>
  <c r="JB50" i="8"/>
  <c r="IQ62" i="8"/>
  <c r="HY67" i="8"/>
  <c r="JL50" i="8"/>
  <c r="IC43" i="8"/>
  <c r="HK57" i="8"/>
  <c r="GN58" i="8"/>
  <c r="GH28" i="8"/>
  <c r="FW55" i="8"/>
  <c r="HF40" i="8"/>
  <c r="HP61" i="8"/>
  <c r="GF46" i="8"/>
  <c r="KG49" i="8"/>
  <c r="JH54" i="8"/>
  <c r="FN35" i="8"/>
  <c r="JP46" i="8"/>
  <c r="GU67" i="8"/>
  <c r="KO72" i="8"/>
  <c r="IN59" i="8"/>
  <c r="FX55" i="8"/>
  <c r="JI34" i="8"/>
  <c r="FO49" i="8"/>
  <c r="FV59" i="8"/>
  <c r="IK56" i="8"/>
  <c r="HR38" i="8"/>
  <c r="HO65" i="8"/>
  <c r="IN33" i="8"/>
  <c r="KA45" i="8"/>
  <c r="KP75" i="8"/>
  <c r="KT55" i="8"/>
  <c r="HH67" i="8"/>
  <c r="JY45" i="8"/>
  <c r="GZ58" i="8"/>
  <c r="GO74" i="8"/>
  <c r="HE69" i="8"/>
  <c r="KW50" i="8"/>
  <c r="FQ27" i="8"/>
  <c r="KM55" i="8"/>
  <c r="KB71" i="8"/>
  <c r="KJ71" i="8"/>
  <c r="HE31" i="8"/>
  <c r="JK29" i="8"/>
  <c r="JZ71" i="8"/>
  <c r="HM42" i="8"/>
  <c r="HY62" i="8"/>
  <c r="JE30" i="8"/>
  <c r="IG71" i="8"/>
  <c r="GN56" i="8"/>
  <c r="IG64" i="8"/>
  <c r="HJ52" i="8"/>
  <c r="FX70" i="8"/>
  <c r="FT55" i="8"/>
  <c r="FN51" i="8"/>
  <c r="HZ74" i="8"/>
  <c r="FN54" i="8"/>
  <c r="IP47" i="8"/>
  <c r="GB67" i="8"/>
  <c r="JC76" i="8"/>
  <c r="KV28" i="8"/>
  <c r="GN65" i="8"/>
  <c r="KB50" i="8"/>
  <c r="JI50" i="8"/>
  <c r="IE57" i="8"/>
  <c r="GU70" i="8"/>
  <c r="IT32" i="8"/>
  <c r="GU72" i="8"/>
  <c r="IK39" i="8"/>
  <c r="HG41" i="8"/>
  <c r="IJ76" i="8"/>
  <c r="JW32" i="8"/>
  <c r="KV43" i="8"/>
  <c r="IT75" i="8"/>
  <c r="IT40" i="8"/>
  <c r="KM42" i="8"/>
  <c r="GV31" i="8"/>
  <c r="GB52" i="8"/>
  <c r="JH56" i="8"/>
  <c r="KI43" i="8"/>
  <c r="JG73" i="8"/>
  <c r="HO66" i="8"/>
  <c r="KC44" i="8"/>
  <c r="HR34" i="8"/>
  <c r="HS62" i="8"/>
  <c r="FX42" i="8"/>
  <c r="FT73" i="8"/>
  <c r="IA34" i="8"/>
  <c r="HG48" i="8"/>
  <c r="HL66" i="8"/>
  <c r="HP50" i="8"/>
  <c r="JV43" i="8"/>
  <c r="JL39" i="8"/>
  <c r="JY71" i="8"/>
  <c r="JZ56" i="8"/>
  <c r="ID45" i="8"/>
  <c r="KH62" i="8"/>
  <c r="IR35" i="8"/>
  <c r="GJ38" i="8"/>
  <c r="GQ46" i="8"/>
  <c r="JE57" i="8"/>
  <c r="GP76" i="8"/>
  <c r="IA53" i="8"/>
  <c r="FX29" i="8"/>
  <c r="JL28" i="8"/>
  <c r="IG40" i="8"/>
  <c r="IT43" i="8"/>
  <c r="JW75" i="8"/>
  <c r="HL38" i="8"/>
  <c r="JA74" i="8"/>
  <c r="HB65" i="8"/>
  <c r="HO29" i="8"/>
  <c r="HH73" i="8"/>
  <c r="KC72" i="8"/>
  <c r="FM36" i="8"/>
  <c r="IB55" i="8"/>
  <c r="GC57" i="8"/>
  <c r="HB39" i="8"/>
  <c r="HX73" i="8"/>
  <c r="HY53" i="8"/>
  <c r="GF50" i="8"/>
  <c r="JP32" i="8"/>
  <c r="HT67" i="8"/>
  <c r="JQ64" i="8"/>
  <c r="FV75" i="8"/>
  <c r="HS31" i="8"/>
  <c r="GE45" i="8"/>
  <c r="GC65" i="8"/>
  <c r="HB62" i="8"/>
  <c r="HS50" i="8"/>
  <c r="IQ70" i="8"/>
  <c r="FV62" i="8"/>
  <c r="JO58" i="8"/>
  <c r="KR28" i="8"/>
  <c r="IF67" i="8"/>
  <c r="JB47" i="8"/>
  <c r="IB68" i="8"/>
  <c r="JK64" i="8"/>
  <c r="GG51" i="8"/>
  <c r="JW58" i="8"/>
  <c r="ID52" i="8"/>
  <c r="IE36" i="8"/>
  <c r="GR75" i="8"/>
  <c r="JQ73" i="8"/>
  <c r="KJ30" i="8"/>
  <c r="JE72" i="8"/>
  <c r="GJ32" i="8"/>
  <c r="IF42" i="8"/>
  <c r="FM68" i="8"/>
  <c r="KD68" i="8"/>
  <c r="K15" i="19"/>
  <c r="JG29" i="8"/>
  <c r="II44" i="8"/>
  <c r="FQ69" i="8"/>
  <c r="JN70" i="8"/>
  <c r="HH46" i="8"/>
  <c r="JA52" i="8"/>
  <c r="KH71" i="8"/>
  <c r="KE44" i="8"/>
  <c r="JB30" i="8"/>
  <c r="GM62" i="8"/>
  <c r="KQ46" i="8"/>
  <c r="GM40" i="8"/>
  <c r="GR32" i="8"/>
  <c r="IW53" i="8"/>
  <c r="IJ65" i="8"/>
  <c r="JL69" i="8"/>
  <c r="GP43" i="8"/>
  <c r="JJ73" i="8"/>
  <c r="JZ62" i="8"/>
  <c r="JN40" i="8"/>
  <c r="JW36" i="8"/>
  <c r="GS66" i="8"/>
  <c r="KI64" i="8"/>
  <c r="KH72" i="8"/>
  <c r="FM29" i="8"/>
  <c r="KP50" i="8"/>
  <c r="JZ52" i="8"/>
  <c r="HU41" i="8"/>
  <c r="KI55" i="8"/>
  <c r="JO34" i="8"/>
  <c r="HU76" i="8"/>
  <c r="HK33" i="8"/>
  <c r="HA48" i="8"/>
  <c r="HP46" i="8"/>
  <c r="IS69" i="8"/>
  <c r="GU69" i="8"/>
  <c r="JQ50" i="8"/>
  <c r="IY29" i="8"/>
  <c r="GK31" i="8"/>
  <c r="HA43" i="8"/>
  <c r="HC27" i="8"/>
  <c r="GF58" i="8"/>
  <c r="GR47" i="8"/>
  <c r="KJ65" i="8"/>
  <c r="FM46" i="8"/>
  <c r="HE64" i="8"/>
  <c r="FW29" i="8"/>
  <c r="AT13" i="19"/>
  <c r="HR35" i="8"/>
  <c r="HK45" i="8"/>
  <c r="KD55" i="8"/>
  <c r="KP40" i="8"/>
  <c r="HA34" i="8"/>
  <c r="GZ60" i="8"/>
  <c r="HY54" i="8"/>
  <c r="IS71" i="8"/>
  <c r="JO57" i="8"/>
  <c r="JD39" i="8"/>
  <c r="KP48" i="8"/>
  <c r="KE51" i="8"/>
  <c r="HF45" i="8"/>
  <c r="GP62" i="8"/>
  <c r="HT28" i="8"/>
  <c r="JA65" i="8"/>
  <c r="KK60" i="8"/>
  <c r="FM63" i="8"/>
  <c r="JH30" i="8"/>
  <c r="FS66" i="8"/>
  <c r="HU32" i="8"/>
  <c r="GO55" i="8"/>
  <c r="IO43" i="8"/>
  <c r="KM32" i="8"/>
  <c r="FT36" i="8"/>
  <c r="HC35" i="8"/>
  <c r="GK29" i="8"/>
  <c r="IN36" i="8"/>
  <c r="IL41" i="8"/>
  <c r="IF35" i="8"/>
  <c r="IC66" i="8"/>
  <c r="KR67" i="8"/>
  <c r="GR35" i="8"/>
  <c r="IG45" i="8"/>
  <c r="JR32" i="8"/>
  <c r="GJ34" i="8"/>
  <c r="KA60" i="8"/>
  <c r="GB30" i="8"/>
  <c r="GK64" i="8"/>
  <c r="KK28" i="8"/>
  <c r="IG27" i="8"/>
  <c r="FK34" i="8"/>
  <c r="IY57" i="8"/>
  <c r="IB72" i="8"/>
  <c r="IW54" i="8"/>
  <c r="KC73" i="8"/>
  <c r="E54" i="19"/>
  <c r="HG52" i="8"/>
  <c r="X54" i="19"/>
  <c r="HP70" i="8"/>
  <c r="FT46" i="8"/>
  <c r="HG64" i="8"/>
  <c r="KC43" i="8"/>
  <c r="HB34" i="8"/>
  <c r="KJ27" i="8"/>
  <c r="GU58" i="8"/>
  <c r="M15" i="19"/>
  <c r="FX39" i="8"/>
  <c r="KE65" i="8"/>
  <c r="IN41" i="8"/>
  <c r="GN47" i="8"/>
  <c r="FM33" i="8"/>
  <c r="HP66" i="8"/>
  <c r="FV76" i="8"/>
  <c r="II29" i="8"/>
  <c r="HL57" i="8"/>
  <c r="HY68" i="8"/>
  <c r="HK48" i="8"/>
  <c r="HG27" i="8"/>
  <c r="JX52" i="8"/>
  <c r="JI67" i="8"/>
  <c r="JO43" i="8"/>
  <c r="IT73" i="8"/>
  <c r="ID59" i="8"/>
  <c r="GU36" i="8"/>
  <c r="HJ39" i="8"/>
  <c r="JL30" i="8"/>
  <c r="HC39" i="8"/>
  <c r="KF32" i="8"/>
  <c r="HB47" i="8"/>
  <c r="IF57" i="8"/>
  <c r="JO32" i="8"/>
  <c r="KK40" i="8"/>
  <c r="HX69" i="8"/>
  <c r="IJ56" i="8"/>
  <c r="IW69" i="8"/>
  <c r="KW32" i="8"/>
  <c r="GO41" i="8"/>
  <c r="FK74" i="8"/>
  <c r="IY59" i="8"/>
  <c r="JV65" i="8"/>
  <c r="JH64" i="8"/>
  <c r="KE40" i="8"/>
  <c r="GU38" i="8"/>
  <c r="FW28" i="8"/>
  <c r="KA42" i="8"/>
  <c r="HU65" i="8"/>
  <c r="IK66" i="8"/>
  <c r="KL44" i="8"/>
  <c r="AG20" i="19"/>
  <c r="KD49" i="8"/>
  <c r="JC46" i="8"/>
  <c r="KE59" i="8"/>
  <c r="HM76" i="8"/>
  <c r="JA60" i="8"/>
  <c r="GI76" i="8"/>
  <c r="HY43" i="8"/>
  <c r="JG33" i="8"/>
  <c r="FQ67" i="8"/>
  <c r="IT60" i="8"/>
  <c r="JO42" i="8"/>
  <c r="JA64" i="8"/>
  <c r="FQ60" i="8"/>
  <c r="JG65" i="8"/>
  <c r="FN57" i="8"/>
  <c r="GM28" i="8"/>
  <c r="GK57" i="8"/>
  <c r="JW44" i="8"/>
  <c r="JS52" i="8"/>
  <c r="FW30" i="8"/>
  <c r="HK39" i="8"/>
  <c r="IF62" i="8"/>
  <c r="KD54" i="8"/>
  <c r="HE57" i="8"/>
  <c r="FO57" i="8"/>
  <c r="IL61" i="8"/>
  <c r="JV53" i="8"/>
  <c r="AM20" i="19"/>
  <c r="GK55" i="8"/>
  <c r="IL57" i="8"/>
  <c r="HE49" i="8"/>
  <c r="IB27" i="8"/>
  <c r="FT40" i="8"/>
  <c r="IJ52" i="8"/>
  <c r="IM35" i="8"/>
  <c r="GZ62" i="8"/>
  <c r="FQ76" i="8"/>
  <c r="IN44" i="8"/>
  <c r="JM65" i="8"/>
  <c r="KI54" i="8"/>
  <c r="GI63" i="8"/>
  <c r="IR72" i="8"/>
  <c r="GQ48" i="8"/>
  <c r="KM56" i="8"/>
  <c r="GI29" i="8"/>
  <c r="HX28" i="8"/>
  <c r="HF55" i="8"/>
  <c r="FY45" i="8"/>
  <c r="JC40" i="8"/>
  <c r="IZ63" i="8"/>
  <c r="KN30" i="8"/>
  <c r="FV30" i="8"/>
  <c r="JN50" i="8"/>
  <c r="GV48" i="8"/>
  <c r="KE68" i="8"/>
  <c r="KT57" i="8"/>
  <c r="IY66" i="8"/>
  <c r="IA66" i="8"/>
  <c r="HL73" i="8"/>
  <c r="IT59" i="8"/>
  <c r="R15" i="19"/>
  <c r="HX38" i="8"/>
  <c r="KA57" i="8"/>
  <c r="JD54" i="8"/>
  <c r="KR46" i="8"/>
  <c r="V15" i="19"/>
  <c r="HG65" i="8"/>
  <c r="ID51" i="8"/>
  <c r="IQ45" i="8"/>
  <c r="FW49" i="8"/>
  <c r="ID53" i="8"/>
  <c r="KL37" i="8"/>
  <c r="IP71" i="8"/>
  <c r="GQ61" i="8"/>
  <c r="IN76" i="8"/>
  <c r="HU52" i="8"/>
  <c r="KQ40" i="8"/>
  <c r="HU34" i="8"/>
  <c r="JR61" i="8"/>
  <c r="JF30" i="8"/>
  <c r="IA37" i="8"/>
  <c r="GC45" i="8"/>
  <c r="II34" i="8"/>
  <c r="KF37" i="8"/>
  <c r="HE33" i="8"/>
  <c r="FM43" i="8"/>
  <c r="IO60" i="8"/>
  <c r="IT31" i="8"/>
  <c r="IN57" i="8"/>
  <c r="V52" i="19"/>
  <c r="JW71" i="8"/>
  <c r="IC27" i="8"/>
  <c r="HY55" i="8"/>
  <c r="JF49" i="8"/>
  <c r="IO48" i="8"/>
  <c r="KN53" i="8"/>
  <c r="GJ30" i="8"/>
  <c r="IL45" i="8"/>
  <c r="ID27" i="8"/>
  <c r="GS60" i="8"/>
  <c r="GK72" i="8"/>
  <c r="IX30" i="8"/>
  <c r="KI67" i="8"/>
  <c r="HA62" i="8"/>
  <c r="JX55" i="8"/>
  <c r="KT40" i="8"/>
  <c r="HP67" i="8"/>
  <c r="GU28" i="8"/>
  <c r="KO61" i="8"/>
  <c r="IN64" i="8"/>
  <c r="JY32" i="8"/>
  <c r="JF61" i="8"/>
  <c r="FT33" i="8"/>
  <c r="JS38" i="8"/>
  <c r="HJ75" i="8"/>
  <c r="IF46" i="8"/>
  <c r="KH47" i="8"/>
  <c r="FK46" i="8"/>
  <c r="JE66" i="8"/>
  <c r="JP49" i="8"/>
  <c r="IM49" i="8"/>
  <c r="JA56" i="8"/>
  <c r="GR39" i="8"/>
  <c r="IS67" i="8"/>
  <c r="IQ75" i="8"/>
  <c r="GN48" i="8"/>
  <c r="FR71" i="8"/>
  <c r="IJ45" i="8"/>
  <c r="IA27" i="8"/>
  <c r="IP43" i="8"/>
  <c r="GH76" i="8"/>
  <c r="JM73" i="8"/>
  <c r="GH55" i="8"/>
  <c r="GS62" i="8"/>
  <c r="FP37" i="8"/>
  <c r="HU69" i="8"/>
  <c r="JF59" i="8"/>
  <c r="JV76" i="8"/>
  <c r="FT67" i="8"/>
  <c r="FS32" i="8"/>
  <c r="KP56" i="8"/>
  <c r="JK41" i="8"/>
  <c r="KG35" i="8"/>
  <c r="JN72" i="8"/>
  <c r="KT45" i="8"/>
  <c r="JQ42" i="8"/>
  <c r="KH34" i="8"/>
  <c r="GZ70" i="8"/>
  <c r="FX73" i="8"/>
  <c r="KB42" i="8"/>
  <c r="HU42" i="8"/>
  <c r="HO42" i="8"/>
  <c r="GR34" i="8"/>
  <c r="GD58" i="8"/>
  <c r="JP28" i="8"/>
  <c r="IN62" i="8"/>
  <c r="GB29" i="8"/>
  <c r="GR31" i="8"/>
  <c r="IT70" i="8"/>
  <c r="GH50" i="8"/>
  <c r="IE64" i="8"/>
  <c r="HE71" i="8"/>
  <c r="JN27" i="8"/>
  <c r="GT43" i="8"/>
  <c r="JX44" i="8"/>
  <c r="JG47" i="8"/>
  <c r="HR74" i="8"/>
  <c r="JR71" i="8"/>
  <c r="GD66" i="8"/>
  <c r="IP33" i="8"/>
  <c r="AE19" i="19"/>
  <c r="HT76" i="8"/>
  <c r="JP48" i="8"/>
  <c r="KJ57" i="8"/>
  <c r="KO44" i="8"/>
  <c r="HB51" i="8"/>
  <c r="IE27" i="8"/>
  <c r="HM35" i="8"/>
  <c r="KN55" i="8"/>
  <c r="GP56" i="8"/>
  <c r="JW66" i="8"/>
  <c r="JJ44" i="8"/>
  <c r="KT64" i="8"/>
  <c r="JB32" i="8"/>
  <c r="W10" i="19"/>
  <c r="KO38" i="8"/>
  <c r="HB54" i="8"/>
  <c r="JA70" i="8"/>
  <c r="IG36" i="8"/>
  <c r="KB74" i="8"/>
  <c r="HB55" i="8"/>
  <c r="FP40" i="8"/>
  <c r="KN46" i="8"/>
  <c r="FX36" i="8"/>
  <c r="KF72" i="8"/>
  <c r="IP62" i="8"/>
  <c r="JC56" i="8"/>
  <c r="IQ46" i="8"/>
  <c r="IA47" i="8"/>
  <c r="GO48" i="8"/>
  <c r="F51" i="19"/>
  <c r="JJ49" i="8"/>
  <c r="HF76" i="8"/>
  <c r="IC56" i="8"/>
  <c r="IL55" i="8"/>
  <c r="IG41" i="8"/>
  <c r="HM47" i="8"/>
  <c r="GM45" i="8"/>
  <c r="FP58" i="8"/>
  <c r="GG52" i="8"/>
  <c r="JL75" i="8"/>
  <c r="KE36" i="8"/>
  <c r="IL27" i="8"/>
  <c r="Q15" i="19"/>
  <c r="IX29" i="8"/>
  <c r="KW28" i="8"/>
  <c r="JD70" i="8"/>
  <c r="KI27" i="8"/>
  <c r="HP35" i="8"/>
  <c r="FY52" i="8"/>
  <c r="HF38" i="8"/>
  <c r="HA40" i="8"/>
  <c r="JS34" i="8"/>
  <c r="KL38" i="8"/>
  <c r="IY32" i="8"/>
  <c r="GC62" i="8"/>
  <c r="IY75" i="8"/>
  <c r="HC65" i="8"/>
  <c r="HK40" i="8"/>
  <c r="GO58" i="8"/>
  <c r="GK74" i="8"/>
  <c r="FR55" i="8"/>
  <c r="JG35" i="8"/>
  <c r="KR70" i="8"/>
  <c r="IR36" i="8"/>
  <c r="KC39" i="8"/>
  <c r="FT31" i="8"/>
  <c r="IK43" i="8"/>
  <c r="GI47" i="8"/>
  <c r="GU44" i="8"/>
  <c r="HJ48" i="8"/>
  <c r="KE30" i="8"/>
  <c r="JK31" i="8"/>
  <c r="GB28" i="8"/>
  <c r="BG10" i="19"/>
  <c r="IM54" i="8"/>
  <c r="JM72" i="8"/>
  <c r="GS63" i="8"/>
  <c r="JA43" i="8"/>
  <c r="IO65" i="8"/>
  <c r="IT35" i="8"/>
  <c r="BJ10" i="19"/>
  <c r="KO60" i="8"/>
  <c r="KB28" i="8"/>
  <c r="IB42" i="8"/>
  <c r="GO32" i="8"/>
  <c r="HB70" i="8"/>
  <c r="KT46" i="8"/>
  <c r="GJ46" i="8"/>
  <c r="IC46" i="8"/>
  <c r="JL42" i="8"/>
  <c r="GV40" i="8"/>
  <c r="HF53" i="8"/>
  <c r="E51" i="19"/>
  <c r="JS57" i="8"/>
  <c r="FY61" i="8"/>
  <c r="IA57" i="8"/>
  <c r="KA55" i="8"/>
  <c r="GS42" i="8"/>
  <c r="GK48" i="8"/>
  <c r="KD51" i="8"/>
  <c r="IK72" i="8"/>
  <c r="HG28" i="8"/>
  <c r="JM33" i="8"/>
  <c r="FL53" i="8"/>
  <c r="JF55" i="8"/>
  <c r="GQ54" i="8"/>
  <c r="FM53" i="8"/>
  <c r="JW31" i="8"/>
  <c r="FL48" i="8"/>
  <c r="KE35" i="8"/>
  <c r="II66" i="8"/>
  <c r="FW74" i="8"/>
  <c r="FR58" i="8"/>
  <c r="GI52" i="8"/>
  <c r="HJ51" i="8"/>
  <c r="IC75" i="8"/>
  <c r="IO30" i="8"/>
  <c r="KF33" i="8"/>
  <c r="GH58" i="8"/>
  <c r="JF38" i="8"/>
  <c r="JN57" i="8"/>
  <c r="FP38" i="8"/>
  <c r="HG72" i="8"/>
  <c r="KV70" i="8"/>
  <c r="JH63" i="8"/>
  <c r="IH31" i="8"/>
  <c r="HM55" i="8"/>
  <c r="KT34" i="8"/>
  <c r="GO31" i="8"/>
  <c r="AC10" i="19"/>
  <c r="H54" i="19"/>
  <c r="KH68" i="8"/>
  <c r="JH41" i="8"/>
  <c r="JE52" i="8"/>
  <c r="KG47" i="8"/>
  <c r="BE10" i="19"/>
  <c r="JQ61" i="8"/>
  <c r="GH48" i="8"/>
  <c r="GK73" i="8"/>
  <c r="KO67" i="8"/>
  <c r="JX63" i="8"/>
  <c r="GD42" i="8"/>
  <c r="GR55" i="8"/>
  <c r="JH69" i="8"/>
  <c r="FV36" i="8"/>
  <c r="HR67" i="8"/>
  <c r="KK57" i="8"/>
  <c r="FV38" i="8"/>
  <c r="JZ72" i="8"/>
  <c r="FT41" i="8"/>
  <c r="GM35" i="8"/>
  <c r="KK66" i="8"/>
  <c r="JF52" i="8"/>
  <c r="II50" i="8"/>
  <c r="GO54" i="8"/>
  <c r="GP63" i="8"/>
  <c r="GJ31" i="8"/>
  <c r="KF31" i="8"/>
  <c r="JJ39" i="8"/>
  <c r="AQ13" i="19"/>
  <c r="FQ29" i="8"/>
  <c r="IS45" i="8"/>
  <c r="IN51" i="8"/>
  <c r="GR73" i="8"/>
  <c r="KR49" i="8"/>
  <c r="HU35" i="8"/>
  <c r="ID60" i="8"/>
  <c r="KO71" i="8"/>
  <c r="JR74" i="8"/>
  <c r="JO48" i="8"/>
  <c r="IL37" i="8"/>
  <c r="GV44" i="8"/>
  <c r="FX43" i="8"/>
  <c r="GU59" i="8"/>
  <c r="FY27" i="8"/>
  <c r="HP36" i="8"/>
  <c r="GZ48" i="8"/>
  <c r="GQ41" i="8"/>
  <c r="GE42" i="8"/>
  <c r="GH39" i="8"/>
  <c r="GQ53" i="8"/>
  <c r="GE62" i="8"/>
  <c r="GB35" i="8"/>
  <c r="KR39" i="8"/>
  <c r="JP63" i="8"/>
  <c r="IQ49" i="8"/>
  <c r="KB72" i="8"/>
  <c r="ID64" i="8"/>
  <c r="JP40" i="8"/>
  <c r="HF51" i="8"/>
  <c r="GU48" i="8"/>
  <c r="KN45" i="8"/>
  <c r="IT41" i="8"/>
  <c r="HY27" i="8"/>
  <c r="IP67" i="8"/>
  <c r="IP56" i="8"/>
  <c r="KC33" i="8"/>
  <c r="FW67" i="8"/>
  <c r="GI32" i="8"/>
  <c r="JS28" i="8"/>
  <c r="JY30" i="8"/>
  <c r="FY75" i="8"/>
  <c r="IC58" i="8"/>
  <c r="KN34" i="8"/>
  <c r="IQ56" i="8"/>
  <c r="HB58" i="8"/>
  <c r="U54" i="19"/>
  <c r="HG33" i="8"/>
  <c r="IB61" i="8"/>
  <c r="FL57" i="8"/>
  <c r="JJ60" i="8"/>
  <c r="KK74" i="8"/>
  <c r="IT74" i="8"/>
  <c r="GM60" i="8"/>
  <c r="HL45" i="8"/>
  <c r="FK68" i="8"/>
  <c r="IX34" i="8"/>
  <c r="FW40" i="8"/>
  <c r="HT73" i="8"/>
  <c r="KH60" i="8"/>
  <c r="FN64" i="8"/>
  <c r="IJ68" i="8"/>
  <c r="JD73" i="8"/>
  <c r="IX27" i="8"/>
  <c r="HM39" i="8"/>
  <c r="KE54" i="8"/>
  <c r="HF70" i="8"/>
  <c r="FW44" i="8"/>
  <c r="FP57" i="8"/>
  <c r="HX63" i="8"/>
  <c r="KH44" i="8"/>
  <c r="GE76" i="8"/>
  <c r="GT50" i="8"/>
  <c r="FS54" i="8"/>
  <c r="KR29" i="8"/>
  <c r="GV53" i="8"/>
  <c r="KA50" i="8"/>
  <c r="GP39" i="8"/>
  <c r="HU45" i="8"/>
  <c r="KJ41" i="8"/>
  <c r="JD65" i="8"/>
  <c r="IE28" i="8"/>
  <c r="II41" i="8"/>
  <c r="KQ31" i="8"/>
  <c r="HK54" i="8"/>
  <c r="HG49" i="8"/>
  <c r="BF10" i="19"/>
  <c r="KC62" i="8"/>
  <c r="JN37" i="8"/>
  <c r="GM46" i="8"/>
  <c r="FM72" i="8"/>
  <c r="HT41" i="8"/>
  <c r="JC39" i="8"/>
  <c r="IP64" i="8"/>
  <c r="FM58" i="8"/>
  <c r="FQ46" i="8"/>
  <c r="FP47" i="8"/>
  <c r="HO44" i="8"/>
  <c r="IE69" i="8"/>
  <c r="GG59" i="8"/>
  <c r="KG52" i="8"/>
  <c r="JN38" i="8"/>
  <c r="KV37" i="8"/>
  <c r="IR43" i="8"/>
  <c r="GC36" i="8"/>
  <c r="KR33" i="8"/>
  <c r="GD57" i="8"/>
  <c r="HM56" i="8"/>
  <c r="JC41" i="8"/>
  <c r="IW56" i="8"/>
  <c r="HJ68" i="8"/>
  <c r="IP57" i="8"/>
  <c r="KQ57" i="8"/>
  <c r="KW40" i="8"/>
  <c r="JE67" i="8"/>
  <c r="GE69" i="8"/>
  <c r="FM35" i="8"/>
  <c r="FN31" i="8"/>
  <c r="IS27" i="8"/>
  <c r="IY68" i="8"/>
  <c r="JD76" i="8"/>
  <c r="IO62" i="8"/>
  <c r="GO57" i="8"/>
  <c r="KN36" i="8"/>
  <c r="IR54" i="8"/>
  <c r="HJ37" i="8"/>
  <c r="KD37" i="8"/>
  <c r="GM38" i="8"/>
  <c r="KQ65" i="8"/>
  <c r="IL75" i="8"/>
  <c r="HS75" i="8"/>
  <c r="GD52" i="8"/>
  <c r="FO32" i="8"/>
  <c r="KC67" i="8"/>
  <c r="IL32" i="8"/>
  <c r="IF48" i="8"/>
  <c r="IQ63" i="8"/>
  <c r="IN75" i="8"/>
  <c r="GR62" i="8"/>
  <c r="IE62" i="8"/>
  <c r="JO29" i="8"/>
  <c r="HM53" i="8"/>
  <c r="IY74" i="8"/>
  <c r="KK35" i="8"/>
  <c r="JQ28" i="8"/>
  <c r="KK68" i="8"/>
  <c r="IK29" i="8"/>
  <c r="JK39" i="8"/>
  <c r="GH56" i="8"/>
  <c r="IG53" i="8"/>
  <c r="KN63" i="8"/>
  <c r="IP48" i="8"/>
  <c r="HJ56" i="8"/>
  <c r="HM68" i="8"/>
  <c r="KV72" i="8"/>
  <c r="FT53" i="8"/>
  <c r="GN67" i="8"/>
  <c r="IX47" i="8"/>
  <c r="GE61" i="8"/>
  <c r="GQ59" i="8"/>
  <c r="JV56" i="8"/>
  <c r="X52" i="19"/>
  <c r="JM75" i="8"/>
  <c r="JK48" i="8"/>
  <c r="KQ61" i="8"/>
  <c r="JO36" i="8"/>
  <c r="KK52" i="8"/>
  <c r="GG38" i="8"/>
  <c r="IK71" i="8"/>
  <c r="GO68" i="8"/>
  <c r="KP29" i="8"/>
  <c r="GV60" i="8"/>
  <c r="HR68" i="8"/>
  <c r="GN52" i="8"/>
  <c r="JF29" i="8"/>
  <c r="KQ58" i="8"/>
  <c r="KI69" i="8"/>
  <c r="HP55" i="8"/>
  <c r="JY41" i="8"/>
  <c r="JX41" i="8"/>
  <c r="AH20" i="19"/>
  <c r="JK51" i="8"/>
  <c r="FK72" i="8"/>
  <c r="KE32" i="8"/>
  <c r="KP53" i="8"/>
  <c r="JF70" i="8"/>
  <c r="KB66" i="8"/>
  <c r="KW41" i="8"/>
  <c r="HZ46" i="8"/>
  <c r="HM65" i="8"/>
  <c r="KN47" i="8"/>
  <c r="GB71" i="8"/>
  <c r="KB73" i="8"/>
  <c r="JK57" i="8"/>
  <c r="IT66" i="8"/>
  <c r="KB57" i="8"/>
  <c r="HS29" i="8"/>
  <c r="JO55" i="8"/>
  <c r="JB73" i="8"/>
  <c r="GG55" i="8"/>
  <c r="JD36" i="8"/>
  <c r="IO40" i="8"/>
  <c r="IX50" i="8"/>
  <c r="JH65" i="8"/>
  <c r="KH46" i="8"/>
  <c r="HB43" i="8"/>
  <c r="ID69" i="8"/>
  <c r="IQ47" i="8"/>
  <c r="IA43" i="8"/>
  <c r="IG59" i="8"/>
  <c r="GP45" i="8"/>
  <c r="HG66" i="8"/>
  <c r="GH53" i="8"/>
  <c r="JA58" i="8"/>
  <c r="JB63" i="8"/>
  <c r="KN54" i="8"/>
  <c r="HM52" i="8"/>
  <c r="JP61" i="8"/>
  <c r="HE29" i="8"/>
  <c r="GD28" i="8"/>
  <c r="FL47" i="8"/>
  <c r="FK62" i="8"/>
  <c r="KF59" i="8"/>
  <c r="HC52" i="8"/>
  <c r="FR61" i="8"/>
  <c r="FN39" i="8"/>
  <c r="IA45" i="8"/>
  <c r="IR68" i="8"/>
  <c r="FK45" i="8"/>
  <c r="IQ60" i="8"/>
  <c r="KI65" i="8"/>
  <c r="IK37" i="8"/>
  <c r="GJ69" i="8"/>
  <c r="FQ38" i="8"/>
  <c r="GK60" i="8"/>
  <c r="KB30" i="8"/>
  <c r="HC41" i="8"/>
  <c r="FV63" i="8"/>
  <c r="GT51" i="8"/>
  <c r="GB57" i="8"/>
  <c r="HZ71" i="8"/>
  <c r="IE73" i="8"/>
  <c r="IF50" i="8"/>
  <c r="IK51" i="8"/>
  <c r="JQ31" i="8"/>
  <c r="GN42" i="8"/>
  <c r="JP65" i="8"/>
  <c r="HR30" i="8"/>
  <c r="GF52" i="8"/>
  <c r="HE60" i="8"/>
  <c r="KI39" i="8"/>
  <c r="IA50" i="8"/>
  <c r="JC57" i="8"/>
  <c r="KC27" i="8"/>
  <c r="FQ56" i="8"/>
  <c r="HE32" i="8"/>
  <c r="JI68" i="8"/>
  <c r="JZ54" i="8"/>
  <c r="GB69" i="8"/>
  <c r="JV66" i="8"/>
  <c r="KC34" i="8"/>
  <c r="HT33" i="8"/>
  <c r="IE34" i="8"/>
  <c r="KD65" i="8"/>
  <c r="JR33" i="8"/>
  <c r="KO29" i="8"/>
  <c r="JX35" i="8"/>
  <c r="KA37" i="8"/>
  <c r="FQ36" i="8"/>
  <c r="KF74" i="8"/>
  <c r="JE34" i="8"/>
  <c r="JN28" i="8"/>
  <c r="JF64" i="8"/>
  <c r="FL49" i="8"/>
  <c r="HJ50" i="8"/>
  <c r="HA50" i="8"/>
  <c r="KO54" i="8"/>
  <c r="GS51" i="8"/>
  <c r="HS28" i="8"/>
  <c r="KT27" i="8"/>
  <c r="KC47" i="8"/>
  <c r="IR69" i="8"/>
  <c r="AI19" i="19"/>
  <c r="HO61" i="8"/>
  <c r="FR70" i="8"/>
  <c r="HF48" i="8"/>
  <c r="GL71" i="8"/>
  <c r="KO59" i="8"/>
  <c r="GB46" i="8"/>
  <c r="HB32" i="8"/>
  <c r="GU39" i="8"/>
  <c r="HS59" i="8"/>
  <c r="HZ63" i="8"/>
  <c r="IL34" i="8"/>
  <c r="GH60" i="8"/>
  <c r="IH50" i="8"/>
  <c r="FQ34" i="8"/>
  <c r="IQ41" i="8"/>
  <c r="HZ29" i="8"/>
  <c r="HC70" i="8"/>
  <c r="KJ44" i="8"/>
  <c r="FL46" i="8"/>
  <c r="KQ29" i="8"/>
  <c r="KA43" i="8"/>
  <c r="GI72" i="8"/>
  <c r="IL72" i="8"/>
  <c r="FM50" i="8"/>
  <c r="KL45" i="8"/>
  <c r="IE40" i="8"/>
  <c r="AE20" i="19"/>
  <c r="JZ43" i="8"/>
  <c r="IO42" i="8"/>
  <c r="KC48" i="8"/>
  <c r="FT39" i="8"/>
  <c r="KT38" i="8"/>
  <c r="IJ28" i="8"/>
  <c r="KH75" i="8"/>
  <c r="JQ46" i="8"/>
  <c r="IF70" i="8"/>
  <c r="JC32" i="8"/>
  <c r="KW29" i="8"/>
  <c r="HL52" i="8"/>
  <c r="KP34" i="8"/>
  <c r="JN31" i="8"/>
  <c r="HG69" i="8"/>
  <c r="HA36" i="8"/>
  <c r="JW51" i="8"/>
  <c r="IO41" i="8"/>
  <c r="HU50" i="8"/>
  <c r="KV30" i="8"/>
  <c r="KD61" i="8"/>
  <c r="JG68" i="8"/>
  <c r="JS65" i="8"/>
  <c r="FN61" i="8"/>
  <c r="GL36" i="8"/>
  <c r="HH66" i="8"/>
  <c r="IT46" i="8"/>
  <c r="H52" i="19"/>
  <c r="KP66" i="8"/>
  <c r="KT54" i="8"/>
  <c r="IF64" i="8"/>
  <c r="JI38" i="8"/>
  <c r="GL51" i="8"/>
  <c r="IN67" i="8"/>
  <c r="GU63" i="8"/>
  <c r="HF64" i="8"/>
  <c r="JY74" i="8"/>
  <c r="GM49" i="8"/>
  <c r="FT59" i="8"/>
  <c r="IG42" i="8"/>
  <c r="HH71" i="8"/>
  <c r="GP55" i="8"/>
  <c r="IR60" i="8"/>
  <c r="KE58" i="8"/>
  <c r="KM49" i="8"/>
  <c r="IF73" i="8"/>
  <c r="BH10" i="19"/>
  <c r="GP33" i="8"/>
  <c r="FK37" i="8"/>
  <c r="GS32" i="8"/>
  <c r="FM31" i="8"/>
  <c r="GF33" i="8"/>
  <c r="IZ65" i="8"/>
  <c r="GO59" i="8"/>
  <c r="JE31" i="8"/>
  <c r="HX64" i="8"/>
  <c r="IH64" i="8"/>
  <c r="KK67" i="8"/>
  <c r="FR41" i="8"/>
  <c r="IX48" i="8"/>
  <c r="AK19" i="19"/>
  <c r="GV33" i="8"/>
  <c r="HS44" i="8"/>
  <c r="JA68" i="8"/>
  <c r="FO42" i="8"/>
  <c r="KP59" i="8"/>
  <c r="II52" i="8"/>
  <c r="GV52" i="8"/>
  <c r="IE63" i="8"/>
  <c r="N15" i="19"/>
  <c r="HO45" i="8"/>
  <c r="KJ55" i="8"/>
  <c r="GK54" i="8"/>
  <c r="KM29" i="8"/>
  <c r="IE67" i="8"/>
  <c r="GE66" i="8"/>
  <c r="KD56" i="8"/>
  <c r="JF42" i="8"/>
  <c r="JY29" i="8"/>
  <c r="JL36" i="8"/>
  <c r="JV62" i="8"/>
  <c r="FQ42" i="8"/>
  <c r="HA63" i="8"/>
  <c r="HP57" i="8"/>
  <c r="JV34" i="8"/>
  <c r="FK42" i="8"/>
  <c r="IQ53" i="8"/>
  <c r="JW65" i="8"/>
  <c r="GV68" i="8"/>
  <c r="GO66" i="8"/>
  <c r="KO52" i="8"/>
  <c r="IJ46" i="8"/>
  <c r="KM66" i="8"/>
  <c r="KH55" i="8"/>
  <c r="GQ42" i="8"/>
  <c r="KP76" i="8"/>
  <c r="JR31" i="8"/>
  <c r="KP60" i="8"/>
  <c r="AL19" i="19"/>
  <c r="W51" i="19"/>
  <c r="GB65" i="8"/>
  <c r="GG28" i="8"/>
  <c r="JA75" i="8"/>
  <c r="IO46" i="8"/>
  <c r="FP63" i="8"/>
  <c r="JY55" i="8"/>
  <c r="GP71" i="8"/>
  <c r="IE45" i="8"/>
  <c r="IR29" i="8"/>
  <c r="JE68" i="8"/>
  <c r="HJ61" i="8"/>
  <c r="KD53" i="8"/>
  <c r="FP42" i="8"/>
  <c r="JJ35" i="8"/>
  <c r="IE35" i="8"/>
  <c r="JG38" i="8"/>
  <c r="KD42" i="8"/>
  <c r="KH66" i="8"/>
  <c r="KQ64" i="8"/>
  <c r="GG37" i="8"/>
  <c r="KK30" i="8"/>
  <c r="V51" i="19"/>
  <c r="FL52" i="8"/>
  <c r="GL32" i="8"/>
  <c r="ID42" i="8"/>
  <c r="IH36" i="8"/>
  <c r="JD29" i="8"/>
  <c r="JN51" i="8"/>
  <c r="JO53" i="8"/>
  <c r="IR39" i="8"/>
  <c r="GR59" i="8"/>
  <c r="IX66" i="8"/>
  <c r="FM42" i="8"/>
  <c r="GT60" i="8"/>
  <c r="HF63" i="8"/>
  <c r="HY40" i="8"/>
  <c r="KB69" i="8"/>
  <c r="JG58" i="8"/>
  <c r="HS48" i="8"/>
  <c r="IY43" i="8"/>
  <c r="IM50" i="8"/>
  <c r="FS68" i="8"/>
  <c r="F15" i="19"/>
  <c r="II46" i="8"/>
  <c r="KF45" i="8"/>
  <c r="JW63" i="8"/>
  <c r="IP29" i="8"/>
  <c r="HS40" i="8"/>
  <c r="FN46" i="8"/>
  <c r="JB70" i="8"/>
  <c r="X10" i="19"/>
  <c r="IE29" i="8"/>
  <c r="HJ38" i="8"/>
  <c r="FS74" i="8"/>
  <c r="JS64" i="8"/>
  <c r="GE60" i="8"/>
  <c r="GI40" i="8"/>
  <c r="KP41" i="8"/>
  <c r="IJ41" i="8"/>
  <c r="IA60" i="8"/>
  <c r="JV35" i="8"/>
  <c r="KF39" i="8"/>
  <c r="JC30" i="8"/>
  <c r="JY68" i="8"/>
  <c r="FR42" i="8"/>
  <c r="IX33" i="8"/>
  <c r="KW74" i="8"/>
  <c r="IL71" i="8"/>
  <c r="JC71" i="8"/>
  <c r="JB43" i="8"/>
  <c r="IZ46" i="8"/>
  <c r="HM62" i="8"/>
  <c r="IJ40" i="8"/>
  <c r="KB75" i="8"/>
  <c r="HA65" i="8"/>
  <c r="HF41" i="8"/>
  <c r="JM76" i="8"/>
  <c r="IT27" i="8"/>
  <c r="HK46" i="8"/>
  <c r="GM75" i="8"/>
  <c r="HY50" i="8"/>
  <c r="Z51" i="19"/>
  <c r="IM66" i="8"/>
  <c r="GZ75" i="8"/>
  <c r="IS37" i="8"/>
  <c r="FP32" i="8"/>
  <c r="KO48" i="8"/>
  <c r="JZ58" i="8"/>
  <c r="HJ73" i="8"/>
  <c r="JH70" i="8"/>
  <c r="GR52" i="8"/>
  <c r="IL59" i="8"/>
  <c r="JF66" i="8"/>
  <c r="KD64" i="8"/>
  <c r="GF67" i="8"/>
  <c r="IO75" i="8"/>
  <c r="JV37" i="8"/>
  <c r="JC61" i="8"/>
  <c r="JZ32" i="8"/>
  <c r="GB54" i="8"/>
  <c r="IN68" i="8"/>
  <c r="KP70" i="8"/>
  <c r="JB29" i="8"/>
  <c r="IW34" i="8"/>
  <c r="KQ51" i="8"/>
  <c r="JF67" i="8"/>
  <c r="IJ67" i="8"/>
  <c r="IC29" i="8"/>
  <c r="KP43" i="8"/>
  <c r="IK69" i="8"/>
  <c r="JS30" i="8"/>
  <c r="KV54" i="8"/>
  <c r="FV28" i="8"/>
  <c r="IO44" i="8"/>
  <c r="HC43" i="8"/>
  <c r="HH58" i="8"/>
  <c r="FK40" i="8"/>
  <c r="KM57" i="8"/>
  <c r="AC51" i="19"/>
  <c r="JD58" i="8"/>
  <c r="JW74" i="8"/>
  <c r="GV51" i="8"/>
  <c r="IO27" i="8"/>
  <c r="LA40" i="8" l="1"/>
  <c r="BJ23" i="19"/>
  <c r="X12" i="19"/>
  <c r="X11" i="19"/>
  <c r="BJ22" i="19"/>
  <c r="LA42" i="8"/>
  <c r="V110" i="20"/>
  <c r="CF4" i="19"/>
  <c r="J585" i="20" s="1"/>
  <c r="J312" i="20" s="1"/>
  <c r="J230" i="20" s="1"/>
  <c r="AM18" i="19"/>
  <c r="AM4" i="19"/>
  <c r="LA37" i="8"/>
  <c r="S52" i="19"/>
  <c r="AE4" i="19"/>
  <c r="AE18" i="19"/>
  <c r="J415" i="20" s="1"/>
  <c r="J415" i="21" s="1"/>
  <c r="AK4" i="19"/>
  <c r="AK18" i="19"/>
  <c r="LA45" i="8"/>
  <c r="LA62" i="8"/>
  <c r="LA72" i="8"/>
  <c r="R52" i="19"/>
  <c r="LA68" i="8"/>
  <c r="S54" i="19"/>
  <c r="BI23" i="19"/>
  <c r="BI22" i="19"/>
  <c r="V4" i="19"/>
  <c r="V5" i="19"/>
  <c r="AG4" i="19"/>
  <c r="AG18" i="19"/>
  <c r="J419" i="20" s="1"/>
  <c r="J419" i="21" s="1"/>
  <c r="LA46" i="8"/>
  <c r="CH5" i="19"/>
  <c r="J587" i="21" s="1"/>
  <c r="J316" i="21" s="1"/>
  <c r="BG5" i="19"/>
  <c r="CJ5" i="19"/>
  <c r="J589" i="21" s="1"/>
  <c r="O94" i="20"/>
  <c r="O94" i="21" s="1"/>
  <c r="O92" i="20"/>
  <c r="O92" i="21" s="1"/>
  <c r="CG5" i="19"/>
  <c r="LA74" i="8"/>
  <c r="CI4" i="19"/>
  <c r="U587" i="20" s="1"/>
  <c r="J318" i="20" s="1"/>
  <c r="R54" i="19"/>
  <c r="LA34" i="8"/>
  <c r="BT5" i="19"/>
  <c r="AA4" i="19"/>
  <c r="U505" i="20" s="1"/>
  <c r="U369" i="20" s="1"/>
  <c r="J196" i="20" s="1"/>
  <c r="BK22" i="19"/>
  <c r="BK23" i="19"/>
  <c r="AA5" i="19"/>
  <c r="U505" i="21" s="1"/>
  <c r="U369" i="21" s="1"/>
  <c r="J196" i="21" s="1"/>
  <c r="LA66" i="8"/>
  <c r="LA60" i="8"/>
  <c r="LA67" i="8"/>
  <c r="LA63" i="8"/>
  <c r="LA57" i="8"/>
  <c r="CH4" i="19"/>
  <c r="J587" i="20" s="1"/>
  <c r="J316" i="20" s="1"/>
  <c r="J236" i="20" s="1"/>
  <c r="BL22" i="19"/>
  <c r="BL23" i="19"/>
  <c r="Z4" i="19"/>
  <c r="J505" i="20" s="1"/>
  <c r="J369" i="20" s="1"/>
  <c r="U194" i="20" s="1"/>
  <c r="Z5" i="19"/>
  <c r="J505" i="21" s="1"/>
  <c r="J369" i="21" s="1"/>
  <c r="U194" i="21" s="1"/>
  <c r="R51" i="19"/>
  <c r="LA44" i="8"/>
  <c r="LA39" i="8"/>
  <c r="AL18" i="19"/>
  <c r="AL4" i="19"/>
  <c r="AI18" i="19"/>
  <c r="AI4" i="19"/>
  <c r="LA29" i="8"/>
  <c r="O100" i="20"/>
  <c r="BH5" i="19"/>
  <c r="BH4" i="19" s="1"/>
  <c r="J551" i="20" s="1"/>
  <c r="C12" i="19"/>
  <c r="BX6" i="19" s="1"/>
  <c r="LA76" i="8"/>
  <c r="LA61" i="8"/>
  <c r="LA31" i="8"/>
  <c r="LA48" i="8"/>
  <c r="LA70" i="8"/>
  <c r="LA41" i="8"/>
  <c r="BQ5" i="19"/>
  <c r="LA36" i="8"/>
  <c r="LA71" i="8"/>
  <c r="LA30" i="8"/>
  <c r="LA43" i="8"/>
  <c r="LA50" i="8"/>
  <c r="LA38" i="8"/>
  <c r="LA35" i="8"/>
  <c r="LA32" i="8"/>
  <c r="AH4" i="19"/>
  <c r="AH18" i="19"/>
  <c r="U419" i="20" s="1"/>
  <c r="U419" i="21" s="1"/>
  <c r="AF18" i="19"/>
  <c r="Z417" i="20" s="1"/>
  <c r="LA55" i="8"/>
  <c r="LA64" i="8"/>
  <c r="LA59" i="8"/>
  <c r="CG4" i="19"/>
  <c r="LA52" i="8"/>
  <c r="LA27" i="8"/>
  <c r="S51" i="19"/>
  <c r="LA51" i="8"/>
  <c r="L98" i="20"/>
  <c r="L98" i="21" s="1"/>
  <c r="LA47" i="8"/>
  <c r="LA73" i="8"/>
  <c r="LA54" i="8"/>
  <c r="LA49" i="8"/>
  <c r="L96" i="20"/>
  <c r="L96" i="21" s="1"/>
  <c r="LA28" i="8"/>
  <c r="LA33" i="8"/>
  <c r="LA65" i="8"/>
  <c r="LA56" i="8"/>
  <c r="LA53" i="8"/>
  <c r="LA75" i="8"/>
  <c r="LA69" i="8"/>
  <c r="LA58" i="8"/>
  <c r="FG55" i="8" l="1"/>
  <c r="FI55" i="8"/>
  <c r="FI60" i="8"/>
  <c r="FG60" i="8"/>
  <c r="U322" i="21"/>
  <c r="J236" i="21"/>
  <c r="FI51" i="8"/>
  <c r="FG51" i="8"/>
  <c r="J417" i="20"/>
  <c r="J417" i="21" s="1"/>
  <c r="U417" i="20"/>
  <c r="U417" i="21" s="1"/>
  <c r="FG30" i="8"/>
  <c r="FI30" i="8"/>
  <c r="FG48" i="8"/>
  <c r="FI48" i="8"/>
  <c r="U519" i="20"/>
  <c r="U433" i="20" s="1"/>
  <c r="U170" i="20" s="1"/>
  <c r="AI5" i="19"/>
  <c r="U519" i="21" s="1"/>
  <c r="U433" i="21" s="1"/>
  <c r="U170" i="21" s="1"/>
  <c r="FG66" i="8"/>
  <c r="FI66" i="8"/>
  <c r="FI46" i="8"/>
  <c r="FG46" i="8"/>
  <c r="FG68" i="8"/>
  <c r="FI68" i="8"/>
  <c r="U515" i="20"/>
  <c r="U429" i="20" s="1"/>
  <c r="U166" i="20" s="1"/>
  <c r="AE5" i="19"/>
  <c r="U515" i="21" s="1"/>
  <c r="U429" i="21" s="1"/>
  <c r="U166" i="21" s="1"/>
  <c r="FI70" i="8"/>
  <c r="FG70" i="8"/>
  <c r="FI42" i="8"/>
  <c r="FG42" i="8"/>
  <c r="FG33" i="8"/>
  <c r="FI33" i="8"/>
  <c r="FG28" i="8"/>
  <c r="FI28" i="8"/>
  <c r="FI71" i="8"/>
  <c r="FG71" i="8"/>
  <c r="FI31" i="8"/>
  <c r="FG31" i="8"/>
  <c r="FG74" i="8"/>
  <c r="FI74" i="8"/>
  <c r="CJ4" i="19"/>
  <c r="J589" i="20" s="1"/>
  <c r="FG29" i="8"/>
  <c r="FI29" i="8"/>
  <c r="FI58" i="8"/>
  <c r="FG58" i="8"/>
  <c r="FG27" i="8"/>
  <c r="FI27" i="8"/>
  <c r="AH5" i="19"/>
  <c r="J519" i="21" s="1"/>
  <c r="J433" i="21" s="1"/>
  <c r="J170" i="21" s="1"/>
  <c r="J519" i="20"/>
  <c r="J433" i="20" s="1"/>
  <c r="J170" i="20" s="1"/>
  <c r="FG36" i="8"/>
  <c r="FI36" i="8"/>
  <c r="FG61" i="8"/>
  <c r="FI61" i="8"/>
  <c r="AL5" i="19"/>
  <c r="J523" i="21" s="1"/>
  <c r="J437" i="21" s="1"/>
  <c r="J174" i="21" s="1"/>
  <c r="J523" i="20"/>
  <c r="J437" i="20" s="1"/>
  <c r="J174" i="20" s="1"/>
  <c r="CK5" i="19"/>
  <c r="U589" i="21" s="1"/>
  <c r="U320" i="21" s="1"/>
  <c r="J238" i="21" s="1"/>
  <c r="U585" i="21"/>
  <c r="AG5" i="19"/>
  <c r="U517" i="21" s="1"/>
  <c r="U431" i="21" s="1"/>
  <c r="U168" i="21" s="1"/>
  <c r="U517" i="20"/>
  <c r="U431" i="20" s="1"/>
  <c r="U168" i="20" s="1"/>
  <c r="FI72" i="8"/>
  <c r="FG72" i="8"/>
  <c r="FI37" i="8"/>
  <c r="FG37" i="8"/>
  <c r="FG69" i="8"/>
  <c r="FI69" i="8"/>
  <c r="FG49" i="8"/>
  <c r="FI49" i="8"/>
  <c r="FG52" i="8"/>
  <c r="FI52" i="8"/>
  <c r="FI32" i="8"/>
  <c r="FG32" i="8"/>
  <c r="FG76" i="8"/>
  <c r="FI76" i="8"/>
  <c r="U280" i="21"/>
  <c r="J501" i="21"/>
  <c r="J367" i="21" s="1"/>
  <c r="U192" i="21" s="1"/>
  <c r="FI62" i="8"/>
  <c r="FG62" i="8"/>
  <c r="AM5" i="19"/>
  <c r="U523" i="21" s="1"/>
  <c r="U437" i="21" s="1"/>
  <c r="U174" i="21" s="1"/>
  <c r="U523" i="20"/>
  <c r="U437" i="20" s="1"/>
  <c r="U174" i="20" s="1"/>
  <c r="X4" i="19"/>
  <c r="X5" i="19"/>
  <c r="FG43" i="8"/>
  <c r="FI43" i="8"/>
  <c r="FG75" i="8"/>
  <c r="FI75" i="8"/>
  <c r="FG54" i="8"/>
  <c r="FI54" i="8"/>
  <c r="U585" i="20"/>
  <c r="CK4" i="19"/>
  <c r="U589" i="20" s="1"/>
  <c r="U320" i="20" s="1"/>
  <c r="J238" i="20" s="1"/>
  <c r="FI35" i="8"/>
  <c r="FG35" i="8"/>
  <c r="BX4" i="19"/>
  <c r="J577" i="20" s="1"/>
  <c r="J302" i="20" s="1"/>
  <c r="J222" i="20" s="1"/>
  <c r="BY6" i="19"/>
  <c r="BY4" i="19" s="1"/>
  <c r="U577" i="20" s="1"/>
  <c r="U302" i="20" s="1"/>
  <c r="FG39" i="8"/>
  <c r="FI39" i="8"/>
  <c r="FI57" i="8"/>
  <c r="FG57" i="8"/>
  <c r="V112" i="21"/>
  <c r="J501" i="20"/>
  <c r="J367" i="20" s="1"/>
  <c r="U192" i="20" s="1"/>
  <c r="U280" i="20"/>
  <c r="FG45" i="8"/>
  <c r="FI45" i="8"/>
  <c r="Y5" i="19"/>
  <c r="U503" i="21" s="1"/>
  <c r="Y4" i="19"/>
  <c r="U503" i="20" s="1"/>
  <c r="FG65" i="8"/>
  <c r="FI65" i="8"/>
  <c r="FI53" i="8"/>
  <c r="FG53" i="8"/>
  <c r="FI73" i="8"/>
  <c r="FG73" i="8"/>
  <c r="FI59" i="8"/>
  <c r="FG59" i="8"/>
  <c r="FG38" i="8"/>
  <c r="FI38" i="8"/>
  <c r="J551" i="21"/>
  <c r="CD5" i="19"/>
  <c r="FI44" i="8"/>
  <c r="FG44" i="8"/>
  <c r="FI63" i="8"/>
  <c r="FG63" i="8"/>
  <c r="J320" i="21"/>
  <c r="U459" i="21"/>
  <c r="U248" i="21" s="1"/>
  <c r="FG56" i="8"/>
  <c r="FI56" i="8"/>
  <c r="FI47" i="8"/>
  <c r="FG47" i="8"/>
  <c r="FG64" i="8"/>
  <c r="FI64" i="8"/>
  <c r="FG50" i="8"/>
  <c r="FI50" i="8"/>
  <c r="FG41" i="8"/>
  <c r="FI41" i="8"/>
  <c r="L100" i="20"/>
  <c r="J324" i="20" s="1"/>
  <c r="L88" i="20"/>
  <c r="O100" i="21"/>
  <c r="FI67" i="8"/>
  <c r="FG67" i="8"/>
  <c r="FG34" i="8"/>
  <c r="FI34" i="8"/>
  <c r="BG4" i="19"/>
  <c r="U547" i="20" s="1"/>
  <c r="CB5" i="19"/>
  <c r="U547" i="21"/>
  <c r="AK5" i="19"/>
  <c r="U521" i="21" s="1"/>
  <c r="U435" i="21" s="1"/>
  <c r="U172" i="21" s="1"/>
  <c r="U521" i="20"/>
  <c r="U435" i="20" s="1"/>
  <c r="U172" i="20" s="1"/>
  <c r="FI40" i="8"/>
  <c r="FG40" i="8"/>
  <c r="DQ106" i="8" l="1"/>
  <c r="FC40" i="8"/>
  <c r="FC34" i="8"/>
  <c r="DQ100" i="8"/>
  <c r="DQ109" i="8"/>
  <c r="AC44" i="8" s="1"/>
  <c r="FC43" i="8"/>
  <c r="DQ115" i="8"/>
  <c r="FC49" i="8"/>
  <c r="FC36" i="8"/>
  <c r="DQ102" i="8"/>
  <c r="AC37" i="8" s="1"/>
  <c r="FC29" i="8"/>
  <c r="DQ95" i="8"/>
  <c r="AC33" i="8" s="1"/>
  <c r="DQ117" i="8"/>
  <c r="AC52" i="8" s="1"/>
  <c r="FC51" i="8"/>
  <c r="DQ129" i="8"/>
  <c r="FC63" i="8"/>
  <c r="DQ125" i="8"/>
  <c r="FC59" i="8"/>
  <c r="J314" i="20"/>
  <c r="J234" i="20" s="1"/>
  <c r="L94" i="20"/>
  <c r="J459" i="20"/>
  <c r="J248" i="20" s="1"/>
  <c r="J503" i="20"/>
  <c r="U367" i="20"/>
  <c r="J194" i="20" s="1"/>
  <c r="FC76" i="8"/>
  <c r="DQ142" i="8"/>
  <c r="FC69" i="8"/>
  <c r="DQ135" i="8"/>
  <c r="FC50" i="8"/>
  <c r="DQ116" i="8"/>
  <c r="J324" i="21"/>
  <c r="L100" i="21"/>
  <c r="FC64" i="8"/>
  <c r="DQ130" i="8"/>
  <c r="FC32" i="8"/>
  <c r="DQ98" i="8"/>
  <c r="FC37" i="8"/>
  <c r="DQ103" i="8"/>
  <c r="AC38" i="8" s="1"/>
  <c r="FC74" i="8"/>
  <c r="DQ140" i="8"/>
  <c r="FC33" i="8"/>
  <c r="DQ99" i="8"/>
  <c r="FC68" i="8"/>
  <c r="DQ134" i="8"/>
  <c r="DQ114" i="8"/>
  <c r="AC49" i="8" s="1"/>
  <c r="FC48" i="8"/>
  <c r="FC57" i="8"/>
  <c r="DQ123" i="8"/>
  <c r="J320" i="20"/>
  <c r="U459" i="20"/>
  <c r="U248" i="20" s="1"/>
  <c r="V54" i="14"/>
  <c r="AD24" i="22" s="1"/>
  <c r="L88" i="21"/>
  <c r="FC47" i="8"/>
  <c r="DQ113" i="8"/>
  <c r="DQ110" i="8"/>
  <c r="FC44" i="8"/>
  <c r="DQ139" i="8"/>
  <c r="FC73" i="8"/>
  <c r="FC39" i="8"/>
  <c r="DQ105" i="8"/>
  <c r="AC40" i="8" s="1"/>
  <c r="FC54" i="8"/>
  <c r="DQ120" i="8"/>
  <c r="AC55" i="8" s="1"/>
  <c r="FC27" i="8"/>
  <c r="DQ93" i="8"/>
  <c r="AC31" i="8" s="1"/>
  <c r="DQ97" i="8"/>
  <c r="FC31" i="8"/>
  <c r="DQ108" i="8"/>
  <c r="FC42" i="8"/>
  <c r="FC46" i="8"/>
  <c r="DQ112" i="8"/>
  <c r="AC47" i="8" s="1"/>
  <c r="FC60" i="8"/>
  <c r="DQ126" i="8"/>
  <c r="FC38" i="8"/>
  <c r="DQ104" i="8"/>
  <c r="U367" i="21"/>
  <c r="J194" i="21" s="1"/>
  <c r="J503" i="21"/>
  <c r="FC28" i="8"/>
  <c r="DQ94" i="8"/>
  <c r="AC32" i="8" s="1"/>
  <c r="FC45" i="8"/>
  <c r="DQ111" i="8"/>
  <c r="AC46" i="8" s="1"/>
  <c r="DQ128" i="8"/>
  <c r="FC62" i="8"/>
  <c r="FC72" i="8"/>
  <c r="DQ138" i="8"/>
  <c r="DQ124" i="8"/>
  <c r="FC58" i="8"/>
  <c r="DQ96" i="8"/>
  <c r="AC34" i="8" s="1"/>
  <c r="FC30" i="8"/>
  <c r="DQ131" i="8"/>
  <c r="FC65" i="8"/>
  <c r="J314" i="21"/>
  <c r="J234" i="21" s="1"/>
  <c r="J459" i="21"/>
  <c r="J248" i="21" s="1"/>
  <c r="J581" i="21"/>
  <c r="J308" i="21" s="1"/>
  <c r="J224" i="21" s="1"/>
  <c r="CB4" i="19"/>
  <c r="J581" i="20" s="1"/>
  <c r="CL5" i="19"/>
  <c r="J591" i="21" s="1"/>
  <c r="J322" i="21" s="1"/>
  <c r="J583" i="21"/>
  <c r="CD4" i="19"/>
  <c r="FC53" i="8"/>
  <c r="DQ119" i="8"/>
  <c r="AC54" i="8" s="1"/>
  <c r="DQ141" i="8"/>
  <c r="FC75" i="8"/>
  <c r="DQ118" i="8"/>
  <c r="AC53" i="8" s="1"/>
  <c r="FC52" i="8"/>
  <c r="DQ127" i="8"/>
  <c r="FC61" i="8"/>
  <c r="FC71" i="8"/>
  <c r="DQ137" i="8"/>
  <c r="FC70" i="8"/>
  <c r="DQ136" i="8"/>
  <c r="DQ133" i="8"/>
  <c r="FC67" i="8"/>
  <c r="DQ107" i="8"/>
  <c r="FC41" i="8"/>
  <c r="DQ122" i="8"/>
  <c r="FC56" i="8"/>
  <c r="DQ101" i="8"/>
  <c r="FC35" i="8"/>
  <c r="FC66" i="8"/>
  <c r="DQ132" i="8"/>
  <c r="DQ121" i="8"/>
  <c r="FC55" i="8"/>
  <c r="CL4" i="19" l="1"/>
  <c r="J591" i="20" s="1"/>
  <c r="J322" i="20" s="1"/>
  <c r="J583" i="20"/>
  <c r="J308" i="20"/>
  <c r="J224" i="20" s="1"/>
  <c r="L92" i="20"/>
  <c r="L92" i="21" s="1"/>
  <c r="L94" i="21"/>
  <c r="J310" i="21"/>
  <c r="J228" i="21" s="1"/>
  <c r="J457" i="21"/>
  <c r="J246" i="21" s="1"/>
  <c r="V112" i="20" l="1"/>
  <c r="B14" i="5" s="1"/>
  <c r="J310" i="20"/>
  <c r="J228" i="20" s="1"/>
  <c r="J457" i="20"/>
  <c r="J246" i="20" s="1"/>
</calcChain>
</file>

<file path=xl/comments1.xml><?xml version="1.0" encoding="utf-8"?>
<comments xmlns="http://schemas.openxmlformats.org/spreadsheetml/2006/main">
  <authors>
    <author>Michael Lane</author>
    <author>mlane</author>
  </authors>
  <commentList>
    <comment ref="C20" authorId="0" shapeId="0">
      <text>
        <r>
          <rPr>
            <sz val="9"/>
            <color indexed="81"/>
            <rFont val="Tahoma"/>
            <family val="2"/>
          </rPr>
          <t xml:space="preserve">In this section enter the </t>
        </r>
        <r>
          <rPr>
            <b/>
            <sz val="9"/>
            <color indexed="81"/>
            <rFont val="Tahoma"/>
            <family val="2"/>
          </rPr>
          <t>Project Type</t>
        </r>
        <r>
          <rPr>
            <sz val="9"/>
            <color indexed="81"/>
            <rFont val="Tahoma"/>
            <family val="2"/>
          </rPr>
          <t xml:space="preserve">, </t>
        </r>
        <r>
          <rPr>
            <b/>
            <sz val="9"/>
            <color indexed="81"/>
            <rFont val="Tahoma"/>
            <family val="2"/>
          </rPr>
          <t>Rate Schedule</t>
        </r>
        <r>
          <rPr>
            <sz val="9"/>
            <color indexed="81"/>
            <rFont val="Tahoma"/>
            <family val="2"/>
          </rPr>
          <t xml:space="preserve"> and </t>
        </r>
        <r>
          <rPr>
            <b/>
            <sz val="9"/>
            <color indexed="81"/>
            <rFont val="Tahoma"/>
            <family val="2"/>
          </rPr>
          <t>Building Type</t>
        </r>
        <r>
          <rPr>
            <sz val="9"/>
            <color indexed="81"/>
            <rFont val="Tahoma"/>
            <family val="2"/>
          </rPr>
          <t xml:space="preserve"> for the dropdown menu.
Note - you must choose a </t>
        </r>
        <r>
          <rPr>
            <b/>
            <sz val="9"/>
            <color indexed="81"/>
            <rFont val="Tahoma"/>
            <family val="2"/>
          </rPr>
          <t>Project Type</t>
        </r>
        <r>
          <rPr>
            <sz val="9"/>
            <color indexed="81"/>
            <rFont val="Tahoma"/>
            <family val="2"/>
          </rPr>
          <t xml:space="preserve"> and </t>
        </r>
        <r>
          <rPr>
            <b/>
            <sz val="9"/>
            <color indexed="81"/>
            <rFont val="Tahoma"/>
            <family val="2"/>
          </rPr>
          <t>Rate Schedule</t>
        </r>
        <r>
          <rPr>
            <sz val="9"/>
            <color indexed="81"/>
            <rFont val="Tahoma"/>
            <family val="2"/>
          </rPr>
          <t xml:space="preserve">. Without these two pieces of information the application can't calculate an incentive.
</t>
        </r>
        <r>
          <rPr>
            <b/>
            <sz val="9"/>
            <color indexed="81"/>
            <rFont val="Tahoma"/>
            <family val="2"/>
          </rPr>
          <t>Lighting Retrofit projects (existing lighting baseline)</t>
        </r>
        <r>
          <rPr>
            <sz val="9"/>
            <color indexed="81"/>
            <rFont val="Tahoma"/>
            <family val="2"/>
          </rPr>
          <t xml:space="preserve">
</t>
        </r>
        <r>
          <rPr>
            <b/>
            <sz val="9"/>
            <color indexed="81"/>
            <rFont val="Tahoma"/>
            <family val="2"/>
          </rPr>
          <t>PSE Approval:</t>
        </r>
        <r>
          <rPr>
            <sz val="9"/>
            <color indexed="81"/>
            <rFont val="Tahoma"/>
            <family val="2"/>
          </rPr>
          <t xml:space="preserve"> PSE requires that all projects be submitted for approval before the retrofit is started to verify the existing conditions through a Pre-Inspection.
</t>
        </r>
        <r>
          <rPr>
            <i/>
            <sz val="9"/>
            <color indexed="81"/>
            <rFont val="Tahoma"/>
            <family val="2"/>
          </rPr>
          <t xml:space="preserve">PSE reserves the right to reject the project if the existing lighting is removed before Pre-Inspection and PSE Approval.  </t>
        </r>
        <r>
          <rPr>
            <sz val="9"/>
            <color indexed="81"/>
            <rFont val="Tahoma"/>
            <family val="2"/>
          </rPr>
          <t xml:space="preserve">
</t>
        </r>
        <r>
          <rPr>
            <b/>
            <sz val="9"/>
            <color indexed="81"/>
            <rFont val="Tahoma"/>
            <family val="2"/>
          </rPr>
          <t>Lighting Only Tennant Improvement and New Construction projects (Energy Code baseline)</t>
        </r>
        <r>
          <rPr>
            <sz val="9"/>
            <color indexed="81"/>
            <rFont val="Tahoma"/>
            <family val="2"/>
          </rPr>
          <t xml:space="preserve">
</t>
        </r>
        <r>
          <rPr>
            <b/>
            <sz val="9"/>
            <color indexed="81"/>
            <rFont val="Tahoma"/>
            <family val="2"/>
          </rPr>
          <t>PSE Approval:</t>
        </r>
        <r>
          <rPr>
            <sz val="9"/>
            <color indexed="81"/>
            <rFont val="Tahoma"/>
            <family val="2"/>
          </rPr>
          <t xml:space="preserve"> Pre-Inspection before work is started is not required but drawings showing each space and the square footage of each space are required. 
</t>
        </r>
        <r>
          <rPr>
            <i/>
            <sz val="9"/>
            <color indexed="81"/>
            <rFont val="Tahoma"/>
            <family val="2"/>
          </rPr>
          <t xml:space="preserve">PSE reserves the right inspect to confirm the drawings square footage match the building square footage. </t>
        </r>
        <r>
          <rPr>
            <sz val="9"/>
            <color indexed="81"/>
            <rFont val="Tahoma"/>
            <family val="2"/>
          </rPr>
          <t xml:space="preserve"> </t>
        </r>
      </text>
    </comment>
    <comment ref="Q20" authorId="0" shapeId="0">
      <text>
        <r>
          <rPr>
            <sz val="9"/>
            <color indexed="81"/>
            <rFont val="Tahoma"/>
            <family val="2"/>
          </rPr>
          <t xml:space="preserve">The </t>
        </r>
        <r>
          <rPr>
            <b/>
            <sz val="9"/>
            <color indexed="81"/>
            <rFont val="Tahoma"/>
            <family val="2"/>
          </rPr>
          <t>Project Location Information</t>
        </r>
        <r>
          <rPr>
            <sz val="9"/>
            <color indexed="81"/>
            <rFont val="Tahoma"/>
            <family val="2"/>
          </rPr>
          <t xml:space="preserve"> section is the physical location of the project.</t>
        </r>
      </text>
    </comment>
    <comment ref="AF20" authorId="0" shapeId="0">
      <text>
        <r>
          <rPr>
            <sz val="9"/>
            <color indexed="81"/>
            <rFont val="Tahoma"/>
            <family val="2"/>
          </rPr>
          <t xml:space="preserve">The </t>
        </r>
        <r>
          <rPr>
            <b/>
            <sz val="9"/>
            <color indexed="81"/>
            <rFont val="Tahoma"/>
            <family val="2"/>
          </rPr>
          <t>Project Owner Contact Information</t>
        </r>
        <r>
          <rPr>
            <sz val="9"/>
            <color indexed="81"/>
            <rFont val="Tahoma"/>
            <family val="2"/>
          </rPr>
          <t xml:space="preserve"> section is the legal owner, property manager of authorized representative of the owner (letter of authorization is required).
Contractor and Vendor information is </t>
        </r>
        <r>
          <rPr>
            <b/>
            <sz val="9"/>
            <color indexed="81"/>
            <rFont val="Tahoma"/>
            <family val="2"/>
          </rPr>
          <t>NOT</t>
        </r>
        <r>
          <rPr>
            <sz val="9"/>
            <color indexed="81"/>
            <rFont val="Tahoma"/>
            <family val="2"/>
          </rPr>
          <t xml:space="preserve"> entered in this section!</t>
        </r>
      </text>
    </comment>
    <comment ref="AR20" authorId="0" shapeId="0">
      <text>
        <r>
          <rPr>
            <sz val="9"/>
            <color indexed="81"/>
            <rFont val="Tahoma"/>
            <family val="2"/>
          </rPr>
          <t xml:space="preserve">The </t>
        </r>
        <r>
          <rPr>
            <b/>
            <sz val="9"/>
            <color indexed="81"/>
            <rFont val="Tahoma"/>
            <family val="2"/>
          </rPr>
          <t>LOA Contract Holder Contact Information</t>
        </r>
        <r>
          <rPr>
            <sz val="9"/>
            <color indexed="81"/>
            <rFont val="Tahoma"/>
            <family val="2"/>
          </rPr>
          <t xml:space="preserve"> section is for the company holding a Letter of Authorization (LOA) to act on the owners behalf.</t>
        </r>
      </text>
    </comment>
    <comment ref="C41" authorId="0" shapeId="0">
      <text>
        <r>
          <rPr>
            <b/>
            <sz val="9"/>
            <color indexed="81"/>
            <rFont val="Tahoma"/>
            <family val="2"/>
          </rPr>
          <t>The Project Hours of Operation</t>
        </r>
        <r>
          <rPr>
            <sz val="9"/>
            <color indexed="81"/>
            <rFont val="Tahoma"/>
            <family val="2"/>
          </rPr>
          <t xml:space="preserve"> is where you enter the typical opening and closing time of the business. 
Enter hours in decimal format. Example 8.5 not 8:30.
</t>
        </r>
      </text>
    </comment>
    <comment ref="C57" authorId="1" shapeId="0">
      <text>
        <r>
          <rPr>
            <sz val="9"/>
            <color indexed="81"/>
            <rFont val="Tahoma"/>
            <family val="2"/>
          </rPr>
          <t xml:space="preserve">In the following </t>
        </r>
        <r>
          <rPr>
            <b/>
            <sz val="9"/>
            <color indexed="81"/>
            <rFont val="Tahoma"/>
            <family val="2"/>
          </rPr>
          <t>Submitting Company Information</t>
        </r>
        <r>
          <rPr>
            <sz val="9"/>
            <color indexed="81"/>
            <rFont val="Tahoma"/>
            <family val="2"/>
          </rPr>
          <t xml:space="preserve"> section, enter all of the contact information for the company submitting the project. 
</t>
        </r>
        <r>
          <rPr>
            <b/>
            <sz val="9"/>
            <color indexed="81"/>
            <rFont val="Tahoma"/>
            <family val="2"/>
          </rPr>
          <t>Options are:</t>
        </r>
        <r>
          <rPr>
            <sz val="9"/>
            <color indexed="81"/>
            <rFont val="Tahoma"/>
            <family val="2"/>
          </rPr>
          <t xml:space="preserve">
  Customer
  Submitting Contractor
  Installing Contractor
  ESCO
  Vendor</t>
        </r>
      </text>
    </comment>
    <comment ref="Q57" authorId="1" shapeId="0">
      <text>
        <r>
          <rPr>
            <sz val="9"/>
            <color indexed="81"/>
            <rFont val="Tahoma"/>
            <family val="2"/>
          </rPr>
          <t>In the following Li</t>
        </r>
        <r>
          <rPr>
            <b/>
            <sz val="9"/>
            <color indexed="81"/>
            <rFont val="Tahoma"/>
            <family val="2"/>
          </rPr>
          <t>ghting Installed by?</t>
        </r>
        <r>
          <rPr>
            <sz val="9"/>
            <color indexed="81"/>
            <rFont val="Tahoma"/>
            <family val="2"/>
          </rPr>
          <t xml:space="preserve"> section, enter all of the contact information for the company installing the lighting on the project. 
</t>
        </r>
        <r>
          <rPr>
            <b/>
            <sz val="9"/>
            <color indexed="81"/>
            <rFont val="Tahoma"/>
            <family val="2"/>
          </rPr>
          <t>Options are:</t>
        </r>
        <r>
          <rPr>
            <sz val="9"/>
            <color indexed="81"/>
            <rFont val="Tahoma"/>
            <family val="2"/>
          </rPr>
          <t xml:space="preserve">
  Customer (Self Install)
  Submitting Contractor
  Installing Contractor</t>
        </r>
      </text>
    </comment>
  </commentList>
</comments>
</file>

<file path=xl/comments2.xml><?xml version="1.0" encoding="utf-8"?>
<comments xmlns="http://schemas.openxmlformats.org/spreadsheetml/2006/main">
  <authors>
    <author>Michael Lane</author>
  </authors>
  <commentList>
    <comment ref="EF25" authorId="0" shapeId="0">
      <text>
        <r>
          <rPr>
            <sz val="9"/>
            <color indexed="81"/>
            <rFont val="Tahoma"/>
            <family val="2"/>
          </rPr>
          <t>1 enter total # of lamps per fixture for TLEDs, enter 1 for Fixture Retrofit or Fixture Replacement
2 Enter the TOTAL system watts including lamps and driver wattage</t>
        </r>
      </text>
    </comment>
    <comment ref="CZ26" authorId="0" shapeId="0">
      <text>
        <r>
          <rPr>
            <b/>
            <sz val="9"/>
            <color indexed="81"/>
            <rFont val="Tahoma"/>
            <family val="2"/>
          </rPr>
          <t>Michael Lane:</t>
        </r>
        <r>
          <rPr>
            <sz val="9"/>
            <color indexed="81"/>
            <rFont val="Tahoma"/>
            <family val="2"/>
          </rPr>
          <t xml:space="preserve">
Is input complete?
</t>
        </r>
      </text>
    </comment>
    <comment ref="DA26" authorId="0" shapeId="0">
      <text>
        <r>
          <rPr>
            <b/>
            <sz val="9"/>
            <color indexed="81"/>
            <rFont val="Tahoma"/>
            <family val="2"/>
          </rPr>
          <t>Michael Lane:</t>
        </r>
        <r>
          <rPr>
            <sz val="9"/>
            <color indexed="81"/>
            <rFont val="Tahoma"/>
            <family val="2"/>
          </rPr>
          <t xml:space="preserve">
Is Lamp type + Description correct?</t>
        </r>
      </text>
    </comment>
    <comment ref="DB26" authorId="0" shapeId="0">
      <text>
        <r>
          <rPr>
            <b/>
            <sz val="9"/>
            <color indexed="81"/>
            <rFont val="Tahoma"/>
            <family val="2"/>
          </rPr>
          <t>Michael Lane:</t>
        </r>
        <r>
          <rPr>
            <sz val="9"/>
            <color indexed="81"/>
            <rFont val="Tahoma"/>
            <family val="2"/>
          </rPr>
          <t xml:space="preserve">
Lamp Detail match</t>
        </r>
      </text>
    </comment>
  </commentList>
</comments>
</file>

<file path=xl/comments3.xml><?xml version="1.0" encoding="utf-8"?>
<comments xmlns="http://schemas.openxmlformats.org/spreadsheetml/2006/main">
  <authors>
    <author>Michael lane</author>
    <author>Michael Lane</author>
  </authors>
  <commentList>
    <comment ref="CS18" authorId="0" shapeId="0">
      <text>
        <r>
          <rPr>
            <b/>
            <sz val="9"/>
            <color indexed="81"/>
            <rFont val="Tahoma"/>
            <family val="2"/>
          </rPr>
          <t>Michael lane:</t>
        </r>
        <r>
          <rPr>
            <sz val="9"/>
            <color indexed="81"/>
            <rFont val="Tahoma"/>
            <family val="2"/>
          </rPr>
          <t xml:space="preserve">
IF(IU51=TRUE,T50,0)
IU51 is TRUE if Calculate is YES</t>
        </r>
      </text>
    </comment>
    <comment ref="CT18" authorId="0" shapeId="0">
      <text>
        <r>
          <rPr>
            <b/>
            <sz val="9"/>
            <color indexed="81"/>
            <rFont val="Tahoma"/>
            <family val="2"/>
          </rPr>
          <t>Michael lane:</t>
        </r>
        <r>
          <rPr>
            <sz val="9"/>
            <color indexed="81"/>
            <rFont val="Tahoma"/>
            <family val="2"/>
          </rPr>
          <t xml:space="preserve">
=IF(IU51=TRUE,U50,"")
IU51 is TRUE if Calculate is YES</t>
        </r>
      </text>
    </comment>
    <comment ref="DD18" authorId="0" shapeId="0">
      <text>
        <r>
          <rPr>
            <b/>
            <sz val="9"/>
            <color indexed="81"/>
            <rFont val="Tahoma"/>
            <family val="2"/>
          </rPr>
          <t>Michael lane:</t>
        </r>
        <r>
          <rPr>
            <sz val="9"/>
            <color indexed="81"/>
            <rFont val="Tahoma"/>
            <family val="2"/>
          </rPr>
          <t xml:space="preserve">
=IF(IU51=TRUE,IF(__Retrofit_TI_NC=0,AF50,VLOOKUP(G52,Table_LPA_SxS,12,FALSE)),"")
=IF(IU51=TRUE  [Calculate] 
IF(__Retrofit_TI_NC=0  [Retrofit=0, TI=1, NC=2]
AF50  [selected control]
VLOOKUP(G52  [Space Type] ,Table_LPA_SxS  [WSEC space by space table],12  [minimum control],FALSE)),"")</t>
        </r>
      </text>
    </comment>
    <comment ref="GG18" authorId="0" shapeId="0">
      <text>
        <r>
          <rPr>
            <b/>
            <sz val="9"/>
            <color indexed="81"/>
            <rFont val="Tahoma"/>
            <family val="2"/>
          </rPr>
          <t>Michael lane:</t>
        </r>
        <r>
          <rPr>
            <sz val="9"/>
            <color indexed="81"/>
            <rFont val="Tahoma"/>
            <family val="2"/>
          </rPr>
          <t xml:space="preserve">
If FALSE then there is an error
.</t>
        </r>
      </text>
    </comment>
    <comment ref="CP24" authorId="0" shapeId="0">
      <text>
        <r>
          <rPr>
            <b/>
            <sz val="9"/>
            <color indexed="81"/>
            <rFont val="Tahoma"/>
            <family val="2"/>
          </rPr>
          <t>Michael lane:</t>
        </r>
        <r>
          <rPr>
            <sz val="9"/>
            <color indexed="81"/>
            <rFont val="Tahoma"/>
            <family val="2"/>
          </rPr>
          <t xml:space="preserve">
=IF(__Retrofit_TI_NC=0,G52,VLOOKUP(G52,Table_LPA_SxS,10,FALSE))
__Retrofit_TI_NC (Retrofit=0, TI=1, NC=2)
G52= Space Type
VLOOKUP(G52,Table_LPA_SxS,10,FALSE)
G52= Space Type
Table_LPA_SxS is the Space by Space table and column 10 is the abbreviated space type</t>
        </r>
      </text>
    </comment>
    <comment ref="GG38" authorId="0" shapeId="0">
      <text>
        <r>
          <rPr>
            <b/>
            <sz val="9"/>
            <color indexed="81"/>
            <rFont val="Tahoma"/>
            <family val="2"/>
          </rPr>
          <t>Michael lane:</t>
        </r>
        <r>
          <rPr>
            <sz val="9"/>
            <color indexed="81"/>
            <rFont val="Tahoma"/>
            <family val="2"/>
          </rPr>
          <t xml:space="preserve">
If FALSE then there is an error
.</t>
        </r>
      </text>
    </comment>
    <comment ref="M41" authorId="1" shapeId="0">
      <text>
        <r>
          <rPr>
            <b/>
            <sz val="9"/>
            <color indexed="81"/>
            <rFont val="Tahoma"/>
            <family val="2"/>
          </rPr>
          <t>Michael Lane:</t>
        </r>
        <r>
          <rPr>
            <sz val="9"/>
            <color indexed="81"/>
            <rFont val="Tahoma"/>
            <family val="2"/>
          </rPr>
          <t xml:space="preserve">
Changed Retrofit / TI / NC
</t>
        </r>
      </text>
    </comment>
    <comment ref="N41" authorId="0" shapeId="0">
      <text>
        <r>
          <rPr>
            <b/>
            <sz val="9"/>
            <color indexed="81"/>
            <rFont val="Tahoma"/>
            <family val="2"/>
          </rPr>
          <t>Michael lane:</t>
        </r>
        <r>
          <rPr>
            <sz val="9"/>
            <color indexed="81"/>
            <rFont val="Tahoma"/>
            <family val="2"/>
          </rPr>
          <t xml:space="preserve">
HVAC factor</t>
        </r>
      </text>
    </comment>
    <comment ref="M42" authorId="0" shapeId="0">
      <text>
        <r>
          <rPr>
            <b/>
            <sz val="9"/>
            <color indexed="81"/>
            <rFont val="Tahoma"/>
            <family val="2"/>
          </rPr>
          <t>Michael lane:</t>
        </r>
        <r>
          <rPr>
            <sz val="9"/>
            <color indexed="81"/>
            <rFont val="Tahoma"/>
            <family val="2"/>
          </rPr>
          <t xml:space="preserve">
Space Type incorrect due to Heat Type Change
</t>
        </r>
      </text>
    </comment>
    <comment ref="N42" authorId="0" shapeId="0">
      <text>
        <r>
          <rPr>
            <b/>
            <sz val="9"/>
            <color indexed="81"/>
            <rFont val="Tahoma"/>
            <family val="2"/>
          </rPr>
          <t>Michael lane:</t>
        </r>
        <r>
          <rPr>
            <sz val="9"/>
            <color indexed="81"/>
            <rFont val="Tahoma"/>
            <family val="2"/>
          </rPr>
          <t xml:space="preserve">
LPA</t>
        </r>
      </text>
    </comment>
    <comment ref="M46" authorId="1" shapeId="0">
      <text>
        <r>
          <rPr>
            <b/>
            <sz val="9"/>
            <color indexed="81"/>
            <rFont val="Tahoma"/>
            <family val="2"/>
          </rPr>
          <t>Michael Lane:</t>
        </r>
        <r>
          <rPr>
            <sz val="9"/>
            <color indexed="81"/>
            <rFont val="Tahoma"/>
            <family val="2"/>
          </rPr>
          <t xml:space="preserve">
Changed Retrofit / TI / NC
</t>
        </r>
      </text>
    </comment>
    <comment ref="N46" authorId="0" shapeId="0">
      <text>
        <r>
          <rPr>
            <b/>
            <sz val="9"/>
            <color indexed="81"/>
            <rFont val="Tahoma"/>
            <family val="2"/>
          </rPr>
          <t>Michael lane:</t>
        </r>
        <r>
          <rPr>
            <sz val="9"/>
            <color indexed="81"/>
            <rFont val="Tahoma"/>
            <family val="2"/>
          </rPr>
          <t xml:space="preserve">
HVAC factor</t>
        </r>
      </text>
    </comment>
    <comment ref="M47" authorId="0" shapeId="0">
      <text>
        <r>
          <rPr>
            <b/>
            <sz val="9"/>
            <color indexed="81"/>
            <rFont val="Tahoma"/>
            <family val="2"/>
          </rPr>
          <t>Michael lane:</t>
        </r>
        <r>
          <rPr>
            <sz val="9"/>
            <color indexed="81"/>
            <rFont val="Tahoma"/>
            <family val="2"/>
          </rPr>
          <t xml:space="preserve">
Space Type incorrect due to Heat Type Change
</t>
        </r>
      </text>
    </comment>
    <comment ref="N47" authorId="0" shapeId="0">
      <text>
        <r>
          <rPr>
            <b/>
            <sz val="9"/>
            <color indexed="81"/>
            <rFont val="Tahoma"/>
            <family val="2"/>
          </rPr>
          <t>Michael lane:</t>
        </r>
        <r>
          <rPr>
            <sz val="9"/>
            <color indexed="81"/>
            <rFont val="Tahoma"/>
            <family val="2"/>
          </rPr>
          <t xml:space="preserve">
LPA</t>
        </r>
      </text>
    </comment>
    <comment ref="M51" authorId="1" shapeId="0">
      <text>
        <r>
          <rPr>
            <b/>
            <sz val="9"/>
            <color indexed="81"/>
            <rFont val="Tahoma"/>
            <family val="2"/>
          </rPr>
          <t>Michael Lane:</t>
        </r>
        <r>
          <rPr>
            <sz val="9"/>
            <color indexed="81"/>
            <rFont val="Tahoma"/>
            <family val="2"/>
          </rPr>
          <t xml:space="preserve">
Changed Retrofit / TI / NC
</t>
        </r>
      </text>
    </comment>
    <comment ref="N51" authorId="0" shapeId="0">
      <text>
        <r>
          <rPr>
            <b/>
            <sz val="9"/>
            <color indexed="81"/>
            <rFont val="Tahoma"/>
            <family val="2"/>
          </rPr>
          <t>Michael lane:</t>
        </r>
        <r>
          <rPr>
            <sz val="9"/>
            <color indexed="81"/>
            <rFont val="Tahoma"/>
            <family val="2"/>
          </rPr>
          <t xml:space="preserve">
HVAC factor</t>
        </r>
      </text>
    </comment>
    <comment ref="M52" authorId="0" shapeId="0">
      <text>
        <r>
          <rPr>
            <b/>
            <sz val="9"/>
            <color indexed="81"/>
            <rFont val="Tahoma"/>
            <family val="2"/>
          </rPr>
          <t>Michael lane:</t>
        </r>
        <r>
          <rPr>
            <sz val="9"/>
            <color indexed="81"/>
            <rFont val="Tahoma"/>
            <family val="2"/>
          </rPr>
          <t xml:space="preserve">
Space Type incorrect due to Heat Type Change
</t>
        </r>
      </text>
    </comment>
    <comment ref="N52" authorId="0" shapeId="0">
      <text>
        <r>
          <rPr>
            <b/>
            <sz val="9"/>
            <color indexed="81"/>
            <rFont val="Tahoma"/>
            <family val="2"/>
          </rPr>
          <t>Michael lane:</t>
        </r>
        <r>
          <rPr>
            <sz val="9"/>
            <color indexed="81"/>
            <rFont val="Tahoma"/>
            <family val="2"/>
          </rPr>
          <t xml:space="preserve">
LPA</t>
        </r>
      </text>
    </comment>
    <comment ref="M56" authorId="1" shapeId="0">
      <text>
        <r>
          <rPr>
            <b/>
            <sz val="9"/>
            <color indexed="81"/>
            <rFont val="Tahoma"/>
            <family val="2"/>
          </rPr>
          <t>Michael Lane:</t>
        </r>
        <r>
          <rPr>
            <sz val="9"/>
            <color indexed="81"/>
            <rFont val="Tahoma"/>
            <family val="2"/>
          </rPr>
          <t xml:space="preserve">
Changed Retrofit / TI / NC
</t>
        </r>
      </text>
    </comment>
    <comment ref="N56" authorId="0" shapeId="0">
      <text>
        <r>
          <rPr>
            <b/>
            <sz val="9"/>
            <color indexed="81"/>
            <rFont val="Tahoma"/>
            <family val="2"/>
          </rPr>
          <t>Michael lane:</t>
        </r>
        <r>
          <rPr>
            <sz val="9"/>
            <color indexed="81"/>
            <rFont val="Tahoma"/>
            <family val="2"/>
          </rPr>
          <t xml:space="preserve">
HVAC factor</t>
        </r>
      </text>
    </comment>
    <comment ref="M57" authorId="0" shapeId="0">
      <text>
        <r>
          <rPr>
            <b/>
            <sz val="9"/>
            <color indexed="81"/>
            <rFont val="Tahoma"/>
            <family val="2"/>
          </rPr>
          <t>Michael lane:</t>
        </r>
        <r>
          <rPr>
            <sz val="9"/>
            <color indexed="81"/>
            <rFont val="Tahoma"/>
            <family val="2"/>
          </rPr>
          <t xml:space="preserve">
Space Type incorrect due to Heat Type Change
</t>
        </r>
      </text>
    </comment>
    <comment ref="N57" authorId="0" shapeId="0">
      <text>
        <r>
          <rPr>
            <b/>
            <sz val="9"/>
            <color indexed="81"/>
            <rFont val="Tahoma"/>
            <family val="2"/>
          </rPr>
          <t>Michael lane:</t>
        </r>
        <r>
          <rPr>
            <sz val="9"/>
            <color indexed="81"/>
            <rFont val="Tahoma"/>
            <family val="2"/>
          </rPr>
          <t xml:space="preserve">
LPA</t>
        </r>
      </text>
    </comment>
    <comment ref="M61" authorId="1" shapeId="0">
      <text>
        <r>
          <rPr>
            <b/>
            <sz val="9"/>
            <color indexed="81"/>
            <rFont val="Tahoma"/>
            <family val="2"/>
          </rPr>
          <t>Michael Lane:</t>
        </r>
        <r>
          <rPr>
            <sz val="9"/>
            <color indexed="81"/>
            <rFont val="Tahoma"/>
            <family val="2"/>
          </rPr>
          <t xml:space="preserve">
Changed Retrofit / TI / NC
</t>
        </r>
      </text>
    </comment>
    <comment ref="N61" authorId="0" shapeId="0">
      <text>
        <r>
          <rPr>
            <b/>
            <sz val="9"/>
            <color indexed="81"/>
            <rFont val="Tahoma"/>
            <family val="2"/>
          </rPr>
          <t>Michael lane:</t>
        </r>
        <r>
          <rPr>
            <sz val="9"/>
            <color indexed="81"/>
            <rFont val="Tahoma"/>
            <family val="2"/>
          </rPr>
          <t xml:space="preserve">
HVAC factor</t>
        </r>
      </text>
    </comment>
    <comment ref="M62" authorId="0" shapeId="0">
      <text>
        <r>
          <rPr>
            <b/>
            <sz val="9"/>
            <color indexed="81"/>
            <rFont val="Tahoma"/>
            <family val="2"/>
          </rPr>
          <t>Michael lane:</t>
        </r>
        <r>
          <rPr>
            <sz val="9"/>
            <color indexed="81"/>
            <rFont val="Tahoma"/>
            <family val="2"/>
          </rPr>
          <t xml:space="preserve">
Space Type incorrect due to Heat Type Change
</t>
        </r>
      </text>
    </comment>
    <comment ref="N62" authorId="0" shapeId="0">
      <text>
        <r>
          <rPr>
            <b/>
            <sz val="9"/>
            <color indexed="81"/>
            <rFont val="Tahoma"/>
            <family val="2"/>
          </rPr>
          <t>Michael lane:</t>
        </r>
        <r>
          <rPr>
            <sz val="9"/>
            <color indexed="81"/>
            <rFont val="Tahoma"/>
            <family val="2"/>
          </rPr>
          <t xml:space="preserve">
LPA</t>
        </r>
      </text>
    </comment>
    <comment ref="M66" authorId="1" shapeId="0">
      <text>
        <r>
          <rPr>
            <b/>
            <sz val="9"/>
            <color indexed="81"/>
            <rFont val="Tahoma"/>
            <family val="2"/>
          </rPr>
          <t>Michael Lane:</t>
        </r>
        <r>
          <rPr>
            <sz val="9"/>
            <color indexed="81"/>
            <rFont val="Tahoma"/>
            <family val="2"/>
          </rPr>
          <t xml:space="preserve">
Changed Retrofit / TI / NC
</t>
        </r>
      </text>
    </comment>
    <comment ref="N66" authorId="0" shapeId="0">
      <text>
        <r>
          <rPr>
            <b/>
            <sz val="9"/>
            <color indexed="81"/>
            <rFont val="Tahoma"/>
            <family val="2"/>
          </rPr>
          <t>Michael lane:</t>
        </r>
        <r>
          <rPr>
            <sz val="9"/>
            <color indexed="81"/>
            <rFont val="Tahoma"/>
            <family val="2"/>
          </rPr>
          <t xml:space="preserve">
HVAC factor</t>
        </r>
      </text>
    </comment>
    <comment ref="M67" authorId="0" shapeId="0">
      <text>
        <r>
          <rPr>
            <b/>
            <sz val="9"/>
            <color indexed="81"/>
            <rFont val="Tahoma"/>
            <family val="2"/>
          </rPr>
          <t>Michael lane:</t>
        </r>
        <r>
          <rPr>
            <sz val="9"/>
            <color indexed="81"/>
            <rFont val="Tahoma"/>
            <family val="2"/>
          </rPr>
          <t xml:space="preserve">
Space Type incorrect due to Heat Type Change
</t>
        </r>
      </text>
    </comment>
    <comment ref="N67" authorId="0" shapeId="0">
      <text>
        <r>
          <rPr>
            <b/>
            <sz val="9"/>
            <color indexed="81"/>
            <rFont val="Tahoma"/>
            <family val="2"/>
          </rPr>
          <t>Michael lane:</t>
        </r>
        <r>
          <rPr>
            <sz val="9"/>
            <color indexed="81"/>
            <rFont val="Tahoma"/>
            <family val="2"/>
          </rPr>
          <t xml:space="preserve">
LPA</t>
        </r>
      </text>
    </comment>
    <comment ref="M71" authorId="1" shapeId="0">
      <text>
        <r>
          <rPr>
            <b/>
            <sz val="9"/>
            <color indexed="81"/>
            <rFont val="Tahoma"/>
            <family val="2"/>
          </rPr>
          <t>Michael Lane:</t>
        </r>
        <r>
          <rPr>
            <sz val="9"/>
            <color indexed="81"/>
            <rFont val="Tahoma"/>
            <family val="2"/>
          </rPr>
          <t xml:space="preserve">
Changed Retrofit / TI / NC
</t>
        </r>
      </text>
    </comment>
    <comment ref="N71" authorId="0" shapeId="0">
      <text>
        <r>
          <rPr>
            <b/>
            <sz val="9"/>
            <color indexed="81"/>
            <rFont val="Tahoma"/>
            <family val="2"/>
          </rPr>
          <t>Michael lane:</t>
        </r>
        <r>
          <rPr>
            <sz val="9"/>
            <color indexed="81"/>
            <rFont val="Tahoma"/>
            <family val="2"/>
          </rPr>
          <t xml:space="preserve">
HVAC factor</t>
        </r>
      </text>
    </comment>
    <comment ref="M72" authorId="0" shapeId="0">
      <text>
        <r>
          <rPr>
            <b/>
            <sz val="9"/>
            <color indexed="81"/>
            <rFont val="Tahoma"/>
            <family val="2"/>
          </rPr>
          <t>Michael lane:</t>
        </r>
        <r>
          <rPr>
            <sz val="9"/>
            <color indexed="81"/>
            <rFont val="Tahoma"/>
            <family val="2"/>
          </rPr>
          <t xml:space="preserve">
Space Type incorrect due to Heat Type Change
</t>
        </r>
      </text>
    </comment>
    <comment ref="N72" authorId="0" shapeId="0">
      <text>
        <r>
          <rPr>
            <b/>
            <sz val="9"/>
            <color indexed="81"/>
            <rFont val="Tahoma"/>
            <family val="2"/>
          </rPr>
          <t>Michael lane:</t>
        </r>
        <r>
          <rPr>
            <sz val="9"/>
            <color indexed="81"/>
            <rFont val="Tahoma"/>
            <family val="2"/>
          </rPr>
          <t xml:space="preserve">
LPA</t>
        </r>
      </text>
    </comment>
    <comment ref="M76" authorId="1" shapeId="0">
      <text>
        <r>
          <rPr>
            <b/>
            <sz val="9"/>
            <color indexed="81"/>
            <rFont val="Tahoma"/>
            <family val="2"/>
          </rPr>
          <t>Michael Lane:</t>
        </r>
        <r>
          <rPr>
            <sz val="9"/>
            <color indexed="81"/>
            <rFont val="Tahoma"/>
            <family val="2"/>
          </rPr>
          <t xml:space="preserve">
Changed Retrofit / TI / NC
</t>
        </r>
      </text>
    </comment>
    <comment ref="N76" authorId="0" shapeId="0">
      <text>
        <r>
          <rPr>
            <b/>
            <sz val="9"/>
            <color indexed="81"/>
            <rFont val="Tahoma"/>
            <family val="2"/>
          </rPr>
          <t>Michael lane:</t>
        </r>
        <r>
          <rPr>
            <sz val="9"/>
            <color indexed="81"/>
            <rFont val="Tahoma"/>
            <family val="2"/>
          </rPr>
          <t xml:space="preserve">
HVAC factor</t>
        </r>
      </text>
    </comment>
    <comment ref="M77" authorId="0" shapeId="0">
      <text>
        <r>
          <rPr>
            <b/>
            <sz val="9"/>
            <color indexed="81"/>
            <rFont val="Tahoma"/>
            <family val="2"/>
          </rPr>
          <t>Michael lane:</t>
        </r>
        <r>
          <rPr>
            <sz val="9"/>
            <color indexed="81"/>
            <rFont val="Tahoma"/>
            <family val="2"/>
          </rPr>
          <t xml:space="preserve">
Space Type incorrect due to Heat Type Change
</t>
        </r>
      </text>
    </comment>
    <comment ref="N77" authorId="0" shapeId="0">
      <text>
        <r>
          <rPr>
            <b/>
            <sz val="9"/>
            <color indexed="81"/>
            <rFont val="Tahoma"/>
            <family val="2"/>
          </rPr>
          <t>Michael lane:</t>
        </r>
        <r>
          <rPr>
            <sz val="9"/>
            <color indexed="81"/>
            <rFont val="Tahoma"/>
            <family val="2"/>
          </rPr>
          <t xml:space="preserve">
LPA</t>
        </r>
      </text>
    </comment>
    <comment ref="M81" authorId="1" shapeId="0">
      <text>
        <r>
          <rPr>
            <b/>
            <sz val="9"/>
            <color indexed="81"/>
            <rFont val="Tahoma"/>
            <family val="2"/>
          </rPr>
          <t>Michael Lane:</t>
        </r>
        <r>
          <rPr>
            <sz val="9"/>
            <color indexed="81"/>
            <rFont val="Tahoma"/>
            <family val="2"/>
          </rPr>
          <t xml:space="preserve">
Changed Retrofit / TI / NC
</t>
        </r>
      </text>
    </comment>
    <comment ref="N81" authorId="0" shapeId="0">
      <text>
        <r>
          <rPr>
            <b/>
            <sz val="9"/>
            <color indexed="81"/>
            <rFont val="Tahoma"/>
            <family val="2"/>
          </rPr>
          <t>Michael lane:</t>
        </r>
        <r>
          <rPr>
            <sz val="9"/>
            <color indexed="81"/>
            <rFont val="Tahoma"/>
            <family val="2"/>
          </rPr>
          <t xml:space="preserve">
HVAC factor</t>
        </r>
      </text>
    </comment>
    <comment ref="M82" authorId="0" shapeId="0">
      <text>
        <r>
          <rPr>
            <b/>
            <sz val="9"/>
            <color indexed="81"/>
            <rFont val="Tahoma"/>
            <family val="2"/>
          </rPr>
          <t>Michael lane:</t>
        </r>
        <r>
          <rPr>
            <sz val="9"/>
            <color indexed="81"/>
            <rFont val="Tahoma"/>
            <family val="2"/>
          </rPr>
          <t xml:space="preserve">
Space Type incorrect due to Heat Type Change
</t>
        </r>
      </text>
    </comment>
    <comment ref="N82" authorId="0" shapeId="0">
      <text>
        <r>
          <rPr>
            <b/>
            <sz val="9"/>
            <color indexed="81"/>
            <rFont val="Tahoma"/>
            <family val="2"/>
          </rPr>
          <t>Michael lane:</t>
        </r>
        <r>
          <rPr>
            <sz val="9"/>
            <color indexed="81"/>
            <rFont val="Tahoma"/>
            <family val="2"/>
          </rPr>
          <t xml:space="preserve">
LPA</t>
        </r>
      </text>
    </comment>
    <comment ref="M86" authorId="1" shapeId="0">
      <text>
        <r>
          <rPr>
            <b/>
            <sz val="9"/>
            <color indexed="81"/>
            <rFont val="Tahoma"/>
            <family val="2"/>
          </rPr>
          <t>Michael Lane:</t>
        </r>
        <r>
          <rPr>
            <sz val="9"/>
            <color indexed="81"/>
            <rFont val="Tahoma"/>
            <family val="2"/>
          </rPr>
          <t xml:space="preserve">
Changed Retrofit / TI / NC
</t>
        </r>
      </text>
    </comment>
    <comment ref="N86" authorId="0" shapeId="0">
      <text>
        <r>
          <rPr>
            <b/>
            <sz val="9"/>
            <color indexed="81"/>
            <rFont val="Tahoma"/>
            <family val="2"/>
          </rPr>
          <t>Michael lane:</t>
        </r>
        <r>
          <rPr>
            <sz val="9"/>
            <color indexed="81"/>
            <rFont val="Tahoma"/>
            <family val="2"/>
          </rPr>
          <t xml:space="preserve">
HVAC factor</t>
        </r>
      </text>
    </comment>
    <comment ref="M87" authorId="0" shapeId="0">
      <text>
        <r>
          <rPr>
            <b/>
            <sz val="9"/>
            <color indexed="81"/>
            <rFont val="Tahoma"/>
            <family val="2"/>
          </rPr>
          <t>Michael lane:</t>
        </r>
        <r>
          <rPr>
            <sz val="9"/>
            <color indexed="81"/>
            <rFont val="Tahoma"/>
            <family val="2"/>
          </rPr>
          <t xml:space="preserve">
Space Type incorrect due to Heat Type Change
</t>
        </r>
      </text>
    </comment>
    <comment ref="N87" authorId="0" shapeId="0">
      <text>
        <r>
          <rPr>
            <b/>
            <sz val="9"/>
            <color indexed="81"/>
            <rFont val="Tahoma"/>
            <family val="2"/>
          </rPr>
          <t>Michael lane:</t>
        </r>
        <r>
          <rPr>
            <sz val="9"/>
            <color indexed="81"/>
            <rFont val="Tahoma"/>
            <family val="2"/>
          </rPr>
          <t xml:space="preserve">
LPA</t>
        </r>
      </text>
    </comment>
    <comment ref="M94" authorId="1" shapeId="0">
      <text>
        <r>
          <rPr>
            <b/>
            <sz val="9"/>
            <color indexed="81"/>
            <rFont val="Tahoma"/>
            <family val="2"/>
          </rPr>
          <t>Michael Lane:</t>
        </r>
        <r>
          <rPr>
            <sz val="9"/>
            <color indexed="81"/>
            <rFont val="Tahoma"/>
            <family val="2"/>
          </rPr>
          <t xml:space="preserve">
Changed Retrofit / TI / NC
</t>
        </r>
      </text>
    </comment>
    <comment ref="N94" authorId="0" shapeId="0">
      <text>
        <r>
          <rPr>
            <b/>
            <sz val="9"/>
            <color indexed="81"/>
            <rFont val="Tahoma"/>
            <family val="2"/>
          </rPr>
          <t>Michael lane:</t>
        </r>
        <r>
          <rPr>
            <sz val="9"/>
            <color indexed="81"/>
            <rFont val="Tahoma"/>
            <family val="2"/>
          </rPr>
          <t xml:space="preserve">
HVAC factor</t>
        </r>
      </text>
    </comment>
    <comment ref="M95" authorId="0" shapeId="0">
      <text>
        <r>
          <rPr>
            <b/>
            <sz val="9"/>
            <color indexed="81"/>
            <rFont val="Tahoma"/>
            <family val="2"/>
          </rPr>
          <t>Michael lane:</t>
        </r>
        <r>
          <rPr>
            <sz val="9"/>
            <color indexed="81"/>
            <rFont val="Tahoma"/>
            <family val="2"/>
          </rPr>
          <t xml:space="preserve">
Space Type incorrect due to Heat Type Change
</t>
        </r>
      </text>
    </comment>
    <comment ref="N95" authorId="0" shapeId="0">
      <text>
        <r>
          <rPr>
            <b/>
            <sz val="9"/>
            <color indexed="81"/>
            <rFont val="Tahoma"/>
            <family val="2"/>
          </rPr>
          <t>Michael lane:</t>
        </r>
        <r>
          <rPr>
            <sz val="9"/>
            <color indexed="81"/>
            <rFont val="Tahoma"/>
            <family val="2"/>
          </rPr>
          <t xml:space="preserve">
LPA</t>
        </r>
      </text>
    </comment>
    <comment ref="M99" authorId="1" shapeId="0">
      <text>
        <r>
          <rPr>
            <b/>
            <sz val="9"/>
            <color indexed="81"/>
            <rFont val="Tahoma"/>
            <family val="2"/>
          </rPr>
          <t>Michael Lane:</t>
        </r>
        <r>
          <rPr>
            <sz val="9"/>
            <color indexed="81"/>
            <rFont val="Tahoma"/>
            <family val="2"/>
          </rPr>
          <t xml:space="preserve">
Changed Retrofit / TI / NC
</t>
        </r>
      </text>
    </comment>
    <comment ref="N99" authorId="0" shapeId="0">
      <text>
        <r>
          <rPr>
            <b/>
            <sz val="9"/>
            <color indexed="81"/>
            <rFont val="Tahoma"/>
            <family val="2"/>
          </rPr>
          <t>Michael lane:</t>
        </r>
        <r>
          <rPr>
            <sz val="9"/>
            <color indexed="81"/>
            <rFont val="Tahoma"/>
            <family val="2"/>
          </rPr>
          <t xml:space="preserve">
HVAC factor</t>
        </r>
      </text>
    </comment>
    <comment ref="M100" authorId="0" shapeId="0">
      <text>
        <r>
          <rPr>
            <b/>
            <sz val="9"/>
            <color indexed="81"/>
            <rFont val="Tahoma"/>
            <family val="2"/>
          </rPr>
          <t>Michael lane:</t>
        </r>
        <r>
          <rPr>
            <sz val="9"/>
            <color indexed="81"/>
            <rFont val="Tahoma"/>
            <family val="2"/>
          </rPr>
          <t xml:space="preserve">
Space Type incorrect due to Heat Type Change
</t>
        </r>
      </text>
    </comment>
    <comment ref="N100" authorId="0" shapeId="0">
      <text>
        <r>
          <rPr>
            <b/>
            <sz val="9"/>
            <color indexed="81"/>
            <rFont val="Tahoma"/>
            <family val="2"/>
          </rPr>
          <t>Michael lane:</t>
        </r>
        <r>
          <rPr>
            <sz val="9"/>
            <color indexed="81"/>
            <rFont val="Tahoma"/>
            <family val="2"/>
          </rPr>
          <t xml:space="preserve">
LPA</t>
        </r>
      </text>
    </comment>
    <comment ref="M104" authorId="1" shapeId="0">
      <text>
        <r>
          <rPr>
            <b/>
            <sz val="9"/>
            <color indexed="81"/>
            <rFont val="Tahoma"/>
            <family val="2"/>
          </rPr>
          <t>Michael Lane:</t>
        </r>
        <r>
          <rPr>
            <sz val="9"/>
            <color indexed="81"/>
            <rFont val="Tahoma"/>
            <family val="2"/>
          </rPr>
          <t xml:space="preserve">
Changed Retrofit / TI / NC
</t>
        </r>
      </text>
    </comment>
    <comment ref="N104" authorId="0" shapeId="0">
      <text>
        <r>
          <rPr>
            <b/>
            <sz val="9"/>
            <color indexed="81"/>
            <rFont val="Tahoma"/>
            <family val="2"/>
          </rPr>
          <t>Michael lane:</t>
        </r>
        <r>
          <rPr>
            <sz val="9"/>
            <color indexed="81"/>
            <rFont val="Tahoma"/>
            <family val="2"/>
          </rPr>
          <t xml:space="preserve">
HVAC factor</t>
        </r>
      </text>
    </comment>
    <comment ref="M105" authorId="0" shapeId="0">
      <text>
        <r>
          <rPr>
            <b/>
            <sz val="9"/>
            <color indexed="81"/>
            <rFont val="Tahoma"/>
            <family val="2"/>
          </rPr>
          <t>Michael lane:</t>
        </r>
        <r>
          <rPr>
            <sz val="9"/>
            <color indexed="81"/>
            <rFont val="Tahoma"/>
            <family val="2"/>
          </rPr>
          <t xml:space="preserve">
Space Type incorrect due to Heat Type Change
</t>
        </r>
      </text>
    </comment>
    <comment ref="N105" authorId="0" shapeId="0">
      <text>
        <r>
          <rPr>
            <b/>
            <sz val="9"/>
            <color indexed="81"/>
            <rFont val="Tahoma"/>
            <family val="2"/>
          </rPr>
          <t>Michael lane:</t>
        </r>
        <r>
          <rPr>
            <sz val="9"/>
            <color indexed="81"/>
            <rFont val="Tahoma"/>
            <family val="2"/>
          </rPr>
          <t xml:space="preserve">
LPA</t>
        </r>
      </text>
    </comment>
    <comment ref="M109" authorId="1" shapeId="0">
      <text>
        <r>
          <rPr>
            <b/>
            <sz val="9"/>
            <color indexed="81"/>
            <rFont val="Tahoma"/>
            <family val="2"/>
          </rPr>
          <t>Michael Lane:</t>
        </r>
        <r>
          <rPr>
            <sz val="9"/>
            <color indexed="81"/>
            <rFont val="Tahoma"/>
            <family val="2"/>
          </rPr>
          <t xml:space="preserve">
Changed Retrofit / TI / NC
</t>
        </r>
      </text>
    </comment>
    <comment ref="N109" authorId="0" shapeId="0">
      <text>
        <r>
          <rPr>
            <b/>
            <sz val="9"/>
            <color indexed="81"/>
            <rFont val="Tahoma"/>
            <family val="2"/>
          </rPr>
          <t>Michael lane:</t>
        </r>
        <r>
          <rPr>
            <sz val="9"/>
            <color indexed="81"/>
            <rFont val="Tahoma"/>
            <family val="2"/>
          </rPr>
          <t xml:space="preserve">
HVAC factor</t>
        </r>
      </text>
    </comment>
    <comment ref="M110" authorId="0" shapeId="0">
      <text>
        <r>
          <rPr>
            <b/>
            <sz val="9"/>
            <color indexed="81"/>
            <rFont val="Tahoma"/>
            <family val="2"/>
          </rPr>
          <t>Michael lane:</t>
        </r>
        <r>
          <rPr>
            <sz val="9"/>
            <color indexed="81"/>
            <rFont val="Tahoma"/>
            <family val="2"/>
          </rPr>
          <t xml:space="preserve">
Space Type incorrect due to Heat Type Change
</t>
        </r>
      </text>
    </comment>
    <comment ref="N110" authorId="0" shapeId="0">
      <text>
        <r>
          <rPr>
            <b/>
            <sz val="9"/>
            <color indexed="81"/>
            <rFont val="Tahoma"/>
            <family val="2"/>
          </rPr>
          <t>Michael lane:</t>
        </r>
        <r>
          <rPr>
            <sz val="9"/>
            <color indexed="81"/>
            <rFont val="Tahoma"/>
            <family val="2"/>
          </rPr>
          <t xml:space="preserve">
LPA</t>
        </r>
      </text>
    </comment>
    <comment ref="M114" authorId="1" shapeId="0">
      <text>
        <r>
          <rPr>
            <b/>
            <sz val="9"/>
            <color indexed="81"/>
            <rFont val="Tahoma"/>
            <family val="2"/>
          </rPr>
          <t>Michael Lane:</t>
        </r>
        <r>
          <rPr>
            <sz val="9"/>
            <color indexed="81"/>
            <rFont val="Tahoma"/>
            <family val="2"/>
          </rPr>
          <t xml:space="preserve">
Changed Retrofit / TI / NC
</t>
        </r>
      </text>
    </comment>
    <comment ref="N114" authorId="0" shapeId="0">
      <text>
        <r>
          <rPr>
            <b/>
            <sz val="9"/>
            <color indexed="81"/>
            <rFont val="Tahoma"/>
            <family val="2"/>
          </rPr>
          <t>Michael lane:</t>
        </r>
        <r>
          <rPr>
            <sz val="9"/>
            <color indexed="81"/>
            <rFont val="Tahoma"/>
            <family val="2"/>
          </rPr>
          <t xml:space="preserve">
HVAC factor</t>
        </r>
      </text>
    </comment>
    <comment ref="M115" authorId="0" shapeId="0">
      <text>
        <r>
          <rPr>
            <b/>
            <sz val="9"/>
            <color indexed="81"/>
            <rFont val="Tahoma"/>
            <family val="2"/>
          </rPr>
          <t>Michael lane:</t>
        </r>
        <r>
          <rPr>
            <sz val="9"/>
            <color indexed="81"/>
            <rFont val="Tahoma"/>
            <family val="2"/>
          </rPr>
          <t xml:space="preserve">
Space Type incorrect due to Heat Type Change
</t>
        </r>
      </text>
    </comment>
    <comment ref="N115" authorId="0" shapeId="0">
      <text>
        <r>
          <rPr>
            <b/>
            <sz val="9"/>
            <color indexed="81"/>
            <rFont val="Tahoma"/>
            <family val="2"/>
          </rPr>
          <t>Michael lane:</t>
        </r>
        <r>
          <rPr>
            <sz val="9"/>
            <color indexed="81"/>
            <rFont val="Tahoma"/>
            <family val="2"/>
          </rPr>
          <t xml:space="preserve">
LPA</t>
        </r>
      </text>
    </comment>
    <comment ref="M119" authorId="1" shapeId="0">
      <text>
        <r>
          <rPr>
            <b/>
            <sz val="9"/>
            <color indexed="81"/>
            <rFont val="Tahoma"/>
            <family val="2"/>
          </rPr>
          <t>Michael Lane:</t>
        </r>
        <r>
          <rPr>
            <sz val="9"/>
            <color indexed="81"/>
            <rFont val="Tahoma"/>
            <family val="2"/>
          </rPr>
          <t xml:space="preserve">
Changed Retrofit / TI / NC
</t>
        </r>
      </text>
    </comment>
    <comment ref="N119" authorId="0" shapeId="0">
      <text>
        <r>
          <rPr>
            <b/>
            <sz val="9"/>
            <color indexed="81"/>
            <rFont val="Tahoma"/>
            <family val="2"/>
          </rPr>
          <t>Michael lane:</t>
        </r>
        <r>
          <rPr>
            <sz val="9"/>
            <color indexed="81"/>
            <rFont val="Tahoma"/>
            <family val="2"/>
          </rPr>
          <t xml:space="preserve">
HVAC factor</t>
        </r>
      </text>
    </comment>
    <comment ref="M120" authorId="0" shapeId="0">
      <text>
        <r>
          <rPr>
            <b/>
            <sz val="9"/>
            <color indexed="81"/>
            <rFont val="Tahoma"/>
            <family val="2"/>
          </rPr>
          <t>Michael lane:</t>
        </r>
        <r>
          <rPr>
            <sz val="9"/>
            <color indexed="81"/>
            <rFont val="Tahoma"/>
            <family val="2"/>
          </rPr>
          <t xml:space="preserve">
Space Type incorrect due to Heat Type Change
</t>
        </r>
      </text>
    </comment>
    <comment ref="N120" authorId="0" shapeId="0">
      <text>
        <r>
          <rPr>
            <b/>
            <sz val="9"/>
            <color indexed="81"/>
            <rFont val="Tahoma"/>
            <family val="2"/>
          </rPr>
          <t>Michael lane:</t>
        </r>
        <r>
          <rPr>
            <sz val="9"/>
            <color indexed="81"/>
            <rFont val="Tahoma"/>
            <family val="2"/>
          </rPr>
          <t xml:space="preserve">
LPA</t>
        </r>
      </text>
    </comment>
    <comment ref="M124" authorId="1" shapeId="0">
      <text>
        <r>
          <rPr>
            <b/>
            <sz val="9"/>
            <color indexed="81"/>
            <rFont val="Tahoma"/>
            <family val="2"/>
          </rPr>
          <t>Michael Lane:</t>
        </r>
        <r>
          <rPr>
            <sz val="9"/>
            <color indexed="81"/>
            <rFont val="Tahoma"/>
            <family val="2"/>
          </rPr>
          <t xml:space="preserve">
Changed Retrofit / TI / NC
</t>
        </r>
      </text>
    </comment>
    <comment ref="N124" authorId="0" shapeId="0">
      <text>
        <r>
          <rPr>
            <b/>
            <sz val="9"/>
            <color indexed="81"/>
            <rFont val="Tahoma"/>
            <family val="2"/>
          </rPr>
          <t>Michael lane:</t>
        </r>
        <r>
          <rPr>
            <sz val="9"/>
            <color indexed="81"/>
            <rFont val="Tahoma"/>
            <family val="2"/>
          </rPr>
          <t xml:space="preserve">
HVAC factor</t>
        </r>
      </text>
    </comment>
    <comment ref="M125" authorId="0" shapeId="0">
      <text>
        <r>
          <rPr>
            <b/>
            <sz val="9"/>
            <color indexed="81"/>
            <rFont val="Tahoma"/>
            <family val="2"/>
          </rPr>
          <t>Michael lane:</t>
        </r>
        <r>
          <rPr>
            <sz val="9"/>
            <color indexed="81"/>
            <rFont val="Tahoma"/>
            <family val="2"/>
          </rPr>
          <t xml:space="preserve">
Space Type incorrect due to Heat Type Change
</t>
        </r>
      </text>
    </comment>
    <comment ref="N125" authorId="0" shapeId="0">
      <text>
        <r>
          <rPr>
            <b/>
            <sz val="9"/>
            <color indexed="81"/>
            <rFont val="Tahoma"/>
            <family val="2"/>
          </rPr>
          <t>Michael lane:</t>
        </r>
        <r>
          <rPr>
            <sz val="9"/>
            <color indexed="81"/>
            <rFont val="Tahoma"/>
            <family val="2"/>
          </rPr>
          <t xml:space="preserve">
LPA</t>
        </r>
      </text>
    </comment>
    <comment ref="M129" authorId="1" shapeId="0">
      <text>
        <r>
          <rPr>
            <b/>
            <sz val="9"/>
            <color indexed="81"/>
            <rFont val="Tahoma"/>
            <family val="2"/>
          </rPr>
          <t>Michael Lane:</t>
        </r>
        <r>
          <rPr>
            <sz val="9"/>
            <color indexed="81"/>
            <rFont val="Tahoma"/>
            <family val="2"/>
          </rPr>
          <t xml:space="preserve">
Changed Retrofit / TI / NC
</t>
        </r>
      </text>
    </comment>
    <comment ref="N129" authorId="0" shapeId="0">
      <text>
        <r>
          <rPr>
            <b/>
            <sz val="9"/>
            <color indexed="81"/>
            <rFont val="Tahoma"/>
            <family val="2"/>
          </rPr>
          <t>Michael lane:</t>
        </r>
        <r>
          <rPr>
            <sz val="9"/>
            <color indexed="81"/>
            <rFont val="Tahoma"/>
            <family val="2"/>
          </rPr>
          <t xml:space="preserve">
HVAC factor</t>
        </r>
      </text>
    </comment>
    <comment ref="M130" authorId="0" shapeId="0">
      <text>
        <r>
          <rPr>
            <b/>
            <sz val="9"/>
            <color indexed="81"/>
            <rFont val="Tahoma"/>
            <family val="2"/>
          </rPr>
          <t>Michael lane:</t>
        </r>
        <r>
          <rPr>
            <sz val="9"/>
            <color indexed="81"/>
            <rFont val="Tahoma"/>
            <family val="2"/>
          </rPr>
          <t xml:space="preserve">
Space Type incorrect due to Heat Type Change
</t>
        </r>
      </text>
    </comment>
    <comment ref="N130" authorId="0" shapeId="0">
      <text>
        <r>
          <rPr>
            <b/>
            <sz val="9"/>
            <color indexed="81"/>
            <rFont val="Tahoma"/>
            <family val="2"/>
          </rPr>
          <t>Michael lane:</t>
        </r>
        <r>
          <rPr>
            <sz val="9"/>
            <color indexed="81"/>
            <rFont val="Tahoma"/>
            <family val="2"/>
          </rPr>
          <t xml:space="preserve">
LPA</t>
        </r>
      </text>
    </comment>
    <comment ref="M134" authorId="1" shapeId="0">
      <text>
        <r>
          <rPr>
            <b/>
            <sz val="9"/>
            <color indexed="81"/>
            <rFont val="Tahoma"/>
            <family val="2"/>
          </rPr>
          <t>Michael Lane:</t>
        </r>
        <r>
          <rPr>
            <sz val="9"/>
            <color indexed="81"/>
            <rFont val="Tahoma"/>
            <family val="2"/>
          </rPr>
          <t xml:space="preserve">
Changed Retrofit / TI / NC
</t>
        </r>
      </text>
    </comment>
    <comment ref="N134" authorId="0" shapeId="0">
      <text>
        <r>
          <rPr>
            <b/>
            <sz val="9"/>
            <color indexed="81"/>
            <rFont val="Tahoma"/>
            <family val="2"/>
          </rPr>
          <t>Michael lane:</t>
        </r>
        <r>
          <rPr>
            <sz val="9"/>
            <color indexed="81"/>
            <rFont val="Tahoma"/>
            <family val="2"/>
          </rPr>
          <t xml:space="preserve">
HVAC factor</t>
        </r>
      </text>
    </comment>
    <comment ref="M135" authorId="0" shapeId="0">
      <text>
        <r>
          <rPr>
            <b/>
            <sz val="9"/>
            <color indexed="81"/>
            <rFont val="Tahoma"/>
            <family val="2"/>
          </rPr>
          <t>Michael lane:</t>
        </r>
        <r>
          <rPr>
            <sz val="9"/>
            <color indexed="81"/>
            <rFont val="Tahoma"/>
            <family val="2"/>
          </rPr>
          <t xml:space="preserve">
Space Type incorrect due to Heat Type Change
</t>
        </r>
      </text>
    </comment>
    <comment ref="N135" authorId="0" shapeId="0">
      <text>
        <r>
          <rPr>
            <b/>
            <sz val="9"/>
            <color indexed="81"/>
            <rFont val="Tahoma"/>
            <family val="2"/>
          </rPr>
          <t>Michael lane:</t>
        </r>
        <r>
          <rPr>
            <sz val="9"/>
            <color indexed="81"/>
            <rFont val="Tahoma"/>
            <family val="2"/>
          </rPr>
          <t xml:space="preserve">
LPA</t>
        </r>
      </text>
    </comment>
    <comment ref="M139" authorId="1" shapeId="0">
      <text>
        <r>
          <rPr>
            <b/>
            <sz val="9"/>
            <color indexed="81"/>
            <rFont val="Tahoma"/>
            <family val="2"/>
          </rPr>
          <t>Michael Lane:</t>
        </r>
        <r>
          <rPr>
            <sz val="9"/>
            <color indexed="81"/>
            <rFont val="Tahoma"/>
            <family val="2"/>
          </rPr>
          <t xml:space="preserve">
Changed Retrofit / TI / NC
</t>
        </r>
      </text>
    </comment>
    <comment ref="N139" authorId="0" shapeId="0">
      <text>
        <r>
          <rPr>
            <b/>
            <sz val="9"/>
            <color indexed="81"/>
            <rFont val="Tahoma"/>
            <family val="2"/>
          </rPr>
          <t>Michael lane:</t>
        </r>
        <r>
          <rPr>
            <sz val="9"/>
            <color indexed="81"/>
            <rFont val="Tahoma"/>
            <family val="2"/>
          </rPr>
          <t xml:space="preserve">
HVAC factor</t>
        </r>
      </text>
    </comment>
    <comment ref="M140" authorId="0" shapeId="0">
      <text>
        <r>
          <rPr>
            <b/>
            <sz val="9"/>
            <color indexed="81"/>
            <rFont val="Tahoma"/>
            <family val="2"/>
          </rPr>
          <t>Michael lane:</t>
        </r>
        <r>
          <rPr>
            <sz val="9"/>
            <color indexed="81"/>
            <rFont val="Tahoma"/>
            <family val="2"/>
          </rPr>
          <t xml:space="preserve">
Space Type incorrect due to Heat Type Change
</t>
        </r>
      </text>
    </comment>
    <comment ref="N140" authorId="0" shapeId="0">
      <text>
        <r>
          <rPr>
            <b/>
            <sz val="9"/>
            <color indexed="81"/>
            <rFont val="Tahoma"/>
            <family val="2"/>
          </rPr>
          <t>Michael lane:</t>
        </r>
        <r>
          <rPr>
            <sz val="9"/>
            <color indexed="81"/>
            <rFont val="Tahoma"/>
            <family val="2"/>
          </rPr>
          <t xml:space="preserve">
LPA</t>
        </r>
      </text>
    </comment>
    <comment ref="M144" authorId="1" shapeId="0">
      <text>
        <r>
          <rPr>
            <b/>
            <sz val="9"/>
            <color indexed="81"/>
            <rFont val="Tahoma"/>
            <family val="2"/>
          </rPr>
          <t>Michael Lane:</t>
        </r>
        <r>
          <rPr>
            <sz val="9"/>
            <color indexed="81"/>
            <rFont val="Tahoma"/>
            <family val="2"/>
          </rPr>
          <t xml:space="preserve">
Changed Retrofit / TI / NC
</t>
        </r>
      </text>
    </comment>
    <comment ref="N144" authorId="0" shapeId="0">
      <text>
        <r>
          <rPr>
            <b/>
            <sz val="9"/>
            <color indexed="81"/>
            <rFont val="Tahoma"/>
            <family val="2"/>
          </rPr>
          <t>Michael lane:</t>
        </r>
        <r>
          <rPr>
            <sz val="9"/>
            <color indexed="81"/>
            <rFont val="Tahoma"/>
            <family val="2"/>
          </rPr>
          <t xml:space="preserve">
HVAC factor</t>
        </r>
      </text>
    </comment>
    <comment ref="M145" authorId="0" shapeId="0">
      <text>
        <r>
          <rPr>
            <b/>
            <sz val="9"/>
            <color indexed="81"/>
            <rFont val="Tahoma"/>
            <family val="2"/>
          </rPr>
          <t>Michael lane:</t>
        </r>
        <r>
          <rPr>
            <sz val="9"/>
            <color indexed="81"/>
            <rFont val="Tahoma"/>
            <family val="2"/>
          </rPr>
          <t xml:space="preserve">
Space Type incorrect due to Heat Type Change
</t>
        </r>
      </text>
    </comment>
    <comment ref="N145" authorId="0" shapeId="0">
      <text>
        <r>
          <rPr>
            <b/>
            <sz val="9"/>
            <color indexed="81"/>
            <rFont val="Tahoma"/>
            <family val="2"/>
          </rPr>
          <t>Michael lane:</t>
        </r>
        <r>
          <rPr>
            <sz val="9"/>
            <color indexed="81"/>
            <rFont val="Tahoma"/>
            <family val="2"/>
          </rPr>
          <t xml:space="preserve">
LPA</t>
        </r>
      </text>
    </comment>
    <comment ref="M149" authorId="1" shapeId="0">
      <text>
        <r>
          <rPr>
            <b/>
            <sz val="9"/>
            <color indexed="81"/>
            <rFont val="Tahoma"/>
            <family val="2"/>
          </rPr>
          <t>Michael Lane:</t>
        </r>
        <r>
          <rPr>
            <sz val="9"/>
            <color indexed="81"/>
            <rFont val="Tahoma"/>
            <family val="2"/>
          </rPr>
          <t xml:space="preserve">
Changed Retrofit / TI / NC
</t>
        </r>
      </text>
    </comment>
    <comment ref="N149" authorId="0" shapeId="0">
      <text>
        <r>
          <rPr>
            <b/>
            <sz val="9"/>
            <color indexed="81"/>
            <rFont val="Tahoma"/>
            <family val="2"/>
          </rPr>
          <t>Michael lane:</t>
        </r>
        <r>
          <rPr>
            <sz val="9"/>
            <color indexed="81"/>
            <rFont val="Tahoma"/>
            <family val="2"/>
          </rPr>
          <t xml:space="preserve">
HVAC factor</t>
        </r>
      </text>
    </comment>
    <comment ref="M150" authorId="0" shapeId="0">
      <text>
        <r>
          <rPr>
            <b/>
            <sz val="9"/>
            <color indexed="81"/>
            <rFont val="Tahoma"/>
            <family val="2"/>
          </rPr>
          <t>Michael lane:</t>
        </r>
        <r>
          <rPr>
            <sz val="9"/>
            <color indexed="81"/>
            <rFont val="Tahoma"/>
            <family val="2"/>
          </rPr>
          <t xml:space="preserve">
Space Type incorrect due to Heat Type Change
</t>
        </r>
      </text>
    </comment>
    <comment ref="N150" authorId="0" shapeId="0">
      <text>
        <r>
          <rPr>
            <b/>
            <sz val="9"/>
            <color indexed="81"/>
            <rFont val="Tahoma"/>
            <family val="2"/>
          </rPr>
          <t>Michael lane:</t>
        </r>
        <r>
          <rPr>
            <sz val="9"/>
            <color indexed="81"/>
            <rFont val="Tahoma"/>
            <family val="2"/>
          </rPr>
          <t xml:space="preserve">
LPA</t>
        </r>
      </text>
    </comment>
    <comment ref="M154" authorId="1" shapeId="0">
      <text>
        <r>
          <rPr>
            <b/>
            <sz val="9"/>
            <color indexed="81"/>
            <rFont val="Tahoma"/>
            <family val="2"/>
          </rPr>
          <t>Michael Lane:</t>
        </r>
        <r>
          <rPr>
            <sz val="9"/>
            <color indexed="81"/>
            <rFont val="Tahoma"/>
            <family val="2"/>
          </rPr>
          <t xml:space="preserve">
Changed Retrofit / TI / NC
</t>
        </r>
      </text>
    </comment>
    <comment ref="N154" authorId="0" shapeId="0">
      <text>
        <r>
          <rPr>
            <b/>
            <sz val="9"/>
            <color indexed="81"/>
            <rFont val="Tahoma"/>
            <family val="2"/>
          </rPr>
          <t>Michael lane:</t>
        </r>
        <r>
          <rPr>
            <sz val="9"/>
            <color indexed="81"/>
            <rFont val="Tahoma"/>
            <family val="2"/>
          </rPr>
          <t xml:space="preserve">
HVAC factor</t>
        </r>
      </text>
    </comment>
    <comment ref="M155" authorId="0" shapeId="0">
      <text>
        <r>
          <rPr>
            <b/>
            <sz val="9"/>
            <color indexed="81"/>
            <rFont val="Tahoma"/>
            <family val="2"/>
          </rPr>
          <t>Michael lane:</t>
        </r>
        <r>
          <rPr>
            <sz val="9"/>
            <color indexed="81"/>
            <rFont val="Tahoma"/>
            <family val="2"/>
          </rPr>
          <t xml:space="preserve">
Space Type incorrect due to Heat Type Change
</t>
        </r>
      </text>
    </comment>
    <comment ref="N155" authorId="0" shapeId="0">
      <text>
        <r>
          <rPr>
            <b/>
            <sz val="9"/>
            <color indexed="81"/>
            <rFont val="Tahoma"/>
            <family val="2"/>
          </rPr>
          <t>Michael lane:</t>
        </r>
        <r>
          <rPr>
            <sz val="9"/>
            <color indexed="81"/>
            <rFont val="Tahoma"/>
            <family val="2"/>
          </rPr>
          <t xml:space="preserve">
LPA</t>
        </r>
      </text>
    </comment>
    <comment ref="M159" authorId="1" shapeId="0">
      <text>
        <r>
          <rPr>
            <b/>
            <sz val="9"/>
            <color indexed="81"/>
            <rFont val="Tahoma"/>
            <family val="2"/>
          </rPr>
          <t>Michael Lane:</t>
        </r>
        <r>
          <rPr>
            <sz val="9"/>
            <color indexed="81"/>
            <rFont val="Tahoma"/>
            <family val="2"/>
          </rPr>
          <t xml:space="preserve">
Changed Retrofit / TI / NC
</t>
        </r>
      </text>
    </comment>
    <comment ref="N159" authorId="0" shapeId="0">
      <text>
        <r>
          <rPr>
            <b/>
            <sz val="9"/>
            <color indexed="81"/>
            <rFont val="Tahoma"/>
            <family val="2"/>
          </rPr>
          <t>Michael lane:</t>
        </r>
        <r>
          <rPr>
            <sz val="9"/>
            <color indexed="81"/>
            <rFont val="Tahoma"/>
            <family val="2"/>
          </rPr>
          <t xml:space="preserve">
HVAC factor</t>
        </r>
      </text>
    </comment>
    <comment ref="M160" authorId="0" shapeId="0">
      <text>
        <r>
          <rPr>
            <b/>
            <sz val="9"/>
            <color indexed="81"/>
            <rFont val="Tahoma"/>
            <family val="2"/>
          </rPr>
          <t>Michael lane:</t>
        </r>
        <r>
          <rPr>
            <sz val="9"/>
            <color indexed="81"/>
            <rFont val="Tahoma"/>
            <family val="2"/>
          </rPr>
          <t xml:space="preserve">
Space Type incorrect due to Heat Type Change
</t>
        </r>
      </text>
    </comment>
    <comment ref="N160" authorId="0" shapeId="0">
      <text>
        <r>
          <rPr>
            <b/>
            <sz val="9"/>
            <color indexed="81"/>
            <rFont val="Tahoma"/>
            <family val="2"/>
          </rPr>
          <t>Michael lane:</t>
        </r>
        <r>
          <rPr>
            <sz val="9"/>
            <color indexed="81"/>
            <rFont val="Tahoma"/>
            <family val="2"/>
          </rPr>
          <t xml:space="preserve">
LPA</t>
        </r>
      </text>
    </comment>
    <comment ref="M164" authorId="1" shapeId="0">
      <text>
        <r>
          <rPr>
            <b/>
            <sz val="9"/>
            <color indexed="81"/>
            <rFont val="Tahoma"/>
            <family val="2"/>
          </rPr>
          <t>Michael Lane:</t>
        </r>
        <r>
          <rPr>
            <sz val="9"/>
            <color indexed="81"/>
            <rFont val="Tahoma"/>
            <family val="2"/>
          </rPr>
          <t xml:space="preserve">
Changed Retrofit / TI / NC
</t>
        </r>
      </text>
    </comment>
    <comment ref="N164" authorId="0" shapeId="0">
      <text>
        <r>
          <rPr>
            <b/>
            <sz val="9"/>
            <color indexed="81"/>
            <rFont val="Tahoma"/>
            <family val="2"/>
          </rPr>
          <t>Michael lane:</t>
        </r>
        <r>
          <rPr>
            <sz val="9"/>
            <color indexed="81"/>
            <rFont val="Tahoma"/>
            <family val="2"/>
          </rPr>
          <t xml:space="preserve">
HVAC factor</t>
        </r>
      </text>
    </comment>
    <comment ref="M165" authorId="0" shapeId="0">
      <text>
        <r>
          <rPr>
            <b/>
            <sz val="9"/>
            <color indexed="81"/>
            <rFont val="Tahoma"/>
            <family val="2"/>
          </rPr>
          <t>Michael lane:</t>
        </r>
        <r>
          <rPr>
            <sz val="9"/>
            <color indexed="81"/>
            <rFont val="Tahoma"/>
            <family val="2"/>
          </rPr>
          <t xml:space="preserve">
Space Type incorrect due to Heat Type Change
</t>
        </r>
      </text>
    </comment>
    <comment ref="N165" authorId="0" shapeId="0">
      <text>
        <r>
          <rPr>
            <b/>
            <sz val="9"/>
            <color indexed="81"/>
            <rFont val="Tahoma"/>
            <family val="2"/>
          </rPr>
          <t>Michael lane:</t>
        </r>
        <r>
          <rPr>
            <sz val="9"/>
            <color indexed="81"/>
            <rFont val="Tahoma"/>
            <family val="2"/>
          </rPr>
          <t xml:space="preserve">
LPA</t>
        </r>
      </text>
    </comment>
    <comment ref="M172" authorId="1" shapeId="0">
      <text>
        <r>
          <rPr>
            <b/>
            <sz val="9"/>
            <color indexed="81"/>
            <rFont val="Tahoma"/>
            <family val="2"/>
          </rPr>
          <t>Michael Lane:</t>
        </r>
        <r>
          <rPr>
            <sz val="9"/>
            <color indexed="81"/>
            <rFont val="Tahoma"/>
            <family val="2"/>
          </rPr>
          <t xml:space="preserve">
Changed Retrofit / TI / NC
</t>
        </r>
      </text>
    </comment>
    <comment ref="N172" authorId="0" shapeId="0">
      <text>
        <r>
          <rPr>
            <b/>
            <sz val="9"/>
            <color indexed="81"/>
            <rFont val="Tahoma"/>
            <family val="2"/>
          </rPr>
          <t>Michael lane:</t>
        </r>
        <r>
          <rPr>
            <sz val="9"/>
            <color indexed="81"/>
            <rFont val="Tahoma"/>
            <family val="2"/>
          </rPr>
          <t xml:space="preserve">
HVAC factor</t>
        </r>
      </text>
    </comment>
    <comment ref="M173" authorId="0" shapeId="0">
      <text>
        <r>
          <rPr>
            <b/>
            <sz val="9"/>
            <color indexed="81"/>
            <rFont val="Tahoma"/>
            <family val="2"/>
          </rPr>
          <t>Michael lane:</t>
        </r>
        <r>
          <rPr>
            <sz val="9"/>
            <color indexed="81"/>
            <rFont val="Tahoma"/>
            <family val="2"/>
          </rPr>
          <t xml:space="preserve">
Space Type incorrect due to Heat Type Change
</t>
        </r>
      </text>
    </comment>
    <comment ref="N173" authorId="0" shapeId="0">
      <text>
        <r>
          <rPr>
            <b/>
            <sz val="9"/>
            <color indexed="81"/>
            <rFont val="Tahoma"/>
            <family val="2"/>
          </rPr>
          <t>Michael lane:</t>
        </r>
        <r>
          <rPr>
            <sz val="9"/>
            <color indexed="81"/>
            <rFont val="Tahoma"/>
            <family val="2"/>
          </rPr>
          <t xml:space="preserve">
LPA</t>
        </r>
      </text>
    </comment>
    <comment ref="M177" authorId="1" shapeId="0">
      <text>
        <r>
          <rPr>
            <b/>
            <sz val="9"/>
            <color indexed="81"/>
            <rFont val="Tahoma"/>
            <family val="2"/>
          </rPr>
          <t>Michael Lane:</t>
        </r>
        <r>
          <rPr>
            <sz val="9"/>
            <color indexed="81"/>
            <rFont val="Tahoma"/>
            <family val="2"/>
          </rPr>
          <t xml:space="preserve">
Changed Retrofit / TI / NC
</t>
        </r>
      </text>
    </comment>
    <comment ref="N177" authorId="0" shapeId="0">
      <text>
        <r>
          <rPr>
            <b/>
            <sz val="9"/>
            <color indexed="81"/>
            <rFont val="Tahoma"/>
            <family val="2"/>
          </rPr>
          <t>Michael lane:</t>
        </r>
        <r>
          <rPr>
            <sz val="9"/>
            <color indexed="81"/>
            <rFont val="Tahoma"/>
            <family val="2"/>
          </rPr>
          <t xml:space="preserve">
HVAC factor</t>
        </r>
      </text>
    </comment>
    <comment ref="M178" authorId="0" shapeId="0">
      <text>
        <r>
          <rPr>
            <b/>
            <sz val="9"/>
            <color indexed="81"/>
            <rFont val="Tahoma"/>
            <family val="2"/>
          </rPr>
          <t>Michael lane:</t>
        </r>
        <r>
          <rPr>
            <sz val="9"/>
            <color indexed="81"/>
            <rFont val="Tahoma"/>
            <family val="2"/>
          </rPr>
          <t xml:space="preserve">
Space Type incorrect due to Heat Type Change
</t>
        </r>
      </text>
    </comment>
    <comment ref="N178" authorId="0" shapeId="0">
      <text>
        <r>
          <rPr>
            <b/>
            <sz val="9"/>
            <color indexed="81"/>
            <rFont val="Tahoma"/>
            <family val="2"/>
          </rPr>
          <t>Michael lane:</t>
        </r>
        <r>
          <rPr>
            <sz val="9"/>
            <color indexed="81"/>
            <rFont val="Tahoma"/>
            <family val="2"/>
          </rPr>
          <t xml:space="preserve">
LPA</t>
        </r>
      </text>
    </comment>
    <comment ref="M182" authorId="1" shapeId="0">
      <text>
        <r>
          <rPr>
            <b/>
            <sz val="9"/>
            <color indexed="81"/>
            <rFont val="Tahoma"/>
            <family val="2"/>
          </rPr>
          <t>Michael Lane:</t>
        </r>
        <r>
          <rPr>
            <sz val="9"/>
            <color indexed="81"/>
            <rFont val="Tahoma"/>
            <family val="2"/>
          </rPr>
          <t xml:space="preserve">
Changed Retrofit / TI / NC
</t>
        </r>
      </text>
    </comment>
    <comment ref="N182" authorId="0" shapeId="0">
      <text>
        <r>
          <rPr>
            <b/>
            <sz val="9"/>
            <color indexed="81"/>
            <rFont val="Tahoma"/>
            <family val="2"/>
          </rPr>
          <t>Michael lane:</t>
        </r>
        <r>
          <rPr>
            <sz val="9"/>
            <color indexed="81"/>
            <rFont val="Tahoma"/>
            <family val="2"/>
          </rPr>
          <t xml:space="preserve">
HVAC factor</t>
        </r>
      </text>
    </comment>
    <comment ref="M183" authorId="0" shapeId="0">
      <text>
        <r>
          <rPr>
            <b/>
            <sz val="9"/>
            <color indexed="81"/>
            <rFont val="Tahoma"/>
            <family val="2"/>
          </rPr>
          <t>Michael lane:</t>
        </r>
        <r>
          <rPr>
            <sz val="9"/>
            <color indexed="81"/>
            <rFont val="Tahoma"/>
            <family val="2"/>
          </rPr>
          <t xml:space="preserve">
Space Type incorrect due to Heat Type Change
</t>
        </r>
      </text>
    </comment>
    <comment ref="N183" authorId="0" shapeId="0">
      <text>
        <r>
          <rPr>
            <b/>
            <sz val="9"/>
            <color indexed="81"/>
            <rFont val="Tahoma"/>
            <family val="2"/>
          </rPr>
          <t>Michael lane:</t>
        </r>
        <r>
          <rPr>
            <sz val="9"/>
            <color indexed="81"/>
            <rFont val="Tahoma"/>
            <family val="2"/>
          </rPr>
          <t xml:space="preserve">
LPA</t>
        </r>
      </text>
    </comment>
    <comment ref="M187" authorId="1" shapeId="0">
      <text>
        <r>
          <rPr>
            <b/>
            <sz val="9"/>
            <color indexed="81"/>
            <rFont val="Tahoma"/>
            <family val="2"/>
          </rPr>
          <t>Michael Lane:</t>
        </r>
        <r>
          <rPr>
            <sz val="9"/>
            <color indexed="81"/>
            <rFont val="Tahoma"/>
            <family val="2"/>
          </rPr>
          <t xml:space="preserve">
Changed Retrofit / TI / NC
</t>
        </r>
      </text>
    </comment>
    <comment ref="N187" authorId="0" shapeId="0">
      <text>
        <r>
          <rPr>
            <b/>
            <sz val="9"/>
            <color indexed="81"/>
            <rFont val="Tahoma"/>
            <family val="2"/>
          </rPr>
          <t>Michael lane:</t>
        </r>
        <r>
          <rPr>
            <sz val="9"/>
            <color indexed="81"/>
            <rFont val="Tahoma"/>
            <family val="2"/>
          </rPr>
          <t xml:space="preserve">
HVAC factor</t>
        </r>
      </text>
    </comment>
    <comment ref="M188" authorId="0" shapeId="0">
      <text>
        <r>
          <rPr>
            <b/>
            <sz val="9"/>
            <color indexed="81"/>
            <rFont val="Tahoma"/>
            <family val="2"/>
          </rPr>
          <t>Michael lane:</t>
        </r>
        <r>
          <rPr>
            <sz val="9"/>
            <color indexed="81"/>
            <rFont val="Tahoma"/>
            <family val="2"/>
          </rPr>
          <t xml:space="preserve">
Space Type incorrect due to Heat Type Change
</t>
        </r>
      </text>
    </comment>
    <comment ref="N188" authorId="0" shapeId="0">
      <text>
        <r>
          <rPr>
            <b/>
            <sz val="9"/>
            <color indexed="81"/>
            <rFont val="Tahoma"/>
            <family val="2"/>
          </rPr>
          <t>Michael lane:</t>
        </r>
        <r>
          <rPr>
            <sz val="9"/>
            <color indexed="81"/>
            <rFont val="Tahoma"/>
            <family val="2"/>
          </rPr>
          <t xml:space="preserve">
LPA</t>
        </r>
      </text>
    </comment>
    <comment ref="M192" authorId="1" shapeId="0">
      <text>
        <r>
          <rPr>
            <b/>
            <sz val="9"/>
            <color indexed="81"/>
            <rFont val="Tahoma"/>
            <family val="2"/>
          </rPr>
          <t>Michael Lane:</t>
        </r>
        <r>
          <rPr>
            <sz val="9"/>
            <color indexed="81"/>
            <rFont val="Tahoma"/>
            <family val="2"/>
          </rPr>
          <t xml:space="preserve">
Changed Retrofit / TI / NC
</t>
        </r>
      </text>
    </comment>
    <comment ref="N192" authorId="0" shapeId="0">
      <text>
        <r>
          <rPr>
            <b/>
            <sz val="9"/>
            <color indexed="81"/>
            <rFont val="Tahoma"/>
            <family val="2"/>
          </rPr>
          <t>Michael lane:</t>
        </r>
        <r>
          <rPr>
            <sz val="9"/>
            <color indexed="81"/>
            <rFont val="Tahoma"/>
            <family val="2"/>
          </rPr>
          <t xml:space="preserve">
HVAC factor</t>
        </r>
      </text>
    </comment>
    <comment ref="M193" authorId="0" shapeId="0">
      <text>
        <r>
          <rPr>
            <b/>
            <sz val="9"/>
            <color indexed="81"/>
            <rFont val="Tahoma"/>
            <family val="2"/>
          </rPr>
          <t>Michael lane:</t>
        </r>
        <r>
          <rPr>
            <sz val="9"/>
            <color indexed="81"/>
            <rFont val="Tahoma"/>
            <family val="2"/>
          </rPr>
          <t xml:space="preserve">
Space Type incorrect due to Heat Type Change
</t>
        </r>
      </text>
    </comment>
    <comment ref="N193" authorId="0" shapeId="0">
      <text>
        <r>
          <rPr>
            <b/>
            <sz val="9"/>
            <color indexed="81"/>
            <rFont val="Tahoma"/>
            <family val="2"/>
          </rPr>
          <t>Michael lane:</t>
        </r>
        <r>
          <rPr>
            <sz val="9"/>
            <color indexed="81"/>
            <rFont val="Tahoma"/>
            <family val="2"/>
          </rPr>
          <t xml:space="preserve">
LPA</t>
        </r>
      </text>
    </comment>
    <comment ref="M197" authorId="1" shapeId="0">
      <text>
        <r>
          <rPr>
            <b/>
            <sz val="9"/>
            <color indexed="81"/>
            <rFont val="Tahoma"/>
            <family val="2"/>
          </rPr>
          <t>Michael Lane:</t>
        </r>
        <r>
          <rPr>
            <sz val="9"/>
            <color indexed="81"/>
            <rFont val="Tahoma"/>
            <family val="2"/>
          </rPr>
          <t xml:space="preserve">
Changed Retrofit / TI / NC
</t>
        </r>
      </text>
    </comment>
    <comment ref="N197" authorId="0" shapeId="0">
      <text>
        <r>
          <rPr>
            <b/>
            <sz val="9"/>
            <color indexed="81"/>
            <rFont val="Tahoma"/>
            <family val="2"/>
          </rPr>
          <t>Michael lane:</t>
        </r>
        <r>
          <rPr>
            <sz val="9"/>
            <color indexed="81"/>
            <rFont val="Tahoma"/>
            <family val="2"/>
          </rPr>
          <t xml:space="preserve">
HVAC factor</t>
        </r>
      </text>
    </comment>
    <comment ref="M198" authorId="0" shapeId="0">
      <text>
        <r>
          <rPr>
            <b/>
            <sz val="9"/>
            <color indexed="81"/>
            <rFont val="Tahoma"/>
            <family val="2"/>
          </rPr>
          <t>Michael lane:</t>
        </r>
        <r>
          <rPr>
            <sz val="9"/>
            <color indexed="81"/>
            <rFont val="Tahoma"/>
            <family val="2"/>
          </rPr>
          <t xml:space="preserve">
Space Type incorrect due to Heat Type Change
</t>
        </r>
      </text>
    </comment>
    <comment ref="N198" authorId="0" shapeId="0">
      <text>
        <r>
          <rPr>
            <b/>
            <sz val="9"/>
            <color indexed="81"/>
            <rFont val="Tahoma"/>
            <family val="2"/>
          </rPr>
          <t>Michael lane:</t>
        </r>
        <r>
          <rPr>
            <sz val="9"/>
            <color indexed="81"/>
            <rFont val="Tahoma"/>
            <family val="2"/>
          </rPr>
          <t xml:space="preserve">
LPA</t>
        </r>
      </text>
    </comment>
    <comment ref="M202" authorId="1" shapeId="0">
      <text>
        <r>
          <rPr>
            <b/>
            <sz val="9"/>
            <color indexed="81"/>
            <rFont val="Tahoma"/>
            <family val="2"/>
          </rPr>
          <t>Michael Lane:</t>
        </r>
        <r>
          <rPr>
            <sz val="9"/>
            <color indexed="81"/>
            <rFont val="Tahoma"/>
            <family val="2"/>
          </rPr>
          <t xml:space="preserve">
Changed Retrofit / TI / NC
</t>
        </r>
      </text>
    </comment>
    <comment ref="N202" authorId="0" shapeId="0">
      <text>
        <r>
          <rPr>
            <b/>
            <sz val="9"/>
            <color indexed="81"/>
            <rFont val="Tahoma"/>
            <family val="2"/>
          </rPr>
          <t>Michael lane:</t>
        </r>
        <r>
          <rPr>
            <sz val="9"/>
            <color indexed="81"/>
            <rFont val="Tahoma"/>
            <family val="2"/>
          </rPr>
          <t xml:space="preserve">
HVAC factor</t>
        </r>
      </text>
    </comment>
    <comment ref="M203" authorId="0" shapeId="0">
      <text>
        <r>
          <rPr>
            <b/>
            <sz val="9"/>
            <color indexed="81"/>
            <rFont val="Tahoma"/>
            <family val="2"/>
          </rPr>
          <t>Michael lane:</t>
        </r>
        <r>
          <rPr>
            <sz val="9"/>
            <color indexed="81"/>
            <rFont val="Tahoma"/>
            <family val="2"/>
          </rPr>
          <t xml:space="preserve">
Space Type incorrect due to Heat Type Change
</t>
        </r>
      </text>
    </comment>
    <comment ref="N203" authorId="0" shapeId="0">
      <text>
        <r>
          <rPr>
            <b/>
            <sz val="9"/>
            <color indexed="81"/>
            <rFont val="Tahoma"/>
            <family val="2"/>
          </rPr>
          <t>Michael lane:</t>
        </r>
        <r>
          <rPr>
            <sz val="9"/>
            <color indexed="81"/>
            <rFont val="Tahoma"/>
            <family val="2"/>
          </rPr>
          <t xml:space="preserve">
LPA</t>
        </r>
      </text>
    </comment>
    <comment ref="M207" authorId="1" shapeId="0">
      <text>
        <r>
          <rPr>
            <b/>
            <sz val="9"/>
            <color indexed="81"/>
            <rFont val="Tahoma"/>
            <family val="2"/>
          </rPr>
          <t>Michael Lane:</t>
        </r>
        <r>
          <rPr>
            <sz val="9"/>
            <color indexed="81"/>
            <rFont val="Tahoma"/>
            <family val="2"/>
          </rPr>
          <t xml:space="preserve">
Changed Retrofit / TI / NC
</t>
        </r>
      </text>
    </comment>
    <comment ref="N207" authorId="0" shapeId="0">
      <text>
        <r>
          <rPr>
            <b/>
            <sz val="9"/>
            <color indexed="81"/>
            <rFont val="Tahoma"/>
            <family val="2"/>
          </rPr>
          <t>Michael lane:</t>
        </r>
        <r>
          <rPr>
            <sz val="9"/>
            <color indexed="81"/>
            <rFont val="Tahoma"/>
            <family val="2"/>
          </rPr>
          <t xml:space="preserve">
HVAC factor</t>
        </r>
      </text>
    </comment>
    <comment ref="M208" authorId="0" shapeId="0">
      <text>
        <r>
          <rPr>
            <b/>
            <sz val="9"/>
            <color indexed="81"/>
            <rFont val="Tahoma"/>
            <family val="2"/>
          </rPr>
          <t>Michael lane:</t>
        </r>
        <r>
          <rPr>
            <sz val="9"/>
            <color indexed="81"/>
            <rFont val="Tahoma"/>
            <family val="2"/>
          </rPr>
          <t xml:space="preserve">
Space Type incorrect due to Heat Type Change
</t>
        </r>
      </text>
    </comment>
    <comment ref="N208" authorId="0" shapeId="0">
      <text>
        <r>
          <rPr>
            <b/>
            <sz val="9"/>
            <color indexed="81"/>
            <rFont val="Tahoma"/>
            <family val="2"/>
          </rPr>
          <t>Michael lane:</t>
        </r>
        <r>
          <rPr>
            <sz val="9"/>
            <color indexed="81"/>
            <rFont val="Tahoma"/>
            <family val="2"/>
          </rPr>
          <t xml:space="preserve">
LPA</t>
        </r>
      </text>
    </comment>
    <comment ref="M212" authorId="1" shapeId="0">
      <text>
        <r>
          <rPr>
            <b/>
            <sz val="9"/>
            <color indexed="81"/>
            <rFont val="Tahoma"/>
            <family val="2"/>
          </rPr>
          <t>Michael Lane:</t>
        </r>
        <r>
          <rPr>
            <sz val="9"/>
            <color indexed="81"/>
            <rFont val="Tahoma"/>
            <family val="2"/>
          </rPr>
          <t xml:space="preserve">
Changed Retrofit / TI / NC
</t>
        </r>
      </text>
    </comment>
    <comment ref="N212" authorId="0" shapeId="0">
      <text>
        <r>
          <rPr>
            <b/>
            <sz val="9"/>
            <color indexed="81"/>
            <rFont val="Tahoma"/>
            <family val="2"/>
          </rPr>
          <t>Michael lane:</t>
        </r>
        <r>
          <rPr>
            <sz val="9"/>
            <color indexed="81"/>
            <rFont val="Tahoma"/>
            <family val="2"/>
          </rPr>
          <t xml:space="preserve">
HVAC factor</t>
        </r>
      </text>
    </comment>
    <comment ref="M213" authorId="0" shapeId="0">
      <text>
        <r>
          <rPr>
            <b/>
            <sz val="9"/>
            <color indexed="81"/>
            <rFont val="Tahoma"/>
            <family val="2"/>
          </rPr>
          <t>Michael lane:</t>
        </r>
        <r>
          <rPr>
            <sz val="9"/>
            <color indexed="81"/>
            <rFont val="Tahoma"/>
            <family val="2"/>
          </rPr>
          <t xml:space="preserve">
Space Type incorrect due to Heat Type Change
</t>
        </r>
      </text>
    </comment>
    <comment ref="N213" authorId="0" shapeId="0">
      <text>
        <r>
          <rPr>
            <b/>
            <sz val="9"/>
            <color indexed="81"/>
            <rFont val="Tahoma"/>
            <family val="2"/>
          </rPr>
          <t>Michael lane:</t>
        </r>
        <r>
          <rPr>
            <sz val="9"/>
            <color indexed="81"/>
            <rFont val="Tahoma"/>
            <family val="2"/>
          </rPr>
          <t xml:space="preserve">
LPA</t>
        </r>
      </text>
    </comment>
    <comment ref="M217" authorId="1" shapeId="0">
      <text>
        <r>
          <rPr>
            <b/>
            <sz val="9"/>
            <color indexed="81"/>
            <rFont val="Tahoma"/>
            <family val="2"/>
          </rPr>
          <t>Michael Lane:</t>
        </r>
        <r>
          <rPr>
            <sz val="9"/>
            <color indexed="81"/>
            <rFont val="Tahoma"/>
            <family val="2"/>
          </rPr>
          <t xml:space="preserve">
Changed Retrofit / TI / NC
</t>
        </r>
      </text>
    </comment>
    <comment ref="N217" authorId="0" shapeId="0">
      <text>
        <r>
          <rPr>
            <b/>
            <sz val="9"/>
            <color indexed="81"/>
            <rFont val="Tahoma"/>
            <family val="2"/>
          </rPr>
          <t>Michael lane:</t>
        </r>
        <r>
          <rPr>
            <sz val="9"/>
            <color indexed="81"/>
            <rFont val="Tahoma"/>
            <family val="2"/>
          </rPr>
          <t xml:space="preserve">
HVAC factor</t>
        </r>
      </text>
    </comment>
    <comment ref="M218" authorId="0" shapeId="0">
      <text>
        <r>
          <rPr>
            <b/>
            <sz val="9"/>
            <color indexed="81"/>
            <rFont val="Tahoma"/>
            <family val="2"/>
          </rPr>
          <t>Michael lane:</t>
        </r>
        <r>
          <rPr>
            <sz val="9"/>
            <color indexed="81"/>
            <rFont val="Tahoma"/>
            <family val="2"/>
          </rPr>
          <t xml:space="preserve">
Space Type incorrect due to Heat Type Change
</t>
        </r>
      </text>
    </comment>
    <comment ref="N218" authorId="0" shapeId="0">
      <text>
        <r>
          <rPr>
            <b/>
            <sz val="9"/>
            <color indexed="81"/>
            <rFont val="Tahoma"/>
            <family val="2"/>
          </rPr>
          <t>Michael lane:</t>
        </r>
        <r>
          <rPr>
            <sz val="9"/>
            <color indexed="81"/>
            <rFont val="Tahoma"/>
            <family val="2"/>
          </rPr>
          <t xml:space="preserve">
LPA</t>
        </r>
      </text>
    </comment>
    <comment ref="M222" authorId="1" shapeId="0">
      <text>
        <r>
          <rPr>
            <b/>
            <sz val="9"/>
            <color indexed="81"/>
            <rFont val="Tahoma"/>
            <family val="2"/>
          </rPr>
          <t>Michael Lane:</t>
        </r>
        <r>
          <rPr>
            <sz val="9"/>
            <color indexed="81"/>
            <rFont val="Tahoma"/>
            <family val="2"/>
          </rPr>
          <t xml:space="preserve">
Changed Retrofit / TI / NC
</t>
        </r>
      </text>
    </comment>
    <comment ref="N222" authorId="0" shapeId="0">
      <text>
        <r>
          <rPr>
            <b/>
            <sz val="9"/>
            <color indexed="81"/>
            <rFont val="Tahoma"/>
            <family val="2"/>
          </rPr>
          <t>Michael lane:</t>
        </r>
        <r>
          <rPr>
            <sz val="9"/>
            <color indexed="81"/>
            <rFont val="Tahoma"/>
            <family val="2"/>
          </rPr>
          <t xml:space="preserve">
HVAC factor</t>
        </r>
      </text>
    </comment>
    <comment ref="M223" authorId="0" shapeId="0">
      <text>
        <r>
          <rPr>
            <b/>
            <sz val="9"/>
            <color indexed="81"/>
            <rFont val="Tahoma"/>
            <family val="2"/>
          </rPr>
          <t>Michael lane:</t>
        </r>
        <r>
          <rPr>
            <sz val="9"/>
            <color indexed="81"/>
            <rFont val="Tahoma"/>
            <family val="2"/>
          </rPr>
          <t xml:space="preserve">
Space Type incorrect due to Heat Type Change
</t>
        </r>
      </text>
    </comment>
    <comment ref="N223" authorId="0" shapeId="0">
      <text>
        <r>
          <rPr>
            <b/>
            <sz val="9"/>
            <color indexed="81"/>
            <rFont val="Tahoma"/>
            <family val="2"/>
          </rPr>
          <t>Michael lane:</t>
        </r>
        <r>
          <rPr>
            <sz val="9"/>
            <color indexed="81"/>
            <rFont val="Tahoma"/>
            <family val="2"/>
          </rPr>
          <t xml:space="preserve">
LPA</t>
        </r>
      </text>
    </comment>
    <comment ref="M227" authorId="1" shapeId="0">
      <text>
        <r>
          <rPr>
            <b/>
            <sz val="9"/>
            <color indexed="81"/>
            <rFont val="Tahoma"/>
            <family val="2"/>
          </rPr>
          <t>Michael Lane:</t>
        </r>
        <r>
          <rPr>
            <sz val="9"/>
            <color indexed="81"/>
            <rFont val="Tahoma"/>
            <family val="2"/>
          </rPr>
          <t xml:space="preserve">
Changed Retrofit / TI / NC
</t>
        </r>
      </text>
    </comment>
    <comment ref="N227" authorId="0" shapeId="0">
      <text>
        <r>
          <rPr>
            <b/>
            <sz val="9"/>
            <color indexed="81"/>
            <rFont val="Tahoma"/>
            <family val="2"/>
          </rPr>
          <t>Michael lane:</t>
        </r>
        <r>
          <rPr>
            <sz val="9"/>
            <color indexed="81"/>
            <rFont val="Tahoma"/>
            <family val="2"/>
          </rPr>
          <t xml:space="preserve">
HVAC factor</t>
        </r>
      </text>
    </comment>
    <comment ref="M228" authorId="0" shapeId="0">
      <text>
        <r>
          <rPr>
            <b/>
            <sz val="9"/>
            <color indexed="81"/>
            <rFont val="Tahoma"/>
            <family val="2"/>
          </rPr>
          <t>Michael lane:</t>
        </r>
        <r>
          <rPr>
            <sz val="9"/>
            <color indexed="81"/>
            <rFont val="Tahoma"/>
            <family val="2"/>
          </rPr>
          <t xml:space="preserve">
Space Type incorrect due to Heat Type Change
</t>
        </r>
      </text>
    </comment>
    <comment ref="N228" authorId="0" shapeId="0">
      <text>
        <r>
          <rPr>
            <b/>
            <sz val="9"/>
            <color indexed="81"/>
            <rFont val="Tahoma"/>
            <family val="2"/>
          </rPr>
          <t>Michael lane:</t>
        </r>
        <r>
          <rPr>
            <sz val="9"/>
            <color indexed="81"/>
            <rFont val="Tahoma"/>
            <family val="2"/>
          </rPr>
          <t xml:space="preserve">
LPA</t>
        </r>
      </text>
    </comment>
    <comment ref="M232" authorId="1" shapeId="0">
      <text>
        <r>
          <rPr>
            <b/>
            <sz val="9"/>
            <color indexed="81"/>
            <rFont val="Tahoma"/>
            <family val="2"/>
          </rPr>
          <t>Michael Lane:</t>
        </r>
        <r>
          <rPr>
            <sz val="9"/>
            <color indexed="81"/>
            <rFont val="Tahoma"/>
            <family val="2"/>
          </rPr>
          <t xml:space="preserve">
Changed Retrofit / TI / NC
</t>
        </r>
      </text>
    </comment>
    <comment ref="N232" authorId="0" shapeId="0">
      <text>
        <r>
          <rPr>
            <b/>
            <sz val="9"/>
            <color indexed="81"/>
            <rFont val="Tahoma"/>
            <family val="2"/>
          </rPr>
          <t>Michael lane:</t>
        </r>
        <r>
          <rPr>
            <sz val="9"/>
            <color indexed="81"/>
            <rFont val="Tahoma"/>
            <family val="2"/>
          </rPr>
          <t xml:space="preserve">
HVAC factor</t>
        </r>
      </text>
    </comment>
    <comment ref="M233" authorId="0" shapeId="0">
      <text>
        <r>
          <rPr>
            <b/>
            <sz val="9"/>
            <color indexed="81"/>
            <rFont val="Tahoma"/>
            <family val="2"/>
          </rPr>
          <t>Michael lane:</t>
        </r>
        <r>
          <rPr>
            <sz val="9"/>
            <color indexed="81"/>
            <rFont val="Tahoma"/>
            <family val="2"/>
          </rPr>
          <t xml:space="preserve">
Space Type incorrect due to Heat Type Change
</t>
        </r>
      </text>
    </comment>
    <comment ref="N233" authorId="0" shapeId="0">
      <text>
        <r>
          <rPr>
            <b/>
            <sz val="9"/>
            <color indexed="81"/>
            <rFont val="Tahoma"/>
            <family val="2"/>
          </rPr>
          <t>Michael lane:</t>
        </r>
        <r>
          <rPr>
            <sz val="9"/>
            <color indexed="81"/>
            <rFont val="Tahoma"/>
            <family val="2"/>
          </rPr>
          <t xml:space="preserve">
LPA</t>
        </r>
      </text>
    </comment>
    <comment ref="M237" authorId="1" shapeId="0">
      <text>
        <r>
          <rPr>
            <b/>
            <sz val="9"/>
            <color indexed="81"/>
            <rFont val="Tahoma"/>
            <family val="2"/>
          </rPr>
          <t>Michael Lane:</t>
        </r>
        <r>
          <rPr>
            <sz val="9"/>
            <color indexed="81"/>
            <rFont val="Tahoma"/>
            <family val="2"/>
          </rPr>
          <t xml:space="preserve">
Changed Retrofit / TI / NC
</t>
        </r>
      </text>
    </comment>
    <comment ref="N237" authorId="0" shapeId="0">
      <text>
        <r>
          <rPr>
            <b/>
            <sz val="9"/>
            <color indexed="81"/>
            <rFont val="Tahoma"/>
            <family val="2"/>
          </rPr>
          <t>Michael lane:</t>
        </r>
        <r>
          <rPr>
            <sz val="9"/>
            <color indexed="81"/>
            <rFont val="Tahoma"/>
            <family val="2"/>
          </rPr>
          <t xml:space="preserve">
HVAC factor</t>
        </r>
      </text>
    </comment>
    <comment ref="M238" authorId="0" shapeId="0">
      <text>
        <r>
          <rPr>
            <b/>
            <sz val="9"/>
            <color indexed="81"/>
            <rFont val="Tahoma"/>
            <family val="2"/>
          </rPr>
          <t>Michael lane:</t>
        </r>
        <r>
          <rPr>
            <sz val="9"/>
            <color indexed="81"/>
            <rFont val="Tahoma"/>
            <family val="2"/>
          </rPr>
          <t xml:space="preserve">
Space Type incorrect due to Heat Type Change
</t>
        </r>
      </text>
    </comment>
    <comment ref="N238" authorId="0" shapeId="0">
      <text>
        <r>
          <rPr>
            <b/>
            <sz val="9"/>
            <color indexed="81"/>
            <rFont val="Tahoma"/>
            <family val="2"/>
          </rPr>
          <t>Michael lane:</t>
        </r>
        <r>
          <rPr>
            <sz val="9"/>
            <color indexed="81"/>
            <rFont val="Tahoma"/>
            <family val="2"/>
          </rPr>
          <t xml:space="preserve">
LPA</t>
        </r>
      </text>
    </comment>
    <comment ref="M242" authorId="1" shapeId="0">
      <text>
        <r>
          <rPr>
            <b/>
            <sz val="9"/>
            <color indexed="81"/>
            <rFont val="Tahoma"/>
            <family val="2"/>
          </rPr>
          <t>Michael Lane:</t>
        </r>
        <r>
          <rPr>
            <sz val="9"/>
            <color indexed="81"/>
            <rFont val="Tahoma"/>
            <family val="2"/>
          </rPr>
          <t xml:space="preserve">
Changed Retrofit / TI / NC
</t>
        </r>
      </text>
    </comment>
    <comment ref="N242" authorId="0" shapeId="0">
      <text>
        <r>
          <rPr>
            <b/>
            <sz val="9"/>
            <color indexed="81"/>
            <rFont val="Tahoma"/>
            <family val="2"/>
          </rPr>
          <t>Michael lane:</t>
        </r>
        <r>
          <rPr>
            <sz val="9"/>
            <color indexed="81"/>
            <rFont val="Tahoma"/>
            <family val="2"/>
          </rPr>
          <t xml:space="preserve">
HVAC factor</t>
        </r>
      </text>
    </comment>
    <comment ref="M243" authorId="0" shapeId="0">
      <text>
        <r>
          <rPr>
            <b/>
            <sz val="9"/>
            <color indexed="81"/>
            <rFont val="Tahoma"/>
            <family val="2"/>
          </rPr>
          <t>Michael lane:</t>
        </r>
        <r>
          <rPr>
            <sz val="9"/>
            <color indexed="81"/>
            <rFont val="Tahoma"/>
            <family val="2"/>
          </rPr>
          <t xml:space="preserve">
Space Type incorrect due to Heat Type Change
</t>
        </r>
      </text>
    </comment>
    <comment ref="N243" authorId="0" shapeId="0">
      <text>
        <r>
          <rPr>
            <b/>
            <sz val="9"/>
            <color indexed="81"/>
            <rFont val="Tahoma"/>
            <family val="2"/>
          </rPr>
          <t>Michael lane:</t>
        </r>
        <r>
          <rPr>
            <sz val="9"/>
            <color indexed="81"/>
            <rFont val="Tahoma"/>
            <family val="2"/>
          </rPr>
          <t xml:space="preserve">
LPA</t>
        </r>
      </text>
    </comment>
    <comment ref="M250" authorId="1" shapeId="0">
      <text>
        <r>
          <rPr>
            <b/>
            <sz val="9"/>
            <color indexed="81"/>
            <rFont val="Tahoma"/>
            <family val="2"/>
          </rPr>
          <t>Michael Lane:</t>
        </r>
        <r>
          <rPr>
            <sz val="9"/>
            <color indexed="81"/>
            <rFont val="Tahoma"/>
            <family val="2"/>
          </rPr>
          <t xml:space="preserve">
Changed Retrofit / TI / NC
</t>
        </r>
      </text>
    </comment>
    <comment ref="N250" authorId="0" shapeId="0">
      <text>
        <r>
          <rPr>
            <b/>
            <sz val="9"/>
            <color indexed="81"/>
            <rFont val="Tahoma"/>
            <family val="2"/>
          </rPr>
          <t>Michael lane:</t>
        </r>
        <r>
          <rPr>
            <sz val="9"/>
            <color indexed="81"/>
            <rFont val="Tahoma"/>
            <family val="2"/>
          </rPr>
          <t xml:space="preserve">
HVAC factor</t>
        </r>
      </text>
    </comment>
    <comment ref="M251" authorId="0" shapeId="0">
      <text>
        <r>
          <rPr>
            <b/>
            <sz val="9"/>
            <color indexed="81"/>
            <rFont val="Tahoma"/>
            <family val="2"/>
          </rPr>
          <t>Michael lane:</t>
        </r>
        <r>
          <rPr>
            <sz val="9"/>
            <color indexed="81"/>
            <rFont val="Tahoma"/>
            <family val="2"/>
          </rPr>
          <t xml:space="preserve">
Space Type incorrect due to Heat Type Change
</t>
        </r>
      </text>
    </comment>
    <comment ref="N251" authorId="0" shapeId="0">
      <text>
        <r>
          <rPr>
            <b/>
            <sz val="9"/>
            <color indexed="81"/>
            <rFont val="Tahoma"/>
            <family val="2"/>
          </rPr>
          <t>Michael lane:</t>
        </r>
        <r>
          <rPr>
            <sz val="9"/>
            <color indexed="81"/>
            <rFont val="Tahoma"/>
            <family val="2"/>
          </rPr>
          <t xml:space="preserve">
LPA</t>
        </r>
      </text>
    </comment>
    <comment ref="M255" authorId="1" shapeId="0">
      <text>
        <r>
          <rPr>
            <b/>
            <sz val="9"/>
            <color indexed="81"/>
            <rFont val="Tahoma"/>
            <family val="2"/>
          </rPr>
          <t>Michael Lane:</t>
        </r>
        <r>
          <rPr>
            <sz val="9"/>
            <color indexed="81"/>
            <rFont val="Tahoma"/>
            <family val="2"/>
          </rPr>
          <t xml:space="preserve">
Changed Retrofit / TI / NC
</t>
        </r>
      </text>
    </comment>
    <comment ref="N255" authorId="0" shapeId="0">
      <text>
        <r>
          <rPr>
            <b/>
            <sz val="9"/>
            <color indexed="81"/>
            <rFont val="Tahoma"/>
            <family val="2"/>
          </rPr>
          <t>Michael lane:</t>
        </r>
        <r>
          <rPr>
            <sz val="9"/>
            <color indexed="81"/>
            <rFont val="Tahoma"/>
            <family val="2"/>
          </rPr>
          <t xml:space="preserve">
HVAC factor</t>
        </r>
      </text>
    </comment>
    <comment ref="M256" authorId="0" shapeId="0">
      <text>
        <r>
          <rPr>
            <b/>
            <sz val="9"/>
            <color indexed="81"/>
            <rFont val="Tahoma"/>
            <family val="2"/>
          </rPr>
          <t>Michael lane:</t>
        </r>
        <r>
          <rPr>
            <sz val="9"/>
            <color indexed="81"/>
            <rFont val="Tahoma"/>
            <family val="2"/>
          </rPr>
          <t xml:space="preserve">
Space Type incorrect due to Heat Type Change
</t>
        </r>
      </text>
    </comment>
    <comment ref="N256" authorId="0" shapeId="0">
      <text>
        <r>
          <rPr>
            <b/>
            <sz val="9"/>
            <color indexed="81"/>
            <rFont val="Tahoma"/>
            <family val="2"/>
          </rPr>
          <t>Michael lane:</t>
        </r>
        <r>
          <rPr>
            <sz val="9"/>
            <color indexed="81"/>
            <rFont val="Tahoma"/>
            <family val="2"/>
          </rPr>
          <t xml:space="preserve">
LPA</t>
        </r>
      </text>
    </comment>
    <comment ref="M260" authorId="1" shapeId="0">
      <text>
        <r>
          <rPr>
            <b/>
            <sz val="9"/>
            <color indexed="81"/>
            <rFont val="Tahoma"/>
            <family val="2"/>
          </rPr>
          <t>Michael Lane:</t>
        </r>
        <r>
          <rPr>
            <sz val="9"/>
            <color indexed="81"/>
            <rFont val="Tahoma"/>
            <family val="2"/>
          </rPr>
          <t xml:space="preserve">
Changed Retrofit / TI / NC
</t>
        </r>
      </text>
    </comment>
    <comment ref="N260" authorId="0" shapeId="0">
      <text>
        <r>
          <rPr>
            <b/>
            <sz val="9"/>
            <color indexed="81"/>
            <rFont val="Tahoma"/>
            <family val="2"/>
          </rPr>
          <t>Michael lane:</t>
        </r>
        <r>
          <rPr>
            <sz val="9"/>
            <color indexed="81"/>
            <rFont val="Tahoma"/>
            <family val="2"/>
          </rPr>
          <t xml:space="preserve">
HVAC factor</t>
        </r>
      </text>
    </comment>
    <comment ref="M261" authorId="0" shapeId="0">
      <text>
        <r>
          <rPr>
            <b/>
            <sz val="9"/>
            <color indexed="81"/>
            <rFont val="Tahoma"/>
            <family val="2"/>
          </rPr>
          <t>Michael lane:</t>
        </r>
        <r>
          <rPr>
            <sz val="9"/>
            <color indexed="81"/>
            <rFont val="Tahoma"/>
            <family val="2"/>
          </rPr>
          <t xml:space="preserve">
Space Type incorrect due to Heat Type Change
</t>
        </r>
      </text>
    </comment>
    <comment ref="N261" authorId="0" shapeId="0">
      <text>
        <r>
          <rPr>
            <b/>
            <sz val="9"/>
            <color indexed="81"/>
            <rFont val="Tahoma"/>
            <family val="2"/>
          </rPr>
          <t>Michael lane:</t>
        </r>
        <r>
          <rPr>
            <sz val="9"/>
            <color indexed="81"/>
            <rFont val="Tahoma"/>
            <family val="2"/>
          </rPr>
          <t xml:space="preserve">
LPA</t>
        </r>
      </text>
    </comment>
    <comment ref="M265" authorId="1" shapeId="0">
      <text>
        <r>
          <rPr>
            <b/>
            <sz val="9"/>
            <color indexed="81"/>
            <rFont val="Tahoma"/>
            <family val="2"/>
          </rPr>
          <t>Michael Lane:</t>
        </r>
        <r>
          <rPr>
            <sz val="9"/>
            <color indexed="81"/>
            <rFont val="Tahoma"/>
            <family val="2"/>
          </rPr>
          <t xml:space="preserve">
Changed Retrofit / TI / NC
</t>
        </r>
      </text>
    </comment>
    <comment ref="N265" authorId="0" shapeId="0">
      <text>
        <r>
          <rPr>
            <b/>
            <sz val="9"/>
            <color indexed="81"/>
            <rFont val="Tahoma"/>
            <family val="2"/>
          </rPr>
          <t>Michael lane:</t>
        </r>
        <r>
          <rPr>
            <sz val="9"/>
            <color indexed="81"/>
            <rFont val="Tahoma"/>
            <family val="2"/>
          </rPr>
          <t xml:space="preserve">
HVAC factor</t>
        </r>
      </text>
    </comment>
    <comment ref="M266" authorId="0" shapeId="0">
      <text>
        <r>
          <rPr>
            <b/>
            <sz val="9"/>
            <color indexed="81"/>
            <rFont val="Tahoma"/>
            <family val="2"/>
          </rPr>
          <t>Michael lane:</t>
        </r>
        <r>
          <rPr>
            <sz val="9"/>
            <color indexed="81"/>
            <rFont val="Tahoma"/>
            <family val="2"/>
          </rPr>
          <t xml:space="preserve">
Space Type incorrect due to Heat Type Change
</t>
        </r>
      </text>
    </comment>
    <comment ref="N266" authorId="0" shapeId="0">
      <text>
        <r>
          <rPr>
            <b/>
            <sz val="9"/>
            <color indexed="81"/>
            <rFont val="Tahoma"/>
            <family val="2"/>
          </rPr>
          <t>Michael lane:</t>
        </r>
        <r>
          <rPr>
            <sz val="9"/>
            <color indexed="81"/>
            <rFont val="Tahoma"/>
            <family val="2"/>
          </rPr>
          <t xml:space="preserve">
LPA</t>
        </r>
      </text>
    </comment>
    <comment ref="M270" authorId="1" shapeId="0">
      <text>
        <r>
          <rPr>
            <b/>
            <sz val="9"/>
            <color indexed="81"/>
            <rFont val="Tahoma"/>
            <family val="2"/>
          </rPr>
          <t>Michael Lane:</t>
        </r>
        <r>
          <rPr>
            <sz val="9"/>
            <color indexed="81"/>
            <rFont val="Tahoma"/>
            <family val="2"/>
          </rPr>
          <t xml:space="preserve">
Changed Retrofit / TI / NC
</t>
        </r>
      </text>
    </comment>
    <comment ref="N270" authorId="0" shapeId="0">
      <text>
        <r>
          <rPr>
            <b/>
            <sz val="9"/>
            <color indexed="81"/>
            <rFont val="Tahoma"/>
            <family val="2"/>
          </rPr>
          <t>Michael lane:</t>
        </r>
        <r>
          <rPr>
            <sz val="9"/>
            <color indexed="81"/>
            <rFont val="Tahoma"/>
            <family val="2"/>
          </rPr>
          <t xml:space="preserve">
HVAC factor</t>
        </r>
      </text>
    </comment>
    <comment ref="M271" authorId="0" shapeId="0">
      <text>
        <r>
          <rPr>
            <b/>
            <sz val="9"/>
            <color indexed="81"/>
            <rFont val="Tahoma"/>
            <family val="2"/>
          </rPr>
          <t>Michael lane:</t>
        </r>
        <r>
          <rPr>
            <sz val="9"/>
            <color indexed="81"/>
            <rFont val="Tahoma"/>
            <family val="2"/>
          </rPr>
          <t xml:space="preserve">
Space Type incorrect due to Heat Type Change
</t>
        </r>
      </text>
    </comment>
    <comment ref="N271" authorId="0" shapeId="0">
      <text>
        <r>
          <rPr>
            <b/>
            <sz val="9"/>
            <color indexed="81"/>
            <rFont val="Tahoma"/>
            <family val="2"/>
          </rPr>
          <t>Michael lane:</t>
        </r>
        <r>
          <rPr>
            <sz val="9"/>
            <color indexed="81"/>
            <rFont val="Tahoma"/>
            <family val="2"/>
          </rPr>
          <t xml:space="preserve">
LPA</t>
        </r>
      </text>
    </comment>
    <comment ref="M275" authorId="1" shapeId="0">
      <text>
        <r>
          <rPr>
            <b/>
            <sz val="9"/>
            <color indexed="81"/>
            <rFont val="Tahoma"/>
            <family val="2"/>
          </rPr>
          <t>Michael Lane:</t>
        </r>
        <r>
          <rPr>
            <sz val="9"/>
            <color indexed="81"/>
            <rFont val="Tahoma"/>
            <family val="2"/>
          </rPr>
          <t xml:space="preserve">
Changed Retrofit / TI / NC
</t>
        </r>
      </text>
    </comment>
    <comment ref="N275" authorId="0" shapeId="0">
      <text>
        <r>
          <rPr>
            <b/>
            <sz val="9"/>
            <color indexed="81"/>
            <rFont val="Tahoma"/>
            <family val="2"/>
          </rPr>
          <t>Michael lane:</t>
        </r>
        <r>
          <rPr>
            <sz val="9"/>
            <color indexed="81"/>
            <rFont val="Tahoma"/>
            <family val="2"/>
          </rPr>
          <t xml:space="preserve">
HVAC factor</t>
        </r>
      </text>
    </comment>
    <comment ref="M276" authorId="0" shapeId="0">
      <text>
        <r>
          <rPr>
            <b/>
            <sz val="9"/>
            <color indexed="81"/>
            <rFont val="Tahoma"/>
            <family val="2"/>
          </rPr>
          <t>Michael lane:</t>
        </r>
        <r>
          <rPr>
            <sz val="9"/>
            <color indexed="81"/>
            <rFont val="Tahoma"/>
            <family val="2"/>
          </rPr>
          <t xml:space="preserve">
Space Type incorrect due to Heat Type Change
</t>
        </r>
      </text>
    </comment>
    <comment ref="N276" authorId="0" shapeId="0">
      <text>
        <r>
          <rPr>
            <b/>
            <sz val="9"/>
            <color indexed="81"/>
            <rFont val="Tahoma"/>
            <family val="2"/>
          </rPr>
          <t>Michael lane:</t>
        </r>
        <r>
          <rPr>
            <sz val="9"/>
            <color indexed="81"/>
            <rFont val="Tahoma"/>
            <family val="2"/>
          </rPr>
          <t xml:space="preserve">
LPA</t>
        </r>
      </text>
    </comment>
    <comment ref="M280" authorId="1" shapeId="0">
      <text>
        <r>
          <rPr>
            <b/>
            <sz val="9"/>
            <color indexed="81"/>
            <rFont val="Tahoma"/>
            <family val="2"/>
          </rPr>
          <t>Michael Lane:</t>
        </r>
        <r>
          <rPr>
            <sz val="9"/>
            <color indexed="81"/>
            <rFont val="Tahoma"/>
            <family val="2"/>
          </rPr>
          <t xml:space="preserve">
Changed Retrofit / TI / NC
</t>
        </r>
      </text>
    </comment>
    <comment ref="N280" authorId="0" shapeId="0">
      <text>
        <r>
          <rPr>
            <b/>
            <sz val="9"/>
            <color indexed="81"/>
            <rFont val="Tahoma"/>
            <family val="2"/>
          </rPr>
          <t>Michael lane:</t>
        </r>
        <r>
          <rPr>
            <sz val="9"/>
            <color indexed="81"/>
            <rFont val="Tahoma"/>
            <family val="2"/>
          </rPr>
          <t xml:space="preserve">
HVAC factor</t>
        </r>
      </text>
    </comment>
    <comment ref="M281" authorId="0" shapeId="0">
      <text>
        <r>
          <rPr>
            <b/>
            <sz val="9"/>
            <color indexed="81"/>
            <rFont val="Tahoma"/>
            <family val="2"/>
          </rPr>
          <t>Michael lane:</t>
        </r>
        <r>
          <rPr>
            <sz val="9"/>
            <color indexed="81"/>
            <rFont val="Tahoma"/>
            <family val="2"/>
          </rPr>
          <t xml:space="preserve">
Space Type incorrect due to Heat Type Change
</t>
        </r>
      </text>
    </comment>
    <comment ref="N281" authorId="0" shapeId="0">
      <text>
        <r>
          <rPr>
            <b/>
            <sz val="9"/>
            <color indexed="81"/>
            <rFont val="Tahoma"/>
            <family val="2"/>
          </rPr>
          <t>Michael lane:</t>
        </r>
        <r>
          <rPr>
            <sz val="9"/>
            <color indexed="81"/>
            <rFont val="Tahoma"/>
            <family val="2"/>
          </rPr>
          <t xml:space="preserve">
LPA</t>
        </r>
      </text>
    </comment>
    <comment ref="M285" authorId="1" shapeId="0">
      <text>
        <r>
          <rPr>
            <b/>
            <sz val="9"/>
            <color indexed="81"/>
            <rFont val="Tahoma"/>
            <family val="2"/>
          </rPr>
          <t>Michael Lane:</t>
        </r>
        <r>
          <rPr>
            <sz val="9"/>
            <color indexed="81"/>
            <rFont val="Tahoma"/>
            <family val="2"/>
          </rPr>
          <t xml:space="preserve">
Changed Retrofit / TI / NC
</t>
        </r>
      </text>
    </comment>
    <comment ref="N285" authorId="0" shapeId="0">
      <text>
        <r>
          <rPr>
            <b/>
            <sz val="9"/>
            <color indexed="81"/>
            <rFont val="Tahoma"/>
            <family val="2"/>
          </rPr>
          <t>Michael lane:</t>
        </r>
        <r>
          <rPr>
            <sz val="9"/>
            <color indexed="81"/>
            <rFont val="Tahoma"/>
            <family val="2"/>
          </rPr>
          <t xml:space="preserve">
HVAC factor</t>
        </r>
      </text>
    </comment>
    <comment ref="M286" authorId="0" shapeId="0">
      <text>
        <r>
          <rPr>
            <b/>
            <sz val="9"/>
            <color indexed="81"/>
            <rFont val="Tahoma"/>
            <family val="2"/>
          </rPr>
          <t>Michael lane:</t>
        </r>
        <r>
          <rPr>
            <sz val="9"/>
            <color indexed="81"/>
            <rFont val="Tahoma"/>
            <family val="2"/>
          </rPr>
          <t xml:space="preserve">
Space Type incorrect due to Heat Type Change
</t>
        </r>
      </text>
    </comment>
    <comment ref="N286" authorId="0" shapeId="0">
      <text>
        <r>
          <rPr>
            <b/>
            <sz val="9"/>
            <color indexed="81"/>
            <rFont val="Tahoma"/>
            <family val="2"/>
          </rPr>
          <t>Michael lane:</t>
        </r>
        <r>
          <rPr>
            <sz val="9"/>
            <color indexed="81"/>
            <rFont val="Tahoma"/>
            <family val="2"/>
          </rPr>
          <t xml:space="preserve">
LPA</t>
        </r>
      </text>
    </comment>
    <comment ref="M290" authorId="1" shapeId="0">
      <text>
        <r>
          <rPr>
            <b/>
            <sz val="9"/>
            <color indexed="81"/>
            <rFont val="Tahoma"/>
            <family val="2"/>
          </rPr>
          <t>Michael Lane:</t>
        </r>
        <r>
          <rPr>
            <sz val="9"/>
            <color indexed="81"/>
            <rFont val="Tahoma"/>
            <family val="2"/>
          </rPr>
          <t xml:space="preserve">
Changed Retrofit / TI / NC
</t>
        </r>
      </text>
    </comment>
    <comment ref="N290" authorId="0" shapeId="0">
      <text>
        <r>
          <rPr>
            <b/>
            <sz val="9"/>
            <color indexed="81"/>
            <rFont val="Tahoma"/>
            <family val="2"/>
          </rPr>
          <t>Michael lane:</t>
        </r>
        <r>
          <rPr>
            <sz val="9"/>
            <color indexed="81"/>
            <rFont val="Tahoma"/>
            <family val="2"/>
          </rPr>
          <t xml:space="preserve">
HVAC factor</t>
        </r>
      </text>
    </comment>
    <comment ref="M291" authorId="0" shapeId="0">
      <text>
        <r>
          <rPr>
            <b/>
            <sz val="9"/>
            <color indexed="81"/>
            <rFont val="Tahoma"/>
            <family val="2"/>
          </rPr>
          <t>Michael lane:</t>
        </r>
        <r>
          <rPr>
            <sz val="9"/>
            <color indexed="81"/>
            <rFont val="Tahoma"/>
            <family val="2"/>
          </rPr>
          <t xml:space="preserve">
Space Type incorrect due to Heat Type Change
</t>
        </r>
      </text>
    </comment>
    <comment ref="N291" authorId="0" shapeId="0">
      <text>
        <r>
          <rPr>
            <b/>
            <sz val="9"/>
            <color indexed="81"/>
            <rFont val="Tahoma"/>
            <family val="2"/>
          </rPr>
          <t>Michael lane:</t>
        </r>
        <r>
          <rPr>
            <sz val="9"/>
            <color indexed="81"/>
            <rFont val="Tahoma"/>
            <family val="2"/>
          </rPr>
          <t xml:space="preserve">
LPA</t>
        </r>
      </text>
    </comment>
    <comment ref="M295" authorId="1" shapeId="0">
      <text>
        <r>
          <rPr>
            <b/>
            <sz val="9"/>
            <color indexed="81"/>
            <rFont val="Tahoma"/>
            <family val="2"/>
          </rPr>
          <t>Michael Lane:</t>
        </r>
        <r>
          <rPr>
            <sz val="9"/>
            <color indexed="81"/>
            <rFont val="Tahoma"/>
            <family val="2"/>
          </rPr>
          <t xml:space="preserve">
Changed Retrofit / TI / NC
</t>
        </r>
      </text>
    </comment>
    <comment ref="N295" authorId="0" shapeId="0">
      <text>
        <r>
          <rPr>
            <b/>
            <sz val="9"/>
            <color indexed="81"/>
            <rFont val="Tahoma"/>
            <family val="2"/>
          </rPr>
          <t>Michael lane:</t>
        </r>
        <r>
          <rPr>
            <sz val="9"/>
            <color indexed="81"/>
            <rFont val="Tahoma"/>
            <family val="2"/>
          </rPr>
          <t xml:space="preserve">
HVAC factor</t>
        </r>
      </text>
    </comment>
    <comment ref="M296" authorId="0" shapeId="0">
      <text>
        <r>
          <rPr>
            <b/>
            <sz val="9"/>
            <color indexed="81"/>
            <rFont val="Tahoma"/>
            <family val="2"/>
          </rPr>
          <t>Michael lane:</t>
        </r>
        <r>
          <rPr>
            <sz val="9"/>
            <color indexed="81"/>
            <rFont val="Tahoma"/>
            <family val="2"/>
          </rPr>
          <t xml:space="preserve">
Space Type incorrect due to Heat Type Change
</t>
        </r>
      </text>
    </comment>
    <comment ref="N296" authorId="0" shapeId="0">
      <text>
        <r>
          <rPr>
            <b/>
            <sz val="9"/>
            <color indexed="81"/>
            <rFont val="Tahoma"/>
            <family val="2"/>
          </rPr>
          <t>Michael lane:</t>
        </r>
        <r>
          <rPr>
            <sz val="9"/>
            <color indexed="81"/>
            <rFont val="Tahoma"/>
            <family val="2"/>
          </rPr>
          <t xml:space="preserve">
LPA</t>
        </r>
      </text>
    </comment>
    <comment ref="M300" authorId="1" shapeId="0">
      <text>
        <r>
          <rPr>
            <b/>
            <sz val="9"/>
            <color indexed="81"/>
            <rFont val="Tahoma"/>
            <family val="2"/>
          </rPr>
          <t>Michael Lane:</t>
        </r>
        <r>
          <rPr>
            <sz val="9"/>
            <color indexed="81"/>
            <rFont val="Tahoma"/>
            <family val="2"/>
          </rPr>
          <t xml:space="preserve">
Changed Retrofit / TI / NC
</t>
        </r>
      </text>
    </comment>
    <comment ref="N300" authorId="0" shapeId="0">
      <text>
        <r>
          <rPr>
            <b/>
            <sz val="9"/>
            <color indexed="81"/>
            <rFont val="Tahoma"/>
            <family val="2"/>
          </rPr>
          <t>Michael lane:</t>
        </r>
        <r>
          <rPr>
            <sz val="9"/>
            <color indexed="81"/>
            <rFont val="Tahoma"/>
            <family val="2"/>
          </rPr>
          <t xml:space="preserve">
HVAC factor</t>
        </r>
      </text>
    </comment>
    <comment ref="M301" authorId="0" shapeId="0">
      <text>
        <r>
          <rPr>
            <b/>
            <sz val="9"/>
            <color indexed="81"/>
            <rFont val="Tahoma"/>
            <family val="2"/>
          </rPr>
          <t>Michael lane:</t>
        </r>
        <r>
          <rPr>
            <sz val="9"/>
            <color indexed="81"/>
            <rFont val="Tahoma"/>
            <family val="2"/>
          </rPr>
          <t xml:space="preserve">
Space Type incorrect due to Heat Type Change
</t>
        </r>
      </text>
    </comment>
    <comment ref="N301" authorId="0" shapeId="0">
      <text>
        <r>
          <rPr>
            <b/>
            <sz val="9"/>
            <color indexed="81"/>
            <rFont val="Tahoma"/>
            <family val="2"/>
          </rPr>
          <t>Michael lane:</t>
        </r>
        <r>
          <rPr>
            <sz val="9"/>
            <color indexed="81"/>
            <rFont val="Tahoma"/>
            <family val="2"/>
          </rPr>
          <t xml:space="preserve">
LPA</t>
        </r>
      </text>
    </comment>
    <comment ref="M305" authorId="1" shapeId="0">
      <text>
        <r>
          <rPr>
            <b/>
            <sz val="9"/>
            <color indexed="81"/>
            <rFont val="Tahoma"/>
            <family val="2"/>
          </rPr>
          <t>Michael Lane:</t>
        </r>
        <r>
          <rPr>
            <sz val="9"/>
            <color indexed="81"/>
            <rFont val="Tahoma"/>
            <family val="2"/>
          </rPr>
          <t xml:space="preserve">
Changed Retrofit / TI / NC
</t>
        </r>
      </text>
    </comment>
    <comment ref="N305" authorId="0" shapeId="0">
      <text>
        <r>
          <rPr>
            <b/>
            <sz val="9"/>
            <color indexed="81"/>
            <rFont val="Tahoma"/>
            <family val="2"/>
          </rPr>
          <t>Michael lane:</t>
        </r>
        <r>
          <rPr>
            <sz val="9"/>
            <color indexed="81"/>
            <rFont val="Tahoma"/>
            <family val="2"/>
          </rPr>
          <t xml:space="preserve">
HVAC factor</t>
        </r>
      </text>
    </comment>
    <comment ref="M306" authorId="0" shapeId="0">
      <text>
        <r>
          <rPr>
            <b/>
            <sz val="9"/>
            <color indexed="81"/>
            <rFont val="Tahoma"/>
            <family val="2"/>
          </rPr>
          <t>Michael lane:</t>
        </r>
        <r>
          <rPr>
            <sz val="9"/>
            <color indexed="81"/>
            <rFont val="Tahoma"/>
            <family val="2"/>
          </rPr>
          <t xml:space="preserve">
Space Type incorrect due to Heat Type Change
</t>
        </r>
      </text>
    </comment>
    <comment ref="N306" authorId="0" shapeId="0">
      <text>
        <r>
          <rPr>
            <b/>
            <sz val="9"/>
            <color indexed="81"/>
            <rFont val="Tahoma"/>
            <family val="2"/>
          </rPr>
          <t>Michael lane:</t>
        </r>
        <r>
          <rPr>
            <sz val="9"/>
            <color indexed="81"/>
            <rFont val="Tahoma"/>
            <family val="2"/>
          </rPr>
          <t xml:space="preserve">
LPA</t>
        </r>
      </text>
    </comment>
    <comment ref="M310" authorId="1" shapeId="0">
      <text>
        <r>
          <rPr>
            <b/>
            <sz val="9"/>
            <color indexed="81"/>
            <rFont val="Tahoma"/>
            <family val="2"/>
          </rPr>
          <t>Michael Lane:</t>
        </r>
        <r>
          <rPr>
            <sz val="9"/>
            <color indexed="81"/>
            <rFont val="Tahoma"/>
            <family val="2"/>
          </rPr>
          <t xml:space="preserve">
Changed Retrofit / TI / NC
</t>
        </r>
      </text>
    </comment>
    <comment ref="N310" authorId="0" shapeId="0">
      <text>
        <r>
          <rPr>
            <b/>
            <sz val="9"/>
            <color indexed="81"/>
            <rFont val="Tahoma"/>
            <family val="2"/>
          </rPr>
          <t>Michael lane:</t>
        </r>
        <r>
          <rPr>
            <sz val="9"/>
            <color indexed="81"/>
            <rFont val="Tahoma"/>
            <family val="2"/>
          </rPr>
          <t xml:space="preserve">
HVAC factor</t>
        </r>
      </text>
    </comment>
    <comment ref="M311" authorId="0" shapeId="0">
      <text>
        <r>
          <rPr>
            <b/>
            <sz val="9"/>
            <color indexed="81"/>
            <rFont val="Tahoma"/>
            <family val="2"/>
          </rPr>
          <t>Michael lane:</t>
        </r>
        <r>
          <rPr>
            <sz val="9"/>
            <color indexed="81"/>
            <rFont val="Tahoma"/>
            <family val="2"/>
          </rPr>
          <t xml:space="preserve">
Space Type incorrect due to Heat Type Change
</t>
        </r>
      </text>
    </comment>
    <comment ref="N311" authorId="0" shapeId="0">
      <text>
        <r>
          <rPr>
            <b/>
            <sz val="9"/>
            <color indexed="81"/>
            <rFont val="Tahoma"/>
            <family val="2"/>
          </rPr>
          <t>Michael lane:</t>
        </r>
        <r>
          <rPr>
            <sz val="9"/>
            <color indexed="81"/>
            <rFont val="Tahoma"/>
            <family val="2"/>
          </rPr>
          <t xml:space="preserve">
LPA</t>
        </r>
      </text>
    </comment>
    <comment ref="M315" authorId="1" shapeId="0">
      <text>
        <r>
          <rPr>
            <b/>
            <sz val="9"/>
            <color indexed="81"/>
            <rFont val="Tahoma"/>
            <family val="2"/>
          </rPr>
          <t>Michael Lane:</t>
        </r>
        <r>
          <rPr>
            <sz val="9"/>
            <color indexed="81"/>
            <rFont val="Tahoma"/>
            <family val="2"/>
          </rPr>
          <t xml:space="preserve">
Changed Retrofit / TI / NC
</t>
        </r>
      </text>
    </comment>
    <comment ref="N315" authorId="0" shapeId="0">
      <text>
        <r>
          <rPr>
            <b/>
            <sz val="9"/>
            <color indexed="81"/>
            <rFont val="Tahoma"/>
            <family val="2"/>
          </rPr>
          <t>Michael lane:</t>
        </r>
        <r>
          <rPr>
            <sz val="9"/>
            <color indexed="81"/>
            <rFont val="Tahoma"/>
            <family val="2"/>
          </rPr>
          <t xml:space="preserve">
HVAC factor</t>
        </r>
      </text>
    </comment>
    <comment ref="M316" authorId="0" shapeId="0">
      <text>
        <r>
          <rPr>
            <b/>
            <sz val="9"/>
            <color indexed="81"/>
            <rFont val="Tahoma"/>
            <family val="2"/>
          </rPr>
          <t>Michael lane:</t>
        </r>
        <r>
          <rPr>
            <sz val="9"/>
            <color indexed="81"/>
            <rFont val="Tahoma"/>
            <family val="2"/>
          </rPr>
          <t xml:space="preserve">
Space Type incorrect due to Heat Type Change
</t>
        </r>
      </text>
    </comment>
    <comment ref="N316" authorId="0" shapeId="0">
      <text>
        <r>
          <rPr>
            <b/>
            <sz val="9"/>
            <color indexed="81"/>
            <rFont val="Tahoma"/>
            <family val="2"/>
          </rPr>
          <t>Michael lane:</t>
        </r>
        <r>
          <rPr>
            <sz val="9"/>
            <color indexed="81"/>
            <rFont val="Tahoma"/>
            <family val="2"/>
          </rPr>
          <t xml:space="preserve">
LPA</t>
        </r>
      </text>
    </comment>
    <comment ref="M320" authorId="1" shapeId="0">
      <text>
        <r>
          <rPr>
            <b/>
            <sz val="9"/>
            <color indexed="81"/>
            <rFont val="Tahoma"/>
            <family val="2"/>
          </rPr>
          <t>Michael Lane:</t>
        </r>
        <r>
          <rPr>
            <sz val="9"/>
            <color indexed="81"/>
            <rFont val="Tahoma"/>
            <family val="2"/>
          </rPr>
          <t xml:space="preserve">
Changed Retrofit / TI / NC
</t>
        </r>
      </text>
    </comment>
    <comment ref="N320" authorId="0" shapeId="0">
      <text>
        <r>
          <rPr>
            <b/>
            <sz val="9"/>
            <color indexed="81"/>
            <rFont val="Tahoma"/>
            <family val="2"/>
          </rPr>
          <t>Michael lane:</t>
        </r>
        <r>
          <rPr>
            <sz val="9"/>
            <color indexed="81"/>
            <rFont val="Tahoma"/>
            <family val="2"/>
          </rPr>
          <t xml:space="preserve">
HVAC factor</t>
        </r>
      </text>
    </comment>
    <comment ref="M321" authorId="0" shapeId="0">
      <text>
        <r>
          <rPr>
            <b/>
            <sz val="9"/>
            <color indexed="81"/>
            <rFont val="Tahoma"/>
            <family val="2"/>
          </rPr>
          <t>Michael lane:</t>
        </r>
        <r>
          <rPr>
            <sz val="9"/>
            <color indexed="81"/>
            <rFont val="Tahoma"/>
            <family val="2"/>
          </rPr>
          <t xml:space="preserve">
Space Type incorrect due to Heat Type Change
</t>
        </r>
      </text>
    </comment>
    <comment ref="N321" authorId="0" shapeId="0">
      <text>
        <r>
          <rPr>
            <b/>
            <sz val="9"/>
            <color indexed="81"/>
            <rFont val="Tahoma"/>
            <family val="2"/>
          </rPr>
          <t>Michael lane:</t>
        </r>
        <r>
          <rPr>
            <sz val="9"/>
            <color indexed="81"/>
            <rFont val="Tahoma"/>
            <family val="2"/>
          </rPr>
          <t xml:space="preserve">
LPA</t>
        </r>
      </text>
    </comment>
    <comment ref="M328" authorId="1" shapeId="0">
      <text>
        <r>
          <rPr>
            <b/>
            <sz val="9"/>
            <color indexed="81"/>
            <rFont val="Tahoma"/>
            <family val="2"/>
          </rPr>
          <t>Michael Lane:</t>
        </r>
        <r>
          <rPr>
            <sz val="9"/>
            <color indexed="81"/>
            <rFont val="Tahoma"/>
            <family val="2"/>
          </rPr>
          <t xml:space="preserve">
Changed Retrofit / TI / NC
</t>
        </r>
      </text>
    </comment>
    <comment ref="N328" authorId="0" shapeId="0">
      <text>
        <r>
          <rPr>
            <b/>
            <sz val="9"/>
            <color indexed="81"/>
            <rFont val="Tahoma"/>
            <family val="2"/>
          </rPr>
          <t>Michael lane:</t>
        </r>
        <r>
          <rPr>
            <sz val="9"/>
            <color indexed="81"/>
            <rFont val="Tahoma"/>
            <family val="2"/>
          </rPr>
          <t xml:space="preserve">
HVAC factor</t>
        </r>
      </text>
    </comment>
    <comment ref="M329" authorId="0" shapeId="0">
      <text>
        <r>
          <rPr>
            <b/>
            <sz val="9"/>
            <color indexed="81"/>
            <rFont val="Tahoma"/>
            <family val="2"/>
          </rPr>
          <t>Michael lane:</t>
        </r>
        <r>
          <rPr>
            <sz val="9"/>
            <color indexed="81"/>
            <rFont val="Tahoma"/>
            <family val="2"/>
          </rPr>
          <t xml:space="preserve">
Space Type incorrect due to Heat Type Change
</t>
        </r>
      </text>
    </comment>
    <comment ref="N329" authorId="0" shapeId="0">
      <text>
        <r>
          <rPr>
            <b/>
            <sz val="9"/>
            <color indexed="81"/>
            <rFont val="Tahoma"/>
            <family val="2"/>
          </rPr>
          <t>Michael lane:</t>
        </r>
        <r>
          <rPr>
            <sz val="9"/>
            <color indexed="81"/>
            <rFont val="Tahoma"/>
            <family val="2"/>
          </rPr>
          <t xml:space="preserve">
LPA</t>
        </r>
      </text>
    </comment>
    <comment ref="M333" authorId="1" shapeId="0">
      <text>
        <r>
          <rPr>
            <b/>
            <sz val="9"/>
            <color indexed="81"/>
            <rFont val="Tahoma"/>
            <family val="2"/>
          </rPr>
          <t>Michael Lane:</t>
        </r>
        <r>
          <rPr>
            <sz val="9"/>
            <color indexed="81"/>
            <rFont val="Tahoma"/>
            <family val="2"/>
          </rPr>
          <t xml:space="preserve">
Changed Retrofit / TI / NC
</t>
        </r>
      </text>
    </comment>
    <comment ref="N333" authorId="0" shapeId="0">
      <text>
        <r>
          <rPr>
            <b/>
            <sz val="9"/>
            <color indexed="81"/>
            <rFont val="Tahoma"/>
            <family val="2"/>
          </rPr>
          <t>Michael lane:</t>
        </r>
        <r>
          <rPr>
            <sz val="9"/>
            <color indexed="81"/>
            <rFont val="Tahoma"/>
            <family val="2"/>
          </rPr>
          <t xml:space="preserve">
HVAC factor</t>
        </r>
      </text>
    </comment>
    <comment ref="M334" authorId="0" shapeId="0">
      <text>
        <r>
          <rPr>
            <b/>
            <sz val="9"/>
            <color indexed="81"/>
            <rFont val="Tahoma"/>
            <family val="2"/>
          </rPr>
          <t>Michael lane:</t>
        </r>
        <r>
          <rPr>
            <sz val="9"/>
            <color indexed="81"/>
            <rFont val="Tahoma"/>
            <family val="2"/>
          </rPr>
          <t xml:space="preserve">
Space Type incorrect due to Heat Type Change
</t>
        </r>
      </text>
    </comment>
    <comment ref="N334" authorId="0" shapeId="0">
      <text>
        <r>
          <rPr>
            <b/>
            <sz val="9"/>
            <color indexed="81"/>
            <rFont val="Tahoma"/>
            <family val="2"/>
          </rPr>
          <t>Michael lane:</t>
        </r>
        <r>
          <rPr>
            <sz val="9"/>
            <color indexed="81"/>
            <rFont val="Tahoma"/>
            <family val="2"/>
          </rPr>
          <t xml:space="preserve">
LPA</t>
        </r>
      </text>
    </comment>
    <comment ref="M338" authorId="1" shapeId="0">
      <text>
        <r>
          <rPr>
            <b/>
            <sz val="9"/>
            <color indexed="81"/>
            <rFont val="Tahoma"/>
            <family val="2"/>
          </rPr>
          <t>Michael Lane:</t>
        </r>
        <r>
          <rPr>
            <sz val="9"/>
            <color indexed="81"/>
            <rFont val="Tahoma"/>
            <family val="2"/>
          </rPr>
          <t xml:space="preserve">
Changed Retrofit / TI / NC
</t>
        </r>
      </text>
    </comment>
    <comment ref="N338" authorId="0" shapeId="0">
      <text>
        <r>
          <rPr>
            <b/>
            <sz val="9"/>
            <color indexed="81"/>
            <rFont val="Tahoma"/>
            <family val="2"/>
          </rPr>
          <t>Michael lane:</t>
        </r>
        <r>
          <rPr>
            <sz val="9"/>
            <color indexed="81"/>
            <rFont val="Tahoma"/>
            <family val="2"/>
          </rPr>
          <t xml:space="preserve">
HVAC factor</t>
        </r>
      </text>
    </comment>
    <comment ref="M339" authorId="0" shapeId="0">
      <text>
        <r>
          <rPr>
            <b/>
            <sz val="9"/>
            <color indexed="81"/>
            <rFont val="Tahoma"/>
            <family val="2"/>
          </rPr>
          <t>Michael lane:</t>
        </r>
        <r>
          <rPr>
            <sz val="9"/>
            <color indexed="81"/>
            <rFont val="Tahoma"/>
            <family val="2"/>
          </rPr>
          <t xml:space="preserve">
Space Type incorrect due to Heat Type Change
</t>
        </r>
      </text>
    </comment>
    <comment ref="N339" authorId="0" shapeId="0">
      <text>
        <r>
          <rPr>
            <b/>
            <sz val="9"/>
            <color indexed="81"/>
            <rFont val="Tahoma"/>
            <family val="2"/>
          </rPr>
          <t>Michael lane:</t>
        </r>
        <r>
          <rPr>
            <sz val="9"/>
            <color indexed="81"/>
            <rFont val="Tahoma"/>
            <family val="2"/>
          </rPr>
          <t xml:space="preserve">
LPA</t>
        </r>
      </text>
    </comment>
    <comment ref="M343" authorId="1" shapeId="0">
      <text>
        <r>
          <rPr>
            <b/>
            <sz val="9"/>
            <color indexed="81"/>
            <rFont val="Tahoma"/>
            <family val="2"/>
          </rPr>
          <t>Michael Lane:</t>
        </r>
        <r>
          <rPr>
            <sz val="9"/>
            <color indexed="81"/>
            <rFont val="Tahoma"/>
            <family val="2"/>
          </rPr>
          <t xml:space="preserve">
Changed Retrofit / TI / NC
</t>
        </r>
      </text>
    </comment>
    <comment ref="N343" authorId="0" shapeId="0">
      <text>
        <r>
          <rPr>
            <b/>
            <sz val="9"/>
            <color indexed="81"/>
            <rFont val="Tahoma"/>
            <family val="2"/>
          </rPr>
          <t>Michael lane:</t>
        </r>
        <r>
          <rPr>
            <sz val="9"/>
            <color indexed="81"/>
            <rFont val="Tahoma"/>
            <family val="2"/>
          </rPr>
          <t xml:space="preserve">
HVAC factor</t>
        </r>
      </text>
    </comment>
    <comment ref="M344" authorId="0" shapeId="0">
      <text>
        <r>
          <rPr>
            <b/>
            <sz val="9"/>
            <color indexed="81"/>
            <rFont val="Tahoma"/>
            <family val="2"/>
          </rPr>
          <t>Michael lane:</t>
        </r>
        <r>
          <rPr>
            <sz val="9"/>
            <color indexed="81"/>
            <rFont val="Tahoma"/>
            <family val="2"/>
          </rPr>
          <t xml:space="preserve">
Space Type incorrect due to Heat Type Change
</t>
        </r>
      </text>
    </comment>
    <comment ref="N344" authorId="0" shapeId="0">
      <text>
        <r>
          <rPr>
            <b/>
            <sz val="9"/>
            <color indexed="81"/>
            <rFont val="Tahoma"/>
            <family val="2"/>
          </rPr>
          <t>Michael lane:</t>
        </r>
        <r>
          <rPr>
            <sz val="9"/>
            <color indexed="81"/>
            <rFont val="Tahoma"/>
            <family val="2"/>
          </rPr>
          <t xml:space="preserve">
LPA</t>
        </r>
      </text>
    </comment>
    <comment ref="M348" authorId="1" shapeId="0">
      <text>
        <r>
          <rPr>
            <b/>
            <sz val="9"/>
            <color indexed="81"/>
            <rFont val="Tahoma"/>
            <family val="2"/>
          </rPr>
          <t>Michael Lane:</t>
        </r>
        <r>
          <rPr>
            <sz val="9"/>
            <color indexed="81"/>
            <rFont val="Tahoma"/>
            <family val="2"/>
          </rPr>
          <t xml:space="preserve">
Changed Retrofit / TI / NC
</t>
        </r>
      </text>
    </comment>
    <comment ref="N348" authorId="0" shapeId="0">
      <text>
        <r>
          <rPr>
            <b/>
            <sz val="9"/>
            <color indexed="81"/>
            <rFont val="Tahoma"/>
            <family val="2"/>
          </rPr>
          <t>Michael lane:</t>
        </r>
        <r>
          <rPr>
            <sz val="9"/>
            <color indexed="81"/>
            <rFont val="Tahoma"/>
            <family val="2"/>
          </rPr>
          <t xml:space="preserve">
HVAC factor</t>
        </r>
      </text>
    </comment>
    <comment ref="M349" authorId="0" shapeId="0">
      <text>
        <r>
          <rPr>
            <b/>
            <sz val="9"/>
            <color indexed="81"/>
            <rFont val="Tahoma"/>
            <family val="2"/>
          </rPr>
          <t>Michael lane:</t>
        </r>
        <r>
          <rPr>
            <sz val="9"/>
            <color indexed="81"/>
            <rFont val="Tahoma"/>
            <family val="2"/>
          </rPr>
          <t xml:space="preserve">
Space Type incorrect due to Heat Type Change
</t>
        </r>
      </text>
    </comment>
    <comment ref="N349" authorId="0" shapeId="0">
      <text>
        <r>
          <rPr>
            <b/>
            <sz val="9"/>
            <color indexed="81"/>
            <rFont val="Tahoma"/>
            <family val="2"/>
          </rPr>
          <t>Michael lane:</t>
        </r>
        <r>
          <rPr>
            <sz val="9"/>
            <color indexed="81"/>
            <rFont val="Tahoma"/>
            <family val="2"/>
          </rPr>
          <t xml:space="preserve">
LPA</t>
        </r>
      </text>
    </comment>
    <comment ref="M353" authorId="1" shapeId="0">
      <text>
        <r>
          <rPr>
            <b/>
            <sz val="9"/>
            <color indexed="81"/>
            <rFont val="Tahoma"/>
            <family val="2"/>
          </rPr>
          <t>Michael Lane:</t>
        </r>
        <r>
          <rPr>
            <sz val="9"/>
            <color indexed="81"/>
            <rFont val="Tahoma"/>
            <family val="2"/>
          </rPr>
          <t xml:space="preserve">
Changed Retrofit / TI / NC
</t>
        </r>
      </text>
    </comment>
    <comment ref="N353" authorId="0" shapeId="0">
      <text>
        <r>
          <rPr>
            <b/>
            <sz val="9"/>
            <color indexed="81"/>
            <rFont val="Tahoma"/>
            <family val="2"/>
          </rPr>
          <t>Michael lane:</t>
        </r>
        <r>
          <rPr>
            <sz val="9"/>
            <color indexed="81"/>
            <rFont val="Tahoma"/>
            <family val="2"/>
          </rPr>
          <t xml:space="preserve">
HVAC factor</t>
        </r>
      </text>
    </comment>
    <comment ref="M354" authorId="0" shapeId="0">
      <text>
        <r>
          <rPr>
            <b/>
            <sz val="9"/>
            <color indexed="81"/>
            <rFont val="Tahoma"/>
            <family val="2"/>
          </rPr>
          <t>Michael lane:</t>
        </r>
        <r>
          <rPr>
            <sz val="9"/>
            <color indexed="81"/>
            <rFont val="Tahoma"/>
            <family val="2"/>
          </rPr>
          <t xml:space="preserve">
Space Type incorrect due to Heat Type Change
</t>
        </r>
      </text>
    </comment>
    <comment ref="N354" authorId="0" shapeId="0">
      <text>
        <r>
          <rPr>
            <b/>
            <sz val="9"/>
            <color indexed="81"/>
            <rFont val="Tahoma"/>
            <family val="2"/>
          </rPr>
          <t>Michael lane:</t>
        </r>
        <r>
          <rPr>
            <sz val="9"/>
            <color indexed="81"/>
            <rFont val="Tahoma"/>
            <family val="2"/>
          </rPr>
          <t xml:space="preserve">
LPA</t>
        </r>
      </text>
    </comment>
    <comment ref="M358" authorId="1" shapeId="0">
      <text>
        <r>
          <rPr>
            <b/>
            <sz val="9"/>
            <color indexed="81"/>
            <rFont val="Tahoma"/>
            <family val="2"/>
          </rPr>
          <t>Michael Lane:</t>
        </r>
        <r>
          <rPr>
            <sz val="9"/>
            <color indexed="81"/>
            <rFont val="Tahoma"/>
            <family val="2"/>
          </rPr>
          <t xml:space="preserve">
Changed Retrofit / TI / NC
</t>
        </r>
      </text>
    </comment>
    <comment ref="N358" authorId="0" shapeId="0">
      <text>
        <r>
          <rPr>
            <b/>
            <sz val="9"/>
            <color indexed="81"/>
            <rFont val="Tahoma"/>
            <family val="2"/>
          </rPr>
          <t>Michael lane:</t>
        </r>
        <r>
          <rPr>
            <sz val="9"/>
            <color indexed="81"/>
            <rFont val="Tahoma"/>
            <family val="2"/>
          </rPr>
          <t xml:space="preserve">
HVAC factor</t>
        </r>
      </text>
    </comment>
    <comment ref="M359" authorId="0" shapeId="0">
      <text>
        <r>
          <rPr>
            <b/>
            <sz val="9"/>
            <color indexed="81"/>
            <rFont val="Tahoma"/>
            <family val="2"/>
          </rPr>
          <t>Michael lane:</t>
        </r>
        <r>
          <rPr>
            <sz val="9"/>
            <color indexed="81"/>
            <rFont val="Tahoma"/>
            <family val="2"/>
          </rPr>
          <t xml:space="preserve">
Space Type incorrect due to Heat Type Change
</t>
        </r>
      </text>
    </comment>
    <comment ref="N359" authorId="0" shapeId="0">
      <text>
        <r>
          <rPr>
            <b/>
            <sz val="9"/>
            <color indexed="81"/>
            <rFont val="Tahoma"/>
            <family val="2"/>
          </rPr>
          <t>Michael lane:</t>
        </r>
        <r>
          <rPr>
            <sz val="9"/>
            <color indexed="81"/>
            <rFont val="Tahoma"/>
            <family val="2"/>
          </rPr>
          <t xml:space="preserve">
LPA</t>
        </r>
      </text>
    </comment>
    <comment ref="M363" authorId="1" shapeId="0">
      <text>
        <r>
          <rPr>
            <b/>
            <sz val="9"/>
            <color indexed="81"/>
            <rFont val="Tahoma"/>
            <family val="2"/>
          </rPr>
          <t>Michael Lane:</t>
        </r>
        <r>
          <rPr>
            <sz val="9"/>
            <color indexed="81"/>
            <rFont val="Tahoma"/>
            <family val="2"/>
          </rPr>
          <t xml:space="preserve">
Changed Retrofit / TI / NC
</t>
        </r>
      </text>
    </comment>
    <comment ref="N363" authorId="0" shapeId="0">
      <text>
        <r>
          <rPr>
            <b/>
            <sz val="9"/>
            <color indexed="81"/>
            <rFont val="Tahoma"/>
            <family val="2"/>
          </rPr>
          <t>Michael lane:</t>
        </r>
        <r>
          <rPr>
            <sz val="9"/>
            <color indexed="81"/>
            <rFont val="Tahoma"/>
            <family val="2"/>
          </rPr>
          <t xml:space="preserve">
HVAC factor</t>
        </r>
      </text>
    </comment>
    <comment ref="M364" authorId="0" shapeId="0">
      <text>
        <r>
          <rPr>
            <b/>
            <sz val="9"/>
            <color indexed="81"/>
            <rFont val="Tahoma"/>
            <family val="2"/>
          </rPr>
          <t>Michael lane:</t>
        </r>
        <r>
          <rPr>
            <sz val="9"/>
            <color indexed="81"/>
            <rFont val="Tahoma"/>
            <family val="2"/>
          </rPr>
          <t xml:space="preserve">
Space Type incorrect due to Heat Type Change
</t>
        </r>
      </text>
    </comment>
    <comment ref="N364" authorId="0" shapeId="0">
      <text>
        <r>
          <rPr>
            <b/>
            <sz val="9"/>
            <color indexed="81"/>
            <rFont val="Tahoma"/>
            <family val="2"/>
          </rPr>
          <t>Michael lane:</t>
        </r>
        <r>
          <rPr>
            <sz val="9"/>
            <color indexed="81"/>
            <rFont val="Tahoma"/>
            <family val="2"/>
          </rPr>
          <t xml:space="preserve">
LPA</t>
        </r>
      </text>
    </comment>
    <comment ref="M368" authorId="1" shapeId="0">
      <text>
        <r>
          <rPr>
            <b/>
            <sz val="9"/>
            <color indexed="81"/>
            <rFont val="Tahoma"/>
            <family val="2"/>
          </rPr>
          <t>Michael Lane:</t>
        </r>
        <r>
          <rPr>
            <sz val="9"/>
            <color indexed="81"/>
            <rFont val="Tahoma"/>
            <family val="2"/>
          </rPr>
          <t xml:space="preserve">
Changed Retrofit / TI / NC
</t>
        </r>
      </text>
    </comment>
    <comment ref="N368" authorId="0" shapeId="0">
      <text>
        <r>
          <rPr>
            <b/>
            <sz val="9"/>
            <color indexed="81"/>
            <rFont val="Tahoma"/>
            <family val="2"/>
          </rPr>
          <t>Michael lane:</t>
        </r>
        <r>
          <rPr>
            <sz val="9"/>
            <color indexed="81"/>
            <rFont val="Tahoma"/>
            <family val="2"/>
          </rPr>
          <t xml:space="preserve">
HVAC factor</t>
        </r>
      </text>
    </comment>
    <comment ref="M369" authorId="0" shapeId="0">
      <text>
        <r>
          <rPr>
            <b/>
            <sz val="9"/>
            <color indexed="81"/>
            <rFont val="Tahoma"/>
            <family val="2"/>
          </rPr>
          <t>Michael lane:</t>
        </r>
        <r>
          <rPr>
            <sz val="9"/>
            <color indexed="81"/>
            <rFont val="Tahoma"/>
            <family val="2"/>
          </rPr>
          <t xml:space="preserve">
Space Type incorrect due to Heat Type Change
</t>
        </r>
      </text>
    </comment>
    <comment ref="N369" authorId="0" shapeId="0">
      <text>
        <r>
          <rPr>
            <b/>
            <sz val="9"/>
            <color indexed="81"/>
            <rFont val="Tahoma"/>
            <family val="2"/>
          </rPr>
          <t>Michael lane:</t>
        </r>
        <r>
          <rPr>
            <sz val="9"/>
            <color indexed="81"/>
            <rFont val="Tahoma"/>
            <family val="2"/>
          </rPr>
          <t xml:space="preserve">
LPA</t>
        </r>
      </text>
    </comment>
    <comment ref="M373" authorId="1" shapeId="0">
      <text>
        <r>
          <rPr>
            <b/>
            <sz val="9"/>
            <color indexed="81"/>
            <rFont val="Tahoma"/>
            <family val="2"/>
          </rPr>
          <t>Michael Lane:</t>
        </r>
        <r>
          <rPr>
            <sz val="9"/>
            <color indexed="81"/>
            <rFont val="Tahoma"/>
            <family val="2"/>
          </rPr>
          <t xml:space="preserve">
Changed Retrofit / TI / NC
</t>
        </r>
      </text>
    </comment>
    <comment ref="N373" authorId="0" shapeId="0">
      <text>
        <r>
          <rPr>
            <b/>
            <sz val="9"/>
            <color indexed="81"/>
            <rFont val="Tahoma"/>
            <family val="2"/>
          </rPr>
          <t>Michael lane:</t>
        </r>
        <r>
          <rPr>
            <sz val="9"/>
            <color indexed="81"/>
            <rFont val="Tahoma"/>
            <family val="2"/>
          </rPr>
          <t xml:space="preserve">
HVAC factor</t>
        </r>
      </text>
    </comment>
    <comment ref="M374" authorId="0" shapeId="0">
      <text>
        <r>
          <rPr>
            <b/>
            <sz val="9"/>
            <color indexed="81"/>
            <rFont val="Tahoma"/>
            <family val="2"/>
          </rPr>
          <t>Michael lane:</t>
        </r>
        <r>
          <rPr>
            <sz val="9"/>
            <color indexed="81"/>
            <rFont val="Tahoma"/>
            <family val="2"/>
          </rPr>
          <t xml:space="preserve">
Space Type incorrect due to Heat Type Change
</t>
        </r>
      </text>
    </comment>
    <comment ref="N374" authorId="0" shapeId="0">
      <text>
        <r>
          <rPr>
            <b/>
            <sz val="9"/>
            <color indexed="81"/>
            <rFont val="Tahoma"/>
            <family val="2"/>
          </rPr>
          <t>Michael lane:</t>
        </r>
        <r>
          <rPr>
            <sz val="9"/>
            <color indexed="81"/>
            <rFont val="Tahoma"/>
            <family val="2"/>
          </rPr>
          <t xml:space="preserve">
LPA</t>
        </r>
      </text>
    </comment>
    <comment ref="M378" authorId="1" shapeId="0">
      <text>
        <r>
          <rPr>
            <b/>
            <sz val="9"/>
            <color indexed="81"/>
            <rFont val="Tahoma"/>
            <family val="2"/>
          </rPr>
          <t>Michael Lane:</t>
        </r>
        <r>
          <rPr>
            <sz val="9"/>
            <color indexed="81"/>
            <rFont val="Tahoma"/>
            <family val="2"/>
          </rPr>
          <t xml:space="preserve">
Changed Retrofit / TI / NC
</t>
        </r>
      </text>
    </comment>
    <comment ref="N378" authorId="0" shapeId="0">
      <text>
        <r>
          <rPr>
            <b/>
            <sz val="9"/>
            <color indexed="81"/>
            <rFont val="Tahoma"/>
            <family val="2"/>
          </rPr>
          <t>Michael lane:</t>
        </r>
        <r>
          <rPr>
            <sz val="9"/>
            <color indexed="81"/>
            <rFont val="Tahoma"/>
            <family val="2"/>
          </rPr>
          <t xml:space="preserve">
HVAC factor</t>
        </r>
      </text>
    </comment>
    <comment ref="M379" authorId="0" shapeId="0">
      <text>
        <r>
          <rPr>
            <b/>
            <sz val="9"/>
            <color indexed="81"/>
            <rFont val="Tahoma"/>
            <family val="2"/>
          </rPr>
          <t>Michael lane:</t>
        </r>
        <r>
          <rPr>
            <sz val="9"/>
            <color indexed="81"/>
            <rFont val="Tahoma"/>
            <family val="2"/>
          </rPr>
          <t xml:space="preserve">
Space Type incorrect due to Heat Type Change
</t>
        </r>
      </text>
    </comment>
    <comment ref="N379" authorId="0" shapeId="0">
      <text>
        <r>
          <rPr>
            <b/>
            <sz val="9"/>
            <color indexed="81"/>
            <rFont val="Tahoma"/>
            <family val="2"/>
          </rPr>
          <t>Michael lane:</t>
        </r>
        <r>
          <rPr>
            <sz val="9"/>
            <color indexed="81"/>
            <rFont val="Tahoma"/>
            <family val="2"/>
          </rPr>
          <t xml:space="preserve">
LPA</t>
        </r>
      </text>
    </comment>
    <comment ref="M383" authorId="1" shapeId="0">
      <text>
        <r>
          <rPr>
            <b/>
            <sz val="9"/>
            <color indexed="81"/>
            <rFont val="Tahoma"/>
            <family val="2"/>
          </rPr>
          <t>Michael Lane:</t>
        </r>
        <r>
          <rPr>
            <sz val="9"/>
            <color indexed="81"/>
            <rFont val="Tahoma"/>
            <family val="2"/>
          </rPr>
          <t xml:space="preserve">
Changed Retrofit / TI / NC
</t>
        </r>
      </text>
    </comment>
    <comment ref="N383" authorId="0" shapeId="0">
      <text>
        <r>
          <rPr>
            <b/>
            <sz val="9"/>
            <color indexed="81"/>
            <rFont val="Tahoma"/>
            <family val="2"/>
          </rPr>
          <t>Michael lane:</t>
        </r>
        <r>
          <rPr>
            <sz val="9"/>
            <color indexed="81"/>
            <rFont val="Tahoma"/>
            <family val="2"/>
          </rPr>
          <t xml:space="preserve">
HVAC factor</t>
        </r>
      </text>
    </comment>
    <comment ref="M384" authorId="0" shapeId="0">
      <text>
        <r>
          <rPr>
            <b/>
            <sz val="9"/>
            <color indexed="81"/>
            <rFont val="Tahoma"/>
            <family val="2"/>
          </rPr>
          <t>Michael lane:</t>
        </r>
        <r>
          <rPr>
            <sz val="9"/>
            <color indexed="81"/>
            <rFont val="Tahoma"/>
            <family val="2"/>
          </rPr>
          <t xml:space="preserve">
Space Type incorrect due to Heat Type Change
</t>
        </r>
      </text>
    </comment>
    <comment ref="N384" authorId="0" shapeId="0">
      <text>
        <r>
          <rPr>
            <b/>
            <sz val="9"/>
            <color indexed="81"/>
            <rFont val="Tahoma"/>
            <family val="2"/>
          </rPr>
          <t>Michael lane:</t>
        </r>
        <r>
          <rPr>
            <sz val="9"/>
            <color indexed="81"/>
            <rFont val="Tahoma"/>
            <family val="2"/>
          </rPr>
          <t xml:space="preserve">
LPA</t>
        </r>
      </text>
    </comment>
    <comment ref="M388" authorId="1" shapeId="0">
      <text>
        <r>
          <rPr>
            <b/>
            <sz val="9"/>
            <color indexed="81"/>
            <rFont val="Tahoma"/>
            <family val="2"/>
          </rPr>
          <t>Michael Lane:</t>
        </r>
        <r>
          <rPr>
            <sz val="9"/>
            <color indexed="81"/>
            <rFont val="Tahoma"/>
            <family val="2"/>
          </rPr>
          <t xml:space="preserve">
Changed Retrofit / TI / NC
</t>
        </r>
      </text>
    </comment>
    <comment ref="N388" authorId="0" shapeId="0">
      <text>
        <r>
          <rPr>
            <b/>
            <sz val="9"/>
            <color indexed="81"/>
            <rFont val="Tahoma"/>
            <family val="2"/>
          </rPr>
          <t>Michael lane:</t>
        </r>
        <r>
          <rPr>
            <sz val="9"/>
            <color indexed="81"/>
            <rFont val="Tahoma"/>
            <family val="2"/>
          </rPr>
          <t xml:space="preserve">
HVAC factor</t>
        </r>
      </text>
    </comment>
    <comment ref="M389" authorId="0" shapeId="0">
      <text>
        <r>
          <rPr>
            <b/>
            <sz val="9"/>
            <color indexed="81"/>
            <rFont val="Tahoma"/>
            <family val="2"/>
          </rPr>
          <t>Michael lane:</t>
        </r>
        <r>
          <rPr>
            <sz val="9"/>
            <color indexed="81"/>
            <rFont val="Tahoma"/>
            <family val="2"/>
          </rPr>
          <t xml:space="preserve">
Space Type incorrect due to Heat Type Change
</t>
        </r>
      </text>
    </comment>
    <comment ref="N389" authorId="0" shapeId="0">
      <text>
        <r>
          <rPr>
            <b/>
            <sz val="9"/>
            <color indexed="81"/>
            <rFont val="Tahoma"/>
            <family val="2"/>
          </rPr>
          <t>Michael lane:</t>
        </r>
        <r>
          <rPr>
            <sz val="9"/>
            <color indexed="81"/>
            <rFont val="Tahoma"/>
            <family val="2"/>
          </rPr>
          <t xml:space="preserve">
LPA</t>
        </r>
      </text>
    </comment>
    <comment ref="M393" authorId="1" shapeId="0">
      <text>
        <r>
          <rPr>
            <b/>
            <sz val="9"/>
            <color indexed="81"/>
            <rFont val="Tahoma"/>
            <family val="2"/>
          </rPr>
          <t>Michael Lane:</t>
        </r>
        <r>
          <rPr>
            <sz val="9"/>
            <color indexed="81"/>
            <rFont val="Tahoma"/>
            <family val="2"/>
          </rPr>
          <t xml:space="preserve">
Changed Retrofit / TI / NC
</t>
        </r>
      </text>
    </comment>
    <comment ref="N393" authorId="0" shapeId="0">
      <text>
        <r>
          <rPr>
            <b/>
            <sz val="9"/>
            <color indexed="81"/>
            <rFont val="Tahoma"/>
            <family val="2"/>
          </rPr>
          <t>Michael lane:</t>
        </r>
        <r>
          <rPr>
            <sz val="9"/>
            <color indexed="81"/>
            <rFont val="Tahoma"/>
            <family val="2"/>
          </rPr>
          <t xml:space="preserve">
HVAC factor</t>
        </r>
      </text>
    </comment>
    <comment ref="M394" authorId="0" shapeId="0">
      <text>
        <r>
          <rPr>
            <b/>
            <sz val="9"/>
            <color indexed="81"/>
            <rFont val="Tahoma"/>
            <family val="2"/>
          </rPr>
          <t>Michael lane:</t>
        </r>
        <r>
          <rPr>
            <sz val="9"/>
            <color indexed="81"/>
            <rFont val="Tahoma"/>
            <family val="2"/>
          </rPr>
          <t xml:space="preserve">
Space Type incorrect due to Heat Type Change
</t>
        </r>
      </text>
    </comment>
    <comment ref="N394" authorId="0" shapeId="0">
      <text>
        <r>
          <rPr>
            <b/>
            <sz val="9"/>
            <color indexed="81"/>
            <rFont val="Tahoma"/>
            <family val="2"/>
          </rPr>
          <t>Michael lane:</t>
        </r>
        <r>
          <rPr>
            <sz val="9"/>
            <color indexed="81"/>
            <rFont val="Tahoma"/>
            <family val="2"/>
          </rPr>
          <t xml:space="preserve">
LPA</t>
        </r>
      </text>
    </comment>
    <comment ref="M398" authorId="1" shapeId="0">
      <text>
        <r>
          <rPr>
            <b/>
            <sz val="9"/>
            <color indexed="81"/>
            <rFont val="Tahoma"/>
            <family val="2"/>
          </rPr>
          <t>Michael Lane:</t>
        </r>
        <r>
          <rPr>
            <sz val="9"/>
            <color indexed="81"/>
            <rFont val="Tahoma"/>
            <family val="2"/>
          </rPr>
          <t xml:space="preserve">
Changed Retrofit / TI / NC
</t>
        </r>
      </text>
    </comment>
    <comment ref="N398" authorId="0" shapeId="0">
      <text>
        <r>
          <rPr>
            <b/>
            <sz val="9"/>
            <color indexed="81"/>
            <rFont val="Tahoma"/>
            <family val="2"/>
          </rPr>
          <t>Michael lane:</t>
        </r>
        <r>
          <rPr>
            <sz val="9"/>
            <color indexed="81"/>
            <rFont val="Tahoma"/>
            <family val="2"/>
          </rPr>
          <t xml:space="preserve">
HVAC factor</t>
        </r>
      </text>
    </comment>
    <comment ref="M399" authorId="0" shapeId="0">
      <text>
        <r>
          <rPr>
            <b/>
            <sz val="9"/>
            <color indexed="81"/>
            <rFont val="Tahoma"/>
            <family val="2"/>
          </rPr>
          <t>Michael lane:</t>
        </r>
        <r>
          <rPr>
            <sz val="9"/>
            <color indexed="81"/>
            <rFont val="Tahoma"/>
            <family val="2"/>
          </rPr>
          <t xml:space="preserve">
Space Type incorrect due to Heat Type Change
</t>
        </r>
      </text>
    </comment>
    <comment ref="N399" authorId="0" shapeId="0">
      <text>
        <r>
          <rPr>
            <b/>
            <sz val="9"/>
            <color indexed="81"/>
            <rFont val="Tahoma"/>
            <family val="2"/>
          </rPr>
          <t>Michael lane:</t>
        </r>
        <r>
          <rPr>
            <sz val="9"/>
            <color indexed="81"/>
            <rFont val="Tahoma"/>
            <family val="2"/>
          </rPr>
          <t xml:space="preserve">
LPA</t>
        </r>
      </text>
    </comment>
    <comment ref="M406" authorId="1" shapeId="0">
      <text>
        <r>
          <rPr>
            <b/>
            <sz val="9"/>
            <color indexed="81"/>
            <rFont val="Tahoma"/>
            <family val="2"/>
          </rPr>
          <t>Michael Lane:</t>
        </r>
        <r>
          <rPr>
            <sz val="9"/>
            <color indexed="81"/>
            <rFont val="Tahoma"/>
            <family val="2"/>
          </rPr>
          <t xml:space="preserve">
Changed Retrofit / TI / NC
</t>
        </r>
      </text>
    </comment>
    <comment ref="N406" authorId="0" shapeId="0">
      <text>
        <r>
          <rPr>
            <b/>
            <sz val="9"/>
            <color indexed="81"/>
            <rFont val="Tahoma"/>
            <family val="2"/>
          </rPr>
          <t>Michael lane:</t>
        </r>
        <r>
          <rPr>
            <sz val="9"/>
            <color indexed="81"/>
            <rFont val="Tahoma"/>
            <family val="2"/>
          </rPr>
          <t xml:space="preserve">
HVAC factor</t>
        </r>
      </text>
    </comment>
    <comment ref="M407" authorId="0" shapeId="0">
      <text>
        <r>
          <rPr>
            <b/>
            <sz val="9"/>
            <color indexed="81"/>
            <rFont val="Tahoma"/>
            <family val="2"/>
          </rPr>
          <t>Michael lane:</t>
        </r>
        <r>
          <rPr>
            <sz val="9"/>
            <color indexed="81"/>
            <rFont val="Tahoma"/>
            <family val="2"/>
          </rPr>
          <t xml:space="preserve">
Space Type incorrect due to Heat Type Change
</t>
        </r>
      </text>
    </comment>
    <comment ref="N407" authorId="0" shapeId="0">
      <text>
        <r>
          <rPr>
            <b/>
            <sz val="9"/>
            <color indexed="81"/>
            <rFont val="Tahoma"/>
            <family val="2"/>
          </rPr>
          <t>Michael lane:</t>
        </r>
        <r>
          <rPr>
            <sz val="9"/>
            <color indexed="81"/>
            <rFont val="Tahoma"/>
            <family val="2"/>
          </rPr>
          <t xml:space="preserve">
LPA</t>
        </r>
      </text>
    </comment>
    <comment ref="M411" authorId="1" shapeId="0">
      <text>
        <r>
          <rPr>
            <b/>
            <sz val="9"/>
            <color indexed="81"/>
            <rFont val="Tahoma"/>
            <family val="2"/>
          </rPr>
          <t>Michael Lane:</t>
        </r>
        <r>
          <rPr>
            <sz val="9"/>
            <color indexed="81"/>
            <rFont val="Tahoma"/>
            <family val="2"/>
          </rPr>
          <t xml:space="preserve">
Changed Retrofit / TI / NC
</t>
        </r>
      </text>
    </comment>
    <comment ref="N411" authorId="0" shapeId="0">
      <text>
        <r>
          <rPr>
            <b/>
            <sz val="9"/>
            <color indexed="81"/>
            <rFont val="Tahoma"/>
            <family val="2"/>
          </rPr>
          <t>Michael lane:</t>
        </r>
        <r>
          <rPr>
            <sz val="9"/>
            <color indexed="81"/>
            <rFont val="Tahoma"/>
            <family val="2"/>
          </rPr>
          <t xml:space="preserve">
HVAC factor</t>
        </r>
      </text>
    </comment>
    <comment ref="M412" authorId="0" shapeId="0">
      <text>
        <r>
          <rPr>
            <b/>
            <sz val="9"/>
            <color indexed="81"/>
            <rFont val="Tahoma"/>
            <family val="2"/>
          </rPr>
          <t>Michael lane:</t>
        </r>
        <r>
          <rPr>
            <sz val="9"/>
            <color indexed="81"/>
            <rFont val="Tahoma"/>
            <family val="2"/>
          </rPr>
          <t xml:space="preserve">
Space Type incorrect due to Heat Type Change
</t>
        </r>
      </text>
    </comment>
    <comment ref="N412" authorId="0" shapeId="0">
      <text>
        <r>
          <rPr>
            <b/>
            <sz val="9"/>
            <color indexed="81"/>
            <rFont val="Tahoma"/>
            <family val="2"/>
          </rPr>
          <t>Michael lane:</t>
        </r>
        <r>
          <rPr>
            <sz val="9"/>
            <color indexed="81"/>
            <rFont val="Tahoma"/>
            <family val="2"/>
          </rPr>
          <t xml:space="preserve">
LPA</t>
        </r>
      </text>
    </comment>
    <comment ref="M416" authorId="1" shapeId="0">
      <text>
        <r>
          <rPr>
            <b/>
            <sz val="9"/>
            <color indexed="81"/>
            <rFont val="Tahoma"/>
            <family val="2"/>
          </rPr>
          <t>Michael Lane:</t>
        </r>
        <r>
          <rPr>
            <sz val="9"/>
            <color indexed="81"/>
            <rFont val="Tahoma"/>
            <family val="2"/>
          </rPr>
          <t xml:space="preserve">
Changed Retrofit / TI / NC
</t>
        </r>
      </text>
    </comment>
    <comment ref="N416" authorId="0" shapeId="0">
      <text>
        <r>
          <rPr>
            <b/>
            <sz val="9"/>
            <color indexed="81"/>
            <rFont val="Tahoma"/>
            <family val="2"/>
          </rPr>
          <t>Michael lane:</t>
        </r>
        <r>
          <rPr>
            <sz val="9"/>
            <color indexed="81"/>
            <rFont val="Tahoma"/>
            <family val="2"/>
          </rPr>
          <t xml:space="preserve">
HVAC factor</t>
        </r>
      </text>
    </comment>
    <comment ref="M417" authorId="0" shapeId="0">
      <text>
        <r>
          <rPr>
            <b/>
            <sz val="9"/>
            <color indexed="81"/>
            <rFont val="Tahoma"/>
            <family val="2"/>
          </rPr>
          <t>Michael lane:</t>
        </r>
        <r>
          <rPr>
            <sz val="9"/>
            <color indexed="81"/>
            <rFont val="Tahoma"/>
            <family val="2"/>
          </rPr>
          <t xml:space="preserve">
Space Type incorrect due to Heat Type Change
</t>
        </r>
      </text>
    </comment>
    <comment ref="N417" authorId="0" shapeId="0">
      <text>
        <r>
          <rPr>
            <b/>
            <sz val="9"/>
            <color indexed="81"/>
            <rFont val="Tahoma"/>
            <family val="2"/>
          </rPr>
          <t>Michael lane:</t>
        </r>
        <r>
          <rPr>
            <sz val="9"/>
            <color indexed="81"/>
            <rFont val="Tahoma"/>
            <family val="2"/>
          </rPr>
          <t xml:space="preserve">
LPA</t>
        </r>
      </text>
    </comment>
    <comment ref="M421" authorId="1" shapeId="0">
      <text>
        <r>
          <rPr>
            <b/>
            <sz val="9"/>
            <color indexed="81"/>
            <rFont val="Tahoma"/>
            <family val="2"/>
          </rPr>
          <t>Michael Lane:</t>
        </r>
        <r>
          <rPr>
            <sz val="9"/>
            <color indexed="81"/>
            <rFont val="Tahoma"/>
            <family val="2"/>
          </rPr>
          <t xml:space="preserve">
Changed Retrofit / TI / NC
</t>
        </r>
      </text>
    </comment>
    <comment ref="N421" authorId="0" shapeId="0">
      <text>
        <r>
          <rPr>
            <b/>
            <sz val="9"/>
            <color indexed="81"/>
            <rFont val="Tahoma"/>
            <family val="2"/>
          </rPr>
          <t>Michael lane:</t>
        </r>
        <r>
          <rPr>
            <sz val="9"/>
            <color indexed="81"/>
            <rFont val="Tahoma"/>
            <family val="2"/>
          </rPr>
          <t xml:space="preserve">
HVAC factor</t>
        </r>
      </text>
    </comment>
    <comment ref="M422" authorId="0" shapeId="0">
      <text>
        <r>
          <rPr>
            <b/>
            <sz val="9"/>
            <color indexed="81"/>
            <rFont val="Tahoma"/>
            <family val="2"/>
          </rPr>
          <t>Michael lane:</t>
        </r>
        <r>
          <rPr>
            <sz val="9"/>
            <color indexed="81"/>
            <rFont val="Tahoma"/>
            <family val="2"/>
          </rPr>
          <t xml:space="preserve">
Space Type incorrect due to Heat Type Change
</t>
        </r>
      </text>
    </comment>
    <comment ref="N422" authorId="0" shapeId="0">
      <text>
        <r>
          <rPr>
            <b/>
            <sz val="9"/>
            <color indexed="81"/>
            <rFont val="Tahoma"/>
            <family val="2"/>
          </rPr>
          <t>Michael lane:</t>
        </r>
        <r>
          <rPr>
            <sz val="9"/>
            <color indexed="81"/>
            <rFont val="Tahoma"/>
            <family val="2"/>
          </rPr>
          <t xml:space="preserve">
LPA</t>
        </r>
      </text>
    </comment>
    <comment ref="M426" authorId="1" shapeId="0">
      <text>
        <r>
          <rPr>
            <b/>
            <sz val="9"/>
            <color indexed="81"/>
            <rFont val="Tahoma"/>
            <family val="2"/>
          </rPr>
          <t>Michael Lane:</t>
        </r>
        <r>
          <rPr>
            <sz val="9"/>
            <color indexed="81"/>
            <rFont val="Tahoma"/>
            <family val="2"/>
          </rPr>
          <t xml:space="preserve">
Changed Retrofit / TI / NC
</t>
        </r>
      </text>
    </comment>
    <comment ref="N426" authorId="0" shapeId="0">
      <text>
        <r>
          <rPr>
            <b/>
            <sz val="9"/>
            <color indexed="81"/>
            <rFont val="Tahoma"/>
            <family val="2"/>
          </rPr>
          <t>Michael lane:</t>
        </r>
        <r>
          <rPr>
            <sz val="9"/>
            <color indexed="81"/>
            <rFont val="Tahoma"/>
            <family val="2"/>
          </rPr>
          <t xml:space="preserve">
HVAC factor</t>
        </r>
      </text>
    </comment>
    <comment ref="M427" authorId="0" shapeId="0">
      <text>
        <r>
          <rPr>
            <b/>
            <sz val="9"/>
            <color indexed="81"/>
            <rFont val="Tahoma"/>
            <family val="2"/>
          </rPr>
          <t>Michael lane:</t>
        </r>
        <r>
          <rPr>
            <sz val="9"/>
            <color indexed="81"/>
            <rFont val="Tahoma"/>
            <family val="2"/>
          </rPr>
          <t xml:space="preserve">
Space Type incorrect due to Heat Type Change
</t>
        </r>
      </text>
    </comment>
    <comment ref="N427" authorId="0" shapeId="0">
      <text>
        <r>
          <rPr>
            <b/>
            <sz val="9"/>
            <color indexed="81"/>
            <rFont val="Tahoma"/>
            <family val="2"/>
          </rPr>
          <t>Michael lane:</t>
        </r>
        <r>
          <rPr>
            <sz val="9"/>
            <color indexed="81"/>
            <rFont val="Tahoma"/>
            <family val="2"/>
          </rPr>
          <t xml:space="preserve">
LPA</t>
        </r>
      </text>
    </comment>
    <comment ref="M431" authorId="1" shapeId="0">
      <text>
        <r>
          <rPr>
            <b/>
            <sz val="9"/>
            <color indexed="81"/>
            <rFont val="Tahoma"/>
            <family val="2"/>
          </rPr>
          <t>Michael Lane:</t>
        </r>
        <r>
          <rPr>
            <sz val="9"/>
            <color indexed="81"/>
            <rFont val="Tahoma"/>
            <family val="2"/>
          </rPr>
          <t xml:space="preserve">
Changed Retrofit / TI / NC
</t>
        </r>
      </text>
    </comment>
    <comment ref="N431" authorId="0" shapeId="0">
      <text>
        <r>
          <rPr>
            <b/>
            <sz val="9"/>
            <color indexed="81"/>
            <rFont val="Tahoma"/>
            <family val="2"/>
          </rPr>
          <t>Michael lane:</t>
        </r>
        <r>
          <rPr>
            <sz val="9"/>
            <color indexed="81"/>
            <rFont val="Tahoma"/>
            <family val="2"/>
          </rPr>
          <t xml:space="preserve">
HVAC factor</t>
        </r>
      </text>
    </comment>
    <comment ref="M432" authorId="0" shapeId="0">
      <text>
        <r>
          <rPr>
            <b/>
            <sz val="9"/>
            <color indexed="81"/>
            <rFont val="Tahoma"/>
            <family val="2"/>
          </rPr>
          <t>Michael lane:</t>
        </r>
        <r>
          <rPr>
            <sz val="9"/>
            <color indexed="81"/>
            <rFont val="Tahoma"/>
            <family val="2"/>
          </rPr>
          <t xml:space="preserve">
Space Type incorrect due to Heat Type Change
</t>
        </r>
      </text>
    </comment>
    <comment ref="N432" authorId="0" shapeId="0">
      <text>
        <r>
          <rPr>
            <b/>
            <sz val="9"/>
            <color indexed="81"/>
            <rFont val="Tahoma"/>
            <family val="2"/>
          </rPr>
          <t>Michael lane:</t>
        </r>
        <r>
          <rPr>
            <sz val="9"/>
            <color indexed="81"/>
            <rFont val="Tahoma"/>
            <family val="2"/>
          </rPr>
          <t xml:space="preserve">
LPA</t>
        </r>
      </text>
    </comment>
    <comment ref="M436" authorId="1" shapeId="0">
      <text>
        <r>
          <rPr>
            <b/>
            <sz val="9"/>
            <color indexed="81"/>
            <rFont val="Tahoma"/>
            <family val="2"/>
          </rPr>
          <t>Michael Lane:</t>
        </r>
        <r>
          <rPr>
            <sz val="9"/>
            <color indexed="81"/>
            <rFont val="Tahoma"/>
            <family val="2"/>
          </rPr>
          <t xml:space="preserve">
Changed Retrofit / TI / NC
</t>
        </r>
      </text>
    </comment>
    <comment ref="N436" authorId="0" shapeId="0">
      <text>
        <r>
          <rPr>
            <b/>
            <sz val="9"/>
            <color indexed="81"/>
            <rFont val="Tahoma"/>
            <family val="2"/>
          </rPr>
          <t>Michael lane:</t>
        </r>
        <r>
          <rPr>
            <sz val="9"/>
            <color indexed="81"/>
            <rFont val="Tahoma"/>
            <family val="2"/>
          </rPr>
          <t xml:space="preserve">
HVAC factor</t>
        </r>
      </text>
    </comment>
    <comment ref="M437" authorId="0" shapeId="0">
      <text>
        <r>
          <rPr>
            <b/>
            <sz val="9"/>
            <color indexed="81"/>
            <rFont val="Tahoma"/>
            <family val="2"/>
          </rPr>
          <t>Michael lane:</t>
        </r>
        <r>
          <rPr>
            <sz val="9"/>
            <color indexed="81"/>
            <rFont val="Tahoma"/>
            <family val="2"/>
          </rPr>
          <t xml:space="preserve">
Space Type incorrect due to Heat Type Change
</t>
        </r>
      </text>
    </comment>
    <comment ref="N437" authorId="0" shapeId="0">
      <text>
        <r>
          <rPr>
            <b/>
            <sz val="9"/>
            <color indexed="81"/>
            <rFont val="Tahoma"/>
            <family val="2"/>
          </rPr>
          <t>Michael lane:</t>
        </r>
        <r>
          <rPr>
            <sz val="9"/>
            <color indexed="81"/>
            <rFont val="Tahoma"/>
            <family val="2"/>
          </rPr>
          <t xml:space="preserve">
LPA</t>
        </r>
      </text>
    </comment>
    <comment ref="M441" authorId="1" shapeId="0">
      <text>
        <r>
          <rPr>
            <b/>
            <sz val="9"/>
            <color indexed="81"/>
            <rFont val="Tahoma"/>
            <family val="2"/>
          </rPr>
          <t>Michael Lane:</t>
        </r>
        <r>
          <rPr>
            <sz val="9"/>
            <color indexed="81"/>
            <rFont val="Tahoma"/>
            <family val="2"/>
          </rPr>
          <t xml:space="preserve">
Changed Retrofit / TI / NC
</t>
        </r>
      </text>
    </comment>
    <comment ref="N441" authorId="0" shapeId="0">
      <text>
        <r>
          <rPr>
            <b/>
            <sz val="9"/>
            <color indexed="81"/>
            <rFont val="Tahoma"/>
            <family val="2"/>
          </rPr>
          <t>Michael lane:</t>
        </r>
        <r>
          <rPr>
            <sz val="9"/>
            <color indexed="81"/>
            <rFont val="Tahoma"/>
            <family val="2"/>
          </rPr>
          <t xml:space="preserve">
HVAC factor</t>
        </r>
      </text>
    </comment>
    <comment ref="M442" authorId="0" shapeId="0">
      <text>
        <r>
          <rPr>
            <b/>
            <sz val="9"/>
            <color indexed="81"/>
            <rFont val="Tahoma"/>
            <family val="2"/>
          </rPr>
          <t>Michael lane:</t>
        </r>
        <r>
          <rPr>
            <sz val="9"/>
            <color indexed="81"/>
            <rFont val="Tahoma"/>
            <family val="2"/>
          </rPr>
          <t xml:space="preserve">
Space Type incorrect due to Heat Type Change
</t>
        </r>
      </text>
    </comment>
    <comment ref="N442" authorId="0" shapeId="0">
      <text>
        <r>
          <rPr>
            <b/>
            <sz val="9"/>
            <color indexed="81"/>
            <rFont val="Tahoma"/>
            <family val="2"/>
          </rPr>
          <t>Michael lane:</t>
        </r>
        <r>
          <rPr>
            <sz val="9"/>
            <color indexed="81"/>
            <rFont val="Tahoma"/>
            <family val="2"/>
          </rPr>
          <t xml:space="preserve">
LPA</t>
        </r>
      </text>
    </comment>
    <comment ref="M446" authorId="1" shapeId="0">
      <text>
        <r>
          <rPr>
            <b/>
            <sz val="9"/>
            <color indexed="81"/>
            <rFont val="Tahoma"/>
            <family val="2"/>
          </rPr>
          <t>Michael Lane:</t>
        </r>
        <r>
          <rPr>
            <sz val="9"/>
            <color indexed="81"/>
            <rFont val="Tahoma"/>
            <family val="2"/>
          </rPr>
          <t xml:space="preserve">
Changed Retrofit / TI / NC
</t>
        </r>
      </text>
    </comment>
    <comment ref="N446" authorId="0" shapeId="0">
      <text>
        <r>
          <rPr>
            <b/>
            <sz val="9"/>
            <color indexed="81"/>
            <rFont val="Tahoma"/>
            <family val="2"/>
          </rPr>
          <t>Michael lane:</t>
        </r>
        <r>
          <rPr>
            <sz val="9"/>
            <color indexed="81"/>
            <rFont val="Tahoma"/>
            <family val="2"/>
          </rPr>
          <t xml:space="preserve">
HVAC factor</t>
        </r>
      </text>
    </comment>
    <comment ref="M447" authorId="0" shapeId="0">
      <text>
        <r>
          <rPr>
            <b/>
            <sz val="9"/>
            <color indexed="81"/>
            <rFont val="Tahoma"/>
            <family val="2"/>
          </rPr>
          <t>Michael lane:</t>
        </r>
        <r>
          <rPr>
            <sz val="9"/>
            <color indexed="81"/>
            <rFont val="Tahoma"/>
            <family val="2"/>
          </rPr>
          <t xml:space="preserve">
Space Type incorrect due to Heat Type Change
</t>
        </r>
      </text>
    </comment>
    <comment ref="N447" authorId="0" shapeId="0">
      <text>
        <r>
          <rPr>
            <b/>
            <sz val="9"/>
            <color indexed="81"/>
            <rFont val="Tahoma"/>
            <family val="2"/>
          </rPr>
          <t>Michael lane:</t>
        </r>
        <r>
          <rPr>
            <sz val="9"/>
            <color indexed="81"/>
            <rFont val="Tahoma"/>
            <family val="2"/>
          </rPr>
          <t xml:space="preserve">
LPA</t>
        </r>
      </text>
    </comment>
    <comment ref="M451" authorId="1" shapeId="0">
      <text>
        <r>
          <rPr>
            <b/>
            <sz val="9"/>
            <color indexed="81"/>
            <rFont val="Tahoma"/>
            <family val="2"/>
          </rPr>
          <t>Michael Lane:</t>
        </r>
        <r>
          <rPr>
            <sz val="9"/>
            <color indexed="81"/>
            <rFont val="Tahoma"/>
            <family val="2"/>
          </rPr>
          <t xml:space="preserve">
Changed Retrofit / TI / NC
</t>
        </r>
      </text>
    </comment>
    <comment ref="N451" authorId="0" shapeId="0">
      <text>
        <r>
          <rPr>
            <b/>
            <sz val="9"/>
            <color indexed="81"/>
            <rFont val="Tahoma"/>
            <family val="2"/>
          </rPr>
          <t>Michael lane:</t>
        </r>
        <r>
          <rPr>
            <sz val="9"/>
            <color indexed="81"/>
            <rFont val="Tahoma"/>
            <family val="2"/>
          </rPr>
          <t xml:space="preserve">
HVAC factor</t>
        </r>
      </text>
    </comment>
    <comment ref="M452" authorId="0" shapeId="0">
      <text>
        <r>
          <rPr>
            <b/>
            <sz val="9"/>
            <color indexed="81"/>
            <rFont val="Tahoma"/>
            <family val="2"/>
          </rPr>
          <t>Michael lane:</t>
        </r>
        <r>
          <rPr>
            <sz val="9"/>
            <color indexed="81"/>
            <rFont val="Tahoma"/>
            <family val="2"/>
          </rPr>
          <t xml:space="preserve">
Space Type incorrect due to Heat Type Change
</t>
        </r>
      </text>
    </comment>
    <comment ref="N452" authorId="0" shapeId="0">
      <text>
        <r>
          <rPr>
            <b/>
            <sz val="9"/>
            <color indexed="81"/>
            <rFont val="Tahoma"/>
            <family val="2"/>
          </rPr>
          <t>Michael lane:</t>
        </r>
        <r>
          <rPr>
            <sz val="9"/>
            <color indexed="81"/>
            <rFont val="Tahoma"/>
            <family val="2"/>
          </rPr>
          <t xml:space="preserve">
LPA</t>
        </r>
      </text>
    </comment>
    <comment ref="M456" authorId="1" shapeId="0">
      <text>
        <r>
          <rPr>
            <b/>
            <sz val="9"/>
            <color indexed="81"/>
            <rFont val="Tahoma"/>
            <family val="2"/>
          </rPr>
          <t>Michael Lane:</t>
        </r>
        <r>
          <rPr>
            <sz val="9"/>
            <color indexed="81"/>
            <rFont val="Tahoma"/>
            <family val="2"/>
          </rPr>
          <t xml:space="preserve">
Changed Retrofit / TI / NC
</t>
        </r>
      </text>
    </comment>
    <comment ref="N456" authorId="0" shapeId="0">
      <text>
        <r>
          <rPr>
            <b/>
            <sz val="9"/>
            <color indexed="81"/>
            <rFont val="Tahoma"/>
            <family val="2"/>
          </rPr>
          <t>Michael lane:</t>
        </r>
        <r>
          <rPr>
            <sz val="9"/>
            <color indexed="81"/>
            <rFont val="Tahoma"/>
            <family val="2"/>
          </rPr>
          <t xml:space="preserve">
HVAC factor</t>
        </r>
      </text>
    </comment>
    <comment ref="M457" authorId="0" shapeId="0">
      <text>
        <r>
          <rPr>
            <b/>
            <sz val="9"/>
            <color indexed="81"/>
            <rFont val="Tahoma"/>
            <family val="2"/>
          </rPr>
          <t>Michael lane:</t>
        </r>
        <r>
          <rPr>
            <sz val="9"/>
            <color indexed="81"/>
            <rFont val="Tahoma"/>
            <family val="2"/>
          </rPr>
          <t xml:space="preserve">
Space Type incorrect due to Heat Type Change
</t>
        </r>
      </text>
    </comment>
    <comment ref="N457" authorId="0" shapeId="0">
      <text>
        <r>
          <rPr>
            <b/>
            <sz val="9"/>
            <color indexed="81"/>
            <rFont val="Tahoma"/>
            <family val="2"/>
          </rPr>
          <t>Michael lane:</t>
        </r>
        <r>
          <rPr>
            <sz val="9"/>
            <color indexed="81"/>
            <rFont val="Tahoma"/>
            <family val="2"/>
          </rPr>
          <t xml:space="preserve">
LPA</t>
        </r>
      </text>
    </comment>
    <comment ref="M461" authorId="1" shapeId="0">
      <text>
        <r>
          <rPr>
            <b/>
            <sz val="9"/>
            <color indexed="81"/>
            <rFont val="Tahoma"/>
            <family val="2"/>
          </rPr>
          <t>Michael Lane:</t>
        </r>
        <r>
          <rPr>
            <sz val="9"/>
            <color indexed="81"/>
            <rFont val="Tahoma"/>
            <family val="2"/>
          </rPr>
          <t xml:space="preserve">
Changed Retrofit / TI / NC
</t>
        </r>
      </text>
    </comment>
    <comment ref="N461" authorId="0" shapeId="0">
      <text>
        <r>
          <rPr>
            <b/>
            <sz val="9"/>
            <color indexed="81"/>
            <rFont val="Tahoma"/>
            <family val="2"/>
          </rPr>
          <t>Michael lane:</t>
        </r>
        <r>
          <rPr>
            <sz val="9"/>
            <color indexed="81"/>
            <rFont val="Tahoma"/>
            <family val="2"/>
          </rPr>
          <t xml:space="preserve">
HVAC factor</t>
        </r>
      </text>
    </comment>
    <comment ref="M462" authorId="0" shapeId="0">
      <text>
        <r>
          <rPr>
            <b/>
            <sz val="9"/>
            <color indexed="81"/>
            <rFont val="Tahoma"/>
            <family val="2"/>
          </rPr>
          <t>Michael lane:</t>
        </r>
        <r>
          <rPr>
            <sz val="9"/>
            <color indexed="81"/>
            <rFont val="Tahoma"/>
            <family val="2"/>
          </rPr>
          <t xml:space="preserve">
Space Type incorrect due to Heat Type Change
</t>
        </r>
      </text>
    </comment>
    <comment ref="N462" authorId="0" shapeId="0">
      <text>
        <r>
          <rPr>
            <b/>
            <sz val="9"/>
            <color indexed="81"/>
            <rFont val="Tahoma"/>
            <family val="2"/>
          </rPr>
          <t>Michael lane:</t>
        </r>
        <r>
          <rPr>
            <sz val="9"/>
            <color indexed="81"/>
            <rFont val="Tahoma"/>
            <family val="2"/>
          </rPr>
          <t xml:space="preserve">
LPA</t>
        </r>
      </text>
    </comment>
    <comment ref="M466" authorId="1" shapeId="0">
      <text>
        <r>
          <rPr>
            <b/>
            <sz val="9"/>
            <color indexed="81"/>
            <rFont val="Tahoma"/>
            <family val="2"/>
          </rPr>
          <t>Michael Lane:</t>
        </r>
        <r>
          <rPr>
            <sz val="9"/>
            <color indexed="81"/>
            <rFont val="Tahoma"/>
            <family val="2"/>
          </rPr>
          <t xml:space="preserve">
Changed Retrofit / TI / NC
</t>
        </r>
      </text>
    </comment>
    <comment ref="N466" authorId="0" shapeId="0">
      <text>
        <r>
          <rPr>
            <b/>
            <sz val="9"/>
            <color indexed="81"/>
            <rFont val="Tahoma"/>
            <family val="2"/>
          </rPr>
          <t>Michael lane:</t>
        </r>
        <r>
          <rPr>
            <sz val="9"/>
            <color indexed="81"/>
            <rFont val="Tahoma"/>
            <family val="2"/>
          </rPr>
          <t xml:space="preserve">
HVAC factor</t>
        </r>
      </text>
    </comment>
    <comment ref="M467" authorId="0" shapeId="0">
      <text>
        <r>
          <rPr>
            <b/>
            <sz val="9"/>
            <color indexed="81"/>
            <rFont val="Tahoma"/>
            <family val="2"/>
          </rPr>
          <t>Michael lane:</t>
        </r>
        <r>
          <rPr>
            <sz val="9"/>
            <color indexed="81"/>
            <rFont val="Tahoma"/>
            <family val="2"/>
          </rPr>
          <t xml:space="preserve">
Space Type incorrect due to Heat Type Change
</t>
        </r>
      </text>
    </comment>
    <comment ref="N467" authorId="0" shapeId="0">
      <text>
        <r>
          <rPr>
            <b/>
            <sz val="9"/>
            <color indexed="81"/>
            <rFont val="Tahoma"/>
            <family val="2"/>
          </rPr>
          <t>Michael lane:</t>
        </r>
        <r>
          <rPr>
            <sz val="9"/>
            <color indexed="81"/>
            <rFont val="Tahoma"/>
            <family val="2"/>
          </rPr>
          <t xml:space="preserve">
LPA</t>
        </r>
      </text>
    </comment>
    <comment ref="M471" authorId="1" shapeId="0">
      <text>
        <r>
          <rPr>
            <b/>
            <sz val="9"/>
            <color indexed="81"/>
            <rFont val="Tahoma"/>
            <family val="2"/>
          </rPr>
          <t>Michael Lane:</t>
        </r>
        <r>
          <rPr>
            <sz val="9"/>
            <color indexed="81"/>
            <rFont val="Tahoma"/>
            <family val="2"/>
          </rPr>
          <t xml:space="preserve">
Changed Retrofit / TI / NC
</t>
        </r>
      </text>
    </comment>
    <comment ref="N471" authorId="0" shapeId="0">
      <text>
        <r>
          <rPr>
            <b/>
            <sz val="9"/>
            <color indexed="81"/>
            <rFont val="Tahoma"/>
            <family val="2"/>
          </rPr>
          <t>Michael lane:</t>
        </r>
        <r>
          <rPr>
            <sz val="9"/>
            <color indexed="81"/>
            <rFont val="Tahoma"/>
            <family val="2"/>
          </rPr>
          <t xml:space="preserve">
HVAC factor</t>
        </r>
      </text>
    </comment>
    <comment ref="M472" authorId="0" shapeId="0">
      <text>
        <r>
          <rPr>
            <b/>
            <sz val="9"/>
            <color indexed="81"/>
            <rFont val="Tahoma"/>
            <family val="2"/>
          </rPr>
          <t>Michael lane:</t>
        </r>
        <r>
          <rPr>
            <sz val="9"/>
            <color indexed="81"/>
            <rFont val="Tahoma"/>
            <family val="2"/>
          </rPr>
          <t xml:space="preserve">
Space Type incorrect due to Heat Type Change
</t>
        </r>
      </text>
    </comment>
    <comment ref="N472" authorId="0" shapeId="0">
      <text>
        <r>
          <rPr>
            <b/>
            <sz val="9"/>
            <color indexed="81"/>
            <rFont val="Tahoma"/>
            <family val="2"/>
          </rPr>
          <t>Michael lane:</t>
        </r>
        <r>
          <rPr>
            <sz val="9"/>
            <color indexed="81"/>
            <rFont val="Tahoma"/>
            <family val="2"/>
          </rPr>
          <t xml:space="preserve">
LPA</t>
        </r>
      </text>
    </comment>
    <comment ref="M476" authorId="1" shapeId="0">
      <text>
        <r>
          <rPr>
            <b/>
            <sz val="9"/>
            <color indexed="81"/>
            <rFont val="Tahoma"/>
            <family val="2"/>
          </rPr>
          <t>Michael Lane:</t>
        </r>
        <r>
          <rPr>
            <sz val="9"/>
            <color indexed="81"/>
            <rFont val="Tahoma"/>
            <family val="2"/>
          </rPr>
          <t xml:space="preserve">
Changed Retrofit / TI / NC
</t>
        </r>
      </text>
    </comment>
    <comment ref="N476" authorId="0" shapeId="0">
      <text>
        <r>
          <rPr>
            <b/>
            <sz val="9"/>
            <color indexed="81"/>
            <rFont val="Tahoma"/>
            <family val="2"/>
          </rPr>
          <t>Michael lane:</t>
        </r>
        <r>
          <rPr>
            <sz val="9"/>
            <color indexed="81"/>
            <rFont val="Tahoma"/>
            <family val="2"/>
          </rPr>
          <t xml:space="preserve">
HVAC factor</t>
        </r>
      </text>
    </comment>
    <comment ref="M477" authorId="0" shapeId="0">
      <text>
        <r>
          <rPr>
            <b/>
            <sz val="9"/>
            <color indexed="81"/>
            <rFont val="Tahoma"/>
            <family val="2"/>
          </rPr>
          <t>Michael lane:</t>
        </r>
        <r>
          <rPr>
            <sz val="9"/>
            <color indexed="81"/>
            <rFont val="Tahoma"/>
            <family val="2"/>
          </rPr>
          <t xml:space="preserve">
Space Type incorrect due to Heat Type Change
</t>
        </r>
      </text>
    </comment>
    <comment ref="N477" authorId="0" shapeId="0">
      <text>
        <r>
          <rPr>
            <b/>
            <sz val="9"/>
            <color indexed="81"/>
            <rFont val="Tahoma"/>
            <family val="2"/>
          </rPr>
          <t>Michael lane:</t>
        </r>
        <r>
          <rPr>
            <sz val="9"/>
            <color indexed="81"/>
            <rFont val="Tahoma"/>
            <family val="2"/>
          </rPr>
          <t xml:space="preserve">
LPA</t>
        </r>
      </text>
    </comment>
    <comment ref="M484" authorId="1" shapeId="0">
      <text>
        <r>
          <rPr>
            <b/>
            <sz val="9"/>
            <color indexed="81"/>
            <rFont val="Tahoma"/>
            <family val="2"/>
          </rPr>
          <t>Michael Lane:</t>
        </r>
        <r>
          <rPr>
            <sz val="9"/>
            <color indexed="81"/>
            <rFont val="Tahoma"/>
            <family val="2"/>
          </rPr>
          <t xml:space="preserve">
Changed Retrofit / TI / NC
</t>
        </r>
      </text>
    </comment>
    <comment ref="N484" authorId="0" shapeId="0">
      <text>
        <r>
          <rPr>
            <b/>
            <sz val="9"/>
            <color indexed="81"/>
            <rFont val="Tahoma"/>
            <family val="2"/>
          </rPr>
          <t>Michael lane:</t>
        </r>
        <r>
          <rPr>
            <sz val="9"/>
            <color indexed="81"/>
            <rFont val="Tahoma"/>
            <family val="2"/>
          </rPr>
          <t xml:space="preserve">
HVAC factor</t>
        </r>
      </text>
    </comment>
    <comment ref="M485" authorId="0" shapeId="0">
      <text>
        <r>
          <rPr>
            <b/>
            <sz val="9"/>
            <color indexed="81"/>
            <rFont val="Tahoma"/>
            <family val="2"/>
          </rPr>
          <t>Michael lane:</t>
        </r>
        <r>
          <rPr>
            <sz val="9"/>
            <color indexed="81"/>
            <rFont val="Tahoma"/>
            <family val="2"/>
          </rPr>
          <t xml:space="preserve">
Space Type incorrect due to Heat Type Change
</t>
        </r>
      </text>
    </comment>
    <comment ref="N485" authorId="0" shapeId="0">
      <text>
        <r>
          <rPr>
            <b/>
            <sz val="9"/>
            <color indexed="81"/>
            <rFont val="Tahoma"/>
            <family val="2"/>
          </rPr>
          <t>Michael lane:</t>
        </r>
        <r>
          <rPr>
            <sz val="9"/>
            <color indexed="81"/>
            <rFont val="Tahoma"/>
            <family val="2"/>
          </rPr>
          <t xml:space="preserve">
LPA</t>
        </r>
      </text>
    </comment>
    <comment ref="M489" authorId="1" shapeId="0">
      <text>
        <r>
          <rPr>
            <b/>
            <sz val="9"/>
            <color indexed="81"/>
            <rFont val="Tahoma"/>
            <family val="2"/>
          </rPr>
          <t>Michael Lane:</t>
        </r>
        <r>
          <rPr>
            <sz val="9"/>
            <color indexed="81"/>
            <rFont val="Tahoma"/>
            <family val="2"/>
          </rPr>
          <t xml:space="preserve">
Changed Retrofit / TI / NC
</t>
        </r>
      </text>
    </comment>
    <comment ref="N489" authorId="0" shapeId="0">
      <text>
        <r>
          <rPr>
            <b/>
            <sz val="9"/>
            <color indexed="81"/>
            <rFont val="Tahoma"/>
            <family val="2"/>
          </rPr>
          <t>Michael lane:</t>
        </r>
        <r>
          <rPr>
            <sz val="9"/>
            <color indexed="81"/>
            <rFont val="Tahoma"/>
            <family val="2"/>
          </rPr>
          <t xml:space="preserve">
HVAC factor</t>
        </r>
      </text>
    </comment>
    <comment ref="M490" authorId="0" shapeId="0">
      <text>
        <r>
          <rPr>
            <b/>
            <sz val="9"/>
            <color indexed="81"/>
            <rFont val="Tahoma"/>
            <family val="2"/>
          </rPr>
          <t>Michael lane:</t>
        </r>
        <r>
          <rPr>
            <sz val="9"/>
            <color indexed="81"/>
            <rFont val="Tahoma"/>
            <family val="2"/>
          </rPr>
          <t xml:space="preserve">
Space Type incorrect due to Heat Type Change
</t>
        </r>
      </text>
    </comment>
    <comment ref="N490" authorId="0" shapeId="0">
      <text>
        <r>
          <rPr>
            <b/>
            <sz val="9"/>
            <color indexed="81"/>
            <rFont val="Tahoma"/>
            <family val="2"/>
          </rPr>
          <t>Michael lane:</t>
        </r>
        <r>
          <rPr>
            <sz val="9"/>
            <color indexed="81"/>
            <rFont val="Tahoma"/>
            <family val="2"/>
          </rPr>
          <t xml:space="preserve">
LPA</t>
        </r>
      </text>
    </comment>
    <comment ref="M494" authorId="1" shapeId="0">
      <text>
        <r>
          <rPr>
            <b/>
            <sz val="9"/>
            <color indexed="81"/>
            <rFont val="Tahoma"/>
            <family val="2"/>
          </rPr>
          <t>Michael Lane:</t>
        </r>
        <r>
          <rPr>
            <sz val="9"/>
            <color indexed="81"/>
            <rFont val="Tahoma"/>
            <family val="2"/>
          </rPr>
          <t xml:space="preserve">
Changed Retrofit / TI / NC
</t>
        </r>
      </text>
    </comment>
    <comment ref="N494" authorId="0" shapeId="0">
      <text>
        <r>
          <rPr>
            <b/>
            <sz val="9"/>
            <color indexed="81"/>
            <rFont val="Tahoma"/>
            <family val="2"/>
          </rPr>
          <t>Michael lane:</t>
        </r>
        <r>
          <rPr>
            <sz val="9"/>
            <color indexed="81"/>
            <rFont val="Tahoma"/>
            <family val="2"/>
          </rPr>
          <t xml:space="preserve">
HVAC factor</t>
        </r>
      </text>
    </comment>
    <comment ref="M495" authorId="0" shapeId="0">
      <text>
        <r>
          <rPr>
            <b/>
            <sz val="9"/>
            <color indexed="81"/>
            <rFont val="Tahoma"/>
            <family val="2"/>
          </rPr>
          <t>Michael lane:</t>
        </r>
        <r>
          <rPr>
            <sz val="9"/>
            <color indexed="81"/>
            <rFont val="Tahoma"/>
            <family val="2"/>
          </rPr>
          <t xml:space="preserve">
Space Type incorrect due to Heat Type Change
</t>
        </r>
      </text>
    </comment>
    <comment ref="N495" authorId="0" shapeId="0">
      <text>
        <r>
          <rPr>
            <b/>
            <sz val="9"/>
            <color indexed="81"/>
            <rFont val="Tahoma"/>
            <family val="2"/>
          </rPr>
          <t>Michael lane:</t>
        </r>
        <r>
          <rPr>
            <sz val="9"/>
            <color indexed="81"/>
            <rFont val="Tahoma"/>
            <family val="2"/>
          </rPr>
          <t xml:space="preserve">
LPA</t>
        </r>
      </text>
    </comment>
    <comment ref="M499" authorId="1" shapeId="0">
      <text>
        <r>
          <rPr>
            <b/>
            <sz val="9"/>
            <color indexed="81"/>
            <rFont val="Tahoma"/>
            <family val="2"/>
          </rPr>
          <t>Michael Lane:</t>
        </r>
        <r>
          <rPr>
            <sz val="9"/>
            <color indexed="81"/>
            <rFont val="Tahoma"/>
            <family val="2"/>
          </rPr>
          <t xml:space="preserve">
Changed Retrofit / TI / NC
</t>
        </r>
      </text>
    </comment>
    <comment ref="N499" authorId="0" shapeId="0">
      <text>
        <r>
          <rPr>
            <b/>
            <sz val="9"/>
            <color indexed="81"/>
            <rFont val="Tahoma"/>
            <family val="2"/>
          </rPr>
          <t>Michael lane:</t>
        </r>
        <r>
          <rPr>
            <sz val="9"/>
            <color indexed="81"/>
            <rFont val="Tahoma"/>
            <family val="2"/>
          </rPr>
          <t xml:space="preserve">
HVAC factor</t>
        </r>
      </text>
    </comment>
    <comment ref="M500" authorId="0" shapeId="0">
      <text>
        <r>
          <rPr>
            <b/>
            <sz val="9"/>
            <color indexed="81"/>
            <rFont val="Tahoma"/>
            <family val="2"/>
          </rPr>
          <t>Michael lane:</t>
        </r>
        <r>
          <rPr>
            <sz val="9"/>
            <color indexed="81"/>
            <rFont val="Tahoma"/>
            <family val="2"/>
          </rPr>
          <t xml:space="preserve">
Space Type incorrect due to Heat Type Change
</t>
        </r>
      </text>
    </comment>
    <comment ref="N500" authorId="0" shapeId="0">
      <text>
        <r>
          <rPr>
            <b/>
            <sz val="9"/>
            <color indexed="81"/>
            <rFont val="Tahoma"/>
            <family val="2"/>
          </rPr>
          <t>Michael lane:</t>
        </r>
        <r>
          <rPr>
            <sz val="9"/>
            <color indexed="81"/>
            <rFont val="Tahoma"/>
            <family val="2"/>
          </rPr>
          <t xml:space="preserve">
LPA</t>
        </r>
      </text>
    </comment>
    <comment ref="M504" authorId="1" shapeId="0">
      <text>
        <r>
          <rPr>
            <b/>
            <sz val="9"/>
            <color indexed="81"/>
            <rFont val="Tahoma"/>
            <family val="2"/>
          </rPr>
          <t>Michael Lane:</t>
        </r>
        <r>
          <rPr>
            <sz val="9"/>
            <color indexed="81"/>
            <rFont val="Tahoma"/>
            <family val="2"/>
          </rPr>
          <t xml:space="preserve">
Changed Retrofit / TI / NC
</t>
        </r>
      </text>
    </comment>
    <comment ref="N504" authorId="0" shapeId="0">
      <text>
        <r>
          <rPr>
            <b/>
            <sz val="9"/>
            <color indexed="81"/>
            <rFont val="Tahoma"/>
            <family val="2"/>
          </rPr>
          <t>Michael lane:</t>
        </r>
        <r>
          <rPr>
            <sz val="9"/>
            <color indexed="81"/>
            <rFont val="Tahoma"/>
            <family val="2"/>
          </rPr>
          <t xml:space="preserve">
HVAC factor</t>
        </r>
      </text>
    </comment>
    <comment ref="M505" authorId="0" shapeId="0">
      <text>
        <r>
          <rPr>
            <b/>
            <sz val="9"/>
            <color indexed="81"/>
            <rFont val="Tahoma"/>
            <family val="2"/>
          </rPr>
          <t>Michael lane:</t>
        </r>
        <r>
          <rPr>
            <sz val="9"/>
            <color indexed="81"/>
            <rFont val="Tahoma"/>
            <family val="2"/>
          </rPr>
          <t xml:space="preserve">
Space Type incorrect due to Heat Type Change
</t>
        </r>
      </text>
    </comment>
    <comment ref="N505" authorId="0" shapeId="0">
      <text>
        <r>
          <rPr>
            <b/>
            <sz val="9"/>
            <color indexed="81"/>
            <rFont val="Tahoma"/>
            <family val="2"/>
          </rPr>
          <t>Michael lane:</t>
        </r>
        <r>
          <rPr>
            <sz val="9"/>
            <color indexed="81"/>
            <rFont val="Tahoma"/>
            <family val="2"/>
          </rPr>
          <t xml:space="preserve">
LPA</t>
        </r>
      </text>
    </comment>
    <comment ref="M509" authorId="1" shapeId="0">
      <text>
        <r>
          <rPr>
            <b/>
            <sz val="9"/>
            <color indexed="81"/>
            <rFont val="Tahoma"/>
            <family val="2"/>
          </rPr>
          <t>Michael Lane:</t>
        </r>
        <r>
          <rPr>
            <sz val="9"/>
            <color indexed="81"/>
            <rFont val="Tahoma"/>
            <family val="2"/>
          </rPr>
          <t xml:space="preserve">
Changed Retrofit / TI / NC
</t>
        </r>
      </text>
    </comment>
    <comment ref="N509" authorId="0" shapeId="0">
      <text>
        <r>
          <rPr>
            <b/>
            <sz val="9"/>
            <color indexed="81"/>
            <rFont val="Tahoma"/>
            <family val="2"/>
          </rPr>
          <t>Michael lane:</t>
        </r>
        <r>
          <rPr>
            <sz val="9"/>
            <color indexed="81"/>
            <rFont val="Tahoma"/>
            <family val="2"/>
          </rPr>
          <t xml:space="preserve">
HVAC factor</t>
        </r>
      </text>
    </comment>
    <comment ref="M510" authorId="0" shapeId="0">
      <text>
        <r>
          <rPr>
            <b/>
            <sz val="9"/>
            <color indexed="81"/>
            <rFont val="Tahoma"/>
            <family val="2"/>
          </rPr>
          <t>Michael lane:</t>
        </r>
        <r>
          <rPr>
            <sz val="9"/>
            <color indexed="81"/>
            <rFont val="Tahoma"/>
            <family val="2"/>
          </rPr>
          <t xml:space="preserve">
Space Type incorrect due to Heat Type Change
</t>
        </r>
      </text>
    </comment>
    <comment ref="N510" authorId="0" shapeId="0">
      <text>
        <r>
          <rPr>
            <b/>
            <sz val="9"/>
            <color indexed="81"/>
            <rFont val="Tahoma"/>
            <family val="2"/>
          </rPr>
          <t>Michael lane:</t>
        </r>
        <r>
          <rPr>
            <sz val="9"/>
            <color indexed="81"/>
            <rFont val="Tahoma"/>
            <family val="2"/>
          </rPr>
          <t xml:space="preserve">
LPA</t>
        </r>
      </text>
    </comment>
    <comment ref="M514" authorId="1" shapeId="0">
      <text>
        <r>
          <rPr>
            <b/>
            <sz val="9"/>
            <color indexed="81"/>
            <rFont val="Tahoma"/>
            <family val="2"/>
          </rPr>
          <t>Michael Lane:</t>
        </r>
        <r>
          <rPr>
            <sz val="9"/>
            <color indexed="81"/>
            <rFont val="Tahoma"/>
            <family val="2"/>
          </rPr>
          <t xml:space="preserve">
Changed Retrofit / TI / NC
</t>
        </r>
      </text>
    </comment>
    <comment ref="N514" authorId="0" shapeId="0">
      <text>
        <r>
          <rPr>
            <b/>
            <sz val="9"/>
            <color indexed="81"/>
            <rFont val="Tahoma"/>
            <family val="2"/>
          </rPr>
          <t>Michael lane:</t>
        </r>
        <r>
          <rPr>
            <sz val="9"/>
            <color indexed="81"/>
            <rFont val="Tahoma"/>
            <family val="2"/>
          </rPr>
          <t xml:space="preserve">
HVAC factor</t>
        </r>
      </text>
    </comment>
    <comment ref="M515" authorId="0" shapeId="0">
      <text>
        <r>
          <rPr>
            <b/>
            <sz val="9"/>
            <color indexed="81"/>
            <rFont val="Tahoma"/>
            <family val="2"/>
          </rPr>
          <t>Michael lane:</t>
        </r>
        <r>
          <rPr>
            <sz val="9"/>
            <color indexed="81"/>
            <rFont val="Tahoma"/>
            <family val="2"/>
          </rPr>
          <t xml:space="preserve">
Space Type incorrect due to Heat Type Change
</t>
        </r>
      </text>
    </comment>
    <comment ref="N515" authorId="0" shapeId="0">
      <text>
        <r>
          <rPr>
            <b/>
            <sz val="9"/>
            <color indexed="81"/>
            <rFont val="Tahoma"/>
            <family val="2"/>
          </rPr>
          <t>Michael lane:</t>
        </r>
        <r>
          <rPr>
            <sz val="9"/>
            <color indexed="81"/>
            <rFont val="Tahoma"/>
            <family val="2"/>
          </rPr>
          <t xml:space="preserve">
LPA</t>
        </r>
      </text>
    </comment>
    <comment ref="M519" authorId="1" shapeId="0">
      <text>
        <r>
          <rPr>
            <b/>
            <sz val="9"/>
            <color indexed="81"/>
            <rFont val="Tahoma"/>
            <family val="2"/>
          </rPr>
          <t>Michael Lane:</t>
        </r>
        <r>
          <rPr>
            <sz val="9"/>
            <color indexed="81"/>
            <rFont val="Tahoma"/>
            <family val="2"/>
          </rPr>
          <t xml:space="preserve">
Changed Retrofit / TI / NC
</t>
        </r>
      </text>
    </comment>
    <comment ref="N519" authorId="0" shapeId="0">
      <text>
        <r>
          <rPr>
            <b/>
            <sz val="9"/>
            <color indexed="81"/>
            <rFont val="Tahoma"/>
            <family val="2"/>
          </rPr>
          <t>Michael lane:</t>
        </r>
        <r>
          <rPr>
            <sz val="9"/>
            <color indexed="81"/>
            <rFont val="Tahoma"/>
            <family val="2"/>
          </rPr>
          <t xml:space="preserve">
HVAC factor</t>
        </r>
      </text>
    </comment>
    <comment ref="M520" authorId="0" shapeId="0">
      <text>
        <r>
          <rPr>
            <b/>
            <sz val="9"/>
            <color indexed="81"/>
            <rFont val="Tahoma"/>
            <family val="2"/>
          </rPr>
          <t>Michael lane:</t>
        </r>
        <r>
          <rPr>
            <sz val="9"/>
            <color indexed="81"/>
            <rFont val="Tahoma"/>
            <family val="2"/>
          </rPr>
          <t xml:space="preserve">
Space Type incorrect due to Heat Type Change
</t>
        </r>
      </text>
    </comment>
    <comment ref="N520" authorId="0" shapeId="0">
      <text>
        <r>
          <rPr>
            <b/>
            <sz val="9"/>
            <color indexed="81"/>
            <rFont val="Tahoma"/>
            <family val="2"/>
          </rPr>
          <t>Michael lane:</t>
        </r>
        <r>
          <rPr>
            <sz val="9"/>
            <color indexed="81"/>
            <rFont val="Tahoma"/>
            <family val="2"/>
          </rPr>
          <t xml:space="preserve">
LPA</t>
        </r>
      </text>
    </comment>
    <comment ref="M524" authorId="1" shapeId="0">
      <text>
        <r>
          <rPr>
            <b/>
            <sz val="9"/>
            <color indexed="81"/>
            <rFont val="Tahoma"/>
            <family val="2"/>
          </rPr>
          <t>Michael Lane:</t>
        </r>
        <r>
          <rPr>
            <sz val="9"/>
            <color indexed="81"/>
            <rFont val="Tahoma"/>
            <family val="2"/>
          </rPr>
          <t xml:space="preserve">
Changed Retrofit / TI / NC
</t>
        </r>
      </text>
    </comment>
    <comment ref="N524" authorId="0" shapeId="0">
      <text>
        <r>
          <rPr>
            <b/>
            <sz val="9"/>
            <color indexed="81"/>
            <rFont val="Tahoma"/>
            <family val="2"/>
          </rPr>
          <t>Michael lane:</t>
        </r>
        <r>
          <rPr>
            <sz val="9"/>
            <color indexed="81"/>
            <rFont val="Tahoma"/>
            <family val="2"/>
          </rPr>
          <t xml:space="preserve">
HVAC factor</t>
        </r>
      </text>
    </comment>
    <comment ref="M525" authorId="0" shapeId="0">
      <text>
        <r>
          <rPr>
            <b/>
            <sz val="9"/>
            <color indexed="81"/>
            <rFont val="Tahoma"/>
            <family val="2"/>
          </rPr>
          <t>Michael lane:</t>
        </r>
        <r>
          <rPr>
            <sz val="9"/>
            <color indexed="81"/>
            <rFont val="Tahoma"/>
            <family val="2"/>
          </rPr>
          <t xml:space="preserve">
Space Type incorrect due to Heat Type Change
</t>
        </r>
      </text>
    </comment>
    <comment ref="N525" authorId="0" shapeId="0">
      <text>
        <r>
          <rPr>
            <b/>
            <sz val="9"/>
            <color indexed="81"/>
            <rFont val="Tahoma"/>
            <family val="2"/>
          </rPr>
          <t>Michael lane:</t>
        </r>
        <r>
          <rPr>
            <sz val="9"/>
            <color indexed="81"/>
            <rFont val="Tahoma"/>
            <family val="2"/>
          </rPr>
          <t xml:space="preserve">
LPA</t>
        </r>
      </text>
    </comment>
    <comment ref="M529" authorId="1" shapeId="0">
      <text>
        <r>
          <rPr>
            <b/>
            <sz val="9"/>
            <color indexed="81"/>
            <rFont val="Tahoma"/>
            <family val="2"/>
          </rPr>
          <t>Michael Lane:</t>
        </r>
        <r>
          <rPr>
            <sz val="9"/>
            <color indexed="81"/>
            <rFont val="Tahoma"/>
            <family val="2"/>
          </rPr>
          <t xml:space="preserve">
Changed Retrofit / TI / NC
</t>
        </r>
      </text>
    </comment>
    <comment ref="N529" authorId="0" shapeId="0">
      <text>
        <r>
          <rPr>
            <b/>
            <sz val="9"/>
            <color indexed="81"/>
            <rFont val="Tahoma"/>
            <family val="2"/>
          </rPr>
          <t>Michael lane:</t>
        </r>
        <r>
          <rPr>
            <sz val="9"/>
            <color indexed="81"/>
            <rFont val="Tahoma"/>
            <family val="2"/>
          </rPr>
          <t xml:space="preserve">
HVAC factor</t>
        </r>
      </text>
    </comment>
    <comment ref="M530" authorId="0" shapeId="0">
      <text>
        <r>
          <rPr>
            <b/>
            <sz val="9"/>
            <color indexed="81"/>
            <rFont val="Tahoma"/>
            <family val="2"/>
          </rPr>
          <t>Michael lane:</t>
        </r>
        <r>
          <rPr>
            <sz val="9"/>
            <color indexed="81"/>
            <rFont val="Tahoma"/>
            <family val="2"/>
          </rPr>
          <t xml:space="preserve">
Space Type incorrect due to Heat Type Change
</t>
        </r>
      </text>
    </comment>
    <comment ref="N530" authorId="0" shapeId="0">
      <text>
        <r>
          <rPr>
            <b/>
            <sz val="9"/>
            <color indexed="81"/>
            <rFont val="Tahoma"/>
            <family val="2"/>
          </rPr>
          <t>Michael lane:</t>
        </r>
        <r>
          <rPr>
            <sz val="9"/>
            <color indexed="81"/>
            <rFont val="Tahoma"/>
            <family val="2"/>
          </rPr>
          <t xml:space="preserve">
LPA</t>
        </r>
      </text>
    </comment>
    <comment ref="M534" authorId="1" shapeId="0">
      <text>
        <r>
          <rPr>
            <b/>
            <sz val="9"/>
            <color indexed="81"/>
            <rFont val="Tahoma"/>
            <family val="2"/>
          </rPr>
          <t>Michael Lane:</t>
        </r>
        <r>
          <rPr>
            <sz val="9"/>
            <color indexed="81"/>
            <rFont val="Tahoma"/>
            <family val="2"/>
          </rPr>
          <t xml:space="preserve">
Changed Retrofit / TI / NC
</t>
        </r>
      </text>
    </comment>
    <comment ref="N534" authorId="0" shapeId="0">
      <text>
        <r>
          <rPr>
            <b/>
            <sz val="9"/>
            <color indexed="81"/>
            <rFont val="Tahoma"/>
            <family val="2"/>
          </rPr>
          <t>Michael lane:</t>
        </r>
        <r>
          <rPr>
            <sz val="9"/>
            <color indexed="81"/>
            <rFont val="Tahoma"/>
            <family val="2"/>
          </rPr>
          <t xml:space="preserve">
HVAC factor</t>
        </r>
      </text>
    </comment>
    <comment ref="M535" authorId="0" shapeId="0">
      <text>
        <r>
          <rPr>
            <b/>
            <sz val="9"/>
            <color indexed="81"/>
            <rFont val="Tahoma"/>
            <family val="2"/>
          </rPr>
          <t>Michael lane:</t>
        </r>
        <r>
          <rPr>
            <sz val="9"/>
            <color indexed="81"/>
            <rFont val="Tahoma"/>
            <family val="2"/>
          </rPr>
          <t xml:space="preserve">
Space Type incorrect due to Heat Type Change
</t>
        </r>
      </text>
    </comment>
    <comment ref="N535" authorId="0" shapeId="0">
      <text>
        <r>
          <rPr>
            <b/>
            <sz val="9"/>
            <color indexed="81"/>
            <rFont val="Tahoma"/>
            <family val="2"/>
          </rPr>
          <t>Michael lane:</t>
        </r>
        <r>
          <rPr>
            <sz val="9"/>
            <color indexed="81"/>
            <rFont val="Tahoma"/>
            <family val="2"/>
          </rPr>
          <t xml:space="preserve">
LPA</t>
        </r>
      </text>
    </comment>
    <comment ref="M539" authorId="1" shapeId="0">
      <text>
        <r>
          <rPr>
            <b/>
            <sz val="9"/>
            <color indexed="81"/>
            <rFont val="Tahoma"/>
            <family val="2"/>
          </rPr>
          <t>Michael Lane:</t>
        </r>
        <r>
          <rPr>
            <sz val="9"/>
            <color indexed="81"/>
            <rFont val="Tahoma"/>
            <family val="2"/>
          </rPr>
          <t xml:space="preserve">
Changed Retrofit / TI / NC
</t>
        </r>
      </text>
    </comment>
    <comment ref="N539" authorId="0" shapeId="0">
      <text>
        <r>
          <rPr>
            <b/>
            <sz val="9"/>
            <color indexed="81"/>
            <rFont val="Tahoma"/>
            <family val="2"/>
          </rPr>
          <t>Michael lane:</t>
        </r>
        <r>
          <rPr>
            <sz val="9"/>
            <color indexed="81"/>
            <rFont val="Tahoma"/>
            <family val="2"/>
          </rPr>
          <t xml:space="preserve">
HVAC factor</t>
        </r>
      </text>
    </comment>
    <comment ref="M540" authorId="0" shapeId="0">
      <text>
        <r>
          <rPr>
            <b/>
            <sz val="9"/>
            <color indexed="81"/>
            <rFont val="Tahoma"/>
            <family val="2"/>
          </rPr>
          <t>Michael lane:</t>
        </r>
        <r>
          <rPr>
            <sz val="9"/>
            <color indexed="81"/>
            <rFont val="Tahoma"/>
            <family val="2"/>
          </rPr>
          <t xml:space="preserve">
Space Type incorrect due to Heat Type Change
</t>
        </r>
      </text>
    </comment>
    <comment ref="N540" authorId="0" shapeId="0">
      <text>
        <r>
          <rPr>
            <b/>
            <sz val="9"/>
            <color indexed="81"/>
            <rFont val="Tahoma"/>
            <family val="2"/>
          </rPr>
          <t>Michael lane:</t>
        </r>
        <r>
          <rPr>
            <sz val="9"/>
            <color indexed="81"/>
            <rFont val="Tahoma"/>
            <family val="2"/>
          </rPr>
          <t xml:space="preserve">
LPA</t>
        </r>
      </text>
    </comment>
    <comment ref="M544" authorId="1" shapeId="0">
      <text>
        <r>
          <rPr>
            <b/>
            <sz val="9"/>
            <color indexed="81"/>
            <rFont val="Tahoma"/>
            <family val="2"/>
          </rPr>
          <t>Michael Lane:</t>
        </r>
        <r>
          <rPr>
            <sz val="9"/>
            <color indexed="81"/>
            <rFont val="Tahoma"/>
            <family val="2"/>
          </rPr>
          <t xml:space="preserve">
Changed Retrofit / TI / NC
</t>
        </r>
      </text>
    </comment>
    <comment ref="N544" authorId="0" shapeId="0">
      <text>
        <r>
          <rPr>
            <b/>
            <sz val="9"/>
            <color indexed="81"/>
            <rFont val="Tahoma"/>
            <family val="2"/>
          </rPr>
          <t>Michael lane:</t>
        </r>
        <r>
          <rPr>
            <sz val="9"/>
            <color indexed="81"/>
            <rFont val="Tahoma"/>
            <family val="2"/>
          </rPr>
          <t xml:space="preserve">
HVAC factor</t>
        </r>
      </text>
    </comment>
    <comment ref="M545" authorId="0" shapeId="0">
      <text>
        <r>
          <rPr>
            <b/>
            <sz val="9"/>
            <color indexed="81"/>
            <rFont val="Tahoma"/>
            <family val="2"/>
          </rPr>
          <t>Michael lane:</t>
        </r>
        <r>
          <rPr>
            <sz val="9"/>
            <color indexed="81"/>
            <rFont val="Tahoma"/>
            <family val="2"/>
          </rPr>
          <t xml:space="preserve">
Space Type incorrect due to Heat Type Change
</t>
        </r>
      </text>
    </comment>
    <comment ref="N545" authorId="0" shapeId="0">
      <text>
        <r>
          <rPr>
            <b/>
            <sz val="9"/>
            <color indexed="81"/>
            <rFont val="Tahoma"/>
            <family val="2"/>
          </rPr>
          <t>Michael lane:</t>
        </r>
        <r>
          <rPr>
            <sz val="9"/>
            <color indexed="81"/>
            <rFont val="Tahoma"/>
            <family val="2"/>
          </rPr>
          <t xml:space="preserve">
LPA</t>
        </r>
      </text>
    </comment>
    <comment ref="M549" authorId="1" shapeId="0">
      <text>
        <r>
          <rPr>
            <b/>
            <sz val="9"/>
            <color indexed="81"/>
            <rFont val="Tahoma"/>
            <family val="2"/>
          </rPr>
          <t>Michael Lane:</t>
        </r>
        <r>
          <rPr>
            <sz val="9"/>
            <color indexed="81"/>
            <rFont val="Tahoma"/>
            <family val="2"/>
          </rPr>
          <t xml:space="preserve">
Changed Retrofit / TI / NC
</t>
        </r>
      </text>
    </comment>
    <comment ref="N549" authorId="0" shapeId="0">
      <text>
        <r>
          <rPr>
            <b/>
            <sz val="9"/>
            <color indexed="81"/>
            <rFont val="Tahoma"/>
            <family val="2"/>
          </rPr>
          <t>Michael lane:</t>
        </r>
        <r>
          <rPr>
            <sz val="9"/>
            <color indexed="81"/>
            <rFont val="Tahoma"/>
            <family val="2"/>
          </rPr>
          <t xml:space="preserve">
HVAC factor</t>
        </r>
      </text>
    </comment>
    <comment ref="M550" authorId="0" shapeId="0">
      <text>
        <r>
          <rPr>
            <b/>
            <sz val="9"/>
            <color indexed="81"/>
            <rFont val="Tahoma"/>
            <family val="2"/>
          </rPr>
          <t>Michael lane:</t>
        </r>
        <r>
          <rPr>
            <sz val="9"/>
            <color indexed="81"/>
            <rFont val="Tahoma"/>
            <family val="2"/>
          </rPr>
          <t xml:space="preserve">
Space Type incorrect due to Heat Type Change
</t>
        </r>
      </text>
    </comment>
    <comment ref="N550" authorId="0" shapeId="0">
      <text>
        <r>
          <rPr>
            <b/>
            <sz val="9"/>
            <color indexed="81"/>
            <rFont val="Tahoma"/>
            <family val="2"/>
          </rPr>
          <t>Michael lane:</t>
        </r>
        <r>
          <rPr>
            <sz val="9"/>
            <color indexed="81"/>
            <rFont val="Tahoma"/>
            <family val="2"/>
          </rPr>
          <t xml:space="preserve">
LPA</t>
        </r>
      </text>
    </comment>
    <comment ref="M554" authorId="1" shapeId="0">
      <text>
        <r>
          <rPr>
            <b/>
            <sz val="9"/>
            <color indexed="81"/>
            <rFont val="Tahoma"/>
            <family val="2"/>
          </rPr>
          <t>Michael Lane:</t>
        </r>
        <r>
          <rPr>
            <sz val="9"/>
            <color indexed="81"/>
            <rFont val="Tahoma"/>
            <family val="2"/>
          </rPr>
          <t xml:space="preserve">
Changed Retrofit / TI / NC
</t>
        </r>
      </text>
    </comment>
    <comment ref="N554" authorId="0" shapeId="0">
      <text>
        <r>
          <rPr>
            <b/>
            <sz val="9"/>
            <color indexed="81"/>
            <rFont val="Tahoma"/>
            <family val="2"/>
          </rPr>
          <t>Michael lane:</t>
        </r>
        <r>
          <rPr>
            <sz val="9"/>
            <color indexed="81"/>
            <rFont val="Tahoma"/>
            <family val="2"/>
          </rPr>
          <t xml:space="preserve">
HVAC factor</t>
        </r>
      </text>
    </comment>
    <comment ref="M555" authorId="0" shapeId="0">
      <text>
        <r>
          <rPr>
            <b/>
            <sz val="9"/>
            <color indexed="81"/>
            <rFont val="Tahoma"/>
            <family val="2"/>
          </rPr>
          <t>Michael lane:</t>
        </r>
        <r>
          <rPr>
            <sz val="9"/>
            <color indexed="81"/>
            <rFont val="Tahoma"/>
            <family val="2"/>
          </rPr>
          <t xml:space="preserve">
Space Type incorrect due to Heat Type Change
</t>
        </r>
      </text>
    </comment>
    <comment ref="N555" authorId="0" shapeId="0">
      <text>
        <r>
          <rPr>
            <b/>
            <sz val="9"/>
            <color indexed="81"/>
            <rFont val="Tahoma"/>
            <family val="2"/>
          </rPr>
          <t>Michael lane:</t>
        </r>
        <r>
          <rPr>
            <sz val="9"/>
            <color indexed="81"/>
            <rFont val="Tahoma"/>
            <family val="2"/>
          </rPr>
          <t xml:space="preserve">
LPA</t>
        </r>
      </text>
    </comment>
    <comment ref="M562" authorId="1" shapeId="0">
      <text>
        <r>
          <rPr>
            <b/>
            <sz val="9"/>
            <color indexed="81"/>
            <rFont val="Tahoma"/>
            <family val="2"/>
          </rPr>
          <t>Michael Lane:</t>
        </r>
        <r>
          <rPr>
            <sz val="9"/>
            <color indexed="81"/>
            <rFont val="Tahoma"/>
            <family val="2"/>
          </rPr>
          <t xml:space="preserve">
Changed Retrofit / TI / NC
</t>
        </r>
      </text>
    </comment>
    <comment ref="N562" authorId="0" shapeId="0">
      <text>
        <r>
          <rPr>
            <b/>
            <sz val="9"/>
            <color indexed="81"/>
            <rFont val="Tahoma"/>
            <family val="2"/>
          </rPr>
          <t>Michael lane:</t>
        </r>
        <r>
          <rPr>
            <sz val="9"/>
            <color indexed="81"/>
            <rFont val="Tahoma"/>
            <family val="2"/>
          </rPr>
          <t xml:space="preserve">
HVAC factor</t>
        </r>
      </text>
    </comment>
    <comment ref="M563" authorId="0" shapeId="0">
      <text>
        <r>
          <rPr>
            <b/>
            <sz val="9"/>
            <color indexed="81"/>
            <rFont val="Tahoma"/>
            <family val="2"/>
          </rPr>
          <t>Michael lane:</t>
        </r>
        <r>
          <rPr>
            <sz val="9"/>
            <color indexed="81"/>
            <rFont val="Tahoma"/>
            <family val="2"/>
          </rPr>
          <t xml:space="preserve">
Space Type incorrect due to Heat Type Change
</t>
        </r>
      </text>
    </comment>
    <comment ref="N563" authorId="0" shapeId="0">
      <text>
        <r>
          <rPr>
            <b/>
            <sz val="9"/>
            <color indexed="81"/>
            <rFont val="Tahoma"/>
            <family val="2"/>
          </rPr>
          <t>Michael lane:</t>
        </r>
        <r>
          <rPr>
            <sz val="9"/>
            <color indexed="81"/>
            <rFont val="Tahoma"/>
            <family val="2"/>
          </rPr>
          <t xml:space="preserve">
LPA</t>
        </r>
      </text>
    </comment>
    <comment ref="M567" authorId="1" shapeId="0">
      <text>
        <r>
          <rPr>
            <b/>
            <sz val="9"/>
            <color indexed="81"/>
            <rFont val="Tahoma"/>
            <family val="2"/>
          </rPr>
          <t>Michael Lane:</t>
        </r>
        <r>
          <rPr>
            <sz val="9"/>
            <color indexed="81"/>
            <rFont val="Tahoma"/>
            <family val="2"/>
          </rPr>
          <t xml:space="preserve">
Changed Retrofit / TI / NC
</t>
        </r>
      </text>
    </comment>
    <comment ref="N567" authorId="0" shapeId="0">
      <text>
        <r>
          <rPr>
            <b/>
            <sz val="9"/>
            <color indexed="81"/>
            <rFont val="Tahoma"/>
            <family val="2"/>
          </rPr>
          <t>Michael lane:</t>
        </r>
        <r>
          <rPr>
            <sz val="9"/>
            <color indexed="81"/>
            <rFont val="Tahoma"/>
            <family val="2"/>
          </rPr>
          <t xml:space="preserve">
HVAC factor</t>
        </r>
      </text>
    </comment>
    <comment ref="M568" authorId="0" shapeId="0">
      <text>
        <r>
          <rPr>
            <b/>
            <sz val="9"/>
            <color indexed="81"/>
            <rFont val="Tahoma"/>
            <family val="2"/>
          </rPr>
          <t>Michael lane:</t>
        </r>
        <r>
          <rPr>
            <sz val="9"/>
            <color indexed="81"/>
            <rFont val="Tahoma"/>
            <family val="2"/>
          </rPr>
          <t xml:space="preserve">
Space Type incorrect due to Heat Type Change
</t>
        </r>
      </text>
    </comment>
    <comment ref="N568" authorId="0" shapeId="0">
      <text>
        <r>
          <rPr>
            <b/>
            <sz val="9"/>
            <color indexed="81"/>
            <rFont val="Tahoma"/>
            <family val="2"/>
          </rPr>
          <t>Michael lane:</t>
        </r>
        <r>
          <rPr>
            <sz val="9"/>
            <color indexed="81"/>
            <rFont val="Tahoma"/>
            <family val="2"/>
          </rPr>
          <t xml:space="preserve">
LPA</t>
        </r>
      </text>
    </comment>
    <comment ref="M572" authorId="1" shapeId="0">
      <text>
        <r>
          <rPr>
            <b/>
            <sz val="9"/>
            <color indexed="81"/>
            <rFont val="Tahoma"/>
            <family val="2"/>
          </rPr>
          <t>Michael Lane:</t>
        </r>
        <r>
          <rPr>
            <sz val="9"/>
            <color indexed="81"/>
            <rFont val="Tahoma"/>
            <family val="2"/>
          </rPr>
          <t xml:space="preserve">
Changed Retrofit / TI / NC
</t>
        </r>
      </text>
    </comment>
    <comment ref="N572" authorId="0" shapeId="0">
      <text>
        <r>
          <rPr>
            <b/>
            <sz val="9"/>
            <color indexed="81"/>
            <rFont val="Tahoma"/>
            <family val="2"/>
          </rPr>
          <t>Michael lane:</t>
        </r>
        <r>
          <rPr>
            <sz val="9"/>
            <color indexed="81"/>
            <rFont val="Tahoma"/>
            <family val="2"/>
          </rPr>
          <t xml:space="preserve">
HVAC factor</t>
        </r>
      </text>
    </comment>
    <comment ref="M573" authorId="0" shapeId="0">
      <text>
        <r>
          <rPr>
            <b/>
            <sz val="9"/>
            <color indexed="81"/>
            <rFont val="Tahoma"/>
            <family val="2"/>
          </rPr>
          <t>Michael lane:</t>
        </r>
        <r>
          <rPr>
            <sz val="9"/>
            <color indexed="81"/>
            <rFont val="Tahoma"/>
            <family val="2"/>
          </rPr>
          <t xml:space="preserve">
Space Type incorrect due to Heat Type Change
</t>
        </r>
      </text>
    </comment>
    <comment ref="N573" authorId="0" shapeId="0">
      <text>
        <r>
          <rPr>
            <b/>
            <sz val="9"/>
            <color indexed="81"/>
            <rFont val="Tahoma"/>
            <family val="2"/>
          </rPr>
          <t>Michael lane:</t>
        </r>
        <r>
          <rPr>
            <sz val="9"/>
            <color indexed="81"/>
            <rFont val="Tahoma"/>
            <family val="2"/>
          </rPr>
          <t xml:space="preserve">
LPA</t>
        </r>
      </text>
    </comment>
    <comment ref="M577" authorId="1" shapeId="0">
      <text>
        <r>
          <rPr>
            <b/>
            <sz val="9"/>
            <color indexed="81"/>
            <rFont val="Tahoma"/>
            <family val="2"/>
          </rPr>
          <t>Michael Lane:</t>
        </r>
        <r>
          <rPr>
            <sz val="9"/>
            <color indexed="81"/>
            <rFont val="Tahoma"/>
            <family val="2"/>
          </rPr>
          <t xml:space="preserve">
Changed Retrofit / TI / NC
</t>
        </r>
      </text>
    </comment>
    <comment ref="N577" authorId="0" shapeId="0">
      <text>
        <r>
          <rPr>
            <b/>
            <sz val="9"/>
            <color indexed="81"/>
            <rFont val="Tahoma"/>
            <family val="2"/>
          </rPr>
          <t>Michael lane:</t>
        </r>
        <r>
          <rPr>
            <sz val="9"/>
            <color indexed="81"/>
            <rFont val="Tahoma"/>
            <family val="2"/>
          </rPr>
          <t xml:space="preserve">
HVAC factor</t>
        </r>
      </text>
    </comment>
    <comment ref="M578" authorId="0" shapeId="0">
      <text>
        <r>
          <rPr>
            <b/>
            <sz val="9"/>
            <color indexed="81"/>
            <rFont val="Tahoma"/>
            <family val="2"/>
          </rPr>
          <t>Michael lane:</t>
        </r>
        <r>
          <rPr>
            <sz val="9"/>
            <color indexed="81"/>
            <rFont val="Tahoma"/>
            <family val="2"/>
          </rPr>
          <t xml:space="preserve">
Space Type incorrect due to Heat Type Change
</t>
        </r>
      </text>
    </comment>
    <comment ref="N578" authorId="0" shapeId="0">
      <text>
        <r>
          <rPr>
            <b/>
            <sz val="9"/>
            <color indexed="81"/>
            <rFont val="Tahoma"/>
            <family val="2"/>
          </rPr>
          <t>Michael lane:</t>
        </r>
        <r>
          <rPr>
            <sz val="9"/>
            <color indexed="81"/>
            <rFont val="Tahoma"/>
            <family val="2"/>
          </rPr>
          <t xml:space="preserve">
LPA</t>
        </r>
      </text>
    </comment>
    <comment ref="M582" authorId="1" shapeId="0">
      <text>
        <r>
          <rPr>
            <b/>
            <sz val="9"/>
            <color indexed="81"/>
            <rFont val="Tahoma"/>
            <family val="2"/>
          </rPr>
          <t>Michael Lane:</t>
        </r>
        <r>
          <rPr>
            <sz val="9"/>
            <color indexed="81"/>
            <rFont val="Tahoma"/>
            <family val="2"/>
          </rPr>
          <t xml:space="preserve">
Changed Retrofit / TI / NC
</t>
        </r>
      </text>
    </comment>
    <comment ref="N582" authorId="0" shapeId="0">
      <text>
        <r>
          <rPr>
            <b/>
            <sz val="9"/>
            <color indexed="81"/>
            <rFont val="Tahoma"/>
            <family val="2"/>
          </rPr>
          <t>Michael lane:</t>
        </r>
        <r>
          <rPr>
            <sz val="9"/>
            <color indexed="81"/>
            <rFont val="Tahoma"/>
            <family val="2"/>
          </rPr>
          <t xml:space="preserve">
HVAC factor</t>
        </r>
      </text>
    </comment>
    <comment ref="M583" authorId="0" shapeId="0">
      <text>
        <r>
          <rPr>
            <b/>
            <sz val="9"/>
            <color indexed="81"/>
            <rFont val="Tahoma"/>
            <family val="2"/>
          </rPr>
          <t>Michael lane:</t>
        </r>
        <r>
          <rPr>
            <sz val="9"/>
            <color indexed="81"/>
            <rFont val="Tahoma"/>
            <family val="2"/>
          </rPr>
          <t xml:space="preserve">
Space Type incorrect due to Heat Type Change
</t>
        </r>
      </text>
    </comment>
    <comment ref="N583" authorId="0" shapeId="0">
      <text>
        <r>
          <rPr>
            <b/>
            <sz val="9"/>
            <color indexed="81"/>
            <rFont val="Tahoma"/>
            <family val="2"/>
          </rPr>
          <t>Michael lane:</t>
        </r>
        <r>
          <rPr>
            <sz val="9"/>
            <color indexed="81"/>
            <rFont val="Tahoma"/>
            <family val="2"/>
          </rPr>
          <t xml:space="preserve">
LPA</t>
        </r>
      </text>
    </comment>
    <comment ref="M587" authorId="1" shapeId="0">
      <text>
        <r>
          <rPr>
            <b/>
            <sz val="9"/>
            <color indexed="81"/>
            <rFont val="Tahoma"/>
            <family val="2"/>
          </rPr>
          <t>Michael Lane:</t>
        </r>
        <r>
          <rPr>
            <sz val="9"/>
            <color indexed="81"/>
            <rFont val="Tahoma"/>
            <family val="2"/>
          </rPr>
          <t xml:space="preserve">
Changed Retrofit / TI / NC
</t>
        </r>
      </text>
    </comment>
    <comment ref="N587" authorId="0" shapeId="0">
      <text>
        <r>
          <rPr>
            <b/>
            <sz val="9"/>
            <color indexed="81"/>
            <rFont val="Tahoma"/>
            <family val="2"/>
          </rPr>
          <t>Michael lane:</t>
        </r>
        <r>
          <rPr>
            <sz val="9"/>
            <color indexed="81"/>
            <rFont val="Tahoma"/>
            <family val="2"/>
          </rPr>
          <t xml:space="preserve">
HVAC factor</t>
        </r>
      </text>
    </comment>
    <comment ref="M588" authorId="0" shapeId="0">
      <text>
        <r>
          <rPr>
            <b/>
            <sz val="9"/>
            <color indexed="81"/>
            <rFont val="Tahoma"/>
            <family val="2"/>
          </rPr>
          <t>Michael lane:</t>
        </r>
        <r>
          <rPr>
            <sz val="9"/>
            <color indexed="81"/>
            <rFont val="Tahoma"/>
            <family val="2"/>
          </rPr>
          <t xml:space="preserve">
Space Type incorrect due to Heat Type Change
</t>
        </r>
      </text>
    </comment>
    <comment ref="N588" authorId="0" shapeId="0">
      <text>
        <r>
          <rPr>
            <b/>
            <sz val="9"/>
            <color indexed="81"/>
            <rFont val="Tahoma"/>
            <family val="2"/>
          </rPr>
          <t>Michael lane:</t>
        </r>
        <r>
          <rPr>
            <sz val="9"/>
            <color indexed="81"/>
            <rFont val="Tahoma"/>
            <family val="2"/>
          </rPr>
          <t xml:space="preserve">
LPA</t>
        </r>
      </text>
    </comment>
    <comment ref="M592" authorId="1" shapeId="0">
      <text>
        <r>
          <rPr>
            <b/>
            <sz val="9"/>
            <color indexed="81"/>
            <rFont val="Tahoma"/>
            <family val="2"/>
          </rPr>
          <t>Michael Lane:</t>
        </r>
        <r>
          <rPr>
            <sz val="9"/>
            <color indexed="81"/>
            <rFont val="Tahoma"/>
            <family val="2"/>
          </rPr>
          <t xml:space="preserve">
Changed Retrofit / TI / NC
</t>
        </r>
      </text>
    </comment>
    <comment ref="N592" authorId="0" shapeId="0">
      <text>
        <r>
          <rPr>
            <b/>
            <sz val="9"/>
            <color indexed="81"/>
            <rFont val="Tahoma"/>
            <family val="2"/>
          </rPr>
          <t>Michael lane:</t>
        </r>
        <r>
          <rPr>
            <sz val="9"/>
            <color indexed="81"/>
            <rFont val="Tahoma"/>
            <family val="2"/>
          </rPr>
          <t xml:space="preserve">
HVAC factor</t>
        </r>
      </text>
    </comment>
    <comment ref="M593" authorId="0" shapeId="0">
      <text>
        <r>
          <rPr>
            <b/>
            <sz val="9"/>
            <color indexed="81"/>
            <rFont val="Tahoma"/>
            <family val="2"/>
          </rPr>
          <t>Michael lane:</t>
        </r>
        <r>
          <rPr>
            <sz val="9"/>
            <color indexed="81"/>
            <rFont val="Tahoma"/>
            <family val="2"/>
          </rPr>
          <t xml:space="preserve">
Space Type incorrect due to Heat Type Change
</t>
        </r>
      </text>
    </comment>
    <comment ref="N593" authorId="0" shapeId="0">
      <text>
        <r>
          <rPr>
            <b/>
            <sz val="9"/>
            <color indexed="81"/>
            <rFont val="Tahoma"/>
            <family val="2"/>
          </rPr>
          <t>Michael lane:</t>
        </r>
        <r>
          <rPr>
            <sz val="9"/>
            <color indexed="81"/>
            <rFont val="Tahoma"/>
            <family val="2"/>
          </rPr>
          <t xml:space="preserve">
LPA</t>
        </r>
      </text>
    </comment>
    <comment ref="M597" authorId="1" shapeId="0">
      <text>
        <r>
          <rPr>
            <b/>
            <sz val="9"/>
            <color indexed="81"/>
            <rFont val="Tahoma"/>
            <family val="2"/>
          </rPr>
          <t>Michael Lane:</t>
        </r>
        <r>
          <rPr>
            <sz val="9"/>
            <color indexed="81"/>
            <rFont val="Tahoma"/>
            <family val="2"/>
          </rPr>
          <t xml:space="preserve">
Changed Retrofit / TI / NC
</t>
        </r>
      </text>
    </comment>
    <comment ref="N597" authorId="0" shapeId="0">
      <text>
        <r>
          <rPr>
            <b/>
            <sz val="9"/>
            <color indexed="81"/>
            <rFont val="Tahoma"/>
            <family val="2"/>
          </rPr>
          <t>Michael lane:</t>
        </r>
        <r>
          <rPr>
            <sz val="9"/>
            <color indexed="81"/>
            <rFont val="Tahoma"/>
            <family val="2"/>
          </rPr>
          <t xml:space="preserve">
HVAC factor</t>
        </r>
      </text>
    </comment>
    <comment ref="M598" authorId="0" shapeId="0">
      <text>
        <r>
          <rPr>
            <b/>
            <sz val="9"/>
            <color indexed="81"/>
            <rFont val="Tahoma"/>
            <family val="2"/>
          </rPr>
          <t>Michael lane:</t>
        </r>
        <r>
          <rPr>
            <sz val="9"/>
            <color indexed="81"/>
            <rFont val="Tahoma"/>
            <family val="2"/>
          </rPr>
          <t xml:space="preserve">
Space Type incorrect due to Heat Type Change
</t>
        </r>
      </text>
    </comment>
    <comment ref="N598" authorId="0" shapeId="0">
      <text>
        <r>
          <rPr>
            <b/>
            <sz val="9"/>
            <color indexed="81"/>
            <rFont val="Tahoma"/>
            <family val="2"/>
          </rPr>
          <t>Michael lane:</t>
        </r>
        <r>
          <rPr>
            <sz val="9"/>
            <color indexed="81"/>
            <rFont val="Tahoma"/>
            <family val="2"/>
          </rPr>
          <t xml:space="preserve">
LPA</t>
        </r>
      </text>
    </comment>
    <comment ref="M602" authorId="1" shapeId="0">
      <text>
        <r>
          <rPr>
            <b/>
            <sz val="9"/>
            <color indexed="81"/>
            <rFont val="Tahoma"/>
            <family val="2"/>
          </rPr>
          <t>Michael Lane:</t>
        </r>
        <r>
          <rPr>
            <sz val="9"/>
            <color indexed="81"/>
            <rFont val="Tahoma"/>
            <family val="2"/>
          </rPr>
          <t xml:space="preserve">
Changed Retrofit / TI / NC
</t>
        </r>
      </text>
    </comment>
    <comment ref="N602" authorId="0" shapeId="0">
      <text>
        <r>
          <rPr>
            <b/>
            <sz val="9"/>
            <color indexed="81"/>
            <rFont val="Tahoma"/>
            <family val="2"/>
          </rPr>
          <t>Michael lane:</t>
        </r>
        <r>
          <rPr>
            <sz val="9"/>
            <color indexed="81"/>
            <rFont val="Tahoma"/>
            <family val="2"/>
          </rPr>
          <t xml:space="preserve">
HVAC factor</t>
        </r>
      </text>
    </comment>
    <comment ref="M603" authorId="0" shapeId="0">
      <text>
        <r>
          <rPr>
            <b/>
            <sz val="9"/>
            <color indexed="81"/>
            <rFont val="Tahoma"/>
            <family val="2"/>
          </rPr>
          <t>Michael lane:</t>
        </r>
        <r>
          <rPr>
            <sz val="9"/>
            <color indexed="81"/>
            <rFont val="Tahoma"/>
            <family val="2"/>
          </rPr>
          <t xml:space="preserve">
Space Type incorrect due to Heat Type Change
</t>
        </r>
      </text>
    </comment>
    <comment ref="N603" authorId="0" shapeId="0">
      <text>
        <r>
          <rPr>
            <b/>
            <sz val="9"/>
            <color indexed="81"/>
            <rFont val="Tahoma"/>
            <family val="2"/>
          </rPr>
          <t>Michael lane:</t>
        </r>
        <r>
          <rPr>
            <sz val="9"/>
            <color indexed="81"/>
            <rFont val="Tahoma"/>
            <family val="2"/>
          </rPr>
          <t xml:space="preserve">
LPA</t>
        </r>
      </text>
    </comment>
    <comment ref="M607" authorId="1" shapeId="0">
      <text>
        <r>
          <rPr>
            <b/>
            <sz val="9"/>
            <color indexed="81"/>
            <rFont val="Tahoma"/>
            <family val="2"/>
          </rPr>
          <t>Michael Lane:</t>
        </r>
        <r>
          <rPr>
            <sz val="9"/>
            <color indexed="81"/>
            <rFont val="Tahoma"/>
            <family val="2"/>
          </rPr>
          <t xml:space="preserve">
Changed Retrofit / TI / NC
</t>
        </r>
      </text>
    </comment>
    <comment ref="N607" authorId="0" shapeId="0">
      <text>
        <r>
          <rPr>
            <b/>
            <sz val="9"/>
            <color indexed="81"/>
            <rFont val="Tahoma"/>
            <family val="2"/>
          </rPr>
          <t>Michael lane:</t>
        </r>
        <r>
          <rPr>
            <sz val="9"/>
            <color indexed="81"/>
            <rFont val="Tahoma"/>
            <family val="2"/>
          </rPr>
          <t xml:space="preserve">
HVAC factor</t>
        </r>
      </text>
    </comment>
    <comment ref="M608" authorId="0" shapeId="0">
      <text>
        <r>
          <rPr>
            <b/>
            <sz val="9"/>
            <color indexed="81"/>
            <rFont val="Tahoma"/>
            <family val="2"/>
          </rPr>
          <t>Michael lane:</t>
        </r>
        <r>
          <rPr>
            <sz val="9"/>
            <color indexed="81"/>
            <rFont val="Tahoma"/>
            <family val="2"/>
          </rPr>
          <t xml:space="preserve">
Space Type incorrect due to Heat Type Change
</t>
        </r>
      </text>
    </comment>
    <comment ref="N608" authorId="0" shapeId="0">
      <text>
        <r>
          <rPr>
            <b/>
            <sz val="9"/>
            <color indexed="81"/>
            <rFont val="Tahoma"/>
            <family val="2"/>
          </rPr>
          <t>Michael lane:</t>
        </r>
        <r>
          <rPr>
            <sz val="9"/>
            <color indexed="81"/>
            <rFont val="Tahoma"/>
            <family val="2"/>
          </rPr>
          <t xml:space="preserve">
LPA</t>
        </r>
      </text>
    </comment>
    <comment ref="M612" authorId="1" shapeId="0">
      <text>
        <r>
          <rPr>
            <b/>
            <sz val="9"/>
            <color indexed="81"/>
            <rFont val="Tahoma"/>
            <family val="2"/>
          </rPr>
          <t>Michael Lane:</t>
        </r>
        <r>
          <rPr>
            <sz val="9"/>
            <color indexed="81"/>
            <rFont val="Tahoma"/>
            <family val="2"/>
          </rPr>
          <t xml:space="preserve">
Changed Retrofit / TI / NC
</t>
        </r>
      </text>
    </comment>
    <comment ref="N612" authorId="0" shapeId="0">
      <text>
        <r>
          <rPr>
            <b/>
            <sz val="9"/>
            <color indexed="81"/>
            <rFont val="Tahoma"/>
            <family val="2"/>
          </rPr>
          <t>Michael lane:</t>
        </r>
        <r>
          <rPr>
            <sz val="9"/>
            <color indexed="81"/>
            <rFont val="Tahoma"/>
            <family val="2"/>
          </rPr>
          <t xml:space="preserve">
HVAC factor</t>
        </r>
      </text>
    </comment>
    <comment ref="M613" authorId="0" shapeId="0">
      <text>
        <r>
          <rPr>
            <b/>
            <sz val="9"/>
            <color indexed="81"/>
            <rFont val="Tahoma"/>
            <family val="2"/>
          </rPr>
          <t>Michael lane:</t>
        </r>
        <r>
          <rPr>
            <sz val="9"/>
            <color indexed="81"/>
            <rFont val="Tahoma"/>
            <family val="2"/>
          </rPr>
          <t xml:space="preserve">
Space Type incorrect due to Heat Type Change
</t>
        </r>
      </text>
    </comment>
    <comment ref="N613" authorId="0" shapeId="0">
      <text>
        <r>
          <rPr>
            <b/>
            <sz val="9"/>
            <color indexed="81"/>
            <rFont val="Tahoma"/>
            <family val="2"/>
          </rPr>
          <t>Michael lane:</t>
        </r>
        <r>
          <rPr>
            <sz val="9"/>
            <color indexed="81"/>
            <rFont val="Tahoma"/>
            <family val="2"/>
          </rPr>
          <t xml:space="preserve">
LPA</t>
        </r>
      </text>
    </comment>
    <comment ref="M617" authorId="1" shapeId="0">
      <text>
        <r>
          <rPr>
            <b/>
            <sz val="9"/>
            <color indexed="81"/>
            <rFont val="Tahoma"/>
            <family val="2"/>
          </rPr>
          <t>Michael Lane:</t>
        </r>
        <r>
          <rPr>
            <sz val="9"/>
            <color indexed="81"/>
            <rFont val="Tahoma"/>
            <family val="2"/>
          </rPr>
          <t xml:space="preserve">
Changed Retrofit / TI / NC
</t>
        </r>
      </text>
    </comment>
    <comment ref="N617" authorId="0" shapeId="0">
      <text>
        <r>
          <rPr>
            <b/>
            <sz val="9"/>
            <color indexed="81"/>
            <rFont val="Tahoma"/>
            <family val="2"/>
          </rPr>
          <t>Michael lane:</t>
        </r>
        <r>
          <rPr>
            <sz val="9"/>
            <color indexed="81"/>
            <rFont val="Tahoma"/>
            <family val="2"/>
          </rPr>
          <t xml:space="preserve">
HVAC factor</t>
        </r>
      </text>
    </comment>
    <comment ref="M618" authorId="0" shapeId="0">
      <text>
        <r>
          <rPr>
            <b/>
            <sz val="9"/>
            <color indexed="81"/>
            <rFont val="Tahoma"/>
            <family val="2"/>
          </rPr>
          <t>Michael lane:</t>
        </r>
        <r>
          <rPr>
            <sz val="9"/>
            <color indexed="81"/>
            <rFont val="Tahoma"/>
            <family val="2"/>
          </rPr>
          <t xml:space="preserve">
Space Type incorrect due to Heat Type Change
</t>
        </r>
      </text>
    </comment>
    <comment ref="N618" authorId="0" shapeId="0">
      <text>
        <r>
          <rPr>
            <b/>
            <sz val="9"/>
            <color indexed="81"/>
            <rFont val="Tahoma"/>
            <family val="2"/>
          </rPr>
          <t>Michael lane:</t>
        </r>
        <r>
          <rPr>
            <sz val="9"/>
            <color indexed="81"/>
            <rFont val="Tahoma"/>
            <family val="2"/>
          </rPr>
          <t xml:space="preserve">
LPA</t>
        </r>
      </text>
    </comment>
    <comment ref="M622" authorId="1" shapeId="0">
      <text>
        <r>
          <rPr>
            <b/>
            <sz val="9"/>
            <color indexed="81"/>
            <rFont val="Tahoma"/>
            <family val="2"/>
          </rPr>
          <t>Michael Lane:</t>
        </r>
        <r>
          <rPr>
            <sz val="9"/>
            <color indexed="81"/>
            <rFont val="Tahoma"/>
            <family val="2"/>
          </rPr>
          <t xml:space="preserve">
Changed Retrofit / TI / NC
</t>
        </r>
      </text>
    </comment>
    <comment ref="N622" authorId="0" shapeId="0">
      <text>
        <r>
          <rPr>
            <b/>
            <sz val="9"/>
            <color indexed="81"/>
            <rFont val="Tahoma"/>
            <family val="2"/>
          </rPr>
          <t>Michael lane:</t>
        </r>
        <r>
          <rPr>
            <sz val="9"/>
            <color indexed="81"/>
            <rFont val="Tahoma"/>
            <family val="2"/>
          </rPr>
          <t xml:space="preserve">
HVAC factor</t>
        </r>
      </text>
    </comment>
    <comment ref="M623" authorId="0" shapeId="0">
      <text>
        <r>
          <rPr>
            <b/>
            <sz val="9"/>
            <color indexed="81"/>
            <rFont val="Tahoma"/>
            <family val="2"/>
          </rPr>
          <t>Michael lane:</t>
        </r>
        <r>
          <rPr>
            <sz val="9"/>
            <color indexed="81"/>
            <rFont val="Tahoma"/>
            <family val="2"/>
          </rPr>
          <t xml:space="preserve">
Space Type incorrect due to Heat Type Change
</t>
        </r>
      </text>
    </comment>
    <comment ref="N623" authorId="0" shapeId="0">
      <text>
        <r>
          <rPr>
            <b/>
            <sz val="9"/>
            <color indexed="81"/>
            <rFont val="Tahoma"/>
            <family val="2"/>
          </rPr>
          <t>Michael lane:</t>
        </r>
        <r>
          <rPr>
            <sz val="9"/>
            <color indexed="81"/>
            <rFont val="Tahoma"/>
            <family val="2"/>
          </rPr>
          <t xml:space="preserve">
LPA</t>
        </r>
      </text>
    </comment>
    <comment ref="M627" authorId="1" shapeId="0">
      <text>
        <r>
          <rPr>
            <b/>
            <sz val="9"/>
            <color indexed="81"/>
            <rFont val="Tahoma"/>
            <family val="2"/>
          </rPr>
          <t>Michael Lane:</t>
        </r>
        <r>
          <rPr>
            <sz val="9"/>
            <color indexed="81"/>
            <rFont val="Tahoma"/>
            <family val="2"/>
          </rPr>
          <t xml:space="preserve">
Changed Retrofit / TI / NC
</t>
        </r>
      </text>
    </comment>
    <comment ref="N627" authorId="0" shapeId="0">
      <text>
        <r>
          <rPr>
            <b/>
            <sz val="9"/>
            <color indexed="81"/>
            <rFont val="Tahoma"/>
            <family val="2"/>
          </rPr>
          <t>Michael lane:</t>
        </r>
        <r>
          <rPr>
            <sz val="9"/>
            <color indexed="81"/>
            <rFont val="Tahoma"/>
            <family val="2"/>
          </rPr>
          <t xml:space="preserve">
HVAC factor</t>
        </r>
      </text>
    </comment>
    <comment ref="M628" authorId="0" shapeId="0">
      <text>
        <r>
          <rPr>
            <b/>
            <sz val="9"/>
            <color indexed="81"/>
            <rFont val="Tahoma"/>
            <family val="2"/>
          </rPr>
          <t>Michael lane:</t>
        </r>
        <r>
          <rPr>
            <sz val="9"/>
            <color indexed="81"/>
            <rFont val="Tahoma"/>
            <family val="2"/>
          </rPr>
          <t xml:space="preserve">
Space Type incorrect due to Heat Type Change
</t>
        </r>
      </text>
    </comment>
    <comment ref="N628" authorId="0" shapeId="0">
      <text>
        <r>
          <rPr>
            <b/>
            <sz val="9"/>
            <color indexed="81"/>
            <rFont val="Tahoma"/>
            <family val="2"/>
          </rPr>
          <t>Michael lane:</t>
        </r>
        <r>
          <rPr>
            <sz val="9"/>
            <color indexed="81"/>
            <rFont val="Tahoma"/>
            <family val="2"/>
          </rPr>
          <t xml:space="preserve">
LPA</t>
        </r>
      </text>
    </comment>
    <comment ref="M632" authorId="1" shapeId="0">
      <text>
        <r>
          <rPr>
            <b/>
            <sz val="9"/>
            <color indexed="81"/>
            <rFont val="Tahoma"/>
            <family val="2"/>
          </rPr>
          <t>Michael Lane:</t>
        </r>
        <r>
          <rPr>
            <sz val="9"/>
            <color indexed="81"/>
            <rFont val="Tahoma"/>
            <family val="2"/>
          </rPr>
          <t xml:space="preserve">
Changed Retrofit / TI / NC
</t>
        </r>
      </text>
    </comment>
    <comment ref="N632" authorId="0" shapeId="0">
      <text>
        <r>
          <rPr>
            <b/>
            <sz val="9"/>
            <color indexed="81"/>
            <rFont val="Tahoma"/>
            <family val="2"/>
          </rPr>
          <t>Michael lane:</t>
        </r>
        <r>
          <rPr>
            <sz val="9"/>
            <color indexed="81"/>
            <rFont val="Tahoma"/>
            <family val="2"/>
          </rPr>
          <t xml:space="preserve">
HVAC factor</t>
        </r>
      </text>
    </comment>
    <comment ref="M633" authorId="0" shapeId="0">
      <text>
        <r>
          <rPr>
            <b/>
            <sz val="9"/>
            <color indexed="81"/>
            <rFont val="Tahoma"/>
            <family val="2"/>
          </rPr>
          <t>Michael lane:</t>
        </r>
        <r>
          <rPr>
            <sz val="9"/>
            <color indexed="81"/>
            <rFont val="Tahoma"/>
            <family val="2"/>
          </rPr>
          <t xml:space="preserve">
Space Type incorrect due to Heat Type Change
</t>
        </r>
      </text>
    </comment>
    <comment ref="N633" authorId="0" shapeId="0">
      <text>
        <r>
          <rPr>
            <b/>
            <sz val="9"/>
            <color indexed="81"/>
            <rFont val="Tahoma"/>
            <family val="2"/>
          </rPr>
          <t>Michael lane:</t>
        </r>
        <r>
          <rPr>
            <sz val="9"/>
            <color indexed="81"/>
            <rFont val="Tahoma"/>
            <family val="2"/>
          </rPr>
          <t xml:space="preserve">
LPA</t>
        </r>
      </text>
    </comment>
    <comment ref="M640" authorId="1" shapeId="0">
      <text>
        <r>
          <rPr>
            <b/>
            <sz val="9"/>
            <color indexed="81"/>
            <rFont val="Tahoma"/>
            <family val="2"/>
          </rPr>
          <t>Michael Lane:</t>
        </r>
        <r>
          <rPr>
            <sz val="9"/>
            <color indexed="81"/>
            <rFont val="Tahoma"/>
            <family val="2"/>
          </rPr>
          <t xml:space="preserve">
Changed Retrofit / TI / NC
</t>
        </r>
      </text>
    </comment>
    <comment ref="N640" authorId="0" shapeId="0">
      <text>
        <r>
          <rPr>
            <b/>
            <sz val="9"/>
            <color indexed="81"/>
            <rFont val="Tahoma"/>
            <family val="2"/>
          </rPr>
          <t>Michael lane:</t>
        </r>
        <r>
          <rPr>
            <sz val="9"/>
            <color indexed="81"/>
            <rFont val="Tahoma"/>
            <family val="2"/>
          </rPr>
          <t xml:space="preserve">
HVAC factor</t>
        </r>
      </text>
    </comment>
    <comment ref="M641" authorId="0" shapeId="0">
      <text>
        <r>
          <rPr>
            <b/>
            <sz val="9"/>
            <color indexed="81"/>
            <rFont val="Tahoma"/>
            <family val="2"/>
          </rPr>
          <t>Michael lane:</t>
        </r>
        <r>
          <rPr>
            <sz val="9"/>
            <color indexed="81"/>
            <rFont val="Tahoma"/>
            <family val="2"/>
          </rPr>
          <t xml:space="preserve">
Space Type incorrect due to Heat Type Change
</t>
        </r>
      </text>
    </comment>
    <comment ref="N641" authorId="0" shapeId="0">
      <text>
        <r>
          <rPr>
            <b/>
            <sz val="9"/>
            <color indexed="81"/>
            <rFont val="Tahoma"/>
            <family val="2"/>
          </rPr>
          <t>Michael lane:</t>
        </r>
        <r>
          <rPr>
            <sz val="9"/>
            <color indexed="81"/>
            <rFont val="Tahoma"/>
            <family val="2"/>
          </rPr>
          <t xml:space="preserve">
LPA</t>
        </r>
      </text>
    </comment>
    <comment ref="M645" authorId="1" shapeId="0">
      <text>
        <r>
          <rPr>
            <b/>
            <sz val="9"/>
            <color indexed="81"/>
            <rFont val="Tahoma"/>
            <family val="2"/>
          </rPr>
          <t>Michael Lane:</t>
        </r>
        <r>
          <rPr>
            <sz val="9"/>
            <color indexed="81"/>
            <rFont val="Tahoma"/>
            <family val="2"/>
          </rPr>
          <t xml:space="preserve">
Changed Retrofit / TI / NC
</t>
        </r>
      </text>
    </comment>
    <comment ref="N645" authorId="0" shapeId="0">
      <text>
        <r>
          <rPr>
            <b/>
            <sz val="9"/>
            <color indexed="81"/>
            <rFont val="Tahoma"/>
            <family val="2"/>
          </rPr>
          <t>Michael lane:</t>
        </r>
        <r>
          <rPr>
            <sz val="9"/>
            <color indexed="81"/>
            <rFont val="Tahoma"/>
            <family val="2"/>
          </rPr>
          <t xml:space="preserve">
HVAC factor</t>
        </r>
      </text>
    </comment>
    <comment ref="M646" authorId="0" shapeId="0">
      <text>
        <r>
          <rPr>
            <b/>
            <sz val="9"/>
            <color indexed="81"/>
            <rFont val="Tahoma"/>
            <family val="2"/>
          </rPr>
          <t>Michael lane:</t>
        </r>
        <r>
          <rPr>
            <sz val="9"/>
            <color indexed="81"/>
            <rFont val="Tahoma"/>
            <family val="2"/>
          </rPr>
          <t xml:space="preserve">
Space Type incorrect due to Heat Type Change
</t>
        </r>
      </text>
    </comment>
    <comment ref="N646" authorId="0" shapeId="0">
      <text>
        <r>
          <rPr>
            <b/>
            <sz val="9"/>
            <color indexed="81"/>
            <rFont val="Tahoma"/>
            <family val="2"/>
          </rPr>
          <t>Michael lane:</t>
        </r>
        <r>
          <rPr>
            <sz val="9"/>
            <color indexed="81"/>
            <rFont val="Tahoma"/>
            <family val="2"/>
          </rPr>
          <t xml:space="preserve">
LPA</t>
        </r>
      </text>
    </comment>
    <comment ref="M650" authorId="1" shapeId="0">
      <text>
        <r>
          <rPr>
            <b/>
            <sz val="9"/>
            <color indexed="81"/>
            <rFont val="Tahoma"/>
            <family val="2"/>
          </rPr>
          <t>Michael Lane:</t>
        </r>
        <r>
          <rPr>
            <sz val="9"/>
            <color indexed="81"/>
            <rFont val="Tahoma"/>
            <family val="2"/>
          </rPr>
          <t xml:space="preserve">
Changed Retrofit / TI / NC
</t>
        </r>
      </text>
    </comment>
    <comment ref="N650" authorId="0" shapeId="0">
      <text>
        <r>
          <rPr>
            <b/>
            <sz val="9"/>
            <color indexed="81"/>
            <rFont val="Tahoma"/>
            <family val="2"/>
          </rPr>
          <t>Michael lane:</t>
        </r>
        <r>
          <rPr>
            <sz val="9"/>
            <color indexed="81"/>
            <rFont val="Tahoma"/>
            <family val="2"/>
          </rPr>
          <t xml:space="preserve">
HVAC factor</t>
        </r>
      </text>
    </comment>
    <comment ref="M651" authorId="0" shapeId="0">
      <text>
        <r>
          <rPr>
            <b/>
            <sz val="9"/>
            <color indexed="81"/>
            <rFont val="Tahoma"/>
            <family val="2"/>
          </rPr>
          <t>Michael lane:</t>
        </r>
        <r>
          <rPr>
            <sz val="9"/>
            <color indexed="81"/>
            <rFont val="Tahoma"/>
            <family val="2"/>
          </rPr>
          <t xml:space="preserve">
Space Type incorrect due to Heat Type Change
</t>
        </r>
      </text>
    </comment>
    <comment ref="N651" authorId="0" shapeId="0">
      <text>
        <r>
          <rPr>
            <b/>
            <sz val="9"/>
            <color indexed="81"/>
            <rFont val="Tahoma"/>
            <family val="2"/>
          </rPr>
          <t>Michael lane:</t>
        </r>
        <r>
          <rPr>
            <sz val="9"/>
            <color indexed="81"/>
            <rFont val="Tahoma"/>
            <family val="2"/>
          </rPr>
          <t xml:space="preserve">
LPA</t>
        </r>
      </text>
    </comment>
    <comment ref="M655" authorId="1" shapeId="0">
      <text>
        <r>
          <rPr>
            <b/>
            <sz val="9"/>
            <color indexed="81"/>
            <rFont val="Tahoma"/>
            <family val="2"/>
          </rPr>
          <t>Michael Lane:</t>
        </r>
        <r>
          <rPr>
            <sz val="9"/>
            <color indexed="81"/>
            <rFont val="Tahoma"/>
            <family val="2"/>
          </rPr>
          <t xml:space="preserve">
Changed Retrofit / TI / NC
</t>
        </r>
      </text>
    </comment>
    <comment ref="N655" authorId="0" shapeId="0">
      <text>
        <r>
          <rPr>
            <b/>
            <sz val="9"/>
            <color indexed="81"/>
            <rFont val="Tahoma"/>
            <family val="2"/>
          </rPr>
          <t>Michael lane:</t>
        </r>
        <r>
          <rPr>
            <sz val="9"/>
            <color indexed="81"/>
            <rFont val="Tahoma"/>
            <family val="2"/>
          </rPr>
          <t xml:space="preserve">
HVAC factor</t>
        </r>
      </text>
    </comment>
    <comment ref="M656" authorId="0" shapeId="0">
      <text>
        <r>
          <rPr>
            <b/>
            <sz val="9"/>
            <color indexed="81"/>
            <rFont val="Tahoma"/>
            <family val="2"/>
          </rPr>
          <t>Michael lane:</t>
        </r>
        <r>
          <rPr>
            <sz val="9"/>
            <color indexed="81"/>
            <rFont val="Tahoma"/>
            <family val="2"/>
          </rPr>
          <t xml:space="preserve">
Space Type incorrect due to Heat Type Change
</t>
        </r>
      </text>
    </comment>
    <comment ref="N656" authorId="0" shapeId="0">
      <text>
        <r>
          <rPr>
            <b/>
            <sz val="9"/>
            <color indexed="81"/>
            <rFont val="Tahoma"/>
            <family val="2"/>
          </rPr>
          <t>Michael lane:</t>
        </r>
        <r>
          <rPr>
            <sz val="9"/>
            <color indexed="81"/>
            <rFont val="Tahoma"/>
            <family val="2"/>
          </rPr>
          <t xml:space="preserve">
LPA</t>
        </r>
      </text>
    </comment>
    <comment ref="M660" authorId="1" shapeId="0">
      <text>
        <r>
          <rPr>
            <b/>
            <sz val="9"/>
            <color indexed="81"/>
            <rFont val="Tahoma"/>
            <family val="2"/>
          </rPr>
          <t>Michael Lane:</t>
        </r>
        <r>
          <rPr>
            <sz val="9"/>
            <color indexed="81"/>
            <rFont val="Tahoma"/>
            <family val="2"/>
          </rPr>
          <t xml:space="preserve">
Changed Retrofit / TI / NC
</t>
        </r>
      </text>
    </comment>
    <comment ref="N660" authorId="0" shapeId="0">
      <text>
        <r>
          <rPr>
            <b/>
            <sz val="9"/>
            <color indexed="81"/>
            <rFont val="Tahoma"/>
            <family val="2"/>
          </rPr>
          <t>Michael lane:</t>
        </r>
        <r>
          <rPr>
            <sz val="9"/>
            <color indexed="81"/>
            <rFont val="Tahoma"/>
            <family val="2"/>
          </rPr>
          <t xml:space="preserve">
HVAC factor</t>
        </r>
      </text>
    </comment>
    <comment ref="M661" authorId="0" shapeId="0">
      <text>
        <r>
          <rPr>
            <b/>
            <sz val="9"/>
            <color indexed="81"/>
            <rFont val="Tahoma"/>
            <family val="2"/>
          </rPr>
          <t>Michael lane:</t>
        </r>
        <r>
          <rPr>
            <sz val="9"/>
            <color indexed="81"/>
            <rFont val="Tahoma"/>
            <family val="2"/>
          </rPr>
          <t xml:space="preserve">
Space Type incorrect due to Heat Type Change
</t>
        </r>
      </text>
    </comment>
    <comment ref="N661" authorId="0" shapeId="0">
      <text>
        <r>
          <rPr>
            <b/>
            <sz val="9"/>
            <color indexed="81"/>
            <rFont val="Tahoma"/>
            <family val="2"/>
          </rPr>
          <t>Michael lane:</t>
        </r>
        <r>
          <rPr>
            <sz val="9"/>
            <color indexed="81"/>
            <rFont val="Tahoma"/>
            <family val="2"/>
          </rPr>
          <t xml:space="preserve">
LPA</t>
        </r>
      </text>
    </comment>
    <comment ref="M665" authorId="1" shapeId="0">
      <text>
        <r>
          <rPr>
            <b/>
            <sz val="9"/>
            <color indexed="81"/>
            <rFont val="Tahoma"/>
            <family val="2"/>
          </rPr>
          <t>Michael Lane:</t>
        </r>
        <r>
          <rPr>
            <sz val="9"/>
            <color indexed="81"/>
            <rFont val="Tahoma"/>
            <family val="2"/>
          </rPr>
          <t xml:space="preserve">
Changed Retrofit / TI / NC
</t>
        </r>
      </text>
    </comment>
    <comment ref="N665" authorId="0" shapeId="0">
      <text>
        <r>
          <rPr>
            <b/>
            <sz val="9"/>
            <color indexed="81"/>
            <rFont val="Tahoma"/>
            <family val="2"/>
          </rPr>
          <t>Michael lane:</t>
        </r>
        <r>
          <rPr>
            <sz val="9"/>
            <color indexed="81"/>
            <rFont val="Tahoma"/>
            <family val="2"/>
          </rPr>
          <t xml:space="preserve">
HVAC factor</t>
        </r>
      </text>
    </comment>
    <comment ref="M666" authorId="0" shapeId="0">
      <text>
        <r>
          <rPr>
            <b/>
            <sz val="9"/>
            <color indexed="81"/>
            <rFont val="Tahoma"/>
            <family val="2"/>
          </rPr>
          <t>Michael lane:</t>
        </r>
        <r>
          <rPr>
            <sz val="9"/>
            <color indexed="81"/>
            <rFont val="Tahoma"/>
            <family val="2"/>
          </rPr>
          <t xml:space="preserve">
Space Type incorrect due to Heat Type Change
</t>
        </r>
      </text>
    </comment>
    <comment ref="N666" authorId="0" shapeId="0">
      <text>
        <r>
          <rPr>
            <b/>
            <sz val="9"/>
            <color indexed="81"/>
            <rFont val="Tahoma"/>
            <family val="2"/>
          </rPr>
          <t>Michael lane:</t>
        </r>
        <r>
          <rPr>
            <sz val="9"/>
            <color indexed="81"/>
            <rFont val="Tahoma"/>
            <family val="2"/>
          </rPr>
          <t xml:space="preserve">
LPA</t>
        </r>
      </text>
    </comment>
    <comment ref="M670" authorId="1" shapeId="0">
      <text>
        <r>
          <rPr>
            <b/>
            <sz val="9"/>
            <color indexed="81"/>
            <rFont val="Tahoma"/>
            <family val="2"/>
          </rPr>
          <t>Michael Lane:</t>
        </r>
        <r>
          <rPr>
            <sz val="9"/>
            <color indexed="81"/>
            <rFont val="Tahoma"/>
            <family val="2"/>
          </rPr>
          <t xml:space="preserve">
Changed Retrofit / TI / NC
</t>
        </r>
      </text>
    </comment>
    <comment ref="N670" authorId="0" shapeId="0">
      <text>
        <r>
          <rPr>
            <b/>
            <sz val="9"/>
            <color indexed="81"/>
            <rFont val="Tahoma"/>
            <family val="2"/>
          </rPr>
          <t>Michael lane:</t>
        </r>
        <r>
          <rPr>
            <sz val="9"/>
            <color indexed="81"/>
            <rFont val="Tahoma"/>
            <family val="2"/>
          </rPr>
          <t xml:space="preserve">
HVAC factor</t>
        </r>
      </text>
    </comment>
    <comment ref="M671" authorId="0" shapeId="0">
      <text>
        <r>
          <rPr>
            <b/>
            <sz val="9"/>
            <color indexed="81"/>
            <rFont val="Tahoma"/>
            <family val="2"/>
          </rPr>
          <t>Michael lane:</t>
        </r>
        <r>
          <rPr>
            <sz val="9"/>
            <color indexed="81"/>
            <rFont val="Tahoma"/>
            <family val="2"/>
          </rPr>
          <t xml:space="preserve">
Space Type incorrect due to Heat Type Change
</t>
        </r>
      </text>
    </comment>
    <comment ref="N671" authorId="0" shapeId="0">
      <text>
        <r>
          <rPr>
            <b/>
            <sz val="9"/>
            <color indexed="81"/>
            <rFont val="Tahoma"/>
            <family val="2"/>
          </rPr>
          <t>Michael lane:</t>
        </r>
        <r>
          <rPr>
            <sz val="9"/>
            <color indexed="81"/>
            <rFont val="Tahoma"/>
            <family val="2"/>
          </rPr>
          <t xml:space="preserve">
LPA</t>
        </r>
      </text>
    </comment>
    <comment ref="M675" authorId="1" shapeId="0">
      <text>
        <r>
          <rPr>
            <b/>
            <sz val="9"/>
            <color indexed="81"/>
            <rFont val="Tahoma"/>
            <family val="2"/>
          </rPr>
          <t>Michael Lane:</t>
        </r>
        <r>
          <rPr>
            <sz val="9"/>
            <color indexed="81"/>
            <rFont val="Tahoma"/>
            <family val="2"/>
          </rPr>
          <t xml:space="preserve">
Changed Retrofit / TI / NC
</t>
        </r>
      </text>
    </comment>
    <comment ref="N675" authorId="0" shapeId="0">
      <text>
        <r>
          <rPr>
            <b/>
            <sz val="9"/>
            <color indexed="81"/>
            <rFont val="Tahoma"/>
            <family val="2"/>
          </rPr>
          <t>Michael lane:</t>
        </r>
        <r>
          <rPr>
            <sz val="9"/>
            <color indexed="81"/>
            <rFont val="Tahoma"/>
            <family val="2"/>
          </rPr>
          <t xml:space="preserve">
HVAC factor</t>
        </r>
      </text>
    </comment>
    <comment ref="M676" authorId="0" shapeId="0">
      <text>
        <r>
          <rPr>
            <b/>
            <sz val="9"/>
            <color indexed="81"/>
            <rFont val="Tahoma"/>
            <family val="2"/>
          </rPr>
          <t>Michael lane:</t>
        </r>
        <r>
          <rPr>
            <sz val="9"/>
            <color indexed="81"/>
            <rFont val="Tahoma"/>
            <family val="2"/>
          </rPr>
          <t xml:space="preserve">
Space Type incorrect due to Heat Type Change
</t>
        </r>
      </text>
    </comment>
    <comment ref="N676" authorId="0" shapeId="0">
      <text>
        <r>
          <rPr>
            <b/>
            <sz val="9"/>
            <color indexed="81"/>
            <rFont val="Tahoma"/>
            <family val="2"/>
          </rPr>
          <t>Michael lane:</t>
        </r>
        <r>
          <rPr>
            <sz val="9"/>
            <color indexed="81"/>
            <rFont val="Tahoma"/>
            <family val="2"/>
          </rPr>
          <t xml:space="preserve">
LPA</t>
        </r>
      </text>
    </comment>
    <comment ref="M680" authorId="1" shapeId="0">
      <text>
        <r>
          <rPr>
            <b/>
            <sz val="9"/>
            <color indexed="81"/>
            <rFont val="Tahoma"/>
            <family val="2"/>
          </rPr>
          <t>Michael Lane:</t>
        </r>
        <r>
          <rPr>
            <sz val="9"/>
            <color indexed="81"/>
            <rFont val="Tahoma"/>
            <family val="2"/>
          </rPr>
          <t xml:space="preserve">
Changed Retrofit / TI / NC
</t>
        </r>
      </text>
    </comment>
    <comment ref="N680" authorId="0" shapeId="0">
      <text>
        <r>
          <rPr>
            <b/>
            <sz val="9"/>
            <color indexed="81"/>
            <rFont val="Tahoma"/>
            <family val="2"/>
          </rPr>
          <t>Michael lane:</t>
        </r>
        <r>
          <rPr>
            <sz val="9"/>
            <color indexed="81"/>
            <rFont val="Tahoma"/>
            <family val="2"/>
          </rPr>
          <t xml:space="preserve">
HVAC factor</t>
        </r>
      </text>
    </comment>
    <comment ref="M681" authorId="0" shapeId="0">
      <text>
        <r>
          <rPr>
            <b/>
            <sz val="9"/>
            <color indexed="81"/>
            <rFont val="Tahoma"/>
            <family val="2"/>
          </rPr>
          <t>Michael lane:</t>
        </r>
        <r>
          <rPr>
            <sz val="9"/>
            <color indexed="81"/>
            <rFont val="Tahoma"/>
            <family val="2"/>
          </rPr>
          <t xml:space="preserve">
Space Type incorrect due to Heat Type Change
</t>
        </r>
      </text>
    </comment>
    <comment ref="N681" authorId="0" shapeId="0">
      <text>
        <r>
          <rPr>
            <b/>
            <sz val="9"/>
            <color indexed="81"/>
            <rFont val="Tahoma"/>
            <family val="2"/>
          </rPr>
          <t>Michael lane:</t>
        </r>
        <r>
          <rPr>
            <sz val="9"/>
            <color indexed="81"/>
            <rFont val="Tahoma"/>
            <family val="2"/>
          </rPr>
          <t xml:space="preserve">
LPA</t>
        </r>
      </text>
    </comment>
    <comment ref="M685" authorId="1" shapeId="0">
      <text>
        <r>
          <rPr>
            <b/>
            <sz val="9"/>
            <color indexed="81"/>
            <rFont val="Tahoma"/>
            <family val="2"/>
          </rPr>
          <t>Michael Lane:</t>
        </r>
        <r>
          <rPr>
            <sz val="9"/>
            <color indexed="81"/>
            <rFont val="Tahoma"/>
            <family val="2"/>
          </rPr>
          <t xml:space="preserve">
Changed Retrofit / TI / NC
</t>
        </r>
      </text>
    </comment>
    <comment ref="N685" authorId="0" shapeId="0">
      <text>
        <r>
          <rPr>
            <b/>
            <sz val="9"/>
            <color indexed="81"/>
            <rFont val="Tahoma"/>
            <family val="2"/>
          </rPr>
          <t>Michael lane:</t>
        </r>
        <r>
          <rPr>
            <sz val="9"/>
            <color indexed="81"/>
            <rFont val="Tahoma"/>
            <family val="2"/>
          </rPr>
          <t xml:space="preserve">
HVAC factor</t>
        </r>
      </text>
    </comment>
    <comment ref="M686" authorId="0" shapeId="0">
      <text>
        <r>
          <rPr>
            <b/>
            <sz val="9"/>
            <color indexed="81"/>
            <rFont val="Tahoma"/>
            <family val="2"/>
          </rPr>
          <t>Michael lane:</t>
        </r>
        <r>
          <rPr>
            <sz val="9"/>
            <color indexed="81"/>
            <rFont val="Tahoma"/>
            <family val="2"/>
          </rPr>
          <t xml:space="preserve">
Space Type incorrect due to Heat Type Change
</t>
        </r>
      </text>
    </comment>
    <comment ref="N686" authorId="0" shapeId="0">
      <text>
        <r>
          <rPr>
            <b/>
            <sz val="9"/>
            <color indexed="81"/>
            <rFont val="Tahoma"/>
            <family val="2"/>
          </rPr>
          <t>Michael lane:</t>
        </r>
        <r>
          <rPr>
            <sz val="9"/>
            <color indexed="81"/>
            <rFont val="Tahoma"/>
            <family val="2"/>
          </rPr>
          <t xml:space="preserve">
LPA</t>
        </r>
      </text>
    </comment>
    <comment ref="M690" authorId="1" shapeId="0">
      <text>
        <r>
          <rPr>
            <b/>
            <sz val="9"/>
            <color indexed="81"/>
            <rFont val="Tahoma"/>
            <family val="2"/>
          </rPr>
          <t>Michael Lane:</t>
        </r>
        <r>
          <rPr>
            <sz val="9"/>
            <color indexed="81"/>
            <rFont val="Tahoma"/>
            <family val="2"/>
          </rPr>
          <t xml:space="preserve">
Changed Retrofit / TI / NC
</t>
        </r>
      </text>
    </comment>
    <comment ref="N690" authorId="0" shapeId="0">
      <text>
        <r>
          <rPr>
            <b/>
            <sz val="9"/>
            <color indexed="81"/>
            <rFont val="Tahoma"/>
            <family val="2"/>
          </rPr>
          <t>Michael lane:</t>
        </r>
        <r>
          <rPr>
            <sz val="9"/>
            <color indexed="81"/>
            <rFont val="Tahoma"/>
            <family val="2"/>
          </rPr>
          <t xml:space="preserve">
HVAC factor</t>
        </r>
      </text>
    </comment>
    <comment ref="M691" authorId="0" shapeId="0">
      <text>
        <r>
          <rPr>
            <b/>
            <sz val="9"/>
            <color indexed="81"/>
            <rFont val="Tahoma"/>
            <family val="2"/>
          </rPr>
          <t>Michael lane:</t>
        </r>
        <r>
          <rPr>
            <sz val="9"/>
            <color indexed="81"/>
            <rFont val="Tahoma"/>
            <family val="2"/>
          </rPr>
          <t xml:space="preserve">
Space Type incorrect due to Heat Type Change
</t>
        </r>
      </text>
    </comment>
    <comment ref="N691" authorId="0" shapeId="0">
      <text>
        <r>
          <rPr>
            <b/>
            <sz val="9"/>
            <color indexed="81"/>
            <rFont val="Tahoma"/>
            <family val="2"/>
          </rPr>
          <t>Michael lane:</t>
        </r>
        <r>
          <rPr>
            <sz val="9"/>
            <color indexed="81"/>
            <rFont val="Tahoma"/>
            <family val="2"/>
          </rPr>
          <t xml:space="preserve">
LPA</t>
        </r>
      </text>
    </comment>
    <comment ref="M695" authorId="1" shapeId="0">
      <text>
        <r>
          <rPr>
            <b/>
            <sz val="9"/>
            <color indexed="81"/>
            <rFont val="Tahoma"/>
            <family val="2"/>
          </rPr>
          <t>Michael Lane:</t>
        </r>
        <r>
          <rPr>
            <sz val="9"/>
            <color indexed="81"/>
            <rFont val="Tahoma"/>
            <family val="2"/>
          </rPr>
          <t xml:space="preserve">
Changed Retrofit / TI / NC
</t>
        </r>
      </text>
    </comment>
    <comment ref="N695" authorId="0" shapeId="0">
      <text>
        <r>
          <rPr>
            <b/>
            <sz val="9"/>
            <color indexed="81"/>
            <rFont val="Tahoma"/>
            <family val="2"/>
          </rPr>
          <t>Michael lane:</t>
        </r>
        <r>
          <rPr>
            <sz val="9"/>
            <color indexed="81"/>
            <rFont val="Tahoma"/>
            <family val="2"/>
          </rPr>
          <t xml:space="preserve">
HVAC factor</t>
        </r>
      </text>
    </comment>
    <comment ref="M696" authorId="0" shapeId="0">
      <text>
        <r>
          <rPr>
            <b/>
            <sz val="9"/>
            <color indexed="81"/>
            <rFont val="Tahoma"/>
            <family val="2"/>
          </rPr>
          <t>Michael lane:</t>
        </r>
        <r>
          <rPr>
            <sz val="9"/>
            <color indexed="81"/>
            <rFont val="Tahoma"/>
            <family val="2"/>
          </rPr>
          <t xml:space="preserve">
Space Type incorrect due to Heat Type Change
</t>
        </r>
      </text>
    </comment>
    <comment ref="N696" authorId="0" shapeId="0">
      <text>
        <r>
          <rPr>
            <b/>
            <sz val="9"/>
            <color indexed="81"/>
            <rFont val="Tahoma"/>
            <family val="2"/>
          </rPr>
          <t>Michael lane:</t>
        </r>
        <r>
          <rPr>
            <sz val="9"/>
            <color indexed="81"/>
            <rFont val="Tahoma"/>
            <family val="2"/>
          </rPr>
          <t xml:space="preserve">
LPA</t>
        </r>
      </text>
    </comment>
    <comment ref="M700" authorId="1" shapeId="0">
      <text>
        <r>
          <rPr>
            <b/>
            <sz val="9"/>
            <color indexed="81"/>
            <rFont val="Tahoma"/>
            <family val="2"/>
          </rPr>
          <t>Michael Lane:</t>
        </r>
        <r>
          <rPr>
            <sz val="9"/>
            <color indexed="81"/>
            <rFont val="Tahoma"/>
            <family val="2"/>
          </rPr>
          <t xml:space="preserve">
Changed Retrofit / TI / NC
</t>
        </r>
      </text>
    </comment>
    <comment ref="N700" authorId="0" shapeId="0">
      <text>
        <r>
          <rPr>
            <b/>
            <sz val="9"/>
            <color indexed="81"/>
            <rFont val="Tahoma"/>
            <family val="2"/>
          </rPr>
          <t>Michael lane:</t>
        </r>
        <r>
          <rPr>
            <sz val="9"/>
            <color indexed="81"/>
            <rFont val="Tahoma"/>
            <family val="2"/>
          </rPr>
          <t xml:space="preserve">
HVAC factor</t>
        </r>
      </text>
    </comment>
    <comment ref="M701" authorId="0" shapeId="0">
      <text>
        <r>
          <rPr>
            <b/>
            <sz val="9"/>
            <color indexed="81"/>
            <rFont val="Tahoma"/>
            <family val="2"/>
          </rPr>
          <t>Michael lane:</t>
        </r>
        <r>
          <rPr>
            <sz val="9"/>
            <color indexed="81"/>
            <rFont val="Tahoma"/>
            <family val="2"/>
          </rPr>
          <t xml:space="preserve">
Space Type incorrect due to Heat Type Change
</t>
        </r>
      </text>
    </comment>
    <comment ref="N701" authorId="0" shapeId="0">
      <text>
        <r>
          <rPr>
            <b/>
            <sz val="9"/>
            <color indexed="81"/>
            <rFont val="Tahoma"/>
            <family val="2"/>
          </rPr>
          <t>Michael lane:</t>
        </r>
        <r>
          <rPr>
            <sz val="9"/>
            <color indexed="81"/>
            <rFont val="Tahoma"/>
            <family val="2"/>
          </rPr>
          <t xml:space="preserve">
LPA</t>
        </r>
      </text>
    </comment>
    <comment ref="M705" authorId="1" shapeId="0">
      <text>
        <r>
          <rPr>
            <b/>
            <sz val="9"/>
            <color indexed="81"/>
            <rFont val="Tahoma"/>
            <family val="2"/>
          </rPr>
          <t>Michael Lane:</t>
        </r>
        <r>
          <rPr>
            <sz val="9"/>
            <color indexed="81"/>
            <rFont val="Tahoma"/>
            <family val="2"/>
          </rPr>
          <t xml:space="preserve">
Changed Retrofit / TI / NC
</t>
        </r>
      </text>
    </comment>
    <comment ref="N705" authorId="0" shapeId="0">
      <text>
        <r>
          <rPr>
            <b/>
            <sz val="9"/>
            <color indexed="81"/>
            <rFont val="Tahoma"/>
            <family val="2"/>
          </rPr>
          <t>Michael lane:</t>
        </r>
        <r>
          <rPr>
            <sz val="9"/>
            <color indexed="81"/>
            <rFont val="Tahoma"/>
            <family val="2"/>
          </rPr>
          <t xml:space="preserve">
HVAC factor</t>
        </r>
      </text>
    </comment>
    <comment ref="M706" authorId="0" shapeId="0">
      <text>
        <r>
          <rPr>
            <b/>
            <sz val="9"/>
            <color indexed="81"/>
            <rFont val="Tahoma"/>
            <family val="2"/>
          </rPr>
          <t>Michael lane:</t>
        </r>
        <r>
          <rPr>
            <sz val="9"/>
            <color indexed="81"/>
            <rFont val="Tahoma"/>
            <family val="2"/>
          </rPr>
          <t xml:space="preserve">
Space Type incorrect due to Heat Type Change
</t>
        </r>
      </text>
    </comment>
    <comment ref="N706" authorId="0" shapeId="0">
      <text>
        <r>
          <rPr>
            <b/>
            <sz val="9"/>
            <color indexed="81"/>
            <rFont val="Tahoma"/>
            <family val="2"/>
          </rPr>
          <t>Michael lane:</t>
        </r>
        <r>
          <rPr>
            <sz val="9"/>
            <color indexed="81"/>
            <rFont val="Tahoma"/>
            <family val="2"/>
          </rPr>
          <t xml:space="preserve">
LPA</t>
        </r>
      </text>
    </comment>
    <comment ref="M710" authorId="1" shapeId="0">
      <text>
        <r>
          <rPr>
            <b/>
            <sz val="9"/>
            <color indexed="81"/>
            <rFont val="Tahoma"/>
            <family val="2"/>
          </rPr>
          <t>Michael Lane:</t>
        </r>
        <r>
          <rPr>
            <sz val="9"/>
            <color indexed="81"/>
            <rFont val="Tahoma"/>
            <family val="2"/>
          </rPr>
          <t xml:space="preserve">
Changed Retrofit / TI / NC
</t>
        </r>
      </text>
    </comment>
    <comment ref="N710" authorId="0" shapeId="0">
      <text>
        <r>
          <rPr>
            <b/>
            <sz val="9"/>
            <color indexed="81"/>
            <rFont val="Tahoma"/>
            <family val="2"/>
          </rPr>
          <t>Michael lane:</t>
        </r>
        <r>
          <rPr>
            <sz val="9"/>
            <color indexed="81"/>
            <rFont val="Tahoma"/>
            <family val="2"/>
          </rPr>
          <t xml:space="preserve">
HVAC factor</t>
        </r>
      </text>
    </comment>
    <comment ref="M711" authorId="0" shapeId="0">
      <text>
        <r>
          <rPr>
            <b/>
            <sz val="9"/>
            <color indexed="81"/>
            <rFont val="Tahoma"/>
            <family val="2"/>
          </rPr>
          <t>Michael lane:</t>
        </r>
        <r>
          <rPr>
            <sz val="9"/>
            <color indexed="81"/>
            <rFont val="Tahoma"/>
            <family val="2"/>
          </rPr>
          <t xml:space="preserve">
Space Type incorrect due to Heat Type Change
</t>
        </r>
      </text>
    </comment>
    <comment ref="N711" authorId="0" shapeId="0">
      <text>
        <r>
          <rPr>
            <b/>
            <sz val="9"/>
            <color indexed="81"/>
            <rFont val="Tahoma"/>
            <family val="2"/>
          </rPr>
          <t>Michael lane:</t>
        </r>
        <r>
          <rPr>
            <sz val="9"/>
            <color indexed="81"/>
            <rFont val="Tahoma"/>
            <family val="2"/>
          </rPr>
          <t xml:space="preserve">
LPA</t>
        </r>
      </text>
    </comment>
    <comment ref="M718" authorId="1" shapeId="0">
      <text>
        <r>
          <rPr>
            <b/>
            <sz val="9"/>
            <color indexed="81"/>
            <rFont val="Tahoma"/>
            <family val="2"/>
          </rPr>
          <t>Michael Lane:</t>
        </r>
        <r>
          <rPr>
            <sz val="9"/>
            <color indexed="81"/>
            <rFont val="Tahoma"/>
            <family val="2"/>
          </rPr>
          <t xml:space="preserve">
Changed Retrofit / TI / NC
</t>
        </r>
      </text>
    </comment>
    <comment ref="N718" authorId="0" shapeId="0">
      <text>
        <r>
          <rPr>
            <b/>
            <sz val="9"/>
            <color indexed="81"/>
            <rFont val="Tahoma"/>
            <family val="2"/>
          </rPr>
          <t>Michael lane:</t>
        </r>
        <r>
          <rPr>
            <sz val="9"/>
            <color indexed="81"/>
            <rFont val="Tahoma"/>
            <family val="2"/>
          </rPr>
          <t xml:space="preserve">
HVAC factor</t>
        </r>
      </text>
    </comment>
    <comment ref="M719" authorId="0" shapeId="0">
      <text>
        <r>
          <rPr>
            <b/>
            <sz val="9"/>
            <color indexed="81"/>
            <rFont val="Tahoma"/>
            <family val="2"/>
          </rPr>
          <t>Michael lane:</t>
        </r>
        <r>
          <rPr>
            <sz val="9"/>
            <color indexed="81"/>
            <rFont val="Tahoma"/>
            <family val="2"/>
          </rPr>
          <t xml:space="preserve">
Space Type incorrect due to Heat Type Change
</t>
        </r>
      </text>
    </comment>
    <comment ref="N719" authorId="0" shapeId="0">
      <text>
        <r>
          <rPr>
            <b/>
            <sz val="9"/>
            <color indexed="81"/>
            <rFont val="Tahoma"/>
            <family val="2"/>
          </rPr>
          <t>Michael lane:</t>
        </r>
        <r>
          <rPr>
            <sz val="9"/>
            <color indexed="81"/>
            <rFont val="Tahoma"/>
            <family val="2"/>
          </rPr>
          <t xml:space="preserve">
LPA</t>
        </r>
      </text>
    </comment>
    <comment ref="M723" authorId="1" shapeId="0">
      <text>
        <r>
          <rPr>
            <b/>
            <sz val="9"/>
            <color indexed="81"/>
            <rFont val="Tahoma"/>
            <family val="2"/>
          </rPr>
          <t>Michael Lane:</t>
        </r>
        <r>
          <rPr>
            <sz val="9"/>
            <color indexed="81"/>
            <rFont val="Tahoma"/>
            <family val="2"/>
          </rPr>
          <t xml:space="preserve">
Changed Retrofit / TI / NC
</t>
        </r>
      </text>
    </comment>
    <comment ref="N723" authorId="0" shapeId="0">
      <text>
        <r>
          <rPr>
            <b/>
            <sz val="9"/>
            <color indexed="81"/>
            <rFont val="Tahoma"/>
            <family val="2"/>
          </rPr>
          <t>Michael lane:</t>
        </r>
        <r>
          <rPr>
            <sz val="9"/>
            <color indexed="81"/>
            <rFont val="Tahoma"/>
            <family val="2"/>
          </rPr>
          <t xml:space="preserve">
HVAC factor</t>
        </r>
      </text>
    </comment>
    <comment ref="M724" authorId="0" shapeId="0">
      <text>
        <r>
          <rPr>
            <b/>
            <sz val="9"/>
            <color indexed="81"/>
            <rFont val="Tahoma"/>
            <family val="2"/>
          </rPr>
          <t>Michael lane:</t>
        </r>
        <r>
          <rPr>
            <sz val="9"/>
            <color indexed="81"/>
            <rFont val="Tahoma"/>
            <family val="2"/>
          </rPr>
          <t xml:space="preserve">
Space Type incorrect due to Heat Type Change
</t>
        </r>
      </text>
    </comment>
    <comment ref="N724" authorId="0" shapeId="0">
      <text>
        <r>
          <rPr>
            <b/>
            <sz val="9"/>
            <color indexed="81"/>
            <rFont val="Tahoma"/>
            <family val="2"/>
          </rPr>
          <t>Michael lane:</t>
        </r>
        <r>
          <rPr>
            <sz val="9"/>
            <color indexed="81"/>
            <rFont val="Tahoma"/>
            <family val="2"/>
          </rPr>
          <t xml:space="preserve">
LPA</t>
        </r>
      </text>
    </comment>
    <comment ref="M728" authorId="1" shapeId="0">
      <text>
        <r>
          <rPr>
            <b/>
            <sz val="9"/>
            <color indexed="81"/>
            <rFont val="Tahoma"/>
            <family val="2"/>
          </rPr>
          <t>Michael Lane:</t>
        </r>
        <r>
          <rPr>
            <sz val="9"/>
            <color indexed="81"/>
            <rFont val="Tahoma"/>
            <family val="2"/>
          </rPr>
          <t xml:space="preserve">
Changed Retrofit / TI / NC
</t>
        </r>
      </text>
    </comment>
    <comment ref="N728" authorId="0" shapeId="0">
      <text>
        <r>
          <rPr>
            <b/>
            <sz val="9"/>
            <color indexed="81"/>
            <rFont val="Tahoma"/>
            <family val="2"/>
          </rPr>
          <t>Michael lane:</t>
        </r>
        <r>
          <rPr>
            <sz val="9"/>
            <color indexed="81"/>
            <rFont val="Tahoma"/>
            <family val="2"/>
          </rPr>
          <t xml:space="preserve">
HVAC factor</t>
        </r>
      </text>
    </comment>
    <comment ref="M729" authorId="0" shapeId="0">
      <text>
        <r>
          <rPr>
            <b/>
            <sz val="9"/>
            <color indexed="81"/>
            <rFont val="Tahoma"/>
            <family val="2"/>
          </rPr>
          <t>Michael lane:</t>
        </r>
        <r>
          <rPr>
            <sz val="9"/>
            <color indexed="81"/>
            <rFont val="Tahoma"/>
            <family val="2"/>
          </rPr>
          <t xml:space="preserve">
Space Type incorrect due to Heat Type Change
</t>
        </r>
      </text>
    </comment>
    <comment ref="N729" authorId="0" shapeId="0">
      <text>
        <r>
          <rPr>
            <b/>
            <sz val="9"/>
            <color indexed="81"/>
            <rFont val="Tahoma"/>
            <family val="2"/>
          </rPr>
          <t>Michael lane:</t>
        </r>
        <r>
          <rPr>
            <sz val="9"/>
            <color indexed="81"/>
            <rFont val="Tahoma"/>
            <family val="2"/>
          </rPr>
          <t xml:space="preserve">
LPA</t>
        </r>
      </text>
    </comment>
    <comment ref="M733" authorId="1" shapeId="0">
      <text>
        <r>
          <rPr>
            <b/>
            <sz val="9"/>
            <color indexed="81"/>
            <rFont val="Tahoma"/>
            <family val="2"/>
          </rPr>
          <t>Michael Lane:</t>
        </r>
        <r>
          <rPr>
            <sz val="9"/>
            <color indexed="81"/>
            <rFont val="Tahoma"/>
            <family val="2"/>
          </rPr>
          <t xml:space="preserve">
Changed Retrofit / TI / NC
</t>
        </r>
      </text>
    </comment>
    <comment ref="N733" authorId="0" shapeId="0">
      <text>
        <r>
          <rPr>
            <b/>
            <sz val="9"/>
            <color indexed="81"/>
            <rFont val="Tahoma"/>
            <family val="2"/>
          </rPr>
          <t>Michael lane:</t>
        </r>
        <r>
          <rPr>
            <sz val="9"/>
            <color indexed="81"/>
            <rFont val="Tahoma"/>
            <family val="2"/>
          </rPr>
          <t xml:space="preserve">
HVAC factor</t>
        </r>
      </text>
    </comment>
    <comment ref="M734" authorId="0" shapeId="0">
      <text>
        <r>
          <rPr>
            <b/>
            <sz val="9"/>
            <color indexed="81"/>
            <rFont val="Tahoma"/>
            <family val="2"/>
          </rPr>
          <t>Michael lane:</t>
        </r>
        <r>
          <rPr>
            <sz val="9"/>
            <color indexed="81"/>
            <rFont val="Tahoma"/>
            <family val="2"/>
          </rPr>
          <t xml:space="preserve">
Space Type incorrect due to Heat Type Change
</t>
        </r>
      </text>
    </comment>
    <comment ref="N734" authorId="0" shapeId="0">
      <text>
        <r>
          <rPr>
            <b/>
            <sz val="9"/>
            <color indexed="81"/>
            <rFont val="Tahoma"/>
            <family val="2"/>
          </rPr>
          <t>Michael lane:</t>
        </r>
        <r>
          <rPr>
            <sz val="9"/>
            <color indexed="81"/>
            <rFont val="Tahoma"/>
            <family val="2"/>
          </rPr>
          <t xml:space="preserve">
LPA</t>
        </r>
      </text>
    </comment>
    <comment ref="M738" authorId="1" shapeId="0">
      <text>
        <r>
          <rPr>
            <b/>
            <sz val="9"/>
            <color indexed="81"/>
            <rFont val="Tahoma"/>
            <family val="2"/>
          </rPr>
          <t>Michael Lane:</t>
        </r>
        <r>
          <rPr>
            <sz val="9"/>
            <color indexed="81"/>
            <rFont val="Tahoma"/>
            <family val="2"/>
          </rPr>
          <t xml:space="preserve">
Changed Retrofit / TI / NC
</t>
        </r>
      </text>
    </comment>
    <comment ref="N738" authorId="0" shapeId="0">
      <text>
        <r>
          <rPr>
            <b/>
            <sz val="9"/>
            <color indexed="81"/>
            <rFont val="Tahoma"/>
            <family val="2"/>
          </rPr>
          <t>Michael lane:</t>
        </r>
        <r>
          <rPr>
            <sz val="9"/>
            <color indexed="81"/>
            <rFont val="Tahoma"/>
            <family val="2"/>
          </rPr>
          <t xml:space="preserve">
HVAC factor</t>
        </r>
      </text>
    </comment>
    <comment ref="M739" authorId="0" shapeId="0">
      <text>
        <r>
          <rPr>
            <b/>
            <sz val="9"/>
            <color indexed="81"/>
            <rFont val="Tahoma"/>
            <family val="2"/>
          </rPr>
          <t>Michael lane:</t>
        </r>
        <r>
          <rPr>
            <sz val="9"/>
            <color indexed="81"/>
            <rFont val="Tahoma"/>
            <family val="2"/>
          </rPr>
          <t xml:space="preserve">
Space Type incorrect due to Heat Type Change
</t>
        </r>
      </text>
    </comment>
    <comment ref="N739" authorId="0" shapeId="0">
      <text>
        <r>
          <rPr>
            <b/>
            <sz val="9"/>
            <color indexed="81"/>
            <rFont val="Tahoma"/>
            <family val="2"/>
          </rPr>
          <t>Michael lane:</t>
        </r>
        <r>
          <rPr>
            <sz val="9"/>
            <color indexed="81"/>
            <rFont val="Tahoma"/>
            <family val="2"/>
          </rPr>
          <t xml:space="preserve">
LPA</t>
        </r>
      </text>
    </comment>
    <comment ref="M743" authorId="1" shapeId="0">
      <text>
        <r>
          <rPr>
            <b/>
            <sz val="9"/>
            <color indexed="81"/>
            <rFont val="Tahoma"/>
            <family val="2"/>
          </rPr>
          <t>Michael Lane:</t>
        </r>
        <r>
          <rPr>
            <sz val="9"/>
            <color indexed="81"/>
            <rFont val="Tahoma"/>
            <family val="2"/>
          </rPr>
          <t xml:space="preserve">
Changed Retrofit / TI / NC
</t>
        </r>
      </text>
    </comment>
    <comment ref="N743" authorId="0" shapeId="0">
      <text>
        <r>
          <rPr>
            <b/>
            <sz val="9"/>
            <color indexed="81"/>
            <rFont val="Tahoma"/>
            <family val="2"/>
          </rPr>
          <t>Michael lane:</t>
        </r>
        <r>
          <rPr>
            <sz val="9"/>
            <color indexed="81"/>
            <rFont val="Tahoma"/>
            <family val="2"/>
          </rPr>
          <t xml:space="preserve">
HVAC factor</t>
        </r>
      </text>
    </comment>
    <comment ref="M744" authorId="0" shapeId="0">
      <text>
        <r>
          <rPr>
            <b/>
            <sz val="9"/>
            <color indexed="81"/>
            <rFont val="Tahoma"/>
            <family val="2"/>
          </rPr>
          <t>Michael lane:</t>
        </r>
        <r>
          <rPr>
            <sz val="9"/>
            <color indexed="81"/>
            <rFont val="Tahoma"/>
            <family val="2"/>
          </rPr>
          <t xml:space="preserve">
Space Type incorrect due to Heat Type Change
</t>
        </r>
      </text>
    </comment>
    <comment ref="N744" authorId="0" shapeId="0">
      <text>
        <r>
          <rPr>
            <b/>
            <sz val="9"/>
            <color indexed="81"/>
            <rFont val="Tahoma"/>
            <family val="2"/>
          </rPr>
          <t>Michael lane:</t>
        </r>
        <r>
          <rPr>
            <sz val="9"/>
            <color indexed="81"/>
            <rFont val="Tahoma"/>
            <family val="2"/>
          </rPr>
          <t xml:space="preserve">
LPA</t>
        </r>
      </text>
    </comment>
    <comment ref="M748" authorId="1" shapeId="0">
      <text>
        <r>
          <rPr>
            <b/>
            <sz val="9"/>
            <color indexed="81"/>
            <rFont val="Tahoma"/>
            <family val="2"/>
          </rPr>
          <t>Michael Lane:</t>
        </r>
        <r>
          <rPr>
            <sz val="9"/>
            <color indexed="81"/>
            <rFont val="Tahoma"/>
            <family val="2"/>
          </rPr>
          <t xml:space="preserve">
Changed Retrofit / TI / NC
</t>
        </r>
      </text>
    </comment>
    <comment ref="N748" authorId="0" shapeId="0">
      <text>
        <r>
          <rPr>
            <b/>
            <sz val="9"/>
            <color indexed="81"/>
            <rFont val="Tahoma"/>
            <family val="2"/>
          </rPr>
          <t>Michael lane:</t>
        </r>
        <r>
          <rPr>
            <sz val="9"/>
            <color indexed="81"/>
            <rFont val="Tahoma"/>
            <family val="2"/>
          </rPr>
          <t xml:space="preserve">
HVAC factor</t>
        </r>
      </text>
    </comment>
    <comment ref="M749" authorId="0" shapeId="0">
      <text>
        <r>
          <rPr>
            <b/>
            <sz val="9"/>
            <color indexed="81"/>
            <rFont val="Tahoma"/>
            <family val="2"/>
          </rPr>
          <t>Michael lane:</t>
        </r>
        <r>
          <rPr>
            <sz val="9"/>
            <color indexed="81"/>
            <rFont val="Tahoma"/>
            <family val="2"/>
          </rPr>
          <t xml:space="preserve">
Space Type incorrect due to Heat Type Change
</t>
        </r>
      </text>
    </comment>
    <comment ref="N749" authorId="0" shapeId="0">
      <text>
        <r>
          <rPr>
            <b/>
            <sz val="9"/>
            <color indexed="81"/>
            <rFont val="Tahoma"/>
            <family val="2"/>
          </rPr>
          <t>Michael lane:</t>
        </r>
        <r>
          <rPr>
            <sz val="9"/>
            <color indexed="81"/>
            <rFont val="Tahoma"/>
            <family val="2"/>
          </rPr>
          <t xml:space="preserve">
LPA</t>
        </r>
      </text>
    </comment>
    <comment ref="M753" authorId="1" shapeId="0">
      <text>
        <r>
          <rPr>
            <b/>
            <sz val="9"/>
            <color indexed="81"/>
            <rFont val="Tahoma"/>
            <family val="2"/>
          </rPr>
          <t>Michael Lane:</t>
        </r>
        <r>
          <rPr>
            <sz val="9"/>
            <color indexed="81"/>
            <rFont val="Tahoma"/>
            <family val="2"/>
          </rPr>
          <t xml:space="preserve">
Changed Retrofit / TI / NC
</t>
        </r>
      </text>
    </comment>
    <comment ref="N753" authorId="0" shapeId="0">
      <text>
        <r>
          <rPr>
            <b/>
            <sz val="9"/>
            <color indexed="81"/>
            <rFont val="Tahoma"/>
            <family val="2"/>
          </rPr>
          <t>Michael lane:</t>
        </r>
        <r>
          <rPr>
            <sz val="9"/>
            <color indexed="81"/>
            <rFont val="Tahoma"/>
            <family val="2"/>
          </rPr>
          <t xml:space="preserve">
HVAC factor</t>
        </r>
      </text>
    </comment>
    <comment ref="M754" authorId="0" shapeId="0">
      <text>
        <r>
          <rPr>
            <b/>
            <sz val="9"/>
            <color indexed="81"/>
            <rFont val="Tahoma"/>
            <family val="2"/>
          </rPr>
          <t>Michael lane:</t>
        </r>
        <r>
          <rPr>
            <sz val="9"/>
            <color indexed="81"/>
            <rFont val="Tahoma"/>
            <family val="2"/>
          </rPr>
          <t xml:space="preserve">
Space Type incorrect due to Heat Type Change
</t>
        </r>
      </text>
    </comment>
    <comment ref="N754" authorId="0" shapeId="0">
      <text>
        <r>
          <rPr>
            <b/>
            <sz val="9"/>
            <color indexed="81"/>
            <rFont val="Tahoma"/>
            <family val="2"/>
          </rPr>
          <t>Michael lane:</t>
        </r>
        <r>
          <rPr>
            <sz val="9"/>
            <color indexed="81"/>
            <rFont val="Tahoma"/>
            <family val="2"/>
          </rPr>
          <t xml:space="preserve">
LPA</t>
        </r>
      </text>
    </comment>
    <comment ref="M758" authorId="1" shapeId="0">
      <text>
        <r>
          <rPr>
            <b/>
            <sz val="9"/>
            <color indexed="81"/>
            <rFont val="Tahoma"/>
            <family val="2"/>
          </rPr>
          <t>Michael Lane:</t>
        </r>
        <r>
          <rPr>
            <sz val="9"/>
            <color indexed="81"/>
            <rFont val="Tahoma"/>
            <family val="2"/>
          </rPr>
          <t xml:space="preserve">
Changed Retrofit / TI / NC
</t>
        </r>
      </text>
    </comment>
    <comment ref="N758" authorId="0" shapeId="0">
      <text>
        <r>
          <rPr>
            <b/>
            <sz val="9"/>
            <color indexed="81"/>
            <rFont val="Tahoma"/>
            <family val="2"/>
          </rPr>
          <t>Michael lane:</t>
        </r>
        <r>
          <rPr>
            <sz val="9"/>
            <color indexed="81"/>
            <rFont val="Tahoma"/>
            <family val="2"/>
          </rPr>
          <t xml:space="preserve">
HVAC factor</t>
        </r>
      </text>
    </comment>
    <comment ref="M759" authorId="0" shapeId="0">
      <text>
        <r>
          <rPr>
            <b/>
            <sz val="9"/>
            <color indexed="81"/>
            <rFont val="Tahoma"/>
            <family val="2"/>
          </rPr>
          <t>Michael lane:</t>
        </r>
        <r>
          <rPr>
            <sz val="9"/>
            <color indexed="81"/>
            <rFont val="Tahoma"/>
            <family val="2"/>
          </rPr>
          <t xml:space="preserve">
Space Type incorrect due to Heat Type Change
</t>
        </r>
      </text>
    </comment>
    <comment ref="N759" authorId="0" shapeId="0">
      <text>
        <r>
          <rPr>
            <b/>
            <sz val="9"/>
            <color indexed="81"/>
            <rFont val="Tahoma"/>
            <family val="2"/>
          </rPr>
          <t>Michael lane:</t>
        </r>
        <r>
          <rPr>
            <sz val="9"/>
            <color indexed="81"/>
            <rFont val="Tahoma"/>
            <family val="2"/>
          </rPr>
          <t xml:space="preserve">
LPA</t>
        </r>
      </text>
    </comment>
    <comment ref="M763" authorId="1" shapeId="0">
      <text>
        <r>
          <rPr>
            <b/>
            <sz val="9"/>
            <color indexed="81"/>
            <rFont val="Tahoma"/>
            <family val="2"/>
          </rPr>
          <t>Michael Lane:</t>
        </r>
        <r>
          <rPr>
            <sz val="9"/>
            <color indexed="81"/>
            <rFont val="Tahoma"/>
            <family val="2"/>
          </rPr>
          <t xml:space="preserve">
Changed Retrofit / TI / NC
</t>
        </r>
      </text>
    </comment>
    <comment ref="N763" authorId="0" shapeId="0">
      <text>
        <r>
          <rPr>
            <b/>
            <sz val="9"/>
            <color indexed="81"/>
            <rFont val="Tahoma"/>
            <family val="2"/>
          </rPr>
          <t>Michael lane:</t>
        </r>
        <r>
          <rPr>
            <sz val="9"/>
            <color indexed="81"/>
            <rFont val="Tahoma"/>
            <family val="2"/>
          </rPr>
          <t xml:space="preserve">
HVAC factor</t>
        </r>
      </text>
    </comment>
    <comment ref="M764" authorId="0" shapeId="0">
      <text>
        <r>
          <rPr>
            <b/>
            <sz val="9"/>
            <color indexed="81"/>
            <rFont val="Tahoma"/>
            <family val="2"/>
          </rPr>
          <t>Michael lane:</t>
        </r>
        <r>
          <rPr>
            <sz val="9"/>
            <color indexed="81"/>
            <rFont val="Tahoma"/>
            <family val="2"/>
          </rPr>
          <t xml:space="preserve">
Space Type incorrect due to Heat Type Change
</t>
        </r>
      </text>
    </comment>
    <comment ref="N764" authorId="0" shapeId="0">
      <text>
        <r>
          <rPr>
            <b/>
            <sz val="9"/>
            <color indexed="81"/>
            <rFont val="Tahoma"/>
            <family val="2"/>
          </rPr>
          <t>Michael lane:</t>
        </r>
        <r>
          <rPr>
            <sz val="9"/>
            <color indexed="81"/>
            <rFont val="Tahoma"/>
            <family val="2"/>
          </rPr>
          <t xml:space="preserve">
LPA</t>
        </r>
      </text>
    </comment>
    <comment ref="M768" authorId="1" shapeId="0">
      <text>
        <r>
          <rPr>
            <b/>
            <sz val="9"/>
            <color indexed="81"/>
            <rFont val="Tahoma"/>
            <family val="2"/>
          </rPr>
          <t>Michael Lane:</t>
        </r>
        <r>
          <rPr>
            <sz val="9"/>
            <color indexed="81"/>
            <rFont val="Tahoma"/>
            <family val="2"/>
          </rPr>
          <t xml:space="preserve">
Changed Retrofit / TI / NC
</t>
        </r>
      </text>
    </comment>
    <comment ref="N768" authorId="0" shapeId="0">
      <text>
        <r>
          <rPr>
            <b/>
            <sz val="9"/>
            <color indexed="81"/>
            <rFont val="Tahoma"/>
            <family val="2"/>
          </rPr>
          <t>Michael lane:</t>
        </r>
        <r>
          <rPr>
            <sz val="9"/>
            <color indexed="81"/>
            <rFont val="Tahoma"/>
            <family val="2"/>
          </rPr>
          <t xml:space="preserve">
HVAC factor</t>
        </r>
      </text>
    </comment>
    <comment ref="M769" authorId="0" shapeId="0">
      <text>
        <r>
          <rPr>
            <b/>
            <sz val="9"/>
            <color indexed="81"/>
            <rFont val="Tahoma"/>
            <family val="2"/>
          </rPr>
          <t>Michael lane:</t>
        </r>
        <r>
          <rPr>
            <sz val="9"/>
            <color indexed="81"/>
            <rFont val="Tahoma"/>
            <family val="2"/>
          </rPr>
          <t xml:space="preserve">
Space Type incorrect due to Heat Type Change
</t>
        </r>
      </text>
    </comment>
    <comment ref="N769" authorId="0" shapeId="0">
      <text>
        <r>
          <rPr>
            <b/>
            <sz val="9"/>
            <color indexed="81"/>
            <rFont val="Tahoma"/>
            <family val="2"/>
          </rPr>
          <t>Michael lane:</t>
        </r>
        <r>
          <rPr>
            <sz val="9"/>
            <color indexed="81"/>
            <rFont val="Tahoma"/>
            <family val="2"/>
          </rPr>
          <t xml:space="preserve">
LPA</t>
        </r>
      </text>
    </comment>
    <comment ref="M773" authorId="1" shapeId="0">
      <text>
        <r>
          <rPr>
            <b/>
            <sz val="9"/>
            <color indexed="81"/>
            <rFont val="Tahoma"/>
            <family val="2"/>
          </rPr>
          <t>Michael Lane:</t>
        </r>
        <r>
          <rPr>
            <sz val="9"/>
            <color indexed="81"/>
            <rFont val="Tahoma"/>
            <family val="2"/>
          </rPr>
          <t xml:space="preserve">
Changed Retrofit / TI / NC
</t>
        </r>
      </text>
    </comment>
    <comment ref="N773" authorId="0" shapeId="0">
      <text>
        <r>
          <rPr>
            <b/>
            <sz val="9"/>
            <color indexed="81"/>
            <rFont val="Tahoma"/>
            <family val="2"/>
          </rPr>
          <t>Michael lane:</t>
        </r>
        <r>
          <rPr>
            <sz val="9"/>
            <color indexed="81"/>
            <rFont val="Tahoma"/>
            <family val="2"/>
          </rPr>
          <t xml:space="preserve">
HVAC factor</t>
        </r>
      </text>
    </comment>
    <comment ref="M774" authorId="0" shapeId="0">
      <text>
        <r>
          <rPr>
            <b/>
            <sz val="9"/>
            <color indexed="81"/>
            <rFont val="Tahoma"/>
            <family val="2"/>
          </rPr>
          <t>Michael lane:</t>
        </r>
        <r>
          <rPr>
            <sz val="9"/>
            <color indexed="81"/>
            <rFont val="Tahoma"/>
            <family val="2"/>
          </rPr>
          <t xml:space="preserve">
Space Type incorrect due to Heat Type Change
</t>
        </r>
      </text>
    </comment>
    <comment ref="N774" authorId="0" shapeId="0">
      <text>
        <r>
          <rPr>
            <b/>
            <sz val="9"/>
            <color indexed="81"/>
            <rFont val="Tahoma"/>
            <family val="2"/>
          </rPr>
          <t>Michael lane:</t>
        </r>
        <r>
          <rPr>
            <sz val="9"/>
            <color indexed="81"/>
            <rFont val="Tahoma"/>
            <family val="2"/>
          </rPr>
          <t xml:space="preserve">
LPA</t>
        </r>
      </text>
    </comment>
    <comment ref="M778" authorId="1" shapeId="0">
      <text>
        <r>
          <rPr>
            <b/>
            <sz val="9"/>
            <color indexed="81"/>
            <rFont val="Tahoma"/>
            <family val="2"/>
          </rPr>
          <t>Michael Lane:</t>
        </r>
        <r>
          <rPr>
            <sz val="9"/>
            <color indexed="81"/>
            <rFont val="Tahoma"/>
            <family val="2"/>
          </rPr>
          <t xml:space="preserve">
Changed Retrofit / TI / NC
</t>
        </r>
      </text>
    </comment>
    <comment ref="N778" authorId="0" shapeId="0">
      <text>
        <r>
          <rPr>
            <b/>
            <sz val="9"/>
            <color indexed="81"/>
            <rFont val="Tahoma"/>
            <family val="2"/>
          </rPr>
          <t>Michael lane:</t>
        </r>
        <r>
          <rPr>
            <sz val="9"/>
            <color indexed="81"/>
            <rFont val="Tahoma"/>
            <family val="2"/>
          </rPr>
          <t xml:space="preserve">
HVAC factor</t>
        </r>
      </text>
    </comment>
    <comment ref="M779" authorId="0" shapeId="0">
      <text>
        <r>
          <rPr>
            <b/>
            <sz val="9"/>
            <color indexed="81"/>
            <rFont val="Tahoma"/>
            <family val="2"/>
          </rPr>
          <t>Michael lane:</t>
        </r>
        <r>
          <rPr>
            <sz val="9"/>
            <color indexed="81"/>
            <rFont val="Tahoma"/>
            <family val="2"/>
          </rPr>
          <t xml:space="preserve">
Space Type incorrect due to Heat Type Change
</t>
        </r>
      </text>
    </comment>
    <comment ref="N779" authorId="0" shapeId="0">
      <text>
        <r>
          <rPr>
            <b/>
            <sz val="9"/>
            <color indexed="81"/>
            <rFont val="Tahoma"/>
            <family val="2"/>
          </rPr>
          <t>Michael lane:</t>
        </r>
        <r>
          <rPr>
            <sz val="9"/>
            <color indexed="81"/>
            <rFont val="Tahoma"/>
            <family val="2"/>
          </rPr>
          <t xml:space="preserve">
LPA</t>
        </r>
      </text>
    </comment>
    <comment ref="M783" authorId="1" shapeId="0">
      <text>
        <r>
          <rPr>
            <b/>
            <sz val="9"/>
            <color indexed="81"/>
            <rFont val="Tahoma"/>
            <family val="2"/>
          </rPr>
          <t>Michael Lane:</t>
        </r>
        <r>
          <rPr>
            <sz val="9"/>
            <color indexed="81"/>
            <rFont val="Tahoma"/>
            <family val="2"/>
          </rPr>
          <t xml:space="preserve">
Changed Retrofit / TI / NC
</t>
        </r>
      </text>
    </comment>
    <comment ref="N783" authorId="0" shapeId="0">
      <text>
        <r>
          <rPr>
            <b/>
            <sz val="9"/>
            <color indexed="81"/>
            <rFont val="Tahoma"/>
            <family val="2"/>
          </rPr>
          <t>Michael lane:</t>
        </r>
        <r>
          <rPr>
            <sz val="9"/>
            <color indexed="81"/>
            <rFont val="Tahoma"/>
            <family val="2"/>
          </rPr>
          <t xml:space="preserve">
HVAC factor</t>
        </r>
      </text>
    </comment>
    <comment ref="M784" authorId="0" shapeId="0">
      <text>
        <r>
          <rPr>
            <b/>
            <sz val="9"/>
            <color indexed="81"/>
            <rFont val="Tahoma"/>
            <family val="2"/>
          </rPr>
          <t>Michael lane:</t>
        </r>
        <r>
          <rPr>
            <sz val="9"/>
            <color indexed="81"/>
            <rFont val="Tahoma"/>
            <family val="2"/>
          </rPr>
          <t xml:space="preserve">
Space Type incorrect due to Heat Type Change
</t>
        </r>
      </text>
    </comment>
    <comment ref="N784" authorId="0" shapeId="0">
      <text>
        <r>
          <rPr>
            <b/>
            <sz val="9"/>
            <color indexed="81"/>
            <rFont val="Tahoma"/>
            <family val="2"/>
          </rPr>
          <t>Michael lane:</t>
        </r>
        <r>
          <rPr>
            <sz val="9"/>
            <color indexed="81"/>
            <rFont val="Tahoma"/>
            <family val="2"/>
          </rPr>
          <t xml:space="preserve">
LPA</t>
        </r>
      </text>
    </comment>
    <comment ref="M788" authorId="1" shapeId="0">
      <text>
        <r>
          <rPr>
            <b/>
            <sz val="9"/>
            <color indexed="81"/>
            <rFont val="Tahoma"/>
            <family val="2"/>
          </rPr>
          <t>Michael Lane:</t>
        </r>
        <r>
          <rPr>
            <sz val="9"/>
            <color indexed="81"/>
            <rFont val="Tahoma"/>
            <family val="2"/>
          </rPr>
          <t xml:space="preserve">
Changed Retrofit / TI / NC
</t>
        </r>
      </text>
    </comment>
    <comment ref="N788" authorId="0" shapeId="0">
      <text>
        <r>
          <rPr>
            <b/>
            <sz val="9"/>
            <color indexed="81"/>
            <rFont val="Tahoma"/>
            <family val="2"/>
          </rPr>
          <t>Michael lane:</t>
        </r>
        <r>
          <rPr>
            <sz val="9"/>
            <color indexed="81"/>
            <rFont val="Tahoma"/>
            <family val="2"/>
          </rPr>
          <t xml:space="preserve">
HVAC factor</t>
        </r>
      </text>
    </comment>
    <comment ref="M789" authorId="0" shapeId="0">
      <text>
        <r>
          <rPr>
            <b/>
            <sz val="9"/>
            <color indexed="81"/>
            <rFont val="Tahoma"/>
            <family val="2"/>
          </rPr>
          <t>Michael lane:</t>
        </r>
        <r>
          <rPr>
            <sz val="9"/>
            <color indexed="81"/>
            <rFont val="Tahoma"/>
            <family val="2"/>
          </rPr>
          <t xml:space="preserve">
Space Type incorrect due to Heat Type Change
</t>
        </r>
      </text>
    </comment>
    <comment ref="N789" authorId="0" shapeId="0">
      <text>
        <r>
          <rPr>
            <b/>
            <sz val="9"/>
            <color indexed="81"/>
            <rFont val="Tahoma"/>
            <family val="2"/>
          </rPr>
          <t>Michael lane:</t>
        </r>
        <r>
          <rPr>
            <sz val="9"/>
            <color indexed="81"/>
            <rFont val="Tahoma"/>
            <family val="2"/>
          </rPr>
          <t xml:space="preserve">
LPA</t>
        </r>
      </text>
    </comment>
  </commentList>
</comments>
</file>

<file path=xl/comments4.xml><?xml version="1.0" encoding="utf-8"?>
<comments xmlns="http://schemas.openxmlformats.org/spreadsheetml/2006/main">
  <authors>
    <author>mlane</author>
  </authors>
  <commentList>
    <comment ref="AE78" authorId="0" shapeId="0">
      <text>
        <r>
          <rPr>
            <b/>
            <sz val="9"/>
            <color indexed="81"/>
            <rFont val="Tahoma"/>
            <family val="2"/>
          </rPr>
          <t>mlane:</t>
        </r>
        <r>
          <rPr>
            <sz val="9"/>
            <color indexed="81"/>
            <rFont val="Tahoma"/>
            <family val="2"/>
          </rPr>
          <t xml:space="preserve">
Actual customer signature required.</t>
        </r>
      </text>
    </comment>
    <comment ref="AE105" authorId="0" shapeId="0">
      <text>
        <r>
          <rPr>
            <b/>
            <sz val="9"/>
            <color indexed="81"/>
            <rFont val="Tahoma"/>
            <family val="2"/>
          </rPr>
          <t>mlane:</t>
        </r>
        <r>
          <rPr>
            <sz val="9"/>
            <color indexed="81"/>
            <rFont val="Tahoma"/>
            <family val="2"/>
          </rPr>
          <t xml:space="preserve">
Actual customer signature required.</t>
        </r>
      </text>
    </comment>
  </commentList>
</comments>
</file>

<file path=xl/comments5.xml><?xml version="1.0" encoding="utf-8"?>
<comments xmlns="http://schemas.openxmlformats.org/spreadsheetml/2006/main">
  <authors>
    <author>Michael Lane</author>
  </authors>
  <commentList>
    <comment ref="M30" authorId="0" shapeId="0">
      <text>
        <r>
          <rPr>
            <b/>
            <sz val="9"/>
            <color indexed="81"/>
            <rFont val="Tahoma"/>
            <family val="2"/>
          </rPr>
          <t>Michael Lane:</t>
        </r>
        <r>
          <rPr>
            <sz val="9"/>
            <color indexed="81"/>
            <rFont val="Tahoma"/>
            <family val="2"/>
          </rPr>
          <t xml:space="preserve">
See "Customer Authorization" tab and cell AE87 near customer signature.</t>
        </r>
      </text>
    </comment>
  </commentList>
</comments>
</file>

<file path=xl/comments6.xml><?xml version="1.0" encoding="utf-8"?>
<comments xmlns="http://schemas.openxmlformats.org/spreadsheetml/2006/main">
  <authors>
    <author>Michael Lane</author>
  </authors>
  <commentList>
    <comment ref="BA67" authorId="0" shapeId="0">
      <text>
        <r>
          <rPr>
            <b/>
            <sz val="9"/>
            <color indexed="81"/>
            <rFont val="Tahoma"/>
            <family val="2"/>
          </rPr>
          <t>Michael Lane:</t>
        </r>
        <r>
          <rPr>
            <sz val="9"/>
            <color indexed="81"/>
            <rFont val="Tahoma"/>
            <family val="2"/>
          </rPr>
          <t xml:space="preserve">
Checks to see if Retrofit / TI / New Construction changed</t>
        </r>
      </text>
    </comment>
  </commentList>
</comments>
</file>

<file path=xl/sharedStrings.xml><?xml version="1.0" encoding="utf-8"?>
<sst xmlns="http://schemas.openxmlformats.org/spreadsheetml/2006/main" count="10479" uniqueCount="2099">
  <si>
    <t xml:space="preserve">For more information on this and other PSE Lighting programs and their latest applications please click the following links </t>
  </si>
  <si>
    <t>Business Lighting Incentive Program</t>
  </si>
  <si>
    <t>Multi-Family Lighting Incentive Program</t>
  </si>
  <si>
    <t>Lighting To Go</t>
  </si>
  <si>
    <t>New Commercial Construction Grants</t>
  </si>
  <si>
    <t xml:space="preserve">New Multifamily Construction Incentives </t>
  </si>
  <si>
    <t>Lighting Retrofit projects (existing lighting baseline)</t>
  </si>
  <si>
    <t>Photo/video verification may be allowed in place of physical site inspection (contact your PSE representative):</t>
  </si>
  <si>
    <t>1. Photos or videos must provide substantial evidence of pre/post project conditions.</t>
  </si>
  <si>
    <t>2. Photos or videos shall include a general shot of each space/area, showing the lights, along with close-up shots of each unique light fixture.</t>
  </si>
  <si>
    <t>3. Verification may include a virtual site visits through video conferencing apps.</t>
  </si>
  <si>
    <t>Lighting Only - Tenant Improvement and New Construction projects (Energy Code baseline)</t>
  </si>
  <si>
    <t>and the square footage on the Installations tab is accurate.</t>
  </si>
  <si>
    <r>
      <rPr>
        <sz val="11"/>
        <color theme="1"/>
        <rFont val="Calibri"/>
        <family val="2"/>
      </rPr>
      <t xml:space="preserve">● Current </t>
    </r>
    <r>
      <rPr>
        <sz val="11"/>
        <color theme="1"/>
        <rFont val="Calibri"/>
        <family val="2"/>
        <scheme val="minor"/>
      </rPr>
      <t>W9 of Payee (or W9 on file with PSE)</t>
    </r>
  </si>
  <si>
    <r>
      <t xml:space="preserve">● Cut sheets of </t>
    </r>
    <r>
      <rPr>
        <u/>
        <sz val="11"/>
        <color theme="1"/>
        <rFont val="Calibri"/>
        <family val="2"/>
      </rPr>
      <t>all</t>
    </r>
    <r>
      <rPr>
        <sz val="11"/>
        <color theme="1"/>
        <rFont val="Calibri"/>
        <family val="2"/>
      </rPr>
      <t xml:space="preserve"> LED light fixtures</t>
    </r>
  </si>
  <si>
    <t xml:space="preserve">Qualifying Electric Customers: </t>
  </si>
  <si>
    <r>
      <t xml:space="preserve">Incentives: </t>
    </r>
    <r>
      <rPr>
        <sz val="11"/>
        <color theme="1"/>
        <rFont val="Calibri"/>
        <family val="2"/>
        <scheme val="minor"/>
      </rPr>
      <t/>
    </r>
  </si>
  <si>
    <t>This PSE application provides incentives to PSE commercial customers converting older inefficient lighting to new efficient lighting.</t>
  </si>
  <si>
    <t>Lighting equipment covered includes fluorescent lamp and ballast combinations, fixture conversion kits, new fixtures, and lighting controls.</t>
  </si>
  <si>
    <t>All wattages will be verified by PSE. PSE will make the final determination of wattage.</t>
  </si>
  <si>
    <t>Do not include them on this application.</t>
  </si>
  <si>
    <t xml:space="preserve">TLED lamps for this program are 2-foot long or greater linear fluorescent lamp replacements that are field replaceable, that use the </t>
  </si>
  <si>
    <t>existing (or replaced) fluorescent lamp sockets for power or mounting.</t>
  </si>
  <si>
    <t>Magnetically attached tubes that do not use the lamp sockets for mounting are also considered TLEDs.</t>
  </si>
  <si>
    <t>No energy saving credit will be given for delamping when using TLED lamped fixtures</t>
  </si>
  <si>
    <r>
      <t xml:space="preserve">Note: </t>
    </r>
    <r>
      <rPr>
        <i/>
        <sz val="11"/>
        <color rgb="FFFF0000"/>
        <rFont val="Calibri"/>
        <family val="2"/>
        <scheme val="minor"/>
      </rPr>
      <t xml:space="preserve">When using "plug and play" TLEDs, it is the contractors responsibility to ensure that the Lighting To Go rebate </t>
    </r>
  </si>
  <si>
    <t xml:space="preserve">the Lighting To Go incentive was not received from the distributor. If the receipt or PSE investigation determines that </t>
  </si>
  <si>
    <t>the Lighting To Go incentive was received, the Custom incentive will be disallowed.</t>
  </si>
  <si>
    <t>HID-LED screw-in lamps (replacing HID lamps)</t>
  </si>
  <si>
    <t>CFL-LED pin based lamps (replacing CFL pin base lamps)</t>
  </si>
  <si>
    <t xml:space="preserve">Lighting Components </t>
  </si>
  <si>
    <t xml:space="preserve">Fixture Retrofit Kits </t>
  </si>
  <si>
    <t xml:space="preserve">Fixture Retrofit Kits are LED module(s), driver(s), reflector systems and lensing that are wired and assembled as a complete unit by a lighting manufacturer. </t>
  </si>
  <si>
    <t xml:space="preserve">New Fixture  </t>
  </si>
  <si>
    <t xml:space="preserve">A New Fixture is a complete new fixture that consists of LED module(s), driver(s), housing, reflector, lens all that is wired, assembled and sold by a lighting manufacturer. </t>
  </si>
  <si>
    <t>To qualify for this level, where the existing fixture must be is completely removed and disposed. Must be a complete new fixture and the existing fixture must be completely removed and disposed.</t>
  </si>
  <si>
    <t>Fixture &amp; Control bundle</t>
  </si>
  <si>
    <t>All controls must be new and not replacing an existing similar control.</t>
  </si>
  <si>
    <t>Interior: occupancy sensor, daylight sensor, network lighting controls; wall mounted or ceiling mounted.</t>
  </si>
  <si>
    <t>Exterior: occupancy sensors in addition to photocell or astronomical time clock, or network lighting controls.</t>
  </si>
  <si>
    <t>LLLC (Luminaire Level Lighting Control fixtures)</t>
  </si>
  <si>
    <t>For daylighted spaces in Open Office, Private Office, Conference Rooms, Classrooms and "Top" daylighted Warehouses.  See LLLC Tab for more information.</t>
  </si>
  <si>
    <r>
      <t xml:space="preserve">Exterior Networked Lighting Control Bonus </t>
    </r>
    <r>
      <rPr>
        <sz val="11"/>
        <color rgb="FF000000"/>
        <rFont val="Calibri"/>
        <family val="2"/>
        <scheme val="minor"/>
      </rPr>
      <t>- for each Exterior Networked Lighting Control (Exterior NLC) PSE will incentivize $75 per fixture</t>
    </r>
  </si>
  <si>
    <t xml:space="preserve">Exterior NLC fixtures - Each exterior LED luminaire(s) must include the following automatic control abilities: (1) a photocell or astronomical time switch to turn the lights off during daylight hours, (2) a dimming driver with the high end trim set to maximum 90% power, (3) an occupancy sensing control to dim the power to at least 50% when no activity is detected for 10 minutes or more, or controlled through a time based control system to dim to at least 50% power for at least 6 hours per each night. ​ </t>
  </si>
  <si>
    <t>Specifications:</t>
  </si>
  <si>
    <r>
      <rPr>
        <b/>
        <sz val="11"/>
        <color rgb="FF006666"/>
        <rFont val="Calibri"/>
        <family val="2"/>
        <scheme val="minor"/>
      </rPr>
      <t>LED Fixtures and Lamps:</t>
    </r>
    <r>
      <rPr>
        <sz val="11"/>
        <color rgb="FF006666"/>
        <rFont val="Calibri"/>
        <family val="2"/>
        <scheme val="minor"/>
      </rPr>
      <t xml:space="preserve"> </t>
    </r>
    <r>
      <rPr>
        <sz val="11"/>
        <color theme="1"/>
        <rFont val="Calibri"/>
        <family val="2"/>
        <scheme val="minor"/>
      </rPr>
      <t xml:space="preserve">All fixtures and lamps must meet PSE specifications with the following REQUIRED listed on </t>
    </r>
  </si>
  <si>
    <t>All LED fixtures and lamps must meet PSE specifications 
with the following REQUIRED listed on the manufacturers specification sheet or combination of specification sheet and LM79:</t>
  </si>
  <si>
    <t>PSE reserves the option of requiring LM79 or LM80 for any luminaire, lamp, component or retrofit kit</t>
  </si>
  <si>
    <t>1. UL or ETL listing</t>
  </si>
  <si>
    <r>
      <t xml:space="preserve">2. Power Factor </t>
    </r>
    <r>
      <rPr>
        <u/>
        <sz val="11"/>
        <color theme="1"/>
        <rFont val="Calibri"/>
        <family val="2"/>
        <scheme val="minor"/>
      </rPr>
      <t>&gt;</t>
    </r>
    <r>
      <rPr>
        <sz val="11"/>
        <color theme="1"/>
        <rFont val="Calibri"/>
        <family val="2"/>
        <scheme val="minor"/>
      </rPr>
      <t xml:space="preserve"> 0.9</t>
    </r>
  </si>
  <si>
    <r>
      <t xml:space="preserve">3. Manufacturer's warranty </t>
    </r>
    <r>
      <rPr>
        <u/>
        <sz val="11"/>
        <color theme="1"/>
        <rFont val="Calibri"/>
        <family val="2"/>
        <scheme val="minor"/>
      </rPr>
      <t>&gt;</t>
    </r>
    <r>
      <rPr>
        <sz val="11"/>
        <color theme="1"/>
        <rFont val="Calibri"/>
        <family val="2"/>
        <scheme val="minor"/>
      </rPr>
      <t xml:space="preserve"> 5 years</t>
    </r>
  </si>
  <si>
    <t>4. Total input watts (combined LED modules and driver wattage)</t>
  </si>
  <si>
    <t>• LED Interior Fixtures: &gt; 80 CRI, except &gt; 70 CRI for High and Low Bay fixtures in warehouse and industrial/manufacturing facilities</t>
  </si>
  <si>
    <t>• LED Exterior and Parking Garage fixtures: &gt; 65 CRI</t>
  </si>
  <si>
    <t>• HID to LED replacement Lamps: &gt; 75 CRI</t>
  </si>
  <si>
    <t>• CFL to LED pin base replacement Lamps: &gt; 80 CRI</t>
  </si>
  <si>
    <t>• TLED: &gt; 80 CRI</t>
  </si>
  <si>
    <t>• No CRI recommendation for Specialty LED fixtures (Grow Lights and Theatrical fixtures)</t>
  </si>
  <si>
    <t xml:space="preserve">and have a minimum of a 5 year warranty. </t>
  </si>
  <si>
    <t>T8 Fluorescent Lamps and ballasts:</t>
  </si>
  <si>
    <t>T12 Fluorescent Lamps and ballasts:</t>
  </si>
  <si>
    <r>
      <rPr>
        <b/>
        <sz val="11"/>
        <color rgb="FF006666"/>
        <rFont val="Calibri"/>
        <family val="2"/>
        <scheme val="minor"/>
      </rPr>
      <t xml:space="preserve">Recycling: </t>
    </r>
    <r>
      <rPr>
        <sz val="11"/>
        <color theme="1"/>
        <rFont val="Calibri"/>
        <family val="2"/>
        <scheme val="minor"/>
      </rPr>
      <t>The customer is solely responsible for meeting all applicable Washington State recycling requirements, including proper disposal of Linear, Compact Fluorescent and HID lamps and ballasts, and other hazardous waste.</t>
    </r>
  </si>
  <si>
    <r>
      <rPr>
        <b/>
        <sz val="11"/>
        <color rgb="FF006666"/>
        <rFont val="Calibri"/>
        <family val="2"/>
        <scheme val="minor"/>
      </rPr>
      <t>Inspections:</t>
    </r>
    <r>
      <rPr>
        <sz val="11"/>
        <color rgb="FF006666"/>
        <rFont val="Calibri"/>
        <family val="2"/>
        <scheme val="minor"/>
      </rPr>
      <t xml:space="preserve"> </t>
    </r>
    <r>
      <rPr>
        <sz val="11"/>
        <color theme="1"/>
        <rFont val="Calibri"/>
        <family val="2"/>
        <scheme val="minor"/>
      </rPr>
      <t xml:space="preserve">PSE reserves the right to inspect any project at any phase of completion, from receipt of initial application through project completion and prior to release of incentive payment, and does so on a regular basis. Customers must not unduly or unreasonably limit PSE’s ability to conduct any such inspections. PSE reserves the right to adjust the rebate amount based on inspection results. </t>
    </r>
  </si>
  <si>
    <r>
      <rPr>
        <b/>
        <sz val="11"/>
        <color rgb="FF006666"/>
        <rFont val="Calibri"/>
        <family val="2"/>
        <scheme val="minor"/>
      </rPr>
      <t xml:space="preserve">Invoice: </t>
    </r>
    <r>
      <rPr>
        <sz val="11"/>
        <color theme="1"/>
        <rFont val="Calibri"/>
        <family val="2"/>
        <scheme val="minor"/>
      </rPr>
      <t xml:space="preserve">The submitted invoice shall include an itemized list of installed products and shall include the quantity, manufacturer and model number of each product. The cost of  the products do not need to be itemized. Subtotal the fixture/control costs, the labor cost, the miscellaneous costs and the tax separately. 
* </t>
    </r>
    <r>
      <rPr>
        <b/>
        <sz val="11"/>
        <color theme="1"/>
        <rFont val="Calibri"/>
        <family val="2"/>
        <scheme val="minor"/>
      </rPr>
      <t>Any costs not associated with the installations of the fixtures/controls shall be listed separately as PSE cannot  include them in the project cost!</t>
    </r>
  </si>
  <si>
    <t>Project Type</t>
  </si>
  <si>
    <t>Project Location Information</t>
  </si>
  <si>
    <t>Project Owner Contact Information</t>
  </si>
  <si>
    <t>LOA Contact Information</t>
  </si>
  <si>
    <t>(LOA - Letter of Authorization)</t>
  </si>
  <si>
    <t>Commercial/Industrial</t>
  </si>
  <si>
    <r>
      <t>Project Name</t>
    </r>
    <r>
      <rPr>
        <b/>
        <sz val="11"/>
        <color rgb="FFFF0000"/>
        <rFont val="Calibri"/>
        <family val="2"/>
        <scheme val="minor"/>
      </rPr>
      <t/>
    </r>
  </si>
  <si>
    <t>Company</t>
  </si>
  <si>
    <r>
      <t>Business Name</t>
    </r>
    <r>
      <rPr>
        <b/>
        <sz val="11"/>
        <color rgb="FFFF0000"/>
        <rFont val="Calibri"/>
        <family val="2"/>
        <scheme val="minor"/>
      </rPr>
      <t/>
    </r>
  </si>
  <si>
    <t>Michael Lane</t>
  </si>
  <si>
    <t>Rate Schedule</t>
  </si>
  <si>
    <t xml:space="preserve">Sch 25 (&lt;20,000 kWh/mo) </t>
  </si>
  <si>
    <r>
      <t xml:space="preserve">PSE Account # </t>
    </r>
    <r>
      <rPr>
        <i/>
        <sz val="11"/>
        <rFont val="Calibri"/>
        <family val="2"/>
        <scheme val="minor"/>
      </rPr>
      <t>and/or</t>
    </r>
    <r>
      <rPr>
        <sz val="11"/>
        <color rgb="FFFF0000"/>
        <rFont val="Calibri"/>
        <family val="2"/>
        <scheme val="minor"/>
      </rPr>
      <t xml:space="preserve"> </t>
    </r>
    <r>
      <rPr>
        <sz val="9"/>
        <rFont val="Arial"/>
        <family val="2"/>
      </rPr>
      <t/>
    </r>
  </si>
  <si>
    <t>Email</t>
  </si>
  <si>
    <t>kWh Charge</t>
  </si>
  <si>
    <r>
      <t>PSE Electric Meter #(s)</t>
    </r>
    <r>
      <rPr>
        <sz val="11"/>
        <color rgb="FFFF0000"/>
        <rFont val="Calibri"/>
        <family val="2"/>
        <scheme val="minor"/>
      </rPr>
      <t/>
    </r>
  </si>
  <si>
    <r>
      <t>Phone #</t>
    </r>
    <r>
      <rPr>
        <b/>
        <sz val="11"/>
        <color indexed="8"/>
        <rFont val="Calibri"/>
        <family val="2"/>
        <scheme val="minor"/>
      </rPr>
      <t/>
    </r>
  </si>
  <si>
    <t>kW Charge</t>
  </si>
  <si>
    <t>Project Site Address</t>
  </si>
  <si>
    <r>
      <t>Contact Address</t>
    </r>
    <r>
      <rPr>
        <i/>
        <sz val="9"/>
        <color rgb="FFFF0000"/>
        <rFont val="Calibri"/>
        <family val="2"/>
        <scheme val="minor"/>
      </rPr>
      <t xml:space="preserve"> (if location is different than Project location)</t>
    </r>
  </si>
  <si>
    <t>Building Type</t>
  </si>
  <si>
    <t>Dining: Bar lounge/leisure</t>
  </si>
  <si>
    <t>Address</t>
  </si>
  <si>
    <t>PSE Business Type</t>
  </si>
  <si>
    <t>City</t>
  </si>
  <si>
    <r>
      <t>City</t>
    </r>
    <r>
      <rPr>
        <sz val="11"/>
        <color rgb="FFFF0000"/>
        <rFont val="Calibri"/>
        <family val="2"/>
        <scheme val="minor"/>
      </rPr>
      <t xml:space="preserve"> </t>
    </r>
  </si>
  <si>
    <t>WSEC allowed LPD</t>
  </si>
  <si>
    <t>State</t>
  </si>
  <si>
    <t>WA</t>
  </si>
  <si>
    <r>
      <t>Zip</t>
    </r>
    <r>
      <rPr>
        <b/>
        <sz val="11"/>
        <color indexed="8"/>
        <rFont val="Calibri"/>
        <family val="2"/>
        <scheme val="minor"/>
      </rPr>
      <t/>
    </r>
  </si>
  <si>
    <t>Zip</t>
  </si>
  <si>
    <t>WSEC C406.3 used?</t>
  </si>
  <si>
    <t>Project Hours of Operation</t>
  </si>
  <si>
    <t>Project Notes</t>
  </si>
  <si>
    <t>Enter in the table below the hour that the building is normally first occupied (Open)</t>
  </si>
  <si>
    <t>and the time that the building normally becomes unoccupied (Closed).</t>
  </si>
  <si>
    <t>Enter hours to the closest half hour in decimal format - Example 8.5 not 8:30</t>
  </si>
  <si>
    <t>Sun</t>
  </si>
  <si>
    <t>Mon</t>
  </si>
  <si>
    <t>Tue</t>
  </si>
  <si>
    <t>Wed</t>
  </si>
  <si>
    <t>Thu</t>
  </si>
  <si>
    <t>Fri</t>
  </si>
  <si>
    <t>Sat</t>
  </si>
  <si>
    <t>Yearly hours of operation</t>
  </si>
  <si>
    <t>Open</t>
  </si>
  <si>
    <t>am</t>
  </si>
  <si>
    <t>Closed</t>
  </si>
  <si>
    <t>pm</t>
  </si>
  <si>
    <t>Enter the number observed holiday days per year that the business is closed</t>
  </si>
  <si>
    <t>Submitting Company Information</t>
  </si>
  <si>
    <t>Lighting Installed by?</t>
  </si>
  <si>
    <t>(Optional) Vendor / Other Information</t>
  </si>
  <si>
    <t>Submitted by?</t>
  </si>
  <si>
    <t>Installed by?</t>
  </si>
  <si>
    <t>Installing Contractor</t>
  </si>
  <si>
    <t>Installer - Company</t>
  </si>
  <si>
    <r>
      <t xml:space="preserve">Contact </t>
    </r>
    <r>
      <rPr>
        <sz val="9"/>
        <color indexed="8"/>
        <rFont val="Calibri"/>
        <family val="2"/>
        <scheme val="minor"/>
      </rPr>
      <t>(first and last)</t>
    </r>
  </si>
  <si>
    <t>Contact (first and last)</t>
  </si>
  <si>
    <t>Phone #</t>
  </si>
  <si>
    <t>(fill in ALL yellow cells below)</t>
  </si>
  <si>
    <r>
      <t xml:space="preserve">This page is used to create, for later use on the Installations Page, the fixtures that EXIST on the project that will be removed, replaced or retrofitted. After you have created the fixtures can use them in your installations. 
</t>
    </r>
    <r>
      <rPr>
        <sz val="11"/>
        <color rgb="FFFF0000"/>
        <rFont val="Calibri"/>
        <family val="2"/>
        <scheme val="minor"/>
      </rPr>
      <t>If you can't create from the dropdowns the Existing fixture, create it as a "New Fixture".</t>
    </r>
  </si>
  <si>
    <t>This page is used to create, for later use on the Installations Page, the NEW fixtures / lamps that will be installed on the project. After you have created the fixtures they will be shown below and you can use them in your installations.</t>
  </si>
  <si>
    <r>
      <rPr>
        <b/>
        <i/>
        <sz val="10"/>
        <color theme="1"/>
        <rFont val="Calibri"/>
        <family val="2"/>
        <scheme val="minor"/>
      </rPr>
      <t>Fixture Type</t>
    </r>
    <r>
      <rPr>
        <i/>
        <sz val="10"/>
        <color theme="1"/>
        <rFont val="Calibri"/>
        <family val="2"/>
        <scheme val="minor"/>
      </rPr>
      <t xml:space="preserve">
(select type of fixture from dropdown list)</t>
    </r>
  </si>
  <si>
    <r>
      <rPr>
        <b/>
        <i/>
        <sz val="10"/>
        <color theme="1"/>
        <rFont val="Calibri"/>
        <family val="2"/>
        <scheme val="minor"/>
      </rPr>
      <t>Lamp Type</t>
    </r>
    <r>
      <rPr>
        <i/>
        <sz val="10"/>
        <color theme="1"/>
        <rFont val="Calibri"/>
        <family val="2"/>
        <scheme val="minor"/>
      </rPr>
      <t xml:space="preserve">
(select type of lamp from the dropdown list)</t>
    </r>
  </si>
  <si>
    <r>
      <rPr>
        <b/>
        <i/>
        <sz val="10"/>
        <color theme="1"/>
        <rFont val="Calibri"/>
        <family val="2"/>
        <scheme val="minor"/>
      </rPr>
      <t>Description</t>
    </r>
    <r>
      <rPr>
        <i/>
        <sz val="10"/>
        <color theme="1"/>
        <rFont val="Calibri"/>
        <family val="2"/>
        <scheme val="minor"/>
      </rPr>
      <t xml:space="preserve">
(select)</t>
    </r>
  </si>
  <si>
    <r>
      <rPr>
        <b/>
        <i/>
        <sz val="10"/>
        <color theme="1"/>
        <rFont val="Calibri"/>
        <family val="2"/>
        <scheme val="minor"/>
      </rPr>
      <t>Lamp Detail</t>
    </r>
    <r>
      <rPr>
        <i/>
        <sz val="10"/>
        <color theme="1"/>
        <rFont val="Calibri"/>
        <family val="2"/>
        <scheme val="minor"/>
      </rPr>
      <t xml:space="preserve">
(select)</t>
    </r>
  </si>
  <si>
    <t>Input Complete</t>
  </si>
  <si>
    <t>Watts</t>
  </si>
  <si>
    <t>Enter Existing TLED lamp Watts (each)</t>
  </si>
  <si>
    <t>Use as Existing?</t>
  </si>
  <si>
    <r>
      <rPr>
        <b/>
        <i/>
        <sz val="10"/>
        <color theme="1"/>
        <rFont val="Calibri"/>
        <family val="2"/>
        <scheme val="minor"/>
      </rPr>
      <t>TLED / Fixture Retrofit / Fixture Replacement</t>
    </r>
    <r>
      <rPr>
        <i/>
        <sz val="10"/>
        <color theme="1"/>
        <rFont val="Calibri"/>
        <family val="2"/>
        <scheme val="minor"/>
      </rPr>
      <t xml:space="preserve">
(select from dropdown)</t>
    </r>
  </si>
  <si>
    <r>
      <rPr>
        <b/>
        <i/>
        <sz val="10"/>
        <color theme="1"/>
        <rFont val="Calibri"/>
        <family val="2"/>
        <scheme val="minor"/>
      </rPr>
      <t xml:space="preserve">Lamps </t>
    </r>
    <r>
      <rPr>
        <b/>
        <i/>
        <vertAlign val="superscript"/>
        <sz val="10"/>
        <color theme="1"/>
        <rFont val="Calibri"/>
        <family val="2"/>
        <scheme val="minor"/>
      </rPr>
      <t>1</t>
    </r>
  </si>
  <si>
    <t>Manufacturer</t>
  </si>
  <si>
    <r>
      <rPr>
        <b/>
        <i/>
        <sz val="10"/>
        <color theme="1"/>
        <rFont val="Calibri"/>
        <family val="2"/>
        <scheme val="minor"/>
      </rPr>
      <t>Catalog Number</t>
    </r>
    <r>
      <rPr>
        <i/>
        <sz val="10"/>
        <color theme="1"/>
        <rFont val="Calibri"/>
        <family val="2"/>
        <scheme val="minor"/>
      </rPr>
      <t xml:space="preserve">
(must match spec sheet)</t>
    </r>
  </si>
  <si>
    <r>
      <rPr>
        <b/>
        <i/>
        <sz val="10"/>
        <color theme="1"/>
        <rFont val="Calibri"/>
        <family val="2"/>
        <scheme val="minor"/>
      </rPr>
      <t xml:space="preserve">System Watts </t>
    </r>
    <r>
      <rPr>
        <b/>
        <i/>
        <vertAlign val="superscript"/>
        <sz val="10"/>
        <color theme="1"/>
        <rFont val="Calibri"/>
        <family val="2"/>
        <scheme val="minor"/>
      </rPr>
      <t>2</t>
    </r>
  </si>
  <si>
    <r>
      <rPr>
        <b/>
        <i/>
        <sz val="10"/>
        <color theme="1"/>
        <rFont val="Calibri"/>
        <family val="2"/>
        <scheme val="minor"/>
      </rPr>
      <t>TLED lamp watts</t>
    </r>
    <r>
      <rPr>
        <i/>
        <vertAlign val="superscript"/>
        <sz val="10"/>
        <color theme="1"/>
        <rFont val="Calibri"/>
        <family val="2"/>
        <scheme val="minor"/>
      </rPr>
      <t xml:space="preserve">
</t>
    </r>
    <r>
      <rPr>
        <i/>
        <sz val="10"/>
        <color theme="1"/>
        <rFont val="Calibri"/>
        <family val="2"/>
        <scheme val="minor"/>
      </rPr>
      <t>(each)</t>
    </r>
  </si>
  <si>
    <t>Final System Watts</t>
  </si>
  <si>
    <t>Optional Cost (each)</t>
  </si>
  <si>
    <t>Measure Life</t>
  </si>
  <si>
    <t>Fixture Type</t>
  </si>
  <si>
    <t>Existing project light fixtures</t>
  </si>
  <si>
    <t>New Project Light Fixtures</t>
  </si>
  <si>
    <t>Error 1</t>
  </si>
  <si>
    <t>Error 2</t>
  </si>
  <si>
    <t>Error 3</t>
  </si>
  <si>
    <t>quantity on install page</t>
  </si>
  <si>
    <t>fixture</t>
  </si>
  <si>
    <t>fixture / lamp</t>
  </si>
  <si>
    <t>03 Troffer</t>
  </si>
  <si>
    <t>Fluorescent</t>
  </si>
  <si>
    <t>T8 4-foot (Electronic)</t>
  </si>
  <si>
    <t>4-Lamp</t>
  </si>
  <si>
    <t>Yes</t>
  </si>
  <si>
    <t>New Fixture</t>
  </si>
  <si>
    <t>CREE</t>
  </si>
  <si>
    <t>Total Existing Fixtures</t>
  </si>
  <si>
    <t>Total New Fixtures</t>
  </si>
  <si>
    <t>09 Parking/Area</t>
  </si>
  <si>
    <t>HID</t>
  </si>
  <si>
    <t>Metal Halide</t>
  </si>
  <si>
    <t>MH 250W</t>
  </si>
  <si>
    <t>No</t>
  </si>
  <si>
    <t>TLED (Plug and Play)</t>
  </si>
  <si>
    <t>ACME</t>
  </si>
  <si>
    <t>Existing TLED</t>
  </si>
  <si>
    <t>TLED</t>
  </si>
  <si>
    <t>watts</t>
  </si>
  <si>
    <t>Type</t>
  </si>
  <si>
    <t>Optional Cost</t>
  </si>
  <si>
    <t>2-Lamp</t>
  </si>
  <si>
    <t>Complete Retrofit Kit</t>
  </si>
  <si>
    <t>Component Retrofit Kit</t>
  </si>
  <si>
    <t>01 Existing LED</t>
  </si>
  <si>
    <t>Existing</t>
  </si>
  <si>
    <t>08 Other Interior</t>
  </si>
  <si>
    <t>Fixture Removed</t>
  </si>
  <si>
    <t>Removed</t>
  </si>
  <si>
    <r>
      <rPr>
        <vertAlign val="superscript"/>
        <sz val="10"/>
        <color theme="1"/>
        <rFont val="Calibri"/>
        <family val="2"/>
        <scheme val="minor"/>
      </rPr>
      <t>1</t>
    </r>
    <r>
      <rPr>
        <sz val="10"/>
        <color theme="1"/>
        <rFont val="Calibri"/>
        <family val="2"/>
        <scheme val="minor"/>
      </rPr>
      <t xml:space="preserve"> enter total # of lamps per fixture for TLEDs, enter 1 for Fixture Retrofit or Fixture Replacement
</t>
    </r>
    <r>
      <rPr>
        <vertAlign val="superscript"/>
        <sz val="10"/>
        <color theme="1"/>
        <rFont val="Calibri"/>
        <family val="2"/>
        <scheme val="minor"/>
      </rPr>
      <t>2</t>
    </r>
    <r>
      <rPr>
        <sz val="10"/>
        <color theme="1"/>
        <rFont val="Calibri"/>
        <family val="2"/>
        <scheme val="minor"/>
      </rPr>
      <t xml:space="preserve"> Enter the TOTAL system watts including lamps and driver wattage</t>
    </r>
  </si>
  <si>
    <t>Print</t>
  </si>
  <si>
    <t>PrintFixtures should "=OFFSET(Fixtures!$C$25,0,0,Fixtures!$AK$83,32)"</t>
  </si>
  <si>
    <t>Existing Fixtures</t>
  </si>
  <si>
    <t>Fixture</t>
  </si>
  <si>
    <t>TLED Type</t>
  </si>
  <si>
    <t>E Qty</t>
  </si>
  <si>
    <t>Label</t>
  </si>
  <si>
    <t>Qty</t>
  </si>
  <si>
    <t>TLED (Plug and Play), (3) Sylvania #75510</t>
  </si>
  <si>
    <t>New Fixtures</t>
  </si>
  <si>
    <t>$</t>
  </si>
  <si>
    <t>measures 1, 2</t>
  </si>
  <si>
    <t>N Qty</t>
  </si>
  <si>
    <r>
      <rPr>
        <b/>
        <i/>
        <sz val="10"/>
        <color theme="1"/>
        <rFont val="Calibri"/>
        <family val="2"/>
        <scheme val="minor"/>
      </rPr>
      <t>TLED / Fixture Retrofit / Fixture Replacement</t>
    </r>
    <r>
      <rPr>
        <i/>
        <sz val="10"/>
        <color theme="1"/>
        <rFont val="Calibri"/>
        <family val="2"/>
        <scheme val="minor"/>
      </rPr>
      <t xml:space="preserve">
(select)</t>
    </r>
  </si>
  <si>
    <r>
      <rPr>
        <b/>
        <i/>
        <sz val="10"/>
        <color theme="1"/>
        <rFont val="Calibri"/>
        <family val="2"/>
        <scheme val="minor"/>
      </rPr>
      <t xml:space="preserve">Lamps </t>
    </r>
    <r>
      <rPr>
        <b/>
        <i/>
        <vertAlign val="superscript"/>
        <sz val="10"/>
        <color theme="1"/>
        <rFont val="Calibri"/>
        <family val="2"/>
        <scheme val="minor"/>
      </rPr>
      <t>1</t>
    </r>
    <r>
      <rPr>
        <i/>
        <vertAlign val="superscript"/>
        <sz val="10"/>
        <color theme="1"/>
        <rFont val="Calibri"/>
        <family val="2"/>
        <scheme val="minor"/>
      </rPr>
      <t xml:space="preserve">
</t>
    </r>
    <r>
      <rPr>
        <i/>
        <sz val="10"/>
        <color theme="1"/>
        <rFont val="Calibri"/>
        <family val="2"/>
        <scheme val="minor"/>
      </rPr>
      <t>(enter)</t>
    </r>
  </si>
  <si>
    <r>
      <rPr>
        <b/>
        <i/>
        <sz val="10"/>
        <color theme="1"/>
        <rFont val="Calibri"/>
        <family val="2"/>
        <scheme val="minor"/>
      </rPr>
      <t>Manufacturer</t>
    </r>
    <r>
      <rPr>
        <i/>
        <sz val="10"/>
        <color theme="1"/>
        <rFont val="Calibri"/>
        <family val="2"/>
        <scheme val="minor"/>
      </rPr>
      <t xml:space="preserve">
(enter)</t>
    </r>
  </si>
  <si>
    <r>
      <rPr>
        <b/>
        <i/>
        <sz val="10"/>
        <color theme="1"/>
        <rFont val="Calibri"/>
        <family val="2"/>
        <scheme val="minor"/>
      </rPr>
      <t>Catalog Number</t>
    </r>
    <r>
      <rPr>
        <i/>
        <sz val="10"/>
        <color theme="1"/>
        <rFont val="Calibri"/>
        <family val="2"/>
        <scheme val="minor"/>
      </rPr>
      <t xml:space="preserve">
must match spec sheet
(enter)</t>
    </r>
  </si>
  <si>
    <r>
      <rPr>
        <b/>
        <i/>
        <sz val="10"/>
        <color theme="1"/>
        <rFont val="Calibri"/>
        <family val="2"/>
        <scheme val="minor"/>
      </rPr>
      <t xml:space="preserve">Total System Watts </t>
    </r>
    <r>
      <rPr>
        <b/>
        <i/>
        <vertAlign val="superscript"/>
        <sz val="10"/>
        <color theme="1"/>
        <rFont val="Calibri"/>
        <family val="2"/>
        <scheme val="minor"/>
      </rPr>
      <t>2</t>
    </r>
    <r>
      <rPr>
        <i/>
        <vertAlign val="superscript"/>
        <sz val="10"/>
        <color theme="1"/>
        <rFont val="Calibri"/>
        <family val="2"/>
        <scheme val="minor"/>
      </rPr>
      <t xml:space="preserve">
</t>
    </r>
    <r>
      <rPr>
        <i/>
        <sz val="10"/>
        <color theme="1"/>
        <rFont val="Calibri"/>
        <family val="2"/>
        <scheme val="minor"/>
      </rPr>
      <t>(enter)</t>
    </r>
  </si>
  <si>
    <t>3-Lamp</t>
  </si>
  <si>
    <t>11 Parking Garage</t>
  </si>
  <si>
    <t>New Replacement Fixture</t>
  </si>
  <si>
    <t>85B-LED-35K</t>
  </si>
  <si>
    <t>Incentive</t>
  </si>
  <si>
    <t>Control Bonus</t>
  </si>
  <si>
    <t>Fixture/Lamp Type</t>
  </si>
  <si>
    <t>Fixture / lamp Qty*</t>
  </si>
  <si>
    <t>Original kWh</t>
  </si>
  <si>
    <t>Control Reduction</t>
  </si>
  <si>
    <t>Final Baseline</t>
  </si>
  <si>
    <t>New Fixture kWh</t>
  </si>
  <si>
    <t>New Control Saved kWh</t>
  </si>
  <si>
    <t>New Controlled  kWh</t>
  </si>
  <si>
    <t>Fixture Saved kWh</t>
  </si>
  <si>
    <t>Fixture Cost</t>
  </si>
  <si>
    <t>Control Saved kWh</t>
  </si>
  <si>
    <t>Control Cost</t>
  </si>
  <si>
    <t>Total Saved kWh</t>
  </si>
  <si>
    <t>Fixture + Control Cost</t>
  </si>
  <si>
    <t>Control Est. Labor Cost</t>
  </si>
  <si>
    <t>Fixture Est. Labor Cost</t>
  </si>
  <si>
    <t>Labor Misc. Est. Cost</t>
  </si>
  <si>
    <t>LLLC Qty</t>
  </si>
  <si>
    <t>LLLC Base kWh</t>
  </si>
  <si>
    <t>LLLC Control savings kWh</t>
  </si>
  <si>
    <t>Original kW</t>
  </si>
  <si>
    <t>New kW</t>
  </si>
  <si>
    <t>Saved kW</t>
  </si>
  <si>
    <t>Range</t>
  </si>
  <si>
    <t>kWh Saved</t>
  </si>
  <si>
    <t>allowed</t>
  </si>
  <si>
    <t>Savings</t>
  </si>
  <si>
    <t>Count</t>
  </si>
  <si>
    <t>% saved</t>
  </si>
  <si>
    <t>Total Cost</t>
  </si>
  <si>
    <t>Interior</t>
  </si>
  <si>
    <t>TRC</t>
  </si>
  <si>
    <t xml:space="preserve"> </t>
  </si>
  <si>
    <t>PrintInstallations should "=OFFSET(Installations!$C$1,0,0,Installations!$EG$2,Installations!$EG$4)"</t>
  </si>
  <si>
    <t>Include</t>
  </si>
  <si>
    <t>Location:</t>
  </si>
  <si>
    <t>Cells Complete</t>
  </si>
  <si>
    <t>Heat Type:</t>
  </si>
  <si>
    <t>Space Type:</t>
  </si>
  <si>
    <t>Hours</t>
  </si>
  <si>
    <t>Space/Area square feet (for Code baseline)</t>
  </si>
  <si>
    <t>Daylighted</t>
  </si>
  <si>
    <t>Existing Qty</t>
  </si>
  <si>
    <t>Existing Fixture</t>
  </si>
  <si>
    <t>New Qty</t>
  </si>
  <si>
    <t>New Fixture Cost</t>
  </si>
  <si>
    <t>Exist Control Qty</t>
  </si>
  <si>
    <t>Exist Control</t>
  </si>
  <si>
    <t>New Control Qty</t>
  </si>
  <si>
    <t>New Control</t>
  </si>
  <si>
    <t>New Control Cost</t>
  </si>
  <si>
    <t>Retrofit / TI / NC Change?</t>
  </si>
  <si>
    <t>Heat Type Change?</t>
  </si>
  <si>
    <t>Existing Fixture Changed</t>
  </si>
  <si>
    <t>New Fixture Changed</t>
  </si>
  <si>
    <t>TLED not Allowed</t>
  </si>
  <si>
    <t>TLED to TLED watts</t>
  </si>
  <si>
    <t>Exist Control Incorrect</t>
  </si>
  <si>
    <t>Exist Control/Space Incorrect</t>
  </si>
  <si>
    <t>New Control Incorrect</t>
  </si>
  <si>
    <t>Retrofit and Daylight Controls</t>
  </si>
  <si>
    <t>TLED &amp; LLLC</t>
  </si>
  <si>
    <t>ADV Ext Control Qty</t>
  </si>
  <si>
    <t>TI Code Control match</t>
  </si>
  <si>
    <t>Interior Code</t>
  </si>
  <si>
    <t>Exterior Code</t>
  </si>
  <si>
    <t>Code</t>
  </si>
  <si>
    <t>Exterior Hrs are 4200</t>
  </si>
  <si>
    <t>Wattage Reduction</t>
  </si>
  <si>
    <t>Calculate</t>
  </si>
  <si>
    <t>Exterior</t>
  </si>
  <si>
    <t>/kWh</t>
  </si>
  <si>
    <t>IU51 is TRUE if Calculate is YES</t>
  </si>
  <si>
    <t>FIXTURE</t>
  </si>
  <si>
    <t>Cost</t>
  </si>
  <si>
    <t>kWh</t>
  </si>
  <si>
    <t>Exist</t>
  </si>
  <si>
    <t>New</t>
  </si>
  <si>
    <t>Saved</t>
  </si>
  <si>
    <t>Control</t>
  </si>
  <si>
    <t>final</t>
  </si>
  <si>
    <t>Fixture +</t>
  </si>
  <si>
    <t>SUM</t>
  </si>
  <si>
    <t>Heat</t>
  </si>
  <si>
    <t>Interior /</t>
  </si>
  <si>
    <t>Space</t>
  </si>
  <si>
    <t>CONTROLS</t>
  </si>
  <si>
    <t>#</t>
  </si>
  <si>
    <t># Not</t>
  </si>
  <si>
    <t>Base</t>
  </si>
  <si>
    <t>Final</t>
  </si>
  <si>
    <t>saved</t>
  </si>
  <si>
    <t>labor</t>
  </si>
  <si>
    <t>Daylight?</t>
  </si>
  <si>
    <t>Daylight</t>
  </si>
  <si>
    <t>Code Min</t>
  </si>
  <si>
    <t>Control Code</t>
  </si>
  <si>
    <t>Code Req</t>
  </si>
  <si>
    <t>daylight</t>
  </si>
  <si>
    <t>modified</t>
  </si>
  <si>
    <t>Auto</t>
  </si>
  <si>
    <t xml:space="preserve"># of </t>
  </si>
  <si>
    <t>TLED to TLED</t>
  </si>
  <si>
    <t>multiplier</t>
  </si>
  <si>
    <t>Each</t>
  </si>
  <si>
    <t>kW</t>
  </si>
  <si>
    <t>Save</t>
  </si>
  <si>
    <t>LLLC</t>
  </si>
  <si>
    <t>Bonus</t>
  </si>
  <si>
    <t>Controls</t>
  </si>
  <si>
    <t>Multi</t>
  </si>
  <si>
    <t>%</t>
  </si>
  <si>
    <t>Life</t>
  </si>
  <si>
    <t>factor</t>
  </si>
  <si>
    <t>Day + Occ</t>
  </si>
  <si>
    <t>Occ</t>
  </si>
  <si>
    <t>lamps</t>
  </si>
  <si>
    <t>Number</t>
  </si>
  <si>
    <t>Error</t>
  </si>
  <si>
    <t>Labor</t>
  </si>
  <si>
    <t>Existing kWh</t>
  </si>
  <si>
    <t>Estimated PSE Incentive</t>
  </si>
  <si>
    <t>Owner Contact</t>
  </si>
  <si>
    <t>New kWh</t>
  </si>
  <si>
    <t>Tax Rate (%)</t>
  </si>
  <si>
    <t>Saved kWh</t>
  </si>
  <si>
    <t xml:space="preserve"> Incentives</t>
  </si>
  <si>
    <t>Fixture &amp; Controls</t>
  </si>
  <si>
    <t>Material</t>
  </si>
  <si>
    <t>Existing kW</t>
  </si>
  <si>
    <t>Contact</t>
  </si>
  <si>
    <t>Tax</t>
  </si>
  <si>
    <t>Total</t>
  </si>
  <si>
    <t>Keep</t>
  </si>
  <si>
    <t>Installed LPD</t>
  </si>
  <si>
    <t>Allowed LPA</t>
  </si>
  <si>
    <t>Space Information</t>
  </si>
  <si>
    <t>Lighting Fixture / Lamp</t>
  </si>
  <si>
    <t>Savings and Cost</t>
  </si>
  <si>
    <t>Include Measure?</t>
  </si>
  <si>
    <t>Max Incentive</t>
  </si>
  <si>
    <t>Controlled</t>
  </si>
  <si>
    <t>Baseline</t>
  </si>
  <si>
    <t>Final Cost</t>
  </si>
  <si>
    <t>Gas / Propane Heat</t>
  </si>
  <si>
    <t>Annual Hrs:</t>
  </si>
  <si>
    <t>Occupancy Sensor</t>
  </si>
  <si>
    <t>Classroom</t>
  </si>
  <si>
    <t>Area (sf):</t>
  </si>
  <si>
    <t>Interior LLLC</t>
  </si>
  <si>
    <t>Daylighted?</t>
  </si>
  <si>
    <t>Primary Sidelit</t>
  </si>
  <si>
    <t>Switch / Breaker</t>
  </si>
  <si>
    <t>AC</t>
  </si>
  <si>
    <t>Gymnasium</t>
  </si>
  <si>
    <t>Not Daylighted</t>
  </si>
  <si>
    <t>Fixture /Lamp Qty*</t>
  </si>
  <si>
    <t>New Control Saved</t>
  </si>
  <si>
    <t>New Controlled</t>
  </si>
  <si>
    <t>LLLC Control kWh</t>
  </si>
  <si>
    <t>TLED (Ballast ByPass)</t>
  </si>
  <si>
    <t>TLED (External)</t>
  </si>
  <si>
    <t>CFL-LED Retrofit Lamp</t>
  </si>
  <si>
    <t>HID-LED Retrofit lamp</t>
  </si>
  <si>
    <t>TLED-TLED (Plug and Play)</t>
  </si>
  <si>
    <t>TLED-TLED (Ballast ByPass)</t>
  </si>
  <si>
    <t>TLED-TLED (External)</t>
  </si>
  <si>
    <t>* Quantity is number  of fixtures  except for TLEDs where quantity is total lamps.</t>
  </si>
  <si>
    <t>LLLC Baseline</t>
  </si>
  <si>
    <t>LLLC Savings</t>
  </si>
  <si>
    <t>saved kWh</t>
  </si>
  <si>
    <t>Fixtures</t>
  </si>
  <si>
    <t>Project</t>
  </si>
  <si>
    <t>Customer</t>
  </si>
  <si>
    <t>Contractor</t>
  </si>
  <si>
    <t>Base kWh Usage</t>
  </si>
  <si>
    <t>EST yearly savings</t>
  </si>
  <si>
    <t>Material Cost</t>
  </si>
  <si>
    <t>New kWh Usage</t>
  </si>
  <si>
    <t xml:space="preserve">Payback </t>
  </si>
  <si>
    <t>Labor Cost</t>
  </si>
  <si>
    <t>kWh Savings</t>
  </si>
  <si>
    <t>Before Incentive</t>
  </si>
  <si>
    <t>Misc Costs</t>
  </si>
  <si>
    <t>Average $/kWh</t>
  </si>
  <si>
    <t>% Energy Saved</t>
  </si>
  <si>
    <t>After Incentive</t>
  </si>
  <si>
    <t>Subtotal</t>
  </si>
  <si>
    <t>% of Project Cost</t>
  </si>
  <si>
    <t>PAYEE of the incentive (Participant)</t>
  </si>
  <si>
    <t>Direct Payment to Customer – Check</t>
  </si>
  <si>
    <t>Direct Payment to Customer – Electronic Deposit</t>
  </si>
  <si>
    <t>Customer Bill Credit (Direct Payment to Customer)</t>
  </si>
  <si>
    <t>PAYEE  - Company</t>
  </si>
  <si>
    <t>Check payable to - MUST match W9</t>
  </si>
  <si>
    <t>Check payable to</t>
  </si>
  <si>
    <t>Federal Tax ID #</t>
  </si>
  <si>
    <t>PAYEE contact, first and last</t>
  </si>
  <si>
    <r>
      <t>Address</t>
    </r>
    <r>
      <rPr>
        <i/>
        <sz val="11"/>
        <color rgb="FFFF0000"/>
        <rFont val="Calibri"/>
        <family val="2"/>
        <scheme val="minor"/>
      </rPr>
      <t/>
    </r>
  </si>
  <si>
    <t>PSE CUSTOMER ACKNOWLEDGMENT</t>
  </si>
  <si>
    <t xml:space="preserve">By signing at right I acknowledge that I have read and agree to the Term and Conditions of PSE </t>
  </si>
  <si>
    <t xml:space="preserve">. I attest that all information provided in this application is accurate and truthful, that I satisfy the terms and conditions, and that I agree to adhere to them. I understand that if I do not adhere to the terms and conditions above, or have otherwise not complied with the requirements of this program, my application for a rebate may be disqualified and no rebate will be paid. I understand that PSE provides rebate incentives for retrofit measures that are designed to save energy in the facility listed on the application, but I acknowledge that estimated energy savings are not guaranteed and such projected energy savings may not result from such retrofit measures. I, the customer, am responsible for meeting applicable code requirements, for determining the adequacy of any installation and for all payments to contractors and/or suppliers. </t>
  </si>
  <si>
    <t>PSE Customer Signature</t>
  </si>
  <si>
    <t>Printed Name</t>
  </si>
  <si>
    <t>Company Name</t>
  </si>
  <si>
    <t>Date Signed</t>
  </si>
  <si>
    <t>Training and Education</t>
  </si>
  <si>
    <t>PSE recommends NXT LEVEL lighting training for all contractors working in the PSE territory. 
NXT Level training is free, online and available on-demand to empower lighting professionals with the knowledge to better design, sell, and install more advanced commercial and industrial lighting retrofits. Check out the training at https://nwlightingnetwork.com/nxtlevel/</t>
  </si>
  <si>
    <t>OPTIONAL - AUTHORIZATION TO RELEASE ENERGY USE AND BILLING INFORMATION TO APPLICATION PREPARER</t>
  </si>
  <si>
    <t>I approve of the release of utility information related to my energy use and/or billing history for the meters associated with above Statement Account Number to the company listed below my signature for purposes related to this project. (For multiple Statement Accounts, please attach a list to this page).</t>
  </si>
  <si>
    <t>PSE Customer Signature (Optional)</t>
  </si>
  <si>
    <t>Company Name to release Energy Use and Billing Information to</t>
  </si>
  <si>
    <t>Commercial Bill Credit Information</t>
  </si>
  <si>
    <t>Background</t>
  </si>
  <si>
    <t>Business Customers have the following options for payment of their Energy Conservation Incentive:</t>
  </si>
  <si>
    <r>
      <rPr>
        <sz val="11"/>
        <color theme="1"/>
        <rFont val="Calibri"/>
        <family val="2"/>
      </rPr>
      <t>●</t>
    </r>
    <r>
      <rPr>
        <sz val="11"/>
        <color theme="1"/>
        <rFont val="Calibri"/>
        <family val="2"/>
        <scheme val="minor"/>
      </rPr>
      <t xml:space="preserve"> Customer as Payee</t>
    </r>
  </si>
  <si>
    <t>- Direct Payment to Customer – Check</t>
  </si>
  <si>
    <t>- Direct Payment to Customer – Electronic Deposit</t>
  </si>
  <si>
    <t>- New for 2020 Direct Payment to Customer – Customer Bill Credit</t>
  </si>
  <si>
    <r>
      <rPr>
        <sz val="11"/>
        <color theme="1"/>
        <rFont val="Calibri"/>
        <family val="2"/>
      </rPr>
      <t>●</t>
    </r>
    <r>
      <rPr>
        <sz val="11"/>
        <color theme="1"/>
        <rFont val="Calibri"/>
        <family val="2"/>
        <scheme val="minor"/>
      </rPr>
      <t xml:space="preserve"> Contractor as Payee</t>
    </r>
  </si>
  <si>
    <t>PSE is offering a Commercial Bill Credit as an additional payment option for the Commercial and Industrial Retrofit Program and the Business Lighting Program starting January 1, 2020.</t>
  </si>
  <si>
    <t>The Commercial Bill Credit can only be applied to the PSE Account Holder.  The bill credit will appear on the customer’s bill after the Payment Request is processed.</t>
  </si>
  <si>
    <t xml:space="preserve">If the credit is not fully used in 1 year, the account holder will be sent a check for the remaining balance of the credit.  </t>
  </si>
  <si>
    <t>Customer Eligibility</t>
  </si>
  <si>
    <t>Customers must meet the following criteria to participate in the</t>
  </si>
  <si>
    <t>1.       Customer receiving the incentive (Payee) MUST be the PSE Account Holder</t>
  </si>
  <si>
    <t>2.       Customers must be participating in the Business Lighting Program or the Commercial and Industrial Retrofit Program.  Other custom grant programs to follow!</t>
  </si>
  <si>
    <t>3.       Any credit remaining after 1 year of application of the credit will be sent to the customer via check.  (NOTIFICATION from PSE of this?  Customers can opt to continue credit?)</t>
  </si>
  <si>
    <t>PROCESS</t>
  </si>
  <si>
    <t>Company Name:</t>
  </si>
  <si>
    <t>Phone Number:</t>
  </si>
  <si>
    <t>Email:</t>
  </si>
  <si>
    <t>Project Name</t>
  </si>
  <si>
    <r>
      <rPr>
        <b/>
        <i/>
        <sz val="16"/>
        <rFont val="Calibri"/>
        <family val="2"/>
        <scheme val="minor"/>
      </rPr>
      <t>step</t>
    </r>
    <r>
      <rPr>
        <b/>
        <sz val="16"/>
        <rFont val="Calibri"/>
        <family val="2"/>
        <scheme val="minor"/>
      </rPr>
      <t xml:space="preserve">
2</t>
    </r>
  </si>
  <si>
    <r>
      <rPr>
        <sz val="14"/>
        <color theme="0"/>
        <rFont val="Calibri"/>
        <family val="2"/>
        <scheme val="minor"/>
      </rPr>
      <t>Light Fixture Information</t>
    </r>
    <r>
      <rPr>
        <b/>
        <sz val="11"/>
        <color theme="0"/>
        <rFont val="Calibri"/>
        <family val="2"/>
        <scheme val="minor"/>
      </rPr>
      <t xml:space="preserve">
</t>
    </r>
    <r>
      <rPr>
        <i/>
        <sz val="11"/>
        <color theme="0"/>
        <rFont val="Calibri"/>
        <family val="2"/>
        <scheme val="minor"/>
      </rPr>
      <t>(fill in ALL yellow cells below)</t>
    </r>
  </si>
  <si>
    <t>In the table below create the EXISTING lighting fixtures found in the building or at the site that are being replaced.</t>
  </si>
  <si>
    <t>Fixture Type
(select)</t>
  </si>
  <si>
    <t>Lamp Type
(select)</t>
  </si>
  <si>
    <t>Description
(select)</t>
  </si>
  <si>
    <t>Lamp Detail
(select)</t>
  </si>
  <si>
    <t>12 Canopy/Soffit</t>
  </si>
  <si>
    <t>High Pressure Sodium</t>
  </si>
  <si>
    <t>HPS 150W</t>
  </si>
  <si>
    <t>15 Sign</t>
  </si>
  <si>
    <t>Exit Sign</t>
  </si>
  <si>
    <t>In the table below create the NEW lighting fixtures proposed for the building or the site.</t>
  </si>
  <si>
    <t>Fixture / Lamp Type
(select)</t>
  </si>
  <si>
    <t>TLED / Fixture Retrofit / Fixture Replacement
(select)</t>
  </si>
  <si>
    <r>
      <t xml:space="preserve">Lamps </t>
    </r>
    <r>
      <rPr>
        <i/>
        <vertAlign val="superscript"/>
        <sz val="10"/>
        <color theme="1"/>
        <rFont val="Calibri"/>
        <family val="2"/>
        <scheme val="minor"/>
      </rPr>
      <t xml:space="preserve">1
</t>
    </r>
    <r>
      <rPr>
        <i/>
        <sz val="10"/>
        <color theme="1"/>
        <rFont val="Calibri"/>
        <family val="2"/>
        <scheme val="minor"/>
      </rPr>
      <t>(enter)</t>
    </r>
  </si>
  <si>
    <t>Manufacturer
(enter)</t>
  </si>
  <si>
    <t>Catalog Number must match spec sheet
(enter)</t>
  </si>
  <si>
    <r>
      <t xml:space="preserve">Total System Watts </t>
    </r>
    <r>
      <rPr>
        <i/>
        <vertAlign val="superscript"/>
        <sz val="10"/>
        <color theme="1"/>
        <rFont val="Calibri"/>
        <family val="2"/>
        <scheme val="minor"/>
      </rPr>
      <t xml:space="preserve">2
</t>
    </r>
    <r>
      <rPr>
        <i/>
        <sz val="10"/>
        <color theme="1"/>
        <rFont val="Calibri"/>
        <family val="2"/>
        <scheme val="minor"/>
      </rPr>
      <t>(enter)</t>
    </r>
  </si>
  <si>
    <t>Sylvania</t>
  </si>
  <si>
    <t>C250</t>
  </si>
  <si>
    <t>Component Retroft Kit</t>
  </si>
  <si>
    <t>James</t>
  </si>
  <si>
    <t>ZY-20W1200BONS</t>
  </si>
  <si>
    <t>13 Wall Pack</t>
  </si>
  <si>
    <t>Digilite</t>
  </si>
  <si>
    <t>CR2x2</t>
  </si>
  <si>
    <t>Must be a complete new fixture where the existing fixture is completely removed</t>
  </si>
  <si>
    <t>TLED equipped fixtures are NOT incentivized at $0.175/kWh. They will be incentivized as TLED tubes at $2 per each tube.</t>
  </si>
  <si>
    <t>Complete Retrofit Kits</t>
  </si>
  <si>
    <t xml:space="preserve">Complete Fixture retrofits are where the LED module(s) and driver(s) and lensing  permanently attached to a new back plate by the </t>
  </si>
  <si>
    <t>manufacturer into a complete unit. The new complete unit replaces all existing lamps, ballasts and back plates.</t>
  </si>
  <si>
    <t>TLED equipped complete Fixture Retrofit kits are NOT incentivized at $0.175/kWh. They will be incentivized as TLED tubes at $2 per each tube.</t>
  </si>
  <si>
    <t>Component Retrofit Kits</t>
  </si>
  <si>
    <t>Component retrofits are any retrofit where the LED module(s)/tube(s) are mounted to the existing back plate by the contractor in the field.</t>
  </si>
  <si>
    <t>TLED equipped retrofit kits are NOT incentivized at $0.125/kWh. They will be incentivized as TLED tubes at $2 per each tube.</t>
  </si>
  <si>
    <t>BUSINESS LIGHTING INCENTIVE PROGRAM</t>
  </si>
  <si>
    <t>Business Lighting 2022 STANDARD Application V1 - Valid through 12/31/2022</t>
  </si>
  <si>
    <t>This is a Retrofit lighting project</t>
  </si>
  <si>
    <t>PSE Approval is required before the retrofit is started!</t>
  </si>
  <si>
    <t>red shading = error in measure, green shading = complete</t>
  </si>
  <si>
    <t>yellow shading = check caution</t>
  </si>
  <si>
    <t>Project information</t>
  </si>
  <si>
    <t>Customer Authorization information</t>
  </si>
  <si>
    <t>Lighting Installations</t>
  </si>
  <si>
    <t>Submitted By</t>
  </si>
  <si>
    <t>Contact name</t>
  </si>
  <si>
    <t>WSEC C406.3 (New Construction)</t>
  </si>
  <si>
    <t>Installer Email</t>
  </si>
  <si>
    <t>Installer Phone</t>
  </si>
  <si>
    <t>Installer Address</t>
  </si>
  <si>
    <t>Business Name</t>
  </si>
  <si>
    <t>Installer City</t>
  </si>
  <si>
    <t>PSE Account #</t>
  </si>
  <si>
    <t>Installer State</t>
  </si>
  <si>
    <t>PSE Electric Meter #(s)</t>
  </si>
  <si>
    <t>Installer Zip</t>
  </si>
  <si>
    <t>Project City</t>
  </si>
  <si>
    <t>Lighting Installed By?</t>
  </si>
  <si>
    <t>Project Zip</t>
  </si>
  <si>
    <t>Installed By</t>
  </si>
  <si>
    <t>Business / Project Company name</t>
  </si>
  <si>
    <t>Business / Project Contact</t>
  </si>
  <si>
    <t>Installer Contact name</t>
  </si>
  <si>
    <t>Business / Project Email</t>
  </si>
  <si>
    <t>Business / Project Phone</t>
  </si>
  <si>
    <t>Contact Address, if different</t>
  </si>
  <si>
    <t>Business City</t>
  </si>
  <si>
    <t>Business State</t>
  </si>
  <si>
    <t>Business Zip</t>
  </si>
  <si>
    <t xml:space="preserve">The LLLC bonus is available for daylighted spaces in Open Office, Private Office, Conference Rooms, Classrooms and Top-Lighted Warehouses. </t>
  </si>
  <si>
    <t xml:space="preserve">Note on which lights fall within a "daylighted space". Light fixtures that are in one of the daylighted qualified spaces that are not in a daylight zone </t>
  </si>
  <si>
    <t>(daylight zone is - two times the window head height from windows on an exterior wall and one times the fixture mounting height for a top-lighted spaces)</t>
  </si>
  <si>
    <t>may be considered LLLC if they are controlled together with the lights in the daylight zone.</t>
  </si>
  <si>
    <r>
      <t xml:space="preserve">The PSE Bonus for LLLC and Exterior NLC fixtures is intended to cover the cost of the upgrade from a standard LED fixture to the same LED fixture with LLLC / Ext. NLC controls and to help cover the costs associated with the </t>
    </r>
    <r>
      <rPr>
        <u/>
        <sz val="11"/>
        <color theme="1"/>
        <rFont val="Calibri"/>
        <family val="2"/>
        <scheme val="minor"/>
      </rPr>
      <t>startup programing*</t>
    </r>
    <r>
      <rPr>
        <sz val="11"/>
        <color theme="1"/>
        <rFont val="Calibri"/>
        <family val="2"/>
        <scheme val="minor"/>
      </rPr>
      <t xml:space="preserve"> process.
The LLLC controls will need to be startup programmed; occupancy sensors set to turn the lights off, daylight sensors to dim, high end trims set and fixtures grouped to work with the space and the occupants. The Exterior NLC controls will need to be startup programmed; astronomical time switch (if used) programmed to turn lights off during daylight hours, 90% high end trim set, occupancy sensors set to 10 minutes max and 50% max light output, timer set for 6 hours at 50% light level. This </t>
    </r>
    <r>
      <rPr>
        <u/>
        <sz val="11"/>
        <color theme="1"/>
        <rFont val="Calibri"/>
        <family val="2"/>
        <scheme val="minor"/>
      </rPr>
      <t>startup programming*</t>
    </r>
    <r>
      <rPr>
        <sz val="11"/>
        <color theme="1"/>
        <rFont val="Calibri"/>
        <family val="2"/>
        <scheme val="minor"/>
      </rPr>
      <t xml:space="preserve"> can be done by the contractor installing the fixtures, the owner or their representative or a third party. </t>
    </r>
  </si>
  <si>
    <t>1.</t>
  </si>
  <si>
    <r>
      <t xml:space="preserve">All LLLC projects will be </t>
    </r>
    <r>
      <rPr>
        <u/>
        <sz val="11"/>
        <color theme="1"/>
        <rFont val="Calibri"/>
        <family val="2"/>
        <scheme val="minor"/>
      </rPr>
      <t>pre</t>
    </r>
    <r>
      <rPr>
        <sz val="11"/>
        <color theme="1"/>
        <rFont val="Calibri"/>
        <family val="2"/>
        <scheme val="minor"/>
      </rPr>
      <t xml:space="preserve"> inspected by the Business Lighting Team. Contact businesslighting@pse.com if you are planning a LLLC or Exterior NLC project. </t>
    </r>
  </si>
  <si>
    <t>2.</t>
  </si>
  <si>
    <t>Two grants will be created for the project. 
The first will cover the upgrade in fixtures to new LLLC / Ext. NLC fixtures.
The second will be for the LLLC / Ext. NLC Bonus.</t>
  </si>
  <si>
    <t>3.</t>
  </si>
  <si>
    <r>
      <t xml:space="preserve">After the lighting is installed but before the LLLC / Ext. NLC fixture controls have been </t>
    </r>
    <r>
      <rPr>
        <u/>
        <sz val="11"/>
        <color theme="1"/>
        <rFont val="Calibri"/>
        <family val="2"/>
        <scheme val="minor"/>
      </rPr>
      <t>startup programed*</t>
    </r>
    <r>
      <rPr>
        <sz val="11"/>
        <color theme="1"/>
        <rFont val="Calibri"/>
        <family val="2"/>
        <scheme val="minor"/>
      </rPr>
      <t>, the EME will post inspect the project for LLLC fixture upgrade. The first grant can be paid after this inspection.</t>
    </r>
  </si>
  <si>
    <t>4.</t>
  </si>
  <si>
    <r>
      <t xml:space="preserve">After the LLLC / Ext.NLC controls have been </t>
    </r>
    <r>
      <rPr>
        <u/>
        <sz val="11"/>
        <color theme="1"/>
        <rFont val="Calibri"/>
        <family val="2"/>
        <scheme val="minor"/>
      </rPr>
      <t>startup programed*</t>
    </r>
    <r>
      <rPr>
        <sz val="11"/>
        <color theme="1"/>
        <rFont val="Calibri"/>
        <family val="2"/>
        <scheme val="minor"/>
      </rPr>
      <t xml:space="preserve"> and operational for at least 45 days, the EME will post inspect the project for completion of the LLLC controls. The LLLC Bonus grant will be paid after the inspection.</t>
    </r>
  </si>
  <si>
    <t xml:space="preserve">* Startup Programing, or Startup Programed is the process to set-up the specified LLLC / Ext. NLC controls, the associated embedded lighting control logic and networking capabilities are calibrated, adjusted, programed and assured to operate in accordance with the requirements listed below. </t>
  </si>
  <si>
    <t>REQUIREMENTS</t>
  </si>
  <si>
    <t>complete the following; Occupancy Sensor, Daylight Sensor, Task Tuning requirements</t>
  </si>
  <si>
    <t>LLLC fixtures save additional energy over standard LED fixtures due to the integral occupancy sensor that will turn the lights off when the space is unoccupied. As a general rule of thumb, set the time delay for 10 minutes in all spaces. When light fixtures are grouped to work together the 10 minute delay will minimize false offs (lights turning off when someone is present) while maximizing energy savings. In corridors / hallways / or other transition space the time delay can be shortened to 5 minutes when fixtures are grouped.
Exterior NLC with occupancy sensors reduce the light level by at least 50% when no occupancy is detected for the delay time, which is recommend to be 10 minutes. If using a timer instead of a occupancy sensor, the timer should be set to reduce the light level by at least 50% for 6 hours per night.</t>
  </si>
  <si>
    <t>time delay (minutes)</t>
  </si>
  <si>
    <t>Notes</t>
  </si>
  <si>
    <t>Daylight Sensor</t>
  </si>
  <si>
    <t xml:space="preserve">Interior LLLC fixtures save additional energy over standard LED fixtures due to the integral daylight sensor that will dim the lights in response to daylight in the space. As a general rule of thumb, enable daylight sensors on all LLLC fixtures even if they are away from windows or skylights. It is not necessary to group daylight sensors to respond together. 
Exterior NLC fixtures have a photocell or astronomical time switch to keep lights off during daylight hours.
</t>
  </si>
  <si>
    <t>Daylight sensor 
is enabled</t>
  </si>
  <si>
    <t>Task Tuning</t>
  </si>
  <si>
    <t xml:space="preserve">LLLC fixtures save additional energy over standard LED fixtures because the lights can be "tuned" to meet the lighting needs of the space. Task tuning reduces the light level to meet the users needs by setting a maximum fixture output that is lower than the full output of the fixture. As a general rule of thumb, set the maximum light level to 75% in Open Office, Private Office, Conference Rooms, Classrooms and adjust from there for user preferences. It is recommended that the lights are set to the same maximum throughout individual spaces or not vary more than 10% due to user preference. In corridors / hallways / or other transition spaces the maximum light level may be set to 50% if the same output fixtures are used.
Exterior NLC fixtures shall be set to a maximum of 90% of full light output. </t>
  </si>
  <si>
    <t>High end trim setting (%)</t>
  </si>
  <si>
    <t>Data Monitoring</t>
  </si>
  <si>
    <t>Some LLLC systems have two way communication and can monitor the energy usage. If the system you are installing does data monitoring would you be willing to provide PSE with the data? We would keep the who and where data confidential but are interested in how much energy is actually being saved by occupancy, daylight, and task tuning.</t>
  </si>
  <si>
    <t>Would you be willing to provide data?</t>
  </si>
  <si>
    <t>Performance incentive</t>
  </si>
  <si>
    <t xml:space="preserve">If your system provide data monitoring and you are willing to provide PSE with the data would you be interested in a performance incentive? This is currently not an option on the Business Lighting program but we are looking for customer feedback if this option is of interest. It would provide an additional incentive quarterly or yearly for the energy saved based on the monitored data. </t>
  </si>
  <si>
    <t>Would you be interested in a performance incentive?</t>
  </si>
  <si>
    <t>Control_Savings_Interior</t>
  </si>
  <si>
    <t>Control Reduction Factors for Interior Space Types</t>
  </si>
  <si>
    <t>Total space savings for Occupancy Sensor and Daylight control</t>
  </si>
  <si>
    <t>- Choose Control -</t>
  </si>
  <si>
    <t>Interior Space Type</t>
  </si>
  <si>
    <t>Switch/Breaker</t>
  </si>
  <si>
    <t>Timer / Time Switch</t>
  </si>
  <si>
    <t>Occ Sensor</t>
  </si>
  <si>
    <r>
      <t xml:space="preserve">Daylight 
</t>
    </r>
    <r>
      <rPr>
        <b/>
        <i/>
        <u/>
        <sz val="11"/>
        <color theme="0"/>
        <rFont val="Calibri"/>
        <family val="2"/>
        <scheme val="minor"/>
      </rPr>
      <t>(Daylight Zone only)</t>
    </r>
  </si>
  <si>
    <r>
      <t xml:space="preserve">Daylight + Occ Sensor 
</t>
    </r>
    <r>
      <rPr>
        <b/>
        <i/>
        <u/>
        <sz val="11"/>
        <color theme="0"/>
        <rFont val="Calibri"/>
        <family val="2"/>
        <scheme val="minor"/>
      </rPr>
      <t>(Daylight Zone only)</t>
    </r>
  </si>
  <si>
    <t>LLLC outside Daylight area</t>
  </si>
  <si>
    <t>Assumes Daylight zone is 1/3 of space</t>
  </si>
  <si>
    <t>Assumes Daylight zone is 1/4 of space</t>
  </si>
  <si>
    <t>Assembly</t>
  </si>
  <si>
    <t>Break Room</t>
  </si>
  <si>
    <t>Interior Daylight Dimming</t>
  </si>
  <si>
    <t>Daylight + Occupancy</t>
  </si>
  <si>
    <t>Computer Room</t>
  </si>
  <si>
    <t>Exterior Photo Control</t>
  </si>
  <si>
    <t>Conference Room</t>
  </si>
  <si>
    <t>Astronomical Time Switch</t>
  </si>
  <si>
    <t>Dining</t>
  </si>
  <si>
    <t>Exterior Dimming</t>
  </si>
  <si>
    <t>Gymnasium (Skylighted)</t>
  </si>
  <si>
    <t>Gymnasium (Daylighted)</t>
  </si>
  <si>
    <t>Other (describe in notes)</t>
  </si>
  <si>
    <t>Hallway</t>
  </si>
  <si>
    <t>Hospital Room</t>
  </si>
  <si>
    <t>Industrial</t>
  </si>
  <si>
    <t>Kitchen</t>
  </si>
  <si>
    <t>Library</t>
  </si>
  <si>
    <t>Lobby</t>
  </si>
  <si>
    <t>Lodging (Guest Rooms)</t>
  </si>
  <si>
    <t>Open Office</t>
  </si>
  <si>
    <t>Other</t>
  </si>
  <si>
    <t>Parking Garage</t>
  </si>
  <si>
    <t>Private Office</t>
  </si>
  <si>
    <t>Process</t>
  </si>
  <si>
    <t>Public Assembly</t>
  </si>
  <si>
    <t>Restroom</t>
  </si>
  <si>
    <t>Retail</t>
  </si>
  <si>
    <t>Stairs</t>
  </si>
  <si>
    <t>Storage</t>
  </si>
  <si>
    <t>Technical Area</t>
  </si>
  <si>
    <t>Warehouses</t>
  </si>
  <si>
    <t>Warehouse</t>
  </si>
  <si>
    <t>Warehouses (Top Lighted)</t>
  </si>
  <si>
    <t>Warehouse (Top Lighted)</t>
  </si>
  <si>
    <t>Other Daylighted Space</t>
  </si>
  <si>
    <t>OtherDaylighted Space</t>
  </si>
  <si>
    <t>Occ Sensor values from RTF NonResLightingRetrofitsProtocolCalculator_V4_1.xlsm</t>
  </si>
  <si>
    <t>Control_Savings_Exterior</t>
  </si>
  <si>
    <t>Space Type</t>
  </si>
  <si>
    <t xml:space="preserve">ADV Ext </t>
  </si>
  <si>
    <t>Parking and drives</t>
  </si>
  <si>
    <t>Walkways and Plaza</t>
  </si>
  <si>
    <t>Stairways</t>
  </si>
  <si>
    <t>Pedestrian tunnels</t>
  </si>
  <si>
    <t>Entry canopies</t>
  </si>
  <si>
    <t>Sales Canopies</t>
  </si>
  <si>
    <t>Outdoor Sales</t>
  </si>
  <si>
    <t>Building facades</t>
  </si>
  <si>
    <t>Other Exterior Area</t>
  </si>
  <si>
    <t>Street</t>
  </si>
  <si>
    <t>Occ Sensor values from similar interior spaces</t>
  </si>
  <si>
    <t>Exterior Lighting Occupancy and Dimming calculator</t>
  </si>
  <si>
    <t xml:space="preserve">Exterior hours </t>
  </si>
  <si>
    <t>Typ. Schedule</t>
  </si>
  <si>
    <t>PSE Standard for Exterior lighting</t>
  </si>
  <si>
    <t>On</t>
  </si>
  <si>
    <t>Off</t>
  </si>
  <si>
    <t>Hrs</t>
  </si>
  <si>
    <t>hrs per day on average</t>
  </si>
  <si>
    <t>High End Trim</t>
  </si>
  <si>
    <t>Occupancy Trim</t>
  </si>
  <si>
    <t>Total Savings</t>
  </si>
  <si>
    <t>Time of Change</t>
  </si>
  <si>
    <t>ON intensity</t>
  </si>
  <si>
    <t>Unoccupied Intensity</t>
  </si>
  <si>
    <t>Occ Savings</t>
  </si>
  <si>
    <t>Hrs in Period</t>
  </si>
  <si>
    <t>Occ Mod Hrs</t>
  </si>
  <si>
    <t>Period 1</t>
  </si>
  <si>
    <t>Period 2</t>
  </si>
  <si>
    <t>Period 3</t>
  </si>
  <si>
    <t>Period 4</t>
  </si>
  <si>
    <t>Project Section</t>
  </si>
  <si>
    <t>"Original" or "Revised" grant?</t>
  </si>
  <si>
    <t>Project Name:</t>
  </si>
  <si>
    <t>DSM (P_######):</t>
  </si>
  <si>
    <t>Original Grant</t>
  </si>
  <si>
    <t>Program Type:</t>
  </si>
  <si>
    <t>EME:</t>
  </si>
  <si>
    <t>Andrew Pultorak</t>
  </si>
  <si>
    <t>Revised Grant</t>
  </si>
  <si>
    <t>Project Type:</t>
  </si>
  <si>
    <t>QC Reviewer:</t>
  </si>
  <si>
    <t>Karla Petersen</t>
  </si>
  <si>
    <t xml:space="preserve">Grant type? </t>
  </si>
  <si>
    <t>PSE Account #:</t>
  </si>
  <si>
    <t>Pre Inspection Date:</t>
  </si>
  <si>
    <t>Customer Only Grant</t>
  </si>
  <si>
    <t>PSE Meter #:</t>
  </si>
  <si>
    <t>Est Payment Date:</t>
  </si>
  <si>
    <t>Customer/Contractor Grant</t>
  </si>
  <si>
    <t>DSM Building Type:</t>
  </si>
  <si>
    <t>Total Facility Usage:</t>
  </si>
  <si>
    <t>LOA - Customer is Payee</t>
  </si>
  <si>
    <t>Rate Schedule:</t>
  </si>
  <si>
    <t>LOA - Contractor is Payee</t>
  </si>
  <si>
    <t>Project Address:</t>
  </si>
  <si>
    <t>Submitted by:</t>
  </si>
  <si>
    <t>LOA Date</t>
  </si>
  <si>
    <t>Contractor Contact:</t>
  </si>
  <si>
    <t>Contractor Email:</t>
  </si>
  <si>
    <t>Grant Distribution: (grant will always be sent to the EME and Customer/Participant) unless noted below</t>
  </si>
  <si>
    <t>Customer:</t>
  </si>
  <si>
    <t>Contractor Phone:</t>
  </si>
  <si>
    <t>Customer Contact:</t>
  </si>
  <si>
    <t>ONLY send to EME (EME to distribute)</t>
  </si>
  <si>
    <t>Customer Email:</t>
  </si>
  <si>
    <t>Installed by:</t>
  </si>
  <si>
    <t>ONLY send to Street Lighting Incentive email</t>
  </si>
  <si>
    <t>Customer Phone:</t>
  </si>
  <si>
    <t>Project Information:</t>
  </si>
  <si>
    <t>EME</t>
  </si>
  <si>
    <t>QC</t>
  </si>
  <si>
    <t>NA</t>
  </si>
  <si>
    <t>All above PROJECT information is correctly entered into DSM</t>
  </si>
  <si>
    <t>Confirm Rate Schedule matches information on Billing History</t>
  </si>
  <si>
    <t>The Payee information is complete  (include signed Signature page in QC packet)</t>
  </si>
  <si>
    <t>Printout of Installations (tab) is attached  (include in QC packet - QC Reviewer to confirm)</t>
  </si>
  <si>
    <t>Lighting hours rationale is entered in the box above and is detailed</t>
  </si>
  <si>
    <t xml:space="preserve">If the total project savings is &gt;300,000 kWh/yr included detailed hour documentation </t>
  </si>
  <si>
    <t>Lighting Hour Rationale (be specific):</t>
  </si>
  <si>
    <t>Measure Section</t>
  </si>
  <si>
    <t>Total Facility Usage (consumption history):</t>
  </si>
  <si>
    <t>Existing Lighting Usage (baseline):</t>
  </si>
  <si>
    <t>of total usage</t>
  </si>
  <si>
    <t>Fixture Savings:</t>
  </si>
  <si>
    <t>TLED Savings:</t>
  </si>
  <si>
    <t>Control Savings:</t>
  </si>
  <si>
    <t>Total Lighting Savings:</t>
  </si>
  <si>
    <t>from existing</t>
  </si>
  <si>
    <t>New Fixture/Lamp/Control Usage:</t>
  </si>
  <si>
    <t>kW Savings:</t>
  </si>
  <si>
    <t>Energy Use Notes:</t>
  </si>
  <si>
    <t>Grant Section</t>
  </si>
  <si>
    <t xml:space="preserve">            LLLC (performance) Grant</t>
  </si>
  <si>
    <t>DSMc Project Number:</t>
  </si>
  <si>
    <t>P#:</t>
  </si>
  <si>
    <t>Measure Cost:</t>
  </si>
  <si>
    <t>Cost:</t>
  </si>
  <si>
    <t>Estimated Grant:</t>
  </si>
  <si>
    <t>Grant:</t>
  </si>
  <si>
    <t>Fixtures &amp; Controls Incentive (included above):</t>
  </si>
  <si>
    <t>TLED Incentive (included above):</t>
  </si>
  <si>
    <t>Savings:</t>
  </si>
  <si>
    <t>Baseline:</t>
  </si>
  <si>
    <t>Total Facility Usage is calculated from Billing History (include Consumption History in QC packet)</t>
  </si>
  <si>
    <t>Fixtures &amp; Controls incentive:</t>
  </si>
  <si>
    <t>All above Cost, Grant and Usage information is entered into DSM</t>
  </si>
  <si>
    <t>Fixtures &amp; Controls TRC:</t>
  </si>
  <si>
    <t>The HEAT TYPE on Installation tab (Measures) is correct for this project?</t>
  </si>
  <si>
    <t>Measure Life:</t>
  </si>
  <si>
    <t>The LED products meet the minimum PSE specifications (include all spec sheets in QC packet)</t>
  </si>
  <si>
    <t>Grant % of Measure Cost:</t>
  </si>
  <si>
    <t>DSM Form 3 / Lighting Workbook Job Aid</t>
  </si>
  <si>
    <t xml:space="preserve">The following is the information is from the Lighting Application formatted to look like DSM Form 3 (Grant QC Review). 
Use this to review what is reported in DSM. Information below should not be revised on this page to reflect DSMc as it is pulled from pother pages of the Application.
Check if the information in the YELLOW cells below matches what is in DSM (the YELLOW cells are the only cells that the EME can edit in DSM Form 2). DSM should match these cells except when a Customer/Partner lookup in DSMc has been performed.
</t>
  </si>
  <si>
    <t>PSE Representative and Email Information</t>
  </si>
  <si>
    <t>EME Name:</t>
  </si>
  <si>
    <t>QC Assigned Date:</t>
  </si>
  <si>
    <r>
      <t xml:space="preserve">Customer Section </t>
    </r>
    <r>
      <rPr>
        <b/>
        <i/>
        <sz val="11"/>
        <color theme="0"/>
        <rFont val="Calibri"/>
        <family val="2"/>
        <scheme val="minor"/>
      </rPr>
      <t>(gray-out cells may all be different after Customer lookup is done in DSMc)</t>
    </r>
  </si>
  <si>
    <t>Customer lookup:</t>
  </si>
  <si>
    <t>PSE Account Number:</t>
  </si>
  <si>
    <t>Business Name:</t>
  </si>
  <si>
    <t>Customer Company Name:</t>
  </si>
  <si>
    <t>Customer Number:</t>
  </si>
  <si>
    <t>Mailing Address 1:</t>
  </si>
  <si>
    <t>Mailing Address 2:</t>
  </si>
  <si>
    <t>Mailing City:</t>
  </si>
  <si>
    <t>Mailing State:</t>
  </si>
  <si>
    <t>Mailing Zip:</t>
  </si>
  <si>
    <t>Premise Number:</t>
  </si>
  <si>
    <t>Service Address 1:</t>
  </si>
  <si>
    <t>Service City:</t>
  </si>
  <si>
    <t>Service State:</t>
  </si>
  <si>
    <t>Service Zip:</t>
  </si>
  <si>
    <t>Utility Meter Num:</t>
  </si>
  <si>
    <r>
      <t xml:space="preserve">Partner Section (may all be different after Customer lookup is done in DSMc) </t>
    </r>
    <r>
      <rPr>
        <b/>
        <i/>
        <sz val="11"/>
        <color theme="0"/>
        <rFont val="Calibri"/>
        <family val="2"/>
        <scheme val="minor"/>
      </rPr>
      <t>[pulled from the "(Optional) Vendor / Other Information" section of the Project Tab]</t>
    </r>
  </si>
  <si>
    <t>Partner lookup:</t>
  </si>
  <si>
    <t>Vendor Maint Number:</t>
  </si>
  <si>
    <t>Mailing Address:</t>
  </si>
  <si>
    <t>CSY Project Number:</t>
  </si>
  <si>
    <t>Primary Customer Contact Person:</t>
  </si>
  <si>
    <t>Primary Customer Contact Email:</t>
  </si>
  <si>
    <t>Primary Customer Contact Phone:</t>
  </si>
  <si>
    <t>Secondary Contact (if different than above):</t>
  </si>
  <si>
    <t>Secondary Contact Email (if different than above):</t>
  </si>
  <si>
    <t>Secondary Contact Phone (if different than above):</t>
  </si>
  <si>
    <t>Project Street Address:</t>
  </si>
  <si>
    <t>Project City:</t>
  </si>
  <si>
    <t>Project State:</t>
  </si>
  <si>
    <t>Project Zip:</t>
  </si>
  <si>
    <t>Contractor Business Name:</t>
  </si>
  <si>
    <t>Contractor Full Name:</t>
  </si>
  <si>
    <t>Project Folder on H:</t>
  </si>
  <si>
    <t>Grant Type:</t>
  </si>
  <si>
    <t>PSE Business Type:</t>
  </si>
  <si>
    <t>Electric Meter Number:</t>
  </si>
  <si>
    <t>Electric Rate Schedule:</t>
  </si>
  <si>
    <t>Custom Measure</t>
  </si>
  <si>
    <t>measure lookup:</t>
  </si>
  <si>
    <t>Library Measure Name:</t>
  </si>
  <si>
    <t>Measure Cost Electric:</t>
  </si>
  <si>
    <t>Electric Load Type:</t>
  </si>
  <si>
    <t>Lighting</t>
  </si>
  <si>
    <t>kWh Savings Estimated:</t>
  </si>
  <si>
    <t>Entered Measure Life:</t>
  </si>
  <si>
    <t>Calc Measure Life:</t>
  </si>
  <si>
    <t>Grant Amount Electric:</t>
  </si>
  <si>
    <t>Baseline Electric Energy Use:</t>
  </si>
  <si>
    <t>Completion Date Est:</t>
  </si>
  <si>
    <t>Full or Incr?:</t>
  </si>
  <si>
    <t>Project Totals</t>
  </si>
  <si>
    <t>Total kWh Savings:</t>
  </si>
  <si>
    <t>Total Incentive:</t>
  </si>
  <si>
    <t>Total Estimated Installed Cost:</t>
  </si>
  <si>
    <t>DSM Form 2 / Lighting Workbook Job Aid</t>
  </si>
  <si>
    <t>Supervisor/Program Manager:</t>
  </si>
  <si>
    <t>Scope of Work and Savings Analysis Overview</t>
  </si>
  <si>
    <r>
      <t xml:space="preserve">Are you revising an existing grant?: </t>
    </r>
    <r>
      <rPr>
        <sz val="11"/>
        <color theme="7" tint="-0.249977111117893"/>
        <rFont val="Calibri"/>
        <family val="2"/>
        <scheme val="minor"/>
      </rPr>
      <t>*</t>
    </r>
  </si>
  <si>
    <t>Cause of Revision:</t>
  </si>
  <si>
    <t>Enter cause in DSM if revised Grant</t>
  </si>
  <si>
    <t>Customer Participant:</t>
  </si>
  <si>
    <t>Contractor Participant:</t>
  </si>
  <si>
    <t>Background Information (Essential to Understanding Context of Project):</t>
  </si>
  <si>
    <t>Project Specification for Grant Agreement:</t>
  </si>
  <si>
    <t>Baseline Assumptions:</t>
  </si>
  <si>
    <t>Lighting Workbook</t>
  </si>
  <si>
    <t>Proposed Assumptions:</t>
  </si>
  <si>
    <t>Energy Analysis Methodology:</t>
  </si>
  <si>
    <t>Washington State Energy Code:</t>
  </si>
  <si>
    <t>generally not required</t>
  </si>
  <si>
    <t>Verification Plan for Grant Attachment:</t>
  </si>
  <si>
    <t>Operating Hours Rationale:</t>
  </si>
  <si>
    <t>Library Measure Ref#:</t>
  </si>
  <si>
    <t>Est'd Completion Date:</t>
  </si>
  <si>
    <t>Library Measure Life:</t>
  </si>
  <si>
    <t>Entered Measure Life kWh:</t>
  </si>
  <si>
    <t>kW Reduction:</t>
  </si>
  <si>
    <t>Total Measure Cost:</t>
  </si>
  <si>
    <t>Grant Percent of Measure Cost:</t>
  </si>
  <si>
    <t>Savings % of Base:</t>
  </si>
  <si>
    <t>Custom Electric Base Total:</t>
  </si>
  <si>
    <t>Custom Electric Save Total:</t>
  </si>
  <si>
    <t>Additional Grant Attachment Verification Items</t>
  </si>
  <si>
    <t>Other 1:</t>
  </si>
  <si>
    <t>Other 2:</t>
  </si>
  <si>
    <t>Other 3:</t>
  </si>
  <si>
    <t>Other 4:</t>
  </si>
  <si>
    <t>Other 5:</t>
  </si>
  <si>
    <t>Other 6:</t>
  </si>
  <si>
    <t>Site Visit</t>
  </si>
  <si>
    <t>Date of Verification:</t>
  </si>
  <si>
    <t>Attended by: Name1/Company1:</t>
  </si>
  <si>
    <t>Attended by: Name2/Company2:</t>
  </si>
  <si>
    <t>Attended by: Name3/Company3:</t>
  </si>
  <si>
    <t>Project Information</t>
  </si>
  <si>
    <t>CSY Grant Number:</t>
  </si>
  <si>
    <r>
      <t xml:space="preserve">Grant Type: </t>
    </r>
    <r>
      <rPr>
        <sz val="11"/>
        <color theme="7" tint="-0.249977111117893"/>
        <rFont val="Calibri"/>
        <family val="2"/>
        <scheme val="minor"/>
      </rPr>
      <t>*</t>
    </r>
  </si>
  <si>
    <r>
      <t xml:space="preserve">(Consumption Report) Annual kWh: </t>
    </r>
    <r>
      <rPr>
        <sz val="11"/>
        <color theme="7" tint="-0.249977111117893"/>
        <rFont val="Calibri"/>
        <family val="2"/>
        <scheme val="minor"/>
      </rPr>
      <t>*</t>
    </r>
  </si>
  <si>
    <t>Peak kW Demand:</t>
  </si>
  <si>
    <t>Facility or Affected Area sf:</t>
  </si>
  <si>
    <t>Primary Contact  Person:</t>
  </si>
  <si>
    <t>Secondary Contact (if different):</t>
  </si>
  <si>
    <t>Secondary Contact Email (if different):</t>
  </si>
  <si>
    <t>Secondary Contact Phone (if different):</t>
  </si>
  <si>
    <t>Project Service Address:</t>
  </si>
  <si>
    <t>Installing Contractor Business Name (if different):</t>
  </si>
  <si>
    <t>Installing Contractor Full Name (if different):</t>
  </si>
  <si>
    <t>Installing Contractor Business Phone (if different):</t>
  </si>
  <si>
    <t>Installing Contractor Email (if different):</t>
  </si>
  <si>
    <t>Short Project Description:</t>
  </si>
  <si>
    <t>PSE Meter Number:</t>
  </si>
  <si>
    <t>Customer Section</t>
  </si>
  <si>
    <t>Customer Lookup:</t>
  </si>
  <si>
    <t>Submitting Application Contractor</t>
  </si>
  <si>
    <t>Contractor Lookup:</t>
  </si>
  <si>
    <t>Primary Contact First Name:</t>
  </si>
  <si>
    <t>Primary Contact Last Name:</t>
  </si>
  <si>
    <t>Contact Phone Number:</t>
  </si>
  <si>
    <t>Contact Email:</t>
  </si>
  <si>
    <t>Partner Number:</t>
  </si>
  <si>
    <t>Partner Information</t>
  </si>
  <si>
    <t>Partner Lookup:</t>
  </si>
  <si>
    <t>Vendor Main Number:</t>
  </si>
  <si>
    <t>Payee (Sent to SAP)</t>
  </si>
  <si>
    <t>Attention To:</t>
  </si>
  <si>
    <t>Vendor Information:</t>
  </si>
  <si>
    <t>Address 1:</t>
  </si>
  <si>
    <t>Address 2:</t>
  </si>
  <si>
    <t>City:</t>
  </si>
  <si>
    <t>State:</t>
  </si>
  <si>
    <t>Zip:</t>
  </si>
  <si>
    <r>
      <t xml:space="preserve">Payment Choice: </t>
    </r>
    <r>
      <rPr>
        <sz val="11"/>
        <color theme="7" tint="-0.249977111117893"/>
        <rFont val="Calibri"/>
        <family val="2"/>
        <scheme val="minor"/>
      </rPr>
      <t>*</t>
    </r>
  </si>
  <si>
    <t>Total Therm Savings:</t>
  </si>
  <si>
    <t>EME, is this a "Customer Only" or "Customer/Contractor" grant?</t>
  </si>
  <si>
    <t>New Fixture/Lamp Usage:</t>
  </si>
  <si>
    <t>Fixtures &amp; Controls Incentive:</t>
  </si>
  <si>
    <t>DSM Form 3 (LLLC) / Lighting Workbook Job Aid</t>
  </si>
  <si>
    <t>Performance</t>
  </si>
  <si>
    <r>
      <t xml:space="preserve">Customer Section </t>
    </r>
    <r>
      <rPr>
        <b/>
        <i/>
        <sz val="11"/>
        <color theme="0"/>
        <rFont val="Calibri"/>
        <family val="2"/>
        <scheme val="minor"/>
      </rPr>
      <t>(Grayed out cells may all be different after Customer lookup is done in DSMc)</t>
    </r>
  </si>
  <si>
    <r>
      <t xml:space="preserve">Project Information </t>
    </r>
    <r>
      <rPr>
        <b/>
        <i/>
        <sz val="11"/>
        <color theme="0"/>
        <rFont val="Calibri"/>
        <family val="2"/>
        <scheme val="minor"/>
      </rPr>
      <t>(may all be different after Customer lookup is done in DSMc)</t>
    </r>
  </si>
  <si>
    <t>DSM Form 2 (LLLC Performance) / Lighting Workbook Job Aid</t>
  </si>
  <si>
    <t>LLLC Requirements/Verification page</t>
  </si>
  <si>
    <t>Application (1)</t>
  </si>
  <si>
    <t>ApplicationNumber</t>
  </si>
  <si>
    <t>Parent Application Id</t>
  </si>
  <si>
    <t>Calculate Formula</t>
  </si>
  <si>
    <t>Customer Information</t>
  </si>
  <si>
    <t>Contractor Information</t>
  </si>
  <si>
    <t>Payee Information</t>
  </si>
  <si>
    <t>Custom Measures</t>
  </si>
  <si>
    <t>End Measure Group</t>
  </si>
  <si>
    <t>Application Status</t>
  </si>
  <si>
    <t>Task Status</t>
  </si>
  <si>
    <t>PSE Account Number</t>
  </si>
  <si>
    <t>Business Partner #</t>
  </si>
  <si>
    <t>Customer Company Name</t>
  </si>
  <si>
    <t>Mailing Address 1</t>
  </si>
  <si>
    <t>Mailing Address 2</t>
  </si>
  <si>
    <t>Mailing City</t>
  </si>
  <si>
    <t>Mailing State</t>
  </si>
  <si>
    <t>Mailing Zip</t>
  </si>
  <si>
    <t>Premise Number</t>
  </si>
  <si>
    <t>Service Address 1</t>
  </si>
  <si>
    <t>Service City</t>
  </si>
  <si>
    <t>Service State</t>
  </si>
  <si>
    <t>Service Zip</t>
  </si>
  <si>
    <t>Phone Number</t>
  </si>
  <si>
    <t>Utility Meter Num</t>
  </si>
  <si>
    <t>Bill Country</t>
  </si>
  <si>
    <t>Company URL</t>
  </si>
  <si>
    <t>Primary Contact First Name</t>
  </si>
  <si>
    <t>Primary Contact Last Name</t>
  </si>
  <si>
    <t>Contact Phone Number</t>
  </si>
  <si>
    <t>Contact Email</t>
  </si>
  <si>
    <t>Partner Number</t>
  </si>
  <si>
    <t>Service Type</t>
  </si>
  <si>
    <t>CSY Project Number</t>
  </si>
  <si>
    <t>CSY Grant Number</t>
  </si>
  <si>
    <t>User Role</t>
  </si>
  <si>
    <t>Project Street Address</t>
  </si>
  <si>
    <t>Project State</t>
  </si>
  <si>
    <t>Contractor Business Name</t>
  </si>
  <si>
    <t>Contractor Contact Person</t>
  </si>
  <si>
    <t>Contractor Contact Email</t>
  </si>
  <si>
    <t>Contractor Contact Phone</t>
  </si>
  <si>
    <t>Installing Contractor Business name (if different than applicant)</t>
  </si>
  <si>
    <t>Installing Contractor Full Name (if different than applicant)</t>
  </si>
  <si>
    <t>Installing Contractor Phone (if different than applicant)</t>
  </si>
  <si>
    <t>Installing Contractor Email (if different than applicant)</t>
  </si>
  <si>
    <t>Tell us about your project</t>
  </si>
  <si>
    <t>Estimated Cost</t>
  </si>
  <si>
    <t>Estimated Energy Savings</t>
  </si>
  <si>
    <t>Estimated Start Date</t>
  </si>
  <si>
    <t>Have you been working with a PSE Representative? If so, who?</t>
  </si>
  <si>
    <t>Project specific (Electric) PSE Account Number (if different from original account):</t>
  </si>
  <si>
    <t>Project specific (Gas) PSE Account Number (if different from original account):</t>
  </si>
  <si>
    <t>Authorization to release Energy Use &amp; Billing Information (to the contractor, for example)</t>
  </si>
  <si>
    <t>Please upload: Cost Propsal, Specs, W9, CalculationsExcel workbook, Other</t>
  </si>
  <si>
    <t>Electric Meter Number</t>
  </si>
  <si>
    <t>Gas Meter Number</t>
  </si>
  <si>
    <t>Attention To</t>
  </si>
  <si>
    <t>Address 1</t>
  </si>
  <si>
    <t>Address 2</t>
  </si>
  <si>
    <t>SAP Payment Type</t>
  </si>
  <si>
    <t/>
  </si>
  <si>
    <t>Library Measure Name</t>
  </si>
  <si>
    <t>Library Measure Ref#</t>
  </si>
  <si>
    <t>Full or Incr?</t>
  </si>
  <si>
    <t>Est'd Completion Date</t>
  </si>
  <si>
    <t>Measure Cost Electric</t>
  </si>
  <si>
    <t>Electric Load Type</t>
  </si>
  <si>
    <t>kWh Savings Estimated</t>
  </si>
  <si>
    <t>Library Measure Life kWh</t>
  </si>
  <si>
    <t>Entered Measure Life kWh</t>
  </si>
  <si>
    <t>Grant Amount Electric</t>
  </si>
  <si>
    <t>Baseline Electric Energy Use</t>
  </si>
  <si>
    <t>kW Reduction</t>
  </si>
  <si>
    <t>Total Measure Cost</t>
  </si>
  <si>
    <t>Grant Percent of Measure Cost</t>
  </si>
  <si>
    <t>Savings % of base</t>
  </si>
  <si>
    <t>Supervisor/Program Manager</t>
  </si>
  <si>
    <t>Supervisor/Program Manager Email</t>
  </si>
  <si>
    <t>Skip "New Project" Email to Supervisor</t>
  </si>
  <si>
    <t>Comments</t>
  </si>
  <si>
    <t>Full</t>
  </si>
  <si>
    <t>Lighting - Performance - Custom</t>
  </si>
  <si>
    <t>DATA2022</t>
  </si>
  <si>
    <t>Business Lighting 2022</t>
  </si>
  <si>
    <t>2022 STANDARD</t>
  </si>
  <si>
    <t>Vendor</t>
  </si>
  <si>
    <t>Signature</t>
  </si>
  <si>
    <t>LOA</t>
  </si>
  <si>
    <t>Submitter</t>
  </si>
  <si>
    <t xml:space="preserve">Rate Schedule </t>
  </si>
  <si>
    <t>PSE Account</t>
  </si>
  <si>
    <t>Electric Meter</t>
  </si>
  <si>
    <t>Name</t>
  </si>
  <si>
    <t>Phone</t>
  </si>
  <si>
    <t>City 2</t>
  </si>
  <si>
    <t>State 2</t>
  </si>
  <si>
    <t>Zip 2</t>
  </si>
  <si>
    <t>Payee Company</t>
  </si>
  <si>
    <t>Check Payable</t>
  </si>
  <si>
    <t>Submitted by</t>
  </si>
  <si>
    <t>Lighting - Custom</t>
  </si>
  <si>
    <t>LLLC?</t>
  </si>
  <si>
    <t>Grant for Fixtures</t>
  </si>
  <si>
    <t>Lighting - Base - Custom</t>
  </si>
  <si>
    <t>Grant for LLLC</t>
  </si>
  <si>
    <t>Installations</t>
  </si>
  <si>
    <t>Misc Cost</t>
  </si>
  <si>
    <t>Tax Rate</t>
  </si>
  <si>
    <t>Existing Usage</t>
  </si>
  <si>
    <t>New Usage</t>
  </si>
  <si>
    <t>kWSavings</t>
  </si>
  <si>
    <t>TLED Incentive</t>
  </si>
  <si>
    <t>TLED Qty</t>
  </si>
  <si>
    <t>LLLC Bonus</t>
  </si>
  <si>
    <t>Cost Effective Incentive</t>
  </si>
  <si>
    <t>Total Incentive</t>
  </si>
  <si>
    <t>Building Area Type</t>
  </si>
  <si>
    <t>LPD (w/ft2)</t>
  </si>
  <si>
    <t>LPD</t>
  </si>
  <si>
    <t>PSE DSM Type</t>
  </si>
  <si>
    <t>Lighting - Tenant Improvement - Custom</t>
  </si>
  <si>
    <t>- Choose Type -</t>
  </si>
  <si>
    <t>Lighting - Street - Custom</t>
  </si>
  <si>
    <t>Automotive facility</t>
  </si>
  <si>
    <t>Lighting Power Density Reduction - Custom</t>
  </si>
  <si>
    <t>Convention center</t>
  </si>
  <si>
    <t>Assembly Worship</t>
  </si>
  <si>
    <t>GRANT QC</t>
  </si>
  <si>
    <t>Court house</t>
  </si>
  <si>
    <t>DSM Project Name (P_######):</t>
  </si>
  <si>
    <t>Food Service Restaurant</t>
  </si>
  <si>
    <t>Lighting Specialist / EME:</t>
  </si>
  <si>
    <t>Dining: Cafeteria/fast food</t>
  </si>
  <si>
    <t>Dining: Family</t>
  </si>
  <si>
    <t>Dormitory</t>
  </si>
  <si>
    <t>University</t>
  </si>
  <si>
    <t>Estimated Payment Date:</t>
  </si>
  <si>
    <t>Exercise center</t>
  </si>
  <si>
    <t>Total Facility Usage (consumption history kWh/yr):</t>
  </si>
  <si>
    <t>Fire station</t>
  </si>
  <si>
    <t>Health care clinic</t>
  </si>
  <si>
    <t>Medical Office</t>
  </si>
  <si>
    <t>Hospital</t>
  </si>
  <si>
    <t>LOA (Customer)</t>
  </si>
  <si>
    <t>Hotel</t>
  </si>
  <si>
    <t>LOA (Contractor)</t>
  </si>
  <si>
    <t>Lodging Common Areas</t>
  </si>
  <si>
    <t>Manufacturing facility</t>
  </si>
  <si>
    <t>Industrial Manufacturing</t>
  </si>
  <si>
    <t>Motel</t>
  </si>
  <si>
    <t>Motion picture theater</t>
  </si>
  <si>
    <t>Multifamily</t>
  </si>
  <si>
    <t>Multi-Family Housing</t>
  </si>
  <si>
    <t>Museum</t>
  </si>
  <si>
    <t>Office</t>
  </si>
  <si>
    <t>Parking garage</t>
  </si>
  <si>
    <t>Penitentiary</t>
  </si>
  <si>
    <t>Performing arts theater</t>
  </si>
  <si>
    <t>Police station</t>
  </si>
  <si>
    <t>Post office</t>
  </si>
  <si>
    <t>Religious building</t>
  </si>
  <si>
    <t>Total Hrs</t>
  </si>
  <si>
    <t>School</t>
  </si>
  <si>
    <t>School K12</t>
  </si>
  <si>
    <t>Sports arena</t>
  </si>
  <si>
    <t>Street Lighting</t>
  </si>
  <si>
    <t>Town hall</t>
  </si>
  <si>
    <t>Autofund</t>
  </si>
  <si>
    <t>Transportation</t>
  </si>
  <si>
    <t>Measure Description</t>
  </si>
  <si>
    <t>Measure
Cost</t>
  </si>
  <si>
    <t>ELEC LOAD TYPE:</t>
  </si>
  <si>
    <t>Energy Rate (¢/kWh)</t>
  </si>
  <si>
    <t>Annual Savings (kWh)</t>
  </si>
  <si>
    <t>Meas Life</t>
  </si>
  <si>
    <t>Annual $$
Savings
(kW Dem)</t>
  </si>
  <si>
    <t>Electric
Grant Amt</t>
  </si>
  <si>
    <t>Elec Grant
Pct of MC</t>
  </si>
  <si>
    <t>Elec Grant
(¢/kWh)</t>
  </si>
  <si>
    <t>Funding Formula Slope</t>
  </si>
  <si>
    <t>1 YR Sav</t>
  </si>
  <si>
    <t>Payback  (Years)</t>
  </si>
  <si>
    <t>Full
Avoided
Cost
(FAC)</t>
  </si>
  <si>
    <t>Estim.
TRC
Ratio
FAC /
1.15 MC</t>
  </si>
  <si>
    <t>Meas Cost $/kWh</t>
  </si>
  <si>
    <t>Grant $/kWh</t>
  </si>
  <si>
    <t>Installation Cost</t>
  </si>
  <si>
    <t>Sub Total before tax
(used for TRC calculation)</t>
  </si>
  <si>
    <t>Max % Cost Incentive</t>
  </si>
  <si>
    <t>Max kWh Incentive</t>
  </si>
  <si>
    <t>Downslope</t>
  </si>
  <si>
    <t>85% FAC</t>
  </si>
  <si>
    <t>x-intercept</t>
  </si>
  <si>
    <t>Before Grant</t>
  </si>
  <si>
    <t>After Grant</t>
  </si>
  <si>
    <t>Workshop</t>
  </si>
  <si>
    <t>L2G incentive</t>
  </si>
  <si>
    <t>kWh saved</t>
  </si>
  <si>
    <t>incentive</t>
  </si>
  <si>
    <t>Existing Light Fixture Information</t>
  </si>
  <si>
    <t>New Light Fixtures / Lamps Information</t>
  </si>
  <si>
    <t>Fixture Type
(select type of fixture from dropdown list)</t>
  </si>
  <si>
    <t>Lamp Type
(select type of lamp from the dropdown list)</t>
  </si>
  <si>
    <t>Lamps 1
(enter)</t>
  </si>
  <si>
    <t>Catalog Number
must match spec sheet
(enter)</t>
  </si>
  <si>
    <t>Total System Watts 2
(enter)</t>
  </si>
  <si>
    <t>Use as existing</t>
  </si>
  <si>
    <t>Description6</t>
  </si>
  <si>
    <t># of Lamps</t>
  </si>
  <si>
    <t>Watts New</t>
  </si>
  <si>
    <t>Catalog Number</t>
  </si>
  <si>
    <t>Square Footage</t>
  </si>
  <si>
    <t>Row</t>
  </si>
  <si>
    <t>Measure</t>
  </si>
  <si>
    <t>G</t>
  </si>
  <si>
    <t>R</t>
  </si>
  <si>
    <t>T</t>
  </si>
  <si>
    <t>U</t>
  </si>
  <si>
    <t>AB</t>
  </si>
  <si>
    <t>AD</t>
  </si>
  <si>
    <t>AE</t>
  </si>
  <si>
    <t>AF</t>
  </si>
  <si>
    <t>AJ</t>
  </si>
  <si>
    <t>AK</t>
  </si>
  <si>
    <t>AM</t>
  </si>
  <si>
    <t>AO</t>
  </si>
  <si>
    <t>AR</t>
  </si>
  <si>
    <t>AT</t>
  </si>
  <si>
    <t>EQ</t>
  </si>
  <si>
    <t>B</t>
  </si>
  <si>
    <t>Location</t>
  </si>
  <si>
    <t>Heat Type</t>
  </si>
  <si>
    <t>NEI</t>
  </si>
  <si>
    <t>Measure Desctiption</t>
  </si>
  <si>
    <t>Measure Cost (pre Tax)</t>
  </si>
  <si>
    <t>Total Measure Cost (w/Tax)</t>
  </si>
  <si>
    <t>Lighting Load</t>
  </si>
  <si>
    <r>
      <t>Energy Rate (</t>
    </r>
    <r>
      <rPr>
        <b/>
        <sz val="11"/>
        <color theme="1"/>
        <rFont val="Calibri"/>
        <family val="2"/>
      </rPr>
      <t>¢</t>
    </r>
    <r>
      <rPr>
        <b/>
        <sz val="11"/>
        <color theme="1"/>
        <rFont val="Calibri"/>
        <family val="2"/>
        <scheme val="minor"/>
      </rPr>
      <t>/kWh)</t>
    </r>
  </si>
  <si>
    <t>Electric Grant Amount</t>
  </si>
  <si>
    <t>Electric Grant Percent of Measure Cost</t>
  </si>
  <si>
    <r>
      <t>Electric Grant (</t>
    </r>
    <r>
      <rPr>
        <b/>
        <sz val="11"/>
        <color theme="1"/>
        <rFont val="Calibri"/>
        <family val="2"/>
      </rPr>
      <t>¢/kWh)</t>
    </r>
  </si>
  <si>
    <t>Funding Formula (Slope)</t>
  </si>
  <si>
    <t>Full Avoided Cost (FAC)</t>
  </si>
  <si>
    <t>Est. TRC Ratio FAC/1.15 MC</t>
  </si>
  <si>
    <t>Payback Before Grant</t>
  </si>
  <si>
    <t>Payback After Grant</t>
  </si>
  <si>
    <t>Fixture/Control Incentive</t>
  </si>
  <si>
    <t>Basic</t>
  </si>
  <si>
    <t>BI</t>
  </si>
  <si>
    <t>TI</t>
  </si>
  <si>
    <t>New Construction</t>
  </si>
  <si>
    <t>From Lookup Page (do not edit here)</t>
  </si>
  <si>
    <t>x-intercept = (FAC/TRC Threshold)*[(1+Discount Rate)/(1+Admin)]</t>
  </si>
  <si>
    <t xml:space="preserve">Discount Rate = </t>
  </si>
  <si>
    <t xml:space="preserve">Admin (% of MC) = </t>
  </si>
  <si>
    <t xml:space="preserve">TRC Threshold = </t>
  </si>
  <si>
    <t xml:space="preserve">Downslope = </t>
  </si>
  <si>
    <t>(Value should be negative)</t>
  </si>
  <si>
    <t>NEI  /kWh</t>
  </si>
  <si>
    <t xml:space="preserve">Slope = </t>
  </si>
  <si>
    <t>NEI  Savings 1st year</t>
  </si>
  <si>
    <t>= NEI /kWH * kWH Savings</t>
  </si>
  <si>
    <t>NEI PV</t>
  </si>
  <si>
    <t>= PV (Discount Rate, Measure Life, NEI Savings 1st Year)</t>
  </si>
  <si>
    <t>From Project Page (do not edit here)</t>
  </si>
  <si>
    <t>% better than CODE</t>
  </si>
  <si>
    <t>Rate Schedule =</t>
  </si>
  <si>
    <t>kWh Charge =</t>
  </si>
  <si>
    <t>kW Charge =</t>
  </si>
  <si>
    <t>kW for Calculated incentive</t>
  </si>
  <si>
    <t>kWh for Calculated incentive</t>
  </si>
  <si>
    <t>Costs for Calculated incentive</t>
  </si>
  <si>
    <t>Incentive for Calculated</t>
  </si>
  <si>
    <t>% of kWh savings</t>
  </si>
  <si>
    <t>NEI x-intercept</t>
  </si>
  <si>
    <t>= ((FAC/TRC Threshold) * ((1+ Discount Rate) / (1+ Admin Rate))) + NEI PV</t>
  </si>
  <si>
    <t>NEI FAC</t>
  </si>
  <si>
    <t>= FAC + NEI PV</t>
  </si>
  <si>
    <t>NEI TRC</t>
  </si>
  <si>
    <t>= NEI FAC / (((1+ Admin %) * sub total cost ) / (1 + Discount Rate))</t>
  </si>
  <si>
    <t>= (Downslope * (Subtotal)) - (Downslope * NEI x-intercept)</t>
  </si>
  <si>
    <t>85% NEI FAC</t>
  </si>
  <si>
    <t>Incumbent Technology</t>
  </si>
  <si>
    <t>No Existing Fixture</t>
  </si>
  <si>
    <t>Existing Exit Sign (Inc or FL)</t>
  </si>
  <si>
    <t>New LED Exit Sign</t>
  </si>
  <si>
    <t>Existing TLED - TLED (Ballast ByPass)</t>
  </si>
  <si>
    <t xml:space="preserve">Existing TLED - TLED (Ballast ByPass) </t>
  </si>
  <si>
    <t>Halogen A (Omni)</t>
  </si>
  <si>
    <t>Incandescent</t>
  </si>
  <si>
    <t>Halogen A</t>
  </si>
  <si>
    <t>25W</t>
  </si>
  <si>
    <t>29W</t>
  </si>
  <si>
    <t>40W</t>
  </si>
  <si>
    <t>43W</t>
  </si>
  <si>
    <t>53W</t>
  </si>
  <si>
    <t>72W</t>
  </si>
  <si>
    <t>Halogen PAR</t>
  </si>
  <si>
    <t>11W</t>
  </si>
  <si>
    <t>20W</t>
  </si>
  <si>
    <t>36W</t>
  </si>
  <si>
    <t>39W</t>
  </si>
  <si>
    <t>45W</t>
  </si>
  <si>
    <t>50W</t>
  </si>
  <si>
    <t>55W</t>
  </si>
  <si>
    <t>60W</t>
  </si>
  <si>
    <t>70W</t>
  </si>
  <si>
    <t>83W</t>
  </si>
  <si>
    <t>100W</t>
  </si>
  <si>
    <t>Halogen MR &amp; AR111</t>
  </si>
  <si>
    <t>10W</t>
  </si>
  <si>
    <t>30W</t>
  </si>
  <si>
    <t>35W</t>
  </si>
  <si>
    <t>75W</t>
  </si>
  <si>
    <t>15W</t>
  </si>
  <si>
    <t>120W</t>
  </si>
  <si>
    <t>150W</t>
  </si>
  <si>
    <t>200W</t>
  </si>
  <si>
    <t>250W</t>
  </si>
  <si>
    <t>300W</t>
  </si>
  <si>
    <t>500W</t>
  </si>
  <si>
    <t>T12 4-foot</t>
  </si>
  <si>
    <t>T12</t>
  </si>
  <si>
    <t>4-foot 1-Lamp</t>
  </si>
  <si>
    <t>4-foot 2-Lamp</t>
  </si>
  <si>
    <t>4-foot 3-Lamp</t>
  </si>
  <si>
    <t>4-foot 4-Lamp</t>
  </si>
  <si>
    <t>4-foot 6-Lamp</t>
  </si>
  <si>
    <t>3-foot 1-Lamp</t>
  </si>
  <si>
    <t>3-foot 2-Lamp</t>
  </si>
  <si>
    <t>3-foot 3-Lamp</t>
  </si>
  <si>
    <t>3-foot 4-Lamp</t>
  </si>
  <si>
    <t>2-foot 1-Lamp</t>
  </si>
  <si>
    <t>2-foot 2-Lamp</t>
  </si>
  <si>
    <t>2-foot 3-Lamp</t>
  </si>
  <si>
    <t>2-foot 4-Lamp</t>
  </si>
  <si>
    <t>T12 Slimline 6-foot</t>
  </si>
  <si>
    <t>T12 Slimline</t>
  </si>
  <si>
    <t>8-foot 1-Lamp</t>
  </si>
  <si>
    <t>8-foot 2-Lamp</t>
  </si>
  <si>
    <t>8-foot 3-Lamp</t>
  </si>
  <si>
    <t>8-foot 4-Lamp</t>
  </si>
  <si>
    <t>6-foot 1-Lamp</t>
  </si>
  <si>
    <t>6-foot 2-Lamp</t>
  </si>
  <si>
    <t>6-foot 3-Lamp</t>
  </si>
  <si>
    <t>6-foot 4-Lamp</t>
  </si>
  <si>
    <t>T12 HO</t>
  </si>
  <si>
    <t>T8 2-foot</t>
  </si>
  <si>
    <t>1-Lamp</t>
  </si>
  <si>
    <t>T8 3-foot</t>
  </si>
  <si>
    <t>T8 4-foot (Magnetic)</t>
  </si>
  <si>
    <t>T8 4-foot (Magnetic NOT COMMON)</t>
  </si>
  <si>
    <t>5-Lamp</t>
  </si>
  <si>
    <t>6-Lamp</t>
  </si>
  <si>
    <t>8-Lamp</t>
  </si>
  <si>
    <t>T8 5-foot</t>
  </si>
  <si>
    <t>T8 6-foot (Slimline)</t>
  </si>
  <si>
    <t>T8 Slimline</t>
  </si>
  <si>
    <t>8-foot 1-Lamp/ES</t>
  </si>
  <si>
    <t>8-foot 2-Lamp/ES</t>
  </si>
  <si>
    <t>8-foot 3-Lamp/ES</t>
  </si>
  <si>
    <t>8-foot 4-Lamp/ES</t>
  </si>
  <si>
    <t>T8 4-foot HO (Electronic)</t>
  </si>
  <si>
    <t>T8 HO</t>
  </si>
  <si>
    <t>T8 4-foot (32W High Perf)</t>
  </si>
  <si>
    <t>1-Lamp/LBF</t>
  </si>
  <si>
    <t>1-Lamp/NBF</t>
  </si>
  <si>
    <t>1-Lamp/HBF</t>
  </si>
  <si>
    <t>2-Lamp/LBF</t>
  </si>
  <si>
    <t>2-Lamp/NBF</t>
  </si>
  <si>
    <t>2-Lamp/HBF</t>
  </si>
  <si>
    <t>3-Lamp/LBF</t>
  </si>
  <si>
    <t>3-Lamp/NBF</t>
  </si>
  <si>
    <t>3-Lamp/HBF</t>
  </si>
  <si>
    <t>4-Lamp/LBF</t>
  </si>
  <si>
    <t>4-Lamp/NBF</t>
  </si>
  <si>
    <t>4-Lamp/HBF</t>
  </si>
  <si>
    <t>6-Lamp/LBF</t>
  </si>
  <si>
    <t>6-Lamp/NBF</t>
  </si>
  <si>
    <t>6-Lamp/HBF</t>
  </si>
  <si>
    <t>T8 (4-foot 28W Reduced Watt)</t>
  </si>
  <si>
    <t>T8 (4-foot 28W)</t>
  </si>
  <si>
    <t>T8 (4-foot 25W)</t>
  </si>
  <si>
    <t>T5</t>
  </si>
  <si>
    <t>4-foot 25W 1-Lamp</t>
  </si>
  <si>
    <t>4-foot 25W 2-Lamp</t>
  </si>
  <si>
    <t>4-foot 28W 1-Lamp</t>
  </si>
  <si>
    <t>4-foot 28W 2-Lamp</t>
  </si>
  <si>
    <t>T5HO</t>
  </si>
  <si>
    <t>4-foot 54W 1-Lamp</t>
  </si>
  <si>
    <t>4-foot 54W 2-Lamp</t>
  </si>
  <si>
    <t>4-foot 54W 3-Lamp</t>
  </si>
  <si>
    <t>4-foot 54W 4-Lamp</t>
  </si>
  <si>
    <t>4-foot 54W 5-Lamp</t>
  </si>
  <si>
    <t>4-foot 54W 6-Lamp</t>
  </si>
  <si>
    <t>4-foot 49W 1-Lamp</t>
  </si>
  <si>
    <t>4-foot 49W 2-Lamp</t>
  </si>
  <si>
    <t>4-foot 49W 3-Lamp</t>
  </si>
  <si>
    <t>4-foot 49W 4-Lamp</t>
  </si>
  <si>
    <t>4-foot 49W 5-Lamp</t>
  </si>
  <si>
    <t>4-foot 49W 6-Lamp</t>
  </si>
  <si>
    <t>Induction</t>
  </si>
  <si>
    <t>80W</t>
  </si>
  <si>
    <t>85W</t>
  </si>
  <si>
    <t>165W</t>
  </si>
  <si>
    <t>400W</t>
  </si>
  <si>
    <t>HPS 35W</t>
  </si>
  <si>
    <t>HPS 50W</t>
  </si>
  <si>
    <t>HPS 70W</t>
  </si>
  <si>
    <t>HPS 100W</t>
  </si>
  <si>
    <t>HPS 200W</t>
  </si>
  <si>
    <t>HPS 250W</t>
  </si>
  <si>
    <t>HPS 310W</t>
  </si>
  <si>
    <t>HPS 400W</t>
  </si>
  <si>
    <t>HPS 1000W</t>
  </si>
  <si>
    <t>CMH 20W</t>
  </si>
  <si>
    <t>CMH 39W</t>
  </si>
  <si>
    <t>MH 35/39W</t>
  </si>
  <si>
    <t>CMH 50W</t>
  </si>
  <si>
    <t>MH 50W</t>
  </si>
  <si>
    <t>CMH 70W</t>
  </si>
  <si>
    <t>MH 70W</t>
  </si>
  <si>
    <t>MH 100W</t>
  </si>
  <si>
    <t>CMH 150W</t>
  </si>
  <si>
    <t>MH 150W</t>
  </si>
  <si>
    <t>MH 175W</t>
  </si>
  <si>
    <t>MH PS 200W</t>
  </si>
  <si>
    <t>MH PS 250W</t>
  </si>
  <si>
    <t>MH 300W</t>
  </si>
  <si>
    <t>MH PS 300W</t>
  </si>
  <si>
    <t>MH PS 320W</t>
  </si>
  <si>
    <t>MH PS 350W</t>
  </si>
  <si>
    <t>MH 400W Magnetic ballast</t>
  </si>
  <si>
    <t>MH 400W Electronic ballast</t>
  </si>
  <si>
    <t>MH PS 400W</t>
  </si>
  <si>
    <t>MH PS 450W</t>
  </si>
  <si>
    <t>MH PS 750W</t>
  </si>
  <si>
    <t>MH PS 875W</t>
  </si>
  <si>
    <t>MH 1000W</t>
  </si>
  <si>
    <t>MH 1500W</t>
  </si>
  <si>
    <t>Mercury Vapor</t>
  </si>
  <si>
    <t>MV, 100 Watt Lamp</t>
  </si>
  <si>
    <t>MV, 175 Watt Lamp</t>
  </si>
  <si>
    <t>MV, 250 Watt Lamp</t>
  </si>
  <si>
    <t>MV, 400 Watt Lamp</t>
  </si>
  <si>
    <t>MV, 1000 Watt Lamp</t>
  </si>
  <si>
    <t>CFL (Hardwired)</t>
  </si>
  <si>
    <t>CFL - Pin Base</t>
  </si>
  <si>
    <t>5W, 1-lamp Magnetic</t>
  </si>
  <si>
    <t>5W, 2-lamp Magnetic</t>
  </si>
  <si>
    <t>7W, 1-lamp Magnetic</t>
  </si>
  <si>
    <t>7W, 2-lamp Magnetic</t>
  </si>
  <si>
    <t>9W, 1-lamp Magnetic</t>
  </si>
  <si>
    <t>9,W, 2-lamp Magnetic</t>
  </si>
  <si>
    <t>13W, 1-lamp Magnetic</t>
  </si>
  <si>
    <t>13W, 2-lamp Magnetic</t>
  </si>
  <si>
    <t>18W, 1-lamp Magnetic</t>
  </si>
  <si>
    <t>18W, 2-lamp Magnetic</t>
  </si>
  <si>
    <t>26W, 1-lamp Magnetic</t>
  </si>
  <si>
    <t>26W, 2-lamp Magnetic</t>
  </si>
  <si>
    <t>13W, 1-lamp Electronic</t>
  </si>
  <si>
    <t>13W, 2-lamp Electronic</t>
  </si>
  <si>
    <t>18W, 1-lamp Electronic</t>
  </si>
  <si>
    <t>18W, 2-lamp Electronic</t>
  </si>
  <si>
    <t>26W, 1-lamp Electronic</t>
  </si>
  <si>
    <t>26W, 2-lamp Electronic</t>
  </si>
  <si>
    <t>32W, 1-lamp Electronic</t>
  </si>
  <si>
    <t>32W, 2-lamp Electronic</t>
  </si>
  <si>
    <t>42W, 1-lamp Electronic</t>
  </si>
  <si>
    <t>42W, 2-lamp Electronic</t>
  </si>
  <si>
    <t>Street Lighting (Pole Services)</t>
  </si>
  <si>
    <t>Street Light (43W)</t>
  </si>
  <si>
    <t>Street Light (51W)</t>
  </si>
  <si>
    <t>Street Light (52W)</t>
  </si>
  <si>
    <t>Street Light (53W)</t>
  </si>
  <si>
    <t>Street Light (60W)</t>
  </si>
  <si>
    <t>Street Light (70W)</t>
  </si>
  <si>
    <t>Street Light (73W)</t>
  </si>
  <si>
    <t>Street Light (75W)</t>
  </si>
  <si>
    <t>Street Light (99W)</t>
  </si>
  <si>
    <t>Street Light (100W)</t>
  </si>
  <si>
    <t>Street Light (102W)</t>
  </si>
  <si>
    <t>Street Light (107W)</t>
  </si>
  <si>
    <t>Street Light (133W)</t>
  </si>
  <si>
    <t>Street Light (138W)</t>
  </si>
  <si>
    <t>Street Light (151W)</t>
  </si>
  <si>
    <t>Street Light (197W)</t>
  </si>
  <si>
    <t>Street Light (198W)</t>
  </si>
  <si>
    <t>Street Light (213W)</t>
  </si>
  <si>
    <t>Street Light (260W)</t>
  </si>
  <si>
    <t>Street Light (285W)</t>
  </si>
  <si>
    <t>New Street Lighting Installation</t>
  </si>
  <si>
    <t>LED &lt; 50 watts</t>
  </si>
  <si>
    <t>LED, 50 to 5 watts</t>
  </si>
  <si>
    <t>No Existing</t>
  </si>
  <si>
    <t>Old</t>
  </si>
  <si>
    <t>Table not used ?</t>
  </si>
  <si>
    <t>TABLE C405.4.2(1)</t>
  </si>
  <si>
    <t>Control_Type_Table</t>
  </si>
  <si>
    <t>Control_Type</t>
  </si>
  <si>
    <t>Table_Rate_Schedules</t>
  </si>
  <si>
    <t>Bainbridge Island</t>
  </si>
  <si>
    <t xml:space="preserve">Commercial Lighting </t>
  </si>
  <si>
    <t>Source</t>
  </si>
  <si>
    <t># of Sites</t>
  </si>
  <si>
    <t>Annual Hours (rounded to nearest 100 for Protocol)</t>
  </si>
  <si>
    <t>Business Lighting</t>
  </si>
  <si>
    <t>Lookup_Fixture_Existing</t>
  </si>
  <si>
    <t>Lookup_Fixture_Defined_Name_Existing</t>
  </si>
  <si>
    <t>Space Heating Type</t>
  </si>
  <si>
    <t>_Heat_Type</t>
  </si>
  <si>
    <t>Interaction Factor</t>
  </si>
  <si>
    <t>Interior/Exterior</t>
  </si>
  <si>
    <t>Lookup_Type</t>
  </si>
  <si>
    <t>Short</t>
  </si>
  <si>
    <t>Column1</t>
  </si>
  <si>
    <t>INTERIOR LIGHTING POWER ALLOWANCES:</t>
  </si>
  <si>
    <t>_Lookup_Fixture_Type</t>
  </si>
  <si>
    <t>Control_Types</t>
  </si>
  <si>
    <t>Control Type</t>
  </si>
  <si>
    <t>Lookup_Rates</t>
  </si>
  <si>
    <t>Rate (11-01-17)</t>
  </si>
  <si>
    <t>Demand (11-01-17)</t>
  </si>
  <si>
    <t>2022-2023 Avoided Costs</t>
  </si>
  <si>
    <t>Lookup_Installer</t>
  </si>
  <si>
    <t>Table_Building_Type</t>
  </si>
  <si>
    <t>Lighting Specialist / EME</t>
  </si>
  <si>
    <t xml:space="preserve">Commercial 
Lighting </t>
  </si>
  <si>
    <t>2022/2023</t>
  </si>
  <si>
    <t>BI 2020</t>
  </si>
  <si>
    <t>2019 BI</t>
  </si>
  <si>
    <t>CBSA</t>
  </si>
  <si>
    <t>Component</t>
  </si>
  <si>
    <t>LED Fixture (not TLED)</t>
  </si>
  <si>
    <t>Custom_Fixtures</t>
  </si>
  <si>
    <t>Gas</t>
  </si>
  <si>
    <t>Lookup_Interior</t>
  </si>
  <si>
    <t>- Choose Interior Area -</t>
  </si>
  <si>
    <t>Controls_Interior_Basic</t>
  </si>
  <si>
    <t>BUILDING AREA METHOD</t>
  </si>
  <si>
    <t>Controls_Interior_LLLC</t>
  </si>
  <si>
    <t>Complete</t>
  </si>
  <si>
    <t>Sch 8</t>
  </si>
  <si>
    <t>- Choose Installed By -</t>
  </si>
  <si>
    <t>Lookup_Building_Type</t>
  </si>
  <si>
    <t>Alex Cimino-Hurt</t>
  </si>
  <si>
    <t>Automotive Repair</t>
  </si>
  <si>
    <t>Kit</t>
  </si>
  <si>
    <t>Version</t>
  </si>
  <si>
    <t>TLED Lamp</t>
  </si>
  <si>
    <t>Custom_TLED</t>
  </si>
  <si>
    <t>04 Low/High Bay</t>
  </si>
  <si>
    <t>Electric</t>
  </si>
  <si>
    <t>Electric Heat</t>
  </si>
  <si>
    <t>Exterior Hours exceed 4200, AND check wattages!</t>
  </si>
  <si>
    <t xml:space="preserve">Sch 11 (&lt;20,000 kWh/mo) </t>
  </si>
  <si>
    <t>Customer (Self Install)</t>
  </si>
  <si>
    <t>- Choose Building Type -</t>
  </si>
  <si>
    <t>Allen Ma</t>
  </si>
  <si>
    <t>College or University</t>
  </si>
  <si>
    <t>BPA 2015</t>
  </si>
  <si>
    <t>Expires</t>
  </si>
  <si>
    <t>Exist_T8_4ft_E</t>
  </si>
  <si>
    <t>05 Downlight</t>
  </si>
  <si>
    <t>Non Heated Space</t>
  </si>
  <si>
    <t>Non Heated</t>
  </si>
  <si>
    <t>Controls_Exterior</t>
  </si>
  <si>
    <t>Exterior Hours exceed PSE default of 4200?</t>
  </si>
  <si>
    <t xml:space="preserve">Sch 11 (&gt;20,000 kWh/mo) </t>
  </si>
  <si>
    <t>Assembly / Church</t>
  </si>
  <si>
    <t>Exterior 24 Hour Operation</t>
  </si>
  <si>
    <t>[assume 24/7]</t>
  </si>
  <si>
    <t>Signed</t>
  </si>
  <si>
    <t>06 Strip/Industrial</t>
  </si>
  <si>
    <t>Refrigerated Space</t>
  </si>
  <si>
    <t>Refrig Space</t>
  </si>
  <si>
    <t>Controls_Exterior_Basic</t>
  </si>
  <si>
    <t>CHECK wattage reduction!</t>
  </si>
  <si>
    <t>Sch 12 - Primary</t>
  </si>
  <si>
    <t>Grocery</t>
  </si>
  <si>
    <t>Austin Doutre</t>
  </si>
  <si>
    <t>Today</t>
  </si>
  <si>
    <t>07 Cooler Case</t>
  </si>
  <si>
    <t>Lookup_Exterior_Areas</t>
  </si>
  <si>
    <t>Computer Rooms</t>
  </si>
  <si>
    <t>Controls_Removed</t>
  </si>
  <si>
    <t>Not Included</t>
  </si>
  <si>
    <t>Sch 12 - Secondary</t>
  </si>
  <si>
    <t>Beth Robinweiler</t>
  </si>
  <si>
    <t>Industrial Plant with One Shift</t>
  </si>
  <si>
    <t>BPA 2015*</t>
  </si>
  <si>
    <t>CFL-LED</t>
  </si>
  <si>
    <t>LED Lamp (CFL or HID replacement)</t>
  </si>
  <si>
    <t>Custom_CFL_HID_Lamps</t>
  </si>
  <si>
    <t>Street Lights</t>
  </si>
  <si>
    <t>Street Light</t>
  </si>
  <si>
    <t>Lookup_Street</t>
  </si>
  <si>
    <t>REVISE! Interior LLLC Control not allowed with TLEDs</t>
  </si>
  <si>
    <t>Sch 24</t>
  </si>
  <si>
    <t>Chao Chen</t>
  </si>
  <si>
    <t>Industrial Plant with Three Shifts</t>
  </si>
  <si>
    <t>HID-LED</t>
  </si>
  <si>
    <t>Exist_Removed</t>
  </si>
  <si>
    <t>Horticultural</t>
  </si>
  <si>
    <t>REVISE! Control Qty must match Fixture Qty for LLLC Control</t>
  </si>
  <si>
    <t>Lookup_Submitter</t>
  </si>
  <si>
    <t>Lodging rooms</t>
  </si>
  <si>
    <t>Courtney Shaw</t>
  </si>
  <si>
    <t>Industrial Plant with Two Shifts</t>
  </si>
  <si>
    <t>TLED controls</t>
  </si>
  <si>
    <t>No_Existing</t>
  </si>
  <si>
    <t>10 Flood Light</t>
  </si>
  <si>
    <t>REVISE CONTROL TYPE! Control Type incorrect for chosen Space Type</t>
  </si>
  <si>
    <t xml:space="preserve">Sch 25 (&gt;20,000 kWh/mo) </t>
  </si>
  <si>
    <t>- Choose Submitted By -</t>
  </si>
  <si>
    <t>Multi-Family</t>
  </si>
  <si>
    <t>David Montgomery</t>
  </si>
  <si>
    <t>TLED Existing</t>
  </si>
  <si>
    <t>Exist_T8_32WHighPerf</t>
  </si>
  <si>
    <t>TLED Controls</t>
  </si>
  <si>
    <t>Ext. Occupancy Sensor</t>
  </si>
  <si>
    <t>REVISE FIXTURE! Fixture not created</t>
  </si>
  <si>
    <t>Sch 26 - Primary</t>
  </si>
  <si>
    <t>Deepa Narayanan</t>
  </si>
  <si>
    <t>Lodging</t>
  </si>
  <si>
    <t>LTO1</t>
  </si>
  <si>
    <t>IF(B9&lt;0,"Expired","Active")</t>
  </si>
  <si>
    <t>Exist_T8_28W</t>
  </si>
  <si>
    <t>REVISE SPACE TYPE! Space Type incorrect for chosen Heat Type</t>
  </si>
  <si>
    <t>Sch 26 - Secondary</t>
  </si>
  <si>
    <t>Diego Rojas</t>
  </si>
  <si>
    <t>Manufacturing</t>
  </si>
  <si>
    <t>LTO2</t>
  </si>
  <si>
    <t>IF(D6="1/0/1900","Not Signed","Active")</t>
  </si>
  <si>
    <t>Exist_T8_25W</t>
  </si>
  <si>
    <t>Exterior NLC Occupancy based</t>
  </si>
  <si>
    <t>INCOMPLETE! ALL yellow cells must be filled in.</t>
  </si>
  <si>
    <t xml:space="preserve">Sch 29 (&lt;20,000 kWh/mo) </t>
  </si>
  <si>
    <t>Other Health</t>
  </si>
  <si>
    <t>Jason Dinwiddie</t>
  </si>
  <si>
    <t>Office &lt;20,000 sf</t>
  </si>
  <si>
    <t>LTO3</t>
  </si>
  <si>
    <t>14 Street Light</t>
  </si>
  <si>
    <t>Exterior NLC Time based</t>
  </si>
  <si>
    <t xml:space="preserve">Sch 29 (&gt;20,000 kWh/mo) </t>
  </si>
  <si>
    <t>Restaurant / Food Service</t>
  </si>
  <si>
    <t>Jason Hyatt</t>
  </si>
  <si>
    <t>Office &gt;100,000 sf</t>
  </si>
  <si>
    <t>CBSA**</t>
  </si>
  <si>
    <t>Info line</t>
  </si>
  <si>
    <t>Exist_T8_4ft_Mag</t>
  </si>
  <si>
    <t>No Incentive. TLED to TLED savings less than 5 watts/lamp.</t>
  </si>
  <si>
    <t>Sch 31</t>
  </si>
  <si>
    <t>Jeff Petersen</t>
  </si>
  <si>
    <t>Office 20,000 to 100,000 sf</t>
  </si>
  <si>
    <t>Exist_Exit</t>
  </si>
  <si>
    <t>16 Other Exterior</t>
  </si>
  <si>
    <t>Sch 40-HV</t>
  </si>
  <si>
    <t>School (K-12)</t>
  </si>
  <si>
    <t>Jenny Voss</t>
  </si>
  <si>
    <t>Other Health, Nursing, Medical Clinic</t>
  </si>
  <si>
    <t>Exist_T8_2ft</t>
  </si>
  <si>
    <t>Sch 40-Primary</t>
  </si>
  <si>
    <t>Jon Fairless</t>
  </si>
  <si>
    <t>CBSA***</t>
  </si>
  <si>
    <t>Exist_T8_3ft</t>
  </si>
  <si>
    <t>CFL-LED Retrofit module</t>
  </si>
  <si>
    <t>Interior_LLLC</t>
  </si>
  <si>
    <t>Sch 40-Secondary</t>
  </si>
  <si>
    <t>Restaurant</t>
  </si>
  <si>
    <t>Exist_T8_5ft</t>
  </si>
  <si>
    <t>HID-LED Retrofit module</t>
  </si>
  <si>
    <t>Lookup_Heat_Type</t>
  </si>
  <si>
    <t>Lookup_Type_New</t>
  </si>
  <si>
    <t>Sch 43</t>
  </si>
  <si>
    <t>Leo Liu</t>
  </si>
  <si>
    <t>Retail 5,000 to 50,000 sf</t>
  </si>
  <si>
    <t>CBSA****</t>
  </si>
  <si>
    <t>Exist_T8_Slimline</t>
  </si>
  <si>
    <t>Sch 46</t>
  </si>
  <si>
    <t>Lionel Metchop</t>
  </si>
  <si>
    <t>Retail Anchor Store &gt;50,000 sf Multistory</t>
  </si>
  <si>
    <t>Exist_T8_HO</t>
  </si>
  <si>
    <t>Sch 49</t>
  </si>
  <si>
    <t>Max Rennie</t>
  </si>
  <si>
    <t>Retail Big Box &gt;50,000 sf One-Story</t>
  </si>
  <si>
    <t>Exist_T5</t>
  </si>
  <si>
    <t>Sch 5x</t>
  </si>
  <si>
    <t>Retail Boutique &lt;5,000 sf</t>
  </si>
  <si>
    <t>Exist_T5_HO</t>
  </si>
  <si>
    <t>Michelle Goldberg</t>
  </si>
  <si>
    <t>Retail Mini Mart</t>
  </si>
  <si>
    <t>Exist_T12</t>
  </si>
  <si>
    <t>Mike Morris</t>
  </si>
  <si>
    <t>Retail Supermarket</t>
  </si>
  <si>
    <t>Exist_T12_Slimline</t>
  </si>
  <si>
    <t>NC Gas</t>
  </si>
  <si>
    <t>NC Gas / Propane Heat</t>
  </si>
  <si>
    <t>Lookup_Interior_New</t>
  </si>
  <si>
    <t>Oneira Gonzalez</t>
  </si>
  <si>
    <t>School K-12</t>
  </si>
  <si>
    <t>Exist_T12_HO</t>
  </si>
  <si>
    <t>NC Electric Heat</t>
  </si>
  <si>
    <t>Peter Lillesve</t>
  </si>
  <si>
    <t>Street &amp; Area Lighting (Photo Sensor Controlled)</t>
  </si>
  <si>
    <t>[assume 12 hrs/day]</t>
  </si>
  <si>
    <t>Exist_MH</t>
  </si>
  <si>
    <t>NC Non Heated</t>
  </si>
  <si>
    <t>Green</t>
  </si>
  <si>
    <t>Qun Yu</t>
  </si>
  <si>
    <t>Exist_HPS</t>
  </si>
  <si>
    <t>NC Refrig Space</t>
  </si>
  <si>
    <t>Secondary Sidelit</t>
  </si>
  <si>
    <t>Yellow</t>
  </si>
  <si>
    <t>Richard Perlot</t>
  </si>
  <si>
    <t>Exist_Mercury_Vapor</t>
  </si>
  <si>
    <t>NC Horticultural</t>
  </si>
  <si>
    <t>Top Daylighted</t>
  </si>
  <si>
    <t>Exterior Hours exceed PSE default of 4200? Justification Required!</t>
  </si>
  <si>
    <t>Steve Ottenbreit</t>
  </si>
  <si>
    <t>*Combined Manufacturing, Ind w/ 1 shift, Ind w/ 2 shifts</t>
  </si>
  <si>
    <t>Exist_HalogenA</t>
  </si>
  <si>
    <t>TI Gas</t>
  </si>
  <si>
    <t>TI Gas / Propane Heat</t>
  </si>
  <si>
    <t>Outside of Daylight Zones</t>
  </si>
  <si>
    <t>Installed LPD exceeds LPA for the space/area - Revise!</t>
  </si>
  <si>
    <t>Taylor Pitts</t>
  </si>
  <si>
    <t>** Combined Office 20,000 to 100,000 sf with Office &gt;100,000 sf</t>
  </si>
  <si>
    <t>Projects must be completed by 12/31/2021</t>
  </si>
  <si>
    <t>Exist_HalogenPAR</t>
  </si>
  <si>
    <t>TI Electric Heat</t>
  </si>
  <si>
    <t>Exterior kWh doesn't save 5% over code, no funding - Revise!</t>
  </si>
  <si>
    <t>Red</t>
  </si>
  <si>
    <t>Tom Anderson</t>
  </si>
  <si>
    <t>*** Used Space Type "Indoor Parking Garage" across all building types</t>
  </si>
  <si>
    <t>Halogen MR/AR111</t>
  </si>
  <si>
    <t>Exist_HalogenMR</t>
  </si>
  <si>
    <t>TI Non Heated</t>
  </si>
  <si>
    <t>- Choose Exterior Area -</t>
  </si>
  <si>
    <t>Interior kWh doesn't save 5% over code, no funding - Revise!</t>
  </si>
  <si>
    <t>Tyson Schmitt</t>
  </si>
  <si>
    <t>**** Big Box only included Electronics/appliances, Hardware, Home Improvement, and Warehouse Club building types.  Other building types larger than 50,000 sf were included in Retail 5,000 to 50,000 sf.</t>
  </si>
  <si>
    <t>Exist_Incan</t>
  </si>
  <si>
    <t>TI Refrig Space</t>
  </si>
  <si>
    <t>_Control_Match</t>
  </si>
  <si>
    <t>New Control does not meet Code Requirement for the space - Revise!</t>
  </si>
  <si>
    <t>Exist_CFL</t>
  </si>
  <si>
    <t>TI Horticultural</t>
  </si>
  <si>
    <t>Interior - Switch / Breaker</t>
  </si>
  <si>
    <t>Control quantity is greater than fixture quantity - Revise!</t>
  </si>
  <si>
    <t>Exist_Induction</t>
  </si>
  <si>
    <t>Interior - Timer / Time Switch</t>
  </si>
  <si>
    <t>data from RTF "NonResidentialLighting_CSFandHOU_v2_1.xlsx"</t>
  </si>
  <si>
    <t>PoleServices</t>
  </si>
  <si>
    <t>NC Exterior</t>
  </si>
  <si>
    <t>Lookup_Exterior_New</t>
  </si>
  <si>
    <t>Exterior &amp; Interior</t>
  </si>
  <si>
    <t>Interior - Occupancy Sensor</t>
  </si>
  <si>
    <t>TI Exterior</t>
  </si>
  <si>
    <t>Interior - Interior Daylight Dimming</t>
  </si>
  <si>
    <t>Daylight controls selected but no daylight in space - Revise control</t>
  </si>
  <si>
    <t>Interior - Daylight + Occupancy</t>
  </si>
  <si>
    <t>Incorrect Control for selected SPACE type - Revise!</t>
  </si>
  <si>
    <t>Lookup_Fixture_Type_Exist</t>
  </si>
  <si>
    <t>Lookup_Fixture_Type_Defined_Name_Exist</t>
  </si>
  <si>
    <t>Controls_Interior_No_Daylight</t>
  </si>
  <si>
    <t>Interior - Interior LLLC</t>
  </si>
  <si>
    <t>businesslighting@pse.com</t>
  </si>
  <si>
    <t>Lookup_Fixture_Fluorescent</t>
  </si>
  <si>
    <t>Façade</t>
  </si>
  <si>
    <t>Exterior - Exterior Photo Control</t>
  </si>
  <si>
    <t>Lookup_Fixture_HID</t>
  </si>
  <si>
    <t>Exterior - Astronomical Time Switch</t>
  </si>
  <si>
    <t>REVISE New Fixture! Fixture edited not created</t>
  </si>
  <si>
    <t>Commercial or industrial facility or outdoor lighting receiving Electric Service under Schedules 8, 11, 24, 25, 26, 29, 31, 35, 40, 43, 46, 49, 50, 51, 52, 53, 54, 55, 57, 58, 448, 449, 458, or 459 (or their equivalent) of Electric Tariff G of the Company.  Customers on Schedule 40, 46, and 49 who are eligible for participation in the Schedule 258 Large Power User Self-Directed Program shall be required to fully utilize their Schedule 258 funding allocation prior to receiving incentives.  Funding for Customers on Schedules 448, 449, 458, &amp; 459 will be through their individual allocations under Schedule 258.</t>
  </si>
  <si>
    <t>Lookup_Fixture_Incandescent</t>
  </si>
  <si>
    <t>Exterior - Ext. Occupancy Sensor</t>
  </si>
  <si>
    <t>REVISE Existing Fixture! Fixture not created or has been edited!</t>
  </si>
  <si>
    <t>Lookup_Fixture_Induction</t>
  </si>
  <si>
    <t>Exterior - Exterior Dimming</t>
  </si>
  <si>
    <t>Any Customer, owner or tenant with appropriate owner consent, of a new construction commercial, industrial, multi-family, or mixed-end-use facility or outdoor lighting which will receive natural gas service from the Company, and/or electric service under Special Contracts, or Schedules 7A, 24, 25, 26, 31, 35, 40, 43, 46, 49, 50, 51, 52, 53, 54, 55, 57, 58, 448, 449, 458, 459 (or their equivalent) of Electric Tariff G of the Company.</t>
  </si>
  <si>
    <t>Lookup_Fixture_Exit</t>
  </si>
  <si>
    <t>Exterior - Exterior NLC Occupancy based</t>
  </si>
  <si>
    <t>REVISE SPACE TYPE! Project Type Changed</t>
  </si>
  <si>
    <t>Lookup_Existing_TLED</t>
  </si>
  <si>
    <t>Exterior - Exterior NLC Time based</t>
  </si>
  <si>
    <t>NO Existing Fixture</t>
  </si>
  <si>
    <t>Lookup_No_Existing</t>
  </si>
  <si>
    <t>Interior - Removed</t>
  </si>
  <si>
    <t>White</t>
  </si>
  <si>
    <t>Exterior - Removed</t>
  </si>
  <si>
    <t>Fixture_Type_N</t>
  </si>
  <si>
    <t>Fixture_Type_Defined_Name_New</t>
  </si>
  <si>
    <t>LED</t>
  </si>
  <si>
    <t>Fixture_Custom</t>
  </si>
  <si>
    <t>Incorrect Control for selected HEAT type - Revise!</t>
  </si>
  <si>
    <t>Fixture_Removed</t>
  </si>
  <si>
    <t>TLED's are not approved for New Construction, revise fixture!</t>
  </si>
  <si>
    <t>MULTI-FAMILY LIGHTING INCENTIVE PROGRAM</t>
  </si>
  <si>
    <t>Fixture_Exit</t>
  </si>
  <si>
    <t>REVISE SPACE TYPE! Space Type incorrect for chosen Project Type</t>
  </si>
  <si>
    <t>Multi-Family Lighting</t>
  </si>
  <si>
    <t>Muli-Family lighting projects</t>
  </si>
  <si>
    <t>Defined Name Existing</t>
  </si>
  <si>
    <t>multifamilyretrofit@pse.com</t>
  </si>
  <si>
    <t>Custom_LED</t>
  </si>
  <si>
    <t xml:space="preserve">Qualifying Electric Customers: Qualifying customers for the Multi-Family Lighting Incentive Program include any PSE customer, owner or tenant with appropriate owner consent, of a qualifying Multi-Family structure. Qualifying structures include, but are not limited to: apartments, condominium residences, senior living residences, dormitories or similar structures with five or more attached dwelling units. Services are also available in qualifying Multi-Family campuses.  </t>
  </si>
  <si>
    <t>Custom_CFL_HID_Lamp</t>
  </si>
  <si>
    <t>MF</t>
  </si>
  <si>
    <t>Lookup_Fixture_Fluorescent_Defined_Name_Existing</t>
  </si>
  <si>
    <t>T8_32WHighPerf</t>
  </si>
  <si>
    <t>T8_RW</t>
  </si>
  <si>
    <t>T8_RW25</t>
  </si>
  <si>
    <t>T_5</t>
  </si>
  <si>
    <t>T5_HO</t>
  </si>
  <si>
    <t>Hardwired_CFL</t>
  </si>
  <si>
    <t>T8_2ft</t>
  </si>
  <si>
    <t>T8_3ft</t>
  </si>
  <si>
    <t>T8_5ft</t>
  </si>
  <si>
    <t>T8_Slimline</t>
  </si>
  <si>
    <t>T8_HO</t>
  </si>
  <si>
    <t>T12_Slimline</t>
  </si>
  <si>
    <t>T12_HO</t>
  </si>
  <si>
    <t>MH</t>
  </si>
  <si>
    <t>HPS</t>
  </si>
  <si>
    <t>Mercury_Vapor</t>
  </si>
  <si>
    <t>Fixture_Incandescent</t>
  </si>
  <si>
    <t>HalogenA</t>
  </si>
  <si>
    <t>HalogenPAR</t>
  </si>
  <si>
    <t>HalogenMR</t>
  </si>
  <si>
    <t>Incan</t>
  </si>
  <si>
    <t>Fixture_Induction</t>
  </si>
  <si>
    <t>Space-by-Space areas</t>
  </si>
  <si>
    <t>2015</t>
  </si>
  <si>
    <t>2018</t>
  </si>
  <si>
    <t>Height</t>
  </si>
  <si>
    <t>Column2</t>
  </si>
  <si>
    <t>Key</t>
  </si>
  <si>
    <t>Column3</t>
  </si>
  <si>
    <t>Column4</t>
  </si>
  <si>
    <t xml:space="preserve"> LPD (w/ft2)</t>
  </si>
  <si>
    <t>Atrium: 20 to 40 ft in height</t>
  </si>
  <si>
    <t>PSE Building Type</t>
  </si>
  <si>
    <t>Atrium: above 40 ft in height</t>
  </si>
  <si>
    <t>0.03 +0.02</t>
  </si>
  <si>
    <t>Atrium: less than 20 ft in height</t>
  </si>
  <si>
    <t>Audience/seating area: auditorium</t>
  </si>
  <si>
    <t>Audience/seating area: convention center</t>
  </si>
  <si>
    <t>Audience/seating area: gymnasium</t>
  </si>
  <si>
    <t>Audience/seating area: motion picture theater</t>
  </si>
  <si>
    <t>Audience/seating area: other</t>
  </si>
  <si>
    <t>Audience/seating area: penitentiary</t>
  </si>
  <si>
    <t>Audience/seating area: performing arts theater</t>
  </si>
  <si>
    <t>Audience/seating area: religious building</t>
  </si>
  <si>
    <t>Audience/seating area: sports arena</t>
  </si>
  <si>
    <t>Banking activity area</t>
  </si>
  <si>
    <t>Classroom/lecture/training</t>
  </si>
  <si>
    <t>Classroom/lecture/training: penitentiary</t>
  </si>
  <si>
    <t>Computer room</t>
  </si>
  <si>
    <t>Conference/meeting/multipurpose</t>
  </si>
  <si>
    <t>Convention center: Exhibit space</t>
  </si>
  <si>
    <t>Copy/print room</t>
  </si>
  <si>
    <t>Corridor: all other</t>
  </si>
  <si>
    <t>Corridor</t>
  </si>
  <si>
    <t>Corridor: facility for the visually impaired</t>
  </si>
  <si>
    <t>Corridor: hospital</t>
  </si>
  <si>
    <t>Corridor: manufacturing</t>
  </si>
  <si>
    <t>Courtroom</t>
  </si>
  <si>
    <t>Dining area: all other</t>
  </si>
  <si>
    <t>Dining area: Bar/lounge/leisure dining</t>
  </si>
  <si>
    <t>Dining area: facility for the visually impaired</t>
  </si>
  <si>
    <t>Dining area: Family dining area</t>
  </si>
  <si>
    <t>Dining area: penitentiary</t>
  </si>
  <si>
    <t>Dormitory living quarters</t>
  </si>
  <si>
    <t>Electrical/mechanical</t>
  </si>
  <si>
    <t>Emergency vehicle garage</t>
  </si>
  <si>
    <t>Facility for the visually impaired: Chapel</t>
  </si>
  <si>
    <t>Facility for the visually impaired: Recreation room</t>
  </si>
  <si>
    <t>Fire stations: Engine rooms</t>
  </si>
  <si>
    <t>Fire stations: Sleeping quarters</t>
  </si>
  <si>
    <t>Food preparation</t>
  </si>
  <si>
    <t>Guest room</t>
  </si>
  <si>
    <t>Gymnasium/fitness center: Exercise area</t>
  </si>
  <si>
    <t>Gymnasium/fitness center: Exercise area (Top Lighted)</t>
  </si>
  <si>
    <t>Gymnasium/fitness center: Playing area</t>
  </si>
  <si>
    <t>Gymnasium/fitness center: Playing area (Top Lighted)</t>
  </si>
  <si>
    <t>Health care facility: Exam/treatment</t>
  </si>
  <si>
    <t>Health care facility: Imaging room</t>
  </si>
  <si>
    <t>Health care facility: Medical supplies</t>
  </si>
  <si>
    <t>Health care facility: Nurse station</t>
  </si>
  <si>
    <t>Health care facility: Nursery</t>
  </si>
  <si>
    <t>Health care facility: Operating room</t>
  </si>
  <si>
    <t>Health care facility: Patient room</t>
  </si>
  <si>
    <t>Health care facility: Physical therapy</t>
  </si>
  <si>
    <t>Health care facility: Recovery</t>
  </si>
  <si>
    <t>Laboratory for classrooms</t>
  </si>
  <si>
    <t>Laboratory for medical/industrial/research</t>
  </si>
  <si>
    <t>Laundry/washing area</t>
  </si>
  <si>
    <t>Library: Reading area</t>
  </si>
  <si>
    <t>Library: Stacks</t>
  </si>
  <si>
    <t>Loading dock, interior</t>
  </si>
  <si>
    <t>Lobby: all other</t>
  </si>
  <si>
    <t>Lobby: elevator</t>
  </si>
  <si>
    <t>Lobby: facility for the visually impaired</t>
  </si>
  <si>
    <t>Lobby: hotel</t>
  </si>
  <si>
    <t>Lobby: motion picture theater</t>
  </si>
  <si>
    <t>Lobby: performing arts theater</t>
  </si>
  <si>
    <t>Locker room</t>
  </si>
  <si>
    <t>Lounge/breakroom: all other</t>
  </si>
  <si>
    <t>Breakroom</t>
  </si>
  <si>
    <t>Lounge/breakroom: health care facility</t>
  </si>
  <si>
    <t>Manufacturing: Detailed manufacturing</t>
  </si>
  <si>
    <t>Manufacturing: Equipment room</t>
  </si>
  <si>
    <t>Manufacturing: Extra high bay (&gt; 50 ft floor-ceiling ht.)</t>
  </si>
  <si>
    <t>Manufacturing: Extra high bay (Top Lighted)</t>
  </si>
  <si>
    <t>Manufacturing: High bay (25 ‑ 50 ft floor-ceiling ht.)</t>
  </si>
  <si>
    <t>Manufacturing: High bay (Top Lighted)</t>
  </si>
  <si>
    <t>Manufacturing: Low bay (&lt; 25 ft floor-ceiling ht.)</t>
  </si>
  <si>
    <t>Manufacturing: Low bay (Top Lighted)</t>
  </si>
  <si>
    <t>Museum: General exhibition</t>
  </si>
  <si>
    <t>Museum: Restoration</t>
  </si>
  <si>
    <t>Office: Enclosed</t>
  </si>
  <si>
    <t>Office: Open plan</t>
  </si>
  <si>
    <t>Parking area, interior</t>
  </si>
  <si>
    <t xml:space="preserve">Performing arts theater: Dressing/fitting room </t>
  </si>
  <si>
    <t>Pharmacy area</t>
  </si>
  <si>
    <t>Post office: Sorting area</t>
  </si>
  <si>
    <t>Religious building: Fellowship hall</t>
  </si>
  <si>
    <t>Religious building: Worship pulpit/choir</t>
  </si>
  <si>
    <t>Restroom: all other</t>
  </si>
  <si>
    <t>Restroom: facility for the visually impaired</t>
  </si>
  <si>
    <t>Retail: Dressing/fitting area</t>
  </si>
  <si>
    <t>Retail: Mall concourse</t>
  </si>
  <si>
    <t>Sales area</t>
  </si>
  <si>
    <t>Sales area (Top Lighted)</t>
  </si>
  <si>
    <t>Seating area, general</t>
  </si>
  <si>
    <t>Sports arena: Court sports area ‑ Class 1</t>
  </si>
  <si>
    <t>Sports arena: Court sports area ‑ Class 2</t>
  </si>
  <si>
    <t>Sports arena: Court sports area ‑ Class 3</t>
  </si>
  <si>
    <t>Sports arena: Court sports area ‑ Class 4</t>
  </si>
  <si>
    <t>Stairwell</t>
  </si>
  <si>
    <t>Storage room</t>
  </si>
  <si>
    <t>Transportation: Airport concourse</t>
  </si>
  <si>
    <t>Transportation: Baggage/carousel area</t>
  </si>
  <si>
    <t>Transportation: Terminal ‑ Ticket counter</t>
  </si>
  <si>
    <t>Vehicular maintenance</t>
  </si>
  <si>
    <t>Warehouse: Medium/bulky palletized items</t>
  </si>
  <si>
    <t>Warehouse: Medium/bulky palletized items (Top Lighted)</t>
  </si>
  <si>
    <t>Warehouse: Smaller, hand carried items</t>
  </si>
  <si>
    <t>Warehouse: Smaller, hand carried items (Top Lighted)</t>
  </si>
  <si>
    <t>Column5</t>
  </si>
  <si>
    <t>Base Site Allowance</t>
  </si>
  <si>
    <t>Parking areas and drives</t>
  </si>
  <si>
    <t>Walkways and ramps less than 10 feet wide</t>
  </si>
  <si>
    <t>Walkways and ramps 10 feet wide or greater, plaza areas special feature areas</t>
  </si>
  <si>
    <t>Dining areas</t>
  </si>
  <si>
    <t>Landscaping</t>
  </si>
  <si>
    <t>Pedestrian and vehicular entrances and exists</t>
  </si>
  <si>
    <t>Loading docks</t>
  </si>
  <si>
    <t>Sales Canopies - Free-standing and attached</t>
  </si>
  <si>
    <t>Outdoor Sales - Open areas (including vehicle sales lots)</t>
  </si>
  <si>
    <t>Outdoor Sales - Street frontage for vehicle sales</t>
  </si>
  <si>
    <t>Space/Area</t>
  </si>
  <si>
    <t>Int/Ext</t>
  </si>
  <si>
    <t>2019</t>
  </si>
  <si>
    <t>Control Group</t>
  </si>
  <si>
    <t>Control Space</t>
  </si>
  <si>
    <t>Interior Atrium: 20 to 40 ft in height</t>
  </si>
  <si>
    <t>Interior Atrium: above 40 ft in height</t>
  </si>
  <si>
    <t>Interior Atrium: less than 20 ft in height</t>
  </si>
  <si>
    <t>Interior Audience/seating area: auditorium</t>
  </si>
  <si>
    <t>Interior Audience/seating area: convention center</t>
  </si>
  <si>
    <t>Interior Audience/seating area: gymnasium</t>
  </si>
  <si>
    <t>Interior Audience/seating area: motion picture theater</t>
  </si>
  <si>
    <t>Interior Audience/seating area: other</t>
  </si>
  <si>
    <t>Interior Audience/seating area: penitentiary</t>
  </si>
  <si>
    <t>Interior Audience/seating area: performing arts theater</t>
  </si>
  <si>
    <t>Interior Audience/seating area: religious building</t>
  </si>
  <si>
    <t>Interior Audience/seating area: sports arena</t>
  </si>
  <si>
    <t>Interior Banking activity area</t>
  </si>
  <si>
    <t>Interior Classroom/lecture/training</t>
  </si>
  <si>
    <t>Interior Classroom/lecture/training: penitentiary</t>
  </si>
  <si>
    <t>Interior Computer room</t>
  </si>
  <si>
    <t>Interior Conference/meeting/multipurpose</t>
  </si>
  <si>
    <t>Interior Convention center: Exhibit space</t>
  </si>
  <si>
    <t>Interior Copy/print room</t>
  </si>
  <si>
    <t>Interior Corridor: all other</t>
  </si>
  <si>
    <t>Interior Corridor: facility for the visually impaired</t>
  </si>
  <si>
    <t>Interior Corridor: hospital</t>
  </si>
  <si>
    <t>Interior Corridor: manufacturing</t>
  </si>
  <si>
    <t>Interior Courtroom</t>
  </si>
  <si>
    <t>Interior Dining area: all other</t>
  </si>
  <si>
    <t>Interior Dining area: Bar/lounge/leisure dining</t>
  </si>
  <si>
    <t>Interior Dining area: facility for the visually impaired</t>
  </si>
  <si>
    <t>Interior Dining area: Family dining area</t>
  </si>
  <si>
    <t>Interior Dining area: penitentiary</t>
  </si>
  <si>
    <t>Interior Dormitory living quarters</t>
  </si>
  <si>
    <t>Interior Electrical/mechanical</t>
  </si>
  <si>
    <t>Interior Emergency vehicle garage</t>
  </si>
  <si>
    <t>Interior Facility for the visually impaired: Chapel</t>
  </si>
  <si>
    <t>Interior Facility for the visually impaired: Recreation room</t>
  </si>
  <si>
    <t>Interior Fire stations: Engine rooms</t>
  </si>
  <si>
    <t>Interior Fire stations: Sleeping quarters</t>
  </si>
  <si>
    <t>Interior Food preparation</t>
  </si>
  <si>
    <t>Interior Guest room</t>
  </si>
  <si>
    <t>Interior Gymnasium/fitness center: Exercise area</t>
  </si>
  <si>
    <t>Interior Gymnasium/fitness center: Exercise area (Top Lighted)</t>
  </si>
  <si>
    <t>Interior Gymnasium/fitness center: Playing area</t>
  </si>
  <si>
    <t>Interior Gymnasium/fitness center: Playing area (Top Lighted)</t>
  </si>
  <si>
    <t>Interior Health care facility: Exam/treatment</t>
  </si>
  <si>
    <t>Interior Health care facility: Imaging room</t>
  </si>
  <si>
    <t>Interior Health care facility: Medical supplies</t>
  </si>
  <si>
    <t>Interior Health care facility: Nurse station</t>
  </si>
  <si>
    <t>Interior Health care facility: Nursery</t>
  </si>
  <si>
    <t>Interior Health care facility: Operating room</t>
  </si>
  <si>
    <t>Interior Health care facility: Patient room</t>
  </si>
  <si>
    <t>Interior Health care facility: Physical therapy</t>
  </si>
  <si>
    <t>Interior Health care facility: Recovery</t>
  </si>
  <si>
    <t>Interior Laboratory for classrooms</t>
  </si>
  <si>
    <t>Interior Laboratory for medical/industrial/research</t>
  </si>
  <si>
    <t>Interior Laundry/washing area</t>
  </si>
  <si>
    <t>Interior Library: Reading area</t>
  </si>
  <si>
    <t>Interior Library: Stacks</t>
  </si>
  <si>
    <t>Interior Loading dock, interior</t>
  </si>
  <si>
    <t>Interior Lobby: all other</t>
  </si>
  <si>
    <t>Interior Lobby: elevator</t>
  </si>
  <si>
    <t>Interior Lobby: facility for the visually impaired</t>
  </si>
  <si>
    <t>Interior Lobby: hotel</t>
  </si>
  <si>
    <t>Interior Lobby: motion picture theater</t>
  </si>
  <si>
    <t>Interior Lobby: performing arts theater</t>
  </si>
  <si>
    <t>Interior Locker room</t>
  </si>
  <si>
    <t>Interior Lounge/breakroom: all other</t>
  </si>
  <si>
    <t>Interior Lounge/breakroom: health care facility</t>
  </si>
  <si>
    <t>Interior Manufacturing: Detailed manufacturing</t>
  </si>
  <si>
    <t>Interior Manufacturing: Equipment room</t>
  </si>
  <si>
    <t>Interior Manufacturing: Extra high bay (&gt; 50 ft floor-ceiling ht.)</t>
  </si>
  <si>
    <t>Interior Manufacturing: Extra high bay (Top Lighted)</t>
  </si>
  <si>
    <t>Interior Manufacturing: High bay (25 ‑ 50 ft floor-ceiling ht.)</t>
  </si>
  <si>
    <t>Interior Manufacturing: High bay (Top Lighted)</t>
  </si>
  <si>
    <t>Interior Manufacturing: Low bay (&lt; 25 ft floor-ceiling ht.)</t>
  </si>
  <si>
    <t>Interior Manufacturing: Low bay (Top Lighted)</t>
  </si>
  <si>
    <t>Interior Museum: General exhibition</t>
  </si>
  <si>
    <t>Interior Museum: Restoration</t>
  </si>
  <si>
    <t>Interior Office: Enclosed</t>
  </si>
  <si>
    <t>Interior Office: Open plan</t>
  </si>
  <si>
    <t>Interior Parking area, interior</t>
  </si>
  <si>
    <t xml:space="preserve">Interior Performing arts theater: Dressing/fitting room </t>
  </si>
  <si>
    <t>Interior Pharmacy area</t>
  </si>
  <si>
    <t>Interior Post office: Sorting area</t>
  </si>
  <si>
    <t>Interior Religious building: Fellowship hall</t>
  </si>
  <si>
    <t>Interior Religious building: Worship pulpit/choir</t>
  </si>
  <si>
    <t>Interior Restroom: all other</t>
  </si>
  <si>
    <t>Interior Restroom: facility for the visually impaired</t>
  </si>
  <si>
    <t>Interior Retail: Dressing/fitting area</t>
  </si>
  <si>
    <t>Interior Retail: Mall concourse</t>
  </si>
  <si>
    <t>Interior Sales area</t>
  </si>
  <si>
    <t>Interior Sales area (Top Lighted)</t>
  </si>
  <si>
    <t>Interior Seating area, general</t>
  </si>
  <si>
    <t>Interior Sports arena: Court sports area ‑ Class 1</t>
  </si>
  <si>
    <t>Interior Sports arena: Court sports area ‑ Class 2</t>
  </si>
  <si>
    <t>Interior Sports arena: Court sports area ‑ Class 3</t>
  </si>
  <si>
    <t>Interior Sports arena: Court sports area ‑ Class 4</t>
  </si>
  <si>
    <t>Interior Stairwell</t>
  </si>
  <si>
    <t>Interior Storage room</t>
  </si>
  <si>
    <t>Interior Transportation: Airport concourse</t>
  </si>
  <si>
    <t>Interior Transportation: Baggage/carousel area</t>
  </si>
  <si>
    <t>Interior Transportation: Terminal ‑ Ticket counter</t>
  </si>
  <si>
    <t>Interior Vehicular maintenance</t>
  </si>
  <si>
    <t>Interior Warehouse: Medium/bulky palletized items</t>
  </si>
  <si>
    <t>Interior Warehouse: Medium/bulky palletized items (Top Lighted)</t>
  </si>
  <si>
    <t>Interior Warehouse: Smaller, hand carried items</t>
  </si>
  <si>
    <t>Interior Warehouse: Smaller, hand carried items (Top Lighted)</t>
  </si>
  <si>
    <t>Interior Workshop</t>
  </si>
  <si>
    <t>Interior Assembly</t>
  </si>
  <si>
    <t>Interior Break Room</t>
  </si>
  <si>
    <t>Interior Classroom</t>
  </si>
  <si>
    <t>Interior Computer Rooms</t>
  </si>
  <si>
    <t>Interior Conference Room</t>
  </si>
  <si>
    <t>Interior Dining</t>
  </si>
  <si>
    <t>Interior Gymnasium</t>
  </si>
  <si>
    <t>Interior Hallway</t>
  </si>
  <si>
    <t>Interior Hospital Room</t>
  </si>
  <si>
    <t>Interior Industrial</t>
  </si>
  <si>
    <t>Interior Kitchen</t>
  </si>
  <si>
    <t>Interior Library</t>
  </si>
  <si>
    <t>Interior Lobby</t>
  </si>
  <si>
    <t>Interior Lodging (Guest Rooms)</t>
  </si>
  <si>
    <t>Interior Open Office</t>
  </si>
  <si>
    <t>Interior Other</t>
  </si>
  <si>
    <t>Interior Parking Garage</t>
  </si>
  <si>
    <t>Interior Private Office</t>
  </si>
  <si>
    <t>Interior Process</t>
  </si>
  <si>
    <t>Interior Public Assembly</t>
  </si>
  <si>
    <t>Interior Restroom</t>
  </si>
  <si>
    <t>Interior Retail</t>
  </si>
  <si>
    <t>Interior Stairs</t>
  </si>
  <si>
    <t>Interior Storage</t>
  </si>
  <si>
    <t>Interior Technical Area</t>
  </si>
  <si>
    <t>Interior Warehouse</t>
  </si>
  <si>
    <t>Interior Warehouse (Top Lighted)</t>
  </si>
  <si>
    <t>Exterior Base Site Allowance</t>
  </si>
  <si>
    <t>Exterior Parking areas and drives</t>
  </si>
  <si>
    <t>Exterior Walkways and ramps less than 10 feet wide</t>
  </si>
  <si>
    <t>Exterior Walkways and ramps 10 feet wide or greater, plaza areas special feature areas</t>
  </si>
  <si>
    <t>Exterior Dining</t>
  </si>
  <si>
    <t>Exterior Stairways</t>
  </si>
  <si>
    <t>Exterior Pedestrian tunnels</t>
  </si>
  <si>
    <t>Exterior Landscaping</t>
  </si>
  <si>
    <t>Exterior Pedestrian and vehicular entrances and exists</t>
  </si>
  <si>
    <t>Exterior Entry canopies</t>
  </si>
  <si>
    <t>Exterior Loading docks</t>
  </si>
  <si>
    <t>Exterior Sales Canopies - Free-standing and attached</t>
  </si>
  <si>
    <t>Exterior Outdoor Sales - Open areas (including vehicle sales lots)</t>
  </si>
  <si>
    <t>Exterior Outdoor Sales - Street frontage for vehicle sales</t>
  </si>
  <si>
    <t>Street Frontage</t>
  </si>
  <si>
    <t>Exterior Building facades</t>
  </si>
  <si>
    <t>Exterior Parking and drives</t>
  </si>
  <si>
    <t>Exterior Walkways and Plaza</t>
  </si>
  <si>
    <t>Exterior Sales Canopies</t>
  </si>
  <si>
    <t>Exterior Outdoor Sales</t>
  </si>
  <si>
    <t>Exterior Other Exterior Area</t>
  </si>
  <si>
    <t>Exterior Street</t>
  </si>
  <si>
    <t>Only Fill Out if you have a LOA from the Customer. 
Not Typical!</t>
  </si>
  <si>
    <t>Entry canopy</t>
  </si>
  <si>
    <t>Commercial and Industrial projects, Lighting Only Tenant Improvements projects &amp; Lighting Only New Construction projects</t>
  </si>
  <si>
    <r>
      <rPr>
        <b/>
        <sz val="12"/>
        <rFont val="Calibri"/>
        <family val="2"/>
        <scheme val="minor"/>
      </rPr>
      <t>PSE Approval:</t>
    </r>
    <r>
      <rPr>
        <sz val="12"/>
        <color rgb="FFFF0000"/>
        <rFont val="Calibri"/>
        <family val="2"/>
        <scheme val="minor"/>
      </rPr>
      <t xml:space="preserve"> PSE requires that all projects be submitted for approval before the retrofit is started to verify the existing conditions through a pre-Inspection.</t>
    </r>
  </si>
  <si>
    <t xml:space="preserve">PSE reserves the right to reject the project if the existing lighting is removed before pre-inspection and PSE approval.  </t>
  </si>
  <si>
    <r>
      <rPr>
        <b/>
        <sz val="12"/>
        <rFont val="Calibri"/>
        <family val="2"/>
        <scheme val="minor"/>
      </rPr>
      <t>PSE Approval:</t>
    </r>
    <r>
      <rPr>
        <sz val="12"/>
        <color rgb="FFFF0000"/>
        <rFont val="Calibri"/>
        <family val="2"/>
        <scheme val="minor"/>
      </rPr>
      <t xml:space="preserve"> Pre-inspection before work is started is not required but drawings showing each space and the square footage of each space is required </t>
    </r>
  </si>
  <si>
    <t xml:space="preserve">PSE reserves the right inspect to confirm the building square footage is accurately represented on the application.  </t>
  </si>
  <si>
    <r>
      <rPr>
        <sz val="11"/>
        <color theme="1"/>
        <rFont val="Calibri"/>
        <family val="2"/>
      </rPr>
      <t xml:space="preserve">● </t>
    </r>
    <r>
      <rPr>
        <sz val="11"/>
        <color theme="1"/>
        <rFont val="Calibri"/>
        <family val="2"/>
        <scheme val="minor"/>
      </rPr>
      <t xml:space="preserve">This </t>
    </r>
    <r>
      <rPr>
        <u/>
        <sz val="11"/>
        <color theme="1"/>
        <rFont val="Calibri"/>
        <family val="2"/>
        <scheme val="minor"/>
      </rPr>
      <t>completed</t>
    </r>
    <r>
      <rPr>
        <sz val="11"/>
        <color theme="1"/>
        <rFont val="Calibri"/>
        <family val="2"/>
        <scheme val="minor"/>
      </rPr>
      <t xml:space="preserve"> Excel application </t>
    </r>
  </si>
  <si>
    <r>
      <rPr>
        <sz val="11"/>
        <color theme="1"/>
        <rFont val="Calibri"/>
        <family val="2"/>
      </rPr>
      <t xml:space="preserve">● </t>
    </r>
    <r>
      <rPr>
        <sz val="11"/>
        <color theme="1"/>
        <rFont val="Calibri"/>
        <family val="2"/>
        <scheme val="minor"/>
      </rPr>
      <t>Signed pdf of Customer Authorization tab</t>
    </r>
  </si>
  <si>
    <t>● Tenant Improvement &amp; New Construction projects - Drawings showing the square footage of each space</t>
  </si>
  <si>
    <t>PSE is required to do a Total Resource Cost (TRC) test which looks at the overall project cost effectiveness. 
The TRC may lower your incentive payment.</t>
  </si>
  <si>
    <r>
      <t>All</t>
    </r>
    <r>
      <rPr>
        <b/>
        <sz val="11"/>
        <color theme="1"/>
        <rFont val="Calibri"/>
        <family val="2"/>
        <scheme val="minor"/>
      </rPr>
      <t xml:space="preserve"> "Screw-in LED Lamps"</t>
    </r>
    <r>
      <rPr>
        <sz val="11"/>
        <color theme="1"/>
        <rFont val="Calibri"/>
        <family val="2"/>
        <scheme val="minor"/>
      </rPr>
      <t xml:space="preserve"> and </t>
    </r>
    <r>
      <rPr>
        <b/>
        <sz val="11"/>
        <color theme="1"/>
        <rFont val="Calibri"/>
        <family val="2"/>
        <scheme val="minor"/>
      </rPr>
      <t>"MR LED lamps"</t>
    </r>
    <r>
      <rPr>
        <sz val="11"/>
        <color theme="1"/>
        <rFont val="Calibri"/>
        <family val="2"/>
        <scheme val="minor"/>
      </rPr>
      <t xml:space="preserve"> replacing incandescent or CFL screw-in lamps  </t>
    </r>
  </si>
  <si>
    <r>
      <rPr>
        <b/>
        <sz val="11"/>
        <color theme="1"/>
        <rFont val="Calibri"/>
        <family val="2"/>
        <scheme val="minor"/>
      </rPr>
      <t>TLED</t>
    </r>
    <r>
      <rPr>
        <sz val="11"/>
        <color theme="1"/>
        <rFont val="Calibri"/>
        <family val="2"/>
        <scheme val="minor"/>
      </rPr>
      <t xml:space="preserve"> </t>
    </r>
    <r>
      <rPr>
        <b/>
        <sz val="11"/>
        <color theme="1"/>
        <rFont val="Calibri"/>
        <family val="2"/>
        <scheme val="minor"/>
      </rPr>
      <t>Lamps of any length</t>
    </r>
    <r>
      <rPr>
        <sz val="11"/>
        <color theme="1"/>
        <rFont val="Calibri"/>
        <family val="2"/>
        <scheme val="minor"/>
      </rPr>
      <t xml:space="preserve"> that are either Plug and Play, Ballast ByPass, or External Driver (or combination thereof) are incentivized when  </t>
    </r>
  </si>
  <si>
    <r>
      <t xml:space="preserve">is </t>
    </r>
    <r>
      <rPr>
        <i/>
        <u/>
        <sz val="11"/>
        <color rgb="FFFF0000"/>
        <rFont val="Calibri"/>
        <family val="2"/>
        <scheme val="minor"/>
      </rPr>
      <t>NOT</t>
    </r>
    <r>
      <rPr>
        <i/>
        <sz val="11"/>
        <color rgb="FFFF0000"/>
        <rFont val="Calibri"/>
        <family val="2"/>
        <scheme val="minor"/>
      </rPr>
      <t xml:space="preserve"> received from the distributor at point of sale. The </t>
    </r>
    <r>
      <rPr>
        <i/>
        <u/>
        <sz val="11"/>
        <color rgb="FFFF0000"/>
        <rFont val="Calibri"/>
        <family val="2"/>
        <scheme val="minor"/>
      </rPr>
      <t>Distributor receipt is required</t>
    </r>
    <r>
      <rPr>
        <i/>
        <sz val="11"/>
        <color rgb="FFFF0000"/>
        <rFont val="Calibri"/>
        <family val="2"/>
        <scheme val="minor"/>
      </rPr>
      <t xml:space="preserve"> to be submitted to verify that </t>
    </r>
  </si>
  <si>
    <t>Spec sheets must clearly state that the lamp is an HID replacement.</t>
  </si>
  <si>
    <t>Spec sheet must clearly show input watts, UL or equal listing and power factor.</t>
  </si>
  <si>
    <t>The distributor receipt is required to be submitted to verify that the Lighting To Go incentive was not received from the distributor.</t>
  </si>
  <si>
    <t xml:space="preserve">Lighting Components are an LED module(s), driver(s), sockets etc. that are individually field installed and not wired together and assembled by a lighting manufacturer. </t>
  </si>
  <si>
    <r>
      <t xml:space="preserve">LLLC Bonus </t>
    </r>
    <r>
      <rPr>
        <sz val="11"/>
        <color rgb="FF000000"/>
        <rFont val="Calibri"/>
        <family val="2"/>
        <scheme val="minor"/>
      </rPr>
      <t>- PSE will incentivize each LLLC fixture at $75</t>
    </r>
  </si>
  <si>
    <t>LLLC fixtures must be approved by PSE to receive the bonus and must meet the following:</t>
  </si>
  <si>
    <t>Exterior NLC fixtures must be approved by PSE to receive the bonus and must meet the following:</t>
  </si>
  <si>
    <t>the manufacturers specification sheet:</t>
  </si>
  <si>
    <t>PSE reserves the option of requiring LM79 or LM80 for any fixture.</t>
  </si>
  <si>
    <t>Required</t>
  </si>
  <si>
    <t>Recommended CRI ratings</t>
  </si>
  <si>
    <r>
      <rPr>
        <b/>
        <sz val="11"/>
        <color rgb="FF006666"/>
        <rFont val="Calibri"/>
        <family val="2"/>
        <scheme val="minor"/>
      </rPr>
      <t xml:space="preserve">LED Exit Signs: </t>
    </r>
    <r>
      <rPr>
        <sz val="11"/>
        <color theme="1"/>
        <rFont val="Calibri"/>
        <family val="2"/>
        <scheme val="minor"/>
      </rPr>
      <t xml:space="preserve">Exit signs must be replacing an existing CFL or incandescent exit sign </t>
    </r>
  </si>
  <si>
    <r>
      <rPr>
        <b/>
        <sz val="11"/>
        <color rgb="FF006666"/>
        <rFont val="Calibri"/>
        <family val="2"/>
        <scheme val="minor"/>
      </rPr>
      <t xml:space="preserve">Lighting Controls: </t>
    </r>
    <r>
      <rPr>
        <sz val="11"/>
        <color theme="1"/>
        <rFont val="Calibri"/>
        <family val="2"/>
        <scheme val="minor"/>
      </rPr>
      <t>Defined as commercial grade occupancy sensors, timers, photocells, and dimmers.</t>
    </r>
  </si>
  <si>
    <t>Name, (first and last)</t>
  </si>
  <si>
    <r>
      <t xml:space="preserve">This page lists existing and new lighting fixtures / lamps that have been created for later use on the </t>
    </r>
    <r>
      <rPr>
        <u/>
        <sz val="11"/>
        <color theme="1"/>
        <rFont val="Calibri"/>
        <family val="2"/>
        <scheme val="minor"/>
      </rPr>
      <t>Installations tab.</t>
    </r>
    <r>
      <rPr>
        <sz val="11"/>
        <color theme="1"/>
        <rFont val="Calibri"/>
        <family val="2"/>
        <scheme val="minor"/>
      </rPr>
      <t xml:space="preserve"> 
To create the fixtures click on the </t>
    </r>
    <r>
      <rPr>
        <u/>
        <sz val="11"/>
        <color rgb="FFFF0000"/>
        <rFont val="Calibri"/>
        <family val="2"/>
        <scheme val="minor"/>
      </rPr>
      <t>links</t>
    </r>
    <r>
      <rPr>
        <sz val="11"/>
        <color rgb="FFFF0000"/>
        <rFont val="Calibri"/>
        <family val="2"/>
        <scheme val="minor"/>
      </rPr>
      <t xml:space="preserve"> </t>
    </r>
    <r>
      <rPr>
        <sz val="11"/>
        <rFont val="Calibri"/>
        <family val="2"/>
        <scheme val="minor"/>
      </rPr>
      <t>below</t>
    </r>
    <r>
      <rPr>
        <sz val="11"/>
        <color theme="1"/>
        <rFont val="Calibri"/>
        <family val="2"/>
        <scheme val="minor"/>
      </rPr>
      <t>. After you have created the fixtures they will be shown below and you can use them in your installations.
Existing LED fixtures must be created in the "Create /Edit New Fixtures" list. Then select "Yes" to use as an existing fixture.</t>
    </r>
  </si>
  <si>
    <t>quanty on installations tab</t>
  </si>
  <si>
    <t>Misc.</t>
  </si>
  <si>
    <t>PAYEE name (first and last)</t>
  </si>
  <si>
    <t>As Participant I agree to submit for payment or authorize my representative to submit for payment once ALL products are installed and operating.
This PAYEE information is required before PSE can send the Conservation Grant Agreement to the customer and participant for signature and before any work can start on the project.</t>
  </si>
  <si>
    <t>There are two ways to receive the PSE Energy Conservation Incentive:</t>
  </si>
  <si>
    <r>
      <rPr>
        <sz val="11"/>
        <color theme="1"/>
        <rFont val="Calibri"/>
        <family val="2"/>
      </rPr>
      <t>1.</t>
    </r>
    <r>
      <rPr>
        <sz val="10.55"/>
        <color theme="1"/>
        <rFont val="Calibri"/>
        <family val="2"/>
      </rPr>
      <t xml:space="preserve"> </t>
    </r>
    <r>
      <rPr>
        <sz val="11"/>
        <color theme="1"/>
        <rFont val="Calibri"/>
        <family val="2"/>
        <scheme val="minor"/>
      </rPr>
      <t xml:space="preserve">Customer is the payee and receives the incentive by one of the following: </t>
    </r>
  </si>
  <si>
    <r>
      <rPr>
        <sz val="11"/>
        <color theme="1"/>
        <rFont val="Calibri"/>
        <family val="2"/>
      </rPr>
      <t>2.</t>
    </r>
    <r>
      <rPr>
        <sz val="10.55"/>
        <color theme="1"/>
        <rFont val="Calibri"/>
        <family val="2"/>
      </rPr>
      <t xml:space="preserve"> </t>
    </r>
    <r>
      <rPr>
        <sz val="11"/>
        <color theme="1"/>
        <rFont val="Calibri"/>
        <family val="2"/>
        <scheme val="minor"/>
      </rPr>
      <t>Third party (contractor/vendor/other) is the payee and receives the incentive.</t>
    </r>
  </si>
  <si>
    <t>RETROFIT</t>
  </si>
  <si>
    <t>Ext. NLC</t>
  </si>
  <si>
    <t>OC</t>
  </si>
  <si>
    <t>hours</t>
  </si>
  <si>
    <t>DSM Form 1 / Lighting Workbook Job Aid</t>
  </si>
  <si>
    <t>Primary Customer Contact  Person:</t>
  </si>
  <si>
    <t>Estimated Cost:</t>
  </si>
  <si>
    <t>Tell us about your project:</t>
  </si>
  <si>
    <t>Estimated Energy Savings:</t>
  </si>
  <si>
    <t>Estimated Start Date:</t>
  </si>
  <si>
    <t>Library Measure Life kWh:</t>
  </si>
  <si>
    <t>Savings % of base:</t>
  </si>
  <si>
    <t>Estimated Completion Date</t>
  </si>
  <si>
    <t>Project Owner</t>
  </si>
  <si>
    <t>Yearly Hours</t>
  </si>
  <si>
    <t>Estimate Completion Date</t>
  </si>
  <si>
    <t>Business Name: *</t>
  </si>
  <si>
    <t>Vendor Maintenance Number</t>
  </si>
  <si>
    <t>Mailing Address</t>
  </si>
  <si>
    <t>SAP Vendor Information</t>
  </si>
  <si>
    <t>Primary Customer Contact Person</t>
  </si>
  <si>
    <t>Primary Customer Contact Email</t>
  </si>
  <si>
    <t>Primary Customer Contact Phone</t>
  </si>
  <si>
    <t>Secondary Contact (if different than above)</t>
  </si>
  <si>
    <t>Secondary Contact Email (if different than above)</t>
  </si>
  <si>
    <t>Secondary Contact Phone (if different than above)</t>
  </si>
  <si>
    <t>Project Folder on H</t>
  </si>
  <si>
    <t>PSE Business Types</t>
  </si>
  <si>
    <t>Vendor Information</t>
  </si>
  <si>
    <t>Partner</t>
  </si>
  <si>
    <t>Enter "optional" Vendor / Other contact info below</t>
  </si>
  <si>
    <t>Submitting Company</t>
  </si>
  <si>
    <t>Installer</t>
  </si>
  <si>
    <t>(Consumption Report) Annual kWh: *</t>
  </si>
  <si>
    <t>Payment Choice: *</t>
  </si>
  <si>
    <t>Are you revising an existing grant?: *</t>
  </si>
  <si>
    <t>Grant Type: *</t>
  </si>
  <si>
    <t>not required</t>
  </si>
  <si>
    <r>
      <t xml:space="preserve">Project Information  - From the Application </t>
    </r>
    <r>
      <rPr>
        <b/>
        <i/>
        <sz val="11"/>
        <color theme="0"/>
        <rFont val="Calibri"/>
        <family val="2"/>
        <scheme val="minor"/>
      </rPr>
      <t>(may all be different after Customer lookup is done in DSMc)</t>
    </r>
  </si>
  <si>
    <t>NEI =</t>
  </si>
  <si>
    <t>None</t>
  </si>
  <si>
    <t>New Construction Lighting Scope of Work template</t>
  </si>
  <si>
    <r>
      <t xml:space="preserve">Copy text in each highlighted cell to DSMc Scope of Work </t>
    </r>
    <r>
      <rPr>
        <b/>
        <i/>
        <u/>
        <sz val="10"/>
        <rFont val="Calibri"/>
        <family val="2"/>
      </rPr>
      <t>and edit</t>
    </r>
    <r>
      <rPr>
        <b/>
        <sz val="10"/>
        <rFont val="Calibri"/>
        <family val="2"/>
      </rPr>
      <t xml:space="preserve"> for your project:</t>
    </r>
  </si>
  <si>
    <t>Project Background</t>
  </si>
  <si>
    <t>[Insert brief explanation of the new space here (business name, sq ft, space type, location)]</t>
  </si>
  <si>
    <t>QC Document List</t>
  </si>
  <si>
    <t>Project Description</t>
  </si>
  <si>
    <t>DSMc SOW</t>
  </si>
  <si>
    <t>This project shall implement the new construction lighting project defined in the attached PSE Business Lighting Workbook.  At a minimum the project shall follow these specifications:
1. Final project lighting power density shall at least be 5% below that required by applicable Washington State Energy Code.
2. LED products must have a UL or ETL listing, a Power factor equal to or greater than 0.9, and a manufacturer’s warranty greater than or equal to 5 years.</t>
  </si>
  <si>
    <t>Business Lighting Workbook</t>
  </si>
  <si>
    <t>Business Lighting Workbook Signature page</t>
  </si>
  <si>
    <t>Square footage documentation (building plans)</t>
  </si>
  <si>
    <t>Fixture Cut Sheets</t>
  </si>
  <si>
    <t>Fixture Schedule and Controls Sequence (if applicable)</t>
  </si>
  <si>
    <t>Baseline Assumptions</t>
  </si>
  <si>
    <t>*No AutoFund is needed for CNC lighting projects</t>
  </si>
  <si>
    <t>As outlined in the included PSE Business Lighting Workbook, the baseline for this project utilizes allowed wattage per WSEC 2018, section C405.  Lighting hours are either provided by the customer or deemed from the PSE Commercial Building Stock Assessment data.  Area square footage was verified with the provided plans from the customer, and was used to verify the WSEC lighting areas and linear feet where applicable.</t>
  </si>
  <si>
    <t>**Do not use BL Wk Grant QC Reveiw page (follow normal custom grant DSMc procedure)</t>
  </si>
  <si>
    <t>DSMc Form 2</t>
  </si>
  <si>
    <t>Proposed Assumptions</t>
  </si>
  <si>
    <t>Measure Name: LPD Reduction Custom</t>
  </si>
  <si>
    <t>As outlined in the included PSE Business Lighting Workbook, the proposal for this project utilizes a lighting system that is more efficient than code. For specifics, refer to the Installations tab of the included PSE Business Lighting Workbook.</t>
  </si>
  <si>
    <t>Incremental Cost</t>
  </si>
  <si>
    <t>Measure Cost = Grant Amount from the Business Lighting Workbook</t>
  </si>
  <si>
    <t>Energy Savings Methodology</t>
  </si>
  <si>
    <t>Measue Life = 15 years</t>
  </si>
  <si>
    <t>The PSE Business Lighting Workbook was used to calculate energy savings and grant amount.  Since this is a new construction project the project cost is set equal to the grant amount as per Commercial New Construction program guidelines.</t>
  </si>
  <si>
    <t>Use 111111000000 as a temporary account number, adjust at payment with new PSE account number</t>
  </si>
  <si>
    <t>WSEC Compliance</t>
  </si>
  <si>
    <t>Lighting Code compliance is confirmed in the Installations tab of the Business Lighting Workbook.  The project must save at least 5% compared to code and therefore meets the WSEC.</t>
  </si>
  <si>
    <t> </t>
  </si>
  <si>
    <t>Verification Plan</t>
  </si>
  <si>
    <t>PSE shall conduct a final site visit to verify as-built fixture types, quantities, and hours of operation.  Projects that exceed 300,000 kWh/yr in savings may require additional back-up documentation to verify annual operating hours.  Acceptable back-up documentation shall consist of one of the following, subject to prior PSE approval: light logger data from typical lighting zones, amperage or true power readings from affected lighting circuits, or screen shots from the building's energy management system detailing lighting schedules.  If LLLC fixtures are installed additional verification may be required to confirm correct operation of occupancy sensors, daylighting, and zone level lighting.  An invoice or other document providing evidence that the project lighting system costs are at least as much as the grant amount will be required.  Examples include: lighting vendor's invocie, electrical contractor's invoice, or general contractor's pay application.</t>
  </si>
  <si>
    <t>found in these lines on the Installations tab</t>
  </si>
  <si>
    <t>PAYEE?</t>
  </si>
  <si>
    <t>Select Payee from dropdown or edit Payee information below</t>
  </si>
  <si>
    <t>Submitter Information - PSE use only</t>
  </si>
  <si>
    <t>Installer Information - PSE use only</t>
  </si>
  <si>
    <t xml:space="preserve">LLLC - An interior LED luminaire with the following integrated into each luminaire; a dimming driver, an occupancy sensor, and a daylight sensor.  Each LLLC luminaire shall have installed control logic that allows configuration and re-configuration of the luminaire settings for high-end trim, daylight sensitivity and setpoints, and occupancy sensitivity and timeouts.  Each LLLC luminaire shall have installed wireless networking capabilities to allow multiple luminaires to be grouped to share occupancy and daylight information with all other LLLC luminaires installed in the space.  The system must have local override switching capability, as required by the 2018 Washington State Energy Code (WSEC). </t>
  </si>
  <si>
    <t>Moderate Income</t>
  </si>
  <si>
    <t>Moderate Income?</t>
  </si>
  <si>
    <t>2022 STANDARD Application V2-2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</si>
</sst>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0"/>
    <numFmt numFmtId="165" formatCode="&quot;$&quot;#,##0"/>
    <numFmt numFmtId="166" formatCode="&quot;$&quot;#,##0.00"/>
    <numFmt numFmtId="167" formatCode="0.0000000000"/>
    <numFmt numFmtId="168" formatCode="&quot;$&quot;#,##0.000"/>
    <numFmt numFmtId="169" formatCode="[&lt;=9999999]###\-####;\(###\)\ ###\-####"/>
    <numFmt numFmtId="170" formatCode="###\-###\-###\-###"/>
    <numFmt numFmtId="171" formatCode="00000"/>
    <numFmt numFmtId="172" formatCode="############"/>
    <numFmt numFmtId="173" formatCode="0.0\ &quot;yrs&quot;"/>
    <numFmt numFmtId="174" formatCode="0.0%"/>
    <numFmt numFmtId="175" formatCode="#,##0.0"/>
    <numFmt numFmtId="176" formatCode="m/d/yy;@"/>
    <numFmt numFmtId="177" formatCode="#,##0\ &quot;kWh/yr&quot;"/>
    <numFmt numFmtId="178" formatCode="[$-409]h:mm\ AM/PM;@"/>
    <numFmt numFmtId="179" formatCode="##.##\ &quot; (¢/kWh)&quot;"/>
    <numFmt numFmtId="180" formatCode="&quot;$&quot;#,##0.00000_);[Red]\(&quot;$&quot;#,##0.00000\)"/>
    <numFmt numFmtId="181" formatCode="&quot;$&quot;#,##0\ &quot;Incentive&quot;"/>
    <numFmt numFmtId="182" formatCode="#,##0\ &quot;kWh Saved&quot;"/>
    <numFmt numFmtId="183" formatCode="##.\9\ &quot; (¢/kWh)&quot;"/>
    <numFmt numFmtId="184" formatCode="&quot;Grant = &quot;0%"/>
  </numFmts>
  <fonts count="140">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1"/>
      <color rgb="FF006666"/>
      <name val="Calibri"/>
      <family val="2"/>
      <scheme val="minor"/>
    </font>
    <font>
      <u/>
      <sz val="11"/>
      <color rgb="FF0070C0"/>
      <name val="Calibri"/>
      <family val="2"/>
      <scheme val="minor"/>
    </font>
    <font>
      <sz val="11"/>
      <color theme="0"/>
      <name val="Calibri"/>
      <family val="1"/>
      <charset val="2"/>
      <scheme val="minor"/>
    </font>
    <font>
      <b/>
      <sz val="14"/>
      <color rgb="FF156570"/>
      <name val="Calibri"/>
      <family val="2"/>
      <scheme val="minor"/>
    </font>
    <font>
      <i/>
      <sz val="14"/>
      <color rgb="FF156570"/>
      <name val="Calibri"/>
      <family val="2"/>
      <scheme val="minor"/>
    </font>
    <font>
      <i/>
      <sz val="11"/>
      <color rgb="FFFF0000"/>
      <name val="Calibri"/>
      <family val="2"/>
      <scheme val="minor"/>
    </font>
    <font>
      <u/>
      <sz val="11"/>
      <color theme="10"/>
      <name val="Calibri"/>
      <family val="2"/>
      <scheme val="minor"/>
    </font>
    <font>
      <sz val="11"/>
      <color rgb="FF156570"/>
      <name val="Calibri"/>
      <family val="2"/>
      <scheme val="minor"/>
    </font>
    <font>
      <i/>
      <sz val="10"/>
      <color theme="1"/>
      <name val="Calibri"/>
      <family val="2"/>
      <scheme val="minor"/>
    </font>
    <font>
      <b/>
      <i/>
      <sz val="10"/>
      <color theme="1"/>
      <name val="Calibri"/>
      <family val="2"/>
      <scheme val="minor"/>
    </font>
    <font>
      <sz val="11"/>
      <name val="Calibri"/>
      <family val="2"/>
      <scheme val="minor"/>
    </font>
    <font>
      <sz val="10"/>
      <color theme="1"/>
      <name val="Calibri"/>
      <family val="2"/>
      <scheme val="minor"/>
    </font>
    <font>
      <sz val="10"/>
      <name val="Calibri"/>
      <family val="2"/>
      <scheme val="minor"/>
    </font>
    <font>
      <i/>
      <vertAlign val="superscript"/>
      <sz val="10"/>
      <color theme="1"/>
      <name val="Calibri"/>
      <family val="2"/>
      <scheme val="minor"/>
    </font>
    <font>
      <vertAlign val="superscript"/>
      <sz val="10"/>
      <color theme="1"/>
      <name val="Calibri"/>
      <family val="2"/>
      <scheme val="minor"/>
    </font>
    <font>
      <b/>
      <sz val="11"/>
      <name val="Calibri"/>
      <family val="2"/>
      <scheme val="minor"/>
    </font>
    <font>
      <sz val="8"/>
      <name val="Calibri"/>
      <family val="2"/>
      <scheme val="minor"/>
    </font>
    <font>
      <sz val="9"/>
      <color theme="1"/>
      <name val="Calibri"/>
      <family val="2"/>
      <scheme val="minor"/>
    </font>
    <font>
      <sz val="8"/>
      <color theme="1"/>
      <name val="Calibri"/>
      <family val="2"/>
      <scheme val="minor"/>
    </font>
    <font>
      <sz val="9"/>
      <color indexed="81"/>
      <name val="Tahoma"/>
      <family val="2"/>
    </font>
    <font>
      <b/>
      <sz val="9"/>
      <color indexed="81"/>
      <name val="Tahoma"/>
      <family val="2"/>
    </font>
    <font>
      <b/>
      <i/>
      <vertAlign val="superscript"/>
      <sz val="10"/>
      <color theme="1"/>
      <name val="Calibri"/>
      <family val="2"/>
      <scheme val="minor"/>
    </font>
    <font>
      <i/>
      <sz val="10"/>
      <color rgb="FF006666"/>
      <name val="Calibri"/>
      <family val="2"/>
      <scheme val="minor"/>
    </font>
    <font>
      <sz val="11"/>
      <color rgb="FF006666"/>
      <name val="Calibri"/>
      <family val="2"/>
      <scheme val="minor"/>
    </font>
    <font>
      <b/>
      <sz val="14"/>
      <name val="Calibri"/>
      <family val="2"/>
      <scheme val="minor"/>
    </font>
    <font>
      <i/>
      <sz val="11"/>
      <name val="Calibri"/>
      <family val="2"/>
      <scheme val="minor"/>
    </font>
    <font>
      <b/>
      <i/>
      <u/>
      <sz val="11"/>
      <color theme="0"/>
      <name val="Calibri"/>
      <family val="2"/>
      <scheme val="minor"/>
    </font>
    <font>
      <b/>
      <sz val="14"/>
      <color theme="1"/>
      <name val="Calibri"/>
      <family val="2"/>
      <scheme val="minor"/>
    </font>
    <font>
      <b/>
      <sz val="10"/>
      <color theme="1"/>
      <name val="Calibri"/>
      <family val="2"/>
      <scheme val="minor"/>
    </font>
    <font>
      <b/>
      <i/>
      <sz val="11"/>
      <color rgb="FFFF0000"/>
      <name val="Calibri"/>
      <family val="2"/>
      <scheme val="minor"/>
    </font>
    <font>
      <sz val="14"/>
      <color theme="1"/>
      <name val="Calibri"/>
      <family val="2"/>
      <scheme val="minor"/>
    </font>
    <font>
      <sz val="10"/>
      <color theme="0" tint="-0.34998626667073579"/>
      <name val="Calibri"/>
      <family val="2"/>
      <scheme val="minor"/>
    </font>
    <font>
      <b/>
      <sz val="11"/>
      <color theme="1"/>
      <name val="Calibri"/>
      <family val="2"/>
    </font>
    <font>
      <b/>
      <sz val="10"/>
      <name val="Arial"/>
      <family val="2"/>
    </font>
    <font>
      <b/>
      <sz val="10"/>
      <color indexed="12"/>
      <name val="Arial"/>
      <family val="2"/>
    </font>
    <font>
      <sz val="10"/>
      <name val="Arial"/>
      <family val="2"/>
    </font>
    <font>
      <b/>
      <sz val="15"/>
      <color indexed="56"/>
      <name val="Calibri"/>
      <family val="2"/>
    </font>
    <font>
      <b/>
      <sz val="15"/>
      <color rgb="FF156570"/>
      <name val="Calibri"/>
      <family val="2"/>
    </font>
    <font>
      <sz val="11"/>
      <color indexed="8"/>
      <name val="Calibri"/>
      <family val="2"/>
      <scheme val="minor"/>
    </font>
    <font>
      <b/>
      <sz val="11"/>
      <color rgb="FFFF0000"/>
      <name val="Calibri"/>
      <family val="2"/>
      <scheme val="minor"/>
    </font>
    <font>
      <sz val="9"/>
      <name val="Arial"/>
      <family val="2"/>
    </font>
    <font>
      <b/>
      <sz val="11"/>
      <color indexed="8"/>
      <name val="Calibri"/>
      <family val="2"/>
      <scheme val="minor"/>
    </font>
    <font>
      <i/>
      <sz val="9"/>
      <color rgb="FFFF0000"/>
      <name val="Calibri"/>
      <family val="2"/>
      <scheme val="minor"/>
    </font>
    <font>
      <sz val="11"/>
      <color rgb="FFF8F8F8"/>
      <name val="Calibri"/>
      <family val="2"/>
      <scheme val="minor"/>
    </font>
    <font>
      <sz val="11"/>
      <color theme="0" tint="-4.9989318521683403E-2"/>
      <name val="Calibri"/>
      <family val="2"/>
      <scheme val="minor"/>
    </font>
    <font>
      <i/>
      <sz val="11"/>
      <color theme="1"/>
      <name val="Calibri"/>
      <family val="2"/>
      <scheme val="minor"/>
    </font>
    <font>
      <u/>
      <sz val="11"/>
      <color theme="1"/>
      <name val="Calibri"/>
      <family val="2"/>
      <scheme val="minor"/>
    </font>
    <font>
      <b/>
      <u/>
      <sz val="12"/>
      <color rgb="FF000000"/>
      <name val="Calibri"/>
      <family val="2"/>
      <scheme val="minor"/>
    </font>
    <font>
      <sz val="12"/>
      <color rgb="FFFF0000"/>
      <name val="Calibri"/>
      <family val="2"/>
      <scheme val="minor"/>
    </font>
    <font>
      <b/>
      <sz val="12"/>
      <color rgb="FF006666"/>
      <name val="Calibri"/>
      <family val="2"/>
      <scheme val="minor"/>
    </font>
    <font>
      <sz val="11"/>
      <color theme="1"/>
      <name val="Calibri"/>
      <family val="2"/>
    </font>
    <font>
      <u/>
      <sz val="11"/>
      <color theme="1"/>
      <name val="Calibri"/>
      <family val="2"/>
    </font>
    <font>
      <sz val="12"/>
      <name val="Calibri"/>
      <family val="2"/>
      <scheme val="minor"/>
    </font>
    <font>
      <i/>
      <u/>
      <sz val="11"/>
      <name val="Calibri"/>
      <family val="2"/>
      <scheme val="minor"/>
    </font>
    <font>
      <i/>
      <u/>
      <sz val="11"/>
      <color theme="1"/>
      <name val="Calibri"/>
      <family val="2"/>
      <scheme val="minor"/>
    </font>
    <font>
      <i/>
      <u/>
      <sz val="11"/>
      <color rgb="FFFF0000"/>
      <name val="Calibri"/>
      <family val="2"/>
      <scheme val="minor"/>
    </font>
    <font>
      <b/>
      <sz val="11"/>
      <color rgb="FF000000"/>
      <name val="Calibri"/>
      <family val="2"/>
      <scheme val="minor"/>
    </font>
    <font>
      <sz val="11"/>
      <color rgb="FF000000"/>
      <name val="Calibri"/>
      <family val="2"/>
      <scheme val="minor"/>
    </font>
    <font>
      <b/>
      <u/>
      <sz val="11"/>
      <color theme="1"/>
      <name val="Calibri"/>
      <family val="2"/>
      <scheme val="minor"/>
    </font>
    <font>
      <u/>
      <sz val="11"/>
      <color indexed="12"/>
      <name val="Calibri"/>
      <family val="2"/>
      <scheme val="minor"/>
    </font>
    <font>
      <sz val="10"/>
      <color rgb="FFFF0000"/>
      <name val="Calibri"/>
      <family val="2"/>
      <scheme val="minor"/>
    </font>
    <font>
      <b/>
      <sz val="20"/>
      <color theme="0"/>
      <name val="Calibri"/>
      <family val="2"/>
      <scheme val="minor"/>
    </font>
    <font>
      <sz val="14"/>
      <color theme="0"/>
      <name val="Calibri"/>
      <family val="2"/>
      <scheme val="minor"/>
    </font>
    <font>
      <i/>
      <sz val="11"/>
      <color theme="0"/>
      <name val="Calibri"/>
      <family val="2"/>
      <scheme val="minor"/>
    </font>
    <font>
      <b/>
      <sz val="10"/>
      <color rgb="FF006666"/>
      <name val="Calibri"/>
      <family val="2"/>
      <scheme val="minor"/>
    </font>
    <font>
      <sz val="10"/>
      <color theme="0" tint="-4.9989318521683403E-2"/>
      <name val="Calibri"/>
      <family val="2"/>
      <scheme val="minor"/>
    </font>
    <font>
      <b/>
      <sz val="16"/>
      <name val="Calibri"/>
      <family val="2"/>
      <scheme val="minor"/>
    </font>
    <font>
      <b/>
      <i/>
      <sz val="16"/>
      <name val="Calibri"/>
      <family val="2"/>
      <scheme val="minor"/>
    </font>
    <font>
      <u/>
      <sz val="11"/>
      <color rgb="FFFF0000"/>
      <name val="Calibri"/>
      <family val="2"/>
      <scheme val="minor"/>
    </font>
    <font>
      <sz val="10"/>
      <color theme="0"/>
      <name val="Calibri"/>
      <family val="2"/>
      <scheme val="minor"/>
    </font>
    <font>
      <b/>
      <sz val="12"/>
      <color theme="1"/>
      <name val="Calibri"/>
      <family val="2"/>
      <scheme val="minor"/>
    </font>
    <font>
      <sz val="12"/>
      <color theme="1"/>
      <name val="Calibri"/>
      <family val="2"/>
      <scheme val="minor"/>
    </font>
    <font>
      <b/>
      <sz val="12"/>
      <name val="Calibri"/>
      <family val="2"/>
      <scheme val="minor"/>
    </font>
    <font>
      <b/>
      <sz val="12"/>
      <color rgb="FFFF0000"/>
      <name val="Calibri"/>
      <family val="2"/>
      <scheme val="minor"/>
    </font>
    <font>
      <i/>
      <sz val="12"/>
      <color theme="1"/>
      <name val="Calibri"/>
      <family val="2"/>
      <scheme val="minor"/>
    </font>
    <font>
      <b/>
      <i/>
      <sz val="12"/>
      <color theme="1"/>
      <name val="Calibri"/>
      <family val="2"/>
      <scheme val="minor"/>
    </font>
    <font>
      <b/>
      <sz val="16"/>
      <color theme="1"/>
      <name val="Calibri"/>
      <family val="2"/>
      <scheme val="minor"/>
    </font>
    <font>
      <sz val="11"/>
      <color theme="0" tint="-0.499984740745262"/>
      <name val="Calibri"/>
      <family val="2"/>
      <scheme val="minor"/>
    </font>
    <font>
      <sz val="11"/>
      <color theme="0" tint="-0.14999847407452621"/>
      <name val="Calibri"/>
      <family val="2"/>
      <scheme val="minor"/>
    </font>
    <font>
      <sz val="9"/>
      <color theme="0" tint="-0.14999847407452621"/>
      <name val="Calibri"/>
      <family val="2"/>
      <scheme val="minor"/>
    </font>
    <font>
      <sz val="9"/>
      <name val="Calibri"/>
      <family val="2"/>
      <scheme val="minor"/>
    </font>
    <font>
      <b/>
      <i/>
      <sz val="11"/>
      <color theme="0"/>
      <name val="Calibri"/>
      <family val="2"/>
      <scheme val="minor"/>
    </font>
    <font>
      <sz val="10.55"/>
      <color theme="1"/>
      <name val="Calibri"/>
      <family val="2"/>
    </font>
    <font>
      <sz val="11"/>
      <color theme="7" tint="-0.249977111117893"/>
      <name val="Calibri"/>
      <family val="2"/>
      <scheme val="minor"/>
    </font>
    <font>
      <b/>
      <sz val="14"/>
      <color rgb="FFFF0000"/>
      <name val="Calibri"/>
      <family val="2"/>
      <scheme val="minor"/>
    </font>
    <font>
      <i/>
      <sz val="14"/>
      <color rgb="FFFF0000"/>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i/>
      <sz val="11"/>
      <color rgb="FF006666"/>
      <name val="Calibri"/>
      <family val="2"/>
      <scheme val="minor"/>
    </font>
    <font>
      <sz val="11"/>
      <color theme="0" tint="-0.249977111117893"/>
      <name val="Calibri"/>
      <family val="2"/>
      <scheme val="minor"/>
    </font>
    <font>
      <sz val="9"/>
      <color theme="0" tint="-0.249977111117893"/>
      <name val="Calibri"/>
      <family val="2"/>
      <scheme val="minor"/>
    </font>
    <font>
      <sz val="8"/>
      <color theme="0" tint="-0.249977111117893"/>
      <name val="Calibri"/>
      <family val="2"/>
      <scheme val="minor"/>
    </font>
    <font>
      <i/>
      <sz val="12"/>
      <color rgb="FFFF0000"/>
      <name val="Calibri"/>
      <family val="2"/>
      <scheme val="minor"/>
    </font>
    <font>
      <i/>
      <sz val="9"/>
      <color theme="1"/>
      <name val="Calibri"/>
      <family val="2"/>
      <scheme val="minor"/>
    </font>
    <font>
      <i/>
      <sz val="9"/>
      <color indexed="81"/>
      <name val="Tahoma"/>
      <family val="2"/>
    </font>
    <font>
      <b/>
      <u/>
      <sz val="14"/>
      <color theme="1"/>
      <name val="Calibri"/>
      <family val="2"/>
      <scheme val="minor"/>
    </font>
    <font>
      <b/>
      <sz val="11"/>
      <color rgb="FF0070C0"/>
      <name val="Calibri"/>
      <family val="2"/>
      <scheme val="minor"/>
    </font>
    <font>
      <b/>
      <sz val="7"/>
      <color theme="1"/>
      <name val="Calibri"/>
      <family val="2"/>
      <scheme val="minor"/>
    </font>
    <font>
      <b/>
      <sz val="10"/>
      <color rgb="FFFF0000"/>
      <name val="Calibri"/>
      <family val="2"/>
      <scheme val="minor"/>
    </font>
    <font>
      <i/>
      <sz val="10"/>
      <color rgb="FFFF0000"/>
      <name val="Calibri"/>
      <family val="2"/>
      <scheme val="minor"/>
    </font>
    <font>
      <b/>
      <sz val="8"/>
      <color theme="1"/>
      <name val="Calibri"/>
      <family val="2"/>
      <scheme val="minor"/>
    </font>
    <font>
      <sz val="8"/>
      <color rgb="FFFF0000"/>
      <name val="Calibri"/>
      <family val="2"/>
      <scheme val="minor"/>
    </font>
    <font>
      <sz val="8"/>
      <color theme="0"/>
      <name val="Calibri"/>
      <family val="2"/>
      <scheme val="minor"/>
    </font>
    <font>
      <sz val="9"/>
      <color indexed="8"/>
      <name val="Calibri"/>
      <family val="2"/>
      <scheme val="minor"/>
    </font>
    <font>
      <b/>
      <sz val="9"/>
      <color theme="1"/>
      <name val="Calibri"/>
      <family val="2"/>
      <scheme val="minor"/>
    </font>
    <font>
      <b/>
      <i/>
      <sz val="9"/>
      <color theme="1"/>
      <name val="Calibri"/>
      <family val="2"/>
      <scheme val="minor"/>
    </font>
    <font>
      <b/>
      <i/>
      <sz val="11"/>
      <color theme="1"/>
      <name val="Calibri"/>
      <family val="2"/>
      <scheme val="minor"/>
    </font>
    <font>
      <sz val="10"/>
      <color theme="0" tint="-0.249977111117893"/>
      <name val="Calibri"/>
      <family val="2"/>
      <scheme val="minor"/>
    </font>
    <font>
      <b/>
      <i/>
      <sz val="11"/>
      <color rgb="FF006666"/>
      <name val="Calibri"/>
      <family val="2"/>
      <scheme val="minor"/>
    </font>
    <font>
      <sz val="10"/>
      <color theme="0" tint="-0.14999847407452621"/>
      <name val="Calibri"/>
      <family val="2"/>
      <scheme val="minor"/>
    </font>
    <font>
      <sz val="11"/>
      <color rgb="FFC00000"/>
      <name val="Calibri"/>
      <family val="2"/>
      <scheme val="minor"/>
    </font>
    <font>
      <sz val="9"/>
      <color theme="0" tint="-0.499984740745262"/>
      <name val="Calibri"/>
      <family val="2"/>
      <scheme val="minor"/>
    </font>
    <font>
      <b/>
      <u/>
      <sz val="18"/>
      <name val="Calibri"/>
      <family val="2"/>
    </font>
    <font>
      <b/>
      <sz val="10"/>
      <name val="Calibri"/>
      <family val="2"/>
    </font>
    <font>
      <b/>
      <i/>
      <u/>
      <sz val="10"/>
      <name val="Calibri"/>
      <family val="2"/>
    </font>
    <font>
      <b/>
      <u/>
      <sz val="10"/>
      <name val="Calibri"/>
      <family val="2"/>
    </font>
    <font>
      <sz val="10"/>
      <name val="Calibri"/>
      <family val="2"/>
    </font>
    <font>
      <b/>
      <sz val="18"/>
      <color theme="1"/>
      <name val="Calibri"/>
      <family val="2"/>
      <scheme val="minor"/>
    </font>
    <font>
      <sz val="9"/>
      <color theme="0"/>
      <name val="Calibri"/>
      <family val="2"/>
      <scheme val="minor"/>
    </font>
    <font>
      <b/>
      <sz val="15"/>
      <color theme="0" tint="-0.249977111117893"/>
      <name val="Calibri"/>
      <family val="2"/>
    </font>
  </fonts>
  <fills count="66">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rgb="FF0070C0"/>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4"/>
      </patternFill>
    </fill>
    <fill>
      <patternFill patternType="solid">
        <fgColor rgb="FF156570"/>
        <bgColor indexed="64"/>
      </patternFill>
    </fill>
    <fill>
      <patternFill patternType="solid">
        <fgColor theme="9" tint="0.39994506668294322"/>
        <bgColor indexed="64"/>
      </patternFill>
    </fill>
    <fill>
      <patternFill patternType="solid">
        <fgColor theme="0"/>
        <bgColor indexed="64"/>
      </patternFill>
    </fill>
    <fill>
      <patternFill patternType="solid">
        <fgColor rgb="FF006666"/>
        <bgColor indexed="64"/>
      </patternFill>
    </fill>
    <fill>
      <patternFill patternType="solid">
        <fgColor rgb="FFFFFF00"/>
        <bgColor indexed="64"/>
      </patternFill>
    </fill>
    <fill>
      <patternFill patternType="solid">
        <fgColor theme="8" tint="-0.249977111117893"/>
        <bgColor indexed="64"/>
      </patternFill>
    </fill>
    <fill>
      <patternFill patternType="solid">
        <fgColor rgb="FF00B0F0"/>
        <bgColor indexed="64"/>
      </patternFill>
    </fill>
    <fill>
      <patternFill patternType="solid">
        <fgColor theme="4" tint="0.79998168889431442"/>
        <bgColor indexed="64"/>
      </patternFill>
    </fill>
    <fill>
      <patternFill patternType="solid">
        <fgColor rgb="FFDDDDDD"/>
        <bgColor indexed="64"/>
      </patternFill>
    </fill>
    <fill>
      <patternFill patternType="solid">
        <fgColor theme="2" tint="-0.499984740745262"/>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59999389629810485"/>
        <bgColor indexed="64"/>
      </patternFill>
    </fill>
    <fill>
      <patternFill patternType="solid">
        <fgColor theme="7" tint="0.59999389629810485"/>
        <bgColor indexed="64"/>
      </patternFill>
    </fill>
    <fill>
      <patternFill patternType="solid">
        <fgColor theme="5"/>
        <bgColor theme="5"/>
      </patternFill>
    </fill>
    <fill>
      <patternFill patternType="solid">
        <fgColor theme="9"/>
        <bgColor indexed="64"/>
      </patternFill>
    </fill>
    <fill>
      <patternFill patternType="solid">
        <fgColor rgb="FFFF0000"/>
        <bgColor indexed="64"/>
      </patternFill>
    </fill>
    <fill>
      <patternFill patternType="solid">
        <fgColor theme="5" tint="0.59999389629810485"/>
        <bgColor indexed="64"/>
      </patternFill>
    </fill>
    <fill>
      <patternFill patternType="solid">
        <fgColor theme="7" tint="-0.249977111117893"/>
        <bgColor indexed="64"/>
      </patternFill>
    </fill>
    <fill>
      <patternFill patternType="solid">
        <fgColor theme="5" tint="-0.249977111117893"/>
        <bgColor indexed="64"/>
      </patternFill>
    </fill>
    <fill>
      <patternFill patternType="solid">
        <fgColor theme="1" tint="0.14999847407452621"/>
        <bgColor indexed="64"/>
      </patternFill>
    </fill>
    <fill>
      <patternFill patternType="solid">
        <fgColor rgb="FFFFEB9C"/>
        <bgColor indexed="64"/>
      </patternFill>
    </fill>
    <fill>
      <patternFill patternType="solid">
        <fgColor theme="2"/>
        <bgColor indexed="64"/>
      </patternFill>
    </fill>
    <fill>
      <patternFill patternType="solid">
        <fgColor rgb="FFCCFFFF"/>
        <bgColor indexed="64"/>
      </patternFill>
    </fill>
    <fill>
      <patternFill patternType="solid">
        <fgColor rgb="FFC00000"/>
        <bgColor indexed="64"/>
      </patternFill>
    </fill>
    <fill>
      <patternFill patternType="solid">
        <fgColor rgb="FFFFCCCC"/>
        <bgColor indexed="64"/>
      </patternFill>
    </fill>
    <fill>
      <patternFill patternType="solid">
        <fgColor rgb="FFFFC000"/>
        <bgColor rgb="FF000000"/>
      </patternFill>
    </fill>
    <fill>
      <patternFill patternType="solid">
        <fgColor rgb="FFFFFF00"/>
        <bgColor rgb="FF000000"/>
      </patternFill>
    </fill>
    <fill>
      <patternFill patternType="solid">
        <fgColor rgb="FFFCD5B4"/>
        <bgColor rgb="FF000000"/>
      </patternFill>
    </fill>
  </fills>
  <borders count="255">
    <border>
      <left/>
      <right/>
      <top/>
      <bottom/>
      <diagonal/>
    </border>
    <border>
      <left/>
      <right/>
      <top/>
      <bottom style="medium">
        <color rgb="FF006666"/>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thin">
        <color theme="4" tint="0.39997558519241921"/>
      </left>
      <right/>
      <top style="thin">
        <color theme="4" tint="0.39997558519241921"/>
      </top>
      <bottom/>
      <diagonal/>
    </border>
    <border>
      <left/>
      <right style="thin">
        <color theme="4" tint="0.39997558519241921"/>
      </right>
      <top style="thin">
        <color theme="4" tint="0.39997558519241921"/>
      </top>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diagonal/>
    </border>
    <border>
      <left style="thin">
        <color auto="1"/>
      </left>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thin">
        <color indexed="64"/>
      </bottom>
      <diagonal/>
    </border>
    <border>
      <left/>
      <right/>
      <top style="double">
        <color indexed="64"/>
      </top>
      <bottom/>
      <diagonal/>
    </border>
    <border>
      <left style="hair">
        <color rgb="FF006666"/>
      </left>
      <right/>
      <top/>
      <bottom/>
      <diagonal/>
    </border>
    <border>
      <left style="hair">
        <color rgb="FF006666"/>
      </left>
      <right style="hair">
        <color rgb="FF006666"/>
      </right>
      <top/>
      <bottom/>
      <diagonal/>
    </border>
    <border>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right/>
      <top style="thin">
        <color theme="4" tint="0.39997558519241921"/>
      </top>
      <bottom style="thin">
        <color theme="4" tint="0.39997558519241921"/>
      </bottom>
      <diagonal/>
    </border>
    <border>
      <left style="double">
        <color indexed="64"/>
      </left>
      <right/>
      <top/>
      <bottom/>
      <diagonal/>
    </border>
    <border>
      <left style="double">
        <color auto="1"/>
      </left>
      <right style="double">
        <color auto="1"/>
      </right>
      <top style="double">
        <color indexed="64"/>
      </top>
      <bottom style="double">
        <color indexed="64"/>
      </bottom>
      <diagonal/>
    </border>
    <border>
      <left/>
      <right style="double">
        <color indexed="64"/>
      </right>
      <top/>
      <bottom/>
      <diagonal/>
    </border>
    <border>
      <left style="double">
        <color auto="1"/>
      </left>
      <right style="double">
        <color auto="1"/>
      </right>
      <top/>
      <bottom/>
      <diagonal/>
    </border>
    <border>
      <left/>
      <right/>
      <top/>
      <bottom style="double">
        <color indexed="64"/>
      </bottom>
      <diagonal/>
    </border>
    <border>
      <left style="double">
        <color indexed="64"/>
      </left>
      <right style="double">
        <color auto="1"/>
      </right>
      <top/>
      <bottom style="double">
        <color indexed="64"/>
      </bottom>
      <diagonal/>
    </border>
    <border>
      <left style="double">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diagonal/>
    </border>
    <border>
      <left style="hair">
        <color indexed="64"/>
      </left>
      <right style="hair">
        <color indexed="64"/>
      </right>
      <top style="double">
        <color indexed="64"/>
      </top>
      <bottom/>
      <diagonal/>
    </border>
    <border>
      <left style="hair">
        <color indexed="64"/>
      </left>
      <right style="hair">
        <color indexed="64"/>
      </right>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thin">
        <color indexed="64"/>
      </bottom>
      <diagonal/>
    </border>
    <border>
      <left/>
      <right/>
      <top/>
      <bottom style="thick">
        <color indexed="62"/>
      </bottom>
      <diagonal/>
    </border>
    <border>
      <left style="thin">
        <color theme="0" tint="-0.14996795556505021"/>
      </left>
      <right/>
      <top style="thin">
        <color theme="0" tint="-0.14996795556505021"/>
      </top>
      <bottom style="thin">
        <color indexed="64"/>
      </bottom>
      <diagonal/>
    </border>
    <border>
      <left/>
      <right/>
      <top style="thin">
        <color theme="0" tint="-0.14996795556505021"/>
      </top>
      <bottom style="thin">
        <color indexed="64"/>
      </bottom>
      <diagonal/>
    </border>
    <border>
      <left/>
      <right style="thin">
        <color indexed="64"/>
      </right>
      <top style="thin">
        <color theme="0" tint="-0.14996795556505021"/>
      </top>
      <bottom style="thin">
        <color indexed="64"/>
      </bottom>
      <diagonal/>
    </border>
    <border>
      <left/>
      <right/>
      <top style="thin">
        <color theme="0" tint="-0.14996795556505021"/>
      </top>
      <bottom/>
      <diagonal/>
    </border>
    <border>
      <left/>
      <right style="thin">
        <color indexed="64"/>
      </right>
      <top style="thin">
        <color theme="0" tint="-0.14996795556505021"/>
      </top>
      <bottom/>
      <diagonal/>
    </border>
    <border>
      <left style="thin">
        <color theme="0" tint="-0.14996795556505021"/>
      </left>
      <right/>
      <top/>
      <bottom style="thin">
        <color indexed="64"/>
      </bottom>
      <diagonal/>
    </border>
    <border>
      <left style="thin">
        <color theme="0" tint="-0.14996795556505021"/>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style="thin">
        <color indexed="64"/>
      </bottom>
      <diagonal/>
    </border>
    <border>
      <left style="thin">
        <color rgb="FF006666"/>
      </left>
      <right/>
      <top style="thick">
        <color rgb="FF006666"/>
      </top>
      <bottom/>
      <diagonal/>
    </border>
    <border>
      <left/>
      <right/>
      <top style="thick">
        <color rgb="FF006666"/>
      </top>
      <bottom/>
      <diagonal/>
    </border>
    <border>
      <left/>
      <right style="thin">
        <color rgb="FF006666"/>
      </right>
      <top style="thick">
        <color rgb="FF006666"/>
      </top>
      <bottom/>
      <diagonal/>
    </border>
    <border>
      <left style="thin">
        <color rgb="FF006666"/>
      </left>
      <right/>
      <top/>
      <bottom/>
      <diagonal/>
    </border>
    <border>
      <left/>
      <right style="thin">
        <color rgb="FF006666"/>
      </right>
      <top/>
      <bottom/>
      <diagonal/>
    </border>
    <border>
      <left style="thin">
        <color rgb="FF006666"/>
      </left>
      <right/>
      <top/>
      <bottom style="thin">
        <color rgb="FF006666"/>
      </bottom>
      <diagonal/>
    </border>
    <border>
      <left/>
      <right/>
      <top/>
      <bottom style="thin">
        <color rgb="FF006666"/>
      </bottom>
      <diagonal/>
    </border>
    <border>
      <left/>
      <right style="thin">
        <color rgb="FF006666"/>
      </right>
      <top/>
      <bottom style="thin">
        <color rgb="FF006666"/>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indexed="64"/>
      </right>
      <top style="thin">
        <color theme="0" tint="-0.14993743705557422"/>
      </top>
      <bottom/>
      <diagonal/>
    </border>
    <border>
      <left style="thin">
        <color theme="0" tint="-0.14993743705557422"/>
      </left>
      <right/>
      <top/>
      <bottom/>
      <diagonal/>
    </border>
    <border>
      <left style="thin">
        <color theme="0" tint="-0.14993743705557422"/>
      </left>
      <right/>
      <top/>
      <bottom style="thin">
        <color indexed="64"/>
      </bottom>
      <diagonal/>
    </border>
    <border>
      <left style="thin">
        <color theme="4" tint="0.39997558519241921"/>
      </left>
      <right style="thin">
        <color theme="4" tint="0.39997558519241921"/>
      </right>
      <top style="thin">
        <color theme="4" tint="0.39997558519241921"/>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ck">
        <color indexed="64"/>
      </right>
      <top style="thin">
        <color theme="0" tint="-0.499984740745262"/>
      </top>
      <bottom/>
      <diagonal/>
    </border>
    <border>
      <left style="thin">
        <color theme="0" tint="-0.499984740745262"/>
      </left>
      <right/>
      <top/>
      <bottom/>
      <diagonal/>
    </border>
    <border>
      <left/>
      <right style="thick">
        <color indexed="64"/>
      </right>
      <top/>
      <bottom/>
      <diagonal/>
    </border>
    <border>
      <left style="thin">
        <color theme="0" tint="-0.499984740745262"/>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theme="0" tint="-0.499984740745262"/>
      </left>
      <right style="thin">
        <color theme="0" tint="-0.499984740745262"/>
      </right>
      <top style="double">
        <color theme="0" tint="-0.499984740745262"/>
      </top>
      <bottom style="double">
        <color theme="0" tint="-0.499984740745262"/>
      </bottom>
      <diagonal/>
    </border>
    <border>
      <left/>
      <right/>
      <top style="medium">
        <color indexed="64"/>
      </top>
      <bottom/>
      <diagonal/>
    </border>
    <border>
      <left/>
      <right style="medium">
        <color indexed="64"/>
      </right>
      <top/>
      <bottom/>
      <diagonal/>
    </border>
    <border>
      <left/>
      <right/>
      <top/>
      <bottom style="medium">
        <color indexed="64"/>
      </bottom>
      <diagonal/>
    </border>
    <border>
      <left style="thin">
        <color rgb="FF006666"/>
      </left>
      <right/>
      <top style="thin">
        <color rgb="FF006666"/>
      </top>
      <bottom/>
      <diagonal/>
    </border>
    <border>
      <left/>
      <right style="thin">
        <color rgb="FF006666"/>
      </right>
      <top style="thin">
        <color rgb="FF006666"/>
      </top>
      <bottom/>
      <diagonal/>
    </border>
    <border>
      <left/>
      <right/>
      <top style="thin">
        <color rgb="FF006666"/>
      </top>
      <bottom/>
      <diagonal/>
    </border>
    <border>
      <left style="thin">
        <color theme="0" tint="-0.499984740745262"/>
      </left>
      <right/>
      <top style="double">
        <color theme="0" tint="-0.499984740745262"/>
      </top>
      <bottom style="double">
        <color theme="0" tint="-0.499984740745262"/>
      </bottom>
      <diagonal/>
    </border>
    <border>
      <left/>
      <right/>
      <top style="double">
        <color theme="0" tint="-0.499984740745262"/>
      </top>
      <bottom style="double">
        <color theme="0" tint="-0.499984740745262"/>
      </bottom>
      <diagonal/>
    </border>
    <border>
      <left/>
      <right style="thin">
        <color theme="0" tint="-0.499984740745262"/>
      </right>
      <top style="double">
        <color theme="0" tint="-0.499984740745262"/>
      </top>
      <bottom style="double">
        <color theme="0" tint="-0.499984740745262"/>
      </bottom>
      <diagonal/>
    </border>
    <border>
      <left style="thin">
        <color theme="0" tint="-0.499984740745262"/>
      </left>
      <right/>
      <top/>
      <bottom style="double">
        <color theme="0" tint="-0.499984740745262"/>
      </bottom>
      <diagonal/>
    </border>
    <border>
      <left/>
      <right style="thin">
        <color theme="0" tint="-0.499984740745262"/>
      </right>
      <top/>
      <bottom style="double">
        <color theme="0" tint="-0.499984740745262"/>
      </bottom>
      <diagonal/>
    </border>
    <border>
      <left/>
      <right style="hair">
        <color rgb="FF006666"/>
      </right>
      <top/>
      <bottom/>
      <diagonal/>
    </border>
    <border>
      <left/>
      <right style="double">
        <color indexed="64"/>
      </right>
      <top/>
      <bottom style="thin">
        <color indexed="64"/>
      </bottom>
      <diagonal/>
    </border>
    <border>
      <left/>
      <right/>
      <top style="thick">
        <color indexed="64"/>
      </top>
      <bottom/>
      <diagonal/>
    </border>
    <border>
      <left/>
      <right/>
      <top style="thick">
        <color auto="1"/>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499984740745262"/>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indexed="64"/>
      </left>
      <right style="thin">
        <color indexed="64"/>
      </right>
      <top/>
      <bottom style="medium">
        <color indexed="64"/>
      </bottom>
      <diagonal/>
    </border>
    <border>
      <left style="thin">
        <color theme="4" tint="0.39997558519241921"/>
      </left>
      <right/>
      <top/>
      <bottom/>
      <diagonal/>
    </border>
    <border>
      <left/>
      <right style="thin">
        <color theme="4" tint="0.39997558519241921"/>
      </right>
      <top/>
      <bottom/>
      <diagonal/>
    </border>
    <border>
      <left style="hair">
        <color indexed="64"/>
      </left>
      <right/>
      <top/>
      <bottom/>
      <diagonal/>
    </border>
    <border>
      <left/>
      <right style="hair">
        <color indexed="64"/>
      </right>
      <top/>
      <bottom/>
      <diagonal/>
    </border>
    <border>
      <left style="hair">
        <color indexed="64"/>
      </left>
      <right style="double">
        <color indexed="64"/>
      </right>
      <top/>
      <bottom/>
      <diagonal/>
    </border>
    <border>
      <left style="double">
        <color indexed="64"/>
      </left>
      <right/>
      <top/>
      <bottom style="thin">
        <color indexed="64"/>
      </bottom>
      <diagonal/>
    </border>
    <border>
      <left/>
      <right/>
      <top/>
      <bottom style="double">
        <color theme="0" tint="-0.4999847407452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indexed="64"/>
      </right>
      <top style="medium">
        <color indexed="64"/>
      </top>
      <bottom style="thin">
        <color indexed="64"/>
      </bottom>
      <diagonal/>
    </border>
    <border>
      <left style="thin">
        <color theme="2" tint="-0.24994659260841701"/>
      </left>
      <right/>
      <top style="double">
        <color theme="2" tint="-0.24994659260841701"/>
      </top>
      <bottom style="double">
        <color theme="2" tint="-0.24994659260841701"/>
      </bottom>
      <diagonal/>
    </border>
    <border>
      <left/>
      <right style="thin">
        <color theme="2" tint="-0.24994659260841701"/>
      </right>
      <top style="double">
        <color theme="2" tint="-0.24994659260841701"/>
      </top>
      <bottom style="double">
        <color theme="2" tint="-0.24994659260841701"/>
      </bottom>
      <diagonal/>
    </border>
    <border>
      <left/>
      <right/>
      <top style="hair">
        <color indexed="64"/>
      </top>
      <bottom style="hair">
        <color indexed="64"/>
      </bottom>
      <diagonal/>
    </border>
    <border>
      <left style="hair">
        <color indexed="64"/>
      </left>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double">
        <color auto="1"/>
      </left>
      <right style="double">
        <color auto="1"/>
      </right>
      <top style="double">
        <color indexed="64"/>
      </top>
      <bottom/>
      <diagonal/>
    </border>
    <border>
      <left style="thin">
        <color theme="4" tint="0.39997558519241921"/>
      </left>
      <right/>
      <top style="thin">
        <color theme="4" tint="0.39997558519241921"/>
      </top>
      <bottom style="thin">
        <color theme="5" tint="0.39997558519241921"/>
      </bottom>
      <diagonal/>
    </border>
    <border>
      <left/>
      <right/>
      <top style="thin">
        <color theme="4" tint="0.39997558519241921"/>
      </top>
      <bottom style="thin">
        <color theme="5" tint="0.39997558519241921"/>
      </bottom>
      <diagonal/>
    </border>
    <border>
      <left/>
      <right style="thin">
        <color theme="4" tint="0.39997558519241921"/>
      </right>
      <top style="thin">
        <color theme="4" tint="0.39997558519241921"/>
      </top>
      <bottom style="thin">
        <color theme="5" tint="0.39997558519241921"/>
      </bottom>
      <diagonal/>
    </border>
    <border>
      <left/>
      <right/>
      <top/>
      <bottom style="thin">
        <color theme="5" tint="0.39997558519241921"/>
      </bottom>
      <diagonal/>
    </border>
    <border>
      <left style="thin">
        <color theme="4" tint="0.39997558519241921"/>
      </left>
      <right/>
      <top/>
      <bottom style="thin">
        <color theme="5" tint="0.39997558519241921"/>
      </bottom>
      <diagonal/>
    </border>
    <border>
      <left style="thin">
        <color auto="1"/>
      </left>
      <right style="double">
        <color auto="1"/>
      </right>
      <top/>
      <bottom/>
      <diagonal/>
    </border>
    <border>
      <left style="hair">
        <color indexed="64"/>
      </left>
      <right/>
      <top/>
      <bottom style="thin">
        <color auto="1"/>
      </bottom>
      <diagonal/>
    </border>
    <border>
      <left/>
      <right style="hair">
        <color indexed="64"/>
      </right>
      <top/>
      <bottom style="thin">
        <color auto="1"/>
      </bottom>
      <diagonal/>
    </border>
    <border>
      <left style="thin">
        <color indexed="64"/>
      </left>
      <right style="hair">
        <color indexed="64"/>
      </right>
      <top/>
      <bottom/>
      <diagonal/>
    </border>
    <border>
      <left style="thin">
        <color indexed="64"/>
      </left>
      <right style="hair">
        <color indexed="64"/>
      </right>
      <top/>
      <bottom style="thin">
        <color auto="1"/>
      </bottom>
      <diagonal/>
    </border>
    <border>
      <left style="medium">
        <color indexed="64"/>
      </left>
      <right style="medium">
        <color indexed="64"/>
      </right>
      <top/>
      <bottom style="thin">
        <color indexed="64"/>
      </bottom>
      <diagonal/>
    </border>
    <border>
      <left/>
      <right style="thin">
        <color theme="0" tint="-0.14996795556505021"/>
      </right>
      <top/>
      <bottom/>
      <diagonal/>
    </border>
    <border>
      <left style="double">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double">
        <color indexed="64"/>
      </right>
      <top style="thin">
        <color indexed="64"/>
      </top>
      <bottom style="double">
        <color indexed="64"/>
      </bottom>
      <diagonal/>
    </border>
    <border>
      <left style="medium">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style="double">
        <color indexed="64"/>
      </left>
      <right style="hair">
        <color indexed="64"/>
      </right>
      <top style="medium">
        <color indexed="64"/>
      </top>
      <bottom/>
      <diagonal/>
    </border>
    <border>
      <left style="hair">
        <color indexed="64"/>
      </left>
      <right style="hair">
        <color indexed="64"/>
      </right>
      <top style="medium">
        <color indexed="64"/>
      </top>
      <bottom style="thin">
        <color indexed="64"/>
      </bottom>
      <diagonal/>
    </border>
    <border>
      <left style="hair">
        <color indexed="64"/>
      </left>
      <right style="double">
        <color indexed="64"/>
      </right>
      <top style="medium">
        <color indexed="64"/>
      </top>
      <bottom style="thin">
        <color indexed="64"/>
      </bottom>
      <diagonal/>
    </border>
    <border>
      <left style="hair">
        <color indexed="64"/>
      </left>
      <right style="hair">
        <color indexed="64"/>
      </right>
      <top style="medium">
        <color indexed="64"/>
      </top>
      <bottom style="hair">
        <color indexed="64"/>
      </bottom>
      <diagonal/>
    </border>
    <border>
      <left style="double">
        <color indexed="64"/>
      </left>
      <right style="hair">
        <color indexed="64"/>
      </right>
      <top style="medium">
        <color indexed="64"/>
      </top>
      <bottom style="thin">
        <color indexed="64"/>
      </bottom>
      <diagonal/>
    </border>
    <border>
      <left style="hair">
        <color indexed="64"/>
      </left>
      <right/>
      <top style="medium">
        <color indexed="64"/>
      </top>
      <bottom/>
      <diagonal/>
    </border>
    <border>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double">
        <color indexed="64"/>
      </right>
      <top style="medium">
        <color indexed="64"/>
      </top>
      <bottom/>
      <diagonal/>
    </border>
    <border>
      <left style="double">
        <color auto="1"/>
      </left>
      <right style="double">
        <color auto="1"/>
      </right>
      <top style="medium">
        <color indexed="64"/>
      </top>
      <bottom style="double">
        <color indexed="64"/>
      </bottom>
      <diagonal/>
    </border>
    <border>
      <left style="double">
        <color auto="1"/>
      </left>
      <right style="double">
        <color auto="1"/>
      </right>
      <top style="medium">
        <color indexed="64"/>
      </top>
      <bottom/>
      <diagonal/>
    </border>
    <border>
      <left style="double">
        <color auto="1"/>
      </left>
      <right style="medium">
        <color indexed="64"/>
      </right>
      <top style="medium">
        <color indexed="64"/>
      </top>
      <bottom style="double">
        <color indexed="64"/>
      </bottom>
      <diagonal/>
    </border>
    <border>
      <left style="medium">
        <color indexed="64"/>
      </left>
      <right style="hair">
        <color indexed="64"/>
      </right>
      <top style="hair">
        <color indexed="64"/>
      </top>
      <bottom style="hair">
        <color indexed="64"/>
      </bottom>
      <diagonal/>
    </border>
    <border>
      <left style="double">
        <color auto="1"/>
      </left>
      <right style="medium">
        <color indexed="64"/>
      </right>
      <top style="double">
        <color indexed="64"/>
      </top>
      <bottom style="double">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double">
        <color indexed="64"/>
      </right>
      <top/>
      <bottom style="medium">
        <color indexed="64"/>
      </bottom>
      <diagonal/>
    </border>
    <border>
      <left style="double">
        <color auto="1"/>
      </left>
      <right style="double">
        <color auto="1"/>
      </right>
      <top style="double">
        <color indexed="64"/>
      </top>
      <bottom style="medium">
        <color indexed="64"/>
      </bottom>
      <diagonal/>
    </border>
    <border>
      <left style="double">
        <color indexed="64"/>
      </left>
      <right style="double">
        <color auto="1"/>
      </right>
      <top/>
      <bottom style="medium">
        <color indexed="64"/>
      </bottom>
      <diagonal/>
    </border>
    <border>
      <left style="double">
        <color auto="1"/>
      </left>
      <right style="medium">
        <color indexed="64"/>
      </right>
      <top style="double">
        <color indexed="64"/>
      </top>
      <bottom style="medium">
        <color indexed="64"/>
      </bottom>
      <diagonal/>
    </border>
    <border>
      <left style="double">
        <color indexed="64"/>
      </left>
      <right style="hair">
        <color indexed="64"/>
      </right>
      <top/>
      <bottom style="hair">
        <color indexed="64"/>
      </bottom>
      <diagonal/>
    </border>
    <border>
      <left style="hair">
        <color indexed="64"/>
      </left>
      <right style="double">
        <color indexed="64"/>
      </right>
      <top/>
      <bottom style="thin">
        <color indexed="64"/>
      </bottom>
      <diagonal/>
    </border>
    <border>
      <left style="hair">
        <color indexed="64"/>
      </left>
      <right style="hair">
        <color indexed="64"/>
      </right>
      <top/>
      <bottom style="hair">
        <color auto="1"/>
      </bottom>
      <diagonal/>
    </border>
    <border>
      <left style="double">
        <color indexed="64"/>
      </left>
      <right style="hair">
        <color indexed="64"/>
      </right>
      <top/>
      <bottom style="thin">
        <color indexed="64"/>
      </bottom>
      <diagonal/>
    </border>
    <border>
      <left style="medium">
        <color indexed="64"/>
      </left>
      <right style="double">
        <color auto="1"/>
      </right>
      <top/>
      <bottom style="thin">
        <color auto="1"/>
      </bottom>
      <diagonal/>
    </border>
    <border>
      <left style="medium">
        <color indexed="64"/>
      </left>
      <right style="double">
        <color auto="1"/>
      </right>
      <top style="medium">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thin">
        <color indexed="64"/>
      </right>
      <top/>
      <bottom style="medium">
        <color indexed="64"/>
      </bottom>
      <diagonal/>
    </border>
    <border>
      <left style="hair">
        <color indexed="64"/>
      </left>
      <right style="hair">
        <color indexed="64"/>
      </right>
      <top style="thin">
        <color indexed="64"/>
      </top>
      <bottom style="medium">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hair">
        <color indexed="64"/>
      </left>
      <right style="hair">
        <color indexed="64"/>
      </right>
      <top style="double">
        <color indexed="64"/>
      </top>
      <bottom style="hair">
        <color indexed="64"/>
      </bottom>
      <diagonal/>
    </border>
    <border>
      <left style="medium">
        <color indexed="64"/>
      </left>
      <right style="double">
        <color auto="1"/>
      </right>
      <top style="thin">
        <color auto="1"/>
      </top>
      <bottom style="double">
        <color indexed="64"/>
      </bottom>
      <diagonal/>
    </border>
    <border>
      <left style="hair">
        <color indexed="64"/>
      </left>
      <right style="double">
        <color indexed="64"/>
      </right>
      <top style="thin">
        <color indexed="64"/>
      </top>
      <bottom style="medium">
        <color indexed="64"/>
      </bottom>
      <diagonal/>
    </border>
    <border>
      <left style="double">
        <color indexed="64"/>
      </left>
      <right style="hair">
        <color indexed="64"/>
      </right>
      <top style="thin">
        <color indexed="64"/>
      </top>
      <bottom style="medium">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thin">
        <color indexed="64"/>
      </top>
      <bottom style="thin">
        <color indexed="64"/>
      </bottom>
      <diagonal/>
    </border>
    <border>
      <left style="thin">
        <color auto="1"/>
      </left>
      <right style="thin">
        <color auto="1"/>
      </right>
      <top style="thin">
        <color auto="1"/>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auto="1"/>
      </left>
      <right style="thin">
        <color theme="0"/>
      </right>
      <top style="thin">
        <color auto="1"/>
      </top>
      <bottom style="thin">
        <color auto="1"/>
      </bottom>
      <diagonal/>
    </border>
    <border>
      <left style="thin">
        <color theme="0"/>
      </left>
      <right style="thin">
        <color theme="0"/>
      </right>
      <top style="thin">
        <color auto="1"/>
      </top>
      <bottom style="thin">
        <color auto="1"/>
      </bottom>
      <diagonal/>
    </border>
    <border>
      <left style="thin">
        <color theme="0"/>
      </left>
      <right style="thin">
        <color auto="1"/>
      </right>
      <top style="thin">
        <color auto="1"/>
      </top>
      <bottom style="thin">
        <color auto="1"/>
      </bottom>
      <diagonal/>
    </border>
    <border>
      <left style="medium">
        <color indexed="64"/>
      </left>
      <right style="thin">
        <color indexed="64"/>
      </right>
      <top style="thin">
        <color indexed="64"/>
      </top>
      <bottom style="thin">
        <color indexed="64"/>
      </bottom>
      <diagonal/>
    </border>
    <border>
      <left style="medium">
        <color indexed="64"/>
      </left>
      <right style="double">
        <color auto="1"/>
      </right>
      <top style="thin">
        <color auto="1"/>
      </top>
      <bottom style="medium">
        <color indexed="64"/>
      </bottom>
      <diagonal/>
    </border>
    <border>
      <left style="hair">
        <color indexed="64"/>
      </left>
      <right/>
      <top/>
      <bottom style="double">
        <color indexed="64"/>
      </bottom>
      <diagonal/>
    </border>
    <border>
      <left/>
      <right style="double">
        <color indexed="64"/>
      </right>
      <top/>
      <bottom style="double">
        <color indexed="64"/>
      </bottom>
      <diagonal/>
    </border>
    <border>
      <left/>
      <right style="double">
        <color indexed="64"/>
      </right>
      <top style="double">
        <color indexed="64"/>
      </top>
      <bottom/>
      <diagonal/>
    </border>
    <border>
      <left style="hair">
        <color indexed="64"/>
      </left>
      <right/>
      <top style="double">
        <color indexed="64"/>
      </top>
      <bottom style="hair">
        <color indexed="64"/>
      </bottom>
      <diagonal/>
    </border>
    <border>
      <left/>
      <right/>
      <top style="double">
        <color indexed="64"/>
      </top>
      <bottom style="hair">
        <color indexed="64"/>
      </bottom>
      <diagonal/>
    </border>
    <border>
      <left style="thin">
        <color indexed="64"/>
      </left>
      <right style="hair">
        <color indexed="64"/>
      </right>
      <top style="thin">
        <color indexed="64"/>
      </top>
      <bottom style="medium">
        <color indexed="64"/>
      </bottom>
      <diagonal/>
    </border>
    <border>
      <left style="thin">
        <color indexed="64"/>
      </left>
      <right style="hair">
        <color indexed="64"/>
      </right>
      <top style="medium">
        <color indexed="64"/>
      </top>
      <bottom style="thin">
        <color indexed="64"/>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34998626667073579"/>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thin">
        <color rgb="FF000000"/>
      </bottom>
      <diagonal/>
    </border>
    <border>
      <left/>
      <right style="thin">
        <color theme="0" tint="-0.14993743705557422"/>
      </right>
      <top/>
      <bottom style="thin">
        <color theme="0" tint="-0.14993743705557422"/>
      </bottom>
      <diagonal/>
    </border>
    <border>
      <left/>
      <right/>
      <top/>
      <bottom style="thin">
        <color theme="0" tint="-0.14993743705557422"/>
      </bottom>
      <diagonal/>
    </border>
    <border>
      <left/>
      <right style="thin">
        <color indexed="64"/>
      </right>
      <top/>
      <bottom style="thin">
        <color theme="0" tint="-0.14993743705557422"/>
      </bottom>
      <diagonal/>
    </border>
    <border>
      <left style="thin">
        <color indexed="64"/>
      </left>
      <right style="thin">
        <color theme="0" tint="-0.14993743705557422"/>
      </right>
      <top/>
      <bottom style="thin">
        <color theme="0" tint="-0.14993743705557422"/>
      </bottom>
      <diagonal/>
    </border>
    <border>
      <left style="thin">
        <color theme="0" tint="-0.14996795556505021"/>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s>
  <cellStyleXfs count="54">
    <xf numFmtId="0" fontId="0" fillId="0" borderId="0"/>
    <xf numFmtId="0" fontId="12" fillId="0" borderId="0" applyNumberFormat="0" applyFill="0" applyBorder="0" applyAlignment="0" applyProtection="0"/>
    <xf numFmtId="9" fontId="1" fillId="0" borderId="0" applyFont="0" applyFill="0" applyBorder="0" applyAlignment="0" applyProtection="0"/>
    <xf numFmtId="0" fontId="5" fillId="14" borderId="0" applyNumberFormat="0" applyBorder="0" applyAlignment="0" applyProtection="0"/>
    <xf numFmtId="0" fontId="42" fillId="0" borderId="50" applyNumberFormat="0" applyFill="0" applyAlignment="0" applyProtection="0"/>
    <xf numFmtId="0" fontId="44" fillId="0" borderId="0"/>
    <xf numFmtId="0" fontId="41" fillId="0" borderId="0"/>
    <xf numFmtId="0" fontId="17" fillId="0" borderId="0"/>
    <xf numFmtId="0" fontId="41" fillId="0" borderId="0"/>
    <xf numFmtId="44" fontId="41" fillId="0" borderId="0" applyFont="0" applyFill="0" applyBorder="0" applyAlignment="0" applyProtection="0"/>
    <xf numFmtId="9" fontId="41" fillId="0" borderId="0" applyFont="0" applyFill="0" applyBorder="0" applyAlignment="0" applyProtection="0"/>
    <xf numFmtId="0" fontId="41" fillId="0" borderId="0"/>
    <xf numFmtId="0" fontId="92" fillId="27" borderId="0" applyNumberFormat="0" applyBorder="0" applyAlignment="0" applyProtection="0"/>
    <xf numFmtId="0" fontId="92" fillId="28" borderId="0" applyNumberFormat="0" applyBorder="0" applyAlignment="0" applyProtection="0"/>
    <xf numFmtId="0" fontId="92" fillId="29" borderId="0" applyNumberFormat="0" applyBorder="0" applyAlignment="0" applyProtection="0"/>
    <xf numFmtId="0" fontId="92" fillId="30" borderId="0" applyNumberFormat="0" applyBorder="0" applyAlignment="0" applyProtection="0"/>
    <xf numFmtId="0" fontId="92" fillId="31" borderId="0" applyNumberFormat="0" applyBorder="0" applyAlignment="0" applyProtection="0"/>
    <xf numFmtId="0" fontId="92" fillId="32" borderId="0" applyNumberFormat="0" applyBorder="0" applyAlignment="0" applyProtection="0"/>
    <xf numFmtId="0" fontId="92" fillId="33" borderId="0" applyNumberFormat="0" applyBorder="0" applyAlignment="0" applyProtection="0"/>
    <xf numFmtId="0" fontId="92" fillId="34" borderId="0" applyNumberFormat="0" applyBorder="0" applyAlignment="0" applyProtection="0"/>
    <xf numFmtId="0" fontId="92" fillId="35" borderId="0" applyNumberFormat="0" applyBorder="0" applyAlignment="0" applyProtection="0"/>
    <xf numFmtId="0" fontId="92" fillId="30" borderId="0" applyNumberFormat="0" applyBorder="0" applyAlignment="0" applyProtection="0"/>
    <xf numFmtId="0" fontId="92" fillId="33" borderId="0" applyNumberFormat="0" applyBorder="0" applyAlignment="0" applyProtection="0"/>
    <xf numFmtId="0" fontId="92" fillId="36" borderId="0" applyNumberFormat="0" applyBorder="0" applyAlignment="0" applyProtection="0"/>
    <xf numFmtId="0" fontId="93" fillId="37" borderId="0" applyNumberFormat="0" applyBorder="0" applyAlignment="0" applyProtection="0"/>
    <xf numFmtId="0" fontId="93" fillId="34" borderId="0" applyNumberFormat="0" applyBorder="0" applyAlignment="0" applyProtection="0"/>
    <xf numFmtId="0" fontId="93" fillId="35" borderId="0" applyNumberFormat="0" applyBorder="0" applyAlignment="0" applyProtection="0"/>
    <xf numFmtId="0" fontId="93" fillId="38" borderId="0" applyNumberFormat="0" applyBorder="0" applyAlignment="0" applyProtection="0"/>
    <xf numFmtId="0" fontId="93" fillId="39" borderId="0" applyNumberFormat="0" applyBorder="0" applyAlignment="0" applyProtection="0"/>
    <xf numFmtId="0" fontId="93" fillId="40" borderId="0" applyNumberFormat="0" applyBorder="0" applyAlignment="0" applyProtection="0"/>
    <xf numFmtId="0" fontId="93" fillId="41" borderId="0" applyNumberFormat="0" applyBorder="0" applyAlignment="0" applyProtection="0"/>
    <xf numFmtId="0" fontId="93" fillId="42" borderId="0" applyNumberFormat="0" applyBorder="0" applyAlignment="0" applyProtection="0"/>
    <xf numFmtId="0" fontId="93" fillId="43" borderId="0" applyNumberFormat="0" applyBorder="0" applyAlignment="0" applyProtection="0"/>
    <xf numFmtId="0" fontId="93" fillId="38" borderId="0" applyNumberFormat="0" applyBorder="0" applyAlignment="0" applyProtection="0"/>
    <xf numFmtId="0" fontId="93" fillId="39" borderId="0" applyNumberFormat="0" applyBorder="0" applyAlignment="0" applyProtection="0"/>
    <xf numFmtId="0" fontId="93" fillId="44" borderId="0" applyNumberFormat="0" applyBorder="0" applyAlignment="0" applyProtection="0"/>
    <xf numFmtId="0" fontId="94" fillId="28" borderId="0" applyNumberFormat="0" applyBorder="0" applyAlignment="0" applyProtection="0"/>
    <xf numFmtId="0" fontId="95" fillId="45" borderId="117" applyNumberFormat="0" applyAlignment="0" applyProtection="0"/>
    <xf numFmtId="0" fontId="96" fillId="46" borderId="118" applyNumberFormat="0" applyAlignment="0" applyProtection="0"/>
    <xf numFmtId="43" fontId="41" fillId="0" borderId="0" applyFont="0" applyFill="0" applyBorder="0" applyAlignment="0" applyProtection="0"/>
    <xf numFmtId="0" fontId="97" fillId="0" borderId="0" applyNumberFormat="0" applyFill="0" applyBorder="0" applyAlignment="0" applyProtection="0"/>
    <xf numFmtId="0" fontId="98" fillId="29" borderId="0" applyNumberFormat="0" applyBorder="0" applyAlignment="0" applyProtection="0"/>
    <xf numFmtId="0" fontId="99" fillId="0" borderId="119" applyNumberFormat="0" applyFill="0" applyAlignment="0" applyProtection="0"/>
    <xf numFmtId="0" fontId="100" fillId="0" borderId="120" applyNumberFormat="0" applyFill="0" applyAlignment="0" applyProtection="0"/>
    <xf numFmtId="0" fontId="100" fillId="0" borderId="0" applyNumberFormat="0" applyFill="0" applyBorder="0" applyAlignment="0" applyProtection="0"/>
    <xf numFmtId="0" fontId="101" fillId="32" borderId="117" applyNumberFormat="0" applyAlignment="0" applyProtection="0"/>
    <xf numFmtId="0" fontId="102" fillId="0" borderId="121" applyNumberFormat="0" applyFill="0" applyAlignment="0" applyProtection="0"/>
    <xf numFmtId="0" fontId="103" fillId="47" borderId="0" applyNumberFormat="0" applyBorder="0" applyAlignment="0" applyProtection="0"/>
    <xf numFmtId="0" fontId="41" fillId="48" borderId="122" applyNumberFormat="0" applyFont="0" applyAlignment="0" applyProtection="0"/>
    <xf numFmtId="0" fontId="104" fillId="45" borderId="123" applyNumberFormat="0" applyAlignment="0" applyProtection="0"/>
    <xf numFmtId="0" fontId="105" fillId="0" borderId="0" applyNumberFormat="0" applyFill="0" applyBorder="0" applyAlignment="0" applyProtection="0"/>
    <xf numFmtId="0" fontId="106" fillId="0" borderId="124" applyNumberFormat="0" applyFill="0" applyAlignment="0" applyProtection="0"/>
    <xf numFmtId="0" fontId="107" fillId="0" borderId="0" applyNumberFormat="0" applyFill="0" applyBorder="0" applyAlignment="0" applyProtection="0"/>
    <xf numFmtId="43" fontId="1" fillId="0" borderId="0" applyFont="0" applyFill="0" applyBorder="0" applyAlignment="0" applyProtection="0"/>
  </cellStyleXfs>
  <cellXfs count="2065">
    <xf numFmtId="0" fontId="0" fillId="0" borderId="0" xfId="0"/>
    <xf numFmtId="0" fontId="0" fillId="2" borderId="0" xfId="0" applyFill="1"/>
    <xf numFmtId="0" fontId="4" fillId="0" borderId="0" xfId="0" applyFont="1"/>
    <xf numFmtId="0" fontId="1" fillId="0" borderId="0" xfId="0" applyFont="1"/>
    <xf numFmtId="0" fontId="6" fillId="0" borderId="0" xfId="0" applyFont="1"/>
    <xf numFmtId="0" fontId="5" fillId="0" borderId="0" xfId="0" applyFont="1" applyAlignment="1">
      <alignment vertical="center"/>
    </xf>
    <xf numFmtId="0" fontId="7" fillId="0" borderId="0" xfId="0" applyFont="1" applyAlignment="1">
      <alignment horizontal="left" vertical="center"/>
    </xf>
    <xf numFmtId="0" fontId="8" fillId="0" borderId="0" xfId="0" applyFont="1" applyAlignment="1">
      <alignment vertical="center"/>
    </xf>
    <xf numFmtId="0" fontId="12" fillId="0" borderId="0" xfId="1"/>
    <xf numFmtId="0" fontId="0" fillId="3" borderId="0" xfId="0" applyFill="1"/>
    <xf numFmtId="0" fontId="16" fillId="0" borderId="0" xfId="0" applyFont="1"/>
    <xf numFmtId="0" fontId="16" fillId="3" borderId="0" xfId="0" applyFont="1" applyFill="1"/>
    <xf numFmtId="0" fontId="0" fillId="0" borderId="0" xfId="0" applyAlignment="1">
      <alignment horizontal="center"/>
    </xf>
    <xf numFmtId="0" fontId="21" fillId="0" borderId="0" xfId="0" applyFont="1"/>
    <xf numFmtId="0" fontId="0" fillId="0" borderId="0" xfId="0" applyAlignment="1">
      <alignment horizontal="left" indent="1"/>
    </xf>
    <xf numFmtId="0" fontId="3" fillId="0" borderId="0" xfId="0" applyFont="1" applyAlignment="1">
      <alignment horizontal="center"/>
    </xf>
    <xf numFmtId="0" fontId="9" fillId="0" borderId="0" xfId="0" applyFont="1" applyAlignment="1">
      <alignment vertical="center"/>
    </xf>
    <xf numFmtId="0" fontId="11" fillId="0" borderId="0" xfId="0" applyFont="1" applyAlignment="1">
      <alignment vertical="center"/>
    </xf>
    <xf numFmtId="0" fontId="13" fillId="0" borderId="0" xfId="0" applyFont="1"/>
    <xf numFmtId="0" fontId="11" fillId="0" borderId="0" xfId="0" applyFont="1" applyAlignment="1">
      <alignment vertical="top"/>
    </xf>
    <xf numFmtId="0" fontId="2" fillId="5" borderId="4" xfId="0" applyFont="1" applyFill="1" applyBorder="1"/>
    <xf numFmtId="0" fontId="2" fillId="5" borderId="5" xfId="0" applyFont="1" applyFill="1" applyBorder="1"/>
    <xf numFmtId="0" fontId="0" fillId="0" borderId="4" xfId="0" applyBorder="1"/>
    <xf numFmtId="0" fontId="0" fillId="0" borderId="5" xfId="0" applyBorder="1"/>
    <xf numFmtId="0" fontId="0" fillId="0" borderId="6" xfId="0" applyBorder="1"/>
    <xf numFmtId="0" fontId="0" fillId="6" borderId="4" xfId="0" applyFill="1" applyBorder="1"/>
    <xf numFmtId="0" fontId="0" fillId="6" borderId="5" xfId="0" applyFill="1" applyBorder="1"/>
    <xf numFmtId="0" fontId="0" fillId="0" borderId="7" xfId="0" applyBorder="1"/>
    <xf numFmtId="0" fontId="2" fillId="5" borderId="8" xfId="0" applyFont="1" applyFill="1" applyBorder="1"/>
    <xf numFmtId="0" fontId="0" fillId="6" borderId="6" xfId="0" applyFill="1" applyBorder="1"/>
    <xf numFmtId="0" fontId="0" fillId="6" borderId="7" xfId="0" applyFill="1" applyBorder="1"/>
    <xf numFmtId="0" fontId="0" fillId="0" borderId="0" xfId="0" quotePrefix="1"/>
    <xf numFmtId="0" fontId="16" fillId="0" borderId="0" xfId="0" applyFont="1" applyAlignment="1">
      <alignment horizontal="left"/>
    </xf>
    <xf numFmtId="0" fontId="0" fillId="0" borderId="5" xfId="0" applyBorder="1" applyAlignment="1">
      <alignment horizontal="center"/>
    </xf>
    <xf numFmtId="0" fontId="0" fillId="6" borderId="5" xfId="0" applyFill="1" applyBorder="1" applyAlignment="1">
      <alignment horizontal="center"/>
    </xf>
    <xf numFmtId="0" fontId="0" fillId="6" borderId="6" xfId="0" applyFill="1" applyBorder="1" applyAlignment="1">
      <alignment horizontal="center"/>
    </xf>
    <xf numFmtId="0" fontId="2" fillId="5" borderId="5" xfId="0" applyFont="1" applyFill="1" applyBorder="1" applyAlignment="1">
      <alignment horizontal="center"/>
    </xf>
    <xf numFmtId="0" fontId="14" fillId="0" borderId="0" xfId="0" applyFont="1"/>
    <xf numFmtId="0" fontId="17" fillId="0" borderId="0" xfId="0" applyFont="1"/>
    <xf numFmtId="0" fontId="0" fillId="0" borderId="4" xfId="0" applyBorder="1" applyAlignment="1">
      <alignment horizontal="center"/>
    </xf>
    <xf numFmtId="0" fontId="0" fillId="6" borderId="4" xfId="0" applyFill="1" applyBorder="1" applyAlignment="1">
      <alignment horizontal="center"/>
    </xf>
    <xf numFmtId="2" fontId="0" fillId="6" borderId="5" xfId="0" applyNumberFormat="1" applyFill="1" applyBorder="1" applyAlignment="1">
      <alignment horizontal="center"/>
    </xf>
    <xf numFmtId="2" fontId="0" fillId="0" borderId="5" xfId="0" applyNumberFormat="1" applyBorder="1" applyAlignment="1">
      <alignment horizontal="center"/>
    </xf>
    <xf numFmtId="0" fontId="11" fillId="0" borderId="0" xfId="0" applyFont="1" applyAlignment="1">
      <alignment horizontal="center" vertical="top"/>
    </xf>
    <xf numFmtId="0" fontId="23" fillId="0" borderId="0" xfId="0" applyFont="1"/>
    <xf numFmtId="0" fontId="17" fillId="3" borderId="0" xfId="0" applyFont="1" applyFill="1"/>
    <xf numFmtId="0" fontId="24" fillId="0" borderId="0" xfId="0" applyFont="1" applyAlignment="1">
      <alignment vertical="center"/>
    </xf>
    <xf numFmtId="0" fontId="18" fillId="3" borderId="0" xfId="0" applyFont="1" applyFill="1" applyAlignment="1">
      <alignment horizontal="right"/>
    </xf>
    <xf numFmtId="0" fontId="0" fillId="0" borderId="0" xfId="0" applyProtection="1">
      <protection locked="0"/>
    </xf>
    <xf numFmtId="0" fontId="12" fillId="0" borderId="0" xfId="1" applyProtection="1"/>
    <xf numFmtId="0" fontId="3" fillId="0" borderId="0" xfId="0" applyFont="1"/>
    <xf numFmtId="0" fontId="0" fillId="0" borderId="12" xfId="0" applyBorder="1"/>
    <xf numFmtId="0" fontId="0" fillId="0" borderId="13" xfId="0" applyBorder="1"/>
    <xf numFmtId="0" fontId="18" fillId="0" borderId="14" xfId="0" applyFont="1" applyBorder="1" applyAlignment="1">
      <alignment horizontal="right" indent="1"/>
    </xf>
    <xf numFmtId="0" fontId="0" fillId="0" borderId="16" xfId="0" applyBorder="1"/>
    <xf numFmtId="0" fontId="18" fillId="0" borderId="17" xfId="0" applyFont="1" applyBorder="1" applyAlignment="1">
      <alignment horizontal="right" indent="1"/>
    </xf>
    <xf numFmtId="0" fontId="29" fillId="0" borderId="0" xfId="0" applyFont="1"/>
    <xf numFmtId="0" fontId="28" fillId="0" borderId="0" xfId="0" applyFont="1" applyAlignment="1">
      <alignment horizontal="left" indent="1"/>
    </xf>
    <xf numFmtId="0" fontId="28" fillId="0" borderId="21" xfId="0" applyFont="1" applyBorder="1"/>
    <xf numFmtId="0" fontId="4" fillId="2" borderId="24" xfId="0" applyFont="1" applyFill="1" applyBorder="1" applyAlignment="1">
      <alignment vertical="center" wrapText="1"/>
    </xf>
    <xf numFmtId="0" fontId="4" fillId="0" borderId="0" xfId="0" applyFont="1" applyAlignment="1">
      <alignment horizontal="center" vertical="center" wrapText="1"/>
    </xf>
    <xf numFmtId="0" fontId="2" fillId="5" borderId="24" xfId="0" applyFont="1" applyFill="1" applyBorder="1" applyAlignment="1">
      <alignment horizontal="center" vertical="center" wrapText="1"/>
    </xf>
    <xf numFmtId="0" fontId="21" fillId="0" borderId="0" xfId="0" applyFont="1" applyAlignment="1">
      <alignment horizontal="center" vertical="center" wrapText="1"/>
    </xf>
    <xf numFmtId="0" fontId="2" fillId="5" borderId="25" xfId="0" applyFont="1" applyFill="1" applyBorder="1" applyAlignment="1">
      <alignment horizontal="center" vertical="center" wrapText="1"/>
    </xf>
    <xf numFmtId="0" fontId="2" fillId="5" borderId="31" xfId="0" applyFont="1" applyFill="1" applyBorder="1" applyAlignment="1">
      <alignment horizontal="center" vertical="center" wrapText="1"/>
    </xf>
    <xf numFmtId="9" fontId="0" fillId="0" borderId="0" xfId="0" applyNumberFormat="1" applyAlignment="1">
      <alignment horizontal="center"/>
    </xf>
    <xf numFmtId="0" fontId="16" fillId="0" borderId="0" xfId="0" applyFont="1" applyAlignment="1">
      <alignment vertical="center" wrapText="1"/>
    </xf>
    <xf numFmtId="0" fontId="16" fillId="0" borderId="0" xfId="2" applyNumberFormat="1" applyFont="1" applyFill="1" applyBorder="1" applyAlignment="1">
      <alignment horizontal="center" vertical="center" wrapText="1"/>
    </xf>
    <xf numFmtId="9" fontId="16" fillId="0" borderId="0" xfId="0" applyNumberFormat="1" applyFont="1" applyAlignment="1">
      <alignment horizontal="center" vertical="center" wrapText="1"/>
    </xf>
    <xf numFmtId="9" fontId="0" fillId="0" borderId="0" xfId="2" applyFont="1" applyFill="1" applyBorder="1" applyAlignment="1">
      <alignment horizontal="center" vertical="center"/>
    </xf>
    <xf numFmtId="9" fontId="0" fillId="0" borderId="0" xfId="2" applyFont="1" applyBorder="1" applyAlignment="1">
      <alignment horizontal="center"/>
    </xf>
    <xf numFmtId="0" fontId="3" fillId="0" borderId="0" xfId="0" applyFont="1" applyAlignment="1">
      <alignment vertical="center" wrapText="1"/>
    </xf>
    <xf numFmtId="0" fontId="2" fillId="8" borderId="25" xfId="0" applyFont="1" applyFill="1" applyBorder="1" applyAlignment="1">
      <alignment vertical="center" wrapText="1"/>
    </xf>
    <xf numFmtId="0" fontId="2" fillId="8" borderId="9" xfId="0" applyFont="1" applyFill="1" applyBorder="1" applyAlignment="1">
      <alignment horizontal="center" vertical="center" wrapText="1"/>
    </xf>
    <xf numFmtId="0" fontId="2" fillId="5" borderId="8" xfId="0" applyFont="1" applyFill="1" applyBorder="1" applyAlignment="1">
      <alignment horizontal="center"/>
    </xf>
    <xf numFmtId="0" fontId="0" fillId="10" borderId="0" xfId="0" applyFill="1"/>
    <xf numFmtId="0" fontId="33" fillId="12" borderId="0" xfId="0" applyFont="1" applyFill="1"/>
    <xf numFmtId="0" fontId="33" fillId="11" borderId="33" xfId="0" applyFont="1" applyFill="1" applyBorder="1"/>
    <xf numFmtId="0" fontId="17" fillId="9" borderId="0" xfId="0" applyFont="1" applyFill="1"/>
    <xf numFmtId="0" fontId="33" fillId="10" borderId="33" xfId="0" applyFont="1" applyFill="1" applyBorder="1"/>
    <xf numFmtId="0" fontId="33" fillId="9" borderId="36" xfId="0" applyFont="1" applyFill="1" applyBorder="1"/>
    <xf numFmtId="0" fontId="17" fillId="9" borderId="33" xfId="0" applyFont="1" applyFill="1" applyBorder="1"/>
    <xf numFmtId="0" fontId="17" fillId="0" borderId="0" xfId="0" applyFont="1" applyAlignment="1">
      <alignment vertical="center"/>
    </xf>
    <xf numFmtId="0" fontId="0" fillId="6" borderId="8" xfId="0" applyFill="1" applyBorder="1"/>
    <xf numFmtId="0" fontId="0" fillId="0" borderId="8" xfId="0" applyBorder="1"/>
    <xf numFmtId="164" fontId="0" fillId="0" borderId="5" xfId="0" applyNumberFormat="1" applyBorder="1" applyAlignment="1">
      <alignment horizontal="center"/>
    </xf>
    <xf numFmtId="0" fontId="0" fillId="0" borderId="6" xfId="0" applyBorder="1" applyAlignment="1">
      <alignment horizontal="center"/>
    </xf>
    <xf numFmtId="0" fontId="17" fillId="7" borderId="0" xfId="0" applyFont="1" applyFill="1"/>
    <xf numFmtId="0" fontId="0" fillId="7" borderId="0" xfId="0" applyFill="1"/>
    <xf numFmtId="0" fontId="14" fillId="7" borderId="37" xfId="0" applyFont="1" applyFill="1" applyBorder="1"/>
    <xf numFmtId="0" fontId="17" fillId="0" borderId="0" xfId="0" applyFont="1" applyAlignment="1">
      <alignment horizontal="center"/>
    </xf>
    <xf numFmtId="0" fontId="10"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6" fillId="0" borderId="0" xfId="0" applyFont="1" applyAlignment="1">
      <alignment textRotation="90"/>
    </xf>
    <xf numFmtId="0" fontId="0" fillId="0" borderId="41" xfId="0" applyBorder="1"/>
    <xf numFmtId="0" fontId="0" fillId="0" borderId="0" xfId="0" applyAlignment="1">
      <alignment horizontal="left"/>
    </xf>
    <xf numFmtId="0" fontId="4" fillId="0" borderId="0" xfId="0" applyFont="1" applyAlignment="1">
      <alignment horizontal="right" wrapText="1" indent="1"/>
    </xf>
    <xf numFmtId="0" fontId="4" fillId="0" borderId="0" xfId="0" applyFont="1" applyAlignment="1">
      <alignment horizontal="left"/>
    </xf>
    <xf numFmtId="165" fontId="0" fillId="0" borderId="0" xfId="0" applyNumberFormat="1" applyAlignment="1">
      <alignment horizontal="center"/>
    </xf>
    <xf numFmtId="0" fontId="4" fillId="0" borderId="0" xfId="0" applyFont="1" applyAlignment="1">
      <alignment horizontal="left" indent="1"/>
    </xf>
    <xf numFmtId="166" fontId="0" fillId="0" borderId="23" xfId="0" applyNumberFormat="1" applyBorder="1" applyAlignment="1">
      <alignment horizontal="center"/>
    </xf>
    <xf numFmtId="10" fontId="0" fillId="0" borderId="0" xfId="0" applyNumberFormat="1" applyAlignment="1">
      <alignment horizontal="center"/>
    </xf>
    <xf numFmtId="3" fontId="16" fillId="0" borderId="0" xfId="0" applyNumberFormat="1" applyFont="1"/>
    <xf numFmtId="167" fontId="31" fillId="0" borderId="0" xfId="0" applyNumberFormat="1" applyFont="1"/>
    <xf numFmtId="0" fontId="14" fillId="0" borderId="0" xfId="0" applyFont="1" applyAlignment="1">
      <alignment horizontal="center"/>
    </xf>
    <xf numFmtId="0" fontId="2" fillId="5" borderId="0" xfId="0" applyFont="1" applyFill="1"/>
    <xf numFmtId="0" fontId="0" fillId="6" borderId="0" xfId="0" applyFill="1" applyAlignment="1">
      <alignment horizontal="center"/>
    </xf>
    <xf numFmtId="168" fontId="0" fillId="0" borderId="0" xfId="0" applyNumberFormat="1" applyAlignment="1">
      <alignment horizontal="center"/>
    </xf>
    <xf numFmtId="168" fontId="0" fillId="6" borderId="0" xfId="0" applyNumberFormat="1" applyFill="1" applyAlignment="1">
      <alignment horizontal="center"/>
    </xf>
    <xf numFmtId="0" fontId="37" fillId="0" borderId="0" xfId="0" applyFont="1" applyAlignment="1">
      <alignment horizontal="center" vertical="center"/>
    </xf>
    <xf numFmtId="0" fontId="14" fillId="0" borderId="23" xfId="0" applyFont="1" applyBorder="1" applyAlignment="1">
      <alignment horizontal="center"/>
    </xf>
    <xf numFmtId="164" fontId="0" fillId="0" borderId="0" xfId="0" applyNumberFormat="1" applyAlignment="1">
      <alignment horizontal="center"/>
    </xf>
    <xf numFmtId="164" fontId="0" fillId="6" borderId="0" xfId="0" applyNumberFormat="1" applyFill="1" applyAlignment="1">
      <alignment horizontal="center"/>
    </xf>
    <xf numFmtId="0" fontId="34" fillId="0" borderId="0" xfId="0" applyFont="1" applyAlignment="1">
      <alignment vertical="center"/>
    </xf>
    <xf numFmtId="0" fontId="4" fillId="0" borderId="0" xfId="0" applyFont="1" applyAlignment="1">
      <alignment horizontal="center" wrapText="1"/>
    </xf>
    <xf numFmtId="0" fontId="4" fillId="0" borderId="41" xfId="0" applyFont="1" applyBorder="1" applyAlignment="1">
      <alignment wrapText="1"/>
    </xf>
    <xf numFmtId="0" fontId="4" fillId="0" borderId="41" xfId="0" applyFont="1" applyBorder="1" applyAlignment="1">
      <alignment horizontal="center" wrapText="1"/>
    </xf>
    <xf numFmtId="0" fontId="0" fillId="0" borderId="41" xfId="0" applyBorder="1" applyAlignment="1">
      <alignment horizontal="center"/>
    </xf>
    <xf numFmtId="166" fontId="0" fillId="0" borderId="0" xfId="0" applyNumberFormat="1" applyAlignment="1">
      <alignment horizontal="center"/>
    </xf>
    <xf numFmtId="165" fontId="0" fillId="0" borderId="0" xfId="0" applyNumberFormat="1"/>
    <xf numFmtId="0" fontId="3" fillId="0" borderId="0" xfId="0" applyFont="1" applyAlignment="1">
      <alignment horizontal="left"/>
    </xf>
    <xf numFmtId="0" fontId="16" fillId="6" borderId="4" xfId="0" applyFont="1" applyFill="1" applyBorder="1"/>
    <xf numFmtId="0" fontId="16" fillId="6" borderId="8" xfId="0" applyFont="1" applyFill="1" applyBorder="1" applyAlignment="1">
      <alignment horizontal="center"/>
    </xf>
    <xf numFmtId="0" fontId="16" fillId="6" borderId="5" xfId="0" applyFont="1" applyFill="1" applyBorder="1" applyAlignment="1">
      <alignment horizontal="center"/>
    </xf>
    <xf numFmtId="0" fontId="16" fillId="0" borderId="4" xfId="0" applyFont="1" applyBorder="1"/>
    <xf numFmtId="0" fontId="16" fillId="0" borderId="8" xfId="0" applyFont="1" applyBorder="1" applyAlignment="1">
      <alignment horizontal="center"/>
    </xf>
    <xf numFmtId="0" fontId="16" fillId="0" borderId="5" xfId="0" applyFont="1" applyBorder="1" applyAlignment="1">
      <alignment horizontal="center"/>
    </xf>
    <xf numFmtId="0" fontId="16" fillId="6" borderId="7" xfId="0" applyFont="1" applyFill="1" applyBorder="1"/>
    <xf numFmtId="0" fontId="16" fillId="6" borderId="32" xfId="0" applyFont="1" applyFill="1" applyBorder="1" applyAlignment="1">
      <alignment horizontal="center"/>
    </xf>
    <xf numFmtId="0" fontId="16" fillId="6" borderId="6" xfId="0" applyFont="1" applyFill="1" applyBorder="1" applyAlignment="1">
      <alignment horizontal="center"/>
    </xf>
    <xf numFmtId="3" fontId="0" fillId="0" borderId="0" xfId="0" applyNumberFormat="1" applyAlignment="1">
      <alignment horizontal="center"/>
    </xf>
    <xf numFmtId="0" fontId="39" fillId="0" borderId="0" xfId="0" applyFont="1" applyAlignment="1">
      <alignment horizontal="right"/>
    </xf>
    <xf numFmtId="10" fontId="40" fillId="0" borderId="0" xfId="0" applyNumberFormat="1" applyFont="1" applyAlignment="1">
      <alignment horizontal="center" wrapText="1"/>
    </xf>
    <xf numFmtId="9" fontId="40" fillId="0" borderId="0" xfId="0" applyNumberFormat="1" applyFont="1" applyAlignment="1">
      <alignment horizontal="center"/>
    </xf>
    <xf numFmtId="0" fontId="40" fillId="0" borderId="0" xfId="0" applyFont="1" applyAlignment="1">
      <alignment horizontal="center"/>
    </xf>
    <xf numFmtId="0" fontId="41" fillId="0" borderId="49" xfId="0" applyFont="1" applyBorder="1" applyAlignment="1">
      <alignment horizontal="center"/>
    </xf>
    <xf numFmtId="0" fontId="4" fillId="2" borderId="29" xfId="0" applyFont="1" applyFill="1" applyBorder="1" applyAlignment="1">
      <alignment horizontal="center" wrapText="1"/>
    </xf>
    <xf numFmtId="0" fontId="17" fillId="10" borderId="0" xfId="0" applyFont="1" applyFill="1" applyAlignment="1">
      <alignment horizontal="center" vertical="center"/>
    </xf>
    <xf numFmtId="0" fontId="4" fillId="0" borderId="0" xfId="0" applyFont="1" applyAlignment="1">
      <alignment horizontal="right"/>
    </xf>
    <xf numFmtId="0" fontId="0" fillId="0" borderId="49" xfId="0" applyBorder="1" applyAlignment="1">
      <alignment horizontal="left" indent="1"/>
    </xf>
    <xf numFmtId="0" fontId="49" fillId="0" borderId="0" xfId="0" applyFont="1" applyAlignment="1">
      <alignment horizontal="center"/>
    </xf>
    <xf numFmtId="0" fontId="0" fillId="3" borderId="62" xfId="0" applyFill="1" applyBorder="1"/>
    <xf numFmtId="0" fontId="0" fillId="3" borderId="63" xfId="0" applyFill="1" applyBorder="1"/>
    <xf numFmtId="0" fontId="0" fillId="3" borderId="0" xfId="0" applyFill="1" applyAlignment="1">
      <alignment horizontal="center"/>
    </xf>
    <xf numFmtId="0" fontId="0" fillId="3" borderId="0" xfId="0" applyFill="1" applyAlignment="1">
      <alignment horizontal="right"/>
    </xf>
    <xf numFmtId="0" fontId="0" fillId="3" borderId="0" xfId="0" applyFill="1" applyAlignment="1">
      <alignment horizontal="left" indent="1"/>
    </xf>
    <xf numFmtId="0" fontId="49" fillId="3" borderId="0" xfId="0" applyFont="1" applyFill="1" applyAlignment="1">
      <alignment horizontal="center"/>
    </xf>
    <xf numFmtId="0" fontId="0" fillId="3" borderId="64" xfId="0" applyFill="1" applyBorder="1"/>
    <xf numFmtId="0" fontId="0" fillId="3" borderId="65" xfId="0" applyFill="1" applyBorder="1"/>
    <xf numFmtId="0" fontId="0" fillId="3" borderId="66" xfId="0" applyFill="1" applyBorder="1"/>
    <xf numFmtId="0" fontId="44" fillId="3" borderId="63" xfId="0" applyFont="1" applyFill="1" applyBorder="1" applyAlignment="1">
      <alignment horizontal="right"/>
    </xf>
    <xf numFmtId="0" fontId="0" fillId="3" borderId="0" xfId="0" applyFill="1" applyAlignment="1">
      <alignment horizontal="right" indent="1"/>
    </xf>
    <xf numFmtId="0" fontId="44" fillId="3" borderId="0" xfId="0" applyFont="1" applyFill="1" applyAlignment="1">
      <alignment horizontal="right"/>
    </xf>
    <xf numFmtId="0" fontId="44" fillId="3" borderId="66" xfId="0" applyFont="1" applyFill="1" applyBorder="1" applyAlignment="1">
      <alignment horizontal="right"/>
    </xf>
    <xf numFmtId="0" fontId="44" fillId="3" borderId="0" xfId="0" applyFont="1" applyFill="1" applyAlignment="1">
      <alignment horizontal="right" indent="1"/>
    </xf>
    <xf numFmtId="0" fontId="44" fillId="3" borderId="0" xfId="0" applyFont="1" applyFill="1" applyAlignment="1">
      <alignment horizontal="right" vertical="center"/>
    </xf>
    <xf numFmtId="169" fontId="44" fillId="3" borderId="0" xfId="0" applyNumberFormat="1" applyFont="1" applyFill="1" applyAlignment="1">
      <alignment horizontal="left" shrinkToFit="1"/>
    </xf>
    <xf numFmtId="0" fontId="44" fillId="3" borderId="0" xfId="0" applyFont="1" applyFill="1"/>
    <xf numFmtId="169" fontId="44" fillId="3" borderId="0" xfId="0" applyNumberFormat="1" applyFont="1" applyFill="1" applyAlignment="1">
      <alignment horizontal="left" indent="1" shrinkToFit="1"/>
    </xf>
    <xf numFmtId="0" fontId="0" fillId="3" borderId="0" xfId="0" applyFill="1" applyAlignment="1">
      <alignment vertical="center"/>
    </xf>
    <xf numFmtId="0" fontId="44" fillId="3" borderId="0" xfId="0" applyFont="1" applyFill="1" applyAlignment="1">
      <alignment horizontal="right" vertical="center" indent="1"/>
    </xf>
    <xf numFmtId="0" fontId="16" fillId="3" borderId="0" xfId="0" applyFont="1" applyFill="1" applyAlignment="1">
      <alignment horizontal="left" vertical="top" indent="1"/>
    </xf>
    <xf numFmtId="172" fontId="44" fillId="3" borderId="0" xfId="0" applyNumberFormat="1" applyFont="1" applyFill="1" applyAlignment="1">
      <alignment horizontal="left" vertical="top" indent="1" shrinkToFit="1"/>
    </xf>
    <xf numFmtId="0" fontId="44" fillId="3" borderId="0" xfId="0" applyFont="1" applyFill="1" applyAlignment="1">
      <alignment horizontal="left" indent="1" shrinkToFit="1"/>
    </xf>
    <xf numFmtId="0" fontId="44" fillId="3" borderId="0" xfId="0" applyFont="1" applyFill="1" applyAlignment="1">
      <alignment horizontal="left" shrinkToFit="1"/>
    </xf>
    <xf numFmtId="0" fontId="16" fillId="3" borderId="65" xfId="0" applyFont="1" applyFill="1" applyBorder="1"/>
    <xf numFmtId="0" fontId="2" fillId="5" borderId="72" xfId="0" applyFont="1" applyFill="1" applyBorder="1"/>
    <xf numFmtId="0" fontId="0" fillId="6" borderId="73" xfId="0" applyFill="1" applyBorder="1"/>
    <xf numFmtId="0" fontId="51" fillId="0" borderId="0" xfId="0" applyFont="1"/>
    <xf numFmtId="0" fontId="53" fillId="3" borderId="0" xfId="0" applyFont="1" applyFill="1" applyAlignment="1">
      <alignment horizontal="left" vertical="center"/>
    </xf>
    <xf numFmtId="0" fontId="54" fillId="3" borderId="0" xfId="0" applyFont="1" applyFill="1" applyAlignment="1">
      <alignment horizontal="left" vertical="center"/>
    </xf>
    <xf numFmtId="0" fontId="55" fillId="0" borderId="0" xfId="0" applyFont="1" applyAlignment="1">
      <alignment horizontal="left" vertical="center"/>
    </xf>
    <xf numFmtId="0" fontId="56" fillId="0" borderId="0" xfId="0" applyFont="1" applyAlignment="1">
      <alignment horizontal="left" indent="1"/>
    </xf>
    <xf numFmtId="0" fontId="0" fillId="0" borderId="0" xfId="0" applyAlignment="1">
      <alignment vertical="top"/>
    </xf>
    <xf numFmtId="0" fontId="59" fillId="0" borderId="0" xfId="0" applyFont="1" applyAlignment="1">
      <alignment vertical="top"/>
    </xf>
    <xf numFmtId="0" fontId="45" fillId="0" borderId="0" xfId="0" applyFont="1" applyAlignment="1">
      <alignment horizontal="left" vertical="top"/>
    </xf>
    <xf numFmtId="0" fontId="60" fillId="0" borderId="0" xfId="0" applyFont="1"/>
    <xf numFmtId="0" fontId="60" fillId="0" borderId="0" xfId="0" applyFont="1" applyAlignment="1">
      <alignment horizontal="left" vertical="top"/>
    </xf>
    <xf numFmtId="0" fontId="11" fillId="0" borderId="0" xfId="0" applyFont="1"/>
    <xf numFmtId="0" fontId="4" fillId="0" borderId="0" xfId="0" applyFont="1" applyAlignment="1">
      <alignment horizontal="left" vertical="top"/>
    </xf>
    <xf numFmtId="0" fontId="11" fillId="0" borderId="0" xfId="0" applyFont="1" applyAlignment="1">
      <alignment horizontal="left" vertical="top"/>
    </xf>
    <xf numFmtId="0" fontId="4" fillId="0" borderId="0" xfId="0" applyFont="1" applyAlignment="1">
      <alignment vertical="top"/>
    </xf>
    <xf numFmtId="0" fontId="62" fillId="0" borderId="0" xfId="0" applyFont="1" applyAlignment="1">
      <alignment horizontal="left" vertical="center"/>
    </xf>
    <xf numFmtId="0" fontId="61" fillId="0" borderId="0" xfId="0" applyFont="1" applyAlignment="1">
      <alignment horizontal="left" vertical="center"/>
    </xf>
    <xf numFmtId="0" fontId="51" fillId="0" borderId="0" xfId="0" applyFont="1" applyAlignment="1">
      <alignment horizontal="left" vertical="top" wrapText="1" indent="3"/>
    </xf>
    <xf numFmtId="0" fontId="0" fillId="0" borderId="0" xfId="0" applyAlignment="1">
      <alignment horizontal="left" indent="2"/>
    </xf>
    <xf numFmtId="0" fontId="64" fillId="0" borderId="0" xfId="0" applyFont="1"/>
    <xf numFmtId="0" fontId="0" fillId="0" borderId="0" xfId="0" applyAlignment="1">
      <alignment horizontal="left" indent="4"/>
    </xf>
    <xf numFmtId="0" fontId="6" fillId="0" borderId="0" xfId="0" applyFont="1" applyAlignment="1">
      <alignment vertical="top"/>
    </xf>
    <xf numFmtId="0" fontId="0" fillId="0" borderId="0" xfId="0" applyAlignment="1">
      <alignment vertical="top" wrapText="1"/>
    </xf>
    <xf numFmtId="0" fontId="4" fillId="0" borderId="0" xfId="0" applyFont="1" applyAlignment="1">
      <alignment vertical="top" wrapText="1"/>
    </xf>
    <xf numFmtId="0" fontId="0" fillId="3" borderId="74" xfId="0" applyFill="1" applyBorder="1"/>
    <xf numFmtId="0" fontId="0" fillId="3" borderId="75" xfId="0" applyFill="1" applyBorder="1"/>
    <xf numFmtId="0" fontId="0" fillId="3" borderId="76" xfId="0" applyFill="1" applyBorder="1"/>
    <xf numFmtId="0" fontId="0" fillId="3" borderId="77" xfId="0" applyFill="1" applyBorder="1"/>
    <xf numFmtId="0" fontId="0" fillId="3" borderId="78" xfId="0" applyFill="1" applyBorder="1"/>
    <xf numFmtId="0" fontId="0" fillId="3" borderId="79" xfId="0" applyFill="1" applyBorder="1"/>
    <xf numFmtId="0" fontId="0" fillId="3" borderId="80" xfId="0" applyFill="1" applyBorder="1"/>
    <xf numFmtId="0" fontId="0" fillId="3" borderId="81" xfId="0" applyFill="1" applyBorder="1"/>
    <xf numFmtId="0" fontId="11" fillId="0" borderId="0" xfId="0" applyFont="1" applyAlignment="1">
      <alignment horizontal="left" vertical="center"/>
    </xf>
    <xf numFmtId="0" fontId="28" fillId="0" borderId="22" xfId="0" applyFont="1" applyBorder="1" applyAlignment="1">
      <alignment horizontal="center"/>
    </xf>
    <xf numFmtId="0" fontId="4" fillId="0" borderId="0" xfId="0" applyFont="1" applyAlignment="1">
      <alignment horizontal="right" indent="1"/>
    </xf>
    <xf numFmtId="0" fontId="21" fillId="0" borderId="0" xfId="0" applyFont="1" applyAlignment="1">
      <alignment horizontal="right" indent="1"/>
    </xf>
    <xf numFmtId="0" fontId="34" fillId="0" borderId="0" xfId="0" applyFont="1" applyAlignment="1">
      <alignment horizontal="right" indent="1"/>
    </xf>
    <xf numFmtId="0" fontId="34" fillId="0" borderId="0" xfId="0" applyFont="1"/>
    <xf numFmtId="0" fontId="17" fillId="0" borderId="23" xfId="0" applyFont="1" applyBorder="1"/>
    <xf numFmtId="170" fontId="0" fillId="0" borderId="0" xfId="0" applyNumberFormat="1" applyAlignment="1">
      <alignment horizontal="left"/>
    </xf>
    <xf numFmtId="0" fontId="44" fillId="0" borderId="0" xfId="0" applyFont="1" applyAlignment="1">
      <alignment horizontal="right" indent="1"/>
    </xf>
    <xf numFmtId="0" fontId="44" fillId="0" borderId="0" xfId="0" applyFont="1" applyAlignment="1">
      <alignment horizontal="left" indent="1" shrinkToFit="1"/>
    </xf>
    <xf numFmtId="0" fontId="65" fillId="0" borderId="0" xfId="0" applyFont="1" applyAlignment="1">
      <alignment horizontal="left" indent="1" shrinkToFit="1"/>
    </xf>
    <xf numFmtId="0" fontId="11" fillId="0" borderId="0" xfId="0" applyFont="1" applyAlignment="1">
      <alignment horizontal="right" indent="1"/>
    </xf>
    <xf numFmtId="0" fontId="44" fillId="0" borderId="0" xfId="0" applyFont="1" applyAlignment="1">
      <alignment horizontal="left" shrinkToFit="1"/>
    </xf>
    <xf numFmtId="0" fontId="44" fillId="4" borderId="11" xfId="0" applyFont="1" applyFill="1" applyBorder="1" applyAlignment="1" applyProtection="1">
      <alignment horizontal="left" vertical="top" indent="1"/>
      <protection locked="0"/>
    </xf>
    <xf numFmtId="0" fontId="0" fillId="0" borderId="23" xfId="0" applyBorder="1"/>
    <xf numFmtId="0" fontId="0" fillId="0" borderId="0" xfId="0" applyAlignment="1">
      <alignment horizontal="right" indent="1"/>
    </xf>
    <xf numFmtId="166" fontId="0" fillId="0" borderId="0" xfId="0" applyNumberFormat="1" applyAlignment="1">
      <alignment horizontal="center" vertical="top" shrinkToFit="1"/>
    </xf>
    <xf numFmtId="0" fontId="0" fillId="0" borderId="0" xfId="0" applyAlignment="1">
      <alignment horizontal="right"/>
    </xf>
    <xf numFmtId="173" fontId="16" fillId="0" borderId="0" xfId="0" applyNumberFormat="1" applyFont="1" applyAlignment="1">
      <alignment vertical="center"/>
    </xf>
    <xf numFmtId="0" fontId="51" fillId="0" borderId="0" xfId="0" applyFont="1" applyAlignment="1">
      <alignment horizontal="right" vertical="top" indent="1"/>
    </xf>
    <xf numFmtId="173" fontId="16" fillId="0" borderId="0" xfId="0" applyNumberFormat="1" applyFont="1" applyAlignment="1">
      <alignment vertical="center" wrapText="1"/>
    </xf>
    <xf numFmtId="166" fontId="0" fillId="17" borderId="0" xfId="0" applyNumberFormat="1" applyFill="1" applyAlignment="1">
      <alignment horizontal="center" vertical="top" shrinkToFit="1"/>
    </xf>
    <xf numFmtId="0" fontId="44" fillId="0" borderId="0" xfId="0" applyFont="1" applyAlignment="1">
      <alignment horizontal="right"/>
    </xf>
    <xf numFmtId="0" fontId="11" fillId="0" borderId="0" xfId="0" applyFont="1" applyAlignment="1">
      <alignment horizontal="right"/>
    </xf>
    <xf numFmtId="0" fontId="5" fillId="15" borderId="0" xfId="0" applyFont="1" applyFill="1"/>
    <xf numFmtId="0" fontId="0" fillId="0" borderId="0" xfId="0" applyAlignment="1" applyProtection="1">
      <alignment vertical="top" wrapText="1"/>
      <protection locked="0"/>
    </xf>
    <xf numFmtId="0" fontId="12" fillId="0" borderId="0" xfId="0" applyFont="1"/>
    <xf numFmtId="0" fontId="5" fillId="0" borderId="0" xfId="0" applyFont="1" applyProtection="1">
      <protection locked="0"/>
    </xf>
    <xf numFmtId="0" fontId="66" fillId="0" borderId="0" xfId="0" applyFont="1"/>
    <xf numFmtId="0" fontId="1" fillId="0" borderId="0" xfId="0" applyFont="1" applyAlignment="1">
      <alignment horizontal="center"/>
    </xf>
    <xf numFmtId="0" fontId="17" fillId="0" borderId="2" xfId="0" applyFont="1" applyBorder="1"/>
    <xf numFmtId="0" fontId="1" fillId="0" borderId="2" xfId="0" applyFont="1" applyBorder="1"/>
    <xf numFmtId="3" fontId="1" fillId="0" borderId="0" xfId="0" applyNumberFormat="1" applyFont="1"/>
    <xf numFmtId="3" fontId="1" fillId="0" borderId="0" xfId="0" applyNumberFormat="1" applyFont="1" applyAlignment="1">
      <alignment horizontal="center"/>
    </xf>
    <xf numFmtId="165" fontId="1" fillId="0" borderId="0" xfId="0" applyNumberFormat="1" applyFont="1"/>
    <xf numFmtId="165" fontId="1" fillId="0" borderId="0" xfId="0" applyNumberFormat="1" applyFont="1" applyAlignment="1">
      <alignment horizontal="center"/>
    </xf>
    <xf numFmtId="0" fontId="0" fillId="0" borderId="0" xfId="0" quotePrefix="1" applyAlignment="1">
      <alignment horizontal="right"/>
    </xf>
    <xf numFmtId="0" fontId="0" fillId="0" borderId="0" xfId="0" quotePrefix="1" applyAlignment="1">
      <alignment horizontal="right" vertical="top" wrapText="1"/>
    </xf>
    <xf numFmtId="0" fontId="51" fillId="0" borderId="0" xfId="0" applyFont="1" applyAlignment="1">
      <alignment vertical="top"/>
    </xf>
    <xf numFmtId="0" fontId="0" fillId="0" borderId="82" xfId="0" applyBorder="1" applyAlignment="1">
      <alignment horizontal="center" vertical="center"/>
    </xf>
    <xf numFmtId="0" fontId="0" fillId="0" borderId="0" xfId="0" applyAlignment="1">
      <alignment vertical="center"/>
    </xf>
    <xf numFmtId="0" fontId="17" fillId="0" borderId="0" xfId="0" applyFont="1" applyAlignment="1">
      <alignment horizontal="left" vertical="center"/>
    </xf>
    <xf numFmtId="0" fontId="15" fillId="0" borderId="0" xfId="0" applyFont="1" applyAlignment="1">
      <alignment horizontal="right" vertical="center"/>
    </xf>
    <xf numFmtId="165" fontId="17" fillId="0" borderId="0" xfId="0" applyNumberFormat="1" applyFont="1" applyAlignment="1">
      <alignment horizontal="center" vertical="center"/>
    </xf>
    <xf numFmtId="3" fontId="17" fillId="0" borderId="0" xfId="0" applyNumberFormat="1" applyFont="1" applyAlignment="1">
      <alignment horizontal="center" vertical="center"/>
    </xf>
    <xf numFmtId="4" fontId="17" fillId="0" borderId="0" xfId="0" applyNumberFormat="1" applyFont="1" applyAlignment="1">
      <alignment horizontal="center" vertical="center"/>
    </xf>
    <xf numFmtId="9" fontId="17" fillId="0" borderId="0" xfId="0" applyNumberFormat="1" applyFont="1" applyAlignment="1">
      <alignment horizontal="center" vertical="center"/>
    </xf>
    <xf numFmtId="0" fontId="17" fillId="0" borderId="0" xfId="0" applyFont="1" applyAlignment="1">
      <alignment horizontal="left" vertical="center" wrapText="1"/>
    </xf>
    <xf numFmtId="0" fontId="5" fillId="0" borderId="11" xfId="0" applyFont="1" applyBorder="1"/>
    <xf numFmtId="0" fontId="0" fillId="0" borderId="10" xfId="0" applyBorder="1" applyAlignment="1">
      <alignment horizontal="center"/>
    </xf>
    <xf numFmtId="0" fontId="3" fillId="5" borderId="4" xfId="0" applyFont="1" applyFill="1" applyBorder="1"/>
    <xf numFmtId="0" fontId="17" fillId="3" borderId="1" xfId="0" applyFont="1" applyFill="1" applyBorder="1"/>
    <xf numFmtId="0" fontId="70" fillId="3" borderId="1" xfId="0" applyFont="1" applyFill="1" applyBorder="1"/>
    <xf numFmtId="0" fontId="71" fillId="3" borderId="0" xfId="0" applyFont="1" applyFill="1"/>
    <xf numFmtId="0" fontId="18" fillId="3" borderId="0" xfId="0" applyFont="1" applyFill="1"/>
    <xf numFmtId="0" fontId="18" fillId="0" borderId="14" xfId="0" applyFont="1" applyBorder="1" applyAlignment="1">
      <alignment horizontal="right" vertical="center" indent="1"/>
    </xf>
    <xf numFmtId="0" fontId="18" fillId="0" borderId="17" xfId="0" applyFont="1" applyBorder="1" applyAlignment="1">
      <alignment horizontal="right" vertical="center" indent="1"/>
    </xf>
    <xf numFmtId="10" fontId="0" fillId="0" borderId="0" xfId="0" applyNumberFormat="1"/>
    <xf numFmtId="2" fontId="0" fillId="0" borderId="0" xfId="0" applyNumberFormat="1" applyAlignment="1">
      <alignment horizontal="center"/>
    </xf>
    <xf numFmtId="0" fontId="17" fillId="0" borderId="0" xfId="0" applyFont="1" applyAlignment="1">
      <alignment horizontal="right" indent="1"/>
    </xf>
    <xf numFmtId="0" fontId="16" fillId="3" borderId="0" xfId="0" applyFont="1" applyFill="1" applyAlignment="1">
      <alignment vertical="center"/>
    </xf>
    <xf numFmtId="0" fontId="0" fillId="3" borderId="0" xfId="0" applyFill="1" applyAlignment="1">
      <alignment horizontal="center" vertical="center"/>
    </xf>
    <xf numFmtId="0" fontId="0" fillId="0" borderId="13" xfId="0" applyBorder="1" applyAlignment="1">
      <alignment vertical="center"/>
    </xf>
    <xf numFmtId="0" fontId="18" fillId="0" borderId="14" xfId="0" applyFont="1" applyBorder="1" applyAlignment="1">
      <alignment horizontal="right" vertical="center"/>
    </xf>
    <xf numFmtId="0" fontId="0" fillId="0" borderId="16" xfId="0" applyBorder="1" applyAlignment="1">
      <alignment vertical="center"/>
    </xf>
    <xf numFmtId="0" fontId="17" fillId="0" borderId="18" xfId="0" applyFont="1" applyBorder="1" applyAlignment="1">
      <alignment horizontal="center" vertical="center"/>
    </xf>
    <xf numFmtId="0" fontId="6" fillId="3" borderId="0" xfId="0" applyFont="1" applyFill="1"/>
    <xf numFmtId="0" fontId="0" fillId="6" borderId="0" xfId="0" applyFill="1"/>
    <xf numFmtId="0" fontId="44" fillId="0" borderId="0" xfId="5"/>
    <xf numFmtId="1" fontId="0" fillId="0" borderId="0" xfId="0" applyNumberFormat="1"/>
    <xf numFmtId="3" fontId="0" fillId="0" borderId="0" xfId="0" applyNumberFormat="1"/>
    <xf numFmtId="0" fontId="4" fillId="2" borderId="0" xfId="0" applyFont="1" applyFill="1"/>
    <xf numFmtId="0" fontId="0" fillId="2" borderId="0" xfId="0" applyFill="1" applyAlignment="1">
      <alignment horizontal="center"/>
    </xf>
    <xf numFmtId="0" fontId="0" fillId="2" borderId="44" xfId="0" applyFill="1" applyBorder="1" applyAlignment="1">
      <alignment horizontal="right" indent="1"/>
    </xf>
    <xf numFmtId="0" fontId="0" fillId="2" borderId="0" xfId="0" applyFill="1" applyAlignment="1">
      <alignment horizontal="left"/>
    </xf>
    <xf numFmtId="0" fontId="0" fillId="2" borderId="0" xfId="0" applyFill="1" applyAlignment="1">
      <alignment horizontal="right"/>
    </xf>
    <xf numFmtId="0" fontId="0" fillId="2" borderId="0" xfId="0" applyFill="1" applyAlignment="1">
      <alignment horizontal="left" indent="1"/>
    </xf>
    <xf numFmtId="0" fontId="0" fillId="0" borderId="11" xfId="0" applyBorder="1" applyAlignment="1" applyProtection="1">
      <alignment horizontal="center"/>
      <protection locked="0"/>
    </xf>
    <xf numFmtId="9" fontId="0" fillId="0" borderId="0" xfId="0" applyNumberFormat="1"/>
    <xf numFmtId="0" fontId="0" fillId="9" borderId="0" xfId="0" applyFill="1"/>
    <xf numFmtId="0" fontId="51" fillId="11" borderId="0" xfId="0" applyFont="1" applyFill="1"/>
    <xf numFmtId="0" fontId="51" fillId="9" borderId="0" xfId="0" applyFont="1" applyFill="1"/>
    <xf numFmtId="0" fontId="51" fillId="10" borderId="0" xfId="0" applyFont="1" applyFill="1"/>
    <xf numFmtId="0" fontId="51" fillId="9" borderId="33" xfId="0" applyFont="1" applyFill="1" applyBorder="1"/>
    <xf numFmtId="0" fontId="0" fillId="0" borderId="33" xfId="0" applyBorder="1" applyAlignment="1">
      <alignment horizontal="left"/>
    </xf>
    <xf numFmtId="0" fontId="51" fillId="10" borderId="33" xfId="0" applyFont="1" applyFill="1" applyBorder="1"/>
    <xf numFmtId="0" fontId="51" fillId="11" borderId="33" xfId="0" applyFont="1" applyFill="1" applyBorder="1"/>
    <xf numFmtId="0" fontId="51" fillId="12" borderId="0" xfId="0" applyFont="1" applyFill="1"/>
    <xf numFmtId="0" fontId="33" fillId="12" borderId="33" xfId="0" applyFont="1" applyFill="1" applyBorder="1"/>
    <xf numFmtId="0" fontId="51" fillId="12" borderId="33" xfId="0" applyFont="1" applyFill="1" applyBorder="1"/>
    <xf numFmtId="0" fontId="0" fillId="2" borderId="33" xfId="0" applyFill="1" applyBorder="1"/>
    <xf numFmtId="0" fontId="51" fillId="2" borderId="33" xfId="0" applyFont="1" applyFill="1" applyBorder="1"/>
    <xf numFmtId="0" fontId="51" fillId="2" borderId="0" xfId="0" applyFont="1" applyFill="1"/>
    <xf numFmtId="0" fontId="0" fillId="0" borderId="35" xfId="0" applyBorder="1" applyAlignment="1">
      <alignment horizontal="left"/>
    </xf>
    <xf numFmtId="0" fontId="0" fillId="0" borderId="44" xfId="0" applyBorder="1" applyAlignment="1">
      <alignment horizontal="left"/>
    </xf>
    <xf numFmtId="0" fontId="0" fillId="0" borderId="29" xfId="0" applyBorder="1" applyAlignment="1">
      <alignment horizontal="left"/>
    </xf>
    <xf numFmtId="0" fontId="0" fillId="0" borderId="29" xfId="0" applyBorder="1"/>
    <xf numFmtId="0" fontId="0" fillId="0" borderId="10" xfId="0" applyBorder="1"/>
    <xf numFmtId="0" fontId="0" fillId="0" borderId="44" xfId="0" applyBorder="1"/>
    <xf numFmtId="0" fontId="0" fillId="0" borderId="11" xfId="0" applyBorder="1"/>
    <xf numFmtId="0" fontId="4" fillId="0" borderId="0" xfId="0" applyFont="1" applyAlignment="1">
      <alignment horizontal="center"/>
    </xf>
    <xf numFmtId="0" fontId="0" fillId="0" borderId="0" xfId="0" applyAlignment="1">
      <alignment horizontal="center" vertical="top"/>
    </xf>
    <xf numFmtId="0" fontId="33" fillId="0" borderId="0" xfId="0" applyFont="1" applyAlignment="1">
      <alignment horizontal="center" vertical="top"/>
    </xf>
    <xf numFmtId="0" fontId="76" fillId="0" borderId="0" xfId="0" applyFont="1" applyAlignment="1">
      <alignment horizontal="center" vertical="top"/>
    </xf>
    <xf numFmtId="0" fontId="76" fillId="0" borderId="0" xfId="0" applyFont="1" applyAlignment="1">
      <alignment vertical="top"/>
    </xf>
    <xf numFmtId="0" fontId="76" fillId="0" borderId="0" xfId="0" applyFont="1" applyAlignment="1">
      <alignment vertical="top" wrapText="1"/>
    </xf>
    <xf numFmtId="0" fontId="76" fillId="0" borderId="0" xfId="0" applyFont="1" applyAlignment="1">
      <alignment horizontal="left" vertical="top"/>
    </xf>
    <xf numFmtId="0" fontId="77" fillId="0" borderId="0" xfId="0" applyFont="1" applyAlignment="1">
      <alignment horizontal="right" indent="1"/>
    </xf>
    <xf numFmtId="0" fontId="77" fillId="0" borderId="0" xfId="0" applyFont="1"/>
    <xf numFmtId="0" fontId="78" fillId="0" borderId="0" xfId="0" applyFont="1" applyAlignment="1" applyProtection="1">
      <alignment vertical="top"/>
      <protection hidden="1"/>
    </xf>
    <xf numFmtId="0" fontId="77" fillId="0" borderId="0" xfId="0" applyFont="1" applyAlignment="1">
      <alignment horizontal="left"/>
    </xf>
    <xf numFmtId="0" fontId="78" fillId="0" borderId="0" xfId="0" applyFont="1" applyAlignment="1" applyProtection="1">
      <alignment vertical="top" wrapText="1"/>
      <protection hidden="1"/>
    </xf>
    <xf numFmtId="0" fontId="58" fillId="0" borderId="0" xfId="0" applyFont="1"/>
    <xf numFmtId="0" fontId="58" fillId="0" borderId="0" xfId="0" applyFont="1" applyAlignment="1" applyProtection="1">
      <alignment horizontal="left"/>
      <protection hidden="1"/>
    </xf>
    <xf numFmtId="0" fontId="58" fillId="0" borderId="0" xfId="0" applyFont="1" applyAlignment="1" applyProtection="1">
      <alignment horizontal="left" indent="1"/>
      <protection hidden="1"/>
    </xf>
    <xf numFmtId="0" fontId="79" fillId="0" borderId="0" xfId="0" applyFont="1" applyAlignment="1" applyProtection="1">
      <alignment horizontal="left" vertical="top"/>
      <protection hidden="1"/>
    </xf>
    <xf numFmtId="170" fontId="77" fillId="3" borderId="11" xfId="0" applyNumberFormat="1" applyFont="1" applyFill="1" applyBorder="1" applyAlignment="1">
      <alignment horizontal="left"/>
    </xf>
    <xf numFmtId="170" fontId="77" fillId="0" borderId="0" xfId="0" applyNumberFormat="1" applyFont="1"/>
    <xf numFmtId="0" fontId="4" fillId="0" borderId="0" xfId="0" applyFont="1" applyAlignment="1">
      <alignment horizontal="center" vertical="top"/>
    </xf>
    <xf numFmtId="0" fontId="78" fillId="0" borderId="0" xfId="0" applyFont="1" applyAlignment="1" applyProtection="1">
      <alignment wrapText="1"/>
      <protection hidden="1"/>
    </xf>
    <xf numFmtId="0" fontId="21" fillId="0" borderId="0" xfId="0" applyFont="1" applyAlignment="1" applyProtection="1">
      <alignment wrapText="1"/>
      <protection hidden="1"/>
    </xf>
    <xf numFmtId="0" fontId="58" fillId="0" borderId="0" xfId="0" applyFont="1" applyAlignment="1">
      <alignment horizontal="left"/>
    </xf>
    <xf numFmtId="0" fontId="77" fillId="0" borderId="0" xfId="0" applyFont="1" applyAlignment="1">
      <alignment horizontal="right"/>
    </xf>
    <xf numFmtId="0" fontId="77" fillId="0" borderId="0" xfId="0" applyFont="1" applyAlignment="1">
      <alignment horizontal="right" vertical="top" wrapText="1"/>
    </xf>
    <xf numFmtId="0" fontId="77" fillId="0" borderId="0" xfId="0" applyFont="1" applyAlignment="1">
      <alignment horizontal="right" vertical="top" indent="1"/>
    </xf>
    <xf numFmtId="0" fontId="77" fillId="0" borderId="0" xfId="0" applyFont="1" applyAlignment="1">
      <alignment horizontal="center" vertical="top" wrapText="1"/>
    </xf>
    <xf numFmtId="0" fontId="77" fillId="0" borderId="0" xfId="0" applyFont="1" applyAlignment="1">
      <alignment horizontal="left" vertical="top" indent="1"/>
    </xf>
    <xf numFmtId="0" fontId="77" fillId="0" borderId="0" xfId="0" applyFont="1" applyAlignment="1">
      <alignment horizontal="left" vertical="top" indent="2"/>
    </xf>
    <xf numFmtId="9" fontId="77" fillId="3" borderId="11" xfId="0" applyNumberFormat="1" applyFont="1" applyFill="1" applyBorder="1" applyAlignment="1">
      <alignment horizontal="center"/>
    </xf>
    <xf numFmtId="0" fontId="0" fillId="0" borderId="0" xfId="0" applyAlignment="1">
      <alignment horizontal="left" vertical="top"/>
    </xf>
    <xf numFmtId="0" fontId="51" fillId="0" borderId="0" xfId="0" applyFont="1" applyAlignment="1">
      <alignment horizontal="right"/>
    </xf>
    <xf numFmtId="0" fontId="54" fillId="0" borderId="0" xfId="0" applyFont="1" applyAlignment="1">
      <alignment vertical="top" wrapText="1"/>
    </xf>
    <xf numFmtId="0" fontId="80" fillId="0" borderId="0" xfId="0" applyFont="1"/>
    <xf numFmtId="0" fontId="81" fillId="0" borderId="0" xfId="0" applyFont="1" applyAlignment="1">
      <alignment horizontal="center" vertical="top"/>
    </xf>
    <xf numFmtId="0" fontId="77" fillId="7" borderId="11" xfId="0" applyFont="1" applyFill="1" applyBorder="1" applyAlignment="1">
      <alignment horizontal="left"/>
    </xf>
    <xf numFmtId="0" fontId="77" fillId="0" borderId="0" xfId="0" applyFont="1" applyAlignment="1">
      <alignment horizontal="right" vertical="top"/>
    </xf>
    <xf numFmtId="2" fontId="77" fillId="3" borderId="11" xfId="0" applyNumberFormat="1" applyFont="1" applyFill="1" applyBorder="1" applyAlignment="1">
      <alignment horizontal="left" indent="1"/>
    </xf>
    <xf numFmtId="1" fontId="77" fillId="3" borderId="11" xfId="0" applyNumberFormat="1" applyFont="1" applyFill="1" applyBorder="1" applyAlignment="1">
      <alignment horizontal="left" indent="1"/>
    </xf>
    <xf numFmtId="9" fontId="77" fillId="3" borderId="11" xfId="0" applyNumberFormat="1" applyFont="1" applyFill="1" applyBorder="1" applyAlignment="1">
      <alignment horizontal="left" indent="1"/>
    </xf>
    <xf numFmtId="0" fontId="0" fillId="0" borderId="96" xfId="0" applyBorder="1"/>
    <xf numFmtId="0" fontId="82" fillId="0" borderId="96" xfId="0" applyFont="1" applyBorder="1" applyAlignment="1">
      <alignment horizontal="left" indent="1"/>
    </xf>
    <xf numFmtId="0" fontId="82" fillId="0" borderId="97" xfId="0" applyFont="1" applyBorder="1"/>
    <xf numFmtId="0" fontId="16" fillId="0" borderId="0" xfId="0" applyFont="1" applyAlignment="1">
      <alignment horizontal="right" indent="1"/>
    </xf>
    <xf numFmtId="0" fontId="83" fillId="0" borderId="0" xfId="0" applyFont="1" applyAlignment="1">
      <alignment horizontal="right" indent="1"/>
    </xf>
    <xf numFmtId="0" fontId="83" fillId="0" borderId="0" xfId="0" applyFont="1" applyAlignment="1">
      <alignment horizontal="center"/>
    </xf>
    <xf numFmtId="0" fontId="84" fillId="0" borderId="0" xfId="0" applyFont="1" applyAlignment="1">
      <alignment horizontal="right" indent="1"/>
    </xf>
    <xf numFmtId="0" fontId="85" fillId="0" borderId="0" xfId="0" applyFont="1" applyAlignment="1">
      <alignment vertical="top" wrapText="1"/>
    </xf>
    <xf numFmtId="0" fontId="84" fillId="0" borderId="0" xfId="0" applyFont="1" applyAlignment="1">
      <alignment horizontal="left" vertical="top"/>
    </xf>
    <xf numFmtId="0" fontId="84" fillId="0" borderId="0" xfId="0" applyFont="1"/>
    <xf numFmtId="166" fontId="0" fillId="0" borderId="0" xfId="0" applyNumberFormat="1" applyAlignment="1">
      <alignment horizontal="left" vertical="top"/>
    </xf>
    <xf numFmtId="0" fontId="83" fillId="0" borderId="0" xfId="0" applyFont="1"/>
    <xf numFmtId="0" fontId="18" fillId="0" borderId="0" xfId="0" applyFont="1" applyAlignment="1">
      <alignment horizontal="right" indent="1"/>
    </xf>
    <xf numFmtId="0" fontId="82" fillId="0" borderId="0" xfId="0" applyFont="1"/>
    <xf numFmtId="0" fontId="16" fillId="0" borderId="0" xfId="0" applyFont="1" applyAlignment="1">
      <alignment horizontal="center"/>
    </xf>
    <xf numFmtId="176" fontId="16" fillId="0" borderId="0" xfId="0" applyNumberFormat="1" applyFont="1" applyAlignment="1">
      <alignment horizontal="left"/>
    </xf>
    <xf numFmtId="0" fontId="0" fillId="0" borderId="23" xfId="0" applyBorder="1" applyAlignment="1">
      <alignment horizontal="right" indent="1"/>
    </xf>
    <xf numFmtId="0" fontId="0" fillId="0" borderId="23" xfId="0" applyBorder="1" applyAlignment="1">
      <alignment horizontal="center"/>
    </xf>
    <xf numFmtId="170" fontId="83" fillId="0" borderId="0" xfId="0" applyNumberFormat="1" applyFont="1" applyAlignment="1">
      <alignment horizontal="left"/>
    </xf>
    <xf numFmtId="0" fontId="83" fillId="0" borderId="0" xfId="0" applyFont="1" applyAlignment="1">
      <alignment horizontal="left" vertical="top" wrapText="1"/>
    </xf>
    <xf numFmtId="170" fontId="84" fillId="0" borderId="0" xfId="0" applyNumberFormat="1" applyFont="1" applyAlignment="1">
      <alignment horizontal="left"/>
    </xf>
    <xf numFmtId="0" fontId="84" fillId="0" borderId="0" xfId="0" applyFont="1" applyAlignment="1">
      <alignment horizontal="left"/>
    </xf>
    <xf numFmtId="0" fontId="83" fillId="0" borderId="0" xfId="0" applyFont="1" applyAlignment="1">
      <alignment horizontal="left"/>
    </xf>
    <xf numFmtId="166" fontId="0" fillId="0" borderId="0" xfId="0" applyNumberFormat="1" applyAlignment="1">
      <alignment horizontal="left"/>
    </xf>
    <xf numFmtId="3" fontId="0" fillId="0" borderId="0" xfId="0" applyNumberFormat="1" applyAlignment="1">
      <alignment horizontal="left"/>
    </xf>
    <xf numFmtId="1" fontId="0" fillId="0" borderId="0" xfId="0" applyNumberFormat="1" applyAlignment="1">
      <alignment horizontal="left"/>
    </xf>
    <xf numFmtId="0" fontId="23" fillId="0" borderId="0" xfId="0" applyFont="1" applyAlignment="1">
      <alignment horizontal="right" indent="1"/>
    </xf>
    <xf numFmtId="4" fontId="0" fillId="0" borderId="0" xfId="0" applyNumberFormat="1" applyAlignment="1">
      <alignment horizontal="left"/>
    </xf>
    <xf numFmtId="10" fontId="16" fillId="0" borderId="0" xfId="0" applyNumberFormat="1" applyFont="1" applyAlignment="1">
      <alignment horizontal="left"/>
    </xf>
    <xf numFmtId="9" fontId="83" fillId="0" borderId="0" xfId="0" applyNumberFormat="1" applyFont="1" applyAlignment="1">
      <alignment horizontal="left"/>
    </xf>
    <xf numFmtId="10" fontId="0" fillId="0" borderId="0" xfId="0" applyNumberFormat="1" applyAlignment="1">
      <alignment horizontal="left"/>
    </xf>
    <xf numFmtId="169" fontId="0" fillId="0" borderId="0" xfId="0" applyNumberFormat="1" applyAlignment="1">
      <alignment horizontal="left" vertical="top"/>
    </xf>
    <xf numFmtId="170" fontId="0" fillId="0" borderId="0" xfId="0" applyNumberFormat="1" applyAlignment="1">
      <alignment horizontal="left" vertical="top"/>
    </xf>
    <xf numFmtId="0" fontId="24" fillId="0" borderId="0" xfId="0" applyFont="1" applyAlignment="1">
      <alignment horizontal="right" indent="1"/>
    </xf>
    <xf numFmtId="0" fontId="35" fillId="0" borderId="0" xfId="0" applyFont="1" applyAlignment="1">
      <alignment vertical="center"/>
    </xf>
    <xf numFmtId="3" fontId="17" fillId="0" borderId="0" xfId="0" applyNumberFormat="1" applyFont="1" applyAlignment="1">
      <alignment horizontal="center"/>
    </xf>
    <xf numFmtId="3" fontId="77" fillId="0" borderId="0" xfId="0" applyNumberFormat="1" applyFont="1"/>
    <xf numFmtId="3" fontId="76" fillId="0" borderId="0" xfId="0" applyNumberFormat="1" applyFont="1" applyAlignment="1">
      <alignment horizontal="center" vertical="top"/>
    </xf>
    <xf numFmtId="0" fontId="33" fillId="0" borderId="0" xfId="0" applyFont="1" applyAlignment="1">
      <alignment vertical="top"/>
    </xf>
    <xf numFmtId="0" fontId="0" fillId="0" borderId="0" xfId="0" applyAlignment="1" applyProtection="1">
      <alignment horizontal="center" vertical="center"/>
      <protection locked="0"/>
    </xf>
    <xf numFmtId="0" fontId="0" fillId="0" borderId="0" xfId="0" quotePrefix="1" applyAlignment="1">
      <alignment horizontal="left" indent="2"/>
    </xf>
    <xf numFmtId="0" fontId="52" fillId="0" borderId="0" xfId="0" applyFont="1"/>
    <xf numFmtId="0" fontId="44" fillId="3" borderId="0" xfId="0" applyFont="1" applyFill="1" applyAlignment="1">
      <alignment shrinkToFit="1"/>
    </xf>
    <xf numFmtId="0" fontId="17" fillId="0" borderId="18" xfId="0" applyFont="1" applyBorder="1" applyAlignment="1">
      <alignment horizontal="center"/>
    </xf>
    <xf numFmtId="0" fontId="14" fillId="3" borderId="46" xfId="0" applyFont="1" applyFill="1" applyBorder="1" applyAlignment="1">
      <alignment horizontal="center"/>
    </xf>
    <xf numFmtId="0" fontId="4" fillId="0" borderId="0" xfId="0" applyFont="1" applyAlignment="1">
      <alignment wrapText="1"/>
    </xf>
    <xf numFmtId="3" fontId="4" fillId="0" borderId="0" xfId="0" applyNumberFormat="1" applyFont="1" applyAlignment="1">
      <alignment horizontal="center" vertical="top"/>
    </xf>
    <xf numFmtId="9" fontId="0" fillId="0" borderId="0" xfId="0" applyNumberFormat="1" applyAlignment="1">
      <alignment horizontal="left"/>
    </xf>
    <xf numFmtId="0" fontId="9" fillId="0" borderId="85" xfId="0" applyFont="1" applyBorder="1" applyAlignment="1">
      <alignment vertical="top"/>
    </xf>
    <xf numFmtId="0" fontId="5" fillId="0" borderId="0" xfId="0" applyFont="1"/>
    <xf numFmtId="0" fontId="44" fillId="4" borderId="57" xfId="0" applyFont="1" applyFill="1" applyBorder="1" applyAlignment="1" applyProtection="1">
      <alignment horizontal="left"/>
      <protection locked="0"/>
    </xf>
    <xf numFmtId="0" fontId="44" fillId="4" borderId="57" xfId="0" applyFont="1" applyFill="1" applyBorder="1" applyAlignment="1" applyProtection="1">
      <alignment horizontal="left" indent="1"/>
      <protection locked="0"/>
    </xf>
    <xf numFmtId="0" fontId="4" fillId="2" borderId="29" xfId="0" applyFont="1" applyFill="1" applyBorder="1" applyAlignment="1">
      <alignment vertical="center" wrapText="1"/>
    </xf>
    <xf numFmtId="0" fontId="4" fillId="2" borderId="0" xfId="0" applyFont="1" applyFill="1" applyAlignment="1">
      <alignment vertical="center" wrapText="1"/>
    </xf>
    <xf numFmtId="0" fontId="4" fillId="2" borderId="44" xfId="0" applyFont="1" applyFill="1" applyBorder="1" applyAlignment="1">
      <alignment vertical="center" wrapText="1"/>
    </xf>
    <xf numFmtId="0" fontId="16" fillId="6" borderId="48" xfId="0" applyFont="1" applyFill="1" applyBorder="1" applyAlignment="1">
      <alignment vertical="center" wrapText="1"/>
    </xf>
    <xf numFmtId="9" fontId="16" fillId="6" borderId="109" xfId="2" applyFont="1" applyFill="1" applyBorder="1" applyAlignment="1">
      <alignment horizontal="center" vertical="center" wrapText="1"/>
    </xf>
    <xf numFmtId="9" fontId="16" fillId="6" borderId="109" xfId="0" applyNumberFormat="1" applyFont="1" applyFill="1" applyBorder="1" applyAlignment="1">
      <alignment horizontal="center" vertical="center" wrapText="1"/>
    </xf>
    <xf numFmtId="9" fontId="0" fillId="6" borderId="109" xfId="2" applyFont="1" applyFill="1" applyBorder="1" applyAlignment="1">
      <alignment horizontal="center" vertical="center"/>
    </xf>
    <xf numFmtId="9" fontId="0" fillId="6" borderId="109" xfId="0" applyNumberFormat="1" applyFill="1" applyBorder="1" applyAlignment="1">
      <alignment horizontal="center"/>
    </xf>
    <xf numFmtId="9" fontId="0" fillId="6" borderId="47" xfId="0" applyNumberFormat="1" applyFill="1" applyBorder="1" applyAlignment="1">
      <alignment horizontal="center"/>
    </xf>
    <xf numFmtId="0" fontId="2" fillId="5" borderId="25" xfId="0" applyFont="1" applyFill="1" applyBorder="1" applyAlignment="1">
      <alignment vertical="center" wrapText="1"/>
    </xf>
    <xf numFmtId="0" fontId="2" fillId="5" borderId="9" xfId="0" applyFont="1" applyFill="1" applyBorder="1" applyAlignment="1">
      <alignment horizontal="center" vertical="center" wrapText="1"/>
    </xf>
    <xf numFmtId="9" fontId="16" fillId="6" borderId="48" xfId="0" applyNumberFormat="1" applyFont="1" applyFill="1" applyBorder="1" applyAlignment="1">
      <alignment horizontal="center" vertical="center" wrapText="1"/>
    </xf>
    <xf numFmtId="0" fontId="16" fillId="0" borderId="28" xfId="0" applyFont="1" applyBorder="1" applyAlignment="1">
      <alignment vertical="center" wrapText="1"/>
    </xf>
    <xf numFmtId="0" fontId="16" fillId="0" borderId="29" xfId="0" applyFont="1" applyBorder="1" applyAlignment="1">
      <alignment horizontal="center" vertical="center" wrapText="1"/>
    </xf>
    <xf numFmtId="9" fontId="16" fillId="0" borderId="29" xfId="0" applyNumberFormat="1" applyFont="1" applyBorder="1" applyAlignment="1">
      <alignment horizontal="center" vertical="center" wrapText="1"/>
    </xf>
    <xf numFmtId="9" fontId="0" fillId="0" borderId="29" xfId="0" applyNumberFormat="1" applyBorder="1" applyAlignment="1">
      <alignment horizontal="center"/>
    </xf>
    <xf numFmtId="9" fontId="0" fillId="0" borderId="30" xfId="0" applyNumberFormat="1" applyBorder="1" applyAlignment="1">
      <alignment horizontal="center"/>
    </xf>
    <xf numFmtId="1" fontId="0" fillId="0" borderId="0" xfId="0" applyNumberFormat="1" applyAlignment="1">
      <alignment horizontal="center"/>
    </xf>
    <xf numFmtId="166" fontId="0" fillId="0" borderId="0" xfId="0" applyNumberFormat="1"/>
    <xf numFmtId="170" fontId="0" fillId="0" borderId="0" xfId="0" applyNumberFormat="1" applyAlignment="1">
      <alignment horizontal="center"/>
    </xf>
    <xf numFmtId="169" fontId="0" fillId="0" borderId="0" xfId="0" applyNumberFormat="1"/>
    <xf numFmtId="14" fontId="0" fillId="0" borderId="0" xfId="0" applyNumberFormat="1" applyAlignment="1">
      <alignment horizontal="center"/>
    </xf>
    <xf numFmtId="165" fontId="0" fillId="0" borderId="0" xfId="0" applyNumberFormat="1" applyAlignment="1">
      <alignment horizontal="left"/>
    </xf>
    <xf numFmtId="0" fontId="0" fillId="0" borderId="14" xfId="0" applyBorder="1"/>
    <xf numFmtId="0" fontId="0" fillId="0" borderId="17" xfId="0" applyBorder="1"/>
    <xf numFmtId="0" fontId="17" fillId="0" borderId="13" xfId="0" applyFont="1" applyBorder="1" applyAlignment="1">
      <alignment horizontal="left" vertical="center"/>
    </xf>
    <xf numFmtId="0" fontId="0" fillId="0" borderId="14" xfId="0" applyBorder="1" applyAlignment="1">
      <alignment vertical="center"/>
    </xf>
    <xf numFmtId="0" fontId="0" fillId="0" borderId="19" xfId="0" applyBorder="1" applyAlignment="1" applyProtection="1">
      <alignment horizontal="center" vertical="center"/>
      <protection locked="0"/>
    </xf>
    <xf numFmtId="0" fontId="17" fillId="0" borderId="16" xfId="0" applyFont="1" applyBorder="1" applyAlignment="1">
      <alignment horizontal="left" vertical="center"/>
    </xf>
    <xf numFmtId="0" fontId="0" fillId="0" borderId="17" xfId="0" applyBorder="1" applyAlignment="1">
      <alignment vertical="center"/>
    </xf>
    <xf numFmtId="0" fontId="0" fillId="6" borderId="110" xfId="0" applyFill="1" applyBorder="1"/>
    <xf numFmtId="0" fontId="0" fillId="6" borderId="111" xfId="0" applyFill="1" applyBorder="1" applyAlignment="1">
      <alignment horizontal="center"/>
    </xf>
    <xf numFmtId="0" fontId="4" fillId="2" borderId="0" xfId="0" applyFont="1" applyFill="1" applyAlignment="1">
      <alignment wrapText="1"/>
    </xf>
    <xf numFmtId="0" fontId="33" fillId="0" borderId="0" xfId="0" applyFont="1"/>
    <xf numFmtId="9" fontId="5" fillId="25" borderId="0" xfId="0" applyNumberFormat="1" applyFont="1" applyFill="1" applyAlignment="1">
      <alignment horizontal="center"/>
    </xf>
    <xf numFmtId="0" fontId="5" fillId="0" borderId="0" xfId="0" applyFont="1" applyAlignment="1">
      <alignment horizontal="center"/>
    </xf>
    <xf numFmtId="2" fontId="5" fillId="0" borderId="0" xfId="0" applyNumberFormat="1" applyFont="1" applyAlignment="1">
      <alignment horizontal="center"/>
    </xf>
    <xf numFmtId="18" fontId="5" fillId="0" borderId="0" xfId="0" applyNumberFormat="1" applyFont="1"/>
    <xf numFmtId="9" fontId="5" fillId="0" borderId="0" xfId="0" applyNumberFormat="1" applyFont="1"/>
    <xf numFmtId="22" fontId="5" fillId="0" borderId="0" xfId="0" applyNumberFormat="1" applyFont="1"/>
    <xf numFmtId="0" fontId="16" fillId="0" borderId="0" xfId="1" applyFont="1" applyBorder="1" applyAlignment="1">
      <alignment horizontal="center"/>
    </xf>
    <xf numFmtId="165" fontId="1" fillId="0" borderId="0" xfId="0" applyNumberFormat="1" applyFont="1" applyAlignment="1">
      <alignment horizontal="right"/>
    </xf>
    <xf numFmtId="3" fontId="1" fillId="0" borderId="0" xfId="0" applyNumberFormat="1" applyFont="1" applyAlignment="1">
      <alignment horizontal="right"/>
    </xf>
    <xf numFmtId="4" fontId="1" fillId="0" borderId="0" xfId="0" applyNumberFormat="1" applyFont="1" applyAlignment="1">
      <alignment horizontal="right"/>
    </xf>
    <xf numFmtId="168" fontId="1" fillId="0" borderId="0" xfId="0" applyNumberFormat="1" applyFont="1" applyAlignment="1">
      <alignment horizontal="right"/>
    </xf>
    <xf numFmtId="0" fontId="17" fillId="0" borderId="0" xfId="0" applyFont="1" applyAlignment="1">
      <alignment horizontal="center" vertical="center"/>
    </xf>
    <xf numFmtId="0" fontId="23" fillId="0" borderId="0" xfId="0" applyFont="1" applyAlignment="1">
      <alignment horizontal="center" vertical="center"/>
    </xf>
    <xf numFmtId="165" fontId="23" fillId="0" borderId="18" xfId="0" applyNumberFormat="1" applyFont="1" applyBorder="1" applyAlignment="1" applyProtection="1">
      <alignment horizontal="center" vertical="center"/>
      <protection locked="0"/>
    </xf>
    <xf numFmtId="165" fontId="23" fillId="0" borderId="82" xfId="0" applyNumberFormat="1" applyFont="1" applyBorder="1" applyAlignment="1">
      <alignment horizontal="center" vertical="center"/>
    </xf>
    <xf numFmtId="165" fontId="23" fillId="0" borderId="18" xfId="0" applyNumberFormat="1" applyFont="1" applyBorder="1" applyAlignment="1">
      <alignment horizontal="center" vertical="center"/>
    </xf>
    <xf numFmtId="0" fontId="90" fillId="0" borderId="0" xfId="0" applyFont="1" applyAlignment="1">
      <alignment vertical="center"/>
    </xf>
    <xf numFmtId="0" fontId="75" fillId="0" borderId="23" xfId="0" applyFont="1" applyBorder="1"/>
    <xf numFmtId="0" fontId="79" fillId="0" borderId="0" xfId="0" applyFont="1" applyAlignment="1">
      <alignment wrapText="1"/>
    </xf>
    <xf numFmtId="0" fontId="0" fillId="0" borderId="19" xfId="0" applyBorder="1"/>
    <xf numFmtId="0" fontId="91" fillId="0" borderId="0" xfId="0" applyFont="1" applyAlignment="1">
      <alignment vertical="center"/>
    </xf>
    <xf numFmtId="9" fontId="86" fillId="0" borderId="0" xfId="0" applyNumberFormat="1" applyFont="1" applyAlignment="1">
      <alignment horizontal="left" vertical="center"/>
    </xf>
    <xf numFmtId="0" fontId="109" fillId="0" borderId="0" xfId="0" applyFont="1"/>
    <xf numFmtId="0" fontId="109" fillId="0" borderId="0" xfId="0" applyFont="1" applyAlignment="1">
      <alignment horizontal="left"/>
    </xf>
    <xf numFmtId="0" fontId="109" fillId="0" borderId="0" xfId="0" applyFont="1" applyAlignment="1">
      <alignment horizontal="right" indent="1"/>
    </xf>
    <xf numFmtId="0" fontId="109" fillId="0" borderId="0" xfId="0" applyFont="1" applyAlignment="1">
      <alignment horizontal="right"/>
    </xf>
    <xf numFmtId="170" fontId="109" fillId="0" borderId="0" xfId="0" applyNumberFormat="1" applyFont="1" applyAlignment="1">
      <alignment horizontal="left"/>
    </xf>
    <xf numFmtId="0" fontId="109" fillId="0" borderId="23" xfId="0" applyFont="1" applyBorder="1"/>
    <xf numFmtId="0" fontId="109" fillId="0" borderId="0" xfId="0" applyFont="1" applyAlignment="1">
      <alignment horizontal="left" vertical="top"/>
    </xf>
    <xf numFmtId="0" fontId="110" fillId="0" borderId="0" xfId="0" applyFont="1" applyAlignment="1">
      <alignment horizontal="right" indent="1"/>
    </xf>
    <xf numFmtId="0" fontId="23" fillId="0" borderId="0" xfId="0" applyFont="1" applyAlignment="1">
      <alignment vertical="top" wrapText="1"/>
    </xf>
    <xf numFmtId="0" fontId="2" fillId="21" borderId="0" xfId="0" applyFont="1" applyFill="1"/>
    <xf numFmtId="176" fontId="109" fillId="0" borderId="0" xfId="0" applyNumberFormat="1" applyFont="1" applyAlignment="1">
      <alignment horizontal="left"/>
    </xf>
    <xf numFmtId="0" fontId="0" fillId="0" borderId="23" xfId="0" applyBorder="1" applyAlignment="1">
      <alignment horizontal="left"/>
    </xf>
    <xf numFmtId="0" fontId="21" fillId="49" borderId="42" xfId="0" applyFont="1" applyFill="1" applyBorder="1" applyAlignment="1">
      <alignment wrapText="1"/>
    </xf>
    <xf numFmtId="0" fontId="21" fillId="49" borderId="43" xfId="0" applyFont="1" applyFill="1" applyBorder="1" applyAlignment="1">
      <alignment wrapText="1"/>
    </xf>
    <xf numFmtId="0" fontId="21" fillId="49" borderId="43" xfId="0" applyFont="1" applyFill="1" applyBorder="1" applyAlignment="1">
      <alignment horizontal="center"/>
    </xf>
    <xf numFmtId="0" fontId="21" fillId="49" borderId="125" xfId="0" applyFont="1" applyFill="1" applyBorder="1" applyAlignment="1">
      <alignment horizontal="center" wrapText="1"/>
    </xf>
    <xf numFmtId="0" fontId="51" fillId="17" borderId="25" xfId="0" applyFont="1" applyFill="1" applyBorder="1"/>
    <xf numFmtId="0" fontId="51" fillId="17" borderId="83" xfId="0" applyFont="1" applyFill="1" applyBorder="1"/>
    <xf numFmtId="0" fontId="51" fillId="17" borderId="24" xfId="0" applyFont="1" applyFill="1" applyBorder="1"/>
    <xf numFmtId="0" fontId="51" fillId="17" borderId="28" xfId="0" applyFont="1" applyFill="1" applyBorder="1"/>
    <xf numFmtId="0" fontId="51" fillId="17" borderId="0" xfId="0" applyFont="1" applyFill="1"/>
    <xf numFmtId="0" fontId="51" fillId="17" borderId="84" xfId="0" applyFont="1" applyFill="1" applyBorder="1"/>
    <xf numFmtId="0" fontId="0" fillId="0" borderId="0" xfId="0" applyAlignment="1">
      <alignment horizontal="left" vertical="top" wrapText="1" indent="1"/>
    </xf>
    <xf numFmtId="0" fontId="22" fillId="0" borderId="0" xfId="0" applyFont="1" applyAlignment="1">
      <alignment horizontal="left" vertical="center"/>
    </xf>
    <xf numFmtId="0" fontId="24" fillId="0" borderId="0" xfId="0" applyFont="1" applyAlignment="1">
      <alignment horizontal="center" vertical="center"/>
    </xf>
    <xf numFmtId="0" fontId="12" fillId="0" borderId="0" xfId="1" applyFill="1" applyAlignment="1">
      <alignment horizontal="left"/>
    </xf>
    <xf numFmtId="0" fontId="9" fillId="0" borderId="0" xfId="0" applyFont="1" applyAlignment="1">
      <alignment horizontal="center" vertical="center"/>
    </xf>
    <xf numFmtId="0" fontId="30" fillId="0" borderId="0" xfId="0" applyFont="1" applyAlignment="1">
      <alignment horizontal="center" vertical="center"/>
    </xf>
    <xf numFmtId="0" fontId="11" fillId="0" borderId="0" xfId="0" applyFont="1" applyAlignment="1">
      <alignment horizontal="center"/>
    </xf>
    <xf numFmtId="0" fontId="0" fillId="0" borderId="0" xfId="0" applyAlignment="1">
      <alignment horizontal="left" vertical="top" wrapText="1"/>
    </xf>
    <xf numFmtId="0" fontId="0" fillId="2" borderId="11" xfId="0" applyFill="1" applyBorder="1" applyAlignment="1">
      <alignment horizontal="center"/>
    </xf>
    <xf numFmtId="0" fontId="0" fillId="4" borderId="11" xfId="0" applyFill="1" applyBorder="1" applyAlignment="1" applyProtection="1">
      <alignment horizontal="center"/>
      <protection locked="0"/>
    </xf>
    <xf numFmtId="0" fontId="15" fillId="3" borderId="0" xfId="0" applyFont="1" applyFill="1" applyAlignment="1">
      <alignment horizontal="center" wrapText="1"/>
    </xf>
    <xf numFmtId="0" fontId="14" fillId="3" borderId="0" xfId="0" applyFont="1" applyFill="1" applyAlignment="1">
      <alignment horizontal="center" wrapText="1"/>
    </xf>
    <xf numFmtId="0" fontId="17" fillId="3" borderId="0" xfId="0" applyFont="1" applyFill="1" applyAlignment="1">
      <alignment horizontal="left" vertical="top" wrapText="1"/>
    </xf>
    <xf numFmtId="0" fontId="10" fillId="0" borderId="0" xfId="0" applyFont="1" applyAlignment="1">
      <alignment horizontal="center" vertical="center"/>
    </xf>
    <xf numFmtId="0" fontId="31" fillId="0" borderId="0" xfId="0" applyFont="1" applyAlignment="1">
      <alignment horizontal="center" vertical="center"/>
    </xf>
    <xf numFmtId="0" fontId="11" fillId="0" borderId="0" xfId="0" applyFont="1" applyAlignment="1">
      <alignment horizontal="center" vertical="center"/>
    </xf>
    <xf numFmtId="0" fontId="17" fillId="0" borderId="0" xfId="0" applyFont="1" applyAlignment="1">
      <alignment horizontal="center" vertical="center" wrapText="1"/>
    </xf>
    <xf numFmtId="0" fontId="2" fillId="15" borderId="0" xfId="0" applyFont="1" applyFill="1" applyAlignment="1">
      <alignment horizontal="left" vertical="center"/>
    </xf>
    <xf numFmtId="0" fontId="21" fillId="0" borderId="0" xfId="0" applyFont="1" applyAlignment="1">
      <alignment horizontal="center"/>
    </xf>
    <xf numFmtId="0" fontId="44" fillId="0" borderId="0" xfId="0" applyFont="1" applyAlignment="1">
      <alignment horizontal="right" vertical="top" indent="1"/>
    </xf>
    <xf numFmtId="0" fontId="77" fillId="3" borderId="11" xfId="0" applyFont="1" applyFill="1" applyBorder="1" applyAlignment="1">
      <alignment horizontal="left"/>
    </xf>
    <xf numFmtId="0" fontId="85" fillId="0" borderId="0" xfId="0" applyFont="1" applyAlignment="1">
      <alignment horizontal="right" vertical="top" wrapText="1" indent="1"/>
    </xf>
    <xf numFmtId="169" fontId="77" fillId="3" borderId="11" xfId="0" applyNumberFormat="1" applyFont="1" applyFill="1" applyBorder="1" applyAlignment="1">
      <alignment horizontal="left"/>
    </xf>
    <xf numFmtId="0" fontId="77" fillId="0" borderId="0" xfId="0" applyFont="1" applyAlignment="1">
      <alignment horizontal="center" vertical="top"/>
    </xf>
    <xf numFmtId="165" fontId="77" fillId="7" borderId="11" xfId="0" applyNumberFormat="1" applyFont="1" applyFill="1" applyBorder="1" applyAlignment="1">
      <alignment horizontal="left"/>
    </xf>
    <xf numFmtId="3" fontId="77" fillId="7" borderId="11" xfId="0" applyNumberFormat="1" applyFont="1" applyFill="1" applyBorder="1" applyAlignment="1">
      <alignment horizontal="left"/>
    </xf>
    <xf numFmtId="0" fontId="109" fillId="0" borderId="0" xfId="0" applyFont="1" applyAlignment="1">
      <alignment horizontal="left" vertical="top" wrapText="1"/>
    </xf>
    <xf numFmtId="0" fontId="16" fillId="3" borderId="0" xfId="0" applyFont="1" applyFill="1" applyAlignment="1">
      <alignment horizontal="right" indent="1"/>
    </xf>
    <xf numFmtId="2" fontId="0" fillId="0" borderId="0" xfId="0" applyNumberFormat="1" applyAlignment="1">
      <alignment horizontal="left"/>
    </xf>
    <xf numFmtId="0" fontId="17" fillId="10" borderId="112" xfId="0" applyFont="1" applyFill="1" applyBorder="1"/>
    <xf numFmtId="0" fontId="17" fillId="10" borderId="2" xfId="0" applyFont="1" applyFill="1" applyBorder="1"/>
    <xf numFmtId="0" fontId="2" fillId="0" borderId="0" xfId="0" applyFont="1"/>
    <xf numFmtId="0" fontId="0" fillId="0" borderId="8" xfId="0" applyBorder="1" applyAlignment="1">
      <alignment horizontal="center"/>
    </xf>
    <xf numFmtId="0" fontId="0" fillId="0" borderId="5" xfId="0" applyBorder="1" applyAlignment="1">
      <alignment horizontal="left"/>
    </xf>
    <xf numFmtId="0" fontId="0" fillId="0" borderId="8" xfId="0" applyBorder="1" applyAlignment="1">
      <alignment horizontal="left"/>
    </xf>
    <xf numFmtId="0" fontId="1" fillId="0" borderId="0" xfId="0" quotePrefix="1" applyFont="1"/>
    <xf numFmtId="0" fontId="15" fillId="0" borderId="0" xfId="0" applyFont="1" applyAlignment="1">
      <alignment vertical="center" wrapText="1"/>
    </xf>
    <xf numFmtId="0" fontId="15" fillId="0" borderId="0" xfId="0" applyFont="1" applyAlignment="1">
      <alignment vertical="top" wrapText="1"/>
    </xf>
    <xf numFmtId="0" fontId="15" fillId="0" borderId="0" xfId="0" applyFont="1" applyAlignment="1">
      <alignment vertical="top"/>
    </xf>
    <xf numFmtId="0" fontId="15" fillId="0" borderId="0" xfId="0" applyFont="1" applyAlignment="1">
      <alignment vertical="center"/>
    </xf>
    <xf numFmtId="0" fontId="23" fillId="0" borderId="131" xfId="0" applyFont="1" applyBorder="1" applyAlignment="1">
      <alignment horizontal="center" vertical="center" wrapText="1"/>
    </xf>
    <xf numFmtId="0" fontId="2" fillId="51" borderId="136" xfId="0" applyFont="1" applyFill="1" applyBorder="1"/>
    <xf numFmtId="0" fontId="2" fillId="51" borderId="137" xfId="0" applyFont="1" applyFill="1" applyBorder="1"/>
    <xf numFmtId="0" fontId="14" fillId="0" borderId="0" xfId="0" applyFont="1" applyAlignment="1">
      <alignment horizontal="left"/>
    </xf>
    <xf numFmtId="0" fontId="17" fillId="12" borderId="0" xfId="0" applyFont="1" applyFill="1"/>
    <xf numFmtId="0" fontId="75" fillId="0" borderId="0" xfId="0" applyFont="1"/>
    <xf numFmtId="0" fontId="34" fillId="0" borderId="0" xfId="0" applyFont="1" applyAlignment="1">
      <alignment horizontal="center" textRotation="90" wrapText="1"/>
    </xf>
    <xf numFmtId="168" fontId="17" fillId="3" borderId="0" xfId="0" applyNumberFormat="1" applyFont="1" applyFill="1" applyAlignment="1">
      <alignment horizontal="center" vertical="center" wrapText="1"/>
    </xf>
    <xf numFmtId="0" fontId="17" fillId="3" borderId="0" xfId="0" applyFont="1" applyFill="1" applyAlignment="1">
      <alignment horizontal="center" vertical="center" wrapText="1"/>
    </xf>
    <xf numFmtId="0" fontId="113" fillId="0" borderId="0" xfId="0" applyFont="1" applyAlignment="1">
      <alignment horizontal="center" vertical="center" wrapText="1"/>
    </xf>
    <xf numFmtId="169" fontId="0" fillId="0" borderId="0" xfId="0" applyNumberFormat="1" applyAlignment="1">
      <alignment horizontal="left"/>
    </xf>
    <xf numFmtId="0" fontId="17" fillId="0" borderId="23" xfId="0" applyFont="1" applyBorder="1" applyAlignment="1">
      <alignment horizontal="left" vertical="center" wrapText="1"/>
    </xf>
    <xf numFmtId="0" fontId="17" fillId="52" borderId="0" xfId="0" applyFont="1" applyFill="1" applyAlignment="1">
      <alignment horizontal="center"/>
    </xf>
    <xf numFmtId="0" fontId="0" fillId="3" borderId="25" xfId="0" applyFill="1" applyBorder="1"/>
    <xf numFmtId="0" fontId="0" fillId="3" borderId="83" xfId="0" applyFill="1" applyBorder="1"/>
    <xf numFmtId="0" fontId="0" fillId="3" borderId="24" xfId="0" applyFill="1" applyBorder="1"/>
    <xf numFmtId="0" fontId="0" fillId="3" borderId="28" xfId="0" applyFill="1" applyBorder="1"/>
    <xf numFmtId="0" fontId="3" fillId="3" borderId="0" xfId="0" applyFont="1" applyFill="1"/>
    <xf numFmtId="0" fontId="0" fillId="3" borderId="84" xfId="0" applyFill="1" applyBorder="1"/>
    <xf numFmtId="3" fontId="0" fillId="3" borderId="0" xfId="0" applyNumberFormat="1" applyFill="1" applyAlignment="1">
      <alignment horizontal="center"/>
    </xf>
    <xf numFmtId="0" fontId="0" fillId="3" borderId="84" xfId="0" applyFill="1" applyBorder="1" applyAlignment="1">
      <alignment horizontal="center"/>
    </xf>
    <xf numFmtId="9" fontId="0" fillId="3" borderId="84" xfId="2" applyFont="1" applyFill="1" applyBorder="1" applyAlignment="1">
      <alignment horizontal="center"/>
    </xf>
    <xf numFmtId="9" fontId="0" fillId="3" borderId="84" xfId="0" applyNumberFormat="1" applyFill="1" applyBorder="1" applyAlignment="1">
      <alignment horizontal="center"/>
    </xf>
    <xf numFmtId="0" fontId="0" fillId="3" borderId="27" xfId="0" applyFill="1" applyBorder="1"/>
    <xf numFmtId="0" fontId="0" fillId="3" borderId="85" xfId="0" applyFill="1" applyBorder="1" applyAlignment="1">
      <alignment horizontal="right"/>
    </xf>
    <xf numFmtId="165" fontId="0" fillId="3" borderId="85" xfId="0" applyNumberFormat="1" applyFill="1" applyBorder="1" applyAlignment="1">
      <alignment horizontal="center"/>
    </xf>
    <xf numFmtId="0" fontId="0" fillId="3" borderId="26" xfId="0" applyFill="1" applyBorder="1"/>
    <xf numFmtId="0" fontId="28" fillId="0" borderId="0" xfId="0" applyFont="1" applyAlignment="1">
      <alignment horizontal="center" textRotation="90" wrapText="1"/>
    </xf>
    <xf numFmtId="0" fontId="1" fillId="53" borderId="0" xfId="0" applyFont="1" applyFill="1"/>
    <xf numFmtId="0" fontId="0" fillId="53" borderId="0" xfId="0" quotePrefix="1" applyFill="1"/>
    <xf numFmtId="0" fontId="44" fillId="4" borderId="0" xfId="0" applyFont="1" applyFill="1" applyAlignment="1" applyProtection="1">
      <alignment horizontal="left" indent="1"/>
      <protection locked="0"/>
    </xf>
    <xf numFmtId="0" fontId="50" fillId="3" borderId="65" xfId="0" applyFont="1" applyFill="1" applyBorder="1" applyAlignment="1">
      <alignment horizontal="center"/>
    </xf>
    <xf numFmtId="0" fontId="17" fillId="3" borderId="0" xfId="0" applyFont="1" applyFill="1" applyAlignment="1">
      <alignment horizontal="right"/>
    </xf>
    <xf numFmtId="165" fontId="23" fillId="0" borderId="77" xfId="0" applyNumberFormat="1" applyFont="1" applyBorder="1" applyAlignment="1">
      <alignment horizontal="center" vertical="center"/>
    </xf>
    <xf numFmtId="0" fontId="91" fillId="0" borderId="0" xfId="0" applyFont="1" applyAlignment="1">
      <alignment horizontal="center" vertical="center"/>
    </xf>
    <xf numFmtId="0" fontId="112" fillId="0" borderId="0" xfId="0" applyFont="1" applyAlignment="1">
      <alignment horizontal="center" vertical="center"/>
    </xf>
    <xf numFmtId="0" fontId="15" fillId="0" borderId="0" xfId="0" applyFont="1" applyAlignment="1">
      <alignment horizontal="center" vertical="center" wrapText="1"/>
    </xf>
    <xf numFmtId="0" fontId="112" fillId="0" borderId="0" xfId="0" applyFont="1" applyAlignment="1">
      <alignment vertical="center"/>
    </xf>
    <xf numFmtId="0" fontId="29" fillId="0" borderId="0" xfId="0" applyFont="1" applyAlignment="1">
      <alignment wrapText="1"/>
    </xf>
    <xf numFmtId="8" fontId="0" fillId="0" borderId="0" xfId="0" applyNumberFormat="1"/>
    <xf numFmtId="0" fontId="62" fillId="0" borderId="0" xfId="0" applyFont="1" applyAlignment="1">
      <alignment horizontal="right" indent="1"/>
    </xf>
    <xf numFmtId="0" fontId="63" fillId="0" borderId="0" xfId="0" applyFont="1"/>
    <xf numFmtId="0" fontId="63" fillId="0" borderId="0" xfId="0" quotePrefix="1" applyFont="1"/>
    <xf numFmtId="0" fontId="3" fillId="0" borderId="0" xfId="0" quotePrefix="1" applyFont="1"/>
    <xf numFmtId="0" fontId="62" fillId="0" borderId="0" xfId="0" applyFont="1" applyAlignment="1">
      <alignment horizontal="right" wrapText="1" indent="1"/>
    </xf>
    <xf numFmtId="6" fontId="0" fillId="0" borderId="0" xfId="0" applyNumberFormat="1" applyAlignment="1">
      <alignment horizontal="center"/>
    </xf>
    <xf numFmtId="0" fontId="62" fillId="3" borderId="0" xfId="0" applyFont="1" applyFill="1" applyAlignment="1">
      <alignment horizontal="right" indent="1"/>
    </xf>
    <xf numFmtId="0" fontId="63" fillId="3" borderId="0" xfId="0" applyFont="1" applyFill="1"/>
    <xf numFmtId="0" fontId="63" fillId="3" borderId="0" xfId="0" quotePrefix="1" applyFont="1" applyFill="1"/>
    <xf numFmtId="0" fontId="0" fillId="3" borderId="85" xfId="0" applyFill="1" applyBorder="1"/>
    <xf numFmtId="0" fontId="33" fillId="0" borderId="0" xfId="0" applyFont="1" applyAlignment="1">
      <alignment horizontal="center"/>
    </xf>
    <xf numFmtId="0" fontId="36" fillId="0" borderId="0" xfId="0" applyFont="1"/>
    <xf numFmtId="0" fontId="33" fillId="9" borderId="138" xfId="0" applyFont="1" applyFill="1" applyBorder="1"/>
    <xf numFmtId="0" fontId="17" fillId="9" borderId="29" xfId="0" applyFont="1" applyFill="1" applyBorder="1"/>
    <xf numFmtId="0" fontId="14" fillId="9" borderId="10" xfId="0" applyFont="1" applyFill="1" applyBorder="1"/>
    <xf numFmtId="0" fontId="17" fillId="10" borderId="0" xfId="0" applyFont="1" applyFill="1"/>
    <xf numFmtId="0" fontId="14" fillId="9" borderId="23" xfId="0" applyFont="1" applyFill="1" applyBorder="1"/>
    <xf numFmtId="0" fontId="14" fillId="9" borderId="23" xfId="0" applyFont="1" applyFill="1" applyBorder="1" applyAlignment="1">
      <alignment horizontal="center"/>
    </xf>
    <xf numFmtId="0" fontId="14" fillId="10" borderId="139" xfId="0" applyFont="1" applyFill="1" applyBorder="1"/>
    <xf numFmtId="0" fontId="17" fillId="10" borderId="23" xfId="0" applyFont="1" applyFill="1" applyBorder="1"/>
    <xf numFmtId="0" fontId="14" fillId="10" borderId="3" xfId="0" applyFont="1" applyFill="1" applyBorder="1" applyAlignment="1">
      <alignment horizontal="center"/>
    </xf>
    <xf numFmtId="0" fontId="17" fillId="9" borderId="0" xfId="0" applyFont="1" applyFill="1" applyAlignment="1">
      <alignment horizontal="center"/>
    </xf>
    <xf numFmtId="0" fontId="14" fillId="9" borderId="0" xfId="0" applyFont="1" applyFill="1"/>
    <xf numFmtId="0" fontId="33" fillId="10" borderId="0" xfId="0" applyFont="1" applyFill="1"/>
    <xf numFmtId="0" fontId="14" fillId="10" borderId="23" xfId="0" applyFont="1" applyFill="1" applyBorder="1" applyAlignment="1">
      <alignment horizontal="center"/>
    </xf>
    <xf numFmtId="0" fontId="17" fillId="0" borderId="41" xfId="0" applyFont="1" applyBorder="1"/>
    <xf numFmtId="0" fontId="17" fillId="0" borderId="49" xfId="0" applyFont="1" applyBorder="1"/>
    <xf numFmtId="0" fontId="33" fillId="12" borderId="29" xfId="0" applyFont="1" applyFill="1" applyBorder="1"/>
    <xf numFmtId="0" fontId="14" fillId="12" borderId="141" xfId="0" applyFont="1" applyFill="1" applyBorder="1" applyAlignment="1">
      <alignment horizontal="center"/>
    </xf>
    <xf numFmtId="0" fontId="14" fillId="12" borderId="142" xfId="0" applyFont="1" applyFill="1" applyBorder="1" applyAlignment="1">
      <alignment horizontal="center"/>
    </xf>
    <xf numFmtId="0" fontId="14" fillId="12" borderId="23" xfId="0" applyFont="1" applyFill="1" applyBorder="1" applyAlignment="1">
      <alignment horizontal="center"/>
    </xf>
    <xf numFmtId="0" fontId="34" fillId="0" borderId="41" xfId="0" applyFont="1" applyBorder="1" applyAlignment="1">
      <alignment horizontal="center" textRotation="90" wrapText="1"/>
    </xf>
    <xf numFmtId="0" fontId="34" fillId="0" borderId="49" xfId="0" applyFont="1" applyBorder="1" applyAlignment="1">
      <alignment horizontal="center" textRotation="90" wrapText="1"/>
    </xf>
    <xf numFmtId="0" fontId="2" fillId="51" borderId="133" xfId="0" applyFont="1" applyFill="1" applyBorder="1"/>
    <xf numFmtId="0" fontId="17" fillId="0" borderId="0" xfId="0" quotePrefix="1" applyFont="1"/>
    <xf numFmtId="0" fontId="0" fillId="0" borderId="134" xfId="0" applyBorder="1"/>
    <xf numFmtId="0" fontId="0" fillId="0" borderId="135" xfId="0" applyBorder="1" applyAlignment="1">
      <alignment horizontal="center"/>
    </xf>
    <xf numFmtId="0" fontId="0" fillId="0" borderId="133" xfId="0" applyBorder="1"/>
    <xf numFmtId="0" fontId="1" fillId="0" borderId="41" xfId="0" applyFont="1" applyBorder="1"/>
    <xf numFmtId="0" fontId="1" fillId="0" borderId="41" xfId="0" applyFont="1" applyBorder="1" applyAlignment="1">
      <alignment horizontal="center"/>
    </xf>
    <xf numFmtId="0" fontId="2" fillId="8" borderId="31" xfId="0" applyFont="1" applyFill="1" applyBorder="1" applyAlignment="1">
      <alignment horizontal="center" vertical="center" wrapText="1"/>
    </xf>
    <xf numFmtId="0" fontId="116" fillId="8" borderId="31" xfId="0" applyFont="1" applyFill="1" applyBorder="1" applyAlignment="1">
      <alignment horizontal="center" vertical="center" wrapText="1"/>
    </xf>
    <xf numFmtId="0" fontId="51" fillId="0" borderId="0" xfId="0" applyFont="1" applyAlignment="1">
      <alignment horizontal="center"/>
    </xf>
    <xf numFmtId="9" fontId="1" fillId="0" borderId="0" xfId="2" applyFont="1" applyAlignment="1">
      <alignment horizontal="center"/>
    </xf>
    <xf numFmtId="9" fontId="4" fillId="2" borderId="26" xfId="0" applyNumberFormat="1" applyFont="1" applyFill="1" applyBorder="1" applyAlignment="1">
      <alignment horizontal="center" vertical="center" wrapText="1"/>
    </xf>
    <xf numFmtId="0" fontId="31" fillId="0" borderId="0" xfId="0" applyFont="1"/>
    <xf numFmtId="0" fontId="118" fillId="0" borderId="0" xfId="0" applyFont="1" applyAlignment="1">
      <alignment horizontal="center" textRotation="90" wrapText="1"/>
    </xf>
    <xf numFmtId="1" fontId="66" fillId="0" borderId="0" xfId="0" applyNumberFormat="1" applyFont="1" applyAlignment="1">
      <alignment horizontal="center"/>
    </xf>
    <xf numFmtId="165" fontId="66" fillId="0" borderId="0" xfId="0" applyNumberFormat="1" applyFont="1" applyAlignment="1">
      <alignment horizontal="center"/>
    </xf>
    <xf numFmtId="0" fontId="119" fillId="0" borderId="0" xfId="0" applyFont="1" applyAlignment="1">
      <alignment horizontal="center"/>
    </xf>
    <xf numFmtId="0" fontId="3" fillId="7" borderId="0" xfId="0" applyFont="1" applyFill="1"/>
    <xf numFmtId="0" fontId="28" fillId="0" borderId="0" xfId="0" applyFont="1" applyAlignment="1">
      <alignment horizontal="center" textRotation="90"/>
    </xf>
    <xf numFmtId="0" fontId="0" fillId="0" borderId="0" xfId="0" applyAlignment="1">
      <alignment horizontal="center" vertical="center"/>
    </xf>
    <xf numFmtId="0" fontId="24" fillId="0" borderId="0" xfId="0" applyFont="1"/>
    <xf numFmtId="0" fontId="120" fillId="0" borderId="0" xfId="0" applyFont="1"/>
    <xf numFmtId="0" fontId="24" fillId="0" borderId="0" xfId="0" applyFont="1" applyAlignment="1">
      <alignment horizontal="center"/>
    </xf>
    <xf numFmtId="0" fontId="120" fillId="0" borderId="0" xfId="0" applyFont="1" applyAlignment="1">
      <alignment horizontal="center"/>
    </xf>
    <xf numFmtId="166" fontId="24" fillId="0" borderId="0" xfId="0" applyNumberFormat="1" applyFont="1" applyAlignment="1">
      <alignment horizontal="center"/>
    </xf>
    <xf numFmtId="0" fontId="121" fillId="0" borderId="0" xfId="0" applyFont="1" applyAlignment="1">
      <alignment vertical="center"/>
    </xf>
    <xf numFmtId="0" fontId="122" fillId="0" borderId="0" xfId="0" applyFont="1" applyAlignment="1">
      <alignment vertical="center"/>
    </xf>
    <xf numFmtId="0" fontId="24" fillId="0" borderId="33" xfId="0" applyFont="1" applyBorder="1"/>
    <xf numFmtId="0" fontId="22" fillId="0" borderId="0" xfId="0" applyFont="1" applyAlignment="1">
      <alignment horizontal="center" vertical="center"/>
    </xf>
    <xf numFmtId="0" fontId="22" fillId="0" borderId="33" xfId="0" applyFont="1" applyBorder="1" applyAlignment="1">
      <alignment horizontal="center" vertical="center"/>
    </xf>
    <xf numFmtId="0" fontId="22" fillId="0" borderId="35" xfId="0" applyFont="1" applyBorder="1" applyAlignment="1">
      <alignment horizontal="center" vertical="center"/>
    </xf>
    <xf numFmtId="0" fontId="24" fillId="0" borderId="35" xfId="0" applyFont="1" applyBorder="1"/>
    <xf numFmtId="0" fontId="24" fillId="0" borderId="33" xfId="0" applyFont="1" applyBorder="1" applyAlignment="1">
      <alignment horizontal="center"/>
    </xf>
    <xf numFmtId="0" fontId="24" fillId="0" borderId="35" xfId="0" applyFont="1" applyBorder="1" applyAlignment="1">
      <alignment horizontal="center"/>
    </xf>
    <xf numFmtId="0" fontId="24" fillId="0" borderId="115" xfId="0" applyFont="1" applyBorder="1"/>
    <xf numFmtId="0" fontId="24" fillId="0" borderId="95" xfId="0" applyFont="1" applyBorder="1"/>
    <xf numFmtId="0" fontId="16" fillId="3" borderId="62" xfId="0" applyFont="1" applyFill="1" applyBorder="1"/>
    <xf numFmtId="0" fontId="123" fillId="3" borderId="0" xfId="0" applyFont="1" applyFill="1" applyAlignment="1">
      <alignment horizontal="right" vertical="center"/>
    </xf>
    <xf numFmtId="0" fontId="123" fillId="3" borderId="0" xfId="0" applyFont="1" applyFill="1" applyAlignment="1">
      <alignment horizontal="right" indent="1"/>
    </xf>
    <xf numFmtId="0" fontId="0" fillId="6" borderId="73" xfId="0" quotePrefix="1" applyFill="1" applyBorder="1"/>
    <xf numFmtId="0" fontId="44" fillId="3" borderId="144" xfId="0" applyFont="1" applyFill="1" applyBorder="1" applyAlignment="1">
      <alignment horizontal="right" vertical="center" indent="1"/>
    </xf>
    <xf numFmtId="0" fontId="66" fillId="3" borderId="0" xfId="0" applyFont="1" applyFill="1" applyAlignment="1">
      <alignment vertical="top" wrapText="1"/>
    </xf>
    <xf numFmtId="0" fontId="14" fillId="3" borderId="3" xfId="0" applyFont="1" applyFill="1" applyBorder="1" applyAlignment="1">
      <alignment horizontal="center" wrapText="1"/>
    </xf>
    <xf numFmtId="0" fontId="14" fillId="3" borderId="23" xfId="0" applyFont="1" applyFill="1" applyBorder="1" applyAlignment="1">
      <alignment horizontal="center" wrapText="1"/>
    </xf>
    <xf numFmtId="0" fontId="66" fillId="3" borderId="0" xfId="0" applyFont="1" applyFill="1" applyAlignment="1">
      <alignment horizontal="right" vertical="center"/>
    </xf>
    <xf numFmtId="0" fontId="0" fillId="6" borderId="72" xfId="0" quotePrefix="1" applyFill="1" applyBorder="1"/>
    <xf numFmtId="0" fontId="17" fillId="4" borderId="13" xfId="0" applyFont="1" applyFill="1" applyBorder="1" applyAlignment="1">
      <alignment horizontal="center"/>
    </xf>
    <xf numFmtId="0" fontId="17" fillId="4" borderId="16" xfId="0" applyFont="1" applyFill="1" applyBorder="1" applyAlignment="1">
      <alignment horizontal="center"/>
    </xf>
    <xf numFmtId="0" fontId="0" fillId="53" borderId="0" xfId="0" applyFill="1"/>
    <xf numFmtId="0" fontId="7" fillId="53" borderId="0" xfId="0" applyFont="1" applyFill="1" applyAlignment="1">
      <alignment horizontal="left" vertical="center"/>
    </xf>
    <xf numFmtId="0" fontId="16" fillId="3" borderId="0" xfId="0" applyFont="1" applyFill="1" applyAlignment="1">
      <alignment wrapText="1"/>
    </xf>
    <xf numFmtId="0" fontId="4" fillId="0" borderId="0" xfId="0" applyFont="1" applyAlignment="1">
      <alignment horizontal="center" vertical="center"/>
    </xf>
    <xf numFmtId="0" fontId="4" fillId="0" borderId="0" xfId="0" applyFont="1" applyAlignment="1">
      <alignment horizontal="left" vertical="center" wrapText="1"/>
    </xf>
    <xf numFmtId="165" fontId="23" fillId="0" borderId="0" xfId="0" applyNumberFormat="1" applyFont="1" applyAlignment="1">
      <alignment horizontal="center" vertical="center"/>
    </xf>
    <xf numFmtId="0" fontId="28" fillId="0" borderId="116" xfId="0" applyFont="1" applyBorder="1" applyAlignment="1">
      <alignment horizontal="center" wrapText="1"/>
    </xf>
    <xf numFmtId="0" fontId="28" fillId="0" borderId="21" xfId="0" applyFont="1" applyBorder="1" applyAlignment="1">
      <alignment horizontal="center" textRotation="90"/>
    </xf>
    <xf numFmtId="0" fontId="28" fillId="0" borderId="0" xfId="0" applyFont="1" applyAlignment="1">
      <alignment textRotation="90" wrapText="1"/>
    </xf>
    <xf numFmtId="0" fontId="28" fillId="0" borderId="21" xfId="0" applyFont="1" applyBorder="1" applyAlignment="1">
      <alignment horizontal="center"/>
    </xf>
    <xf numFmtId="0" fontId="0" fillId="0" borderId="77" xfId="0" applyBorder="1" applyAlignment="1">
      <alignment horizontal="center" vertical="center"/>
    </xf>
    <xf numFmtId="0" fontId="121" fillId="53" borderId="0" xfId="0" applyFont="1" applyFill="1" applyAlignment="1">
      <alignment vertical="center"/>
    </xf>
    <xf numFmtId="0" fontId="6" fillId="53" borderId="0" xfId="0" applyFont="1" applyFill="1"/>
    <xf numFmtId="0" fontId="17" fillId="0" borderId="0" xfId="0" applyFont="1" applyAlignment="1">
      <alignment vertical="center" wrapText="1"/>
    </xf>
    <xf numFmtId="0" fontId="12" fillId="0" borderId="0" xfId="1" applyBorder="1" applyAlignment="1">
      <alignment horizontal="left" indent="1"/>
    </xf>
    <xf numFmtId="0" fontId="0" fillId="0" borderId="0" xfId="0" applyAlignment="1" applyProtection="1">
      <alignment vertical="center"/>
      <protection locked="0"/>
    </xf>
    <xf numFmtId="0" fontId="3" fillId="3" borderId="0" xfId="0" applyFont="1" applyFill="1" applyAlignment="1">
      <alignment horizontal="center"/>
    </xf>
    <xf numFmtId="0" fontId="123" fillId="3" borderId="0" xfId="0" applyFont="1" applyFill="1" applyAlignment="1">
      <alignment horizontal="right"/>
    </xf>
    <xf numFmtId="0" fontId="33" fillId="60" borderId="29" xfId="0" applyFont="1" applyFill="1" applyBorder="1"/>
    <xf numFmtId="0" fontId="0" fillId="60" borderId="0" xfId="0" applyFill="1"/>
    <xf numFmtId="0" fontId="17" fillId="60" borderId="29" xfId="0" applyFont="1" applyFill="1" applyBorder="1"/>
    <xf numFmtId="0" fontId="17" fillId="60" borderId="112" xfId="0" applyFont="1" applyFill="1" applyBorder="1"/>
    <xf numFmtId="0" fontId="17" fillId="60" borderId="0" xfId="0" applyFont="1" applyFill="1"/>
    <xf numFmtId="0" fontId="17" fillId="60" borderId="2" xfId="0" applyFont="1" applyFill="1" applyBorder="1"/>
    <xf numFmtId="0" fontId="14" fillId="60" borderId="0" xfId="0" applyFont="1" applyFill="1" applyAlignment="1">
      <alignment horizontal="center"/>
    </xf>
    <xf numFmtId="0" fontId="14" fillId="60" borderId="10" xfId="0" applyFont="1" applyFill="1" applyBorder="1" applyAlignment="1">
      <alignment horizontal="center"/>
    </xf>
    <xf numFmtId="0" fontId="14" fillId="60" borderId="139" xfId="0" applyFont="1" applyFill="1" applyBorder="1"/>
    <xf numFmtId="0" fontId="14" fillId="60" borderId="23" xfId="0" applyFont="1" applyFill="1" applyBorder="1"/>
    <xf numFmtId="0" fontId="14" fillId="60" borderId="3" xfId="0" applyFont="1" applyFill="1" applyBorder="1" applyAlignment="1">
      <alignment horizontal="center"/>
    </xf>
    <xf numFmtId="0" fontId="14" fillId="60" borderId="23" xfId="0" applyFont="1" applyFill="1" applyBorder="1" applyAlignment="1">
      <alignment horizontal="center"/>
    </xf>
    <xf numFmtId="0" fontId="85" fillId="0" borderId="0" xfId="0" applyFont="1" applyAlignment="1">
      <alignment horizontal="center" vertical="center"/>
    </xf>
    <xf numFmtId="3" fontId="4" fillId="3" borderId="2" xfId="0" applyNumberFormat="1" applyFont="1" applyFill="1" applyBorder="1" applyAlignment="1">
      <alignment horizontal="center"/>
    </xf>
    <xf numFmtId="165" fontId="4" fillId="3" borderId="2" xfId="0" applyNumberFormat="1" applyFont="1" applyFill="1" applyBorder="1" applyAlignment="1">
      <alignment horizontal="center"/>
    </xf>
    <xf numFmtId="4" fontId="4" fillId="3" borderId="2" xfId="0" applyNumberFormat="1" applyFont="1" applyFill="1" applyBorder="1" applyAlignment="1">
      <alignment horizontal="center"/>
    </xf>
    <xf numFmtId="0" fontId="23" fillId="0" borderId="2" xfId="0" applyFont="1" applyBorder="1"/>
    <xf numFmtId="182" fontId="24" fillId="0" borderId="0" xfId="0" quotePrefix="1" applyNumberFormat="1" applyFont="1"/>
    <xf numFmtId="181" fontId="24" fillId="0" borderId="0" xfId="0" applyNumberFormat="1" applyFont="1"/>
    <xf numFmtId="0" fontId="54" fillId="3" borderId="0" xfId="0" applyFont="1" applyFill="1" applyAlignment="1">
      <alignment horizontal="left" indent="2"/>
    </xf>
    <xf numFmtId="0" fontId="117" fillId="10" borderId="152" xfId="0" applyFont="1" applyFill="1" applyBorder="1" applyAlignment="1">
      <alignment horizontal="center"/>
    </xf>
    <xf numFmtId="0" fontId="23" fillId="58" borderId="167" xfId="0" applyFont="1" applyFill="1" applyBorder="1" applyAlignment="1">
      <alignment horizontal="center" vertical="center"/>
    </xf>
    <xf numFmtId="0" fontId="17" fillId="58" borderId="167" xfId="0" applyFont="1" applyFill="1" applyBorder="1" applyAlignment="1">
      <alignment vertical="center"/>
    </xf>
    <xf numFmtId="0" fontId="117" fillId="10" borderId="85" xfId="0" applyFont="1" applyFill="1" applyBorder="1" applyAlignment="1">
      <alignment horizontal="right" vertical="center" wrapText="1"/>
    </xf>
    <xf numFmtId="0" fontId="23" fillId="0" borderId="178" xfId="0" applyFont="1" applyBorder="1" applyAlignment="1" applyProtection="1">
      <alignment horizontal="center" vertical="center"/>
      <protection locked="0"/>
    </xf>
    <xf numFmtId="0" fontId="23" fillId="0" borderId="129" xfId="0" applyFont="1" applyBorder="1" applyAlignment="1" applyProtection="1">
      <alignment horizontal="center" vertical="center"/>
      <protection locked="0"/>
    </xf>
    <xf numFmtId="3" fontId="23" fillId="0" borderId="129" xfId="0" applyNumberFormat="1" applyFont="1" applyBorder="1" applyAlignment="1" applyProtection="1">
      <alignment horizontal="center" vertical="center" wrapText="1"/>
      <protection locked="0"/>
    </xf>
    <xf numFmtId="0" fontId="23" fillId="0" borderId="39" xfId="0" applyFont="1" applyBorder="1" applyAlignment="1" applyProtection="1">
      <alignment horizontal="center" vertical="center"/>
      <protection locked="0"/>
    </xf>
    <xf numFmtId="9" fontId="4" fillId="2" borderId="0" xfId="0" applyNumberFormat="1" applyFont="1" applyFill="1" applyAlignment="1">
      <alignment horizontal="center" vertical="center" wrapText="1"/>
    </xf>
    <xf numFmtId="0" fontId="14" fillId="10" borderId="173" xfId="0" applyFont="1" applyFill="1" applyBorder="1" applyAlignment="1">
      <alignment horizontal="center"/>
    </xf>
    <xf numFmtId="0" fontId="14" fillId="60" borderId="173" xfId="0" applyFont="1" applyFill="1" applyBorder="1" applyAlignment="1">
      <alignment horizontal="center"/>
    </xf>
    <xf numFmtId="0" fontId="14" fillId="12" borderId="187" xfId="0" applyFont="1" applyFill="1" applyBorder="1" applyAlignment="1">
      <alignment horizontal="center"/>
    </xf>
    <xf numFmtId="0" fontId="4" fillId="2" borderId="0" xfId="0" applyFont="1" applyFill="1" applyAlignment="1">
      <alignment horizontal="center"/>
    </xf>
    <xf numFmtId="0" fontId="24" fillId="0" borderId="23" xfId="0" applyFont="1" applyBorder="1"/>
    <xf numFmtId="0" fontId="121" fillId="0" borderId="189" xfId="0" applyFont="1" applyBorder="1" applyAlignment="1">
      <alignment horizontal="center" vertical="center"/>
    </xf>
    <xf numFmtId="0" fontId="121" fillId="0" borderId="190" xfId="0" applyFont="1" applyBorder="1" applyAlignment="1">
      <alignment horizontal="center" vertical="center"/>
    </xf>
    <xf numFmtId="0" fontId="24" fillId="0" borderId="189" xfId="0" applyFont="1" applyBorder="1" applyAlignment="1">
      <alignment horizontal="center" vertical="center"/>
    </xf>
    <xf numFmtId="0" fontId="24" fillId="0" borderId="190" xfId="0" applyFont="1" applyBorder="1" applyAlignment="1">
      <alignment horizontal="center" vertical="center"/>
    </xf>
    <xf numFmtId="0" fontId="22" fillId="0" borderId="0" xfId="0" applyFont="1" applyAlignment="1">
      <alignment vertical="center"/>
    </xf>
    <xf numFmtId="0" fontId="24" fillId="0" borderId="35" xfId="0" applyFont="1" applyBorder="1" applyAlignment="1">
      <alignment horizontal="center" vertical="center"/>
    </xf>
    <xf numFmtId="0" fontId="24" fillId="0" borderId="33" xfId="0" applyFont="1" applyBorder="1" applyAlignment="1">
      <alignment horizontal="center" vertical="center"/>
    </xf>
    <xf numFmtId="0" fontId="14" fillId="0" borderId="0" xfId="0" applyFont="1" applyAlignment="1">
      <alignment horizontal="center" vertical="center"/>
    </xf>
    <xf numFmtId="0" fontId="0" fillId="0" borderId="198" xfId="0" applyBorder="1"/>
    <xf numFmtId="0" fontId="76" fillId="0" borderId="23" xfId="0" applyFont="1" applyBorder="1" applyAlignment="1">
      <alignment vertical="top"/>
    </xf>
    <xf numFmtId="0" fontId="77" fillId="0" borderId="23" xfId="0" applyFont="1" applyBorder="1"/>
    <xf numFmtId="0" fontId="76" fillId="0" borderId="23" xfId="0" applyFont="1" applyBorder="1" applyAlignment="1">
      <alignment horizontal="center" vertical="top"/>
    </xf>
    <xf numFmtId="0" fontId="76" fillId="0" borderId="0" xfId="0" applyFont="1" applyAlignment="1">
      <alignment horizontal="right" indent="1"/>
    </xf>
    <xf numFmtId="0" fontId="76" fillId="0" borderId="23" xfId="0" applyFont="1" applyBorder="1"/>
    <xf numFmtId="0" fontId="31" fillId="0" borderId="0" xfId="0" applyFont="1" applyAlignment="1">
      <alignment vertical="top"/>
    </xf>
    <xf numFmtId="179" fontId="77" fillId="3" borderId="11" xfId="0" applyNumberFormat="1" applyFont="1" applyFill="1" applyBorder="1" applyAlignment="1">
      <alignment horizontal="left" indent="1"/>
    </xf>
    <xf numFmtId="169" fontId="44" fillId="3" borderId="198" xfId="0" applyNumberFormat="1" applyFont="1" applyFill="1" applyBorder="1" applyAlignment="1">
      <alignment horizontal="left" shrinkToFit="1"/>
    </xf>
    <xf numFmtId="164" fontId="0" fillId="4" borderId="201" xfId="0" applyNumberFormat="1" applyFill="1" applyBorder="1" applyAlignment="1" applyProtection="1">
      <alignment horizontal="center"/>
      <protection locked="0"/>
    </xf>
    <xf numFmtId="169" fontId="44" fillId="3" borderId="198" xfId="0" applyNumberFormat="1" applyFont="1" applyFill="1" applyBorder="1" applyAlignment="1">
      <alignment horizontal="left" indent="1" shrinkToFit="1"/>
    </xf>
    <xf numFmtId="0" fontId="0" fillId="0" borderId="199" xfId="0" applyBorder="1"/>
    <xf numFmtId="0" fontId="0" fillId="0" borderId="200" xfId="0" applyBorder="1"/>
    <xf numFmtId="0" fontId="17" fillId="0" borderId="204" xfId="0" applyFont="1" applyBorder="1" applyAlignment="1">
      <alignment horizontal="left" vertical="center"/>
    </xf>
    <xf numFmtId="0" fontId="0" fillId="0" borderId="205" xfId="0" applyBorder="1"/>
    <xf numFmtId="0" fontId="17" fillId="0" borderId="206" xfId="0" applyFont="1" applyBorder="1" applyAlignment="1">
      <alignment horizontal="right" vertical="center"/>
    </xf>
    <xf numFmtId="0" fontId="18" fillId="0" borderId="206" xfId="0" applyFont="1" applyBorder="1" applyAlignment="1">
      <alignment horizontal="right" vertical="center" indent="1"/>
    </xf>
    <xf numFmtId="0" fontId="24" fillId="0" borderId="201" xfId="0" applyFont="1" applyBorder="1" applyAlignment="1">
      <alignment vertical="center"/>
    </xf>
    <xf numFmtId="0" fontId="0" fillId="0" borderId="207" xfId="0" applyBorder="1" applyAlignment="1" applyProtection="1">
      <alignment horizontal="center" vertical="center"/>
      <protection locked="0"/>
    </xf>
    <xf numFmtId="0" fontId="17" fillId="0" borderId="205" xfId="0" applyFont="1" applyBorder="1" applyAlignment="1">
      <alignment horizontal="left" vertical="center"/>
    </xf>
    <xf numFmtId="0" fontId="0" fillId="0" borderId="205" xfId="0" applyBorder="1" applyAlignment="1">
      <alignment vertical="center"/>
    </xf>
    <xf numFmtId="0" fontId="0" fillId="0" borderId="206" xfId="0" applyBorder="1" applyAlignment="1">
      <alignment vertical="center"/>
    </xf>
    <xf numFmtId="0" fontId="121" fillId="0" borderId="201" xfId="0" applyFont="1" applyBorder="1" applyAlignment="1">
      <alignment horizontal="center" vertical="center"/>
    </xf>
    <xf numFmtId="0" fontId="24" fillId="0" borderId="201" xfId="0" applyFont="1" applyBorder="1" applyAlignment="1">
      <alignment horizontal="center" vertical="center"/>
    </xf>
    <xf numFmtId="0" fontId="17" fillId="0" borderId="202" xfId="0" applyFont="1" applyBorder="1" applyAlignment="1">
      <alignment horizontal="left" vertical="center"/>
    </xf>
    <xf numFmtId="0" fontId="0" fillId="0" borderId="201" xfId="0" applyBorder="1" applyAlignment="1">
      <alignment horizontal="center"/>
    </xf>
    <xf numFmtId="0" fontId="4" fillId="2" borderId="202" xfId="0" applyFont="1" applyFill="1" applyBorder="1"/>
    <xf numFmtId="0" fontId="0" fillId="2" borderId="208" xfId="0" applyFill="1" applyBorder="1"/>
    <xf numFmtId="0" fontId="0" fillId="2" borderId="203" xfId="0" applyFill="1" applyBorder="1"/>
    <xf numFmtId="0" fontId="24" fillId="0" borderId="201" xfId="0" applyFont="1" applyBorder="1"/>
    <xf numFmtId="0" fontId="24" fillId="0" borderId="201" xfId="0" applyFont="1" applyBorder="1" applyAlignment="1">
      <alignment horizontal="center"/>
    </xf>
    <xf numFmtId="0" fontId="24" fillId="0" borderId="201" xfId="0" applyFont="1" applyBorder="1" applyAlignment="1">
      <alignment horizontal="left"/>
    </xf>
    <xf numFmtId="0" fontId="0" fillId="0" borderId="203" xfId="0" applyBorder="1"/>
    <xf numFmtId="0" fontId="24" fillId="0" borderId="202" xfId="0" applyFont="1" applyBorder="1"/>
    <xf numFmtId="0" fontId="24" fillId="0" borderId="208" xfId="0" applyFont="1" applyBorder="1"/>
    <xf numFmtId="0" fontId="24" fillId="0" borderId="208" xfId="0" applyFont="1" applyBorder="1" applyAlignment="1">
      <alignment horizontal="center"/>
    </xf>
    <xf numFmtId="0" fontId="24" fillId="0" borderId="203" xfId="0" applyFont="1" applyBorder="1"/>
    <xf numFmtId="165" fontId="24" fillId="0" borderId="201" xfId="0" applyNumberFormat="1" applyFont="1" applyBorder="1" applyAlignment="1">
      <alignment horizontal="center"/>
    </xf>
    <xf numFmtId="0" fontId="0" fillId="0" borderId="201" xfId="0" applyBorder="1"/>
    <xf numFmtId="0" fontId="0" fillId="0" borderId="202" xfId="0" applyBorder="1"/>
    <xf numFmtId="0" fontId="0" fillId="0" borderId="208" xfId="0" applyBorder="1"/>
    <xf numFmtId="0" fontId="18" fillId="0" borderId="203" xfId="0" applyFont="1" applyBorder="1" applyAlignment="1">
      <alignment horizontal="right" indent="1"/>
    </xf>
    <xf numFmtId="0" fontId="0" fillId="0" borderId="206" xfId="0" applyBorder="1"/>
    <xf numFmtId="0" fontId="18" fillId="0" borderId="206" xfId="0" applyFont="1" applyBorder="1" applyAlignment="1">
      <alignment horizontal="right" indent="1"/>
    </xf>
    <xf numFmtId="0" fontId="17" fillId="4" borderId="205" xfId="0" applyFont="1" applyFill="1" applyBorder="1" applyAlignment="1">
      <alignment horizontal="center"/>
    </xf>
    <xf numFmtId="1" fontId="1" fillId="0" borderId="201" xfId="0" applyNumberFormat="1" applyFont="1" applyBorder="1" applyAlignment="1">
      <alignment horizontal="center"/>
    </xf>
    <xf numFmtId="0" fontId="1" fillId="0" borderId="201" xfId="0" applyFont="1" applyBorder="1" applyAlignment="1">
      <alignment horizontal="center"/>
    </xf>
    <xf numFmtId="9" fontId="1" fillId="0" borderId="201" xfId="2" applyFont="1" applyBorder="1" applyAlignment="1">
      <alignment horizontal="center"/>
    </xf>
    <xf numFmtId="0" fontId="1" fillId="0" borderId="201" xfId="0" applyFont="1" applyBorder="1"/>
    <xf numFmtId="0" fontId="14" fillId="0" borderId="201" xfId="0" applyFont="1" applyBorder="1" applyAlignment="1">
      <alignment horizontal="center"/>
    </xf>
    <xf numFmtId="3" fontId="0" fillId="59" borderId="208" xfId="0" applyNumberFormat="1" applyFill="1" applyBorder="1"/>
    <xf numFmtId="165" fontId="0" fillId="0" borderId="208" xfId="0" applyNumberFormat="1" applyBorder="1" applyAlignment="1">
      <alignment horizontal="center"/>
    </xf>
    <xf numFmtId="3" fontId="76" fillId="59" borderId="208" xfId="0" applyNumberFormat="1" applyFont="1" applyFill="1" applyBorder="1"/>
    <xf numFmtId="0" fontId="17" fillId="59" borderId="201" xfId="0" applyFont="1" applyFill="1" applyBorder="1"/>
    <xf numFmtId="0" fontId="17" fillId="59" borderId="201" xfId="0" applyFont="1" applyFill="1" applyBorder="1" applyAlignment="1">
      <alignment horizontal="left"/>
    </xf>
    <xf numFmtId="4" fontId="0" fillId="59" borderId="208" xfId="0" applyNumberFormat="1" applyFill="1" applyBorder="1"/>
    <xf numFmtId="166" fontId="0" fillId="0" borderId="208" xfId="0" applyNumberFormat="1" applyBorder="1" applyAlignment="1">
      <alignment horizontal="center"/>
    </xf>
    <xf numFmtId="4" fontId="76" fillId="59" borderId="208" xfId="0" applyNumberFormat="1" applyFont="1" applyFill="1" applyBorder="1"/>
    <xf numFmtId="0" fontId="14" fillId="0" borderId="201" xfId="0" applyFont="1" applyBorder="1"/>
    <xf numFmtId="0" fontId="17" fillId="0" borderId="208" xfId="0" applyFont="1" applyBorder="1" applyAlignment="1">
      <alignment horizontal="center" vertical="center" wrapText="1"/>
    </xf>
    <xf numFmtId="0" fontId="17" fillId="0" borderId="208" xfId="0" applyFont="1" applyBorder="1" applyAlignment="1">
      <alignment horizontal="center" vertical="center"/>
    </xf>
    <xf numFmtId="0" fontId="17" fillId="0" borderId="208" xfId="0" applyFont="1" applyBorder="1" applyAlignment="1">
      <alignment vertical="center"/>
    </xf>
    <xf numFmtId="165" fontId="17" fillId="0" borderId="208" xfId="0" applyNumberFormat="1" applyFont="1" applyBorder="1" applyAlignment="1">
      <alignment horizontal="center" vertical="center"/>
    </xf>
    <xf numFmtId="9" fontId="17" fillId="0" borderId="208" xfId="0" applyNumberFormat="1" applyFont="1" applyBorder="1" applyAlignment="1">
      <alignment horizontal="center" vertical="center"/>
    </xf>
    <xf numFmtId="3" fontId="17" fillId="0" borderId="208" xfId="0" applyNumberFormat="1" applyFont="1" applyBorder="1" applyAlignment="1">
      <alignment horizontal="center" vertical="center"/>
    </xf>
    <xf numFmtId="0" fontId="17" fillId="0" borderId="198" xfId="0" applyFont="1" applyBorder="1" applyAlignment="1">
      <alignment horizontal="center" vertical="center"/>
    </xf>
    <xf numFmtId="168" fontId="17" fillId="0" borderId="208" xfId="0" applyNumberFormat="1" applyFont="1" applyBorder="1" applyAlignment="1">
      <alignment horizontal="center" vertical="center"/>
    </xf>
    <xf numFmtId="1" fontId="17" fillId="0" borderId="208" xfId="0" applyNumberFormat="1" applyFont="1" applyBorder="1" applyAlignment="1">
      <alignment horizontal="center" vertical="center"/>
    </xf>
    <xf numFmtId="10" fontId="17" fillId="0" borderId="208" xfId="0" applyNumberFormat="1" applyFont="1" applyBorder="1" applyAlignment="1">
      <alignment horizontal="center" vertical="center"/>
    </xf>
    <xf numFmtId="0" fontId="17" fillId="50" borderId="201" xfId="0" applyFont="1" applyFill="1" applyBorder="1" applyAlignment="1">
      <alignment vertical="center"/>
    </xf>
    <xf numFmtId="0" fontId="17" fillId="50" borderId="201" xfId="0" applyFont="1" applyFill="1" applyBorder="1" applyAlignment="1">
      <alignment horizontal="center" vertical="center"/>
    </xf>
    <xf numFmtId="0" fontId="17" fillId="0" borderId="201" xfId="0" applyFont="1" applyBorder="1" applyAlignment="1">
      <alignment horizontal="center" vertical="center"/>
    </xf>
    <xf numFmtId="0" fontId="17" fillId="0" borderId="208" xfId="0" applyFont="1" applyBorder="1" applyAlignment="1">
      <alignment horizontal="left" vertical="center" wrapText="1"/>
    </xf>
    <xf numFmtId="0" fontId="17" fillId="0" borderId="198" xfId="0" applyFont="1" applyBorder="1" applyAlignment="1">
      <alignment horizontal="left" vertical="center" wrapText="1"/>
    </xf>
    <xf numFmtId="0" fontId="14" fillId="0" borderId="198" xfId="0" applyFont="1" applyBorder="1" applyAlignment="1">
      <alignment horizontal="center" vertical="center"/>
    </xf>
    <xf numFmtId="0" fontId="17" fillId="0" borderId="201" xfId="0" applyFont="1" applyBorder="1"/>
    <xf numFmtId="0" fontId="17" fillId="0" borderId="201" xfId="0" applyFont="1" applyBorder="1" applyAlignment="1">
      <alignment vertical="center"/>
    </xf>
    <xf numFmtId="3" fontId="17" fillId="0" borderId="201" xfId="0" applyNumberFormat="1" applyFont="1" applyBorder="1" applyAlignment="1">
      <alignment horizontal="center" vertical="center"/>
    </xf>
    <xf numFmtId="3" fontId="17" fillId="7" borderId="201" xfId="0" applyNumberFormat="1" applyFont="1" applyFill="1" applyBorder="1" applyAlignment="1">
      <alignment horizontal="center" vertical="center"/>
    </xf>
    <xf numFmtId="165" fontId="17" fillId="0" borderId="201" xfId="0" applyNumberFormat="1" applyFont="1" applyBorder="1" applyAlignment="1">
      <alignment horizontal="center" vertical="center"/>
    </xf>
    <xf numFmtId="4" fontId="17" fillId="0" borderId="201" xfId="0" applyNumberFormat="1" applyFont="1" applyBorder="1" applyAlignment="1">
      <alignment horizontal="center" vertical="center"/>
    </xf>
    <xf numFmtId="3" fontId="34" fillId="0" borderId="201" xfId="0" applyNumberFormat="1" applyFont="1" applyBorder="1" applyAlignment="1">
      <alignment horizontal="center" vertical="center"/>
    </xf>
    <xf numFmtId="3" fontId="34" fillId="7" borderId="201" xfId="0" applyNumberFormat="1" applyFont="1" applyFill="1" applyBorder="1" applyAlignment="1">
      <alignment horizontal="center" vertical="center"/>
    </xf>
    <xf numFmtId="165" fontId="34" fillId="0" borderId="201" xfId="0" applyNumberFormat="1" applyFont="1" applyBorder="1" applyAlignment="1">
      <alignment horizontal="center" vertical="center"/>
    </xf>
    <xf numFmtId="4" fontId="34" fillId="0" borderId="201" xfId="0" applyNumberFormat="1" applyFont="1" applyBorder="1" applyAlignment="1">
      <alignment horizontal="center" vertical="center"/>
    </xf>
    <xf numFmtId="0" fontId="17" fillId="0" borderId="202" xfId="0" applyFont="1" applyBorder="1"/>
    <xf numFmtId="0" fontId="17" fillId="0" borderId="208" xfId="0" applyFont="1" applyBorder="1"/>
    <xf numFmtId="0" fontId="17" fillId="0" borderId="203" xfId="0" applyFont="1" applyBorder="1" applyAlignment="1">
      <alignment horizontal="right"/>
    </xf>
    <xf numFmtId="3" fontId="17" fillId="0" borderId="201" xfId="0" applyNumberFormat="1" applyFont="1" applyBorder="1" applyAlignment="1">
      <alignment horizontal="center"/>
    </xf>
    <xf numFmtId="173" fontId="16" fillId="0" borderId="198" xfId="0" applyNumberFormat="1" applyFont="1" applyBorder="1" applyAlignment="1">
      <alignment vertical="center"/>
    </xf>
    <xf numFmtId="0" fontId="0" fillId="4" borderId="201" xfId="0" applyFill="1" applyBorder="1" applyProtection="1">
      <protection locked="0"/>
    </xf>
    <xf numFmtId="169" fontId="44" fillId="0" borderId="198" xfId="0" applyNumberFormat="1" applyFont="1" applyBorder="1" applyAlignment="1">
      <alignment horizontal="left" indent="1" shrinkToFit="1"/>
    </xf>
    <xf numFmtId="0" fontId="17" fillId="0" borderId="201" xfId="0" applyFont="1" applyBorder="1" applyAlignment="1">
      <alignment horizontal="center"/>
    </xf>
    <xf numFmtId="0" fontId="0" fillId="0" borderId="208" xfId="0" applyBorder="1" applyAlignment="1">
      <alignment horizontal="left"/>
    </xf>
    <xf numFmtId="0" fontId="3" fillId="2" borderId="199" xfId="0" applyFont="1" applyFill="1" applyBorder="1"/>
    <xf numFmtId="0" fontId="4" fillId="2" borderId="198" xfId="0" applyFont="1" applyFill="1" applyBorder="1" applyAlignment="1">
      <alignment vertical="center"/>
    </xf>
    <xf numFmtId="0" fontId="4" fillId="2" borderId="198" xfId="0" applyFont="1" applyFill="1" applyBorder="1" applyAlignment="1">
      <alignment vertical="center" wrapText="1"/>
    </xf>
    <xf numFmtId="0" fontId="4" fillId="2" borderId="200" xfId="0" applyFont="1" applyFill="1" applyBorder="1" applyAlignment="1">
      <alignment vertical="center" wrapText="1"/>
    </xf>
    <xf numFmtId="0" fontId="16" fillId="6" borderId="212" xfId="0" applyFont="1" applyFill="1" applyBorder="1" applyAlignment="1">
      <alignment vertical="center" wrapText="1"/>
    </xf>
    <xf numFmtId="9" fontId="16" fillId="6" borderId="199" xfId="2" applyFont="1" applyFill="1" applyBorder="1" applyAlignment="1">
      <alignment horizontal="center" vertical="center" wrapText="1"/>
    </xf>
    <xf numFmtId="9" fontId="16" fillId="6" borderId="199" xfId="0" applyNumberFormat="1" applyFont="1" applyFill="1" applyBorder="1" applyAlignment="1">
      <alignment horizontal="center" vertical="center" wrapText="1"/>
    </xf>
    <xf numFmtId="9" fontId="0" fillId="6" borderId="199" xfId="2" applyFont="1" applyFill="1" applyBorder="1" applyAlignment="1">
      <alignment horizontal="center" vertical="center"/>
    </xf>
    <xf numFmtId="9" fontId="0" fillId="6" borderId="199" xfId="0" applyNumberFormat="1" applyFill="1" applyBorder="1" applyAlignment="1">
      <alignment horizontal="center"/>
    </xf>
    <xf numFmtId="9" fontId="0" fillId="6" borderId="213" xfId="0" applyNumberFormat="1" applyFill="1" applyBorder="1" applyAlignment="1">
      <alignment horizontal="center"/>
    </xf>
    <xf numFmtId="9" fontId="16" fillId="6" borderId="212" xfId="0" applyNumberFormat="1" applyFont="1" applyFill="1" applyBorder="1" applyAlignment="1">
      <alignment horizontal="center" vertical="center" wrapText="1"/>
    </xf>
    <xf numFmtId="0" fontId="16" fillId="0" borderId="212" xfId="0" applyFont="1" applyBorder="1" applyAlignment="1">
      <alignment vertical="center" wrapText="1"/>
    </xf>
    <xf numFmtId="9" fontId="16" fillId="0" borderId="199" xfId="2" applyFont="1" applyBorder="1" applyAlignment="1">
      <alignment horizontal="center" vertical="center" wrapText="1"/>
    </xf>
    <xf numFmtId="9" fontId="16" fillId="0" borderId="199" xfId="0" applyNumberFormat="1" applyFont="1" applyBorder="1" applyAlignment="1">
      <alignment horizontal="center" vertical="center" wrapText="1"/>
    </xf>
    <xf numFmtId="9" fontId="0" fillId="0" borderId="199" xfId="2" applyFont="1" applyBorder="1" applyAlignment="1">
      <alignment horizontal="center" vertical="center"/>
    </xf>
    <xf numFmtId="9" fontId="0" fillId="0" borderId="199" xfId="0" applyNumberFormat="1" applyBorder="1" applyAlignment="1">
      <alignment horizontal="center"/>
    </xf>
    <xf numFmtId="9" fontId="0" fillId="0" borderId="214" xfId="0" applyNumberFormat="1" applyBorder="1" applyAlignment="1">
      <alignment horizontal="center"/>
    </xf>
    <xf numFmtId="9" fontId="16" fillId="0" borderId="212" xfId="0" applyNumberFormat="1" applyFont="1" applyBorder="1" applyAlignment="1">
      <alignment horizontal="center" vertical="center" wrapText="1"/>
    </xf>
    <xf numFmtId="9" fontId="0" fillId="0" borderId="213" xfId="0" applyNumberFormat="1" applyBorder="1" applyAlignment="1">
      <alignment horizontal="center"/>
    </xf>
    <xf numFmtId="0" fontId="16" fillId="6" borderId="215" xfId="0" applyFont="1" applyFill="1" applyBorder="1" applyAlignment="1">
      <alignment vertical="center" wrapText="1"/>
    </xf>
    <xf numFmtId="9" fontId="16" fillId="6" borderId="185" xfId="2" applyFont="1" applyFill="1" applyBorder="1" applyAlignment="1">
      <alignment horizontal="center" vertical="center" wrapText="1"/>
    </xf>
    <xf numFmtId="9" fontId="16" fillId="6" borderId="185" xfId="0" applyNumberFormat="1" applyFont="1" applyFill="1" applyBorder="1" applyAlignment="1">
      <alignment horizontal="center" vertical="center" wrapText="1"/>
    </xf>
    <xf numFmtId="9" fontId="0" fillId="6" borderId="185" xfId="2" applyFont="1" applyFill="1" applyBorder="1" applyAlignment="1">
      <alignment horizontal="center" vertical="center"/>
    </xf>
    <xf numFmtId="9" fontId="0" fillId="6" borderId="185" xfId="0" applyNumberFormat="1" applyFill="1" applyBorder="1" applyAlignment="1">
      <alignment horizontal="center"/>
    </xf>
    <xf numFmtId="9" fontId="0" fillId="6" borderId="216" xfId="0" applyNumberFormat="1" applyFill="1" applyBorder="1" applyAlignment="1">
      <alignment horizontal="center"/>
    </xf>
    <xf numFmtId="9" fontId="16" fillId="6" borderId="215" xfId="0" applyNumberFormat="1" applyFont="1" applyFill="1" applyBorder="1" applyAlignment="1">
      <alignment horizontal="center" vertical="center" wrapText="1"/>
    </xf>
    <xf numFmtId="9" fontId="0" fillId="6" borderId="217" xfId="0" applyNumberFormat="1" applyFill="1" applyBorder="1" applyAlignment="1">
      <alignment horizontal="center"/>
    </xf>
    <xf numFmtId="0" fontId="16" fillId="6" borderId="199" xfId="0" applyFont="1" applyFill="1" applyBorder="1" applyAlignment="1">
      <alignment horizontal="center" vertical="center" wrapText="1"/>
    </xf>
    <xf numFmtId="0" fontId="16" fillId="0" borderId="199" xfId="0" applyFont="1" applyBorder="1" applyAlignment="1">
      <alignment horizontal="center" vertical="center" wrapText="1"/>
    </xf>
    <xf numFmtId="0" fontId="0" fillId="0" borderId="199" xfId="0" applyBorder="1" applyAlignment="1">
      <alignment horizontal="center"/>
    </xf>
    <xf numFmtId="178" fontId="0" fillId="0" borderId="201" xfId="0" applyNumberFormat="1" applyBorder="1" applyAlignment="1">
      <alignment horizontal="center"/>
    </xf>
    <xf numFmtId="178" fontId="0" fillId="0" borderId="202" xfId="0" applyNumberFormat="1" applyBorder="1" applyAlignment="1">
      <alignment horizontal="center"/>
    </xf>
    <xf numFmtId="2" fontId="0" fillId="0" borderId="201" xfId="0" applyNumberFormat="1" applyBorder="1" applyAlignment="1">
      <alignment horizontal="center"/>
    </xf>
    <xf numFmtId="178" fontId="0" fillId="4" borderId="201" xfId="0" applyNumberFormat="1" applyFill="1" applyBorder="1" applyAlignment="1" applyProtection="1">
      <alignment horizontal="center"/>
      <protection locked="0"/>
    </xf>
    <xf numFmtId="9" fontId="0" fillId="4" borderId="201" xfId="0" applyNumberFormat="1" applyFill="1" applyBorder="1" applyAlignment="1" applyProtection="1">
      <alignment horizontal="center"/>
      <protection locked="0"/>
    </xf>
    <xf numFmtId="9" fontId="0" fillId="0" borderId="201" xfId="0" applyNumberFormat="1" applyBorder="1" applyAlignment="1">
      <alignment horizontal="center"/>
    </xf>
    <xf numFmtId="0" fontId="0" fillId="4" borderId="201" xfId="0" applyFill="1" applyBorder="1" applyAlignment="1" applyProtection="1">
      <alignment horizontal="center"/>
      <protection locked="0"/>
    </xf>
    <xf numFmtId="0" fontId="76" fillId="0" borderId="198" xfId="0" applyFont="1" applyBorder="1" applyAlignment="1">
      <alignment vertical="top" wrapText="1"/>
    </xf>
    <xf numFmtId="0" fontId="77" fillId="0" borderId="198" xfId="0" applyFont="1" applyBorder="1"/>
    <xf numFmtId="0" fontId="76" fillId="0" borderId="198" xfId="0" applyFont="1" applyBorder="1" applyAlignment="1">
      <alignment vertical="top"/>
    </xf>
    <xf numFmtId="0" fontId="58" fillId="4" borderId="201" xfId="0" applyFont="1" applyFill="1" applyBorder="1" applyAlignment="1" applyProtection="1">
      <alignment horizontal="center"/>
      <protection locked="0"/>
    </xf>
    <xf numFmtId="14" fontId="0" fillId="4" borderId="201" xfId="0" applyNumberFormat="1" applyFill="1" applyBorder="1" applyAlignment="1" applyProtection="1">
      <alignment horizontal="center"/>
      <protection locked="0"/>
    </xf>
    <xf numFmtId="0" fontId="77" fillId="4" borderId="201" xfId="0" applyFont="1" applyFill="1" applyBorder="1" applyAlignment="1" applyProtection="1">
      <alignment horizontal="center" vertical="top" wrapText="1"/>
      <protection locked="0"/>
    </xf>
    <xf numFmtId="0" fontId="76" fillId="0" borderId="198" xfId="0" applyFont="1" applyBorder="1" applyAlignment="1">
      <alignment horizontal="center" vertical="top"/>
    </xf>
    <xf numFmtId="0" fontId="17" fillId="0" borderId="198" xfId="0" applyFont="1" applyBorder="1"/>
    <xf numFmtId="0" fontId="4" fillId="0" borderId="201" xfId="0" applyFont="1" applyBorder="1" applyAlignment="1">
      <alignment horizontal="center"/>
    </xf>
    <xf numFmtId="0" fontId="0" fillId="2" borderId="201" xfId="0" applyFill="1" applyBorder="1" applyAlignment="1">
      <alignment horizontal="left"/>
    </xf>
    <xf numFmtId="170" fontId="0" fillId="2" borderId="201" xfId="0" applyNumberFormat="1" applyFill="1" applyBorder="1" applyAlignment="1">
      <alignment horizontal="left"/>
    </xf>
    <xf numFmtId="14" fontId="0" fillId="2" borderId="201" xfId="0" applyNumberFormat="1" applyFill="1" applyBorder="1" applyAlignment="1">
      <alignment horizontal="left"/>
    </xf>
    <xf numFmtId="3" fontId="0" fillId="2" borderId="201" xfId="0" applyNumberFormat="1" applyFill="1" applyBorder="1" applyAlignment="1">
      <alignment horizontal="left"/>
    </xf>
    <xf numFmtId="164" fontId="0" fillId="0" borderId="201" xfId="0" applyNumberFormat="1" applyBorder="1" applyAlignment="1" applyProtection="1">
      <alignment horizontal="center"/>
      <protection locked="0"/>
    </xf>
    <xf numFmtId="165" fontId="0" fillId="2" borderId="201" xfId="0" applyNumberFormat="1" applyFill="1" applyBorder="1" applyAlignment="1">
      <alignment horizontal="center"/>
    </xf>
    <xf numFmtId="0" fontId="0" fillId="2" borderId="201" xfId="0" applyFill="1" applyBorder="1" applyAlignment="1">
      <alignment horizontal="center"/>
    </xf>
    <xf numFmtId="165" fontId="0" fillId="2" borderId="201" xfId="0" applyNumberFormat="1" applyFill="1" applyBorder="1" applyAlignment="1">
      <alignment horizontal="left"/>
    </xf>
    <xf numFmtId="166" fontId="0" fillId="2" borderId="201" xfId="0" applyNumberFormat="1" applyFill="1" applyBorder="1" applyAlignment="1">
      <alignment horizontal="center"/>
    </xf>
    <xf numFmtId="166" fontId="0" fillId="2" borderId="201" xfId="0" applyNumberFormat="1" applyFill="1" applyBorder="1" applyAlignment="1">
      <alignment horizontal="left"/>
    </xf>
    <xf numFmtId="0" fontId="0" fillId="2" borderId="201" xfId="0" applyFill="1" applyBorder="1"/>
    <xf numFmtId="0" fontId="0" fillId="12" borderId="201" xfId="0" applyFill="1" applyBorder="1"/>
    <xf numFmtId="0" fontId="0" fillId="12" borderId="201" xfId="0" applyFill="1" applyBorder="1" applyAlignment="1">
      <alignment horizontal="left"/>
    </xf>
    <xf numFmtId="0" fontId="0" fillId="12" borderId="201" xfId="0" applyFill="1" applyBorder="1" applyAlignment="1">
      <alignment horizontal="center"/>
    </xf>
    <xf numFmtId="166" fontId="0" fillId="12" borderId="201" xfId="0" applyNumberFormat="1" applyFill="1" applyBorder="1" applyAlignment="1">
      <alignment horizontal="center"/>
    </xf>
    <xf numFmtId="0" fontId="0" fillId="3" borderId="201" xfId="0" applyFill="1" applyBorder="1"/>
    <xf numFmtId="165" fontId="0" fillId="3" borderId="201" xfId="0" applyNumberFormat="1" applyFill="1" applyBorder="1" applyAlignment="1">
      <alignment horizontal="center"/>
    </xf>
    <xf numFmtId="1" fontId="0" fillId="3" borderId="201" xfId="0" applyNumberFormat="1" applyFill="1" applyBorder="1" applyAlignment="1">
      <alignment horizontal="center"/>
    </xf>
    <xf numFmtId="2" fontId="0" fillId="3" borderId="201" xfId="0" applyNumberFormat="1" applyFill="1" applyBorder="1" applyAlignment="1">
      <alignment horizontal="center"/>
    </xf>
    <xf numFmtId="9" fontId="0" fillId="3" borderId="201" xfId="0" applyNumberFormat="1" applyFill="1" applyBorder="1" applyAlignment="1">
      <alignment horizontal="center"/>
    </xf>
    <xf numFmtId="0" fontId="0" fillId="3" borderId="201" xfId="0" applyFill="1" applyBorder="1" applyAlignment="1">
      <alignment horizontal="center"/>
    </xf>
    <xf numFmtId="10" fontId="0" fillId="3" borderId="201" xfId="0" applyNumberFormat="1" applyFill="1" applyBorder="1" applyAlignment="1">
      <alignment horizontal="center"/>
    </xf>
    <xf numFmtId="3" fontId="0" fillId="2" borderId="201" xfId="53" applyNumberFormat="1" applyFont="1" applyFill="1" applyBorder="1" applyAlignment="1">
      <alignment horizontal="center"/>
    </xf>
    <xf numFmtId="9" fontId="0" fillId="2" borderId="201" xfId="0" applyNumberFormat="1" applyFill="1" applyBorder="1" applyAlignment="1">
      <alignment horizontal="center"/>
    </xf>
    <xf numFmtId="0" fontId="0" fillId="3" borderId="209" xfId="0" applyFill="1" applyBorder="1"/>
    <xf numFmtId="165" fontId="0" fillId="3" borderId="209" xfId="0" applyNumberFormat="1" applyFill="1" applyBorder="1" applyAlignment="1">
      <alignment horizontal="center"/>
    </xf>
    <xf numFmtId="0" fontId="0" fillId="3" borderId="209" xfId="0" applyFill="1" applyBorder="1" applyAlignment="1">
      <alignment horizontal="center"/>
    </xf>
    <xf numFmtId="3" fontId="0" fillId="3" borderId="209" xfId="53" applyNumberFormat="1" applyFont="1" applyFill="1" applyBorder="1" applyAlignment="1">
      <alignment horizontal="center"/>
    </xf>
    <xf numFmtId="9" fontId="0" fillId="3" borderId="209" xfId="0" applyNumberFormat="1" applyFill="1" applyBorder="1" applyAlignment="1">
      <alignment horizontal="center"/>
    </xf>
    <xf numFmtId="166" fontId="0" fillId="3" borderId="209" xfId="0" applyNumberFormat="1" applyFill="1" applyBorder="1" applyAlignment="1">
      <alignment horizontal="center"/>
    </xf>
    <xf numFmtId="0" fontId="5" fillId="57" borderId="218" xfId="0" applyFont="1" applyFill="1" applyBorder="1"/>
    <xf numFmtId="165" fontId="5" fillId="57" borderId="219" xfId="0" applyNumberFormat="1" applyFont="1" applyFill="1" applyBorder="1" applyAlignment="1">
      <alignment horizontal="center"/>
    </xf>
    <xf numFmtId="0" fontId="5" fillId="57" borderId="219" xfId="0" applyFont="1" applyFill="1" applyBorder="1" applyAlignment="1">
      <alignment horizontal="center"/>
    </xf>
    <xf numFmtId="3" fontId="5" fillId="57" borderId="219" xfId="53" applyNumberFormat="1" applyFont="1" applyFill="1" applyBorder="1" applyAlignment="1">
      <alignment horizontal="center"/>
    </xf>
    <xf numFmtId="9" fontId="5" fillId="57" borderId="219" xfId="0" applyNumberFormat="1" applyFont="1" applyFill="1" applyBorder="1" applyAlignment="1">
      <alignment horizontal="center"/>
    </xf>
    <xf numFmtId="166" fontId="5" fillId="57" borderId="219" xfId="0" applyNumberFormat="1" applyFont="1" applyFill="1" applyBorder="1" applyAlignment="1">
      <alignment horizontal="center"/>
    </xf>
    <xf numFmtId="165" fontId="5" fillId="57" borderId="220" xfId="0" applyNumberFormat="1" applyFont="1" applyFill="1" applyBorder="1" applyAlignment="1">
      <alignment horizontal="center"/>
    </xf>
    <xf numFmtId="0" fontId="0" fillId="9" borderId="201" xfId="0" applyFill="1" applyBorder="1"/>
    <xf numFmtId="165" fontId="0" fillId="9" borderId="201" xfId="0" applyNumberFormat="1" applyFill="1" applyBorder="1" applyAlignment="1">
      <alignment horizontal="center"/>
    </xf>
    <xf numFmtId="0" fontId="0" fillId="9" borderId="201" xfId="0" applyFill="1" applyBorder="1" applyAlignment="1">
      <alignment horizontal="center"/>
    </xf>
    <xf numFmtId="3" fontId="0" fillId="9" borderId="201" xfId="0" applyNumberFormat="1" applyFill="1" applyBorder="1" applyAlignment="1">
      <alignment horizontal="center"/>
    </xf>
    <xf numFmtId="164" fontId="0" fillId="9" borderId="201" xfId="0" applyNumberFormat="1" applyFill="1" applyBorder="1" applyAlignment="1">
      <alignment horizontal="center"/>
    </xf>
    <xf numFmtId="9" fontId="0" fillId="9" borderId="201" xfId="0" applyNumberFormat="1" applyFill="1" applyBorder="1" applyAlignment="1">
      <alignment horizontal="center"/>
    </xf>
    <xf numFmtId="168" fontId="0" fillId="9" borderId="201" xfId="0" applyNumberFormat="1" applyFill="1" applyBorder="1" applyAlignment="1">
      <alignment horizontal="center"/>
    </xf>
    <xf numFmtId="2" fontId="0" fillId="9" borderId="201" xfId="0" applyNumberFormat="1" applyFill="1" applyBorder="1" applyAlignment="1">
      <alignment horizontal="center"/>
    </xf>
    <xf numFmtId="10" fontId="0" fillId="9" borderId="201" xfId="0" applyNumberFormat="1" applyFill="1" applyBorder="1" applyAlignment="1">
      <alignment horizontal="center"/>
    </xf>
    <xf numFmtId="166" fontId="0" fillId="9" borderId="201" xfId="0" applyNumberFormat="1" applyFill="1" applyBorder="1" applyAlignment="1">
      <alignment horizontal="center"/>
    </xf>
    <xf numFmtId="0" fontId="0" fillId="54" borderId="201" xfId="0" applyFill="1" applyBorder="1"/>
    <xf numFmtId="165" fontId="0" fillId="54" borderId="201" xfId="0" applyNumberFormat="1" applyFill="1" applyBorder="1" applyAlignment="1">
      <alignment horizontal="center"/>
    </xf>
    <xf numFmtId="166" fontId="0" fillId="54" borderId="201" xfId="0" applyNumberFormat="1" applyFill="1" applyBorder="1" applyAlignment="1">
      <alignment horizontal="center"/>
    </xf>
    <xf numFmtId="0" fontId="0" fillId="54" borderId="201" xfId="0" applyFill="1" applyBorder="1" applyAlignment="1">
      <alignment horizontal="center"/>
    </xf>
    <xf numFmtId="3" fontId="0" fillId="54" borderId="201" xfId="0" applyNumberFormat="1" applyFill="1" applyBorder="1" applyAlignment="1">
      <alignment horizontal="center"/>
    </xf>
    <xf numFmtId="9" fontId="0" fillId="54" borderId="201" xfId="0" applyNumberFormat="1" applyFill="1" applyBorder="1" applyAlignment="1">
      <alignment horizontal="center"/>
    </xf>
    <xf numFmtId="0" fontId="0" fillId="54" borderId="201" xfId="0" quotePrefix="1" applyFill="1" applyBorder="1"/>
    <xf numFmtId="0" fontId="0" fillId="9" borderId="201" xfId="0" quotePrefix="1" applyFill="1" applyBorder="1"/>
    <xf numFmtId="0" fontId="5" fillId="56" borderId="201" xfId="0" applyFont="1" applyFill="1" applyBorder="1"/>
    <xf numFmtId="165" fontId="5" fillId="56" borderId="201" xfId="0" applyNumberFormat="1" applyFont="1" applyFill="1" applyBorder="1" applyAlignment="1">
      <alignment horizontal="center"/>
    </xf>
    <xf numFmtId="0" fontId="5" fillId="56" borderId="201" xfId="0" applyFont="1" applyFill="1" applyBorder="1" applyAlignment="1">
      <alignment horizontal="center"/>
    </xf>
    <xf numFmtId="3" fontId="5" fillId="56" borderId="201" xfId="0" applyNumberFormat="1" applyFont="1" applyFill="1" applyBorder="1" applyAlignment="1">
      <alignment horizontal="center"/>
    </xf>
    <xf numFmtId="9" fontId="5" fillId="56" borderId="201" xfId="0" applyNumberFormat="1" applyFont="1" applyFill="1" applyBorder="1" applyAlignment="1">
      <alignment horizontal="center"/>
    </xf>
    <xf numFmtId="164" fontId="5" fillId="56" borderId="201" xfId="0" applyNumberFormat="1" applyFont="1" applyFill="1" applyBorder="1" applyAlignment="1">
      <alignment horizontal="center"/>
    </xf>
    <xf numFmtId="166" fontId="5" fillId="56" borderId="201" xfId="0" applyNumberFormat="1" applyFont="1" applyFill="1" applyBorder="1" applyAlignment="1">
      <alignment horizontal="center"/>
    </xf>
    <xf numFmtId="0" fontId="0" fillId="22" borderId="201" xfId="0" applyFill="1" applyBorder="1"/>
    <xf numFmtId="165" fontId="0" fillId="22" borderId="201" xfId="0" applyNumberFormat="1" applyFill="1" applyBorder="1" applyAlignment="1">
      <alignment horizontal="center"/>
    </xf>
    <xf numFmtId="0" fontId="0" fillId="22" borderId="201" xfId="0" applyFill="1" applyBorder="1" applyAlignment="1">
      <alignment horizontal="center"/>
    </xf>
    <xf numFmtId="3" fontId="0" fillId="22" borderId="201" xfId="0" applyNumberFormat="1" applyFill="1" applyBorder="1" applyAlignment="1">
      <alignment horizontal="center"/>
    </xf>
    <xf numFmtId="164" fontId="0" fillId="22" borderId="201" xfId="0" applyNumberFormat="1" applyFill="1" applyBorder="1" applyAlignment="1">
      <alignment horizontal="center"/>
    </xf>
    <xf numFmtId="9" fontId="0" fillId="22" borderId="201" xfId="0" applyNumberFormat="1" applyFill="1" applyBorder="1" applyAlignment="1">
      <alignment horizontal="center"/>
    </xf>
    <xf numFmtId="168" fontId="0" fillId="22" borderId="201" xfId="0" applyNumberFormat="1" applyFill="1" applyBorder="1" applyAlignment="1">
      <alignment horizontal="center"/>
    </xf>
    <xf numFmtId="2" fontId="0" fillId="22" borderId="201" xfId="0" applyNumberFormat="1" applyFill="1" applyBorder="1" applyAlignment="1">
      <alignment horizontal="center"/>
    </xf>
    <xf numFmtId="2" fontId="0" fillId="22" borderId="201" xfId="0" applyNumberFormat="1" applyFill="1" applyBorder="1"/>
    <xf numFmtId="10" fontId="0" fillId="22" borderId="201" xfId="0" applyNumberFormat="1" applyFill="1" applyBorder="1" applyAlignment="1">
      <alignment horizontal="center"/>
    </xf>
    <xf numFmtId="166" fontId="0" fillId="22" borderId="201" xfId="0" applyNumberFormat="1" applyFill="1" applyBorder="1" applyAlignment="1">
      <alignment horizontal="center"/>
    </xf>
    <xf numFmtId="0" fontId="0" fillId="49" borderId="201" xfId="0" applyFill="1" applyBorder="1"/>
    <xf numFmtId="165" fontId="0" fillId="49" borderId="201" xfId="0" applyNumberFormat="1" applyFill="1" applyBorder="1" applyAlignment="1">
      <alignment horizontal="center"/>
    </xf>
    <xf numFmtId="166" fontId="0" fillId="49" borderId="201" xfId="0" applyNumberFormat="1" applyFill="1" applyBorder="1" applyAlignment="1">
      <alignment horizontal="center"/>
    </xf>
    <xf numFmtId="0" fontId="0" fillId="49" borderId="201" xfId="0" applyFill="1" applyBorder="1" applyAlignment="1">
      <alignment horizontal="center"/>
    </xf>
    <xf numFmtId="3" fontId="0" fillId="49" borderId="201" xfId="0" applyNumberFormat="1" applyFill="1" applyBorder="1" applyAlignment="1">
      <alignment horizontal="center"/>
    </xf>
    <xf numFmtId="9" fontId="0" fillId="49" borderId="201" xfId="0" applyNumberFormat="1" applyFill="1" applyBorder="1" applyAlignment="1">
      <alignment horizontal="center"/>
    </xf>
    <xf numFmtId="0" fontId="0" fillId="49" borderId="201" xfId="0" quotePrefix="1" applyFill="1" applyBorder="1"/>
    <xf numFmtId="0" fontId="0" fillId="22" borderId="201" xfId="0" quotePrefix="1" applyFill="1" applyBorder="1"/>
    <xf numFmtId="0" fontId="5" fillId="25" borderId="201" xfId="0" applyFont="1" applyFill="1" applyBorder="1"/>
    <xf numFmtId="165" fontId="5" fillId="25" borderId="201" xfId="0" applyNumberFormat="1" applyFont="1" applyFill="1" applyBorder="1" applyAlignment="1">
      <alignment horizontal="center"/>
    </xf>
    <xf numFmtId="0" fontId="5" fillId="25" borderId="201" xfId="0" applyFont="1" applyFill="1" applyBorder="1" applyAlignment="1">
      <alignment horizontal="center"/>
    </xf>
    <xf numFmtId="3" fontId="5" fillId="25" borderId="201" xfId="0" applyNumberFormat="1" applyFont="1" applyFill="1" applyBorder="1" applyAlignment="1">
      <alignment horizontal="center"/>
    </xf>
    <xf numFmtId="9" fontId="5" fillId="25" borderId="201" xfId="0" applyNumberFormat="1" applyFont="1" applyFill="1" applyBorder="1" applyAlignment="1">
      <alignment horizontal="center"/>
    </xf>
    <xf numFmtId="164" fontId="5" fillId="25" borderId="201" xfId="0" applyNumberFormat="1" applyFont="1" applyFill="1" applyBorder="1" applyAlignment="1">
      <alignment horizontal="center"/>
    </xf>
    <xf numFmtId="166" fontId="5" fillId="25" borderId="201" xfId="0" applyNumberFormat="1" applyFont="1" applyFill="1" applyBorder="1" applyAlignment="1">
      <alignment horizontal="center"/>
    </xf>
    <xf numFmtId="165" fontId="0" fillId="12" borderId="201" xfId="0" applyNumberFormat="1" applyFill="1" applyBorder="1" applyAlignment="1">
      <alignment horizontal="center"/>
    </xf>
    <xf numFmtId="3" fontId="0" fillId="12" borderId="201" xfId="0" applyNumberFormat="1" applyFill="1" applyBorder="1" applyAlignment="1">
      <alignment horizontal="center"/>
    </xf>
    <xf numFmtId="164" fontId="0" fillId="12" borderId="201" xfId="0" applyNumberFormat="1" applyFill="1" applyBorder="1" applyAlignment="1">
      <alignment horizontal="center"/>
    </xf>
    <xf numFmtId="9" fontId="0" fillId="12" borderId="201" xfId="0" applyNumberFormat="1" applyFill="1" applyBorder="1" applyAlignment="1">
      <alignment horizontal="center"/>
    </xf>
    <xf numFmtId="168" fontId="0" fillId="12" borderId="201" xfId="0" applyNumberFormat="1" applyFill="1" applyBorder="1" applyAlignment="1">
      <alignment horizontal="center"/>
    </xf>
    <xf numFmtId="2" fontId="0" fillId="12" borderId="201" xfId="0" applyNumberFormat="1" applyFill="1" applyBorder="1" applyAlignment="1">
      <alignment horizontal="center"/>
    </xf>
    <xf numFmtId="10" fontId="0" fillId="12" borderId="201" xfId="0" applyNumberFormat="1" applyFill="1" applyBorder="1" applyAlignment="1">
      <alignment horizontal="center"/>
    </xf>
    <xf numFmtId="0" fontId="0" fillId="7" borderId="201" xfId="0" applyFill="1" applyBorder="1"/>
    <xf numFmtId="165" fontId="0" fillId="7" borderId="201" xfId="0" applyNumberFormat="1" applyFill="1" applyBorder="1" applyAlignment="1">
      <alignment horizontal="center"/>
    </xf>
    <xf numFmtId="166" fontId="0" fillId="7" borderId="201" xfId="0" applyNumberFormat="1" applyFill="1" applyBorder="1" applyAlignment="1">
      <alignment horizontal="center"/>
    </xf>
    <xf numFmtId="0" fontId="0" fillId="7" borderId="201" xfId="0" applyFill="1" applyBorder="1" applyAlignment="1">
      <alignment horizontal="center"/>
    </xf>
    <xf numFmtId="3" fontId="0" fillId="7" borderId="201" xfId="0" applyNumberFormat="1" applyFill="1" applyBorder="1" applyAlignment="1">
      <alignment horizontal="center"/>
    </xf>
    <xf numFmtId="9" fontId="0" fillId="7" borderId="201" xfId="0" applyNumberFormat="1" applyFill="1" applyBorder="1" applyAlignment="1">
      <alignment horizontal="center"/>
    </xf>
    <xf numFmtId="0" fontId="0" fillId="7" borderId="201" xfId="0" quotePrefix="1" applyFill="1" applyBorder="1"/>
    <xf numFmtId="0" fontId="0" fillId="12" borderId="201" xfId="0" quotePrefix="1" applyFill="1" applyBorder="1"/>
    <xf numFmtId="0" fontId="5" fillId="26" borderId="201" xfId="0" applyFont="1" applyFill="1" applyBorder="1"/>
    <xf numFmtId="165" fontId="5" fillId="26" borderId="201" xfId="0" applyNumberFormat="1" applyFont="1" applyFill="1" applyBorder="1" applyAlignment="1">
      <alignment horizontal="center"/>
    </xf>
    <xf numFmtId="0" fontId="5" fillId="26" borderId="201" xfId="0" applyFont="1" applyFill="1" applyBorder="1" applyAlignment="1">
      <alignment horizontal="center"/>
    </xf>
    <xf numFmtId="3" fontId="5" fillId="26" borderId="201" xfId="0" applyNumberFormat="1" applyFont="1" applyFill="1" applyBorder="1" applyAlignment="1">
      <alignment horizontal="center"/>
    </xf>
    <xf numFmtId="9" fontId="5" fillId="26" borderId="201" xfId="0" applyNumberFormat="1" applyFont="1" applyFill="1" applyBorder="1" applyAlignment="1">
      <alignment horizontal="center"/>
    </xf>
    <xf numFmtId="164" fontId="5" fillId="26" borderId="201" xfId="0" applyNumberFormat="1" applyFont="1" applyFill="1" applyBorder="1" applyAlignment="1">
      <alignment horizontal="center"/>
    </xf>
    <xf numFmtId="166" fontId="5" fillId="26" borderId="201" xfId="0" applyNumberFormat="1" applyFont="1" applyFill="1" applyBorder="1" applyAlignment="1">
      <alignment horizontal="center"/>
    </xf>
    <xf numFmtId="0" fontId="0" fillId="11" borderId="201" xfId="0" applyFill="1" applyBorder="1"/>
    <xf numFmtId="165" fontId="0" fillId="11" borderId="201" xfId="0" applyNumberFormat="1" applyFill="1" applyBorder="1" applyAlignment="1">
      <alignment horizontal="center"/>
    </xf>
    <xf numFmtId="0" fontId="0" fillId="11" borderId="201" xfId="0" applyFill="1" applyBorder="1" applyAlignment="1">
      <alignment horizontal="center"/>
    </xf>
    <xf numFmtId="3" fontId="0" fillId="11" borderId="201" xfId="0" applyNumberFormat="1" applyFill="1" applyBorder="1" applyAlignment="1">
      <alignment horizontal="center"/>
    </xf>
    <xf numFmtId="164" fontId="0" fillId="11" borderId="201" xfId="0" applyNumberFormat="1" applyFill="1" applyBorder="1" applyAlignment="1">
      <alignment horizontal="center"/>
    </xf>
    <xf numFmtId="9" fontId="0" fillId="11" borderId="201" xfId="0" applyNumberFormat="1" applyFill="1" applyBorder="1" applyAlignment="1">
      <alignment horizontal="center"/>
    </xf>
    <xf numFmtId="168" fontId="0" fillId="11" borderId="201" xfId="0" applyNumberFormat="1" applyFill="1" applyBorder="1" applyAlignment="1">
      <alignment horizontal="center"/>
    </xf>
    <xf numFmtId="2" fontId="0" fillId="11" borderId="201" xfId="0" applyNumberFormat="1" applyFill="1" applyBorder="1" applyAlignment="1">
      <alignment horizontal="center"/>
    </xf>
    <xf numFmtId="10" fontId="0" fillId="11" borderId="201" xfId="0" applyNumberFormat="1" applyFill="1" applyBorder="1" applyAlignment="1">
      <alignment horizontal="center"/>
    </xf>
    <xf numFmtId="166" fontId="0" fillId="11" borderId="201" xfId="0" applyNumberFormat="1" applyFill="1" applyBorder="1" applyAlignment="1">
      <alignment horizontal="center"/>
    </xf>
    <xf numFmtId="0" fontId="0" fillId="50" borderId="201" xfId="0" applyFill="1" applyBorder="1"/>
    <xf numFmtId="165" fontId="0" fillId="50" borderId="201" xfId="0" applyNumberFormat="1" applyFill="1" applyBorder="1" applyAlignment="1">
      <alignment horizontal="center"/>
    </xf>
    <xf numFmtId="166" fontId="0" fillId="50" borderId="201" xfId="0" applyNumberFormat="1" applyFill="1" applyBorder="1" applyAlignment="1">
      <alignment horizontal="center"/>
    </xf>
    <xf numFmtId="0" fontId="0" fillId="50" borderId="201" xfId="0" applyFill="1" applyBorder="1" applyAlignment="1">
      <alignment horizontal="center"/>
    </xf>
    <xf numFmtId="3" fontId="0" fillId="50" borderId="201" xfId="0" applyNumberFormat="1" applyFill="1" applyBorder="1" applyAlignment="1">
      <alignment horizontal="center"/>
    </xf>
    <xf numFmtId="9" fontId="0" fillId="50" borderId="201" xfId="0" applyNumberFormat="1" applyFill="1" applyBorder="1" applyAlignment="1">
      <alignment horizontal="center"/>
    </xf>
    <xf numFmtId="0" fontId="0" fillId="50" borderId="201" xfId="0" quotePrefix="1" applyFill="1" applyBorder="1"/>
    <xf numFmtId="0" fontId="0" fillId="11" borderId="201" xfId="0" quotePrefix="1" applyFill="1" applyBorder="1"/>
    <xf numFmtId="0" fontId="5" fillId="55" borderId="201" xfId="0" applyFont="1" applyFill="1" applyBorder="1"/>
    <xf numFmtId="165" fontId="5" fillId="55" borderId="201" xfId="0" applyNumberFormat="1" applyFont="1" applyFill="1" applyBorder="1" applyAlignment="1">
      <alignment horizontal="center"/>
    </xf>
    <xf numFmtId="0" fontId="5" fillId="55" borderId="201" xfId="0" applyFont="1" applyFill="1" applyBorder="1" applyAlignment="1">
      <alignment horizontal="center"/>
    </xf>
    <xf numFmtId="3" fontId="5" fillId="55" borderId="201" xfId="0" applyNumberFormat="1" applyFont="1" applyFill="1" applyBorder="1" applyAlignment="1">
      <alignment horizontal="center"/>
    </xf>
    <xf numFmtId="9" fontId="5" fillId="55" borderId="201" xfId="0" applyNumberFormat="1" applyFont="1" applyFill="1" applyBorder="1" applyAlignment="1">
      <alignment horizontal="center"/>
    </xf>
    <xf numFmtId="164" fontId="5" fillId="55" borderId="201" xfId="0" applyNumberFormat="1" applyFont="1" applyFill="1" applyBorder="1" applyAlignment="1">
      <alignment horizontal="center"/>
    </xf>
    <xf numFmtId="166" fontId="5" fillId="55" borderId="201" xfId="0" applyNumberFormat="1" applyFont="1" applyFill="1" applyBorder="1" applyAlignment="1">
      <alignment horizontal="center"/>
    </xf>
    <xf numFmtId="0" fontId="4" fillId="2" borderId="201" xfId="0" applyFont="1" applyFill="1" applyBorder="1" applyAlignment="1">
      <alignment horizontal="center" wrapText="1"/>
    </xf>
    <xf numFmtId="10" fontId="41" fillId="0" borderId="209" xfId="0" applyNumberFormat="1" applyFont="1" applyBorder="1" applyAlignment="1">
      <alignment horizontal="center" wrapText="1"/>
    </xf>
    <xf numFmtId="168" fontId="0" fillId="0" borderId="201" xfId="0" applyNumberFormat="1" applyBorder="1" applyAlignment="1">
      <alignment horizontal="center"/>
    </xf>
    <xf numFmtId="9" fontId="41" fillId="0" borderId="201" xfId="0" applyNumberFormat="1" applyFont="1" applyBorder="1" applyAlignment="1">
      <alignment horizontal="center"/>
    </xf>
    <xf numFmtId="164" fontId="41" fillId="0" borderId="201" xfId="0" applyNumberFormat="1" applyFont="1" applyBorder="1" applyAlignment="1">
      <alignment horizontal="center"/>
    </xf>
    <xf numFmtId="180" fontId="63" fillId="3" borderId="201" xfId="0" applyNumberFormat="1" applyFont="1" applyFill="1" applyBorder="1" applyAlignment="1">
      <alignment horizontal="center"/>
    </xf>
    <xf numFmtId="0" fontId="0" fillId="4" borderId="201" xfId="0" applyFill="1" applyBorder="1"/>
    <xf numFmtId="166" fontId="0" fillId="4" borderId="201" xfId="0" applyNumberFormat="1" applyFill="1" applyBorder="1" applyAlignment="1">
      <alignment horizontal="center"/>
    </xf>
    <xf numFmtId="0" fontId="0" fillId="4" borderId="201" xfId="0" applyFill="1" applyBorder="1" applyAlignment="1">
      <alignment horizontal="center"/>
    </xf>
    <xf numFmtId="6" fontId="63" fillId="3" borderId="201" xfId="0" applyNumberFormat="1" applyFont="1" applyFill="1" applyBorder="1" applyAlignment="1">
      <alignment horizontal="center"/>
    </xf>
    <xf numFmtId="166" fontId="0" fillId="0" borderId="201" xfId="0" applyNumberFormat="1" applyBorder="1" applyAlignment="1">
      <alignment horizontal="center"/>
    </xf>
    <xf numFmtId="0" fontId="0" fillId="0" borderId="202" xfId="0" applyBorder="1" applyAlignment="1">
      <alignment horizontal="left" indent="1"/>
    </xf>
    <xf numFmtId="0" fontId="0" fillId="0" borderId="201" xfId="0" applyBorder="1" applyAlignment="1">
      <alignment horizontal="left" indent="1"/>
    </xf>
    <xf numFmtId="0" fontId="4" fillId="2" borderId="201" xfId="0" applyFont="1" applyFill="1" applyBorder="1" applyAlignment="1">
      <alignment wrapText="1"/>
    </xf>
    <xf numFmtId="0" fontId="4" fillId="7" borderId="201" xfId="0" applyFont="1" applyFill="1" applyBorder="1" applyAlignment="1">
      <alignment horizontal="center" wrapText="1"/>
    </xf>
    <xf numFmtId="3" fontId="0" fillId="0" borderId="201" xfId="0" applyNumberFormat="1" applyBorder="1" applyAlignment="1">
      <alignment horizontal="center"/>
    </xf>
    <xf numFmtId="165" fontId="0" fillId="0" borderId="201" xfId="0" applyNumberFormat="1" applyBorder="1" applyAlignment="1">
      <alignment horizontal="center"/>
    </xf>
    <xf numFmtId="10" fontId="0" fillId="0" borderId="201" xfId="0" applyNumberFormat="1" applyBorder="1" applyAlignment="1">
      <alignment horizontal="center"/>
    </xf>
    <xf numFmtId="164" fontId="0" fillId="0" borderId="201" xfId="0" applyNumberFormat="1" applyBorder="1" applyAlignment="1">
      <alignment horizontal="center"/>
    </xf>
    <xf numFmtId="3" fontId="0" fillId="4" borderId="201" xfId="0" applyNumberFormat="1" applyFill="1" applyBorder="1" applyAlignment="1">
      <alignment horizontal="center"/>
    </xf>
    <xf numFmtId="165" fontId="0" fillId="4" borderId="201" xfId="0" applyNumberFormat="1" applyFill="1" applyBorder="1" applyAlignment="1">
      <alignment horizontal="center"/>
    </xf>
    <xf numFmtId="168" fontId="0" fillId="4" borderId="201" xfId="0" applyNumberFormat="1" applyFill="1" applyBorder="1" applyAlignment="1">
      <alignment horizontal="center"/>
    </xf>
    <xf numFmtId="180" fontId="63" fillId="0" borderId="201" xfId="0" applyNumberFormat="1" applyFont="1" applyBorder="1" applyAlignment="1">
      <alignment horizontal="center"/>
    </xf>
    <xf numFmtId="6" fontId="63" fillId="0" borderId="201" xfId="0" applyNumberFormat="1" applyFont="1" applyBorder="1" applyAlignment="1">
      <alignment horizontal="center"/>
    </xf>
    <xf numFmtId="0" fontId="63" fillId="0" borderId="201" xfId="0" quotePrefix="1" applyFont="1" applyBorder="1" applyAlignment="1">
      <alignment horizontal="center"/>
    </xf>
    <xf numFmtId="0" fontId="2" fillId="5" borderId="209" xfId="0" applyFont="1" applyFill="1" applyBorder="1" applyAlignment="1">
      <alignment horizontal="center"/>
    </xf>
    <xf numFmtId="0" fontId="21" fillId="0" borderId="221" xfId="0" applyFont="1" applyBorder="1" applyAlignment="1">
      <alignment vertical="center" wrapText="1"/>
    </xf>
    <xf numFmtId="0" fontId="16" fillId="0" borderId="201" xfId="0" applyFont="1" applyBorder="1" applyAlignment="1">
      <alignment vertical="center"/>
    </xf>
    <xf numFmtId="0" fontId="16" fillId="0" borderId="201" xfId="0" applyFont="1" applyBorder="1" applyAlignment="1">
      <alignment horizontal="center" vertical="center"/>
    </xf>
    <xf numFmtId="3" fontId="21" fillId="0" borderId="210" xfId="0" applyNumberFormat="1" applyFont="1" applyBorder="1" applyAlignment="1">
      <alignment horizontal="center" vertical="center"/>
    </xf>
    <xf numFmtId="0" fontId="0" fillId="0" borderId="209" xfId="0" applyBorder="1" applyAlignment="1">
      <alignment horizontal="center" vertical="top"/>
    </xf>
    <xf numFmtId="0" fontId="2" fillId="5" borderId="199" xfId="0" applyFont="1" applyFill="1" applyBorder="1"/>
    <xf numFmtId="0" fontId="21" fillId="22" borderId="221" xfId="0" applyFont="1" applyFill="1" applyBorder="1" applyAlignment="1">
      <alignment vertical="center" wrapText="1"/>
    </xf>
    <xf numFmtId="0" fontId="16" fillId="22" borderId="201" xfId="0" applyFont="1" applyFill="1" applyBorder="1" applyAlignment="1">
      <alignment vertical="center"/>
    </xf>
    <xf numFmtId="0" fontId="16" fillId="22" borderId="201" xfId="0" applyFont="1" applyFill="1" applyBorder="1" applyAlignment="1">
      <alignment horizontal="center" vertical="center"/>
    </xf>
    <xf numFmtId="3" fontId="21" fillId="22" borderId="210" xfId="0" applyNumberFormat="1" applyFont="1" applyFill="1" applyBorder="1" applyAlignment="1">
      <alignment horizontal="center" vertical="center"/>
    </xf>
    <xf numFmtId="0" fontId="0" fillId="0" borderId="202" xfId="0" applyBorder="1" applyAlignment="1">
      <alignment horizontal="center"/>
    </xf>
    <xf numFmtId="0" fontId="0" fillId="6" borderId="209" xfId="0" applyFill="1" applyBorder="1" applyAlignment="1">
      <alignment horizontal="center" vertical="top"/>
    </xf>
    <xf numFmtId="0" fontId="0" fillId="0" borderId="208" xfId="0" applyBorder="1" applyAlignment="1">
      <alignment horizontal="center"/>
    </xf>
    <xf numFmtId="2" fontId="0" fillId="0" borderId="203" xfId="0" applyNumberFormat="1" applyBorder="1" applyAlignment="1">
      <alignment horizontal="center"/>
    </xf>
    <xf numFmtId="0" fontId="0" fillId="22" borderId="202" xfId="0" applyFill="1" applyBorder="1"/>
    <xf numFmtId="0" fontId="0" fillId="22" borderId="208" xfId="0" applyFill="1" applyBorder="1" applyAlignment="1">
      <alignment horizontal="center"/>
    </xf>
    <xf numFmtId="2" fontId="0" fillId="22" borderId="203" xfId="0" applyNumberFormat="1" applyFill="1" applyBorder="1" applyAlignment="1">
      <alignment horizontal="center"/>
    </xf>
    <xf numFmtId="0" fontId="1" fillId="0" borderId="135" xfId="0" applyFont="1" applyBorder="1" applyAlignment="1">
      <alignment horizontal="center"/>
    </xf>
    <xf numFmtId="0" fontId="1" fillId="0" borderId="133" xfId="0" applyFont="1" applyBorder="1"/>
    <xf numFmtId="0" fontId="58" fillId="3" borderId="201" xfId="0" applyFont="1" applyFill="1" applyBorder="1" applyAlignment="1">
      <alignment horizontal="center"/>
    </xf>
    <xf numFmtId="14" fontId="0" fillId="3" borderId="201" xfId="0" applyNumberFormat="1" applyFill="1" applyBorder="1" applyAlignment="1">
      <alignment horizontal="center"/>
    </xf>
    <xf numFmtId="0" fontId="77" fillId="3" borderId="201" xfId="0" applyFont="1" applyFill="1" applyBorder="1" applyAlignment="1" applyProtection="1">
      <alignment horizontal="center" vertical="top" wrapText="1"/>
      <protection locked="0"/>
    </xf>
    <xf numFmtId="0" fontId="77" fillId="3" borderId="201" xfId="0" applyFont="1" applyFill="1" applyBorder="1" applyAlignment="1">
      <alignment horizontal="center" vertical="top" wrapText="1"/>
    </xf>
    <xf numFmtId="165" fontId="77" fillId="12" borderId="11" xfId="0" applyNumberFormat="1" applyFont="1" applyFill="1" applyBorder="1" applyAlignment="1">
      <alignment horizontal="left"/>
    </xf>
    <xf numFmtId="3" fontId="77" fillId="12" borderId="11" xfId="0" applyNumberFormat="1" applyFont="1" applyFill="1" applyBorder="1" applyAlignment="1">
      <alignment horizontal="left"/>
    </xf>
    <xf numFmtId="166" fontId="80" fillId="12" borderId="11" xfId="0" applyNumberFormat="1" applyFont="1" applyFill="1" applyBorder="1" applyAlignment="1">
      <alignment horizontal="left" indent="1"/>
    </xf>
    <xf numFmtId="165" fontId="80" fillId="12" borderId="11" xfId="0" applyNumberFormat="1" applyFont="1" applyFill="1" applyBorder="1" applyAlignment="1">
      <alignment horizontal="left" indent="1"/>
    </xf>
    <xf numFmtId="165" fontId="80" fillId="7" borderId="11" xfId="0" applyNumberFormat="1" applyFont="1" applyFill="1" applyBorder="1" applyAlignment="1">
      <alignment horizontal="left" indent="1"/>
    </xf>
    <xf numFmtId="0" fontId="76" fillId="0" borderId="0" xfId="0" applyFont="1" applyAlignment="1">
      <alignment horizontal="right"/>
    </xf>
    <xf numFmtId="0" fontId="76" fillId="0" borderId="0" xfId="0" applyFont="1" applyAlignment="1">
      <alignment horizontal="right" vertical="top"/>
    </xf>
    <xf numFmtId="0" fontId="76" fillId="0" borderId="0" xfId="0" applyFont="1"/>
    <xf numFmtId="0" fontId="126" fillId="0" borderId="0" xfId="0" applyFont="1" applyAlignment="1">
      <alignment horizontal="right"/>
    </xf>
    <xf numFmtId="0" fontId="126" fillId="0" borderId="0" xfId="0" applyFont="1"/>
    <xf numFmtId="0" fontId="17" fillId="0" borderId="29" xfId="0" applyFont="1" applyBorder="1"/>
    <xf numFmtId="0" fontId="127" fillId="0" borderId="0" xfId="0" applyFont="1" applyAlignment="1">
      <alignment horizontal="right" indent="1"/>
    </xf>
    <xf numFmtId="0" fontId="127" fillId="0" borderId="0" xfId="0" applyFont="1" applyAlignment="1">
      <alignment horizontal="left" vertical="top"/>
    </xf>
    <xf numFmtId="0" fontId="127" fillId="0" borderId="0" xfId="0" applyFont="1"/>
    <xf numFmtId="0" fontId="17" fillId="0" borderId="0" xfId="0" applyFont="1" applyAlignment="1">
      <alignment horizontal="left" vertical="top"/>
    </xf>
    <xf numFmtId="0" fontId="0" fillId="0" borderId="0" xfId="0" applyFont="1"/>
    <xf numFmtId="0" fontId="0" fillId="0" borderId="0" xfId="0" applyAlignment="1">
      <alignment horizontal="left"/>
    </xf>
    <xf numFmtId="0" fontId="0" fillId="0" borderId="0" xfId="0" applyAlignment="1">
      <alignment horizontal="center"/>
    </xf>
    <xf numFmtId="0" fontId="0" fillId="0" borderId="0" xfId="0" applyFont="1" applyAlignment="1">
      <alignment vertical="top"/>
    </xf>
    <xf numFmtId="0" fontId="24" fillId="0" borderId="0" xfId="0" applyFont="1" applyFill="1"/>
    <xf numFmtId="0" fontId="17" fillId="0" borderId="201" xfId="0" applyFont="1" applyBorder="1" applyAlignment="1">
      <alignment horizontal="center" vertical="center"/>
    </xf>
    <xf numFmtId="0" fontId="17" fillId="50" borderId="201" xfId="0" applyFont="1" applyFill="1" applyBorder="1" applyAlignment="1">
      <alignment horizontal="center" vertical="center"/>
    </xf>
    <xf numFmtId="3" fontId="23" fillId="2" borderId="188" xfId="0" applyNumberFormat="1" applyFont="1" applyFill="1" applyBorder="1" applyAlignment="1">
      <alignment horizontal="center" vertical="center"/>
    </xf>
    <xf numFmtId="4" fontId="23" fillId="2" borderId="193" xfId="0" applyNumberFormat="1" applyFont="1" applyFill="1" applyBorder="1" applyAlignment="1">
      <alignment horizontal="center" vertical="center"/>
    </xf>
    <xf numFmtId="0" fontId="23" fillId="0" borderId="0" xfId="0" applyFont="1" applyAlignment="1">
      <alignment horizontal="center" vertical="center"/>
    </xf>
    <xf numFmtId="3" fontId="23" fillId="2" borderId="153" xfId="0" applyNumberFormat="1" applyFont="1" applyFill="1" applyBorder="1" applyAlignment="1">
      <alignment horizontal="center" vertical="center"/>
    </xf>
    <xf numFmtId="4" fontId="23" fillId="2" borderId="154" xfId="0" applyNumberFormat="1" applyFont="1" applyFill="1" applyBorder="1" applyAlignment="1">
      <alignment horizontal="center" vertical="center"/>
    </xf>
    <xf numFmtId="0" fontId="113" fillId="0" borderId="0" xfId="0" applyFont="1" applyAlignment="1">
      <alignment horizontal="center" vertical="center" wrapText="1"/>
    </xf>
    <xf numFmtId="0" fontId="14" fillId="0" borderId="0" xfId="0" applyFont="1" applyAlignment="1">
      <alignment horizontal="center"/>
    </xf>
    <xf numFmtId="0" fontId="17" fillId="0" borderId="0" xfId="0" applyFont="1" applyAlignment="1">
      <alignment horizontal="center" vertical="center" wrapText="1"/>
    </xf>
    <xf numFmtId="0" fontId="117" fillId="60" borderId="149" xfId="0" applyFont="1" applyFill="1" applyBorder="1" applyAlignment="1">
      <alignment horizontal="center"/>
    </xf>
    <xf numFmtId="0" fontId="117" fillId="60" borderId="170" xfId="0" applyFont="1" applyFill="1" applyBorder="1" applyAlignment="1">
      <alignment horizontal="center" vertical="center"/>
    </xf>
    <xf numFmtId="0" fontId="23" fillId="2" borderId="228" xfId="0" applyFont="1" applyFill="1" applyBorder="1" applyAlignment="1">
      <alignment horizontal="center" vertical="center"/>
    </xf>
    <xf numFmtId="164" fontId="23" fillId="2" borderId="229" xfId="0" applyNumberFormat="1" applyFont="1" applyFill="1" applyBorder="1" applyAlignment="1">
      <alignment horizontal="center" vertical="center"/>
    </xf>
    <xf numFmtId="0" fontId="129" fillId="0" borderId="0" xfId="0" applyFont="1" applyAlignment="1">
      <alignment horizontal="center"/>
    </xf>
    <xf numFmtId="0" fontId="0" fillId="0" borderId="0" xfId="0" applyAlignment="1">
      <alignment horizontal="left"/>
    </xf>
    <xf numFmtId="0" fontId="0" fillId="0" borderId="0" xfId="0" applyAlignment="1">
      <alignment horizontal="right" indent="1"/>
    </xf>
    <xf numFmtId="0" fontId="0" fillId="0" borderId="0" xfId="0" applyAlignment="1">
      <alignment horizontal="left" vertical="top"/>
    </xf>
    <xf numFmtId="0" fontId="85" fillId="0" borderId="0" xfId="0" applyFont="1" applyAlignment="1">
      <alignment horizontal="right" vertical="top" wrapText="1" indent="1"/>
    </xf>
    <xf numFmtId="0" fontId="0" fillId="0" borderId="0" xfId="0" applyBorder="1"/>
    <xf numFmtId="0" fontId="84" fillId="0" borderId="0" xfId="0" applyFont="1" applyBorder="1" applyAlignment="1">
      <alignment horizontal="left" vertical="top"/>
    </xf>
    <xf numFmtId="0" fontId="0" fillId="0" borderId="0" xfId="0" applyFill="1" applyBorder="1" applyAlignment="1">
      <alignment horizontal="left" vertical="top"/>
    </xf>
    <xf numFmtId="0" fontId="0" fillId="0" borderId="0" xfId="0" applyFill="1" applyBorder="1"/>
    <xf numFmtId="0" fontId="84" fillId="0" borderId="0" xfId="0" applyFont="1" applyFill="1" applyBorder="1" applyAlignment="1">
      <alignment horizontal="left" vertical="top"/>
    </xf>
    <xf numFmtId="0" fontId="85" fillId="0" borderId="0" xfId="0" applyFont="1" applyFill="1" applyBorder="1" applyAlignment="1">
      <alignment horizontal="right" vertical="top" wrapText="1" indent="1"/>
    </xf>
    <xf numFmtId="0" fontId="127" fillId="0" borderId="29" xfId="0" applyFont="1" applyBorder="1" applyAlignment="1">
      <alignment wrapText="1"/>
    </xf>
    <xf numFmtId="0" fontId="127" fillId="0" borderId="0" xfId="0" applyFont="1" applyAlignment="1">
      <alignment wrapText="1"/>
    </xf>
    <xf numFmtId="0" fontId="3" fillId="0" borderId="0" xfId="0" applyFont="1" applyAlignment="1">
      <alignment horizontal="right" indent="1"/>
    </xf>
    <xf numFmtId="14" fontId="50" fillId="0" borderId="0" xfId="0" applyNumberFormat="1" applyFont="1"/>
    <xf numFmtId="0" fontId="0" fillId="0" borderId="0" xfId="0" applyFill="1"/>
    <xf numFmtId="0" fontId="110" fillId="0" borderId="0" xfId="0" applyFont="1" applyAlignment="1">
      <alignment wrapText="1"/>
    </xf>
    <xf numFmtId="0" fontId="86" fillId="0" borderId="0" xfId="0" applyFont="1"/>
    <xf numFmtId="0" fontId="86" fillId="0" borderId="0" xfId="0" applyFont="1" applyAlignment="1">
      <alignment horizontal="right" indent="1"/>
    </xf>
    <xf numFmtId="0" fontId="86" fillId="0" borderId="0" xfId="0" applyFont="1" applyAlignment="1">
      <alignment wrapText="1"/>
    </xf>
    <xf numFmtId="0" fontId="23" fillId="0" borderId="0" xfId="0" applyFont="1" applyAlignment="1">
      <alignment horizontal="left" vertical="top"/>
    </xf>
    <xf numFmtId="0" fontId="23" fillId="0" borderId="0" xfId="0" applyFont="1" applyAlignment="1">
      <alignment vertical="top"/>
    </xf>
    <xf numFmtId="0" fontId="23" fillId="0" borderId="0" xfId="0" applyFont="1" applyBorder="1"/>
    <xf numFmtId="0" fontId="130" fillId="0" borderId="0" xfId="0" applyFont="1"/>
    <xf numFmtId="0" fontId="0" fillId="0" borderId="0" xfId="0" applyAlignment="1">
      <alignment horizontal="left"/>
    </xf>
    <xf numFmtId="0" fontId="0" fillId="0" borderId="0" xfId="0" applyAlignment="1">
      <alignment horizontal="left"/>
    </xf>
    <xf numFmtId="0" fontId="0" fillId="0" borderId="0" xfId="0" applyAlignment="1">
      <alignment horizontal="right" indent="1"/>
    </xf>
    <xf numFmtId="0" fontId="0" fillId="0" borderId="0" xfId="0" applyAlignment="1">
      <alignment horizontal="left" vertical="top"/>
    </xf>
    <xf numFmtId="0" fontId="85" fillId="0" borderId="0" xfId="0" applyFont="1" applyAlignment="1">
      <alignment horizontal="right" vertical="top" wrapText="1" indent="1"/>
    </xf>
    <xf numFmtId="165" fontId="77" fillId="12" borderId="11" xfId="0" applyNumberFormat="1" applyFont="1" applyFill="1" applyBorder="1" applyAlignment="1">
      <alignment horizontal="left"/>
    </xf>
    <xf numFmtId="0" fontId="86" fillId="0" borderId="0" xfId="0" applyFont="1" applyAlignment="1">
      <alignment horizontal="left" vertical="top"/>
    </xf>
    <xf numFmtId="0" fontId="86" fillId="0" borderId="0" xfId="0" applyFont="1" applyAlignment="1">
      <alignment vertical="top" wrapText="1"/>
    </xf>
    <xf numFmtId="0" fontId="86" fillId="0" borderId="0" xfId="0" applyFont="1" applyAlignment="1">
      <alignment vertical="top"/>
    </xf>
    <xf numFmtId="170" fontId="86" fillId="0" borderId="0" xfId="0" applyNumberFormat="1" applyFont="1" applyAlignment="1">
      <alignment horizontal="left"/>
    </xf>
    <xf numFmtId="0" fontId="86" fillId="0" borderId="29" xfId="0" applyFont="1" applyBorder="1"/>
    <xf numFmtId="170" fontId="23" fillId="0" borderId="0" xfId="0" applyNumberFormat="1" applyFont="1" applyAlignment="1">
      <alignment horizontal="left"/>
    </xf>
    <xf numFmtId="0" fontId="23" fillId="0" borderId="0" xfId="0" applyFont="1" applyAlignment="1">
      <alignment horizontal="left"/>
    </xf>
    <xf numFmtId="0" fontId="131" fillId="0" borderId="0" xfId="0" applyFont="1" applyAlignment="1">
      <alignment horizontal="left"/>
    </xf>
    <xf numFmtId="49" fontId="77" fillId="3" borderId="11" xfId="0" applyNumberFormat="1" applyFont="1" applyFill="1" applyBorder="1" applyAlignment="1">
      <alignment horizontal="left"/>
    </xf>
    <xf numFmtId="183" fontId="77" fillId="3" borderId="11" xfId="0" applyNumberFormat="1" applyFont="1" applyFill="1" applyBorder="1" applyAlignment="1">
      <alignment horizontal="left" indent="1"/>
    </xf>
    <xf numFmtId="164" fontId="23" fillId="2" borderId="229" xfId="0" applyNumberFormat="1" applyFont="1" applyFill="1" applyBorder="1" applyAlignment="1">
      <alignment horizontal="center" vertical="center"/>
    </xf>
    <xf numFmtId="0" fontId="0" fillId="0" borderId="7" xfId="0" applyFont="1" applyBorder="1"/>
    <xf numFmtId="0" fontId="0" fillId="0" borderId="32" xfId="0" applyFont="1" applyBorder="1"/>
    <xf numFmtId="0" fontId="0" fillId="0" borderId="6" xfId="0" applyFont="1" applyBorder="1"/>
    <xf numFmtId="0" fontId="81" fillId="0" borderId="0" xfId="0" applyFont="1" applyAlignment="1">
      <alignment horizontal="center"/>
    </xf>
    <xf numFmtId="0" fontId="81" fillId="0" borderId="0" xfId="0" applyFont="1"/>
    <xf numFmtId="0" fontId="2" fillId="5" borderId="4" xfId="0" applyFont="1" applyFill="1" applyBorder="1" applyAlignment="1">
      <alignment horizontal="center"/>
    </xf>
    <xf numFmtId="0" fontId="0" fillId="6" borderId="4" xfId="0" applyFont="1" applyFill="1" applyBorder="1"/>
    <xf numFmtId="0" fontId="0" fillId="6" borderId="8" xfId="0" applyFont="1" applyFill="1" applyBorder="1"/>
    <xf numFmtId="0" fontId="0" fillId="6" borderId="8" xfId="0" applyFont="1" applyFill="1" applyBorder="1" applyAlignment="1">
      <alignment horizontal="center"/>
    </xf>
    <xf numFmtId="0" fontId="0" fillId="6" borderId="5" xfId="0" applyFont="1" applyFill="1" applyBorder="1"/>
    <xf numFmtId="0" fontId="0" fillId="0" borderId="4" xfId="0" applyFont="1" applyBorder="1"/>
    <xf numFmtId="0" fontId="0" fillId="0" borderId="8" xfId="0" applyFont="1" applyBorder="1"/>
    <xf numFmtId="0" fontId="0" fillId="0" borderId="8" xfId="0" applyFont="1" applyBorder="1" applyAlignment="1">
      <alignment horizontal="center"/>
    </xf>
    <xf numFmtId="0" fontId="0" fillId="0" borderId="5" xfId="0" applyFont="1" applyBorder="1"/>
    <xf numFmtId="0" fontId="0" fillId="0" borderId="32" xfId="0" applyFont="1" applyBorder="1" applyAlignment="1">
      <alignment horizontal="center"/>
    </xf>
    <xf numFmtId="0" fontId="0" fillId="0" borderId="5" xfId="0" applyFont="1" applyBorder="1" applyAlignment="1">
      <alignment horizontal="center"/>
    </xf>
    <xf numFmtId="0" fontId="0" fillId="6" borderId="5" xfId="0" applyFont="1" applyFill="1" applyBorder="1" applyAlignment="1">
      <alignment horizontal="center"/>
    </xf>
    <xf numFmtId="0" fontId="0" fillId="0" borderId="6" xfId="0" applyFont="1" applyBorder="1" applyAlignment="1">
      <alignment horizontal="center"/>
    </xf>
    <xf numFmtId="0" fontId="132" fillId="63" borderId="242" xfId="0" applyFont="1" applyFill="1" applyBorder="1"/>
    <xf numFmtId="0" fontId="133" fillId="64" borderId="243" xfId="0" applyFont="1" applyFill="1" applyBorder="1"/>
    <xf numFmtId="0" fontId="135" fillId="0" borderId="243" xfId="0" applyFont="1" applyBorder="1"/>
    <xf numFmtId="0" fontId="136" fillId="0" borderId="214" xfId="0" applyFont="1" applyBorder="1" applyAlignment="1">
      <alignment wrapText="1"/>
    </xf>
    <xf numFmtId="0" fontId="137" fillId="0" borderId="0" xfId="0" applyFont="1"/>
    <xf numFmtId="0" fontId="0" fillId="0" borderId="0" xfId="0" applyAlignment="1">
      <alignment wrapText="1"/>
    </xf>
    <xf numFmtId="0" fontId="136" fillId="65" borderId="214" xfId="0" applyFont="1" applyFill="1" applyBorder="1" applyAlignment="1">
      <alignment wrapText="1"/>
    </xf>
    <xf numFmtId="0" fontId="136" fillId="0" borderId="243" xfId="0" applyFont="1" applyBorder="1"/>
    <xf numFmtId="0" fontId="0" fillId="0" borderId="0" xfId="0" applyAlignment="1">
      <alignment horizontal="center"/>
    </xf>
    <xf numFmtId="0" fontId="44" fillId="0" borderId="0" xfId="0" applyFont="1" applyAlignment="1">
      <alignment horizontal="right" vertical="top" indent="1"/>
    </xf>
    <xf numFmtId="0" fontId="44" fillId="0" borderId="0" xfId="0" applyFont="1" applyAlignment="1">
      <alignment vertical="top"/>
    </xf>
    <xf numFmtId="0" fontId="44" fillId="0" borderId="0" xfId="0" applyFont="1" applyAlignment="1">
      <alignment horizontal="right" vertical="top"/>
    </xf>
    <xf numFmtId="0" fontId="138" fillId="0" borderId="0" xfId="0" applyFont="1" applyAlignment="1">
      <alignment horizontal="right" vertical="center"/>
    </xf>
    <xf numFmtId="169" fontId="5" fillId="0" borderId="0" xfId="0" applyNumberFormat="1" applyFont="1"/>
    <xf numFmtId="0" fontId="5" fillId="0" borderId="0" xfId="0" applyFont="1" applyAlignment="1">
      <alignment horizontal="left"/>
    </xf>
    <xf numFmtId="171" fontId="5" fillId="0" borderId="0" xfId="0" applyNumberFormat="1" applyFont="1" applyAlignment="1">
      <alignment horizontal="left"/>
    </xf>
    <xf numFmtId="0" fontId="109" fillId="0" borderId="57" xfId="0" applyFont="1" applyFill="1" applyBorder="1" applyAlignment="1">
      <alignment horizontal="left" indent="1"/>
    </xf>
    <xf numFmtId="0" fontId="109" fillId="0" borderId="245" xfId="0" applyFont="1" applyFill="1" applyBorder="1" applyAlignment="1">
      <alignment horizontal="center"/>
    </xf>
    <xf numFmtId="0" fontId="109" fillId="0" borderId="249" xfId="0" applyFont="1" applyFill="1" applyBorder="1"/>
    <xf numFmtId="0" fontId="109" fillId="0" borderId="54" xfId="0" applyFont="1" applyFill="1" applyBorder="1"/>
    <xf numFmtId="0" fontId="109" fillId="0" borderId="250" xfId="0" applyFont="1" applyFill="1" applyBorder="1"/>
    <xf numFmtId="0" fontId="109" fillId="0" borderId="251" xfId="0" applyFont="1" applyFill="1" applyBorder="1"/>
    <xf numFmtId="0" fontId="109" fillId="0" borderId="144" xfId="0" applyFont="1" applyFill="1" applyBorder="1"/>
    <xf numFmtId="0" fontId="109" fillId="0" borderId="0" xfId="0" applyFont="1" applyFill="1" applyBorder="1"/>
    <xf numFmtId="0" fontId="110" fillId="0" borderId="0" xfId="0" applyFont="1" applyFill="1" applyBorder="1" applyAlignment="1">
      <alignment horizontal="right" vertical="center"/>
    </xf>
    <xf numFmtId="0" fontId="109" fillId="0" borderId="0" xfId="0" applyFont="1" applyFill="1" applyBorder="1" applyAlignment="1">
      <alignment horizontal="right" indent="1"/>
    </xf>
    <xf numFmtId="0" fontId="109" fillId="0" borderId="0" xfId="0" applyFont="1" applyFill="1" applyBorder="1" applyAlignment="1">
      <alignment horizontal="left" indent="1"/>
    </xf>
    <xf numFmtId="0" fontId="110" fillId="0" borderId="0" xfId="0" applyFont="1" applyFill="1" applyBorder="1" applyAlignment="1">
      <alignment horizontal="right" indent="1"/>
    </xf>
    <xf numFmtId="0" fontId="109" fillId="0" borderId="252" xfId="0" applyFont="1" applyFill="1" applyBorder="1"/>
    <xf numFmtId="0" fontId="109" fillId="0" borderId="253" xfId="0" applyFont="1" applyFill="1" applyBorder="1"/>
    <xf numFmtId="0" fontId="109" fillId="0" borderId="254" xfId="0" applyFont="1" applyFill="1" applyBorder="1"/>
    <xf numFmtId="0" fontId="110" fillId="0" borderId="0" xfId="0" applyFont="1" applyFill="1" applyBorder="1" applyAlignment="1">
      <alignment horizontal="right"/>
    </xf>
    <xf numFmtId="0" fontId="109" fillId="0" borderId="0" xfId="0" applyFont="1" applyFill="1" applyBorder="1" applyAlignment="1">
      <alignment horizontal="left" vertical="top" indent="1"/>
    </xf>
    <xf numFmtId="0" fontId="1" fillId="4" borderId="201" xfId="0" applyFont="1" applyFill="1" applyBorder="1" applyProtection="1">
      <protection locked="0"/>
    </xf>
    <xf numFmtId="184" fontId="17" fillId="0" borderId="0" xfId="0" applyNumberFormat="1" applyFont="1" applyAlignment="1">
      <alignment horizontal="center"/>
    </xf>
    <xf numFmtId="0" fontId="9" fillId="0" borderId="0" xfId="0" applyFont="1" applyAlignment="1">
      <alignment horizontal="center" vertical="center"/>
    </xf>
    <xf numFmtId="0" fontId="91" fillId="0" borderId="0" xfId="0" applyFont="1" applyAlignment="1">
      <alignment horizontal="center" vertical="center"/>
    </xf>
    <xf numFmtId="0" fontId="31" fillId="0" borderId="0" xfId="0" applyFont="1" applyAlignment="1">
      <alignment horizontal="center" vertical="top"/>
    </xf>
    <xf numFmtId="0" fontId="29" fillId="0" borderId="0" xfId="0" applyFont="1" applyAlignment="1">
      <alignment horizontal="center" wrapText="1"/>
    </xf>
    <xf numFmtId="0" fontId="29" fillId="0" borderId="0" xfId="0" applyFont="1" applyAlignment="1">
      <alignment horizontal="center"/>
    </xf>
    <xf numFmtId="0" fontId="0" fillId="0" borderId="0" xfId="0" applyAlignment="1"/>
    <xf numFmtId="0" fontId="1" fillId="0" borderId="0" xfId="0" applyFont="1" applyAlignment="1">
      <alignment horizontal="center"/>
    </xf>
    <xf numFmtId="0" fontId="0" fillId="0" borderId="0" xfId="0" applyAlignment="1" applyProtection="1">
      <alignment horizontal="center"/>
      <protection locked="0"/>
    </xf>
    <xf numFmtId="0" fontId="0" fillId="0" borderId="0" xfId="0" applyAlignment="1">
      <alignment horizontal="center"/>
    </xf>
    <xf numFmtId="0" fontId="12" fillId="0" borderId="0" xfId="1" applyFill="1" applyBorder="1" applyAlignment="1">
      <alignment horizontal="left"/>
    </xf>
    <xf numFmtId="0" fontId="12" fillId="0" borderId="0" xfId="1" applyFill="1" applyAlignment="1">
      <alignment horizontal="left"/>
    </xf>
    <xf numFmtId="0" fontId="58" fillId="0" borderId="0" xfId="0" applyFont="1" applyAlignment="1">
      <alignment horizontal="left" vertical="top" wrapText="1"/>
    </xf>
    <xf numFmtId="0" fontId="12" fillId="0" borderId="0" xfId="1" applyAlignment="1">
      <alignment horizontal="left"/>
    </xf>
    <xf numFmtId="0" fontId="31" fillId="0" borderId="0" xfId="0" applyFont="1" applyAlignment="1">
      <alignment horizontal="center"/>
    </xf>
    <xf numFmtId="0" fontId="4" fillId="0" borderId="0" xfId="0" applyFont="1" applyAlignment="1">
      <alignment horizontal="left" vertical="top" wrapText="1"/>
    </xf>
    <xf numFmtId="0" fontId="63" fillId="0" borderId="199" xfId="0" applyFont="1" applyBorder="1" applyAlignment="1">
      <alignment horizontal="left" vertical="top" wrapText="1"/>
    </xf>
    <xf numFmtId="0" fontId="63" fillId="0" borderId="198" xfId="0" applyFont="1" applyBorder="1" applyAlignment="1">
      <alignment horizontal="left" vertical="top" wrapText="1"/>
    </xf>
    <xf numFmtId="0" fontId="63" fillId="0" borderId="200" xfId="0" applyFont="1" applyBorder="1" applyAlignment="1">
      <alignment horizontal="left" vertical="top" wrapText="1"/>
    </xf>
    <xf numFmtId="0" fontId="63" fillId="0" borderId="29" xfId="0" applyFont="1" applyBorder="1" applyAlignment="1">
      <alignment horizontal="left" vertical="top" wrapText="1"/>
    </xf>
    <xf numFmtId="0" fontId="63" fillId="0" borderId="0" xfId="0" applyFont="1" applyAlignment="1">
      <alignment horizontal="left" vertical="top" wrapText="1"/>
    </xf>
    <xf numFmtId="0" fontId="63" fillId="0" borderId="44" xfId="0" applyFont="1" applyBorder="1" applyAlignment="1">
      <alignment horizontal="left" vertical="top" wrapText="1"/>
    </xf>
    <xf numFmtId="0" fontId="63" fillId="0" borderId="10" xfId="0" applyFont="1" applyBorder="1" applyAlignment="1">
      <alignment horizontal="left" vertical="top" wrapText="1"/>
    </xf>
    <xf numFmtId="0" fontId="63" fillId="0" borderId="23" xfId="0" applyFont="1" applyBorder="1" applyAlignment="1">
      <alignment horizontal="left" vertical="top" wrapText="1"/>
    </xf>
    <xf numFmtId="0" fontId="63" fillId="0" borderId="11" xfId="0" applyFont="1" applyBorder="1" applyAlignment="1">
      <alignment horizontal="left" vertical="top" wrapText="1"/>
    </xf>
    <xf numFmtId="0" fontId="0" fillId="0" borderId="0" xfId="0" applyAlignment="1">
      <alignment horizontal="left" vertical="top" wrapText="1"/>
    </xf>
    <xf numFmtId="0" fontId="44" fillId="0" borderId="0" xfId="0" applyFont="1" applyAlignment="1">
      <alignment horizontal="right" vertical="top" indent="1"/>
    </xf>
    <xf numFmtId="0" fontId="0" fillId="4" borderId="23" xfId="0" applyFill="1" applyBorder="1" applyAlignment="1" applyProtection="1">
      <alignment horizontal="center"/>
      <protection locked="0"/>
    </xf>
    <xf numFmtId="0" fontId="0" fillId="4" borderId="11" xfId="0" applyFill="1" applyBorder="1" applyAlignment="1" applyProtection="1">
      <alignment horizontal="center"/>
      <protection locked="0"/>
    </xf>
    <xf numFmtId="169" fontId="44" fillId="4" borderId="51" xfId="0" applyNumberFormat="1" applyFont="1" applyFill="1" applyBorder="1" applyAlignment="1" applyProtection="1">
      <alignment horizontal="left" vertical="center" shrinkToFit="1"/>
      <protection locked="0"/>
    </xf>
    <xf numFmtId="169" fontId="44" fillId="4" borderId="52" xfId="0" applyNumberFormat="1" applyFont="1" applyFill="1" applyBorder="1" applyAlignment="1" applyProtection="1">
      <alignment horizontal="left" vertical="center" shrinkToFit="1"/>
      <protection locked="0"/>
    </xf>
    <xf numFmtId="169" fontId="44" fillId="4" borderId="53" xfId="0" applyNumberFormat="1" applyFont="1" applyFill="1" applyBorder="1" applyAlignment="1" applyProtection="1">
      <alignment horizontal="left" vertical="center" shrinkToFit="1"/>
      <protection locked="0"/>
    </xf>
    <xf numFmtId="169" fontId="44" fillId="4" borderId="52" xfId="0" applyNumberFormat="1" applyFont="1" applyFill="1" applyBorder="1" applyAlignment="1" applyProtection="1">
      <alignment horizontal="left" shrinkToFit="1"/>
      <protection locked="0"/>
    </xf>
    <xf numFmtId="169" fontId="44" fillId="4" borderId="53" xfId="0" applyNumberFormat="1" applyFont="1" applyFill="1" applyBorder="1" applyAlignment="1" applyProtection="1">
      <alignment horizontal="left" shrinkToFit="1"/>
      <protection locked="0"/>
    </xf>
    <xf numFmtId="0" fontId="0" fillId="3" borderId="0" xfId="0" applyFill="1" applyAlignment="1">
      <alignment horizontal="left" wrapText="1"/>
    </xf>
    <xf numFmtId="0" fontId="0" fillId="2" borderId="202" xfId="0" applyFill="1" applyBorder="1" applyAlignment="1">
      <alignment horizontal="center"/>
    </xf>
    <xf numFmtId="0" fontId="0" fillId="2" borderId="203" xfId="0" applyFill="1" applyBorder="1" applyAlignment="1">
      <alignment horizontal="center"/>
    </xf>
    <xf numFmtId="0" fontId="43" fillId="3" borderId="59" xfId="4" applyFont="1" applyFill="1" applyBorder="1" applyAlignment="1">
      <alignment horizontal="center" vertical="center"/>
    </xf>
    <xf numFmtId="0" fontId="43" fillId="3" borderId="60" xfId="4" applyFont="1" applyFill="1" applyBorder="1" applyAlignment="1">
      <alignment horizontal="center" vertical="center"/>
    </xf>
    <xf numFmtId="0" fontId="43" fillId="3" borderId="61" xfId="4" applyFont="1" applyFill="1" applyBorder="1" applyAlignment="1">
      <alignment horizontal="center" vertical="center"/>
    </xf>
    <xf numFmtId="0" fontId="0" fillId="4" borderId="67" xfId="0" applyFill="1" applyBorder="1" applyAlignment="1" applyProtection="1">
      <alignment horizontal="left" vertical="top" wrapText="1"/>
      <protection locked="0"/>
    </xf>
    <xf numFmtId="0" fontId="0" fillId="4" borderId="68" xfId="0" applyFill="1" applyBorder="1" applyAlignment="1" applyProtection="1">
      <alignment horizontal="left" vertical="top" wrapText="1"/>
      <protection locked="0"/>
    </xf>
    <xf numFmtId="0" fontId="0" fillId="4" borderId="69" xfId="0" applyFill="1" applyBorder="1" applyAlignment="1" applyProtection="1">
      <alignment horizontal="left" vertical="top" wrapText="1"/>
      <protection locked="0"/>
    </xf>
    <xf numFmtId="0" fontId="0" fillId="4" borderId="70" xfId="0" applyFill="1" applyBorder="1" applyAlignment="1" applyProtection="1">
      <alignment horizontal="left" vertical="top" wrapText="1"/>
      <protection locked="0"/>
    </xf>
    <xf numFmtId="0" fontId="0" fillId="4" borderId="0" xfId="0" applyFill="1" applyAlignment="1" applyProtection="1">
      <alignment horizontal="left" vertical="top" wrapText="1"/>
      <protection locked="0"/>
    </xf>
    <xf numFmtId="0" fontId="0" fillId="4" borderId="44" xfId="0" applyFill="1" applyBorder="1" applyAlignment="1" applyProtection="1">
      <alignment horizontal="left" vertical="top" wrapText="1"/>
      <protection locked="0"/>
    </xf>
    <xf numFmtId="0" fontId="0" fillId="4" borderId="71" xfId="0" applyFill="1" applyBorder="1" applyAlignment="1" applyProtection="1">
      <alignment horizontal="left" vertical="top" wrapText="1"/>
      <protection locked="0"/>
    </xf>
    <xf numFmtId="0" fontId="0" fillId="4" borderId="23" xfId="0" applyFill="1" applyBorder="1" applyAlignment="1" applyProtection="1">
      <alignment horizontal="left" vertical="top" wrapText="1"/>
      <protection locked="0"/>
    </xf>
    <xf numFmtId="0" fontId="0" fillId="4" borderId="11" xfId="0" applyFill="1" applyBorder="1" applyAlignment="1" applyProtection="1">
      <alignment horizontal="left" vertical="top" wrapText="1"/>
      <protection locked="0"/>
    </xf>
    <xf numFmtId="164" fontId="0" fillId="4" borderId="202" xfId="0" applyNumberFormat="1" applyFill="1" applyBorder="1" applyAlignment="1" applyProtection="1">
      <alignment horizontal="center"/>
      <protection locked="0"/>
    </xf>
    <xf numFmtId="164" fontId="0" fillId="4" borderId="203" xfId="0" applyNumberFormat="1" applyFill="1" applyBorder="1" applyAlignment="1" applyProtection="1">
      <alignment horizontal="center"/>
      <protection locked="0"/>
    </xf>
    <xf numFmtId="170" fontId="44" fillId="4" borderId="52" xfId="0" applyNumberFormat="1" applyFont="1" applyFill="1" applyBorder="1" applyAlignment="1" applyProtection="1">
      <alignment horizontal="left" shrinkToFit="1"/>
      <protection locked="0"/>
    </xf>
    <xf numFmtId="170" fontId="44" fillId="4" borderId="53" xfId="0" applyNumberFormat="1" applyFont="1" applyFill="1" applyBorder="1" applyAlignment="1" applyProtection="1">
      <alignment horizontal="left" shrinkToFit="1"/>
      <protection locked="0"/>
    </xf>
    <xf numFmtId="0" fontId="12" fillId="4" borderId="51" xfId="1" applyFill="1" applyBorder="1" applyAlignment="1" applyProtection="1">
      <alignment horizontal="left" shrinkToFit="1"/>
      <protection locked="0"/>
    </xf>
    <xf numFmtId="0" fontId="44" fillId="4" borderId="52" xfId="0" applyFont="1" applyFill="1" applyBorder="1" applyAlignment="1" applyProtection="1">
      <alignment horizontal="left" shrinkToFit="1"/>
      <protection locked="0"/>
    </xf>
    <xf numFmtId="0" fontId="44" fillId="4" borderId="53" xfId="0" applyFont="1" applyFill="1" applyBorder="1" applyAlignment="1" applyProtection="1">
      <alignment horizontal="left" shrinkToFit="1"/>
      <protection locked="0"/>
    </xf>
    <xf numFmtId="0" fontId="0" fillId="2" borderId="23" xfId="0" applyFill="1" applyBorder="1" applyAlignment="1" applyProtection="1">
      <alignment horizontal="center"/>
    </xf>
    <xf numFmtId="0" fontId="0" fillId="2" borderId="11" xfId="0" applyFill="1" applyBorder="1" applyAlignment="1" applyProtection="1">
      <alignment horizontal="center"/>
    </xf>
    <xf numFmtId="0" fontId="0" fillId="2" borderId="23" xfId="0" applyFill="1" applyBorder="1" applyAlignment="1">
      <alignment horizontal="center"/>
    </xf>
    <xf numFmtId="0" fontId="0" fillId="2" borderId="11" xfId="0" applyFill="1" applyBorder="1" applyAlignment="1">
      <alignment horizontal="center"/>
    </xf>
    <xf numFmtId="2" fontId="0" fillId="2" borderId="23" xfId="0" applyNumberFormat="1" applyFill="1" applyBorder="1" applyAlignment="1">
      <alignment horizontal="center"/>
    </xf>
    <xf numFmtId="2" fontId="0" fillId="2" borderId="11" xfId="0" applyNumberFormat="1" applyFill="1" applyBorder="1" applyAlignment="1">
      <alignment horizontal="center"/>
    </xf>
    <xf numFmtId="179" fontId="0" fillId="2" borderId="23" xfId="0" applyNumberFormat="1" applyFill="1" applyBorder="1" applyAlignment="1">
      <alignment horizontal="center"/>
    </xf>
    <xf numFmtId="179" fontId="0" fillId="2" borderId="11" xfId="0" applyNumberFormat="1" applyFill="1" applyBorder="1" applyAlignment="1">
      <alignment horizontal="center"/>
    </xf>
    <xf numFmtId="166" fontId="0" fillId="2" borderId="23" xfId="0" applyNumberFormat="1" applyFill="1" applyBorder="1" applyAlignment="1">
      <alignment horizontal="center"/>
    </xf>
    <xf numFmtId="166" fontId="0" fillId="2" borderId="11" xfId="0" applyNumberFormat="1" applyFill="1" applyBorder="1" applyAlignment="1">
      <alignment horizontal="center"/>
    </xf>
    <xf numFmtId="0" fontId="44" fillId="4" borderId="51" xfId="0" applyFont="1" applyFill="1" applyBorder="1" applyAlignment="1" applyProtection="1">
      <alignment horizontal="left" shrinkToFit="1"/>
      <protection locked="0"/>
    </xf>
    <xf numFmtId="169" fontId="44" fillId="4" borderId="51" xfId="0" applyNumberFormat="1" applyFont="1" applyFill="1" applyBorder="1" applyAlignment="1" applyProtection="1">
      <alignment horizontal="left" shrinkToFit="1"/>
      <protection locked="0"/>
    </xf>
    <xf numFmtId="0" fontId="128" fillId="3" borderId="0" xfId="0" applyFont="1" applyFill="1" applyAlignment="1">
      <alignment horizontal="center" wrapText="1"/>
    </xf>
    <xf numFmtId="0" fontId="0" fillId="0" borderId="63" xfId="0" applyBorder="1" applyAlignment="1" applyProtection="1">
      <alignment horizontal="center"/>
      <protection locked="0"/>
    </xf>
    <xf numFmtId="169" fontId="44" fillId="4" borderId="54" xfId="0" applyNumberFormat="1" applyFont="1" applyFill="1" applyBorder="1" applyAlignment="1" applyProtection="1">
      <alignment horizontal="left" vertical="top" wrapText="1" shrinkToFit="1"/>
      <protection locked="0"/>
    </xf>
    <xf numFmtId="169" fontId="44" fillId="4" borderId="55" xfId="0" applyNumberFormat="1" applyFont="1" applyFill="1" applyBorder="1" applyAlignment="1" applyProtection="1">
      <alignment horizontal="left" vertical="top" wrapText="1" shrinkToFit="1"/>
      <protection locked="0"/>
    </xf>
    <xf numFmtId="169" fontId="44" fillId="4" borderId="0" xfId="0" applyNumberFormat="1" applyFont="1" applyFill="1" applyAlignment="1" applyProtection="1">
      <alignment horizontal="left" vertical="top" wrapText="1" shrinkToFit="1"/>
      <protection locked="0"/>
    </xf>
    <xf numFmtId="169" fontId="44" fillId="4" borderId="44" xfId="0" applyNumberFormat="1" applyFont="1" applyFill="1" applyBorder="1" applyAlignment="1" applyProtection="1">
      <alignment horizontal="left" vertical="top" wrapText="1" shrinkToFit="1"/>
      <protection locked="0"/>
    </xf>
    <xf numFmtId="169" fontId="44" fillId="4" borderId="23" xfId="0" applyNumberFormat="1" applyFont="1" applyFill="1" applyBorder="1" applyAlignment="1" applyProtection="1">
      <alignment horizontal="left" vertical="top" wrapText="1" shrinkToFit="1"/>
      <protection locked="0"/>
    </xf>
    <xf numFmtId="169" fontId="44" fillId="4" borderId="11" xfId="0" applyNumberFormat="1" applyFont="1" applyFill="1" applyBorder="1" applyAlignment="1" applyProtection="1">
      <alignment horizontal="left" vertical="top" wrapText="1" shrinkToFit="1"/>
      <protection locked="0"/>
    </xf>
    <xf numFmtId="49" fontId="44" fillId="4" borderId="52" xfId="0" applyNumberFormat="1" applyFont="1" applyFill="1" applyBorder="1" applyAlignment="1" applyProtection="1">
      <alignment horizontal="left" vertical="center" shrinkToFit="1"/>
      <protection locked="0"/>
    </xf>
    <xf numFmtId="49" fontId="44" fillId="4" borderId="53" xfId="0" applyNumberFormat="1" applyFont="1" applyFill="1" applyBorder="1" applyAlignment="1" applyProtection="1">
      <alignment horizontal="left" vertical="center" shrinkToFit="1"/>
      <protection locked="0"/>
    </xf>
    <xf numFmtId="171" fontId="44" fillId="4" borderId="57" xfId="0" applyNumberFormat="1" applyFont="1" applyFill="1" applyBorder="1" applyAlignment="1" applyProtection="1">
      <alignment horizontal="left" indent="1" shrinkToFit="1"/>
      <protection locked="0"/>
    </xf>
    <xf numFmtId="171" fontId="44" fillId="4" borderId="58" xfId="0" applyNumberFormat="1" applyFont="1" applyFill="1" applyBorder="1" applyAlignment="1" applyProtection="1">
      <alignment horizontal="left" indent="1" shrinkToFit="1"/>
      <protection locked="0"/>
    </xf>
    <xf numFmtId="0" fontId="44" fillId="4" borderId="56" xfId="0" applyFont="1" applyFill="1" applyBorder="1" applyAlignment="1" applyProtection="1">
      <alignment horizontal="left" shrinkToFit="1"/>
      <protection locked="0"/>
    </xf>
    <xf numFmtId="0" fontId="44" fillId="4" borderId="23" xfId="0" applyFont="1" applyFill="1" applyBorder="1" applyAlignment="1" applyProtection="1">
      <alignment horizontal="left" shrinkToFit="1"/>
      <protection locked="0"/>
    </xf>
    <xf numFmtId="0" fontId="44" fillId="4" borderId="11" xfId="0" applyFont="1" applyFill="1" applyBorder="1" applyAlignment="1" applyProtection="1">
      <alignment horizontal="left" shrinkToFit="1"/>
      <protection locked="0"/>
    </xf>
    <xf numFmtId="169" fontId="44" fillId="4" borderId="56" xfId="0" applyNumberFormat="1" applyFont="1" applyFill="1" applyBorder="1" applyAlignment="1" applyProtection="1">
      <alignment horizontal="left" shrinkToFit="1"/>
      <protection locked="0"/>
    </xf>
    <xf numFmtId="169" fontId="44" fillId="4" borderId="23" xfId="0" applyNumberFormat="1" applyFont="1" applyFill="1" applyBorder="1" applyAlignment="1" applyProtection="1">
      <alignment horizontal="left" shrinkToFit="1"/>
      <protection locked="0"/>
    </xf>
    <xf numFmtId="169" fontId="44" fillId="4" borderId="11" xfId="0" applyNumberFormat="1" applyFont="1" applyFill="1" applyBorder="1" applyAlignment="1" applyProtection="1">
      <alignment horizontal="left" shrinkToFit="1"/>
      <protection locked="0"/>
    </xf>
    <xf numFmtId="169" fontId="44" fillId="4" borderId="56" xfId="0" applyNumberFormat="1" applyFont="1" applyFill="1" applyBorder="1" applyAlignment="1" applyProtection="1">
      <alignment horizontal="center" shrinkToFit="1"/>
      <protection locked="0"/>
    </xf>
    <xf numFmtId="169" fontId="44" fillId="4" borderId="23" xfId="0" applyNumberFormat="1" applyFont="1" applyFill="1" applyBorder="1" applyAlignment="1" applyProtection="1">
      <alignment horizontal="center" shrinkToFit="1"/>
      <protection locked="0"/>
    </xf>
    <xf numFmtId="169" fontId="44" fillId="4" borderId="11" xfId="0" applyNumberFormat="1" applyFont="1" applyFill="1" applyBorder="1" applyAlignment="1" applyProtection="1">
      <alignment horizontal="center" shrinkToFit="1"/>
      <protection locked="0"/>
    </xf>
    <xf numFmtId="0" fontId="66" fillId="3" borderId="0" xfId="0" applyFont="1" applyFill="1" applyAlignment="1">
      <alignment horizontal="center" vertical="top" wrapText="1"/>
    </xf>
    <xf numFmtId="0" fontId="0" fillId="3" borderId="0" xfId="0" applyFill="1" applyAlignment="1">
      <alignment horizontal="center" wrapText="1"/>
    </xf>
    <xf numFmtId="0" fontId="50" fillId="3" borderId="65" xfId="0" applyFont="1" applyFill="1" applyBorder="1" applyAlignment="1">
      <alignment horizontal="center"/>
    </xf>
    <xf numFmtId="171" fontId="44" fillId="4" borderId="57" xfId="0" applyNumberFormat="1" applyFont="1" applyFill="1" applyBorder="1" applyAlignment="1" applyProtection="1">
      <alignment horizontal="left" shrinkToFit="1"/>
      <protection locked="0"/>
    </xf>
    <xf numFmtId="171" fontId="44" fillId="4" borderId="58" xfId="0" applyNumberFormat="1" applyFont="1" applyFill="1" applyBorder="1" applyAlignment="1" applyProtection="1">
      <alignment horizontal="left" shrinkToFit="1"/>
      <protection locked="0"/>
    </xf>
    <xf numFmtId="0" fontId="108" fillId="3" borderId="0" xfId="0" applyFont="1" applyFill="1" applyAlignment="1">
      <alignment horizontal="center" vertical="top"/>
    </xf>
    <xf numFmtId="0" fontId="139" fillId="0" borderId="0" xfId="4" applyFont="1" applyFill="1" applyBorder="1" applyAlignment="1">
      <alignment horizontal="center" vertical="center"/>
    </xf>
    <xf numFmtId="0" fontId="109" fillId="0" borderId="246" xfId="0" applyFont="1" applyFill="1" applyBorder="1" applyAlignment="1">
      <alignment horizontal="left" shrinkToFit="1"/>
    </xf>
    <xf numFmtId="0" fontId="109" fillId="0" borderId="245" xfId="0" applyFont="1" applyFill="1" applyBorder="1" applyAlignment="1">
      <alignment horizontal="left" shrinkToFit="1"/>
    </xf>
    <xf numFmtId="171" fontId="109" fillId="0" borderId="247" xfId="0" applyNumberFormat="1" applyFont="1" applyFill="1" applyBorder="1" applyAlignment="1">
      <alignment horizontal="left" indent="1" shrinkToFit="1"/>
    </xf>
    <xf numFmtId="171" fontId="109" fillId="0" borderId="248" xfId="0" applyNumberFormat="1" applyFont="1" applyFill="1" applyBorder="1" applyAlignment="1">
      <alignment horizontal="left" indent="1" shrinkToFit="1"/>
    </xf>
    <xf numFmtId="169" fontId="109" fillId="0" borderId="246" xfId="0" applyNumberFormat="1" applyFont="1" applyFill="1" applyBorder="1" applyAlignment="1">
      <alignment horizontal="left" shrinkToFit="1"/>
    </xf>
    <xf numFmtId="169" fontId="109" fillId="0" borderId="245" xfId="0" applyNumberFormat="1" applyFont="1" applyFill="1" applyBorder="1" applyAlignment="1">
      <alignment horizontal="left" shrinkToFit="1"/>
    </xf>
    <xf numFmtId="0" fontId="17" fillId="0" borderId="12" xfId="0" applyFont="1" applyBorder="1" applyAlignment="1">
      <alignment horizontal="center" vertical="center"/>
    </xf>
    <xf numFmtId="0" fontId="17" fillId="0" borderId="14" xfId="0" applyFont="1" applyBorder="1" applyAlignment="1">
      <alignment horizontal="center" vertical="center"/>
    </xf>
    <xf numFmtId="0" fontId="17" fillId="0" borderId="12" xfId="0" applyFont="1" applyBorder="1" applyAlignment="1" applyProtection="1">
      <alignment horizontal="center" vertical="center"/>
      <protection locked="0"/>
    </xf>
    <xf numFmtId="0" fontId="17" fillId="0" borderId="14" xfId="0" applyFont="1" applyBorder="1" applyAlignment="1" applyProtection="1">
      <alignment horizontal="center" vertical="center"/>
      <protection locked="0"/>
    </xf>
    <xf numFmtId="0" fontId="16" fillId="3" borderId="0" xfId="0" applyFont="1" applyFill="1" applyAlignment="1">
      <alignment horizontal="center" wrapText="1"/>
    </xf>
    <xf numFmtId="0" fontId="28" fillId="0" borderId="21" xfId="0" applyFont="1" applyBorder="1" applyAlignment="1">
      <alignment horizontal="center" wrapText="1"/>
    </xf>
    <xf numFmtId="0" fontId="28" fillId="0" borderId="94" xfId="0" applyFont="1" applyBorder="1" applyAlignment="1">
      <alignment horizontal="center" wrapText="1"/>
    </xf>
    <xf numFmtId="0" fontId="33" fillId="0" borderId="0" xfId="0" applyFont="1" applyAlignment="1">
      <alignment horizontal="center" vertical="top" wrapText="1"/>
    </xf>
    <xf numFmtId="0" fontId="15" fillId="3" borderId="0" xfId="0" applyFont="1" applyFill="1" applyAlignment="1">
      <alignment horizontal="center" wrapText="1"/>
    </xf>
    <xf numFmtId="0" fontId="14" fillId="3" borderId="0" xfId="0" applyFont="1" applyFill="1" applyAlignment="1">
      <alignment horizontal="center" wrapText="1"/>
    </xf>
    <xf numFmtId="0" fontId="0" fillId="0" borderId="77" xfId="0" applyBorder="1" applyAlignment="1">
      <alignment horizontal="left" vertical="top" wrapText="1"/>
    </xf>
    <xf numFmtId="0" fontId="11" fillId="0" borderId="0" xfId="0" applyFont="1" applyAlignment="1">
      <alignment horizontal="center" vertical="center"/>
    </xf>
    <xf numFmtId="0" fontId="115" fillId="0" borderId="0" xfId="0" applyFont="1" applyAlignment="1">
      <alignment horizontal="center" vertical="center"/>
    </xf>
    <xf numFmtId="0" fontId="0" fillId="0" borderId="89" xfId="0" applyBorder="1" applyAlignment="1">
      <alignment horizontal="left" vertical="center" wrapText="1"/>
    </xf>
    <xf numFmtId="0" fontId="0" fillId="0" borderId="90" xfId="0" applyBorder="1" applyAlignment="1">
      <alignment horizontal="left" vertical="center" wrapText="1"/>
    </xf>
    <xf numFmtId="0" fontId="45" fillId="3" borderId="0" xfId="0" applyFont="1" applyFill="1" applyAlignment="1">
      <alignment horizontal="center" textRotation="90" wrapText="1"/>
    </xf>
    <xf numFmtId="0" fontId="14" fillId="3" borderId="0" xfId="0" applyFont="1" applyFill="1" applyAlignment="1">
      <alignment horizontal="center" textRotation="90" wrapText="1"/>
    </xf>
    <xf numFmtId="0" fontId="17" fillId="0" borderId="12" xfId="0" applyFont="1" applyBorder="1" applyAlignment="1" applyProtection="1">
      <alignment horizontal="left" vertical="center"/>
      <protection locked="0"/>
    </xf>
    <xf numFmtId="0" fontId="17" fillId="0" borderId="13" xfId="0" applyFont="1" applyBorder="1" applyAlignment="1" applyProtection="1">
      <alignment horizontal="left" vertical="center"/>
      <protection locked="0"/>
    </xf>
    <xf numFmtId="0" fontId="17" fillId="0" borderId="14" xfId="0" applyFont="1" applyBorder="1" applyAlignment="1" applyProtection="1">
      <alignment horizontal="left" vertical="center"/>
      <protection locked="0"/>
    </xf>
    <xf numFmtId="0" fontId="17" fillId="0" borderId="204" xfId="0" applyFont="1" applyBorder="1" applyAlignment="1" applyProtection="1">
      <alignment horizontal="left" vertical="center" wrapText="1"/>
      <protection locked="0"/>
    </xf>
    <xf numFmtId="0" fontId="17" fillId="0" borderId="205" xfId="0" applyFont="1" applyBorder="1" applyAlignment="1" applyProtection="1">
      <alignment horizontal="left" vertical="center" wrapText="1"/>
      <protection locked="0"/>
    </xf>
    <xf numFmtId="0" fontId="17" fillId="0" borderId="206" xfId="0" applyFont="1" applyBorder="1" applyAlignment="1" applyProtection="1">
      <alignment horizontal="left" vertical="center" wrapText="1"/>
      <protection locked="0"/>
    </xf>
    <xf numFmtId="0" fontId="17" fillId="0" borderId="204" xfId="0" applyFont="1" applyBorder="1" applyAlignment="1" applyProtection="1">
      <alignment horizontal="center" vertical="center"/>
      <protection locked="0"/>
    </xf>
    <xf numFmtId="0" fontId="17" fillId="0" borderId="205" xfId="0" applyFont="1" applyBorder="1" applyAlignment="1" applyProtection="1">
      <alignment horizontal="center" vertical="center"/>
      <protection locked="0"/>
    </xf>
    <xf numFmtId="0" fontId="17" fillId="0" borderId="15" xfId="0" applyFont="1" applyBorder="1" applyAlignment="1">
      <alignment horizontal="center"/>
    </xf>
    <xf numFmtId="0" fontId="17" fillId="0" borderId="17" xfId="0" applyFont="1" applyBorder="1" applyAlignment="1">
      <alignment horizontal="center"/>
    </xf>
    <xf numFmtId="0" fontId="17" fillId="4" borderId="15" xfId="0" applyFont="1" applyFill="1" applyBorder="1" applyAlignment="1">
      <alignment horizontal="center"/>
    </xf>
    <xf numFmtId="0" fontId="17" fillId="4" borderId="17" xfId="0" applyFont="1" applyFill="1" applyBorder="1" applyAlignment="1">
      <alignment horizontal="center"/>
    </xf>
    <xf numFmtId="0" fontId="17" fillId="0" borderId="204" xfId="0" applyFont="1" applyBorder="1" applyAlignment="1">
      <alignment horizontal="center"/>
    </xf>
    <xf numFmtId="0" fontId="17" fillId="0" borderId="206" xfId="0" applyFont="1" applyBorder="1" applyAlignment="1">
      <alignment horizontal="center"/>
    </xf>
    <xf numFmtId="0" fontId="17" fillId="4" borderId="18" xfId="0" applyFont="1" applyFill="1" applyBorder="1" applyAlignment="1"/>
    <xf numFmtId="0" fontId="17" fillId="4" borderId="12" xfId="0" applyFont="1" applyFill="1" applyBorder="1" applyAlignment="1">
      <alignment horizontal="center"/>
    </xf>
    <xf numFmtId="0" fontId="17" fillId="4" borderId="14" xfId="0" applyFont="1" applyFill="1" applyBorder="1" applyAlignment="1">
      <alignment horizontal="center"/>
    </xf>
    <xf numFmtId="0" fontId="17" fillId="4" borderId="12" xfId="0" applyFont="1" applyFill="1" applyBorder="1" applyAlignment="1">
      <alignment horizontal="left"/>
    </xf>
    <xf numFmtId="0" fontId="17" fillId="4" borderId="13" xfId="0" applyFont="1" applyFill="1" applyBorder="1" applyAlignment="1">
      <alignment horizontal="left"/>
    </xf>
    <xf numFmtId="0" fontId="17" fillId="4" borderId="14" xfId="0" applyFont="1" applyFill="1" applyBorder="1" applyAlignment="1">
      <alignment horizontal="left"/>
    </xf>
    <xf numFmtId="0" fontId="17" fillId="0" borderId="12" xfId="0" applyFont="1" applyBorder="1" applyAlignment="1">
      <alignment horizontal="center"/>
    </xf>
    <xf numFmtId="0" fontId="17" fillId="0" borderId="14" xfId="0" applyFont="1" applyBorder="1" applyAlignment="1">
      <alignment horizontal="center"/>
    </xf>
    <xf numFmtId="0" fontId="17" fillId="4" borderId="204" xfId="0" applyFont="1" applyFill="1" applyBorder="1" applyAlignment="1">
      <alignment horizontal="left"/>
    </xf>
    <xf numFmtId="0" fontId="17" fillId="4" borderId="205" xfId="0" applyFont="1" applyFill="1" applyBorder="1" applyAlignment="1">
      <alignment horizontal="left"/>
    </xf>
    <xf numFmtId="0" fontId="17" fillId="4" borderId="206" xfId="0" applyFont="1" applyFill="1" applyBorder="1" applyAlignment="1">
      <alignment horizontal="left"/>
    </xf>
    <xf numFmtId="0" fontId="17" fillId="4" borderId="207" xfId="0" applyFont="1" applyFill="1" applyBorder="1" applyAlignment="1"/>
    <xf numFmtId="0" fontId="17" fillId="4" borderId="204" xfId="0" applyFont="1" applyFill="1" applyBorder="1" applyAlignment="1">
      <alignment horizontal="center"/>
    </xf>
    <xf numFmtId="0" fontId="17" fillId="4" borderId="206" xfId="0" applyFont="1" applyFill="1" applyBorder="1" applyAlignment="1">
      <alignment horizontal="center"/>
    </xf>
    <xf numFmtId="0" fontId="17" fillId="3" borderId="0" xfId="0" applyFont="1" applyFill="1" applyAlignment="1">
      <alignment horizontal="left" vertical="top" wrapText="1"/>
    </xf>
    <xf numFmtId="0" fontId="0" fillId="0" borderId="0" xfId="0" applyAlignment="1">
      <alignment horizontal="left"/>
    </xf>
    <xf numFmtId="0" fontId="14" fillId="3" borderId="3" xfId="0" applyFont="1" applyFill="1" applyBorder="1" applyAlignment="1">
      <alignment horizontal="left" wrapText="1"/>
    </xf>
    <xf numFmtId="0" fontId="15" fillId="3" borderId="0" xfId="0" applyFont="1" applyFill="1" applyAlignment="1">
      <alignment horizontal="center"/>
    </xf>
    <xf numFmtId="0" fontId="17" fillId="4" borderId="12" xfId="0" applyFont="1" applyFill="1" applyBorder="1" applyAlignment="1">
      <alignment horizontal="left" vertical="center"/>
    </xf>
    <xf numFmtId="0" fontId="17" fillId="4" borderId="13" xfId="0" applyFont="1" applyFill="1" applyBorder="1" applyAlignment="1">
      <alignment horizontal="left" vertical="center"/>
    </xf>
    <xf numFmtId="0" fontId="17" fillId="4" borderId="14" xfId="0" applyFont="1" applyFill="1" applyBorder="1" applyAlignment="1">
      <alignment horizontal="left" vertical="center"/>
    </xf>
    <xf numFmtId="0" fontId="18" fillId="4" borderId="12" xfId="0" applyFont="1" applyFill="1" applyBorder="1" applyAlignment="1">
      <alignment horizontal="left" vertical="center" wrapText="1"/>
    </xf>
    <xf numFmtId="0" fontId="18" fillId="4" borderId="13" xfId="0" applyFont="1" applyFill="1" applyBorder="1" applyAlignment="1">
      <alignment horizontal="left" vertical="center" wrapText="1"/>
    </xf>
    <xf numFmtId="0" fontId="18" fillId="4" borderId="14" xfId="0" applyFont="1" applyFill="1" applyBorder="1" applyAlignment="1">
      <alignment horizontal="left" vertical="center" wrapText="1"/>
    </xf>
    <xf numFmtId="0" fontId="17" fillId="4" borderId="18" xfId="0" applyFont="1" applyFill="1" applyBorder="1" applyAlignment="1">
      <alignment horizontal="left" vertical="center" wrapText="1"/>
    </xf>
    <xf numFmtId="0" fontId="14" fillId="3" borderId="46" xfId="0" applyFont="1" applyFill="1" applyBorder="1" applyAlignment="1">
      <alignment horizontal="left" wrapText="1"/>
    </xf>
    <xf numFmtId="0" fontId="14" fillId="3" borderId="46" xfId="0" applyFont="1" applyFill="1" applyBorder="1" applyAlignment="1">
      <alignment horizontal="center" wrapText="1"/>
    </xf>
    <xf numFmtId="0" fontId="14" fillId="3" borderId="3" xfId="0" applyFont="1" applyFill="1" applyBorder="1" applyAlignment="1">
      <alignment horizontal="center" wrapText="1"/>
    </xf>
    <xf numFmtId="0" fontId="17" fillId="0" borderId="204" xfId="0" applyFont="1" applyBorder="1" applyAlignment="1">
      <alignment horizontal="left" vertical="center" wrapText="1"/>
    </xf>
    <xf numFmtId="0" fontId="17" fillId="0" borderId="205" xfId="0" applyFont="1" applyBorder="1" applyAlignment="1">
      <alignment horizontal="left" vertical="center" wrapText="1"/>
    </xf>
    <xf numFmtId="0" fontId="17" fillId="0" borderId="206" xfId="0" applyFont="1" applyBorder="1" applyAlignment="1">
      <alignment horizontal="left" vertical="center" wrapText="1"/>
    </xf>
    <xf numFmtId="0" fontId="14" fillId="3" borderId="23" xfId="0" applyFont="1" applyFill="1" applyBorder="1" applyAlignment="1">
      <alignment horizontal="center" wrapText="1"/>
    </xf>
    <xf numFmtId="0" fontId="17" fillId="0" borderId="204" xfId="0" applyFont="1" applyBorder="1" applyAlignment="1" applyProtection="1">
      <alignment horizontal="left" vertical="center"/>
      <protection locked="0"/>
    </xf>
    <xf numFmtId="0" fontId="17" fillId="0" borderId="205" xfId="0" applyFont="1" applyBorder="1" applyAlignment="1" applyProtection="1">
      <alignment horizontal="left" vertical="center"/>
      <protection locked="0"/>
    </xf>
    <xf numFmtId="0" fontId="17" fillId="0" borderId="206" xfId="0" applyFont="1" applyBorder="1" applyAlignment="1" applyProtection="1">
      <alignment horizontal="left" vertical="center"/>
      <protection locked="0"/>
    </xf>
    <xf numFmtId="0" fontId="17" fillId="4" borderId="18" xfId="0" applyFont="1" applyFill="1" applyBorder="1" applyAlignment="1" applyProtection="1">
      <alignment horizontal="left" vertical="center" wrapText="1"/>
      <protection locked="0"/>
    </xf>
    <xf numFmtId="0" fontId="18" fillId="4" borderId="12" xfId="0" applyFont="1" applyFill="1" applyBorder="1" applyAlignment="1" applyProtection="1">
      <alignment horizontal="left" vertical="center" wrapText="1"/>
      <protection locked="0"/>
    </xf>
    <xf numFmtId="0" fontId="18" fillId="4" borderId="13" xfId="0" applyFont="1" applyFill="1" applyBorder="1" applyAlignment="1" applyProtection="1">
      <alignment horizontal="left" vertical="center" wrapText="1"/>
      <protection locked="0"/>
    </xf>
    <xf numFmtId="0" fontId="18" fillId="4" borderId="14" xfId="0" applyFont="1" applyFill="1" applyBorder="1" applyAlignment="1" applyProtection="1">
      <alignment horizontal="left" vertical="center" wrapText="1"/>
      <protection locked="0"/>
    </xf>
    <xf numFmtId="0" fontId="17" fillId="4" borderId="204" xfId="0" applyFont="1" applyFill="1" applyBorder="1" applyAlignment="1" applyProtection="1">
      <alignment horizontal="left" vertical="center"/>
      <protection locked="0"/>
    </xf>
    <xf numFmtId="0" fontId="17" fillId="4" borderId="205" xfId="0" applyFont="1" applyFill="1" applyBorder="1" applyAlignment="1" applyProtection="1">
      <alignment horizontal="left" vertical="center"/>
      <protection locked="0"/>
    </xf>
    <xf numFmtId="0" fontId="17" fillId="4" borderId="206" xfId="0" applyFont="1" applyFill="1" applyBorder="1" applyAlignment="1" applyProtection="1">
      <alignment horizontal="left" vertical="center"/>
      <protection locked="0"/>
    </xf>
    <xf numFmtId="0" fontId="17" fillId="0" borderId="12" xfId="0" applyFont="1" applyBorder="1" applyAlignment="1" applyProtection="1">
      <alignment horizontal="left" vertical="center" wrapText="1"/>
      <protection locked="0"/>
    </xf>
    <xf numFmtId="0" fontId="17" fillId="0" borderId="13" xfId="0" applyFont="1" applyBorder="1" applyAlignment="1" applyProtection="1">
      <alignment horizontal="left" vertical="center" wrapText="1"/>
      <protection locked="0"/>
    </xf>
    <xf numFmtId="0" fontId="17" fillId="0" borderId="14" xfId="0" applyFont="1" applyBorder="1" applyAlignment="1" applyProtection="1">
      <alignment horizontal="left" vertical="center" wrapText="1"/>
      <protection locked="0"/>
    </xf>
    <xf numFmtId="0" fontId="17" fillId="4" borderId="15" xfId="0" applyFont="1" applyFill="1" applyBorder="1" applyAlignment="1">
      <alignment horizontal="left"/>
    </xf>
    <xf numFmtId="0" fontId="17" fillId="4" borderId="16" xfId="0" applyFont="1" applyFill="1" applyBorder="1" applyAlignment="1">
      <alignment horizontal="left"/>
    </xf>
    <xf numFmtId="0" fontId="17" fillId="4" borderId="17" xfId="0" applyFont="1" applyFill="1" applyBorder="1" applyAlignment="1">
      <alignment horizontal="left"/>
    </xf>
    <xf numFmtId="0" fontId="17" fillId="4" borderId="19" xfId="0" applyFont="1" applyFill="1" applyBorder="1" applyAlignment="1"/>
    <xf numFmtId="0" fontId="14" fillId="3" borderId="37" xfId="0" applyFont="1" applyFill="1" applyBorder="1" applyAlignment="1">
      <alignment horizontal="center" wrapText="1"/>
    </xf>
    <xf numFmtId="0" fontId="15" fillId="3" borderId="37" xfId="0" applyFont="1" applyFill="1" applyBorder="1" applyAlignment="1">
      <alignment horizontal="center" wrapText="1"/>
    </xf>
    <xf numFmtId="0" fontId="15" fillId="3" borderId="37" xfId="0" applyFont="1" applyFill="1" applyBorder="1" applyAlignment="1">
      <alignment horizontal="center"/>
    </xf>
    <xf numFmtId="0" fontId="0" fillId="0" borderId="92" xfId="0" applyBorder="1" applyAlignment="1">
      <alignment horizontal="center" vertical="center"/>
    </xf>
    <xf numFmtId="0" fontId="0" fillId="0" borderId="93" xfId="0" applyBorder="1" applyAlignment="1">
      <alignment horizontal="center" vertical="center"/>
    </xf>
    <xf numFmtId="0" fontId="0" fillId="0" borderId="89" xfId="0" applyBorder="1" applyAlignment="1">
      <alignment horizontal="center" vertical="center"/>
    </xf>
    <xf numFmtId="0" fontId="0" fillId="0" borderId="91" xfId="0" applyBorder="1" applyAlignment="1">
      <alignment horizontal="center" vertical="center"/>
    </xf>
    <xf numFmtId="0" fontId="0" fillId="0" borderId="91" xfId="0" applyBorder="1" applyAlignment="1">
      <alignment horizontal="left" vertical="center" wrapText="1"/>
    </xf>
    <xf numFmtId="0" fontId="14" fillId="3" borderId="3" xfId="0" applyFont="1" applyFill="1" applyBorder="1" applyAlignment="1">
      <alignment horizontal="left"/>
    </xf>
    <xf numFmtId="0" fontId="17" fillId="0" borderId="204" xfId="0" applyFont="1" applyBorder="1" applyAlignment="1">
      <alignment horizontal="left" vertical="center"/>
    </xf>
    <xf numFmtId="0" fontId="17" fillId="0" borderId="205" xfId="0" applyFont="1" applyBorder="1" applyAlignment="1">
      <alignment horizontal="left" vertical="center"/>
    </xf>
    <xf numFmtId="0" fontId="17" fillId="0" borderId="206" xfId="0" applyFont="1" applyBorder="1" applyAlignment="1">
      <alignment horizontal="left" vertical="center"/>
    </xf>
    <xf numFmtId="0" fontId="17" fillId="0" borderId="204" xfId="0" applyFont="1" applyBorder="1" applyAlignment="1">
      <alignment horizontal="center" vertical="center"/>
    </xf>
    <xf numFmtId="0" fontId="17" fillId="0" borderId="205" xfId="0" applyFont="1" applyBorder="1" applyAlignment="1">
      <alignment horizontal="center" vertical="center"/>
    </xf>
    <xf numFmtId="0" fontId="15" fillId="3" borderId="23" xfId="0" applyFont="1" applyFill="1" applyBorder="1" applyAlignment="1">
      <alignment horizontal="center" wrapText="1"/>
    </xf>
    <xf numFmtId="0" fontId="17" fillId="0" borderId="13" xfId="0" applyFont="1" applyBorder="1" applyAlignment="1" applyProtection="1">
      <alignment horizontal="center" vertical="center"/>
      <protection locked="0"/>
    </xf>
    <xf numFmtId="0" fontId="15" fillId="3" borderId="0" xfId="0" applyFont="1" applyFill="1" applyAlignment="1">
      <alignment horizontal="center" textRotation="90" wrapText="1"/>
    </xf>
    <xf numFmtId="0" fontId="17" fillId="4" borderId="12" xfId="0" applyFont="1" applyFill="1" applyBorder="1" applyAlignment="1" applyProtection="1">
      <alignment horizontal="left" vertical="center"/>
      <protection locked="0"/>
    </xf>
    <xf numFmtId="0" fontId="17" fillId="4" borderId="13" xfId="0" applyFont="1" applyFill="1" applyBorder="1" applyAlignment="1" applyProtection="1">
      <alignment horizontal="left" vertical="center"/>
      <protection locked="0"/>
    </xf>
    <xf numFmtId="0" fontId="17" fillId="4" borderId="14" xfId="0" applyFont="1" applyFill="1" applyBorder="1" applyAlignment="1" applyProtection="1">
      <alignment horizontal="left" vertical="center"/>
      <protection locked="0"/>
    </xf>
    <xf numFmtId="0" fontId="50" fillId="3" borderId="126" xfId="0" applyFont="1" applyFill="1" applyBorder="1" applyAlignment="1" applyProtection="1">
      <alignment horizontal="center" vertical="center"/>
      <protection locked="0"/>
    </xf>
    <xf numFmtId="0" fontId="50" fillId="3" borderId="127" xfId="0" applyFont="1" applyFill="1" applyBorder="1" applyAlignment="1" applyProtection="1">
      <alignment horizontal="center" vertical="center"/>
      <protection locked="0"/>
    </xf>
    <xf numFmtId="0" fontId="4" fillId="0" borderId="89" xfId="0" applyFont="1" applyBorder="1" applyAlignment="1">
      <alignment horizontal="center" vertical="center"/>
    </xf>
    <xf numFmtId="0" fontId="4" fillId="0" borderId="91" xfId="0" applyFont="1" applyBorder="1" applyAlignment="1">
      <alignment horizontal="center" vertical="center"/>
    </xf>
    <xf numFmtId="0" fontId="4" fillId="0" borderId="89" xfId="0" applyFont="1" applyBorder="1" applyAlignment="1">
      <alignment horizontal="left" vertical="center" wrapText="1"/>
    </xf>
    <xf numFmtId="0" fontId="4" fillId="0" borderId="90" xfId="0" applyFont="1" applyBorder="1" applyAlignment="1">
      <alignment horizontal="left" vertical="center" wrapText="1"/>
    </xf>
    <xf numFmtId="0" fontId="4" fillId="0" borderId="91" xfId="0" applyFont="1" applyBorder="1" applyAlignment="1">
      <alignment horizontal="left" vertical="center" wrapText="1"/>
    </xf>
    <xf numFmtId="0" fontId="28" fillId="0" borderId="0" xfId="0" applyFont="1" applyAlignment="1">
      <alignment horizontal="left" wrapText="1"/>
    </xf>
    <xf numFmtId="174" fontId="17" fillId="0" borderId="0" xfId="0" applyNumberFormat="1" applyFont="1" applyAlignment="1">
      <alignment horizontal="center" vertical="center"/>
    </xf>
    <xf numFmtId="0" fontId="17" fillId="10" borderId="201" xfId="0" applyFont="1" applyFill="1" applyBorder="1" applyAlignment="1">
      <alignment horizontal="center" vertical="center" wrapText="1"/>
    </xf>
    <xf numFmtId="0" fontId="17" fillId="10" borderId="209" xfId="0" applyFont="1" applyFill="1" applyBorder="1" applyAlignment="1">
      <alignment horizontal="center" vertical="center"/>
    </xf>
    <xf numFmtId="0" fontId="17" fillId="10" borderId="41" xfId="0" applyFont="1" applyFill="1" applyBorder="1" applyAlignment="1">
      <alignment horizontal="center" vertical="center"/>
    </xf>
    <xf numFmtId="0" fontId="17" fillId="10" borderId="49" xfId="0" applyFont="1" applyFill="1" applyBorder="1" applyAlignment="1">
      <alignment horizontal="center" vertical="center"/>
    </xf>
    <xf numFmtId="0" fontId="17" fillId="0" borderId="209" xfId="0" applyFont="1" applyBorder="1" applyAlignment="1">
      <alignment horizontal="center" vertical="center" wrapText="1"/>
    </xf>
    <xf numFmtId="0" fontId="17" fillId="0" borderId="49" xfId="0" applyFont="1" applyBorder="1" applyAlignment="1">
      <alignment horizontal="center" vertical="center" wrapText="1"/>
    </xf>
    <xf numFmtId="0" fontId="14" fillId="0" borderId="0" xfId="0" applyFont="1" applyAlignment="1">
      <alignment horizontal="center"/>
    </xf>
    <xf numFmtId="0" fontId="14" fillId="0" borderId="23" xfId="0" applyFont="1" applyBorder="1" applyAlignment="1">
      <alignment horizontal="center"/>
    </xf>
    <xf numFmtId="9" fontId="17" fillId="0" borderId="28" xfId="0" applyNumberFormat="1" applyFont="1" applyBorder="1" applyAlignment="1">
      <alignment horizontal="center" vertical="center"/>
    </xf>
    <xf numFmtId="0" fontId="17" fillId="0" borderId="210" xfId="0" applyFont="1" applyBorder="1" applyAlignment="1">
      <alignment horizontal="center" vertical="center"/>
    </xf>
    <xf numFmtId="10" fontId="17" fillId="10" borderId="201" xfId="0" applyNumberFormat="1" applyFont="1" applyFill="1" applyBorder="1" applyAlignment="1">
      <alignment horizontal="center" vertical="center"/>
    </xf>
    <xf numFmtId="165" fontId="17" fillId="10" borderId="201" xfId="0" applyNumberFormat="1" applyFont="1" applyFill="1" applyBorder="1" applyAlignment="1">
      <alignment horizontal="center" vertical="center"/>
    </xf>
    <xf numFmtId="9" fontId="17" fillId="0" borderId="210" xfId="0" applyNumberFormat="1" applyFont="1" applyBorder="1" applyAlignment="1">
      <alignment horizontal="center" vertical="center"/>
    </xf>
    <xf numFmtId="0" fontId="17" fillId="0" borderId="201" xfId="0" applyFont="1" applyBorder="1" applyAlignment="1">
      <alignment horizontal="center" vertical="center" wrapText="1"/>
    </xf>
    <xf numFmtId="174" fontId="17" fillId="0" borderId="210" xfId="0" applyNumberFormat="1" applyFont="1" applyBorder="1" applyAlignment="1">
      <alignment horizontal="center" vertical="center"/>
    </xf>
    <xf numFmtId="9" fontId="17" fillId="0" borderId="211" xfId="0" applyNumberFormat="1" applyFont="1" applyBorder="1" applyAlignment="1">
      <alignment horizontal="center" vertical="center"/>
    </xf>
    <xf numFmtId="9" fontId="17" fillId="0" borderId="143" xfId="0" applyNumberFormat="1" applyFont="1" applyBorder="1" applyAlignment="1">
      <alignment horizontal="center" vertical="center"/>
    </xf>
    <xf numFmtId="3" fontId="17" fillId="10" borderId="201" xfId="0" applyNumberFormat="1" applyFont="1" applyFill="1" applyBorder="1" applyAlignment="1">
      <alignment horizontal="center" vertical="center"/>
    </xf>
    <xf numFmtId="3" fontId="17" fillId="10" borderId="209" xfId="0" applyNumberFormat="1" applyFont="1" applyFill="1" applyBorder="1" applyAlignment="1">
      <alignment horizontal="center" vertical="center"/>
    </xf>
    <xf numFmtId="3" fontId="17" fillId="10" borderId="41" xfId="0" applyNumberFormat="1" applyFont="1" applyFill="1" applyBorder="1" applyAlignment="1">
      <alignment horizontal="center" vertical="center"/>
    </xf>
    <xf numFmtId="3" fontId="17" fillId="10" borderId="49" xfId="0" applyNumberFormat="1" applyFont="1" applyFill="1" applyBorder="1" applyAlignment="1">
      <alignment horizontal="center" vertical="center"/>
    </xf>
    <xf numFmtId="165" fontId="17" fillId="10" borderId="209" xfId="0" applyNumberFormat="1" applyFont="1" applyFill="1" applyBorder="1" applyAlignment="1">
      <alignment horizontal="center" vertical="center"/>
    </xf>
    <xf numFmtId="165" fontId="17" fillId="10" borderId="41" xfId="0" applyNumberFormat="1" applyFont="1" applyFill="1" applyBorder="1" applyAlignment="1">
      <alignment horizontal="center" vertical="center"/>
    </xf>
    <xf numFmtId="165" fontId="17" fillId="10" borderId="49" xfId="0" applyNumberFormat="1" applyFont="1" applyFill="1" applyBorder="1" applyAlignment="1">
      <alignment horizontal="center" vertical="center"/>
    </xf>
    <xf numFmtId="1" fontId="17" fillId="10" borderId="201" xfId="0" applyNumberFormat="1" applyFont="1" applyFill="1" applyBorder="1" applyAlignment="1">
      <alignment horizontal="center" vertical="center"/>
    </xf>
    <xf numFmtId="0" fontId="17" fillId="0" borderId="200" xfId="0" applyFont="1" applyBorder="1" applyAlignment="1">
      <alignment horizontal="center" vertical="center"/>
    </xf>
    <xf numFmtId="0" fontId="17" fillId="0" borderId="11" xfId="0" applyFont="1" applyBorder="1" applyAlignment="1">
      <alignment horizontal="center" vertical="center"/>
    </xf>
    <xf numFmtId="0" fontId="17" fillId="0" borderId="201" xfId="0" applyFont="1" applyBorder="1" applyAlignment="1">
      <alignment horizontal="center" vertical="center"/>
    </xf>
    <xf numFmtId="3" fontId="17" fillId="0" borderId="201" xfId="0" applyNumberFormat="1" applyFont="1" applyBorder="1" applyAlignment="1">
      <alignment horizontal="center" vertical="center"/>
    </xf>
    <xf numFmtId="3" fontId="17" fillId="0" borderId="209" xfId="0" applyNumberFormat="1" applyFont="1" applyBorder="1" applyAlignment="1">
      <alignment horizontal="center" vertical="center"/>
    </xf>
    <xf numFmtId="0" fontId="17" fillId="0" borderId="41" xfId="0" applyFont="1" applyBorder="1" applyAlignment="1">
      <alignment horizontal="center" vertical="center"/>
    </xf>
    <xf numFmtId="0" fontId="17" fillId="0" borderId="49" xfId="0" applyFont="1" applyBorder="1" applyAlignment="1">
      <alignment horizontal="center" vertical="center"/>
    </xf>
    <xf numFmtId="0" fontId="17" fillId="0" borderId="209" xfId="0" applyFont="1" applyBorder="1" applyAlignment="1">
      <alignment horizontal="center" vertical="center"/>
    </xf>
    <xf numFmtId="0" fontId="17" fillId="50" borderId="201" xfId="0" applyFont="1" applyFill="1" applyBorder="1" applyAlignment="1">
      <alignment horizontal="center" vertical="center"/>
    </xf>
    <xf numFmtId="0" fontId="17" fillId="0" borderId="44" xfId="0" applyFont="1" applyBorder="1" applyAlignment="1">
      <alignment horizontal="center" vertical="center"/>
    </xf>
    <xf numFmtId="0" fontId="124" fillId="2" borderId="41" xfId="0" applyFont="1" applyFill="1" applyBorder="1" applyAlignment="1">
      <alignment horizontal="center" wrapText="1"/>
    </xf>
    <xf numFmtId="0" fontId="124" fillId="2" borderId="49" xfId="0" applyFont="1" applyFill="1" applyBorder="1" applyAlignment="1">
      <alignment horizontal="center" wrapText="1"/>
    </xf>
    <xf numFmtId="0" fontId="124" fillId="2" borderId="41" xfId="0" applyFont="1" applyFill="1" applyBorder="1" applyAlignment="1">
      <alignment horizontal="center"/>
    </xf>
    <xf numFmtId="0" fontId="124" fillId="2" borderId="49" xfId="0" applyFont="1" applyFill="1" applyBorder="1" applyAlignment="1">
      <alignment horizontal="center"/>
    </xf>
    <xf numFmtId="0" fontId="124" fillId="13" borderId="41" xfId="0" applyFont="1" applyFill="1" applyBorder="1" applyAlignment="1">
      <alignment horizontal="center" wrapText="1"/>
    </xf>
    <xf numFmtId="0" fontId="124" fillId="13" borderId="49" xfId="0" applyFont="1" applyFill="1" applyBorder="1" applyAlignment="1">
      <alignment horizontal="center" wrapText="1"/>
    </xf>
    <xf numFmtId="0" fontId="117" fillId="9" borderId="164" xfId="0" applyFont="1" applyFill="1" applyBorder="1" applyAlignment="1">
      <alignment horizontal="right" vertical="center" wrapText="1"/>
    </xf>
    <xf numFmtId="0" fontId="117" fillId="9" borderId="131" xfId="0" applyFont="1" applyFill="1" applyBorder="1" applyAlignment="1">
      <alignment horizontal="right" vertical="center" wrapText="1"/>
    </xf>
    <xf numFmtId="0" fontId="23" fillId="0" borderId="131" xfId="0" applyFont="1" applyBorder="1" applyAlignment="1" applyProtection="1">
      <alignment horizontal="left" vertical="center"/>
      <protection locked="0"/>
    </xf>
    <xf numFmtId="0" fontId="117" fillId="9" borderId="131" xfId="0" applyFont="1" applyFill="1" applyBorder="1" applyAlignment="1">
      <alignment horizontal="right" vertical="center"/>
    </xf>
    <xf numFmtId="0" fontId="23" fillId="0" borderId="40" xfId="0" applyFont="1" applyBorder="1" applyAlignment="1" applyProtection="1">
      <alignment horizontal="left" vertical="center"/>
      <protection locked="0"/>
    </xf>
    <xf numFmtId="0" fontId="23" fillId="0" borderId="129" xfId="0" applyFont="1" applyBorder="1" applyAlignment="1" applyProtection="1">
      <alignment horizontal="left" vertical="center"/>
      <protection locked="0"/>
    </xf>
    <xf numFmtId="0" fontId="23" fillId="0" borderId="128" xfId="0" applyFont="1" applyBorder="1" applyAlignment="1" applyProtection="1">
      <alignment horizontal="left" vertical="center"/>
      <protection locked="0"/>
    </xf>
    <xf numFmtId="0" fontId="23" fillId="0" borderId="130" xfId="0" applyFont="1" applyBorder="1" applyAlignment="1" applyProtection="1">
      <alignment horizontal="left" vertical="center"/>
      <protection locked="0"/>
    </xf>
    <xf numFmtId="0" fontId="15" fillId="17" borderId="182" xfId="0" applyFont="1" applyFill="1" applyBorder="1" applyAlignment="1">
      <alignment horizontal="center" vertical="center"/>
    </xf>
    <xf numFmtId="0" fontId="15" fillId="17" borderId="222" xfId="0" applyFont="1" applyFill="1" applyBorder="1" applyAlignment="1">
      <alignment horizontal="center" vertical="center"/>
    </xf>
    <xf numFmtId="0" fontId="17" fillId="10" borderId="201" xfId="0" applyFont="1" applyFill="1" applyBorder="1" applyAlignment="1">
      <alignment horizontal="center" vertical="center"/>
    </xf>
    <xf numFmtId="0" fontId="17" fillId="7" borderId="209" xfId="0" applyFont="1" applyFill="1" applyBorder="1" applyAlignment="1">
      <alignment horizontal="center" vertical="center"/>
    </xf>
    <xf numFmtId="0" fontId="17" fillId="7" borderId="49" xfId="0" applyFont="1" applyFill="1" applyBorder="1" applyAlignment="1">
      <alignment horizontal="center" vertical="center"/>
    </xf>
    <xf numFmtId="9" fontId="17" fillId="10" borderId="209" xfId="0" applyNumberFormat="1" applyFont="1" applyFill="1" applyBorder="1" applyAlignment="1">
      <alignment horizontal="center" vertical="center"/>
    </xf>
    <xf numFmtId="9" fontId="17" fillId="10" borderId="49" xfId="0" applyNumberFormat="1" applyFont="1" applyFill="1" applyBorder="1" applyAlignment="1">
      <alignment horizontal="center" vertical="center"/>
    </xf>
    <xf numFmtId="0" fontId="23" fillId="2" borderId="168" xfId="0" applyFont="1" applyFill="1" applyBorder="1" applyAlignment="1">
      <alignment horizontal="center" vertical="center"/>
    </xf>
    <xf numFmtId="0" fontId="23" fillId="2" borderId="169" xfId="0" applyFont="1" applyFill="1" applyBorder="1" applyAlignment="1">
      <alignment horizontal="center" vertical="center"/>
    </xf>
    <xf numFmtId="0" fontId="17" fillId="7" borderId="191" xfId="0" applyFont="1" applyFill="1" applyBorder="1" applyAlignment="1">
      <alignment horizontal="center" vertical="center"/>
    </xf>
    <xf numFmtId="0" fontId="17" fillId="7" borderId="131" xfId="0" applyFont="1" applyFill="1" applyBorder="1" applyAlignment="1">
      <alignment horizontal="center" vertical="center"/>
    </xf>
    <xf numFmtId="0" fontId="17" fillId="7" borderId="45" xfId="0" applyFont="1" applyFill="1" applyBorder="1" applyAlignment="1">
      <alignment horizontal="center" vertical="center"/>
    </xf>
    <xf numFmtId="0" fontId="17" fillId="7" borderId="2" xfId="0" applyFont="1" applyFill="1" applyBorder="1" applyAlignment="1">
      <alignment horizontal="center" vertical="center"/>
    </xf>
    <xf numFmtId="0" fontId="17" fillId="7" borderId="46" xfId="0" applyFont="1" applyFill="1" applyBorder="1" applyAlignment="1">
      <alignment horizontal="center" vertical="center"/>
    </xf>
    <xf numFmtId="0" fontId="17" fillId="7" borderId="209" xfId="0" applyFont="1" applyFill="1" applyBorder="1" applyAlignment="1">
      <alignment horizontal="center" vertical="center" wrapText="1"/>
    </xf>
    <xf numFmtId="0" fontId="17" fillId="7" borderId="49" xfId="0" applyFont="1" applyFill="1" applyBorder="1" applyAlignment="1">
      <alignment horizontal="center" vertical="center" wrapText="1"/>
    </xf>
    <xf numFmtId="0" fontId="23" fillId="10" borderId="209" xfId="0" applyFont="1" applyFill="1" applyBorder="1" applyAlignment="1">
      <alignment horizontal="center" vertical="center" wrapText="1"/>
    </xf>
    <xf numFmtId="0" fontId="23" fillId="10" borderId="49" xfId="0" applyFont="1" applyFill="1" applyBorder="1" applyAlignment="1">
      <alignment horizontal="center" vertical="center" wrapText="1"/>
    </xf>
    <xf numFmtId="3" fontId="17" fillId="7" borderId="201" xfId="0" applyNumberFormat="1" applyFont="1" applyFill="1" applyBorder="1" applyAlignment="1">
      <alignment horizontal="center" vertical="center"/>
    </xf>
    <xf numFmtId="0" fontId="17" fillId="7" borderId="201" xfId="0" applyFont="1" applyFill="1" applyBorder="1" applyAlignment="1">
      <alignment horizontal="center" vertical="center"/>
    </xf>
    <xf numFmtId="0" fontId="23" fillId="0" borderId="201" xfId="0" applyFont="1" applyBorder="1" applyAlignment="1">
      <alignment horizontal="left" vertical="center" wrapText="1"/>
    </xf>
    <xf numFmtId="0" fontId="23" fillId="0" borderId="29" xfId="0" applyFont="1" applyBorder="1" applyAlignment="1">
      <alignment horizontal="center" vertical="center"/>
    </xf>
    <xf numFmtId="0" fontId="23" fillId="0" borderId="0" xfId="0" applyFont="1" applyAlignment="1">
      <alignment horizontal="center" vertical="center"/>
    </xf>
    <xf numFmtId="0" fontId="117" fillId="9" borderId="148" xfId="0" applyFont="1" applyFill="1" applyBorder="1" applyAlignment="1">
      <alignment horizontal="right" vertical="center" wrapText="1"/>
    </xf>
    <xf numFmtId="0" fontId="117" fillId="9" borderId="149" xfId="0" applyFont="1" applyFill="1" applyBorder="1" applyAlignment="1">
      <alignment horizontal="right" vertical="center" wrapText="1"/>
    </xf>
    <xf numFmtId="0" fontId="23" fillId="0" borderId="150" xfId="0" applyFont="1" applyBorder="1" applyAlignment="1" applyProtection="1">
      <alignment horizontal="left" vertical="center"/>
      <protection locked="0"/>
    </xf>
    <xf numFmtId="0" fontId="23" fillId="0" borderId="151" xfId="0" applyFont="1" applyBorder="1" applyAlignment="1" applyProtection="1">
      <alignment horizontal="left" vertical="center"/>
      <protection locked="0"/>
    </xf>
    <xf numFmtId="0" fontId="15" fillId="17" borderId="183" xfId="0" applyFont="1" applyFill="1" applyBorder="1" applyAlignment="1">
      <alignment horizontal="center" vertical="center"/>
    </xf>
    <xf numFmtId="0" fontId="15" fillId="17" borderId="192" xfId="0" applyFont="1" applyFill="1" applyBorder="1" applyAlignment="1">
      <alignment horizontal="center" vertical="center"/>
    </xf>
    <xf numFmtId="0" fontId="117" fillId="10" borderId="150" xfId="0" applyFont="1" applyFill="1" applyBorder="1" applyAlignment="1">
      <alignment horizontal="left"/>
    </xf>
    <xf numFmtId="0" fontId="117" fillId="10" borderId="151" xfId="0" applyFont="1" applyFill="1" applyBorder="1" applyAlignment="1">
      <alignment horizontal="left"/>
    </xf>
    <xf numFmtId="0" fontId="117" fillId="60" borderId="155" xfId="0" applyFont="1" applyFill="1" applyBorder="1" applyAlignment="1">
      <alignment horizontal="left"/>
    </xf>
    <xf numFmtId="9" fontId="23" fillId="2" borderId="153" xfId="0" applyNumberFormat="1" applyFont="1" applyFill="1" applyBorder="1" applyAlignment="1">
      <alignment horizontal="center" vertical="center"/>
    </xf>
    <xf numFmtId="9" fontId="23" fillId="2" borderId="146" xfId="0" applyNumberFormat="1" applyFont="1" applyFill="1" applyBorder="1" applyAlignment="1">
      <alignment horizontal="center" vertical="center"/>
    </xf>
    <xf numFmtId="3" fontId="23" fillId="2" borderId="154" xfId="0" applyNumberFormat="1" applyFont="1" applyFill="1" applyBorder="1" applyAlignment="1">
      <alignment horizontal="center" vertical="center"/>
    </xf>
    <xf numFmtId="3" fontId="23" fillId="2" borderId="147" xfId="0" applyNumberFormat="1" applyFont="1" applyFill="1" applyBorder="1" applyAlignment="1">
      <alignment horizontal="center" vertical="center"/>
    </xf>
    <xf numFmtId="3" fontId="23" fillId="2" borderId="156" xfId="0" applyNumberFormat="1" applyFont="1" applyFill="1" applyBorder="1" applyAlignment="1">
      <alignment horizontal="center" vertical="center"/>
    </xf>
    <xf numFmtId="3" fontId="23" fillId="2" borderId="145" xfId="0" applyNumberFormat="1" applyFont="1" applyFill="1" applyBorder="1" applyAlignment="1">
      <alignment horizontal="center" vertical="center"/>
    </xf>
    <xf numFmtId="3" fontId="23" fillId="2" borderId="157" xfId="0" applyNumberFormat="1" applyFont="1" applyFill="1" applyBorder="1" applyAlignment="1">
      <alignment horizontal="center" vertical="center"/>
    </xf>
    <xf numFmtId="3" fontId="23" fillId="2" borderId="158" xfId="0" applyNumberFormat="1" applyFont="1" applyFill="1" applyBorder="1" applyAlignment="1">
      <alignment horizontal="center" vertical="center"/>
    </xf>
    <xf numFmtId="3" fontId="23" fillId="2" borderId="112" xfId="0" applyNumberFormat="1" applyFont="1" applyFill="1" applyBorder="1" applyAlignment="1">
      <alignment horizontal="center" vertical="center"/>
    </xf>
    <xf numFmtId="3" fontId="23" fillId="2" borderId="113" xfId="0" applyNumberFormat="1" applyFont="1" applyFill="1" applyBorder="1" applyAlignment="1">
      <alignment horizontal="center" vertical="center"/>
    </xf>
    <xf numFmtId="3" fontId="23" fillId="2" borderId="171" xfId="0" applyNumberFormat="1" applyFont="1" applyFill="1" applyBorder="1" applyAlignment="1">
      <alignment horizontal="center" vertical="center"/>
    </xf>
    <xf numFmtId="3" fontId="23" fillId="2" borderId="172" xfId="0" applyNumberFormat="1" applyFont="1" applyFill="1" applyBorder="1" applyAlignment="1">
      <alignment horizontal="center" vertical="center"/>
    </xf>
    <xf numFmtId="165" fontId="23" fillId="2" borderId="159" xfId="0" applyNumberFormat="1" applyFont="1" applyFill="1" applyBorder="1" applyAlignment="1">
      <alignment horizontal="center" vertical="center"/>
    </xf>
    <xf numFmtId="165" fontId="23" fillId="2" borderId="160" xfId="0" applyNumberFormat="1" applyFont="1" applyFill="1" applyBorder="1" applyAlignment="1">
      <alignment horizontal="center" vertical="center"/>
    </xf>
    <xf numFmtId="165" fontId="23" fillId="2" borderId="2" xfId="0" applyNumberFormat="1" applyFont="1" applyFill="1" applyBorder="1" applyAlignment="1">
      <alignment horizontal="center" vertical="center"/>
    </xf>
    <xf numFmtId="165" fontId="23" fillId="2" borderId="114" xfId="0" applyNumberFormat="1" applyFont="1" applyFill="1" applyBorder="1" applyAlignment="1">
      <alignment horizontal="center" vertical="center"/>
    </xf>
    <xf numFmtId="165" fontId="23" fillId="2" borderId="173" xfId="0" applyNumberFormat="1" applyFont="1" applyFill="1" applyBorder="1" applyAlignment="1">
      <alignment horizontal="center" vertical="center"/>
    </xf>
    <xf numFmtId="165" fontId="23" fillId="2" borderId="174" xfId="0" applyNumberFormat="1" applyFont="1" applyFill="1" applyBorder="1" applyAlignment="1">
      <alignment horizontal="center" vertical="center"/>
    </xf>
    <xf numFmtId="0" fontId="23" fillId="0" borderId="161" xfId="0" applyFont="1" applyBorder="1" applyAlignment="1" applyProtection="1">
      <alignment horizontal="center" vertical="center"/>
      <protection locked="0"/>
    </xf>
    <xf numFmtId="0" fontId="23" fillId="0" borderId="34" xfId="0" applyFont="1" applyBorder="1" applyAlignment="1" applyProtection="1">
      <alignment horizontal="center" vertical="center"/>
      <protection locked="0"/>
    </xf>
    <xf numFmtId="0" fontId="23" fillId="0" borderId="175" xfId="0" applyFont="1" applyBorder="1" applyAlignment="1" applyProtection="1">
      <alignment horizontal="center" vertical="center"/>
      <protection locked="0"/>
    </xf>
    <xf numFmtId="0" fontId="23" fillId="0" borderId="162" xfId="0" applyFont="1" applyBorder="1" applyAlignment="1">
      <alignment horizontal="center" vertical="center"/>
    </xf>
    <xf numFmtId="0" fontId="23" fillId="0" borderId="36" xfId="0" applyFont="1" applyBorder="1" applyAlignment="1">
      <alignment horizontal="center" vertical="center"/>
    </xf>
    <xf numFmtId="0" fontId="23" fillId="0" borderId="176" xfId="0" applyFont="1" applyBorder="1" applyAlignment="1">
      <alignment horizontal="center" vertical="center"/>
    </xf>
    <xf numFmtId="168" fontId="23" fillId="2" borderId="163" xfId="0" applyNumberFormat="1" applyFont="1" applyFill="1" applyBorder="1" applyAlignment="1">
      <alignment horizontal="center" vertical="center" wrapText="1"/>
    </xf>
    <xf numFmtId="168" fontId="23" fillId="2" borderId="165" xfId="0" applyNumberFormat="1" applyFont="1" applyFill="1" applyBorder="1" applyAlignment="1">
      <alignment horizontal="center" vertical="center" wrapText="1"/>
    </xf>
    <xf numFmtId="0" fontId="23" fillId="2" borderId="177" xfId="0" applyFont="1" applyFill="1" applyBorder="1" applyAlignment="1">
      <alignment horizontal="center" vertical="center" wrapText="1"/>
    </xf>
    <xf numFmtId="0" fontId="17" fillId="10" borderId="209" xfId="0" applyFont="1" applyFill="1" applyBorder="1" applyAlignment="1">
      <alignment horizontal="center" vertical="center" wrapText="1"/>
    </xf>
    <xf numFmtId="0" fontId="17" fillId="10" borderId="49" xfId="0" applyFont="1" applyFill="1" applyBorder="1" applyAlignment="1">
      <alignment horizontal="center" vertical="center" wrapText="1"/>
    </xf>
    <xf numFmtId="0" fontId="117" fillId="9" borderId="166" xfId="0" applyFont="1" applyFill="1" applyBorder="1" applyAlignment="1">
      <alignment horizontal="right" vertical="center" wrapText="1"/>
    </xf>
    <xf numFmtId="0" fontId="117" fillId="9" borderId="167" xfId="0" applyFont="1" applyFill="1" applyBorder="1" applyAlignment="1">
      <alignment horizontal="right" vertical="center" wrapText="1"/>
    </xf>
    <xf numFmtId="0" fontId="23" fillId="0" borderId="168" xfId="0" applyFont="1" applyBorder="1" applyAlignment="1" applyProtection="1">
      <alignment horizontal="left" vertical="center"/>
      <protection locked="0"/>
    </xf>
    <xf numFmtId="0" fontId="23" fillId="0" borderId="169" xfId="0" applyFont="1" applyBorder="1" applyAlignment="1" applyProtection="1">
      <alignment horizontal="left" vertical="center"/>
      <protection locked="0"/>
    </xf>
    <xf numFmtId="0" fontId="23" fillId="0" borderId="170" xfId="0" applyFont="1" applyBorder="1" applyAlignment="1" applyProtection="1">
      <alignment horizontal="left" vertical="center"/>
      <protection locked="0"/>
    </xf>
    <xf numFmtId="166" fontId="23" fillId="0" borderId="171" xfId="0" applyNumberFormat="1" applyFont="1" applyBorder="1" applyAlignment="1" applyProtection="1">
      <alignment horizontal="left" vertical="center"/>
      <protection locked="0"/>
    </xf>
    <xf numFmtId="166" fontId="23" fillId="0" borderId="85" xfId="0" applyNumberFormat="1" applyFont="1" applyBorder="1" applyAlignment="1" applyProtection="1">
      <alignment horizontal="left" vertical="center"/>
      <protection locked="0"/>
    </xf>
    <xf numFmtId="166" fontId="23" fillId="17" borderId="167" xfId="0" applyNumberFormat="1" applyFont="1" applyFill="1" applyBorder="1" applyAlignment="1" applyProtection="1">
      <alignment horizontal="left" vertical="center"/>
      <protection locked="0"/>
    </xf>
    <xf numFmtId="3" fontId="23" fillId="2" borderId="179" xfId="0" applyNumberFormat="1" applyFont="1" applyFill="1" applyBorder="1" applyAlignment="1">
      <alignment horizontal="center" vertical="center"/>
    </xf>
    <xf numFmtId="3" fontId="23" fillId="2" borderId="193" xfId="0" applyNumberFormat="1" applyFont="1" applyFill="1" applyBorder="1" applyAlignment="1">
      <alignment horizontal="center" vertical="center"/>
    </xf>
    <xf numFmtId="3" fontId="23" fillId="2" borderId="181" xfId="0" applyNumberFormat="1" applyFont="1" applyFill="1" applyBorder="1" applyAlignment="1">
      <alignment horizontal="center" vertical="center"/>
    </xf>
    <xf numFmtId="3" fontId="23" fillId="2" borderId="194" xfId="0" applyNumberFormat="1" applyFont="1" applyFill="1" applyBorder="1" applyAlignment="1">
      <alignment horizontal="center" vertical="center"/>
    </xf>
    <xf numFmtId="0" fontId="23" fillId="0" borderId="180" xfId="0" applyFont="1" applyBorder="1" applyAlignment="1" applyProtection="1">
      <alignment horizontal="left" vertical="center"/>
      <protection locked="0"/>
    </xf>
    <xf numFmtId="9" fontId="23" fillId="2" borderId="3" xfId="0" applyNumberFormat="1" applyFont="1" applyFill="1" applyBorder="1" applyAlignment="1">
      <alignment horizontal="center" vertical="center"/>
    </xf>
    <xf numFmtId="9" fontId="23" fillId="2" borderId="188" xfId="0" applyNumberFormat="1" applyFont="1" applyFill="1" applyBorder="1" applyAlignment="1">
      <alignment horizontal="center" vertical="center"/>
    </xf>
    <xf numFmtId="0" fontId="17" fillId="7" borderId="41" xfId="0" applyFont="1" applyFill="1" applyBorder="1" applyAlignment="1">
      <alignment horizontal="center" vertical="center"/>
    </xf>
    <xf numFmtId="2" fontId="23" fillId="0" borderId="132" xfId="0" applyNumberFormat="1" applyFont="1" applyBorder="1" applyAlignment="1">
      <alignment horizontal="center" vertical="center"/>
    </xf>
    <xf numFmtId="2" fontId="23" fillId="0" borderId="36" xfId="0" applyNumberFormat="1" applyFont="1" applyBorder="1" applyAlignment="1">
      <alignment horizontal="center" vertical="center"/>
    </xf>
    <xf numFmtId="2" fontId="23" fillId="0" borderId="38" xfId="0" applyNumberFormat="1" applyFont="1" applyBorder="1" applyAlignment="1">
      <alignment horizontal="center" vertical="center"/>
    </xf>
    <xf numFmtId="168" fontId="17" fillId="10" borderId="201" xfId="0" applyNumberFormat="1" applyFont="1" applyFill="1" applyBorder="1" applyAlignment="1">
      <alignment horizontal="center" vertical="center"/>
    </xf>
    <xf numFmtId="3" fontId="17" fillId="19" borderId="201" xfId="0" applyNumberFormat="1" applyFont="1" applyFill="1" applyBorder="1" applyAlignment="1">
      <alignment horizontal="center" vertical="center"/>
    </xf>
    <xf numFmtId="3" fontId="17" fillId="7" borderId="209" xfId="0" applyNumberFormat="1" applyFont="1" applyFill="1" applyBorder="1" applyAlignment="1">
      <alignment horizontal="center" vertical="center"/>
    </xf>
    <xf numFmtId="3" fontId="17" fillId="7" borderId="49" xfId="0" applyNumberFormat="1" applyFont="1" applyFill="1" applyBorder="1" applyAlignment="1">
      <alignment horizontal="center" vertical="center"/>
    </xf>
    <xf numFmtId="4" fontId="17" fillId="10" borderId="209" xfId="0" applyNumberFormat="1" applyFont="1" applyFill="1" applyBorder="1" applyAlignment="1">
      <alignment horizontal="center" vertical="center"/>
    </xf>
    <xf numFmtId="4" fontId="17" fillId="10" borderId="41" xfId="0" applyNumberFormat="1" applyFont="1" applyFill="1" applyBorder="1" applyAlignment="1">
      <alignment horizontal="center" vertical="center"/>
    </xf>
    <xf numFmtId="4" fontId="17" fillId="10" borderId="49" xfId="0" applyNumberFormat="1" applyFont="1" applyFill="1" applyBorder="1" applyAlignment="1">
      <alignment horizontal="center" vertical="center"/>
    </xf>
    <xf numFmtId="0" fontId="17" fillId="7" borderId="40" xfId="0" applyFont="1" applyFill="1" applyBorder="1" applyAlignment="1">
      <alignment horizontal="center" vertical="center"/>
    </xf>
    <xf numFmtId="0" fontId="17" fillId="19" borderId="201" xfId="0" applyFont="1" applyFill="1" applyBorder="1" applyAlignment="1">
      <alignment horizontal="center" vertical="center"/>
    </xf>
    <xf numFmtId="0" fontId="113" fillId="0" borderId="0" xfId="0" applyFont="1" applyAlignment="1">
      <alignment horizontal="center" vertical="center" wrapText="1"/>
    </xf>
    <xf numFmtId="0" fontId="113" fillId="0" borderId="198" xfId="0" applyFont="1" applyBorder="1" applyAlignment="1">
      <alignment horizontal="center" vertical="center" wrapText="1"/>
    </xf>
    <xf numFmtId="0" fontId="17" fillId="0" borderId="41" xfId="0" applyFont="1" applyBorder="1" applyAlignment="1">
      <alignment horizontal="center" vertical="center" textRotation="90" wrapText="1"/>
    </xf>
    <xf numFmtId="0" fontId="14" fillId="9" borderId="0" xfId="0" applyFont="1" applyFill="1" applyAlignment="1">
      <alignment horizontal="center"/>
    </xf>
    <xf numFmtId="0" fontId="14" fillId="9" borderId="23" xfId="0" applyFont="1" applyFill="1" applyBorder="1" applyAlignment="1">
      <alignment horizontal="center"/>
    </xf>
    <xf numFmtId="0" fontId="0" fillId="59" borderId="201" xfId="0" applyFill="1" applyBorder="1" applyAlignment="1">
      <alignment horizontal="left"/>
    </xf>
    <xf numFmtId="0" fontId="23" fillId="0" borderId="223" xfId="0" applyFont="1" applyBorder="1" applyAlignment="1" applyProtection="1">
      <alignment horizontal="left" vertical="center"/>
      <protection locked="0"/>
    </xf>
    <xf numFmtId="0" fontId="23" fillId="0" borderId="37" xfId="0" applyFont="1" applyBorder="1" applyAlignment="1" applyProtection="1">
      <alignment horizontal="left" vertical="center"/>
      <protection locked="0"/>
    </xf>
    <xf numFmtId="0" fontId="23" fillId="0" borderId="224" xfId="0" applyFont="1" applyBorder="1" applyAlignment="1" applyProtection="1">
      <alignment horizontal="left" vertical="center"/>
      <protection locked="0"/>
    </xf>
    <xf numFmtId="0" fontId="23" fillId="0" borderId="226" xfId="0" applyFont="1" applyBorder="1" applyAlignment="1" applyProtection="1">
      <alignment horizontal="left" vertical="center"/>
      <protection locked="0"/>
    </xf>
    <xf numFmtId="0" fontId="23" fillId="0" borderId="227" xfId="0" applyFont="1" applyBorder="1" applyAlignment="1" applyProtection="1">
      <alignment horizontal="left" vertical="center"/>
      <protection locked="0"/>
    </xf>
    <xf numFmtId="0" fontId="23" fillId="0" borderId="20" xfId="0" applyFont="1" applyBorder="1" applyAlignment="1" applyProtection="1">
      <alignment horizontal="left" vertical="center"/>
      <protection locked="0"/>
    </xf>
    <xf numFmtId="0" fontId="23" fillId="0" borderId="225" xfId="0" applyFont="1" applyBorder="1" applyAlignment="1" applyProtection="1">
      <alignment horizontal="left" vertical="center"/>
      <protection locked="0"/>
    </xf>
    <xf numFmtId="0" fontId="14" fillId="0" borderId="0" xfId="0" applyFont="1" applyAlignment="1">
      <alignment horizontal="center" wrapText="1"/>
    </xf>
    <xf numFmtId="0" fontId="14" fillId="0" borderId="23" xfId="0" applyFont="1" applyBorder="1" applyAlignment="1">
      <alignment horizontal="center" wrapText="1"/>
    </xf>
    <xf numFmtId="0" fontId="0" fillId="23" borderId="201" xfId="0" applyFill="1" applyBorder="1" applyAlignment="1">
      <alignment horizontal="left"/>
    </xf>
    <xf numFmtId="169" fontId="0" fillId="23" borderId="201" xfId="0" applyNumberFormat="1" applyFill="1" applyBorder="1" applyAlignment="1">
      <alignment horizontal="left"/>
    </xf>
    <xf numFmtId="0" fontId="23" fillId="58" borderId="41" xfId="0" applyFont="1" applyFill="1" applyBorder="1" applyAlignment="1">
      <alignment horizontal="center" vertical="center" wrapText="1"/>
    </xf>
    <xf numFmtId="0" fontId="23" fillId="58" borderId="49" xfId="0" applyFont="1" applyFill="1" applyBorder="1" applyAlignment="1">
      <alignment horizontal="center" vertical="center" wrapText="1"/>
    </xf>
    <xf numFmtId="3" fontId="0" fillId="59" borderId="202" xfId="0" applyNumberFormat="1" applyFill="1" applyBorder="1" applyAlignment="1">
      <alignment horizontal="center"/>
    </xf>
    <xf numFmtId="3" fontId="0" fillId="59" borderId="203" xfId="0" applyNumberFormat="1" applyFill="1" applyBorder="1" applyAlignment="1">
      <alignment horizontal="center"/>
    </xf>
    <xf numFmtId="3" fontId="76" fillId="59" borderId="202" xfId="0" applyNumberFormat="1" applyFont="1" applyFill="1" applyBorder="1" applyAlignment="1">
      <alignment horizontal="center"/>
    </xf>
    <xf numFmtId="3" fontId="76" fillId="59" borderId="203" xfId="0" applyNumberFormat="1" applyFont="1" applyFill="1" applyBorder="1" applyAlignment="1">
      <alignment horizontal="center"/>
    </xf>
    <xf numFmtId="4" fontId="0" fillId="59" borderId="202" xfId="0" applyNumberFormat="1" applyFill="1" applyBorder="1" applyAlignment="1">
      <alignment horizontal="center"/>
    </xf>
    <xf numFmtId="4" fontId="0" fillId="59" borderId="203" xfId="0" applyNumberFormat="1" applyFill="1" applyBorder="1" applyAlignment="1">
      <alignment horizontal="center"/>
    </xf>
    <xf numFmtId="4" fontId="76" fillId="59" borderId="202" xfId="0" applyNumberFormat="1" applyFont="1" applyFill="1" applyBorder="1" applyAlignment="1">
      <alignment horizontal="center"/>
    </xf>
    <xf numFmtId="4" fontId="76" fillId="59" borderId="203" xfId="0" applyNumberFormat="1" applyFont="1" applyFill="1" applyBorder="1" applyAlignment="1">
      <alignment horizontal="center"/>
    </xf>
    <xf numFmtId="0" fontId="0" fillId="23" borderId="202" xfId="0" applyFill="1" applyBorder="1" applyAlignment="1">
      <alignment horizontal="left"/>
    </xf>
    <xf numFmtId="0" fontId="0" fillId="23" borderId="208" xfId="0" applyFill="1" applyBorder="1" applyAlignment="1">
      <alignment horizontal="left"/>
    </xf>
    <xf numFmtId="0" fontId="0" fillId="23" borderId="203" xfId="0" applyFill="1" applyBorder="1" applyAlignment="1">
      <alignment horizontal="left"/>
    </xf>
    <xf numFmtId="165" fontId="11" fillId="0" borderId="0" xfId="0" applyNumberFormat="1" applyFont="1" applyAlignment="1">
      <alignment horizontal="center"/>
    </xf>
    <xf numFmtId="3" fontId="66" fillId="7" borderId="201" xfId="0" applyNumberFormat="1" applyFont="1" applyFill="1" applyBorder="1" applyAlignment="1">
      <alignment horizontal="center" vertical="center"/>
    </xf>
    <xf numFmtId="165" fontId="0" fillId="7" borderId="202" xfId="0" applyNumberFormat="1" applyFill="1" applyBorder="1" applyAlignment="1">
      <alignment horizontal="center"/>
    </xf>
    <xf numFmtId="165" fontId="0" fillId="7" borderId="203" xfId="0" applyNumberFormat="1" applyFill="1" applyBorder="1" applyAlignment="1">
      <alignment horizontal="center"/>
    </xf>
    <xf numFmtId="165" fontId="0" fillId="4" borderId="201" xfId="0" applyNumberFormat="1" applyFill="1" applyBorder="1" applyAlignment="1" applyProtection="1">
      <alignment horizontal="center"/>
      <protection locked="0"/>
    </xf>
    <xf numFmtId="169" fontId="0" fillId="23" borderId="202" xfId="0" applyNumberFormat="1" applyFill="1" applyBorder="1" applyAlignment="1">
      <alignment horizontal="left"/>
    </xf>
    <xf numFmtId="169" fontId="0" fillId="23" borderId="208" xfId="0" applyNumberFormat="1" applyFill="1" applyBorder="1" applyAlignment="1">
      <alignment horizontal="left"/>
    </xf>
    <xf numFmtId="169" fontId="0" fillId="23" borderId="203" xfId="0" applyNumberFormat="1" applyFill="1" applyBorder="1" applyAlignment="1">
      <alignment horizontal="left"/>
    </xf>
    <xf numFmtId="0" fontId="14" fillId="9" borderId="0" xfId="0" applyFont="1" applyFill="1" applyAlignment="1">
      <alignment horizontal="right"/>
    </xf>
    <xf numFmtId="0" fontId="14" fillId="12" borderId="23" xfId="0" applyFont="1" applyFill="1" applyBorder="1" applyAlignment="1">
      <alignment horizontal="center"/>
    </xf>
    <xf numFmtId="0" fontId="23" fillId="58" borderId="209" xfId="0" applyFont="1" applyFill="1" applyBorder="1" applyAlignment="1">
      <alignment horizontal="center" vertical="center" wrapText="1"/>
    </xf>
    <xf numFmtId="0" fontId="75" fillId="0" borderId="0" xfId="0" applyFont="1" applyAlignment="1">
      <alignment horizontal="center"/>
    </xf>
    <xf numFmtId="0" fontId="125" fillId="2" borderId="2" xfId="0" applyFont="1" applyFill="1" applyBorder="1" applyAlignment="1">
      <alignment horizontal="center" wrapText="1"/>
    </xf>
    <xf numFmtId="2" fontId="34" fillId="0" borderId="209" xfId="0" applyNumberFormat="1" applyFont="1" applyBorder="1" applyAlignment="1">
      <alignment horizontal="center" vertical="center" textRotation="90" wrapText="1"/>
    </xf>
    <xf numFmtId="2" fontId="34" fillId="0" borderId="41" xfId="0" applyNumberFormat="1" applyFont="1" applyBorder="1" applyAlignment="1">
      <alignment horizontal="center" vertical="center" textRotation="90" wrapText="1"/>
    </xf>
    <xf numFmtId="2" fontId="34" fillId="0" borderId="49" xfId="0" applyNumberFormat="1" applyFont="1" applyBorder="1" applyAlignment="1">
      <alignment horizontal="center" vertical="center" textRotation="90" wrapText="1"/>
    </xf>
    <xf numFmtId="0" fontId="17" fillId="0" borderId="0" xfId="0" applyFont="1" applyAlignment="1" applyProtection="1">
      <alignment horizontal="center"/>
      <protection locked="0"/>
    </xf>
    <xf numFmtId="0" fontId="17" fillId="0" borderId="0" xfId="0" applyFont="1" applyAlignment="1">
      <alignment horizontal="center"/>
    </xf>
    <xf numFmtId="0" fontId="17" fillId="12" borderId="112" xfId="0" applyFont="1" applyFill="1" applyBorder="1" applyAlignment="1">
      <alignment horizontal="center"/>
    </xf>
    <xf numFmtId="0" fontId="17" fillId="12" borderId="113" xfId="0" applyFont="1" applyFill="1" applyBorder="1" applyAlignment="1">
      <alignment horizontal="center"/>
    </xf>
    <xf numFmtId="0" fontId="14" fillId="12" borderId="139" xfId="0" applyFont="1" applyFill="1" applyBorder="1" applyAlignment="1">
      <alignment horizontal="center"/>
    </xf>
    <xf numFmtId="0" fontId="14" fillId="12" borderId="140" xfId="0" applyFont="1" applyFill="1" applyBorder="1" applyAlignment="1">
      <alignment horizontal="center"/>
    </xf>
    <xf numFmtId="165" fontId="0" fillId="12" borderId="202" xfId="0" applyNumberFormat="1" applyFill="1" applyBorder="1" applyAlignment="1">
      <alignment horizontal="center"/>
    </xf>
    <xf numFmtId="165" fontId="0" fillId="12" borderId="203" xfId="0" applyNumberFormat="1" applyFill="1" applyBorder="1" applyAlignment="1">
      <alignment horizontal="center"/>
    </xf>
    <xf numFmtId="10" fontId="0" fillId="4" borderId="201" xfId="0" applyNumberFormat="1" applyFill="1" applyBorder="1" applyAlignment="1" applyProtection="1">
      <alignment horizontal="center"/>
      <protection locked="0"/>
    </xf>
    <xf numFmtId="165" fontId="76" fillId="12" borderId="202" xfId="0" applyNumberFormat="1" applyFont="1" applyFill="1" applyBorder="1" applyAlignment="1">
      <alignment horizontal="center"/>
    </xf>
    <xf numFmtId="165" fontId="76" fillId="12" borderId="203" xfId="0" applyNumberFormat="1" applyFont="1" applyFill="1" applyBorder="1" applyAlignment="1">
      <alignment horizontal="center"/>
    </xf>
    <xf numFmtId="165" fontId="0" fillId="12" borderId="201" xfId="0" applyNumberFormat="1" applyFill="1" applyBorder="1" applyAlignment="1">
      <alignment horizontal="center"/>
    </xf>
    <xf numFmtId="165" fontId="76" fillId="13" borderId="199" xfId="0" applyNumberFormat="1" applyFont="1" applyFill="1" applyBorder="1" applyAlignment="1">
      <alignment horizontal="center" vertical="center"/>
    </xf>
    <xf numFmtId="0" fontId="76" fillId="13" borderId="200" xfId="0" applyFont="1" applyFill="1" applyBorder="1" applyAlignment="1">
      <alignment horizontal="center" vertical="center"/>
    </xf>
    <xf numFmtId="165" fontId="76" fillId="13" borderId="29" xfId="0" applyNumberFormat="1" applyFont="1" applyFill="1" applyBorder="1" applyAlignment="1">
      <alignment horizontal="center" vertical="center"/>
    </xf>
    <xf numFmtId="0" fontId="76" fillId="13" borderId="44" xfId="0" applyFont="1" applyFill="1" applyBorder="1" applyAlignment="1">
      <alignment horizontal="center" vertical="center"/>
    </xf>
    <xf numFmtId="0" fontId="76" fillId="13" borderId="10" xfId="0" applyFont="1" applyFill="1" applyBorder="1" applyAlignment="1">
      <alignment horizontal="center" vertical="center"/>
    </xf>
    <xf numFmtId="0" fontId="76" fillId="13" borderId="11" xfId="0" applyFont="1" applyFill="1" applyBorder="1" applyAlignment="1">
      <alignment horizontal="center" vertical="center"/>
    </xf>
    <xf numFmtId="0" fontId="11" fillId="0" borderId="0" xfId="0" applyFont="1" applyAlignment="1">
      <alignment horizontal="center" vertical="center" wrapText="1"/>
    </xf>
    <xf numFmtId="0" fontId="4" fillId="0" borderId="29" xfId="0" applyFont="1" applyBorder="1" applyAlignment="1">
      <alignment horizontal="left" vertical="center" wrapText="1" indent="1"/>
    </xf>
    <xf numFmtId="0" fontId="4" fillId="0" borderId="0" xfId="0" applyFont="1" applyAlignment="1">
      <alignment horizontal="left" vertical="center" wrapText="1" indent="1"/>
    </xf>
    <xf numFmtId="0" fontId="125" fillId="2" borderId="2" xfId="0" applyFont="1" applyFill="1" applyBorder="1" applyAlignment="1">
      <alignment horizontal="left"/>
    </xf>
    <xf numFmtId="0" fontId="34" fillId="0" borderId="41" xfId="0" applyFont="1" applyBorder="1" applyAlignment="1">
      <alignment horizontal="center" textRotation="90" wrapText="1"/>
    </xf>
    <xf numFmtId="0" fontId="34" fillId="0" borderId="49" xfId="0" applyFont="1" applyBorder="1" applyAlignment="1">
      <alignment horizontal="center" textRotation="90" wrapText="1"/>
    </xf>
    <xf numFmtId="0" fontId="125" fillId="2" borderId="2" xfId="0" applyFont="1" applyFill="1" applyBorder="1" applyAlignment="1">
      <alignment horizontal="center"/>
    </xf>
    <xf numFmtId="165" fontId="17" fillId="0" borderId="201" xfId="0" applyNumberFormat="1" applyFont="1" applyBorder="1" applyAlignment="1">
      <alignment horizontal="center" vertical="center"/>
    </xf>
    <xf numFmtId="0" fontId="113" fillId="0" borderId="195" xfId="0" applyFont="1" applyBorder="1" applyAlignment="1">
      <alignment horizontal="center" vertical="center" wrapText="1"/>
    </xf>
    <xf numFmtId="0" fontId="113" fillId="0" borderId="196" xfId="0" applyFont="1" applyBorder="1" applyAlignment="1">
      <alignment horizontal="center" vertical="center" wrapText="1"/>
    </xf>
    <xf numFmtId="0" fontId="113" fillId="0" borderId="197" xfId="0" applyFont="1" applyBorder="1" applyAlignment="1">
      <alignment horizontal="center" vertical="center" wrapText="1"/>
    </xf>
    <xf numFmtId="3" fontId="17" fillId="0" borderId="185" xfId="0" applyNumberFormat="1" applyFont="1" applyBorder="1" applyAlignment="1">
      <alignment horizontal="center" vertical="center"/>
    </xf>
    <xf numFmtId="3" fontId="17" fillId="0" borderId="186" xfId="0" applyNumberFormat="1" applyFont="1" applyBorder="1" applyAlignment="1">
      <alignment horizontal="center" vertical="center"/>
    </xf>
    <xf numFmtId="165" fontId="17" fillId="0" borderId="185" xfId="0" applyNumberFormat="1" applyFont="1" applyBorder="1" applyAlignment="1">
      <alignment horizontal="center" vertical="center"/>
    </xf>
    <xf numFmtId="165" fontId="17" fillId="0" borderId="184" xfId="0" applyNumberFormat="1" applyFont="1" applyBorder="1" applyAlignment="1">
      <alignment horizontal="center" vertical="center"/>
    </xf>
    <xf numFmtId="165" fontId="17" fillId="0" borderId="186" xfId="0" applyNumberFormat="1" applyFont="1" applyBorder="1" applyAlignment="1">
      <alignment horizontal="center" vertical="center"/>
    </xf>
    <xf numFmtId="0" fontId="17" fillId="0" borderId="0" xfId="0" applyFont="1" applyAlignment="1">
      <alignment horizontal="left" vertical="top" wrapText="1"/>
    </xf>
    <xf numFmtId="0" fontId="113" fillId="0" borderId="20" xfId="0" applyFont="1" applyBorder="1" applyAlignment="1">
      <alignment horizontal="center" vertical="center" wrapText="1"/>
    </xf>
    <xf numFmtId="0" fontId="51" fillId="0" borderId="0" xfId="0" applyFont="1" applyAlignment="1">
      <alignment horizontal="center" vertical="top"/>
    </xf>
    <xf numFmtId="165" fontId="0" fillId="0" borderId="23" xfId="0" applyNumberFormat="1" applyBorder="1" applyAlignment="1">
      <alignment horizontal="center" vertical="top" shrinkToFit="1"/>
    </xf>
    <xf numFmtId="165" fontId="0" fillId="0" borderId="11" xfId="0" applyNumberFormat="1" applyBorder="1" applyAlignment="1">
      <alignment horizontal="center" vertical="top" shrinkToFit="1"/>
    </xf>
    <xf numFmtId="170" fontId="0" fillId="0" borderId="201" xfId="0" applyNumberFormat="1" applyBorder="1" applyAlignment="1">
      <alignment horizontal="left"/>
    </xf>
    <xf numFmtId="0" fontId="0" fillId="0" borderId="201" xfId="0" applyBorder="1" applyAlignment="1">
      <alignment horizontal="left"/>
    </xf>
    <xf numFmtId="0" fontId="0" fillId="0" borderId="202" xfId="0" applyBorder="1" applyAlignment="1">
      <alignment horizontal="left"/>
    </xf>
    <xf numFmtId="0" fontId="0" fillId="0" borderId="208" xfId="0" applyBorder="1" applyAlignment="1">
      <alignment horizontal="left"/>
    </xf>
    <xf numFmtId="0" fontId="0" fillId="0" borderId="203" xfId="0" applyBorder="1" applyAlignment="1">
      <alignment horizontal="left"/>
    </xf>
    <xf numFmtId="3" fontId="0" fillId="0" borderId="23" xfId="0" applyNumberFormat="1" applyBorder="1" applyAlignment="1">
      <alignment horizontal="center" vertical="top"/>
    </xf>
    <xf numFmtId="3" fontId="0" fillId="0" borderId="11" xfId="0" applyNumberFormat="1" applyBorder="1" applyAlignment="1">
      <alignment horizontal="center" vertical="top"/>
    </xf>
    <xf numFmtId="0" fontId="0" fillId="0" borderId="0" xfId="0" applyAlignment="1">
      <alignment horizontal="right" indent="1"/>
    </xf>
    <xf numFmtId="169" fontId="0" fillId="0" borderId="202" xfId="0" applyNumberFormat="1" applyBorder="1" applyAlignment="1">
      <alignment horizontal="left"/>
    </xf>
    <xf numFmtId="169" fontId="0" fillId="0" borderId="208" xfId="0" applyNumberFormat="1" applyBorder="1" applyAlignment="1">
      <alignment horizontal="left"/>
    </xf>
    <xf numFmtId="169" fontId="0" fillId="0" borderId="203" xfId="0" applyNumberFormat="1" applyBorder="1" applyAlignment="1">
      <alignment horizontal="left"/>
    </xf>
    <xf numFmtId="165" fontId="21" fillId="16" borderId="0" xfId="0" applyNumberFormat="1" applyFont="1" applyFill="1" applyAlignment="1">
      <alignment horizontal="center" vertical="center" shrinkToFit="1"/>
    </xf>
    <xf numFmtId="165" fontId="21" fillId="16" borderId="44" xfId="0" applyNumberFormat="1" applyFont="1" applyFill="1" applyBorder="1" applyAlignment="1">
      <alignment horizontal="center" vertical="center" shrinkToFit="1"/>
    </xf>
    <xf numFmtId="165" fontId="21" fillId="16" borderId="23" xfId="0" applyNumberFormat="1" applyFont="1" applyFill="1" applyBorder="1" applyAlignment="1">
      <alignment horizontal="center" vertical="center" shrinkToFit="1"/>
    </xf>
    <xf numFmtId="165" fontId="21" fillId="16" borderId="11" xfId="0" applyNumberFormat="1" applyFont="1" applyFill="1" applyBorder="1" applyAlignment="1">
      <alignment horizontal="center" vertical="center" shrinkToFit="1"/>
    </xf>
    <xf numFmtId="0" fontId="34" fillId="0" borderId="0" xfId="0" applyFont="1" applyAlignment="1">
      <alignment horizontal="right" vertical="center" wrapText="1" indent="1"/>
    </xf>
    <xf numFmtId="165" fontId="16" fillId="0" borderId="23" xfId="0" applyNumberFormat="1" applyFont="1" applyBorder="1" applyAlignment="1">
      <alignment horizontal="center" vertical="center"/>
    </xf>
    <xf numFmtId="165" fontId="16" fillId="0" borderId="11" xfId="0" applyNumberFormat="1" applyFont="1" applyBorder="1" applyAlignment="1">
      <alignment horizontal="center" vertical="center"/>
    </xf>
    <xf numFmtId="10" fontId="0" fillId="0" borderId="23" xfId="0" applyNumberFormat="1" applyBorder="1" applyAlignment="1">
      <alignment horizontal="center" vertical="top"/>
    </xf>
    <xf numFmtId="10" fontId="0" fillId="0" borderId="11" xfId="0" applyNumberFormat="1" applyBorder="1" applyAlignment="1">
      <alignment horizontal="center" vertical="top"/>
    </xf>
    <xf numFmtId="0" fontId="5" fillId="0" borderId="0" xfId="0" applyFont="1" applyAlignment="1" applyProtection="1">
      <alignment horizontal="center"/>
      <protection locked="0"/>
    </xf>
    <xf numFmtId="0" fontId="2" fillId="15" borderId="0" xfId="0" applyFont="1" applyFill="1" applyAlignment="1">
      <alignment horizontal="left" vertical="center"/>
    </xf>
    <xf numFmtId="174" fontId="0" fillId="0" borderId="23" xfId="0" applyNumberFormat="1" applyBorder="1" applyAlignment="1">
      <alignment horizontal="center" vertical="top"/>
    </xf>
    <xf numFmtId="174" fontId="0" fillId="0" borderId="11" xfId="0" applyNumberFormat="1" applyBorder="1" applyAlignment="1">
      <alignment horizontal="center" vertical="top"/>
    </xf>
    <xf numFmtId="173" fontId="16" fillId="0" borderId="23" xfId="0" applyNumberFormat="1" applyFont="1" applyBorder="1" applyAlignment="1">
      <alignment horizontal="center" vertical="center"/>
    </xf>
    <xf numFmtId="173" fontId="16" fillId="0" borderId="11" xfId="0" applyNumberFormat="1" applyFont="1" applyBorder="1" applyAlignment="1">
      <alignment horizontal="center" vertical="center"/>
    </xf>
    <xf numFmtId="14" fontId="44" fillId="4" borderId="23" xfId="0" applyNumberFormat="1" applyFont="1" applyFill="1" applyBorder="1" applyAlignment="1" applyProtection="1">
      <alignment horizontal="left" vertical="top" shrinkToFit="1"/>
      <protection locked="0"/>
    </xf>
    <xf numFmtId="0" fontId="44" fillId="4" borderId="23" xfId="0" applyFont="1" applyFill="1" applyBorder="1" applyAlignment="1" applyProtection="1">
      <alignment horizontal="left" vertical="top" shrinkToFit="1"/>
      <protection locked="0"/>
    </xf>
    <xf numFmtId="0" fontId="44" fillId="4" borderId="11" xfId="0" applyFont="1" applyFill="1" applyBorder="1" applyAlignment="1" applyProtection="1">
      <alignment horizontal="left" vertical="top" shrinkToFit="1"/>
      <protection locked="0"/>
    </xf>
    <xf numFmtId="173" fontId="16" fillId="0" borderId="23" xfId="0" applyNumberFormat="1" applyFont="1" applyBorder="1" applyAlignment="1">
      <alignment horizontal="center" vertical="center" wrapText="1"/>
    </xf>
    <xf numFmtId="173" fontId="16" fillId="0" borderId="11" xfId="0" applyNumberFormat="1" applyFont="1" applyBorder="1" applyAlignment="1">
      <alignment horizontal="center" vertical="center" wrapText="1"/>
    </xf>
    <xf numFmtId="165" fontId="0" fillId="17" borderId="23" xfId="0" applyNumberFormat="1" applyFill="1" applyBorder="1" applyAlignment="1">
      <alignment horizontal="center" vertical="top" shrinkToFit="1"/>
    </xf>
    <xf numFmtId="165" fontId="0" fillId="17" borderId="11" xfId="0" applyNumberFormat="1" applyFill="1" applyBorder="1" applyAlignment="1">
      <alignment horizontal="center" vertical="top" shrinkToFit="1"/>
    </xf>
    <xf numFmtId="2" fontId="0" fillId="0" borderId="23" xfId="0" applyNumberFormat="1" applyBorder="1" applyAlignment="1">
      <alignment horizontal="center" vertical="top"/>
    </xf>
    <xf numFmtId="2" fontId="0" fillId="0" borderId="11" xfId="0" applyNumberFormat="1" applyBorder="1" applyAlignment="1">
      <alignment horizontal="center" vertical="top"/>
    </xf>
    <xf numFmtId="0" fontId="4" fillId="0" borderId="0" xfId="0" applyFont="1" applyAlignment="1">
      <alignment horizontal="center"/>
    </xf>
    <xf numFmtId="0" fontId="3" fillId="0" borderId="0" xfId="0" applyFont="1" applyAlignment="1">
      <alignment horizontal="center" vertical="top" wrapText="1"/>
    </xf>
    <xf numFmtId="0" fontId="44" fillId="19" borderId="23" xfId="0" applyFont="1" applyFill="1" applyBorder="1" applyAlignment="1" applyProtection="1">
      <alignment horizontal="left" vertical="top" indent="1" shrinkToFit="1"/>
      <protection locked="0"/>
    </xf>
    <xf numFmtId="0" fontId="44" fillId="19" borderId="11" xfId="0" applyFont="1" applyFill="1" applyBorder="1" applyAlignment="1" applyProtection="1">
      <alignment horizontal="left" vertical="top" indent="1" shrinkToFit="1"/>
      <protection locked="0"/>
    </xf>
    <xf numFmtId="171" fontId="44" fillId="4" borderId="23" xfId="0" applyNumberFormat="1" applyFont="1" applyFill="1" applyBorder="1" applyAlignment="1" applyProtection="1">
      <alignment horizontal="left" vertical="top" indent="1" shrinkToFit="1"/>
      <protection locked="0"/>
    </xf>
    <xf numFmtId="171" fontId="44" fillId="4" borderId="11" xfId="0" applyNumberFormat="1" applyFont="1" applyFill="1" applyBorder="1" applyAlignment="1" applyProtection="1">
      <alignment horizontal="left" vertical="top" indent="1" shrinkToFit="1"/>
      <protection locked="0"/>
    </xf>
    <xf numFmtId="0" fontId="44" fillId="4" borderId="23" xfId="0" applyFont="1" applyFill="1" applyBorder="1" applyAlignment="1" applyProtection="1">
      <alignment horizontal="left" vertical="top" indent="1" shrinkToFit="1"/>
      <protection locked="0"/>
    </xf>
    <xf numFmtId="0" fontId="44" fillId="4" borderId="11" xfId="0" applyFont="1" applyFill="1" applyBorder="1" applyAlignment="1" applyProtection="1">
      <alignment horizontal="left" vertical="top" indent="1" shrinkToFit="1"/>
      <protection locked="0"/>
    </xf>
    <xf numFmtId="165" fontId="4" fillId="0" borderId="0" xfId="0" applyNumberFormat="1" applyFont="1" applyAlignment="1">
      <alignment horizontal="center"/>
    </xf>
    <xf numFmtId="0" fontId="21" fillId="0" borderId="0" xfId="0" applyFont="1" applyAlignment="1">
      <alignment horizontal="center"/>
    </xf>
    <xf numFmtId="166" fontId="0" fillId="0" borderId="23" xfId="0" applyNumberFormat="1" applyBorder="1" applyAlignment="1">
      <alignment horizontal="center" vertical="top"/>
    </xf>
    <xf numFmtId="166" fontId="0" fillId="0" borderId="11" xfId="0" applyNumberFormat="1" applyBorder="1" applyAlignment="1">
      <alignment horizontal="center" vertical="top"/>
    </xf>
    <xf numFmtId="0" fontId="79" fillId="0" borderId="0" xfId="0" applyFont="1" applyAlignment="1">
      <alignment horizontal="center" wrapText="1"/>
    </xf>
    <xf numFmtId="165" fontId="21" fillId="0" borderId="0" xfId="0" applyNumberFormat="1" applyFont="1" applyAlignment="1">
      <alignment horizontal="center" vertical="top"/>
    </xf>
    <xf numFmtId="0" fontId="3" fillId="0" borderId="0" xfId="0" applyFont="1" applyFill="1" applyBorder="1" applyAlignment="1" applyProtection="1">
      <alignment horizontal="left" vertical="top" wrapText="1"/>
      <protection locked="0"/>
    </xf>
    <xf numFmtId="0" fontId="7" fillId="0" borderId="0" xfId="0" applyFont="1" applyAlignment="1">
      <alignment horizontal="center"/>
    </xf>
    <xf numFmtId="0" fontId="44" fillId="4" borderId="0" xfId="0" applyFont="1" applyFill="1" applyAlignment="1">
      <alignment horizontal="left" indent="1" shrinkToFit="1"/>
    </xf>
    <xf numFmtId="0" fontId="44" fillId="4" borderId="44" xfId="0" applyFont="1" applyFill="1" applyBorder="1" applyAlignment="1">
      <alignment horizontal="left" indent="1" shrinkToFit="1"/>
    </xf>
    <xf numFmtId="0" fontId="44" fillId="4" borderId="23" xfId="0" applyFont="1" applyFill="1" applyBorder="1" applyAlignment="1">
      <alignment horizontal="left" indent="1" shrinkToFit="1"/>
    </xf>
    <xf numFmtId="0" fontId="44" fillId="4" borderId="11" xfId="0" applyFont="1" applyFill="1" applyBorder="1" applyAlignment="1">
      <alignment horizontal="left" indent="1" shrinkToFit="1"/>
    </xf>
    <xf numFmtId="0" fontId="17" fillId="4" borderId="202" xfId="0" applyFont="1" applyFill="1" applyBorder="1" applyAlignment="1">
      <alignment horizontal="left"/>
    </xf>
    <xf numFmtId="0" fontId="17" fillId="4" borderId="208" xfId="0" applyFont="1" applyFill="1" applyBorder="1" applyAlignment="1">
      <alignment horizontal="left"/>
    </xf>
    <xf numFmtId="0" fontId="17" fillId="4" borderId="203" xfId="0" applyFont="1" applyFill="1" applyBorder="1" applyAlignment="1">
      <alignment horizontal="left"/>
    </xf>
    <xf numFmtId="0" fontId="18" fillId="4" borderId="201" xfId="0" applyFont="1" applyFill="1" applyBorder="1" applyAlignment="1">
      <alignment horizontal="left" vertical="center" wrapText="1"/>
    </xf>
    <xf numFmtId="0" fontId="17" fillId="4" borderId="201" xfId="0" applyFont="1" applyFill="1" applyBorder="1" applyAlignment="1">
      <alignment horizontal="left" vertical="center" wrapText="1"/>
    </xf>
    <xf numFmtId="0" fontId="17" fillId="4" borderId="201" xfId="0" applyFont="1" applyFill="1" applyBorder="1" applyAlignment="1">
      <alignment horizontal="left" vertical="center"/>
    </xf>
    <xf numFmtId="0" fontId="72" fillId="17" borderId="86" xfId="0" applyFont="1" applyFill="1" applyBorder="1" applyAlignment="1">
      <alignment horizontal="center" wrapText="1"/>
    </xf>
    <xf numFmtId="0" fontId="72" fillId="17" borderId="87" xfId="0" applyFont="1" applyFill="1" applyBorder="1" applyAlignment="1">
      <alignment horizontal="center"/>
    </xf>
    <xf numFmtId="0" fontId="72" fillId="17" borderId="62" xfId="0" applyFont="1" applyFill="1" applyBorder="1" applyAlignment="1">
      <alignment horizontal="center"/>
    </xf>
    <xf numFmtId="0" fontId="72" fillId="17" borderId="63" xfId="0" applyFont="1" applyFill="1" applyBorder="1" applyAlignment="1">
      <alignment horizontal="center"/>
    </xf>
    <xf numFmtId="0" fontId="72" fillId="17" borderId="64" xfId="0" applyFont="1" applyFill="1" applyBorder="1" applyAlignment="1">
      <alignment horizontal="center"/>
    </xf>
    <xf numFmtId="0" fontId="72" fillId="17" borderId="66" xfId="0" applyFont="1" applyFill="1" applyBorder="1" applyAlignment="1">
      <alignment horizontal="center"/>
    </xf>
    <xf numFmtId="0" fontId="2" fillId="18" borderId="86" xfId="0" applyFont="1" applyFill="1" applyBorder="1" applyAlignment="1">
      <alignment horizontal="center" vertical="center" wrapText="1"/>
    </xf>
    <xf numFmtId="0" fontId="2" fillId="18" borderId="88" xfId="0" applyFont="1" applyFill="1" applyBorder="1" applyAlignment="1">
      <alignment horizontal="center" vertical="center" wrapText="1"/>
    </xf>
    <xf numFmtId="0" fontId="2" fillId="18" borderId="87" xfId="0" applyFont="1" applyFill="1" applyBorder="1" applyAlignment="1">
      <alignment horizontal="center" vertical="center" wrapText="1"/>
    </xf>
    <xf numFmtId="0" fontId="2" fillId="18" borderId="62" xfId="0" applyFont="1" applyFill="1" applyBorder="1" applyAlignment="1">
      <alignment horizontal="center" vertical="center" wrapText="1"/>
    </xf>
    <xf numFmtId="0" fontId="2" fillId="18" borderId="0" xfId="0" applyFont="1" applyFill="1" applyAlignment="1">
      <alignment horizontal="center" vertical="center" wrapText="1"/>
    </xf>
    <xf numFmtId="0" fontId="2" fillId="18" borderId="63" xfId="0" applyFont="1" applyFill="1" applyBorder="1" applyAlignment="1">
      <alignment horizontal="center" vertical="center" wrapText="1"/>
    </xf>
    <xf numFmtId="0" fontId="2" fillId="18" borderId="64" xfId="0" applyFont="1" applyFill="1" applyBorder="1" applyAlignment="1">
      <alignment horizontal="center" vertical="center" wrapText="1"/>
    </xf>
    <xf numFmtId="0" fontId="2" fillId="18" borderId="65" xfId="0" applyFont="1" applyFill="1" applyBorder="1" applyAlignment="1">
      <alignment horizontal="center" vertical="center" wrapText="1"/>
    </xf>
    <xf numFmtId="0" fontId="2" fillId="18" borderId="66" xfId="0" applyFont="1" applyFill="1" applyBorder="1" applyAlignment="1">
      <alignment horizontal="center" vertical="center" wrapText="1"/>
    </xf>
    <xf numFmtId="0" fontId="17" fillId="0" borderId="201" xfId="0" applyFont="1" applyBorder="1" applyAlignment="1">
      <alignment horizontal="center"/>
    </xf>
    <xf numFmtId="0" fontId="17" fillId="0" borderId="202" xfId="0" applyFont="1" applyBorder="1" applyAlignment="1">
      <alignment horizontal="center"/>
    </xf>
    <xf numFmtId="0" fontId="17" fillId="0" borderId="203" xfId="0" applyFont="1" applyBorder="1" applyAlignment="1">
      <alignment horizontal="center"/>
    </xf>
    <xf numFmtId="0" fontId="67" fillId="17" borderId="86" xfId="0" applyFont="1" applyFill="1" applyBorder="1" applyAlignment="1">
      <alignment horizontal="center" vertical="center" wrapText="1"/>
    </xf>
    <xf numFmtId="0" fontId="2" fillId="17" borderId="87" xfId="0" applyFont="1" applyFill="1" applyBorder="1" applyAlignment="1">
      <alignment horizontal="center" vertical="center" wrapText="1"/>
    </xf>
    <xf numFmtId="0" fontId="2" fillId="17" borderId="62" xfId="0" applyFont="1" applyFill="1" applyBorder="1" applyAlignment="1">
      <alignment horizontal="center" vertical="center" wrapText="1"/>
    </xf>
    <xf numFmtId="0" fontId="2" fillId="17" borderId="63" xfId="0" applyFont="1" applyFill="1" applyBorder="1" applyAlignment="1">
      <alignment horizontal="center" vertical="center" wrapText="1"/>
    </xf>
    <xf numFmtId="0" fontId="2" fillId="17" borderId="64" xfId="0" applyFont="1" applyFill="1" applyBorder="1" applyAlignment="1">
      <alignment horizontal="center" vertical="center" wrapText="1"/>
    </xf>
    <xf numFmtId="0" fontId="2" fillId="17" borderId="66" xfId="0" applyFont="1" applyFill="1" applyBorder="1" applyAlignment="1">
      <alignment horizontal="center" vertical="center" wrapText="1"/>
    </xf>
    <xf numFmtId="0" fontId="14" fillId="3" borderId="2" xfId="0" applyFont="1" applyFill="1" applyBorder="1" applyAlignment="1">
      <alignment horizontal="left" wrapText="1"/>
    </xf>
    <xf numFmtId="0" fontId="14" fillId="3" borderId="2" xfId="0" applyFont="1" applyFill="1" applyBorder="1" applyAlignment="1">
      <alignment horizontal="center" wrapText="1"/>
    </xf>
    <xf numFmtId="0" fontId="14" fillId="3" borderId="2" xfId="0" applyFont="1" applyFill="1" applyBorder="1" applyAlignment="1">
      <alignment horizontal="center"/>
    </xf>
    <xf numFmtId="0" fontId="14" fillId="3" borderId="3" xfId="0" applyFont="1" applyFill="1" applyBorder="1" applyAlignment="1">
      <alignment horizontal="center"/>
    </xf>
    <xf numFmtId="0" fontId="17" fillId="4" borderId="202" xfId="0" applyFont="1" applyFill="1" applyBorder="1" applyAlignment="1"/>
    <xf numFmtId="0" fontId="17" fillId="4" borderId="208" xfId="0" applyFont="1" applyFill="1" applyBorder="1" applyAlignment="1"/>
    <xf numFmtId="0" fontId="17" fillId="4" borderId="203" xfId="0" applyFont="1" applyFill="1" applyBorder="1" applyAlignment="1"/>
    <xf numFmtId="0" fontId="17" fillId="4" borderId="202" xfId="0" applyFont="1" applyFill="1" applyBorder="1" applyAlignment="1">
      <alignment horizontal="center"/>
    </xf>
    <xf numFmtId="0" fontId="17" fillId="4" borderId="203" xfId="0" applyFont="1" applyFill="1" applyBorder="1" applyAlignment="1">
      <alignment horizontal="center"/>
    </xf>
    <xf numFmtId="0" fontId="14" fillId="3" borderId="2" xfId="0" applyFont="1" applyFill="1" applyBorder="1" applyAlignment="1">
      <alignment horizontal="left"/>
    </xf>
    <xf numFmtId="0" fontId="12" fillId="0" borderId="29" xfId="1" applyBorder="1" applyAlignment="1">
      <alignment horizontal="left" indent="1"/>
    </xf>
    <xf numFmtId="0" fontId="12" fillId="0" borderId="0" xfId="1" applyAlignment="1">
      <alignment horizontal="left" indent="1"/>
    </xf>
    <xf numFmtId="0" fontId="12" fillId="0" borderId="0" xfId="1" applyBorder="1" applyAlignment="1">
      <alignment horizontal="left" indent="1"/>
    </xf>
    <xf numFmtId="0" fontId="0" fillId="0" borderId="29" xfId="0" applyBorder="1" applyAlignment="1">
      <alignment horizontal="left" vertical="top" wrapText="1"/>
    </xf>
    <xf numFmtId="0" fontId="0" fillId="0" borderId="209" xfId="0" applyBorder="1" applyAlignment="1" applyProtection="1">
      <alignment horizontal="center" vertical="center"/>
      <protection locked="0"/>
    </xf>
    <xf numFmtId="0" fontId="0" fillId="0" borderId="49" xfId="0" applyBorder="1" applyAlignment="1" applyProtection="1">
      <alignment horizontal="center" vertical="center"/>
      <protection locked="0"/>
    </xf>
    <xf numFmtId="0" fontId="0" fillId="0" borderId="29" xfId="0" applyBorder="1" applyAlignment="1">
      <alignment horizontal="left" vertical="top" wrapText="1" indent="1"/>
    </xf>
    <xf numFmtId="0" fontId="0" fillId="0" borderId="0" xfId="0" applyAlignment="1">
      <alignment horizontal="left" vertical="top" wrapText="1" indent="1"/>
    </xf>
    <xf numFmtId="0" fontId="0" fillId="0" borderId="199" xfId="0" applyBorder="1" applyAlignment="1" applyProtection="1">
      <alignment horizontal="left" vertical="top" wrapText="1"/>
      <protection locked="0"/>
    </xf>
    <xf numFmtId="0" fontId="0" fillId="0" borderId="198" xfId="0" applyBorder="1" applyAlignment="1" applyProtection="1">
      <alignment horizontal="left" vertical="top" wrapText="1"/>
      <protection locked="0"/>
    </xf>
    <xf numFmtId="0" fontId="0" fillId="0" borderId="200" xfId="0" applyBorder="1" applyAlignment="1" applyProtection="1">
      <alignment horizontal="left" vertical="top" wrapText="1"/>
      <protection locked="0"/>
    </xf>
    <xf numFmtId="0" fontId="0" fillId="0" borderId="29"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44" xfId="0" applyBorder="1" applyAlignment="1" applyProtection="1">
      <alignment horizontal="left" vertical="top" wrapText="1"/>
      <protection locked="0"/>
    </xf>
    <xf numFmtId="0" fontId="0" fillId="0" borderId="10" xfId="0" applyBorder="1" applyAlignment="1" applyProtection="1">
      <alignment horizontal="left" vertical="top" wrapText="1"/>
      <protection locked="0"/>
    </xf>
    <xf numFmtId="0" fontId="0" fillId="0" borderId="23" xfId="0" applyBorder="1" applyAlignment="1" applyProtection="1">
      <alignment horizontal="left" vertical="top" wrapText="1"/>
      <protection locked="0"/>
    </xf>
    <xf numFmtId="0" fontId="0" fillId="0" borderId="11" xfId="0" applyBorder="1" applyAlignment="1" applyProtection="1">
      <alignment horizontal="left" vertical="top" wrapText="1"/>
      <protection locked="0"/>
    </xf>
    <xf numFmtId="9" fontId="0" fillId="0" borderId="209" xfId="0" applyNumberFormat="1" applyBorder="1" applyAlignment="1" applyProtection="1">
      <alignment horizontal="center" vertical="center"/>
      <protection locked="0"/>
    </xf>
    <xf numFmtId="0" fontId="51" fillId="0" borderId="0" xfId="0" applyFont="1" applyAlignment="1">
      <alignment horizontal="left" vertical="top" wrapText="1"/>
    </xf>
    <xf numFmtId="0" fontId="0" fillId="0" borderId="0" xfId="0" applyAlignment="1">
      <alignment horizontal="left" vertical="top"/>
    </xf>
    <xf numFmtId="0" fontId="3" fillId="0" borderId="0" xfId="0" applyFont="1" applyAlignment="1">
      <alignment horizontal="left" vertical="top"/>
    </xf>
    <xf numFmtId="178" fontId="0" fillId="0" borderId="201" xfId="0" applyNumberFormat="1" applyBorder="1" applyAlignment="1">
      <alignment horizontal="center"/>
    </xf>
    <xf numFmtId="0" fontId="4" fillId="2" borderId="25"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4" fillId="2" borderId="27" xfId="0" applyFont="1" applyFill="1" applyBorder="1" applyAlignment="1">
      <alignment horizontal="center" vertical="center" wrapText="1"/>
    </xf>
    <xf numFmtId="0" fontId="4" fillId="2" borderId="26" xfId="0" applyFont="1" applyFill="1" applyBorder="1" applyAlignment="1">
      <alignment horizontal="center" vertical="center" wrapText="1"/>
    </xf>
    <xf numFmtId="0" fontId="0" fillId="2" borderId="201" xfId="0" applyFill="1" applyBorder="1" applyAlignment="1">
      <alignment horizontal="center"/>
    </xf>
    <xf numFmtId="0" fontId="0" fillId="0" borderId="201" xfId="0" applyBorder="1" applyAlignment="1">
      <alignment horizontal="center"/>
    </xf>
    <xf numFmtId="164" fontId="0" fillId="0" borderId="201" xfId="0" applyNumberFormat="1" applyBorder="1" applyAlignment="1">
      <alignment horizontal="center"/>
    </xf>
    <xf numFmtId="0" fontId="5" fillId="24" borderId="23" xfId="0" applyFont="1" applyFill="1" applyBorder="1" applyAlignment="1">
      <alignment horizontal="center"/>
    </xf>
    <xf numFmtId="0" fontId="5" fillId="25" borderId="23" xfId="0" applyFont="1" applyFill="1" applyBorder="1" applyAlignment="1">
      <alignment horizontal="center"/>
    </xf>
    <xf numFmtId="0" fontId="2" fillId="26" borderId="0" xfId="0" applyFont="1" applyFill="1" applyAlignment="1">
      <alignment horizontal="center" vertical="center"/>
    </xf>
    <xf numFmtId="0" fontId="2" fillId="26" borderId="23" xfId="0" applyFont="1" applyFill="1" applyBorder="1" applyAlignment="1">
      <alignment horizontal="center" vertical="center"/>
    </xf>
    <xf numFmtId="0" fontId="0" fillId="2" borderId="208" xfId="0" applyFill="1" applyBorder="1" applyAlignment="1">
      <alignment horizontal="center"/>
    </xf>
    <xf numFmtId="0" fontId="86" fillId="0" borderId="0" xfId="0" applyFont="1" applyAlignment="1">
      <alignment horizontal="right"/>
    </xf>
    <xf numFmtId="0" fontId="86" fillId="0" borderId="102" xfId="0" applyFont="1" applyBorder="1" applyAlignment="1">
      <alignment horizontal="right"/>
    </xf>
    <xf numFmtId="0" fontId="86" fillId="0" borderId="44" xfId="0" applyFont="1" applyBorder="1" applyAlignment="1">
      <alignment horizontal="right"/>
    </xf>
    <xf numFmtId="0" fontId="109" fillId="0" borderId="98" xfId="0" applyFont="1" applyBorder="1" applyAlignment="1">
      <alignment horizontal="left"/>
    </xf>
    <xf numFmtId="0" fontId="109" fillId="0" borderId="99" xfId="0" applyFont="1" applyBorder="1" applyAlignment="1">
      <alignment horizontal="left"/>
    </xf>
    <xf numFmtId="0" fontId="109" fillId="0" borderId="100" xfId="0" applyFont="1" applyBorder="1" applyAlignment="1">
      <alignment horizontal="left"/>
    </xf>
    <xf numFmtId="0" fontId="16" fillId="4" borderId="202" xfId="0" applyFont="1" applyFill="1" applyBorder="1" applyAlignment="1">
      <alignment horizontal="left"/>
    </xf>
    <xf numFmtId="0" fontId="16" fillId="4" borderId="208" xfId="0" applyFont="1" applyFill="1" applyBorder="1" applyAlignment="1">
      <alignment horizontal="left"/>
    </xf>
    <xf numFmtId="0" fontId="16" fillId="4" borderId="203" xfId="0" applyFont="1" applyFill="1" applyBorder="1" applyAlignment="1">
      <alignment horizontal="left"/>
    </xf>
    <xf numFmtId="170" fontId="16" fillId="4" borderId="202" xfId="0" applyNumberFormat="1" applyFont="1" applyFill="1" applyBorder="1" applyAlignment="1">
      <alignment horizontal="left"/>
    </xf>
    <xf numFmtId="0" fontId="23" fillId="0" borderId="0" xfId="0" applyFont="1" applyAlignment="1">
      <alignment horizontal="right"/>
    </xf>
    <xf numFmtId="0" fontId="23" fillId="0" borderId="44" xfId="0" applyFont="1" applyBorder="1" applyAlignment="1">
      <alignment horizontal="right"/>
    </xf>
    <xf numFmtId="165" fontId="16" fillId="4" borderId="202" xfId="0" applyNumberFormat="1" applyFont="1" applyFill="1" applyBorder="1" applyAlignment="1">
      <alignment horizontal="left"/>
    </xf>
    <xf numFmtId="165" fontId="16" fillId="4" borderId="208" xfId="0" applyNumberFormat="1" applyFont="1" applyFill="1" applyBorder="1" applyAlignment="1">
      <alignment horizontal="left"/>
    </xf>
    <xf numFmtId="165" fontId="16" fillId="4" borderId="203" xfId="0" applyNumberFormat="1" applyFont="1" applyFill="1" applyBorder="1" applyAlignment="1">
      <alignment horizontal="left"/>
    </xf>
    <xf numFmtId="3" fontId="16" fillId="4" borderId="202" xfId="0" applyNumberFormat="1" applyFont="1" applyFill="1" applyBorder="1" applyAlignment="1">
      <alignment horizontal="left"/>
    </xf>
    <xf numFmtId="3" fontId="16" fillId="4" borderId="208" xfId="0" applyNumberFormat="1" applyFont="1" applyFill="1" applyBorder="1" applyAlignment="1">
      <alignment horizontal="left"/>
    </xf>
    <xf numFmtId="3" fontId="16" fillId="4" borderId="203" xfId="0" applyNumberFormat="1" applyFont="1" applyFill="1" applyBorder="1" applyAlignment="1">
      <alignment horizontal="left"/>
    </xf>
    <xf numFmtId="10" fontId="16" fillId="4" borderId="202" xfId="0" applyNumberFormat="1" applyFont="1" applyFill="1" applyBorder="1" applyAlignment="1">
      <alignment horizontal="left"/>
    </xf>
    <xf numFmtId="10" fontId="16" fillId="4" borderId="208" xfId="0" applyNumberFormat="1" applyFont="1" applyFill="1" applyBorder="1" applyAlignment="1">
      <alignment horizontal="left"/>
    </xf>
    <xf numFmtId="10" fontId="16" fillId="4" borderId="203" xfId="0" applyNumberFormat="1" applyFont="1" applyFill="1" applyBorder="1" applyAlignment="1">
      <alignment horizontal="left"/>
    </xf>
    <xf numFmtId="14" fontId="16" fillId="4" borderId="202" xfId="0" applyNumberFormat="1" applyFont="1" applyFill="1" applyBorder="1" applyAlignment="1">
      <alignment horizontal="left"/>
    </xf>
    <xf numFmtId="14" fontId="16" fillId="4" borderId="208" xfId="0" applyNumberFormat="1" applyFont="1" applyFill="1" applyBorder="1" applyAlignment="1">
      <alignment horizontal="left"/>
    </xf>
    <xf numFmtId="14" fontId="16" fillId="4" borderId="203" xfId="0" applyNumberFormat="1" applyFont="1" applyFill="1" applyBorder="1" applyAlignment="1">
      <alignment horizontal="left"/>
    </xf>
    <xf numFmtId="0" fontId="86" fillId="0" borderId="0" xfId="0" applyFont="1" applyAlignment="1">
      <alignment horizontal="right" vertical="top" wrapText="1"/>
    </xf>
    <xf numFmtId="0" fontId="86" fillId="0" borderId="0" xfId="0" applyFont="1" applyAlignment="1">
      <alignment horizontal="right" vertical="top"/>
    </xf>
    <xf numFmtId="0" fontId="86" fillId="0" borderId="44" xfId="0" applyFont="1" applyBorder="1" applyAlignment="1">
      <alignment horizontal="right" vertical="top"/>
    </xf>
    <xf numFmtId="0" fontId="86" fillId="0" borderId="0" xfId="0" applyFont="1" applyAlignment="1">
      <alignment horizontal="right" vertical="center"/>
    </xf>
    <xf numFmtId="0" fontId="86" fillId="0" borderId="44" xfId="0" applyFont="1" applyBorder="1" applyAlignment="1">
      <alignment horizontal="right" vertical="center"/>
    </xf>
    <xf numFmtId="10" fontId="109" fillId="0" borderId="98" xfId="0" applyNumberFormat="1" applyFont="1" applyBorder="1" applyAlignment="1">
      <alignment horizontal="left"/>
    </xf>
    <xf numFmtId="10" fontId="109" fillId="0" borderId="99" xfId="0" applyNumberFormat="1" applyFont="1" applyBorder="1" applyAlignment="1">
      <alignment horizontal="left"/>
    </xf>
    <xf numFmtId="10" fontId="109" fillId="0" borderId="100" xfId="0" applyNumberFormat="1" applyFont="1" applyBorder="1" applyAlignment="1">
      <alignment horizontal="left"/>
    </xf>
    <xf numFmtId="0" fontId="109" fillId="4" borderId="98" xfId="0" applyFont="1" applyFill="1" applyBorder="1" applyAlignment="1" applyProtection="1">
      <alignment horizontal="left"/>
      <protection locked="0"/>
    </xf>
    <xf numFmtId="0" fontId="109" fillId="4" borderId="99" xfId="0" applyFont="1" applyFill="1" applyBorder="1" applyAlignment="1" applyProtection="1">
      <alignment horizontal="left"/>
      <protection locked="0"/>
    </xf>
    <xf numFmtId="0" fontId="109" fillId="4" borderId="100" xfId="0" applyFont="1" applyFill="1" applyBorder="1" applyAlignment="1" applyProtection="1">
      <alignment horizontal="left"/>
      <protection locked="0"/>
    </xf>
    <xf numFmtId="0" fontId="0" fillId="4" borderId="199" xfId="0" applyFill="1" applyBorder="1" applyAlignment="1">
      <alignment horizontal="left" vertical="top" wrapText="1"/>
    </xf>
    <xf numFmtId="0" fontId="0" fillId="4" borderId="198" xfId="0" applyFill="1" applyBorder="1" applyAlignment="1">
      <alignment horizontal="left" vertical="top" wrapText="1"/>
    </xf>
    <xf numFmtId="0" fontId="0" fillId="4" borderId="200" xfId="0" applyFill="1" applyBorder="1" applyAlignment="1">
      <alignment horizontal="left" vertical="top" wrapText="1"/>
    </xf>
    <xf numFmtId="0" fontId="0" fillId="4" borderId="29" xfId="0" applyFill="1" applyBorder="1" applyAlignment="1">
      <alignment horizontal="left" vertical="top" wrapText="1"/>
    </xf>
    <xf numFmtId="0" fontId="0" fillId="4" borderId="0" xfId="0" applyFill="1" applyAlignment="1">
      <alignment horizontal="left" vertical="top" wrapText="1"/>
    </xf>
    <xf numFmtId="0" fontId="0" fillId="4" borderId="44" xfId="0" applyFill="1" applyBorder="1" applyAlignment="1">
      <alignment horizontal="left" vertical="top" wrapText="1"/>
    </xf>
    <xf numFmtId="0" fontId="0" fillId="4" borderId="10" xfId="0" applyFill="1" applyBorder="1" applyAlignment="1">
      <alignment horizontal="left" vertical="top" wrapText="1"/>
    </xf>
    <xf numFmtId="0" fontId="0" fillId="4" borderId="23" xfId="0" applyFill="1" applyBorder="1" applyAlignment="1">
      <alignment horizontal="left" vertical="top" wrapText="1"/>
    </xf>
    <xf numFmtId="0" fontId="0" fillId="4" borderId="11" xfId="0" applyFill="1" applyBorder="1" applyAlignment="1">
      <alignment horizontal="left" vertical="top" wrapText="1"/>
    </xf>
    <xf numFmtId="0" fontId="109" fillId="0" borderId="106" xfId="0" applyFont="1" applyBorder="1" applyAlignment="1">
      <alignment horizontal="left"/>
    </xf>
    <xf numFmtId="0" fontId="109" fillId="0" borderId="107" xfId="0" applyFont="1" applyBorder="1" applyAlignment="1">
      <alignment horizontal="left"/>
    </xf>
    <xf numFmtId="0" fontId="109" fillId="0" borderId="108" xfId="0" applyFont="1" applyBorder="1" applyAlignment="1">
      <alignment horizontal="left"/>
    </xf>
    <xf numFmtId="0" fontId="86" fillId="0" borderId="241" xfId="0" applyFont="1" applyBorder="1" applyAlignment="1">
      <alignment horizontal="right"/>
    </xf>
    <xf numFmtId="0" fontId="0" fillId="4" borderId="202" xfId="0" applyFill="1" applyBorder="1" applyAlignment="1">
      <alignment horizontal="left"/>
    </xf>
    <xf numFmtId="0" fontId="0" fillId="4" borderId="208" xfId="0" applyFill="1" applyBorder="1" applyAlignment="1">
      <alignment horizontal="left"/>
    </xf>
    <xf numFmtId="0" fontId="0" fillId="4" borderId="203" xfId="0" applyFill="1" applyBorder="1" applyAlignment="1">
      <alignment horizontal="left"/>
    </xf>
    <xf numFmtId="0" fontId="86" fillId="0" borderId="0" xfId="0" applyFont="1" applyAlignment="1">
      <alignment horizontal="right" wrapText="1" indent="1"/>
    </xf>
    <xf numFmtId="0" fontId="0" fillId="0" borderId="0" xfId="0" applyAlignment="1">
      <alignment horizontal="right"/>
    </xf>
    <xf numFmtId="0" fontId="0" fillId="0" borderId="44" xfId="0" applyBorder="1" applyAlignment="1">
      <alignment horizontal="right"/>
    </xf>
    <xf numFmtId="0" fontId="23" fillId="0" borderId="102" xfId="0" applyFont="1" applyBorder="1" applyAlignment="1">
      <alignment horizontal="right"/>
    </xf>
    <xf numFmtId="166" fontId="0" fillId="4" borderId="202" xfId="0" applyNumberFormat="1" applyFill="1" applyBorder="1" applyAlignment="1">
      <alignment horizontal="left"/>
    </xf>
    <xf numFmtId="166" fontId="0" fillId="4" borderId="208" xfId="0" applyNumberFormat="1" applyFill="1" applyBorder="1" applyAlignment="1">
      <alignment horizontal="left"/>
    </xf>
    <xf numFmtId="166" fontId="0" fillId="4" borderId="203" xfId="0" applyNumberFormat="1" applyFill="1" applyBorder="1" applyAlignment="1">
      <alignment horizontal="left"/>
    </xf>
    <xf numFmtId="10" fontId="0" fillId="4" borderId="202" xfId="0" applyNumberFormat="1" applyFill="1" applyBorder="1" applyAlignment="1">
      <alignment horizontal="left"/>
    </xf>
    <xf numFmtId="10" fontId="0" fillId="4" borderId="208" xfId="0" applyNumberFormat="1" applyFill="1" applyBorder="1" applyAlignment="1">
      <alignment horizontal="left"/>
    </xf>
    <xf numFmtId="10" fontId="0" fillId="4" borderId="203" xfId="0" applyNumberFormat="1" applyFill="1" applyBorder="1" applyAlignment="1">
      <alignment horizontal="left"/>
    </xf>
    <xf numFmtId="0" fontId="23" fillId="0" borderId="0" xfId="0" applyFont="1" applyAlignment="1">
      <alignment horizontal="right" vertical="top" wrapText="1"/>
    </xf>
    <xf numFmtId="3" fontId="0" fillId="4" borderId="202" xfId="0" applyNumberFormat="1" applyFill="1" applyBorder="1" applyAlignment="1">
      <alignment horizontal="left"/>
    </xf>
    <xf numFmtId="0" fontId="2" fillId="20" borderId="0" xfId="0" applyFont="1" applyFill="1" applyAlignment="1">
      <alignment horizontal="left"/>
    </xf>
    <xf numFmtId="169" fontId="0" fillId="4" borderId="202" xfId="0" applyNumberFormat="1" applyFill="1" applyBorder="1" applyAlignment="1">
      <alignment horizontal="left"/>
    </xf>
    <xf numFmtId="169" fontId="0" fillId="4" borderId="203" xfId="0" applyNumberFormat="1" applyFill="1" applyBorder="1" applyAlignment="1">
      <alignment horizontal="left"/>
    </xf>
    <xf numFmtId="0" fontId="86" fillId="0" borderId="0" xfId="0" applyFont="1" applyAlignment="1">
      <alignment horizontal="right" vertical="top" wrapText="1" indent="1"/>
    </xf>
    <xf numFmtId="166" fontId="16" fillId="4" borderId="202" xfId="0" applyNumberFormat="1" applyFont="1" applyFill="1" applyBorder="1" applyAlignment="1">
      <alignment horizontal="left"/>
    </xf>
    <xf numFmtId="166" fontId="16" fillId="4" borderId="208" xfId="0" applyNumberFormat="1" applyFont="1" applyFill="1" applyBorder="1" applyAlignment="1">
      <alignment horizontal="left"/>
    </xf>
    <xf numFmtId="166" fontId="16" fillId="4" borderId="203" xfId="0" applyNumberFormat="1" applyFont="1" applyFill="1" applyBorder="1" applyAlignment="1">
      <alignment horizontal="left"/>
    </xf>
    <xf numFmtId="0" fontId="86" fillId="0" borderId="29" xfId="0" applyFont="1" applyBorder="1" applyAlignment="1">
      <alignment horizontal="right" vertical="top" wrapText="1"/>
    </xf>
    <xf numFmtId="0" fontId="86" fillId="0" borderId="0" xfId="0" applyFont="1" applyBorder="1" applyAlignment="1">
      <alignment horizontal="right" vertical="top" wrapText="1"/>
    </xf>
    <xf numFmtId="169" fontId="16" fillId="4" borderId="202" xfId="0" applyNumberFormat="1" applyFont="1" applyFill="1" applyBorder="1" applyAlignment="1">
      <alignment horizontal="left"/>
    </xf>
    <xf numFmtId="169" fontId="16" fillId="4" borderId="208" xfId="0" applyNumberFormat="1" applyFont="1" applyFill="1" applyBorder="1" applyAlignment="1">
      <alignment horizontal="left"/>
    </xf>
    <xf numFmtId="169" fontId="16" fillId="4" borderId="203" xfId="0" applyNumberFormat="1" applyFont="1" applyFill="1" applyBorder="1" applyAlignment="1">
      <alignment horizontal="left"/>
    </xf>
    <xf numFmtId="1" fontId="16" fillId="4" borderId="202" xfId="0" applyNumberFormat="1" applyFont="1" applyFill="1" applyBorder="1" applyAlignment="1">
      <alignment horizontal="left"/>
    </xf>
    <xf numFmtId="177" fontId="77" fillId="4" borderId="23" xfId="0" applyNumberFormat="1" applyFont="1" applyFill="1" applyBorder="1" applyAlignment="1" applyProtection="1">
      <alignment horizontal="left"/>
      <protection locked="0"/>
    </xf>
    <xf numFmtId="177" fontId="77" fillId="4" borderId="11" xfId="0" applyNumberFormat="1" applyFont="1" applyFill="1" applyBorder="1" applyAlignment="1" applyProtection="1">
      <alignment horizontal="left"/>
      <protection locked="0"/>
    </xf>
    <xf numFmtId="0" fontId="78" fillId="0" borderId="0" xfId="0" applyFont="1" applyAlignment="1" applyProtection="1">
      <alignment horizontal="left" wrapText="1"/>
      <protection hidden="1"/>
    </xf>
    <xf numFmtId="0" fontId="77" fillId="3" borderId="23" xfId="0" applyFont="1" applyFill="1" applyBorder="1" applyAlignment="1">
      <alignment horizontal="left"/>
    </xf>
    <xf numFmtId="0" fontId="77" fillId="3" borderId="11" xfId="0" applyFont="1" applyFill="1" applyBorder="1" applyAlignment="1">
      <alignment horizontal="left"/>
    </xf>
    <xf numFmtId="169" fontId="77" fillId="3" borderId="23" xfId="0" applyNumberFormat="1" applyFont="1" applyFill="1" applyBorder="1" applyAlignment="1">
      <alignment horizontal="left"/>
    </xf>
    <xf numFmtId="169" fontId="77" fillId="3" borderId="11" xfId="0" applyNumberFormat="1" applyFont="1" applyFill="1" applyBorder="1" applyAlignment="1">
      <alignment horizontal="left"/>
    </xf>
    <xf numFmtId="0" fontId="77" fillId="4" borderId="199" xfId="0" applyFont="1" applyFill="1" applyBorder="1" applyAlignment="1" applyProtection="1">
      <alignment horizontal="left" vertical="top" wrapText="1"/>
      <protection locked="0"/>
    </xf>
    <xf numFmtId="0" fontId="77" fillId="4" borderId="198" xfId="0" applyFont="1" applyFill="1" applyBorder="1" applyAlignment="1" applyProtection="1">
      <alignment horizontal="left" vertical="top" wrapText="1"/>
      <protection locked="0"/>
    </xf>
    <xf numFmtId="0" fontId="77" fillId="4" borderId="200" xfId="0" applyFont="1" applyFill="1" applyBorder="1" applyAlignment="1" applyProtection="1">
      <alignment horizontal="left" vertical="top" wrapText="1"/>
      <protection locked="0"/>
    </xf>
    <xf numFmtId="0" fontId="77" fillId="4" borderId="29" xfId="0" applyFont="1" applyFill="1" applyBorder="1" applyAlignment="1" applyProtection="1">
      <alignment horizontal="left" vertical="top" wrapText="1"/>
      <protection locked="0"/>
    </xf>
    <xf numFmtId="0" fontId="77" fillId="4" borderId="0" xfId="0" applyFont="1" applyFill="1" applyAlignment="1" applyProtection="1">
      <alignment horizontal="left" vertical="top" wrapText="1"/>
      <protection locked="0"/>
    </xf>
    <xf numFmtId="0" fontId="77" fillId="4" borderId="44" xfId="0" applyFont="1" applyFill="1" applyBorder="1" applyAlignment="1" applyProtection="1">
      <alignment horizontal="left" vertical="top" wrapText="1"/>
      <protection locked="0"/>
    </xf>
    <xf numFmtId="0" fontId="77" fillId="4" borderId="10" xfId="0" applyFont="1" applyFill="1" applyBorder="1" applyAlignment="1" applyProtection="1">
      <alignment horizontal="left" vertical="top" wrapText="1"/>
      <protection locked="0"/>
    </xf>
    <xf numFmtId="0" fontId="77" fillId="4" borderId="23" xfId="0" applyFont="1" applyFill="1" applyBorder="1" applyAlignment="1" applyProtection="1">
      <alignment horizontal="left" vertical="top" wrapText="1"/>
      <protection locked="0"/>
    </xf>
    <xf numFmtId="0" fontId="77" fillId="4" borderId="11" xfId="0" applyFont="1" applyFill="1" applyBorder="1" applyAlignment="1" applyProtection="1">
      <alignment horizontal="left" vertical="top" wrapText="1"/>
      <protection locked="0"/>
    </xf>
    <xf numFmtId="3" fontId="77" fillId="3" borderId="23" xfId="0" applyNumberFormat="1" applyFont="1" applyFill="1" applyBorder="1" applyAlignment="1">
      <alignment horizontal="left"/>
    </xf>
    <xf numFmtId="3" fontId="77" fillId="3" borderId="11" xfId="0" applyNumberFormat="1" applyFont="1" applyFill="1" applyBorder="1" applyAlignment="1">
      <alignment horizontal="left"/>
    </xf>
    <xf numFmtId="3" fontId="51" fillId="3" borderId="23" xfId="0" applyNumberFormat="1" applyFont="1" applyFill="1" applyBorder="1" applyAlignment="1">
      <alignment horizontal="left" indent="1"/>
    </xf>
    <xf numFmtId="3" fontId="51" fillId="3" borderId="11" xfId="0" applyNumberFormat="1" applyFont="1" applyFill="1" applyBorder="1" applyAlignment="1">
      <alignment horizontal="left" indent="1"/>
    </xf>
    <xf numFmtId="0" fontId="77" fillId="4" borderId="0" xfId="0" applyFont="1" applyFill="1" applyAlignment="1" applyProtection="1">
      <alignment horizontal="center"/>
      <protection locked="0"/>
    </xf>
    <xf numFmtId="0" fontId="77" fillId="4" borderId="44" xfId="0" applyFont="1" applyFill="1" applyBorder="1" applyAlignment="1" applyProtection="1">
      <alignment horizontal="center"/>
      <protection locked="0"/>
    </xf>
    <xf numFmtId="0" fontId="77" fillId="4" borderId="23" xfId="0" applyFont="1" applyFill="1" applyBorder="1" applyAlignment="1" applyProtection="1">
      <alignment horizontal="center"/>
      <protection locked="0"/>
    </xf>
    <xf numFmtId="0" fontId="77" fillId="4" borderId="11" xfId="0" applyFont="1" applyFill="1" applyBorder="1" applyAlignment="1" applyProtection="1">
      <alignment horizontal="center"/>
      <protection locked="0"/>
    </xf>
    <xf numFmtId="0" fontId="77" fillId="0" borderId="0" xfId="0" applyFont="1" applyAlignment="1">
      <alignment horizontal="center" vertical="top"/>
    </xf>
    <xf numFmtId="0" fontId="77" fillId="0" borderId="198" xfId="0" applyFont="1" applyBorder="1" applyAlignment="1">
      <alignment horizontal="center" vertical="top"/>
    </xf>
    <xf numFmtId="0" fontId="82" fillId="0" borderId="97" xfId="0" applyFont="1" applyBorder="1" applyAlignment="1">
      <alignment horizontal="left"/>
    </xf>
    <xf numFmtId="0" fontId="0" fillId="2" borderId="25" xfId="0" applyFill="1" applyBorder="1" applyAlignment="1">
      <alignment horizontal="center" vertical="top" wrapText="1"/>
    </xf>
    <xf numFmtId="0" fontId="0" fillId="2" borderId="83" xfId="0" applyFill="1" applyBorder="1" applyAlignment="1">
      <alignment horizontal="center" vertical="top" wrapText="1"/>
    </xf>
    <xf numFmtId="0" fontId="0" fillId="2" borderId="24" xfId="0" applyFill="1" applyBorder="1" applyAlignment="1">
      <alignment horizontal="center" vertical="top" wrapText="1"/>
    </xf>
    <xf numFmtId="0" fontId="0" fillId="2" borderId="28" xfId="0" applyFill="1" applyBorder="1" applyAlignment="1">
      <alignment horizontal="center" vertical="top" wrapText="1"/>
    </xf>
    <xf numFmtId="0" fontId="0" fillId="2" borderId="0" xfId="0" applyFill="1" applyAlignment="1">
      <alignment horizontal="center" vertical="top" wrapText="1"/>
    </xf>
    <xf numFmtId="0" fontId="0" fillId="2" borderId="84" xfId="0" applyFill="1" applyBorder="1" applyAlignment="1">
      <alignment horizontal="center" vertical="top" wrapText="1"/>
    </xf>
    <xf numFmtId="0" fontId="0" fillId="2" borderId="27" xfId="0" applyFill="1" applyBorder="1" applyAlignment="1">
      <alignment horizontal="center" vertical="top" wrapText="1"/>
    </xf>
    <xf numFmtId="0" fontId="0" fillId="2" borderId="85" xfId="0" applyFill="1" applyBorder="1" applyAlignment="1">
      <alignment horizontal="center" vertical="top" wrapText="1"/>
    </xf>
    <xf numFmtId="0" fontId="0" fillId="2" borderId="26" xfId="0" applyFill="1" applyBorder="1" applyAlignment="1">
      <alignment horizontal="center" vertical="top" wrapText="1"/>
    </xf>
    <xf numFmtId="2" fontId="77" fillId="3" borderId="23" xfId="0" applyNumberFormat="1" applyFont="1" applyFill="1" applyBorder="1" applyAlignment="1">
      <alignment horizontal="left"/>
    </xf>
    <xf numFmtId="2" fontId="77" fillId="3" borderId="11" xfId="0" applyNumberFormat="1" applyFont="1" applyFill="1" applyBorder="1" applyAlignment="1">
      <alignment horizontal="left"/>
    </xf>
    <xf numFmtId="0" fontId="77" fillId="4" borderId="23" xfId="0" applyFont="1" applyFill="1" applyBorder="1" applyAlignment="1" applyProtection="1">
      <alignment horizontal="left"/>
      <protection locked="0"/>
    </xf>
    <xf numFmtId="0" fontId="77" fillId="4" borderId="11" xfId="0" applyFont="1" applyFill="1" applyBorder="1" applyAlignment="1" applyProtection="1">
      <alignment horizontal="left"/>
      <protection locked="0"/>
    </xf>
    <xf numFmtId="0" fontId="58" fillId="4" borderId="23" xfId="0" applyFont="1" applyFill="1" applyBorder="1" applyAlignment="1" applyProtection="1">
      <alignment horizontal="left"/>
      <protection locked="0"/>
    </xf>
    <xf numFmtId="0" fontId="58" fillId="4" borderId="11" xfId="0" applyFont="1" applyFill="1" applyBorder="1" applyAlignment="1" applyProtection="1">
      <alignment horizontal="left"/>
      <protection locked="0"/>
    </xf>
    <xf numFmtId="176" fontId="77" fillId="4" borderId="23" xfId="0" applyNumberFormat="1" applyFont="1" applyFill="1" applyBorder="1" applyAlignment="1" applyProtection="1">
      <alignment horizontal="left"/>
      <protection locked="0"/>
    </xf>
    <xf numFmtId="176" fontId="77" fillId="4" borderId="11" xfId="0" applyNumberFormat="1" applyFont="1" applyFill="1" applyBorder="1" applyAlignment="1" applyProtection="1">
      <alignment horizontal="left"/>
      <protection locked="0"/>
    </xf>
    <xf numFmtId="176" fontId="77" fillId="3" borderId="23" xfId="0" applyNumberFormat="1" applyFont="1" applyFill="1" applyBorder="1" applyAlignment="1" applyProtection="1">
      <alignment horizontal="left" shrinkToFit="1"/>
    </xf>
    <xf numFmtId="176" fontId="77" fillId="3" borderId="11" xfId="0" applyNumberFormat="1" applyFont="1" applyFill="1" applyBorder="1" applyAlignment="1" applyProtection="1">
      <alignment horizontal="left" shrinkToFit="1"/>
    </xf>
    <xf numFmtId="165" fontId="77" fillId="12" borderId="23" xfId="0" applyNumberFormat="1" applyFont="1" applyFill="1" applyBorder="1" applyAlignment="1">
      <alignment horizontal="left"/>
    </xf>
    <xf numFmtId="165" fontId="77" fillId="12" borderId="11" xfId="0" applyNumberFormat="1" applyFont="1" applyFill="1" applyBorder="1" applyAlignment="1">
      <alignment horizontal="left"/>
    </xf>
    <xf numFmtId="3" fontId="77" fillId="12" borderId="23" xfId="0" applyNumberFormat="1" applyFont="1" applyFill="1" applyBorder="1" applyAlignment="1">
      <alignment horizontal="left"/>
    </xf>
    <xf numFmtId="3" fontId="77" fillId="12" borderId="11" xfId="0" applyNumberFormat="1" applyFont="1" applyFill="1" applyBorder="1" applyAlignment="1">
      <alignment horizontal="left"/>
    </xf>
    <xf numFmtId="170" fontId="0" fillId="4" borderId="202" xfId="0" applyNumberFormat="1" applyFill="1" applyBorder="1" applyAlignment="1">
      <alignment horizontal="left"/>
    </xf>
    <xf numFmtId="170" fontId="0" fillId="4" borderId="208" xfId="0" applyNumberFormat="1" applyFill="1" applyBorder="1" applyAlignment="1">
      <alignment horizontal="left"/>
    </xf>
    <xf numFmtId="170" fontId="0" fillId="4" borderId="203" xfId="0" applyNumberFormat="1" applyFill="1" applyBorder="1" applyAlignment="1">
      <alignment horizontal="left"/>
    </xf>
    <xf numFmtId="1" fontId="109" fillId="0" borderId="98" xfId="0" applyNumberFormat="1" applyFont="1" applyBorder="1" applyAlignment="1">
      <alignment horizontal="left"/>
    </xf>
    <xf numFmtId="169" fontId="109" fillId="0" borderId="98" xfId="0" applyNumberFormat="1" applyFont="1" applyBorder="1" applyAlignment="1">
      <alignment horizontal="left"/>
    </xf>
    <xf numFmtId="3" fontId="109" fillId="0" borderId="98" xfId="0" applyNumberFormat="1" applyFont="1" applyBorder="1" applyAlignment="1">
      <alignment horizontal="left"/>
    </xf>
    <xf numFmtId="0" fontId="86" fillId="0" borderId="23" xfId="0" applyFont="1" applyBorder="1" applyAlignment="1">
      <alignment horizontal="right" vertical="top" wrapText="1"/>
    </xf>
    <xf numFmtId="0" fontId="86" fillId="0" borderId="102" xfId="0" applyFont="1" applyBorder="1" applyAlignment="1">
      <alignment horizontal="right" vertical="top" wrapText="1"/>
    </xf>
    <xf numFmtId="170" fontId="0" fillId="4" borderId="199" xfId="0" applyNumberFormat="1" applyFill="1" applyBorder="1" applyAlignment="1">
      <alignment horizontal="left" vertical="top" wrapText="1"/>
    </xf>
    <xf numFmtId="170" fontId="0" fillId="4" borderId="198" xfId="0" applyNumberFormat="1" applyFill="1" applyBorder="1" applyAlignment="1">
      <alignment horizontal="left" vertical="top" wrapText="1"/>
    </xf>
    <xf numFmtId="170" fontId="0" fillId="4" borderId="200" xfId="0" applyNumberFormat="1" applyFill="1" applyBorder="1" applyAlignment="1">
      <alignment horizontal="left" vertical="top" wrapText="1"/>
    </xf>
    <xf numFmtId="170" fontId="0" fillId="4" borderId="29" xfId="0" applyNumberFormat="1" applyFill="1" applyBorder="1" applyAlignment="1">
      <alignment horizontal="left" vertical="top" wrapText="1"/>
    </xf>
    <xf numFmtId="170" fontId="0" fillId="4" borderId="0" xfId="0" applyNumberFormat="1" applyFill="1" applyAlignment="1">
      <alignment horizontal="left" vertical="top" wrapText="1"/>
    </xf>
    <xf numFmtId="170" fontId="0" fillId="4" borderId="44" xfId="0" applyNumberFormat="1" applyFill="1" applyBorder="1" applyAlignment="1">
      <alignment horizontal="left" vertical="top" wrapText="1"/>
    </xf>
    <xf numFmtId="170" fontId="0" fillId="4" borderId="10" xfId="0" applyNumberFormat="1" applyFill="1" applyBorder="1" applyAlignment="1">
      <alignment horizontal="left" vertical="top" wrapText="1"/>
    </xf>
    <xf numFmtId="170" fontId="0" fillId="4" borderId="23" xfId="0" applyNumberFormat="1" applyFill="1" applyBorder="1" applyAlignment="1">
      <alignment horizontal="left" vertical="top" wrapText="1"/>
    </xf>
    <xf numFmtId="170" fontId="0" fillId="4" borderId="11" xfId="0" applyNumberFormat="1" applyFill="1" applyBorder="1" applyAlignment="1">
      <alignment horizontal="left" vertical="top" wrapText="1"/>
    </xf>
    <xf numFmtId="0" fontId="86" fillId="0" borderId="44" xfId="0" applyFont="1" applyBorder="1" applyAlignment="1">
      <alignment horizontal="right" vertical="top" wrapText="1"/>
    </xf>
    <xf numFmtId="170" fontId="16" fillId="4" borderId="199" xfId="0" applyNumberFormat="1" applyFont="1" applyFill="1" applyBorder="1" applyAlignment="1">
      <alignment horizontal="left" vertical="top" wrapText="1"/>
    </xf>
    <xf numFmtId="170" fontId="16" fillId="4" borderId="200" xfId="0" applyNumberFormat="1" applyFont="1" applyFill="1" applyBorder="1" applyAlignment="1">
      <alignment horizontal="left" vertical="top" wrapText="1"/>
    </xf>
    <xf numFmtId="170" fontId="16" fillId="4" borderId="29" xfId="0" applyNumberFormat="1" applyFont="1" applyFill="1" applyBorder="1" applyAlignment="1">
      <alignment horizontal="left" vertical="top" wrapText="1"/>
    </xf>
    <xf numFmtId="170" fontId="16" fillId="4" borderId="44" xfId="0" applyNumberFormat="1" applyFont="1" applyFill="1" applyBorder="1" applyAlignment="1">
      <alignment horizontal="left" vertical="top" wrapText="1"/>
    </xf>
    <xf numFmtId="170" fontId="16" fillId="4" borderId="10" xfId="0" applyNumberFormat="1" applyFont="1" applyFill="1" applyBorder="1" applyAlignment="1">
      <alignment horizontal="left" vertical="top" wrapText="1"/>
    </xf>
    <xf numFmtId="170" fontId="16" fillId="4" borderId="11" xfId="0" applyNumberFormat="1" applyFont="1" applyFill="1" applyBorder="1" applyAlignment="1">
      <alignment horizontal="left" vertical="top" wrapText="1"/>
    </xf>
    <xf numFmtId="9" fontId="109" fillId="0" borderId="98" xfId="2" applyFont="1" applyBorder="1" applyAlignment="1">
      <alignment horizontal="left"/>
    </xf>
    <xf numFmtId="9" fontId="109" fillId="0" borderId="100" xfId="2" applyFont="1" applyBorder="1" applyAlignment="1">
      <alignment horizontal="left"/>
    </xf>
    <xf numFmtId="175" fontId="16" fillId="4" borderId="202" xfId="0" applyNumberFormat="1" applyFont="1" applyFill="1" applyBorder="1" applyAlignment="1">
      <alignment horizontal="left"/>
    </xf>
    <xf numFmtId="175" fontId="16" fillId="4" borderId="208" xfId="0" applyNumberFormat="1" applyFont="1" applyFill="1" applyBorder="1" applyAlignment="1">
      <alignment horizontal="left"/>
    </xf>
    <xf numFmtId="175" fontId="16" fillId="4" borderId="203" xfId="0" applyNumberFormat="1" applyFont="1" applyFill="1" applyBorder="1" applyAlignment="1">
      <alignment horizontal="left"/>
    </xf>
    <xf numFmtId="165" fontId="109" fillId="0" borderId="98" xfId="0" applyNumberFormat="1" applyFont="1" applyBorder="1" applyAlignment="1">
      <alignment horizontal="left"/>
    </xf>
    <xf numFmtId="165" fontId="109" fillId="0" borderId="99" xfId="0" applyNumberFormat="1" applyFont="1" applyBorder="1" applyAlignment="1">
      <alignment horizontal="left"/>
    </xf>
    <xf numFmtId="165" fontId="109" fillId="0" borderId="100" xfId="0" applyNumberFormat="1" applyFont="1" applyBorder="1" applyAlignment="1">
      <alignment horizontal="left"/>
    </xf>
    <xf numFmtId="0" fontId="109" fillId="0" borderId="238" xfId="0" applyFont="1" applyBorder="1" applyAlignment="1">
      <alignment horizontal="left"/>
    </xf>
    <xf numFmtId="0" fontId="109" fillId="0" borderId="239" xfId="0" applyFont="1" applyBorder="1" applyAlignment="1">
      <alignment horizontal="left"/>
    </xf>
    <xf numFmtId="0" fontId="109" fillId="0" borderId="240" xfId="0" applyFont="1" applyBorder="1" applyAlignment="1">
      <alignment horizontal="left"/>
    </xf>
    <xf numFmtId="176" fontId="109" fillId="4" borderId="98" xfId="0" applyNumberFormat="1" applyFont="1" applyFill="1" applyBorder="1" applyAlignment="1">
      <alignment horizontal="left"/>
    </xf>
    <xf numFmtId="0" fontId="109" fillId="4" borderId="99" xfId="0" applyFont="1" applyFill="1" applyBorder="1" applyAlignment="1">
      <alignment horizontal="left"/>
    </xf>
    <xf numFmtId="0" fontId="109" fillId="4" borderId="100" xfId="0" applyFont="1" applyFill="1" applyBorder="1" applyAlignment="1">
      <alignment horizontal="left"/>
    </xf>
    <xf numFmtId="0" fontId="86" fillId="0" borderId="234" xfId="0" applyFont="1" applyBorder="1" applyAlignment="1">
      <alignment horizontal="right"/>
    </xf>
    <xf numFmtId="166" fontId="0" fillId="0" borderId="202" xfId="0" applyNumberFormat="1" applyFill="1" applyBorder="1" applyAlignment="1">
      <alignment horizontal="left"/>
    </xf>
    <xf numFmtId="166" fontId="0" fillId="0" borderId="208" xfId="0" applyNumberFormat="1" applyFill="1" applyBorder="1" applyAlignment="1">
      <alignment horizontal="left"/>
    </xf>
    <xf numFmtId="166" fontId="0" fillId="0" borderId="203" xfId="0" applyNumberFormat="1" applyFill="1" applyBorder="1" applyAlignment="1">
      <alignment horizontal="left"/>
    </xf>
    <xf numFmtId="1" fontId="0" fillId="4" borderId="202" xfId="0" applyNumberFormat="1" applyFill="1" applyBorder="1" applyAlignment="1">
      <alignment horizontal="left"/>
    </xf>
    <xf numFmtId="169" fontId="0" fillId="4" borderId="208" xfId="0" applyNumberFormat="1" applyFill="1" applyBorder="1" applyAlignment="1">
      <alignment horizontal="left"/>
    </xf>
    <xf numFmtId="3" fontId="0" fillId="0" borderId="202" xfId="0" applyNumberFormat="1" applyFill="1" applyBorder="1" applyAlignment="1">
      <alignment horizontal="left"/>
    </xf>
    <xf numFmtId="3" fontId="0" fillId="0" borderId="208" xfId="0" applyNumberFormat="1" applyFill="1" applyBorder="1" applyAlignment="1">
      <alignment horizontal="left"/>
    </xf>
    <xf numFmtId="3" fontId="0" fillId="0" borderId="203" xfId="0" applyNumberFormat="1" applyFill="1" applyBorder="1" applyAlignment="1">
      <alignment horizontal="left"/>
    </xf>
    <xf numFmtId="0" fontId="16" fillId="62" borderId="202" xfId="0" applyFont="1" applyFill="1" applyBorder="1" applyAlignment="1">
      <alignment horizontal="left"/>
    </xf>
    <xf numFmtId="0" fontId="16" fillId="62" borderId="208" xfId="0" applyFont="1" applyFill="1" applyBorder="1" applyAlignment="1">
      <alignment horizontal="left"/>
    </xf>
    <xf numFmtId="0" fontId="16" fillId="62" borderId="203" xfId="0" applyFont="1" applyFill="1" applyBorder="1" applyAlignment="1">
      <alignment horizontal="left"/>
    </xf>
    <xf numFmtId="170" fontId="109" fillId="0" borderId="98" xfId="0" applyNumberFormat="1" applyFont="1" applyBorder="1" applyAlignment="1">
      <alignment horizontal="left"/>
    </xf>
    <xf numFmtId="170" fontId="109" fillId="0" borderId="99" xfId="0" applyNumberFormat="1" applyFont="1" applyBorder="1" applyAlignment="1">
      <alignment horizontal="left"/>
    </xf>
    <xf numFmtId="170" fontId="109" fillId="0" borderId="100" xfId="0" applyNumberFormat="1" applyFont="1" applyBorder="1" applyAlignment="1">
      <alignment horizontal="left"/>
    </xf>
    <xf numFmtId="169" fontId="16" fillId="62" borderId="202" xfId="0" applyNumberFormat="1" applyFont="1" applyFill="1" applyBorder="1" applyAlignment="1">
      <alignment horizontal="left"/>
    </xf>
    <xf numFmtId="169" fontId="16" fillId="62" borderId="208" xfId="0" applyNumberFormat="1" applyFont="1" applyFill="1" applyBorder="1" applyAlignment="1">
      <alignment horizontal="left"/>
    </xf>
    <xf numFmtId="169" fontId="16" fillId="62" borderId="203" xfId="0" applyNumberFormat="1" applyFont="1" applyFill="1" applyBorder="1" applyAlignment="1">
      <alignment horizontal="left"/>
    </xf>
    <xf numFmtId="0" fontId="109" fillId="0" borderId="74" xfId="0" applyFont="1" applyBorder="1" applyAlignment="1">
      <alignment horizontal="left" vertical="top" wrapText="1"/>
    </xf>
    <xf numFmtId="0" fontId="109" fillId="0" borderId="101" xfId="0" applyFont="1" applyBorder="1" applyAlignment="1">
      <alignment horizontal="left" vertical="top" wrapText="1"/>
    </xf>
    <xf numFmtId="0" fontId="109" fillId="0" borderId="77" xfId="0" applyFont="1" applyBorder="1" applyAlignment="1">
      <alignment horizontal="left" vertical="top" wrapText="1"/>
    </xf>
    <xf numFmtId="0" fontId="109" fillId="0" borderId="102" xfId="0" applyFont="1" applyBorder="1" applyAlignment="1">
      <alignment horizontal="left" vertical="top" wrapText="1"/>
    </xf>
    <xf numFmtId="0" fontId="109" fillId="0" borderId="103" xfId="0" applyFont="1" applyBorder="1" applyAlignment="1">
      <alignment horizontal="left" vertical="top" wrapText="1"/>
    </xf>
    <xf numFmtId="0" fontId="109" fillId="0" borderId="104" xfId="0" applyFont="1" applyBorder="1" applyAlignment="1">
      <alignment horizontal="left" vertical="top" wrapText="1"/>
    </xf>
    <xf numFmtId="0" fontId="109" fillId="0" borderId="0" xfId="0" applyFont="1" applyBorder="1" applyAlignment="1">
      <alignment horizontal="left"/>
    </xf>
    <xf numFmtId="3" fontId="16" fillId="4" borderId="202" xfId="53" applyNumberFormat="1" applyFont="1" applyFill="1" applyBorder="1" applyAlignment="1">
      <alignment horizontal="left"/>
    </xf>
    <xf numFmtId="3" fontId="16" fillId="4" borderId="208" xfId="53" applyNumberFormat="1" applyFont="1" applyFill="1" applyBorder="1" applyAlignment="1">
      <alignment horizontal="left"/>
    </xf>
    <xf numFmtId="3" fontId="16" fillId="4" borderId="203" xfId="53" applyNumberFormat="1" applyFont="1" applyFill="1" applyBorder="1" applyAlignment="1">
      <alignment horizontal="left"/>
    </xf>
    <xf numFmtId="0" fontId="23" fillId="0" borderId="0" xfId="0" applyFont="1" applyAlignment="1">
      <alignment horizontal="right" wrapText="1" indent="1"/>
    </xf>
    <xf numFmtId="0" fontId="2" fillId="61" borderId="0" xfId="0" applyFont="1" applyFill="1" applyAlignment="1">
      <alignment horizontal="left"/>
    </xf>
    <xf numFmtId="0" fontId="23" fillId="0" borderId="241" xfId="0" applyFont="1" applyBorder="1" applyAlignment="1">
      <alignment horizontal="right"/>
    </xf>
    <xf numFmtId="1" fontId="16" fillId="4" borderId="203" xfId="0" applyNumberFormat="1" applyFont="1" applyFill="1" applyBorder="1" applyAlignment="1">
      <alignment horizontal="left"/>
    </xf>
    <xf numFmtId="0" fontId="82" fillId="0" borderId="85" xfId="0" applyFont="1" applyBorder="1" applyAlignment="1">
      <alignment horizontal="left"/>
    </xf>
    <xf numFmtId="0" fontId="0" fillId="0" borderId="0" xfId="0" applyFill="1" applyBorder="1" applyAlignment="1">
      <alignment horizontal="left"/>
    </xf>
    <xf numFmtId="0" fontId="0" fillId="4" borderId="0" xfId="0" applyFill="1" applyBorder="1" applyAlignment="1">
      <alignment horizontal="left" vertical="top" wrapText="1"/>
    </xf>
    <xf numFmtId="0" fontId="109" fillId="0" borderId="230" xfId="0" applyFont="1" applyBorder="1" applyAlignment="1">
      <alignment horizontal="left" vertical="top" wrapText="1"/>
    </xf>
    <xf numFmtId="0" fontId="109" fillId="0" borderId="231" xfId="0" applyFont="1" applyBorder="1" applyAlignment="1">
      <alignment horizontal="left" vertical="top" wrapText="1"/>
    </xf>
    <xf numFmtId="0" fontId="109" fillId="0" borderId="232" xfId="0" applyFont="1" applyBorder="1" applyAlignment="1">
      <alignment horizontal="left" vertical="top" wrapText="1"/>
    </xf>
    <xf numFmtId="0" fontId="109" fillId="0" borderId="233" xfId="0" applyFont="1" applyBorder="1" applyAlignment="1">
      <alignment horizontal="left" vertical="top" wrapText="1"/>
    </xf>
    <xf numFmtId="0" fontId="109" fillId="0" borderId="0" xfId="0" applyFont="1" applyBorder="1" applyAlignment="1">
      <alignment horizontal="left" vertical="top" wrapText="1"/>
    </xf>
    <xf numFmtId="0" fontId="109" fillId="0" borderId="234" xfId="0" applyFont="1" applyBorder="1" applyAlignment="1">
      <alignment horizontal="left" vertical="top" wrapText="1"/>
    </xf>
    <xf numFmtId="0" fontId="109" fillId="0" borderId="235" xfId="0" applyFont="1" applyBorder="1" applyAlignment="1">
      <alignment horizontal="left" vertical="top" wrapText="1"/>
    </xf>
    <xf numFmtId="0" fontId="109" fillId="0" borderId="236" xfId="0" applyFont="1" applyBorder="1" applyAlignment="1">
      <alignment horizontal="left" vertical="top" wrapText="1"/>
    </xf>
    <xf numFmtId="0" fontId="109" fillId="0" borderId="237" xfId="0" applyFont="1" applyBorder="1" applyAlignment="1">
      <alignment horizontal="left" vertical="top" wrapText="1"/>
    </xf>
    <xf numFmtId="14" fontId="0" fillId="4" borderId="202" xfId="0" applyNumberFormat="1" applyFill="1" applyBorder="1" applyAlignment="1">
      <alignment horizontal="left"/>
    </xf>
    <xf numFmtId="14" fontId="0" fillId="4" borderId="203" xfId="0" applyNumberFormat="1" applyFill="1" applyBorder="1" applyAlignment="1">
      <alignment horizontal="left"/>
    </xf>
    <xf numFmtId="170" fontId="16" fillId="4" borderId="208" xfId="0" applyNumberFormat="1" applyFont="1" applyFill="1" applyBorder="1" applyAlignment="1">
      <alignment horizontal="left"/>
    </xf>
    <xf numFmtId="170" fontId="16" fillId="4" borderId="203" xfId="0" applyNumberFormat="1" applyFont="1" applyFill="1" applyBorder="1" applyAlignment="1">
      <alignment horizontal="left"/>
    </xf>
    <xf numFmtId="0" fontId="136" fillId="65" borderId="211" xfId="0" applyFont="1" applyFill="1" applyBorder="1" applyAlignment="1">
      <alignment wrapText="1"/>
    </xf>
    <xf numFmtId="0" fontId="136" fillId="65" borderId="243" xfId="0" applyFont="1" applyFill="1" applyBorder="1" applyAlignment="1">
      <alignment wrapText="1"/>
    </xf>
    <xf numFmtId="0" fontId="136" fillId="65" borderId="244" xfId="0" applyFont="1" applyFill="1" applyBorder="1" applyAlignment="1">
      <alignment wrapText="1"/>
    </xf>
    <xf numFmtId="0" fontId="86" fillId="0" borderId="29" xfId="0" applyFont="1" applyBorder="1" applyAlignment="1">
      <alignment horizontal="right"/>
    </xf>
    <xf numFmtId="177" fontId="77" fillId="3" borderId="23" xfId="0" applyNumberFormat="1" applyFont="1" applyFill="1" applyBorder="1" applyAlignment="1">
      <alignment horizontal="left"/>
    </xf>
    <xf numFmtId="177" fontId="77" fillId="3" borderId="11" xfId="0" applyNumberFormat="1" applyFont="1" applyFill="1" applyBorder="1" applyAlignment="1">
      <alignment horizontal="left"/>
    </xf>
    <xf numFmtId="0" fontId="58" fillId="3" borderId="23" xfId="0" applyFont="1" applyFill="1" applyBorder="1" applyAlignment="1">
      <alignment horizontal="left"/>
    </xf>
    <xf numFmtId="0" fontId="58" fillId="3" borderId="11" xfId="0" applyFont="1" applyFill="1" applyBorder="1" applyAlignment="1">
      <alignment horizontal="left"/>
    </xf>
    <xf numFmtId="176" fontId="77" fillId="3" borderId="23" xfId="0" applyNumberFormat="1" applyFont="1" applyFill="1" applyBorder="1" applyAlignment="1">
      <alignment horizontal="left"/>
    </xf>
    <xf numFmtId="176" fontId="77" fillId="3" borderId="11" xfId="0" applyNumberFormat="1" applyFont="1" applyFill="1" applyBorder="1" applyAlignment="1">
      <alignment horizontal="left"/>
    </xf>
    <xf numFmtId="0" fontId="77" fillId="3" borderId="199" xfId="0" applyFont="1" applyFill="1" applyBorder="1" applyAlignment="1">
      <alignment horizontal="left" vertical="top" wrapText="1"/>
    </xf>
    <xf numFmtId="0" fontId="77" fillId="3" borderId="198" xfId="0" applyFont="1" applyFill="1" applyBorder="1" applyAlignment="1">
      <alignment horizontal="left" vertical="top" wrapText="1"/>
    </xf>
    <xf numFmtId="0" fontId="77" fillId="3" borderId="200" xfId="0" applyFont="1" applyFill="1" applyBorder="1" applyAlignment="1">
      <alignment horizontal="left" vertical="top" wrapText="1"/>
    </xf>
    <xf numFmtId="0" fontId="77" fillId="3" borderId="29" xfId="0" applyFont="1" applyFill="1" applyBorder="1" applyAlignment="1">
      <alignment horizontal="left" vertical="top" wrapText="1"/>
    </xf>
    <xf numFmtId="0" fontId="77" fillId="3" borderId="0" xfId="0" applyFont="1" applyFill="1" applyAlignment="1">
      <alignment horizontal="left" vertical="top" wrapText="1"/>
    </xf>
    <xf numFmtId="0" fontId="77" fillId="3" borderId="44" xfId="0" applyFont="1" applyFill="1" applyBorder="1" applyAlignment="1">
      <alignment horizontal="left" vertical="top" wrapText="1"/>
    </xf>
    <xf numFmtId="0" fontId="77" fillId="3" borderId="10" xfId="0" applyFont="1" applyFill="1" applyBorder="1" applyAlignment="1">
      <alignment horizontal="left" vertical="top" wrapText="1"/>
    </xf>
    <xf numFmtId="0" fontId="77" fillId="3" borderId="23" xfId="0" applyFont="1" applyFill="1" applyBorder="1" applyAlignment="1">
      <alignment horizontal="left" vertical="top" wrapText="1"/>
    </xf>
    <xf numFmtId="0" fontId="77" fillId="3" borderId="11" xfId="0" applyFont="1" applyFill="1" applyBorder="1" applyAlignment="1">
      <alignment horizontal="left" vertical="top" wrapText="1"/>
    </xf>
    <xf numFmtId="0" fontId="77" fillId="7" borderId="23" xfId="0" applyFont="1" applyFill="1" applyBorder="1" applyAlignment="1">
      <alignment horizontal="left"/>
    </xf>
    <xf numFmtId="0" fontId="77" fillId="7" borderId="11" xfId="0" applyFont="1" applyFill="1" applyBorder="1" applyAlignment="1">
      <alignment horizontal="left"/>
    </xf>
    <xf numFmtId="165" fontId="77" fillId="7" borderId="23" xfId="0" applyNumberFormat="1" applyFont="1" applyFill="1" applyBorder="1" applyAlignment="1">
      <alignment horizontal="left"/>
    </xf>
    <xf numFmtId="165" fontId="77" fillId="7" borderId="11" xfId="0" applyNumberFormat="1" applyFont="1" applyFill="1" applyBorder="1" applyAlignment="1">
      <alignment horizontal="left"/>
    </xf>
    <xf numFmtId="3" fontId="80" fillId="3" borderId="23" xfId="0" applyNumberFormat="1" applyFont="1" applyFill="1" applyBorder="1" applyAlignment="1">
      <alignment horizontal="left" indent="1"/>
    </xf>
    <xf numFmtId="3" fontId="80" fillId="3" borderId="11" xfId="0" applyNumberFormat="1" applyFont="1" applyFill="1" applyBorder="1" applyAlignment="1">
      <alignment horizontal="left" indent="1"/>
    </xf>
    <xf numFmtId="0" fontId="2" fillId="21" borderId="0" xfId="0" applyFont="1" applyFill="1" applyAlignment="1">
      <alignment horizontal="left"/>
    </xf>
    <xf numFmtId="0" fontId="2" fillId="21" borderId="0" xfId="0" applyFont="1" applyFill="1" applyAlignment="1">
      <alignment horizontal="right"/>
    </xf>
    <xf numFmtId="3" fontId="77" fillId="7" borderId="23" xfId="0" applyNumberFormat="1" applyFont="1" applyFill="1" applyBorder="1" applyAlignment="1">
      <alignment horizontal="left"/>
    </xf>
    <xf numFmtId="3" fontId="77" fillId="7" borderId="11" xfId="0" applyNumberFormat="1" applyFont="1" applyFill="1" applyBorder="1" applyAlignment="1">
      <alignment horizontal="left"/>
    </xf>
    <xf numFmtId="0" fontId="77" fillId="4" borderId="0" xfId="0" applyFont="1" applyFill="1" applyAlignment="1">
      <alignment horizontal="center"/>
    </xf>
    <xf numFmtId="0" fontId="77" fillId="4" borderId="44" xfId="0" applyFont="1" applyFill="1" applyBorder="1" applyAlignment="1">
      <alignment horizontal="center"/>
    </xf>
    <xf numFmtId="0" fontId="77" fillId="4" borderId="23" xfId="0" applyFont="1" applyFill="1" applyBorder="1" applyAlignment="1">
      <alignment horizontal="center"/>
    </xf>
    <xf numFmtId="0" fontId="77" fillId="4" borderId="11" xfId="0" applyFont="1" applyFill="1" applyBorder="1" applyAlignment="1">
      <alignment horizontal="center"/>
    </xf>
    <xf numFmtId="0" fontId="84" fillId="0" borderId="98" xfId="0" applyFont="1" applyBorder="1" applyAlignment="1">
      <alignment horizontal="left"/>
    </xf>
    <xf numFmtId="0" fontId="84" fillId="0" borderId="100" xfId="0" applyFont="1" applyBorder="1" applyAlignment="1">
      <alignment horizontal="left"/>
    </xf>
    <xf numFmtId="3" fontId="16" fillId="2" borderId="202" xfId="0" applyNumberFormat="1" applyFont="1" applyFill="1" applyBorder="1" applyAlignment="1">
      <alignment horizontal="left"/>
    </xf>
    <xf numFmtId="0" fontId="16" fillId="2" borderId="208" xfId="0" applyFont="1" applyFill="1" applyBorder="1" applyAlignment="1">
      <alignment horizontal="left"/>
    </xf>
    <xf numFmtId="0" fontId="16" fillId="2" borderId="203" xfId="0" applyFont="1" applyFill="1" applyBorder="1" applyAlignment="1">
      <alignment horizontal="left"/>
    </xf>
    <xf numFmtId="0" fontId="85" fillId="0" borderId="0" xfId="0" applyFont="1" applyAlignment="1">
      <alignment horizontal="right" vertical="top" wrapText="1" indent="1"/>
    </xf>
    <xf numFmtId="0" fontId="0" fillId="0" borderId="0" xfId="0" applyAlignment="1">
      <alignment horizontal="right" vertical="top" wrapText="1" indent="1"/>
    </xf>
    <xf numFmtId="0" fontId="16" fillId="2" borderId="202" xfId="0" applyFont="1" applyFill="1" applyBorder="1" applyAlignment="1">
      <alignment horizontal="left"/>
    </xf>
    <xf numFmtId="0" fontId="110" fillId="0" borderId="0" xfId="0" applyFont="1" applyAlignment="1">
      <alignment horizontal="right" wrapText="1" indent="1"/>
    </xf>
    <xf numFmtId="0" fontId="110" fillId="0" borderId="23" xfId="0" applyFont="1" applyBorder="1" applyAlignment="1">
      <alignment horizontal="right" wrapText="1" indent="1"/>
    </xf>
    <xf numFmtId="0" fontId="16" fillId="0" borderId="0" xfId="0" applyFont="1" applyAlignment="1">
      <alignment horizontal="right" vertical="top" wrapText="1" indent="1"/>
    </xf>
    <xf numFmtId="170" fontId="0" fillId="2" borderId="199" xfId="0" applyNumberFormat="1" applyFill="1" applyBorder="1" applyAlignment="1">
      <alignment horizontal="left" vertical="top" wrapText="1"/>
    </xf>
    <xf numFmtId="170" fontId="0" fillId="2" borderId="198" xfId="0" applyNumberFormat="1" applyFill="1" applyBorder="1" applyAlignment="1">
      <alignment horizontal="left" vertical="top" wrapText="1"/>
    </xf>
    <xf numFmtId="170" fontId="0" fillId="2" borderId="200" xfId="0" applyNumberFormat="1" applyFill="1" applyBorder="1" applyAlignment="1">
      <alignment horizontal="left" vertical="top" wrapText="1"/>
    </xf>
    <xf numFmtId="170" fontId="0" fillId="2" borderId="29" xfId="0" applyNumberFormat="1" applyFill="1" applyBorder="1" applyAlignment="1">
      <alignment horizontal="left" vertical="top" wrapText="1"/>
    </xf>
    <xf numFmtId="170" fontId="0" fillId="2" borderId="0" xfId="0" applyNumberFormat="1" applyFill="1" applyAlignment="1">
      <alignment horizontal="left" vertical="top" wrapText="1"/>
    </xf>
    <xf numFmtId="170" fontId="0" fillId="2" borderId="44" xfId="0" applyNumberFormat="1" applyFill="1" applyBorder="1" applyAlignment="1">
      <alignment horizontal="left" vertical="top" wrapText="1"/>
    </xf>
    <xf numFmtId="170" fontId="0" fillId="2" borderId="10" xfId="0" applyNumberFormat="1" applyFill="1" applyBorder="1" applyAlignment="1">
      <alignment horizontal="left" vertical="top" wrapText="1"/>
    </xf>
    <xf numFmtId="170" fontId="0" fillId="2" borderId="23" xfId="0" applyNumberFormat="1" applyFill="1" applyBorder="1" applyAlignment="1">
      <alignment horizontal="left" vertical="top" wrapText="1"/>
    </xf>
    <xf numFmtId="170" fontId="0" fillId="2" borderId="11" xfId="0" applyNumberFormat="1" applyFill="1" applyBorder="1" applyAlignment="1">
      <alignment horizontal="left" vertical="top" wrapText="1"/>
    </xf>
    <xf numFmtId="170" fontId="16" fillId="2" borderId="199" xfId="0" applyNumberFormat="1" applyFont="1" applyFill="1" applyBorder="1" applyAlignment="1">
      <alignment horizontal="left" vertical="top" wrapText="1"/>
    </xf>
    <xf numFmtId="170" fontId="16" fillId="2" borderId="200" xfId="0" applyNumberFormat="1" applyFont="1" applyFill="1" applyBorder="1" applyAlignment="1">
      <alignment horizontal="left" vertical="top" wrapText="1"/>
    </xf>
    <xf numFmtId="170" fontId="16" fillId="2" borderId="29" xfId="0" applyNumberFormat="1" applyFont="1" applyFill="1" applyBorder="1" applyAlignment="1">
      <alignment horizontal="left" vertical="top" wrapText="1"/>
    </xf>
    <xf numFmtId="170" fontId="16" fillId="2" borderId="44" xfId="0" applyNumberFormat="1" applyFont="1" applyFill="1" applyBorder="1" applyAlignment="1">
      <alignment horizontal="left" vertical="top" wrapText="1"/>
    </xf>
    <xf numFmtId="170" fontId="16" fillId="2" borderId="10" xfId="0" applyNumberFormat="1" applyFont="1" applyFill="1" applyBorder="1" applyAlignment="1">
      <alignment horizontal="left" vertical="top" wrapText="1"/>
    </xf>
    <xf numFmtId="170" fontId="16" fillId="2" borderId="11" xfId="0" applyNumberFormat="1" applyFont="1" applyFill="1" applyBorder="1" applyAlignment="1">
      <alignment horizontal="left" vertical="top" wrapText="1"/>
    </xf>
    <xf numFmtId="0" fontId="109" fillId="0" borderId="0" xfId="0" applyFont="1" applyAlignment="1">
      <alignment horizontal="right" vertical="top" wrapText="1" indent="1"/>
    </xf>
    <xf numFmtId="0" fontId="109" fillId="0" borderId="75" xfId="0" applyFont="1" applyBorder="1" applyAlignment="1">
      <alignment horizontal="left" vertical="top" wrapText="1"/>
    </xf>
    <xf numFmtId="0" fontId="109" fillId="0" borderId="0" xfId="0" applyFont="1" applyAlignment="1">
      <alignment horizontal="left" vertical="top" wrapText="1"/>
    </xf>
    <xf numFmtId="0" fontId="109" fillId="0" borderId="105" xfId="0" applyFont="1" applyBorder="1" applyAlignment="1">
      <alignment horizontal="left" vertical="top" wrapText="1"/>
    </xf>
    <xf numFmtId="14" fontId="16" fillId="2" borderId="202" xfId="0" applyNumberFormat="1" applyFont="1" applyFill="1" applyBorder="1" applyAlignment="1">
      <alignment horizontal="left"/>
    </xf>
    <xf numFmtId="14" fontId="16" fillId="2" borderId="208" xfId="0" applyNumberFormat="1" applyFont="1" applyFill="1" applyBorder="1" applyAlignment="1">
      <alignment horizontal="left"/>
    </xf>
    <xf numFmtId="14" fontId="16" fillId="2" borderId="203" xfId="0" applyNumberFormat="1" applyFont="1" applyFill="1" applyBorder="1" applyAlignment="1">
      <alignment horizontal="left"/>
    </xf>
    <xf numFmtId="166" fontId="16" fillId="2" borderId="202" xfId="0" applyNumberFormat="1" applyFont="1" applyFill="1" applyBorder="1" applyAlignment="1">
      <alignment horizontal="left"/>
    </xf>
    <xf numFmtId="166" fontId="16" fillId="2" borderId="208" xfId="0" applyNumberFormat="1" applyFont="1" applyFill="1" applyBorder="1" applyAlignment="1">
      <alignment horizontal="left"/>
    </xf>
    <xf numFmtId="166" fontId="16" fillId="2" borderId="203" xfId="0" applyNumberFormat="1" applyFont="1" applyFill="1" applyBorder="1" applyAlignment="1">
      <alignment horizontal="left"/>
    </xf>
    <xf numFmtId="175" fontId="16" fillId="2" borderId="202" xfId="0" applyNumberFormat="1" applyFont="1" applyFill="1" applyBorder="1" applyAlignment="1">
      <alignment horizontal="left"/>
    </xf>
    <xf numFmtId="175" fontId="16" fillId="2" borderId="208" xfId="0" applyNumberFormat="1" applyFont="1" applyFill="1" applyBorder="1" applyAlignment="1">
      <alignment horizontal="left"/>
    </xf>
    <xf numFmtId="175" fontId="16" fillId="2" borderId="203" xfId="0" applyNumberFormat="1" applyFont="1" applyFill="1" applyBorder="1" applyAlignment="1">
      <alignment horizontal="left"/>
    </xf>
    <xf numFmtId="10" fontId="16" fillId="2" borderId="202" xfId="0" applyNumberFormat="1" applyFont="1" applyFill="1" applyBorder="1" applyAlignment="1">
      <alignment horizontal="left"/>
    </xf>
    <xf numFmtId="10" fontId="16" fillId="2" borderId="203" xfId="0" applyNumberFormat="1" applyFont="1" applyFill="1" applyBorder="1" applyAlignment="1">
      <alignment horizontal="left"/>
    </xf>
    <xf numFmtId="10" fontId="16" fillId="2" borderId="208" xfId="0" applyNumberFormat="1" applyFont="1" applyFill="1" applyBorder="1" applyAlignment="1">
      <alignment horizontal="left"/>
    </xf>
    <xf numFmtId="3" fontId="16" fillId="2" borderId="208" xfId="0" applyNumberFormat="1" applyFont="1" applyFill="1" applyBorder="1" applyAlignment="1">
      <alignment horizontal="left"/>
    </xf>
    <xf numFmtId="3" fontId="16" fillId="2" borderId="203" xfId="0" applyNumberFormat="1" applyFont="1" applyFill="1" applyBorder="1" applyAlignment="1">
      <alignment horizontal="left"/>
    </xf>
    <xf numFmtId="0" fontId="16" fillId="0" borderId="98" xfId="0" applyFont="1" applyBorder="1" applyAlignment="1">
      <alignment horizontal="left"/>
    </xf>
    <xf numFmtId="0" fontId="16" fillId="0" borderId="99" xfId="0" applyFont="1" applyBorder="1" applyAlignment="1">
      <alignment horizontal="left"/>
    </xf>
    <xf numFmtId="0" fontId="16" fillId="0" borderId="100" xfId="0" applyFont="1" applyBorder="1" applyAlignment="1">
      <alignment horizontal="left"/>
    </xf>
    <xf numFmtId="0" fontId="84" fillId="0" borderId="99" xfId="0" applyFont="1" applyBorder="1" applyAlignment="1">
      <alignment horizontal="left"/>
    </xf>
    <xf numFmtId="169" fontId="16" fillId="2" borderId="202" xfId="0" applyNumberFormat="1" applyFont="1" applyFill="1" applyBorder="1" applyAlignment="1">
      <alignment horizontal="left"/>
    </xf>
    <xf numFmtId="169" fontId="16" fillId="2" borderId="203" xfId="0" applyNumberFormat="1" applyFont="1" applyFill="1" applyBorder="1" applyAlignment="1">
      <alignment horizontal="left"/>
    </xf>
    <xf numFmtId="170" fontId="16" fillId="2" borderId="202" xfId="0" applyNumberFormat="1" applyFont="1" applyFill="1" applyBorder="1" applyAlignment="1">
      <alignment horizontal="left"/>
    </xf>
    <xf numFmtId="170" fontId="16" fillId="2" borderId="208" xfId="0" applyNumberFormat="1" applyFont="1" applyFill="1" applyBorder="1" applyAlignment="1">
      <alignment horizontal="left"/>
    </xf>
    <xf numFmtId="170" fontId="16" fillId="2" borderId="203" xfId="0" applyNumberFormat="1" applyFont="1" applyFill="1" applyBorder="1" applyAlignment="1">
      <alignment horizontal="left"/>
    </xf>
    <xf numFmtId="1" fontId="16" fillId="2" borderId="202" xfId="0" applyNumberFormat="1" applyFont="1" applyFill="1" applyBorder="1" applyAlignment="1">
      <alignment horizontal="left"/>
    </xf>
    <xf numFmtId="0" fontId="0" fillId="2" borderId="199" xfId="0" applyFill="1" applyBorder="1" applyAlignment="1">
      <alignment horizontal="left" vertical="top" wrapText="1"/>
    </xf>
    <xf numFmtId="0" fontId="0" fillId="2" borderId="198" xfId="0" applyFill="1" applyBorder="1" applyAlignment="1">
      <alignment horizontal="left" vertical="top" wrapText="1"/>
    </xf>
    <xf numFmtId="0" fontId="0" fillId="2" borderId="200" xfId="0" applyFill="1" applyBorder="1" applyAlignment="1">
      <alignment horizontal="left" vertical="top" wrapText="1"/>
    </xf>
    <xf numFmtId="0" fontId="0" fillId="2" borderId="29" xfId="0" applyFill="1" applyBorder="1" applyAlignment="1">
      <alignment horizontal="left" vertical="top" wrapText="1"/>
    </xf>
    <xf numFmtId="0" fontId="0" fillId="2" borderId="0" xfId="0" applyFill="1" applyAlignment="1">
      <alignment horizontal="left" vertical="top" wrapText="1"/>
    </xf>
    <xf numFmtId="0" fontId="0" fillId="2" borderId="44" xfId="0" applyFill="1" applyBorder="1" applyAlignment="1">
      <alignment horizontal="left" vertical="top" wrapText="1"/>
    </xf>
    <xf numFmtId="0" fontId="0" fillId="2" borderId="10" xfId="0" applyFill="1" applyBorder="1" applyAlignment="1">
      <alignment horizontal="left" vertical="top" wrapText="1"/>
    </xf>
    <xf numFmtId="0" fontId="0" fillId="2" borderId="23" xfId="0" applyFill="1" applyBorder="1" applyAlignment="1">
      <alignment horizontal="left" vertical="top" wrapText="1"/>
    </xf>
    <xf numFmtId="0" fontId="0" fillId="2" borderId="11" xfId="0" applyFill="1" applyBorder="1" applyAlignment="1">
      <alignment horizontal="left" vertical="top" wrapText="1"/>
    </xf>
    <xf numFmtId="165" fontId="0" fillId="4" borderId="202" xfId="0" applyNumberFormat="1" applyFill="1" applyBorder="1" applyAlignment="1">
      <alignment horizontal="left"/>
    </xf>
    <xf numFmtId="165" fontId="0" fillId="4" borderId="208" xfId="0" applyNumberFormat="1" applyFill="1" applyBorder="1" applyAlignment="1">
      <alignment horizontal="left"/>
    </xf>
    <xf numFmtId="165" fontId="0" fillId="4" borderId="203" xfId="0" applyNumberFormat="1" applyFill="1" applyBorder="1" applyAlignment="1">
      <alignment horizontal="left"/>
    </xf>
    <xf numFmtId="0" fontId="33" fillId="0" borderId="0" xfId="0" applyFont="1" applyAlignment="1" applyProtection="1">
      <alignment horizontal="center" vertical="top"/>
      <protection locked="0"/>
    </xf>
    <xf numFmtId="0" fontId="4" fillId="0" borderId="0" xfId="0" applyFont="1" applyAlignment="1" applyProtection="1">
      <alignment horizontal="center" vertical="top" wrapText="1"/>
      <protection locked="0"/>
    </xf>
    <xf numFmtId="0" fontId="0" fillId="0" borderId="96" xfId="0" applyBorder="1" applyAlignment="1" applyProtection="1">
      <alignment horizontal="center"/>
      <protection locked="0"/>
    </xf>
    <xf numFmtId="3" fontId="0" fillId="4" borderId="208" xfId="0" applyNumberFormat="1" applyFill="1" applyBorder="1" applyAlignment="1">
      <alignment horizontal="left"/>
    </xf>
    <xf numFmtId="3" fontId="0" fillId="4" borderId="203" xfId="0" applyNumberFormat="1" applyFill="1" applyBorder="1" applyAlignment="1">
      <alignment horizontal="left"/>
    </xf>
    <xf numFmtId="0" fontId="0" fillId="2" borderId="202" xfId="0" applyFill="1" applyBorder="1" applyAlignment="1">
      <alignment horizontal="left"/>
    </xf>
    <xf numFmtId="0" fontId="0" fillId="2" borderId="208" xfId="0" applyFill="1" applyBorder="1" applyAlignment="1">
      <alignment horizontal="left"/>
    </xf>
    <xf numFmtId="0" fontId="0" fillId="2" borderId="203" xfId="0" applyFill="1" applyBorder="1" applyAlignment="1">
      <alignment horizontal="left"/>
    </xf>
    <xf numFmtId="169" fontId="0" fillId="2" borderId="202" xfId="0" applyNumberFormat="1" applyFill="1" applyBorder="1" applyAlignment="1">
      <alignment horizontal="left"/>
    </xf>
    <xf numFmtId="169" fontId="0" fillId="2" borderId="208" xfId="0" applyNumberFormat="1" applyFill="1" applyBorder="1" applyAlignment="1">
      <alignment horizontal="left"/>
    </xf>
    <xf numFmtId="169" fontId="0" fillId="2" borderId="203" xfId="0" applyNumberFormat="1" applyFill="1" applyBorder="1" applyAlignment="1">
      <alignment horizontal="left"/>
    </xf>
    <xf numFmtId="0" fontId="23" fillId="0" borderId="29" xfId="0" applyFont="1" applyBorder="1" applyAlignment="1">
      <alignment horizontal="right" wrapText="1" indent="1"/>
    </xf>
    <xf numFmtId="0" fontId="17" fillId="0" borderId="0" xfId="0" applyFont="1" applyAlignment="1">
      <alignment horizontal="right" wrapText="1" indent="1"/>
    </xf>
    <xf numFmtId="166" fontId="0" fillId="2" borderId="202" xfId="0" applyNumberFormat="1" applyFill="1" applyBorder="1" applyAlignment="1">
      <alignment horizontal="left"/>
    </xf>
    <xf numFmtId="166" fontId="0" fillId="2" borderId="203" xfId="0" applyNumberFormat="1" applyFill="1" applyBorder="1" applyAlignment="1">
      <alignment horizontal="left"/>
    </xf>
    <xf numFmtId="0" fontId="111" fillId="0" borderId="0" xfId="0" applyFont="1" applyAlignment="1">
      <alignment horizontal="right" wrapText="1" indent="1"/>
    </xf>
    <xf numFmtId="0" fontId="111" fillId="0" borderId="23" xfId="0" applyFont="1" applyBorder="1" applyAlignment="1">
      <alignment horizontal="right" wrapText="1" indent="1"/>
    </xf>
    <xf numFmtId="0" fontId="111" fillId="0" borderId="29" xfId="0" applyFont="1" applyBorder="1" applyAlignment="1">
      <alignment horizontal="right" wrapText="1" indent="1"/>
    </xf>
    <xf numFmtId="169" fontId="16" fillId="2" borderId="208" xfId="0" applyNumberFormat="1" applyFont="1" applyFill="1" applyBorder="1" applyAlignment="1">
      <alignment horizontal="left"/>
    </xf>
    <xf numFmtId="0" fontId="0" fillId="0" borderId="201" xfId="0" applyBorder="1" applyAlignment="1">
      <alignment horizontal="center" vertical="center"/>
    </xf>
    <xf numFmtId="0" fontId="0" fillId="0" borderId="202" xfId="0" applyBorder="1" applyAlignment="1">
      <alignment horizontal="center" vertical="center"/>
    </xf>
    <xf numFmtId="0" fontId="0" fillId="11" borderId="209" xfId="0" applyFill="1" applyBorder="1" applyAlignment="1">
      <alignment horizontal="center" vertical="center" wrapText="1"/>
    </xf>
    <xf numFmtId="0" fontId="0" fillId="11" borderId="41" xfId="0" applyFill="1" applyBorder="1" applyAlignment="1">
      <alignment horizontal="center" vertical="center" wrapText="1"/>
    </xf>
    <xf numFmtId="0" fontId="0" fillId="11" borderId="49" xfId="0" applyFill="1" applyBorder="1" applyAlignment="1">
      <alignment horizontal="center" vertical="center" wrapText="1"/>
    </xf>
    <xf numFmtId="0" fontId="0" fillId="9" borderId="209" xfId="0" applyFill="1" applyBorder="1" applyAlignment="1">
      <alignment horizontal="center" vertical="center"/>
    </xf>
    <xf numFmtId="0" fontId="0" fillId="9" borderId="41" xfId="0" applyFill="1" applyBorder="1" applyAlignment="1">
      <alignment horizontal="center" vertical="center"/>
    </xf>
    <xf numFmtId="0" fontId="0" fillId="9" borderId="49" xfId="0" applyFill="1" applyBorder="1" applyAlignment="1">
      <alignment horizontal="center" vertical="center"/>
    </xf>
    <xf numFmtId="0" fontId="0" fillId="22" borderId="209" xfId="0" applyFill="1" applyBorder="1" applyAlignment="1">
      <alignment horizontal="center" vertical="center"/>
    </xf>
    <xf numFmtId="0" fontId="0" fillId="22" borderId="41" xfId="0" applyFill="1" applyBorder="1" applyAlignment="1">
      <alignment horizontal="center" vertical="center"/>
    </xf>
    <xf numFmtId="0" fontId="0" fillId="22" borderId="49" xfId="0" applyFill="1" applyBorder="1" applyAlignment="1">
      <alignment horizontal="center" vertical="center"/>
    </xf>
    <xf numFmtId="0" fontId="0" fillId="12" borderId="209" xfId="0" applyFill="1" applyBorder="1" applyAlignment="1">
      <alignment horizontal="center" vertical="center"/>
    </xf>
    <xf numFmtId="0" fontId="0" fillId="12" borderId="41" xfId="0" applyFill="1" applyBorder="1" applyAlignment="1">
      <alignment horizontal="center" vertical="center"/>
    </xf>
    <xf numFmtId="0" fontId="0" fillId="12" borderId="49" xfId="0" applyFill="1" applyBorder="1" applyAlignment="1">
      <alignment horizontal="center" vertical="center"/>
    </xf>
    <xf numFmtId="0" fontId="2" fillId="5" borderId="199" xfId="0" applyFont="1" applyFill="1" applyBorder="1" applyAlignment="1">
      <alignment horizontal="center"/>
    </xf>
    <xf numFmtId="0" fontId="2" fillId="5" borderId="198" xfId="0" applyFont="1" applyFill="1" applyBorder="1" applyAlignment="1">
      <alignment horizontal="center"/>
    </xf>
    <xf numFmtId="0" fontId="2" fillId="5" borderId="200" xfId="0" applyFont="1" applyFill="1" applyBorder="1" applyAlignment="1">
      <alignment horizontal="center"/>
    </xf>
    <xf numFmtId="42" fontId="5" fillId="14" borderId="201" xfId="3" applyNumberFormat="1" applyBorder="1" applyAlignment="1">
      <alignment horizontal="left"/>
    </xf>
    <xf numFmtId="0" fontId="0" fillId="4" borderId="202" xfId="0" applyFill="1" applyBorder="1" applyAlignment="1" applyProtection="1">
      <alignment horizontal="center"/>
      <protection locked="0"/>
    </xf>
    <xf numFmtId="0" fontId="0" fillId="4" borderId="203" xfId="0" applyFill="1" applyBorder="1" applyAlignment="1" applyProtection="1">
      <alignment horizontal="center"/>
      <protection locked="0"/>
    </xf>
    <xf numFmtId="0" fontId="51" fillId="17" borderId="28" xfId="0" applyFont="1" applyFill="1" applyBorder="1" applyAlignment="1">
      <alignment horizontal="left" vertical="center" wrapText="1"/>
    </xf>
    <xf numFmtId="0" fontId="51" fillId="17" borderId="0" xfId="0" applyFont="1" applyFill="1" applyAlignment="1">
      <alignment horizontal="left" vertical="center" wrapText="1"/>
    </xf>
    <xf numFmtId="0" fontId="51" fillId="17" borderId="84" xfId="0" applyFont="1" applyFill="1" applyBorder="1" applyAlignment="1">
      <alignment horizontal="left" vertical="center" wrapText="1"/>
    </xf>
    <xf numFmtId="0" fontId="51" fillId="17" borderId="27" xfId="0" applyFont="1" applyFill="1" applyBorder="1" applyAlignment="1">
      <alignment horizontal="left" vertical="center" wrapText="1"/>
    </xf>
    <xf numFmtId="0" fontId="51" fillId="17" borderId="85" xfId="0" applyFont="1" applyFill="1" applyBorder="1" applyAlignment="1">
      <alignment horizontal="left" vertical="center" wrapText="1"/>
    </xf>
    <xf numFmtId="0" fontId="51" fillId="17" borderId="26" xfId="0" applyFont="1" applyFill="1" applyBorder="1" applyAlignment="1">
      <alignment horizontal="left" vertical="center" wrapText="1"/>
    </xf>
    <xf numFmtId="14" fontId="0" fillId="2" borderId="201" xfId="0" applyNumberFormat="1" applyFill="1" applyBorder="1" applyAlignment="1">
      <alignment horizontal="center"/>
    </xf>
    <xf numFmtId="0" fontId="0" fillId="0" borderId="202" xfId="0" applyBorder="1" applyAlignment="1">
      <alignment horizontal="center"/>
    </xf>
    <xf numFmtId="0" fontId="0" fillId="0" borderId="203" xfId="0" applyBorder="1" applyAlignment="1">
      <alignment horizontal="center"/>
    </xf>
    <xf numFmtId="0" fontId="0" fillId="4" borderId="201" xfId="0" applyFill="1" applyBorder="1" applyAlignment="1" applyProtection="1">
      <alignment horizontal="center"/>
      <protection locked="0"/>
    </xf>
    <xf numFmtId="14" fontId="0" fillId="4" borderId="201" xfId="0" applyNumberFormat="1" applyFill="1" applyBorder="1" applyAlignment="1">
      <alignment horizontal="center"/>
    </xf>
  </cellXfs>
  <cellStyles count="54">
    <cellStyle name="20% - Accent1 2" xfId="12"/>
    <cellStyle name="20% - Accent2 2" xfId="13"/>
    <cellStyle name="20% - Accent3 2" xfId="14"/>
    <cellStyle name="20% - Accent4 2" xfId="15"/>
    <cellStyle name="20% - Accent5 2" xfId="16"/>
    <cellStyle name="20% - Accent6 2" xfId="17"/>
    <cellStyle name="40% - Accent1 2" xfId="18"/>
    <cellStyle name="40% - Accent2 2" xfId="19"/>
    <cellStyle name="40% - Accent3 2" xfId="20"/>
    <cellStyle name="40% - Accent4 2" xfId="21"/>
    <cellStyle name="40% - Accent5 2" xfId="22"/>
    <cellStyle name="40% - Accent6 2" xfId="23"/>
    <cellStyle name="60% - Accent1 2" xfId="24"/>
    <cellStyle name="60% - Accent2 2" xfId="25"/>
    <cellStyle name="60% - Accent3 2" xfId="26"/>
    <cellStyle name="60% - Accent4 2" xfId="27"/>
    <cellStyle name="60% - Accent5 2" xfId="28"/>
    <cellStyle name="60% - Accent6 2" xfId="29"/>
    <cellStyle name="Accent1" xfId="3" builtinId="29"/>
    <cellStyle name="Accent1 2" xfId="30"/>
    <cellStyle name="Accent2 2" xfId="31"/>
    <cellStyle name="Accent3 2" xfId="32"/>
    <cellStyle name="Accent4 2" xfId="33"/>
    <cellStyle name="Accent5 2" xfId="34"/>
    <cellStyle name="Accent6 2" xfId="35"/>
    <cellStyle name="Bad 2" xfId="36"/>
    <cellStyle name="Calculation 2" xfId="37"/>
    <cellStyle name="Check Cell 2" xfId="38"/>
    <cellStyle name="Comma" xfId="53" builtinId="3"/>
    <cellStyle name="Comma 2" xfId="39"/>
    <cellStyle name="Currency 2" xfId="9"/>
    <cellStyle name="Explanatory Text 2" xfId="40"/>
    <cellStyle name="Good 2" xfId="41"/>
    <cellStyle name="Heading 1 2" xfId="4"/>
    <cellStyle name="Heading 2 2" xfId="42"/>
    <cellStyle name="Heading 3 2" xfId="43"/>
    <cellStyle name="Heading 4 2" xfId="44"/>
    <cellStyle name="Hyperlink" xfId="1" builtinId="8"/>
    <cellStyle name="Input 2" xfId="45"/>
    <cellStyle name="Linked Cell 2" xfId="46"/>
    <cellStyle name="Neutral 2" xfId="47"/>
    <cellStyle name="Normal" xfId="0" builtinId="0"/>
    <cellStyle name="Normal 2" xfId="11"/>
    <cellStyle name="Normal 2 2" xfId="6"/>
    <cellStyle name="Normal 22 4" xfId="7"/>
    <cellStyle name="Normal 3" xfId="8"/>
    <cellStyle name="Normal 4" xfId="5"/>
    <cellStyle name="Note 2" xfId="48"/>
    <cellStyle name="Output 2" xfId="49"/>
    <cellStyle name="Percent" xfId="2" builtinId="5"/>
    <cellStyle name="Percent 2" xfId="10"/>
    <cellStyle name="Title 2" xfId="50"/>
    <cellStyle name="Total 2" xfId="51"/>
    <cellStyle name="Warning Text 2" xfId="52"/>
  </cellStyles>
  <dxfs count="10583">
    <dxf>
      <alignment horizontal="center" vertical="bottom" textRotation="0" wrapText="0" indent="0" justifyLastLine="0" shrinkToFit="0" readingOrder="0"/>
    </dxf>
    <dxf>
      <alignment horizontal="center" vertical="bottom" textRotation="0" wrapText="0" indent="0" justifyLastLine="0" shrinkToFit="0" readingOrder="0"/>
    </dxf>
    <dxf>
      <fill>
        <patternFill patternType="none">
          <bgColor auto="1"/>
        </patternFill>
      </fill>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2" formatCode="0.00"/>
      <alignment horizontal="center" vertical="bottom" textRotation="0" wrapText="0" indent="0" justifyLastLine="0" shrinkToFit="0" readingOrder="0"/>
    </dxf>
    <dxf>
      <numFmt numFmtId="2" formatCode="0.00"/>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bgColor auto="1"/>
        </patternFill>
      </fill>
      <alignment horizontal="center" vertical="bottom" textRotation="0" wrapText="0" indent="0" justifyLastLine="0" shrinkToFit="0" readingOrder="0"/>
      <border diagonalUp="0" diagonalDown="0" outline="0">
        <left/>
        <right style="thin">
          <color theme="4" tint="0.39997558519241921"/>
        </right>
        <top style="thin">
          <color theme="4" tint="0.39997558519241921"/>
        </top>
        <bottom style="thin">
          <color theme="5" tint="0.39997558519241921"/>
        </bottom>
      </border>
    </dxf>
    <dxf>
      <font>
        <b val="0"/>
        <i val="0"/>
        <strike val="0"/>
        <condense val="0"/>
        <extend val="0"/>
        <outline val="0"/>
        <shadow val="0"/>
        <u val="none"/>
        <vertAlign val="baseline"/>
        <sz val="11"/>
        <color theme="1"/>
        <name val="Calibri"/>
        <scheme val="minor"/>
      </font>
      <fill>
        <patternFill patternType="none">
          <bgColor auto="1"/>
        </patternFill>
      </fill>
      <border diagonalUp="0" diagonalDown="0" outline="0">
        <left style="thin">
          <color theme="4" tint="0.39997558519241921"/>
        </left>
        <right/>
        <top style="thin">
          <color theme="4" tint="0.39997558519241921"/>
        </top>
        <bottom style="thin">
          <color theme="5" tint="0.39997558519241921"/>
        </bottom>
      </border>
    </dxf>
    <dxf>
      <font>
        <b val="0"/>
        <i val="0"/>
        <strike val="0"/>
        <condense val="0"/>
        <extend val="0"/>
        <outline val="0"/>
        <shadow val="0"/>
        <u val="none"/>
        <vertAlign val="baseline"/>
        <sz val="11"/>
        <color theme="1"/>
        <name val="Calibri"/>
        <scheme val="minor"/>
      </font>
      <fill>
        <patternFill patternType="none">
          <bgColor auto="1"/>
        </patternFill>
      </fill>
      <alignment horizontal="center" vertical="bottom" textRotation="0" wrapText="0" indent="0" justifyLastLine="0" shrinkToFit="0" readingOrder="0"/>
      <border diagonalUp="0" diagonalDown="0" outline="0">
        <left/>
        <right style="thin">
          <color theme="4" tint="0.39997558519241921"/>
        </right>
        <top style="thin">
          <color theme="4" tint="0.39997558519241921"/>
        </top>
        <bottom style="thin">
          <color theme="5" tint="0.39997558519241921"/>
        </bottom>
      </border>
    </dxf>
    <dxf>
      <font>
        <b val="0"/>
        <i val="0"/>
        <strike val="0"/>
        <condense val="0"/>
        <extend val="0"/>
        <outline val="0"/>
        <shadow val="0"/>
        <u val="none"/>
        <vertAlign val="baseline"/>
        <sz val="11"/>
        <color theme="1"/>
        <name val="Calibri"/>
        <scheme val="minor"/>
      </font>
      <fill>
        <patternFill patternType="none">
          <bgColor auto="1"/>
        </patternFill>
      </fill>
      <border diagonalUp="0" diagonalDown="0" outline="0">
        <left/>
        <right/>
        <top style="thin">
          <color theme="4" tint="0.39997558519241921"/>
        </top>
        <bottom style="thin">
          <color theme="5" tint="0.39997558519241921"/>
        </bottom>
      </border>
    </dxf>
    <dxf>
      <border outline="0">
        <top style="thin">
          <color theme="4" tint="0.39997558519241921"/>
        </top>
      </border>
    </dxf>
    <dxf>
      <border outline="0">
        <left style="thin">
          <color theme="4" tint="0.39997558519241921"/>
        </left>
        <top style="thin">
          <color theme="4" tint="0.39997558519241921"/>
        </top>
        <bottom style="thin">
          <color theme="5" tint="0.39997558519241921"/>
        </bottom>
      </border>
    </dxf>
    <dxf>
      <fill>
        <patternFill patternType="none">
          <bgColor auto="1"/>
        </patternFill>
      </fill>
    </dxf>
    <dxf>
      <border outline="0">
        <bottom style="thin">
          <color theme="5" tint="0.39997558519241921"/>
        </bottom>
      </border>
    </dxf>
    <dxf>
      <font>
        <b/>
        <i val="0"/>
        <strike val="0"/>
        <condense val="0"/>
        <extend val="0"/>
        <outline val="0"/>
        <shadow val="0"/>
        <u val="none"/>
        <vertAlign val="baseline"/>
        <sz val="11"/>
        <color theme="0"/>
        <name val="Calibri"/>
        <scheme val="minor"/>
      </font>
      <fill>
        <patternFill patternType="solid">
          <fgColor theme="5"/>
          <bgColor theme="5"/>
        </patternFill>
      </fill>
    </dxf>
    <dxf>
      <fill>
        <patternFill patternType="none">
          <fgColor indexed="64"/>
          <bgColor auto="1"/>
        </patternFill>
      </fill>
      <alignment horizontal="center" vertical="bottom" textRotation="0" wrapText="0" indent="0" justifyLastLine="0" shrinkToFit="0" readingOrder="0"/>
      <border diagonalUp="0" diagonalDown="0" outline="0">
        <left/>
        <right/>
        <top style="thin">
          <color theme="4" tint="0.39997558519241921"/>
        </top>
        <bottom/>
      </border>
    </dxf>
    <dxf>
      <fill>
        <patternFill patternType="none">
          <fgColor indexed="64"/>
          <bgColor auto="1"/>
        </patternFill>
      </fill>
      <border diagonalUp="0" diagonalDown="0" outline="0">
        <left style="thin">
          <color theme="4" tint="0.39997558519241921"/>
        </left>
        <right/>
        <top style="thin">
          <color theme="4" tint="0.39997558519241921"/>
        </top>
        <bottom/>
      </border>
    </dxf>
    <dxf>
      <fill>
        <patternFill patternType="none">
          <fgColor indexed="64"/>
          <bgColor auto="1"/>
        </patternFill>
      </fill>
      <alignment horizontal="center" vertical="bottom" textRotation="0" wrapText="0" indent="0" justifyLastLine="0" shrinkToFit="0" readingOrder="0"/>
      <border diagonalUp="0" diagonalDown="0" outline="0">
        <left/>
        <right style="thin">
          <color theme="4" tint="0.39997558519241921"/>
        </right>
        <top style="thin">
          <color theme="4" tint="0.39997558519241921"/>
        </top>
        <bottom/>
      </border>
    </dxf>
    <dxf>
      <fill>
        <patternFill patternType="none">
          <fgColor indexed="64"/>
          <bgColor auto="1"/>
        </patternFill>
      </fill>
      <alignment horizontal="center" vertical="bottom" textRotation="0" wrapText="0" indent="0" justifyLastLine="0" shrinkToFit="0" readingOrder="0"/>
      <border diagonalUp="0" diagonalDown="0" outline="0">
        <left style="thin">
          <color theme="4" tint="0.39997558519241921"/>
        </left>
        <right/>
        <top style="thin">
          <color theme="4" tint="0.39997558519241921"/>
        </top>
        <bottom/>
      </border>
    </dxf>
    <dxf>
      <fill>
        <patternFill patternType="none">
          <fgColor indexed="64"/>
          <bgColor auto="1"/>
        </patternFill>
      </fill>
      <alignment horizontal="center" vertical="bottom" textRotation="0" wrapText="0" indent="0" justifyLastLine="0" shrinkToFit="0" readingOrder="0"/>
      <border diagonalUp="0" diagonalDown="0" outline="0">
        <left/>
        <right style="thin">
          <color theme="4" tint="0.39997558519241921"/>
        </right>
        <top style="thin">
          <color theme="4" tint="0.39997558519241921"/>
        </top>
        <bottom/>
      </border>
    </dxf>
    <dxf>
      <fill>
        <patternFill patternType="none">
          <fgColor indexed="64"/>
          <bgColor auto="1"/>
        </patternFill>
      </fill>
      <border diagonalUp="0" diagonalDown="0" outline="0">
        <left/>
        <right/>
        <top style="thin">
          <color theme="4" tint="0.39997558519241921"/>
        </top>
        <bottom/>
      </border>
    </dxf>
    <dxf>
      <border outline="0">
        <left style="thin">
          <color theme="4" tint="0.39997558519241921"/>
        </left>
        <right style="thin">
          <color theme="4" tint="0.39997558519241921"/>
        </right>
        <top style="thin">
          <color theme="4" tint="0.39997558519241921"/>
        </top>
      </border>
    </dxf>
    <dxf>
      <fill>
        <patternFill patternType="none">
          <fgColor indexed="64"/>
          <bgColor auto="1"/>
        </patternFill>
      </fill>
    </dxf>
    <dxf>
      <font>
        <b/>
        <i val="0"/>
        <strike val="0"/>
        <condense val="0"/>
        <extend val="0"/>
        <outline val="0"/>
        <shadow val="0"/>
        <u val="none"/>
        <vertAlign val="baseline"/>
        <sz val="11"/>
        <color theme="0"/>
        <name val="Calibri"/>
        <scheme val="minor"/>
      </font>
      <fill>
        <patternFill patternType="none">
          <fgColor indexed="64"/>
          <bgColor auto="1"/>
        </patternFill>
      </fill>
    </dxf>
    <dxf>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color theme="0" tint="-4.9989318521683403E-2"/>
      </font>
    </dxf>
    <dxf>
      <font>
        <color theme="0" tint="-4.9989318521683403E-2"/>
      </font>
      <fill>
        <patternFill>
          <bgColor theme="0" tint="-4.9989318521683403E-2"/>
        </patternFill>
      </fill>
    </dxf>
    <dxf>
      <font>
        <color theme="0" tint="-0.14996795556505021"/>
      </font>
    </dxf>
    <dxf>
      <font>
        <color rgb="FF9C5700"/>
      </font>
      <fill>
        <patternFill>
          <bgColor rgb="FFFFEB9C"/>
        </patternFill>
      </fill>
    </dxf>
    <dxf>
      <font>
        <color rgb="FF9C0006"/>
      </font>
      <fill>
        <patternFill>
          <bgColor rgb="FFFFC7CE"/>
        </patternFill>
      </fill>
    </dxf>
    <dxf>
      <font>
        <color theme="0" tint="-4.9989318521683403E-2"/>
      </font>
      <fill>
        <patternFill>
          <bgColor theme="0" tint="-4.9989318521683403E-2"/>
        </patternFill>
      </fill>
    </dxf>
    <dxf>
      <font>
        <color theme="0" tint="-0.14996795556505021"/>
      </font>
    </dxf>
    <dxf>
      <font>
        <color theme="0" tint="-0.14996795556505021"/>
      </font>
    </dxf>
    <dxf>
      <font>
        <color theme="0" tint="-0.14996795556505021"/>
      </font>
    </dxf>
    <dxf>
      <font>
        <color theme="0" tint="-0.14996795556505021"/>
      </font>
    </dxf>
    <dxf>
      <font>
        <color theme="0" tint="-4.9989318521683403E-2"/>
      </font>
      <fill>
        <patternFill>
          <bgColor theme="0" tint="-4.9989318521683403E-2"/>
        </patternFill>
      </fill>
    </dxf>
    <dxf>
      <font>
        <color theme="0" tint="-0.1499679555650502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color rgb="FF006100"/>
      </font>
      <fill>
        <patternFill>
          <bgColor rgb="FFC6EFCE"/>
        </patternFill>
      </fill>
    </dxf>
    <dxf>
      <font>
        <color theme="0"/>
      </font>
      <fill>
        <patternFill patternType="none">
          <bgColor auto="1"/>
        </patternFill>
      </fill>
      <border>
        <left/>
        <right/>
        <top/>
        <bottom/>
        <vertical/>
        <horizontal/>
      </border>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ont>
        <strike/>
        <color rgb="FF9C0000"/>
      </font>
      <fill>
        <patternFill>
          <bgColor rgb="FFFFC7CE"/>
        </patternFill>
      </fill>
    </dxf>
    <dxf>
      <font>
        <strike/>
        <color rgb="FF9C0000"/>
      </font>
      <fill>
        <patternFill>
          <bgColor rgb="FFFFC7CE"/>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ont>
        <color theme="0"/>
      </font>
      <fill>
        <patternFill patternType="none">
          <bgColor auto="1"/>
        </patternFill>
      </fill>
      <border>
        <left/>
        <right/>
        <top/>
        <bottom/>
        <vertical/>
        <horizontal/>
      </border>
    </dxf>
    <dxf>
      <fill>
        <patternFill>
          <bgColor theme="9" tint="0.7999816888943144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79998168889431442"/>
        </patternFill>
      </fill>
    </dxf>
    <dxf>
      <font>
        <color theme="0"/>
      </font>
      <fill>
        <patternFill patternType="none">
          <bgColor auto="1"/>
        </patternFill>
      </fill>
      <border>
        <left/>
        <right/>
        <top/>
        <bottom/>
        <vertical/>
        <horizontal/>
      </border>
    </dxf>
    <dxf>
      <fill>
        <patternFill>
          <bgColor theme="9" tint="0.79998168889431442"/>
        </patternFill>
      </fill>
    </dxf>
    <dxf>
      <font>
        <color theme="0"/>
      </font>
      <fill>
        <patternFill patternType="none">
          <bgColor auto="1"/>
        </patternFill>
      </fill>
      <border>
        <left/>
        <right/>
        <top/>
        <bottom/>
        <vertical/>
        <horizontal/>
      </border>
    </dxf>
    <dxf>
      <fill>
        <patternFill>
          <bgColor theme="9" tint="0.79998168889431442"/>
        </patternFill>
      </fill>
    </dxf>
    <dxf>
      <font>
        <color theme="0"/>
      </font>
      <fill>
        <patternFill patternType="none">
          <bgColor auto="1"/>
        </patternFill>
      </fill>
      <border>
        <left/>
        <right/>
        <top/>
        <bottom/>
        <vertical/>
        <horizontal/>
      </border>
    </dxf>
    <dxf>
      <fill>
        <patternFill>
          <bgColor theme="9" tint="0.79998168889431442"/>
        </patternFill>
      </fill>
    </dxf>
    <dxf>
      <font>
        <color theme="0"/>
      </font>
      <fill>
        <patternFill patternType="none">
          <bgColor auto="1"/>
        </patternFill>
      </fill>
      <border>
        <left/>
        <right/>
        <top/>
        <bottom/>
        <vertical/>
        <horizontal/>
      </border>
    </dxf>
    <dxf>
      <fill>
        <patternFill>
          <bgColor theme="9" tint="0.79998168889431442"/>
        </patternFill>
      </fill>
    </dxf>
    <dxf>
      <font>
        <color theme="0"/>
      </font>
      <fill>
        <patternFill patternType="none">
          <bgColor auto="1"/>
        </patternFill>
      </fill>
      <border>
        <left/>
        <right/>
        <top/>
        <bottom/>
        <vertical/>
        <horizontal/>
      </border>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ill>
        <patternFill>
          <bgColor theme="9" tint="0.79998168889431442"/>
        </patternFill>
      </fill>
    </dxf>
    <dxf>
      <font>
        <color theme="0"/>
      </font>
      <fill>
        <patternFill>
          <bgColor theme="0"/>
        </patternFill>
      </fill>
      <border>
        <left/>
        <right/>
        <top/>
        <bottom/>
        <vertical/>
        <horizontal/>
      </border>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theme="0"/>
      </font>
    </dxf>
    <dxf>
      <font>
        <color theme="0"/>
      </font>
      <fill>
        <patternFill patternType="none">
          <bgColor auto="1"/>
        </patternFill>
      </fill>
      <border>
        <left/>
        <right/>
        <top/>
        <bottom/>
        <vertical/>
        <horizontal/>
      </border>
    </dxf>
    <dxf>
      <fill>
        <patternFill>
          <bgColor theme="9" tint="0.79998168889431442"/>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0" tint="-0.34998626667073579"/>
      </font>
    </dxf>
    <dxf>
      <fill>
        <patternFill>
          <bgColor rgb="FFFFEB9C"/>
        </patternFill>
      </fill>
    </dxf>
    <dxf>
      <font>
        <color theme="0" tint="-0.34998626667073579"/>
      </font>
    </dxf>
    <dxf>
      <font>
        <color theme="0" tint="-0.14996795556505021"/>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ill>
        <patternFill>
          <bgColor rgb="FFFFEB9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bgColor rgb="FFFFEB9C"/>
        </patternFill>
      </fill>
    </dxf>
    <dxf>
      <font>
        <color theme="8" tint="0.79998168889431442"/>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99"/>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34998626667073579"/>
      </font>
    </dxf>
    <dxf>
      <border>
        <left style="thin">
          <color auto="1"/>
        </left>
        <right style="thin">
          <color auto="1"/>
        </right>
        <top style="thin">
          <color auto="1"/>
        </top>
        <bottom style="thin">
          <color auto="1"/>
        </bottom>
        <vertical/>
        <horizontal/>
      </border>
    </dxf>
    <dxf>
      <font>
        <color theme="0" tint="-0.14996795556505021"/>
      </font>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bgColor theme="0"/>
        </patternFill>
      </fill>
      <border>
        <left/>
        <right/>
        <top/>
        <bottom/>
        <vertical/>
        <horizontal/>
      </border>
    </dxf>
    <dxf>
      <fill>
        <patternFill patternType="none">
          <bgColor auto="1"/>
        </patternFill>
      </fill>
      <border>
        <left/>
        <right/>
        <top style="thin">
          <color auto="1"/>
        </top>
        <bottom/>
        <vertical/>
        <horizontal/>
      </border>
    </dxf>
    <dxf>
      <font>
        <color auto="1"/>
      </font>
      <fill>
        <patternFill>
          <bgColor rgb="FFFFEB9C"/>
        </patternFill>
      </fill>
    </dxf>
    <dxf>
      <font>
        <color theme="0" tint="-0.34998626667073579"/>
      </font>
    </dxf>
    <dxf>
      <font>
        <b/>
        <i val="0"/>
        <color theme="0"/>
      </font>
      <fill>
        <patternFill>
          <bgColor rgb="FFFF0000"/>
        </patternFill>
      </fill>
    </dxf>
    <dxf>
      <font>
        <color rgb="FF9C0006"/>
      </font>
      <fill>
        <patternFill>
          <bgColor rgb="FFFFC7CE"/>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rgb="FF9C0006"/>
      </font>
      <fill>
        <patternFill>
          <bgColor rgb="FFFFC7CE"/>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0" tint="-0.14996795556505021"/>
        </patternFill>
      </fill>
    </dxf>
    <dxf>
      <font>
        <color theme="0" tint="-0.14996795556505021"/>
      </font>
      <fill>
        <patternFill>
          <bgColor theme="0" tint="-0.14996795556505021"/>
        </patternFill>
      </fill>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rgb="FF9C0006"/>
      </font>
      <fill>
        <patternFill>
          <bgColor rgb="FFFFC7CE"/>
        </patternFill>
      </fill>
    </dxf>
    <dxf>
      <font>
        <color rgb="FF006100"/>
      </font>
      <fill>
        <patternFill>
          <bgColor rgb="FFC6EFCE"/>
        </patternFill>
      </fill>
    </dxf>
    <dxf>
      <fill>
        <patternFill>
          <bgColor rgb="FFFFFFCC"/>
        </patternFill>
      </fill>
    </dxf>
    <dxf>
      <fill>
        <patternFill>
          <bgColor rgb="FFFFFFCC"/>
        </patternFill>
      </fill>
    </dxf>
    <dxf>
      <font>
        <color auto="1"/>
      </font>
      <fill>
        <patternFill>
          <bgColor theme="0"/>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FFFFCC"/>
        </patternFill>
      </fill>
    </dxf>
    <dxf>
      <fill>
        <patternFill>
          <bgColor rgb="FFFFFFCC"/>
        </patternFill>
      </fill>
    </dxf>
    <dxf>
      <fill>
        <patternFill>
          <bgColor rgb="FFFFFFCC"/>
        </patternFill>
      </fill>
    </dxf>
    <dxf>
      <fill>
        <patternFill>
          <bgColor rgb="FFFFFFCC"/>
        </patternFill>
      </fill>
    </dxf>
    <dxf>
      <border>
        <left/>
        <right/>
        <bottom/>
        <vertical/>
        <horizontal/>
      </border>
    </dxf>
    <dxf>
      <fill>
        <patternFill>
          <bgColor rgb="FFFFFFCC"/>
        </patternFill>
      </fill>
    </dxf>
    <dxf>
      <font>
        <strike/>
        <color rgb="FF9C0000"/>
      </font>
      <fill>
        <patternFill>
          <bgColor rgb="FFFFC7CE"/>
        </patternFill>
      </fill>
    </dxf>
    <dxf>
      <font>
        <strike/>
        <color rgb="FF9C0000"/>
      </font>
      <fill>
        <patternFill>
          <bgColor rgb="FFFFC7CE"/>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theme="0"/>
      </font>
    </dxf>
    <dxf>
      <font>
        <color theme="0"/>
      </font>
      <border>
        <left/>
        <right/>
        <bottom/>
        <vertical/>
        <horizontal/>
      </border>
    </dxf>
    <dxf>
      <font>
        <color theme="0"/>
      </font>
      <border>
        <left/>
        <right/>
        <top/>
        <bottom/>
      </border>
    </dxf>
    <dxf>
      <font>
        <color theme="0"/>
      </font>
      <border>
        <left/>
        <right/>
        <bottom/>
        <vertical/>
        <horizontal/>
      </border>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tint="-0.14996795556505021"/>
      </font>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font>
      <border>
        <left/>
        <right/>
        <bottom/>
        <vertical/>
        <horizontal/>
      </border>
    </dxf>
    <dxf>
      <font>
        <strike/>
        <color rgb="FF9C0000"/>
      </font>
      <fill>
        <patternFill>
          <bgColor rgb="FFFFC7CE"/>
        </patternFill>
      </fill>
    </dxf>
    <dxf>
      <font>
        <strike/>
        <color rgb="FF9C0000"/>
      </font>
      <fill>
        <patternFill>
          <bgColor rgb="FFFFC7CE"/>
        </patternFill>
      </fill>
    </dxf>
    <dxf>
      <fill>
        <patternFill patternType="none">
          <bgColor auto="1"/>
        </patternFill>
      </fill>
    </dxf>
    <dxf>
      <fill>
        <patternFill patternType="none">
          <bgColor auto="1"/>
        </patternFill>
      </fill>
    </dxf>
    <dxf>
      <font>
        <strike/>
        <color rgb="FF9C0000"/>
      </font>
      <fill>
        <patternFill>
          <bgColor rgb="FFFFC7CE"/>
        </patternFill>
      </fill>
    </dxf>
    <dxf>
      <font>
        <strike/>
        <color rgb="FF9C0000"/>
      </font>
      <fill>
        <patternFill>
          <bgColor rgb="FFFFC7CE"/>
        </patternFill>
      </fill>
    </dxf>
    <dxf>
      <fill>
        <patternFill patternType="none">
          <bgColor auto="1"/>
        </patternFill>
      </fill>
    </dxf>
    <dxf>
      <fill>
        <patternFill patternType="none">
          <bgColor auto="1"/>
        </patternFill>
      </fill>
    </dxf>
    <dxf>
      <font>
        <strike/>
        <color rgb="FF9C0000"/>
      </font>
      <fill>
        <patternFill>
          <bgColor rgb="FFFFC7CE"/>
        </patternFill>
      </fill>
    </dxf>
    <dxf>
      <font>
        <strike/>
        <color rgb="FF9C0000"/>
      </font>
      <fill>
        <patternFill>
          <bgColor rgb="FFFFC7CE"/>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color rgb="FF9C0000"/>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9C0006"/>
      </font>
      <fill>
        <patternFill>
          <bgColor rgb="FFFFC7CE"/>
        </patternFill>
      </fill>
    </dxf>
    <dxf>
      <font>
        <color rgb="FF006100"/>
      </font>
      <fill>
        <patternFill>
          <bgColor rgb="FFC6EFCE"/>
        </patternFill>
      </fill>
    </dxf>
    <dxf>
      <font>
        <strike/>
        <color rgb="FF9C0000"/>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FFCC"/>
        </patternFill>
      </fill>
    </dxf>
    <dxf>
      <font>
        <color rgb="FFFFFFCC"/>
      </font>
    </dxf>
    <dxf>
      <font>
        <color theme="0" tint="-0.14996795556505021"/>
      </font>
      <fill>
        <patternFill>
          <bgColor theme="0" tint="-0.14996795556505021"/>
        </patternFill>
      </fill>
    </dxf>
    <dxf>
      <font>
        <color rgb="FFFFFFCC"/>
      </font>
    </dxf>
    <dxf>
      <font>
        <color theme="0" tint="-0.14996795556505021"/>
      </font>
      <fill>
        <patternFill>
          <bgColor theme="0" tint="-0.14996795556505021"/>
        </patternFill>
      </fill>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b/>
        <i val="0"/>
        <color theme="0"/>
      </font>
      <fill>
        <patternFill>
          <bgColor rgb="FFFF0000"/>
        </patternFill>
      </fill>
    </dxf>
  </dxfs>
  <tableStyles count="0" defaultTableStyle="TableStyleMedium2" defaultPivotStyle="PivotStyleLight16"/>
  <colors>
    <mruColors>
      <color rgb="FFFFFFCC"/>
      <color rgb="FFFFCCCC"/>
      <color rgb="FFCCFFFF"/>
      <color rgb="FFFFFF99"/>
      <color rgb="FFCCFFCC"/>
      <color rgb="FFFFEB9C"/>
      <color rgb="FF006100"/>
      <color rgb="FF156570"/>
      <color rgb="FF006666"/>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8" Type="http://schemas.openxmlformats.org/officeDocument/2006/relationships/hyperlink" Target="#_Install_Top"/><Relationship Id="rId13" Type="http://schemas.openxmlformats.org/officeDocument/2006/relationships/hyperlink" Target="#_Terms_2_Approval"/><Relationship Id="rId3" Type="http://schemas.openxmlformats.org/officeDocument/2006/relationships/hyperlink" Target="#Fixtures!A24"/><Relationship Id="rId7" Type="http://schemas.openxmlformats.org/officeDocument/2006/relationships/hyperlink" Target="#_Project_1_Top"/><Relationship Id="rId12" Type="http://schemas.openxmlformats.org/officeDocument/2006/relationships/hyperlink" Target="#_Terms_7_Inspections"/><Relationship Id="rId2" Type="http://schemas.openxmlformats.org/officeDocument/2006/relationships/hyperlink" Target="#_Terms_1_Top"/><Relationship Id="rId1" Type="http://schemas.openxmlformats.org/officeDocument/2006/relationships/image" Target="../media/image1.jpeg"/><Relationship Id="rId6" Type="http://schemas.openxmlformats.org/officeDocument/2006/relationships/hyperlink" Target="#'LLLC &amp; Ext. NLC'!_LLLC_Top"/><Relationship Id="rId11" Type="http://schemas.openxmlformats.org/officeDocument/2006/relationships/hyperlink" Target="#_Terms_8_Invoice"/><Relationship Id="rId5" Type="http://schemas.openxmlformats.org/officeDocument/2006/relationships/hyperlink" Target="#'Grant QC Review'!A18"/><Relationship Id="rId15" Type="http://schemas.openxmlformats.org/officeDocument/2006/relationships/hyperlink" Target="#_Terms_5_Incentives"/><Relationship Id="rId10" Type="http://schemas.openxmlformats.org/officeDocument/2006/relationships/hyperlink" Target="#_Terms_6_Specifications"/><Relationship Id="rId4" Type="http://schemas.openxmlformats.org/officeDocument/2006/relationships/hyperlink" Target="#Signature_Top"/><Relationship Id="rId9" Type="http://schemas.openxmlformats.org/officeDocument/2006/relationships/hyperlink" Target="#_Terms_4_Customers"/><Relationship Id="rId14" Type="http://schemas.openxmlformats.org/officeDocument/2006/relationships/hyperlink" Target="#_Terms_3_Submittals"/></Relationships>
</file>

<file path=xl/drawings/_rels/drawing10.xml.rels><?xml version="1.0" encoding="UTF-8" standalone="yes"?>
<Relationships xmlns="http://schemas.openxmlformats.org/package/2006/relationships"><Relationship Id="rId8" Type="http://schemas.openxmlformats.org/officeDocument/2006/relationships/hyperlink" Target="#_Terms_1_Top"/><Relationship Id="rId13" Type="http://schemas.openxmlformats.org/officeDocument/2006/relationships/hyperlink" Target="#_QC_LLLC_Form2"/><Relationship Id="rId3" Type="http://schemas.openxmlformats.org/officeDocument/2006/relationships/hyperlink" Target="#_QC_LLLC_Top"/><Relationship Id="rId7" Type="http://schemas.openxmlformats.org/officeDocument/2006/relationships/hyperlink" Target="#'LLLC &amp; Ext. NLC'!_LLLC_Top"/><Relationship Id="rId12" Type="http://schemas.openxmlformats.org/officeDocument/2006/relationships/hyperlink" Target="#'LLLC Grant QC Review'!B470"/><Relationship Id="rId2" Type="http://schemas.openxmlformats.org/officeDocument/2006/relationships/image" Target="../media/image1.jpeg"/><Relationship Id="rId1" Type="http://schemas.openxmlformats.org/officeDocument/2006/relationships/image" Target="../media/image6.jpeg"/><Relationship Id="rId6" Type="http://schemas.openxmlformats.org/officeDocument/2006/relationships/hyperlink" Target="#_QC_Top"/><Relationship Id="rId11" Type="http://schemas.openxmlformats.org/officeDocument/2006/relationships/hyperlink" Target="#_QC_LLLC_Form3"/><Relationship Id="rId5" Type="http://schemas.openxmlformats.org/officeDocument/2006/relationships/hyperlink" Target="#Signature_Top"/><Relationship Id="rId10" Type="http://schemas.openxmlformats.org/officeDocument/2006/relationships/hyperlink" Target="#_Install_Top"/><Relationship Id="rId4" Type="http://schemas.openxmlformats.org/officeDocument/2006/relationships/hyperlink" Target="#_Fixture_1_Top"/><Relationship Id="rId9" Type="http://schemas.openxmlformats.org/officeDocument/2006/relationships/hyperlink" Target="#_Project_1_Top"/></Relationships>
</file>

<file path=xl/drawings/_rels/drawing2.xml.rels><?xml version="1.0" encoding="UTF-8" standalone="yes"?>
<Relationships xmlns="http://schemas.openxmlformats.org/package/2006/relationships"><Relationship Id="rId8" Type="http://schemas.openxmlformats.org/officeDocument/2006/relationships/hyperlink" Target="#_Project_3_Name"/><Relationship Id="rId13" Type="http://schemas.openxmlformats.org/officeDocument/2006/relationships/hyperlink" Target="#'LLLC &amp; Ext. NLC'!_LLLC_Top"/><Relationship Id="rId3" Type="http://schemas.openxmlformats.org/officeDocument/2006/relationships/hyperlink" Target="#_Project_4_Owner"/><Relationship Id="rId7" Type="http://schemas.openxmlformats.org/officeDocument/2006/relationships/hyperlink" Target="#Project!B20"/><Relationship Id="rId12" Type="http://schemas.openxmlformats.org/officeDocument/2006/relationships/hyperlink" Target="#'Grant QC Review'!A18"/><Relationship Id="rId2" Type="http://schemas.openxmlformats.org/officeDocument/2006/relationships/hyperlink" Target="#_Project_1_Top"/><Relationship Id="rId1" Type="http://schemas.openxmlformats.org/officeDocument/2006/relationships/image" Target="../media/image1.jpeg"/><Relationship Id="rId6" Type="http://schemas.openxmlformats.org/officeDocument/2006/relationships/hyperlink" Target="#_Project_Submitter"/><Relationship Id="rId11" Type="http://schemas.openxmlformats.org/officeDocument/2006/relationships/hyperlink" Target="#Signature_Top"/><Relationship Id="rId5" Type="http://schemas.openxmlformats.org/officeDocument/2006/relationships/hyperlink" Target="#_Project_7_Contractor"/><Relationship Id="rId15" Type="http://schemas.openxmlformats.org/officeDocument/2006/relationships/hyperlink" Target="#_Install_Top"/><Relationship Id="rId10" Type="http://schemas.openxmlformats.org/officeDocument/2006/relationships/hyperlink" Target="#_Fixture_1_Top"/><Relationship Id="rId4" Type="http://schemas.openxmlformats.org/officeDocument/2006/relationships/hyperlink" Target="#_Project_6_Notes"/><Relationship Id="rId9" Type="http://schemas.openxmlformats.org/officeDocument/2006/relationships/hyperlink" Target="#_Project_5_Hours"/><Relationship Id="rId14" Type="http://schemas.openxmlformats.org/officeDocument/2006/relationships/hyperlink" Target="#_Terms_1_Top"/></Relationships>
</file>

<file path=xl/drawings/_rels/drawing3.xml.rels><?xml version="1.0" encoding="UTF-8" standalone="yes"?>
<Relationships xmlns="http://schemas.openxmlformats.org/package/2006/relationships"><Relationship Id="rId8" Type="http://schemas.openxmlformats.org/officeDocument/2006/relationships/hyperlink" Target="#'LLLC &amp; Ext. NLC'!_LLLC_Top"/><Relationship Id="rId13" Type="http://schemas.openxmlformats.org/officeDocument/2006/relationships/hyperlink" Target="#_Fixture_3_10"/><Relationship Id="rId18" Type="http://schemas.openxmlformats.org/officeDocument/2006/relationships/hyperlink" Target="#_Fixture_6_N10"/><Relationship Id="rId3" Type="http://schemas.openxmlformats.org/officeDocument/2006/relationships/image" Target="../media/image1.jpeg"/><Relationship Id="rId21" Type="http://schemas.openxmlformats.org/officeDocument/2006/relationships/hyperlink" Target="#_Fixture_6_N40"/><Relationship Id="rId7" Type="http://schemas.openxmlformats.org/officeDocument/2006/relationships/hyperlink" Target="#'Grant QC Review'!A18"/><Relationship Id="rId12" Type="http://schemas.openxmlformats.org/officeDocument/2006/relationships/hyperlink" Target="#_Fixture_3_01"/><Relationship Id="rId17" Type="http://schemas.openxmlformats.org/officeDocument/2006/relationships/hyperlink" Target="#_Fixture_6_N01"/><Relationship Id="rId2" Type="http://schemas.openxmlformats.org/officeDocument/2006/relationships/hyperlink" Target="#_Fixture_2_Existing"/><Relationship Id="rId16" Type="http://schemas.openxmlformats.org/officeDocument/2006/relationships/hyperlink" Target="#_Fixture_4_Help"/><Relationship Id="rId20" Type="http://schemas.openxmlformats.org/officeDocument/2006/relationships/hyperlink" Target="#_Fixture_6_N30"/><Relationship Id="rId1" Type="http://schemas.openxmlformats.org/officeDocument/2006/relationships/image" Target="../media/image2.jpeg"/><Relationship Id="rId6" Type="http://schemas.openxmlformats.org/officeDocument/2006/relationships/hyperlink" Target="#Signature_Top"/><Relationship Id="rId11" Type="http://schemas.openxmlformats.org/officeDocument/2006/relationships/hyperlink" Target="#_Install_Top"/><Relationship Id="rId5" Type="http://schemas.openxmlformats.org/officeDocument/2006/relationships/hyperlink" Target="#_Fixture_1_Top"/><Relationship Id="rId15" Type="http://schemas.openxmlformats.org/officeDocument/2006/relationships/hyperlink" Target="#_Fixture_3_30"/><Relationship Id="rId10" Type="http://schemas.openxmlformats.org/officeDocument/2006/relationships/hyperlink" Target="#_Project_1_Top"/><Relationship Id="rId19" Type="http://schemas.openxmlformats.org/officeDocument/2006/relationships/hyperlink" Target="#_Fixture_6_N20"/><Relationship Id="rId4" Type="http://schemas.openxmlformats.org/officeDocument/2006/relationships/hyperlink" Target="#_Fixture_5_New"/><Relationship Id="rId9" Type="http://schemas.openxmlformats.org/officeDocument/2006/relationships/hyperlink" Target="#_Terms_1_Top"/><Relationship Id="rId14" Type="http://schemas.openxmlformats.org/officeDocument/2006/relationships/hyperlink" Target="#_Fixture_3_20"/><Relationship Id="rId22" Type="http://schemas.openxmlformats.org/officeDocument/2006/relationships/hyperlink" Target="#_Fixture_7_Help"/></Relationships>
</file>

<file path=xl/drawings/_rels/drawing4.xml.rels><?xml version="1.0" encoding="UTF-8" standalone="yes"?>
<Relationships xmlns="http://schemas.openxmlformats.org/package/2006/relationships"><Relationship Id="rId8" Type="http://schemas.openxmlformats.org/officeDocument/2006/relationships/hyperlink" Target="#_Terms_1_Top"/><Relationship Id="rId13" Type="http://schemas.openxmlformats.org/officeDocument/2006/relationships/hyperlink" Target="#_Install_2_Supplemental_Info"/><Relationship Id="rId18" Type="http://schemas.openxmlformats.org/officeDocument/2006/relationships/hyperlink" Target="#_Install_41"/><Relationship Id="rId3" Type="http://schemas.openxmlformats.org/officeDocument/2006/relationships/hyperlink" Target="#Install_Top"/><Relationship Id="rId21" Type="http://schemas.openxmlformats.org/officeDocument/2006/relationships/hyperlink" Target="#_Install_56"/><Relationship Id="rId7" Type="http://schemas.openxmlformats.org/officeDocument/2006/relationships/hyperlink" Target="#'LLLC &amp; Ext. NLC'!_LLLC_Top"/><Relationship Id="rId12" Type="http://schemas.openxmlformats.org/officeDocument/2006/relationships/hyperlink" Target="#Installations!C434"/><Relationship Id="rId17" Type="http://schemas.openxmlformats.org/officeDocument/2006/relationships/hyperlink" Target="#Installations!C158"/><Relationship Id="rId25" Type="http://schemas.openxmlformats.org/officeDocument/2006/relationships/image" Target="../media/image3.png"/><Relationship Id="rId2" Type="http://schemas.openxmlformats.org/officeDocument/2006/relationships/hyperlink" Target="#_Install_Top"/><Relationship Id="rId16" Type="http://schemas.openxmlformats.org/officeDocument/2006/relationships/hyperlink" Target="#_Install_26"/><Relationship Id="rId20" Type="http://schemas.openxmlformats.org/officeDocument/2006/relationships/hyperlink" Target="#Installations!E20"/><Relationship Id="rId1" Type="http://schemas.openxmlformats.org/officeDocument/2006/relationships/image" Target="../media/image1.jpeg"/><Relationship Id="rId6" Type="http://schemas.openxmlformats.org/officeDocument/2006/relationships/hyperlink" Target="#'Grant QC Review'!A18"/><Relationship Id="rId11" Type="http://schemas.openxmlformats.org/officeDocument/2006/relationships/hyperlink" Target="#_Install_86"/><Relationship Id="rId24" Type="http://schemas.openxmlformats.org/officeDocument/2006/relationships/hyperlink" Target="#Installations!G40"/><Relationship Id="rId5" Type="http://schemas.openxmlformats.org/officeDocument/2006/relationships/hyperlink" Target="#Signature_Top"/><Relationship Id="rId15" Type="http://schemas.openxmlformats.org/officeDocument/2006/relationships/hyperlink" Target="#_Install_11"/><Relationship Id="rId23" Type="http://schemas.openxmlformats.org/officeDocument/2006/relationships/hyperlink" Target="#_Install_1"/><Relationship Id="rId10" Type="http://schemas.openxmlformats.org/officeDocument/2006/relationships/hyperlink" Target="#_Install_71"/><Relationship Id="rId19" Type="http://schemas.openxmlformats.org/officeDocument/2006/relationships/hyperlink" Target="#Installations!C227"/><Relationship Id="rId4" Type="http://schemas.openxmlformats.org/officeDocument/2006/relationships/hyperlink" Target="#_Fixture_1_Top"/><Relationship Id="rId9" Type="http://schemas.openxmlformats.org/officeDocument/2006/relationships/hyperlink" Target="#_Project_1_Top"/><Relationship Id="rId14" Type="http://schemas.openxmlformats.org/officeDocument/2006/relationships/hyperlink" Target="#Installations!A1"/><Relationship Id="rId22" Type="http://schemas.openxmlformats.org/officeDocument/2006/relationships/hyperlink" Target="#Installations!C296"/></Relationships>
</file>

<file path=xl/drawings/_rels/drawing5.xml.rels><?xml version="1.0" encoding="UTF-8" standalone="yes"?>
<Relationships xmlns="http://schemas.openxmlformats.org/package/2006/relationships"><Relationship Id="rId8" Type="http://schemas.openxmlformats.org/officeDocument/2006/relationships/hyperlink" Target="#_Fixture_1_Top"/><Relationship Id="rId13" Type="http://schemas.openxmlformats.org/officeDocument/2006/relationships/hyperlink" Target="#'Customer Authorization'!AH57"/><Relationship Id="rId3" Type="http://schemas.openxmlformats.org/officeDocument/2006/relationships/image" Target="../media/image4.png"/><Relationship Id="rId7" Type="http://schemas.openxmlformats.org/officeDocument/2006/relationships/hyperlink" Target="#Signature_Top"/><Relationship Id="rId12" Type="http://schemas.openxmlformats.org/officeDocument/2006/relationships/hyperlink" Target="#_Install_Top"/><Relationship Id="rId17" Type="http://schemas.openxmlformats.org/officeDocument/2006/relationships/hyperlink" Target="#'Customer Authorization'!AE81"/><Relationship Id="rId2" Type="http://schemas.openxmlformats.org/officeDocument/2006/relationships/hyperlink" Target="#Signature!B40"/><Relationship Id="rId16" Type="http://schemas.openxmlformats.org/officeDocument/2006/relationships/hyperlink" Target="#'Customer Authorization'!V57"/><Relationship Id="rId1" Type="http://schemas.openxmlformats.org/officeDocument/2006/relationships/image" Target="../media/image1.jpeg"/><Relationship Id="rId6" Type="http://schemas.openxmlformats.org/officeDocument/2006/relationships/hyperlink" Target="#Signature!B132"/><Relationship Id="rId11" Type="http://schemas.openxmlformats.org/officeDocument/2006/relationships/hyperlink" Target="#_Project_1_Top"/><Relationship Id="rId5" Type="http://schemas.openxmlformats.org/officeDocument/2006/relationships/hyperlink" Target="#'Grant QC Review'!A18"/><Relationship Id="rId15" Type="http://schemas.openxmlformats.org/officeDocument/2006/relationships/hyperlink" Target="#'Customer Authorization'!E45"/><Relationship Id="rId10" Type="http://schemas.openxmlformats.org/officeDocument/2006/relationships/hyperlink" Target="#_Terms_1_Top"/><Relationship Id="rId4" Type="http://schemas.openxmlformats.org/officeDocument/2006/relationships/image" Target="../media/image5.png"/><Relationship Id="rId9" Type="http://schemas.openxmlformats.org/officeDocument/2006/relationships/hyperlink" Target="#'LLLC &amp; Ext. NLC'!_LLLC_Top"/><Relationship Id="rId14" Type="http://schemas.openxmlformats.org/officeDocument/2006/relationships/hyperlink" Target="#'Customer Authorization'!AE108"/></Relationships>
</file>

<file path=xl/drawings/_rels/drawing6.xml.rels><?xml version="1.0" encoding="UTF-8" standalone="yes"?>
<Relationships xmlns="http://schemas.openxmlformats.org/package/2006/relationships"><Relationship Id="rId2" Type="http://schemas.openxmlformats.org/officeDocument/2006/relationships/hyperlink" Target="#Project_New_Fixtures"/><Relationship Id="rId1" Type="http://schemas.openxmlformats.org/officeDocument/2006/relationships/hyperlink" Target="#Project_Exist_Fixtures"/></Relationships>
</file>

<file path=xl/drawings/_rels/drawing7.xml.rels><?xml version="1.0" encoding="UTF-8" standalone="yes"?>
<Relationships xmlns="http://schemas.openxmlformats.org/package/2006/relationships"><Relationship Id="rId8" Type="http://schemas.openxmlformats.org/officeDocument/2006/relationships/hyperlink" Target="#Installations!B34"/><Relationship Id="rId3" Type="http://schemas.openxmlformats.org/officeDocument/2006/relationships/hyperlink" Target="#Fixtures!A24"/><Relationship Id="rId7" Type="http://schemas.openxmlformats.org/officeDocument/2006/relationships/hyperlink" Target="#_Project_1_Top"/><Relationship Id="rId2" Type="http://schemas.openxmlformats.org/officeDocument/2006/relationships/hyperlink" Target="#Ready!_Ready_Top"/><Relationship Id="rId1" Type="http://schemas.openxmlformats.org/officeDocument/2006/relationships/image" Target="../media/image1.jpeg"/><Relationship Id="rId6" Type="http://schemas.openxmlformats.org/officeDocument/2006/relationships/hyperlink" Target="#_Terms_1_Top"/><Relationship Id="rId5" Type="http://schemas.openxmlformats.org/officeDocument/2006/relationships/hyperlink" Target="#'Grant QC Review'!A18"/><Relationship Id="rId4" Type="http://schemas.openxmlformats.org/officeDocument/2006/relationships/hyperlink" Target="#Signature_Top"/></Relationships>
</file>

<file path=xl/drawings/_rels/drawing8.xml.rels><?xml version="1.0" encoding="UTF-8" standalone="yes"?>
<Relationships xmlns="http://schemas.openxmlformats.org/package/2006/relationships"><Relationship Id="rId8" Type="http://schemas.openxmlformats.org/officeDocument/2006/relationships/hyperlink" Target="#_Install_Top"/><Relationship Id="rId13" Type="http://schemas.openxmlformats.org/officeDocument/2006/relationships/hyperlink" Target="#_LLLC_Process"/><Relationship Id="rId3" Type="http://schemas.openxmlformats.org/officeDocument/2006/relationships/hyperlink" Target="#Fixtures!A24"/><Relationship Id="rId7" Type="http://schemas.openxmlformats.org/officeDocument/2006/relationships/hyperlink" Target="#_Project_1_Top"/><Relationship Id="rId12" Type="http://schemas.openxmlformats.org/officeDocument/2006/relationships/hyperlink" Target="#_LLLC_Bouns"/><Relationship Id="rId2" Type="http://schemas.openxmlformats.org/officeDocument/2006/relationships/hyperlink" Target="#'LLLC &amp; Ext. NLC'!_LLLC_Top"/><Relationship Id="rId1" Type="http://schemas.openxmlformats.org/officeDocument/2006/relationships/image" Target="../media/image1.jpeg"/><Relationship Id="rId6" Type="http://schemas.openxmlformats.org/officeDocument/2006/relationships/hyperlink" Target="#_Terms_1_Top"/><Relationship Id="rId11" Type="http://schemas.openxmlformats.org/officeDocument/2006/relationships/hyperlink" Target="#_LLLC_Data_Monitoring"/><Relationship Id="rId5" Type="http://schemas.openxmlformats.org/officeDocument/2006/relationships/hyperlink" Target="#'Grant QC Review'!A18"/><Relationship Id="rId10" Type="http://schemas.openxmlformats.org/officeDocument/2006/relationships/hyperlink" Target="#_LLLC_Task_Tuning"/><Relationship Id="rId4" Type="http://schemas.openxmlformats.org/officeDocument/2006/relationships/hyperlink" Target="#Signature_Top"/><Relationship Id="rId9" Type="http://schemas.openxmlformats.org/officeDocument/2006/relationships/hyperlink" Target="#_LLLC_Occupancy_Sensor"/><Relationship Id="rId14" Type="http://schemas.openxmlformats.org/officeDocument/2006/relationships/hyperlink" Target="#_LLLC_Daylight_Sensor"/></Relationships>
</file>

<file path=xl/drawings/_rels/drawing9.xml.rels><?xml version="1.0" encoding="UTF-8" standalone="yes"?>
<Relationships xmlns="http://schemas.openxmlformats.org/package/2006/relationships"><Relationship Id="rId8" Type="http://schemas.openxmlformats.org/officeDocument/2006/relationships/hyperlink" Target="#_Project_1_Top"/><Relationship Id="rId13" Type="http://schemas.openxmlformats.org/officeDocument/2006/relationships/hyperlink" Target="#_QC_Project"/><Relationship Id="rId3" Type="http://schemas.openxmlformats.org/officeDocument/2006/relationships/hyperlink" Target="#_QC_Top"/><Relationship Id="rId7" Type="http://schemas.openxmlformats.org/officeDocument/2006/relationships/hyperlink" Target="#_Terms_1_Top"/><Relationship Id="rId12" Type="http://schemas.openxmlformats.org/officeDocument/2006/relationships/hyperlink" Target="#_QC_LLLC_Top"/><Relationship Id="rId2" Type="http://schemas.openxmlformats.org/officeDocument/2006/relationships/image" Target="../media/image1.jpeg"/><Relationship Id="rId1" Type="http://schemas.openxmlformats.org/officeDocument/2006/relationships/image" Target="../media/image6.jpeg"/><Relationship Id="rId6" Type="http://schemas.openxmlformats.org/officeDocument/2006/relationships/hyperlink" Target="#'LLLC &amp; Ext. NLC'!_LLLC_Top"/><Relationship Id="rId11" Type="http://schemas.openxmlformats.org/officeDocument/2006/relationships/hyperlink" Target="#'Grant QC Review'!B470"/><Relationship Id="rId5" Type="http://schemas.openxmlformats.org/officeDocument/2006/relationships/hyperlink" Target="#Signature_Top"/><Relationship Id="rId15" Type="http://schemas.openxmlformats.org/officeDocument/2006/relationships/hyperlink" Target="#_QC_Form2"/><Relationship Id="rId10" Type="http://schemas.openxmlformats.org/officeDocument/2006/relationships/hyperlink" Target="#_QC_Form3"/><Relationship Id="rId4" Type="http://schemas.openxmlformats.org/officeDocument/2006/relationships/hyperlink" Target="#_Fixture_1_Top"/><Relationship Id="rId9" Type="http://schemas.openxmlformats.org/officeDocument/2006/relationships/hyperlink" Target="#_Install_Top"/><Relationship Id="rId14" Type="http://schemas.openxmlformats.org/officeDocument/2006/relationships/hyperlink" Target="#_QC_Grant"/></Relationships>
</file>

<file path=xl/drawings/drawing1.xml><?xml version="1.0" encoding="utf-8"?>
<xdr:wsDr xmlns:xdr="http://schemas.openxmlformats.org/drawingml/2006/spreadsheetDrawing" xmlns:a="http://schemas.openxmlformats.org/drawingml/2006/main">
  <xdr:twoCellAnchor>
    <xdr:from>
      <xdr:col>32</xdr:col>
      <xdr:colOff>4309</xdr:colOff>
      <xdr:row>0</xdr:row>
      <xdr:rowOff>0</xdr:rowOff>
    </xdr:from>
    <xdr:to>
      <xdr:col>39</xdr:col>
      <xdr:colOff>0</xdr:colOff>
      <xdr:row>17</xdr:row>
      <xdr:rowOff>0</xdr:rowOff>
    </xdr:to>
    <xdr:grpSp>
      <xdr:nvGrpSpPr>
        <xdr:cNvPr id="97" name="Group 96">
          <a:extLst>
            <a:ext uri="{FF2B5EF4-FFF2-40B4-BE49-F238E27FC236}">
              <a16:creationId xmlns:a16="http://schemas.microsoft.com/office/drawing/2014/main" id="{00000000-0008-0000-0000-000061000000}"/>
            </a:ext>
          </a:extLst>
        </xdr:cNvPr>
        <xdr:cNvGrpSpPr/>
      </xdr:nvGrpSpPr>
      <xdr:grpSpPr>
        <a:xfrm>
          <a:off x="9819252" y="0"/>
          <a:ext cx="2027691" cy="2051170"/>
          <a:chOff x="373063" y="0"/>
          <a:chExt cx="1976437" cy="2024063"/>
        </a:xfrm>
      </xdr:grpSpPr>
      <xdr:sp macro="" textlink="">
        <xdr:nvSpPr>
          <xdr:cNvPr id="98" name="Rectangle 97">
            <a:extLst>
              <a:ext uri="{FF2B5EF4-FFF2-40B4-BE49-F238E27FC236}">
                <a16:creationId xmlns:a16="http://schemas.microsoft.com/office/drawing/2014/main" id="{00000000-0008-0000-0000-00006200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99" name="Group 98">
            <a:extLst>
              <a:ext uri="{FF2B5EF4-FFF2-40B4-BE49-F238E27FC236}">
                <a16:creationId xmlns:a16="http://schemas.microsoft.com/office/drawing/2014/main" id="{00000000-0008-0000-0000-000063000000}"/>
              </a:ext>
            </a:extLst>
          </xdr:cNvPr>
          <xdr:cNvGrpSpPr/>
        </xdr:nvGrpSpPr>
        <xdr:grpSpPr>
          <a:xfrm>
            <a:off x="428625" y="301625"/>
            <a:ext cx="1861754" cy="188857"/>
            <a:chOff x="426983" y="303815"/>
            <a:chExt cx="1847521" cy="188857"/>
          </a:xfrm>
        </xdr:grpSpPr>
        <xdr:cxnSp macro="">
          <xdr:nvCxnSpPr>
            <xdr:cNvPr id="130" name="Straight Connector 129">
              <a:extLst>
                <a:ext uri="{FF2B5EF4-FFF2-40B4-BE49-F238E27FC236}">
                  <a16:creationId xmlns:a16="http://schemas.microsoft.com/office/drawing/2014/main" id="{00000000-0008-0000-0000-000082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1" name="Straight Connector 130">
              <a:extLst>
                <a:ext uri="{FF2B5EF4-FFF2-40B4-BE49-F238E27FC236}">
                  <a16:creationId xmlns:a16="http://schemas.microsoft.com/office/drawing/2014/main" id="{00000000-0008-0000-0000-000083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2" name="Straight Connector 131">
              <a:extLst>
                <a:ext uri="{FF2B5EF4-FFF2-40B4-BE49-F238E27FC236}">
                  <a16:creationId xmlns:a16="http://schemas.microsoft.com/office/drawing/2014/main" id="{00000000-0008-0000-0000-000084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33" name="Straight Connector 132">
              <a:extLst>
                <a:ext uri="{FF2B5EF4-FFF2-40B4-BE49-F238E27FC236}">
                  <a16:creationId xmlns:a16="http://schemas.microsoft.com/office/drawing/2014/main" id="{00000000-0008-0000-0000-000085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00" name="Group 99">
            <a:extLst>
              <a:ext uri="{FF2B5EF4-FFF2-40B4-BE49-F238E27FC236}">
                <a16:creationId xmlns:a16="http://schemas.microsoft.com/office/drawing/2014/main" id="{00000000-0008-0000-0000-000064000000}"/>
              </a:ext>
            </a:extLst>
          </xdr:cNvPr>
          <xdr:cNvGrpSpPr/>
        </xdr:nvGrpSpPr>
        <xdr:grpSpPr>
          <a:xfrm>
            <a:off x="428625" y="547689"/>
            <a:ext cx="1861754" cy="190499"/>
            <a:chOff x="426983" y="303815"/>
            <a:chExt cx="1847521" cy="188857"/>
          </a:xfrm>
        </xdr:grpSpPr>
        <xdr:cxnSp macro="">
          <xdr:nvCxnSpPr>
            <xdr:cNvPr id="126" name="Straight Connector 125">
              <a:extLst>
                <a:ext uri="{FF2B5EF4-FFF2-40B4-BE49-F238E27FC236}">
                  <a16:creationId xmlns:a16="http://schemas.microsoft.com/office/drawing/2014/main" id="{00000000-0008-0000-0000-00007E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7" name="Straight Connector 126">
              <a:extLst>
                <a:ext uri="{FF2B5EF4-FFF2-40B4-BE49-F238E27FC236}">
                  <a16:creationId xmlns:a16="http://schemas.microsoft.com/office/drawing/2014/main" id="{00000000-0008-0000-0000-00007F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8" name="Straight Connector 127">
              <a:extLst>
                <a:ext uri="{FF2B5EF4-FFF2-40B4-BE49-F238E27FC236}">
                  <a16:creationId xmlns:a16="http://schemas.microsoft.com/office/drawing/2014/main" id="{00000000-0008-0000-0000-000080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9" name="Straight Connector 128">
              <a:extLst>
                <a:ext uri="{FF2B5EF4-FFF2-40B4-BE49-F238E27FC236}">
                  <a16:creationId xmlns:a16="http://schemas.microsoft.com/office/drawing/2014/main" id="{00000000-0008-0000-0000-000081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01" name="Group 100">
            <a:extLst>
              <a:ext uri="{FF2B5EF4-FFF2-40B4-BE49-F238E27FC236}">
                <a16:creationId xmlns:a16="http://schemas.microsoft.com/office/drawing/2014/main" id="{00000000-0008-0000-0000-000065000000}"/>
              </a:ext>
            </a:extLst>
          </xdr:cNvPr>
          <xdr:cNvGrpSpPr/>
        </xdr:nvGrpSpPr>
        <xdr:grpSpPr>
          <a:xfrm>
            <a:off x="428625" y="793751"/>
            <a:ext cx="1861754" cy="190499"/>
            <a:chOff x="426983" y="303815"/>
            <a:chExt cx="1847521" cy="188857"/>
          </a:xfrm>
        </xdr:grpSpPr>
        <xdr:cxnSp macro="">
          <xdr:nvCxnSpPr>
            <xdr:cNvPr id="122" name="Straight Connector 121">
              <a:extLst>
                <a:ext uri="{FF2B5EF4-FFF2-40B4-BE49-F238E27FC236}">
                  <a16:creationId xmlns:a16="http://schemas.microsoft.com/office/drawing/2014/main" id="{00000000-0008-0000-0000-00007A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3" name="Straight Connector 122">
              <a:extLst>
                <a:ext uri="{FF2B5EF4-FFF2-40B4-BE49-F238E27FC236}">
                  <a16:creationId xmlns:a16="http://schemas.microsoft.com/office/drawing/2014/main" id="{00000000-0008-0000-0000-00007B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4" name="Straight Connector 123">
              <a:extLst>
                <a:ext uri="{FF2B5EF4-FFF2-40B4-BE49-F238E27FC236}">
                  <a16:creationId xmlns:a16="http://schemas.microsoft.com/office/drawing/2014/main" id="{00000000-0008-0000-0000-00007C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5" name="Straight Connector 124">
              <a:extLst>
                <a:ext uri="{FF2B5EF4-FFF2-40B4-BE49-F238E27FC236}">
                  <a16:creationId xmlns:a16="http://schemas.microsoft.com/office/drawing/2014/main" id="{00000000-0008-0000-0000-00007D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02" name="Group 101">
            <a:extLst>
              <a:ext uri="{FF2B5EF4-FFF2-40B4-BE49-F238E27FC236}">
                <a16:creationId xmlns:a16="http://schemas.microsoft.com/office/drawing/2014/main" id="{00000000-0008-0000-0000-000066000000}"/>
              </a:ext>
            </a:extLst>
          </xdr:cNvPr>
          <xdr:cNvGrpSpPr/>
        </xdr:nvGrpSpPr>
        <xdr:grpSpPr>
          <a:xfrm>
            <a:off x="428625" y="1041728"/>
            <a:ext cx="1861754" cy="186942"/>
            <a:chOff x="426983" y="303815"/>
            <a:chExt cx="1847521" cy="188857"/>
          </a:xfrm>
        </xdr:grpSpPr>
        <xdr:cxnSp macro="">
          <xdr:nvCxnSpPr>
            <xdr:cNvPr id="118" name="Straight Connector 117">
              <a:extLst>
                <a:ext uri="{FF2B5EF4-FFF2-40B4-BE49-F238E27FC236}">
                  <a16:creationId xmlns:a16="http://schemas.microsoft.com/office/drawing/2014/main" id="{00000000-0008-0000-0000-000076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9" name="Straight Connector 118">
              <a:extLst>
                <a:ext uri="{FF2B5EF4-FFF2-40B4-BE49-F238E27FC236}">
                  <a16:creationId xmlns:a16="http://schemas.microsoft.com/office/drawing/2014/main" id="{00000000-0008-0000-0000-000077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0" name="Straight Connector 119">
              <a:extLst>
                <a:ext uri="{FF2B5EF4-FFF2-40B4-BE49-F238E27FC236}">
                  <a16:creationId xmlns:a16="http://schemas.microsoft.com/office/drawing/2014/main" id="{00000000-0008-0000-0000-000078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1" name="Straight Connector 120">
              <a:extLst>
                <a:ext uri="{FF2B5EF4-FFF2-40B4-BE49-F238E27FC236}">
                  <a16:creationId xmlns:a16="http://schemas.microsoft.com/office/drawing/2014/main" id="{00000000-0008-0000-0000-000079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03" name="Group 102">
            <a:extLst>
              <a:ext uri="{FF2B5EF4-FFF2-40B4-BE49-F238E27FC236}">
                <a16:creationId xmlns:a16="http://schemas.microsoft.com/office/drawing/2014/main" id="{00000000-0008-0000-0000-000067000000}"/>
              </a:ext>
            </a:extLst>
          </xdr:cNvPr>
          <xdr:cNvGrpSpPr/>
        </xdr:nvGrpSpPr>
        <xdr:grpSpPr>
          <a:xfrm>
            <a:off x="428625" y="1285876"/>
            <a:ext cx="1861754" cy="188857"/>
            <a:chOff x="426983" y="303815"/>
            <a:chExt cx="1847521" cy="188857"/>
          </a:xfrm>
        </xdr:grpSpPr>
        <xdr:cxnSp macro="">
          <xdr:nvCxnSpPr>
            <xdr:cNvPr id="114" name="Straight Connector 113">
              <a:extLst>
                <a:ext uri="{FF2B5EF4-FFF2-40B4-BE49-F238E27FC236}">
                  <a16:creationId xmlns:a16="http://schemas.microsoft.com/office/drawing/2014/main" id="{00000000-0008-0000-0000-000072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5" name="Straight Connector 114">
              <a:extLst>
                <a:ext uri="{FF2B5EF4-FFF2-40B4-BE49-F238E27FC236}">
                  <a16:creationId xmlns:a16="http://schemas.microsoft.com/office/drawing/2014/main" id="{00000000-0008-0000-0000-000073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6" name="Straight Connector 115">
              <a:extLst>
                <a:ext uri="{FF2B5EF4-FFF2-40B4-BE49-F238E27FC236}">
                  <a16:creationId xmlns:a16="http://schemas.microsoft.com/office/drawing/2014/main" id="{00000000-0008-0000-0000-000074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7" name="Straight Connector 116">
              <a:extLst>
                <a:ext uri="{FF2B5EF4-FFF2-40B4-BE49-F238E27FC236}">
                  <a16:creationId xmlns:a16="http://schemas.microsoft.com/office/drawing/2014/main" id="{00000000-0008-0000-0000-000075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04" name="Group 103">
            <a:extLst>
              <a:ext uri="{FF2B5EF4-FFF2-40B4-BE49-F238E27FC236}">
                <a16:creationId xmlns:a16="http://schemas.microsoft.com/office/drawing/2014/main" id="{00000000-0008-0000-0000-000068000000}"/>
              </a:ext>
            </a:extLst>
          </xdr:cNvPr>
          <xdr:cNvGrpSpPr/>
        </xdr:nvGrpSpPr>
        <xdr:grpSpPr>
          <a:xfrm>
            <a:off x="428625" y="1531938"/>
            <a:ext cx="1861754" cy="188857"/>
            <a:chOff x="426983" y="303815"/>
            <a:chExt cx="1847521" cy="188857"/>
          </a:xfrm>
        </xdr:grpSpPr>
        <xdr:cxnSp macro="">
          <xdr:nvCxnSpPr>
            <xdr:cNvPr id="110" name="Straight Connector 109">
              <a:extLst>
                <a:ext uri="{FF2B5EF4-FFF2-40B4-BE49-F238E27FC236}">
                  <a16:creationId xmlns:a16="http://schemas.microsoft.com/office/drawing/2014/main" id="{00000000-0008-0000-0000-00006E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1" name="Straight Connector 110">
              <a:extLst>
                <a:ext uri="{FF2B5EF4-FFF2-40B4-BE49-F238E27FC236}">
                  <a16:creationId xmlns:a16="http://schemas.microsoft.com/office/drawing/2014/main" id="{00000000-0008-0000-0000-00006F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2" name="Straight Connector 111">
              <a:extLst>
                <a:ext uri="{FF2B5EF4-FFF2-40B4-BE49-F238E27FC236}">
                  <a16:creationId xmlns:a16="http://schemas.microsoft.com/office/drawing/2014/main" id="{00000000-0008-0000-0000-000070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3" name="Straight Connector 112">
              <a:extLst>
                <a:ext uri="{FF2B5EF4-FFF2-40B4-BE49-F238E27FC236}">
                  <a16:creationId xmlns:a16="http://schemas.microsoft.com/office/drawing/2014/main" id="{00000000-0008-0000-0000-000071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05" name="Group 104">
            <a:extLst>
              <a:ext uri="{FF2B5EF4-FFF2-40B4-BE49-F238E27FC236}">
                <a16:creationId xmlns:a16="http://schemas.microsoft.com/office/drawing/2014/main" id="{00000000-0008-0000-0000-000069000000}"/>
              </a:ext>
            </a:extLst>
          </xdr:cNvPr>
          <xdr:cNvGrpSpPr/>
        </xdr:nvGrpSpPr>
        <xdr:grpSpPr>
          <a:xfrm>
            <a:off x="428625" y="1778001"/>
            <a:ext cx="1861754" cy="190499"/>
            <a:chOff x="426983" y="303815"/>
            <a:chExt cx="1847521" cy="188857"/>
          </a:xfrm>
        </xdr:grpSpPr>
        <xdr:cxnSp macro="">
          <xdr:nvCxnSpPr>
            <xdr:cNvPr id="106" name="Straight Connector 105">
              <a:extLst>
                <a:ext uri="{FF2B5EF4-FFF2-40B4-BE49-F238E27FC236}">
                  <a16:creationId xmlns:a16="http://schemas.microsoft.com/office/drawing/2014/main" id="{00000000-0008-0000-0000-00006A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7" name="Straight Connector 106">
              <a:extLst>
                <a:ext uri="{FF2B5EF4-FFF2-40B4-BE49-F238E27FC236}">
                  <a16:creationId xmlns:a16="http://schemas.microsoft.com/office/drawing/2014/main" id="{00000000-0008-0000-0000-00006B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8" name="Straight Connector 107">
              <a:extLst>
                <a:ext uri="{FF2B5EF4-FFF2-40B4-BE49-F238E27FC236}">
                  <a16:creationId xmlns:a16="http://schemas.microsoft.com/office/drawing/2014/main" id="{00000000-0008-0000-0000-00006C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9" name="Straight Connector 108">
              <a:extLst>
                <a:ext uri="{FF2B5EF4-FFF2-40B4-BE49-F238E27FC236}">
                  <a16:creationId xmlns:a16="http://schemas.microsoft.com/office/drawing/2014/main" id="{00000000-0008-0000-0000-00006D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oneCellAnchor>
    <xdr:from>
      <xdr:col>18</xdr:col>
      <xdr:colOff>0</xdr:colOff>
      <xdr:row>1</xdr:row>
      <xdr:rowOff>0</xdr:rowOff>
    </xdr:from>
    <xdr:ext cx="1196164" cy="555416"/>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14950" y="57150"/>
          <a:ext cx="1196164" cy="555416"/>
        </a:xfrm>
        <a:prstGeom prst="rect">
          <a:avLst/>
        </a:prstGeom>
      </xdr:spPr>
    </xdr:pic>
    <xdr:clientData/>
  </xdr:oneCellAnchor>
  <xdr:twoCellAnchor>
    <xdr:from>
      <xdr:col>1</xdr:col>
      <xdr:colOff>1134</xdr:colOff>
      <xdr:row>0</xdr:row>
      <xdr:rowOff>0</xdr:rowOff>
    </xdr:from>
    <xdr:to>
      <xdr:col>8</xdr:col>
      <xdr:colOff>1814</xdr:colOff>
      <xdr:row>17</xdr:row>
      <xdr:rowOff>0</xdr:rowOff>
    </xdr:to>
    <xdr:grpSp>
      <xdr:nvGrpSpPr>
        <xdr:cNvPr id="171" name="Group 170">
          <a:extLst>
            <a:ext uri="{FF2B5EF4-FFF2-40B4-BE49-F238E27FC236}">
              <a16:creationId xmlns:a16="http://schemas.microsoft.com/office/drawing/2014/main" id="{00000000-0008-0000-0000-0000AB000000}"/>
            </a:ext>
          </a:extLst>
        </xdr:cNvPr>
        <xdr:cNvGrpSpPr/>
      </xdr:nvGrpSpPr>
      <xdr:grpSpPr>
        <a:xfrm>
          <a:off x="394115" y="0"/>
          <a:ext cx="2032680" cy="2051170"/>
          <a:chOff x="373063" y="0"/>
          <a:chExt cx="1976437" cy="2024063"/>
        </a:xfrm>
      </xdr:grpSpPr>
      <xdr:sp macro="" textlink="">
        <xdr:nvSpPr>
          <xdr:cNvPr id="172" name="Rectangle 171">
            <a:extLst>
              <a:ext uri="{FF2B5EF4-FFF2-40B4-BE49-F238E27FC236}">
                <a16:creationId xmlns:a16="http://schemas.microsoft.com/office/drawing/2014/main" id="{00000000-0008-0000-0000-0000AC00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73" name="Group 172">
            <a:extLst>
              <a:ext uri="{FF2B5EF4-FFF2-40B4-BE49-F238E27FC236}">
                <a16:creationId xmlns:a16="http://schemas.microsoft.com/office/drawing/2014/main" id="{00000000-0008-0000-0000-0000AD000000}"/>
              </a:ext>
            </a:extLst>
          </xdr:cNvPr>
          <xdr:cNvGrpSpPr/>
        </xdr:nvGrpSpPr>
        <xdr:grpSpPr>
          <a:xfrm>
            <a:off x="428625" y="301625"/>
            <a:ext cx="1861754" cy="188857"/>
            <a:chOff x="426983" y="303815"/>
            <a:chExt cx="1847521" cy="188857"/>
          </a:xfrm>
        </xdr:grpSpPr>
        <xdr:cxnSp macro="">
          <xdr:nvCxnSpPr>
            <xdr:cNvPr id="204" name="Straight Connector 203">
              <a:extLst>
                <a:ext uri="{FF2B5EF4-FFF2-40B4-BE49-F238E27FC236}">
                  <a16:creationId xmlns:a16="http://schemas.microsoft.com/office/drawing/2014/main" id="{00000000-0008-0000-0000-0000CC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5" name="Straight Connector 204">
              <a:extLst>
                <a:ext uri="{FF2B5EF4-FFF2-40B4-BE49-F238E27FC236}">
                  <a16:creationId xmlns:a16="http://schemas.microsoft.com/office/drawing/2014/main" id="{00000000-0008-0000-0000-0000CD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6" name="Straight Connector 205">
              <a:extLst>
                <a:ext uri="{FF2B5EF4-FFF2-40B4-BE49-F238E27FC236}">
                  <a16:creationId xmlns:a16="http://schemas.microsoft.com/office/drawing/2014/main" id="{00000000-0008-0000-0000-0000CE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07" name="Straight Connector 206">
              <a:extLst>
                <a:ext uri="{FF2B5EF4-FFF2-40B4-BE49-F238E27FC236}">
                  <a16:creationId xmlns:a16="http://schemas.microsoft.com/office/drawing/2014/main" id="{00000000-0008-0000-0000-0000CF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4" name="Group 173">
            <a:extLst>
              <a:ext uri="{FF2B5EF4-FFF2-40B4-BE49-F238E27FC236}">
                <a16:creationId xmlns:a16="http://schemas.microsoft.com/office/drawing/2014/main" id="{00000000-0008-0000-0000-0000AE000000}"/>
              </a:ext>
            </a:extLst>
          </xdr:cNvPr>
          <xdr:cNvGrpSpPr/>
        </xdr:nvGrpSpPr>
        <xdr:grpSpPr>
          <a:xfrm>
            <a:off x="428625" y="547689"/>
            <a:ext cx="1861754" cy="190499"/>
            <a:chOff x="426983" y="303815"/>
            <a:chExt cx="1847521" cy="188857"/>
          </a:xfrm>
        </xdr:grpSpPr>
        <xdr:cxnSp macro="">
          <xdr:nvCxnSpPr>
            <xdr:cNvPr id="200" name="Straight Connector 199">
              <a:extLst>
                <a:ext uri="{FF2B5EF4-FFF2-40B4-BE49-F238E27FC236}">
                  <a16:creationId xmlns:a16="http://schemas.microsoft.com/office/drawing/2014/main" id="{00000000-0008-0000-0000-0000C8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1" name="Straight Connector 200">
              <a:extLst>
                <a:ext uri="{FF2B5EF4-FFF2-40B4-BE49-F238E27FC236}">
                  <a16:creationId xmlns:a16="http://schemas.microsoft.com/office/drawing/2014/main" id="{00000000-0008-0000-0000-0000C9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2" name="Straight Connector 201">
              <a:extLst>
                <a:ext uri="{FF2B5EF4-FFF2-40B4-BE49-F238E27FC236}">
                  <a16:creationId xmlns:a16="http://schemas.microsoft.com/office/drawing/2014/main" id="{00000000-0008-0000-0000-0000CA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03" name="Straight Connector 202">
              <a:extLst>
                <a:ext uri="{FF2B5EF4-FFF2-40B4-BE49-F238E27FC236}">
                  <a16:creationId xmlns:a16="http://schemas.microsoft.com/office/drawing/2014/main" id="{00000000-0008-0000-0000-0000CB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5" name="Group 174">
            <a:extLst>
              <a:ext uri="{FF2B5EF4-FFF2-40B4-BE49-F238E27FC236}">
                <a16:creationId xmlns:a16="http://schemas.microsoft.com/office/drawing/2014/main" id="{00000000-0008-0000-0000-0000AF000000}"/>
              </a:ext>
            </a:extLst>
          </xdr:cNvPr>
          <xdr:cNvGrpSpPr/>
        </xdr:nvGrpSpPr>
        <xdr:grpSpPr>
          <a:xfrm>
            <a:off x="428625" y="793751"/>
            <a:ext cx="1861754" cy="190499"/>
            <a:chOff x="426983" y="303815"/>
            <a:chExt cx="1847521" cy="188857"/>
          </a:xfrm>
        </xdr:grpSpPr>
        <xdr:cxnSp macro="">
          <xdr:nvCxnSpPr>
            <xdr:cNvPr id="196" name="Straight Connector 195">
              <a:extLst>
                <a:ext uri="{FF2B5EF4-FFF2-40B4-BE49-F238E27FC236}">
                  <a16:creationId xmlns:a16="http://schemas.microsoft.com/office/drawing/2014/main" id="{00000000-0008-0000-0000-0000C4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7" name="Straight Connector 196">
              <a:extLst>
                <a:ext uri="{FF2B5EF4-FFF2-40B4-BE49-F238E27FC236}">
                  <a16:creationId xmlns:a16="http://schemas.microsoft.com/office/drawing/2014/main" id="{00000000-0008-0000-0000-0000C5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8" name="Straight Connector 197">
              <a:extLst>
                <a:ext uri="{FF2B5EF4-FFF2-40B4-BE49-F238E27FC236}">
                  <a16:creationId xmlns:a16="http://schemas.microsoft.com/office/drawing/2014/main" id="{00000000-0008-0000-0000-0000C6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99" name="Straight Connector 198">
              <a:extLst>
                <a:ext uri="{FF2B5EF4-FFF2-40B4-BE49-F238E27FC236}">
                  <a16:creationId xmlns:a16="http://schemas.microsoft.com/office/drawing/2014/main" id="{00000000-0008-0000-0000-0000C7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6" name="Group 175">
            <a:extLst>
              <a:ext uri="{FF2B5EF4-FFF2-40B4-BE49-F238E27FC236}">
                <a16:creationId xmlns:a16="http://schemas.microsoft.com/office/drawing/2014/main" id="{00000000-0008-0000-0000-0000B0000000}"/>
              </a:ext>
            </a:extLst>
          </xdr:cNvPr>
          <xdr:cNvGrpSpPr/>
        </xdr:nvGrpSpPr>
        <xdr:grpSpPr>
          <a:xfrm>
            <a:off x="428625" y="1041728"/>
            <a:ext cx="1861754" cy="186942"/>
            <a:chOff x="426983" y="303815"/>
            <a:chExt cx="1847521" cy="188857"/>
          </a:xfrm>
        </xdr:grpSpPr>
        <xdr:cxnSp macro="">
          <xdr:nvCxnSpPr>
            <xdr:cNvPr id="192" name="Straight Connector 191">
              <a:extLst>
                <a:ext uri="{FF2B5EF4-FFF2-40B4-BE49-F238E27FC236}">
                  <a16:creationId xmlns:a16="http://schemas.microsoft.com/office/drawing/2014/main" id="{00000000-0008-0000-0000-0000C0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3" name="Straight Connector 192">
              <a:extLst>
                <a:ext uri="{FF2B5EF4-FFF2-40B4-BE49-F238E27FC236}">
                  <a16:creationId xmlns:a16="http://schemas.microsoft.com/office/drawing/2014/main" id="{00000000-0008-0000-0000-0000C1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4" name="Straight Connector 193">
              <a:extLst>
                <a:ext uri="{FF2B5EF4-FFF2-40B4-BE49-F238E27FC236}">
                  <a16:creationId xmlns:a16="http://schemas.microsoft.com/office/drawing/2014/main" id="{00000000-0008-0000-0000-0000C2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95" name="Straight Connector 194">
              <a:extLst>
                <a:ext uri="{FF2B5EF4-FFF2-40B4-BE49-F238E27FC236}">
                  <a16:creationId xmlns:a16="http://schemas.microsoft.com/office/drawing/2014/main" id="{00000000-0008-0000-0000-0000C3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7" name="Group 176">
            <a:extLst>
              <a:ext uri="{FF2B5EF4-FFF2-40B4-BE49-F238E27FC236}">
                <a16:creationId xmlns:a16="http://schemas.microsoft.com/office/drawing/2014/main" id="{00000000-0008-0000-0000-0000B1000000}"/>
              </a:ext>
            </a:extLst>
          </xdr:cNvPr>
          <xdr:cNvGrpSpPr/>
        </xdr:nvGrpSpPr>
        <xdr:grpSpPr>
          <a:xfrm>
            <a:off x="428625" y="1285876"/>
            <a:ext cx="1861754" cy="188857"/>
            <a:chOff x="426983" y="303815"/>
            <a:chExt cx="1847521" cy="188857"/>
          </a:xfrm>
        </xdr:grpSpPr>
        <xdr:cxnSp macro="">
          <xdr:nvCxnSpPr>
            <xdr:cNvPr id="188" name="Straight Connector 187">
              <a:extLst>
                <a:ext uri="{FF2B5EF4-FFF2-40B4-BE49-F238E27FC236}">
                  <a16:creationId xmlns:a16="http://schemas.microsoft.com/office/drawing/2014/main" id="{00000000-0008-0000-0000-0000BC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9" name="Straight Connector 188">
              <a:extLst>
                <a:ext uri="{FF2B5EF4-FFF2-40B4-BE49-F238E27FC236}">
                  <a16:creationId xmlns:a16="http://schemas.microsoft.com/office/drawing/2014/main" id="{00000000-0008-0000-0000-0000BD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0" name="Straight Connector 189">
              <a:extLst>
                <a:ext uri="{FF2B5EF4-FFF2-40B4-BE49-F238E27FC236}">
                  <a16:creationId xmlns:a16="http://schemas.microsoft.com/office/drawing/2014/main" id="{00000000-0008-0000-0000-0000BE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91" name="Straight Connector 190">
              <a:extLst>
                <a:ext uri="{FF2B5EF4-FFF2-40B4-BE49-F238E27FC236}">
                  <a16:creationId xmlns:a16="http://schemas.microsoft.com/office/drawing/2014/main" id="{00000000-0008-0000-0000-0000BF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8" name="Group 177">
            <a:extLst>
              <a:ext uri="{FF2B5EF4-FFF2-40B4-BE49-F238E27FC236}">
                <a16:creationId xmlns:a16="http://schemas.microsoft.com/office/drawing/2014/main" id="{00000000-0008-0000-0000-0000B2000000}"/>
              </a:ext>
            </a:extLst>
          </xdr:cNvPr>
          <xdr:cNvGrpSpPr/>
        </xdr:nvGrpSpPr>
        <xdr:grpSpPr>
          <a:xfrm>
            <a:off x="428625" y="1531938"/>
            <a:ext cx="1861754" cy="188857"/>
            <a:chOff x="426983" y="303815"/>
            <a:chExt cx="1847521" cy="188857"/>
          </a:xfrm>
        </xdr:grpSpPr>
        <xdr:cxnSp macro="">
          <xdr:nvCxnSpPr>
            <xdr:cNvPr id="184" name="Straight Connector 183">
              <a:extLst>
                <a:ext uri="{FF2B5EF4-FFF2-40B4-BE49-F238E27FC236}">
                  <a16:creationId xmlns:a16="http://schemas.microsoft.com/office/drawing/2014/main" id="{00000000-0008-0000-0000-0000B8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5" name="Straight Connector 184">
              <a:extLst>
                <a:ext uri="{FF2B5EF4-FFF2-40B4-BE49-F238E27FC236}">
                  <a16:creationId xmlns:a16="http://schemas.microsoft.com/office/drawing/2014/main" id="{00000000-0008-0000-0000-0000B9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6" name="Straight Connector 185">
              <a:extLst>
                <a:ext uri="{FF2B5EF4-FFF2-40B4-BE49-F238E27FC236}">
                  <a16:creationId xmlns:a16="http://schemas.microsoft.com/office/drawing/2014/main" id="{00000000-0008-0000-0000-0000BA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7" name="Straight Connector 186">
              <a:extLst>
                <a:ext uri="{FF2B5EF4-FFF2-40B4-BE49-F238E27FC236}">
                  <a16:creationId xmlns:a16="http://schemas.microsoft.com/office/drawing/2014/main" id="{00000000-0008-0000-0000-0000BB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9" name="Group 178">
            <a:extLst>
              <a:ext uri="{FF2B5EF4-FFF2-40B4-BE49-F238E27FC236}">
                <a16:creationId xmlns:a16="http://schemas.microsoft.com/office/drawing/2014/main" id="{00000000-0008-0000-0000-0000B3000000}"/>
              </a:ext>
            </a:extLst>
          </xdr:cNvPr>
          <xdr:cNvGrpSpPr/>
        </xdr:nvGrpSpPr>
        <xdr:grpSpPr>
          <a:xfrm>
            <a:off x="428625" y="1778001"/>
            <a:ext cx="1861754" cy="190499"/>
            <a:chOff x="426983" y="303815"/>
            <a:chExt cx="1847521" cy="188857"/>
          </a:xfrm>
        </xdr:grpSpPr>
        <xdr:cxnSp macro="">
          <xdr:nvCxnSpPr>
            <xdr:cNvPr id="180" name="Straight Connector 179">
              <a:extLst>
                <a:ext uri="{FF2B5EF4-FFF2-40B4-BE49-F238E27FC236}">
                  <a16:creationId xmlns:a16="http://schemas.microsoft.com/office/drawing/2014/main" id="{00000000-0008-0000-0000-0000B4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1" name="Straight Connector 180">
              <a:extLst>
                <a:ext uri="{FF2B5EF4-FFF2-40B4-BE49-F238E27FC236}">
                  <a16:creationId xmlns:a16="http://schemas.microsoft.com/office/drawing/2014/main" id="{00000000-0008-0000-0000-0000B5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2" name="Straight Connector 181">
              <a:extLst>
                <a:ext uri="{FF2B5EF4-FFF2-40B4-BE49-F238E27FC236}">
                  <a16:creationId xmlns:a16="http://schemas.microsoft.com/office/drawing/2014/main" id="{00000000-0008-0000-0000-0000B6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3" name="Straight Connector 182">
              <a:extLst>
                <a:ext uri="{FF2B5EF4-FFF2-40B4-BE49-F238E27FC236}">
                  <a16:creationId xmlns:a16="http://schemas.microsoft.com/office/drawing/2014/main" id="{00000000-0008-0000-0000-0000B7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2</xdr:col>
      <xdr:colOff>1</xdr:colOff>
      <xdr:row>1</xdr:row>
      <xdr:rowOff>1813</xdr:rowOff>
    </xdr:from>
    <xdr:to>
      <xdr:col>7</xdr:col>
      <xdr:colOff>0</xdr:colOff>
      <xdr:row>2</xdr:row>
      <xdr:rowOff>0</xdr:rowOff>
    </xdr:to>
    <xdr:sp macro="" textlink="">
      <xdr:nvSpPr>
        <xdr:cNvPr id="31" name="TextBox 30" title="Page Navigation">
          <a:hlinkClick xmlns:r="http://schemas.openxmlformats.org/officeDocument/2006/relationships" r:id="rId2" tooltip="Go To top of page"/>
          <a:extLst>
            <a:ext uri="{FF2B5EF4-FFF2-40B4-BE49-F238E27FC236}">
              <a16:creationId xmlns:a16="http://schemas.microsoft.com/office/drawing/2014/main" id="{00000000-0008-0000-0000-00001F000000}"/>
            </a:ext>
          </a:extLst>
        </xdr:cNvPr>
        <xdr:cNvSpPr txBox="1"/>
      </xdr:nvSpPr>
      <xdr:spPr>
        <a:xfrm>
          <a:off x="438151" y="58963"/>
          <a:ext cx="1857374" cy="188687"/>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xdr:from>
      <xdr:col>2</xdr:col>
      <xdr:colOff>1</xdr:colOff>
      <xdr:row>7</xdr:row>
      <xdr:rowOff>0</xdr:rowOff>
    </xdr:from>
    <xdr:to>
      <xdr:col>7</xdr:col>
      <xdr:colOff>1</xdr:colOff>
      <xdr:row>7</xdr:row>
      <xdr:rowOff>190499</xdr:rowOff>
    </xdr:to>
    <xdr:sp macro="" textlink="">
      <xdr:nvSpPr>
        <xdr:cNvPr id="32" name="TextBox 31" title="Page Navigation">
          <a:hlinkClick xmlns:r="http://schemas.openxmlformats.org/officeDocument/2006/relationships" r:id="rId3" tooltip="Go To the Fixture page to enter existing and new fixtures"/>
          <a:extLst>
            <a:ext uri="{FF2B5EF4-FFF2-40B4-BE49-F238E27FC236}">
              <a16:creationId xmlns:a16="http://schemas.microsoft.com/office/drawing/2014/main" id="{00000000-0008-0000-0000-000020000000}"/>
            </a:ext>
          </a:extLst>
        </xdr:cNvPr>
        <xdr:cNvSpPr txBox="1"/>
      </xdr:nvSpPr>
      <xdr:spPr>
        <a:xfrm>
          <a:off x="438151" y="800100"/>
          <a:ext cx="1857375"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Existing and New Fixtures</a:t>
          </a:r>
        </a:p>
      </xdr:txBody>
    </xdr:sp>
    <xdr:clientData fPrintsWithSheet="0"/>
  </xdr:twoCellAnchor>
  <xdr:twoCellAnchor>
    <xdr:from>
      <xdr:col>2</xdr:col>
      <xdr:colOff>1814</xdr:colOff>
      <xdr:row>11</xdr:row>
      <xdr:rowOff>0</xdr:rowOff>
    </xdr:from>
    <xdr:to>
      <xdr:col>7</xdr:col>
      <xdr:colOff>0</xdr:colOff>
      <xdr:row>12</xdr:row>
      <xdr:rowOff>0</xdr:rowOff>
    </xdr:to>
    <xdr:sp macro="" textlink="">
      <xdr:nvSpPr>
        <xdr:cNvPr id="33" name="TextBox 32" title="Page Navigation">
          <a:hlinkClick xmlns:r="http://schemas.openxmlformats.org/officeDocument/2006/relationships" r:id="rId4" tooltip="Go To the Signature page to select the Payee"/>
          <a:extLst>
            <a:ext uri="{FF2B5EF4-FFF2-40B4-BE49-F238E27FC236}">
              <a16:creationId xmlns:a16="http://schemas.microsoft.com/office/drawing/2014/main" id="{00000000-0008-0000-0000-000021000000}"/>
            </a:ext>
          </a:extLst>
        </xdr:cNvPr>
        <xdr:cNvSpPr txBox="1"/>
      </xdr:nvSpPr>
      <xdr:spPr>
        <a:xfrm>
          <a:off x="439964" y="1295400"/>
          <a:ext cx="185556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Customer Authorization</a:t>
          </a:r>
        </a:p>
      </xdr:txBody>
    </xdr:sp>
    <xdr:clientData fPrintsWithSheet="0"/>
  </xdr:twoCellAnchor>
  <xdr:twoCellAnchor>
    <xdr:from>
      <xdr:col>2</xdr:col>
      <xdr:colOff>1</xdr:colOff>
      <xdr:row>15</xdr:row>
      <xdr:rowOff>1</xdr:rowOff>
    </xdr:from>
    <xdr:to>
      <xdr:col>7</xdr:col>
      <xdr:colOff>1</xdr:colOff>
      <xdr:row>16</xdr:row>
      <xdr:rowOff>0</xdr:rowOff>
    </xdr:to>
    <xdr:sp macro="" textlink="">
      <xdr:nvSpPr>
        <xdr:cNvPr id="39" name="TextBox 38" title="Page Navigation">
          <a:hlinkClick xmlns:r="http://schemas.openxmlformats.org/officeDocument/2006/relationships" r:id="rId5" tooltip="PSE Use page"/>
          <a:extLst>
            <a:ext uri="{FF2B5EF4-FFF2-40B4-BE49-F238E27FC236}">
              <a16:creationId xmlns:a16="http://schemas.microsoft.com/office/drawing/2014/main" id="{00000000-0008-0000-0000-000027000000}"/>
            </a:ext>
          </a:extLst>
        </xdr:cNvPr>
        <xdr:cNvSpPr txBox="1"/>
      </xdr:nvSpPr>
      <xdr:spPr>
        <a:xfrm>
          <a:off x="438151" y="1790701"/>
          <a:ext cx="1857375"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PSE</a:t>
          </a:r>
          <a:r>
            <a:rPr lang="en-US" sz="1100" b="0" baseline="0">
              <a:solidFill>
                <a:schemeClr val="bg1"/>
              </a:solidFill>
              <a:sym typeface="Webdings" panose="05030102010509060703" pitchFamily="18" charset="2"/>
            </a:rPr>
            <a:t> Grant QC Page</a:t>
          </a:r>
          <a:endParaRPr lang="en-US" sz="1100" b="0">
            <a:solidFill>
              <a:schemeClr val="bg1"/>
            </a:solidFill>
            <a:sym typeface="Webdings" panose="05030102010509060703" pitchFamily="18" charset="2"/>
          </a:endParaRPr>
        </a:p>
      </xdr:txBody>
    </xdr:sp>
    <xdr:clientData fPrintsWithSheet="0"/>
  </xdr:twoCellAnchor>
  <xdr:twoCellAnchor>
    <xdr:from>
      <xdr:col>2</xdr:col>
      <xdr:colOff>1814</xdr:colOff>
      <xdr:row>13</xdr:row>
      <xdr:rowOff>0</xdr:rowOff>
    </xdr:from>
    <xdr:to>
      <xdr:col>7</xdr:col>
      <xdr:colOff>0</xdr:colOff>
      <xdr:row>14</xdr:row>
      <xdr:rowOff>0</xdr:rowOff>
    </xdr:to>
    <xdr:sp macro="" textlink="">
      <xdr:nvSpPr>
        <xdr:cNvPr id="40" name="TextBox 39" title="Page Navigation">
          <a:hlinkClick xmlns:r="http://schemas.openxmlformats.org/officeDocument/2006/relationships" r:id="rId6" tooltip="Go To Advanced Controls page"/>
          <a:extLst>
            <a:ext uri="{FF2B5EF4-FFF2-40B4-BE49-F238E27FC236}">
              <a16:creationId xmlns:a16="http://schemas.microsoft.com/office/drawing/2014/main" id="{00000000-0008-0000-0000-000028000000}"/>
            </a:ext>
          </a:extLst>
        </xdr:cNvPr>
        <xdr:cNvSpPr txBox="1"/>
      </xdr:nvSpPr>
      <xdr:spPr>
        <a:xfrm>
          <a:off x="439964" y="1543050"/>
          <a:ext cx="185556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LLLC &amp; Exterior NLC</a:t>
          </a:r>
        </a:p>
      </xdr:txBody>
    </xdr:sp>
    <xdr:clientData fPrintsWithSheet="0"/>
  </xdr:twoCellAnchor>
  <xdr:twoCellAnchor>
    <xdr:from>
      <xdr:col>2</xdr:col>
      <xdr:colOff>1</xdr:colOff>
      <xdr:row>3</xdr:row>
      <xdr:rowOff>1</xdr:rowOff>
    </xdr:from>
    <xdr:to>
      <xdr:col>7</xdr:col>
      <xdr:colOff>1</xdr:colOff>
      <xdr:row>4</xdr:row>
      <xdr:rowOff>1</xdr:rowOff>
    </xdr:to>
    <xdr:sp macro="" textlink="">
      <xdr:nvSpPr>
        <xdr:cNvPr id="41" name="TextBox 40" title="Page Navigation">
          <a:hlinkClick xmlns:r="http://schemas.openxmlformats.org/officeDocument/2006/relationships" r:id="rId2" tooltip="Go To the Terms page"/>
          <a:extLst>
            <a:ext uri="{FF2B5EF4-FFF2-40B4-BE49-F238E27FC236}">
              <a16:creationId xmlns:a16="http://schemas.microsoft.com/office/drawing/2014/main" id="{00000000-0008-0000-0000-000029000000}"/>
            </a:ext>
          </a:extLst>
        </xdr:cNvPr>
        <xdr:cNvSpPr txBox="1"/>
      </xdr:nvSpPr>
      <xdr:spPr>
        <a:xfrm>
          <a:off x="438151" y="304801"/>
          <a:ext cx="1857375" cy="190500"/>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Terms and Conditions</a:t>
          </a:r>
        </a:p>
      </xdr:txBody>
    </xdr:sp>
    <xdr:clientData fPrintsWithSheet="0"/>
  </xdr:twoCellAnchor>
  <xdr:twoCellAnchor>
    <xdr:from>
      <xdr:col>2</xdr:col>
      <xdr:colOff>1</xdr:colOff>
      <xdr:row>5</xdr:row>
      <xdr:rowOff>0</xdr:rowOff>
    </xdr:from>
    <xdr:to>
      <xdr:col>7</xdr:col>
      <xdr:colOff>1</xdr:colOff>
      <xdr:row>6</xdr:row>
      <xdr:rowOff>0</xdr:rowOff>
    </xdr:to>
    <xdr:sp macro="" textlink="">
      <xdr:nvSpPr>
        <xdr:cNvPr id="42" name="TextBox 41" title="Page Navigation">
          <a:hlinkClick xmlns:r="http://schemas.openxmlformats.org/officeDocument/2006/relationships" r:id="rId7" tooltip="Go To the Project information page"/>
          <a:extLst>
            <a:ext uri="{FF2B5EF4-FFF2-40B4-BE49-F238E27FC236}">
              <a16:creationId xmlns:a16="http://schemas.microsoft.com/office/drawing/2014/main" id="{00000000-0008-0000-0000-00002A000000}"/>
            </a:ext>
          </a:extLst>
        </xdr:cNvPr>
        <xdr:cNvSpPr txBox="1"/>
      </xdr:nvSpPr>
      <xdr:spPr>
        <a:xfrm>
          <a:off x="438151" y="552450"/>
          <a:ext cx="1857375"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 Owner Info</a:t>
          </a:r>
        </a:p>
      </xdr:txBody>
    </xdr:sp>
    <xdr:clientData fPrintsWithSheet="0"/>
  </xdr:twoCellAnchor>
  <xdr:twoCellAnchor>
    <xdr:from>
      <xdr:col>2</xdr:col>
      <xdr:colOff>1814</xdr:colOff>
      <xdr:row>9</xdr:row>
      <xdr:rowOff>1814</xdr:rowOff>
    </xdr:from>
    <xdr:to>
      <xdr:col>7</xdr:col>
      <xdr:colOff>0</xdr:colOff>
      <xdr:row>9</xdr:row>
      <xdr:rowOff>190499</xdr:rowOff>
    </xdr:to>
    <xdr:sp macro="" textlink="">
      <xdr:nvSpPr>
        <xdr:cNvPr id="43" name="TextBox 42" title="Page Navigation">
          <a:hlinkClick xmlns:r="http://schemas.openxmlformats.org/officeDocument/2006/relationships" r:id="rId8" tooltip="Go To the Installations page to enter the installed/new lighting"/>
          <a:extLst>
            <a:ext uri="{FF2B5EF4-FFF2-40B4-BE49-F238E27FC236}">
              <a16:creationId xmlns:a16="http://schemas.microsoft.com/office/drawing/2014/main" id="{00000000-0008-0000-0000-00002B000000}"/>
            </a:ext>
          </a:extLst>
        </xdr:cNvPr>
        <xdr:cNvSpPr txBox="1"/>
      </xdr:nvSpPr>
      <xdr:spPr>
        <a:xfrm>
          <a:off x="439964" y="1049564"/>
          <a:ext cx="1855561" cy="188685"/>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Installations</a:t>
          </a:r>
        </a:p>
      </xdr:txBody>
    </xdr:sp>
    <xdr:clientData fPrintsWithSheet="0"/>
  </xdr:twoCellAnchor>
  <xdr:oneCellAnchor>
    <xdr:from>
      <xdr:col>33</xdr:col>
      <xdr:colOff>2</xdr:colOff>
      <xdr:row>0</xdr:row>
      <xdr:rowOff>58963</xdr:rowOff>
    </xdr:from>
    <xdr:ext cx="1859642" cy="190501"/>
    <xdr:sp macro="" textlink="">
      <xdr:nvSpPr>
        <xdr:cNvPr id="52" name="TextBox 51" title="Page Navigation">
          <a:hlinkClick xmlns:r="http://schemas.openxmlformats.org/officeDocument/2006/relationships" r:id="rId2"/>
          <a:extLst>
            <a:ext uri="{FF2B5EF4-FFF2-40B4-BE49-F238E27FC236}">
              <a16:creationId xmlns:a16="http://schemas.microsoft.com/office/drawing/2014/main" id="{00000000-0008-0000-0000-000034000000}"/>
            </a:ext>
          </a:extLst>
        </xdr:cNvPr>
        <xdr:cNvSpPr txBox="1"/>
      </xdr:nvSpPr>
      <xdr:spPr>
        <a:xfrm>
          <a:off x="9606645" y="58963"/>
          <a:ext cx="1859642" cy="190501"/>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Page </a:t>
          </a:r>
          <a:r>
            <a:rPr lang="en-US" sz="1100" b="0" i="1">
              <a:solidFill>
                <a:schemeClr val="bg1"/>
              </a:solidFill>
            </a:rPr>
            <a:t>Navigation (top)</a:t>
          </a:r>
        </a:p>
      </xdr:txBody>
    </xdr:sp>
    <xdr:clientData fPrintsWithSheet="0"/>
  </xdr:oneCellAnchor>
  <xdr:oneCellAnchor>
    <xdr:from>
      <xdr:col>33</xdr:col>
      <xdr:colOff>1</xdr:colOff>
      <xdr:row>7</xdr:row>
      <xdr:rowOff>1</xdr:rowOff>
    </xdr:from>
    <xdr:ext cx="1861704" cy="190499"/>
    <xdr:sp macro="" textlink="">
      <xdr:nvSpPr>
        <xdr:cNvPr id="53" name="TextBox 52" title="Page Navigation">
          <a:hlinkClick xmlns:r="http://schemas.openxmlformats.org/officeDocument/2006/relationships" r:id="rId9" tooltip="Are you a qualifying customer"/>
          <a:extLst>
            <a:ext uri="{FF2B5EF4-FFF2-40B4-BE49-F238E27FC236}">
              <a16:creationId xmlns:a16="http://schemas.microsoft.com/office/drawing/2014/main" id="{00000000-0008-0000-0000-000035000000}"/>
            </a:ext>
          </a:extLst>
        </xdr:cNvPr>
        <xdr:cNvSpPr txBox="1"/>
      </xdr:nvSpPr>
      <xdr:spPr>
        <a:xfrm>
          <a:off x="9606644" y="807358"/>
          <a:ext cx="1861704"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Qualifying Customers</a:t>
          </a:r>
        </a:p>
      </xdr:txBody>
    </xdr:sp>
    <xdr:clientData fPrintsWithSheet="0"/>
  </xdr:oneCellAnchor>
  <xdr:oneCellAnchor>
    <xdr:from>
      <xdr:col>33</xdr:col>
      <xdr:colOff>0</xdr:colOff>
      <xdr:row>11</xdr:row>
      <xdr:rowOff>0</xdr:rowOff>
    </xdr:from>
    <xdr:ext cx="1861704" cy="190500"/>
    <xdr:sp macro="" textlink="">
      <xdr:nvSpPr>
        <xdr:cNvPr id="54" name="TextBox 53" title="Page Navigation">
          <a:hlinkClick xmlns:r="http://schemas.openxmlformats.org/officeDocument/2006/relationships" r:id="rId10"/>
          <a:extLst>
            <a:ext uri="{FF2B5EF4-FFF2-40B4-BE49-F238E27FC236}">
              <a16:creationId xmlns:a16="http://schemas.microsoft.com/office/drawing/2014/main" id="{00000000-0008-0000-0000-000036000000}"/>
            </a:ext>
          </a:extLst>
        </xdr:cNvPr>
        <xdr:cNvSpPr txBox="1"/>
      </xdr:nvSpPr>
      <xdr:spPr>
        <a:xfrm>
          <a:off x="9606643" y="1306286"/>
          <a:ext cx="1861704"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Specifications</a:t>
          </a:r>
        </a:p>
      </xdr:txBody>
    </xdr:sp>
    <xdr:clientData fPrintsWithSheet="0"/>
  </xdr:oneCellAnchor>
  <xdr:oneCellAnchor>
    <xdr:from>
      <xdr:col>33</xdr:col>
      <xdr:colOff>1</xdr:colOff>
      <xdr:row>15</xdr:row>
      <xdr:rowOff>1</xdr:rowOff>
    </xdr:from>
    <xdr:ext cx="1861704" cy="190499"/>
    <xdr:sp macro="" textlink="">
      <xdr:nvSpPr>
        <xdr:cNvPr id="55" name="TextBox 54" title="Page Navigation">
          <a:hlinkClick xmlns:r="http://schemas.openxmlformats.org/officeDocument/2006/relationships" r:id="rId11"/>
          <a:extLst>
            <a:ext uri="{FF2B5EF4-FFF2-40B4-BE49-F238E27FC236}">
              <a16:creationId xmlns:a16="http://schemas.microsoft.com/office/drawing/2014/main" id="{00000000-0008-0000-0000-000037000000}"/>
            </a:ext>
          </a:extLst>
        </xdr:cNvPr>
        <xdr:cNvSpPr txBox="1"/>
      </xdr:nvSpPr>
      <xdr:spPr>
        <a:xfrm>
          <a:off x="9606644" y="1805215"/>
          <a:ext cx="1861704"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Invoicing &amp; Payment</a:t>
          </a:r>
        </a:p>
      </xdr:txBody>
    </xdr:sp>
    <xdr:clientData fPrintsWithSheet="0"/>
  </xdr:oneCellAnchor>
  <xdr:oneCellAnchor>
    <xdr:from>
      <xdr:col>33</xdr:col>
      <xdr:colOff>0</xdr:colOff>
      <xdr:row>13</xdr:row>
      <xdr:rowOff>0</xdr:rowOff>
    </xdr:from>
    <xdr:ext cx="1861704" cy="190500"/>
    <xdr:sp macro="" textlink="">
      <xdr:nvSpPr>
        <xdr:cNvPr id="56" name="TextBox 55" title="Page Navigation">
          <a:hlinkClick xmlns:r="http://schemas.openxmlformats.org/officeDocument/2006/relationships" r:id="rId12"/>
          <a:extLst>
            <a:ext uri="{FF2B5EF4-FFF2-40B4-BE49-F238E27FC236}">
              <a16:creationId xmlns:a16="http://schemas.microsoft.com/office/drawing/2014/main" id="{00000000-0008-0000-0000-000038000000}"/>
            </a:ext>
          </a:extLst>
        </xdr:cNvPr>
        <xdr:cNvSpPr txBox="1"/>
      </xdr:nvSpPr>
      <xdr:spPr>
        <a:xfrm>
          <a:off x="9606643" y="1555750"/>
          <a:ext cx="1861704"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Inspections</a:t>
          </a:r>
        </a:p>
      </xdr:txBody>
    </xdr:sp>
    <xdr:clientData fPrintsWithSheet="0"/>
  </xdr:oneCellAnchor>
  <xdr:oneCellAnchor>
    <xdr:from>
      <xdr:col>33</xdr:col>
      <xdr:colOff>1</xdr:colOff>
      <xdr:row>3</xdr:row>
      <xdr:rowOff>1</xdr:rowOff>
    </xdr:from>
    <xdr:ext cx="1861704" cy="190500"/>
    <xdr:sp macro="" textlink="">
      <xdr:nvSpPr>
        <xdr:cNvPr id="57" name="TextBox 56" title="Page Navigation">
          <a:hlinkClick xmlns:r="http://schemas.openxmlformats.org/officeDocument/2006/relationships" r:id="rId13" tooltip="What is the PSE Approval process?"/>
          <a:extLst>
            <a:ext uri="{FF2B5EF4-FFF2-40B4-BE49-F238E27FC236}">
              <a16:creationId xmlns:a16="http://schemas.microsoft.com/office/drawing/2014/main" id="{00000000-0008-0000-0000-000039000000}"/>
            </a:ext>
          </a:extLst>
        </xdr:cNvPr>
        <xdr:cNvSpPr txBox="1"/>
      </xdr:nvSpPr>
      <xdr:spPr>
        <a:xfrm>
          <a:off x="441615" y="311728"/>
          <a:ext cx="1861704"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PSE Approval</a:t>
          </a:r>
        </a:p>
      </xdr:txBody>
    </xdr:sp>
    <xdr:clientData fPrintsWithSheet="0"/>
  </xdr:oneCellAnchor>
  <xdr:oneCellAnchor>
    <xdr:from>
      <xdr:col>33</xdr:col>
      <xdr:colOff>1</xdr:colOff>
      <xdr:row>5</xdr:row>
      <xdr:rowOff>0</xdr:rowOff>
    </xdr:from>
    <xdr:ext cx="1861704" cy="190500"/>
    <xdr:sp macro="" textlink="">
      <xdr:nvSpPr>
        <xdr:cNvPr id="58" name="TextBox 57" title="Page Navigation">
          <a:hlinkClick xmlns:r="http://schemas.openxmlformats.org/officeDocument/2006/relationships" r:id="rId14" tooltip="Learn how to submit your Application"/>
          <a:extLst>
            <a:ext uri="{FF2B5EF4-FFF2-40B4-BE49-F238E27FC236}">
              <a16:creationId xmlns:a16="http://schemas.microsoft.com/office/drawing/2014/main" id="{00000000-0008-0000-0000-00003A000000}"/>
            </a:ext>
          </a:extLst>
        </xdr:cNvPr>
        <xdr:cNvSpPr txBox="1"/>
      </xdr:nvSpPr>
      <xdr:spPr>
        <a:xfrm>
          <a:off x="441615" y="562841"/>
          <a:ext cx="1861704"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How to Submit</a:t>
          </a:r>
        </a:p>
      </xdr:txBody>
    </xdr:sp>
    <xdr:clientData fPrintsWithSheet="0"/>
  </xdr:oneCellAnchor>
  <xdr:oneCellAnchor>
    <xdr:from>
      <xdr:col>33</xdr:col>
      <xdr:colOff>0</xdr:colOff>
      <xdr:row>8</xdr:row>
      <xdr:rowOff>58964</xdr:rowOff>
    </xdr:from>
    <xdr:ext cx="1861704" cy="190499"/>
    <xdr:sp macro="" textlink="">
      <xdr:nvSpPr>
        <xdr:cNvPr id="59" name="TextBox 58" title="Page Navigation">
          <a:hlinkClick xmlns:r="http://schemas.openxmlformats.org/officeDocument/2006/relationships" r:id="rId15"/>
          <a:extLst>
            <a:ext uri="{FF2B5EF4-FFF2-40B4-BE49-F238E27FC236}">
              <a16:creationId xmlns:a16="http://schemas.microsoft.com/office/drawing/2014/main" id="{00000000-0008-0000-0000-00003B000000}"/>
            </a:ext>
          </a:extLst>
        </xdr:cNvPr>
        <xdr:cNvSpPr txBox="1"/>
      </xdr:nvSpPr>
      <xdr:spPr>
        <a:xfrm>
          <a:off x="9606643" y="1056821"/>
          <a:ext cx="1861704"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Incentives</a:t>
          </a:r>
        </a:p>
      </xdr:txBody>
    </xdr:sp>
    <xdr:clientData fPrintsWithSheet="0"/>
  </xdr:oneCellAnchor>
  <xdr:twoCellAnchor>
    <xdr:from>
      <xdr:col>11</xdr:col>
      <xdr:colOff>0</xdr:colOff>
      <xdr:row>14</xdr:row>
      <xdr:rowOff>0</xdr:rowOff>
    </xdr:from>
    <xdr:to>
      <xdr:col>29</xdr:col>
      <xdr:colOff>0</xdr:colOff>
      <xdr:row>16</xdr:row>
      <xdr:rowOff>1</xdr:rowOff>
    </xdr:to>
    <xdr:grpSp>
      <xdr:nvGrpSpPr>
        <xdr:cNvPr id="2" name="Group 1">
          <a:extLst>
            <a:ext uri="{FF2B5EF4-FFF2-40B4-BE49-F238E27FC236}">
              <a16:creationId xmlns:a16="http://schemas.microsoft.com/office/drawing/2014/main" id="{00000000-0008-0000-0000-000002000000}"/>
            </a:ext>
          </a:extLst>
        </xdr:cNvPr>
        <xdr:cNvGrpSpPr/>
      </xdr:nvGrpSpPr>
      <xdr:grpSpPr>
        <a:xfrm>
          <a:off x="3575170" y="1744453"/>
          <a:ext cx="5089584" cy="249208"/>
          <a:chOff x="3467100" y="1733550"/>
          <a:chExt cx="4953000" cy="247651"/>
        </a:xfrm>
      </xdr:grpSpPr>
      <xdr:sp macro="" textlink="">
        <xdr:nvSpPr>
          <xdr:cNvPr id="93" name="Rectangle 92">
            <a:extLst>
              <a:ext uri="{FF2B5EF4-FFF2-40B4-BE49-F238E27FC236}">
                <a16:creationId xmlns:a16="http://schemas.microsoft.com/office/drawing/2014/main" id="{00000000-0008-0000-0000-00005D000000}"/>
              </a:ext>
            </a:extLst>
          </xdr:cNvPr>
          <xdr:cNvSpPr/>
        </xdr:nvSpPr>
        <xdr:spPr>
          <a:xfrm>
            <a:off x="3467100" y="1733551"/>
            <a:ext cx="4953000" cy="247650"/>
          </a:xfrm>
          <a:prstGeom prst="rect">
            <a:avLst/>
          </a:prstGeom>
          <a:solidFill>
            <a:srgbClr val="156570">
              <a:alpha val="75000"/>
            </a:srgb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94" name="Rectangle 93">
            <a:extLst>
              <a:ext uri="{FF2B5EF4-FFF2-40B4-BE49-F238E27FC236}">
                <a16:creationId xmlns:a16="http://schemas.microsoft.com/office/drawing/2014/main" id="{00000000-0008-0000-0000-00005E000000}"/>
              </a:ext>
            </a:extLst>
          </xdr:cNvPr>
          <xdr:cNvSpPr/>
        </xdr:nvSpPr>
        <xdr:spPr>
          <a:xfrm>
            <a:off x="3467100" y="1733550"/>
            <a:ext cx="4952999" cy="247650"/>
          </a:xfrm>
          <a:prstGeom prst="rect">
            <a:avLst/>
          </a:prstGeom>
          <a:solidFill>
            <a:schemeClr val="bg1">
              <a:alpha val="75000"/>
            </a:schemeClr>
          </a:solidFill>
          <a:ln>
            <a:solidFill>
              <a:srgbClr val="15657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rPr>
              <a:t>Program Terms and Conditions</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120</xdr:row>
      <xdr:rowOff>34146</xdr:rowOff>
    </xdr:from>
    <xdr:to>
      <xdr:col>4</xdr:col>
      <xdr:colOff>137581</xdr:colOff>
      <xdr:row>121</xdr:row>
      <xdr:rowOff>3357</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2709" y="18031105"/>
          <a:ext cx="550332" cy="516187"/>
        </a:xfrm>
        <a:prstGeom prst="rect">
          <a:avLst/>
        </a:prstGeom>
      </xdr:spPr>
    </xdr:pic>
    <xdr:clientData/>
  </xdr:twoCellAnchor>
  <xdr:oneCellAnchor>
    <xdr:from>
      <xdr:col>12</xdr:col>
      <xdr:colOff>0</xdr:colOff>
      <xdr:row>1</xdr:row>
      <xdr:rowOff>0</xdr:rowOff>
    </xdr:from>
    <xdr:ext cx="1196164" cy="555416"/>
    <xdr:pic>
      <xdr:nvPicPr>
        <xdr:cNvPr id="21" name="Picture 20">
          <a:extLst>
            <a:ext uri="{FF2B5EF4-FFF2-40B4-BE49-F238E27FC236}">
              <a16:creationId xmlns:a16="http://schemas.microsoft.com/office/drawing/2014/main" id="{00000000-0008-0000-0C00-00001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24525" y="61913"/>
          <a:ext cx="1196164" cy="555416"/>
        </a:xfrm>
        <a:prstGeom prst="rect">
          <a:avLst/>
        </a:prstGeom>
      </xdr:spPr>
    </xdr:pic>
    <xdr:clientData/>
  </xdr:oneCellAnchor>
  <xdr:oneCellAnchor>
    <xdr:from>
      <xdr:col>2</xdr:col>
      <xdr:colOff>31749</xdr:colOff>
      <xdr:row>254</xdr:row>
      <xdr:rowOff>42333</xdr:rowOff>
    </xdr:from>
    <xdr:ext cx="518582" cy="516189"/>
    <xdr:pic>
      <xdr:nvPicPr>
        <xdr:cNvPr id="31" name="Picture 30">
          <a:extLst>
            <a:ext uri="{FF2B5EF4-FFF2-40B4-BE49-F238E27FC236}">
              <a16:creationId xmlns:a16="http://schemas.microsoft.com/office/drawing/2014/main" id="{00000000-0008-0000-0C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7974" y="34522833"/>
          <a:ext cx="518582" cy="516189"/>
        </a:xfrm>
        <a:prstGeom prst="rect">
          <a:avLst/>
        </a:prstGeom>
      </xdr:spPr>
    </xdr:pic>
    <xdr:clientData/>
  </xdr:oneCellAnchor>
  <xdr:twoCellAnchor>
    <xdr:from>
      <xdr:col>1</xdr:col>
      <xdr:colOff>0</xdr:colOff>
      <xdr:row>0</xdr:row>
      <xdr:rowOff>0</xdr:rowOff>
    </xdr:from>
    <xdr:to>
      <xdr:col>9</xdr:col>
      <xdr:colOff>448355</xdr:colOff>
      <xdr:row>16</xdr:row>
      <xdr:rowOff>122768</xdr:rowOff>
    </xdr:to>
    <xdr:grpSp>
      <xdr:nvGrpSpPr>
        <xdr:cNvPr id="32" name="Group 31">
          <a:extLst>
            <a:ext uri="{FF2B5EF4-FFF2-40B4-BE49-F238E27FC236}">
              <a16:creationId xmlns:a16="http://schemas.microsoft.com/office/drawing/2014/main" id="{00000000-0008-0000-0C00-000020000000}"/>
            </a:ext>
          </a:extLst>
        </xdr:cNvPr>
        <xdr:cNvGrpSpPr/>
      </xdr:nvGrpSpPr>
      <xdr:grpSpPr>
        <a:xfrm>
          <a:off x="287547" y="0"/>
          <a:ext cx="2049035" cy="2039749"/>
          <a:chOff x="373063" y="0"/>
          <a:chExt cx="1976437" cy="2024063"/>
        </a:xfrm>
      </xdr:grpSpPr>
      <xdr:sp macro="" textlink="">
        <xdr:nvSpPr>
          <xdr:cNvPr id="33" name="Rectangle 32">
            <a:extLst>
              <a:ext uri="{FF2B5EF4-FFF2-40B4-BE49-F238E27FC236}">
                <a16:creationId xmlns:a16="http://schemas.microsoft.com/office/drawing/2014/main" id="{00000000-0008-0000-0C00-00002100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4" name="Group 33">
            <a:extLst>
              <a:ext uri="{FF2B5EF4-FFF2-40B4-BE49-F238E27FC236}">
                <a16:creationId xmlns:a16="http://schemas.microsoft.com/office/drawing/2014/main" id="{00000000-0008-0000-0C00-000022000000}"/>
              </a:ext>
            </a:extLst>
          </xdr:cNvPr>
          <xdr:cNvGrpSpPr/>
        </xdr:nvGrpSpPr>
        <xdr:grpSpPr>
          <a:xfrm>
            <a:off x="428625" y="301625"/>
            <a:ext cx="1861754" cy="188857"/>
            <a:chOff x="426983" y="303815"/>
            <a:chExt cx="1847521" cy="188857"/>
          </a:xfrm>
        </xdr:grpSpPr>
        <xdr:cxnSp macro="">
          <xdr:nvCxnSpPr>
            <xdr:cNvPr id="65" name="Straight Connector 64">
              <a:extLst>
                <a:ext uri="{FF2B5EF4-FFF2-40B4-BE49-F238E27FC236}">
                  <a16:creationId xmlns:a16="http://schemas.microsoft.com/office/drawing/2014/main" id="{00000000-0008-0000-0C00-000041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6" name="Straight Connector 65">
              <a:extLst>
                <a:ext uri="{FF2B5EF4-FFF2-40B4-BE49-F238E27FC236}">
                  <a16:creationId xmlns:a16="http://schemas.microsoft.com/office/drawing/2014/main" id="{00000000-0008-0000-0C00-000042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7" name="Straight Connector 66">
              <a:extLst>
                <a:ext uri="{FF2B5EF4-FFF2-40B4-BE49-F238E27FC236}">
                  <a16:creationId xmlns:a16="http://schemas.microsoft.com/office/drawing/2014/main" id="{00000000-0008-0000-0C00-000043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8" name="Straight Connector 67">
              <a:extLst>
                <a:ext uri="{FF2B5EF4-FFF2-40B4-BE49-F238E27FC236}">
                  <a16:creationId xmlns:a16="http://schemas.microsoft.com/office/drawing/2014/main" id="{00000000-0008-0000-0C00-000044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5" name="Group 34">
            <a:extLst>
              <a:ext uri="{FF2B5EF4-FFF2-40B4-BE49-F238E27FC236}">
                <a16:creationId xmlns:a16="http://schemas.microsoft.com/office/drawing/2014/main" id="{00000000-0008-0000-0C00-000023000000}"/>
              </a:ext>
            </a:extLst>
          </xdr:cNvPr>
          <xdr:cNvGrpSpPr/>
        </xdr:nvGrpSpPr>
        <xdr:grpSpPr>
          <a:xfrm>
            <a:off x="428625" y="547689"/>
            <a:ext cx="1861754" cy="190499"/>
            <a:chOff x="426983" y="303815"/>
            <a:chExt cx="1847521" cy="188857"/>
          </a:xfrm>
        </xdr:grpSpPr>
        <xdr:cxnSp macro="">
          <xdr:nvCxnSpPr>
            <xdr:cNvPr id="61" name="Straight Connector 60">
              <a:extLst>
                <a:ext uri="{FF2B5EF4-FFF2-40B4-BE49-F238E27FC236}">
                  <a16:creationId xmlns:a16="http://schemas.microsoft.com/office/drawing/2014/main" id="{00000000-0008-0000-0C00-00003D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2" name="Straight Connector 61">
              <a:extLst>
                <a:ext uri="{FF2B5EF4-FFF2-40B4-BE49-F238E27FC236}">
                  <a16:creationId xmlns:a16="http://schemas.microsoft.com/office/drawing/2014/main" id="{00000000-0008-0000-0C00-00003E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3" name="Straight Connector 62">
              <a:extLst>
                <a:ext uri="{FF2B5EF4-FFF2-40B4-BE49-F238E27FC236}">
                  <a16:creationId xmlns:a16="http://schemas.microsoft.com/office/drawing/2014/main" id="{00000000-0008-0000-0C00-00003F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4" name="Straight Connector 63">
              <a:extLst>
                <a:ext uri="{FF2B5EF4-FFF2-40B4-BE49-F238E27FC236}">
                  <a16:creationId xmlns:a16="http://schemas.microsoft.com/office/drawing/2014/main" id="{00000000-0008-0000-0C00-000040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6" name="Group 35">
            <a:extLst>
              <a:ext uri="{FF2B5EF4-FFF2-40B4-BE49-F238E27FC236}">
                <a16:creationId xmlns:a16="http://schemas.microsoft.com/office/drawing/2014/main" id="{00000000-0008-0000-0C00-000024000000}"/>
              </a:ext>
            </a:extLst>
          </xdr:cNvPr>
          <xdr:cNvGrpSpPr/>
        </xdr:nvGrpSpPr>
        <xdr:grpSpPr>
          <a:xfrm>
            <a:off x="428625" y="793751"/>
            <a:ext cx="1861754" cy="190499"/>
            <a:chOff x="426983" y="303815"/>
            <a:chExt cx="1847521" cy="188857"/>
          </a:xfrm>
        </xdr:grpSpPr>
        <xdr:cxnSp macro="">
          <xdr:nvCxnSpPr>
            <xdr:cNvPr id="57" name="Straight Connector 56">
              <a:extLst>
                <a:ext uri="{FF2B5EF4-FFF2-40B4-BE49-F238E27FC236}">
                  <a16:creationId xmlns:a16="http://schemas.microsoft.com/office/drawing/2014/main" id="{00000000-0008-0000-0C00-000039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8" name="Straight Connector 57">
              <a:extLst>
                <a:ext uri="{FF2B5EF4-FFF2-40B4-BE49-F238E27FC236}">
                  <a16:creationId xmlns:a16="http://schemas.microsoft.com/office/drawing/2014/main" id="{00000000-0008-0000-0C00-00003A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9" name="Straight Connector 58">
              <a:extLst>
                <a:ext uri="{FF2B5EF4-FFF2-40B4-BE49-F238E27FC236}">
                  <a16:creationId xmlns:a16="http://schemas.microsoft.com/office/drawing/2014/main" id="{00000000-0008-0000-0C00-00003B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 name="Straight Connector 59">
              <a:extLst>
                <a:ext uri="{FF2B5EF4-FFF2-40B4-BE49-F238E27FC236}">
                  <a16:creationId xmlns:a16="http://schemas.microsoft.com/office/drawing/2014/main" id="{00000000-0008-0000-0C00-00003C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7" name="Group 36">
            <a:extLst>
              <a:ext uri="{FF2B5EF4-FFF2-40B4-BE49-F238E27FC236}">
                <a16:creationId xmlns:a16="http://schemas.microsoft.com/office/drawing/2014/main" id="{00000000-0008-0000-0C00-000025000000}"/>
              </a:ext>
            </a:extLst>
          </xdr:cNvPr>
          <xdr:cNvGrpSpPr/>
        </xdr:nvGrpSpPr>
        <xdr:grpSpPr>
          <a:xfrm>
            <a:off x="428625" y="1041728"/>
            <a:ext cx="1861754" cy="186942"/>
            <a:chOff x="426983" y="303815"/>
            <a:chExt cx="1847521" cy="188857"/>
          </a:xfrm>
        </xdr:grpSpPr>
        <xdr:cxnSp macro="">
          <xdr:nvCxnSpPr>
            <xdr:cNvPr id="53" name="Straight Connector 52">
              <a:extLst>
                <a:ext uri="{FF2B5EF4-FFF2-40B4-BE49-F238E27FC236}">
                  <a16:creationId xmlns:a16="http://schemas.microsoft.com/office/drawing/2014/main" id="{00000000-0008-0000-0C00-000035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4" name="Straight Connector 53">
              <a:extLst>
                <a:ext uri="{FF2B5EF4-FFF2-40B4-BE49-F238E27FC236}">
                  <a16:creationId xmlns:a16="http://schemas.microsoft.com/office/drawing/2014/main" id="{00000000-0008-0000-0C00-000036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5" name="Straight Connector 54">
              <a:extLst>
                <a:ext uri="{FF2B5EF4-FFF2-40B4-BE49-F238E27FC236}">
                  <a16:creationId xmlns:a16="http://schemas.microsoft.com/office/drawing/2014/main" id="{00000000-0008-0000-0C00-000037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6" name="Straight Connector 55">
              <a:extLst>
                <a:ext uri="{FF2B5EF4-FFF2-40B4-BE49-F238E27FC236}">
                  <a16:creationId xmlns:a16="http://schemas.microsoft.com/office/drawing/2014/main" id="{00000000-0008-0000-0C00-000038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8" name="Group 37">
            <a:extLst>
              <a:ext uri="{FF2B5EF4-FFF2-40B4-BE49-F238E27FC236}">
                <a16:creationId xmlns:a16="http://schemas.microsoft.com/office/drawing/2014/main" id="{00000000-0008-0000-0C00-000026000000}"/>
              </a:ext>
            </a:extLst>
          </xdr:cNvPr>
          <xdr:cNvGrpSpPr/>
        </xdr:nvGrpSpPr>
        <xdr:grpSpPr>
          <a:xfrm>
            <a:off x="428625" y="1285876"/>
            <a:ext cx="1861754" cy="188857"/>
            <a:chOff x="426983" y="303815"/>
            <a:chExt cx="1847521" cy="188857"/>
          </a:xfrm>
        </xdr:grpSpPr>
        <xdr:cxnSp macro="">
          <xdr:nvCxnSpPr>
            <xdr:cNvPr id="49" name="Straight Connector 48">
              <a:extLst>
                <a:ext uri="{FF2B5EF4-FFF2-40B4-BE49-F238E27FC236}">
                  <a16:creationId xmlns:a16="http://schemas.microsoft.com/office/drawing/2014/main" id="{00000000-0008-0000-0C00-000031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0" name="Straight Connector 49">
              <a:extLst>
                <a:ext uri="{FF2B5EF4-FFF2-40B4-BE49-F238E27FC236}">
                  <a16:creationId xmlns:a16="http://schemas.microsoft.com/office/drawing/2014/main" id="{00000000-0008-0000-0C00-000032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1" name="Straight Connector 50">
              <a:extLst>
                <a:ext uri="{FF2B5EF4-FFF2-40B4-BE49-F238E27FC236}">
                  <a16:creationId xmlns:a16="http://schemas.microsoft.com/office/drawing/2014/main" id="{00000000-0008-0000-0C00-000033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2" name="Straight Connector 51">
              <a:extLst>
                <a:ext uri="{FF2B5EF4-FFF2-40B4-BE49-F238E27FC236}">
                  <a16:creationId xmlns:a16="http://schemas.microsoft.com/office/drawing/2014/main" id="{00000000-0008-0000-0C00-000034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9" name="Group 38">
            <a:extLst>
              <a:ext uri="{FF2B5EF4-FFF2-40B4-BE49-F238E27FC236}">
                <a16:creationId xmlns:a16="http://schemas.microsoft.com/office/drawing/2014/main" id="{00000000-0008-0000-0C00-000027000000}"/>
              </a:ext>
            </a:extLst>
          </xdr:cNvPr>
          <xdr:cNvGrpSpPr/>
        </xdr:nvGrpSpPr>
        <xdr:grpSpPr>
          <a:xfrm>
            <a:off x="428625" y="1531938"/>
            <a:ext cx="1861754" cy="188857"/>
            <a:chOff x="426983" y="303815"/>
            <a:chExt cx="1847521" cy="188857"/>
          </a:xfrm>
        </xdr:grpSpPr>
        <xdr:cxnSp macro="">
          <xdr:nvCxnSpPr>
            <xdr:cNvPr id="45" name="Straight Connector 44">
              <a:extLst>
                <a:ext uri="{FF2B5EF4-FFF2-40B4-BE49-F238E27FC236}">
                  <a16:creationId xmlns:a16="http://schemas.microsoft.com/office/drawing/2014/main" id="{00000000-0008-0000-0C00-00002D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6" name="Straight Connector 45">
              <a:extLst>
                <a:ext uri="{FF2B5EF4-FFF2-40B4-BE49-F238E27FC236}">
                  <a16:creationId xmlns:a16="http://schemas.microsoft.com/office/drawing/2014/main" id="{00000000-0008-0000-0C00-00002E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7" name="Straight Connector 46">
              <a:extLst>
                <a:ext uri="{FF2B5EF4-FFF2-40B4-BE49-F238E27FC236}">
                  <a16:creationId xmlns:a16="http://schemas.microsoft.com/office/drawing/2014/main" id="{00000000-0008-0000-0C00-00002F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8" name="Straight Connector 47">
              <a:extLst>
                <a:ext uri="{FF2B5EF4-FFF2-40B4-BE49-F238E27FC236}">
                  <a16:creationId xmlns:a16="http://schemas.microsoft.com/office/drawing/2014/main" id="{00000000-0008-0000-0C00-000030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0" name="Group 39">
            <a:extLst>
              <a:ext uri="{FF2B5EF4-FFF2-40B4-BE49-F238E27FC236}">
                <a16:creationId xmlns:a16="http://schemas.microsoft.com/office/drawing/2014/main" id="{00000000-0008-0000-0C00-000028000000}"/>
              </a:ext>
            </a:extLst>
          </xdr:cNvPr>
          <xdr:cNvGrpSpPr/>
        </xdr:nvGrpSpPr>
        <xdr:grpSpPr>
          <a:xfrm>
            <a:off x="428625" y="1778001"/>
            <a:ext cx="1861754" cy="190499"/>
            <a:chOff x="426983" y="303815"/>
            <a:chExt cx="1847521" cy="188857"/>
          </a:xfrm>
        </xdr:grpSpPr>
        <xdr:cxnSp macro="">
          <xdr:nvCxnSpPr>
            <xdr:cNvPr id="41" name="Straight Connector 40">
              <a:extLst>
                <a:ext uri="{FF2B5EF4-FFF2-40B4-BE49-F238E27FC236}">
                  <a16:creationId xmlns:a16="http://schemas.microsoft.com/office/drawing/2014/main" id="{00000000-0008-0000-0C00-000029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2" name="Straight Connector 41">
              <a:extLst>
                <a:ext uri="{FF2B5EF4-FFF2-40B4-BE49-F238E27FC236}">
                  <a16:creationId xmlns:a16="http://schemas.microsoft.com/office/drawing/2014/main" id="{00000000-0008-0000-0C00-00002A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3" name="Straight Connector 42">
              <a:extLst>
                <a:ext uri="{FF2B5EF4-FFF2-40B4-BE49-F238E27FC236}">
                  <a16:creationId xmlns:a16="http://schemas.microsoft.com/office/drawing/2014/main" id="{00000000-0008-0000-0C00-00002B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4" name="Straight Connector 43">
              <a:extLst>
                <a:ext uri="{FF2B5EF4-FFF2-40B4-BE49-F238E27FC236}">
                  <a16:creationId xmlns:a16="http://schemas.microsoft.com/office/drawing/2014/main" id="{00000000-0008-0000-0C00-00002C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2</xdr:col>
      <xdr:colOff>56017</xdr:colOff>
      <xdr:row>1</xdr:row>
      <xdr:rowOff>2885</xdr:rowOff>
    </xdr:from>
    <xdr:to>
      <xdr:col>9</xdr:col>
      <xdr:colOff>389391</xdr:colOff>
      <xdr:row>2</xdr:row>
      <xdr:rowOff>4501</xdr:rowOff>
    </xdr:to>
    <xdr:sp macro="" textlink="">
      <xdr:nvSpPr>
        <xdr:cNvPr id="69" name="TextBox 68" title="Page Navigation">
          <a:hlinkClick xmlns:r="http://schemas.openxmlformats.org/officeDocument/2006/relationships" r:id="rId3" tooltip="Go To top of page"/>
          <a:extLst>
            <a:ext uri="{FF2B5EF4-FFF2-40B4-BE49-F238E27FC236}">
              <a16:creationId xmlns:a16="http://schemas.microsoft.com/office/drawing/2014/main" id="{00000000-0008-0000-0C00-000045000000}"/>
            </a:ext>
          </a:extLst>
        </xdr:cNvPr>
        <xdr:cNvSpPr txBox="1"/>
      </xdr:nvSpPr>
      <xdr:spPr>
        <a:xfrm>
          <a:off x="332242" y="60035"/>
          <a:ext cx="1857374" cy="192116"/>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xdr:from>
      <xdr:col>2</xdr:col>
      <xdr:colOff>56017</xdr:colOff>
      <xdr:row>7</xdr:row>
      <xdr:rowOff>14540</xdr:rowOff>
    </xdr:from>
    <xdr:to>
      <xdr:col>9</xdr:col>
      <xdr:colOff>389392</xdr:colOff>
      <xdr:row>8</xdr:row>
      <xdr:rowOff>27526</xdr:rowOff>
    </xdr:to>
    <xdr:sp macro="" textlink="">
      <xdr:nvSpPr>
        <xdr:cNvPr id="70" name="TextBox 69" title="Page Navigation">
          <a:hlinkClick xmlns:r="http://schemas.openxmlformats.org/officeDocument/2006/relationships" r:id="rId4" tooltip="Go To the Fixture page to enter existing and new fixtures"/>
          <a:extLst>
            <a:ext uri="{FF2B5EF4-FFF2-40B4-BE49-F238E27FC236}">
              <a16:creationId xmlns:a16="http://schemas.microsoft.com/office/drawing/2014/main" id="{00000000-0008-0000-0C00-000046000000}"/>
            </a:ext>
          </a:extLst>
        </xdr:cNvPr>
        <xdr:cNvSpPr txBox="1"/>
      </xdr:nvSpPr>
      <xdr:spPr>
        <a:xfrm>
          <a:off x="332242" y="814640"/>
          <a:ext cx="1857375" cy="193961"/>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Existing and New Fixtures</a:t>
          </a:r>
        </a:p>
      </xdr:txBody>
    </xdr:sp>
    <xdr:clientData fPrintsWithSheet="0"/>
  </xdr:twoCellAnchor>
  <xdr:twoCellAnchor>
    <xdr:from>
      <xdr:col>2</xdr:col>
      <xdr:colOff>57830</xdr:colOff>
      <xdr:row>11</xdr:row>
      <xdr:rowOff>42591</xdr:rowOff>
    </xdr:from>
    <xdr:to>
      <xdr:col>9</xdr:col>
      <xdr:colOff>389391</xdr:colOff>
      <xdr:row>12</xdr:row>
      <xdr:rowOff>46053</xdr:rowOff>
    </xdr:to>
    <xdr:sp macro="" textlink="">
      <xdr:nvSpPr>
        <xdr:cNvPr id="71" name="TextBox 70" title="Page Navigation">
          <a:hlinkClick xmlns:r="http://schemas.openxmlformats.org/officeDocument/2006/relationships" r:id="rId5" tooltip="Go To the Signature page to select the Payee"/>
          <a:extLst>
            <a:ext uri="{FF2B5EF4-FFF2-40B4-BE49-F238E27FC236}">
              <a16:creationId xmlns:a16="http://schemas.microsoft.com/office/drawing/2014/main" id="{00000000-0008-0000-0C00-000047000000}"/>
            </a:ext>
          </a:extLst>
        </xdr:cNvPr>
        <xdr:cNvSpPr txBox="1"/>
      </xdr:nvSpPr>
      <xdr:spPr>
        <a:xfrm>
          <a:off x="334055" y="1318941"/>
          <a:ext cx="1855561" cy="19396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Customer Authorization</a:t>
          </a:r>
        </a:p>
      </xdr:txBody>
    </xdr:sp>
    <xdr:clientData fPrintsWithSheet="0"/>
  </xdr:twoCellAnchor>
  <xdr:twoCellAnchor>
    <xdr:from>
      <xdr:col>2</xdr:col>
      <xdr:colOff>56017</xdr:colOff>
      <xdr:row>15</xdr:row>
      <xdr:rowOff>61118</xdr:rowOff>
    </xdr:from>
    <xdr:to>
      <xdr:col>9</xdr:col>
      <xdr:colOff>389392</xdr:colOff>
      <xdr:row>16</xdr:row>
      <xdr:rowOff>64579</xdr:rowOff>
    </xdr:to>
    <xdr:sp macro="" textlink="">
      <xdr:nvSpPr>
        <xdr:cNvPr id="72" name="TextBox 71" title="Page Navigation">
          <a:hlinkClick xmlns:r="http://schemas.openxmlformats.org/officeDocument/2006/relationships" r:id="rId6" tooltip="PSE Use page"/>
          <a:extLst>
            <a:ext uri="{FF2B5EF4-FFF2-40B4-BE49-F238E27FC236}">
              <a16:creationId xmlns:a16="http://schemas.microsoft.com/office/drawing/2014/main" id="{00000000-0008-0000-0C00-000048000000}"/>
            </a:ext>
          </a:extLst>
        </xdr:cNvPr>
        <xdr:cNvSpPr txBox="1"/>
      </xdr:nvSpPr>
      <xdr:spPr>
        <a:xfrm>
          <a:off x="332242" y="1823243"/>
          <a:ext cx="1857375" cy="193961"/>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PSE</a:t>
          </a:r>
          <a:r>
            <a:rPr lang="en-US" sz="1100" b="0" baseline="0">
              <a:solidFill>
                <a:sysClr val="windowText" lastClr="000000"/>
              </a:solidFill>
              <a:sym typeface="Webdings" panose="05030102010509060703" pitchFamily="18" charset="2"/>
            </a:rPr>
            <a:t> Grant QC Page</a:t>
          </a:r>
          <a:endParaRPr lang="en-US" sz="1100" b="0">
            <a:solidFill>
              <a:sysClr val="windowText" lastClr="000000"/>
            </a:solidFill>
            <a:sym typeface="Webdings" panose="05030102010509060703" pitchFamily="18" charset="2"/>
          </a:endParaRPr>
        </a:p>
      </xdr:txBody>
    </xdr:sp>
    <xdr:clientData fPrintsWithSheet="0"/>
  </xdr:twoCellAnchor>
  <xdr:twoCellAnchor>
    <xdr:from>
      <xdr:col>2</xdr:col>
      <xdr:colOff>57830</xdr:colOff>
      <xdr:row>13</xdr:row>
      <xdr:rowOff>47092</xdr:rowOff>
    </xdr:from>
    <xdr:to>
      <xdr:col>9</xdr:col>
      <xdr:colOff>389391</xdr:colOff>
      <xdr:row>15</xdr:row>
      <xdr:rowOff>2929</xdr:rowOff>
    </xdr:to>
    <xdr:sp macro="" textlink="">
      <xdr:nvSpPr>
        <xdr:cNvPr id="73" name="TextBox 72" title="Page Navigation">
          <a:hlinkClick xmlns:r="http://schemas.openxmlformats.org/officeDocument/2006/relationships" r:id="rId7" tooltip="Go To Advanced Controls page"/>
          <a:extLst>
            <a:ext uri="{FF2B5EF4-FFF2-40B4-BE49-F238E27FC236}">
              <a16:creationId xmlns:a16="http://schemas.microsoft.com/office/drawing/2014/main" id="{00000000-0008-0000-0C00-000049000000}"/>
            </a:ext>
          </a:extLst>
        </xdr:cNvPr>
        <xdr:cNvSpPr txBox="1"/>
      </xdr:nvSpPr>
      <xdr:spPr>
        <a:xfrm>
          <a:off x="334055" y="1571092"/>
          <a:ext cx="1855561" cy="19396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LLLC &amp; Exterior NLC</a:t>
          </a:r>
        </a:p>
      </xdr:txBody>
    </xdr:sp>
    <xdr:clientData fPrintsWithSheet="0"/>
  </xdr:twoCellAnchor>
  <xdr:twoCellAnchor>
    <xdr:from>
      <xdr:col>2</xdr:col>
      <xdr:colOff>56017</xdr:colOff>
      <xdr:row>3</xdr:row>
      <xdr:rowOff>5540</xdr:rowOff>
    </xdr:from>
    <xdr:to>
      <xdr:col>9</xdr:col>
      <xdr:colOff>389392</xdr:colOff>
      <xdr:row>4</xdr:row>
      <xdr:rowOff>9002</xdr:rowOff>
    </xdr:to>
    <xdr:sp macro="" textlink="">
      <xdr:nvSpPr>
        <xdr:cNvPr id="74" name="TextBox 73" title="Page Navigation">
          <a:hlinkClick xmlns:r="http://schemas.openxmlformats.org/officeDocument/2006/relationships" r:id="rId8" tooltip="Go To the Terms page"/>
          <a:extLst>
            <a:ext uri="{FF2B5EF4-FFF2-40B4-BE49-F238E27FC236}">
              <a16:creationId xmlns:a16="http://schemas.microsoft.com/office/drawing/2014/main" id="{00000000-0008-0000-0C00-00004A000000}"/>
            </a:ext>
          </a:extLst>
        </xdr:cNvPr>
        <xdr:cNvSpPr txBox="1"/>
      </xdr:nvSpPr>
      <xdr:spPr>
        <a:xfrm>
          <a:off x="332242" y="310340"/>
          <a:ext cx="1857375" cy="19396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Terms and Conditions</a:t>
          </a:r>
        </a:p>
      </xdr:txBody>
    </xdr:sp>
    <xdr:clientData fPrintsWithSheet="0"/>
  </xdr:twoCellAnchor>
  <xdr:twoCellAnchor>
    <xdr:from>
      <xdr:col>2</xdr:col>
      <xdr:colOff>56017</xdr:colOff>
      <xdr:row>5</xdr:row>
      <xdr:rowOff>10040</xdr:rowOff>
    </xdr:from>
    <xdr:to>
      <xdr:col>9</xdr:col>
      <xdr:colOff>389392</xdr:colOff>
      <xdr:row>6</xdr:row>
      <xdr:rowOff>13502</xdr:rowOff>
    </xdr:to>
    <xdr:sp macro="" textlink="">
      <xdr:nvSpPr>
        <xdr:cNvPr id="75" name="TextBox 74" title="Page Navigation">
          <a:hlinkClick xmlns:r="http://schemas.openxmlformats.org/officeDocument/2006/relationships" r:id="rId9" tooltip="Go To the Project information page"/>
          <a:extLst>
            <a:ext uri="{FF2B5EF4-FFF2-40B4-BE49-F238E27FC236}">
              <a16:creationId xmlns:a16="http://schemas.microsoft.com/office/drawing/2014/main" id="{00000000-0008-0000-0C00-00004B000000}"/>
            </a:ext>
          </a:extLst>
        </xdr:cNvPr>
        <xdr:cNvSpPr txBox="1"/>
      </xdr:nvSpPr>
      <xdr:spPr>
        <a:xfrm>
          <a:off x="332242" y="562490"/>
          <a:ext cx="1857375" cy="19396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 Owner Info</a:t>
          </a:r>
        </a:p>
      </xdr:txBody>
    </xdr:sp>
    <xdr:clientData fPrintsWithSheet="0"/>
  </xdr:twoCellAnchor>
  <xdr:twoCellAnchor>
    <xdr:from>
      <xdr:col>2</xdr:col>
      <xdr:colOff>57830</xdr:colOff>
      <xdr:row>9</xdr:row>
      <xdr:rowOff>30413</xdr:rowOff>
    </xdr:from>
    <xdr:to>
      <xdr:col>9</xdr:col>
      <xdr:colOff>389391</xdr:colOff>
      <xdr:row>10</xdr:row>
      <xdr:rowOff>41552</xdr:rowOff>
    </xdr:to>
    <xdr:sp macro="" textlink="">
      <xdr:nvSpPr>
        <xdr:cNvPr id="76" name="TextBox 75" title="Page Navigation">
          <a:hlinkClick xmlns:r="http://schemas.openxmlformats.org/officeDocument/2006/relationships" r:id="rId10" tooltip="Go To the Installations page to enter the installed/new lighting"/>
          <a:extLst>
            <a:ext uri="{FF2B5EF4-FFF2-40B4-BE49-F238E27FC236}">
              <a16:creationId xmlns:a16="http://schemas.microsoft.com/office/drawing/2014/main" id="{00000000-0008-0000-0C00-00004C000000}"/>
            </a:ext>
          </a:extLst>
        </xdr:cNvPr>
        <xdr:cNvSpPr txBox="1"/>
      </xdr:nvSpPr>
      <xdr:spPr>
        <a:xfrm>
          <a:off x="334055" y="1068638"/>
          <a:ext cx="1855561" cy="19211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Installations</a:t>
          </a:r>
        </a:p>
      </xdr:txBody>
    </xdr:sp>
    <xdr:clientData fPrintsWithSheet="0"/>
  </xdr:twoCellAnchor>
  <xdr:twoCellAnchor>
    <xdr:from>
      <xdr:col>9</xdr:col>
      <xdr:colOff>1752600</xdr:colOff>
      <xdr:row>15</xdr:row>
      <xdr:rowOff>0</xdr:rowOff>
    </xdr:from>
    <xdr:to>
      <xdr:col>20</xdr:col>
      <xdr:colOff>570103</xdr:colOff>
      <xdr:row>16</xdr:row>
      <xdr:rowOff>62183</xdr:rowOff>
    </xdr:to>
    <xdr:grpSp>
      <xdr:nvGrpSpPr>
        <xdr:cNvPr id="77" name="Group 76">
          <a:extLst>
            <a:ext uri="{FF2B5EF4-FFF2-40B4-BE49-F238E27FC236}">
              <a16:creationId xmlns:a16="http://schemas.microsoft.com/office/drawing/2014/main" id="{00000000-0008-0000-0C00-00004D000000}"/>
            </a:ext>
          </a:extLst>
        </xdr:cNvPr>
        <xdr:cNvGrpSpPr/>
      </xdr:nvGrpSpPr>
      <xdr:grpSpPr>
        <a:xfrm>
          <a:off x="3640827" y="1734868"/>
          <a:ext cx="5239389" cy="244296"/>
          <a:chOff x="3467100" y="1733550"/>
          <a:chExt cx="4953000" cy="247651"/>
        </a:xfrm>
      </xdr:grpSpPr>
      <xdr:sp macro="" textlink="">
        <xdr:nvSpPr>
          <xdr:cNvPr id="78" name="Rectangle 77">
            <a:extLst>
              <a:ext uri="{FF2B5EF4-FFF2-40B4-BE49-F238E27FC236}">
                <a16:creationId xmlns:a16="http://schemas.microsoft.com/office/drawing/2014/main" id="{00000000-0008-0000-0C00-00004E000000}"/>
              </a:ext>
            </a:extLst>
          </xdr:cNvPr>
          <xdr:cNvSpPr/>
        </xdr:nvSpPr>
        <xdr:spPr>
          <a:xfrm>
            <a:off x="3467100" y="1733551"/>
            <a:ext cx="4953000" cy="247650"/>
          </a:xfrm>
          <a:prstGeom prst="rect">
            <a:avLst/>
          </a:prstGeom>
          <a:solidFill>
            <a:srgbClr val="156570">
              <a:alpha val="75000"/>
            </a:srgb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79" name="Rectangle 78">
            <a:extLst>
              <a:ext uri="{FF2B5EF4-FFF2-40B4-BE49-F238E27FC236}">
                <a16:creationId xmlns:a16="http://schemas.microsoft.com/office/drawing/2014/main" id="{00000000-0008-0000-0C00-00004F000000}"/>
              </a:ext>
            </a:extLst>
          </xdr:cNvPr>
          <xdr:cNvSpPr/>
        </xdr:nvSpPr>
        <xdr:spPr>
          <a:xfrm>
            <a:off x="3467100" y="1733550"/>
            <a:ext cx="4952999" cy="247650"/>
          </a:xfrm>
          <a:prstGeom prst="rect">
            <a:avLst/>
          </a:prstGeom>
          <a:solidFill>
            <a:schemeClr val="bg1">
              <a:alpha val="75000"/>
            </a:schemeClr>
          </a:solidFill>
          <a:ln>
            <a:solidFill>
              <a:srgbClr val="15657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effectLst/>
                <a:latin typeface="+mn-lt"/>
                <a:ea typeface="+mn-ea"/>
                <a:cs typeface="+mn-cs"/>
              </a:rPr>
              <a:t>LLLC Grant QC Review</a:t>
            </a:r>
            <a:endParaRPr lang="en-US" sz="1400" b="1">
              <a:solidFill>
                <a:sysClr val="windowText" lastClr="000000"/>
              </a:solidFill>
            </a:endParaRPr>
          </a:p>
        </xdr:txBody>
      </xdr:sp>
    </xdr:grpSp>
    <xdr:clientData/>
  </xdr:twoCellAnchor>
  <xdr:twoCellAnchor>
    <xdr:from>
      <xdr:col>21</xdr:col>
      <xdr:colOff>0</xdr:colOff>
      <xdr:row>0</xdr:row>
      <xdr:rowOff>0</xdr:rowOff>
    </xdr:from>
    <xdr:to>
      <xdr:col>21</xdr:col>
      <xdr:colOff>1967063</xdr:colOff>
      <xdr:row>16</xdr:row>
      <xdr:rowOff>122768</xdr:rowOff>
    </xdr:to>
    <xdr:grpSp>
      <xdr:nvGrpSpPr>
        <xdr:cNvPr id="80" name="Group 79">
          <a:extLst>
            <a:ext uri="{FF2B5EF4-FFF2-40B4-BE49-F238E27FC236}">
              <a16:creationId xmlns:a16="http://schemas.microsoft.com/office/drawing/2014/main" id="{00000000-0008-0000-0C00-000050000000}"/>
            </a:ext>
          </a:extLst>
        </xdr:cNvPr>
        <xdr:cNvGrpSpPr/>
      </xdr:nvGrpSpPr>
      <xdr:grpSpPr>
        <a:xfrm>
          <a:off x="10236679" y="0"/>
          <a:ext cx="1967063" cy="2039749"/>
          <a:chOff x="382134" y="0"/>
          <a:chExt cx="1972355" cy="2038350"/>
        </a:xfrm>
      </xdr:grpSpPr>
      <xdr:grpSp>
        <xdr:nvGrpSpPr>
          <xdr:cNvPr id="81" name="Group 80">
            <a:extLst>
              <a:ext uri="{FF2B5EF4-FFF2-40B4-BE49-F238E27FC236}">
                <a16:creationId xmlns:a16="http://schemas.microsoft.com/office/drawing/2014/main" id="{00000000-0008-0000-0C00-000051000000}"/>
              </a:ext>
            </a:extLst>
          </xdr:cNvPr>
          <xdr:cNvGrpSpPr/>
        </xdr:nvGrpSpPr>
        <xdr:grpSpPr>
          <a:xfrm>
            <a:off x="382134" y="0"/>
            <a:ext cx="1972355" cy="2038350"/>
            <a:chOff x="373063" y="0"/>
            <a:chExt cx="1976437" cy="2024063"/>
          </a:xfrm>
        </xdr:grpSpPr>
        <xdr:sp macro="" textlink="">
          <xdr:nvSpPr>
            <xdr:cNvPr id="90" name="Rectangle 89">
              <a:extLst>
                <a:ext uri="{FF2B5EF4-FFF2-40B4-BE49-F238E27FC236}">
                  <a16:creationId xmlns:a16="http://schemas.microsoft.com/office/drawing/2014/main" id="{00000000-0008-0000-0C00-00005A00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91" name="Group 90">
              <a:extLst>
                <a:ext uri="{FF2B5EF4-FFF2-40B4-BE49-F238E27FC236}">
                  <a16:creationId xmlns:a16="http://schemas.microsoft.com/office/drawing/2014/main" id="{00000000-0008-0000-0C00-00005B000000}"/>
                </a:ext>
              </a:extLst>
            </xdr:cNvPr>
            <xdr:cNvGrpSpPr/>
          </xdr:nvGrpSpPr>
          <xdr:grpSpPr>
            <a:xfrm>
              <a:off x="428625" y="301625"/>
              <a:ext cx="1861754" cy="188857"/>
              <a:chOff x="426983" y="303815"/>
              <a:chExt cx="1847521" cy="188857"/>
            </a:xfrm>
          </xdr:grpSpPr>
          <xdr:cxnSp macro="">
            <xdr:nvCxnSpPr>
              <xdr:cNvPr id="122" name="Straight Connector 121">
                <a:extLst>
                  <a:ext uri="{FF2B5EF4-FFF2-40B4-BE49-F238E27FC236}">
                    <a16:creationId xmlns:a16="http://schemas.microsoft.com/office/drawing/2014/main" id="{00000000-0008-0000-0C00-00007A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3" name="Straight Connector 122">
                <a:extLst>
                  <a:ext uri="{FF2B5EF4-FFF2-40B4-BE49-F238E27FC236}">
                    <a16:creationId xmlns:a16="http://schemas.microsoft.com/office/drawing/2014/main" id="{00000000-0008-0000-0C00-00007B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4" name="Straight Connector 123">
                <a:extLst>
                  <a:ext uri="{FF2B5EF4-FFF2-40B4-BE49-F238E27FC236}">
                    <a16:creationId xmlns:a16="http://schemas.microsoft.com/office/drawing/2014/main" id="{00000000-0008-0000-0C00-00007C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5" name="Straight Connector 124">
                <a:extLst>
                  <a:ext uri="{FF2B5EF4-FFF2-40B4-BE49-F238E27FC236}">
                    <a16:creationId xmlns:a16="http://schemas.microsoft.com/office/drawing/2014/main" id="{00000000-0008-0000-0C00-00007D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2" name="Group 91">
              <a:extLst>
                <a:ext uri="{FF2B5EF4-FFF2-40B4-BE49-F238E27FC236}">
                  <a16:creationId xmlns:a16="http://schemas.microsoft.com/office/drawing/2014/main" id="{00000000-0008-0000-0C00-00005C000000}"/>
                </a:ext>
              </a:extLst>
            </xdr:cNvPr>
            <xdr:cNvGrpSpPr/>
          </xdr:nvGrpSpPr>
          <xdr:grpSpPr>
            <a:xfrm>
              <a:off x="428625" y="547689"/>
              <a:ext cx="1861754" cy="190499"/>
              <a:chOff x="426983" y="303815"/>
              <a:chExt cx="1847521" cy="188857"/>
            </a:xfrm>
          </xdr:grpSpPr>
          <xdr:cxnSp macro="">
            <xdr:nvCxnSpPr>
              <xdr:cNvPr id="118" name="Straight Connector 117">
                <a:extLst>
                  <a:ext uri="{FF2B5EF4-FFF2-40B4-BE49-F238E27FC236}">
                    <a16:creationId xmlns:a16="http://schemas.microsoft.com/office/drawing/2014/main" id="{00000000-0008-0000-0C00-000076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9" name="Straight Connector 118">
                <a:extLst>
                  <a:ext uri="{FF2B5EF4-FFF2-40B4-BE49-F238E27FC236}">
                    <a16:creationId xmlns:a16="http://schemas.microsoft.com/office/drawing/2014/main" id="{00000000-0008-0000-0C00-000077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0" name="Straight Connector 119">
                <a:extLst>
                  <a:ext uri="{FF2B5EF4-FFF2-40B4-BE49-F238E27FC236}">
                    <a16:creationId xmlns:a16="http://schemas.microsoft.com/office/drawing/2014/main" id="{00000000-0008-0000-0C00-000078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1" name="Straight Connector 120">
                <a:extLst>
                  <a:ext uri="{FF2B5EF4-FFF2-40B4-BE49-F238E27FC236}">
                    <a16:creationId xmlns:a16="http://schemas.microsoft.com/office/drawing/2014/main" id="{00000000-0008-0000-0C00-000079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3" name="Group 92">
              <a:extLst>
                <a:ext uri="{FF2B5EF4-FFF2-40B4-BE49-F238E27FC236}">
                  <a16:creationId xmlns:a16="http://schemas.microsoft.com/office/drawing/2014/main" id="{00000000-0008-0000-0C00-00005D000000}"/>
                </a:ext>
              </a:extLst>
            </xdr:cNvPr>
            <xdr:cNvGrpSpPr/>
          </xdr:nvGrpSpPr>
          <xdr:grpSpPr>
            <a:xfrm>
              <a:off x="428625" y="793751"/>
              <a:ext cx="1861754" cy="190499"/>
              <a:chOff x="426983" y="303815"/>
              <a:chExt cx="1847521" cy="188857"/>
            </a:xfrm>
          </xdr:grpSpPr>
          <xdr:cxnSp macro="">
            <xdr:nvCxnSpPr>
              <xdr:cNvPr id="114" name="Straight Connector 113">
                <a:extLst>
                  <a:ext uri="{FF2B5EF4-FFF2-40B4-BE49-F238E27FC236}">
                    <a16:creationId xmlns:a16="http://schemas.microsoft.com/office/drawing/2014/main" id="{00000000-0008-0000-0C00-000072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5" name="Straight Connector 114">
                <a:extLst>
                  <a:ext uri="{FF2B5EF4-FFF2-40B4-BE49-F238E27FC236}">
                    <a16:creationId xmlns:a16="http://schemas.microsoft.com/office/drawing/2014/main" id="{00000000-0008-0000-0C00-000073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6" name="Straight Connector 115">
                <a:extLst>
                  <a:ext uri="{FF2B5EF4-FFF2-40B4-BE49-F238E27FC236}">
                    <a16:creationId xmlns:a16="http://schemas.microsoft.com/office/drawing/2014/main" id="{00000000-0008-0000-0C00-000074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7" name="Straight Connector 116">
                <a:extLst>
                  <a:ext uri="{FF2B5EF4-FFF2-40B4-BE49-F238E27FC236}">
                    <a16:creationId xmlns:a16="http://schemas.microsoft.com/office/drawing/2014/main" id="{00000000-0008-0000-0C00-000075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4" name="Group 93">
              <a:extLst>
                <a:ext uri="{FF2B5EF4-FFF2-40B4-BE49-F238E27FC236}">
                  <a16:creationId xmlns:a16="http://schemas.microsoft.com/office/drawing/2014/main" id="{00000000-0008-0000-0C00-00005E000000}"/>
                </a:ext>
              </a:extLst>
            </xdr:cNvPr>
            <xdr:cNvGrpSpPr/>
          </xdr:nvGrpSpPr>
          <xdr:grpSpPr>
            <a:xfrm>
              <a:off x="428625" y="1041728"/>
              <a:ext cx="1861754" cy="186942"/>
              <a:chOff x="426983" y="303815"/>
              <a:chExt cx="1847521" cy="188857"/>
            </a:xfrm>
          </xdr:grpSpPr>
          <xdr:cxnSp macro="">
            <xdr:nvCxnSpPr>
              <xdr:cNvPr id="110" name="Straight Connector 109">
                <a:extLst>
                  <a:ext uri="{FF2B5EF4-FFF2-40B4-BE49-F238E27FC236}">
                    <a16:creationId xmlns:a16="http://schemas.microsoft.com/office/drawing/2014/main" id="{00000000-0008-0000-0C00-00006E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1" name="Straight Connector 110">
                <a:extLst>
                  <a:ext uri="{FF2B5EF4-FFF2-40B4-BE49-F238E27FC236}">
                    <a16:creationId xmlns:a16="http://schemas.microsoft.com/office/drawing/2014/main" id="{00000000-0008-0000-0C00-00006F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2" name="Straight Connector 111">
                <a:extLst>
                  <a:ext uri="{FF2B5EF4-FFF2-40B4-BE49-F238E27FC236}">
                    <a16:creationId xmlns:a16="http://schemas.microsoft.com/office/drawing/2014/main" id="{00000000-0008-0000-0C00-000070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3" name="Straight Connector 112">
                <a:extLst>
                  <a:ext uri="{FF2B5EF4-FFF2-40B4-BE49-F238E27FC236}">
                    <a16:creationId xmlns:a16="http://schemas.microsoft.com/office/drawing/2014/main" id="{00000000-0008-0000-0C00-000071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5" name="Group 94">
              <a:extLst>
                <a:ext uri="{FF2B5EF4-FFF2-40B4-BE49-F238E27FC236}">
                  <a16:creationId xmlns:a16="http://schemas.microsoft.com/office/drawing/2014/main" id="{00000000-0008-0000-0C00-00005F000000}"/>
                </a:ext>
              </a:extLst>
            </xdr:cNvPr>
            <xdr:cNvGrpSpPr/>
          </xdr:nvGrpSpPr>
          <xdr:grpSpPr>
            <a:xfrm>
              <a:off x="428625" y="1285876"/>
              <a:ext cx="1861754" cy="188857"/>
              <a:chOff x="426983" y="303815"/>
              <a:chExt cx="1847521" cy="188857"/>
            </a:xfrm>
          </xdr:grpSpPr>
          <xdr:cxnSp macro="">
            <xdr:nvCxnSpPr>
              <xdr:cNvPr id="106" name="Straight Connector 105">
                <a:extLst>
                  <a:ext uri="{FF2B5EF4-FFF2-40B4-BE49-F238E27FC236}">
                    <a16:creationId xmlns:a16="http://schemas.microsoft.com/office/drawing/2014/main" id="{00000000-0008-0000-0C00-00006A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7" name="Straight Connector 106">
                <a:extLst>
                  <a:ext uri="{FF2B5EF4-FFF2-40B4-BE49-F238E27FC236}">
                    <a16:creationId xmlns:a16="http://schemas.microsoft.com/office/drawing/2014/main" id="{00000000-0008-0000-0C00-00006B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8" name="Straight Connector 107">
                <a:extLst>
                  <a:ext uri="{FF2B5EF4-FFF2-40B4-BE49-F238E27FC236}">
                    <a16:creationId xmlns:a16="http://schemas.microsoft.com/office/drawing/2014/main" id="{00000000-0008-0000-0C00-00006C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9" name="Straight Connector 108">
                <a:extLst>
                  <a:ext uri="{FF2B5EF4-FFF2-40B4-BE49-F238E27FC236}">
                    <a16:creationId xmlns:a16="http://schemas.microsoft.com/office/drawing/2014/main" id="{00000000-0008-0000-0C00-00006D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6" name="Group 95">
              <a:extLst>
                <a:ext uri="{FF2B5EF4-FFF2-40B4-BE49-F238E27FC236}">
                  <a16:creationId xmlns:a16="http://schemas.microsoft.com/office/drawing/2014/main" id="{00000000-0008-0000-0C00-000060000000}"/>
                </a:ext>
              </a:extLst>
            </xdr:cNvPr>
            <xdr:cNvGrpSpPr/>
          </xdr:nvGrpSpPr>
          <xdr:grpSpPr>
            <a:xfrm>
              <a:off x="428625" y="1531938"/>
              <a:ext cx="1861754" cy="188857"/>
              <a:chOff x="426983" y="303815"/>
              <a:chExt cx="1847521" cy="188857"/>
            </a:xfrm>
          </xdr:grpSpPr>
          <xdr:cxnSp macro="">
            <xdr:nvCxnSpPr>
              <xdr:cNvPr id="102" name="Straight Connector 101">
                <a:extLst>
                  <a:ext uri="{FF2B5EF4-FFF2-40B4-BE49-F238E27FC236}">
                    <a16:creationId xmlns:a16="http://schemas.microsoft.com/office/drawing/2014/main" id="{00000000-0008-0000-0C00-000066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3" name="Straight Connector 102">
                <a:extLst>
                  <a:ext uri="{FF2B5EF4-FFF2-40B4-BE49-F238E27FC236}">
                    <a16:creationId xmlns:a16="http://schemas.microsoft.com/office/drawing/2014/main" id="{00000000-0008-0000-0C00-000067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4" name="Straight Connector 103">
                <a:extLst>
                  <a:ext uri="{FF2B5EF4-FFF2-40B4-BE49-F238E27FC236}">
                    <a16:creationId xmlns:a16="http://schemas.microsoft.com/office/drawing/2014/main" id="{00000000-0008-0000-0C00-000068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5" name="Straight Connector 104">
                <a:extLst>
                  <a:ext uri="{FF2B5EF4-FFF2-40B4-BE49-F238E27FC236}">
                    <a16:creationId xmlns:a16="http://schemas.microsoft.com/office/drawing/2014/main" id="{00000000-0008-0000-0C00-000069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7" name="Group 96">
              <a:extLst>
                <a:ext uri="{FF2B5EF4-FFF2-40B4-BE49-F238E27FC236}">
                  <a16:creationId xmlns:a16="http://schemas.microsoft.com/office/drawing/2014/main" id="{00000000-0008-0000-0C00-000061000000}"/>
                </a:ext>
              </a:extLst>
            </xdr:cNvPr>
            <xdr:cNvGrpSpPr/>
          </xdr:nvGrpSpPr>
          <xdr:grpSpPr>
            <a:xfrm>
              <a:off x="428625" y="1778001"/>
              <a:ext cx="1861754" cy="190499"/>
              <a:chOff x="426983" y="303815"/>
              <a:chExt cx="1847521" cy="188857"/>
            </a:xfrm>
          </xdr:grpSpPr>
          <xdr:cxnSp macro="">
            <xdr:nvCxnSpPr>
              <xdr:cNvPr id="98" name="Straight Connector 97">
                <a:extLst>
                  <a:ext uri="{FF2B5EF4-FFF2-40B4-BE49-F238E27FC236}">
                    <a16:creationId xmlns:a16="http://schemas.microsoft.com/office/drawing/2014/main" id="{00000000-0008-0000-0C00-000062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9" name="Straight Connector 98">
                <a:extLst>
                  <a:ext uri="{FF2B5EF4-FFF2-40B4-BE49-F238E27FC236}">
                    <a16:creationId xmlns:a16="http://schemas.microsoft.com/office/drawing/2014/main" id="{00000000-0008-0000-0C00-000063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0" name="Straight Connector 99">
                <a:extLst>
                  <a:ext uri="{FF2B5EF4-FFF2-40B4-BE49-F238E27FC236}">
                    <a16:creationId xmlns:a16="http://schemas.microsoft.com/office/drawing/2014/main" id="{00000000-0008-0000-0C00-000064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1" name="Straight Connector 100">
                <a:extLst>
                  <a:ext uri="{FF2B5EF4-FFF2-40B4-BE49-F238E27FC236}">
                    <a16:creationId xmlns:a16="http://schemas.microsoft.com/office/drawing/2014/main" id="{00000000-0008-0000-0C00-000065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82" name="TextBox 81" title="Page Navigation">
            <a:hlinkClick xmlns:r="http://schemas.openxmlformats.org/officeDocument/2006/relationships" r:id="rId3" tooltip="Go To top of page"/>
            <a:extLst>
              <a:ext uri="{FF2B5EF4-FFF2-40B4-BE49-F238E27FC236}">
                <a16:creationId xmlns:a16="http://schemas.microsoft.com/office/drawing/2014/main" id="{00000000-0008-0000-0C00-000052000000}"/>
              </a:ext>
            </a:extLst>
          </xdr:cNvPr>
          <xdr:cNvSpPr txBox="1"/>
        </xdr:nvSpPr>
        <xdr:spPr>
          <a:xfrm>
            <a:off x="438151" y="58963"/>
            <a:ext cx="1857374" cy="188687"/>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sp macro="" textlink="">
        <xdr:nvSpPr>
          <xdr:cNvPr id="83" name="TextBox 82" title="Page Navigation">
            <a:hlinkClick xmlns:r="http://schemas.openxmlformats.org/officeDocument/2006/relationships" r:id="rId11" tooltip="Go To the Fixture page to enter existing and new fixtures"/>
            <a:extLst>
              <a:ext uri="{FF2B5EF4-FFF2-40B4-BE49-F238E27FC236}">
                <a16:creationId xmlns:a16="http://schemas.microsoft.com/office/drawing/2014/main" id="{00000000-0008-0000-0C00-000053000000}"/>
              </a:ext>
            </a:extLst>
          </xdr:cNvPr>
          <xdr:cNvSpPr txBox="1"/>
        </xdr:nvSpPr>
        <xdr:spPr>
          <a:xfrm>
            <a:off x="438151" y="800100"/>
            <a:ext cx="1857375"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DSMc Form 3</a:t>
            </a:r>
          </a:p>
        </xdr:txBody>
      </xdr:sp>
      <xdr:sp macro="" textlink="">
        <xdr:nvSpPr>
          <xdr:cNvPr id="84" name="TextBox 83" title="Page Navigation">
            <a:hlinkClick xmlns:r="http://schemas.openxmlformats.org/officeDocument/2006/relationships" r:id="rId12"/>
            <a:extLst>
              <a:ext uri="{FF2B5EF4-FFF2-40B4-BE49-F238E27FC236}">
                <a16:creationId xmlns:a16="http://schemas.microsoft.com/office/drawing/2014/main" id="{00000000-0008-0000-0C00-000054000000}"/>
              </a:ext>
            </a:extLst>
          </xdr:cNvPr>
          <xdr:cNvSpPr txBox="1"/>
        </xdr:nvSpPr>
        <xdr:spPr>
          <a:xfrm>
            <a:off x="439964" y="1295400"/>
            <a:ext cx="185556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DSMc Form 1</a:t>
            </a:r>
            <a:endParaRPr lang="en-US" sz="1100" b="0">
              <a:solidFill>
                <a:schemeClr val="bg1"/>
              </a:solidFill>
              <a:sym typeface="Webdings" panose="05030102010509060703" pitchFamily="18" charset="2"/>
            </a:endParaRPr>
          </a:p>
        </xdr:txBody>
      </xdr:sp>
      <xdr:sp macro="" textlink="">
        <xdr:nvSpPr>
          <xdr:cNvPr id="85" name="TextBox 84" title="Page Navigation">
            <a:extLst>
              <a:ext uri="{FF2B5EF4-FFF2-40B4-BE49-F238E27FC236}">
                <a16:creationId xmlns:a16="http://schemas.microsoft.com/office/drawing/2014/main" id="{00000000-0008-0000-0C00-000055000000}"/>
              </a:ext>
            </a:extLst>
          </xdr:cNvPr>
          <xdr:cNvSpPr txBox="1"/>
        </xdr:nvSpPr>
        <xdr:spPr>
          <a:xfrm>
            <a:off x="438151" y="1790701"/>
            <a:ext cx="1857375"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endParaRPr lang="en-US" sz="1100" b="0">
              <a:solidFill>
                <a:schemeClr val="bg1"/>
              </a:solidFill>
              <a:sym typeface="Webdings" panose="05030102010509060703" pitchFamily="18" charset="2"/>
            </a:endParaRPr>
          </a:p>
        </xdr:txBody>
      </xdr:sp>
      <xdr:sp macro="" textlink="">
        <xdr:nvSpPr>
          <xdr:cNvPr id="86" name="TextBox 85" title="Page Navigation">
            <a:extLst>
              <a:ext uri="{FF2B5EF4-FFF2-40B4-BE49-F238E27FC236}">
                <a16:creationId xmlns:a16="http://schemas.microsoft.com/office/drawing/2014/main" id="{00000000-0008-0000-0C00-000056000000}"/>
              </a:ext>
            </a:extLst>
          </xdr:cNvPr>
          <xdr:cNvSpPr txBox="1"/>
        </xdr:nvSpPr>
        <xdr:spPr>
          <a:xfrm>
            <a:off x="439964" y="1543050"/>
            <a:ext cx="185556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endParaRPr lang="en-US" sz="1100" b="0">
              <a:solidFill>
                <a:schemeClr val="bg1"/>
              </a:solidFill>
              <a:sym typeface="Webdings" panose="05030102010509060703" pitchFamily="18" charset="2"/>
            </a:endParaRPr>
          </a:p>
        </xdr:txBody>
      </xdr:sp>
      <xdr:sp macro="" textlink="">
        <xdr:nvSpPr>
          <xdr:cNvPr id="87" name="TextBox 86" title="Page Navigation">
            <a:extLst>
              <a:ext uri="{FF2B5EF4-FFF2-40B4-BE49-F238E27FC236}">
                <a16:creationId xmlns:a16="http://schemas.microsoft.com/office/drawing/2014/main" id="{00000000-0008-0000-0C00-000057000000}"/>
              </a:ext>
            </a:extLst>
          </xdr:cNvPr>
          <xdr:cNvSpPr txBox="1"/>
        </xdr:nvSpPr>
        <xdr:spPr>
          <a:xfrm>
            <a:off x="438151" y="304801"/>
            <a:ext cx="1857375"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endParaRPr lang="en-US" sz="1100" b="0">
              <a:solidFill>
                <a:schemeClr val="bg1"/>
              </a:solidFill>
              <a:sym typeface="Webdings" panose="05030102010509060703" pitchFamily="18" charset="2"/>
            </a:endParaRPr>
          </a:p>
        </xdr:txBody>
      </xdr:sp>
      <xdr:sp macro="" textlink="">
        <xdr:nvSpPr>
          <xdr:cNvPr id="88" name="TextBox 87" title="Page Navigation">
            <a:extLst>
              <a:ext uri="{FF2B5EF4-FFF2-40B4-BE49-F238E27FC236}">
                <a16:creationId xmlns:a16="http://schemas.microsoft.com/office/drawing/2014/main" id="{00000000-0008-0000-0C00-000058000000}"/>
              </a:ext>
            </a:extLst>
          </xdr:cNvPr>
          <xdr:cNvSpPr txBox="1"/>
        </xdr:nvSpPr>
        <xdr:spPr>
          <a:xfrm>
            <a:off x="438151" y="552450"/>
            <a:ext cx="1857375"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endParaRPr lang="en-US" sz="1100" b="0">
              <a:solidFill>
                <a:schemeClr val="bg1"/>
              </a:solidFill>
              <a:sym typeface="Webdings" panose="05030102010509060703" pitchFamily="18" charset="2"/>
            </a:endParaRPr>
          </a:p>
        </xdr:txBody>
      </xdr:sp>
      <xdr:sp macro="" textlink="">
        <xdr:nvSpPr>
          <xdr:cNvPr id="89" name="TextBox 88" title="Page Navigation">
            <a:hlinkClick xmlns:r="http://schemas.openxmlformats.org/officeDocument/2006/relationships" r:id="rId13" tooltip="Go To the Installations page to enter the installed/new lighting"/>
            <a:extLst>
              <a:ext uri="{FF2B5EF4-FFF2-40B4-BE49-F238E27FC236}">
                <a16:creationId xmlns:a16="http://schemas.microsoft.com/office/drawing/2014/main" id="{00000000-0008-0000-0C00-000059000000}"/>
              </a:ext>
            </a:extLst>
          </xdr:cNvPr>
          <xdr:cNvSpPr txBox="1"/>
        </xdr:nvSpPr>
        <xdr:spPr>
          <a:xfrm>
            <a:off x="439964" y="1049564"/>
            <a:ext cx="1855561" cy="188685"/>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DSMc Form 2</a:t>
            </a:r>
          </a:p>
        </xdr:txBody>
      </xdr:sp>
    </xdr:grpSp>
    <xdr:clientData fPrintsWithSheet="0"/>
  </xdr:twoCellAnchor>
  <xdr:oneCellAnchor>
    <xdr:from>
      <xdr:col>2</xdr:col>
      <xdr:colOff>31749</xdr:colOff>
      <xdr:row>462</xdr:row>
      <xdr:rowOff>42333</xdr:rowOff>
    </xdr:from>
    <xdr:ext cx="518582" cy="516189"/>
    <xdr:pic>
      <xdr:nvPicPr>
        <xdr:cNvPr id="126" name="Picture 125">
          <a:extLst>
            <a:ext uri="{FF2B5EF4-FFF2-40B4-BE49-F238E27FC236}">
              <a16:creationId xmlns:a16="http://schemas.microsoft.com/office/drawing/2014/main" id="{4EBF2442-9A91-466D-B47E-78A1FCBA14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7974" y="61202358"/>
          <a:ext cx="518582" cy="51618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37</xdr:col>
      <xdr:colOff>0</xdr:colOff>
      <xdr:row>0</xdr:row>
      <xdr:rowOff>0</xdr:rowOff>
    </xdr:from>
    <xdr:to>
      <xdr:col>46</xdr:col>
      <xdr:colOff>0</xdr:colOff>
      <xdr:row>17</xdr:row>
      <xdr:rowOff>0</xdr:rowOff>
    </xdr:to>
    <xdr:grpSp>
      <xdr:nvGrpSpPr>
        <xdr:cNvPr id="86" name="Group 85">
          <a:extLst>
            <a:ext uri="{FF2B5EF4-FFF2-40B4-BE49-F238E27FC236}">
              <a16:creationId xmlns:a16="http://schemas.microsoft.com/office/drawing/2014/main" id="{00000000-0008-0000-0100-000056000000}"/>
            </a:ext>
          </a:extLst>
        </xdr:cNvPr>
        <xdr:cNvGrpSpPr/>
      </xdr:nvGrpSpPr>
      <xdr:grpSpPr>
        <a:xfrm>
          <a:off x="9795773" y="0"/>
          <a:ext cx="2051170" cy="2051170"/>
          <a:chOff x="373063" y="0"/>
          <a:chExt cx="1976437" cy="2024063"/>
        </a:xfrm>
      </xdr:grpSpPr>
      <xdr:sp macro="" textlink="">
        <xdr:nvSpPr>
          <xdr:cNvPr id="87" name="Rectangle 86">
            <a:extLst>
              <a:ext uri="{FF2B5EF4-FFF2-40B4-BE49-F238E27FC236}">
                <a16:creationId xmlns:a16="http://schemas.microsoft.com/office/drawing/2014/main" id="{00000000-0008-0000-0100-00005700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88" name="Group 87">
            <a:extLst>
              <a:ext uri="{FF2B5EF4-FFF2-40B4-BE49-F238E27FC236}">
                <a16:creationId xmlns:a16="http://schemas.microsoft.com/office/drawing/2014/main" id="{00000000-0008-0000-0100-000058000000}"/>
              </a:ext>
            </a:extLst>
          </xdr:cNvPr>
          <xdr:cNvGrpSpPr/>
        </xdr:nvGrpSpPr>
        <xdr:grpSpPr>
          <a:xfrm>
            <a:off x="428625" y="301625"/>
            <a:ext cx="1861754" cy="188857"/>
            <a:chOff x="426983" y="303815"/>
            <a:chExt cx="1847521" cy="188857"/>
          </a:xfrm>
        </xdr:grpSpPr>
        <xdr:cxnSp macro="">
          <xdr:nvCxnSpPr>
            <xdr:cNvPr id="119" name="Straight Connector 118">
              <a:extLst>
                <a:ext uri="{FF2B5EF4-FFF2-40B4-BE49-F238E27FC236}">
                  <a16:creationId xmlns:a16="http://schemas.microsoft.com/office/drawing/2014/main" id="{00000000-0008-0000-0100-000077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0" name="Straight Connector 119">
              <a:extLst>
                <a:ext uri="{FF2B5EF4-FFF2-40B4-BE49-F238E27FC236}">
                  <a16:creationId xmlns:a16="http://schemas.microsoft.com/office/drawing/2014/main" id="{00000000-0008-0000-0100-000078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1" name="Straight Connector 120">
              <a:extLst>
                <a:ext uri="{FF2B5EF4-FFF2-40B4-BE49-F238E27FC236}">
                  <a16:creationId xmlns:a16="http://schemas.microsoft.com/office/drawing/2014/main" id="{00000000-0008-0000-0100-000079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2" name="Straight Connector 121">
              <a:extLst>
                <a:ext uri="{FF2B5EF4-FFF2-40B4-BE49-F238E27FC236}">
                  <a16:creationId xmlns:a16="http://schemas.microsoft.com/office/drawing/2014/main" id="{00000000-0008-0000-0100-00007A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89" name="Group 88">
            <a:extLst>
              <a:ext uri="{FF2B5EF4-FFF2-40B4-BE49-F238E27FC236}">
                <a16:creationId xmlns:a16="http://schemas.microsoft.com/office/drawing/2014/main" id="{00000000-0008-0000-0100-000059000000}"/>
              </a:ext>
            </a:extLst>
          </xdr:cNvPr>
          <xdr:cNvGrpSpPr/>
        </xdr:nvGrpSpPr>
        <xdr:grpSpPr>
          <a:xfrm>
            <a:off x="428625" y="547689"/>
            <a:ext cx="1861754" cy="190499"/>
            <a:chOff x="426983" y="303815"/>
            <a:chExt cx="1847521" cy="188857"/>
          </a:xfrm>
        </xdr:grpSpPr>
        <xdr:cxnSp macro="">
          <xdr:nvCxnSpPr>
            <xdr:cNvPr id="115" name="Straight Connector 114">
              <a:extLst>
                <a:ext uri="{FF2B5EF4-FFF2-40B4-BE49-F238E27FC236}">
                  <a16:creationId xmlns:a16="http://schemas.microsoft.com/office/drawing/2014/main" id="{00000000-0008-0000-0100-000073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6" name="Straight Connector 115">
              <a:extLst>
                <a:ext uri="{FF2B5EF4-FFF2-40B4-BE49-F238E27FC236}">
                  <a16:creationId xmlns:a16="http://schemas.microsoft.com/office/drawing/2014/main" id="{00000000-0008-0000-0100-000074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7" name="Straight Connector 116">
              <a:extLst>
                <a:ext uri="{FF2B5EF4-FFF2-40B4-BE49-F238E27FC236}">
                  <a16:creationId xmlns:a16="http://schemas.microsoft.com/office/drawing/2014/main" id="{00000000-0008-0000-0100-000075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8" name="Straight Connector 117">
              <a:extLst>
                <a:ext uri="{FF2B5EF4-FFF2-40B4-BE49-F238E27FC236}">
                  <a16:creationId xmlns:a16="http://schemas.microsoft.com/office/drawing/2014/main" id="{00000000-0008-0000-0100-000076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0" name="Group 89">
            <a:extLst>
              <a:ext uri="{FF2B5EF4-FFF2-40B4-BE49-F238E27FC236}">
                <a16:creationId xmlns:a16="http://schemas.microsoft.com/office/drawing/2014/main" id="{00000000-0008-0000-0100-00005A000000}"/>
              </a:ext>
            </a:extLst>
          </xdr:cNvPr>
          <xdr:cNvGrpSpPr/>
        </xdr:nvGrpSpPr>
        <xdr:grpSpPr>
          <a:xfrm>
            <a:off x="428625" y="793751"/>
            <a:ext cx="1861754" cy="190499"/>
            <a:chOff x="426983" y="303815"/>
            <a:chExt cx="1847521" cy="188857"/>
          </a:xfrm>
        </xdr:grpSpPr>
        <xdr:cxnSp macro="">
          <xdr:nvCxnSpPr>
            <xdr:cNvPr id="111" name="Straight Connector 110">
              <a:extLst>
                <a:ext uri="{FF2B5EF4-FFF2-40B4-BE49-F238E27FC236}">
                  <a16:creationId xmlns:a16="http://schemas.microsoft.com/office/drawing/2014/main" id="{00000000-0008-0000-0100-00006F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2" name="Straight Connector 111">
              <a:extLst>
                <a:ext uri="{FF2B5EF4-FFF2-40B4-BE49-F238E27FC236}">
                  <a16:creationId xmlns:a16="http://schemas.microsoft.com/office/drawing/2014/main" id="{00000000-0008-0000-0100-000070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3" name="Straight Connector 112">
              <a:extLst>
                <a:ext uri="{FF2B5EF4-FFF2-40B4-BE49-F238E27FC236}">
                  <a16:creationId xmlns:a16="http://schemas.microsoft.com/office/drawing/2014/main" id="{00000000-0008-0000-0100-000071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4" name="Straight Connector 113">
              <a:extLst>
                <a:ext uri="{FF2B5EF4-FFF2-40B4-BE49-F238E27FC236}">
                  <a16:creationId xmlns:a16="http://schemas.microsoft.com/office/drawing/2014/main" id="{00000000-0008-0000-0100-000072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1" name="Group 90">
            <a:extLst>
              <a:ext uri="{FF2B5EF4-FFF2-40B4-BE49-F238E27FC236}">
                <a16:creationId xmlns:a16="http://schemas.microsoft.com/office/drawing/2014/main" id="{00000000-0008-0000-0100-00005B000000}"/>
              </a:ext>
            </a:extLst>
          </xdr:cNvPr>
          <xdr:cNvGrpSpPr/>
        </xdr:nvGrpSpPr>
        <xdr:grpSpPr>
          <a:xfrm>
            <a:off x="428625" y="1041728"/>
            <a:ext cx="1861754" cy="186942"/>
            <a:chOff x="426983" y="303815"/>
            <a:chExt cx="1847521" cy="188857"/>
          </a:xfrm>
        </xdr:grpSpPr>
        <xdr:cxnSp macro="">
          <xdr:nvCxnSpPr>
            <xdr:cNvPr id="107" name="Straight Connector 106">
              <a:extLst>
                <a:ext uri="{FF2B5EF4-FFF2-40B4-BE49-F238E27FC236}">
                  <a16:creationId xmlns:a16="http://schemas.microsoft.com/office/drawing/2014/main" id="{00000000-0008-0000-0100-00006B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8" name="Straight Connector 107">
              <a:extLst>
                <a:ext uri="{FF2B5EF4-FFF2-40B4-BE49-F238E27FC236}">
                  <a16:creationId xmlns:a16="http://schemas.microsoft.com/office/drawing/2014/main" id="{00000000-0008-0000-0100-00006C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9" name="Straight Connector 108">
              <a:extLst>
                <a:ext uri="{FF2B5EF4-FFF2-40B4-BE49-F238E27FC236}">
                  <a16:creationId xmlns:a16="http://schemas.microsoft.com/office/drawing/2014/main" id="{00000000-0008-0000-0100-00006D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0" name="Straight Connector 109">
              <a:extLst>
                <a:ext uri="{FF2B5EF4-FFF2-40B4-BE49-F238E27FC236}">
                  <a16:creationId xmlns:a16="http://schemas.microsoft.com/office/drawing/2014/main" id="{00000000-0008-0000-0100-00006E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2" name="Group 91">
            <a:extLst>
              <a:ext uri="{FF2B5EF4-FFF2-40B4-BE49-F238E27FC236}">
                <a16:creationId xmlns:a16="http://schemas.microsoft.com/office/drawing/2014/main" id="{00000000-0008-0000-0100-00005C000000}"/>
              </a:ext>
            </a:extLst>
          </xdr:cNvPr>
          <xdr:cNvGrpSpPr/>
        </xdr:nvGrpSpPr>
        <xdr:grpSpPr>
          <a:xfrm>
            <a:off x="428625" y="1285876"/>
            <a:ext cx="1861754" cy="188857"/>
            <a:chOff x="426983" y="303815"/>
            <a:chExt cx="1847521" cy="188857"/>
          </a:xfrm>
        </xdr:grpSpPr>
        <xdr:cxnSp macro="">
          <xdr:nvCxnSpPr>
            <xdr:cNvPr id="103" name="Straight Connector 102">
              <a:extLst>
                <a:ext uri="{FF2B5EF4-FFF2-40B4-BE49-F238E27FC236}">
                  <a16:creationId xmlns:a16="http://schemas.microsoft.com/office/drawing/2014/main" id="{00000000-0008-0000-0100-000067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4" name="Straight Connector 103">
              <a:extLst>
                <a:ext uri="{FF2B5EF4-FFF2-40B4-BE49-F238E27FC236}">
                  <a16:creationId xmlns:a16="http://schemas.microsoft.com/office/drawing/2014/main" id="{00000000-0008-0000-0100-000068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5" name="Straight Connector 104">
              <a:extLst>
                <a:ext uri="{FF2B5EF4-FFF2-40B4-BE49-F238E27FC236}">
                  <a16:creationId xmlns:a16="http://schemas.microsoft.com/office/drawing/2014/main" id="{00000000-0008-0000-0100-000069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6" name="Straight Connector 105">
              <a:extLst>
                <a:ext uri="{FF2B5EF4-FFF2-40B4-BE49-F238E27FC236}">
                  <a16:creationId xmlns:a16="http://schemas.microsoft.com/office/drawing/2014/main" id="{00000000-0008-0000-0100-00006A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3" name="Group 92">
            <a:extLst>
              <a:ext uri="{FF2B5EF4-FFF2-40B4-BE49-F238E27FC236}">
                <a16:creationId xmlns:a16="http://schemas.microsoft.com/office/drawing/2014/main" id="{00000000-0008-0000-0100-00005D000000}"/>
              </a:ext>
            </a:extLst>
          </xdr:cNvPr>
          <xdr:cNvGrpSpPr/>
        </xdr:nvGrpSpPr>
        <xdr:grpSpPr>
          <a:xfrm>
            <a:off x="428625" y="1531938"/>
            <a:ext cx="1861754" cy="188857"/>
            <a:chOff x="426983" y="303815"/>
            <a:chExt cx="1847521" cy="188857"/>
          </a:xfrm>
        </xdr:grpSpPr>
        <xdr:cxnSp macro="">
          <xdr:nvCxnSpPr>
            <xdr:cNvPr id="99" name="Straight Connector 98">
              <a:extLst>
                <a:ext uri="{FF2B5EF4-FFF2-40B4-BE49-F238E27FC236}">
                  <a16:creationId xmlns:a16="http://schemas.microsoft.com/office/drawing/2014/main" id="{00000000-0008-0000-0100-000063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0" name="Straight Connector 99">
              <a:extLst>
                <a:ext uri="{FF2B5EF4-FFF2-40B4-BE49-F238E27FC236}">
                  <a16:creationId xmlns:a16="http://schemas.microsoft.com/office/drawing/2014/main" id="{00000000-0008-0000-0100-000064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1" name="Straight Connector 100">
              <a:extLst>
                <a:ext uri="{FF2B5EF4-FFF2-40B4-BE49-F238E27FC236}">
                  <a16:creationId xmlns:a16="http://schemas.microsoft.com/office/drawing/2014/main" id="{00000000-0008-0000-0100-000065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2" name="Straight Connector 101">
              <a:extLst>
                <a:ext uri="{FF2B5EF4-FFF2-40B4-BE49-F238E27FC236}">
                  <a16:creationId xmlns:a16="http://schemas.microsoft.com/office/drawing/2014/main" id="{00000000-0008-0000-0100-000066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4" name="Group 93">
            <a:extLst>
              <a:ext uri="{FF2B5EF4-FFF2-40B4-BE49-F238E27FC236}">
                <a16:creationId xmlns:a16="http://schemas.microsoft.com/office/drawing/2014/main" id="{00000000-0008-0000-0100-00005E000000}"/>
              </a:ext>
            </a:extLst>
          </xdr:cNvPr>
          <xdr:cNvGrpSpPr/>
        </xdr:nvGrpSpPr>
        <xdr:grpSpPr>
          <a:xfrm>
            <a:off x="428625" y="1778001"/>
            <a:ext cx="1861754" cy="190499"/>
            <a:chOff x="426983" y="303815"/>
            <a:chExt cx="1847521" cy="188857"/>
          </a:xfrm>
        </xdr:grpSpPr>
        <xdr:cxnSp macro="">
          <xdr:nvCxnSpPr>
            <xdr:cNvPr id="95" name="Straight Connector 94">
              <a:extLst>
                <a:ext uri="{FF2B5EF4-FFF2-40B4-BE49-F238E27FC236}">
                  <a16:creationId xmlns:a16="http://schemas.microsoft.com/office/drawing/2014/main" id="{00000000-0008-0000-0100-00005F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6" name="Straight Connector 95">
              <a:extLst>
                <a:ext uri="{FF2B5EF4-FFF2-40B4-BE49-F238E27FC236}">
                  <a16:creationId xmlns:a16="http://schemas.microsoft.com/office/drawing/2014/main" id="{00000000-0008-0000-0100-000060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7" name="Straight Connector 96">
              <a:extLst>
                <a:ext uri="{FF2B5EF4-FFF2-40B4-BE49-F238E27FC236}">
                  <a16:creationId xmlns:a16="http://schemas.microsoft.com/office/drawing/2014/main" id="{00000000-0008-0000-0100-000061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98" name="Straight Connector 97">
              <a:extLst>
                <a:ext uri="{FF2B5EF4-FFF2-40B4-BE49-F238E27FC236}">
                  <a16:creationId xmlns:a16="http://schemas.microsoft.com/office/drawing/2014/main" id="{00000000-0008-0000-0100-000062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LocksWithSheet="0" fPrintsWithSheet="0"/>
  </xdr:twoCellAnchor>
  <xdr:oneCellAnchor>
    <xdr:from>
      <xdr:col>20</xdr:col>
      <xdr:colOff>0</xdr:colOff>
      <xdr:row>1</xdr:row>
      <xdr:rowOff>0</xdr:rowOff>
    </xdr:from>
    <xdr:ext cx="1196164" cy="555416"/>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62626" y="63500"/>
          <a:ext cx="1196164" cy="555416"/>
        </a:xfrm>
        <a:prstGeom prst="rect">
          <a:avLst/>
        </a:prstGeom>
      </xdr:spPr>
    </xdr:pic>
    <xdr:clientData/>
  </xdr:oneCellAnchor>
  <xdr:oneCellAnchor>
    <xdr:from>
      <xdr:col>38</xdr:col>
      <xdr:colOff>1</xdr:colOff>
      <xdr:row>0</xdr:row>
      <xdr:rowOff>57149</xdr:rowOff>
    </xdr:from>
    <xdr:ext cx="1905000" cy="190501"/>
    <xdr:sp macro="" textlink="">
      <xdr:nvSpPr>
        <xdr:cNvPr id="41" name="TextBox 40" title="Page Navigation">
          <a:hlinkClick xmlns:r="http://schemas.openxmlformats.org/officeDocument/2006/relationships" r:id="rId2"/>
          <a:extLst>
            <a:ext uri="{FF2B5EF4-FFF2-40B4-BE49-F238E27FC236}">
              <a16:creationId xmlns:a16="http://schemas.microsoft.com/office/drawing/2014/main" id="{00000000-0008-0000-0100-000029000000}"/>
            </a:ext>
          </a:extLst>
        </xdr:cNvPr>
        <xdr:cNvSpPr txBox="1"/>
      </xdr:nvSpPr>
      <xdr:spPr>
        <a:xfrm>
          <a:off x="9572626" y="57149"/>
          <a:ext cx="1905000" cy="190501"/>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Page Navigation</a:t>
          </a:r>
          <a:endParaRPr lang="en-US" sz="1100" b="0" i="1">
            <a:solidFill>
              <a:schemeClr val="bg1"/>
            </a:solidFill>
          </a:endParaRPr>
        </a:p>
      </xdr:txBody>
    </xdr:sp>
    <xdr:clientData fPrintsWithSheet="0"/>
  </xdr:oneCellAnchor>
  <xdr:oneCellAnchor>
    <xdr:from>
      <xdr:col>38</xdr:col>
      <xdr:colOff>0</xdr:colOff>
      <xdr:row>6</xdr:row>
      <xdr:rowOff>54427</xdr:rowOff>
    </xdr:from>
    <xdr:ext cx="1943652" cy="192518"/>
    <xdr:sp macro="" textlink="">
      <xdr:nvSpPr>
        <xdr:cNvPr id="42" name="TextBox 41" title="Page Navigation">
          <a:hlinkClick xmlns:r="http://schemas.openxmlformats.org/officeDocument/2006/relationships" r:id="rId3" tooltip="Enter the Project Owner information"/>
          <a:extLst>
            <a:ext uri="{FF2B5EF4-FFF2-40B4-BE49-F238E27FC236}">
              <a16:creationId xmlns:a16="http://schemas.microsoft.com/office/drawing/2014/main" id="{00000000-0008-0000-0100-00002A000000}"/>
            </a:ext>
          </a:extLst>
        </xdr:cNvPr>
        <xdr:cNvSpPr txBox="1"/>
      </xdr:nvSpPr>
      <xdr:spPr>
        <a:xfrm>
          <a:off x="9950174" y="816427"/>
          <a:ext cx="1943652" cy="192518"/>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Owner</a:t>
          </a:r>
        </a:p>
      </xdr:txBody>
    </xdr:sp>
    <xdr:clientData fPrintsWithSheet="0"/>
  </xdr:oneCellAnchor>
  <xdr:oneCellAnchor>
    <xdr:from>
      <xdr:col>38</xdr:col>
      <xdr:colOff>0</xdr:colOff>
      <xdr:row>11</xdr:row>
      <xdr:rowOff>0</xdr:rowOff>
    </xdr:from>
    <xdr:ext cx="1943652" cy="190500"/>
    <xdr:sp macro="" textlink="">
      <xdr:nvSpPr>
        <xdr:cNvPr id="43" name="TextBox 42" title="Page Navigation">
          <a:hlinkClick xmlns:r="http://schemas.openxmlformats.org/officeDocument/2006/relationships" r:id="rId4" tooltip="Enter project information"/>
          <a:extLst>
            <a:ext uri="{FF2B5EF4-FFF2-40B4-BE49-F238E27FC236}">
              <a16:creationId xmlns:a16="http://schemas.microsoft.com/office/drawing/2014/main" id="{00000000-0008-0000-0100-00002B000000}"/>
            </a:ext>
          </a:extLst>
        </xdr:cNvPr>
        <xdr:cNvSpPr txBox="1"/>
      </xdr:nvSpPr>
      <xdr:spPr>
        <a:xfrm>
          <a:off x="9950174" y="1333500"/>
          <a:ext cx="1943652"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Notes</a:t>
          </a:r>
        </a:p>
      </xdr:txBody>
    </xdr:sp>
    <xdr:clientData fPrintsWithSheet="0"/>
  </xdr:oneCellAnchor>
  <xdr:oneCellAnchor>
    <xdr:from>
      <xdr:col>38</xdr:col>
      <xdr:colOff>0</xdr:colOff>
      <xdr:row>15</xdr:row>
      <xdr:rowOff>1</xdr:rowOff>
    </xdr:from>
    <xdr:ext cx="1943652" cy="190500"/>
    <xdr:sp macro="" textlink="">
      <xdr:nvSpPr>
        <xdr:cNvPr id="44" name="TextBox 43" title="Page Navigation">
          <a:hlinkClick xmlns:r="http://schemas.openxmlformats.org/officeDocument/2006/relationships" r:id="rId5" tooltip="Enter Contractor information"/>
          <a:extLst>
            <a:ext uri="{FF2B5EF4-FFF2-40B4-BE49-F238E27FC236}">
              <a16:creationId xmlns:a16="http://schemas.microsoft.com/office/drawing/2014/main" id="{00000000-0008-0000-0100-00002C000000}"/>
            </a:ext>
          </a:extLst>
        </xdr:cNvPr>
        <xdr:cNvSpPr txBox="1"/>
      </xdr:nvSpPr>
      <xdr:spPr>
        <a:xfrm>
          <a:off x="9950174" y="1841501"/>
          <a:ext cx="1943652"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Contractor Info</a:t>
          </a:r>
          <a:endParaRPr lang="en-US" sz="1100" b="0" i="1">
            <a:solidFill>
              <a:schemeClr val="bg1"/>
            </a:solidFill>
            <a:sym typeface="Webdings" panose="05030102010509060703" pitchFamily="18" charset="2"/>
          </a:endParaRPr>
        </a:p>
      </xdr:txBody>
    </xdr:sp>
    <xdr:clientData fPrintsWithSheet="0"/>
  </xdr:oneCellAnchor>
  <xdr:oneCellAnchor>
    <xdr:from>
      <xdr:col>38</xdr:col>
      <xdr:colOff>0</xdr:colOff>
      <xdr:row>13</xdr:row>
      <xdr:rowOff>0</xdr:rowOff>
    </xdr:from>
    <xdr:ext cx="1943652" cy="190500"/>
    <xdr:sp macro="" textlink="">
      <xdr:nvSpPr>
        <xdr:cNvPr id="45" name="TextBox 44" title="Page Navigation">
          <a:hlinkClick xmlns:r="http://schemas.openxmlformats.org/officeDocument/2006/relationships" r:id="rId6" tooltip="Enter Submitting Company information"/>
          <a:extLst>
            <a:ext uri="{FF2B5EF4-FFF2-40B4-BE49-F238E27FC236}">
              <a16:creationId xmlns:a16="http://schemas.microsoft.com/office/drawing/2014/main" id="{00000000-0008-0000-0100-00002D000000}"/>
            </a:ext>
          </a:extLst>
        </xdr:cNvPr>
        <xdr:cNvSpPr txBox="1"/>
      </xdr:nvSpPr>
      <xdr:spPr>
        <a:xfrm>
          <a:off x="9950174" y="1587500"/>
          <a:ext cx="1943652"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Submitting Company Info</a:t>
          </a:r>
        </a:p>
      </xdr:txBody>
    </xdr:sp>
    <xdr:clientData fPrintsWithSheet="0"/>
  </xdr:oneCellAnchor>
  <xdr:oneCellAnchor>
    <xdr:from>
      <xdr:col>38</xdr:col>
      <xdr:colOff>0</xdr:colOff>
      <xdr:row>3</xdr:row>
      <xdr:rowOff>1</xdr:rowOff>
    </xdr:from>
    <xdr:ext cx="1943652" cy="190500"/>
    <xdr:sp macro="" textlink="">
      <xdr:nvSpPr>
        <xdr:cNvPr id="46" name="TextBox 45" title="Page Navigation">
          <a:hlinkClick xmlns:r="http://schemas.openxmlformats.org/officeDocument/2006/relationships" r:id="rId7" tooltip="Enter Project Type"/>
          <a:extLst>
            <a:ext uri="{FF2B5EF4-FFF2-40B4-BE49-F238E27FC236}">
              <a16:creationId xmlns:a16="http://schemas.microsoft.com/office/drawing/2014/main" id="{00000000-0008-0000-0100-00002E000000}"/>
            </a:ext>
          </a:extLst>
        </xdr:cNvPr>
        <xdr:cNvSpPr txBox="1"/>
      </xdr:nvSpPr>
      <xdr:spPr>
        <a:xfrm>
          <a:off x="9950174" y="317501"/>
          <a:ext cx="1943652"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Type</a:t>
          </a:r>
        </a:p>
      </xdr:txBody>
    </xdr:sp>
    <xdr:clientData fPrintsWithSheet="0"/>
  </xdr:oneCellAnchor>
  <xdr:oneCellAnchor>
    <xdr:from>
      <xdr:col>38</xdr:col>
      <xdr:colOff>0</xdr:colOff>
      <xdr:row>4</xdr:row>
      <xdr:rowOff>56444</xdr:rowOff>
    </xdr:from>
    <xdr:ext cx="1943652" cy="190500"/>
    <xdr:sp macro="" textlink="">
      <xdr:nvSpPr>
        <xdr:cNvPr id="47" name="TextBox 46" title="Page Navigation">
          <a:hlinkClick xmlns:r="http://schemas.openxmlformats.org/officeDocument/2006/relationships" r:id="rId8" tooltip="Enter Project specific information"/>
          <a:extLst>
            <a:ext uri="{FF2B5EF4-FFF2-40B4-BE49-F238E27FC236}">
              <a16:creationId xmlns:a16="http://schemas.microsoft.com/office/drawing/2014/main" id="{00000000-0008-0000-0100-00002F000000}"/>
            </a:ext>
          </a:extLst>
        </xdr:cNvPr>
        <xdr:cNvSpPr txBox="1"/>
      </xdr:nvSpPr>
      <xdr:spPr>
        <a:xfrm>
          <a:off x="9950174" y="564444"/>
          <a:ext cx="1943652"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Location</a:t>
          </a:r>
        </a:p>
      </xdr:txBody>
    </xdr:sp>
    <xdr:clientData fPrintsWithSheet="0"/>
  </xdr:oneCellAnchor>
  <xdr:oneCellAnchor>
    <xdr:from>
      <xdr:col>38</xdr:col>
      <xdr:colOff>0</xdr:colOff>
      <xdr:row>8</xdr:row>
      <xdr:rowOff>56444</xdr:rowOff>
    </xdr:from>
    <xdr:ext cx="1943652" cy="190500"/>
    <xdr:sp macro="" textlink="">
      <xdr:nvSpPr>
        <xdr:cNvPr id="48" name="TextBox 47" title="Page Navigation">
          <a:hlinkClick xmlns:r="http://schemas.openxmlformats.org/officeDocument/2006/relationships" r:id="rId9" tooltip="Enter the operating hours of the project"/>
          <a:extLst>
            <a:ext uri="{FF2B5EF4-FFF2-40B4-BE49-F238E27FC236}">
              <a16:creationId xmlns:a16="http://schemas.microsoft.com/office/drawing/2014/main" id="{00000000-0008-0000-0100-000030000000}"/>
            </a:ext>
          </a:extLst>
        </xdr:cNvPr>
        <xdr:cNvSpPr txBox="1"/>
      </xdr:nvSpPr>
      <xdr:spPr>
        <a:xfrm>
          <a:off x="9950174" y="1072444"/>
          <a:ext cx="1943652"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Hours of Operation</a:t>
          </a:r>
        </a:p>
      </xdr:txBody>
    </xdr:sp>
    <xdr:clientData fPrintsWithSheet="0"/>
  </xdr:oneCellAnchor>
  <xdr:twoCellAnchor>
    <xdr:from>
      <xdr:col>12</xdr:col>
      <xdr:colOff>0</xdr:colOff>
      <xdr:row>14</xdr:row>
      <xdr:rowOff>0</xdr:rowOff>
    </xdr:from>
    <xdr:to>
      <xdr:col>34</xdr:col>
      <xdr:colOff>19769</xdr:colOff>
      <xdr:row>16</xdr:row>
      <xdr:rowOff>5033</xdr:rowOff>
    </xdr:to>
    <xdr:grpSp>
      <xdr:nvGrpSpPr>
        <xdr:cNvPr id="123" name="Group 122">
          <a:extLst>
            <a:ext uri="{FF2B5EF4-FFF2-40B4-BE49-F238E27FC236}">
              <a16:creationId xmlns:a16="http://schemas.microsoft.com/office/drawing/2014/main" id="{00000000-0008-0000-0100-00007B000000}"/>
            </a:ext>
          </a:extLst>
        </xdr:cNvPr>
        <xdr:cNvGrpSpPr/>
      </xdr:nvGrpSpPr>
      <xdr:grpSpPr>
        <a:xfrm>
          <a:off x="3556000" y="1744453"/>
          <a:ext cx="5109353" cy="254240"/>
          <a:chOff x="3467100" y="1733550"/>
          <a:chExt cx="4953000" cy="247651"/>
        </a:xfrm>
      </xdr:grpSpPr>
      <xdr:sp macro="" textlink="">
        <xdr:nvSpPr>
          <xdr:cNvPr id="124" name="Rectangle 123">
            <a:extLst>
              <a:ext uri="{FF2B5EF4-FFF2-40B4-BE49-F238E27FC236}">
                <a16:creationId xmlns:a16="http://schemas.microsoft.com/office/drawing/2014/main" id="{00000000-0008-0000-0100-00007C000000}"/>
              </a:ext>
            </a:extLst>
          </xdr:cNvPr>
          <xdr:cNvSpPr/>
        </xdr:nvSpPr>
        <xdr:spPr>
          <a:xfrm>
            <a:off x="3467100" y="1733551"/>
            <a:ext cx="4953000" cy="247650"/>
          </a:xfrm>
          <a:prstGeom prst="rect">
            <a:avLst/>
          </a:prstGeom>
          <a:solidFill>
            <a:srgbClr val="156570">
              <a:alpha val="75000"/>
            </a:srgb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125" name="Rectangle 124">
            <a:extLst>
              <a:ext uri="{FF2B5EF4-FFF2-40B4-BE49-F238E27FC236}">
                <a16:creationId xmlns:a16="http://schemas.microsoft.com/office/drawing/2014/main" id="{00000000-0008-0000-0100-00007D000000}"/>
              </a:ext>
            </a:extLst>
          </xdr:cNvPr>
          <xdr:cNvSpPr/>
        </xdr:nvSpPr>
        <xdr:spPr>
          <a:xfrm>
            <a:off x="3467100" y="1733550"/>
            <a:ext cx="4952999" cy="247650"/>
          </a:xfrm>
          <a:prstGeom prst="rect">
            <a:avLst/>
          </a:prstGeom>
          <a:solidFill>
            <a:schemeClr val="bg1">
              <a:alpha val="75000"/>
            </a:schemeClr>
          </a:solidFill>
          <a:ln>
            <a:solidFill>
              <a:srgbClr val="15657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effectLst/>
                <a:latin typeface="+mn-lt"/>
                <a:ea typeface="+mn-ea"/>
                <a:cs typeface="+mn-cs"/>
              </a:rPr>
              <a:t>Project / Owner / Contractor Information</a:t>
            </a:r>
            <a:endParaRPr lang="en-US" sz="1400" b="1">
              <a:solidFill>
                <a:sysClr val="windowText" lastClr="000000"/>
              </a:solidFill>
            </a:endParaRPr>
          </a:p>
        </xdr:txBody>
      </xdr:sp>
    </xdr:grpSp>
    <xdr:clientData/>
  </xdr:twoCellAnchor>
  <xdr:twoCellAnchor>
    <xdr:from>
      <xdr:col>2</xdr:col>
      <xdr:colOff>0</xdr:colOff>
      <xdr:row>0</xdr:row>
      <xdr:rowOff>0</xdr:rowOff>
    </xdr:from>
    <xdr:to>
      <xdr:col>9</xdr:col>
      <xdr:colOff>680</xdr:colOff>
      <xdr:row>17</xdr:row>
      <xdr:rowOff>0</xdr:rowOff>
    </xdr:to>
    <xdr:grpSp>
      <xdr:nvGrpSpPr>
        <xdr:cNvPr id="238" name="Group 237">
          <a:extLst>
            <a:ext uri="{FF2B5EF4-FFF2-40B4-BE49-F238E27FC236}">
              <a16:creationId xmlns:a16="http://schemas.microsoft.com/office/drawing/2014/main" id="{00000000-0008-0000-0100-0000EE000000}"/>
            </a:ext>
          </a:extLst>
        </xdr:cNvPr>
        <xdr:cNvGrpSpPr/>
      </xdr:nvGrpSpPr>
      <xdr:grpSpPr>
        <a:xfrm>
          <a:off x="392981" y="0"/>
          <a:ext cx="2032680" cy="2051170"/>
          <a:chOff x="373063" y="0"/>
          <a:chExt cx="1976437" cy="2024063"/>
        </a:xfrm>
      </xdr:grpSpPr>
      <xdr:sp macro="" textlink="">
        <xdr:nvSpPr>
          <xdr:cNvPr id="247" name="Rectangle 246">
            <a:extLst>
              <a:ext uri="{FF2B5EF4-FFF2-40B4-BE49-F238E27FC236}">
                <a16:creationId xmlns:a16="http://schemas.microsoft.com/office/drawing/2014/main" id="{00000000-0008-0000-0100-0000F700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248" name="Group 247">
            <a:extLst>
              <a:ext uri="{FF2B5EF4-FFF2-40B4-BE49-F238E27FC236}">
                <a16:creationId xmlns:a16="http://schemas.microsoft.com/office/drawing/2014/main" id="{00000000-0008-0000-0100-0000F8000000}"/>
              </a:ext>
            </a:extLst>
          </xdr:cNvPr>
          <xdr:cNvGrpSpPr/>
        </xdr:nvGrpSpPr>
        <xdr:grpSpPr>
          <a:xfrm>
            <a:off x="428625" y="301625"/>
            <a:ext cx="1861754" cy="188857"/>
            <a:chOff x="426983" y="303815"/>
            <a:chExt cx="1847521" cy="188857"/>
          </a:xfrm>
        </xdr:grpSpPr>
        <xdr:cxnSp macro="">
          <xdr:nvCxnSpPr>
            <xdr:cNvPr id="279" name="Straight Connector 278">
              <a:extLst>
                <a:ext uri="{FF2B5EF4-FFF2-40B4-BE49-F238E27FC236}">
                  <a16:creationId xmlns:a16="http://schemas.microsoft.com/office/drawing/2014/main" id="{00000000-0008-0000-0100-000017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80" name="Straight Connector 279">
              <a:extLst>
                <a:ext uri="{FF2B5EF4-FFF2-40B4-BE49-F238E27FC236}">
                  <a16:creationId xmlns:a16="http://schemas.microsoft.com/office/drawing/2014/main" id="{00000000-0008-0000-0100-000018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81" name="Straight Connector 280">
              <a:extLst>
                <a:ext uri="{FF2B5EF4-FFF2-40B4-BE49-F238E27FC236}">
                  <a16:creationId xmlns:a16="http://schemas.microsoft.com/office/drawing/2014/main" id="{00000000-0008-0000-0100-000019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82" name="Straight Connector 281">
              <a:extLst>
                <a:ext uri="{FF2B5EF4-FFF2-40B4-BE49-F238E27FC236}">
                  <a16:creationId xmlns:a16="http://schemas.microsoft.com/office/drawing/2014/main" id="{00000000-0008-0000-0100-00001A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49" name="Group 248">
            <a:extLst>
              <a:ext uri="{FF2B5EF4-FFF2-40B4-BE49-F238E27FC236}">
                <a16:creationId xmlns:a16="http://schemas.microsoft.com/office/drawing/2014/main" id="{00000000-0008-0000-0100-0000F9000000}"/>
              </a:ext>
            </a:extLst>
          </xdr:cNvPr>
          <xdr:cNvGrpSpPr/>
        </xdr:nvGrpSpPr>
        <xdr:grpSpPr>
          <a:xfrm>
            <a:off x="428625" y="547689"/>
            <a:ext cx="1861754" cy="190499"/>
            <a:chOff x="426983" y="303815"/>
            <a:chExt cx="1847521" cy="188857"/>
          </a:xfrm>
        </xdr:grpSpPr>
        <xdr:cxnSp macro="">
          <xdr:nvCxnSpPr>
            <xdr:cNvPr id="275" name="Straight Connector 274">
              <a:extLst>
                <a:ext uri="{FF2B5EF4-FFF2-40B4-BE49-F238E27FC236}">
                  <a16:creationId xmlns:a16="http://schemas.microsoft.com/office/drawing/2014/main" id="{00000000-0008-0000-0100-000013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6" name="Straight Connector 275">
              <a:extLst>
                <a:ext uri="{FF2B5EF4-FFF2-40B4-BE49-F238E27FC236}">
                  <a16:creationId xmlns:a16="http://schemas.microsoft.com/office/drawing/2014/main" id="{00000000-0008-0000-0100-000014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7" name="Straight Connector 276">
              <a:extLst>
                <a:ext uri="{FF2B5EF4-FFF2-40B4-BE49-F238E27FC236}">
                  <a16:creationId xmlns:a16="http://schemas.microsoft.com/office/drawing/2014/main" id="{00000000-0008-0000-0100-000015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78" name="Straight Connector 277">
              <a:extLst>
                <a:ext uri="{FF2B5EF4-FFF2-40B4-BE49-F238E27FC236}">
                  <a16:creationId xmlns:a16="http://schemas.microsoft.com/office/drawing/2014/main" id="{00000000-0008-0000-0100-000016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50" name="Group 249">
            <a:extLst>
              <a:ext uri="{FF2B5EF4-FFF2-40B4-BE49-F238E27FC236}">
                <a16:creationId xmlns:a16="http://schemas.microsoft.com/office/drawing/2014/main" id="{00000000-0008-0000-0100-0000FA000000}"/>
              </a:ext>
            </a:extLst>
          </xdr:cNvPr>
          <xdr:cNvGrpSpPr/>
        </xdr:nvGrpSpPr>
        <xdr:grpSpPr>
          <a:xfrm>
            <a:off x="428625" y="793751"/>
            <a:ext cx="1861754" cy="190499"/>
            <a:chOff x="426983" y="303815"/>
            <a:chExt cx="1847521" cy="188857"/>
          </a:xfrm>
        </xdr:grpSpPr>
        <xdr:cxnSp macro="">
          <xdr:nvCxnSpPr>
            <xdr:cNvPr id="271" name="Straight Connector 270">
              <a:extLst>
                <a:ext uri="{FF2B5EF4-FFF2-40B4-BE49-F238E27FC236}">
                  <a16:creationId xmlns:a16="http://schemas.microsoft.com/office/drawing/2014/main" id="{00000000-0008-0000-0100-00000F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2" name="Straight Connector 271">
              <a:extLst>
                <a:ext uri="{FF2B5EF4-FFF2-40B4-BE49-F238E27FC236}">
                  <a16:creationId xmlns:a16="http://schemas.microsoft.com/office/drawing/2014/main" id="{00000000-0008-0000-0100-000010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3" name="Straight Connector 272">
              <a:extLst>
                <a:ext uri="{FF2B5EF4-FFF2-40B4-BE49-F238E27FC236}">
                  <a16:creationId xmlns:a16="http://schemas.microsoft.com/office/drawing/2014/main" id="{00000000-0008-0000-0100-000011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74" name="Straight Connector 273">
              <a:extLst>
                <a:ext uri="{FF2B5EF4-FFF2-40B4-BE49-F238E27FC236}">
                  <a16:creationId xmlns:a16="http://schemas.microsoft.com/office/drawing/2014/main" id="{00000000-0008-0000-0100-000012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51" name="Group 250">
            <a:extLst>
              <a:ext uri="{FF2B5EF4-FFF2-40B4-BE49-F238E27FC236}">
                <a16:creationId xmlns:a16="http://schemas.microsoft.com/office/drawing/2014/main" id="{00000000-0008-0000-0100-0000FB000000}"/>
              </a:ext>
            </a:extLst>
          </xdr:cNvPr>
          <xdr:cNvGrpSpPr/>
        </xdr:nvGrpSpPr>
        <xdr:grpSpPr>
          <a:xfrm>
            <a:off x="428625" y="1041728"/>
            <a:ext cx="1861754" cy="186942"/>
            <a:chOff x="426983" y="303815"/>
            <a:chExt cx="1847521" cy="188857"/>
          </a:xfrm>
        </xdr:grpSpPr>
        <xdr:cxnSp macro="">
          <xdr:nvCxnSpPr>
            <xdr:cNvPr id="267" name="Straight Connector 266">
              <a:extLst>
                <a:ext uri="{FF2B5EF4-FFF2-40B4-BE49-F238E27FC236}">
                  <a16:creationId xmlns:a16="http://schemas.microsoft.com/office/drawing/2014/main" id="{00000000-0008-0000-0100-00000B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8" name="Straight Connector 267">
              <a:extLst>
                <a:ext uri="{FF2B5EF4-FFF2-40B4-BE49-F238E27FC236}">
                  <a16:creationId xmlns:a16="http://schemas.microsoft.com/office/drawing/2014/main" id="{00000000-0008-0000-0100-00000C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9" name="Straight Connector 268">
              <a:extLst>
                <a:ext uri="{FF2B5EF4-FFF2-40B4-BE49-F238E27FC236}">
                  <a16:creationId xmlns:a16="http://schemas.microsoft.com/office/drawing/2014/main" id="{00000000-0008-0000-0100-00000D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70" name="Straight Connector 269">
              <a:extLst>
                <a:ext uri="{FF2B5EF4-FFF2-40B4-BE49-F238E27FC236}">
                  <a16:creationId xmlns:a16="http://schemas.microsoft.com/office/drawing/2014/main" id="{00000000-0008-0000-0100-00000E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52" name="Group 251">
            <a:extLst>
              <a:ext uri="{FF2B5EF4-FFF2-40B4-BE49-F238E27FC236}">
                <a16:creationId xmlns:a16="http://schemas.microsoft.com/office/drawing/2014/main" id="{00000000-0008-0000-0100-0000FC000000}"/>
              </a:ext>
            </a:extLst>
          </xdr:cNvPr>
          <xdr:cNvGrpSpPr/>
        </xdr:nvGrpSpPr>
        <xdr:grpSpPr>
          <a:xfrm>
            <a:off x="428625" y="1285876"/>
            <a:ext cx="1861754" cy="188857"/>
            <a:chOff x="426983" y="303815"/>
            <a:chExt cx="1847521" cy="188857"/>
          </a:xfrm>
        </xdr:grpSpPr>
        <xdr:cxnSp macro="">
          <xdr:nvCxnSpPr>
            <xdr:cNvPr id="263" name="Straight Connector 262">
              <a:extLst>
                <a:ext uri="{FF2B5EF4-FFF2-40B4-BE49-F238E27FC236}">
                  <a16:creationId xmlns:a16="http://schemas.microsoft.com/office/drawing/2014/main" id="{00000000-0008-0000-0100-000007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4" name="Straight Connector 263">
              <a:extLst>
                <a:ext uri="{FF2B5EF4-FFF2-40B4-BE49-F238E27FC236}">
                  <a16:creationId xmlns:a16="http://schemas.microsoft.com/office/drawing/2014/main" id="{00000000-0008-0000-0100-000008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5" name="Straight Connector 264">
              <a:extLst>
                <a:ext uri="{FF2B5EF4-FFF2-40B4-BE49-F238E27FC236}">
                  <a16:creationId xmlns:a16="http://schemas.microsoft.com/office/drawing/2014/main" id="{00000000-0008-0000-0100-000009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66" name="Straight Connector 265">
              <a:extLst>
                <a:ext uri="{FF2B5EF4-FFF2-40B4-BE49-F238E27FC236}">
                  <a16:creationId xmlns:a16="http://schemas.microsoft.com/office/drawing/2014/main" id="{00000000-0008-0000-0100-00000A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53" name="Group 252">
            <a:extLst>
              <a:ext uri="{FF2B5EF4-FFF2-40B4-BE49-F238E27FC236}">
                <a16:creationId xmlns:a16="http://schemas.microsoft.com/office/drawing/2014/main" id="{00000000-0008-0000-0100-0000FD000000}"/>
              </a:ext>
            </a:extLst>
          </xdr:cNvPr>
          <xdr:cNvGrpSpPr/>
        </xdr:nvGrpSpPr>
        <xdr:grpSpPr>
          <a:xfrm>
            <a:off x="428625" y="1531938"/>
            <a:ext cx="1861754" cy="188857"/>
            <a:chOff x="426983" y="303815"/>
            <a:chExt cx="1847521" cy="188857"/>
          </a:xfrm>
        </xdr:grpSpPr>
        <xdr:cxnSp macro="">
          <xdr:nvCxnSpPr>
            <xdr:cNvPr id="259" name="Straight Connector 258">
              <a:extLst>
                <a:ext uri="{FF2B5EF4-FFF2-40B4-BE49-F238E27FC236}">
                  <a16:creationId xmlns:a16="http://schemas.microsoft.com/office/drawing/2014/main" id="{00000000-0008-0000-0100-000003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0" name="Straight Connector 259">
              <a:extLst>
                <a:ext uri="{FF2B5EF4-FFF2-40B4-BE49-F238E27FC236}">
                  <a16:creationId xmlns:a16="http://schemas.microsoft.com/office/drawing/2014/main" id="{00000000-0008-0000-0100-000004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1" name="Straight Connector 260">
              <a:extLst>
                <a:ext uri="{FF2B5EF4-FFF2-40B4-BE49-F238E27FC236}">
                  <a16:creationId xmlns:a16="http://schemas.microsoft.com/office/drawing/2014/main" id="{00000000-0008-0000-0100-000005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62" name="Straight Connector 261">
              <a:extLst>
                <a:ext uri="{FF2B5EF4-FFF2-40B4-BE49-F238E27FC236}">
                  <a16:creationId xmlns:a16="http://schemas.microsoft.com/office/drawing/2014/main" id="{00000000-0008-0000-0100-000006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54" name="Group 253">
            <a:extLst>
              <a:ext uri="{FF2B5EF4-FFF2-40B4-BE49-F238E27FC236}">
                <a16:creationId xmlns:a16="http://schemas.microsoft.com/office/drawing/2014/main" id="{00000000-0008-0000-0100-0000FE000000}"/>
              </a:ext>
            </a:extLst>
          </xdr:cNvPr>
          <xdr:cNvGrpSpPr/>
        </xdr:nvGrpSpPr>
        <xdr:grpSpPr>
          <a:xfrm>
            <a:off x="428625" y="1778001"/>
            <a:ext cx="1861754" cy="190499"/>
            <a:chOff x="426983" y="303815"/>
            <a:chExt cx="1847521" cy="188857"/>
          </a:xfrm>
        </xdr:grpSpPr>
        <xdr:cxnSp macro="">
          <xdr:nvCxnSpPr>
            <xdr:cNvPr id="255" name="Straight Connector 254">
              <a:extLst>
                <a:ext uri="{FF2B5EF4-FFF2-40B4-BE49-F238E27FC236}">
                  <a16:creationId xmlns:a16="http://schemas.microsoft.com/office/drawing/2014/main" id="{00000000-0008-0000-0100-0000FF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6" name="Straight Connector 255">
              <a:extLst>
                <a:ext uri="{FF2B5EF4-FFF2-40B4-BE49-F238E27FC236}">
                  <a16:creationId xmlns:a16="http://schemas.microsoft.com/office/drawing/2014/main" id="{00000000-0008-0000-0100-000000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7" name="Straight Connector 256">
              <a:extLst>
                <a:ext uri="{FF2B5EF4-FFF2-40B4-BE49-F238E27FC236}">
                  <a16:creationId xmlns:a16="http://schemas.microsoft.com/office/drawing/2014/main" id="{00000000-0008-0000-0100-000001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58" name="Straight Connector 257">
              <a:extLst>
                <a:ext uri="{FF2B5EF4-FFF2-40B4-BE49-F238E27FC236}">
                  <a16:creationId xmlns:a16="http://schemas.microsoft.com/office/drawing/2014/main" id="{00000000-0008-0000-0100-000002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2</xdr:col>
      <xdr:colOff>56017</xdr:colOff>
      <xdr:row>1</xdr:row>
      <xdr:rowOff>1813</xdr:rowOff>
    </xdr:from>
    <xdr:to>
      <xdr:col>7</xdr:col>
      <xdr:colOff>370341</xdr:colOff>
      <xdr:row>2</xdr:row>
      <xdr:rowOff>0</xdr:rowOff>
    </xdr:to>
    <xdr:sp macro="" textlink="">
      <xdr:nvSpPr>
        <xdr:cNvPr id="239" name="TextBox 238" title="Page Navigation">
          <a:hlinkClick xmlns:r="http://schemas.openxmlformats.org/officeDocument/2006/relationships" r:id="rId2" tooltip="Go To top of page"/>
          <a:extLst>
            <a:ext uri="{FF2B5EF4-FFF2-40B4-BE49-F238E27FC236}">
              <a16:creationId xmlns:a16="http://schemas.microsoft.com/office/drawing/2014/main" id="{00000000-0008-0000-0100-0000EF000000}"/>
            </a:ext>
          </a:extLst>
        </xdr:cNvPr>
        <xdr:cNvSpPr txBox="1"/>
      </xdr:nvSpPr>
      <xdr:spPr>
        <a:xfrm>
          <a:off x="465592" y="58963"/>
          <a:ext cx="1857374" cy="188687"/>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xdr:from>
      <xdr:col>2</xdr:col>
      <xdr:colOff>56017</xdr:colOff>
      <xdr:row>7</xdr:row>
      <xdr:rowOff>0</xdr:rowOff>
    </xdr:from>
    <xdr:to>
      <xdr:col>7</xdr:col>
      <xdr:colOff>370342</xdr:colOff>
      <xdr:row>7</xdr:row>
      <xdr:rowOff>190499</xdr:rowOff>
    </xdr:to>
    <xdr:sp macro="" textlink="">
      <xdr:nvSpPr>
        <xdr:cNvPr id="240" name="TextBox 239" title="Page Navigation">
          <a:hlinkClick xmlns:r="http://schemas.openxmlformats.org/officeDocument/2006/relationships" r:id="rId10" tooltip="Go To the Fixture page to enter existing and new fixtures"/>
          <a:extLst>
            <a:ext uri="{FF2B5EF4-FFF2-40B4-BE49-F238E27FC236}">
              <a16:creationId xmlns:a16="http://schemas.microsoft.com/office/drawing/2014/main" id="{00000000-0008-0000-0100-0000F0000000}"/>
            </a:ext>
          </a:extLst>
        </xdr:cNvPr>
        <xdr:cNvSpPr txBox="1"/>
      </xdr:nvSpPr>
      <xdr:spPr>
        <a:xfrm>
          <a:off x="465592" y="800100"/>
          <a:ext cx="1857375"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Existing and New Fixtures</a:t>
          </a:r>
        </a:p>
      </xdr:txBody>
    </xdr:sp>
    <xdr:clientData fPrintsWithSheet="0"/>
  </xdr:twoCellAnchor>
  <xdr:twoCellAnchor>
    <xdr:from>
      <xdr:col>3</xdr:col>
      <xdr:colOff>680</xdr:colOff>
      <xdr:row>11</xdr:row>
      <xdr:rowOff>0</xdr:rowOff>
    </xdr:from>
    <xdr:to>
      <xdr:col>7</xdr:col>
      <xdr:colOff>370341</xdr:colOff>
      <xdr:row>12</xdr:row>
      <xdr:rowOff>0</xdr:rowOff>
    </xdr:to>
    <xdr:sp macro="" textlink="">
      <xdr:nvSpPr>
        <xdr:cNvPr id="241" name="TextBox 240" title="Page Navigation">
          <a:hlinkClick xmlns:r="http://schemas.openxmlformats.org/officeDocument/2006/relationships" r:id="rId11" tooltip="Go To the Signature page to select the Payee"/>
          <a:extLst>
            <a:ext uri="{FF2B5EF4-FFF2-40B4-BE49-F238E27FC236}">
              <a16:creationId xmlns:a16="http://schemas.microsoft.com/office/drawing/2014/main" id="{00000000-0008-0000-0100-0000F1000000}"/>
            </a:ext>
          </a:extLst>
        </xdr:cNvPr>
        <xdr:cNvSpPr txBox="1"/>
      </xdr:nvSpPr>
      <xdr:spPr>
        <a:xfrm>
          <a:off x="467405" y="1295400"/>
          <a:ext cx="185556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Customer Authorization</a:t>
          </a:r>
        </a:p>
      </xdr:txBody>
    </xdr:sp>
    <xdr:clientData fPrintsWithSheet="0"/>
  </xdr:twoCellAnchor>
  <xdr:twoCellAnchor>
    <xdr:from>
      <xdr:col>2</xdr:col>
      <xdr:colOff>56017</xdr:colOff>
      <xdr:row>15</xdr:row>
      <xdr:rowOff>1</xdr:rowOff>
    </xdr:from>
    <xdr:to>
      <xdr:col>7</xdr:col>
      <xdr:colOff>370342</xdr:colOff>
      <xdr:row>16</xdr:row>
      <xdr:rowOff>0</xdr:rowOff>
    </xdr:to>
    <xdr:sp macro="" textlink="">
      <xdr:nvSpPr>
        <xdr:cNvPr id="242" name="TextBox 241" title="Page Navigation">
          <a:hlinkClick xmlns:r="http://schemas.openxmlformats.org/officeDocument/2006/relationships" r:id="rId12" tooltip="PSE Use page"/>
          <a:extLst>
            <a:ext uri="{FF2B5EF4-FFF2-40B4-BE49-F238E27FC236}">
              <a16:creationId xmlns:a16="http://schemas.microsoft.com/office/drawing/2014/main" id="{00000000-0008-0000-0100-0000F2000000}"/>
            </a:ext>
          </a:extLst>
        </xdr:cNvPr>
        <xdr:cNvSpPr txBox="1"/>
      </xdr:nvSpPr>
      <xdr:spPr>
        <a:xfrm>
          <a:off x="465592" y="1790701"/>
          <a:ext cx="1857375"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PSE</a:t>
          </a:r>
          <a:r>
            <a:rPr lang="en-US" sz="1100" b="0" baseline="0">
              <a:solidFill>
                <a:schemeClr val="bg1"/>
              </a:solidFill>
              <a:sym typeface="Webdings" panose="05030102010509060703" pitchFamily="18" charset="2"/>
            </a:rPr>
            <a:t> Grant QC Page</a:t>
          </a:r>
          <a:endParaRPr lang="en-US" sz="1100" b="0">
            <a:solidFill>
              <a:schemeClr val="bg1"/>
            </a:solidFill>
            <a:sym typeface="Webdings" panose="05030102010509060703" pitchFamily="18" charset="2"/>
          </a:endParaRPr>
        </a:p>
      </xdr:txBody>
    </xdr:sp>
    <xdr:clientData fPrintsWithSheet="0"/>
  </xdr:twoCellAnchor>
  <xdr:twoCellAnchor>
    <xdr:from>
      <xdr:col>3</xdr:col>
      <xdr:colOff>680</xdr:colOff>
      <xdr:row>13</xdr:row>
      <xdr:rowOff>0</xdr:rowOff>
    </xdr:from>
    <xdr:to>
      <xdr:col>7</xdr:col>
      <xdr:colOff>370341</xdr:colOff>
      <xdr:row>14</xdr:row>
      <xdr:rowOff>0</xdr:rowOff>
    </xdr:to>
    <xdr:sp macro="" textlink="">
      <xdr:nvSpPr>
        <xdr:cNvPr id="243" name="TextBox 242" title="Page Navigation">
          <a:hlinkClick xmlns:r="http://schemas.openxmlformats.org/officeDocument/2006/relationships" r:id="rId13" tooltip="Go To Advanced Controls page"/>
          <a:extLst>
            <a:ext uri="{FF2B5EF4-FFF2-40B4-BE49-F238E27FC236}">
              <a16:creationId xmlns:a16="http://schemas.microsoft.com/office/drawing/2014/main" id="{00000000-0008-0000-0100-0000F3000000}"/>
            </a:ext>
          </a:extLst>
        </xdr:cNvPr>
        <xdr:cNvSpPr txBox="1"/>
      </xdr:nvSpPr>
      <xdr:spPr>
        <a:xfrm>
          <a:off x="467405" y="1543050"/>
          <a:ext cx="185556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LLLC &amp; Exterior NLC</a:t>
          </a:r>
        </a:p>
      </xdr:txBody>
    </xdr:sp>
    <xdr:clientData fPrintsWithSheet="0"/>
  </xdr:twoCellAnchor>
  <xdr:twoCellAnchor>
    <xdr:from>
      <xdr:col>2</xdr:col>
      <xdr:colOff>56017</xdr:colOff>
      <xdr:row>3</xdr:row>
      <xdr:rowOff>1</xdr:rowOff>
    </xdr:from>
    <xdr:to>
      <xdr:col>7</xdr:col>
      <xdr:colOff>370342</xdr:colOff>
      <xdr:row>4</xdr:row>
      <xdr:rowOff>1</xdr:rowOff>
    </xdr:to>
    <xdr:sp macro="" textlink="">
      <xdr:nvSpPr>
        <xdr:cNvPr id="244" name="TextBox 243" title="Page Navigation">
          <a:hlinkClick xmlns:r="http://schemas.openxmlformats.org/officeDocument/2006/relationships" r:id="rId14" tooltip="Go To the Terms page"/>
          <a:extLst>
            <a:ext uri="{FF2B5EF4-FFF2-40B4-BE49-F238E27FC236}">
              <a16:creationId xmlns:a16="http://schemas.microsoft.com/office/drawing/2014/main" id="{00000000-0008-0000-0100-0000F4000000}"/>
            </a:ext>
          </a:extLst>
        </xdr:cNvPr>
        <xdr:cNvSpPr txBox="1"/>
      </xdr:nvSpPr>
      <xdr:spPr>
        <a:xfrm>
          <a:off x="465592" y="304801"/>
          <a:ext cx="1857375"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Terms and Conditions</a:t>
          </a:r>
        </a:p>
      </xdr:txBody>
    </xdr:sp>
    <xdr:clientData fPrintsWithSheet="0"/>
  </xdr:twoCellAnchor>
  <xdr:twoCellAnchor>
    <xdr:from>
      <xdr:col>2</xdr:col>
      <xdr:colOff>56017</xdr:colOff>
      <xdr:row>5</xdr:row>
      <xdr:rowOff>0</xdr:rowOff>
    </xdr:from>
    <xdr:to>
      <xdr:col>7</xdr:col>
      <xdr:colOff>370342</xdr:colOff>
      <xdr:row>6</xdr:row>
      <xdr:rowOff>0</xdr:rowOff>
    </xdr:to>
    <xdr:sp macro="" textlink="">
      <xdr:nvSpPr>
        <xdr:cNvPr id="245" name="TextBox 244" title="Page Navigation">
          <a:hlinkClick xmlns:r="http://schemas.openxmlformats.org/officeDocument/2006/relationships" r:id="rId2" tooltip="Go To the Project information page"/>
          <a:extLst>
            <a:ext uri="{FF2B5EF4-FFF2-40B4-BE49-F238E27FC236}">
              <a16:creationId xmlns:a16="http://schemas.microsoft.com/office/drawing/2014/main" id="{00000000-0008-0000-0100-0000F5000000}"/>
            </a:ext>
          </a:extLst>
        </xdr:cNvPr>
        <xdr:cNvSpPr txBox="1"/>
      </xdr:nvSpPr>
      <xdr:spPr>
        <a:xfrm>
          <a:off x="465592" y="552450"/>
          <a:ext cx="1857375" cy="190500"/>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Project / Owner Info</a:t>
          </a:r>
        </a:p>
      </xdr:txBody>
    </xdr:sp>
    <xdr:clientData fPrintsWithSheet="0"/>
  </xdr:twoCellAnchor>
  <xdr:twoCellAnchor>
    <xdr:from>
      <xdr:col>3</xdr:col>
      <xdr:colOff>680</xdr:colOff>
      <xdr:row>9</xdr:row>
      <xdr:rowOff>1814</xdr:rowOff>
    </xdr:from>
    <xdr:to>
      <xdr:col>7</xdr:col>
      <xdr:colOff>370341</xdr:colOff>
      <xdr:row>9</xdr:row>
      <xdr:rowOff>190499</xdr:rowOff>
    </xdr:to>
    <xdr:sp macro="" textlink="">
      <xdr:nvSpPr>
        <xdr:cNvPr id="246" name="TextBox 245" title="Page Navigation">
          <a:hlinkClick xmlns:r="http://schemas.openxmlformats.org/officeDocument/2006/relationships" r:id="rId15" tooltip="Go To the Installations page to enter the installed/new lighting"/>
          <a:extLst>
            <a:ext uri="{FF2B5EF4-FFF2-40B4-BE49-F238E27FC236}">
              <a16:creationId xmlns:a16="http://schemas.microsoft.com/office/drawing/2014/main" id="{00000000-0008-0000-0100-0000F6000000}"/>
            </a:ext>
          </a:extLst>
        </xdr:cNvPr>
        <xdr:cNvSpPr txBox="1"/>
      </xdr:nvSpPr>
      <xdr:spPr>
        <a:xfrm>
          <a:off x="467405" y="1049564"/>
          <a:ext cx="1855561" cy="188685"/>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Installations</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27</xdr:col>
      <xdr:colOff>0</xdr:colOff>
      <xdr:row>0</xdr:row>
      <xdr:rowOff>0</xdr:rowOff>
    </xdr:from>
    <xdr:to>
      <xdr:col>34</xdr:col>
      <xdr:colOff>0</xdr:colOff>
      <xdr:row>17</xdr:row>
      <xdr:rowOff>0</xdr:rowOff>
    </xdr:to>
    <xdr:grpSp>
      <xdr:nvGrpSpPr>
        <xdr:cNvPr id="153" name="Group 152">
          <a:extLst>
            <a:ext uri="{FF2B5EF4-FFF2-40B4-BE49-F238E27FC236}">
              <a16:creationId xmlns:a16="http://schemas.microsoft.com/office/drawing/2014/main" id="{00000000-0008-0000-0200-000099000000}"/>
            </a:ext>
          </a:extLst>
        </xdr:cNvPr>
        <xdr:cNvGrpSpPr/>
      </xdr:nvGrpSpPr>
      <xdr:grpSpPr>
        <a:xfrm>
          <a:off x="10255849" y="0"/>
          <a:ext cx="2032000" cy="2051170"/>
          <a:chOff x="373063" y="0"/>
          <a:chExt cx="1976437" cy="2024063"/>
        </a:xfrm>
      </xdr:grpSpPr>
      <xdr:sp macro="" textlink="">
        <xdr:nvSpPr>
          <xdr:cNvPr id="154" name="Rectangle 153">
            <a:extLst>
              <a:ext uri="{FF2B5EF4-FFF2-40B4-BE49-F238E27FC236}">
                <a16:creationId xmlns:a16="http://schemas.microsoft.com/office/drawing/2014/main" id="{00000000-0008-0000-0200-00009A00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55" name="Group 154">
            <a:extLst>
              <a:ext uri="{FF2B5EF4-FFF2-40B4-BE49-F238E27FC236}">
                <a16:creationId xmlns:a16="http://schemas.microsoft.com/office/drawing/2014/main" id="{00000000-0008-0000-0200-00009B000000}"/>
              </a:ext>
            </a:extLst>
          </xdr:cNvPr>
          <xdr:cNvGrpSpPr/>
        </xdr:nvGrpSpPr>
        <xdr:grpSpPr>
          <a:xfrm>
            <a:off x="428625" y="301625"/>
            <a:ext cx="1861754" cy="188857"/>
            <a:chOff x="426983" y="303815"/>
            <a:chExt cx="1847521" cy="188857"/>
          </a:xfrm>
        </xdr:grpSpPr>
        <xdr:cxnSp macro="">
          <xdr:nvCxnSpPr>
            <xdr:cNvPr id="186" name="Straight Connector 185">
              <a:extLst>
                <a:ext uri="{FF2B5EF4-FFF2-40B4-BE49-F238E27FC236}">
                  <a16:creationId xmlns:a16="http://schemas.microsoft.com/office/drawing/2014/main" id="{00000000-0008-0000-0200-0000BA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7" name="Straight Connector 186">
              <a:extLst>
                <a:ext uri="{FF2B5EF4-FFF2-40B4-BE49-F238E27FC236}">
                  <a16:creationId xmlns:a16="http://schemas.microsoft.com/office/drawing/2014/main" id="{00000000-0008-0000-0200-0000BB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8" name="Straight Connector 187">
              <a:extLst>
                <a:ext uri="{FF2B5EF4-FFF2-40B4-BE49-F238E27FC236}">
                  <a16:creationId xmlns:a16="http://schemas.microsoft.com/office/drawing/2014/main" id="{00000000-0008-0000-0200-0000BC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9" name="Straight Connector 188">
              <a:extLst>
                <a:ext uri="{FF2B5EF4-FFF2-40B4-BE49-F238E27FC236}">
                  <a16:creationId xmlns:a16="http://schemas.microsoft.com/office/drawing/2014/main" id="{00000000-0008-0000-0200-0000BD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56" name="Group 155">
            <a:extLst>
              <a:ext uri="{FF2B5EF4-FFF2-40B4-BE49-F238E27FC236}">
                <a16:creationId xmlns:a16="http://schemas.microsoft.com/office/drawing/2014/main" id="{00000000-0008-0000-0200-00009C000000}"/>
              </a:ext>
            </a:extLst>
          </xdr:cNvPr>
          <xdr:cNvGrpSpPr/>
        </xdr:nvGrpSpPr>
        <xdr:grpSpPr>
          <a:xfrm>
            <a:off x="428625" y="547689"/>
            <a:ext cx="1861754" cy="190499"/>
            <a:chOff x="426983" y="303815"/>
            <a:chExt cx="1847521" cy="188857"/>
          </a:xfrm>
        </xdr:grpSpPr>
        <xdr:cxnSp macro="">
          <xdr:nvCxnSpPr>
            <xdr:cNvPr id="182" name="Straight Connector 181">
              <a:extLst>
                <a:ext uri="{FF2B5EF4-FFF2-40B4-BE49-F238E27FC236}">
                  <a16:creationId xmlns:a16="http://schemas.microsoft.com/office/drawing/2014/main" id="{00000000-0008-0000-0200-0000B6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3" name="Straight Connector 182">
              <a:extLst>
                <a:ext uri="{FF2B5EF4-FFF2-40B4-BE49-F238E27FC236}">
                  <a16:creationId xmlns:a16="http://schemas.microsoft.com/office/drawing/2014/main" id="{00000000-0008-0000-0200-0000B7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4" name="Straight Connector 183">
              <a:extLst>
                <a:ext uri="{FF2B5EF4-FFF2-40B4-BE49-F238E27FC236}">
                  <a16:creationId xmlns:a16="http://schemas.microsoft.com/office/drawing/2014/main" id="{00000000-0008-0000-0200-0000B8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5" name="Straight Connector 184">
              <a:extLst>
                <a:ext uri="{FF2B5EF4-FFF2-40B4-BE49-F238E27FC236}">
                  <a16:creationId xmlns:a16="http://schemas.microsoft.com/office/drawing/2014/main" id="{00000000-0008-0000-0200-0000B9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57" name="Group 156">
            <a:extLst>
              <a:ext uri="{FF2B5EF4-FFF2-40B4-BE49-F238E27FC236}">
                <a16:creationId xmlns:a16="http://schemas.microsoft.com/office/drawing/2014/main" id="{00000000-0008-0000-0200-00009D000000}"/>
              </a:ext>
            </a:extLst>
          </xdr:cNvPr>
          <xdr:cNvGrpSpPr/>
        </xdr:nvGrpSpPr>
        <xdr:grpSpPr>
          <a:xfrm>
            <a:off x="428625" y="793751"/>
            <a:ext cx="1861754" cy="190499"/>
            <a:chOff x="426983" y="303815"/>
            <a:chExt cx="1847521" cy="188857"/>
          </a:xfrm>
        </xdr:grpSpPr>
        <xdr:cxnSp macro="">
          <xdr:nvCxnSpPr>
            <xdr:cNvPr id="178" name="Straight Connector 177">
              <a:extLst>
                <a:ext uri="{FF2B5EF4-FFF2-40B4-BE49-F238E27FC236}">
                  <a16:creationId xmlns:a16="http://schemas.microsoft.com/office/drawing/2014/main" id="{00000000-0008-0000-0200-0000B2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9" name="Straight Connector 178">
              <a:extLst>
                <a:ext uri="{FF2B5EF4-FFF2-40B4-BE49-F238E27FC236}">
                  <a16:creationId xmlns:a16="http://schemas.microsoft.com/office/drawing/2014/main" id="{00000000-0008-0000-0200-0000B3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0" name="Straight Connector 179">
              <a:extLst>
                <a:ext uri="{FF2B5EF4-FFF2-40B4-BE49-F238E27FC236}">
                  <a16:creationId xmlns:a16="http://schemas.microsoft.com/office/drawing/2014/main" id="{00000000-0008-0000-0200-0000B4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1" name="Straight Connector 180">
              <a:extLst>
                <a:ext uri="{FF2B5EF4-FFF2-40B4-BE49-F238E27FC236}">
                  <a16:creationId xmlns:a16="http://schemas.microsoft.com/office/drawing/2014/main" id="{00000000-0008-0000-0200-0000B5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58" name="Group 157">
            <a:extLst>
              <a:ext uri="{FF2B5EF4-FFF2-40B4-BE49-F238E27FC236}">
                <a16:creationId xmlns:a16="http://schemas.microsoft.com/office/drawing/2014/main" id="{00000000-0008-0000-0200-00009E000000}"/>
              </a:ext>
            </a:extLst>
          </xdr:cNvPr>
          <xdr:cNvGrpSpPr/>
        </xdr:nvGrpSpPr>
        <xdr:grpSpPr>
          <a:xfrm>
            <a:off x="428625" y="1041728"/>
            <a:ext cx="1861754" cy="186942"/>
            <a:chOff x="426983" y="303815"/>
            <a:chExt cx="1847521" cy="188857"/>
          </a:xfrm>
        </xdr:grpSpPr>
        <xdr:cxnSp macro="">
          <xdr:nvCxnSpPr>
            <xdr:cNvPr id="174" name="Straight Connector 173">
              <a:extLst>
                <a:ext uri="{FF2B5EF4-FFF2-40B4-BE49-F238E27FC236}">
                  <a16:creationId xmlns:a16="http://schemas.microsoft.com/office/drawing/2014/main" id="{00000000-0008-0000-0200-0000AE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5" name="Straight Connector 174">
              <a:extLst>
                <a:ext uri="{FF2B5EF4-FFF2-40B4-BE49-F238E27FC236}">
                  <a16:creationId xmlns:a16="http://schemas.microsoft.com/office/drawing/2014/main" id="{00000000-0008-0000-0200-0000AF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6" name="Straight Connector 175">
              <a:extLst>
                <a:ext uri="{FF2B5EF4-FFF2-40B4-BE49-F238E27FC236}">
                  <a16:creationId xmlns:a16="http://schemas.microsoft.com/office/drawing/2014/main" id="{00000000-0008-0000-0200-0000B0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77" name="Straight Connector 176">
              <a:extLst>
                <a:ext uri="{FF2B5EF4-FFF2-40B4-BE49-F238E27FC236}">
                  <a16:creationId xmlns:a16="http://schemas.microsoft.com/office/drawing/2014/main" id="{00000000-0008-0000-0200-0000B1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59" name="Group 158">
            <a:extLst>
              <a:ext uri="{FF2B5EF4-FFF2-40B4-BE49-F238E27FC236}">
                <a16:creationId xmlns:a16="http://schemas.microsoft.com/office/drawing/2014/main" id="{00000000-0008-0000-0200-00009F000000}"/>
              </a:ext>
            </a:extLst>
          </xdr:cNvPr>
          <xdr:cNvGrpSpPr/>
        </xdr:nvGrpSpPr>
        <xdr:grpSpPr>
          <a:xfrm>
            <a:off x="428625" y="1285876"/>
            <a:ext cx="1861754" cy="188857"/>
            <a:chOff x="426983" y="303815"/>
            <a:chExt cx="1847521" cy="188857"/>
          </a:xfrm>
        </xdr:grpSpPr>
        <xdr:cxnSp macro="">
          <xdr:nvCxnSpPr>
            <xdr:cNvPr id="170" name="Straight Connector 169">
              <a:extLst>
                <a:ext uri="{FF2B5EF4-FFF2-40B4-BE49-F238E27FC236}">
                  <a16:creationId xmlns:a16="http://schemas.microsoft.com/office/drawing/2014/main" id="{00000000-0008-0000-0200-0000AA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1" name="Straight Connector 170">
              <a:extLst>
                <a:ext uri="{FF2B5EF4-FFF2-40B4-BE49-F238E27FC236}">
                  <a16:creationId xmlns:a16="http://schemas.microsoft.com/office/drawing/2014/main" id="{00000000-0008-0000-0200-0000AB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2" name="Straight Connector 171">
              <a:extLst>
                <a:ext uri="{FF2B5EF4-FFF2-40B4-BE49-F238E27FC236}">
                  <a16:creationId xmlns:a16="http://schemas.microsoft.com/office/drawing/2014/main" id="{00000000-0008-0000-0200-0000AC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73" name="Straight Connector 172">
              <a:extLst>
                <a:ext uri="{FF2B5EF4-FFF2-40B4-BE49-F238E27FC236}">
                  <a16:creationId xmlns:a16="http://schemas.microsoft.com/office/drawing/2014/main" id="{00000000-0008-0000-0200-0000AD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60" name="Group 159">
            <a:extLst>
              <a:ext uri="{FF2B5EF4-FFF2-40B4-BE49-F238E27FC236}">
                <a16:creationId xmlns:a16="http://schemas.microsoft.com/office/drawing/2014/main" id="{00000000-0008-0000-0200-0000A0000000}"/>
              </a:ext>
            </a:extLst>
          </xdr:cNvPr>
          <xdr:cNvGrpSpPr/>
        </xdr:nvGrpSpPr>
        <xdr:grpSpPr>
          <a:xfrm>
            <a:off x="428625" y="1531938"/>
            <a:ext cx="1861754" cy="188857"/>
            <a:chOff x="426983" y="303815"/>
            <a:chExt cx="1847521" cy="188857"/>
          </a:xfrm>
        </xdr:grpSpPr>
        <xdr:cxnSp macro="">
          <xdr:nvCxnSpPr>
            <xdr:cNvPr id="166" name="Straight Connector 165">
              <a:extLst>
                <a:ext uri="{FF2B5EF4-FFF2-40B4-BE49-F238E27FC236}">
                  <a16:creationId xmlns:a16="http://schemas.microsoft.com/office/drawing/2014/main" id="{00000000-0008-0000-0200-0000A6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7" name="Straight Connector 166">
              <a:extLst>
                <a:ext uri="{FF2B5EF4-FFF2-40B4-BE49-F238E27FC236}">
                  <a16:creationId xmlns:a16="http://schemas.microsoft.com/office/drawing/2014/main" id="{00000000-0008-0000-0200-0000A7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8" name="Straight Connector 167">
              <a:extLst>
                <a:ext uri="{FF2B5EF4-FFF2-40B4-BE49-F238E27FC236}">
                  <a16:creationId xmlns:a16="http://schemas.microsoft.com/office/drawing/2014/main" id="{00000000-0008-0000-0200-0000A8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9" name="Straight Connector 168">
              <a:extLst>
                <a:ext uri="{FF2B5EF4-FFF2-40B4-BE49-F238E27FC236}">
                  <a16:creationId xmlns:a16="http://schemas.microsoft.com/office/drawing/2014/main" id="{00000000-0008-0000-0200-0000A9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61" name="Group 160">
            <a:extLst>
              <a:ext uri="{FF2B5EF4-FFF2-40B4-BE49-F238E27FC236}">
                <a16:creationId xmlns:a16="http://schemas.microsoft.com/office/drawing/2014/main" id="{00000000-0008-0000-0200-0000A1000000}"/>
              </a:ext>
            </a:extLst>
          </xdr:cNvPr>
          <xdr:cNvGrpSpPr/>
        </xdr:nvGrpSpPr>
        <xdr:grpSpPr>
          <a:xfrm>
            <a:off x="428625" y="1778001"/>
            <a:ext cx="1861754" cy="190499"/>
            <a:chOff x="426983" y="303815"/>
            <a:chExt cx="1847521" cy="188857"/>
          </a:xfrm>
        </xdr:grpSpPr>
        <xdr:cxnSp macro="">
          <xdr:nvCxnSpPr>
            <xdr:cNvPr id="162" name="Straight Connector 161">
              <a:extLst>
                <a:ext uri="{FF2B5EF4-FFF2-40B4-BE49-F238E27FC236}">
                  <a16:creationId xmlns:a16="http://schemas.microsoft.com/office/drawing/2014/main" id="{00000000-0008-0000-0200-0000A2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3" name="Straight Connector 162">
              <a:extLst>
                <a:ext uri="{FF2B5EF4-FFF2-40B4-BE49-F238E27FC236}">
                  <a16:creationId xmlns:a16="http://schemas.microsoft.com/office/drawing/2014/main" id="{00000000-0008-0000-0200-0000A3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4" name="Straight Connector 163">
              <a:extLst>
                <a:ext uri="{FF2B5EF4-FFF2-40B4-BE49-F238E27FC236}">
                  <a16:creationId xmlns:a16="http://schemas.microsoft.com/office/drawing/2014/main" id="{00000000-0008-0000-0200-0000A4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5" name="Straight Connector 164">
              <a:extLst>
                <a:ext uri="{FF2B5EF4-FFF2-40B4-BE49-F238E27FC236}">
                  <a16:creationId xmlns:a16="http://schemas.microsoft.com/office/drawing/2014/main" id="{00000000-0008-0000-0200-0000A5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editAs="oneCell">
    <xdr:from>
      <xdr:col>79</xdr:col>
      <xdr:colOff>190500</xdr:colOff>
      <xdr:row>1</xdr:row>
      <xdr:rowOff>0</xdr:rowOff>
    </xdr:from>
    <xdr:to>
      <xdr:col>82</xdr:col>
      <xdr:colOff>180978</xdr:colOff>
      <xdr:row>5</xdr:row>
      <xdr:rowOff>58675</xdr:rowOff>
    </xdr:to>
    <xdr:pic>
      <xdr:nvPicPr>
        <xdr:cNvPr id="15" name="Picture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346150" y="57150"/>
          <a:ext cx="1114427" cy="553975"/>
        </a:xfrm>
        <a:prstGeom prst="rect">
          <a:avLst/>
        </a:prstGeom>
      </xdr:spPr>
    </xdr:pic>
    <xdr:clientData/>
  </xdr:twoCellAnchor>
  <xdr:twoCellAnchor>
    <xdr:from>
      <xdr:col>75</xdr:col>
      <xdr:colOff>1</xdr:colOff>
      <xdr:row>262</xdr:row>
      <xdr:rowOff>0</xdr:rowOff>
    </xdr:from>
    <xdr:to>
      <xdr:col>78</xdr:col>
      <xdr:colOff>304800</xdr:colOff>
      <xdr:row>276</xdr:row>
      <xdr:rowOff>0</xdr:rowOff>
    </xdr:to>
    <xdr:sp macro="" textlink="">
      <xdr:nvSpPr>
        <xdr:cNvPr id="19" name="Line Callout 2 21">
          <a:extLst>
            <a:ext uri="{FF2B5EF4-FFF2-40B4-BE49-F238E27FC236}">
              <a16:creationId xmlns:a16="http://schemas.microsoft.com/office/drawing/2014/main" id="{00000000-0008-0000-0200-000013000000}"/>
            </a:ext>
          </a:extLst>
        </xdr:cNvPr>
        <xdr:cNvSpPr/>
      </xdr:nvSpPr>
      <xdr:spPr>
        <a:xfrm>
          <a:off x="5072064" y="31723013"/>
          <a:ext cx="1504949" cy="2533650"/>
        </a:xfrm>
        <a:prstGeom prst="borderCallout2">
          <a:avLst>
            <a:gd name="adj1" fmla="val -806"/>
            <a:gd name="adj2" fmla="val 45001"/>
            <a:gd name="adj3" fmla="val -13704"/>
            <a:gd name="adj4" fmla="val 40934"/>
            <a:gd name="adj5" fmla="val -21357"/>
            <a:gd name="adj6" fmla="val 37575"/>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1st</a:t>
          </a:r>
        </a:p>
        <a:p>
          <a:pPr algn="l"/>
          <a:r>
            <a:rPr lang="en-US" sz="1000">
              <a:solidFill>
                <a:sysClr val="windowText" lastClr="000000"/>
              </a:solidFill>
            </a:rPr>
            <a:t>Select the </a:t>
          </a:r>
          <a:r>
            <a:rPr lang="en-US" sz="1000" u="sng">
              <a:solidFill>
                <a:sysClr val="windowText" lastClr="000000"/>
              </a:solidFill>
            </a:rPr>
            <a:t>Fixture Type</a:t>
          </a:r>
          <a:r>
            <a:rPr lang="en-US" sz="1000">
              <a:solidFill>
                <a:sysClr val="windowText" lastClr="000000"/>
              </a:solidFill>
            </a:rPr>
            <a:t> "yellow" cell and select from the dropdown list. </a:t>
          </a:r>
        </a:p>
        <a:p>
          <a:pPr algn="l"/>
          <a:endParaRPr lang="en-US" sz="1000">
            <a:solidFill>
              <a:sysClr val="windowText" lastClr="000000"/>
            </a:solidFill>
          </a:endParaRPr>
        </a:p>
        <a:p>
          <a:pPr algn="l"/>
          <a:r>
            <a:rPr lang="en-US" sz="1000">
              <a:solidFill>
                <a:sysClr val="windowText" lastClr="000000"/>
              </a:solidFill>
            </a:rPr>
            <a:t>There are</a:t>
          </a:r>
          <a:r>
            <a:rPr lang="en-US" sz="1000" baseline="0">
              <a:solidFill>
                <a:sysClr val="windowText" lastClr="000000"/>
              </a:solidFill>
            </a:rPr>
            <a:t> a number of choices, so select the most appropriate existing </a:t>
          </a:r>
          <a:r>
            <a:rPr lang="en-US" sz="1000" u="sng" baseline="0">
              <a:solidFill>
                <a:sysClr val="windowText" lastClr="000000"/>
              </a:solidFill>
            </a:rPr>
            <a:t>fixture</a:t>
          </a:r>
          <a:r>
            <a:rPr lang="en-US" sz="1000" baseline="0">
              <a:solidFill>
                <a:sysClr val="windowText" lastClr="000000"/>
              </a:solidFill>
            </a:rPr>
            <a:t> type.</a:t>
          </a:r>
          <a:endParaRPr lang="en-US" sz="1000">
            <a:solidFill>
              <a:sysClr val="windowText" lastClr="000000"/>
            </a:solidFill>
          </a:endParaRPr>
        </a:p>
      </xdr:txBody>
    </xdr:sp>
    <xdr:clientData/>
  </xdr:twoCellAnchor>
  <xdr:twoCellAnchor>
    <xdr:from>
      <xdr:col>79</xdr:col>
      <xdr:colOff>0</xdr:colOff>
      <xdr:row>262</xdr:row>
      <xdr:rowOff>0</xdr:rowOff>
    </xdr:from>
    <xdr:to>
      <xdr:col>82</xdr:col>
      <xdr:colOff>295274</xdr:colOff>
      <xdr:row>276</xdr:row>
      <xdr:rowOff>0</xdr:rowOff>
    </xdr:to>
    <xdr:sp macro="" textlink="">
      <xdr:nvSpPr>
        <xdr:cNvPr id="20" name="Line Callout 2 23">
          <a:extLst>
            <a:ext uri="{FF2B5EF4-FFF2-40B4-BE49-F238E27FC236}">
              <a16:creationId xmlns:a16="http://schemas.microsoft.com/office/drawing/2014/main" id="{00000000-0008-0000-0200-000014000000}"/>
            </a:ext>
          </a:extLst>
        </xdr:cNvPr>
        <xdr:cNvSpPr/>
      </xdr:nvSpPr>
      <xdr:spPr>
        <a:xfrm>
          <a:off x="6672263" y="31723013"/>
          <a:ext cx="1504949" cy="2533650"/>
        </a:xfrm>
        <a:prstGeom prst="borderCallout2">
          <a:avLst>
            <a:gd name="adj1" fmla="val -806"/>
            <a:gd name="adj2" fmla="val 45001"/>
            <a:gd name="adj3" fmla="val -13704"/>
            <a:gd name="adj4" fmla="val 40934"/>
            <a:gd name="adj5" fmla="val -19184"/>
            <a:gd name="adj6" fmla="val 35562"/>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2nd</a:t>
          </a:r>
        </a:p>
        <a:p>
          <a:pPr algn="l"/>
          <a:r>
            <a:rPr lang="en-US" sz="1000">
              <a:solidFill>
                <a:sysClr val="windowText" lastClr="000000"/>
              </a:solidFill>
            </a:rPr>
            <a:t>Select the </a:t>
          </a:r>
          <a:r>
            <a:rPr lang="en-US" sz="1000" u="sng">
              <a:solidFill>
                <a:sysClr val="windowText" lastClr="000000"/>
              </a:solidFill>
            </a:rPr>
            <a:t>Lamp Type</a:t>
          </a:r>
          <a:r>
            <a:rPr lang="en-US" sz="1000">
              <a:solidFill>
                <a:sysClr val="windowText" lastClr="000000"/>
              </a:solidFill>
            </a:rPr>
            <a:t> "yellow" cell and select from the dropdown list. </a:t>
          </a:r>
        </a:p>
        <a:p>
          <a:pPr algn="l"/>
          <a:endParaRPr lang="en-US" sz="1000">
            <a:solidFill>
              <a:sysClr val="windowText" lastClr="000000"/>
            </a:solidFill>
          </a:endParaRPr>
        </a:p>
        <a:p>
          <a:r>
            <a:rPr lang="en-US" sz="1000">
              <a:solidFill>
                <a:sysClr val="windowText" lastClr="000000"/>
              </a:solidFill>
              <a:effectLst/>
              <a:latin typeface="+mn-lt"/>
              <a:ea typeface="+mn-ea"/>
              <a:cs typeface="+mn-cs"/>
            </a:rPr>
            <a:t>Choices are </a:t>
          </a:r>
          <a:r>
            <a:rPr lang="en-US" sz="1000" b="0" i="0">
              <a:solidFill>
                <a:sysClr val="windowText" lastClr="000000"/>
              </a:solidFill>
              <a:effectLst/>
              <a:latin typeface="+mn-lt"/>
              <a:ea typeface="+mn-ea"/>
              <a:cs typeface="+mn-cs"/>
            </a:rPr>
            <a:t>Fluorescent,</a:t>
          </a:r>
          <a:r>
            <a:rPr lang="en-US" sz="1000">
              <a:solidFill>
                <a:sysClr val="windowText" lastClr="000000"/>
              </a:solidFill>
              <a:effectLst/>
              <a:latin typeface="+mn-lt"/>
              <a:ea typeface="+mn-ea"/>
              <a:cs typeface="+mn-cs"/>
            </a:rPr>
            <a:t> </a:t>
          </a:r>
          <a:r>
            <a:rPr lang="en-US" sz="1000" b="0" i="0">
              <a:solidFill>
                <a:sysClr val="windowText" lastClr="000000"/>
              </a:solidFill>
              <a:effectLst/>
              <a:latin typeface="+mn-lt"/>
              <a:ea typeface="+mn-ea"/>
              <a:cs typeface="+mn-cs"/>
            </a:rPr>
            <a:t>HID, Incandescent, Exit Sign,</a:t>
          </a:r>
          <a:r>
            <a:rPr lang="en-US" sz="1000">
              <a:solidFill>
                <a:sysClr val="windowText" lastClr="000000"/>
              </a:solidFill>
              <a:effectLst/>
              <a:latin typeface="+mn-lt"/>
              <a:ea typeface="+mn-ea"/>
              <a:cs typeface="+mn-cs"/>
            </a:rPr>
            <a:t> </a:t>
          </a:r>
          <a:r>
            <a:rPr lang="en-US" sz="1000" b="0" i="0">
              <a:solidFill>
                <a:sysClr val="windowText" lastClr="000000"/>
              </a:solidFill>
              <a:effectLst/>
              <a:latin typeface="+mn-lt"/>
              <a:ea typeface="+mn-ea"/>
              <a:cs typeface="+mn-cs"/>
            </a:rPr>
            <a:t>Induction, NO Existing Fixture,</a:t>
          </a:r>
          <a:r>
            <a:rPr lang="en-US" sz="1000" b="0" i="0" baseline="0">
              <a:solidFill>
                <a:sysClr val="windowText" lastClr="000000"/>
              </a:solidFill>
              <a:effectLst/>
              <a:latin typeface="+mn-lt"/>
              <a:ea typeface="+mn-ea"/>
              <a:cs typeface="+mn-cs"/>
            </a:rPr>
            <a:t> or LED.</a:t>
          </a:r>
          <a:r>
            <a:rPr lang="en-US" sz="1000">
              <a:solidFill>
                <a:sysClr val="windowText" lastClr="000000"/>
              </a:solidFill>
              <a:effectLst/>
              <a:latin typeface="+mn-lt"/>
              <a:ea typeface="+mn-ea"/>
              <a:cs typeface="+mn-cs"/>
            </a:rPr>
            <a:t> </a:t>
          </a:r>
          <a:endParaRPr lang="en-US" sz="1000">
            <a:solidFill>
              <a:sysClr val="windowText" lastClr="000000"/>
            </a:solidFill>
            <a:effectLst/>
          </a:endParaRPr>
        </a:p>
      </xdr:txBody>
    </xdr:sp>
    <xdr:clientData/>
  </xdr:twoCellAnchor>
  <xdr:twoCellAnchor>
    <xdr:from>
      <xdr:col>83</xdr:col>
      <xdr:colOff>0</xdr:colOff>
      <xdr:row>262</xdr:row>
      <xdr:rowOff>0</xdr:rowOff>
    </xdr:from>
    <xdr:to>
      <xdr:col>86</xdr:col>
      <xdr:colOff>276224</xdr:colOff>
      <xdr:row>276</xdr:row>
      <xdr:rowOff>0</xdr:rowOff>
    </xdr:to>
    <xdr:sp macro="" textlink="">
      <xdr:nvSpPr>
        <xdr:cNvPr id="21" name="Line Callout 2 24">
          <a:extLst>
            <a:ext uri="{FF2B5EF4-FFF2-40B4-BE49-F238E27FC236}">
              <a16:creationId xmlns:a16="http://schemas.microsoft.com/office/drawing/2014/main" id="{00000000-0008-0000-0200-000015000000}"/>
            </a:ext>
          </a:extLst>
        </xdr:cNvPr>
        <xdr:cNvSpPr/>
      </xdr:nvSpPr>
      <xdr:spPr>
        <a:xfrm>
          <a:off x="8291513" y="31723013"/>
          <a:ext cx="1504949" cy="2533650"/>
        </a:xfrm>
        <a:prstGeom prst="borderCallout2">
          <a:avLst>
            <a:gd name="adj1" fmla="val -806"/>
            <a:gd name="adj2" fmla="val 45001"/>
            <a:gd name="adj3" fmla="val -13704"/>
            <a:gd name="adj4" fmla="val 40934"/>
            <a:gd name="adj5" fmla="val -19618"/>
            <a:gd name="adj6" fmla="val 36904"/>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3rd</a:t>
          </a:r>
        </a:p>
        <a:p>
          <a:r>
            <a:rPr lang="en-US" sz="1000">
              <a:solidFill>
                <a:sysClr val="windowText" lastClr="000000"/>
              </a:solidFill>
              <a:effectLst/>
              <a:latin typeface="+mn-lt"/>
              <a:ea typeface="+mn-ea"/>
              <a:cs typeface="+mn-cs"/>
            </a:rPr>
            <a:t>Select the </a:t>
          </a:r>
          <a:r>
            <a:rPr lang="en-US" sz="1000" u="sng">
              <a:solidFill>
                <a:sysClr val="windowText" lastClr="000000"/>
              </a:solidFill>
              <a:effectLst/>
              <a:latin typeface="+mn-lt"/>
              <a:ea typeface="+mn-ea"/>
              <a:cs typeface="+mn-cs"/>
            </a:rPr>
            <a:t>Description</a:t>
          </a:r>
          <a:r>
            <a:rPr lang="en-US" sz="1000">
              <a:solidFill>
                <a:sysClr val="windowText" lastClr="000000"/>
              </a:solidFill>
              <a:effectLst/>
              <a:latin typeface="+mn-lt"/>
              <a:ea typeface="+mn-ea"/>
              <a:cs typeface="+mn-cs"/>
            </a:rPr>
            <a:t> "yellow" cell and select from the dropdown list. </a:t>
          </a:r>
        </a:p>
        <a:p>
          <a:endParaRPr lang="en-US" sz="1000">
            <a:solidFill>
              <a:sysClr val="windowText" lastClr="000000"/>
            </a:solidFill>
            <a:effectLst/>
          </a:endParaRPr>
        </a:p>
        <a:p>
          <a:r>
            <a:rPr lang="en-US" sz="1000">
              <a:solidFill>
                <a:sysClr val="windowText" lastClr="000000"/>
              </a:solidFill>
              <a:effectLst/>
              <a:latin typeface="+mn-lt"/>
              <a:ea typeface="+mn-ea"/>
              <a:cs typeface="+mn-cs"/>
            </a:rPr>
            <a:t>Choices are </a:t>
          </a:r>
          <a:r>
            <a:rPr lang="en-US" sz="1000" b="0" i="0">
              <a:solidFill>
                <a:sysClr val="windowText" lastClr="000000"/>
              </a:solidFill>
              <a:effectLst/>
              <a:latin typeface="+mn-lt"/>
              <a:ea typeface="+mn-ea"/>
              <a:cs typeface="+mn-cs"/>
            </a:rPr>
            <a:t>dependent on the selection made in</a:t>
          </a:r>
          <a:r>
            <a:rPr lang="en-US" sz="1000" b="0" i="0" baseline="0">
              <a:solidFill>
                <a:sysClr val="windowText" lastClr="000000"/>
              </a:solidFill>
              <a:effectLst/>
              <a:latin typeface="+mn-lt"/>
              <a:ea typeface="+mn-ea"/>
              <a:cs typeface="+mn-cs"/>
            </a:rPr>
            <a:t> "Lamp Type" selection.</a:t>
          </a:r>
          <a:endParaRPr lang="en-US" sz="1000" b="0">
            <a:solidFill>
              <a:srgbClr val="9C0000"/>
            </a:solidFill>
            <a:effectLst/>
          </a:endParaRPr>
        </a:p>
      </xdr:txBody>
    </xdr:sp>
    <xdr:clientData/>
  </xdr:twoCellAnchor>
  <xdr:twoCellAnchor>
    <xdr:from>
      <xdr:col>87</xdr:col>
      <xdr:colOff>0</xdr:colOff>
      <xdr:row>262</xdr:row>
      <xdr:rowOff>0</xdr:rowOff>
    </xdr:from>
    <xdr:to>
      <xdr:col>90</xdr:col>
      <xdr:colOff>276224</xdr:colOff>
      <xdr:row>276</xdr:row>
      <xdr:rowOff>0</xdr:rowOff>
    </xdr:to>
    <xdr:sp macro="" textlink="">
      <xdr:nvSpPr>
        <xdr:cNvPr id="22" name="Line Callout 2 25">
          <a:extLst>
            <a:ext uri="{FF2B5EF4-FFF2-40B4-BE49-F238E27FC236}">
              <a16:creationId xmlns:a16="http://schemas.microsoft.com/office/drawing/2014/main" id="{00000000-0008-0000-0200-000016000000}"/>
            </a:ext>
          </a:extLst>
        </xdr:cNvPr>
        <xdr:cNvSpPr/>
      </xdr:nvSpPr>
      <xdr:spPr>
        <a:xfrm>
          <a:off x="9929813" y="31723013"/>
          <a:ext cx="1504949" cy="2533650"/>
        </a:xfrm>
        <a:prstGeom prst="borderCallout2">
          <a:avLst>
            <a:gd name="adj1" fmla="val -806"/>
            <a:gd name="adj2" fmla="val 45001"/>
            <a:gd name="adj3" fmla="val -13704"/>
            <a:gd name="adj4" fmla="val 40934"/>
            <a:gd name="adj5" fmla="val -19619"/>
            <a:gd name="adj6" fmla="val 34220"/>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4th</a:t>
          </a:r>
        </a:p>
        <a:p>
          <a:r>
            <a:rPr lang="en-US" sz="1000">
              <a:solidFill>
                <a:sysClr val="windowText" lastClr="000000"/>
              </a:solidFill>
              <a:effectLst/>
              <a:latin typeface="+mn-lt"/>
              <a:ea typeface="+mn-ea"/>
              <a:cs typeface="+mn-cs"/>
            </a:rPr>
            <a:t>Select the </a:t>
          </a:r>
          <a:r>
            <a:rPr lang="en-US" sz="1000" u="sng">
              <a:solidFill>
                <a:sysClr val="windowText" lastClr="000000"/>
              </a:solidFill>
              <a:effectLst/>
              <a:latin typeface="+mn-lt"/>
              <a:ea typeface="+mn-ea"/>
              <a:cs typeface="+mn-cs"/>
            </a:rPr>
            <a:t>Lamp Detail</a:t>
          </a:r>
          <a:r>
            <a:rPr lang="en-US" sz="1000">
              <a:solidFill>
                <a:sysClr val="windowText" lastClr="000000"/>
              </a:solidFill>
              <a:effectLst/>
              <a:latin typeface="+mn-lt"/>
              <a:ea typeface="+mn-ea"/>
              <a:cs typeface="+mn-cs"/>
            </a:rPr>
            <a:t> "yellow" cell and select from the dropdown list. </a:t>
          </a:r>
        </a:p>
        <a:p>
          <a:endParaRPr lang="en-US" sz="1000">
            <a:solidFill>
              <a:sysClr val="windowText" lastClr="000000"/>
            </a:solidFill>
            <a:effectLst/>
          </a:endParaRPr>
        </a:p>
        <a:p>
          <a:r>
            <a:rPr lang="en-US" sz="1000">
              <a:solidFill>
                <a:sysClr val="windowText" lastClr="000000"/>
              </a:solidFill>
              <a:effectLst/>
              <a:latin typeface="+mn-lt"/>
              <a:ea typeface="+mn-ea"/>
              <a:cs typeface="+mn-cs"/>
            </a:rPr>
            <a:t>Choices are </a:t>
          </a:r>
          <a:r>
            <a:rPr lang="en-US" sz="1000" b="0" i="0">
              <a:solidFill>
                <a:sysClr val="windowText" lastClr="000000"/>
              </a:solidFill>
              <a:effectLst/>
              <a:latin typeface="+mn-lt"/>
              <a:ea typeface="+mn-ea"/>
              <a:cs typeface="+mn-cs"/>
            </a:rPr>
            <a:t>dependent on the selection made in</a:t>
          </a:r>
          <a:r>
            <a:rPr lang="en-US" sz="1000" b="0" i="0" baseline="0">
              <a:solidFill>
                <a:sysClr val="windowText" lastClr="000000"/>
              </a:solidFill>
              <a:effectLst/>
              <a:latin typeface="+mn-lt"/>
              <a:ea typeface="+mn-ea"/>
              <a:cs typeface="+mn-cs"/>
            </a:rPr>
            <a:t> "Description" selection.</a:t>
          </a:r>
          <a:endParaRPr lang="en-US" sz="1000" b="0">
            <a:solidFill>
              <a:srgbClr val="9C0000"/>
            </a:solidFill>
            <a:effectLst/>
          </a:endParaRPr>
        </a:p>
      </xdr:txBody>
    </xdr:sp>
    <xdr:clientData/>
  </xdr:twoCellAnchor>
  <xdr:twoCellAnchor>
    <xdr:from>
      <xdr:col>91</xdr:col>
      <xdr:colOff>0</xdr:colOff>
      <xdr:row>262</xdr:row>
      <xdr:rowOff>0</xdr:rowOff>
    </xdr:from>
    <xdr:to>
      <xdr:col>94</xdr:col>
      <xdr:colOff>276224</xdr:colOff>
      <xdr:row>276</xdr:row>
      <xdr:rowOff>0</xdr:rowOff>
    </xdr:to>
    <xdr:sp macro="" textlink="">
      <xdr:nvSpPr>
        <xdr:cNvPr id="23" name="Line Callout 2 26">
          <a:extLst>
            <a:ext uri="{FF2B5EF4-FFF2-40B4-BE49-F238E27FC236}">
              <a16:creationId xmlns:a16="http://schemas.microsoft.com/office/drawing/2014/main" id="{00000000-0008-0000-0200-000017000000}"/>
            </a:ext>
          </a:extLst>
        </xdr:cNvPr>
        <xdr:cNvSpPr/>
      </xdr:nvSpPr>
      <xdr:spPr>
        <a:xfrm>
          <a:off x="11568113" y="31723013"/>
          <a:ext cx="1504949" cy="2533650"/>
        </a:xfrm>
        <a:prstGeom prst="borderCallout2">
          <a:avLst>
            <a:gd name="adj1" fmla="val -806"/>
            <a:gd name="adj2" fmla="val 45001"/>
            <a:gd name="adj3" fmla="val -13704"/>
            <a:gd name="adj4" fmla="val 40934"/>
            <a:gd name="adj5" fmla="val -19184"/>
            <a:gd name="adj6" fmla="val 36233"/>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 </a:t>
          </a:r>
        </a:p>
        <a:p>
          <a:r>
            <a:rPr lang="en-US" sz="1000">
              <a:solidFill>
                <a:sysClr val="windowText" lastClr="000000"/>
              </a:solidFill>
              <a:effectLst/>
              <a:latin typeface="+mn-lt"/>
              <a:ea typeface="+mn-ea"/>
              <a:cs typeface="+mn-cs"/>
            </a:rPr>
            <a:t>When the first 4 steps are complete "Input Complete" will say "YES" and you will be able to use this fixture type.</a:t>
          </a:r>
          <a:endParaRPr lang="en-US" sz="1000">
            <a:solidFill>
              <a:sysClr val="windowText" lastClr="000000"/>
            </a:solidFill>
            <a:effectLst/>
          </a:endParaRPr>
        </a:p>
        <a:p>
          <a:endParaRPr lang="en-US">
            <a:solidFill>
              <a:sysClr val="windowText" lastClr="000000"/>
            </a:solidFill>
            <a:effectLst/>
          </a:endParaRPr>
        </a:p>
      </xdr:txBody>
    </xdr:sp>
    <xdr:clientData/>
  </xdr:twoCellAnchor>
  <xdr:twoCellAnchor editAs="oneCell">
    <xdr:from>
      <xdr:col>95</xdr:col>
      <xdr:colOff>0</xdr:colOff>
      <xdr:row>257</xdr:row>
      <xdr:rowOff>154781</xdr:rowOff>
    </xdr:from>
    <xdr:to>
      <xdr:col>97</xdr:col>
      <xdr:colOff>1191</xdr:colOff>
      <xdr:row>260</xdr:row>
      <xdr:rowOff>153264</xdr:rowOff>
    </xdr:to>
    <xdr:sp macro="" textlink="">
      <xdr:nvSpPr>
        <xdr:cNvPr id="24" name="TextBox 23">
          <a:hlinkClick xmlns:r="http://schemas.openxmlformats.org/officeDocument/2006/relationships" r:id="rId2"/>
          <a:extLst>
            <a:ext uri="{FF2B5EF4-FFF2-40B4-BE49-F238E27FC236}">
              <a16:creationId xmlns:a16="http://schemas.microsoft.com/office/drawing/2014/main" id="{00000000-0008-0000-0200-000018000000}"/>
            </a:ext>
          </a:extLst>
        </xdr:cNvPr>
        <xdr:cNvSpPr txBox="1"/>
      </xdr:nvSpPr>
      <xdr:spPr>
        <a:xfrm>
          <a:off x="13206413" y="31696819"/>
          <a:ext cx="810817" cy="569119"/>
        </a:xfrm>
        <a:prstGeom prst="rect">
          <a:avLst/>
        </a:prstGeom>
        <a:solidFill>
          <a:srgbClr val="156570"/>
        </a:solidFill>
        <a:ln>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2000">
              <a:solidFill>
                <a:schemeClr val="bg1"/>
              </a:solidFill>
              <a:effectLst/>
              <a:sym typeface="Wingdings" panose="05000000000000000000" pitchFamily="2" charset="2"/>
            </a:rPr>
            <a:t></a:t>
          </a:r>
        </a:p>
        <a:p>
          <a:pPr algn="ctr"/>
          <a:r>
            <a:rPr lang="en-US" sz="1000" i="1">
              <a:solidFill>
                <a:schemeClr val="bg1"/>
              </a:solidFill>
              <a:effectLst/>
              <a:sym typeface="Webdings" panose="05030102010509060703" pitchFamily="18" charset="2"/>
            </a:rPr>
            <a:t>back to top</a:t>
          </a:r>
          <a:endParaRPr lang="en-US" sz="1000" i="1">
            <a:solidFill>
              <a:schemeClr val="bg1"/>
            </a:solidFill>
            <a:effectLst/>
          </a:endParaRPr>
        </a:p>
      </xdr:txBody>
    </xdr:sp>
    <xdr:clientData fPrintsWithSheet="0"/>
  </xdr:twoCellAnchor>
  <xdr:twoCellAnchor>
    <xdr:from>
      <xdr:col>66</xdr:col>
      <xdr:colOff>95251</xdr:colOff>
      <xdr:row>262</xdr:row>
      <xdr:rowOff>0</xdr:rowOff>
    </xdr:from>
    <xdr:to>
      <xdr:col>70</xdr:col>
      <xdr:colOff>0</xdr:colOff>
      <xdr:row>276</xdr:row>
      <xdr:rowOff>0</xdr:rowOff>
    </xdr:to>
    <xdr:sp macro="" textlink="">
      <xdr:nvSpPr>
        <xdr:cNvPr id="25" name="Line Callout 2 28">
          <a:extLst>
            <a:ext uri="{FF2B5EF4-FFF2-40B4-BE49-F238E27FC236}">
              <a16:creationId xmlns:a16="http://schemas.microsoft.com/office/drawing/2014/main" id="{00000000-0008-0000-0200-000019000000}"/>
            </a:ext>
          </a:extLst>
        </xdr:cNvPr>
        <xdr:cNvSpPr/>
      </xdr:nvSpPr>
      <xdr:spPr>
        <a:xfrm>
          <a:off x="1519239" y="31723013"/>
          <a:ext cx="1533524" cy="2533650"/>
        </a:xfrm>
        <a:prstGeom prst="borderCallout2">
          <a:avLst>
            <a:gd name="adj1" fmla="val -806"/>
            <a:gd name="adj2" fmla="val 45001"/>
            <a:gd name="adj3" fmla="val -13704"/>
            <a:gd name="adj4" fmla="val 40934"/>
            <a:gd name="adj5" fmla="val -32661"/>
            <a:gd name="adj6" fmla="val 56367"/>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 </a:t>
          </a:r>
        </a:p>
        <a:p>
          <a:pPr algn="l"/>
          <a:r>
            <a:rPr lang="en-US" sz="1000">
              <a:solidFill>
                <a:sysClr val="windowText" lastClr="000000"/>
              </a:solidFill>
            </a:rPr>
            <a:t>When you</a:t>
          </a:r>
          <a:r>
            <a:rPr lang="en-US" sz="1000" baseline="0">
              <a:solidFill>
                <a:sysClr val="windowText" lastClr="000000"/>
              </a:solidFill>
            </a:rPr>
            <a:t> have filled out a line correctly the wattage will show up in the last cell on the right and the fixture label will show at the left. </a:t>
          </a:r>
        </a:p>
        <a:p>
          <a:pPr algn="l"/>
          <a:endParaRPr lang="en-US" sz="1000" baseline="0">
            <a:solidFill>
              <a:sysClr val="windowText" lastClr="000000"/>
            </a:solidFill>
            <a:effectLst/>
            <a:latin typeface="+mn-lt"/>
            <a:ea typeface="+mn-ea"/>
            <a:cs typeface="+mn-cs"/>
          </a:endParaRPr>
        </a:p>
        <a:p>
          <a:pPr algn="l"/>
          <a:r>
            <a:rPr lang="en-US" sz="1000" baseline="0">
              <a:solidFill>
                <a:sysClr val="windowText" lastClr="000000"/>
              </a:solidFill>
              <a:effectLst/>
              <a:latin typeface="+mn-lt"/>
              <a:ea typeface="+mn-ea"/>
              <a:cs typeface="+mn-cs"/>
            </a:rPr>
            <a:t>This fixture label will be available on the Installations TAB dropdown for the NEW fixtures.</a:t>
          </a:r>
          <a:r>
            <a:rPr lang="en-US" sz="1000" baseline="0">
              <a:solidFill>
                <a:sysClr val="windowText" lastClr="000000"/>
              </a:solidFill>
            </a:rPr>
            <a:t> </a:t>
          </a:r>
          <a:endParaRPr lang="en-US" sz="1000">
            <a:solidFill>
              <a:sysClr val="windowText" lastClr="000000"/>
            </a:solidFill>
          </a:endParaRPr>
        </a:p>
      </xdr:txBody>
    </xdr:sp>
    <xdr:clientData/>
  </xdr:twoCellAnchor>
  <xdr:oneCellAnchor>
    <xdr:from>
      <xdr:col>87</xdr:col>
      <xdr:colOff>47625</xdr:colOff>
      <xdr:row>270</xdr:row>
      <xdr:rowOff>66675</xdr:rowOff>
    </xdr:from>
    <xdr:ext cx="1343025" cy="561885"/>
    <xdr:sp macro="" textlink="">
      <xdr:nvSpPr>
        <xdr:cNvPr id="26" name="TextBox 25">
          <a:extLst>
            <a:ext uri="{FF2B5EF4-FFF2-40B4-BE49-F238E27FC236}">
              <a16:creationId xmlns:a16="http://schemas.microsoft.com/office/drawing/2014/main" id="{00000000-0008-0000-0200-00001A000000}"/>
            </a:ext>
          </a:extLst>
        </xdr:cNvPr>
        <xdr:cNvSpPr txBox="1"/>
      </xdr:nvSpPr>
      <xdr:spPr>
        <a:xfrm>
          <a:off x="9977438" y="33237488"/>
          <a:ext cx="1343025" cy="561885"/>
        </a:xfrm>
        <a:prstGeom prst="rect">
          <a:avLst/>
        </a:prstGeom>
        <a:solidFill>
          <a:srgbClr val="FFC7CE"/>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000" b="0" i="0" baseline="0">
              <a:solidFill>
                <a:srgbClr val="9C0000"/>
              </a:solidFill>
              <a:effectLst/>
              <a:latin typeface="+mn-lt"/>
              <a:ea typeface="+mn-ea"/>
              <a:cs typeface="+mn-cs"/>
            </a:rPr>
            <a:t>Note: Red </a:t>
          </a:r>
          <a:r>
            <a:rPr lang="en-US" sz="1000" b="0" i="0" strike="sngStrike" baseline="0">
              <a:solidFill>
                <a:srgbClr val="9C0000"/>
              </a:solidFill>
              <a:effectLst/>
              <a:latin typeface="+mn-lt"/>
              <a:ea typeface="+mn-ea"/>
              <a:cs typeface="+mn-cs"/>
            </a:rPr>
            <a:t>strike through</a:t>
          </a:r>
          <a:r>
            <a:rPr lang="en-US" sz="1000" b="0" i="0" baseline="0">
              <a:solidFill>
                <a:srgbClr val="9C0000"/>
              </a:solidFill>
              <a:effectLst/>
              <a:latin typeface="+mn-lt"/>
              <a:ea typeface="+mn-ea"/>
              <a:cs typeface="+mn-cs"/>
            </a:rPr>
            <a:t> text is incorrect, re-select!</a:t>
          </a:r>
          <a:endParaRPr lang="en-US" sz="1000">
            <a:solidFill>
              <a:srgbClr val="9C0000"/>
            </a:solidFill>
            <a:effectLst/>
          </a:endParaRPr>
        </a:p>
      </xdr:txBody>
    </xdr:sp>
    <xdr:clientData/>
  </xdr:oneCellAnchor>
  <xdr:oneCellAnchor>
    <xdr:from>
      <xdr:col>83</xdr:col>
      <xdr:colOff>47625</xdr:colOff>
      <xdr:row>270</xdr:row>
      <xdr:rowOff>76200</xdr:rowOff>
    </xdr:from>
    <xdr:ext cx="1343025" cy="561885"/>
    <xdr:sp macro="" textlink="">
      <xdr:nvSpPr>
        <xdr:cNvPr id="27" name="TextBox 26">
          <a:extLst>
            <a:ext uri="{FF2B5EF4-FFF2-40B4-BE49-F238E27FC236}">
              <a16:creationId xmlns:a16="http://schemas.microsoft.com/office/drawing/2014/main" id="{00000000-0008-0000-0200-00001B000000}"/>
            </a:ext>
          </a:extLst>
        </xdr:cNvPr>
        <xdr:cNvSpPr txBox="1"/>
      </xdr:nvSpPr>
      <xdr:spPr>
        <a:xfrm>
          <a:off x="8339138" y="33247013"/>
          <a:ext cx="1343025" cy="561885"/>
        </a:xfrm>
        <a:prstGeom prst="rect">
          <a:avLst/>
        </a:prstGeom>
        <a:solidFill>
          <a:srgbClr val="FFC7CE"/>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000" b="0" i="0" baseline="0">
              <a:solidFill>
                <a:srgbClr val="9C0000"/>
              </a:solidFill>
              <a:effectLst/>
              <a:latin typeface="+mn-lt"/>
              <a:ea typeface="+mn-ea"/>
              <a:cs typeface="+mn-cs"/>
            </a:rPr>
            <a:t>Note: Red </a:t>
          </a:r>
          <a:r>
            <a:rPr lang="en-US" sz="1000" b="0" i="0" strike="sngStrike" baseline="0">
              <a:solidFill>
                <a:srgbClr val="9C0000"/>
              </a:solidFill>
              <a:effectLst/>
              <a:latin typeface="+mn-lt"/>
              <a:ea typeface="+mn-ea"/>
              <a:cs typeface="+mn-cs"/>
            </a:rPr>
            <a:t>strike through</a:t>
          </a:r>
          <a:r>
            <a:rPr lang="en-US" sz="1000" b="0" i="0" baseline="0">
              <a:solidFill>
                <a:srgbClr val="9C0000"/>
              </a:solidFill>
              <a:effectLst/>
              <a:latin typeface="+mn-lt"/>
              <a:ea typeface="+mn-ea"/>
              <a:cs typeface="+mn-cs"/>
            </a:rPr>
            <a:t> text is incorrect, re-select!</a:t>
          </a:r>
          <a:endParaRPr lang="en-US" sz="1000">
            <a:solidFill>
              <a:srgbClr val="9C0000"/>
            </a:solidFill>
            <a:effectLst/>
          </a:endParaRPr>
        </a:p>
      </xdr:txBody>
    </xdr:sp>
    <xdr:clientData/>
  </xdr:oneCellAnchor>
  <xdr:oneCellAnchor>
    <xdr:from>
      <xdr:col>16</xdr:col>
      <xdr:colOff>0</xdr:colOff>
      <xdr:row>1</xdr:row>
      <xdr:rowOff>0</xdr:rowOff>
    </xdr:from>
    <xdr:ext cx="1196164" cy="555416"/>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314950" y="57150"/>
          <a:ext cx="1196164" cy="555416"/>
        </a:xfrm>
        <a:prstGeom prst="rect">
          <a:avLst/>
        </a:prstGeom>
      </xdr:spPr>
    </xdr:pic>
    <xdr:clientData/>
  </xdr:oneCellAnchor>
  <xdr:twoCellAnchor editAs="oneCell">
    <xdr:from>
      <xdr:col>131</xdr:col>
      <xdr:colOff>228600</xdr:colOff>
      <xdr:row>1</xdr:row>
      <xdr:rowOff>0</xdr:rowOff>
    </xdr:from>
    <xdr:to>
      <xdr:col>134</xdr:col>
      <xdr:colOff>219075</xdr:colOff>
      <xdr:row>5</xdr:row>
      <xdr:rowOff>58675</xdr:rowOff>
    </xdr:to>
    <xdr:pic>
      <xdr:nvPicPr>
        <xdr:cNvPr id="42" name="Picture 41">
          <a:extLst>
            <a:ext uri="{FF2B5EF4-FFF2-40B4-BE49-F238E27FC236}">
              <a16:creationId xmlns:a16="http://schemas.microsoft.com/office/drawing/2014/main" id="{00000000-0008-0000-02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281475" y="57150"/>
          <a:ext cx="1114425" cy="553975"/>
        </a:xfrm>
        <a:prstGeom prst="rect">
          <a:avLst/>
        </a:prstGeom>
      </xdr:spPr>
    </xdr:pic>
    <xdr:clientData/>
  </xdr:twoCellAnchor>
  <xdr:twoCellAnchor>
    <xdr:from>
      <xdr:col>125</xdr:col>
      <xdr:colOff>0</xdr:colOff>
      <xdr:row>257</xdr:row>
      <xdr:rowOff>83344</xdr:rowOff>
    </xdr:from>
    <xdr:to>
      <xdr:col>128</xdr:col>
      <xdr:colOff>280987</xdr:colOff>
      <xdr:row>271</xdr:row>
      <xdr:rowOff>0</xdr:rowOff>
    </xdr:to>
    <xdr:sp macro="" textlink="">
      <xdr:nvSpPr>
        <xdr:cNvPr id="46" name="Line Callout 2 21">
          <a:extLst>
            <a:ext uri="{FF2B5EF4-FFF2-40B4-BE49-F238E27FC236}">
              <a16:creationId xmlns:a16="http://schemas.microsoft.com/office/drawing/2014/main" id="{00000000-0008-0000-0200-00002E000000}"/>
            </a:ext>
          </a:extLst>
        </xdr:cNvPr>
        <xdr:cNvSpPr/>
      </xdr:nvSpPr>
      <xdr:spPr>
        <a:xfrm>
          <a:off x="4252913" y="31820644"/>
          <a:ext cx="1500187" cy="2450306"/>
        </a:xfrm>
        <a:prstGeom prst="borderCallout2">
          <a:avLst>
            <a:gd name="adj1" fmla="val -806"/>
            <a:gd name="adj2" fmla="val 45001"/>
            <a:gd name="adj3" fmla="val -9024"/>
            <a:gd name="adj4" fmla="val 66707"/>
            <a:gd name="adj5" fmla="val -18894"/>
            <a:gd name="adj6" fmla="val 73658"/>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1st</a:t>
          </a:r>
        </a:p>
        <a:p>
          <a:pPr algn="l"/>
          <a:r>
            <a:rPr lang="en-US" sz="1000">
              <a:solidFill>
                <a:sysClr val="windowText" lastClr="000000"/>
              </a:solidFill>
            </a:rPr>
            <a:t>Select the </a:t>
          </a:r>
          <a:r>
            <a:rPr lang="en-US" sz="1000" u="sng">
              <a:solidFill>
                <a:sysClr val="windowText" lastClr="000000"/>
              </a:solidFill>
            </a:rPr>
            <a:t>Fixture Type</a:t>
          </a:r>
          <a:r>
            <a:rPr lang="en-US" sz="1000">
              <a:solidFill>
                <a:sysClr val="windowText" lastClr="000000"/>
              </a:solidFill>
            </a:rPr>
            <a:t> "yellow" cell and select from the dropdown list. </a:t>
          </a:r>
        </a:p>
        <a:p>
          <a:pPr algn="l"/>
          <a:endParaRPr lang="en-US" sz="1000">
            <a:solidFill>
              <a:sysClr val="windowText" lastClr="000000"/>
            </a:solidFill>
          </a:endParaRPr>
        </a:p>
        <a:p>
          <a:pPr algn="l"/>
          <a:r>
            <a:rPr lang="en-US" sz="1000">
              <a:solidFill>
                <a:sysClr val="windowText" lastClr="000000"/>
              </a:solidFill>
            </a:rPr>
            <a:t>There are</a:t>
          </a:r>
          <a:r>
            <a:rPr lang="en-US" sz="1000" baseline="0">
              <a:solidFill>
                <a:sysClr val="windowText" lastClr="000000"/>
              </a:solidFill>
            </a:rPr>
            <a:t> a number of choices, so select the most appropriate existing </a:t>
          </a:r>
          <a:r>
            <a:rPr lang="en-US" sz="1000" u="sng" baseline="0">
              <a:solidFill>
                <a:sysClr val="windowText" lastClr="000000"/>
              </a:solidFill>
            </a:rPr>
            <a:t>fixture</a:t>
          </a:r>
          <a:r>
            <a:rPr lang="en-US" sz="1000" baseline="0">
              <a:solidFill>
                <a:sysClr val="windowText" lastClr="000000"/>
              </a:solidFill>
            </a:rPr>
            <a:t> type.</a:t>
          </a:r>
          <a:endParaRPr lang="en-US" sz="1000">
            <a:solidFill>
              <a:sysClr val="windowText" lastClr="000000"/>
            </a:solidFill>
          </a:endParaRPr>
        </a:p>
      </xdr:txBody>
    </xdr:sp>
    <xdr:clientData/>
  </xdr:twoCellAnchor>
  <xdr:twoCellAnchor>
    <xdr:from>
      <xdr:col>129</xdr:col>
      <xdr:colOff>0</xdr:colOff>
      <xdr:row>257</xdr:row>
      <xdr:rowOff>83344</xdr:rowOff>
    </xdr:from>
    <xdr:to>
      <xdr:col>132</xdr:col>
      <xdr:colOff>307180</xdr:colOff>
      <xdr:row>271</xdr:row>
      <xdr:rowOff>0</xdr:rowOff>
    </xdr:to>
    <xdr:sp macro="" textlink="">
      <xdr:nvSpPr>
        <xdr:cNvPr id="47" name="Line Callout 2 23">
          <a:extLst>
            <a:ext uri="{FF2B5EF4-FFF2-40B4-BE49-F238E27FC236}">
              <a16:creationId xmlns:a16="http://schemas.microsoft.com/office/drawing/2014/main" id="{00000000-0008-0000-0200-00002F000000}"/>
            </a:ext>
          </a:extLst>
        </xdr:cNvPr>
        <xdr:cNvSpPr/>
      </xdr:nvSpPr>
      <xdr:spPr>
        <a:xfrm>
          <a:off x="5872163" y="31820644"/>
          <a:ext cx="1507330" cy="2450306"/>
        </a:xfrm>
        <a:prstGeom prst="borderCallout2">
          <a:avLst>
            <a:gd name="adj1" fmla="val -806"/>
            <a:gd name="adj2" fmla="val 45001"/>
            <a:gd name="adj3" fmla="val -8285"/>
            <a:gd name="adj4" fmla="val 63499"/>
            <a:gd name="adj5" fmla="val -18691"/>
            <a:gd name="adj6" fmla="val 69608"/>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2nd</a:t>
          </a:r>
        </a:p>
        <a:p>
          <a:pPr algn="l"/>
          <a:r>
            <a:rPr lang="en-US" sz="1000">
              <a:solidFill>
                <a:sysClr val="windowText" lastClr="000000"/>
              </a:solidFill>
            </a:rPr>
            <a:t>Select the </a:t>
          </a:r>
          <a:r>
            <a:rPr lang="en-US" sz="1000" u="sng">
              <a:solidFill>
                <a:sysClr val="windowText" lastClr="000000"/>
              </a:solidFill>
            </a:rPr>
            <a:t>Lamp Type</a:t>
          </a:r>
          <a:r>
            <a:rPr lang="en-US" sz="1000">
              <a:solidFill>
                <a:sysClr val="windowText" lastClr="000000"/>
              </a:solidFill>
            </a:rPr>
            <a:t> "yellow" cell and select from the dropdown list. </a:t>
          </a:r>
        </a:p>
        <a:p>
          <a:pPr algn="l"/>
          <a:endParaRPr lang="en-US" sz="1000">
            <a:solidFill>
              <a:sysClr val="windowText" lastClr="000000"/>
            </a:solidFill>
          </a:endParaRPr>
        </a:p>
        <a:p>
          <a:r>
            <a:rPr lang="en-US" sz="1000">
              <a:solidFill>
                <a:sysClr val="windowText" lastClr="000000"/>
              </a:solidFill>
              <a:effectLst/>
              <a:latin typeface="+mn-lt"/>
              <a:ea typeface="+mn-ea"/>
              <a:cs typeface="+mn-cs"/>
            </a:rPr>
            <a:t>Choices New Replacement Fixture, New "Complete" Retrofit Kit, "Component" Retrofit, TLED (Plug and Play), TLED (Ballast ByPass), TLED (External), CFL-LED Retrofit Lamp, or HID-LED Retrofit lamp</a:t>
          </a:r>
          <a:r>
            <a:rPr lang="en-US" sz="1000" b="0" i="0" baseline="0">
              <a:solidFill>
                <a:sysClr val="windowText" lastClr="000000"/>
              </a:solidFill>
              <a:effectLst/>
              <a:latin typeface="+mn-lt"/>
              <a:ea typeface="+mn-ea"/>
              <a:cs typeface="+mn-cs"/>
            </a:rPr>
            <a:t>.</a:t>
          </a:r>
          <a:r>
            <a:rPr lang="en-US" sz="1000">
              <a:solidFill>
                <a:sysClr val="windowText" lastClr="000000"/>
              </a:solidFill>
              <a:effectLst/>
              <a:latin typeface="+mn-lt"/>
              <a:ea typeface="+mn-ea"/>
              <a:cs typeface="+mn-cs"/>
            </a:rPr>
            <a:t> </a:t>
          </a:r>
          <a:endParaRPr lang="en-US" sz="1000">
            <a:solidFill>
              <a:sysClr val="windowText" lastClr="000000"/>
            </a:solidFill>
            <a:effectLst/>
          </a:endParaRPr>
        </a:p>
      </xdr:txBody>
    </xdr:sp>
    <xdr:clientData/>
  </xdr:twoCellAnchor>
  <xdr:twoCellAnchor>
    <xdr:from>
      <xdr:col>133</xdr:col>
      <xdr:colOff>0</xdr:colOff>
      <xdr:row>257</xdr:row>
      <xdr:rowOff>83344</xdr:rowOff>
    </xdr:from>
    <xdr:to>
      <xdr:col>136</xdr:col>
      <xdr:colOff>276224</xdr:colOff>
      <xdr:row>271</xdr:row>
      <xdr:rowOff>0</xdr:rowOff>
    </xdr:to>
    <xdr:sp macro="" textlink="">
      <xdr:nvSpPr>
        <xdr:cNvPr id="48" name="Line Callout 2 24">
          <a:extLst>
            <a:ext uri="{FF2B5EF4-FFF2-40B4-BE49-F238E27FC236}">
              <a16:creationId xmlns:a16="http://schemas.microsoft.com/office/drawing/2014/main" id="{00000000-0008-0000-0200-000030000000}"/>
            </a:ext>
          </a:extLst>
        </xdr:cNvPr>
        <xdr:cNvSpPr/>
      </xdr:nvSpPr>
      <xdr:spPr>
        <a:xfrm>
          <a:off x="7472363" y="31820644"/>
          <a:ext cx="1504949" cy="2450306"/>
        </a:xfrm>
        <a:prstGeom prst="borderCallout2">
          <a:avLst>
            <a:gd name="adj1" fmla="val -806"/>
            <a:gd name="adj2" fmla="val 45001"/>
            <a:gd name="adj3" fmla="val -9517"/>
            <a:gd name="adj4" fmla="val 74873"/>
            <a:gd name="adj5" fmla="val -18879"/>
            <a:gd name="adj6" fmla="val 79130"/>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3rd</a:t>
          </a:r>
        </a:p>
        <a:p>
          <a:r>
            <a:rPr lang="en-US" sz="1000">
              <a:solidFill>
                <a:sysClr val="windowText" lastClr="000000"/>
              </a:solidFill>
              <a:effectLst/>
              <a:latin typeface="+mn-lt"/>
              <a:ea typeface="+mn-ea"/>
              <a:cs typeface="+mn-cs"/>
            </a:rPr>
            <a:t>Enter the total number of lamps per fixture for TLED or CLF-LED. </a:t>
          </a:r>
        </a:p>
        <a:p>
          <a:endParaRPr lang="en-US" sz="1000">
            <a:solidFill>
              <a:sysClr val="windowText" lastClr="000000"/>
            </a:solidFill>
            <a:effectLst/>
            <a:latin typeface="+mn-lt"/>
            <a:ea typeface="+mn-ea"/>
            <a:cs typeface="+mn-cs"/>
          </a:endParaRPr>
        </a:p>
        <a:p>
          <a:r>
            <a:rPr lang="en-US" sz="1000">
              <a:solidFill>
                <a:sysClr val="windowText" lastClr="000000"/>
              </a:solidFill>
              <a:effectLst/>
              <a:latin typeface="+mn-lt"/>
              <a:ea typeface="+mn-ea"/>
              <a:cs typeface="+mn-cs"/>
            </a:rPr>
            <a:t>For Fixtures and Kits, enter a quantity of one.</a:t>
          </a:r>
          <a:endParaRPr lang="en-US" sz="1000" b="0">
            <a:solidFill>
              <a:srgbClr val="9C0000"/>
            </a:solidFill>
            <a:effectLst/>
          </a:endParaRPr>
        </a:p>
      </xdr:txBody>
    </xdr:sp>
    <xdr:clientData/>
  </xdr:twoCellAnchor>
  <xdr:twoCellAnchor>
    <xdr:from>
      <xdr:col>137</xdr:col>
      <xdr:colOff>0</xdr:colOff>
      <xdr:row>257</xdr:row>
      <xdr:rowOff>83344</xdr:rowOff>
    </xdr:from>
    <xdr:to>
      <xdr:col>140</xdr:col>
      <xdr:colOff>276225</xdr:colOff>
      <xdr:row>271</xdr:row>
      <xdr:rowOff>0</xdr:rowOff>
    </xdr:to>
    <xdr:sp macro="" textlink="">
      <xdr:nvSpPr>
        <xdr:cNvPr id="49" name="Line Callout 2 25">
          <a:extLst>
            <a:ext uri="{FF2B5EF4-FFF2-40B4-BE49-F238E27FC236}">
              <a16:creationId xmlns:a16="http://schemas.microsoft.com/office/drawing/2014/main" id="{00000000-0008-0000-0200-000031000000}"/>
            </a:ext>
          </a:extLst>
        </xdr:cNvPr>
        <xdr:cNvSpPr/>
      </xdr:nvSpPr>
      <xdr:spPr>
        <a:xfrm>
          <a:off x="9110663" y="31820644"/>
          <a:ext cx="1504950" cy="2450306"/>
        </a:xfrm>
        <a:prstGeom prst="borderCallout2">
          <a:avLst>
            <a:gd name="adj1" fmla="val -806"/>
            <a:gd name="adj2" fmla="val 45001"/>
            <a:gd name="adj3" fmla="val -13704"/>
            <a:gd name="adj4" fmla="val 40934"/>
            <a:gd name="adj5" fmla="val -19619"/>
            <a:gd name="adj6" fmla="val 34220"/>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4th</a:t>
          </a:r>
        </a:p>
        <a:p>
          <a:r>
            <a:rPr lang="en-US" sz="1000">
              <a:solidFill>
                <a:sysClr val="windowText" lastClr="000000"/>
              </a:solidFill>
              <a:effectLst/>
              <a:latin typeface="+mn-lt"/>
              <a:ea typeface="+mn-ea"/>
              <a:cs typeface="+mn-cs"/>
            </a:rPr>
            <a:t>Enter the Manufacturers</a:t>
          </a:r>
          <a:r>
            <a:rPr lang="en-US" sz="1000" baseline="0">
              <a:solidFill>
                <a:sysClr val="windowText" lastClr="000000"/>
              </a:solidFill>
              <a:effectLst/>
              <a:latin typeface="+mn-lt"/>
              <a:ea typeface="+mn-ea"/>
              <a:cs typeface="+mn-cs"/>
            </a:rPr>
            <a:t> name.</a:t>
          </a:r>
          <a:endParaRPr lang="en-US" sz="1000" b="0">
            <a:solidFill>
              <a:srgbClr val="9C0000"/>
            </a:solidFill>
            <a:effectLst/>
          </a:endParaRPr>
        </a:p>
      </xdr:txBody>
    </xdr:sp>
    <xdr:clientData/>
  </xdr:twoCellAnchor>
  <xdr:twoCellAnchor>
    <xdr:from>
      <xdr:col>141</xdr:col>
      <xdr:colOff>0</xdr:colOff>
      <xdr:row>257</xdr:row>
      <xdr:rowOff>83344</xdr:rowOff>
    </xdr:from>
    <xdr:to>
      <xdr:col>144</xdr:col>
      <xdr:colOff>276224</xdr:colOff>
      <xdr:row>271</xdr:row>
      <xdr:rowOff>0</xdr:rowOff>
    </xdr:to>
    <xdr:sp macro="" textlink="">
      <xdr:nvSpPr>
        <xdr:cNvPr id="50" name="Line Callout 2 26">
          <a:extLst>
            <a:ext uri="{FF2B5EF4-FFF2-40B4-BE49-F238E27FC236}">
              <a16:creationId xmlns:a16="http://schemas.microsoft.com/office/drawing/2014/main" id="{00000000-0008-0000-0200-000032000000}"/>
            </a:ext>
          </a:extLst>
        </xdr:cNvPr>
        <xdr:cNvSpPr/>
      </xdr:nvSpPr>
      <xdr:spPr>
        <a:xfrm>
          <a:off x="10748963" y="31820644"/>
          <a:ext cx="1504949" cy="2450306"/>
        </a:xfrm>
        <a:prstGeom prst="borderCallout2">
          <a:avLst>
            <a:gd name="adj1" fmla="val -806"/>
            <a:gd name="adj2" fmla="val 45001"/>
            <a:gd name="adj3" fmla="val -13704"/>
            <a:gd name="adj4" fmla="val 40934"/>
            <a:gd name="adj5" fmla="val -19184"/>
            <a:gd name="adj6" fmla="val 36233"/>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1">
              <a:solidFill>
                <a:sysClr val="windowText" lastClr="000000"/>
              </a:solidFill>
              <a:effectLst/>
              <a:latin typeface="+mn-lt"/>
              <a:ea typeface="+mn-ea"/>
              <a:cs typeface="+mn-cs"/>
            </a:rPr>
            <a:t>5th</a:t>
          </a:r>
          <a:endParaRPr lang="en-US" sz="1000" b="1">
            <a:solidFill>
              <a:sysClr val="windowText" lastClr="000000"/>
            </a:solidFill>
          </a:endParaRPr>
        </a:p>
        <a:p>
          <a:r>
            <a:rPr lang="en-US" sz="1000">
              <a:solidFill>
                <a:sysClr val="windowText" lastClr="000000"/>
              </a:solidFill>
              <a:effectLst/>
              <a:latin typeface="+mn-lt"/>
              <a:ea typeface="+mn-ea"/>
              <a:cs typeface="+mn-cs"/>
            </a:rPr>
            <a:t>Enter the Manufacturers</a:t>
          </a:r>
          <a:r>
            <a:rPr lang="en-US" sz="1000" baseline="0">
              <a:solidFill>
                <a:sysClr val="windowText" lastClr="000000"/>
              </a:solidFill>
              <a:effectLst/>
              <a:latin typeface="+mn-lt"/>
              <a:ea typeface="+mn-ea"/>
              <a:cs typeface="+mn-cs"/>
            </a:rPr>
            <a:t> Catalog number as found on the specification sheet. </a:t>
          </a:r>
        </a:p>
        <a:p>
          <a:endParaRPr lang="en-US" sz="1000" baseline="0">
            <a:solidFill>
              <a:sysClr val="windowText" lastClr="000000"/>
            </a:solidFill>
            <a:effectLst/>
            <a:latin typeface="+mn-lt"/>
            <a:ea typeface="+mn-ea"/>
            <a:cs typeface="+mn-cs"/>
          </a:endParaRPr>
        </a:p>
        <a:p>
          <a:r>
            <a:rPr lang="en-US" sz="1000" baseline="0">
              <a:solidFill>
                <a:sysClr val="windowText" lastClr="000000"/>
              </a:solidFill>
              <a:effectLst/>
              <a:latin typeface="+mn-lt"/>
              <a:ea typeface="+mn-ea"/>
              <a:cs typeface="+mn-cs"/>
            </a:rPr>
            <a:t>Note - specification sheets are required for </a:t>
          </a:r>
          <a:r>
            <a:rPr lang="en-US" sz="1000" u="sng" baseline="0">
              <a:solidFill>
                <a:sysClr val="windowText" lastClr="000000"/>
              </a:solidFill>
              <a:effectLst/>
              <a:latin typeface="+mn-lt"/>
              <a:ea typeface="+mn-ea"/>
              <a:cs typeface="+mn-cs"/>
            </a:rPr>
            <a:t>ALL</a:t>
          </a:r>
          <a:r>
            <a:rPr lang="en-US" sz="1000" baseline="0">
              <a:solidFill>
                <a:sysClr val="windowText" lastClr="000000"/>
              </a:solidFill>
              <a:effectLst/>
              <a:latin typeface="+mn-lt"/>
              <a:ea typeface="+mn-ea"/>
              <a:cs typeface="+mn-cs"/>
            </a:rPr>
            <a:t> new lighting fixtures.</a:t>
          </a:r>
          <a:endParaRPr lang="en-US" sz="1000">
            <a:solidFill>
              <a:sysClr val="windowText" lastClr="000000"/>
            </a:solidFill>
            <a:effectLst/>
          </a:endParaRPr>
        </a:p>
      </xdr:txBody>
    </xdr:sp>
    <xdr:clientData/>
  </xdr:twoCellAnchor>
  <xdr:twoCellAnchor editAs="oneCell">
    <xdr:from>
      <xdr:col>154</xdr:col>
      <xdr:colOff>0</xdr:colOff>
      <xdr:row>257</xdr:row>
      <xdr:rowOff>65485</xdr:rowOff>
    </xdr:from>
    <xdr:to>
      <xdr:col>159</xdr:col>
      <xdr:colOff>2383</xdr:colOff>
      <xdr:row>260</xdr:row>
      <xdr:rowOff>62311</xdr:rowOff>
    </xdr:to>
    <xdr:sp macro="" textlink="">
      <xdr:nvSpPr>
        <xdr:cNvPr id="51" name="TextBox 50">
          <a:hlinkClick xmlns:r="http://schemas.openxmlformats.org/officeDocument/2006/relationships" r:id="rId4"/>
          <a:extLst>
            <a:ext uri="{FF2B5EF4-FFF2-40B4-BE49-F238E27FC236}">
              <a16:creationId xmlns:a16="http://schemas.microsoft.com/office/drawing/2014/main" id="{00000000-0008-0000-0200-000033000000}"/>
            </a:ext>
          </a:extLst>
        </xdr:cNvPr>
        <xdr:cNvSpPr txBox="1"/>
      </xdr:nvSpPr>
      <xdr:spPr>
        <a:xfrm>
          <a:off x="14025563" y="31802785"/>
          <a:ext cx="812007" cy="566737"/>
        </a:xfrm>
        <a:prstGeom prst="rect">
          <a:avLst/>
        </a:prstGeom>
        <a:solidFill>
          <a:srgbClr val="006666"/>
        </a:solidFill>
        <a:ln>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2000">
              <a:solidFill>
                <a:schemeClr val="bg1"/>
              </a:solidFill>
              <a:effectLst/>
              <a:sym typeface="Wingdings" panose="05000000000000000000" pitchFamily="2" charset="2"/>
            </a:rPr>
            <a:t></a:t>
          </a:r>
        </a:p>
        <a:p>
          <a:pPr algn="ctr"/>
          <a:r>
            <a:rPr lang="en-US" sz="1000" i="1">
              <a:solidFill>
                <a:schemeClr val="bg1"/>
              </a:solidFill>
              <a:effectLst/>
              <a:sym typeface="Webdings" panose="05030102010509060703" pitchFamily="18" charset="2"/>
            </a:rPr>
            <a:t>back to top</a:t>
          </a:r>
          <a:endParaRPr lang="en-US" sz="1000" i="1">
            <a:solidFill>
              <a:schemeClr val="bg1"/>
            </a:solidFill>
            <a:effectLst/>
          </a:endParaRPr>
        </a:p>
      </xdr:txBody>
    </xdr:sp>
    <xdr:clientData fPrintsWithSheet="0"/>
  </xdr:twoCellAnchor>
  <xdr:twoCellAnchor>
    <xdr:from>
      <xdr:col>118</xdr:col>
      <xdr:colOff>0</xdr:colOff>
      <xdr:row>257</xdr:row>
      <xdr:rowOff>130970</xdr:rowOff>
    </xdr:from>
    <xdr:to>
      <xdr:col>121</xdr:col>
      <xdr:colOff>303607</xdr:colOff>
      <xdr:row>271</xdr:row>
      <xdr:rowOff>0</xdr:rowOff>
    </xdr:to>
    <xdr:sp macro="" textlink="">
      <xdr:nvSpPr>
        <xdr:cNvPr id="52" name="Line Callout 2 28">
          <a:extLst>
            <a:ext uri="{FF2B5EF4-FFF2-40B4-BE49-F238E27FC236}">
              <a16:creationId xmlns:a16="http://schemas.microsoft.com/office/drawing/2014/main" id="{00000000-0008-0000-0200-000034000000}"/>
            </a:ext>
          </a:extLst>
        </xdr:cNvPr>
        <xdr:cNvSpPr/>
      </xdr:nvSpPr>
      <xdr:spPr>
        <a:xfrm>
          <a:off x="1423988" y="31868270"/>
          <a:ext cx="1532332" cy="2402680"/>
        </a:xfrm>
        <a:prstGeom prst="borderCallout2">
          <a:avLst>
            <a:gd name="adj1" fmla="val -806"/>
            <a:gd name="adj2" fmla="val 45001"/>
            <a:gd name="adj3" fmla="val -13704"/>
            <a:gd name="adj4" fmla="val 40934"/>
            <a:gd name="adj5" fmla="val -21606"/>
            <a:gd name="adj6" fmla="val 47065"/>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 </a:t>
          </a:r>
        </a:p>
        <a:p>
          <a:pPr algn="l"/>
          <a:r>
            <a:rPr lang="en-US" sz="1000">
              <a:solidFill>
                <a:sysClr val="windowText" lastClr="000000"/>
              </a:solidFill>
            </a:rPr>
            <a:t>When you</a:t>
          </a:r>
          <a:r>
            <a:rPr lang="en-US" sz="1000" baseline="0">
              <a:solidFill>
                <a:sysClr val="windowText" lastClr="000000"/>
              </a:solidFill>
            </a:rPr>
            <a:t> have filled out a line correctly the wattage will show up in the last cell on the right and the fixture label will show above. </a:t>
          </a:r>
        </a:p>
        <a:p>
          <a:pPr algn="l"/>
          <a:endParaRPr lang="en-US" sz="1000" baseline="0">
            <a:solidFill>
              <a:sysClr val="windowText" lastClr="000000"/>
            </a:solidFill>
          </a:endParaRPr>
        </a:p>
        <a:p>
          <a:pPr algn="l"/>
          <a:r>
            <a:rPr lang="en-US" sz="1000" baseline="0">
              <a:solidFill>
                <a:sysClr val="windowText" lastClr="000000"/>
              </a:solidFill>
            </a:rPr>
            <a:t>This fixture label will be available on the Installations TAB dropdown for the NEW fixtures.</a:t>
          </a:r>
          <a:endParaRPr lang="en-US" sz="1000">
            <a:solidFill>
              <a:sysClr val="windowText" lastClr="000000"/>
            </a:solidFill>
          </a:endParaRPr>
        </a:p>
      </xdr:txBody>
    </xdr:sp>
    <xdr:clientData/>
  </xdr:twoCellAnchor>
  <xdr:twoCellAnchor>
    <xdr:from>
      <xdr:col>145</xdr:col>
      <xdr:colOff>9527</xdr:colOff>
      <xdr:row>257</xdr:row>
      <xdr:rowOff>83344</xdr:rowOff>
    </xdr:from>
    <xdr:to>
      <xdr:col>152</xdr:col>
      <xdr:colOff>285751</xdr:colOff>
      <xdr:row>271</xdr:row>
      <xdr:rowOff>0</xdr:rowOff>
    </xdr:to>
    <xdr:sp macro="" textlink="">
      <xdr:nvSpPr>
        <xdr:cNvPr id="53" name="Line Callout 2 26">
          <a:extLst>
            <a:ext uri="{FF2B5EF4-FFF2-40B4-BE49-F238E27FC236}">
              <a16:creationId xmlns:a16="http://schemas.microsoft.com/office/drawing/2014/main" id="{00000000-0008-0000-0200-000035000000}"/>
            </a:ext>
          </a:extLst>
        </xdr:cNvPr>
        <xdr:cNvSpPr/>
      </xdr:nvSpPr>
      <xdr:spPr>
        <a:xfrm>
          <a:off x="12396790" y="31820644"/>
          <a:ext cx="1504949" cy="2450306"/>
        </a:xfrm>
        <a:prstGeom prst="borderCallout2">
          <a:avLst>
            <a:gd name="adj1" fmla="val -806"/>
            <a:gd name="adj2" fmla="val 45001"/>
            <a:gd name="adj3" fmla="val -13704"/>
            <a:gd name="adj4" fmla="val 40934"/>
            <a:gd name="adj5" fmla="val -19184"/>
            <a:gd name="adj6" fmla="val 36233"/>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1">
              <a:solidFill>
                <a:sysClr val="windowText" lastClr="000000"/>
              </a:solidFill>
              <a:effectLst/>
              <a:latin typeface="+mn-lt"/>
              <a:ea typeface="+mn-ea"/>
              <a:cs typeface="+mn-cs"/>
            </a:rPr>
            <a:t>6th</a:t>
          </a:r>
          <a:endParaRPr lang="en-US" sz="1000" b="1">
            <a:solidFill>
              <a:sysClr val="windowText" lastClr="000000"/>
            </a:solidFill>
          </a:endParaRPr>
        </a:p>
        <a:p>
          <a:r>
            <a:rPr lang="en-US" sz="1000">
              <a:solidFill>
                <a:sysClr val="windowText" lastClr="000000"/>
              </a:solidFill>
              <a:effectLst/>
              <a:latin typeface="+mn-lt"/>
              <a:ea typeface="+mn-ea"/>
              <a:cs typeface="+mn-cs"/>
            </a:rPr>
            <a:t>Enter the TOTAL system watts including lamps and driver wattage.</a:t>
          </a:r>
        </a:p>
        <a:p>
          <a:endParaRPr lang="en-US" sz="1000" baseline="0">
            <a:solidFill>
              <a:sysClr val="windowText" lastClr="000000"/>
            </a:solidFill>
            <a:effectLst/>
            <a:latin typeface="+mn-lt"/>
            <a:ea typeface="+mn-ea"/>
            <a:cs typeface="+mn-cs"/>
          </a:endParaRPr>
        </a:p>
        <a:p>
          <a:r>
            <a:rPr lang="en-US" sz="1000" baseline="0">
              <a:solidFill>
                <a:sysClr val="windowText" lastClr="000000"/>
              </a:solidFill>
              <a:effectLst/>
              <a:latin typeface="+mn-lt"/>
              <a:ea typeface="+mn-ea"/>
              <a:cs typeface="+mn-cs"/>
            </a:rPr>
            <a:t>Note - specification sheets are required for </a:t>
          </a:r>
          <a:r>
            <a:rPr lang="en-US" sz="1000" u="sng" baseline="0">
              <a:solidFill>
                <a:sysClr val="windowText" lastClr="000000"/>
              </a:solidFill>
              <a:effectLst/>
              <a:latin typeface="+mn-lt"/>
              <a:ea typeface="+mn-ea"/>
              <a:cs typeface="+mn-cs"/>
            </a:rPr>
            <a:t>ALL</a:t>
          </a:r>
          <a:r>
            <a:rPr lang="en-US" sz="1000" baseline="0">
              <a:solidFill>
                <a:sysClr val="windowText" lastClr="000000"/>
              </a:solidFill>
              <a:effectLst/>
              <a:latin typeface="+mn-lt"/>
              <a:ea typeface="+mn-ea"/>
              <a:cs typeface="+mn-cs"/>
            </a:rPr>
            <a:t> new lighting fixtures.</a:t>
          </a:r>
          <a:endParaRPr lang="en-US" sz="1000">
            <a:solidFill>
              <a:sysClr val="windowText" lastClr="000000"/>
            </a:solidFill>
            <a:effectLst/>
          </a:endParaRPr>
        </a:p>
      </xdr:txBody>
    </xdr:sp>
    <xdr:clientData/>
  </xdr:twoCellAnchor>
  <xdr:twoCellAnchor>
    <xdr:from>
      <xdr:col>120</xdr:col>
      <xdr:colOff>190500</xdr:colOff>
      <xdr:row>217</xdr:row>
      <xdr:rowOff>133349</xdr:rowOff>
    </xdr:from>
    <xdr:to>
      <xdr:col>124</xdr:col>
      <xdr:colOff>141682</xdr:colOff>
      <xdr:row>221</xdr:row>
      <xdr:rowOff>9524</xdr:rowOff>
    </xdr:to>
    <xdr:sp macro="" textlink="">
      <xdr:nvSpPr>
        <xdr:cNvPr id="98" name="Line Callout 2 28">
          <a:extLst>
            <a:ext uri="{FF2B5EF4-FFF2-40B4-BE49-F238E27FC236}">
              <a16:creationId xmlns:a16="http://schemas.microsoft.com/office/drawing/2014/main" id="{00000000-0008-0000-0200-000062000000}"/>
            </a:ext>
          </a:extLst>
        </xdr:cNvPr>
        <xdr:cNvSpPr/>
      </xdr:nvSpPr>
      <xdr:spPr>
        <a:xfrm>
          <a:off x="41452800" y="48396524"/>
          <a:ext cx="1446607" cy="638175"/>
        </a:xfrm>
        <a:prstGeom prst="borderCallout2">
          <a:avLst>
            <a:gd name="adj1" fmla="val 97912"/>
            <a:gd name="adj2" fmla="val 47635"/>
            <a:gd name="adj3" fmla="val 164501"/>
            <a:gd name="adj4" fmla="val 13280"/>
            <a:gd name="adj5" fmla="val 299921"/>
            <a:gd name="adj6" fmla="val -91207"/>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 </a:t>
          </a:r>
          <a:r>
            <a:rPr lang="en-US" sz="1000">
              <a:solidFill>
                <a:sysClr val="windowText" lastClr="000000"/>
              </a:solidFill>
            </a:rPr>
            <a:t>Select</a:t>
          </a:r>
          <a:r>
            <a:rPr lang="en-US" sz="1000" baseline="0">
              <a:solidFill>
                <a:sysClr val="windowText" lastClr="000000"/>
              </a:solidFill>
            </a:rPr>
            <a:t> yes if you want to use each fixture as an EXISTING fixture.</a:t>
          </a:r>
          <a:endParaRPr lang="en-US" sz="1000">
            <a:solidFill>
              <a:sysClr val="windowText" lastClr="000000"/>
            </a:solidFill>
          </a:endParaRPr>
        </a:p>
      </xdr:txBody>
    </xdr:sp>
    <xdr:clientData/>
  </xdr:twoCellAnchor>
  <xdr:twoCellAnchor>
    <xdr:from>
      <xdr:col>1</xdr:col>
      <xdr:colOff>0</xdr:colOff>
      <xdr:row>0</xdr:row>
      <xdr:rowOff>0</xdr:rowOff>
    </xdr:from>
    <xdr:to>
      <xdr:col>8</xdr:col>
      <xdr:colOff>0</xdr:colOff>
      <xdr:row>17</xdr:row>
      <xdr:rowOff>0</xdr:rowOff>
    </xdr:to>
    <xdr:grpSp>
      <xdr:nvGrpSpPr>
        <xdr:cNvPr id="31" name="Group 30">
          <a:extLst>
            <a:ext uri="{FF2B5EF4-FFF2-40B4-BE49-F238E27FC236}">
              <a16:creationId xmlns:a16="http://schemas.microsoft.com/office/drawing/2014/main" id="{00000000-0008-0000-0200-00001F000000}"/>
            </a:ext>
          </a:extLst>
        </xdr:cNvPr>
        <xdr:cNvGrpSpPr/>
      </xdr:nvGrpSpPr>
      <xdr:grpSpPr>
        <a:xfrm>
          <a:off x="421736" y="0"/>
          <a:ext cx="2204528" cy="2051170"/>
          <a:chOff x="373063" y="0"/>
          <a:chExt cx="1976437" cy="2024063"/>
        </a:xfrm>
      </xdr:grpSpPr>
      <xdr:sp macro="" textlink="">
        <xdr:nvSpPr>
          <xdr:cNvPr id="2" name="Rectangle 1">
            <a:extLst>
              <a:ext uri="{FF2B5EF4-FFF2-40B4-BE49-F238E27FC236}">
                <a16:creationId xmlns:a16="http://schemas.microsoft.com/office/drawing/2014/main" id="{00000000-0008-0000-0200-00000200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8" name="Group 17">
            <a:extLst>
              <a:ext uri="{FF2B5EF4-FFF2-40B4-BE49-F238E27FC236}">
                <a16:creationId xmlns:a16="http://schemas.microsoft.com/office/drawing/2014/main" id="{00000000-0008-0000-0200-000012000000}"/>
              </a:ext>
            </a:extLst>
          </xdr:cNvPr>
          <xdr:cNvGrpSpPr/>
        </xdr:nvGrpSpPr>
        <xdr:grpSpPr>
          <a:xfrm>
            <a:off x="428625" y="301625"/>
            <a:ext cx="1861754" cy="188857"/>
            <a:chOff x="426983" y="303815"/>
            <a:chExt cx="1847521" cy="188857"/>
          </a:xfrm>
        </xdr:grpSpPr>
        <xdr:cxnSp macro="">
          <xdr:nvCxnSpPr>
            <xdr:cNvPr id="7" name="Straight Connector 6">
              <a:extLst>
                <a:ext uri="{FF2B5EF4-FFF2-40B4-BE49-F238E27FC236}">
                  <a16:creationId xmlns:a16="http://schemas.microsoft.com/office/drawing/2014/main" id="{00000000-0008-0000-0200-000007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 name="Straight Connector 13">
              <a:extLst>
                <a:ext uri="{FF2B5EF4-FFF2-40B4-BE49-F238E27FC236}">
                  <a16:creationId xmlns:a16="http://schemas.microsoft.com/office/drawing/2014/main" id="{00000000-0008-0000-0200-00000E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1" name="Straight Connector 120">
              <a:extLst>
                <a:ext uri="{FF2B5EF4-FFF2-40B4-BE49-F238E27FC236}">
                  <a16:creationId xmlns:a16="http://schemas.microsoft.com/office/drawing/2014/main" id="{00000000-0008-0000-0200-000079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2" name="Straight Connector 121">
              <a:extLst>
                <a:ext uri="{FF2B5EF4-FFF2-40B4-BE49-F238E27FC236}">
                  <a16:creationId xmlns:a16="http://schemas.microsoft.com/office/drawing/2014/main" id="{00000000-0008-0000-0200-00007A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23" name="Group 122">
            <a:extLst>
              <a:ext uri="{FF2B5EF4-FFF2-40B4-BE49-F238E27FC236}">
                <a16:creationId xmlns:a16="http://schemas.microsoft.com/office/drawing/2014/main" id="{00000000-0008-0000-0200-00007B000000}"/>
              </a:ext>
            </a:extLst>
          </xdr:cNvPr>
          <xdr:cNvGrpSpPr/>
        </xdr:nvGrpSpPr>
        <xdr:grpSpPr>
          <a:xfrm>
            <a:off x="428625" y="547689"/>
            <a:ext cx="1861754" cy="190499"/>
            <a:chOff x="426983" y="303815"/>
            <a:chExt cx="1847521" cy="188857"/>
          </a:xfrm>
        </xdr:grpSpPr>
        <xdr:cxnSp macro="">
          <xdr:nvCxnSpPr>
            <xdr:cNvPr id="124" name="Straight Connector 123">
              <a:extLst>
                <a:ext uri="{FF2B5EF4-FFF2-40B4-BE49-F238E27FC236}">
                  <a16:creationId xmlns:a16="http://schemas.microsoft.com/office/drawing/2014/main" id="{00000000-0008-0000-0200-00007C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5" name="Straight Connector 124">
              <a:extLst>
                <a:ext uri="{FF2B5EF4-FFF2-40B4-BE49-F238E27FC236}">
                  <a16:creationId xmlns:a16="http://schemas.microsoft.com/office/drawing/2014/main" id="{00000000-0008-0000-0200-00007D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6" name="Straight Connector 125">
              <a:extLst>
                <a:ext uri="{FF2B5EF4-FFF2-40B4-BE49-F238E27FC236}">
                  <a16:creationId xmlns:a16="http://schemas.microsoft.com/office/drawing/2014/main" id="{00000000-0008-0000-0200-00007E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7" name="Straight Connector 126">
              <a:extLst>
                <a:ext uri="{FF2B5EF4-FFF2-40B4-BE49-F238E27FC236}">
                  <a16:creationId xmlns:a16="http://schemas.microsoft.com/office/drawing/2014/main" id="{00000000-0008-0000-0200-00007F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28" name="Group 127">
            <a:extLst>
              <a:ext uri="{FF2B5EF4-FFF2-40B4-BE49-F238E27FC236}">
                <a16:creationId xmlns:a16="http://schemas.microsoft.com/office/drawing/2014/main" id="{00000000-0008-0000-0200-000080000000}"/>
              </a:ext>
            </a:extLst>
          </xdr:cNvPr>
          <xdr:cNvGrpSpPr/>
        </xdr:nvGrpSpPr>
        <xdr:grpSpPr>
          <a:xfrm>
            <a:off x="428625" y="793751"/>
            <a:ext cx="1861754" cy="190499"/>
            <a:chOff x="426983" y="303815"/>
            <a:chExt cx="1847521" cy="188857"/>
          </a:xfrm>
        </xdr:grpSpPr>
        <xdr:cxnSp macro="">
          <xdr:nvCxnSpPr>
            <xdr:cNvPr id="129" name="Straight Connector 128">
              <a:extLst>
                <a:ext uri="{FF2B5EF4-FFF2-40B4-BE49-F238E27FC236}">
                  <a16:creationId xmlns:a16="http://schemas.microsoft.com/office/drawing/2014/main" id="{00000000-0008-0000-0200-000081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0" name="Straight Connector 129">
              <a:extLst>
                <a:ext uri="{FF2B5EF4-FFF2-40B4-BE49-F238E27FC236}">
                  <a16:creationId xmlns:a16="http://schemas.microsoft.com/office/drawing/2014/main" id="{00000000-0008-0000-0200-000082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1" name="Straight Connector 130">
              <a:extLst>
                <a:ext uri="{FF2B5EF4-FFF2-40B4-BE49-F238E27FC236}">
                  <a16:creationId xmlns:a16="http://schemas.microsoft.com/office/drawing/2014/main" id="{00000000-0008-0000-0200-000083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32" name="Straight Connector 131">
              <a:extLst>
                <a:ext uri="{FF2B5EF4-FFF2-40B4-BE49-F238E27FC236}">
                  <a16:creationId xmlns:a16="http://schemas.microsoft.com/office/drawing/2014/main" id="{00000000-0008-0000-0200-000084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3" name="Group 132">
            <a:extLst>
              <a:ext uri="{FF2B5EF4-FFF2-40B4-BE49-F238E27FC236}">
                <a16:creationId xmlns:a16="http://schemas.microsoft.com/office/drawing/2014/main" id="{00000000-0008-0000-0200-000085000000}"/>
              </a:ext>
            </a:extLst>
          </xdr:cNvPr>
          <xdr:cNvGrpSpPr/>
        </xdr:nvGrpSpPr>
        <xdr:grpSpPr>
          <a:xfrm>
            <a:off x="428625" y="1041728"/>
            <a:ext cx="1861754" cy="186942"/>
            <a:chOff x="426983" y="303815"/>
            <a:chExt cx="1847521" cy="188857"/>
          </a:xfrm>
        </xdr:grpSpPr>
        <xdr:cxnSp macro="">
          <xdr:nvCxnSpPr>
            <xdr:cNvPr id="134" name="Straight Connector 133">
              <a:extLst>
                <a:ext uri="{FF2B5EF4-FFF2-40B4-BE49-F238E27FC236}">
                  <a16:creationId xmlns:a16="http://schemas.microsoft.com/office/drawing/2014/main" id="{00000000-0008-0000-0200-000086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5" name="Straight Connector 134">
              <a:extLst>
                <a:ext uri="{FF2B5EF4-FFF2-40B4-BE49-F238E27FC236}">
                  <a16:creationId xmlns:a16="http://schemas.microsoft.com/office/drawing/2014/main" id="{00000000-0008-0000-0200-000087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6" name="Straight Connector 135">
              <a:extLst>
                <a:ext uri="{FF2B5EF4-FFF2-40B4-BE49-F238E27FC236}">
                  <a16:creationId xmlns:a16="http://schemas.microsoft.com/office/drawing/2014/main" id="{00000000-0008-0000-0200-000088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37" name="Straight Connector 136">
              <a:extLst>
                <a:ext uri="{FF2B5EF4-FFF2-40B4-BE49-F238E27FC236}">
                  <a16:creationId xmlns:a16="http://schemas.microsoft.com/office/drawing/2014/main" id="{00000000-0008-0000-0200-000089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8" name="Group 137">
            <a:extLst>
              <a:ext uri="{FF2B5EF4-FFF2-40B4-BE49-F238E27FC236}">
                <a16:creationId xmlns:a16="http://schemas.microsoft.com/office/drawing/2014/main" id="{00000000-0008-0000-0200-00008A000000}"/>
              </a:ext>
            </a:extLst>
          </xdr:cNvPr>
          <xdr:cNvGrpSpPr/>
        </xdr:nvGrpSpPr>
        <xdr:grpSpPr>
          <a:xfrm>
            <a:off x="428625" y="1285876"/>
            <a:ext cx="1861754" cy="188857"/>
            <a:chOff x="426983" y="303815"/>
            <a:chExt cx="1847521" cy="188857"/>
          </a:xfrm>
        </xdr:grpSpPr>
        <xdr:cxnSp macro="">
          <xdr:nvCxnSpPr>
            <xdr:cNvPr id="139" name="Straight Connector 138">
              <a:extLst>
                <a:ext uri="{FF2B5EF4-FFF2-40B4-BE49-F238E27FC236}">
                  <a16:creationId xmlns:a16="http://schemas.microsoft.com/office/drawing/2014/main" id="{00000000-0008-0000-0200-00008B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0" name="Straight Connector 139">
              <a:extLst>
                <a:ext uri="{FF2B5EF4-FFF2-40B4-BE49-F238E27FC236}">
                  <a16:creationId xmlns:a16="http://schemas.microsoft.com/office/drawing/2014/main" id="{00000000-0008-0000-0200-00008C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1" name="Straight Connector 140">
              <a:extLst>
                <a:ext uri="{FF2B5EF4-FFF2-40B4-BE49-F238E27FC236}">
                  <a16:creationId xmlns:a16="http://schemas.microsoft.com/office/drawing/2014/main" id="{00000000-0008-0000-0200-00008D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42" name="Straight Connector 141">
              <a:extLst>
                <a:ext uri="{FF2B5EF4-FFF2-40B4-BE49-F238E27FC236}">
                  <a16:creationId xmlns:a16="http://schemas.microsoft.com/office/drawing/2014/main" id="{00000000-0008-0000-0200-00008E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43" name="Group 142">
            <a:extLst>
              <a:ext uri="{FF2B5EF4-FFF2-40B4-BE49-F238E27FC236}">
                <a16:creationId xmlns:a16="http://schemas.microsoft.com/office/drawing/2014/main" id="{00000000-0008-0000-0200-00008F000000}"/>
              </a:ext>
            </a:extLst>
          </xdr:cNvPr>
          <xdr:cNvGrpSpPr/>
        </xdr:nvGrpSpPr>
        <xdr:grpSpPr>
          <a:xfrm>
            <a:off x="428625" y="1531938"/>
            <a:ext cx="1861754" cy="188857"/>
            <a:chOff x="426983" y="303815"/>
            <a:chExt cx="1847521" cy="188857"/>
          </a:xfrm>
        </xdr:grpSpPr>
        <xdr:cxnSp macro="">
          <xdr:nvCxnSpPr>
            <xdr:cNvPr id="144" name="Straight Connector 143">
              <a:extLst>
                <a:ext uri="{FF2B5EF4-FFF2-40B4-BE49-F238E27FC236}">
                  <a16:creationId xmlns:a16="http://schemas.microsoft.com/office/drawing/2014/main" id="{00000000-0008-0000-0200-000090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5" name="Straight Connector 144">
              <a:extLst>
                <a:ext uri="{FF2B5EF4-FFF2-40B4-BE49-F238E27FC236}">
                  <a16:creationId xmlns:a16="http://schemas.microsoft.com/office/drawing/2014/main" id="{00000000-0008-0000-0200-000091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6" name="Straight Connector 145">
              <a:extLst>
                <a:ext uri="{FF2B5EF4-FFF2-40B4-BE49-F238E27FC236}">
                  <a16:creationId xmlns:a16="http://schemas.microsoft.com/office/drawing/2014/main" id="{00000000-0008-0000-0200-000092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47" name="Straight Connector 146">
              <a:extLst>
                <a:ext uri="{FF2B5EF4-FFF2-40B4-BE49-F238E27FC236}">
                  <a16:creationId xmlns:a16="http://schemas.microsoft.com/office/drawing/2014/main" id="{00000000-0008-0000-0200-000093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48" name="Group 147">
            <a:extLst>
              <a:ext uri="{FF2B5EF4-FFF2-40B4-BE49-F238E27FC236}">
                <a16:creationId xmlns:a16="http://schemas.microsoft.com/office/drawing/2014/main" id="{00000000-0008-0000-0200-000094000000}"/>
              </a:ext>
            </a:extLst>
          </xdr:cNvPr>
          <xdr:cNvGrpSpPr/>
        </xdr:nvGrpSpPr>
        <xdr:grpSpPr>
          <a:xfrm>
            <a:off x="428625" y="1778001"/>
            <a:ext cx="1861754" cy="190499"/>
            <a:chOff x="426983" y="303815"/>
            <a:chExt cx="1847521" cy="188857"/>
          </a:xfrm>
        </xdr:grpSpPr>
        <xdr:cxnSp macro="">
          <xdr:nvCxnSpPr>
            <xdr:cNvPr id="149" name="Straight Connector 148">
              <a:extLst>
                <a:ext uri="{FF2B5EF4-FFF2-40B4-BE49-F238E27FC236}">
                  <a16:creationId xmlns:a16="http://schemas.microsoft.com/office/drawing/2014/main" id="{00000000-0008-0000-0200-000095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0" name="Straight Connector 149">
              <a:extLst>
                <a:ext uri="{FF2B5EF4-FFF2-40B4-BE49-F238E27FC236}">
                  <a16:creationId xmlns:a16="http://schemas.microsoft.com/office/drawing/2014/main" id="{00000000-0008-0000-0200-000096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1" name="Straight Connector 150">
              <a:extLst>
                <a:ext uri="{FF2B5EF4-FFF2-40B4-BE49-F238E27FC236}">
                  <a16:creationId xmlns:a16="http://schemas.microsoft.com/office/drawing/2014/main" id="{00000000-0008-0000-0200-000097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2" name="Straight Connector 151">
              <a:extLst>
                <a:ext uri="{FF2B5EF4-FFF2-40B4-BE49-F238E27FC236}">
                  <a16:creationId xmlns:a16="http://schemas.microsoft.com/office/drawing/2014/main" id="{00000000-0008-0000-0200-000098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2</xdr:col>
      <xdr:colOff>2598</xdr:colOff>
      <xdr:row>0</xdr:row>
      <xdr:rowOff>34591</xdr:rowOff>
    </xdr:from>
    <xdr:to>
      <xdr:col>7</xdr:col>
      <xdr:colOff>45201</xdr:colOff>
      <xdr:row>1</xdr:row>
      <xdr:rowOff>180853</xdr:rowOff>
    </xdr:to>
    <xdr:sp macro="" textlink="">
      <xdr:nvSpPr>
        <xdr:cNvPr id="86" name="TextBox 85" title="Page Navigation">
          <a:hlinkClick xmlns:r="http://schemas.openxmlformats.org/officeDocument/2006/relationships" r:id="rId5"/>
          <a:extLst>
            <a:ext uri="{FF2B5EF4-FFF2-40B4-BE49-F238E27FC236}">
              <a16:creationId xmlns:a16="http://schemas.microsoft.com/office/drawing/2014/main" id="{00000000-0008-0000-0200-000056000000}"/>
            </a:ext>
          </a:extLst>
        </xdr:cNvPr>
        <xdr:cNvSpPr txBox="1"/>
      </xdr:nvSpPr>
      <xdr:spPr>
        <a:xfrm>
          <a:off x="469323" y="34591"/>
          <a:ext cx="1899978" cy="203412"/>
        </a:xfrm>
        <a:prstGeom prst="rect">
          <a:avLst/>
        </a:prstGeom>
        <a:solidFill>
          <a:schemeClr val="bg1">
            <a:alpha val="0"/>
          </a:schemeClr>
        </a:solidFill>
        <a:ln w="6350">
          <a:solidFill>
            <a:srgbClr val="006666"/>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xdr:from>
      <xdr:col>2</xdr:col>
      <xdr:colOff>2598</xdr:colOff>
      <xdr:row>7</xdr:row>
      <xdr:rowOff>1102</xdr:rowOff>
    </xdr:from>
    <xdr:to>
      <xdr:col>6</xdr:col>
      <xdr:colOff>368878</xdr:colOff>
      <xdr:row>7</xdr:row>
      <xdr:rowOff>180193</xdr:rowOff>
    </xdr:to>
    <xdr:sp macro="" textlink="">
      <xdr:nvSpPr>
        <xdr:cNvPr id="97" name="TextBox 96" title="Page Navigation">
          <a:hlinkClick xmlns:r="http://schemas.openxmlformats.org/officeDocument/2006/relationships" r:id="rId5" tooltip="Go To the Fixture page to enter existing and new fixtures"/>
          <a:extLst>
            <a:ext uri="{FF2B5EF4-FFF2-40B4-BE49-F238E27FC236}">
              <a16:creationId xmlns:a16="http://schemas.microsoft.com/office/drawing/2014/main" id="{00000000-0008-0000-0200-000061000000}"/>
            </a:ext>
          </a:extLst>
        </xdr:cNvPr>
        <xdr:cNvSpPr txBox="1"/>
      </xdr:nvSpPr>
      <xdr:spPr>
        <a:xfrm>
          <a:off x="469323" y="801202"/>
          <a:ext cx="1852180" cy="179091"/>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Existing and New Fixtures</a:t>
          </a:r>
        </a:p>
      </xdr:txBody>
    </xdr:sp>
    <xdr:clientData fPrintsWithSheet="0"/>
  </xdr:twoCellAnchor>
  <xdr:twoCellAnchor>
    <xdr:from>
      <xdr:col>2</xdr:col>
      <xdr:colOff>2597</xdr:colOff>
      <xdr:row>11</xdr:row>
      <xdr:rowOff>661</xdr:rowOff>
    </xdr:from>
    <xdr:to>
      <xdr:col>6</xdr:col>
      <xdr:colOff>368877</xdr:colOff>
      <xdr:row>11</xdr:row>
      <xdr:rowOff>179256</xdr:rowOff>
    </xdr:to>
    <xdr:sp macro="" textlink="">
      <xdr:nvSpPr>
        <xdr:cNvPr id="99" name="TextBox 98" title="Page Navigation">
          <a:hlinkClick xmlns:r="http://schemas.openxmlformats.org/officeDocument/2006/relationships" r:id="rId6" tooltip="Go To the Signature page to select the Payee"/>
          <a:extLst>
            <a:ext uri="{FF2B5EF4-FFF2-40B4-BE49-F238E27FC236}">
              <a16:creationId xmlns:a16="http://schemas.microsoft.com/office/drawing/2014/main" id="{00000000-0008-0000-0200-000063000000}"/>
            </a:ext>
          </a:extLst>
        </xdr:cNvPr>
        <xdr:cNvSpPr txBox="1"/>
      </xdr:nvSpPr>
      <xdr:spPr>
        <a:xfrm>
          <a:off x="469322" y="1296061"/>
          <a:ext cx="1852180" cy="178595"/>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Customer Authorization</a:t>
          </a:r>
        </a:p>
      </xdr:txBody>
    </xdr:sp>
    <xdr:clientData fPrintsWithSheet="0"/>
  </xdr:twoCellAnchor>
  <xdr:twoCellAnchor>
    <xdr:from>
      <xdr:col>2</xdr:col>
      <xdr:colOff>2598</xdr:colOff>
      <xdr:row>15</xdr:row>
      <xdr:rowOff>221</xdr:rowOff>
    </xdr:from>
    <xdr:to>
      <xdr:col>6</xdr:col>
      <xdr:colOff>368878</xdr:colOff>
      <xdr:row>15</xdr:row>
      <xdr:rowOff>188739</xdr:rowOff>
    </xdr:to>
    <xdr:sp macro="" textlink="">
      <xdr:nvSpPr>
        <xdr:cNvPr id="100" name="TextBox 99" title="Page Navigation">
          <a:hlinkClick xmlns:r="http://schemas.openxmlformats.org/officeDocument/2006/relationships" r:id="rId7" tooltip="PSE Use page"/>
          <a:extLst>
            <a:ext uri="{FF2B5EF4-FFF2-40B4-BE49-F238E27FC236}">
              <a16:creationId xmlns:a16="http://schemas.microsoft.com/office/drawing/2014/main" id="{00000000-0008-0000-0200-000064000000}"/>
            </a:ext>
          </a:extLst>
        </xdr:cNvPr>
        <xdr:cNvSpPr txBox="1"/>
      </xdr:nvSpPr>
      <xdr:spPr>
        <a:xfrm>
          <a:off x="469323" y="1790921"/>
          <a:ext cx="1852180" cy="188518"/>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PSE</a:t>
          </a:r>
          <a:r>
            <a:rPr lang="en-US" sz="1100" b="0" baseline="0">
              <a:solidFill>
                <a:schemeClr val="bg1"/>
              </a:solidFill>
              <a:sym typeface="Webdings" panose="05030102010509060703" pitchFamily="18" charset="2"/>
            </a:rPr>
            <a:t> Grant QC Page</a:t>
          </a:r>
          <a:endParaRPr lang="en-US" sz="1100" b="0">
            <a:solidFill>
              <a:schemeClr val="bg1"/>
            </a:solidFill>
            <a:sym typeface="Webdings" panose="05030102010509060703" pitchFamily="18" charset="2"/>
          </a:endParaRPr>
        </a:p>
      </xdr:txBody>
    </xdr:sp>
    <xdr:clientData fPrintsWithSheet="0"/>
  </xdr:twoCellAnchor>
  <xdr:twoCellAnchor>
    <xdr:from>
      <xdr:col>2</xdr:col>
      <xdr:colOff>2597</xdr:colOff>
      <xdr:row>13</xdr:row>
      <xdr:rowOff>441</xdr:rowOff>
    </xdr:from>
    <xdr:to>
      <xdr:col>6</xdr:col>
      <xdr:colOff>368877</xdr:colOff>
      <xdr:row>13</xdr:row>
      <xdr:rowOff>179035</xdr:rowOff>
    </xdr:to>
    <xdr:sp macro="" textlink="">
      <xdr:nvSpPr>
        <xdr:cNvPr id="101" name="TextBox 100" title="Page Navigation">
          <a:hlinkClick xmlns:r="http://schemas.openxmlformats.org/officeDocument/2006/relationships" r:id="rId8" tooltip="Go To Advanced Controls page"/>
          <a:extLst>
            <a:ext uri="{FF2B5EF4-FFF2-40B4-BE49-F238E27FC236}">
              <a16:creationId xmlns:a16="http://schemas.microsoft.com/office/drawing/2014/main" id="{00000000-0008-0000-0200-000065000000}"/>
            </a:ext>
          </a:extLst>
        </xdr:cNvPr>
        <xdr:cNvSpPr txBox="1"/>
      </xdr:nvSpPr>
      <xdr:spPr>
        <a:xfrm>
          <a:off x="469322" y="1543491"/>
          <a:ext cx="1852180" cy="17859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LLLC &amp; Exterior NLC </a:t>
          </a:r>
        </a:p>
      </xdr:txBody>
    </xdr:sp>
    <xdr:clientData fPrintsWithSheet="0"/>
  </xdr:twoCellAnchor>
  <xdr:twoCellAnchor>
    <xdr:from>
      <xdr:col>2</xdr:col>
      <xdr:colOff>2598</xdr:colOff>
      <xdr:row>3</xdr:row>
      <xdr:rowOff>1543</xdr:rowOff>
    </xdr:from>
    <xdr:to>
      <xdr:col>6</xdr:col>
      <xdr:colOff>368878</xdr:colOff>
      <xdr:row>3</xdr:row>
      <xdr:rowOff>190061</xdr:rowOff>
    </xdr:to>
    <xdr:sp macro="" textlink="">
      <xdr:nvSpPr>
        <xdr:cNvPr id="102" name="TextBox 101" title="Page Navigation">
          <a:hlinkClick xmlns:r="http://schemas.openxmlformats.org/officeDocument/2006/relationships" r:id="rId9" tooltip="Go To Terms page"/>
          <a:extLst>
            <a:ext uri="{FF2B5EF4-FFF2-40B4-BE49-F238E27FC236}">
              <a16:creationId xmlns:a16="http://schemas.microsoft.com/office/drawing/2014/main" id="{00000000-0008-0000-0200-000066000000}"/>
            </a:ext>
          </a:extLst>
        </xdr:cNvPr>
        <xdr:cNvSpPr txBox="1"/>
      </xdr:nvSpPr>
      <xdr:spPr>
        <a:xfrm>
          <a:off x="469323" y="306343"/>
          <a:ext cx="1852180" cy="188518"/>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Terms and Conditions</a:t>
          </a:r>
        </a:p>
      </xdr:txBody>
    </xdr:sp>
    <xdr:clientData fPrintsWithSheet="0"/>
  </xdr:twoCellAnchor>
  <xdr:twoCellAnchor>
    <xdr:from>
      <xdr:col>2</xdr:col>
      <xdr:colOff>2598</xdr:colOff>
      <xdr:row>5</xdr:row>
      <xdr:rowOff>1322</xdr:rowOff>
    </xdr:from>
    <xdr:to>
      <xdr:col>6</xdr:col>
      <xdr:colOff>368878</xdr:colOff>
      <xdr:row>5</xdr:row>
      <xdr:rowOff>189840</xdr:rowOff>
    </xdr:to>
    <xdr:sp macro="" textlink="">
      <xdr:nvSpPr>
        <xdr:cNvPr id="103" name="TextBox 102" title="Page Navigation">
          <a:hlinkClick xmlns:r="http://schemas.openxmlformats.org/officeDocument/2006/relationships" r:id="rId10" tooltip="Go To the Project information page"/>
          <a:extLst>
            <a:ext uri="{FF2B5EF4-FFF2-40B4-BE49-F238E27FC236}">
              <a16:creationId xmlns:a16="http://schemas.microsoft.com/office/drawing/2014/main" id="{00000000-0008-0000-0200-000067000000}"/>
            </a:ext>
          </a:extLst>
        </xdr:cNvPr>
        <xdr:cNvSpPr txBox="1"/>
      </xdr:nvSpPr>
      <xdr:spPr>
        <a:xfrm>
          <a:off x="469323" y="553772"/>
          <a:ext cx="1852180" cy="188518"/>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 Owner Info</a:t>
          </a:r>
        </a:p>
      </xdr:txBody>
    </xdr:sp>
    <xdr:clientData fPrintsWithSheet="0"/>
  </xdr:twoCellAnchor>
  <xdr:twoCellAnchor>
    <xdr:from>
      <xdr:col>2</xdr:col>
      <xdr:colOff>2597</xdr:colOff>
      <xdr:row>9</xdr:row>
      <xdr:rowOff>882</xdr:rowOff>
    </xdr:from>
    <xdr:to>
      <xdr:col>6</xdr:col>
      <xdr:colOff>368877</xdr:colOff>
      <xdr:row>9</xdr:row>
      <xdr:rowOff>179973</xdr:rowOff>
    </xdr:to>
    <xdr:sp macro="" textlink="">
      <xdr:nvSpPr>
        <xdr:cNvPr id="104" name="TextBox 103" title="Page Navigation">
          <a:hlinkClick xmlns:r="http://schemas.openxmlformats.org/officeDocument/2006/relationships" r:id="rId11" tooltip="Go To the Installations page to enter the installed/new lighting"/>
          <a:extLst>
            <a:ext uri="{FF2B5EF4-FFF2-40B4-BE49-F238E27FC236}">
              <a16:creationId xmlns:a16="http://schemas.microsoft.com/office/drawing/2014/main" id="{00000000-0008-0000-0200-000068000000}"/>
            </a:ext>
          </a:extLst>
        </xdr:cNvPr>
        <xdr:cNvSpPr txBox="1"/>
      </xdr:nvSpPr>
      <xdr:spPr>
        <a:xfrm>
          <a:off x="469322" y="1048632"/>
          <a:ext cx="1852180" cy="179091"/>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Installations</a:t>
          </a:r>
        </a:p>
      </xdr:txBody>
    </xdr:sp>
    <xdr:clientData fPrintsWithSheet="0"/>
  </xdr:twoCellAnchor>
  <xdr:oneCellAnchor>
    <xdr:from>
      <xdr:col>28</xdr:col>
      <xdr:colOff>0</xdr:colOff>
      <xdr:row>0</xdr:row>
      <xdr:rowOff>39429</xdr:rowOff>
    </xdr:from>
    <xdr:ext cx="1865313" cy="206634"/>
    <xdr:sp macro="" textlink="">
      <xdr:nvSpPr>
        <xdr:cNvPr id="113" name="TextBox 112" title="Page Navigation">
          <a:hlinkClick xmlns:r="http://schemas.openxmlformats.org/officeDocument/2006/relationships" r:id="rId5"/>
          <a:extLst>
            <a:ext uri="{FF2B5EF4-FFF2-40B4-BE49-F238E27FC236}">
              <a16:creationId xmlns:a16="http://schemas.microsoft.com/office/drawing/2014/main" id="{00000000-0008-0000-0200-000071000000}"/>
            </a:ext>
          </a:extLst>
        </xdr:cNvPr>
        <xdr:cNvSpPr txBox="1"/>
      </xdr:nvSpPr>
      <xdr:spPr>
        <a:xfrm>
          <a:off x="9604375" y="39429"/>
          <a:ext cx="1865313" cy="206634"/>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Page </a:t>
          </a:r>
          <a:r>
            <a:rPr lang="en-US" sz="1100" b="0" i="1">
              <a:solidFill>
                <a:schemeClr val="bg1"/>
              </a:solidFill>
            </a:rPr>
            <a:t>Navigation</a:t>
          </a:r>
        </a:p>
      </xdr:txBody>
    </xdr:sp>
    <xdr:clientData fPrintsWithSheet="0"/>
  </xdr:oneCellAnchor>
  <xdr:oneCellAnchor>
    <xdr:from>
      <xdr:col>28</xdr:col>
      <xdr:colOff>1</xdr:colOff>
      <xdr:row>7</xdr:row>
      <xdr:rowOff>1</xdr:rowOff>
    </xdr:from>
    <xdr:ext cx="1942352" cy="181840"/>
    <xdr:sp macro="" textlink="">
      <xdr:nvSpPr>
        <xdr:cNvPr id="114" name="TextBox 113" title="Page Navigation">
          <a:hlinkClick xmlns:r="http://schemas.openxmlformats.org/officeDocument/2006/relationships" r:id="rId4" tooltip="Create &quot;new&quot; light fixtures or lamps"/>
          <a:extLst>
            <a:ext uri="{FF2B5EF4-FFF2-40B4-BE49-F238E27FC236}">
              <a16:creationId xmlns:a16="http://schemas.microsoft.com/office/drawing/2014/main" id="{00000000-0008-0000-0200-000072000000}"/>
            </a:ext>
          </a:extLst>
        </xdr:cNvPr>
        <xdr:cNvSpPr txBox="1"/>
      </xdr:nvSpPr>
      <xdr:spPr>
        <a:xfrm>
          <a:off x="10425207" y="825501"/>
          <a:ext cx="1942352" cy="18184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Create New Fixture /</a:t>
          </a:r>
          <a:r>
            <a:rPr lang="en-US" sz="1100" b="0" baseline="0">
              <a:solidFill>
                <a:schemeClr val="bg1"/>
              </a:solidFill>
              <a:sym typeface="Webdings" panose="05030102010509060703" pitchFamily="18" charset="2"/>
            </a:rPr>
            <a:t> Lamp</a:t>
          </a:r>
          <a:endParaRPr lang="en-US" sz="1100" b="0">
            <a:solidFill>
              <a:schemeClr val="bg1"/>
            </a:solidFill>
            <a:sym typeface="Webdings" panose="05030102010509060703" pitchFamily="18" charset="2"/>
          </a:endParaRPr>
        </a:p>
      </xdr:txBody>
    </xdr:sp>
    <xdr:clientData fPrintsWithSheet="0"/>
  </xdr:oneCellAnchor>
  <xdr:oneCellAnchor>
    <xdr:from>
      <xdr:col>28</xdr:col>
      <xdr:colOff>2005</xdr:colOff>
      <xdr:row>10</xdr:row>
      <xdr:rowOff>55144</xdr:rowOff>
    </xdr:from>
    <xdr:ext cx="1940348" cy="198856"/>
    <xdr:sp macro="" textlink="">
      <xdr:nvSpPr>
        <xdr:cNvPr id="115" name="TextBox 114" title="Page Navigation">
          <a:extLst>
            <a:ext uri="{FF2B5EF4-FFF2-40B4-BE49-F238E27FC236}">
              <a16:creationId xmlns:a16="http://schemas.microsoft.com/office/drawing/2014/main" id="{00000000-0008-0000-0200-000073000000}"/>
            </a:ext>
          </a:extLst>
        </xdr:cNvPr>
        <xdr:cNvSpPr txBox="1"/>
      </xdr:nvSpPr>
      <xdr:spPr>
        <a:xfrm>
          <a:off x="10427211" y="1325144"/>
          <a:ext cx="1940348" cy="198856"/>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endParaRPr lang="en-US" sz="1100" b="0">
            <a:solidFill>
              <a:schemeClr val="bg1"/>
            </a:solidFill>
            <a:sym typeface="Webdings" panose="05030102010509060703" pitchFamily="18" charset="2"/>
          </a:endParaRPr>
        </a:p>
      </xdr:txBody>
    </xdr:sp>
    <xdr:clientData fPrintsWithSheet="0"/>
  </xdr:oneCellAnchor>
  <xdr:oneCellAnchor>
    <xdr:from>
      <xdr:col>28</xdr:col>
      <xdr:colOff>1</xdr:colOff>
      <xdr:row>15</xdr:row>
      <xdr:rowOff>0</xdr:rowOff>
    </xdr:from>
    <xdr:ext cx="1942352" cy="190501"/>
    <xdr:sp macro="" textlink="">
      <xdr:nvSpPr>
        <xdr:cNvPr id="116" name="TextBox 115" title="Page Navigation">
          <a:extLst>
            <a:ext uri="{FF2B5EF4-FFF2-40B4-BE49-F238E27FC236}">
              <a16:creationId xmlns:a16="http://schemas.microsoft.com/office/drawing/2014/main" id="{00000000-0008-0000-0200-000074000000}"/>
            </a:ext>
          </a:extLst>
        </xdr:cNvPr>
        <xdr:cNvSpPr txBox="1"/>
      </xdr:nvSpPr>
      <xdr:spPr>
        <a:xfrm>
          <a:off x="10425207" y="1841500"/>
          <a:ext cx="1942352" cy="190501"/>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endParaRPr lang="en-US" sz="1100" b="0">
            <a:solidFill>
              <a:schemeClr val="bg1"/>
            </a:solidFill>
            <a:sym typeface="Webdings" panose="05030102010509060703" pitchFamily="18" charset="2"/>
          </a:endParaRPr>
        </a:p>
      </xdr:txBody>
    </xdr:sp>
    <xdr:clientData fPrintsWithSheet="0"/>
  </xdr:oneCellAnchor>
  <xdr:oneCellAnchor>
    <xdr:from>
      <xdr:col>28</xdr:col>
      <xdr:colOff>2004</xdr:colOff>
      <xdr:row>13</xdr:row>
      <xdr:rowOff>0</xdr:rowOff>
    </xdr:from>
    <xdr:ext cx="1940349" cy="180472"/>
    <xdr:sp macro="" textlink="">
      <xdr:nvSpPr>
        <xdr:cNvPr id="117" name="TextBox 116" title="Page Navigation">
          <a:extLst>
            <a:ext uri="{FF2B5EF4-FFF2-40B4-BE49-F238E27FC236}">
              <a16:creationId xmlns:a16="http://schemas.microsoft.com/office/drawing/2014/main" id="{00000000-0008-0000-0200-000075000000}"/>
            </a:ext>
          </a:extLst>
        </xdr:cNvPr>
        <xdr:cNvSpPr txBox="1"/>
      </xdr:nvSpPr>
      <xdr:spPr>
        <a:xfrm>
          <a:off x="10427210" y="1587500"/>
          <a:ext cx="1940349" cy="18047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endParaRPr lang="en-US" sz="1100" b="0">
            <a:solidFill>
              <a:schemeClr val="bg1"/>
            </a:solidFill>
            <a:sym typeface="Webdings" panose="05030102010509060703" pitchFamily="18" charset="2"/>
          </a:endParaRPr>
        </a:p>
      </xdr:txBody>
    </xdr:sp>
    <xdr:clientData fPrintsWithSheet="0"/>
  </xdr:oneCellAnchor>
  <xdr:oneCellAnchor>
    <xdr:from>
      <xdr:col>28</xdr:col>
      <xdr:colOff>1</xdr:colOff>
      <xdr:row>2</xdr:row>
      <xdr:rowOff>55144</xdr:rowOff>
    </xdr:from>
    <xdr:ext cx="1942352" cy="190501"/>
    <xdr:sp macro="" textlink="">
      <xdr:nvSpPr>
        <xdr:cNvPr id="118" name="TextBox 117" title="Page Navigation">
          <a:hlinkClick xmlns:r="http://schemas.openxmlformats.org/officeDocument/2006/relationships" r:id="rId2" tooltip="Create &quot;existing&quot; light fixtrues"/>
          <a:extLst>
            <a:ext uri="{FF2B5EF4-FFF2-40B4-BE49-F238E27FC236}">
              <a16:creationId xmlns:a16="http://schemas.microsoft.com/office/drawing/2014/main" id="{00000000-0008-0000-0200-000076000000}"/>
            </a:ext>
          </a:extLst>
        </xdr:cNvPr>
        <xdr:cNvSpPr txBox="1"/>
      </xdr:nvSpPr>
      <xdr:spPr>
        <a:xfrm>
          <a:off x="10425207" y="309144"/>
          <a:ext cx="1942352" cy="190501"/>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Create Existing Fixture</a:t>
          </a:r>
        </a:p>
      </xdr:txBody>
    </xdr:sp>
    <xdr:clientData fPrintsWithSheet="0"/>
  </xdr:oneCellAnchor>
  <xdr:oneCellAnchor>
    <xdr:from>
      <xdr:col>28</xdr:col>
      <xdr:colOff>1</xdr:colOff>
      <xdr:row>5</xdr:row>
      <xdr:rowOff>0</xdr:rowOff>
    </xdr:from>
    <xdr:ext cx="1942352" cy="190500"/>
    <xdr:sp macro="" textlink="">
      <xdr:nvSpPr>
        <xdr:cNvPr id="119" name="TextBox 118" title="Page Navigation">
          <a:hlinkClick xmlns:r="http://schemas.openxmlformats.org/officeDocument/2006/relationships" r:id="rId2" tooltip="Edit entered &quot;existing&quot; light fixtures"/>
          <a:extLst>
            <a:ext uri="{FF2B5EF4-FFF2-40B4-BE49-F238E27FC236}">
              <a16:creationId xmlns:a16="http://schemas.microsoft.com/office/drawing/2014/main" id="{00000000-0008-0000-0200-000077000000}"/>
            </a:ext>
          </a:extLst>
        </xdr:cNvPr>
        <xdr:cNvSpPr txBox="1"/>
      </xdr:nvSpPr>
      <xdr:spPr>
        <a:xfrm>
          <a:off x="10425207" y="571500"/>
          <a:ext cx="1942352"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Edit Existing Fixture</a:t>
          </a:r>
        </a:p>
      </xdr:txBody>
    </xdr:sp>
    <xdr:clientData fPrintsWithSheet="0"/>
  </xdr:oneCellAnchor>
  <xdr:oneCellAnchor>
    <xdr:from>
      <xdr:col>28</xdr:col>
      <xdr:colOff>2005</xdr:colOff>
      <xdr:row>9</xdr:row>
      <xdr:rowOff>0</xdr:rowOff>
    </xdr:from>
    <xdr:ext cx="1940348" cy="181841"/>
    <xdr:sp macro="" textlink="">
      <xdr:nvSpPr>
        <xdr:cNvPr id="120" name="TextBox 119" title="Page Navigation">
          <a:hlinkClick xmlns:r="http://schemas.openxmlformats.org/officeDocument/2006/relationships" r:id="rId4" tooltip="Edit created &quot;new&quot; light fixtures or lamps"/>
          <a:extLst>
            <a:ext uri="{FF2B5EF4-FFF2-40B4-BE49-F238E27FC236}">
              <a16:creationId xmlns:a16="http://schemas.microsoft.com/office/drawing/2014/main" id="{00000000-0008-0000-0200-000078000000}"/>
            </a:ext>
          </a:extLst>
        </xdr:cNvPr>
        <xdr:cNvSpPr txBox="1"/>
      </xdr:nvSpPr>
      <xdr:spPr>
        <a:xfrm>
          <a:off x="10427211" y="1079500"/>
          <a:ext cx="1940348" cy="181841"/>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effectLst/>
              <a:latin typeface="+mn-lt"/>
              <a:ea typeface="+mn-ea"/>
              <a:cs typeface="+mn-cs"/>
            </a:rPr>
            <a:t>Edit New Fixture /</a:t>
          </a:r>
          <a:r>
            <a:rPr lang="en-US" sz="1100" b="0" baseline="0">
              <a:solidFill>
                <a:schemeClr val="bg1"/>
              </a:solidFill>
              <a:effectLst/>
              <a:latin typeface="+mn-lt"/>
              <a:ea typeface="+mn-ea"/>
              <a:cs typeface="+mn-cs"/>
            </a:rPr>
            <a:t> Lamp</a:t>
          </a:r>
          <a:endParaRPr lang="en-US">
            <a:solidFill>
              <a:schemeClr val="bg1"/>
            </a:solidFill>
            <a:effectLst/>
          </a:endParaRPr>
        </a:p>
      </xdr:txBody>
    </xdr:sp>
    <xdr:clientData fPrintsWithSheet="0"/>
  </xdr:oneCellAnchor>
  <xdr:twoCellAnchor>
    <xdr:from>
      <xdr:col>62</xdr:col>
      <xdr:colOff>0</xdr:colOff>
      <xdr:row>0</xdr:row>
      <xdr:rowOff>0</xdr:rowOff>
    </xdr:from>
    <xdr:to>
      <xdr:col>68</xdr:col>
      <xdr:colOff>77932</xdr:colOff>
      <xdr:row>17</xdr:row>
      <xdr:rowOff>0</xdr:rowOff>
    </xdr:to>
    <xdr:grpSp>
      <xdr:nvGrpSpPr>
        <xdr:cNvPr id="41" name="Group 40">
          <a:hlinkClick xmlns:r="http://schemas.openxmlformats.org/officeDocument/2006/relationships" r:id="rId2"/>
          <a:extLst>
            <a:ext uri="{FF2B5EF4-FFF2-40B4-BE49-F238E27FC236}">
              <a16:creationId xmlns:a16="http://schemas.microsoft.com/office/drawing/2014/main" id="{00000000-0008-0000-0200-000029000000}"/>
            </a:ext>
          </a:extLst>
        </xdr:cNvPr>
        <xdr:cNvGrpSpPr/>
      </xdr:nvGrpSpPr>
      <xdr:grpSpPr>
        <a:xfrm>
          <a:off x="21604378" y="0"/>
          <a:ext cx="2042837" cy="2051170"/>
          <a:chOff x="15993341" y="0"/>
          <a:chExt cx="1982932" cy="2069523"/>
        </a:xfrm>
      </xdr:grpSpPr>
      <xdr:grpSp>
        <xdr:nvGrpSpPr>
          <xdr:cNvPr id="36" name="Group 35">
            <a:extLst>
              <a:ext uri="{FF2B5EF4-FFF2-40B4-BE49-F238E27FC236}">
                <a16:creationId xmlns:a16="http://schemas.microsoft.com/office/drawing/2014/main" id="{00000000-0008-0000-0200-000024000000}"/>
              </a:ext>
            </a:extLst>
          </xdr:cNvPr>
          <xdr:cNvGrpSpPr/>
        </xdr:nvGrpSpPr>
        <xdr:grpSpPr>
          <a:xfrm>
            <a:off x="15993341" y="0"/>
            <a:ext cx="1982932" cy="2069523"/>
            <a:chOff x="15944850" y="0"/>
            <a:chExt cx="1971675" cy="2038350"/>
          </a:xfrm>
        </xdr:grpSpPr>
        <xdr:grpSp>
          <xdr:nvGrpSpPr>
            <xdr:cNvPr id="228" name="Group 227">
              <a:extLst>
                <a:ext uri="{FF2B5EF4-FFF2-40B4-BE49-F238E27FC236}">
                  <a16:creationId xmlns:a16="http://schemas.microsoft.com/office/drawing/2014/main" id="{00000000-0008-0000-0200-0000E4000000}"/>
                </a:ext>
              </a:extLst>
            </xdr:cNvPr>
            <xdr:cNvGrpSpPr/>
          </xdr:nvGrpSpPr>
          <xdr:grpSpPr>
            <a:xfrm>
              <a:off x="15944850" y="0"/>
              <a:ext cx="1971675" cy="2038350"/>
              <a:chOff x="373063" y="0"/>
              <a:chExt cx="1976437" cy="2024063"/>
            </a:xfrm>
          </xdr:grpSpPr>
          <xdr:sp macro="" textlink="">
            <xdr:nvSpPr>
              <xdr:cNvPr id="229" name="Rectangle 228">
                <a:extLst>
                  <a:ext uri="{FF2B5EF4-FFF2-40B4-BE49-F238E27FC236}">
                    <a16:creationId xmlns:a16="http://schemas.microsoft.com/office/drawing/2014/main" id="{00000000-0008-0000-0200-0000E500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230" name="Group 229">
                <a:extLst>
                  <a:ext uri="{FF2B5EF4-FFF2-40B4-BE49-F238E27FC236}">
                    <a16:creationId xmlns:a16="http://schemas.microsoft.com/office/drawing/2014/main" id="{00000000-0008-0000-0200-0000E6000000}"/>
                  </a:ext>
                </a:extLst>
              </xdr:cNvPr>
              <xdr:cNvGrpSpPr/>
            </xdr:nvGrpSpPr>
            <xdr:grpSpPr>
              <a:xfrm>
                <a:off x="428625" y="301625"/>
                <a:ext cx="1861754" cy="188857"/>
                <a:chOff x="426983" y="303815"/>
                <a:chExt cx="1847521" cy="188857"/>
              </a:xfrm>
            </xdr:grpSpPr>
            <xdr:cxnSp macro="">
              <xdr:nvCxnSpPr>
                <xdr:cNvPr id="261" name="Straight Connector 260">
                  <a:extLst>
                    <a:ext uri="{FF2B5EF4-FFF2-40B4-BE49-F238E27FC236}">
                      <a16:creationId xmlns:a16="http://schemas.microsoft.com/office/drawing/2014/main" id="{00000000-0008-0000-0200-000005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2" name="Straight Connector 261">
                  <a:extLst>
                    <a:ext uri="{FF2B5EF4-FFF2-40B4-BE49-F238E27FC236}">
                      <a16:creationId xmlns:a16="http://schemas.microsoft.com/office/drawing/2014/main" id="{00000000-0008-0000-0200-000006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3" name="Straight Connector 262">
                  <a:extLst>
                    <a:ext uri="{FF2B5EF4-FFF2-40B4-BE49-F238E27FC236}">
                      <a16:creationId xmlns:a16="http://schemas.microsoft.com/office/drawing/2014/main" id="{00000000-0008-0000-0200-000007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64" name="Straight Connector 263">
                  <a:extLst>
                    <a:ext uri="{FF2B5EF4-FFF2-40B4-BE49-F238E27FC236}">
                      <a16:creationId xmlns:a16="http://schemas.microsoft.com/office/drawing/2014/main" id="{00000000-0008-0000-0200-000008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31" name="Group 230">
                <a:extLst>
                  <a:ext uri="{FF2B5EF4-FFF2-40B4-BE49-F238E27FC236}">
                    <a16:creationId xmlns:a16="http://schemas.microsoft.com/office/drawing/2014/main" id="{00000000-0008-0000-0200-0000E7000000}"/>
                  </a:ext>
                </a:extLst>
              </xdr:cNvPr>
              <xdr:cNvGrpSpPr/>
            </xdr:nvGrpSpPr>
            <xdr:grpSpPr>
              <a:xfrm>
                <a:off x="428625" y="547689"/>
                <a:ext cx="1861754" cy="190499"/>
                <a:chOff x="426983" y="303815"/>
                <a:chExt cx="1847521" cy="188857"/>
              </a:xfrm>
            </xdr:grpSpPr>
            <xdr:cxnSp macro="">
              <xdr:nvCxnSpPr>
                <xdr:cNvPr id="257" name="Straight Connector 256">
                  <a:extLst>
                    <a:ext uri="{FF2B5EF4-FFF2-40B4-BE49-F238E27FC236}">
                      <a16:creationId xmlns:a16="http://schemas.microsoft.com/office/drawing/2014/main" id="{00000000-0008-0000-0200-000001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8" name="Straight Connector 257">
                  <a:extLst>
                    <a:ext uri="{FF2B5EF4-FFF2-40B4-BE49-F238E27FC236}">
                      <a16:creationId xmlns:a16="http://schemas.microsoft.com/office/drawing/2014/main" id="{00000000-0008-0000-0200-000002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9" name="Straight Connector 258">
                  <a:extLst>
                    <a:ext uri="{FF2B5EF4-FFF2-40B4-BE49-F238E27FC236}">
                      <a16:creationId xmlns:a16="http://schemas.microsoft.com/office/drawing/2014/main" id="{00000000-0008-0000-0200-000003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60" name="Straight Connector 259">
                  <a:extLst>
                    <a:ext uri="{FF2B5EF4-FFF2-40B4-BE49-F238E27FC236}">
                      <a16:creationId xmlns:a16="http://schemas.microsoft.com/office/drawing/2014/main" id="{00000000-0008-0000-0200-000004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32" name="Group 231">
                <a:extLst>
                  <a:ext uri="{FF2B5EF4-FFF2-40B4-BE49-F238E27FC236}">
                    <a16:creationId xmlns:a16="http://schemas.microsoft.com/office/drawing/2014/main" id="{00000000-0008-0000-0200-0000E8000000}"/>
                  </a:ext>
                </a:extLst>
              </xdr:cNvPr>
              <xdr:cNvGrpSpPr/>
            </xdr:nvGrpSpPr>
            <xdr:grpSpPr>
              <a:xfrm>
                <a:off x="428625" y="793751"/>
                <a:ext cx="1861754" cy="190499"/>
                <a:chOff x="426983" y="303815"/>
                <a:chExt cx="1847521" cy="188857"/>
              </a:xfrm>
            </xdr:grpSpPr>
            <xdr:cxnSp macro="">
              <xdr:nvCxnSpPr>
                <xdr:cNvPr id="253" name="Straight Connector 252">
                  <a:extLst>
                    <a:ext uri="{FF2B5EF4-FFF2-40B4-BE49-F238E27FC236}">
                      <a16:creationId xmlns:a16="http://schemas.microsoft.com/office/drawing/2014/main" id="{00000000-0008-0000-0200-0000FD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4" name="Straight Connector 253">
                  <a:extLst>
                    <a:ext uri="{FF2B5EF4-FFF2-40B4-BE49-F238E27FC236}">
                      <a16:creationId xmlns:a16="http://schemas.microsoft.com/office/drawing/2014/main" id="{00000000-0008-0000-0200-0000FE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5" name="Straight Connector 254">
                  <a:extLst>
                    <a:ext uri="{FF2B5EF4-FFF2-40B4-BE49-F238E27FC236}">
                      <a16:creationId xmlns:a16="http://schemas.microsoft.com/office/drawing/2014/main" id="{00000000-0008-0000-0200-0000FF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56" name="Straight Connector 255">
                  <a:extLst>
                    <a:ext uri="{FF2B5EF4-FFF2-40B4-BE49-F238E27FC236}">
                      <a16:creationId xmlns:a16="http://schemas.microsoft.com/office/drawing/2014/main" id="{00000000-0008-0000-0200-000000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33" name="Group 232">
                <a:extLst>
                  <a:ext uri="{FF2B5EF4-FFF2-40B4-BE49-F238E27FC236}">
                    <a16:creationId xmlns:a16="http://schemas.microsoft.com/office/drawing/2014/main" id="{00000000-0008-0000-0200-0000E9000000}"/>
                  </a:ext>
                </a:extLst>
              </xdr:cNvPr>
              <xdr:cNvGrpSpPr/>
            </xdr:nvGrpSpPr>
            <xdr:grpSpPr>
              <a:xfrm>
                <a:off x="428625" y="1041728"/>
                <a:ext cx="1861754" cy="186942"/>
                <a:chOff x="426983" y="303815"/>
                <a:chExt cx="1847521" cy="188857"/>
              </a:xfrm>
            </xdr:grpSpPr>
            <xdr:cxnSp macro="">
              <xdr:nvCxnSpPr>
                <xdr:cNvPr id="249" name="Straight Connector 248">
                  <a:extLst>
                    <a:ext uri="{FF2B5EF4-FFF2-40B4-BE49-F238E27FC236}">
                      <a16:creationId xmlns:a16="http://schemas.microsoft.com/office/drawing/2014/main" id="{00000000-0008-0000-0200-0000F9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0" name="Straight Connector 249">
                  <a:extLst>
                    <a:ext uri="{FF2B5EF4-FFF2-40B4-BE49-F238E27FC236}">
                      <a16:creationId xmlns:a16="http://schemas.microsoft.com/office/drawing/2014/main" id="{00000000-0008-0000-0200-0000FA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1" name="Straight Connector 250">
                  <a:extLst>
                    <a:ext uri="{FF2B5EF4-FFF2-40B4-BE49-F238E27FC236}">
                      <a16:creationId xmlns:a16="http://schemas.microsoft.com/office/drawing/2014/main" id="{00000000-0008-0000-0200-0000FB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52" name="Straight Connector 251">
                  <a:extLst>
                    <a:ext uri="{FF2B5EF4-FFF2-40B4-BE49-F238E27FC236}">
                      <a16:creationId xmlns:a16="http://schemas.microsoft.com/office/drawing/2014/main" id="{00000000-0008-0000-0200-0000FC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34" name="Group 233">
                <a:extLst>
                  <a:ext uri="{FF2B5EF4-FFF2-40B4-BE49-F238E27FC236}">
                    <a16:creationId xmlns:a16="http://schemas.microsoft.com/office/drawing/2014/main" id="{00000000-0008-0000-0200-0000EA000000}"/>
                  </a:ext>
                </a:extLst>
              </xdr:cNvPr>
              <xdr:cNvGrpSpPr/>
            </xdr:nvGrpSpPr>
            <xdr:grpSpPr>
              <a:xfrm>
                <a:off x="428625" y="1285876"/>
                <a:ext cx="1861754" cy="188857"/>
                <a:chOff x="426983" y="303815"/>
                <a:chExt cx="1847521" cy="188857"/>
              </a:xfrm>
            </xdr:grpSpPr>
            <xdr:cxnSp macro="">
              <xdr:nvCxnSpPr>
                <xdr:cNvPr id="245" name="Straight Connector 244">
                  <a:extLst>
                    <a:ext uri="{FF2B5EF4-FFF2-40B4-BE49-F238E27FC236}">
                      <a16:creationId xmlns:a16="http://schemas.microsoft.com/office/drawing/2014/main" id="{00000000-0008-0000-0200-0000F5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6" name="Straight Connector 245">
                  <a:extLst>
                    <a:ext uri="{FF2B5EF4-FFF2-40B4-BE49-F238E27FC236}">
                      <a16:creationId xmlns:a16="http://schemas.microsoft.com/office/drawing/2014/main" id="{00000000-0008-0000-0200-0000F6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7" name="Straight Connector 246">
                  <a:extLst>
                    <a:ext uri="{FF2B5EF4-FFF2-40B4-BE49-F238E27FC236}">
                      <a16:creationId xmlns:a16="http://schemas.microsoft.com/office/drawing/2014/main" id="{00000000-0008-0000-0200-0000F7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48" name="Straight Connector 247">
                  <a:extLst>
                    <a:ext uri="{FF2B5EF4-FFF2-40B4-BE49-F238E27FC236}">
                      <a16:creationId xmlns:a16="http://schemas.microsoft.com/office/drawing/2014/main" id="{00000000-0008-0000-0200-0000F8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35" name="Group 234">
                <a:extLst>
                  <a:ext uri="{FF2B5EF4-FFF2-40B4-BE49-F238E27FC236}">
                    <a16:creationId xmlns:a16="http://schemas.microsoft.com/office/drawing/2014/main" id="{00000000-0008-0000-0200-0000EB000000}"/>
                  </a:ext>
                </a:extLst>
              </xdr:cNvPr>
              <xdr:cNvGrpSpPr/>
            </xdr:nvGrpSpPr>
            <xdr:grpSpPr>
              <a:xfrm>
                <a:off x="428625" y="1531938"/>
                <a:ext cx="1861754" cy="188857"/>
                <a:chOff x="426983" y="303815"/>
                <a:chExt cx="1847521" cy="188857"/>
              </a:xfrm>
            </xdr:grpSpPr>
            <xdr:cxnSp macro="">
              <xdr:nvCxnSpPr>
                <xdr:cNvPr id="241" name="Straight Connector 240">
                  <a:extLst>
                    <a:ext uri="{FF2B5EF4-FFF2-40B4-BE49-F238E27FC236}">
                      <a16:creationId xmlns:a16="http://schemas.microsoft.com/office/drawing/2014/main" id="{00000000-0008-0000-0200-0000F1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2" name="Straight Connector 241">
                  <a:extLst>
                    <a:ext uri="{FF2B5EF4-FFF2-40B4-BE49-F238E27FC236}">
                      <a16:creationId xmlns:a16="http://schemas.microsoft.com/office/drawing/2014/main" id="{00000000-0008-0000-0200-0000F2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3" name="Straight Connector 242">
                  <a:extLst>
                    <a:ext uri="{FF2B5EF4-FFF2-40B4-BE49-F238E27FC236}">
                      <a16:creationId xmlns:a16="http://schemas.microsoft.com/office/drawing/2014/main" id="{00000000-0008-0000-0200-0000F3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44" name="Straight Connector 243">
                  <a:extLst>
                    <a:ext uri="{FF2B5EF4-FFF2-40B4-BE49-F238E27FC236}">
                      <a16:creationId xmlns:a16="http://schemas.microsoft.com/office/drawing/2014/main" id="{00000000-0008-0000-0200-0000F4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36" name="Group 235">
                <a:extLst>
                  <a:ext uri="{FF2B5EF4-FFF2-40B4-BE49-F238E27FC236}">
                    <a16:creationId xmlns:a16="http://schemas.microsoft.com/office/drawing/2014/main" id="{00000000-0008-0000-0200-0000EC000000}"/>
                  </a:ext>
                </a:extLst>
              </xdr:cNvPr>
              <xdr:cNvGrpSpPr/>
            </xdr:nvGrpSpPr>
            <xdr:grpSpPr>
              <a:xfrm>
                <a:off x="428625" y="1778001"/>
                <a:ext cx="1861754" cy="190499"/>
                <a:chOff x="426983" y="303815"/>
                <a:chExt cx="1847521" cy="188857"/>
              </a:xfrm>
            </xdr:grpSpPr>
            <xdr:cxnSp macro="">
              <xdr:nvCxnSpPr>
                <xdr:cNvPr id="237" name="Straight Connector 236">
                  <a:extLst>
                    <a:ext uri="{FF2B5EF4-FFF2-40B4-BE49-F238E27FC236}">
                      <a16:creationId xmlns:a16="http://schemas.microsoft.com/office/drawing/2014/main" id="{00000000-0008-0000-0200-0000ED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38" name="Straight Connector 237">
                  <a:extLst>
                    <a:ext uri="{FF2B5EF4-FFF2-40B4-BE49-F238E27FC236}">
                      <a16:creationId xmlns:a16="http://schemas.microsoft.com/office/drawing/2014/main" id="{00000000-0008-0000-0200-0000EE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39" name="Straight Connector 238">
                  <a:extLst>
                    <a:ext uri="{FF2B5EF4-FFF2-40B4-BE49-F238E27FC236}">
                      <a16:creationId xmlns:a16="http://schemas.microsoft.com/office/drawing/2014/main" id="{00000000-0008-0000-0200-0000EF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40" name="Straight Connector 239">
                  <a:extLst>
                    <a:ext uri="{FF2B5EF4-FFF2-40B4-BE49-F238E27FC236}">
                      <a16:creationId xmlns:a16="http://schemas.microsoft.com/office/drawing/2014/main" id="{00000000-0008-0000-0200-0000F0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35" name="Rectangle 34">
              <a:hlinkClick xmlns:r="http://schemas.openxmlformats.org/officeDocument/2006/relationships" r:id="rId5" tooltip="Go back to the final &quot;Fixture List&quot;"/>
              <a:extLst>
                <a:ext uri="{FF2B5EF4-FFF2-40B4-BE49-F238E27FC236}">
                  <a16:creationId xmlns:a16="http://schemas.microsoft.com/office/drawing/2014/main" id="{00000000-0008-0000-0200-000023000000}"/>
                </a:ext>
              </a:extLst>
            </xdr:cNvPr>
            <xdr:cNvSpPr/>
          </xdr:nvSpPr>
          <xdr:spPr>
            <a:xfrm>
              <a:off x="16002000" y="30480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Back to Fixture List</a:t>
              </a:r>
              <a:endParaRPr lang="en-US">
                <a:effectLst/>
              </a:endParaRPr>
            </a:p>
          </xdr:txBody>
        </xdr:sp>
        <xdr:sp macro="" textlink="">
          <xdr:nvSpPr>
            <xdr:cNvPr id="265" name="Rectangle 264">
              <a:extLst>
                <a:ext uri="{FF2B5EF4-FFF2-40B4-BE49-F238E27FC236}">
                  <a16:creationId xmlns:a16="http://schemas.microsoft.com/office/drawing/2014/main" id="{00000000-0008-0000-0200-000009010000}"/>
                </a:ext>
              </a:extLst>
            </xdr:cNvPr>
            <xdr:cNvSpPr/>
          </xdr:nvSpPr>
          <xdr:spPr>
            <a:xfrm>
              <a:off x="16002000" y="55245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algn="l"/>
              <a:endParaRPr lang="en-US" sz="1100"/>
            </a:p>
          </xdr:txBody>
        </xdr:sp>
        <xdr:sp macro="" textlink="">
          <xdr:nvSpPr>
            <xdr:cNvPr id="266" name="Rectangle 265">
              <a:hlinkClick xmlns:r="http://schemas.openxmlformats.org/officeDocument/2006/relationships" r:id="rId4" tooltip="Create &quot;new&quot; light fixtrues"/>
              <a:extLst>
                <a:ext uri="{FF2B5EF4-FFF2-40B4-BE49-F238E27FC236}">
                  <a16:creationId xmlns:a16="http://schemas.microsoft.com/office/drawing/2014/main" id="{00000000-0008-0000-0200-00000A010000}"/>
                </a:ext>
              </a:extLst>
            </xdr:cNvPr>
            <xdr:cNvSpPr/>
          </xdr:nvSpPr>
          <xdr:spPr>
            <a:xfrm>
              <a:off x="16002001" y="800100"/>
              <a:ext cx="1857374"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Create New Fixture / Lamp</a:t>
              </a:r>
              <a:endParaRPr lang="en-US">
                <a:effectLst/>
              </a:endParaRPr>
            </a:p>
            <a:p>
              <a:pPr algn="l"/>
              <a:endParaRPr lang="en-US" sz="1100"/>
            </a:p>
          </xdr:txBody>
        </xdr:sp>
        <xdr:sp macro="" textlink="">
          <xdr:nvSpPr>
            <xdr:cNvPr id="267" name="Rectangle 266">
              <a:hlinkClick xmlns:r="http://schemas.openxmlformats.org/officeDocument/2006/relationships" r:id="rId4" tooltip="Edit &quot;new&quot; light fixtrues"/>
              <a:extLst>
                <a:ext uri="{FF2B5EF4-FFF2-40B4-BE49-F238E27FC236}">
                  <a16:creationId xmlns:a16="http://schemas.microsoft.com/office/drawing/2014/main" id="{00000000-0008-0000-0200-00000B010000}"/>
                </a:ext>
              </a:extLst>
            </xdr:cNvPr>
            <xdr:cNvSpPr/>
          </xdr:nvSpPr>
          <xdr:spPr>
            <a:xfrm>
              <a:off x="16002000" y="1052512"/>
              <a:ext cx="1857375" cy="185738"/>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Edit New Fixture /</a:t>
              </a:r>
              <a:r>
                <a:rPr lang="en-US" sz="1100" b="0" baseline="0">
                  <a:solidFill>
                    <a:schemeClr val="lt1"/>
                  </a:solidFill>
                  <a:effectLst/>
                  <a:latin typeface="+mn-lt"/>
                  <a:ea typeface="+mn-ea"/>
                  <a:cs typeface="+mn-cs"/>
                </a:rPr>
                <a:t> Lamp</a:t>
              </a:r>
              <a:endParaRPr lang="en-US">
                <a:effectLst/>
              </a:endParaRPr>
            </a:p>
            <a:p>
              <a:pPr algn="l"/>
              <a:endParaRPr lang="en-US" sz="1100"/>
            </a:p>
          </xdr:txBody>
        </xdr:sp>
        <xdr:sp macro="" textlink="">
          <xdr:nvSpPr>
            <xdr:cNvPr id="268" name="Rectangle 267">
              <a:extLst>
                <a:ext uri="{FF2B5EF4-FFF2-40B4-BE49-F238E27FC236}">
                  <a16:creationId xmlns:a16="http://schemas.microsoft.com/office/drawing/2014/main" id="{00000000-0008-0000-0200-00000C010000}"/>
                </a:ext>
              </a:extLst>
            </xdr:cNvPr>
            <xdr:cNvSpPr/>
          </xdr:nvSpPr>
          <xdr:spPr>
            <a:xfrm>
              <a:off x="16002000" y="129540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69" name="Rectangle 268">
              <a:extLst>
                <a:ext uri="{FF2B5EF4-FFF2-40B4-BE49-F238E27FC236}">
                  <a16:creationId xmlns:a16="http://schemas.microsoft.com/office/drawing/2014/main" id="{00000000-0008-0000-0200-00000D010000}"/>
                </a:ext>
              </a:extLst>
            </xdr:cNvPr>
            <xdr:cNvSpPr/>
          </xdr:nvSpPr>
          <xdr:spPr>
            <a:xfrm>
              <a:off x="16002000" y="154305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0" name="Rectangle 269">
              <a:extLst>
                <a:ext uri="{FF2B5EF4-FFF2-40B4-BE49-F238E27FC236}">
                  <a16:creationId xmlns:a16="http://schemas.microsoft.com/office/drawing/2014/main" id="{00000000-0008-0000-0200-00000E010000}"/>
                </a:ext>
              </a:extLst>
            </xdr:cNvPr>
            <xdr:cNvSpPr/>
          </xdr:nvSpPr>
          <xdr:spPr>
            <a:xfrm>
              <a:off x="16002000" y="179070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sp macro="" textlink="">
        <xdr:nvSpPr>
          <xdr:cNvPr id="272" name="TextBox 271" title="Page Navigation">
            <a:hlinkClick xmlns:r="http://schemas.openxmlformats.org/officeDocument/2006/relationships" r:id="rId2"/>
            <a:extLst>
              <a:ext uri="{FF2B5EF4-FFF2-40B4-BE49-F238E27FC236}">
                <a16:creationId xmlns:a16="http://schemas.microsoft.com/office/drawing/2014/main" id="{00000000-0008-0000-0200-000010010000}"/>
              </a:ext>
            </a:extLst>
          </xdr:cNvPr>
          <xdr:cNvSpPr txBox="1"/>
        </xdr:nvSpPr>
        <xdr:spPr>
          <a:xfrm>
            <a:off x="16053955" y="60614"/>
            <a:ext cx="1861704" cy="190500"/>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Existing Fixture </a:t>
            </a:r>
            <a:r>
              <a:rPr lang="en-US" sz="1100" b="0" i="1">
                <a:solidFill>
                  <a:schemeClr val="bg1"/>
                </a:solidFill>
              </a:rPr>
              <a:t>Navigation</a:t>
            </a:r>
          </a:p>
        </xdr:txBody>
      </xdr:sp>
    </xdr:grpSp>
    <xdr:clientData fPrintsWithSheet="0"/>
  </xdr:twoCellAnchor>
  <xdr:twoCellAnchor>
    <xdr:from>
      <xdr:col>92</xdr:col>
      <xdr:colOff>293543</xdr:colOff>
      <xdr:row>0</xdr:row>
      <xdr:rowOff>0</xdr:rowOff>
    </xdr:from>
    <xdr:to>
      <xdr:col>98</xdr:col>
      <xdr:colOff>0</xdr:colOff>
      <xdr:row>17</xdr:row>
      <xdr:rowOff>0</xdr:rowOff>
    </xdr:to>
    <xdr:grpSp>
      <xdr:nvGrpSpPr>
        <xdr:cNvPr id="273" name="Group 272">
          <a:hlinkClick xmlns:r="http://schemas.openxmlformats.org/officeDocument/2006/relationships" r:id="rId2"/>
          <a:extLst>
            <a:ext uri="{FF2B5EF4-FFF2-40B4-BE49-F238E27FC236}">
              <a16:creationId xmlns:a16="http://schemas.microsoft.com/office/drawing/2014/main" id="{00000000-0008-0000-0200-000011010000}"/>
            </a:ext>
          </a:extLst>
        </xdr:cNvPr>
        <xdr:cNvGrpSpPr/>
      </xdr:nvGrpSpPr>
      <xdr:grpSpPr>
        <a:xfrm>
          <a:off x="32805543" y="0"/>
          <a:ext cx="2054759" cy="2051170"/>
          <a:chOff x="15993341" y="0"/>
          <a:chExt cx="1982932" cy="2069523"/>
        </a:xfrm>
      </xdr:grpSpPr>
      <xdr:grpSp>
        <xdr:nvGrpSpPr>
          <xdr:cNvPr id="274" name="Group 273">
            <a:extLst>
              <a:ext uri="{FF2B5EF4-FFF2-40B4-BE49-F238E27FC236}">
                <a16:creationId xmlns:a16="http://schemas.microsoft.com/office/drawing/2014/main" id="{00000000-0008-0000-0200-000012010000}"/>
              </a:ext>
            </a:extLst>
          </xdr:cNvPr>
          <xdr:cNvGrpSpPr/>
        </xdr:nvGrpSpPr>
        <xdr:grpSpPr>
          <a:xfrm>
            <a:off x="15993341" y="0"/>
            <a:ext cx="1982932" cy="2069523"/>
            <a:chOff x="15944850" y="0"/>
            <a:chExt cx="1971675" cy="2038350"/>
          </a:xfrm>
        </xdr:grpSpPr>
        <xdr:grpSp>
          <xdr:nvGrpSpPr>
            <xdr:cNvPr id="276" name="Group 275">
              <a:extLst>
                <a:ext uri="{FF2B5EF4-FFF2-40B4-BE49-F238E27FC236}">
                  <a16:creationId xmlns:a16="http://schemas.microsoft.com/office/drawing/2014/main" id="{00000000-0008-0000-0200-000014010000}"/>
                </a:ext>
              </a:extLst>
            </xdr:cNvPr>
            <xdr:cNvGrpSpPr/>
          </xdr:nvGrpSpPr>
          <xdr:grpSpPr>
            <a:xfrm>
              <a:off x="15944850" y="0"/>
              <a:ext cx="1971675" cy="2038350"/>
              <a:chOff x="373063" y="0"/>
              <a:chExt cx="1976437" cy="2024063"/>
            </a:xfrm>
          </xdr:grpSpPr>
          <xdr:sp macro="" textlink="">
            <xdr:nvSpPr>
              <xdr:cNvPr id="284" name="Rectangle 283">
                <a:extLst>
                  <a:ext uri="{FF2B5EF4-FFF2-40B4-BE49-F238E27FC236}">
                    <a16:creationId xmlns:a16="http://schemas.microsoft.com/office/drawing/2014/main" id="{00000000-0008-0000-0200-00001C01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285" name="Group 284">
                <a:extLst>
                  <a:ext uri="{FF2B5EF4-FFF2-40B4-BE49-F238E27FC236}">
                    <a16:creationId xmlns:a16="http://schemas.microsoft.com/office/drawing/2014/main" id="{00000000-0008-0000-0200-00001D010000}"/>
                  </a:ext>
                </a:extLst>
              </xdr:cNvPr>
              <xdr:cNvGrpSpPr/>
            </xdr:nvGrpSpPr>
            <xdr:grpSpPr>
              <a:xfrm>
                <a:off x="428625" y="301625"/>
                <a:ext cx="1861754" cy="188857"/>
                <a:chOff x="426983" y="303815"/>
                <a:chExt cx="1847521" cy="188857"/>
              </a:xfrm>
            </xdr:grpSpPr>
            <xdr:cxnSp macro="">
              <xdr:nvCxnSpPr>
                <xdr:cNvPr id="316" name="Straight Connector 315">
                  <a:extLst>
                    <a:ext uri="{FF2B5EF4-FFF2-40B4-BE49-F238E27FC236}">
                      <a16:creationId xmlns:a16="http://schemas.microsoft.com/office/drawing/2014/main" id="{00000000-0008-0000-0200-00003C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17" name="Straight Connector 316">
                  <a:extLst>
                    <a:ext uri="{FF2B5EF4-FFF2-40B4-BE49-F238E27FC236}">
                      <a16:creationId xmlns:a16="http://schemas.microsoft.com/office/drawing/2014/main" id="{00000000-0008-0000-0200-00003D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18" name="Straight Connector 317">
                  <a:extLst>
                    <a:ext uri="{FF2B5EF4-FFF2-40B4-BE49-F238E27FC236}">
                      <a16:creationId xmlns:a16="http://schemas.microsoft.com/office/drawing/2014/main" id="{00000000-0008-0000-0200-00003E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19" name="Straight Connector 318">
                  <a:extLst>
                    <a:ext uri="{FF2B5EF4-FFF2-40B4-BE49-F238E27FC236}">
                      <a16:creationId xmlns:a16="http://schemas.microsoft.com/office/drawing/2014/main" id="{00000000-0008-0000-0200-00003F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86" name="Group 285">
                <a:extLst>
                  <a:ext uri="{FF2B5EF4-FFF2-40B4-BE49-F238E27FC236}">
                    <a16:creationId xmlns:a16="http://schemas.microsoft.com/office/drawing/2014/main" id="{00000000-0008-0000-0200-00001E010000}"/>
                  </a:ext>
                </a:extLst>
              </xdr:cNvPr>
              <xdr:cNvGrpSpPr/>
            </xdr:nvGrpSpPr>
            <xdr:grpSpPr>
              <a:xfrm>
                <a:off x="428625" y="547689"/>
                <a:ext cx="1861754" cy="190499"/>
                <a:chOff x="426983" y="303815"/>
                <a:chExt cx="1847521" cy="188857"/>
              </a:xfrm>
            </xdr:grpSpPr>
            <xdr:cxnSp macro="">
              <xdr:nvCxnSpPr>
                <xdr:cNvPr id="312" name="Straight Connector 311">
                  <a:extLst>
                    <a:ext uri="{FF2B5EF4-FFF2-40B4-BE49-F238E27FC236}">
                      <a16:creationId xmlns:a16="http://schemas.microsoft.com/office/drawing/2014/main" id="{00000000-0008-0000-0200-000038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13" name="Straight Connector 312">
                  <a:extLst>
                    <a:ext uri="{FF2B5EF4-FFF2-40B4-BE49-F238E27FC236}">
                      <a16:creationId xmlns:a16="http://schemas.microsoft.com/office/drawing/2014/main" id="{00000000-0008-0000-0200-000039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14" name="Straight Connector 313">
                  <a:extLst>
                    <a:ext uri="{FF2B5EF4-FFF2-40B4-BE49-F238E27FC236}">
                      <a16:creationId xmlns:a16="http://schemas.microsoft.com/office/drawing/2014/main" id="{00000000-0008-0000-0200-00003A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15" name="Straight Connector 314">
                  <a:extLst>
                    <a:ext uri="{FF2B5EF4-FFF2-40B4-BE49-F238E27FC236}">
                      <a16:creationId xmlns:a16="http://schemas.microsoft.com/office/drawing/2014/main" id="{00000000-0008-0000-0200-00003B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87" name="Group 286">
                <a:extLst>
                  <a:ext uri="{FF2B5EF4-FFF2-40B4-BE49-F238E27FC236}">
                    <a16:creationId xmlns:a16="http://schemas.microsoft.com/office/drawing/2014/main" id="{00000000-0008-0000-0200-00001F010000}"/>
                  </a:ext>
                </a:extLst>
              </xdr:cNvPr>
              <xdr:cNvGrpSpPr/>
            </xdr:nvGrpSpPr>
            <xdr:grpSpPr>
              <a:xfrm>
                <a:off x="428625" y="793751"/>
                <a:ext cx="1861754" cy="190499"/>
                <a:chOff x="426983" y="303815"/>
                <a:chExt cx="1847521" cy="188857"/>
              </a:xfrm>
            </xdr:grpSpPr>
            <xdr:cxnSp macro="">
              <xdr:nvCxnSpPr>
                <xdr:cNvPr id="308" name="Straight Connector 307">
                  <a:extLst>
                    <a:ext uri="{FF2B5EF4-FFF2-40B4-BE49-F238E27FC236}">
                      <a16:creationId xmlns:a16="http://schemas.microsoft.com/office/drawing/2014/main" id="{00000000-0008-0000-0200-000034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09" name="Straight Connector 308">
                  <a:extLst>
                    <a:ext uri="{FF2B5EF4-FFF2-40B4-BE49-F238E27FC236}">
                      <a16:creationId xmlns:a16="http://schemas.microsoft.com/office/drawing/2014/main" id="{00000000-0008-0000-0200-000035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10" name="Straight Connector 309">
                  <a:extLst>
                    <a:ext uri="{FF2B5EF4-FFF2-40B4-BE49-F238E27FC236}">
                      <a16:creationId xmlns:a16="http://schemas.microsoft.com/office/drawing/2014/main" id="{00000000-0008-0000-0200-000036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11" name="Straight Connector 310">
                  <a:extLst>
                    <a:ext uri="{FF2B5EF4-FFF2-40B4-BE49-F238E27FC236}">
                      <a16:creationId xmlns:a16="http://schemas.microsoft.com/office/drawing/2014/main" id="{00000000-0008-0000-0200-000037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88" name="Group 287">
                <a:extLst>
                  <a:ext uri="{FF2B5EF4-FFF2-40B4-BE49-F238E27FC236}">
                    <a16:creationId xmlns:a16="http://schemas.microsoft.com/office/drawing/2014/main" id="{00000000-0008-0000-0200-000020010000}"/>
                  </a:ext>
                </a:extLst>
              </xdr:cNvPr>
              <xdr:cNvGrpSpPr/>
            </xdr:nvGrpSpPr>
            <xdr:grpSpPr>
              <a:xfrm>
                <a:off x="428625" y="1041728"/>
                <a:ext cx="1861754" cy="186942"/>
                <a:chOff x="426983" y="303815"/>
                <a:chExt cx="1847521" cy="188857"/>
              </a:xfrm>
            </xdr:grpSpPr>
            <xdr:cxnSp macro="">
              <xdr:nvCxnSpPr>
                <xdr:cNvPr id="304" name="Straight Connector 303">
                  <a:extLst>
                    <a:ext uri="{FF2B5EF4-FFF2-40B4-BE49-F238E27FC236}">
                      <a16:creationId xmlns:a16="http://schemas.microsoft.com/office/drawing/2014/main" id="{00000000-0008-0000-0200-000030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05" name="Straight Connector 304">
                  <a:extLst>
                    <a:ext uri="{FF2B5EF4-FFF2-40B4-BE49-F238E27FC236}">
                      <a16:creationId xmlns:a16="http://schemas.microsoft.com/office/drawing/2014/main" id="{00000000-0008-0000-0200-000031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06" name="Straight Connector 305">
                  <a:extLst>
                    <a:ext uri="{FF2B5EF4-FFF2-40B4-BE49-F238E27FC236}">
                      <a16:creationId xmlns:a16="http://schemas.microsoft.com/office/drawing/2014/main" id="{00000000-0008-0000-0200-000032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07" name="Straight Connector 306">
                  <a:extLst>
                    <a:ext uri="{FF2B5EF4-FFF2-40B4-BE49-F238E27FC236}">
                      <a16:creationId xmlns:a16="http://schemas.microsoft.com/office/drawing/2014/main" id="{00000000-0008-0000-0200-000033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89" name="Group 288">
                <a:extLst>
                  <a:ext uri="{FF2B5EF4-FFF2-40B4-BE49-F238E27FC236}">
                    <a16:creationId xmlns:a16="http://schemas.microsoft.com/office/drawing/2014/main" id="{00000000-0008-0000-0200-000021010000}"/>
                  </a:ext>
                </a:extLst>
              </xdr:cNvPr>
              <xdr:cNvGrpSpPr/>
            </xdr:nvGrpSpPr>
            <xdr:grpSpPr>
              <a:xfrm>
                <a:off x="428625" y="1285876"/>
                <a:ext cx="1861754" cy="188857"/>
                <a:chOff x="426983" y="303815"/>
                <a:chExt cx="1847521" cy="188857"/>
              </a:xfrm>
            </xdr:grpSpPr>
            <xdr:cxnSp macro="">
              <xdr:nvCxnSpPr>
                <xdr:cNvPr id="300" name="Straight Connector 299">
                  <a:extLst>
                    <a:ext uri="{FF2B5EF4-FFF2-40B4-BE49-F238E27FC236}">
                      <a16:creationId xmlns:a16="http://schemas.microsoft.com/office/drawing/2014/main" id="{00000000-0008-0000-0200-00002C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01" name="Straight Connector 300">
                  <a:extLst>
                    <a:ext uri="{FF2B5EF4-FFF2-40B4-BE49-F238E27FC236}">
                      <a16:creationId xmlns:a16="http://schemas.microsoft.com/office/drawing/2014/main" id="{00000000-0008-0000-0200-00002D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02" name="Straight Connector 301">
                  <a:extLst>
                    <a:ext uri="{FF2B5EF4-FFF2-40B4-BE49-F238E27FC236}">
                      <a16:creationId xmlns:a16="http://schemas.microsoft.com/office/drawing/2014/main" id="{00000000-0008-0000-0200-00002E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03" name="Straight Connector 302">
                  <a:extLst>
                    <a:ext uri="{FF2B5EF4-FFF2-40B4-BE49-F238E27FC236}">
                      <a16:creationId xmlns:a16="http://schemas.microsoft.com/office/drawing/2014/main" id="{00000000-0008-0000-0200-00002F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90" name="Group 289">
                <a:extLst>
                  <a:ext uri="{FF2B5EF4-FFF2-40B4-BE49-F238E27FC236}">
                    <a16:creationId xmlns:a16="http://schemas.microsoft.com/office/drawing/2014/main" id="{00000000-0008-0000-0200-000022010000}"/>
                  </a:ext>
                </a:extLst>
              </xdr:cNvPr>
              <xdr:cNvGrpSpPr/>
            </xdr:nvGrpSpPr>
            <xdr:grpSpPr>
              <a:xfrm>
                <a:off x="428625" y="1531938"/>
                <a:ext cx="1861754" cy="188857"/>
                <a:chOff x="426983" y="303815"/>
                <a:chExt cx="1847521" cy="188857"/>
              </a:xfrm>
            </xdr:grpSpPr>
            <xdr:cxnSp macro="">
              <xdr:nvCxnSpPr>
                <xdr:cNvPr id="296" name="Straight Connector 295">
                  <a:extLst>
                    <a:ext uri="{FF2B5EF4-FFF2-40B4-BE49-F238E27FC236}">
                      <a16:creationId xmlns:a16="http://schemas.microsoft.com/office/drawing/2014/main" id="{00000000-0008-0000-0200-000028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97" name="Straight Connector 296">
                  <a:extLst>
                    <a:ext uri="{FF2B5EF4-FFF2-40B4-BE49-F238E27FC236}">
                      <a16:creationId xmlns:a16="http://schemas.microsoft.com/office/drawing/2014/main" id="{00000000-0008-0000-0200-000029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98" name="Straight Connector 297">
                  <a:extLst>
                    <a:ext uri="{FF2B5EF4-FFF2-40B4-BE49-F238E27FC236}">
                      <a16:creationId xmlns:a16="http://schemas.microsoft.com/office/drawing/2014/main" id="{00000000-0008-0000-0200-00002A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99" name="Straight Connector 298">
                  <a:extLst>
                    <a:ext uri="{FF2B5EF4-FFF2-40B4-BE49-F238E27FC236}">
                      <a16:creationId xmlns:a16="http://schemas.microsoft.com/office/drawing/2014/main" id="{00000000-0008-0000-0200-00002B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91" name="Group 290">
                <a:extLst>
                  <a:ext uri="{FF2B5EF4-FFF2-40B4-BE49-F238E27FC236}">
                    <a16:creationId xmlns:a16="http://schemas.microsoft.com/office/drawing/2014/main" id="{00000000-0008-0000-0200-000023010000}"/>
                  </a:ext>
                </a:extLst>
              </xdr:cNvPr>
              <xdr:cNvGrpSpPr/>
            </xdr:nvGrpSpPr>
            <xdr:grpSpPr>
              <a:xfrm>
                <a:off x="428625" y="1778001"/>
                <a:ext cx="1861754" cy="190499"/>
                <a:chOff x="426983" y="303815"/>
                <a:chExt cx="1847521" cy="188857"/>
              </a:xfrm>
            </xdr:grpSpPr>
            <xdr:cxnSp macro="">
              <xdr:nvCxnSpPr>
                <xdr:cNvPr id="292" name="Straight Connector 291">
                  <a:extLst>
                    <a:ext uri="{FF2B5EF4-FFF2-40B4-BE49-F238E27FC236}">
                      <a16:creationId xmlns:a16="http://schemas.microsoft.com/office/drawing/2014/main" id="{00000000-0008-0000-0200-000024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93" name="Straight Connector 292">
                  <a:extLst>
                    <a:ext uri="{FF2B5EF4-FFF2-40B4-BE49-F238E27FC236}">
                      <a16:creationId xmlns:a16="http://schemas.microsoft.com/office/drawing/2014/main" id="{00000000-0008-0000-0200-000025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94" name="Straight Connector 293">
                  <a:extLst>
                    <a:ext uri="{FF2B5EF4-FFF2-40B4-BE49-F238E27FC236}">
                      <a16:creationId xmlns:a16="http://schemas.microsoft.com/office/drawing/2014/main" id="{00000000-0008-0000-0200-000026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95" name="Straight Connector 294">
                  <a:extLst>
                    <a:ext uri="{FF2B5EF4-FFF2-40B4-BE49-F238E27FC236}">
                      <a16:creationId xmlns:a16="http://schemas.microsoft.com/office/drawing/2014/main" id="{00000000-0008-0000-0200-000027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277" name="Rectangle 276">
              <a:hlinkClick xmlns:r="http://schemas.openxmlformats.org/officeDocument/2006/relationships" r:id="rId12"/>
              <a:extLst>
                <a:ext uri="{FF2B5EF4-FFF2-40B4-BE49-F238E27FC236}">
                  <a16:creationId xmlns:a16="http://schemas.microsoft.com/office/drawing/2014/main" id="{00000000-0008-0000-0200-000015010000}"/>
                </a:ext>
              </a:extLst>
            </xdr:cNvPr>
            <xdr:cNvSpPr/>
          </xdr:nvSpPr>
          <xdr:spPr>
            <a:xfrm>
              <a:off x="16002000" y="30480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#1</a:t>
              </a:r>
              <a:endParaRPr lang="en-US">
                <a:effectLst/>
              </a:endParaRPr>
            </a:p>
          </xdr:txBody>
        </xdr:sp>
        <xdr:sp macro="" textlink="">
          <xdr:nvSpPr>
            <xdr:cNvPr id="278" name="Rectangle 277">
              <a:hlinkClick xmlns:r="http://schemas.openxmlformats.org/officeDocument/2006/relationships" r:id="rId13"/>
              <a:extLst>
                <a:ext uri="{FF2B5EF4-FFF2-40B4-BE49-F238E27FC236}">
                  <a16:creationId xmlns:a16="http://schemas.microsoft.com/office/drawing/2014/main" id="{00000000-0008-0000-0200-000016010000}"/>
                </a:ext>
              </a:extLst>
            </xdr:cNvPr>
            <xdr:cNvSpPr/>
          </xdr:nvSpPr>
          <xdr:spPr>
            <a:xfrm>
              <a:off x="16002000" y="55245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#10</a:t>
              </a:r>
              <a:endParaRPr lang="en-US">
                <a:effectLst/>
              </a:endParaRPr>
            </a:p>
            <a:p>
              <a:pPr algn="l"/>
              <a:endParaRPr lang="en-US" sz="1100"/>
            </a:p>
          </xdr:txBody>
        </xdr:sp>
        <xdr:sp macro="" textlink="">
          <xdr:nvSpPr>
            <xdr:cNvPr id="279" name="Rectangle 278">
              <a:hlinkClick xmlns:r="http://schemas.openxmlformats.org/officeDocument/2006/relationships" r:id="rId14"/>
              <a:extLst>
                <a:ext uri="{FF2B5EF4-FFF2-40B4-BE49-F238E27FC236}">
                  <a16:creationId xmlns:a16="http://schemas.microsoft.com/office/drawing/2014/main" id="{00000000-0008-0000-0200-000017010000}"/>
                </a:ext>
              </a:extLst>
            </xdr:cNvPr>
            <xdr:cNvSpPr/>
          </xdr:nvSpPr>
          <xdr:spPr>
            <a:xfrm>
              <a:off x="16002001" y="800100"/>
              <a:ext cx="1857374"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#20</a:t>
              </a:r>
              <a:endParaRPr lang="en-US" sz="1100"/>
            </a:p>
          </xdr:txBody>
        </xdr:sp>
        <xdr:sp macro="" textlink="">
          <xdr:nvSpPr>
            <xdr:cNvPr id="280" name="Rectangle 279">
              <a:hlinkClick xmlns:r="http://schemas.openxmlformats.org/officeDocument/2006/relationships" r:id="rId15"/>
              <a:extLst>
                <a:ext uri="{FF2B5EF4-FFF2-40B4-BE49-F238E27FC236}">
                  <a16:creationId xmlns:a16="http://schemas.microsoft.com/office/drawing/2014/main" id="{00000000-0008-0000-0200-000018010000}"/>
                </a:ext>
              </a:extLst>
            </xdr:cNvPr>
            <xdr:cNvSpPr/>
          </xdr:nvSpPr>
          <xdr:spPr>
            <a:xfrm>
              <a:off x="16002000" y="1052512"/>
              <a:ext cx="1857375" cy="185738"/>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#30</a:t>
              </a:r>
              <a:endParaRPr lang="en-US">
                <a:effectLst/>
              </a:endParaRPr>
            </a:p>
            <a:p>
              <a:pPr algn="l"/>
              <a:endParaRPr lang="en-US" sz="1100"/>
            </a:p>
          </xdr:txBody>
        </xdr:sp>
        <xdr:sp macro="" textlink="">
          <xdr:nvSpPr>
            <xdr:cNvPr id="281" name="Rectangle 280">
              <a:extLst>
                <a:ext uri="{FF2B5EF4-FFF2-40B4-BE49-F238E27FC236}">
                  <a16:creationId xmlns:a16="http://schemas.microsoft.com/office/drawing/2014/main" id="{00000000-0008-0000-0200-000019010000}"/>
                </a:ext>
              </a:extLst>
            </xdr:cNvPr>
            <xdr:cNvSpPr/>
          </xdr:nvSpPr>
          <xdr:spPr>
            <a:xfrm>
              <a:off x="16002000" y="129540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2" name="Rectangle 281">
              <a:extLst>
                <a:ext uri="{FF2B5EF4-FFF2-40B4-BE49-F238E27FC236}">
                  <a16:creationId xmlns:a16="http://schemas.microsoft.com/office/drawing/2014/main" id="{00000000-0008-0000-0200-00001A010000}"/>
                </a:ext>
              </a:extLst>
            </xdr:cNvPr>
            <xdr:cNvSpPr/>
          </xdr:nvSpPr>
          <xdr:spPr>
            <a:xfrm>
              <a:off x="16002000" y="154305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3" name="Rectangle 282">
              <a:hlinkClick xmlns:r="http://schemas.openxmlformats.org/officeDocument/2006/relationships" r:id="rId16"/>
              <a:extLst>
                <a:ext uri="{FF2B5EF4-FFF2-40B4-BE49-F238E27FC236}">
                  <a16:creationId xmlns:a16="http://schemas.microsoft.com/office/drawing/2014/main" id="{00000000-0008-0000-0200-00001B010000}"/>
                </a:ext>
              </a:extLst>
            </xdr:cNvPr>
            <xdr:cNvSpPr/>
          </xdr:nvSpPr>
          <xdr:spPr>
            <a:xfrm>
              <a:off x="16002000" y="1790700"/>
              <a:ext cx="1857375" cy="190500"/>
            </a:xfrm>
            <a:prstGeom prst="rect">
              <a:avLst/>
            </a:prstGeom>
            <a:solidFill>
              <a:schemeClr val="bg1">
                <a:alpha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rgbClr val="FF0000"/>
                  </a:solidFill>
                  <a:effectLst/>
                  <a:latin typeface="+mn-lt"/>
                  <a:ea typeface="+mn-ea"/>
                  <a:cs typeface="+mn-cs"/>
                  <a:sym typeface="Webdings" panose="05030102010509060703" pitchFamily="18" charset="2"/>
                </a:rPr>
                <a:t></a:t>
              </a:r>
              <a:r>
                <a:rPr lang="en-US" sz="1100" b="0">
                  <a:solidFill>
                    <a:srgbClr val="FF0000"/>
                  </a:solidFill>
                  <a:effectLst/>
                  <a:latin typeface="+mn-lt"/>
                  <a:ea typeface="+mn-ea"/>
                  <a:cs typeface="+mn-cs"/>
                </a:rPr>
                <a:t>Help </a:t>
              </a:r>
              <a:endParaRPr lang="en-US" sz="1100">
                <a:solidFill>
                  <a:srgbClr val="FF0000"/>
                </a:solidFill>
              </a:endParaRPr>
            </a:p>
          </xdr:txBody>
        </xdr:sp>
      </xdr:grpSp>
      <xdr:sp macro="" textlink="">
        <xdr:nvSpPr>
          <xdr:cNvPr id="275" name="TextBox 274" title="Page Navigation">
            <a:hlinkClick xmlns:r="http://schemas.openxmlformats.org/officeDocument/2006/relationships" r:id="rId2"/>
            <a:extLst>
              <a:ext uri="{FF2B5EF4-FFF2-40B4-BE49-F238E27FC236}">
                <a16:creationId xmlns:a16="http://schemas.microsoft.com/office/drawing/2014/main" id="{00000000-0008-0000-0200-000013010000}"/>
              </a:ext>
            </a:extLst>
          </xdr:cNvPr>
          <xdr:cNvSpPr txBox="1"/>
        </xdr:nvSpPr>
        <xdr:spPr>
          <a:xfrm>
            <a:off x="16053955" y="60614"/>
            <a:ext cx="1861704" cy="190500"/>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Existing Fixture </a:t>
            </a:r>
            <a:r>
              <a:rPr lang="en-US" sz="1100" b="0" i="1">
                <a:solidFill>
                  <a:schemeClr val="bg1"/>
                </a:solidFill>
              </a:rPr>
              <a:t>Navigation</a:t>
            </a:r>
          </a:p>
        </xdr:txBody>
      </xdr:sp>
    </xdr:grpSp>
    <xdr:clientData fPrintsWithSheet="0"/>
  </xdr:twoCellAnchor>
  <xdr:twoCellAnchor>
    <xdr:from>
      <xdr:col>11</xdr:col>
      <xdr:colOff>0</xdr:colOff>
      <xdr:row>14</xdr:row>
      <xdr:rowOff>0</xdr:rowOff>
    </xdr:from>
    <xdr:to>
      <xdr:col>24</xdr:col>
      <xdr:colOff>143594</xdr:colOff>
      <xdr:row>16</xdr:row>
      <xdr:rowOff>5033</xdr:rowOff>
    </xdr:to>
    <xdr:grpSp>
      <xdr:nvGrpSpPr>
        <xdr:cNvPr id="224" name="Group 223">
          <a:extLst>
            <a:ext uri="{FF2B5EF4-FFF2-40B4-BE49-F238E27FC236}">
              <a16:creationId xmlns:a16="http://schemas.microsoft.com/office/drawing/2014/main" id="{00000000-0008-0000-0200-0000E0000000}"/>
            </a:ext>
          </a:extLst>
        </xdr:cNvPr>
        <xdr:cNvGrpSpPr/>
      </xdr:nvGrpSpPr>
      <xdr:grpSpPr>
        <a:xfrm>
          <a:off x="3776453" y="1744453"/>
          <a:ext cx="5300273" cy="254240"/>
          <a:chOff x="3467100" y="1733550"/>
          <a:chExt cx="4953000" cy="247651"/>
        </a:xfrm>
      </xdr:grpSpPr>
      <xdr:sp macro="" textlink="">
        <xdr:nvSpPr>
          <xdr:cNvPr id="225" name="Rectangle 224">
            <a:extLst>
              <a:ext uri="{FF2B5EF4-FFF2-40B4-BE49-F238E27FC236}">
                <a16:creationId xmlns:a16="http://schemas.microsoft.com/office/drawing/2014/main" id="{00000000-0008-0000-0200-0000E1000000}"/>
              </a:ext>
            </a:extLst>
          </xdr:cNvPr>
          <xdr:cNvSpPr/>
        </xdr:nvSpPr>
        <xdr:spPr>
          <a:xfrm>
            <a:off x="3467100" y="1733551"/>
            <a:ext cx="4953000" cy="247650"/>
          </a:xfrm>
          <a:prstGeom prst="rect">
            <a:avLst/>
          </a:prstGeom>
          <a:solidFill>
            <a:srgbClr val="156570">
              <a:alpha val="75000"/>
            </a:srgb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226" name="Rectangle 225">
            <a:extLst>
              <a:ext uri="{FF2B5EF4-FFF2-40B4-BE49-F238E27FC236}">
                <a16:creationId xmlns:a16="http://schemas.microsoft.com/office/drawing/2014/main" id="{00000000-0008-0000-0200-0000E2000000}"/>
              </a:ext>
            </a:extLst>
          </xdr:cNvPr>
          <xdr:cNvSpPr/>
        </xdr:nvSpPr>
        <xdr:spPr>
          <a:xfrm>
            <a:off x="3467100" y="1733550"/>
            <a:ext cx="4952999" cy="247650"/>
          </a:xfrm>
          <a:prstGeom prst="rect">
            <a:avLst/>
          </a:prstGeom>
          <a:solidFill>
            <a:schemeClr val="bg1">
              <a:alpha val="75000"/>
            </a:schemeClr>
          </a:solidFill>
          <a:ln>
            <a:solidFill>
              <a:srgbClr val="15657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effectLst/>
                <a:latin typeface="+mn-lt"/>
                <a:ea typeface="+mn-ea"/>
                <a:cs typeface="+mn-cs"/>
              </a:rPr>
              <a:t>FIXTURE LIST</a:t>
            </a:r>
            <a:endParaRPr lang="en-US" sz="1400" b="1">
              <a:solidFill>
                <a:sysClr val="windowText" lastClr="000000"/>
              </a:solidFill>
            </a:endParaRPr>
          </a:p>
        </xdr:txBody>
      </xdr:sp>
    </xdr:grpSp>
    <xdr:clientData/>
  </xdr:twoCellAnchor>
  <xdr:twoCellAnchor>
    <xdr:from>
      <xdr:col>73</xdr:col>
      <xdr:colOff>0</xdr:colOff>
      <xdr:row>13</xdr:row>
      <xdr:rowOff>0</xdr:rowOff>
    </xdr:from>
    <xdr:to>
      <xdr:col>88</xdr:col>
      <xdr:colOff>0</xdr:colOff>
      <xdr:row>15</xdr:row>
      <xdr:rowOff>5033</xdr:rowOff>
    </xdr:to>
    <xdr:grpSp>
      <xdr:nvGrpSpPr>
        <xdr:cNvPr id="227" name="Group 226">
          <a:extLst>
            <a:ext uri="{FF2B5EF4-FFF2-40B4-BE49-F238E27FC236}">
              <a16:creationId xmlns:a16="http://schemas.microsoft.com/office/drawing/2014/main" id="{00000000-0008-0000-0200-0000E3000000}"/>
            </a:ext>
          </a:extLst>
        </xdr:cNvPr>
        <xdr:cNvGrpSpPr/>
      </xdr:nvGrpSpPr>
      <xdr:grpSpPr>
        <a:xfrm>
          <a:off x="25495849" y="1552754"/>
          <a:ext cx="5444227" cy="254241"/>
          <a:chOff x="3467100" y="1733550"/>
          <a:chExt cx="4953000" cy="247651"/>
        </a:xfrm>
      </xdr:grpSpPr>
      <xdr:sp macro="" textlink="">
        <xdr:nvSpPr>
          <xdr:cNvPr id="271" name="Rectangle 270">
            <a:extLst>
              <a:ext uri="{FF2B5EF4-FFF2-40B4-BE49-F238E27FC236}">
                <a16:creationId xmlns:a16="http://schemas.microsoft.com/office/drawing/2014/main" id="{00000000-0008-0000-0200-00000F010000}"/>
              </a:ext>
            </a:extLst>
          </xdr:cNvPr>
          <xdr:cNvSpPr/>
        </xdr:nvSpPr>
        <xdr:spPr>
          <a:xfrm>
            <a:off x="3467100" y="1733551"/>
            <a:ext cx="4953000" cy="247650"/>
          </a:xfrm>
          <a:prstGeom prst="rect">
            <a:avLst/>
          </a:prstGeom>
          <a:solidFill>
            <a:srgbClr val="156570">
              <a:alpha val="75000"/>
            </a:srgb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320" name="Rectangle 319">
            <a:extLst>
              <a:ext uri="{FF2B5EF4-FFF2-40B4-BE49-F238E27FC236}">
                <a16:creationId xmlns:a16="http://schemas.microsoft.com/office/drawing/2014/main" id="{00000000-0008-0000-0200-000040010000}"/>
              </a:ext>
            </a:extLst>
          </xdr:cNvPr>
          <xdr:cNvSpPr/>
        </xdr:nvSpPr>
        <xdr:spPr>
          <a:xfrm>
            <a:off x="3467100" y="1733550"/>
            <a:ext cx="4952999" cy="247650"/>
          </a:xfrm>
          <a:prstGeom prst="rect">
            <a:avLst/>
          </a:prstGeom>
          <a:solidFill>
            <a:schemeClr val="bg1">
              <a:alpha val="75000"/>
            </a:schemeClr>
          </a:solidFill>
          <a:ln>
            <a:solidFill>
              <a:srgbClr val="15657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effectLst/>
                <a:latin typeface="+mn-lt"/>
                <a:ea typeface="+mn-ea"/>
                <a:cs typeface="+mn-cs"/>
              </a:rPr>
              <a:t>Existing</a:t>
            </a:r>
            <a:r>
              <a:rPr lang="en-US" sz="1400" b="1" baseline="0">
                <a:solidFill>
                  <a:sysClr val="windowText" lastClr="000000"/>
                </a:solidFill>
                <a:effectLst/>
                <a:latin typeface="+mn-lt"/>
                <a:ea typeface="+mn-ea"/>
                <a:cs typeface="+mn-cs"/>
              </a:rPr>
              <a:t> </a:t>
            </a:r>
            <a:r>
              <a:rPr lang="en-US" sz="1400" b="1">
                <a:solidFill>
                  <a:sysClr val="windowText" lastClr="000000"/>
                </a:solidFill>
                <a:effectLst/>
                <a:latin typeface="+mn-lt"/>
                <a:ea typeface="+mn-ea"/>
                <a:cs typeface="+mn-cs"/>
              </a:rPr>
              <a:t>FIXTURE Creation</a:t>
            </a:r>
            <a:endParaRPr lang="en-US" sz="1400" b="1">
              <a:solidFill>
                <a:sysClr val="windowText" lastClr="000000"/>
              </a:solidFill>
            </a:endParaRPr>
          </a:p>
        </xdr:txBody>
      </xdr:sp>
    </xdr:grpSp>
    <xdr:clientData/>
  </xdr:twoCellAnchor>
  <xdr:twoCellAnchor>
    <xdr:from>
      <xdr:col>114</xdr:col>
      <xdr:colOff>0</xdr:colOff>
      <xdr:row>0</xdr:row>
      <xdr:rowOff>0</xdr:rowOff>
    </xdr:from>
    <xdr:to>
      <xdr:col>120</xdr:col>
      <xdr:colOff>77932</xdr:colOff>
      <xdr:row>17</xdr:row>
      <xdr:rowOff>0</xdr:rowOff>
    </xdr:to>
    <xdr:grpSp>
      <xdr:nvGrpSpPr>
        <xdr:cNvPr id="321" name="Group 320">
          <a:extLst>
            <a:ext uri="{FF2B5EF4-FFF2-40B4-BE49-F238E27FC236}">
              <a16:creationId xmlns:a16="http://schemas.microsoft.com/office/drawing/2014/main" id="{00000000-0008-0000-0200-000041010000}"/>
            </a:ext>
          </a:extLst>
        </xdr:cNvPr>
        <xdr:cNvGrpSpPr/>
      </xdr:nvGrpSpPr>
      <xdr:grpSpPr>
        <a:xfrm>
          <a:off x="38004151" y="0"/>
          <a:ext cx="2042838" cy="2051170"/>
          <a:chOff x="15993341" y="0"/>
          <a:chExt cx="1982932" cy="2069523"/>
        </a:xfrm>
      </xdr:grpSpPr>
      <xdr:grpSp>
        <xdr:nvGrpSpPr>
          <xdr:cNvPr id="322" name="Group 321">
            <a:extLst>
              <a:ext uri="{FF2B5EF4-FFF2-40B4-BE49-F238E27FC236}">
                <a16:creationId xmlns:a16="http://schemas.microsoft.com/office/drawing/2014/main" id="{00000000-0008-0000-0200-000042010000}"/>
              </a:ext>
            </a:extLst>
          </xdr:cNvPr>
          <xdr:cNvGrpSpPr/>
        </xdr:nvGrpSpPr>
        <xdr:grpSpPr>
          <a:xfrm>
            <a:off x="15993341" y="0"/>
            <a:ext cx="1982932" cy="2069523"/>
            <a:chOff x="15944850" y="0"/>
            <a:chExt cx="1971675" cy="2038350"/>
          </a:xfrm>
        </xdr:grpSpPr>
        <xdr:grpSp>
          <xdr:nvGrpSpPr>
            <xdr:cNvPr id="324" name="Group 323">
              <a:extLst>
                <a:ext uri="{FF2B5EF4-FFF2-40B4-BE49-F238E27FC236}">
                  <a16:creationId xmlns:a16="http://schemas.microsoft.com/office/drawing/2014/main" id="{00000000-0008-0000-0200-000044010000}"/>
                </a:ext>
              </a:extLst>
            </xdr:cNvPr>
            <xdr:cNvGrpSpPr/>
          </xdr:nvGrpSpPr>
          <xdr:grpSpPr>
            <a:xfrm>
              <a:off x="15944850" y="0"/>
              <a:ext cx="1971675" cy="2038350"/>
              <a:chOff x="373063" y="0"/>
              <a:chExt cx="1976437" cy="2024063"/>
            </a:xfrm>
          </xdr:grpSpPr>
          <xdr:sp macro="" textlink="">
            <xdr:nvSpPr>
              <xdr:cNvPr id="332" name="Rectangle 331">
                <a:extLst>
                  <a:ext uri="{FF2B5EF4-FFF2-40B4-BE49-F238E27FC236}">
                    <a16:creationId xmlns:a16="http://schemas.microsoft.com/office/drawing/2014/main" id="{00000000-0008-0000-0200-00004C01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33" name="Group 332">
                <a:extLst>
                  <a:ext uri="{FF2B5EF4-FFF2-40B4-BE49-F238E27FC236}">
                    <a16:creationId xmlns:a16="http://schemas.microsoft.com/office/drawing/2014/main" id="{00000000-0008-0000-0200-00004D010000}"/>
                  </a:ext>
                </a:extLst>
              </xdr:cNvPr>
              <xdr:cNvGrpSpPr/>
            </xdr:nvGrpSpPr>
            <xdr:grpSpPr>
              <a:xfrm>
                <a:off x="428625" y="301625"/>
                <a:ext cx="1861754" cy="188857"/>
                <a:chOff x="426983" y="303815"/>
                <a:chExt cx="1847521" cy="188857"/>
              </a:xfrm>
            </xdr:grpSpPr>
            <xdr:cxnSp macro="">
              <xdr:nvCxnSpPr>
                <xdr:cNvPr id="364" name="Straight Connector 363">
                  <a:extLst>
                    <a:ext uri="{FF2B5EF4-FFF2-40B4-BE49-F238E27FC236}">
                      <a16:creationId xmlns:a16="http://schemas.microsoft.com/office/drawing/2014/main" id="{00000000-0008-0000-0200-00006C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65" name="Straight Connector 364">
                  <a:extLst>
                    <a:ext uri="{FF2B5EF4-FFF2-40B4-BE49-F238E27FC236}">
                      <a16:creationId xmlns:a16="http://schemas.microsoft.com/office/drawing/2014/main" id="{00000000-0008-0000-0200-00006D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66" name="Straight Connector 365">
                  <a:extLst>
                    <a:ext uri="{FF2B5EF4-FFF2-40B4-BE49-F238E27FC236}">
                      <a16:creationId xmlns:a16="http://schemas.microsoft.com/office/drawing/2014/main" id="{00000000-0008-0000-0200-00006E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67" name="Straight Connector 366">
                  <a:extLst>
                    <a:ext uri="{FF2B5EF4-FFF2-40B4-BE49-F238E27FC236}">
                      <a16:creationId xmlns:a16="http://schemas.microsoft.com/office/drawing/2014/main" id="{00000000-0008-0000-0200-00006F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34" name="Group 333">
                <a:extLst>
                  <a:ext uri="{FF2B5EF4-FFF2-40B4-BE49-F238E27FC236}">
                    <a16:creationId xmlns:a16="http://schemas.microsoft.com/office/drawing/2014/main" id="{00000000-0008-0000-0200-00004E010000}"/>
                  </a:ext>
                </a:extLst>
              </xdr:cNvPr>
              <xdr:cNvGrpSpPr/>
            </xdr:nvGrpSpPr>
            <xdr:grpSpPr>
              <a:xfrm>
                <a:off x="428625" y="547689"/>
                <a:ext cx="1861754" cy="190499"/>
                <a:chOff x="426983" y="303815"/>
                <a:chExt cx="1847521" cy="188857"/>
              </a:xfrm>
            </xdr:grpSpPr>
            <xdr:cxnSp macro="">
              <xdr:nvCxnSpPr>
                <xdr:cNvPr id="360" name="Straight Connector 359">
                  <a:extLst>
                    <a:ext uri="{FF2B5EF4-FFF2-40B4-BE49-F238E27FC236}">
                      <a16:creationId xmlns:a16="http://schemas.microsoft.com/office/drawing/2014/main" id="{00000000-0008-0000-0200-000068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61" name="Straight Connector 360">
                  <a:extLst>
                    <a:ext uri="{FF2B5EF4-FFF2-40B4-BE49-F238E27FC236}">
                      <a16:creationId xmlns:a16="http://schemas.microsoft.com/office/drawing/2014/main" id="{00000000-0008-0000-0200-000069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62" name="Straight Connector 361">
                  <a:extLst>
                    <a:ext uri="{FF2B5EF4-FFF2-40B4-BE49-F238E27FC236}">
                      <a16:creationId xmlns:a16="http://schemas.microsoft.com/office/drawing/2014/main" id="{00000000-0008-0000-0200-00006A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63" name="Straight Connector 362">
                  <a:extLst>
                    <a:ext uri="{FF2B5EF4-FFF2-40B4-BE49-F238E27FC236}">
                      <a16:creationId xmlns:a16="http://schemas.microsoft.com/office/drawing/2014/main" id="{00000000-0008-0000-0200-00006B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35" name="Group 334">
                <a:extLst>
                  <a:ext uri="{FF2B5EF4-FFF2-40B4-BE49-F238E27FC236}">
                    <a16:creationId xmlns:a16="http://schemas.microsoft.com/office/drawing/2014/main" id="{00000000-0008-0000-0200-00004F010000}"/>
                  </a:ext>
                </a:extLst>
              </xdr:cNvPr>
              <xdr:cNvGrpSpPr/>
            </xdr:nvGrpSpPr>
            <xdr:grpSpPr>
              <a:xfrm>
                <a:off x="428625" y="793751"/>
                <a:ext cx="1861754" cy="190499"/>
                <a:chOff x="426983" y="303815"/>
                <a:chExt cx="1847521" cy="188857"/>
              </a:xfrm>
            </xdr:grpSpPr>
            <xdr:cxnSp macro="">
              <xdr:nvCxnSpPr>
                <xdr:cNvPr id="356" name="Straight Connector 355">
                  <a:extLst>
                    <a:ext uri="{FF2B5EF4-FFF2-40B4-BE49-F238E27FC236}">
                      <a16:creationId xmlns:a16="http://schemas.microsoft.com/office/drawing/2014/main" id="{00000000-0008-0000-0200-000064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57" name="Straight Connector 356">
                  <a:extLst>
                    <a:ext uri="{FF2B5EF4-FFF2-40B4-BE49-F238E27FC236}">
                      <a16:creationId xmlns:a16="http://schemas.microsoft.com/office/drawing/2014/main" id="{00000000-0008-0000-0200-000065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58" name="Straight Connector 357">
                  <a:extLst>
                    <a:ext uri="{FF2B5EF4-FFF2-40B4-BE49-F238E27FC236}">
                      <a16:creationId xmlns:a16="http://schemas.microsoft.com/office/drawing/2014/main" id="{00000000-0008-0000-0200-000066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59" name="Straight Connector 358">
                  <a:extLst>
                    <a:ext uri="{FF2B5EF4-FFF2-40B4-BE49-F238E27FC236}">
                      <a16:creationId xmlns:a16="http://schemas.microsoft.com/office/drawing/2014/main" id="{00000000-0008-0000-0200-000067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36" name="Group 335">
                <a:extLst>
                  <a:ext uri="{FF2B5EF4-FFF2-40B4-BE49-F238E27FC236}">
                    <a16:creationId xmlns:a16="http://schemas.microsoft.com/office/drawing/2014/main" id="{00000000-0008-0000-0200-000050010000}"/>
                  </a:ext>
                </a:extLst>
              </xdr:cNvPr>
              <xdr:cNvGrpSpPr/>
            </xdr:nvGrpSpPr>
            <xdr:grpSpPr>
              <a:xfrm>
                <a:off x="428625" y="1041728"/>
                <a:ext cx="1861754" cy="186942"/>
                <a:chOff x="426983" y="303815"/>
                <a:chExt cx="1847521" cy="188857"/>
              </a:xfrm>
            </xdr:grpSpPr>
            <xdr:cxnSp macro="">
              <xdr:nvCxnSpPr>
                <xdr:cNvPr id="352" name="Straight Connector 351">
                  <a:extLst>
                    <a:ext uri="{FF2B5EF4-FFF2-40B4-BE49-F238E27FC236}">
                      <a16:creationId xmlns:a16="http://schemas.microsoft.com/office/drawing/2014/main" id="{00000000-0008-0000-0200-000060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53" name="Straight Connector 352">
                  <a:extLst>
                    <a:ext uri="{FF2B5EF4-FFF2-40B4-BE49-F238E27FC236}">
                      <a16:creationId xmlns:a16="http://schemas.microsoft.com/office/drawing/2014/main" id="{00000000-0008-0000-0200-000061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54" name="Straight Connector 353">
                  <a:extLst>
                    <a:ext uri="{FF2B5EF4-FFF2-40B4-BE49-F238E27FC236}">
                      <a16:creationId xmlns:a16="http://schemas.microsoft.com/office/drawing/2014/main" id="{00000000-0008-0000-0200-000062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55" name="Straight Connector 354">
                  <a:extLst>
                    <a:ext uri="{FF2B5EF4-FFF2-40B4-BE49-F238E27FC236}">
                      <a16:creationId xmlns:a16="http://schemas.microsoft.com/office/drawing/2014/main" id="{00000000-0008-0000-0200-000063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37" name="Group 336">
                <a:extLst>
                  <a:ext uri="{FF2B5EF4-FFF2-40B4-BE49-F238E27FC236}">
                    <a16:creationId xmlns:a16="http://schemas.microsoft.com/office/drawing/2014/main" id="{00000000-0008-0000-0200-000051010000}"/>
                  </a:ext>
                </a:extLst>
              </xdr:cNvPr>
              <xdr:cNvGrpSpPr/>
            </xdr:nvGrpSpPr>
            <xdr:grpSpPr>
              <a:xfrm>
                <a:off x="428625" y="1285876"/>
                <a:ext cx="1861754" cy="188857"/>
                <a:chOff x="426983" y="303815"/>
                <a:chExt cx="1847521" cy="188857"/>
              </a:xfrm>
            </xdr:grpSpPr>
            <xdr:cxnSp macro="">
              <xdr:nvCxnSpPr>
                <xdr:cNvPr id="348" name="Straight Connector 347">
                  <a:extLst>
                    <a:ext uri="{FF2B5EF4-FFF2-40B4-BE49-F238E27FC236}">
                      <a16:creationId xmlns:a16="http://schemas.microsoft.com/office/drawing/2014/main" id="{00000000-0008-0000-0200-00005C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49" name="Straight Connector 348">
                  <a:extLst>
                    <a:ext uri="{FF2B5EF4-FFF2-40B4-BE49-F238E27FC236}">
                      <a16:creationId xmlns:a16="http://schemas.microsoft.com/office/drawing/2014/main" id="{00000000-0008-0000-0200-00005D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50" name="Straight Connector 349">
                  <a:extLst>
                    <a:ext uri="{FF2B5EF4-FFF2-40B4-BE49-F238E27FC236}">
                      <a16:creationId xmlns:a16="http://schemas.microsoft.com/office/drawing/2014/main" id="{00000000-0008-0000-0200-00005E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51" name="Straight Connector 350">
                  <a:extLst>
                    <a:ext uri="{FF2B5EF4-FFF2-40B4-BE49-F238E27FC236}">
                      <a16:creationId xmlns:a16="http://schemas.microsoft.com/office/drawing/2014/main" id="{00000000-0008-0000-0200-00005F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38" name="Group 337">
                <a:extLst>
                  <a:ext uri="{FF2B5EF4-FFF2-40B4-BE49-F238E27FC236}">
                    <a16:creationId xmlns:a16="http://schemas.microsoft.com/office/drawing/2014/main" id="{00000000-0008-0000-0200-000052010000}"/>
                  </a:ext>
                </a:extLst>
              </xdr:cNvPr>
              <xdr:cNvGrpSpPr/>
            </xdr:nvGrpSpPr>
            <xdr:grpSpPr>
              <a:xfrm>
                <a:off x="428625" y="1531938"/>
                <a:ext cx="1861754" cy="188857"/>
                <a:chOff x="426983" y="303815"/>
                <a:chExt cx="1847521" cy="188857"/>
              </a:xfrm>
            </xdr:grpSpPr>
            <xdr:cxnSp macro="">
              <xdr:nvCxnSpPr>
                <xdr:cNvPr id="344" name="Straight Connector 343">
                  <a:extLst>
                    <a:ext uri="{FF2B5EF4-FFF2-40B4-BE49-F238E27FC236}">
                      <a16:creationId xmlns:a16="http://schemas.microsoft.com/office/drawing/2014/main" id="{00000000-0008-0000-0200-000058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45" name="Straight Connector 344">
                  <a:extLst>
                    <a:ext uri="{FF2B5EF4-FFF2-40B4-BE49-F238E27FC236}">
                      <a16:creationId xmlns:a16="http://schemas.microsoft.com/office/drawing/2014/main" id="{00000000-0008-0000-0200-000059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46" name="Straight Connector 345">
                  <a:extLst>
                    <a:ext uri="{FF2B5EF4-FFF2-40B4-BE49-F238E27FC236}">
                      <a16:creationId xmlns:a16="http://schemas.microsoft.com/office/drawing/2014/main" id="{00000000-0008-0000-0200-00005A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47" name="Straight Connector 346">
                  <a:extLst>
                    <a:ext uri="{FF2B5EF4-FFF2-40B4-BE49-F238E27FC236}">
                      <a16:creationId xmlns:a16="http://schemas.microsoft.com/office/drawing/2014/main" id="{00000000-0008-0000-0200-00005B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39" name="Group 338">
                <a:extLst>
                  <a:ext uri="{FF2B5EF4-FFF2-40B4-BE49-F238E27FC236}">
                    <a16:creationId xmlns:a16="http://schemas.microsoft.com/office/drawing/2014/main" id="{00000000-0008-0000-0200-000053010000}"/>
                  </a:ext>
                </a:extLst>
              </xdr:cNvPr>
              <xdr:cNvGrpSpPr/>
            </xdr:nvGrpSpPr>
            <xdr:grpSpPr>
              <a:xfrm>
                <a:off x="428625" y="1778001"/>
                <a:ext cx="1861754" cy="190499"/>
                <a:chOff x="426983" y="303815"/>
                <a:chExt cx="1847521" cy="188857"/>
              </a:xfrm>
            </xdr:grpSpPr>
            <xdr:cxnSp macro="">
              <xdr:nvCxnSpPr>
                <xdr:cNvPr id="340" name="Straight Connector 339">
                  <a:extLst>
                    <a:ext uri="{FF2B5EF4-FFF2-40B4-BE49-F238E27FC236}">
                      <a16:creationId xmlns:a16="http://schemas.microsoft.com/office/drawing/2014/main" id="{00000000-0008-0000-0200-000054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41" name="Straight Connector 340">
                  <a:extLst>
                    <a:ext uri="{FF2B5EF4-FFF2-40B4-BE49-F238E27FC236}">
                      <a16:creationId xmlns:a16="http://schemas.microsoft.com/office/drawing/2014/main" id="{00000000-0008-0000-0200-000055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42" name="Straight Connector 341">
                  <a:extLst>
                    <a:ext uri="{FF2B5EF4-FFF2-40B4-BE49-F238E27FC236}">
                      <a16:creationId xmlns:a16="http://schemas.microsoft.com/office/drawing/2014/main" id="{00000000-0008-0000-0200-000056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43" name="Straight Connector 342">
                  <a:extLst>
                    <a:ext uri="{FF2B5EF4-FFF2-40B4-BE49-F238E27FC236}">
                      <a16:creationId xmlns:a16="http://schemas.microsoft.com/office/drawing/2014/main" id="{00000000-0008-0000-0200-000057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325" name="Rectangle 324">
              <a:hlinkClick xmlns:r="http://schemas.openxmlformats.org/officeDocument/2006/relationships" r:id="rId5" tooltip="Go back to the final &quot;Fixture List&quot;"/>
              <a:extLst>
                <a:ext uri="{FF2B5EF4-FFF2-40B4-BE49-F238E27FC236}">
                  <a16:creationId xmlns:a16="http://schemas.microsoft.com/office/drawing/2014/main" id="{00000000-0008-0000-0200-000045010000}"/>
                </a:ext>
              </a:extLst>
            </xdr:cNvPr>
            <xdr:cNvSpPr/>
          </xdr:nvSpPr>
          <xdr:spPr>
            <a:xfrm>
              <a:off x="16002000" y="30480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Back to Fixture List</a:t>
              </a:r>
              <a:endParaRPr lang="en-US">
                <a:effectLst/>
              </a:endParaRPr>
            </a:p>
          </xdr:txBody>
        </xdr:sp>
        <xdr:sp macro="" textlink="">
          <xdr:nvSpPr>
            <xdr:cNvPr id="326" name="Rectangle 325">
              <a:extLst>
                <a:ext uri="{FF2B5EF4-FFF2-40B4-BE49-F238E27FC236}">
                  <a16:creationId xmlns:a16="http://schemas.microsoft.com/office/drawing/2014/main" id="{00000000-0008-0000-0200-000046010000}"/>
                </a:ext>
              </a:extLst>
            </xdr:cNvPr>
            <xdr:cNvSpPr/>
          </xdr:nvSpPr>
          <xdr:spPr>
            <a:xfrm>
              <a:off x="16002000" y="55245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algn="l"/>
              <a:endParaRPr lang="en-US" sz="1100"/>
            </a:p>
          </xdr:txBody>
        </xdr:sp>
        <xdr:sp macro="" textlink="">
          <xdr:nvSpPr>
            <xdr:cNvPr id="327" name="Rectangle 326">
              <a:hlinkClick xmlns:r="http://schemas.openxmlformats.org/officeDocument/2006/relationships" r:id="rId2" tooltip="Create &quot;existing&quot; light fixtrues"/>
              <a:extLst>
                <a:ext uri="{FF2B5EF4-FFF2-40B4-BE49-F238E27FC236}">
                  <a16:creationId xmlns:a16="http://schemas.microsoft.com/office/drawing/2014/main" id="{00000000-0008-0000-0200-000047010000}"/>
                </a:ext>
              </a:extLst>
            </xdr:cNvPr>
            <xdr:cNvSpPr/>
          </xdr:nvSpPr>
          <xdr:spPr>
            <a:xfrm>
              <a:off x="16002001" y="800100"/>
              <a:ext cx="1857374"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Create Existing</a:t>
              </a:r>
              <a:r>
                <a:rPr lang="en-US" sz="1100" b="0" baseline="0">
                  <a:solidFill>
                    <a:schemeClr val="lt1"/>
                  </a:solidFill>
                  <a:effectLst/>
                  <a:latin typeface="+mn-lt"/>
                  <a:ea typeface="+mn-ea"/>
                  <a:cs typeface="+mn-cs"/>
                </a:rPr>
                <a:t> </a:t>
              </a:r>
              <a:r>
                <a:rPr lang="en-US" sz="1100" b="0">
                  <a:solidFill>
                    <a:schemeClr val="lt1"/>
                  </a:solidFill>
                  <a:effectLst/>
                  <a:latin typeface="+mn-lt"/>
                  <a:ea typeface="+mn-ea"/>
                  <a:cs typeface="+mn-cs"/>
                </a:rPr>
                <a:t>Fixture</a:t>
              </a:r>
              <a:endParaRPr lang="en-US">
                <a:effectLst/>
              </a:endParaRPr>
            </a:p>
            <a:p>
              <a:pPr algn="l"/>
              <a:endParaRPr lang="en-US" sz="1100"/>
            </a:p>
          </xdr:txBody>
        </xdr:sp>
        <xdr:sp macro="" textlink="">
          <xdr:nvSpPr>
            <xdr:cNvPr id="328" name="Rectangle 327">
              <a:hlinkClick xmlns:r="http://schemas.openxmlformats.org/officeDocument/2006/relationships" r:id="rId2" tooltip="Edit &quot;existing&quot; light fixtrues"/>
              <a:extLst>
                <a:ext uri="{FF2B5EF4-FFF2-40B4-BE49-F238E27FC236}">
                  <a16:creationId xmlns:a16="http://schemas.microsoft.com/office/drawing/2014/main" id="{00000000-0008-0000-0200-000048010000}"/>
                </a:ext>
              </a:extLst>
            </xdr:cNvPr>
            <xdr:cNvSpPr/>
          </xdr:nvSpPr>
          <xdr:spPr>
            <a:xfrm>
              <a:off x="16002000" y="1052512"/>
              <a:ext cx="1857375" cy="185738"/>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Edit Existing Fixture</a:t>
              </a:r>
              <a:endParaRPr lang="en-US">
                <a:effectLst/>
              </a:endParaRPr>
            </a:p>
            <a:p>
              <a:pPr algn="l"/>
              <a:endParaRPr lang="en-US" sz="1100"/>
            </a:p>
          </xdr:txBody>
        </xdr:sp>
        <xdr:sp macro="" textlink="">
          <xdr:nvSpPr>
            <xdr:cNvPr id="329" name="Rectangle 328">
              <a:extLst>
                <a:ext uri="{FF2B5EF4-FFF2-40B4-BE49-F238E27FC236}">
                  <a16:creationId xmlns:a16="http://schemas.microsoft.com/office/drawing/2014/main" id="{00000000-0008-0000-0200-000049010000}"/>
                </a:ext>
              </a:extLst>
            </xdr:cNvPr>
            <xdr:cNvSpPr/>
          </xdr:nvSpPr>
          <xdr:spPr>
            <a:xfrm>
              <a:off x="16002000" y="129540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30" name="Rectangle 329">
              <a:extLst>
                <a:ext uri="{FF2B5EF4-FFF2-40B4-BE49-F238E27FC236}">
                  <a16:creationId xmlns:a16="http://schemas.microsoft.com/office/drawing/2014/main" id="{00000000-0008-0000-0200-00004A010000}"/>
                </a:ext>
              </a:extLst>
            </xdr:cNvPr>
            <xdr:cNvSpPr/>
          </xdr:nvSpPr>
          <xdr:spPr>
            <a:xfrm>
              <a:off x="16002000" y="154305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31" name="Rectangle 330">
              <a:extLst>
                <a:ext uri="{FF2B5EF4-FFF2-40B4-BE49-F238E27FC236}">
                  <a16:creationId xmlns:a16="http://schemas.microsoft.com/office/drawing/2014/main" id="{00000000-0008-0000-0200-00004B010000}"/>
                </a:ext>
              </a:extLst>
            </xdr:cNvPr>
            <xdr:cNvSpPr/>
          </xdr:nvSpPr>
          <xdr:spPr>
            <a:xfrm>
              <a:off x="16002000" y="179070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sp macro="" textlink="">
        <xdr:nvSpPr>
          <xdr:cNvPr id="323" name="TextBox 322" title="Page Navigation">
            <a:hlinkClick xmlns:r="http://schemas.openxmlformats.org/officeDocument/2006/relationships" r:id="rId2"/>
            <a:extLst>
              <a:ext uri="{FF2B5EF4-FFF2-40B4-BE49-F238E27FC236}">
                <a16:creationId xmlns:a16="http://schemas.microsoft.com/office/drawing/2014/main" id="{00000000-0008-0000-0200-000043010000}"/>
              </a:ext>
            </a:extLst>
          </xdr:cNvPr>
          <xdr:cNvSpPr txBox="1"/>
        </xdr:nvSpPr>
        <xdr:spPr>
          <a:xfrm>
            <a:off x="16053955" y="60614"/>
            <a:ext cx="1861704" cy="190500"/>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New Fixture </a:t>
            </a:r>
            <a:r>
              <a:rPr lang="en-US" sz="1100" b="0" i="1">
                <a:solidFill>
                  <a:schemeClr val="bg1"/>
                </a:solidFill>
              </a:rPr>
              <a:t>Navigation</a:t>
            </a:r>
          </a:p>
        </xdr:txBody>
      </xdr:sp>
    </xdr:grpSp>
    <xdr:clientData fPrintsWithSheet="0"/>
  </xdr:twoCellAnchor>
  <xdr:twoCellAnchor>
    <xdr:from>
      <xdr:col>125</xdr:col>
      <xdr:colOff>0</xdr:colOff>
      <xdr:row>13</xdr:row>
      <xdr:rowOff>0</xdr:rowOff>
    </xdr:from>
    <xdr:to>
      <xdr:col>140</xdr:col>
      <xdr:colOff>0</xdr:colOff>
      <xdr:row>15</xdr:row>
      <xdr:rowOff>5033</xdr:rowOff>
    </xdr:to>
    <xdr:grpSp>
      <xdr:nvGrpSpPr>
        <xdr:cNvPr id="415" name="Group 414">
          <a:extLst>
            <a:ext uri="{FF2B5EF4-FFF2-40B4-BE49-F238E27FC236}">
              <a16:creationId xmlns:a16="http://schemas.microsoft.com/office/drawing/2014/main" id="{00000000-0008-0000-0200-00009F010000}"/>
            </a:ext>
          </a:extLst>
        </xdr:cNvPr>
        <xdr:cNvGrpSpPr/>
      </xdr:nvGrpSpPr>
      <xdr:grpSpPr>
        <a:xfrm>
          <a:off x="41895622" y="1552754"/>
          <a:ext cx="5175850" cy="254241"/>
          <a:chOff x="3467100" y="1733550"/>
          <a:chExt cx="4953000" cy="247651"/>
        </a:xfrm>
      </xdr:grpSpPr>
      <xdr:sp macro="" textlink="">
        <xdr:nvSpPr>
          <xdr:cNvPr id="416" name="Rectangle 415">
            <a:extLst>
              <a:ext uri="{FF2B5EF4-FFF2-40B4-BE49-F238E27FC236}">
                <a16:creationId xmlns:a16="http://schemas.microsoft.com/office/drawing/2014/main" id="{00000000-0008-0000-0200-0000A0010000}"/>
              </a:ext>
            </a:extLst>
          </xdr:cNvPr>
          <xdr:cNvSpPr/>
        </xdr:nvSpPr>
        <xdr:spPr>
          <a:xfrm>
            <a:off x="3467100" y="1733551"/>
            <a:ext cx="4953000" cy="247650"/>
          </a:xfrm>
          <a:prstGeom prst="rect">
            <a:avLst/>
          </a:prstGeom>
          <a:solidFill>
            <a:srgbClr val="156570">
              <a:alpha val="75000"/>
            </a:srgb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417" name="Rectangle 416">
            <a:extLst>
              <a:ext uri="{FF2B5EF4-FFF2-40B4-BE49-F238E27FC236}">
                <a16:creationId xmlns:a16="http://schemas.microsoft.com/office/drawing/2014/main" id="{00000000-0008-0000-0200-0000A1010000}"/>
              </a:ext>
            </a:extLst>
          </xdr:cNvPr>
          <xdr:cNvSpPr/>
        </xdr:nvSpPr>
        <xdr:spPr>
          <a:xfrm>
            <a:off x="3467100" y="1733550"/>
            <a:ext cx="4952999" cy="247650"/>
          </a:xfrm>
          <a:prstGeom prst="rect">
            <a:avLst/>
          </a:prstGeom>
          <a:solidFill>
            <a:schemeClr val="bg1">
              <a:alpha val="75000"/>
            </a:schemeClr>
          </a:solidFill>
          <a:ln>
            <a:solidFill>
              <a:srgbClr val="15657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effectLst/>
                <a:latin typeface="+mn-lt"/>
                <a:ea typeface="+mn-ea"/>
                <a:cs typeface="+mn-cs"/>
              </a:rPr>
              <a:t>New</a:t>
            </a:r>
            <a:r>
              <a:rPr lang="en-US" sz="1400" b="1" baseline="0">
                <a:solidFill>
                  <a:sysClr val="windowText" lastClr="000000"/>
                </a:solidFill>
                <a:effectLst/>
                <a:latin typeface="+mn-lt"/>
                <a:ea typeface="+mn-ea"/>
                <a:cs typeface="+mn-cs"/>
              </a:rPr>
              <a:t> </a:t>
            </a:r>
            <a:r>
              <a:rPr lang="en-US" sz="1400" b="1">
                <a:solidFill>
                  <a:sysClr val="windowText" lastClr="000000"/>
                </a:solidFill>
                <a:effectLst/>
                <a:latin typeface="+mn-lt"/>
                <a:ea typeface="+mn-ea"/>
                <a:cs typeface="+mn-cs"/>
              </a:rPr>
              <a:t>FIXTURE / LAMP Creation</a:t>
            </a:r>
            <a:endParaRPr lang="en-US" sz="1400" b="1">
              <a:solidFill>
                <a:sysClr val="windowText" lastClr="000000"/>
              </a:solidFill>
            </a:endParaRPr>
          </a:p>
        </xdr:txBody>
      </xdr:sp>
    </xdr:grpSp>
    <xdr:clientData/>
  </xdr:twoCellAnchor>
  <xdr:twoCellAnchor>
    <xdr:from>
      <xdr:col>149</xdr:col>
      <xdr:colOff>26843</xdr:colOff>
      <xdr:row>0</xdr:row>
      <xdr:rowOff>0</xdr:rowOff>
    </xdr:from>
    <xdr:to>
      <xdr:col>155</xdr:col>
      <xdr:colOff>0</xdr:colOff>
      <xdr:row>17</xdr:row>
      <xdr:rowOff>0</xdr:rowOff>
    </xdr:to>
    <xdr:grpSp>
      <xdr:nvGrpSpPr>
        <xdr:cNvPr id="418" name="Group 417">
          <a:hlinkClick xmlns:r="http://schemas.openxmlformats.org/officeDocument/2006/relationships" r:id="rId4"/>
          <a:extLst>
            <a:ext uri="{FF2B5EF4-FFF2-40B4-BE49-F238E27FC236}">
              <a16:creationId xmlns:a16="http://schemas.microsoft.com/office/drawing/2014/main" id="{00000000-0008-0000-0200-0000A2010000}"/>
            </a:ext>
          </a:extLst>
        </xdr:cNvPr>
        <xdr:cNvGrpSpPr/>
      </xdr:nvGrpSpPr>
      <xdr:grpSpPr>
        <a:xfrm>
          <a:off x="50098390" y="0"/>
          <a:ext cx="2053082" cy="2051170"/>
          <a:chOff x="15993341" y="0"/>
          <a:chExt cx="1982932" cy="2069523"/>
        </a:xfrm>
      </xdr:grpSpPr>
      <xdr:grpSp>
        <xdr:nvGrpSpPr>
          <xdr:cNvPr id="419" name="Group 418">
            <a:extLst>
              <a:ext uri="{FF2B5EF4-FFF2-40B4-BE49-F238E27FC236}">
                <a16:creationId xmlns:a16="http://schemas.microsoft.com/office/drawing/2014/main" id="{00000000-0008-0000-0200-0000A3010000}"/>
              </a:ext>
            </a:extLst>
          </xdr:cNvPr>
          <xdr:cNvGrpSpPr/>
        </xdr:nvGrpSpPr>
        <xdr:grpSpPr>
          <a:xfrm>
            <a:off x="15993341" y="0"/>
            <a:ext cx="1982932" cy="2069523"/>
            <a:chOff x="15944850" y="0"/>
            <a:chExt cx="1971675" cy="2038350"/>
          </a:xfrm>
        </xdr:grpSpPr>
        <xdr:grpSp>
          <xdr:nvGrpSpPr>
            <xdr:cNvPr id="421" name="Group 420">
              <a:extLst>
                <a:ext uri="{FF2B5EF4-FFF2-40B4-BE49-F238E27FC236}">
                  <a16:creationId xmlns:a16="http://schemas.microsoft.com/office/drawing/2014/main" id="{00000000-0008-0000-0200-0000A5010000}"/>
                </a:ext>
              </a:extLst>
            </xdr:cNvPr>
            <xdr:cNvGrpSpPr/>
          </xdr:nvGrpSpPr>
          <xdr:grpSpPr>
            <a:xfrm>
              <a:off x="15944850" y="0"/>
              <a:ext cx="1971675" cy="2038350"/>
              <a:chOff x="373063" y="0"/>
              <a:chExt cx="1976437" cy="2024063"/>
            </a:xfrm>
          </xdr:grpSpPr>
          <xdr:sp macro="" textlink="">
            <xdr:nvSpPr>
              <xdr:cNvPr id="429" name="Rectangle 428">
                <a:extLst>
                  <a:ext uri="{FF2B5EF4-FFF2-40B4-BE49-F238E27FC236}">
                    <a16:creationId xmlns:a16="http://schemas.microsoft.com/office/drawing/2014/main" id="{00000000-0008-0000-0200-0000AD01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30" name="Group 429">
                <a:extLst>
                  <a:ext uri="{FF2B5EF4-FFF2-40B4-BE49-F238E27FC236}">
                    <a16:creationId xmlns:a16="http://schemas.microsoft.com/office/drawing/2014/main" id="{00000000-0008-0000-0200-0000AE010000}"/>
                  </a:ext>
                </a:extLst>
              </xdr:cNvPr>
              <xdr:cNvGrpSpPr/>
            </xdr:nvGrpSpPr>
            <xdr:grpSpPr>
              <a:xfrm>
                <a:off x="428625" y="301625"/>
                <a:ext cx="1861754" cy="188857"/>
                <a:chOff x="426983" y="303815"/>
                <a:chExt cx="1847521" cy="188857"/>
              </a:xfrm>
            </xdr:grpSpPr>
            <xdr:cxnSp macro="">
              <xdr:nvCxnSpPr>
                <xdr:cNvPr id="461" name="Straight Connector 460">
                  <a:extLst>
                    <a:ext uri="{FF2B5EF4-FFF2-40B4-BE49-F238E27FC236}">
                      <a16:creationId xmlns:a16="http://schemas.microsoft.com/office/drawing/2014/main" id="{00000000-0008-0000-0200-0000CD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62" name="Straight Connector 461">
                  <a:extLst>
                    <a:ext uri="{FF2B5EF4-FFF2-40B4-BE49-F238E27FC236}">
                      <a16:creationId xmlns:a16="http://schemas.microsoft.com/office/drawing/2014/main" id="{00000000-0008-0000-0200-0000CE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63" name="Straight Connector 462">
                  <a:extLst>
                    <a:ext uri="{FF2B5EF4-FFF2-40B4-BE49-F238E27FC236}">
                      <a16:creationId xmlns:a16="http://schemas.microsoft.com/office/drawing/2014/main" id="{00000000-0008-0000-0200-0000CF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64" name="Straight Connector 463">
                  <a:extLst>
                    <a:ext uri="{FF2B5EF4-FFF2-40B4-BE49-F238E27FC236}">
                      <a16:creationId xmlns:a16="http://schemas.microsoft.com/office/drawing/2014/main" id="{00000000-0008-0000-0200-0000D0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31" name="Group 430">
                <a:extLst>
                  <a:ext uri="{FF2B5EF4-FFF2-40B4-BE49-F238E27FC236}">
                    <a16:creationId xmlns:a16="http://schemas.microsoft.com/office/drawing/2014/main" id="{00000000-0008-0000-0200-0000AF010000}"/>
                  </a:ext>
                </a:extLst>
              </xdr:cNvPr>
              <xdr:cNvGrpSpPr/>
            </xdr:nvGrpSpPr>
            <xdr:grpSpPr>
              <a:xfrm>
                <a:off x="428625" y="547689"/>
                <a:ext cx="1861754" cy="190499"/>
                <a:chOff x="426983" y="303815"/>
                <a:chExt cx="1847521" cy="188857"/>
              </a:xfrm>
            </xdr:grpSpPr>
            <xdr:cxnSp macro="">
              <xdr:nvCxnSpPr>
                <xdr:cNvPr id="457" name="Straight Connector 456">
                  <a:extLst>
                    <a:ext uri="{FF2B5EF4-FFF2-40B4-BE49-F238E27FC236}">
                      <a16:creationId xmlns:a16="http://schemas.microsoft.com/office/drawing/2014/main" id="{00000000-0008-0000-0200-0000C9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58" name="Straight Connector 457">
                  <a:extLst>
                    <a:ext uri="{FF2B5EF4-FFF2-40B4-BE49-F238E27FC236}">
                      <a16:creationId xmlns:a16="http://schemas.microsoft.com/office/drawing/2014/main" id="{00000000-0008-0000-0200-0000CA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59" name="Straight Connector 458">
                  <a:extLst>
                    <a:ext uri="{FF2B5EF4-FFF2-40B4-BE49-F238E27FC236}">
                      <a16:creationId xmlns:a16="http://schemas.microsoft.com/office/drawing/2014/main" id="{00000000-0008-0000-0200-0000CB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60" name="Straight Connector 459">
                  <a:extLst>
                    <a:ext uri="{FF2B5EF4-FFF2-40B4-BE49-F238E27FC236}">
                      <a16:creationId xmlns:a16="http://schemas.microsoft.com/office/drawing/2014/main" id="{00000000-0008-0000-0200-0000CC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32" name="Group 431">
                <a:extLst>
                  <a:ext uri="{FF2B5EF4-FFF2-40B4-BE49-F238E27FC236}">
                    <a16:creationId xmlns:a16="http://schemas.microsoft.com/office/drawing/2014/main" id="{00000000-0008-0000-0200-0000B0010000}"/>
                  </a:ext>
                </a:extLst>
              </xdr:cNvPr>
              <xdr:cNvGrpSpPr/>
            </xdr:nvGrpSpPr>
            <xdr:grpSpPr>
              <a:xfrm>
                <a:off x="428625" y="793751"/>
                <a:ext cx="1861754" cy="190499"/>
                <a:chOff x="426983" y="303815"/>
                <a:chExt cx="1847521" cy="188857"/>
              </a:xfrm>
            </xdr:grpSpPr>
            <xdr:cxnSp macro="">
              <xdr:nvCxnSpPr>
                <xdr:cNvPr id="453" name="Straight Connector 452">
                  <a:extLst>
                    <a:ext uri="{FF2B5EF4-FFF2-40B4-BE49-F238E27FC236}">
                      <a16:creationId xmlns:a16="http://schemas.microsoft.com/office/drawing/2014/main" id="{00000000-0008-0000-0200-0000C5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54" name="Straight Connector 453">
                  <a:extLst>
                    <a:ext uri="{FF2B5EF4-FFF2-40B4-BE49-F238E27FC236}">
                      <a16:creationId xmlns:a16="http://schemas.microsoft.com/office/drawing/2014/main" id="{00000000-0008-0000-0200-0000C6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55" name="Straight Connector 454">
                  <a:extLst>
                    <a:ext uri="{FF2B5EF4-FFF2-40B4-BE49-F238E27FC236}">
                      <a16:creationId xmlns:a16="http://schemas.microsoft.com/office/drawing/2014/main" id="{00000000-0008-0000-0200-0000C7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56" name="Straight Connector 455">
                  <a:extLst>
                    <a:ext uri="{FF2B5EF4-FFF2-40B4-BE49-F238E27FC236}">
                      <a16:creationId xmlns:a16="http://schemas.microsoft.com/office/drawing/2014/main" id="{00000000-0008-0000-0200-0000C8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33" name="Group 432">
                <a:extLst>
                  <a:ext uri="{FF2B5EF4-FFF2-40B4-BE49-F238E27FC236}">
                    <a16:creationId xmlns:a16="http://schemas.microsoft.com/office/drawing/2014/main" id="{00000000-0008-0000-0200-0000B1010000}"/>
                  </a:ext>
                </a:extLst>
              </xdr:cNvPr>
              <xdr:cNvGrpSpPr/>
            </xdr:nvGrpSpPr>
            <xdr:grpSpPr>
              <a:xfrm>
                <a:off x="428625" y="1041728"/>
                <a:ext cx="1861754" cy="186942"/>
                <a:chOff x="426983" y="303815"/>
                <a:chExt cx="1847521" cy="188857"/>
              </a:xfrm>
            </xdr:grpSpPr>
            <xdr:cxnSp macro="">
              <xdr:nvCxnSpPr>
                <xdr:cNvPr id="449" name="Straight Connector 448">
                  <a:extLst>
                    <a:ext uri="{FF2B5EF4-FFF2-40B4-BE49-F238E27FC236}">
                      <a16:creationId xmlns:a16="http://schemas.microsoft.com/office/drawing/2014/main" id="{00000000-0008-0000-0200-0000C1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50" name="Straight Connector 449">
                  <a:extLst>
                    <a:ext uri="{FF2B5EF4-FFF2-40B4-BE49-F238E27FC236}">
                      <a16:creationId xmlns:a16="http://schemas.microsoft.com/office/drawing/2014/main" id="{00000000-0008-0000-0200-0000C2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51" name="Straight Connector 450">
                  <a:extLst>
                    <a:ext uri="{FF2B5EF4-FFF2-40B4-BE49-F238E27FC236}">
                      <a16:creationId xmlns:a16="http://schemas.microsoft.com/office/drawing/2014/main" id="{00000000-0008-0000-0200-0000C3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52" name="Straight Connector 451">
                  <a:extLst>
                    <a:ext uri="{FF2B5EF4-FFF2-40B4-BE49-F238E27FC236}">
                      <a16:creationId xmlns:a16="http://schemas.microsoft.com/office/drawing/2014/main" id="{00000000-0008-0000-0200-0000C4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34" name="Group 433">
                <a:extLst>
                  <a:ext uri="{FF2B5EF4-FFF2-40B4-BE49-F238E27FC236}">
                    <a16:creationId xmlns:a16="http://schemas.microsoft.com/office/drawing/2014/main" id="{00000000-0008-0000-0200-0000B2010000}"/>
                  </a:ext>
                </a:extLst>
              </xdr:cNvPr>
              <xdr:cNvGrpSpPr/>
            </xdr:nvGrpSpPr>
            <xdr:grpSpPr>
              <a:xfrm>
                <a:off x="428625" y="1285876"/>
                <a:ext cx="1861754" cy="188857"/>
                <a:chOff x="426983" y="303815"/>
                <a:chExt cx="1847521" cy="188857"/>
              </a:xfrm>
            </xdr:grpSpPr>
            <xdr:cxnSp macro="">
              <xdr:nvCxnSpPr>
                <xdr:cNvPr id="445" name="Straight Connector 444">
                  <a:extLst>
                    <a:ext uri="{FF2B5EF4-FFF2-40B4-BE49-F238E27FC236}">
                      <a16:creationId xmlns:a16="http://schemas.microsoft.com/office/drawing/2014/main" id="{00000000-0008-0000-0200-0000BD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46" name="Straight Connector 445">
                  <a:extLst>
                    <a:ext uri="{FF2B5EF4-FFF2-40B4-BE49-F238E27FC236}">
                      <a16:creationId xmlns:a16="http://schemas.microsoft.com/office/drawing/2014/main" id="{00000000-0008-0000-0200-0000BE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47" name="Straight Connector 446">
                  <a:extLst>
                    <a:ext uri="{FF2B5EF4-FFF2-40B4-BE49-F238E27FC236}">
                      <a16:creationId xmlns:a16="http://schemas.microsoft.com/office/drawing/2014/main" id="{00000000-0008-0000-0200-0000BF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48" name="Straight Connector 447">
                  <a:extLst>
                    <a:ext uri="{FF2B5EF4-FFF2-40B4-BE49-F238E27FC236}">
                      <a16:creationId xmlns:a16="http://schemas.microsoft.com/office/drawing/2014/main" id="{00000000-0008-0000-0200-0000C0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35" name="Group 434">
                <a:extLst>
                  <a:ext uri="{FF2B5EF4-FFF2-40B4-BE49-F238E27FC236}">
                    <a16:creationId xmlns:a16="http://schemas.microsoft.com/office/drawing/2014/main" id="{00000000-0008-0000-0200-0000B3010000}"/>
                  </a:ext>
                </a:extLst>
              </xdr:cNvPr>
              <xdr:cNvGrpSpPr/>
            </xdr:nvGrpSpPr>
            <xdr:grpSpPr>
              <a:xfrm>
                <a:off x="428625" y="1531938"/>
                <a:ext cx="1861754" cy="188857"/>
                <a:chOff x="426983" y="303815"/>
                <a:chExt cx="1847521" cy="188857"/>
              </a:xfrm>
            </xdr:grpSpPr>
            <xdr:cxnSp macro="">
              <xdr:nvCxnSpPr>
                <xdr:cNvPr id="441" name="Straight Connector 440">
                  <a:extLst>
                    <a:ext uri="{FF2B5EF4-FFF2-40B4-BE49-F238E27FC236}">
                      <a16:creationId xmlns:a16="http://schemas.microsoft.com/office/drawing/2014/main" id="{00000000-0008-0000-0200-0000B9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42" name="Straight Connector 441">
                  <a:extLst>
                    <a:ext uri="{FF2B5EF4-FFF2-40B4-BE49-F238E27FC236}">
                      <a16:creationId xmlns:a16="http://schemas.microsoft.com/office/drawing/2014/main" id="{00000000-0008-0000-0200-0000BA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43" name="Straight Connector 442">
                  <a:extLst>
                    <a:ext uri="{FF2B5EF4-FFF2-40B4-BE49-F238E27FC236}">
                      <a16:creationId xmlns:a16="http://schemas.microsoft.com/office/drawing/2014/main" id="{00000000-0008-0000-0200-0000BB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44" name="Straight Connector 443">
                  <a:extLst>
                    <a:ext uri="{FF2B5EF4-FFF2-40B4-BE49-F238E27FC236}">
                      <a16:creationId xmlns:a16="http://schemas.microsoft.com/office/drawing/2014/main" id="{00000000-0008-0000-0200-0000BC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36" name="Group 435">
                <a:extLst>
                  <a:ext uri="{FF2B5EF4-FFF2-40B4-BE49-F238E27FC236}">
                    <a16:creationId xmlns:a16="http://schemas.microsoft.com/office/drawing/2014/main" id="{00000000-0008-0000-0200-0000B4010000}"/>
                  </a:ext>
                </a:extLst>
              </xdr:cNvPr>
              <xdr:cNvGrpSpPr/>
            </xdr:nvGrpSpPr>
            <xdr:grpSpPr>
              <a:xfrm>
                <a:off x="428625" y="1778001"/>
                <a:ext cx="1861754" cy="190499"/>
                <a:chOff x="426983" y="303815"/>
                <a:chExt cx="1847521" cy="188857"/>
              </a:xfrm>
            </xdr:grpSpPr>
            <xdr:cxnSp macro="">
              <xdr:nvCxnSpPr>
                <xdr:cNvPr id="437" name="Straight Connector 436">
                  <a:extLst>
                    <a:ext uri="{FF2B5EF4-FFF2-40B4-BE49-F238E27FC236}">
                      <a16:creationId xmlns:a16="http://schemas.microsoft.com/office/drawing/2014/main" id="{00000000-0008-0000-0200-0000B5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38" name="Straight Connector 437">
                  <a:extLst>
                    <a:ext uri="{FF2B5EF4-FFF2-40B4-BE49-F238E27FC236}">
                      <a16:creationId xmlns:a16="http://schemas.microsoft.com/office/drawing/2014/main" id="{00000000-0008-0000-0200-0000B6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39" name="Straight Connector 438">
                  <a:extLst>
                    <a:ext uri="{FF2B5EF4-FFF2-40B4-BE49-F238E27FC236}">
                      <a16:creationId xmlns:a16="http://schemas.microsoft.com/office/drawing/2014/main" id="{00000000-0008-0000-0200-0000B7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40" name="Straight Connector 439">
                  <a:extLst>
                    <a:ext uri="{FF2B5EF4-FFF2-40B4-BE49-F238E27FC236}">
                      <a16:creationId xmlns:a16="http://schemas.microsoft.com/office/drawing/2014/main" id="{00000000-0008-0000-0200-0000B8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422" name="Rectangle 421">
              <a:hlinkClick xmlns:r="http://schemas.openxmlformats.org/officeDocument/2006/relationships" r:id="rId17"/>
              <a:extLst>
                <a:ext uri="{FF2B5EF4-FFF2-40B4-BE49-F238E27FC236}">
                  <a16:creationId xmlns:a16="http://schemas.microsoft.com/office/drawing/2014/main" id="{00000000-0008-0000-0200-0000A6010000}"/>
                </a:ext>
              </a:extLst>
            </xdr:cNvPr>
            <xdr:cNvSpPr/>
          </xdr:nvSpPr>
          <xdr:spPr>
            <a:xfrm>
              <a:off x="16002000" y="30480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#1</a:t>
              </a:r>
              <a:endParaRPr lang="en-US">
                <a:effectLst/>
              </a:endParaRPr>
            </a:p>
          </xdr:txBody>
        </xdr:sp>
        <xdr:sp macro="" textlink="">
          <xdr:nvSpPr>
            <xdr:cNvPr id="423" name="Rectangle 422">
              <a:hlinkClick xmlns:r="http://schemas.openxmlformats.org/officeDocument/2006/relationships" r:id="rId18"/>
              <a:extLst>
                <a:ext uri="{FF2B5EF4-FFF2-40B4-BE49-F238E27FC236}">
                  <a16:creationId xmlns:a16="http://schemas.microsoft.com/office/drawing/2014/main" id="{00000000-0008-0000-0200-0000A7010000}"/>
                </a:ext>
              </a:extLst>
            </xdr:cNvPr>
            <xdr:cNvSpPr/>
          </xdr:nvSpPr>
          <xdr:spPr>
            <a:xfrm>
              <a:off x="16002000" y="55245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#10</a:t>
              </a:r>
              <a:endParaRPr lang="en-US">
                <a:effectLst/>
              </a:endParaRPr>
            </a:p>
            <a:p>
              <a:pPr algn="l"/>
              <a:endParaRPr lang="en-US" sz="1100"/>
            </a:p>
          </xdr:txBody>
        </xdr:sp>
        <xdr:sp macro="" textlink="">
          <xdr:nvSpPr>
            <xdr:cNvPr id="424" name="Rectangle 423">
              <a:hlinkClick xmlns:r="http://schemas.openxmlformats.org/officeDocument/2006/relationships" r:id="rId19"/>
              <a:extLst>
                <a:ext uri="{FF2B5EF4-FFF2-40B4-BE49-F238E27FC236}">
                  <a16:creationId xmlns:a16="http://schemas.microsoft.com/office/drawing/2014/main" id="{00000000-0008-0000-0200-0000A8010000}"/>
                </a:ext>
              </a:extLst>
            </xdr:cNvPr>
            <xdr:cNvSpPr/>
          </xdr:nvSpPr>
          <xdr:spPr>
            <a:xfrm>
              <a:off x="16002001" y="800100"/>
              <a:ext cx="1857374"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#20</a:t>
              </a:r>
              <a:endParaRPr lang="en-US" sz="1100"/>
            </a:p>
          </xdr:txBody>
        </xdr:sp>
        <xdr:sp macro="" textlink="">
          <xdr:nvSpPr>
            <xdr:cNvPr id="425" name="Rectangle 424">
              <a:hlinkClick xmlns:r="http://schemas.openxmlformats.org/officeDocument/2006/relationships" r:id="rId20"/>
              <a:extLst>
                <a:ext uri="{FF2B5EF4-FFF2-40B4-BE49-F238E27FC236}">
                  <a16:creationId xmlns:a16="http://schemas.microsoft.com/office/drawing/2014/main" id="{00000000-0008-0000-0200-0000A9010000}"/>
                </a:ext>
              </a:extLst>
            </xdr:cNvPr>
            <xdr:cNvSpPr/>
          </xdr:nvSpPr>
          <xdr:spPr>
            <a:xfrm>
              <a:off x="16002000" y="1052512"/>
              <a:ext cx="1857375" cy="185738"/>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#30</a:t>
              </a:r>
              <a:endParaRPr lang="en-US">
                <a:effectLst/>
              </a:endParaRPr>
            </a:p>
            <a:p>
              <a:pPr algn="l"/>
              <a:endParaRPr lang="en-US" sz="1100"/>
            </a:p>
          </xdr:txBody>
        </xdr:sp>
        <xdr:sp macro="" textlink="">
          <xdr:nvSpPr>
            <xdr:cNvPr id="426" name="Rectangle 425">
              <a:hlinkClick xmlns:r="http://schemas.openxmlformats.org/officeDocument/2006/relationships" r:id="rId21"/>
              <a:extLst>
                <a:ext uri="{FF2B5EF4-FFF2-40B4-BE49-F238E27FC236}">
                  <a16:creationId xmlns:a16="http://schemas.microsoft.com/office/drawing/2014/main" id="{00000000-0008-0000-0200-0000AA010000}"/>
                </a:ext>
              </a:extLst>
            </xdr:cNvPr>
            <xdr:cNvSpPr/>
          </xdr:nvSpPr>
          <xdr:spPr>
            <a:xfrm>
              <a:off x="16002000" y="129540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#40</a:t>
              </a:r>
              <a:endParaRPr lang="en-US">
                <a:effectLst/>
              </a:endParaRPr>
            </a:p>
            <a:p>
              <a:pPr algn="l"/>
              <a:endParaRPr lang="en-US" sz="1100"/>
            </a:p>
          </xdr:txBody>
        </xdr:sp>
        <xdr:sp macro="" textlink="">
          <xdr:nvSpPr>
            <xdr:cNvPr id="427" name="Rectangle 426">
              <a:extLst>
                <a:ext uri="{FF2B5EF4-FFF2-40B4-BE49-F238E27FC236}">
                  <a16:creationId xmlns:a16="http://schemas.microsoft.com/office/drawing/2014/main" id="{00000000-0008-0000-0200-0000AB010000}"/>
                </a:ext>
              </a:extLst>
            </xdr:cNvPr>
            <xdr:cNvSpPr/>
          </xdr:nvSpPr>
          <xdr:spPr>
            <a:xfrm>
              <a:off x="16002000" y="154305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8" name="Rectangle 427">
              <a:hlinkClick xmlns:r="http://schemas.openxmlformats.org/officeDocument/2006/relationships" r:id="rId22"/>
              <a:extLst>
                <a:ext uri="{FF2B5EF4-FFF2-40B4-BE49-F238E27FC236}">
                  <a16:creationId xmlns:a16="http://schemas.microsoft.com/office/drawing/2014/main" id="{00000000-0008-0000-0200-0000AC010000}"/>
                </a:ext>
              </a:extLst>
            </xdr:cNvPr>
            <xdr:cNvSpPr/>
          </xdr:nvSpPr>
          <xdr:spPr>
            <a:xfrm>
              <a:off x="16002000" y="1790700"/>
              <a:ext cx="1857375" cy="190500"/>
            </a:xfrm>
            <a:prstGeom prst="rect">
              <a:avLst/>
            </a:prstGeom>
            <a:solidFill>
              <a:schemeClr val="bg1">
                <a:alpha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rgbClr val="FF0000"/>
                  </a:solidFill>
                  <a:effectLst/>
                  <a:latin typeface="+mn-lt"/>
                  <a:ea typeface="+mn-ea"/>
                  <a:cs typeface="+mn-cs"/>
                  <a:sym typeface="Webdings" panose="05030102010509060703" pitchFamily="18" charset="2"/>
                </a:rPr>
                <a:t></a:t>
              </a:r>
              <a:r>
                <a:rPr lang="en-US" sz="1100" b="0">
                  <a:solidFill>
                    <a:srgbClr val="FF0000"/>
                  </a:solidFill>
                  <a:effectLst/>
                  <a:latin typeface="+mn-lt"/>
                  <a:ea typeface="+mn-ea"/>
                  <a:cs typeface="+mn-cs"/>
                </a:rPr>
                <a:t>Help </a:t>
              </a:r>
              <a:endParaRPr lang="en-US" sz="1100">
                <a:solidFill>
                  <a:srgbClr val="FF0000"/>
                </a:solidFill>
              </a:endParaRPr>
            </a:p>
          </xdr:txBody>
        </xdr:sp>
      </xdr:grpSp>
      <xdr:sp macro="" textlink="">
        <xdr:nvSpPr>
          <xdr:cNvPr id="420" name="TextBox 419" title="Page Navigation">
            <a:hlinkClick xmlns:r="http://schemas.openxmlformats.org/officeDocument/2006/relationships" r:id="rId4"/>
            <a:extLst>
              <a:ext uri="{FF2B5EF4-FFF2-40B4-BE49-F238E27FC236}">
                <a16:creationId xmlns:a16="http://schemas.microsoft.com/office/drawing/2014/main" id="{00000000-0008-0000-0200-0000A4010000}"/>
              </a:ext>
            </a:extLst>
          </xdr:cNvPr>
          <xdr:cNvSpPr txBox="1"/>
        </xdr:nvSpPr>
        <xdr:spPr>
          <a:xfrm>
            <a:off x="16053955" y="60614"/>
            <a:ext cx="1861704" cy="190500"/>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Existing Fixture </a:t>
            </a:r>
            <a:r>
              <a:rPr lang="en-US" sz="1100" b="0" i="1">
                <a:solidFill>
                  <a:schemeClr val="bg1"/>
                </a:solidFill>
              </a:rPr>
              <a:t>Navigation</a:t>
            </a:r>
          </a:p>
        </xdr:txBody>
      </xdr:sp>
    </xdr:grpSp>
    <xdr:clientData fPrintsWithSheet="0"/>
  </xdr:twoCellAnchor>
  <xdr:twoCellAnchor>
    <xdr:from>
      <xdr:col>3</xdr:col>
      <xdr:colOff>373672</xdr:colOff>
      <xdr:row>25</xdr:row>
      <xdr:rowOff>0</xdr:rowOff>
    </xdr:from>
    <xdr:to>
      <xdr:col>11</xdr:col>
      <xdr:colOff>373673</xdr:colOff>
      <xdr:row>26</xdr:row>
      <xdr:rowOff>0</xdr:rowOff>
    </xdr:to>
    <xdr:grpSp>
      <xdr:nvGrpSpPr>
        <xdr:cNvPr id="518" name="Group 517">
          <a:hlinkClick xmlns:r="http://schemas.openxmlformats.org/officeDocument/2006/relationships" r:id="rId2"/>
          <a:extLst>
            <a:ext uri="{FF2B5EF4-FFF2-40B4-BE49-F238E27FC236}">
              <a16:creationId xmlns:a16="http://schemas.microsoft.com/office/drawing/2014/main" id="{00000000-0008-0000-0200-000006020000}"/>
            </a:ext>
          </a:extLst>
        </xdr:cNvPr>
        <xdr:cNvGrpSpPr/>
      </xdr:nvGrpSpPr>
      <xdr:grpSpPr>
        <a:xfrm>
          <a:off x="1322578" y="3201359"/>
          <a:ext cx="2827548" cy="383395"/>
          <a:chOff x="9499934" y="65130947"/>
          <a:chExt cx="2600325" cy="352425"/>
        </a:xfrm>
      </xdr:grpSpPr>
      <xdr:sp macro="" textlink="">
        <xdr:nvSpPr>
          <xdr:cNvPr id="519" name="TextBox 518" title="Page Navigation">
            <a:hlinkClick xmlns:r="http://schemas.openxmlformats.org/officeDocument/2006/relationships" r:id="rId2"/>
            <a:extLst>
              <a:ext uri="{FF2B5EF4-FFF2-40B4-BE49-F238E27FC236}">
                <a16:creationId xmlns:a16="http://schemas.microsoft.com/office/drawing/2014/main" id="{00000000-0008-0000-0200-000007020000}"/>
              </a:ext>
            </a:extLst>
          </xdr:cNvPr>
          <xdr:cNvSpPr txBox="1"/>
        </xdr:nvSpPr>
        <xdr:spPr>
          <a:xfrm>
            <a:off x="9499934" y="65130947"/>
            <a:ext cx="2600325" cy="352425"/>
          </a:xfrm>
          <a:prstGeom prst="rect">
            <a:avLst/>
          </a:prstGeom>
          <a:solidFill>
            <a:srgbClr val="156570"/>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endParaRPr lang="en-US" sz="1100" b="0">
              <a:solidFill>
                <a:schemeClr val="bg1"/>
              </a:solidFill>
              <a:sym typeface="Webdings" panose="05030102010509060703" pitchFamily="18" charset="2"/>
            </a:endParaRPr>
          </a:p>
        </xdr:txBody>
      </xdr:sp>
      <xdr:sp macro="" textlink="">
        <xdr:nvSpPr>
          <xdr:cNvPr id="520" name="TextBox 519" title="Page Navigation">
            <a:hlinkClick xmlns:r="http://schemas.openxmlformats.org/officeDocument/2006/relationships" r:id="rId2" tooltip="Create or edit &quot;existing&quot; light fixtures"/>
            <a:extLst>
              <a:ext uri="{FF2B5EF4-FFF2-40B4-BE49-F238E27FC236}">
                <a16:creationId xmlns:a16="http://schemas.microsoft.com/office/drawing/2014/main" id="{00000000-0008-0000-0200-000008020000}"/>
              </a:ext>
            </a:extLst>
          </xdr:cNvPr>
          <xdr:cNvSpPr txBox="1"/>
        </xdr:nvSpPr>
        <xdr:spPr>
          <a:xfrm>
            <a:off x="9555078" y="65186091"/>
            <a:ext cx="2490035" cy="245645"/>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a:solidFill>
                  <a:schemeClr val="bg1"/>
                </a:solidFill>
                <a:effectLst/>
                <a:latin typeface="+mn-lt"/>
                <a:ea typeface="+mn-ea"/>
                <a:cs typeface="+mn-cs"/>
                <a:sym typeface="Webdings" panose="05030102010509060703" pitchFamily="18" charset="2"/>
              </a:rPr>
              <a:t>Create / </a:t>
            </a:r>
            <a:r>
              <a:rPr lang="en-US" sz="1100" b="0">
                <a:solidFill>
                  <a:schemeClr val="bg1"/>
                </a:solidFill>
                <a:sym typeface="Webdings" panose="05030102010509060703" pitchFamily="18" charset="2"/>
              </a:rPr>
              <a:t>Edit Existing Fixture</a:t>
            </a:r>
          </a:p>
        </xdr:txBody>
      </xdr:sp>
      <xdr:grpSp>
        <xdr:nvGrpSpPr>
          <xdr:cNvPr id="521" name="Group 520">
            <a:extLst>
              <a:ext uri="{FF2B5EF4-FFF2-40B4-BE49-F238E27FC236}">
                <a16:creationId xmlns:a16="http://schemas.microsoft.com/office/drawing/2014/main" id="{00000000-0008-0000-0200-000009020000}"/>
              </a:ext>
            </a:extLst>
          </xdr:cNvPr>
          <xdr:cNvGrpSpPr/>
        </xdr:nvGrpSpPr>
        <xdr:grpSpPr>
          <a:xfrm>
            <a:off x="9555079" y="65186092"/>
            <a:ext cx="2490036" cy="245645"/>
            <a:chOff x="9555079" y="65186092"/>
            <a:chExt cx="2490036" cy="245645"/>
          </a:xfrm>
        </xdr:grpSpPr>
        <xdr:cxnSp macro="">
          <xdr:nvCxnSpPr>
            <xdr:cNvPr id="522" name="Straight Connector 521">
              <a:extLst>
                <a:ext uri="{FF2B5EF4-FFF2-40B4-BE49-F238E27FC236}">
                  <a16:creationId xmlns:a16="http://schemas.microsoft.com/office/drawing/2014/main" id="{00000000-0008-0000-0200-00000A020000}"/>
                </a:ext>
              </a:extLst>
            </xdr:cNvPr>
            <xdr:cNvCxnSpPr/>
          </xdr:nvCxnSpPr>
          <xdr:spPr>
            <a:xfrm>
              <a:off x="12045114" y="65186092"/>
              <a:ext cx="1" cy="24564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23" name="Straight Connector 522">
              <a:extLst>
                <a:ext uri="{FF2B5EF4-FFF2-40B4-BE49-F238E27FC236}">
                  <a16:creationId xmlns:a16="http://schemas.microsoft.com/office/drawing/2014/main" id="{00000000-0008-0000-0200-00000B020000}"/>
                </a:ext>
              </a:extLst>
            </xdr:cNvPr>
            <xdr:cNvCxnSpPr/>
          </xdr:nvCxnSpPr>
          <xdr:spPr>
            <a:xfrm flipH="1">
              <a:off x="9555079" y="65186092"/>
              <a:ext cx="249003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24" name="Straight Connector 523">
              <a:extLst>
                <a:ext uri="{FF2B5EF4-FFF2-40B4-BE49-F238E27FC236}">
                  <a16:creationId xmlns:a16="http://schemas.microsoft.com/office/drawing/2014/main" id="{00000000-0008-0000-0200-00000C020000}"/>
                </a:ext>
              </a:extLst>
            </xdr:cNvPr>
            <xdr:cNvCxnSpPr/>
          </xdr:nvCxnSpPr>
          <xdr:spPr>
            <a:xfrm>
              <a:off x="9555079" y="65186092"/>
              <a:ext cx="1" cy="245645"/>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25" name="Straight Connector 524">
              <a:extLst>
                <a:ext uri="{FF2B5EF4-FFF2-40B4-BE49-F238E27FC236}">
                  <a16:creationId xmlns:a16="http://schemas.microsoft.com/office/drawing/2014/main" id="{00000000-0008-0000-0200-00000D020000}"/>
                </a:ext>
              </a:extLst>
            </xdr:cNvPr>
            <xdr:cNvCxnSpPr/>
          </xdr:nvCxnSpPr>
          <xdr:spPr>
            <a:xfrm flipH="1">
              <a:off x="9555079" y="65431737"/>
              <a:ext cx="249003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17</xdr:col>
      <xdr:colOff>0</xdr:colOff>
      <xdr:row>25</xdr:row>
      <xdr:rowOff>0</xdr:rowOff>
    </xdr:from>
    <xdr:to>
      <xdr:col>24</xdr:col>
      <xdr:colOff>58616</xdr:colOff>
      <xdr:row>26</xdr:row>
      <xdr:rowOff>0</xdr:rowOff>
    </xdr:to>
    <xdr:grpSp>
      <xdr:nvGrpSpPr>
        <xdr:cNvPr id="526" name="Group 525">
          <a:hlinkClick xmlns:r="http://schemas.openxmlformats.org/officeDocument/2006/relationships" r:id="rId4"/>
          <a:extLst>
            <a:ext uri="{FF2B5EF4-FFF2-40B4-BE49-F238E27FC236}">
              <a16:creationId xmlns:a16="http://schemas.microsoft.com/office/drawing/2014/main" id="{00000000-0008-0000-0200-00000E020000}"/>
            </a:ext>
          </a:extLst>
        </xdr:cNvPr>
        <xdr:cNvGrpSpPr/>
      </xdr:nvGrpSpPr>
      <xdr:grpSpPr>
        <a:xfrm>
          <a:off x="6249359" y="3201359"/>
          <a:ext cx="2742389" cy="383395"/>
          <a:chOff x="9499934" y="65130947"/>
          <a:chExt cx="2600325" cy="352425"/>
        </a:xfrm>
      </xdr:grpSpPr>
      <xdr:sp macro="" textlink="">
        <xdr:nvSpPr>
          <xdr:cNvPr id="527" name="TextBox 526" title="Page Navigation">
            <a:hlinkClick xmlns:r="http://schemas.openxmlformats.org/officeDocument/2006/relationships" r:id="rId4"/>
            <a:extLst>
              <a:ext uri="{FF2B5EF4-FFF2-40B4-BE49-F238E27FC236}">
                <a16:creationId xmlns:a16="http://schemas.microsoft.com/office/drawing/2014/main" id="{00000000-0008-0000-0200-00000F020000}"/>
              </a:ext>
            </a:extLst>
          </xdr:cNvPr>
          <xdr:cNvSpPr txBox="1"/>
        </xdr:nvSpPr>
        <xdr:spPr>
          <a:xfrm>
            <a:off x="9499934" y="65130947"/>
            <a:ext cx="2600325" cy="352425"/>
          </a:xfrm>
          <a:prstGeom prst="rect">
            <a:avLst/>
          </a:prstGeom>
          <a:solidFill>
            <a:srgbClr val="156570"/>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endParaRPr lang="en-US" sz="1100" b="0">
              <a:solidFill>
                <a:schemeClr val="bg1"/>
              </a:solidFill>
              <a:sym typeface="Webdings" panose="05030102010509060703" pitchFamily="18" charset="2"/>
            </a:endParaRPr>
          </a:p>
        </xdr:txBody>
      </xdr:sp>
      <xdr:sp macro="" textlink="">
        <xdr:nvSpPr>
          <xdr:cNvPr id="528" name="TextBox 527" title="Page Navigation">
            <a:hlinkClick xmlns:r="http://schemas.openxmlformats.org/officeDocument/2006/relationships" r:id="rId4" tooltip="Create or edit &quot;new&quot; light fixtures"/>
            <a:extLst>
              <a:ext uri="{FF2B5EF4-FFF2-40B4-BE49-F238E27FC236}">
                <a16:creationId xmlns:a16="http://schemas.microsoft.com/office/drawing/2014/main" id="{00000000-0008-0000-0200-000010020000}"/>
              </a:ext>
            </a:extLst>
          </xdr:cNvPr>
          <xdr:cNvSpPr txBox="1"/>
        </xdr:nvSpPr>
        <xdr:spPr>
          <a:xfrm>
            <a:off x="9555078" y="65186091"/>
            <a:ext cx="2490035" cy="245645"/>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a:solidFill>
                  <a:schemeClr val="bg1"/>
                </a:solidFill>
                <a:effectLst/>
                <a:latin typeface="+mn-lt"/>
                <a:ea typeface="+mn-ea"/>
                <a:cs typeface="+mn-cs"/>
                <a:sym typeface="Webdings" panose="05030102010509060703" pitchFamily="18" charset="2"/>
              </a:rPr>
              <a:t>Create / </a:t>
            </a:r>
            <a:r>
              <a:rPr lang="en-US" sz="1100" b="0">
                <a:solidFill>
                  <a:schemeClr val="bg1"/>
                </a:solidFill>
                <a:sym typeface="Webdings" panose="05030102010509060703" pitchFamily="18" charset="2"/>
              </a:rPr>
              <a:t>Edit New Fixture / Lamp</a:t>
            </a:r>
          </a:p>
        </xdr:txBody>
      </xdr:sp>
      <xdr:grpSp>
        <xdr:nvGrpSpPr>
          <xdr:cNvPr id="529" name="Group 528">
            <a:extLst>
              <a:ext uri="{FF2B5EF4-FFF2-40B4-BE49-F238E27FC236}">
                <a16:creationId xmlns:a16="http://schemas.microsoft.com/office/drawing/2014/main" id="{00000000-0008-0000-0200-000011020000}"/>
              </a:ext>
            </a:extLst>
          </xdr:cNvPr>
          <xdr:cNvGrpSpPr/>
        </xdr:nvGrpSpPr>
        <xdr:grpSpPr>
          <a:xfrm>
            <a:off x="9555079" y="65186092"/>
            <a:ext cx="2490036" cy="245645"/>
            <a:chOff x="9555079" y="65186092"/>
            <a:chExt cx="2490036" cy="245645"/>
          </a:xfrm>
        </xdr:grpSpPr>
        <xdr:cxnSp macro="">
          <xdr:nvCxnSpPr>
            <xdr:cNvPr id="530" name="Straight Connector 529">
              <a:extLst>
                <a:ext uri="{FF2B5EF4-FFF2-40B4-BE49-F238E27FC236}">
                  <a16:creationId xmlns:a16="http://schemas.microsoft.com/office/drawing/2014/main" id="{00000000-0008-0000-0200-000012020000}"/>
                </a:ext>
              </a:extLst>
            </xdr:cNvPr>
            <xdr:cNvCxnSpPr/>
          </xdr:nvCxnSpPr>
          <xdr:spPr>
            <a:xfrm>
              <a:off x="12045114" y="65186092"/>
              <a:ext cx="1" cy="24564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31" name="Straight Connector 530">
              <a:extLst>
                <a:ext uri="{FF2B5EF4-FFF2-40B4-BE49-F238E27FC236}">
                  <a16:creationId xmlns:a16="http://schemas.microsoft.com/office/drawing/2014/main" id="{00000000-0008-0000-0200-000013020000}"/>
                </a:ext>
              </a:extLst>
            </xdr:cNvPr>
            <xdr:cNvCxnSpPr/>
          </xdr:nvCxnSpPr>
          <xdr:spPr>
            <a:xfrm flipH="1">
              <a:off x="9555079" y="65186092"/>
              <a:ext cx="249003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32" name="Straight Connector 531">
              <a:extLst>
                <a:ext uri="{FF2B5EF4-FFF2-40B4-BE49-F238E27FC236}">
                  <a16:creationId xmlns:a16="http://schemas.microsoft.com/office/drawing/2014/main" id="{00000000-0008-0000-0200-000014020000}"/>
                </a:ext>
              </a:extLst>
            </xdr:cNvPr>
            <xdr:cNvCxnSpPr/>
          </xdr:nvCxnSpPr>
          <xdr:spPr>
            <a:xfrm>
              <a:off x="9555079" y="65186092"/>
              <a:ext cx="1" cy="245645"/>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33" name="Straight Connector 532">
              <a:extLst>
                <a:ext uri="{FF2B5EF4-FFF2-40B4-BE49-F238E27FC236}">
                  <a16:creationId xmlns:a16="http://schemas.microsoft.com/office/drawing/2014/main" id="{00000000-0008-0000-0200-000015020000}"/>
                </a:ext>
              </a:extLst>
            </xdr:cNvPr>
            <xdr:cNvCxnSpPr/>
          </xdr:nvCxnSpPr>
          <xdr:spPr>
            <a:xfrm flipH="1">
              <a:off x="9555079" y="65431737"/>
              <a:ext cx="249003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wsDr>
</file>

<file path=xl/drawings/drawing4.xml><?xml version="1.0" encoding="utf-8"?>
<xdr:wsDr xmlns:xdr="http://schemas.openxmlformats.org/drawingml/2006/spreadsheetDrawing" xmlns:a="http://schemas.openxmlformats.org/drawingml/2006/main">
  <xdr:oneCellAnchor>
    <xdr:from>
      <xdr:col>26</xdr:col>
      <xdr:colOff>309562</xdr:colOff>
      <xdr:row>0</xdr:row>
      <xdr:rowOff>35718</xdr:rowOff>
    </xdr:from>
    <xdr:ext cx="1196164" cy="555416"/>
    <xdr:pic>
      <xdr:nvPicPr>
        <xdr:cNvPr id="12" name="Picture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53437" y="35718"/>
          <a:ext cx="1196164" cy="555416"/>
        </a:xfrm>
        <a:prstGeom prst="rect">
          <a:avLst/>
        </a:prstGeom>
      </xdr:spPr>
    </xdr:pic>
    <xdr:clientData/>
  </xdr:oneCellAnchor>
  <xdr:twoCellAnchor>
    <xdr:from>
      <xdr:col>55</xdr:col>
      <xdr:colOff>366345</xdr:colOff>
      <xdr:row>1</xdr:row>
      <xdr:rowOff>1</xdr:rowOff>
    </xdr:from>
    <xdr:to>
      <xdr:col>56</xdr:col>
      <xdr:colOff>471016</xdr:colOff>
      <xdr:row>5</xdr:row>
      <xdr:rowOff>0</xdr:rowOff>
    </xdr:to>
    <xdr:sp macro="" textlink="">
      <xdr:nvSpPr>
        <xdr:cNvPr id="17" name="TextBox 16" title="Terms and Conditions">
          <a:hlinkClick xmlns:r="http://schemas.openxmlformats.org/officeDocument/2006/relationships" r:id="rId2"/>
          <a:extLst>
            <a:ext uri="{FF2B5EF4-FFF2-40B4-BE49-F238E27FC236}">
              <a16:creationId xmlns:a16="http://schemas.microsoft.com/office/drawing/2014/main" id="{00000000-0008-0000-0300-000011000000}"/>
            </a:ext>
          </a:extLst>
        </xdr:cNvPr>
        <xdr:cNvSpPr txBox="1">
          <a:spLocks/>
        </xdr:cNvSpPr>
      </xdr:nvSpPr>
      <xdr:spPr>
        <a:xfrm>
          <a:off x="17511345" y="52336"/>
          <a:ext cx="471017" cy="439615"/>
        </a:xfrm>
        <a:prstGeom prst="rect">
          <a:avLst/>
        </a:prstGeom>
        <a:solidFill>
          <a:srgbClr val="156570"/>
        </a:solidFill>
        <a:ln>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sym typeface="Webdings" panose="05030102010509060703" pitchFamily="18" charset="2"/>
            </a:rPr>
            <a:t>home</a:t>
          </a:r>
        </a:p>
        <a:p>
          <a:pPr algn="ctr"/>
          <a:r>
            <a:rPr lang="en-US" sz="1100">
              <a:solidFill>
                <a:schemeClr val="bg1"/>
              </a:solidFill>
              <a:sym typeface="Wingdings" panose="05000000000000000000" pitchFamily="2" charset="2"/>
            </a:rPr>
            <a:t></a:t>
          </a:r>
          <a:endParaRPr lang="en-US" sz="1100">
            <a:solidFill>
              <a:schemeClr val="bg1"/>
            </a:solidFill>
          </a:endParaRPr>
        </a:p>
      </xdr:txBody>
    </xdr:sp>
    <xdr:clientData fPrintsWithSheet="0"/>
  </xdr:twoCellAnchor>
  <xdr:twoCellAnchor>
    <xdr:from>
      <xdr:col>53</xdr:col>
      <xdr:colOff>40821</xdr:colOff>
      <xdr:row>871</xdr:row>
      <xdr:rowOff>69093</xdr:rowOff>
    </xdr:from>
    <xdr:to>
      <xdr:col>53</xdr:col>
      <xdr:colOff>515659</xdr:colOff>
      <xdr:row>874</xdr:row>
      <xdr:rowOff>13607</xdr:rowOff>
    </xdr:to>
    <xdr:sp macro="" textlink="">
      <xdr:nvSpPr>
        <xdr:cNvPr id="26" name="TextBox 25" title="Terms and Conditions">
          <a:hlinkClick xmlns:r="http://schemas.openxmlformats.org/officeDocument/2006/relationships" r:id="rId3"/>
          <a:extLst>
            <a:ext uri="{FF2B5EF4-FFF2-40B4-BE49-F238E27FC236}">
              <a16:creationId xmlns:a16="http://schemas.microsoft.com/office/drawing/2014/main" id="{00000000-0008-0000-0300-00001A000000}"/>
            </a:ext>
          </a:extLst>
        </xdr:cNvPr>
        <xdr:cNvSpPr txBox="1">
          <a:spLocks/>
        </xdr:cNvSpPr>
      </xdr:nvSpPr>
      <xdr:spPr>
        <a:xfrm>
          <a:off x="20342678" y="86746593"/>
          <a:ext cx="474838" cy="434371"/>
        </a:xfrm>
        <a:prstGeom prst="rect">
          <a:avLst/>
        </a:prstGeom>
        <a:solidFill>
          <a:srgbClr val="006666"/>
        </a:solidFill>
        <a:ln>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sym typeface="Webdings" panose="05030102010509060703" pitchFamily="18" charset="2"/>
            </a:rPr>
            <a:t>home</a:t>
          </a:r>
        </a:p>
        <a:p>
          <a:pPr algn="ctr"/>
          <a:r>
            <a:rPr lang="en-US" sz="1100">
              <a:solidFill>
                <a:schemeClr val="bg1"/>
              </a:solidFill>
              <a:sym typeface="Wingdings" panose="05000000000000000000" pitchFamily="2" charset="2"/>
            </a:rPr>
            <a:t></a:t>
          </a:r>
          <a:endParaRPr lang="en-US" sz="1100">
            <a:solidFill>
              <a:schemeClr val="bg1"/>
            </a:solidFill>
          </a:endParaRPr>
        </a:p>
      </xdr:txBody>
    </xdr:sp>
    <xdr:clientData fPrintsWithSheet="0"/>
  </xdr:twoCellAnchor>
  <xdr:twoCellAnchor>
    <xdr:from>
      <xdr:col>3</xdr:col>
      <xdr:colOff>0</xdr:colOff>
      <xdr:row>0</xdr:row>
      <xdr:rowOff>0</xdr:rowOff>
    </xdr:from>
    <xdr:to>
      <xdr:col>9</xdr:col>
      <xdr:colOff>3502</xdr:colOff>
      <xdr:row>17</xdr:row>
      <xdr:rowOff>0</xdr:rowOff>
    </xdr:to>
    <xdr:grpSp>
      <xdr:nvGrpSpPr>
        <xdr:cNvPr id="157" name="Group 156">
          <a:hlinkClick xmlns:r="http://schemas.openxmlformats.org/officeDocument/2006/relationships" r:id="rId2" tooltip="Top of page"/>
          <a:extLst>
            <a:ext uri="{FF2B5EF4-FFF2-40B4-BE49-F238E27FC236}">
              <a16:creationId xmlns:a16="http://schemas.microsoft.com/office/drawing/2014/main" id="{00000000-0008-0000-0300-00009D000000}"/>
            </a:ext>
          </a:extLst>
        </xdr:cNvPr>
        <xdr:cNvGrpSpPr/>
      </xdr:nvGrpSpPr>
      <xdr:grpSpPr>
        <a:xfrm>
          <a:off x="1370641" y="0"/>
          <a:ext cx="2025918" cy="2051170"/>
          <a:chOff x="373063" y="0"/>
          <a:chExt cx="1976437" cy="2024063"/>
        </a:xfrm>
      </xdr:grpSpPr>
      <xdr:sp macro="" textlink="">
        <xdr:nvSpPr>
          <xdr:cNvPr id="166" name="Rectangle 165">
            <a:hlinkClick xmlns:r="http://schemas.openxmlformats.org/officeDocument/2006/relationships" r:id="rId2"/>
            <a:extLst>
              <a:ext uri="{FF2B5EF4-FFF2-40B4-BE49-F238E27FC236}">
                <a16:creationId xmlns:a16="http://schemas.microsoft.com/office/drawing/2014/main" id="{00000000-0008-0000-0300-0000A600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67" name="Group 166">
            <a:extLst>
              <a:ext uri="{FF2B5EF4-FFF2-40B4-BE49-F238E27FC236}">
                <a16:creationId xmlns:a16="http://schemas.microsoft.com/office/drawing/2014/main" id="{00000000-0008-0000-0300-0000A7000000}"/>
              </a:ext>
            </a:extLst>
          </xdr:cNvPr>
          <xdr:cNvGrpSpPr/>
        </xdr:nvGrpSpPr>
        <xdr:grpSpPr>
          <a:xfrm>
            <a:off x="428625" y="301625"/>
            <a:ext cx="1861754" cy="188857"/>
            <a:chOff x="426983" y="303815"/>
            <a:chExt cx="1847521" cy="188857"/>
          </a:xfrm>
        </xdr:grpSpPr>
        <xdr:cxnSp macro="">
          <xdr:nvCxnSpPr>
            <xdr:cNvPr id="198" name="Straight Connector 197">
              <a:extLst>
                <a:ext uri="{FF2B5EF4-FFF2-40B4-BE49-F238E27FC236}">
                  <a16:creationId xmlns:a16="http://schemas.microsoft.com/office/drawing/2014/main" id="{00000000-0008-0000-0300-0000C6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9" name="Straight Connector 198">
              <a:extLst>
                <a:ext uri="{FF2B5EF4-FFF2-40B4-BE49-F238E27FC236}">
                  <a16:creationId xmlns:a16="http://schemas.microsoft.com/office/drawing/2014/main" id="{00000000-0008-0000-0300-0000C7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0" name="Straight Connector 199">
              <a:extLst>
                <a:ext uri="{FF2B5EF4-FFF2-40B4-BE49-F238E27FC236}">
                  <a16:creationId xmlns:a16="http://schemas.microsoft.com/office/drawing/2014/main" id="{00000000-0008-0000-0300-0000C8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01" name="Straight Connector 200">
              <a:extLst>
                <a:ext uri="{FF2B5EF4-FFF2-40B4-BE49-F238E27FC236}">
                  <a16:creationId xmlns:a16="http://schemas.microsoft.com/office/drawing/2014/main" id="{00000000-0008-0000-0300-0000C9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68" name="Group 167">
            <a:extLst>
              <a:ext uri="{FF2B5EF4-FFF2-40B4-BE49-F238E27FC236}">
                <a16:creationId xmlns:a16="http://schemas.microsoft.com/office/drawing/2014/main" id="{00000000-0008-0000-0300-0000A8000000}"/>
              </a:ext>
            </a:extLst>
          </xdr:cNvPr>
          <xdr:cNvGrpSpPr/>
        </xdr:nvGrpSpPr>
        <xdr:grpSpPr>
          <a:xfrm>
            <a:off x="428625" y="547689"/>
            <a:ext cx="1861754" cy="190499"/>
            <a:chOff x="426983" y="303815"/>
            <a:chExt cx="1847521" cy="188857"/>
          </a:xfrm>
        </xdr:grpSpPr>
        <xdr:cxnSp macro="">
          <xdr:nvCxnSpPr>
            <xdr:cNvPr id="194" name="Straight Connector 193">
              <a:extLst>
                <a:ext uri="{FF2B5EF4-FFF2-40B4-BE49-F238E27FC236}">
                  <a16:creationId xmlns:a16="http://schemas.microsoft.com/office/drawing/2014/main" id="{00000000-0008-0000-0300-0000C2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5" name="Straight Connector 194">
              <a:extLst>
                <a:ext uri="{FF2B5EF4-FFF2-40B4-BE49-F238E27FC236}">
                  <a16:creationId xmlns:a16="http://schemas.microsoft.com/office/drawing/2014/main" id="{00000000-0008-0000-0300-0000C3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6" name="Straight Connector 195">
              <a:extLst>
                <a:ext uri="{FF2B5EF4-FFF2-40B4-BE49-F238E27FC236}">
                  <a16:creationId xmlns:a16="http://schemas.microsoft.com/office/drawing/2014/main" id="{00000000-0008-0000-0300-0000C4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97" name="Straight Connector 196">
              <a:extLst>
                <a:ext uri="{FF2B5EF4-FFF2-40B4-BE49-F238E27FC236}">
                  <a16:creationId xmlns:a16="http://schemas.microsoft.com/office/drawing/2014/main" id="{00000000-0008-0000-0300-0000C5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69" name="Group 168">
            <a:extLst>
              <a:ext uri="{FF2B5EF4-FFF2-40B4-BE49-F238E27FC236}">
                <a16:creationId xmlns:a16="http://schemas.microsoft.com/office/drawing/2014/main" id="{00000000-0008-0000-0300-0000A9000000}"/>
              </a:ext>
            </a:extLst>
          </xdr:cNvPr>
          <xdr:cNvGrpSpPr/>
        </xdr:nvGrpSpPr>
        <xdr:grpSpPr>
          <a:xfrm>
            <a:off x="428625" y="793751"/>
            <a:ext cx="1861754" cy="190499"/>
            <a:chOff x="426983" y="303815"/>
            <a:chExt cx="1847521" cy="188857"/>
          </a:xfrm>
        </xdr:grpSpPr>
        <xdr:cxnSp macro="">
          <xdr:nvCxnSpPr>
            <xdr:cNvPr id="190" name="Straight Connector 189">
              <a:extLst>
                <a:ext uri="{FF2B5EF4-FFF2-40B4-BE49-F238E27FC236}">
                  <a16:creationId xmlns:a16="http://schemas.microsoft.com/office/drawing/2014/main" id="{00000000-0008-0000-0300-0000BE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1" name="Straight Connector 190">
              <a:extLst>
                <a:ext uri="{FF2B5EF4-FFF2-40B4-BE49-F238E27FC236}">
                  <a16:creationId xmlns:a16="http://schemas.microsoft.com/office/drawing/2014/main" id="{00000000-0008-0000-0300-0000BF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2" name="Straight Connector 191">
              <a:extLst>
                <a:ext uri="{FF2B5EF4-FFF2-40B4-BE49-F238E27FC236}">
                  <a16:creationId xmlns:a16="http://schemas.microsoft.com/office/drawing/2014/main" id="{00000000-0008-0000-0300-0000C0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93" name="Straight Connector 192">
              <a:extLst>
                <a:ext uri="{FF2B5EF4-FFF2-40B4-BE49-F238E27FC236}">
                  <a16:creationId xmlns:a16="http://schemas.microsoft.com/office/drawing/2014/main" id="{00000000-0008-0000-0300-0000C1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0" name="Group 169">
            <a:extLst>
              <a:ext uri="{FF2B5EF4-FFF2-40B4-BE49-F238E27FC236}">
                <a16:creationId xmlns:a16="http://schemas.microsoft.com/office/drawing/2014/main" id="{00000000-0008-0000-0300-0000AA000000}"/>
              </a:ext>
            </a:extLst>
          </xdr:cNvPr>
          <xdr:cNvGrpSpPr/>
        </xdr:nvGrpSpPr>
        <xdr:grpSpPr>
          <a:xfrm>
            <a:off x="428625" y="1041728"/>
            <a:ext cx="1861754" cy="186942"/>
            <a:chOff x="426983" y="303815"/>
            <a:chExt cx="1847521" cy="188857"/>
          </a:xfrm>
        </xdr:grpSpPr>
        <xdr:cxnSp macro="">
          <xdr:nvCxnSpPr>
            <xdr:cNvPr id="186" name="Straight Connector 185">
              <a:extLst>
                <a:ext uri="{FF2B5EF4-FFF2-40B4-BE49-F238E27FC236}">
                  <a16:creationId xmlns:a16="http://schemas.microsoft.com/office/drawing/2014/main" id="{00000000-0008-0000-0300-0000BA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7" name="Straight Connector 186">
              <a:extLst>
                <a:ext uri="{FF2B5EF4-FFF2-40B4-BE49-F238E27FC236}">
                  <a16:creationId xmlns:a16="http://schemas.microsoft.com/office/drawing/2014/main" id="{00000000-0008-0000-0300-0000BB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8" name="Straight Connector 187">
              <a:extLst>
                <a:ext uri="{FF2B5EF4-FFF2-40B4-BE49-F238E27FC236}">
                  <a16:creationId xmlns:a16="http://schemas.microsoft.com/office/drawing/2014/main" id="{00000000-0008-0000-0300-0000BC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9" name="Straight Connector 188">
              <a:extLst>
                <a:ext uri="{FF2B5EF4-FFF2-40B4-BE49-F238E27FC236}">
                  <a16:creationId xmlns:a16="http://schemas.microsoft.com/office/drawing/2014/main" id="{00000000-0008-0000-0300-0000BD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1" name="Group 170">
            <a:extLst>
              <a:ext uri="{FF2B5EF4-FFF2-40B4-BE49-F238E27FC236}">
                <a16:creationId xmlns:a16="http://schemas.microsoft.com/office/drawing/2014/main" id="{00000000-0008-0000-0300-0000AB000000}"/>
              </a:ext>
            </a:extLst>
          </xdr:cNvPr>
          <xdr:cNvGrpSpPr/>
        </xdr:nvGrpSpPr>
        <xdr:grpSpPr>
          <a:xfrm>
            <a:off x="428625" y="1285876"/>
            <a:ext cx="1861754" cy="188857"/>
            <a:chOff x="426983" y="303815"/>
            <a:chExt cx="1847521" cy="188857"/>
          </a:xfrm>
        </xdr:grpSpPr>
        <xdr:cxnSp macro="">
          <xdr:nvCxnSpPr>
            <xdr:cNvPr id="182" name="Straight Connector 181">
              <a:extLst>
                <a:ext uri="{FF2B5EF4-FFF2-40B4-BE49-F238E27FC236}">
                  <a16:creationId xmlns:a16="http://schemas.microsoft.com/office/drawing/2014/main" id="{00000000-0008-0000-0300-0000B6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3" name="Straight Connector 182">
              <a:extLst>
                <a:ext uri="{FF2B5EF4-FFF2-40B4-BE49-F238E27FC236}">
                  <a16:creationId xmlns:a16="http://schemas.microsoft.com/office/drawing/2014/main" id="{00000000-0008-0000-0300-0000B7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4" name="Straight Connector 183">
              <a:extLst>
                <a:ext uri="{FF2B5EF4-FFF2-40B4-BE49-F238E27FC236}">
                  <a16:creationId xmlns:a16="http://schemas.microsoft.com/office/drawing/2014/main" id="{00000000-0008-0000-0300-0000B8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5" name="Straight Connector 184">
              <a:extLst>
                <a:ext uri="{FF2B5EF4-FFF2-40B4-BE49-F238E27FC236}">
                  <a16:creationId xmlns:a16="http://schemas.microsoft.com/office/drawing/2014/main" id="{00000000-0008-0000-0300-0000B9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2" name="Group 171">
            <a:extLst>
              <a:ext uri="{FF2B5EF4-FFF2-40B4-BE49-F238E27FC236}">
                <a16:creationId xmlns:a16="http://schemas.microsoft.com/office/drawing/2014/main" id="{00000000-0008-0000-0300-0000AC000000}"/>
              </a:ext>
            </a:extLst>
          </xdr:cNvPr>
          <xdr:cNvGrpSpPr/>
        </xdr:nvGrpSpPr>
        <xdr:grpSpPr>
          <a:xfrm>
            <a:off x="428625" y="1531938"/>
            <a:ext cx="1861754" cy="188857"/>
            <a:chOff x="426983" y="303815"/>
            <a:chExt cx="1847521" cy="188857"/>
          </a:xfrm>
        </xdr:grpSpPr>
        <xdr:cxnSp macro="">
          <xdr:nvCxnSpPr>
            <xdr:cNvPr id="178" name="Straight Connector 177">
              <a:extLst>
                <a:ext uri="{FF2B5EF4-FFF2-40B4-BE49-F238E27FC236}">
                  <a16:creationId xmlns:a16="http://schemas.microsoft.com/office/drawing/2014/main" id="{00000000-0008-0000-0300-0000B2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9" name="Straight Connector 178">
              <a:extLst>
                <a:ext uri="{FF2B5EF4-FFF2-40B4-BE49-F238E27FC236}">
                  <a16:creationId xmlns:a16="http://schemas.microsoft.com/office/drawing/2014/main" id="{00000000-0008-0000-0300-0000B3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0" name="Straight Connector 179">
              <a:extLst>
                <a:ext uri="{FF2B5EF4-FFF2-40B4-BE49-F238E27FC236}">
                  <a16:creationId xmlns:a16="http://schemas.microsoft.com/office/drawing/2014/main" id="{00000000-0008-0000-0300-0000B4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1" name="Straight Connector 180">
              <a:extLst>
                <a:ext uri="{FF2B5EF4-FFF2-40B4-BE49-F238E27FC236}">
                  <a16:creationId xmlns:a16="http://schemas.microsoft.com/office/drawing/2014/main" id="{00000000-0008-0000-0300-0000B5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3" name="Group 172">
            <a:extLst>
              <a:ext uri="{FF2B5EF4-FFF2-40B4-BE49-F238E27FC236}">
                <a16:creationId xmlns:a16="http://schemas.microsoft.com/office/drawing/2014/main" id="{00000000-0008-0000-0300-0000AD000000}"/>
              </a:ext>
            </a:extLst>
          </xdr:cNvPr>
          <xdr:cNvGrpSpPr/>
        </xdr:nvGrpSpPr>
        <xdr:grpSpPr>
          <a:xfrm>
            <a:off x="428625" y="1778001"/>
            <a:ext cx="1861754" cy="190499"/>
            <a:chOff x="426983" y="303815"/>
            <a:chExt cx="1847521" cy="188857"/>
          </a:xfrm>
        </xdr:grpSpPr>
        <xdr:cxnSp macro="">
          <xdr:nvCxnSpPr>
            <xdr:cNvPr id="174" name="Straight Connector 173">
              <a:extLst>
                <a:ext uri="{FF2B5EF4-FFF2-40B4-BE49-F238E27FC236}">
                  <a16:creationId xmlns:a16="http://schemas.microsoft.com/office/drawing/2014/main" id="{00000000-0008-0000-0300-0000AE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5" name="Straight Connector 174">
              <a:extLst>
                <a:ext uri="{FF2B5EF4-FFF2-40B4-BE49-F238E27FC236}">
                  <a16:creationId xmlns:a16="http://schemas.microsoft.com/office/drawing/2014/main" id="{00000000-0008-0000-0300-0000AF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6" name="Straight Connector 175">
              <a:extLst>
                <a:ext uri="{FF2B5EF4-FFF2-40B4-BE49-F238E27FC236}">
                  <a16:creationId xmlns:a16="http://schemas.microsoft.com/office/drawing/2014/main" id="{00000000-0008-0000-0300-0000B0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77" name="Straight Connector 176">
              <a:extLst>
                <a:ext uri="{FF2B5EF4-FFF2-40B4-BE49-F238E27FC236}">
                  <a16:creationId xmlns:a16="http://schemas.microsoft.com/office/drawing/2014/main" id="{00000000-0008-0000-0300-0000B1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4</xdr:col>
      <xdr:colOff>106</xdr:colOff>
      <xdr:row>7</xdr:row>
      <xdr:rowOff>2</xdr:rowOff>
    </xdr:from>
    <xdr:to>
      <xdr:col>8</xdr:col>
      <xdr:colOff>324864</xdr:colOff>
      <xdr:row>7</xdr:row>
      <xdr:rowOff>180975</xdr:rowOff>
    </xdr:to>
    <xdr:sp macro="" textlink="">
      <xdr:nvSpPr>
        <xdr:cNvPr id="159" name="TextBox 158" title="Page Navigation">
          <a:hlinkClick xmlns:r="http://schemas.openxmlformats.org/officeDocument/2006/relationships" r:id="rId4" tooltip="Fixtures page"/>
          <a:extLst>
            <a:ext uri="{FF2B5EF4-FFF2-40B4-BE49-F238E27FC236}">
              <a16:creationId xmlns:a16="http://schemas.microsoft.com/office/drawing/2014/main" id="{00000000-0008-0000-0300-00009F000000}"/>
            </a:ext>
          </a:extLst>
        </xdr:cNvPr>
        <xdr:cNvSpPr txBox="1"/>
      </xdr:nvSpPr>
      <xdr:spPr>
        <a:xfrm>
          <a:off x="1393137" y="809627"/>
          <a:ext cx="1848758" cy="18097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Existing and New Fixtures</a:t>
          </a:r>
        </a:p>
      </xdr:txBody>
    </xdr:sp>
    <xdr:clientData fPrintsWithSheet="0"/>
  </xdr:twoCellAnchor>
  <xdr:twoCellAnchor>
    <xdr:from>
      <xdr:col>4</xdr:col>
      <xdr:colOff>105</xdr:colOff>
      <xdr:row>11</xdr:row>
      <xdr:rowOff>0</xdr:rowOff>
    </xdr:from>
    <xdr:to>
      <xdr:col>8</xdr:col>
      <xdr:colOff>324863</xdr:colOff>
      <xdr:row>11</xdr:row>
      <xdr:rowOff>180473</xdr:rowOff>
    </xdr:to>
    <xdr:sp macro="" textlink="">
      <xdr:nvSpPr>
        <xdr:cNvPr id="160" name="TextBox 159" title="Page Navigation">
          <a:hlinkClick xmlns:r="http://schemas.openxmlformats.org/officeDocument/2006/relationships" r:id="rId5" tooltip="Customer Authorization page"/>
          <a:extLst>
            <a:ext uri="{FF2B5EF4-FFF2-40B4-BE49-F238E27FC236}">
              <a16:creationId xmlns:a16="http://schemas.microsoft.com/office/drawing/2014/main" id="{00000000-0008-0000-0300-0000A0000000}"/>
            </a:ext>
          </a:extLst>
        </xdr:cNvPr>
        <xdr:cNvSpPr txBox="1"/>
      </xdr:nvSpPr>
      <xdr:spPr>
        <a:xfrm>
          <a:off x="1393136" y="1309688"/>
          <a:ext cx="1848758" cy="18047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Customer Authorization</a:t>
          </a:r>
        </a:p>
      </xdr:txBody>
    </xdr:sp>
    <xdr:clientData fPrintsWithSheet="0"/>
  </xdr:twoCellAnchor>
  <xdr:twoCellAnchor>
    <xdr:from>
      <xdr:col>4</xdr:col>
      <xdr:colOff>106</xdr:colOff>
      <xdr:row>15</xdr:row>
      <xdr:rowOff>1</xdr:rowOff>
    </xdr:from>
    <xdr:to>
      <xdr:col>8</xdr:col>
      <xdr:colOff>324864</xdr:colOff>
      <xdr:row>16</xdr:row>
      <xdr:rowOff>1</xdr:rowOff>
    </xdr:to>
    <xdr:sp macro="" textlink="">
      <xdr:nvSpPr>
        <xdr:cNvPr id="161" name="TextBox 160" title="Page Navigation">
          <a:hlinkClick xmlns:r="http://schemas.openxmlformats.org/officeDocument/2006/relationships" r:id="rId6" tooltip="PSE Only - Grant QC page"/>
          <a:extLst>
            <a:ext uri="{FF2B5EF4-FFF2-40B4-BE49-F238E27FC236}">
              <a16:creationId xmlns:a16="http://schemas.microsoft.com/office/drawing/2014/main" id="{00000000-0008-0000-0300-0000A1000000}"/>
            </a:ext>
          </a:extLst>
        </xdr:cNvPr>
        <xdr:cNvSpPr txBox="1"/>
      </xdr:nvSpPr>
      <xdr:spPr>
        <a:xfrm>
          <a:off x="1393137" y="1809751"/>
          <a:ext cx="1848758"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PSE</a:t>
          </a:r>
          <a:r>
            <a:rPr lang="en-US" sz="1100" b="0" baseline="0">
              <a:solidFill>
                <a:schemeClr val="bg1"/>
              </a:solidFill>
              <a:sym typeface="Webdings" panose="05030102010509060703" pitchFamily="18" charset="2"/>
            </a:rPr>
            <a:t> Grant QC Page</a:t>
          </a:r>
          <a:endParaRPr lang="en-US" sz="1100" b="0">
            <a:solidFill>
              <a:schemeClr val="bg1"/>
            </a:solidFill>
            <a:sym typeface="Webdings" panose="05030102010509060703" pitchFamily="18" charset="2"/>
          </a:endParaRPr>
        </a:p>
      </xdr:txBody>
    </xdr:sp>
    <xdr:clientData fPrintsWithSheet="0"/>
  </xdr:twoCellAnchor>
  <xdr:twoCellAnchor>
    <xdr:from>
      <xdr:col>4</xdr:col>
      <xdr:colOff>105</xdr:colOff>
      <xdr:row>12</xdr:row>
      <xdr:rowOff>59530</xdr:rowOff>
    </xdr:from>
    <xdr:to>
      <xdr:col>8</xdr:col>
      <xdr:colOff>324863</xdr:colOff>
      <xdr:row>13</xdr:row>
      <xdr:rowOff>180471</xdr:rowOff>
    </xdr:to>
    <xdr:sp macro="" textlink="">
      <xdr:nvSpPr>
        <xdr:cNvPr id="162" name="TextBox 161" title="Page Navigation">
          <a:hlinkClick xmlns:r="http://schemas.openxmlformats.org/officeDocument/2006/relationships" r:id="rId7" tooltip="LLLC &amp; Ext. NLC page"/>
          <a:extLst>
            <a:ext uri="{FF2B5EF4-FFF2-40B4-BE49-F238E27FC236}">
              <a16:creationId xmlns:a16="http://schemas.microsoft.com/office/drawing/2014/main" id="{00000000-0008-0000-0300-0000A2000000}"/>
            </a:ext>
          </a:extLst>
        </xdr:cNvPr>
        <xdr:cNvSpPr txBox="1"/>
      </xdr:nvSpPr>
      <xdr:spPr>
        <a:xfrm>
          <a:off x="1393136" y="1559718"/>
          <a:ext cx="1848758" cy="18047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LLLC &amp; Exterior NLC</a:t>
          </a:r>
        </a:p>
      </xdr:txBody>
    </xdr:sp>
    <xdr:clientData fPrintsWithSheet="0"/>
  </xdr:twoCellAnchor>
  <xdr:twoCellAnchor>
    <xdr:from>
      <xdr:col>4</xdr:col>
      <xdr:colOff>106</xdr:colOff>
      <xdr:row>3</xdr:row>
      <xdr:rowOff>1</xdr:rowOff>
    </xdr:from>
    <xdr:to>
      <xdr:col>8</xdr:col>
      <xdr:colOff>324864</xdr:colOff>
      <xdr:row>4</xdr:row>
      <xdr:rowOff>1</xdr:rowOff>
    </xdr:to>
    <xdr:sp macro="" textlink="">
      <xdr:nvSpPr>
        <xdr:cNvPr id="163" name="TextBox 162" title="Page Navigation">
          <a:hlinkClick xmlns:r="http://schemas.openxmlformats.org/officeDocument/2006/relationships" r:id="rId8" tooltip="Terms page"/>
          <a:extLst>
            <a:ext uri="{FF2B5EF4-FFF2-40B4-BE49-F238E27FC236}">
              <a16:creationId xmlns:a16="http://schemas.microsoft.com/office/drawing/2014/main" id="{00000000-0008-0000-0300-0000A3000000}"/>
            </a:ext>
          </a:extLst>
        </xdr:cNvPr>
        <xdr:cNvSpPr txBox="1"/>
      </xdr:nvSpPr>
      <xdr:spPr>
        <a:xfrm>
          <a:off x="1393137" y="309564"/>
          <a:ext cx="1848758"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Terms and Conditions</a:t>
          </a:r>
        </a:p>
      </xdr:txBody>
    </xdr:sp>
    <xdr:clientData fPrintsWithSheet="0"/>
  </xdr:twoCellAnchor>
  <xdr:twoCellAnchor>
    <xdr:from>
      <xdr:col>4</xdr:col>
      <xdr:colOff>106</xdr:colOff>
      <xdr:row>5</xdr:row>
      <xdr:rowOff>0</xdr:rowOff>
    </xdr:from>
    <xdr:to>
      <xdr:col>8</xdr:col>
      <xdr:colOff>324864</xdr:colOff>
      <xdr:row>6</xdr:row>
      <xdr:rowOff>0</xdr:rowOff>
    </xdr:to>
    <xdr:sp macro="" textlink="">
      <xdr:nvSpPr>
        <xdr:cNvPr id="164" name="TextBox 163" title="Page Navigation">
          <a:hlinkClick xmlns:r="http://schemas.openxmlformats.org/officeDocument/2006/relationships" r:id="rId9" tooltip="Project info page"/>
          <a:extLst>
            <a:ext uri="{FF2B5EF4-FFF2-40B4-BE49-F238E27FC236}">
              <a16:creationId xmlns:a16="http://schemas.microsoft.com/office/drawing/2014/main" id="{00000000-0008-0000-0300-0000A4000000}"/>
            </a:ext>
          </a:extLst>
        </xdr:cNvPr>
        <xdr:cNvSpPr txBox="1"/>
      </xdr:nvSpPr>
      <xdr:spPr>
        <a:xfrm>
          <a:off x="1393137" y="559594"/>
          <a:ext cx="1848758"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 Owner Info</a:t>
          </a:r>
        </a:p>
      </xdr:txBody>
    </xdr:sp>
    <xdr:clientData fPrintsWithSheet="0"/>
  </xdr:twoCellAnchor>
  <xdr:twoCellAnchor>
    <xdr:from>
      <xdr:col>4</xdr:col>
      <xdr:colOff>105</xdr:colOff>
      <xdr:row>9</xdr:row>
      <xdr:rowOff>2</xdr:rowOff>
    </xdr:from>
    <xdr:to>
      <xdr:col>8</xdr:col>
      <xdr:colOff>324863</xdr:colOff>
      <xdr:row>9</xdr:row>
      <xdr:rowOff>180975</xdr:rowOff>
    </xdr:to>
    <xdr:sp macro="" textlink="">
      <xdr:nvSpPr>
        <xdr:cNvPr id="165" name="TextBox 164" title="Page Navigation">
          <a:hlinkClick xmlns:r="http://schemas.openxmlformats.org/officeDocument/2006/relationships" r:id="rId2" tooltip="Installations Page"/>
          <a:extLst>
            <a:ext uri="{FF2B5EF4-FFF2-40B4-BE49-F238E27FC236}">
              <a16:creationId xmlns:a16="http://schemas.microsoft.com/office/drawing/2014/main" id="{00000000-0008-0000-0300-0000A5000000}"/>
            </a:ext>
          </a:extLst>
        </xdr:cNvPr>
        <xdr:cNvSpPr txBox="1"/>
      </xdr:nvSpPr>
      <xdr:spPr>
        <a:xfrm>
          <a:off x="1393136" y="1059658"/>
          <a:ext cx="1848758" cy="180973"/>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Installations</a:t>
          </a:r>
        </a:p>
      </xdr:txBody>
    </xdr:sp>
    <xdr:clientData fPrintsWithSheet="0"/>
  </xdr:twoCellAnchor>
  <xdr:twoCellAnchor>
    <xdr:from>
      <xdr:col>4</xdr:col>
      <xdr:colOff>106</xdr:colOff>
      <xdr:row>0</xdr:row>
      <xdr:rowOff>34955</xdr:rowOff>
    </xdr:from>
    <xdr:to>
      <xdr:col>8</xdr:col>
      <xdr:colOff>372575</xdr:colOff>
      <xdr:row>1</xdr:row>
      <xdr:rowOff>180975</xdr:rowOff>
    </xdr:to>
    <xdr:sp macro="" textlink="">
      <xdr:nvSpPr>
        <xdr:cNvPr id="158" name="TextBox 157" title="Page Navigation">
          <a:hlinkClick xmlns:r="http://schemas.openxmlformats.org/officeDocument/2006/relationships" r:id="rId2" tooltip="Top of page"/>
          <a:extLst>
            <a:ext uri="{FF2B5EF4-FFF2-40B4-BE49-F238E27FC236}">
              <a16:creationId xmlns:a16="http://schemas.microsoft.com/office/drawing/2014/main" id="{00000000-0008-0000-0300-00009E000000}"/>
            </a:ext>
          </a:extLst>
        </xdr:cNvPr>
        <xdr:cNvSpPr txBox="1"/>
      </xdr:nvSpPr>
      <xdr:spPr>
        <a:xfrm>
          <a:off x="1393137" y="34955"/>
          <a:ext cx="1896469" cy="205551"/>
        </a:xfrm>
        <a:prstGeom prst="rect">
          <a:avLst/>
        </a:prstGeom>
        <a:solidFill>
          <a:schemeClr val="bg1">
            <a:alpha val="0"/>
          </a:schemeClr>
        </a:solidFill>
        <a:ln w="6350">
          <a:solidFill>
            <a:srgbClr val="006666"/>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xdr:from>
      <xdr:col>21</xdr:col>
      <xdr:colOff>0</xdr:colOff>
      <xdr:row>14</xdr:row>
      <xdr:rowOff>0</xdr:rowOff>
    </xdr:from>
    <xdr:to>
      <xdr:col>33</xdr:col>
      <xdr:colOff>0</xdr:colOff>
      <xdr:row>17</xdr:row>
      <xdr:rowOff>0</xdr:rowOff>
    </xdr:to>
    <xdr:grpSp>
      <xdr:nvGrpSpPr>
        <xdr:cNvPr id="202" name="Group 201">
          <a:extLst>
            <a:ext uri="{FF2B5EF4-FFF2-40B4-BE49-F238E27FC236}">
              <a16:creationId xmlns:a16="http://schemas.microsoft.com/office/drawing/2014/main" id="{00000000-0008-0000-0300-0000CA000000}"/>
            </a:ext>
          </a:extLst>
        </xdr:cNvPr>
        <xdr:cNvGrpSpPr/>
      </xdr:nvGrpSpPr>
      <xdr:grpSpPr>
        <a:xfrm>
          <a:off x="6872378" y="1744453"/>
          <a:ext cx="5607169" cy="306717"/>
          <a:chOff x="3467100" y="1733550"/>
          <a:chExt cx="4953000" cy="247651"/>
        </a:xfrm>
      </xdr:grpSpPr>
      <xdr:sp macro="" textlink="">
        <xdr:nvSpPr>
          <xdr:cNvPr id="203" name="Rectangle 202">
            <a:extLst>
              <a:ext uri="{FF2B5EF4-FFF2-40B4-BE49-F238E27FC236}">
                <a16:creationId xmlns:a16="http://schemas.microsoft.com/office/drawing/2014/main" id="{00000000-0008-0000-0300-0000CB000000}"/>
              </a:ext>
            </a:extLst>
          </xdr:cNvPr>
          <xdr:cNvSpPr/>
        </xdr:nvSpPr>
        <xdr:spPr>
          <a:xfrm>
            <a:off x="3467100" y="1733551"/>
            <a:ext cx="4953000" cy="247650"/>
          </a:xfrm>
          <a:prstGeom prst="rect">
            <a:avLst/>
          </a:prstGeom>
          <a:solidFill>
            <a:srgbClr val="156570">
              <a:alpha val="75000"/>
            </a:srgb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204" name="Rectangle 203">
            <a:extLst>
              <a:ext uri="{FF2B5EF4-FFF2-40B4-BE49-F238E27FC236}">
                <a16:creationId xmlns:a16="http://schemas.microsoft.com/office/drawing/2014/main" id="{00000000-0008-0000-0300-0000CC000000}"/>
              </a:ext>
            </a:extLst>
          </xdr:cNvPr>
          <xdr:cNvSpPr/>
        </xdr:nvSpPr>
        <xdr:spPr>
          <a:xfrm>
            <a:off x="3467100" y="1733550"/>
            <a:ext cx="4952999" cy="247650"/>
          </a:xfrm>
          <a:prstGeom prst="rect">
            <a:avLst/>
          </a:prstGeom>
          <a:solidFill>
            <a:schemeClr val="bg1">
              <a:alpha val="75000"/>
            </a:schemeClr>
          </a:solidFill>
          <a:ln>
            <a:solidFill>
              <a:srgbClr val="15657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effectLst/>
                <a:latin typeface="+mn-lt"/>
                <a:ea typeface="+mn-ea"/>
                <a:cs typeface="+mn-cs"/>
              </a:rPr>
              <a:t>Attachment C - Lighting Installations</a:t>
            </a:r>
            <a:endParaRPr lang="en-US" sz="1400" b="1">
              <a:solidFill>
                <a:sysClr val="windowText" lastClr="000000"/>
              </a:solidFill>
            </a:endParaRPr>
          </a:p>
        </xdr:txBody>
      </xdr:sp>
    </xdr:grpSp>
    <xdr:clientData/>
  </xdr:twoCellAnchor>
  <xdr:twoCellAnchor>
    <xdr:from>
      <xdr:col>38</xdr:col>
      <xdr:colOff>579646</xdr:colOff>
      <xdr:row>0</xdr:row>
      <xdr:rowOff>0</xdr:rowOff>
    </xdr:from>
    <xdr:to>
      <xdr:col>47</xdr:col>
      <xdr:colOff>3112</xdr:colOff>
      <xdr:row>17</xdr:row>
      <xdr:rowOff>1432</xdr:rowOff>
    </xdr:to>
    <xdr:sp macro="" textlink="">
      <xdr:nvSpPr>
        <xdr:cNvPr id="2" name="Rectangle 1">
          <a:hlinkClick xmlns:r="http://schemas.openxmlformats.org/officeDocument/2006/relationships" r:id="rId2" tooltip="Top of page"/>
          <a:extLst>
            <a:ext uri="{FF2B5EF4-FFF2-40B4-BE49-F238E27FC236}">
              <a16:creationId xmlns:a16="http://schemas.microsoft.com/office/drawing/2014/main" id="{00000000-0008-0000-0300-000002000000}"/>
            </a:ext>
          </a:extLst>
        </xdr:cNvPr>
        <xdr:cNvSpPr/>
      </xdr:nvSpPr>
      <xdr:spPr>
        <a:xfrm>
          <a:off x="15855365" y="0"/>
          <a:ext cx="1899966" cy="2168370"/>
        </a:xfrm>
        <a:prstGeom prst="rect">
          <a:avLst/>
        </a:prstGeom>
        <a:solidFill>
          <a:srgbClr val="156570"/>
        </a:solidFill>
        <a:ln>
          <a:solidFill>
            <a:srgbClr val="15657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43</xdr:col>
      <xdr:colOff>3566</xdr:colOff>
      <xdr:row>9</xdr:row>
      <xdr:rowOff>2568</xdr:rowOff>
    </xdr:from>
    <xdr:to>
      <xdr:col>46</xdr:col>
      <xdr:colOff>244</xdr:colOff>
      <xdr:row>9</xdr:row>
      <xdr:rowOff>189081</xdr:rowOff>
    </xdr:to>
    <xdr:grpSp>
      <xdr:nvGrpSpPr>
        <xdr:cNvPr id="295" name="Group 294">
          <a:hlinkClick xmlns:r="http://schemas.openxmlformats.org/officeDocument/2006/relationships" r:id="rId10" tooltip="Line 71"/>
          <a:extLst>
            <a:ext uri="{FF2B5EF4-FFF2-40B4-BE49-F238E27FC236}">
              <a16:creationId xmlns:a16="http://schemas.microsoft.com/office/drawing/2014/main" id="{00000000-0008-0000-0300-000027010000}"/>
            </a:ext>
          </a:extLst>
        </xdr:cNvPr>
        <xdr:cNvGrpSpPr/>
      </xdr:nvGrpSpPr>
      <xdr:grpSpPr>
        <a:xfrm>
          <a:off x="16873000" y="1056908"/>
          <a:ext cx="782641" cy="186513"/>
          <a:chOff x="16093707" y="1047838"/>
          <a:chExt cx="762965" cy="189900"/>
        </a:xfrm>
      </xdr:grpSpPr>
      <xdr:sp macro="" textlink="">
        <xdr:nvSpPr>
          <xdr:cNvPr id="30" name="TextBox 29" title="Terms and Conditions">
            <a:hlinkClick xmlns:r="http://schemas.openxmlformats.org/officeDocument/2006/relationships" r:id="rId10"/>
            <a:extLst>
              <a:ext uri="{FF2B5EF4-FFF2-40B4-BE49-F238E27FC236}">
                <a16:creationId xmlns:a16="http://schemas.microsoft.com/office/drawing/2014/main" id="{00000000-0008-0000-0300-00001E000000}"/>
              </a:ext>
            </a:extLst>
          </xdr:cNvPr>
          <xdr:cNvSpPr txBox="1">
            <a:spLocks/>
          </xdr:cNvSpPr>
        </xdr:nvSpPr>
        <xdr:spPr>
          <a:xfrm>
            <a:off x="16093708" y="1047839"/>
            <a:ext cx="762964" cy="189899"/>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rPr>
              <a:t>#71</a:t>
            </a:r>
          </a:p>
        </xdr:txBody>
      </xdr:sp>
      <xdr:cxnSp macro="">
        <xdr:nvCxnSpPr>
          <xdr:cNvPr id="260" name="Straight Connector 259">
            <a:extLst>
              <a:ext uri="{FF2B5EF4-FFF2-40B4-BE49-F238E27FC236}">
                <a16:creationId xmlns:a16="http://schemas.microsoft.com/office/drawing/2014/main" id="{00000000-0008-0000-0300-000004010000}"/>
              </a:ext>
            </a:extLst>
          </xdr:cNvPr>
          <xdr:cNvCxnSpPr/>
        </xdr:nvCxnSpPr>
        <xdr:spPr>
          <a:xfrm>
            <a:off x="16093707" y="1237737"/>
            <a:ext cx="76296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1" name="Straight Connector 260">
            <a:extLst>
              <a:ext uri="{FF2B5EF4-FFF2-40B4-BE49-F238E27FC236}">
                <a16:creationId xmlns:a16="http://schemas.microsoft.com/office/drawing/2014/main" id="{00000000-0008-0000-0300-000005010000}"/>
              </a:ext>
            </a:extLst>
          </xdr:cNvPr>
          <xdr:cNvCxnSpPr/>
        </xdr:nvCxnSpPr>
        <xdr:spPr>
          <a:xfrm flipV="1">
            <a:off x="16856672" y="1047838"/>
            <a:ext cx="0" cy="18989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2" name="Straight Connector 261">
            <a:extLst>
              <a:ext uri="{FF2B5EF4-FFF2-40B4-BE49-F238E27FC236}">
                <a16:creationId xmlns:a16="http://schemas.microsoft.com/office/drawing/2014/main" id="{00000000-0008-0000-0300-000006010000}"/>
              </a:ext>
            </a:extLst>
          </xdr:cNvPr>
          <xdr:cNvCxnSpPr/>
        </xdr:nvCxnSpPr>
        <xdr:spPr>
          <a:xfrm>
            <a:off x="16093707" y="1047838"/>
            <a:ext cx="76296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63" name="Straight Connector 262">
            <a:extLst>
              <a:ext uri="{FF2B5EF4-FFF2-40B4-BE49-F238E27FC236}">
                <a16:creationId xmlns:a16="http://schemas.microsoft.com/office/drawing/2014/main" id="{00000000-0008-0000-0300-000007010000}"/>
              </a:ext>
            </a:extLst>
          </xdr:cNvPr>
          <xdr:cNvCxnSpPr/>
        </xdr:nvCxnSpPr>
        <xdr:spPr>
          <a:xfrm flipV="1">
            <a:off x="16093707" y="1047838"/>
            <a:ext cx="0" cy="189899"/>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43</xdr:col>
      <xdr:colOff>3566</xdr:colOff>
      <xdr:row>11</xdr:row>
      <xdr:rowOff>2285</xdr:rowOff>
    </xdr:from>
    <xdr:to>
      <xdr:col>46</xdr:col>
      <xdr:colOff>244</xdr:colOff>
      <xdr:row>11</xdr:row>
      <xdr:rowOff>188796</xdr:rowOff>
    </xdr:to>
    <xdr:grpSp>
      <xdr:nvGrpSpPr>
        <xdr:cNvPr id="297" name="Group 296">
          <a:hlinkClick xmlns:r="http://schemas.openxmlformats.org/officeDocument/2006/relationships" r:id="rId11" tooltip="Line 86"/>
          <a:extLst>
            <a:ext uri="{FF2B5EF4-FFF2-40B4-BE49-F238E27FC236}">
              <a16:creationId xmlns:a16="http://schemas.microsoft.com/office/drawing/2014/main" id="{00000000-0008-0000-0300-000029010000}"/>
            </a:ext>
          </a:extLst>
        </xdr:cNvPr>
        <xdr:cNvGrpSpPr/>
      </xdr:nvGrpSpPr>
      <xdr:grpSpPr>
        <a:xfrm>
          <a:off x="16873000" y="1305832"/>
          <a:ext cx="782641" cy="186511"/>
          <a:chOff x="16093707" y="1295386"/>
          <a:chExt cx="762965" cy="189898"/>
        </a:xfrm>
      </xdr:grpSpPr>
      <xdr:sp macro="" textlink="">
        <xdr:nvSpPr>
          <xdr:cNvPr id="31" name="TextBox 30" title="Terms and Conditions">
            <a:hlinkClick xmlns:r="http://schemas.openxmlformats.org/officeDocument/2006/relationships" r:id="rId12"/>
            <a:extLst>
              <a:ext uri="{FF2B5EF4-FFF2-40B4-BE49-F238E27FC236}">
                <a16:creationId xmlns:a16="http://schemas.microsoft.com/office/drawing/2014/main" id="{00000000-0008-0000-0300-00001F000000}"/>
              </a:ext>
            </a:extLst>
          </xdr:cNvPr>
          <xdr:cNvSpPr txBox="1">
            <a:spLocks/>
          </xdr:cNvSpPr>
        </xdr:nvSpPr>
        <xdr:spPr>
          <a:xfrm>
            <a:off x="16093708" y="1295386"/>
            <a:ext cx="762964" cy="189898"/>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sym typeface="Webdings" panose="05030102010509060703" pitchFamily="18" charset="2"/>
              </a:rPr>
              <a:t>#86</a:t>
            </a:r>
            <a:endParaRPr lang="en-US" sz="1100">
              <a:solidFill>
                <a:schemeClr val="bg1"/>
              </a:solidFill>
            </a:endParaRPr>
          </a:p>
        </xdr:txBody>
      </xdr:sp>
      <xdr:cxnSp macro="">
        <xdr:nvCxnSpPr>
          <xdr:cNvPr id="265" name="Straight Connector 264">
            <a:extLst>
              <a:ext uri="{FF2B5EF4-FFF2-40B4-BE49-F238E27FC236}">
                <a16:creationId xmlns:a16="http://schemas.microsoft.com/office/drawing/2014/main" id="{00000000-0008-0000-0300-000009010000}"/>
              </a:ext>
            </a:extLst>
          </xdr:cNvPr>
          <xdr:cNvCxnSpPr/>
        </xdr:nvCxnSpPr>
        <xdr:spPr>
          <a:xfrm>
            <a:off x="16093707" y="1485284"/>
            <a:ext cx="76296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6" name="Straight Connector 265">
            <a:extLst>
              <a:ext uri="{FF2B5EF4-FFF2-40B4-BE49-F238E27FC236}">
                <a16:creationId xmlns:a16="http://schemas.microsoft.com/office/drawing/2014/main" id="{00000000-0008-0000-0300-00000A010000}"/>
              </a:ext>
            </a:extLst>
          </xdr:cNvPr>
          <xdr:cNvCxnSpPr/>
        </xdr:nvCxnSpPr>
        <xdr:spPr>
          <a:xfrm flipV="1">
            <a:off x="16856672" y="1296167"/>
            <a:ext cx="0" cy="18911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7" name="Straight Connector 266">
            <a:extLst>
              <a:ext uri="{FF2B5EF4-FFF2-40B4-BE49-F238E27FC236}">
                <a16:creationId xmlns:a16="http://schemas.microsoft.com/office/drawing/2014/main" id="{00000000-0008-0000-0300-00000B010000}"/>
              </a:ext>
            </a:extLst>
          </xdr:cNvPr>
          <xdr:cNvCxnSpPr/>
        </xdr:nvCxnSpPr>
        <xdr:spPr>
          <a:xfrm>
            <a:off x="16093707" y="1296167"/>
            <a:ext cx="76296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68" name="Straight Connector 267">
            <a:extLst>
              <a:ext uri="{FF2B5EF4-FFF2-40B4-BE49-F238E27FC236}">
                <a16:creationId xmlns:a16="http://schemas.microsoft.com/office/drawing/2014/main" id="{00000000-0008-0000-0300-00000C010000}"/>
              </a:ext>
            </a:extLst>
          </xdr:cNvPr>
          <xdr:cNvCxnSpPr/>
        </xdr:nvCxnSpPr>
        <xdr:spPr>
          <a:xfrm flipV="1">
            <a:off x="16093707" y="1296167"/>
            <a:ext cx="0" cy="18911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40</xdr:col>
      <xdr:colOff>2225</xdr:colOff>
      <xdr:row>1</xdr:row>
      <xdr:rowOff>3703</xdr:rowOff>
    </xdr:from>
    <xdr:to>
      <xdr:col>46</xdr:col>
      <xdr:colOff>245</xdr:colOff>
      <xdr:row>2</xdr:row>
      <xdr:rowOff>12331</xdr:rowOff>
    </xdr:to>
    <xdr:sp macro="" textlink="">
      <xdr:nvSpPr>
        <xdr:cNvPr id="22" name="TextBox 21" title="Page Navigation">
          <a:hlinkClick xmlns:r="http://schemas.openxmlformats.org/officeDocument/2006/relationships" r:id="rId2" tooltip="Top of page"/>
          <a:extLst>
            <a:ext uri="{FF2B5EF4-FFF2-40B4-BE49-F238E27FC236}">
              <a16:creationId xmlns:a16="http://schemas.microsoft.com/office/drawing/2014/main" id="{00000000-0008-0000-0300-000016000000}"/>
            </a:ext>
          </a:extLst>
        </xdr:cNvPr>
        <xdr:cNvSpPr txBox="1"/>
      </xdr:nvSpPr>
      <xdr:spPr>
        <a:xfrm>
          <a:off x="15295142" y="56620"/>
          <a:ext cx="1574936" cy="199128"/>
        </a:xfrm>
        <a:prstGeom prst="rect">
          <a:avLst/>
        </a:prstGeom>
        <a:solidFill>
          <a:srgbClr val="156570"/>
        </a:solidFill>
        <a:ln w="6350">
          <a:solidFill>
            <a:srgbClr val="006666"/>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i="1">
              <a:solidFill>
                <a:schemeClr val="bg1"/>
              </a:solidFill>
              <a:sym typeface="Webdings" panose="05030102010509060703" pitchFamily="18" charset="2"/>
            </a:rPr>
            <a:t>Installations </a:t>
          </a:r>
          <a:r>
            <a:rPr lang="en-US" sz="1100" b="0" i="1">
              <a:solidFill>
                <a:schemeClr val="bg1"/>
              </a:solidFill>
            </a:rPr>
            <a:t>Navigation</a:t>
          </a:r>
        </a:p>
      </xdr:txBody>
    </xdr:sp>
    <xdr:clientData fPrintsWithSheet="0"/>
  </xdr:twoCellAnchor>
  <xdr:twoCellAnchor>
    <xdr:from>
      <xdr:col>40</xdr:col>
      <xdr:colOff>2226</xdr:colOff>
      <xdr:row>5</xdr:row>
      <xdr:rowOff>3136</xdr:rowOff>
    </xdr:from>
    <xdr:to>
      <xdr:col>46</xdr:col>
      <xdr:colOff>246</xdr:colOff>
      <xdr:row>6</xdr:row>
      <xdr:rowOff>10120</xdr:rowOff>
    </xdr:to>
    <xdr:sp macro="" textlink="">
      <xdr:nvSpPr>
        <xdr:cNvPr id="27" name="TextBox 26" title="Terms and Conditions">
          <a:hlinkClick xmlns:r="http://schemas.openxmlformats.org/officeDocument/2006/relationships" r:id="rId2" tooltip="Top of page"/>
          <a:extLst>
            <a:ext uri="{FF2B5EF4-FFF2-40B4-BE49-F238E27FC236}">
              <a16:creationId xmlns:a16="http://schemas.microsoft.com/office/drawing/2014/main" id="{00000000-0008-0000-0300-00001B000000}"/>
            </a:ext>
          </a:extLst>
        </xdr:cNvPr>
        <xdr:cNvSpPr txBox="1">
          <a:spLocks/>
        </xdr:cNvSpPr>
      </xdr:nvSpPr>
      <xdr:spPr>
        <a:xfrm>
          <a:off x="15295143" y="542886"/>
          <a:ext cx="1574936" cy="197484"/>
        </a:xfrm>
        <a:prstGeom prst="rect">
          <a:avLst/>
        </a:prstGeom>
        <a:solidFill>
          <a:schemeClr val="bg1">
            <a:alpha val="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pPr algn="ctr"/>
          <a:r>
            <a:rPr lang="en-US" sz="1100" i="1" u="none">
              <a:solidFill>
                <a:schemeClr val="bg1"/>
              </a:solidFill>
            </a:rPr>
            <a:t>Installations</a:t>
          </a:r>
        </a:p>
      </xdr:txBody>
    </xdr:sp>
    <xdr:clientData fPrintsWithSheet="0"/>
  </xdr:twoCellAnchor>
  <xdr:twoCellAnchor>
    <xdr:from>
      <xdr:col>40</xdr:col>
      <xdr:colOff>2225</xdr:colOff>
      <xdr:row>15</xdr:row>
      <xdr:rowOff>1717</xdr:rowOff>
    </xdr:from>
    <xdr:to>
      <xdr:col>46</xdr:col>
      <xdr:colOff>245</xdr:colOff>
      <xdr:row>15</xdr:row>
      <xdr:rowOff>188229</xdr:rowOff>
    </xdr:to>
    <xdr:grpSp>
      <xdr:nvGrpSpPr>
        <xdr:cNvPr id="302" name="Group 301">
          <a:hlinkClick xmlns:r="http://schemas.openxmlformats.org/officeDocument/2006/relationships" r:id="rId13" tooltip="Supplemental Info"/>
          <a:extLst>
            <a:ext uri="{FF2B5EF4-FFF2-40B4-BE49-F238E27FC236}">
              <a16:creationId xmlns:a16="http://schemas.microsoft.com/office/drawing/2014/main" id="{00000000-0008-0000-0300-00002E010000}"/>
            </a:ext>
          </a:extLst>
        </xdr:cNvPr>
        <xdr:cNvGrpSpPr/>
      </xdr:nvGrpSpPr>
      <xdr:grpSpPr>
        <a:xfrm>
          <a:off x="16028187" y="1803679"/>
          <a:ext cx="1627455" cy="186512"/>
          <a:chOff x="15272838" y="1790480"/>
          <a:chExt cx="1583834" cy="189899"/>
        </a:xfrm>
      </xdr:grpSpPr>
      <xdr:sp macro="" textlink="">
        <xdr:nvSpPr>
          <xdr:cNvPr id="16" name="TextBox 15" title="Terms and Conditions">
            <a:hlinkClick xmlns:r="http://schemas.openxmlformats.org/officeDocument/2006/relationships" r:id="rId13" tooltip="Supplemental info"/>
            <a:extLst>
              <a:ext uri="{FF2B5EF4-FFF2-40B4-BE49-F238E27FC236}">
                <a16:creationId xmlns:a16="http://schemas.microsoft.com/office/drawing/2014/main" id="{00000000-0008-0000-0300-000010000000}"/>
              </a:ext>
            </a:extLst>
          </xdr:cNvPr>
          <xdr:cNvSpPr txBox="1">
            <a:spLocks/>
          </xdr:cNvSpPr>
        </xdr:nvSpPr>
        <xdr:spPr>
          <a:xfrm>
            <a:off x="15272839" y="1790481"/>
            <a:ext cx="1583833" cy="189898"/>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a:solidFill>
                  <a:schemeClr val="bg1"/>
                </a:solidFill>
                <a:sym typeface="Webdings" panose="05030102010509060703" pitchFamily="18" charset="2"/>
              </a:rPr>
              <a:t></a:t>
            </a:r>
            <a:r>
              <a:rPr lang="en-US" sz="1100">
                <a:solidFill>
                  <a:schemeClr val="bg1"/>
                </a:solidFill>
              </a:rPr>
              <a:t>Supplemental Info</a:t>
            </a:r>
          </a:p>
        </xdr:txBody>
      </xdr:sp>
      <xdr:cxnSp macro="">
        <xdr:nvCxnSpPr>
          <xdr:cNvPr id="245" name="Straight Connector 244">
            <a:extLst>
              <a:ext uri="{FF2B5EF4-FFF2-40B4-BE49-F238E27FC236}">
                <a16:creationId xmlns:a16="http://schemas.microsoft.com/office/drawing/2014/main" id="{00000000-0008-0000-0300-0000F5000000}"/>
              </a:ext>
            </a:extLst>
          </xdr:cNvPr>
          <xdr:cNvCxnSpPr/>
        </xdr:nvCxnSpPr>
        <xdr:spPr>
          <a:xfrm>
            <a:off x="15272838" y="1980379"/>
            <a:ext cx="1583834"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6" name="Straight Connector 245">
            <a:extLst>
              <a:ext uri="{FF2B5EF4-FFF2-40B4-BE49-F238E27FC236}">
                <a16:creationId xmlns:a16="http://schemas.microsoft.com/office/drawing/2014/main" id="{00000000-0008-0000-0300-0000F6000000}"/>
              </a:ext>
            </a:extLst>
          </xdr:cNvPr>
          <xdr:cNvCxnSpPr/>
        </xdr:nvCxnSpPr>
        <xdr:spPr>
          <a:xfrm flipV="1">
            <a:off x="16856672" y="1790480"/>
            <a:ext cx="0" cy="18989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7" name="Straight Connector 246">
            <a:extLst>
              <a:ext uri="{FF2B5EF4-FFF2-40B4-BE49-F238E27FC236}">
                <a16:creationId xmlns:a16="http://schemas.microsoft.com/office/drawing/2014/main" id="{00000000-0008-0000-0300-0000F7000000}"/>
              </a:ext>
            </a:extLst>
          </xdr:cNvPr>
          <xdr:cNvCxnSpPr/>
        </xdr:nvCxnSpPr>
        <xdr:spPr>
          <a:xfrm>
            <a:off x="15272838" y="1790480"/>
            <a:ext cx="1583834"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48" name="Straight Connector 247">
            <a:extLst>
              <a:ext uri="{FF2B5EF4-FFF2-40B4-BE49-F238E27FC236}">
                <a16:creationId xmlns:a16="http://schemas.microsoft.com/office/drawing/2014/main" id="{00000000-0008-0000-0300-0000F8000000}"/>
              </a:ext>
            </a:extLst>
          </xdr:cNvPr>
          <xdr:cNvCxnSpPr/>
        </xdr:nvCxnSpPr>
        <xdr:spPr>
          <a:xfrm flipV="1">
            <a:off x="15272838" y="1790480"/>
            <a:ext cx="0" cy="189899"/>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40</xdr:col>
      <xdr:colOff>2225</xdr:colOff>
      <xdr:row>9</xdr:row>
      <xdr:rowOff>2568</xdr:rowOff>
    </xdr:from>
    <xdr:to>
      <xdr:col>41</xdr:col>
      <xdr:colOff>379903</xdr:colOff>
      <xdr:row>9</xdr:row>
      <xdr:rowOff>189080</xdr:rowOff>
    </xdr:to>
    <xdr:grpSp>
      <xdr:nvGrpSpPr>
        <xdr:cNvPr id="294" name="Group 293">
          <a:hlinkClick xmlns:r="http://schemas.openxmlformats.org/officeDocument/2006/relationships" r:id="rId14" tooltip="Line 11"/>
          <a:extLst>
            <a:ext uri="{FF2B5EF4-FFF2-40B4-BE49-F238E27FC236}">
              <a16:creationId xmlns:a16="http://schemas.microsoft.com/office/drawing/2014/main" id="{00000000-0008-0000-0300-000026010000}"/>
            </a:ext>
          </a:extLst>
        </xdr:cNvPr>
        <xdr:cNvGrpSpPr/>
      </xdr:nvGrpSpPr>
      <xdr:grpSpPr>
        <a:xfrm>
          <a:off x="16028187" y="1056908"/>
          <a:ext cx="770659" cy="186512"/>
          <a:chOff x="15272838" y="1047838"/>
          <a:chExt cx="762965" cy="189899"/>
        </a:xfrm>
      </xdr:grpSpPr>
      <xdr:sp macro="" textlink="">
        <xdr:nvSpPr>
          <xdr:cNvPr id="20" name="TextBox 19" title="Terms and Conditions">
            <a:hlinkClick xmlns:r="http://schemas.openxmlformats.org/officeDocument/2006/relationships" r:id="rId15" tooltip="Line 11"/>
            <a:extLst>
              <a:ext uri="{FF2B5EF4-FFF2-40B4-BE49-F238E27FC236}">
                <a16:creationId xmlns:a16="http://schemas.microsoft.com/office/drawing/2014/main" id="{00000000-0008-0000-0300-000014000000}"/>
              </a:ext>
            </a:extLst>
          </xdr:cNvPr>
          <xdr:cNvSpPr txBox="1">
            <a:spLocks/>
          </xdr:cNvSpPr>
        </xdr:nvSpPr>
        <xdr:spPr>
          <a:xfrm>
            <a:off x="15272838" y="1047838"/>
            <a:ext cx="762965" cy="189899"/>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rPr>
              <a:t>#11</a:t>
            </a:r>
          </a:p>
        </xdr:txBody>
      </xdr:sp>
      <xdr:grpSp>
        <xdr:nvGrpSpPr>
          <xdr:cNvPr id="292" name="Group 291">
            <a:extLst>
              <a:ext uri="{FF2B5EF4-FFF2-40B4-BE49-F238E27FC236}">
                <a16:creationId xmlns:a16="http://schemas.microsoft.com/office/drawing/2014/main" id="{00000000-0008-0000-0300-000024010000}"/>
              </a:ext>
            </a:extLst>
          </xdr:cNvPr>
          <xdr:cNvGrpSpPr/>
        </xdr:nvGrpSpPr>
        <xdr:grpSpPr>
          <a:xfrm>
            <a:off x="15272838" y="1047838"/>
            <a:ext cx="762965" cy="189899"/>
            <a:chOff x="15272838" y="1047838"/>
            <a:chExt cx="762965" cy="189899"/>
          </a:xfrm>
        </xdr:grpSpPr>
        <xdr:cxnSp macro="">
          <xdr:nvCxnSpPr>
            <xdr:cNvPr id="275" name="Straight Connector 274">
              <a:hlinkClick xmlns:r="http://schemas.openxmlformats.org/officeDocument/2006/relationships" r:id="rId15"/>
              <a:extLst>
                <a:ext uri="{FF2B5EF4-FFF2-40B4-BE49-F238E27FC236}">
                  <a16:creationId xmlns:a16="http://schemas.microsoft.com/office/drawing/2014/main" id="{00000000-0008-0000-0300-000013010000}"/>
                </a:ext>
              </a:extLst>
            </xdr:cNvPr>
            <xdr:cNvCxnSpPr/>
          </xdr:nvCxnSpPr>
          <xdr:spPr>
            <a:xfrm>
              <a:off x="15272838" y="1237737"/>
              <a:ext cx="76296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6" name="Straight Connector 275">
              <a:extLst>
                <a:ext uri="{FF2B5EF4-FFF2-40B4-BE49-F238E27FC236}">
                  <a16:creationId xmlns:a16="http://schemas.microsoft.com/office/drawing/2014/main" id="{00000000-0008-0000-0300-000014010000}"/>
                </a:ext>
              </a:extLst>
            </xdr:cNvPr>
            <xdr:cNvCxnSpPr/>
          </xdr:nvCxnSpPr>
          <xdr:spPr>
            <a:xfrm flipV="1">
              <a:off x="16035803" y="1047838"/>
              <a:ext cx="0" cy="18989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7" name="Straight Connector 276">
              <a:extLst>
                <a:ext uri="{FF2B5EF4-FFF2-40B4-BE49-F238E27FC236}">
                  <a16:creationId xmlns:a16="http://schemas.microsoft.com/office/drawing/2014/main" id="{00000000-0008-0000-0300-000015010000}"/>
                </a:ext>
              </a:extLst>
            </xdr:cNvPr>
            <xdr:cNvCxnSpPr/>
          </xdr:nvCxnSpPr>
          <xdr:spPr>
            <a:xfrm>
              <a:off x="15272838" y="1047838"/>
              <a:ext cx="76296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78" name="Straight Connector 277">
              <a:extLst>
                <a:ext uri="{FF2B5EF4-FFF2-40B4-BE49-F238E27FC236}">
                  <a16:creationId xmlns:a16="http://schemas.microsoft.com/office/drawing/2014/main" id="{00000000-0008-0000-0300-000016010000}"/>
                </a:ext>
              </a:extLst>
            </xdr:cNvPr>
            <xdr:cNvCxnSpPr/>
          </xdr:nvCxnSpPr>
          <xdr:spPr>
            <a:xfrm flipV="1">
              <a:off x="15272838" y="1047838"/>
              <a:ext cx="0" cy="189899"/>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40</xdr:col>
      <xdr:colOff>2225</xdr:colOff>
      <xdr:row>11</xdr:row>
      <xdr:rowOff>3052</xdr:rowOff>
    </xdr:from>
    <xdr:to>
      <xdr:col>41</xdr:col>
      <xdr:colOff>379903</xdr:colOff>
      <xdr:row>11</xdr:row>
      <xdr:rowOff>188796</xdr:rowOff>
    </xdr:to>
    <xdr:grpSp>
      <xdr:nvGrpSpPr>
        <xdr:cNvPr id="296" name="Group 295">
          <a:hlinkClick xmlns:r="http://schemas.openxmlformats.org/officeDocument/2006/relationships" r:id="rId16" tooltip="Line 26"/>
          <a:extLst>
            <a:ext uri="{FF2B5EF4-FFF2-40B4-BE49-F238E27FC236}">
              <a16:creationId xmlns:a16="http://schemas.microsoft.com/office/drawing/2014/main" id="{00000000-0008-0000-0300-000028010000}"/>
            </a:ext>
          </a:extLst>
        </xdr:cNvPr>
        <xdr:cNvGrpSpPr/>
      </xdr:nvGrpSpPr>
      <xdr:grpSpPr>
        <a:xfrm>
          <a:off x="16028187" y="1306599"/>
          <a:ext cx="770659" cy="185744"/>
          <a:chOff x="15272838" y="1296167"/>
          <a:chExt cx="762965" cy="189117"/>
        </a:xfrm>
      </xdr:grpSpPr>
      <xdr:sp macro="" textlink="">
        <xdr:nvSpPr>
          <xdr:cNvPr id="25" name="TextBox 24" title="Terms and Conditions">
            <a:hlinkClick xmlns:r="http://schemas.openxmlformats.org/officeDocument/2006/relationships" r:id="rId17"/>
            <a:extLst>
              <a:ext uri="{FF2B5EF4-FFF2-40B4-BE49-F238E27FC236}">
                <a16:creationId xmlns:a16="http://schemas.microsoft.com/office/drawing/2014/main" id="{00000000-0008-0000-0300-000019000000}"/>
              </a:ext>
            </a:extLst>
          </xdr:cNvPr>
          <xdr:cNvSpPr txBox="1">
            <a:spLocks/>
          </xdr:cNvSpPr>
        </xdr:nvSpPr>
        <xdr:spPr>
          <a:xfrm>
            <a:off x="15272838" y="1296167"/>
            <a:ext cx="762965" cy="189117"/>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rPr>
              <a:t>#26</a:t>
            </a:r>
          </a:p>
        </xdr:txBody>
      </xdr:sp>
      <xdr:grpSp>
        <xdr:nvGrpSpPr>
          <xdr:cNvPr id="279" name="Group 278">
            <a:extLst>
              <a:ext uri="{FF2B5EF4-FFF2-40B4-BE49-F238E27FC236}">
                <a16:creationId xmlns:a16="http://schemas.microsoft.com/office/drawing/2014/main" id="{00000000-0008-0000-0300-000017010000}"/>
              </a:ext>
            </a:extLst>
          </xdr:cNvPr>
          <xdr:cNvGrpSpPr/>
        </xdr:nvGrpSpPr>
        <xdr:grpSpPr>
          <a:xfrm>
            <a:off x="15272838" y="1296167"/>
            <a:ext cx="762965" cy="189117"/>
            <a:chOff x="15283962" y="307731"/>
            <a:chExt cx="1582615" cy="190500"/>
          </a:xfrm>
        </xdr:grpSpPr>
        <xdr:cxnSp macro="">
          <xdr:nvCxnSpPr>
            <xdr:cNvPr id="280" name="Straight Connector 279">
              <a:extLst>
                <a:ext uri="{FF2B5EF4-FFF2-40B4-BE49-F238E27FC236}">
                  <a16:creationId xmlns:a16="http://schemas.microsoft.com/office/drawing/2014/main" id="{00000000-0008-0000-0300-000018010000}"/>
                </a:ext>
              </a:extLst>
            </xdr:cNvPr>
            <xdr:cNvCxnSpPr/>
          </xdr:nvCxnSpPr>
          <xdr:spPr>
            <a:xfrm>
              <a:off x="15283962" y="498231"/>
              <a:ext cx="158261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81" name="Straight Connector 280">
              <a:extLst>
                <a:ext uri="{FF2B5EF4-FFF2-40B4-BE49-F238E27FC236}">
                  <a16:creationId xmlns:a16="http://schemas.microsoft.com/office/drawing/2014/main" id="{00000000-0008-0000-0300-000019010000}"/>
                </a:ext>
              </a:extLst>
            </xdr:cNvPr>
            <xdr:cNvCxnSpPr/>
          </xdr:nvCxnSpPr>
          <xdr:spPr>
            <a:xfrm flipV="1">
              <a:off x="16866577" y="307731"/>
              <a:ext cx="0" cy="1905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82" name="Straight Connector 281">
              <a:extLst>
                <a:ext uri="{FF2B5EF4-FFF2-40B4-BE49-F238E27FC236}">
                  <a16:creationId xmlns:a16="http://schemas.microsoft.com/office/drawing/2014/main" id="{00000000-0008-0000-0300-00001A010000}"/>
                </a:ext>
              </a:extLst>
            </xdr:cNvPr>
            <xdr:cNvCxnSpPr/>
          </xdr:nvCxnSpPr>
          <xdr:spPr>
            <a:xfrm>
              <a:off x="15283962" y="307731"/>
              <a:ext cx="158261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83" name="Straight Connector 282">
              <a:extLst>
                <a:ext uri="{FF2B5EF4-FFF2-40B4-BE49-F238E27FC236}">
                  <a16:creationId xmlns:a16="http://schemas.microsoft.com/office/drawing/2014/main" id="{00000000-0008-0000-0300-00001B010000}"/>
                </a:ext>
              </a:extLst>
            </xdr:cNvPr>
            <xdr:cNvCxnSpPr/>
          </xdr:nvCxnSpPr>
          <xdr:spPr>
            <a:xfrm flipV="1">
              <a:off x="15283962" y="307731"/>
              <a:ext cx="0" cy="19050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40</xdr:col>
      <xdr:colOff>2225</xdr:colOff>
      <xdr:row>13</xdr:row>
      <xdr:rowOff>2000</xdr:rowOff>
    </xdr:from>
    <xdr:to>
      <xdr:col>41</xdr:col>
      <xdr:colOff>379903</xdr:colOff>
      <xdr:row>13</xdr:row>
      <xdr:rowOff>188512</xdr:rowOff>
    </xdr:to>
    <xdr:grpSp>
      <xdr:nvGrpSpPr>
        <xdr:cNvPr id="298" name="Group 297">
          <a:hlinkClick xmlns:r="http://schemas.openxmlformats.org/officeDocument/2006/relationships" r:id="rId18" tooltip="Line 41"/>
          <a:extLst>
            <a:ext uri="{FF2B5EF4-FFF2-40B4-BE49-F238E27FC236}">
              <a16:creationId xmlns:a16="http://schemas.microsoft.com/office/drawing/2014/main" id="{00000000-0008-0000-0300-00002A010000}"/>
            </a:ext>
          </a:extLst>
        </xdr:cNvPr>
        <xdr:cNvGrpSpPr/>
      </xdr:nvGrpSpPr>
      <xdr:grpSpPr>
        <a:xfrm>
          <a:off x="16028187" y="1554754"/>
          <a:ext cx="770659" cy="186512"/>
          <a:chOff x="15272838" y="1542933"/>
          <a:chExt cx="762965" cy="189899"/>
        </a:xfrm>
      </xdr:grpSpPr>
      <xdr:sp macro="" textlink="">
        <xdr:nvSpPr>
          <xdr:cNvPr id="28" name="TextBox 27" title="Terms and Conditions">
            <a:hlinkClick xmlns:r="http://schemas.openxmlformats.org/officeDocument/2006/relationships" r:id="rId19"/>
            <a:extLst>
              <a:ext uri="{FF2B5EF4-FFF2-40B4-BE49-F238E27FC236}">
                <a16:creationId xmlns:a16="http://schemas.microsoft.com/office/drawing/2014/main" id="{00000000-0008-0000-0300-00001C000000}"/>
              </a:ext>
            </a:extLst>
          </xdr:cNvPr>
          <xdr:cNvSpPr txBox="1">
            <a:spLocks/>
          </xdr:cNvSpPr>
        </xdr:nvSpPr>
        <xdr:spPr>
          <a:xfrm>
            <a:off x="15272838" y="1542933"/>
            <a:ext cx="762965" cy="189899"/>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rPr>
              <a:t>#41</a:t>
            </a:r>
          </a:p>
        </xdr:txBody>
      </xdr:sp>
      <xdr:grpSp>
        <xdr:nvGrpSpPr>
          <xdr:cNvPr id="284" name="Group 283">
            <a:extLst>
              <a:ext uri="{FF2B5EF4-FFF2-40B4-BE49-F238E27FC236}">
                <a16:creationId xmlns:a16="http://schemas.microsoft.com/office/drawing/2014/main" id="{00000000-0008-0000-0300-00001C010000}"/>
              </a:ext>
            </a:extLst>
          </xdr:cNvPr>
          <xdr:cNvGrpSpPr/>
        </xdr:nvGrpSpPr>
        <xdr:grpSpPr>
          <a:xfrm>
            <a:off x="15272838" y="1542933"/>
            <a:ext cx="762965" cy="189899"/>
            <a:chOff x="15283962" y="307731"/>
            <a:chExt cx="1582615" cy="190500"/>
          </a:xfrm>
        </xdr:grpSpPr>
        <xdr:cxnSp macro="">
          <xdr:nvCxnSpPr>
            <xdr:cNvPr id="285" name="Straight Connector 284">
              <a:extLst>
                <a:ext uri="{FF2B5EF4-FFF2-40B4-BE49-F238E27FC236}">
                  <a16:creationId xmlns:a16="http://schemas.microsoft.com/office/drawing/2014/main" id="{00000000-0008-0000-0300-00001D010000}"/>
                </a:ext>
              </a:extLst>
            </xdr:cNvPr>
            <xdr:cNvCxnSpPr/>
          </xdr:nvCxnSpPr>
          <xdr:spPr>
            <a:xfrm>
              <a:off x="15283962" y="498231"/>
              <a:ext cx="158261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86" name="Straight Connector 285">
              <a:extLst>
                <a:ext uri="{FF2B5EF4-FFF2-40B4-BE49-F238E27FC236}">
                  <a16:creationId xmlns:a16="http://schemas.microsoft.com/office/drawing/2014/main" id="{00000000-0008-0000-0300-00001E010000}"/>
                </a:ext>
              </a:extLst>
            </xdr:cNvPr>
            <xdr:cNvCxnSpPr/>
          </xdr:nvCxnSpPr>
          <xdr:spPr>
            <a:xfrm flipV="1">
              <a:off x="16866577" y="307731"/>
              <a:ext cx="0" cy="1905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87" name="Straight Connector 286">
              <a:extLst>
                <a:ext uri="{FF2B5EF4-FFF2-40B4-BE49-F238E27FC236}">
                  <a16:creationId xmlns:a16="http://schemas.microsoft.com/office/drawing/2014/main" id="{00000000-0008-0000-0300-00001F010000}"/>
                </a:ext>
              </a:extLst>
            </xdr:cNvPr>
            <xdr:cNvCxnSpPr/>
          </xdr:nvCxnSpPr>
          <xdr:spPr>
            <a:xfrm>
              <a:off x="15283962" y="307731"/>
              <a:ext cx="158261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88" name="Straight Connector 287">
              <a:extLst>
                <a:ext uri="{FF2B5EF4-FFF2-40B4-BE49-F238E27FC236}">
                  <a16:creationId xmlns:a16="http://schemas.microsoft.com/office/drawing/2014/main" id="{00000000-0008-0000-0300-000020010000}"/>
                </a:ext>
              </a:extLst>
            </xdr:cNvPr>
            <xdr:cNvCxnSpPr/>
          </xdr:nvCxnSpPr>
          <xdr:spPr>
            <a:xfrm flipV="1">
              <a:off x="15283962" y="307731"/>
              <a:ext cx="0" cy="19050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40</xdr:col>
      <xdr:colOff>2225</xdr:colOff>
      <xdr:row>3</xdr:row>
      <xdr:rowOff>3420</xdr:rowOff>
    </xdr:from>
    <xdr:to>
      <xdr:col>46</xdr:col>
      <xdr:colOff>245</xdr:colOff>
      <xdr:row>3</xdr:row>
      <xdr:rowOff>189932</xdr:rowOff>
    </xdr:to>
    <xdr:grpSp>
      <xdr:nvGrpSpPr>
        <xdr:cNvPr id="19" name="Group 18" descr="Labor">
          <a:hlinkClick xmlns:r="http://schemas.openxmlformats.org/officeDocument/2006/relationships" r:id="rId20" tooltip="Labor &amp; Misc"/>
          <a:extLst>
            <a:ext uri="{FF2B5EF4-FFF2-40B4-BE49-F238E27FC236}">
              <a16:creationId xmlns:a16="http://schemas.microsoft.com/office/drawing/2014/main" id="{00000000-0008-0000-0300-000013000000}"/>
            </a:ext>
          </a:extLst>
        </xdr:cNvPr>
        <xdr:cNvGrpSpPr/>
      </xdr:nvGrpSpPr>
      <xdr:grpSpPr>
        <a:xfrm>
          <a:off x="16028187" y="310137"/>
          <a:ext cx="1627455" cy="186512"/>
          <a:chOff x="15272838" y="305196"/>
          <a:chExt cx="1583834" cy="189899"/>
        </a:xfrm>
      </xdr:grpSpPr>
      <xdr:sp macro="" textlink="">
        <xdr:nvSpPr>
          <xdr:cNvPr id="23" name="TextBox 22" title="Terms and Conditions">
            <a:hlinkClick xmlns:r="http://schemas.openxmlformats.org/officeDocument/2006/relationships" r:id="rId20"/>
            <a:extLst>
              <a:ext uri="{FF2B5EF4-FFF2-40B4-BE49-F238E27FC236}">
                <a16:creationId xmlns:a16="http://schemas.microsoft.com/office/drawing/2014/main" id="{00000000-0008-0000-0300-000017000000}"/>
              </a:ext>
            </a:extLst>
          </xdr:cNvPr>
          <xdr:cNvSpPr txBox="1">
            <a:spLocks/>
          </xdr:cNvSpPr>
        </xdr:nvSpPr>
        <xdr:spPr>
          <a:xfrm>
            <a:off x="15272838" y="305196"/>
            <a:ext cx="1583834" cy="189899"/>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a:solidFill>
                  <a:schemeClr val="bg1"/>
                </a:solidFill>
                <a:sym typeface="Webdings" panose="05030102010509060703" pitchFamily="18" charset="2"/>
              </a:rPr>
              <a:t></a:t>
            </a:r>
            <a:r>
              <a:rPr lang="en-US" sz="1100">
                <a:solidFill>
                  <a:schemeClr val="bg1"/>
                </a:solidFill>
              </a:rPr>
              <a:t>Labor / Misc Costs</a:t>
            </a:r>
          </a:p>
        </xdr:txBody>
      </xdr:sp>
      <xdr:grpSp>
        <xdr:nvGrpSpPr>
          <xdr:cNvPr id="13" name="Group 12">
            <a:extLst>
              <a:ext uri="{FF2B5EF4-FFF2-40B4-BE49-F238E27FC236}">
                <a16:creationId xmlns:a16="http://schemas.microsoft.com/office/drawing/2014/main" id="{00000000-0008-0000-0300-00000D000000}"/>
              </a:ext>
            </a:extLst>
          </xdr:cNvPr>
          <xdr:cNvGrpSpPr/>
        </xdr:nvGrpSpPr>
        <xdr:grpSpPr>
          <a:xfrm>
            <a:off x="15272838" y="305196"/>
            <a:ext cx="1583834" cy="189899"/>
            <a:chOff x="15283962" y="307731"/>
            <a:chExt cx="1582615" cy="190500"/>
          </a:xfrm>
        </xdr:grpSpPr>
        <xdr:cxnSp macro="">
          <xdr:nvCxnSpPr>
            <xdr:cNvPr id="4" name="Straight Connector 3">
              <a:extLst>
                <a:ext uri="{FF2B5EF4-FFF2-40B4-BE49-F238E27FC236}">
                  <a16:creationId xmlns:a16="http://schemas.microsoft.com/office/drawing/2014/main" id="{00000000-0008-0000-0300-000004000000}"/>
                </a:ext>
              </a:extLst>
            </xdr:cNvPr>
            <xdr:cNvCxnSpPr/>
          </xdr:nvCxnSpPr>
          <xdr:spPr>
            <a:xfrm>
              <a:off x="15283962" y="498231"/>
              <a:ext cx="158261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1" name="Straight Connector 240">
              <a:extLst>
                <a:ext uri="{FF2B5EF4-FFF2-40B4-BE49-F238E27FC236}">
                  <a16:creationId xmlns:a16="http://schemas.microsoft.com/office/drawing/2014/main" id="{00000000-0008-0000-0300-0000F1000000}"/>
                </a:ext>
              </a:extLst>
            </xdr:cNvPr>
            <xdr:cNvCxnSpPr/>
          </xdr:nvCxnSpPr>
          <xdr:spPr>
            <a:xfrm flipV="1">
              <a:off x="16866577" y="307731"/>
              <a:ext cx="0" cy="1905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2" name="Straight Connector 241">
              <a:extLst>
                <a:ext uri="{FF2B5EF4-FFF2-40B4-BE49-F238E27FC236}">
                  <a16:creationId xmlns:a16="http://schemas.microsoft.com/office/drawing/2014/main" id="{00000000-0008-0000-0300-0000F2000000}"/>
                </a:ext>
              </a:extLst>
            </xdr:cNvPr>
            <xdr:cNvCxnSpPr/>
          </xdr:nvCxnSpPr>
          <xdr:spPr>
            <a:xfrm>
              <a:off x="15283962" y="307731"/>
              <a:ext cx="158261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43" name="Straight Connector 242">
              <a:extLst>
                <a:ext uri="{FF2B5EF4-FFF2-40B4-BE49-F238E27FC236}">
                  <a16:creationId xmlns:a16="http://schemas.microsoft.com/office/drawing/2014/main" id="{00000000-0008-0000-0300-0000F3000000}"/>
                </a:ext>
              </a:extLst>
            </xdr:cNvPr>
            <xdr:cNvCxnSpPr/>
          </xdr:nvCxnSpPr>
          <xdr:spPr>
            <a:xfrm flipV="1">
              <a:off x="15283962" y="307731"/>
              <a:ext cx="0" cy="19050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43</xdr:col>
      <xdr:colOff>3566</xdr:colOff>
      <xdr:row>7</xdr:row>
      <xdr:rowOff>2851</xdr:rowOff>
    </xdr:from>
    <xdr:to>
      <xdr:col>46</xdr:col>
      <xdr:colOff>244</xdr:colOff>
      <xdr:row>7</xdr:row>
      <xdr:rowOff>189363</xdr:rowOff>
    </xdr:to>
    <xdr:grpSp>
      <xdr:nvGrpSpPr>
        <xdr:cNvPr id="291" name="Group 290">
          <a:hlinkClick xmlns:r="http://schemas.openxmlformats.org/officeDocument/2006/relationships" r:id="rId21" tooltip="Line 56"/>
          <a:extLst>
            <a:ext uri="{FF2B5EF4-FFF2-40B4-BE49-F238E27FC236}">
              <a16:creationId xmlns:a16="http://schemas.microsoft.com/office/drawing/2014/main" id="{00000000-0008-0000-0300-000023010000}"/>
            </a:ext>
          </a:extLst>
        </xdr:cNvPr>
        <xdr:cNvGrpSpPr/>
      </xdr:nvGrpSpPr>
      <xdr:grpSpPr>
        <a:xfrm>
          <a:off x="16873000" y="807983"/>
          <a:ext cx="782641" cy="186512"/>
          <a:chOff x="16093707" y="800290"/>
          <a:chExt cx="762965" cy="189899"/>
        </a:xfrm>
      </xdr:grpSpPr>
      <xdr:sp macro="" textlink="">
        <xdr:nvSpPr>
          <xdr:cNvPr id="29" name="TextBox 28" title="Terms and Conditions">
            <a:hlinkClick xmlns:r="http://schemas.openxmlformats.org/officeDocument/2006/relationships" r:id="rId22"/>
            <a:extLst>
              <a:ext uri="{FF2B5EF4-FFF2-40B4-BE49-F238E27FC236}">
                <a16:creationId xmlns:a16="http://schemas.microsoft.com/office/drawing/2014/main" id="{00000000-0008-0000-0300-00001D000000}"/>
              </a:ext>
            </a:extLst>
          </xdr:cNvPr>
          <xdr:cNvSpPr txBox="1">
            <a:spLocks/>
          </xdr:cNvSpPr>
        </xdr:nvSpPr>
        <xdr:spPr>
          <a:xfrm>
            <a:off x="16093708" y="800291"/>
            <a:ext cx="762964" cy="189898"/>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rPr>
              <a:t>#56</a:t>
            </a:r>
          </a:p>
        </xdr:txBody>
      </xdr:sp>
      <xdr:cxnSp macro="">
        <xdr:nvCxnSpPr>
          <xdr:cNvPr id="255" name="Straight Connector 254">
            <a:extLst>
              <a:ext uri="{FF2B5EF4-FFF2-40B4-BE49-F238E27FC236}">
                <a16:creationId xmlns:a16="http://schemas.microsoft.com/office/drawing/2014/main" id="{00000000-0008-0000-0300-0000FF000000}"/>
              </a:ext>
            </a:extLst>
          </xdr:cNvPr>
          <xdr:cNvCxnSpPr/>
        </xdr:nvCxnSpPr>
        <xdr:spPr>
          <a:xfrm>
            <a:off x="16093707" y="990189"/>
            <a:ext cx="76296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6" name="Straight Connector 255">
            <a:extLst>
              <a:ext uri="{FF2B5EF4-FFF2-40B4-BE49-F238E27FC236}">
                <a16:creationId xmlns:a16="http://schemas.microsoft.com/office/drawing/2014/main" id="{00000000-0008-0000-0300-000000010000}"/>
              </a:ext>
            </a:extLst>
          </xdr:cNvPr>
          <xdr:cNvCxnSpPr/>
        </xdr:nvCxnSpPr>
        <xdr:spPr>
          <a:xfrm flipV="1">
            <a:off x="16856672" y="800290"/>
            <a:ext cx="0" cy="18989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7" name="Straight Connector 256">
            <a:extLst>
              <a:ext uri="{FF2B5EF4-FFF2-40B4-BE49-F238E27FC236}">
                <a16:creationId xmlns:a16="http://schemas.microsoft.com/office/drawing/2014/main" id="{00000000-0008-0000-0300-000001010000}"/>
              </a:ext>
            </a:extLst>
          </xdr:cNvPr>
          <xdr:cNvCxnSpPr/>
        </xdr:nvCxnSpPr>
        <xdr:spPr>
          <a:xfrm>
            <a:off x="16093707" y="800290"/>
            <a:ext cx="76296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58" name="Straight Connector 257">
            <a:extLst>
              <a:ext uri="{FF2B5EF4-FFF2-40B4-BE49-F238E27FC236}">
                <a16:creationId xmlns:a16="http://schemas.microsoft.com/office/drawing/2014/main" id="{00000000-0008-0000-0300-000002010000}"/>
              </a:ext>
            </a:extLst>
          </xdr:cNvPr>
          <xdr:cNvCxnSpPr/>
        </xdr:nvCxnSpPr>
        <xdr:spPr>
          <a:xfrm flipV="1">
            <a:off x="16093707" y="800290"/>
            <a:ext cx="0" cy="189899"/>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40</xdr:col>
      <xdr:colOff>0</xdr:colOff>
      <xdr:row>7</xdr:row>
      <xdr:rowOff>3988</xdr:rowOff>
    </xdr:from>
    <xdr:to>
      <xdr:col>41</xdr:col>
      <xdr:colOff>377678</xdr:colOff>
      <xdr:row>8</xdr:row>
      <xdr:rowOff>0</xdr:rowOff>
    </xdr:to>
    <xdr:grpSp>
      <xdr:nvGrpSpPr>
        <xdr:cNvPr id="5" name="Group 4">
          <a:hlinkClick xmlns:r="http://schemas.openxmlformats.org/officeDocument/2006/relationships" r:id="rId23" tooltip="Line 1"/>
          <a:extLst>
            <a:ext uri="{FF2B5EF4-FFF2-40B4-BE49-F238E27FC236}">
              <a16:creationId xmlns:a16="http://schemas.microsoft.com/office/drawing/2014/main" id="{00000000-0008-0000-0300-000005000000}"/>
            </a:ext>
          </a:extLst>
        </xdr:cNvPr>
        <xdr:cNvGrpSpPr/>
      </xdr:nvGrpSpPr>
      <xdr:grpSpPr>
        <a:xfrm>
          <a:off x="16025962" y="809120"/>
          <a:ext cx="770659" cy="187710"/>
          <a:chOff x="15989300" y="829488"/>
          <a:chExt cx="777728" cy="186512"/>
        </a:xfrm>
      </xdr:grpSpPr>
      <xdr:sp macro="" textlink="">
        <xdr:nvSpPr>
          <xdr:cNvPr id="125" name="TextBox 124" title="Terms and Conditions">
            <a:hlinkClick xmlns:r="http://schemas.openxmlformats.org/officeDocument/2006/relationships" r:id="rId24" tooltip="Measure #1"/>
            <a:extLst>
              <a:ext uri="{FF2B5EF4-FFF2-40B4-BE49-F238E27FC236}">
                <a16:creationId xmlns:a16="http://schemas.microsoft.com/office/drawing/2014/main" id="{00000000-0008-0000-0300-00007D000000}"/>
              </a:ext>
            </a:extLst>
          </xdr:cNvPr>
          <xdr:cNvSpPr txBox="1">
            <a:spLocks/>
          </xdr:cNvSpPr>
        </xdr:nvSpPr>
        <xdr:spPr>
          <a:xfrm>
            <a:off x="15989300" y="829488"/>
            <a:ext cx="777728" cy="186512"/>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rPr>
              <a:t>#1</a:t>
            </a:r>
          </a:p>
        </xdr:txBody>
      </xdr:sp>
      <xdr:grpSp>
        <xdr:nvGrpSpPr>
          <xdr:cNvPr id="126" name="Group 125">
            <a:extLst>
              <a:ext uri="{FF2B5EF4-FFF2-40B4-BE49-F238E27FC236}">
                <a16:creationId xmlns:a16="http://schemas.microsoft.com/office/drawing/2014/main" id="{00000000-0008-0000-0300-00007E000000}"/>
              </a:ext>
            </a:extLst>
          </xdr:cNvPr>
          <xdr:cNvGrpSpPr/>
        </xdr:nvGrpSpPr>
        <xdr:grpSpPr>
          <a:xfrm>
            <a:off x="15989300" y="829488"/>
            <a:ext cx="777728" cy="186512"/>
            <a:chOff x="15272838" y="1047838"/>
            <a:chExt cx="762965" cy="189899"/>
          </a:xfrm>
        </xdr:grpSpPr>
        <xdr:cxnSp macro="">
          <xdr:nvCxnSpPr>
            <xdr:cNvPr id="127" name="Straight Connector 126">
              <a:extLst>
                <a:ext uri="{FF2B5EF4-FFF2-40B4-BE49-F238E27FC236}">
                  <a16:creationId xmlns:a16="http://schemas.microsoft.com/office/drawing/2014/main" id="{00000000-0008-0000-0300-00007F000000}"/>
                </a:ext>
              </a:extLst>
            </xdr:cNvPr>
            <xdr:cNvCxnSpPr/>
          </xdr:nvCxnSpPr>
          <xdr:spPr>
            <a:xfrm>
              <a:off x="15272838" y="1237737"/>
              <a:ext cx="76296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8" name="Straight Connector 127">
              <a:extLst>
                <a:ext uri="{FF2B5EF4-FFF2-40B4-BE49-F238E27FC236}">
                  <a16:creationId xmlns:a16="http://schemas.microsoft.com/office/drawing/2014/main" id="{00000000-0008-0000-0300-000080000000}"/>
                </a:ext>
              </a:extLst>
            </xdr:cNvPr>
            <xdr:cNvCxnSpPr/>
          </xdr:nvCxnSpPr>
          <xdr:spPr>
            <a:xfrm flipV="1">
              <a:off x="16035803" y="1047838"/>
              <a:ext cx="0" cy="18989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9" name="Straight Connector 128">
              <a:extLst>
                <a:ext uri="{FF2B5EF4-FFF2-40B4-BE49-F238E27FC236}">
                  <a16:creationId xmlns:a16="http://schemas.microsoft.com/office/drawing/2014/main" id="{00000000-0008-0000-0300-000081000000}"/>
                </a:ext>
              </a:extLst>
            </xdr:cNvPr>
            <xdr:cNvCxnSpPr/>
          </xdr:nvCxnSpPr>
          <xdr:spPr>
            <a:xfrm>
              <a:off x="15272838" y="1047838"/>
              <a:ext cx="76296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30" name="Straight Connector 129">
              <a:extLst>
                <a:ext uri="{FF2B5EF4-FFF2-40B4-BE49-F238E27FC236}">
                  <a16:creationId xmlns:a16="http://schemas.microsoft.com/office/drawing/2014/main" id="{00000000-0008-0000-0300-000082000000}"/>
                </a:ext>
              </a:extLst>
            </xdr:cNvPr>
            <xdr:cNvCxnSpPr/>
          </xdr:nvCxnSpPr>
          <xdr:spPr>
            <a:xfrm flipV="1">
              <a:off x="15272838" y="1047838"/>
              <a:ext cx="0" cy="189899"/>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editAs="oneCell">
    <xdr:from>
      <xdr:col>135</xdr:col>
      <xdr:colOff>0</xdr:colOff>
      <xdr:row>9</xdr:row>
      <xdr:rowOff>-1</xdr:rowOff>
    </xdr:from>
    <xdr:to>
      <xdr:col>260</xdr:col>
      <xdr:colOff>193194</xdr:colOff>
      <xdr:row>11</xdr:row>
      <xdr:rowOff>15080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5"/>
        <a:stretch>
          <a:fillRect/>
        </a:stretch>
      </xdr:blipFill>
      <xdr:spPr>
        <a:xfrm>
          <a:off x="72473344" y="1119187"/>
          <a:ext cx="6518978" cy="2738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18</xdr:col>
      <xdr:colOff>0</xdr:colOff>
      <xdr:row>1</xdr:row>
      <xdr:rowOff>0</xdr:rowOff>
    </xdr:from>
    <xdr:ext cx="1196164" cy="555416"/>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14950" y="57150"/>
          <a:ext cx="1196164" cy="555416"/>
        </a:xfrm>
        <a:prstGeom prst="rect">
          <a:avLst/>
        </a:prstGeom>
      </xdr:spPr>
    </xdr:pic>
    <xdr:clientData/>
  </xdr:oneCellAnchor>
  <xdr:twoCellAnchor editAs="oneCell">
    <xdr:from>
      <xdr:col>0</xdr:col>
      <xdr:colOff>1</xdr:colOff>
      <xdr:row>122</xdr:row>
      <xdr:rowOff>175390</xdr:rowOff>
    </xdr:from>
    <xdr:to>
      <xdr:col>1</xdr:col>
      <xdr:colOff>0</xdr:colOff>
      <xdr:row>124</xdr:row>
      <xdr:rowOff>1</xdr:rowOff>
    </xdr:to>
    <xdr:sp macro="" textlink="">
      <xdr:nvSpPr>
        <xdr:cNvPr id="16" name="TextBox 15" title="Page Navigation">
          <a:hlinkClick xmlns:r="http://schemas.openxmlformats.org/officeDocument/2006/relationships" r:id="rId2"/>
          <a:extLst>
            <a:ext uri="{FF2B5EF4-FFF2-40B4-BE49-F238E27FC236}">
              <a16:creationId xmlns:a16="http://schemas.microsoft.com/office/drawing/2014/main" id="{00000000-0008-0000-0400-000010000000}"/>
            </a:ext>
          </a:extLst>
        </xdr:cNvPr>
        <xdr:cNvSpPr txBox="1"/>
      </xdr:nvSpPr>
      <xdr:spPr>
        <a:xfrm>
          <a:off x="1" y="17241015"/>
          <a:ext cx="401836" cy="181798"/>
        </a:xfrm>
        <a:prstGeom prst="rect">
          <a:avLst/>
        </a:prstGeom>
        <a:no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u="sng">
              <a:solidFill>
                <a:srgbClr val="0070C0"/>
              </a:solidFill>
              <a:effectLst/>
              <a:latin typeface="+mn-lt"/>
              <a:ea typeface="+mn-ea"/>
              <a:cs typeface="+mn-cs"/>
              <a:sym typeface="Webdings" panose="05030102010509060703" pitchFamily="18" charset="2"/>
            </a:rPr>
            <a:t>back</a:t>
          </a:r>
          <a:endParaRPr lang="en-US" sz="1100" b="0" u="sng">
            <a:solidFill>
              <a:srgbClr val="0070C0"/>
            </a:solidFill>
            <a:sym typeface="Webdings" panose="05030102010509060703" pitchFamily="18" charset="2"/>
          </a:endParaRPr>
        </a:p>
      </xdr:txBody>
    </xdr:sp>
    <xdr:clientData fPrintsWithSheet="0"/>
  </xdr:twoCellAnchor>
  <xdr:twoCellAnchor editAs="oneCell">
    <xdr:from>
      <xdr:col>3</xdr:col>
      <xdr:colOff>0</xdr:colOff>
      <xdr:row>91</xdr:row>
      <xdr:rowOff>0</xdr:rowOff>
    </xdr:from>
    <xdr:to>
      <xdr:col>5</xdr:col>
      <xdr:colOff>368142</xdr:colOff>
      <xdr:row>95</xdr:row>
      <xdr:rowOff>0</xdr:rowOff>
    </xdr:to>
    <xdr:pic>
      <xdr:nvPicPr>
        <xdr:cNvPr id="20" name="Picture 19" descr="https://nwlightingnetwork.com/app/uploads/2018/05/nxt-level1-designated-1-150x150.png">
          <a:extLst>
            <a:ext uri="{FF2B5EF4-FFF2-40B4-BE49-F238E27FC236}">
              <a16:creationId xmlns:a16="http://schemas.microsoft.com/office/drawing/2014/main" id="{00000000-0008-0000-04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81050" y="10334625"/>
          <a:ext cx="767443"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178253</xdr:colOff>
      <xdr:row>91</xdr:row>
      <xdr:rowOff>27213</xdr:rowOff>
    </xdr:from>
    <xdr:to>
      <xdr:col>8</xdr:col>
      <xdr:colOff>180976</xdr:colOff>
      <xdr:row>95</xdr:row>
      <xdr:rowOff>0</xdr:rowOff>
    </xdr:to>
    <xdr:pic>
      <xdr:nvPicPr>
        <xdr:cNvPr id="21" name="Picture 20" descr="https://nwlightingnetwork.com/app/uploads/2018/09/nxt-level-2-logo.png">
          <a:extLst>
            <a:ext uri="{FF2B5EF4-FFF2-40B4-BE49-F238E27FC236}">
              <a16:creationId xmlns:a16="http://schemas.microsoft.com/office/drawing/2014/main" id="{00000000-0008-0000-0400-00001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759403" y="10361838"/>
          <a:ext cx="745672" cy="734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15</xdr:row>
      <xdr:rowOff>0</xdr:rowOff>
    </xdr:from>
    <xdr:to>
      <xdr:col>7</xdr:col>
      <xdr:colOff>326022</xdr:colOff>
      <xdr:row>16</xdr:row>
      <xdr:rowOff>27612</xdr:rowOff>
    </xdr:to>
    <xdr:sp macro="" textlink="">
      <xdr:nvSpPr>
        <xdr:cNvPr id="18" name="TextBox 17" title="Page Navigation">
          <a:hlinkClick xmlns:r="http://schemas.openxmlformats.org/officeDocument/2006/relationships" r:id="rId5"/>
          <a:extLst>
            <a:ext uri="{FF2B5EF4-FFF2-40B4-BE49-F238E27FC236}">
              <a16:creationId xmlns:a16="http://schemas.microsoft.com/office/drawing/2014/main" id="{00000000-0008-0000-0400-000012000000}"/>
            </a:ext>
          </a:extLst>
        </xdr:cNvPr>
        <xdr:cNvSpPr txBox="1"/>
      </xdr:nvSpPr>
      <xdr:spPr>
        <a:xfrm>
          <a:off x="401335" y="1787275"/>
          <a:ext cx="1979518" cy="209550"/>
        </a:xfrm>
        <a:prstGeom prst="rect">
          <a:avLst/>
        </a:prstGeom>
        <a:no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PSE</a:t>
          </a:r>
          <a:r>
            <a:rPr lang="en-US" sz="1100" b="0" baseline="0">
              <a:solidFill>
                <a:schemeClr val="bg1"/>
              </a:solidFill>
              <a:sym typeface="Webdings" panose="05030102010509060703" pitchFamily="18" charset="2"/>
            </a:rPr>
            <a:t> Grant QC Page</a:t>
          </a:r>
          <a:endParaRPr lang="en-US" sz="1100" b="0">
            <a:solidFill>
              <a:schemeClr val="bg1"/>
            </a:solidFill>
            <a:sym typeface="Webdings" panose="05030102010509060703" pitchFamily="18" charset="2"/>
          </a:endParaRPr>
        </a:p>
      </xdr:txBody>
    </xdr:sp>
    <xdr:clientData fPrintsWithSheet="0"/>
  </xdr:twoCellAnchor>
  <xdr:twoCellAnchor editAs="oneCell">
    <xdr:from>
      <xdr:col>16</xdr:col>
      <xdr:colOff>53409</xdr:colOff>
      <xdr:row>166</xdr:row>
      <xdr:rowOff>0</xdr:rowOff>
    </xdr:from>
    <xdr:to>
      <xdr:col>27</xdr:col>
      <xdr:colOff>53408</xdr:colOff>
      <xdr:row>167</xdr:row>
      <xdr:rowOff>1</xdr:rowOff>
    </xdr:to>
    <xdr:sp macro="" textlink="">
      <xdr:nvSpPr>
        <xdr:cNvPr id="19" name="TextBox 18" title="Page Navigation">
          <a:hlinkClick xmlns:r="http://schemas.openxmlformats.org/officeDocument/2006/relationships" r:id="rId6"/>
          <a:extLst>
            <a:ext uri="{FF2B5EF4-FFF2-40B4-BE49-F238E27FC236}">
              <a16:creationId xmlns:a16="http://schemas.microsoft.com/office/drawing/2014/main" id="{00000000-0008-0000-0400-000013000000}"/>
            </a:ext>
          </a:extLst>
        </xdr:cNvPr>
        <xdr:cNvSpPr txBox="1"/>
      </xdr:nvSpPr>
      <xdr:spPr>
        <a:xfrm>
          <a:off x="5301684" y="26393775"/>
          <a:ext cx="3714749" cy="190501"/>
        </a:xfrm>
        <a:prstGeom prst="rect">
          <a:avLst/>
        </a:prstGeom>
        <a:no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u="sng">
              <a:solidFill>
                <a:srgbClr val="0070C0"/>
              </a:solidFill>
              <a:sym typeface="Webdings" panose="05030102010509060703" pitchFamily="18" charset="2"/>
            </a:rPr>
            <a:t>Click here for more information on the Customer Bill Credit</a:t>
          </a:r>
        </a:p>
      </xdr:txBody>
    </xdr:sp>
    <xdr:clientData fPrintsWithSheet="0"/>
  </xdr:twoCellAnchor>
  <xdr:twoCellAnchor>
    <xdr:from>
      <xdr:col>1</xdr:col>
      <xdr:colOff>0</xdr:colOff>
      <xdr:row>0</xdr:row>
      <xdr:rowOff>0</xdr:rowOff>
    </xdr:from>
    <xdr:to>
      <xdr:col>8</xdr:col>
      <xdr:colOff>56419</xdr:colOff>
      <xdr:row>17</xdr:row>
      <xdr:rowOff>0</xdr:rowOff>
    </xdr:to>
    <xdr:grpSp>
      <xdr:nvGrpSpPr>
        <xdr:cNvPr id="36" name="Group 35">
          <a:extLst>
            <a:ext uri="{FF2B5EF4-FFF2-40B4-BE49-F238E27FC236}">
              <a16:creationId xmlns:a16="http://schemas.microsoft.com/office/drawing/2014/main" id="{00000000-0008-0000-0400-000024000000}"/>
            </a:ext>
          </a:extLst>
        </xdr:cNvPr>
        <xdr:cNvGrpSpPr/>
      </xdr:nvGrpSpPr>
      <xdr:grpSpPr>
        <a:xfrm>
          <a:off x="383397" y="0"/>
          <a:ext cx="2030909" cy="1993660"/>
          <a:chOff x="373063" y="0"/>
          <a:chExt cx="1976437" cy="2024063"/>
        </a:xfrm>
      </xdr:grpSpPr>
      <xdr:sp macro="" textlink="">
        <xdr:nvSpPr>
          <xdr:cNvPr id="45" name="Rectangle 44">
            <a:extLst>
              <a:ext uri="{FF2B5EF4-FFF2-40B4-BE49-F238E27FC236}">
                <a16:creationId xmlns:a16="http://schemas.microsoft.com/office/drawing/2014/main" id="{00000000-0008-0000-0400-00002D00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6" name="Group 45">
            <a:extLst>
              <a:ext uri="{FF2B5EF4-FFF2-40B4-BE49-F238E27FC236}">
                <a16:creationId xmlns:a16="http://schemas.microsoft.com/office/drawing/2014/main" id="{00000000-0008-0000-0400-00002E000000}"/>
              </a:ext>
            </a:extLst>
          </xdr:cNvPr>
          <xdr:cNvGrpSpPr/>
        </xdr:nvGrpSpPr>
        <xdr:grpSpPr>
          <a:xfrm>
            <a:off x="428625" y="301625"/>
            <a:ext cx="1861754" cy="188857"/>
            <a:chOff x="426983" y="303815"/>
            <a:chExt cx="1847521" cy="188857"/>
          </a:xfrm>
        </xdr:grpSpPr>
        <xdr:cxnSp macro="">
          <xdr:nvCxnSpPr>
            <xdr:cNvPr id="77" name="Straight Connector 76">
              <a:extLst>
                <a:ext uri="{FF2B5EF4-FFF2-40B4-BE49-F238E27FC236}">
                  <a16:creationId xmlns:a16="http://schemas.microsoft.com/office/drawing/2014/main" id="{00000000-0008-0000-0400-00004D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8" name="Straight Connector 77">
              <a:extLst>
                <a:ext uri="{FF2B5EF4-FFF2-40B4-BE49-F238E27FC236}">
                  <a16:creationId xmlns:a16="http://schemas.microsoft.com/office/drawing/2014/main" id="{00000000-0008-0000-0400-00004E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9" name="Straight Connector 78">
              <a:extLst>
                <a:ext uri="{FF2B5EF4-FFF2-40B4-BE49-F238E27FC236}">
                  <a16:creationId xmlns:a16="http://schemas.microsoft.com/office/drawing/2014/main" id="{00000000-0008-0000-0400-00004F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0" name="Straight Connector 79">
              <a:extLst>
                <a:ext uri="{FF2B5EF4-FFF2-40B4-BE49-F238E27FC236}">
                  <a16:creationId xmlns:a16="http://schemas.microsoft.com/office/drawing/2014/main" id="{00000000-0008-0000-0400-000050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7" name="Group 46">
            <a:extLst>
              <a:ext uri="{FF2B5EF4-FFF2-40B4-BE49-F238E27FC236}">
                <a16:creationId xmlns:a16="http://schemas.microsoft.com/office/drawing/2014/main" id="{00000000-0008-0000-0400-00002F000000}"/>
              </a:ext>
            </a:extLst>
          </xdr:cNvPr>
          <xdr:cNvGrpSpPr/>
        </xdr:nvGrpSpPr>
        <xdr:grpSpPr>
          <a:xfrm>
            <a:off x="428625" y="547689"/>
            <a:ext cx="1861754" cy="190499"/>
            <a:chOff x="426983" y="303815"/>
            <a:chExt cx="1847521" cy="188857"/>
          </a:xfrm>
        </xdr:grpSpPr>
        <xdr:cxnSp macro="">
          <xdr:nvCxnSpPr>
            <xdr:cNvPr id="73" name="Straight Connector 72">
              <a:extLst>
                <a:ext uri="{FF2B5EF4-FFF2-40B4-BE49-F238E27FC236}">
                  <a16:creationId xmlns:a16="http://schemas.microsoft.com/office/drawing/2014/main" id="{00000000-0008-0000-0400-000049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4" name="Straight Connector 73">
              <a:extLst>
                <a:ext uri="{FF2B5EF4-FFF2-40B4-BE49-F238E27FC236}">
                  <a16:creationId xmlns:a16="http://schemas.microsoft.com/office/drawing/2014/main" id="{00000000-0008-0000-0400-00004A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5" name="Straight Connector 74">
              <a:extLst>
                <a:ext uri="{FF2B5EF4-FFF2-40B4-BE49-F238E27FC236}">
                  <a16:creationId xmlns:a16="http://schemas.microsoft.com/office/drawing/2014/main" id="{00000000-0008-0000-0400-00004B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76" name="Straight Connector 75">
              <a:extLst>
                <a:ext uri="{FF2B5EF4-FFF2-40B4-BE49-F238E27FC236}">
                  <a16:creationId xmlns:a16="http://schemas.microsoft.com/office/drawing/2014/main" id="{00000000-0008-0000-0400-00004C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8" name="Group 47">
            <a:extLst>
              <a:ext uri="{FF2B5EF4-FFF2-40B4-BE49-F238E27FC236}">
                <a16:creationId xmlns:a16="http://schemas.microsoft.com/office/drawing/2014/main" id="{00000000-0008-0000-0400-000030000000}"/>
              </a:ext>
            </a:extLst>
          </xdr:cNvPr>
          <xdr:cNvGrpSpPr/>
        </xdr:nvGrpSpPr>
        <xdr:grpSpPr>
          <a:xfrm>
            <a:off x="428625" y="793751"/>
            <a:ext cx="1861754" cy="190499"/>
            <a:chOff x="426983" y="303815"/>
            <a:chExt cx="1847521" cy="188857"/>
          </a:xfrm>
        </xdr:grpSpPr>
        <xdr:cxnSp macro="">
          <xdr:nvCxnSpPr>
            <xdr:cNvPr id="69" name="Straight Connector 68">
              <a:extLst>
                <a:ext uri="{FF2B5EF4-FFF2-40B4-BE49-F238E27FC236}">
                  <a16:creationId xmlns:a16="http://schemas.microsoft.com/office/drawing/2014/main" id="{00000000-0008-0000-0400-000045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0" name="Straight Connector 69">
              <a:extLst>
                <a:ext uri="{FF2B5EF4-FFF2-40B4-BE49-F238E27FC236}">
                  <a16:creationId xmlns:a16="http://schemas.microsoft.com/office/drawing/2014/main" id="{00000000-0008-0000-0400-000046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1" name="Straight Connector 70">
              <a:extLst>
                <a:ext uri="{FF2B5EF4-FFF2-40B4-BE49-F238E27FC236}">
                  <a16:creationId xmlns:a16="http://schemas.microsoft.com/office/drawing/2014/main" id="{00000000-0008-0000-0400-000047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72" name="Straight Connector 71">
              <a:extLst>
                <a:ext uri="{FF2B5EF4-FFF2-40B4-BE49-F238E27FC236}">
                  <a16:creationId xmlns:a16="http://schemas.microsoft.com/office/drawing/2014/main" id="{00000000-0008-0000-0400-000048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9" name="Group 48">
            <a:extLst>
              <a:ext uri="{FF2B5EF4-FFF2-40B4-BE49-F238E27FC236}">
                <a16:creationId xmlns:a16="http://schemas.microsoft.com/office/drawing/2014/main" id="{00000000-0008-0000-0400-000031000000}"/>
              </a:ext>
            </a:extLst>
          </xdr:cNvPr>
          <xdr:cNvGrpSpPr/>
        </xdr:nvGrpSpPr>
        <xdr:grpSpPr>
          <a:xfrm>
            <a:off x="428625" y="1041728"/>
            <a:ext cx="1861754" cy="186942"/>
            <a:chOff x="426983" y="303815"/>
            <a:chExt cx="1847521" cy="188857"/>
          </a:xfrm>
        </xdr:grpSpPr>
        <xdr:cxnSp macro="">
          <xdr:nvCxnSpPr>
            <xdr:cNvPr id="65" name="Straight Connector 64">
              <a:extLst>
                <a:ext uri="{FF2B5EF4-FFF2-40B4-BE49-F238E27FC236}">
                  <a16:creationId xmlns:a16="http://schemas.microsoft.com/office/drawing/2014/main" id="{00000000-0008-0000-0400-000041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6" name="Straight Connector 65">
              <a:extLst>
                <a:ext uri="{FF2B5EF4-FFF2-40B4-BE49-F238E27FC236}">
                  <a16:creationId xmlns:a16="http://schemas.microsoft.com/office/drawing/2014/main" id="{00000000-0008-0000-0400-000042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7" name="Straight Connector 66">
              <a:extLst>
                <a:ext uri="{FF2B5EF4-FFF2-40B4-BE49-F238E27FC236}">
                  <a16:creationId xmlns:a16="http://schemas.microsoft.com/office/drawing/2014/main" id="{00000000-0008-0000-0400-000043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8" name="Straight Connector 67">
              <a:extLst>
                <a:ext uri="{FF2B5EF4-FFF2-40B4-BE49-F238E27FC236}">
                  <a16:creationId xmlns:a16="http://schemas.microsoft.com/office/drawing/2014/main" id="{00000000-0008-0000-0400-000044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50" name="Group 49">
            <a:extLst>
              <a:ext uri="{FF2B5EF4-FFF2-40B4-BE49-F238E27FC236}">
                <a16:creationId xmlns:a16="http://schemas.microsoft.com/office/drawing/2014/main" id="{00000000-0008-0000-0400-000032000000}"/>
              </a:ext>
            </a:extLst>
          </xdr:cNvPr>
          <xdr:cNvGrpSpPr/>
        </xdr:nvGrpSpPr>
        <xdr:grpSpPr>
          <a:xfrm>
            <a:off x="428625" y="1285876"/>
            <a:ext cx="1861754" cy="188857"/>
            <a:chOff x="426983" y="303815"/>
            <a:chExt cx="1847521" cy="188857"/>
          </a:xfrm>
        </xdr:grpSpPr>
        <xdr:cxnSp macro="">
          <xdr:nvCxnSpPr>
            <xdr:cNvPr id="61" name="Straight Connector 60">
              <a:extLst>
                <a:ext uri="{FF2B5EF4-FFF2-40B4-BE49-F238E27FC236}">
                  <a16:creationId xmlns:a16="http://schemas.microsoft.com/office/drawing/2014/main" id="{00000000-0008-0000-0400-00003D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2" name="Straight Connector 61">
              <a:extLst>
                <a:ext uri="{FF2B5EF4-FFF2-40B4-BE49-F238E27FC236}">
                  <a16:creationId xmlns:a16="http://schemas.microsoft.com/office/drawing/2014/main" id="{00000000-0008-0000-0400-00003E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3" name="Straight Connector 62">
              <a:extLst>
                <a:ext uri="{FF2B5EF4-FFF2-40B4-BE49-F238E27FC236}">
                  <a16:creationId xmlns:a16="http://schemas.microsoft.com/office/drawing/2014/main" id="{00000000-0008-0000-0400-00003F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4" name="Straight Connector 63">
              <a:extLst>
                <a:ext uri="{FF2B5EF4-FFF2-40B4-BE49-F238E27FC236}">
                  <a16:creationId xmlns:a16="http://schemas.microsoft.com/office/drawing/2014/main" id="{00000000-0008-0000-0400-000040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51" name="Group 50">
            <a:extLst>
              <a:ext uri="{FF2B5EF4-FFF2-40B4-BE49-F238E27FC236}">
                <a16:creationId xmlns:a16="http://schemas.microsoft.com/office/drawing/2014/main" id="{00000000-0008-0000-0400-000033000000}"/>
              </a:ext>
            </a:extLst>
          </xdr:cNvPr>
          <xdr:cNvGrpSpPr/>
        </xdr:nvGrpSpPr>
        <xdr:grpSpPr>
          <a:xfrm>
            <a:off x="428625" y="1531938"/>
            <a:ext cx="1861754" cy="188857"/>
            <a:chOff x="426983" y="303815"/>
            <a:chExt cx="1847521" cy="188857"/>
          </a:xfrm>
        </xdr:grpSpPr>
        <xdr:cxnSp macro="">
          <xdr:nvCxnSpPr>
            <xdr:cNvPr id="57" name="Straight Connector 56">
              <a:extLst>
                <a:ext uri="{FF2B5EF4-FFF2-40B4-BE49-F238E27FC236}">
                  <a16:creationId xmlns:a16="http://schemas.microsoft.com/office/drawing/2014/main" id="{00000000-0008-0000-0400-000039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8" name="Straight Connector 57">
              <a:extLst>
                <a:ext uri="{FF2B5EF4-FFF2-40B4-BE49-F238E27FC236}">
                  <a16:creationId xmlns:a16="http://schemas.microsoft.com/office/drawing/2014/main" id="{00000000-0008-0000-0400-00003A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9" name="Straight Connector 58">
              <a:extLst>
                <a:ext uri="{FF2B5EF4-FFF2-40B4-BE49-F238E27FC236}">
                  <a16:creationId xmlns:a16="http://schemas.microsoft.com/office/drawing/2014/main" id="{00000000-0008-0000-0400-00003B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 name="Straight Connector 59">
              <a:extLst>
                <a:ext uri="{FF2B5EF4-FFF2-40B4-BE49-F238E27FC236}">
                  <a16:creationId xmlns:a16="http://schemas.microsoft.com/office/drawing/2014/main" id="{00000000-0008-0000-0400-00003C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52" name="Group 51">
            <a:extLst>
              <a:ext uri="{FF2B5EF4-FFF2-40B4-BE49-F238E27FC236}">
                <a16:creationId xmlns:a16="http://schemas.microsoft.com/office/drawing/2014/main" id="{00000000-0008-0000-0400-000034000000}"/>
              </a:ext>
            </a:extLst>
          </xdr:cNvPr>
          <xdr:cNvGrpSpPr/>
        </xdr:nvGrpSpPr>
        <xdr:grpSpPr>
          <a:xfrm>
            <a:off x="428625" y="1778001"/>
            <a:ext cx="1861754" cy="190499"/>
            <a:chOff x="426983" y="303815"/>
            <a:chExt cx="1847521" cy="188857"/>
          </a:xfrm>
        </xdr:grpSpPr>
        <xdr:cxnSp macro="">
          <xdr:nvCxnSpPr>
            <xdr:cNvPr id="53" name="Straight Connector 52">
              <a:extLst>
                <a:ext uri="{FF2B5EF4-FFF2-40B4-BE49-F238E27FC236}">
                  <a16:creationId xmlns:a16="http://schemas.microsoft.com/office/drawing/2014/main" id="{00000000-0008-0000-0400-000035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4" name="Straight Connector 53">
              <a:extLst>
                <a:ext uri="{FF2B5EF4-FFF2-40B4-BE49-F238E27FC236}">
                  <a16:creationId xmlns:a16="http://schemas.microsoft.com/office/drawing/2014/main" id="{00000000-0008-0000-0400-000036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5" name="Straight Connector 54">
              <a:extLst>
                <a:ext uri="{FF2B5EF4-FFF2-40B4-BE49-F238E27FC236}">
                  <a16:creationId xmlns:a16="http://schemas.microsoft.com/office/drawing/2014/main" id="{00000000-0008-0000-0400-000037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6" name="Straight Connector 55">
              <a:extLst>
                <a:ext uri="{FF2B5EF4-FFF2-40B4-BE49-F238E27FC236}">
                  <a16:creationId xmlns:a16="http://schemas.microsoft.com/office/drawing/2014/main" id="{00000000-0008-0000-0400-000038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2</xdr:col>
      <xdr:colOff>59437</xdr:colOff>
      <xdr:row>0</xdr:row>
      <xdr:rowOff>33945</xdr:rowOff>
    </xdr:from>
    <xdr:to>
      <xdr:col>8</xdr:col>
      <xdr:colOff>44533</xdr:colOff>
      <xdr:row>1</xdr:row>
      <xdr:rowOff>176405</xdr:rowOff>
    </xdr:to>
    <xdr:sp macro="" textlink="">
      <xdr:nvSpPr>
        <xdr:cNvPr id="37" name="TextBox 36" title="Page Navigation">
          <a:hlinkClick xmlns:r="http://schemas.openxmlformats.org/officeDocument/2006/relationships" r:id="rId7" tooltip="Go to TOP of page"/>
          <a:extLst>
            <a:ext uri="{FF2B5EF4-FFF2-40B4-BE49-F238E27FC236}">
              <a16:creationId xmlns:a16="http://schemas.microsoft.com/office/drawing/2014/main" id="{00000000-0008-0000-0400-000025000000}"/>
            </a:ext>
          </a:extLst>
        </xdr:cNvPr>
        <xdr:cNvSpPr txBox="1"/>
      </xdr:nvSpPr>
      <xdr:spPr>
        <a:xfrm>
          <a:off x="430912" y="33945"/>
          <a:ext cx="1890096" cy="199610"/>
        </a:xfrm>
        <a:prstGeom prst="rect">
          <a:avLst/>
        </a:prstGeom>
        <a:solidFill>
          <a:schemeClr val="bg1">
            <a:alpha val="0"/>
          </a:schemeClr>
        </a:solidFill>
        <a:ln w="6350">
          <a:solidFill>
            <a:srgbClr val="006666"/>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xdr:twoCellAnchor>
  <xdr:twoCellAnchor>
    <xdr:from>
      <xdr:col>2</xdr:col>
      <xdr:colOff>59437</xdr:colOff>
      <xdr:row>6</xdr:row>
      <xdr:rowOff>43277</xdr:rowOff>
    </xdr:from>
    <xdr:to>
      <xdr:col>7</xdr:col>
      <xdr:colOff>368457</xdr:colOff>
      <xdr:row>7</xdr:row>
      <xdr:rowOff>161870</xdr:rowOff>
    </xdr:to>
    <xdr:sp macro="" textlink="">
      <xdr:nvSpPr>
        <xdr:cNvPr id="38" name="TextBox 37" title="Page Navigation">
          <a:hlinkClick xmlns:r="http://schemas.openxmlformats.org/officeDocument/2006/relationships" r:id="rId8"/>
          <a:extLst>
            <a:ext uri="{FF2B5EF4-FFF2-40B4-BE49-F238E27FC236}">
              <a16:creationId xmlns:a16="http://schemas.microsoft.com/office/drawing/2014/main" id="{00000000-0008-0000-0400-000026000000}"/>
            </a:ext>
          </a:extLst>
        </xdr:cNvPr>
        <xdr:cNvSpPr txBox="1"/>
      </xdr:nvSpPr>
      <xdr:spPr>
        <a:xfrm>
          <a:off x="430912" y="786227"/>
          <a:ext cx="1842545" cy="17574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Existing and New Fixtures</a:t>
          </a:r>
        </a:p>
      </xdr:txBody>
    </xdr:sp>
    <xdr:clientData/>
  </xdr:twoCellAnchor>
  <xdr:twoCellAnchor>
    <xdr:from>
      <xdr:col>2</xdr:col>
      <xdr:colOff>59436</xdr:colOff>
      <xdr:row>10</xdr:row>
      <xdr:rowOff>52636</xdr:rowOff>
    </xdr:from>
    <xdr:to>
      <xdr:col>7</xdr:col>
      <xdr:colOff>368456</xdr:colOff>
      <xdr:row>11</xdr:row>
      <xdr:rowOff>170743</xdr:rowOff>
    </xdr:to>
    <xdr:sp macro="" textlink="">
      <xdr:nvSpPr>
        <xdr:cNvPr id="39" name="TextBox 38" title="Page Navigation">
          <a:hlinkClick xmlns:r="http://schemas.openxmlformats.org/officeDocument/2006/relationships" r:id="rId7"/>
          <a:extLst>
            <a:ext uri="{FF2B5EF4-FFF2-40B4-BE49-F238E27FC236}">
              <a16:creationId xmlns:a16="http://schemas.microsoft.com/office/drawing/2014/main" id="{00000000-0008-0000-0400-000027000000}"/>
            </a:ext>
          </a:extLst>
        </xdr:cNvPr>
        <xdr:cNvSpPr txBox="1"/>
      </xdr:nvSpPr>
      <xdr:spPr>
        <a:xfrm>
          <a:off x="430911" y="1271836"/>
          <a:ext cx="1842545" cy="175257"/>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Customer Authorization</a:t>
          </a:r>
        </a:p>
      </xdr:txBody>
    </xdr:sp>
    <xdr:clientData/>
  </xdr:twoCellAnchor>
  <xdr:twoCellAnchor>
    <xdr:from>
      <xdr:col>2</xdr:col>
      <xdr:colOff>59437</xdr:colOff>
      <xdr:row>15</xdr:row>
      <xdr:rowOff>4846</xdr:rowOff>
    </xdr:from>
    <xdr:to>
      <xdr:col>7</xdr:col>
      <xdr:colOff>368457</xdr:colOff>
      <xdr:row>15</xdr:row>
      <xdr:rowOff>189840</xdr:rowOff>
    </xdr:to>
    <xdr:sp macro="" textlink="">
      <xdr:nvSpPr>
        <xdr:cNvPr id="40" name="TextBox 39" title="Page Navigation">
          <a:hlinkClick xmlns:r="http://schemas.openxmlformats.org/officeDocument/2006/relationships" r:id="rId5"/>
          <a:extLst>
            <a:ext uri="{FF2B5EF4-FFF2-40B4-BE49-F238E27FC236}">
              <a16:creationId xmlns:a16="http://schemas.microsoft.com/office/drawing/2014/main" id="{00000000-0008-0000-0400-000028000000}"/>
            </a:ext>
          </a:extLst>
        </xdr:cNvPr>
        <xdr:cNvSpPr txBox="1"/>
      </xdr:nvSpPr>
      <xdr:spPr>
        <a:xfrm>
          <a:off x="430912" y="1757446"/>
          <a:ext cx="1842545" cy="18499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PSE</a:t>
          </a:r>
          <a:r>
            <a:rPr lang="en-US" sz="1100" b="0" baseline="0">
              <a:solidFill>
                <a:schemeClr val="bg1"/>
              </a:solidFill>
              <a:sym typeface="Webdings" panose="05030102010509060703" pitchFamily="18" charset="2"/>
            </a:rPr>
            <a:t> Grant QC Page</a:t>
          </a:r>
          <a:endParaRPr lang="en-US" sz="1100" b="0">
            <a:solidFill>
              <a:schemeClr val="bg1"/>
            </a:solidFill>
            <a:sym typeface="Webdings" panose="05030102010509060703" pitchFamily="18" charset="2"/>
          </a:endParaRPr>
        </a:p>
      </xdr:txBody>
    </xdr:sp>
    <xdr:clientData/>
  </xdr:twoCellAnchor>
  <xdr:twoCellAnchor>
    <xdr:from>
      <xdr:col>2</xdr:col>
      <xdr:colOff>59436</xdr:colOff>
      <xdr:row>13</xdr:row>
      <xdr:rowOff>165</xdr:rowOff>
    </xdr:from>
    <xdr:to>
      <xdr:col>7</xdr:col>
      <xdr:colOff>368456</xdr:colOff>
      <xdr:row>13</xdr:row>
      <xdr:rowOff>175421</xdr:rowOff>
    </xdr:to>
    <xdr:sp macro="" textlink="">
      <xdr:nvSpPr>
        <xdr:cNvPr id="41" name="TextBox 40" title="Page Navigation">
          <a:hlinkClick xmlns:r="http://schemas.openxmlformats.org/officeDocument/2006/relationships" r:id="rId9"/>
          <a:extLst>
            <a:ext uri="{FF2B5EF4-FFF2-40B4-BE49-F238E27FC236}">
              <a16:creationId xmlns:a16="http://schemas.microsoft.com/office/drawing/2014/main" id="{00000000-0008-0000-0400-000029000000}"/>
            </a:ext>
          </a:extLst>
        </xdr:cNvPr>
        <xdr:cNvSpPr txBox="1"/>
      </xdr:nvSpPr>
      <xdr:spPr>
        <a:xfrm>
          <a:off x="430911" y="1514640"/>
          <a:ext cx="1842545" cy="175256"/>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LLLC &amp; Exterior NLC</a:t>
          </a:r>
        </a:p>
      </xdr:txBody>
    </xdr:sp>
    <xdr:clientData/>
  </xdr:twoCellAnchor>
  <xdr:twoCellAnchor>
    <xdr:from>
      <xdr:col>2</xdr:col>
      <xdr:colOff>59437</xdr:colOff>
      <xdr:row>2</xdr:row>
      <xdr:rowOff>52967</xdr:rowOff>
    </xdr:from>
    <xdr:to>
      <xdr:col>7</xdr:col>
      <xdr:colOff>368457</xdr:colOff>
      <xdr:row>3</xdr:row>
      <xdr:rowOff>180811</xdr:rowOff>
    </xdr:to>
    <xdr:sp macro="" textlink="">
      <xdr:nvSpPr>
        <xdr:cNvPr id="42" name="TextBox 41" title="Page Navigation">
          <a:hlinkClick xmlns:r="http://schemas.openxmlformats.org/officeDocument/2006/relationships" r:id="rId10"/>
          <a:extLst>
            <a:ext uri="{FF2B5EF4-FFF2-40B4-BE49-F238E27FC236}">
              <a16:creationId xmlns:a16="http://schemas.microsoft.com/office/drawing/2014/main" id="{00000000-0008-0000-0400-00002A000000}"/>
            </a:ext>
          </a:extLst>
        </xdr:cNvPr>
        <xdr:cNvSpPr txBox="1"/>
      </xdr:nvSpPr>
      <xdr:spPr>
        <a:xfrm>
          <a:off x="430912" y="300617"/>
          <a:ext cx="1842545" cy="18499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Terms and Conditions</a:t>
          </a:r>
        </a:p>
      </xdr:txBody>
    </xdr:sp>
    <xdr:clientData/>
  </xdr:twoCellAnchor>
  <xdr:twoCellAnchor>
    <xdr:from>
      <xdr:col>2</xdr:col>
      <xdr:colOff>59437</xdr:colOff>
      <xdr:row>4</xdr:row>
      <xdr:rowOff>48121</xdr:rowOff>
    </xdr:from>
    <xdr:to>
      <xdr:col>7</xdr:col>
      <xdr:colOff>368457</xdr:colOff>
      <xdr:row>5</xdr:row>
      <xdr:rowOff>175965</xdr:rowOff>
    </xdr:to>
    <xdr:sp macro="" textlink="">
      <xdr:nvSpPr>
        <xdr:cNvPr id="43" name="TextBox 42" title="Page Navigation">
          <a:hlinkClick xmlns:r="http://schemas.openxmlformats.org/officeDocument/2006/relationships" r:id="rId11"/>
          <a:extLst>
            <a:ext uri="{FF2B5EF4-FFF2-40B4-BE49-F238E27FC236}">
              <a16:creationId xmlns:a16="http://schemas.microsoft.com/office/drawing/2014/main" id="{00000000-0008-0000-0400-00002B000000}"/>
            </a:ext>
          </a:extLst>
        </xdr:cNvPr>
        <xdr:cNvSpPr txBox="1"/>
      </xdr:nvSpPr>
      <xdr:spPr>
        <a:xfrm>
          <a:off x="430912" y="543421"/>
          <a:ext cx="1842545" cy="18499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 Owner Info</a:t>
          </a:r>
        </a:p>
      </xdr:txBody>
    </xdr:sp>
    <xdr:clientData/>
  </xdr:twoCellAnchor>
  <xdr:twoCellAnchor>
    <xdr:from>
      <xdr:col>2</xdr:col>
      <xdr:colOff>59436</xdr:colOff>
      <xdr:row>8</xdr:row>
      <xdr:rowOff>47957</xdr:rowOff>
    </xdr:from>
    <xdr:to>
      <xdr:col>7</xdr:col>
      <xdr:colOff>368456</xdr:colOff>
      <xdr:row>9</xdr:row>
      <xdr:rowOff>166550</xdr:rowOff>
    </xdr:to>
    <xdr:sp macro="" textlink="">
      <xdr:nvSpPr>
        <xdr:cNvPr id="44" name="TextBox 43" title="Page Navigation">
          <a:hlinkClick xmlns:r="http://schemas.openxmlformats.org/officeDocument/2006/relationships" r:id="rId12"/>
          <a:extLst>
            <a:ext uri="{FF2B5EF4-FFF2-40B4-BE49-F238E27FC236}">
              <a16:creationId xmlns:a16="http://schemas.microsoft.com/office/drawing/2014/main" id="{00000000-0008-0000-0400-00002C000000}"/>
            </a:ext>
          </a:extLst>
        </xdr:cNvPr>
        <xdr:cNvSpPr txBox="1"/>
      </xdr:nvSpPr>
      <xdr:spPr>
        <a:xfrm>
          <a:off x="430911" y="1029032"/>
          <a:ext cx="1842545" cy="17574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Installations</a:t>
          </a:r>
        </a:p>
      </xdr:txBody>
    </xdr:sp>
    <xdr:clientData/>
  </xdr:twoCellAnchor>
  <xdr:twoCellAnchor>
    <xdr:from>
      <xdr:col>31</xdr:col>
      <xdr:colOff>267431</xdr:colOff>
      <xdr:row>0</xdr:row>
      <xdr:rowOff>0</xdr:rowOff>
    </xdr:from>
    <xdr:to>
      <xdr:col>38</xdr:col>
      <xdr:colOff>0</xdr:colOff>
      <xdr:row>17</xdr:row>
      <xdr:rowOff>0</xdr:rowOff>
    </xdr:to>
    <xdr:grpSp>
      <xdr:nvGrpSpPr>
        <xdr:cNvPr id="82" name="Group 81">
          <a:extLst>
            <a:ext uri="{FF2B5EF4-FFF2-40B4-BE49-F238E27FC236}">
              <a16:creationId xmlns:a16="http://schemas.microsoft.com/office/drawing/2014/main" id="{00000000-0008-0000-0400-000052000000}"/>
            </a:ext>
          </a:extLst>
        </xdr:cNvPr>
        <xdr:cNvGrpSpPr/>
      </xdr:nvGrpSpPr>
      <xdr:grpSpPr>
        <a:xfrm>
          <a:off x="11060034" y="0"/>
          <a:ext cx="2032947" cy="1993660"/>
          <a:chOff x="373063" y="-1"/>
          <a:chExt cx="1976437" cy="2024063"/>
        </a:xfrm>
      </xdr:grpSpPr>
      <xdr:sp macro="" textlink="">
        <xdr:nvSpPr>
          <xdr:cNvPr id="91" name="Rectangle 90">
            <a:extLst>
              <a:ext uri="{FF2B5EF4-FFF2-40B4-BE49-F238E27FC236}">
                <a16:creationId xmlns:a16="http://schemas.microsoft.com/office/drawing/2014/main" id="{00000000-0008-0000-0400-00005B000000}"/>
              </a:ext>
            </a:extLst>
          </xdr:cNvPr>
          <xdr:cNvSpPr/>
        </xdr:nvSpPr>
        <xdr:spPr>
          <a:xfrm>
            <a:off x="373063" y="-1"/>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92" name="Group 91">
            <a:extLst>
              <a:ext uri="{FF2B5EF4-FFF2-40B4-BE49-F238E27FC236}">
                <a16:creationId xmlns:a16="http://schemas.microsoft.com/office/drawing/2014/main" id="{00000000-0008-0000-0400-00005C000000}"/>
              </a:ext>
            </a:extLst>
          </xdr:cNvPr>
          <xdr:cNvGrpSpPr/>
        </xdr:nvGrpSpPr>
        <xdr:grpSpPr>
          <a:xfrm>
            <a:off x="428625" y="301625"/>
            <a:ext cx="1861754" cy="188857"/>
            <a:chOff x="426983" y="303815"/>
            <a:chExt cx="1847521" cy="188857"/>
          </a:xfrm>
        </xdr:grpSpPr>
        <xdr:cxnSp macro="">
          <xdr:nvCxnSpPr>
            <xdr:cNvPr id="123" name="Straight Connector 122">
              <a:extLst>
                <a:ext uri="{FF2B5EF4-FFF2-40B4-BE49-F238E27FC236}">
                  <a16:creationId xmlns:a16="http://schemas.microsoft.com/office/drawing/2014/main" id="{00000000-0008-0000-0400-00007B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4" name="Straight Connector 123">
              <a:extLst>
                <a:ext uri="{FF2B5EF4-FFF2-40B4-BE49-F238E27FC236}">
                  <a16:creationId xmlns:a16="http://schemas.microsoft.com/office/drawing/2014/main" id="{00000000-0008-0000-0400-00007C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5" name="Straight Connector 124">
              <a:extLst>
                <a:ext uri="{FF2B5EF4-FFF2-40B4-BE49-F238E27FC236}">
                  <a16:creationId xmlns:a16="http://schemas.microsoft.com/office/drawing/2014/main" id="{00000000-0008-0000-0400-00007D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6" name="Straight Connector 125">
              <a:extLst>
                <a:ext uri="{FF2B5EF4-FFF2-40B4-BE49-F238E27FC236}">
                  <a16:creationId xmlns:a16="http://schemas.microsoft.com/office/drawing/2014/main" id="{00000000-0008-0000-0400-00007E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3" name="Group 92">
            <a:extLst>
              <a:ext uri="{FF2B5EF4-FFF2-40B4-BE49-F238E27FC236}">
                <a16:creationId xmlns:a16="http://schemas.microsoft.com/office/drawing/2014/main" id="{00000000-0008-0000-0400-00005D000000}"/>
              </a:ext>
            </a:extLst>
          </xdr:cNvPr>
          <xdr:cNvGrpSpPr/>
        </xdr:nvGrpSpPr>
        <xdr:grpSpPr>
          <a:xfrm>
            <a:off x="428625" y="547689"/>
            <a:ext cx="1861754" cy="190499"/>
            <a:chOff x="426983" y="303815"/>
            <a:chExt cx="1847521" cy="188857"/>
          </a:xfrm>
        </xdr:grpSpPr>
        <xdr:cxnSp macro="">
          <xdr:nvCxnSpPr>
            <xdr:cNvPr id="119" name="Straight Connector 118">
              <a:extLst>
                <a:ext uri="{FF2B5EF4-FFF2-40B4-BE49-F238E27FC236}">
                  <a16:creationId xmlns:a16="http://schemas.microsoft.com/office/drawing/2014/main" id="{00000000-0008-0000-0400-000077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0" name="Straight Connector 119">
              <a:extLst>
                <a:ext uri="{FF2B5EF4-FFF2-40B4-BE49-F238E27FC236}">
                  <a16:creationId xmlns:a16="http://schemas.microsoft.com/office/drawing/2014/main" id="{00000000-0008-0000-0400-000078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1" name="Straight Connector 120">
              <a:extLst>
                <a:ext uri="{FF2B5EF4-FFF2-40B4-BE49-F238E27FC236}">
                  <a16:creationId xmlns:a16="http://schemas.microsoft.com/office/drawing/2014/main" id="{00000000-0008-0000-0400-000079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2" name="Straight Connector 121">
              <a:extLst>
                <a:ext uri="{FF2B5EF4-FFF2-40B4-BE49-F238E27FC236}">
                  <a16:creationId xmlns:a16="http://schemas.microsoft.com/office/drawing/2014/main" id="{00000000-0008-0000-0400-00007A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4" name="Group 93">
            <a:extLst>
              <a:ext uri="{FF2B5EF4-FFF2-40B4-BE49-F238E27FC236}">
                <a16:creationId xmlns:a16="http://schemas.microsoft.com/office/drawing/2014/main" id="{00000000-0008-0000-0400-00005E000000}"/>
              </a:ext>
            </a:extLst>
          </xdr:cNvPr>
          <xdr:cNvGrpSpPr/>
        </xdr:nvGrpSpPr>
        <xdr:grpSpPr>
          <a:xfrm>
            <a:off x="428625" y="793751"/>
            <a:ext cx="1861754" cy="190499"/>
            <a:chOff x="426983" y="303815"/>
            <a:chExt cx="1847521" cy="188857"/>
          </a:xfrm>
        </xdr:grpSpPr>
        <xdr:cxnSp macro="">
          <xdr:nvCxnSpPr>
            <xdr:cNvPr id="115" name="Straight Connector 114">
              <a:extLst>
                <a:ext uri="{FF2B5EF4-FFF2-40B4-BE49-F238E27FC236}">
                  <a16:creationId xmlns:a16="http://schemas.microsoft.com/office/drawing/2014/main" id="{00000000-0008-0000-0400-000073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6" name="Straight Connector 115">
              <a:extLst>
                <a:ext uri="{FF2B5EF4-FFF2-40B4-BE49-F238E27FC236}">
                  <a16:creationId xmlns:a16="http://schemas.microsoft.com/office/drawing/2014/main" id="{00000000-0008-0000-0400-000074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7" name="Straight Connector 116">
              <a:extLst>
                <a:ext uri="{FF2B5EF4-FFF2-40B4-BE49-F238E27FC236}">
                  <a16:creationId xmlns:a16="http://schemas.microsoft.com/office/drawing/2014/main" id="{00000000-0008-0000-0400-000075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8" name="Straight Connector 117">
              <a:extLst>
                <a:ext uri="{FF2B5EF4-FFF2-40B4-BE49-F238E27FC236}">
                  <a16:creationId xmlns:a16="http://schemas.microsoft.com/office/drawing/2014/main" id="{00000000-0008-0000-0400-000076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5" name="Group 94">
            <a:extLst>
              <a:ext uri="{FF2B5EF4-FFF2-40B4-BE49-F238E27FC236}">
                <a16:creationId xmlns:a16="http://schemas.microsoft.com/office/drawing/2014/main" id="{00000000-0008-0000-0400-00005F000000}"/>
              </a:ext>
            </a:extLst>
          </xdr:cNvPr>
          <xdr:cNvGrpSpPr/>
        </xdr:nvGrpSpPr>
        <xdr:grpSpPr>
          <a:xfrm>
            <a:off x="428625" y="1041728"/>
            <a:ext cx="1861754" cy="186942"/>
            <a:chOff x="426983" y="303815"/>
            <a:chExt cx="1847521" cy="188857"/>
          </a:xfrm>
        </xdr:grpSpPr>
        <xdr:cxnSp macro="">
          <xdr:nvCxnSpPr>
            <xdr:cNvPr id="111" name="Straight Connector 110">
              <a:extLst>
                <a:ext uri="{FF2B5EF4-FFF2-40B4-BE49-F238E27FC236}">
                  <a16:creationId xmlns:a16="http://schemas.microsoft.com/office/drawing/2014/main" id="{00000000-0008-0000-0400-00006F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2" name="Straight Connector 111">
              <a:extLst>
                <a:ext uri="{FF2B5EF4-FFF2-40B4-BE49-F238E27FC236}">
                  <a16:creationId xmlns:a16="http://schemas.microsoft.com/office/drawing/2014/main" id="{00000000-0008-0000-0400-000070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3" name="Straight Connector 112">
              <a:extLst>
                <a:ext uri="{FF2B5EF4-FFF2-40B4-BE49-F238E27FC236}">
                  <a16:creationId xmlns:a16="http://schemas.microsoft.com/office/drawing/2014/main" id="{00000000-0008-0000-0400-000071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4" name="Straight Connector 113">
              <a:extLst>
                <a:ext uri="{FF2B5EF4-FFF2-40B4-BE49-F238E27FC236}">
                  <a16:creationId xmlns:a16="http://schemas.microsoft.com/office/drawing/2014/main" id="{00000000-0008-0000-0400-000072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6" name="Group 95">
            <a:extLst>
              <a:ext uri="{FF2B5EF4-FFF2-40B4-BE49-F238E27FC236}">
                <a16:creationId xmlns:a16="http://schemas.microsoft.com/office/drawing/2014/main" id="{00000000-0008-0000-0400-000060000000}"/>
              </a:ext>
            </a:extLst>
          </xdr:cNvPr>
          <xdr:cNvGrpSpPr/>
        </xdr:nvGrpSpPr>
        <xdr:grpSpPr>
          <a:xfrm>
            <a:off x="428625" y="1285876"/>
            <a:ext cx="1861754" cy="188857"/>
            <a:chOff x="426983" y="303815"/>
            <a:chExt cx="1847521" cy="188857"/>
          </a:xfrm>
        </xdr:grpSpPr>
        <xdr:cxnSp macro="">
          <xdr:nvCxnSpPr>
            <xdr:cNvPr id="107" name="Straight Connector 106">
              <a:extLst>
                <a:ext uri="{FF2B5EF4-FFF2-40B4-BE49-F238E27FC236}">
                  <a16:creationId xmlns:a16="http://schemas.microsoft.com/office/drawing/2014/main" id="{00000000-0008-0000-0400-00006B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8" name="Straight Connector 107">
              <a:extLst>
                <a:ext uri="{FF2B5EF4-FFF2-40B4-BE49-F238E27FC236}">
                  <a16:creationId xmlns:a16="http://schemas.microsoft.com/office/drawing/2014/main" id="{00000000-0008-0000-0400-00006C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9" name="Straight Connector 108">
              <a:extLst>
                <a:ext uri="{FF2B5EF4-FFF2-40B4-BE49-F238E27FC236}">
                  <a16:creationId xmlns:a16="http://schemas.microsoft.com/office/drawing/2014/main" id="{00000000-0008-0000-0400-00006D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0" name="Straight Connector 109">
              <a:extLst>
                <a:ext uri="{FF2B5EF4-FFF2-40B4-BE49-F238E27FC236}">
                  <a16:creationId xmlns:a16="http://schemas.microsoft.com/office/drawing/2014/main" id="{00000000-0008-0000-0400-00006E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7" name="Group 96">
            <a:extLst>
              <a:ext uri="{FF2B5EF4-FFF2-40B4-BE49-F238E27FC236}">
                <a16:creationId xmlns:a16="http://schemas.microsoft.com/office/drawing/2014/main" id="{00000000-0008-0000-0400-000061000000}"/>
              </a:ext>
            </a:extLst>
          </xdr:cNvPr>
          <xdr:cNvGrpSpPr/>
        </xdr:nvGrpSpPr>
        <xdr:grpSpPr>
          <a:xfrm>
            <a:off x="428625" y="1531938"/>
            <a:ext cx="1861754" cy="188857"/>
            <a:chOff x="426983" y="303815"/>
            <a:chExt cx="1847521" cy="188857"/>
          </a:xfrm>
        </xdr:grpSpPr>
        <xdr:cxnSp macro="">
          <xdr:nvCxnSpPr>
            <xdr:cNvPr id="103" name="Straight Connector 102">
              <a:extLst>
                <a:ext uri="{FF2B5EF4-FFF2-40B4-BE49-F238E27FC236}">
                  <a16:creationId xmlns:a16="http://schemas.microsoft.com/office/drawing/2014/main" id="{00000000-0008-0000-0400-000067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4" name="Straight Connector 103">
              <a:extLst>
                <a:ext uri="{FF2B5EF4-FFF2-40B4-BE49-F238E27FC236}">
                  <a16:creationId xmlns:a16="http://schemas.microsoft.com/office/drawing/2014/main" id="{00000000-0008-0000-0400-000068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5" name="Straight Connector 104">
              <a:extLst>
                <a:ext uri="{FF2B5EF4-FFF2-40B4-BE49-F238E27FC236}">
                  <a16:creationId xmlns:a16="http://schemas.microsoft.com/office/drawing/2014/main" id="{00000000-0008-0000-0400-000069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6" name="Straight Connector 105">
              <a:extLst>
                <a:ext uri="{FF2B5EF4-FFF2-40B4-BE49-F238E27FC236}">
                  <a16:creationId xmlns:a16="http://schemas.microsoft.com/office/drawing/2014/main" id="{00000000-0008-0000-0400-00006A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8" name="Group 97">
            <a:extLst>
              <a:ext uri="{FF2B5EF4-FFF2-40B4-BE49-F238E27FC236}">
                <a16:creationId xmlns:a16="http://schemas.microsoft.com/office/drawing/2014/main" id="{00000000-0008-0000-0400-000062000000}"/>
              </a:ext>
            </a:extLst>
          </xdr:cNvPr>
          <xdr:cNvGrpSpPr/>
        </xdr:nvGrpSpPr>
        <xdr:grpSpPr>
          <a:xfrm>
            <a:off x="428625" y="1778001"/>
            <a:ext cx="1861754" cy="190499"/>
            <a:chOff x="426983" y="303815"/>
            <a:chExt cx="1847521" cy="188857"/>
          </a:xfrm>
        </xdr:grpSpPr>
        <xdr:cxnSp macro="">
          <xdr:nvCxnSpPr>
            <xdr:cNvPr id="99" name="Straight Connector 98">
              <a:extLst>
                <a:ext uri="{FF2B5EF4-FFF2-40B4-BE49-F238E27FC236}">
                  <a16:creationId xmlns:a16="http://schemas.microsoft.com/office/drawing/2014/main" id="{00000000-0008-0000-0400-000063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0" name="Straight Connector 99">
              <a:extLst>
                <a:ext uri="{FF2B5EF4-FFF2-40B4-BE49-F238E27FC236}">
                  <a16:creationId xmlns:a16="http://schemas.microsoft.com/office/drawing/2014/main" id="{00000000-0008-0000-0400-000064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1" name="Straight Connector 100">
              <a:extLst>
                <a:ext uri="{FF2B5EF4-FFF2-40B4-BE49-F238E27FC236}">
                  <a16:creationId xmlns:a16="http://schemas.microsoft.com/office/drawing/2014/main" id="{00000000-0008-0000-0400-000065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2" name="Straight Connector 101">
              <a:extLst>
                <a:ext uri="{FF2B5EF4-FFF2-40B4-BE49-F238E27FC236}">
                  <a16:creationId xmlns:a16="http://schemas.microsoft.com/office/drawing/2014/main" id="{00000000-0008-0000-0400-000066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31</xdr:col>
      <xdr:colOff>326868</xdr:colOff>
      <xdr:row>0</xdr:row>
      <xdr:rowOff>33945</xdr:rowOff>
    </xdr:from>
    <xdr:to>
      <xdr:col>37</xdr:col>
      <xdr:colOff>359589</xdr:colOff>
      <xdr:row>1</xdr:row>
      <xdr:rowOff>176405</xdr:rowOff>
    </xdr:to>
    <xdr:sp macro="" textlink="">
      <xdr:nvSpPr>
        <xdr:cNvPr id="83" name="TextBox 82" title="Page Navigation">
          <a:hlinkClick xmlns:r="http://schemas.openxmlformats.org/officeDocument/2006/relationships" r:id="rId7" tooltip="Go to TOP of page"/>
          <a:extLst>
            <a:ext uri="{FF2B5EF4-FFF2-40B4-BE49-F238E27FC236}">
              <a16:creationId xmlns:a16="http://schemas.microsoft.com/office/drawing/2014/main" id="{00000000-0008-0000-0400-000053000000}"/>
            </a:ext>
          </a:extLst>
        </xdr:cNvPr>
        <xdr:cNvSpPr txBox="1"/>
      </xdr:nvSpPr>
      <xdr:spPr>
        <a:xfrm>
          <a:off x="10775793" y="33945"/>
          <a:ext cx="1890096" cy="199610"/>
        </a:xfrm>
        <a:prstGeom prst="rect">
          <a:avLst/>
        </a:prstGeom>
        <a:solidFill>
          <a:schemeClr val="bg1">
            <a:alpha val="0"/>
          </a:schemeClr>
        </a:solidFill>
        <a:ln w="6350">
          <a:solidFill>
            <a:srgbClr val="006666"/>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Page Navigation</a:t>
          </a:r>
          <a:endParaRPr lang="en-US" sz="1100" b="0" i="1">
            <a:solidFill>
              <a:schemeClr val="bg1"/>
            </a:solidFill>
          </a:endParaRPr>
        </a:p>
      </xdr:txBody>
    </xdr:sp>
    <xdr:clientData/>
  </xdr:twoCellAnchor>
  <xdr:twoCellAnchor>
    <xdr:from>
      <xdr:col>31</xdr:col>
      <xdr:colOff>326868</xdr:colOff>
      <xdr:row>6</xdr:row>
      <xdr:rowOff>43277</xdr:rowOff>
    </xdr:from>
    <xdr:to>
      <xdr:col>37</xdr:col>
      <xdr:colOff>312038</xdr:colOff>
      <xdr:row>7</xdr:row>
      <xdr:rowOff>161870</xdr:rowOff>
    </xdr:to>
    <xdr:sp macro="" textlink="">
      <xdr:nvSpPr>
        <xdr:cNvPr id="84" name="TextBox 83" title="Page Navigation">
          <a:hlinkClick xmlns:r="http://schemas.openxmlformats.org/officeDocument/2006/relationships" r:id="rId13"/>
          <a:extLst>
            <a:ext uri="{FF2B5EF4-FFF2-40B4-BE49-F238E27FC236}">
              <a16:creationId xmlns:a16="http://schemas.microsoft.com/office/drawing/2014/main" id="{00000000-0008-0000-0400-000054000000}"/>
            </a:ext>
          </a:extLst>
        </xdr:cNvPr>
        <xdr:cNvSpPr txBox="1"/>
      </xdr:nvSpPr>
      <xdr:spPr>
        <a:xfrm>
          <a:off x="10775793" y="786227"/>
          <a:ext cx="1842545" cy="17574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effectLst/>
              <a:latin typeface="+mn-lt"/>
              <a:ea typeface="+mn-ea"/>
              <a:cs typeface="+mn-cs"/>
            </a:rPr>
            <a:t>LLLC Payee (if Applicable)</a:t>
          </a:r>
          <a:endParaRPr lang="en-US">
            <a:solidFill>
              <a:schemeClr val="bg1"/>
            </a:solidFill>
            <a:effectLst/>
          </a:endParaRPr>
        </a:p>
      </xdr:txBody>
    </xdr:sp>
    <xdr:clientData/>
  </xdr:twoCellAnchor>
  <xdr:twoCellAnchor>
    <xdr:from>
      <xdr:col>31</xdr:col>
      <xdr:colOff>326867</xdr:colOff>
      <xdr:row>10</xdr:row>
      <xdr:rowOff>52636</xdr:rowOff>
    </xdr:from>
    <xdr:to>
      <xdr:col>37</xdr:col>
      <xdr:colOff>312037</xdr:colOff>
      <xdr:row>11</xdr:row>
      <xdr:rowOff>170743</xdr:rowOff>
    </xdr:to>
    <xdr:sp macro="" textlink="">
      <xdr:nvSpPr>
        <xdr:cNvPr id="85" name="TextBox 84" title="Page Navigation">
          <a:hlinkClick xmlns:r="http://schemas.openxmlformats.org/officeDocument/2006/relationships" r:id="rId14"/>
          <a:extLst>
            <a:ext uri="{FF2B5EF4-FFF2-40B4-BE49-F238E27FC236}">
              <a16:creationId xmlns:a16="http://schemas.microsoft.com/office/drawing/2014/main" id="{00000000-0008-0000-0400-000055000000}"/>
            </a:ext>
          </a:extLst>
        </xdr:cNvPr>
        <xdr:cNvSpPr txBox="1"/>
      </xdr:nvSpPr>
      <xdr:spPr>
        <a:xfrm>
          <a:off x="10775792" y="1271836"/>
          <a:ext cx="1842545" cy="175257"/>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effectLst/>
              <a:latin typeface="+mn-lt"/>
              <a:ea typeface="+mn-ea"/>
              <a:cs typeface="+mn-cs"/>
            </a:rPr>
            <a:t>Release billing Info</a:t>
          </a:r>
          <a:endParaRPr lang="en-US" sz="1100" b="0">
            <a:solidFill>
              <a:schemeClr val="bg1"/>
            </a:solidFill>
            <a:sym typeface="Webdings" panose="05030102010509060703" pitchFamily="18" charset="2"/>
          </a:endParaRPr>
        </a:p>
      </xdr:txBody>
    </xdr:sp>
    <xdr:clientData/>
  </xdr:twoCellAnchor>
  <xdr:twoCellAnchor>
    <xdr:from>
      <xdr:col>31</xdr:col>
      <xdr:colOff>326868</xdr:colOff>
      <xdr:row>15</xdr:row>
      <xdr:rowOff>4846</xdr:rowOff>
    </xdr:from>
    <xdr:to>
      <xdr:col>37</xdr:col>
      <xdr:colOff>312038</xdr:colOff>
      <xdr:row>15</xdr:row>
      <xdr:rowOff>189840</xdr:rowOff>
    </xdr:to>
    <xdr:sp macro="" textlink="">
      <xdr:nvSpPr>
        <xdr:cNvPr id="86" name="TextBox 85" title="Page Navigation">
          <a:extLst>
            <a:ext uri="{FF2B5EF4-FFF2-40B4-BE49-F238E27FC236}">
              <a16:creationId xmlns:a16="http://schemas.microsoft.com/office/drawing/2014/main" id="{00000000-0008-0000-0400-000056000000}"/>
            </a:ext>
          </a:extLst>
        </xdr:cNvPr>
        <xdr:cNvSpPr txBox="1"/>
      </xdr:nvSpPr>
      <xdr:spPr>
        <a:xfrm>
          <a:off x="10775793" y="1757446"/>
          <a:ext cx="1842545" cy="18499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endParaRPr lang="en-US" sz="1100" b="0">
            <a:solidFill>
              <a:schemeClr val="bg1"/>
            </a:solidFill>
            <a:sym typeface="Webdings" panose="05030102010509060703" pitchFamily="18" charset="2"/>
          </a:endParaRPr>
        </a:p>
      </xdr:txBody>
    </xdr:sp>
    <xdr:clientData/>
  </xdr:twoCellAnchor>
  <xdr:twoCellAnchor>
    <xdr:from>
      <xdr:col>31</xdr:col>
      <xdr:colOff>326867</xdr:colOff>
      <xdr:row>13</xdr:row>
      <xdr:rowOff>165</xdr:rowOff>
    </xdr:from>
    <xdr:to>
      <xdr:col>37</xdr:col>
      <xdr:colOff>312037</xdr:colOff>
      <xdr:row>13</xdr:row>
      <xdr:rowOff>175421</xdr:rowOff>
    </xdr:to>
    <xdr:sp macro="" textlink="">
      <xdr:nvSpPr>
        <xdr:cNvPr id="87" name="TextBox 86" title="Page Navigation">
          <a:extLst>
            <a:ext uri="{FF2B5EF4-FFF2-40B4-BE49-F238E27FC236}">
              <a16:creationId xmlns:a16="http://schemas.microsoft.com/office/drawing/2014/main" id="{00000000-0008-0000-0400-000057000000}"/>
            </a:ext>
          </a:extLst>
        </xdr:cNvPr>
        <xdr:cNvSpPr txBox="1"/>
      </xdr:nvSpPr>
      <xdr:spPr>
        <a:xfrm>
          <a:off x="10775792" y="1514640"/>
          <a:ext cx="1842545" cy="175256"/>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endParaRPr lang="en-US" sz="1100" b="0">
            <a:solidFill>
              <a:schemeClr val="bg1"/>
            </a:solidFill>
            <a:sym typeface="Webdings" panose="05030102010509060703" pitchFamily="18" charset="2"/>
          </a:endParaRPr>
        </a:p>
      </xdr:txBody>
    </xdr:sp>
    <xdr:clientData/>
  </xdr:twoCellAnchor>
  <xdr:twoCellAnchor>
    <xdr:from>
      <xdr:col>31</xdr:col>
      <xdr:colOff>326868</xdr:colOff>
      <xdr:row>2</xdr:row>
      <xdr:rowOff>52967</xdr:rowOff>
    </xdr:from>
    <xdr:to>
      <xdr:col>37</xdr:col>
      <xdr:colOff>312038</xdr:colOff>
      <xdr:row>3</xdr:row>
      <xdr:rowOff>180811</xdr:rowOff>
    </xdr:to>
    <xdr:sp macro="" textlink="">
      <xdr:nvSpPr>
        <xdr:cNvPr id="88" name="TextBox 87" title="Page Navigation">
          <a:hlinkClick xmlns:r="http://schemas.openxmlformats.org/officeDocument/2006/relationships" r:id="rId15"/>
          <a:extLst>
            <a:ext uri="{FF2B5EF4-FFF2-40B4-BE49-F238E27FC236}">
              <a16:creationId xmlns:a16="http://schemas.microsoft.com/office/drawing/2014/main" id="{00000000-0008-0000-0400-000058000000}"/>
            </a:ext>
          </a:extLst>
        </xdr:cNvPr>
        <xdr:cNvSpPr txBox="1"/>
      </xdr:nvSpPr>
      <xdr:spPr>
        <a:xfrm>
          <a:off x="10775793" y="300617"/>
          <a:ext cx="1842545" cy="18499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Payment Type</a:t>
          </a:r>
        </a:p>
      </xdr:txBody>
    </xdr:sp>
    <xdr:clientData/>
  </xdr:twoCellAnchor>
  <xdr:twoCellAnchor>
    <xdr:from>
      <xdr:col>31</xdr:col>
      <xdr:colOff>326868</xdr:colOff>
      <xdr:row>4</xdr:row>
      <xdr:rowOff>48121</xdr:rowOff>
    </xdr:from>
    <xdr:to>
      <xdr:col>37</xdr:col>
      <xdr:colOff>312038</xdr:colOff>
      <xdr:row>5</xdr:row>
      <xdr:rowOff>175965</xdr:rowOff>
    </xdr:to>
    <xdr:sp macro="" textlink="">
      <xdr:nvSpPr>
        <xdr:cNvPr id="89" name="TextBox 88" title="Page Navigation">
          <a:hlinkClick xmlns:r="http://schemas.openxmlformats.org/officeDocument/2006/relationships" r:id="rId16"/>
          <a:extLst>
            <a:ext uri="{FF2B5EF4-FFF2-40B4-BE49-F238E27FC236}">
              <a16:creationId xmlns:a16="http://schemas.microsoft.com/office/drawing/2014/main" id="{00000000-0008-0000-0400-000059000000}"/>
            </a:ext>
          </a:extLst>
        </xdr:cNvPr>
        <xdr:cNvSpPr txBox="1"/>
      </xdr:nvSpPr>
      <xdr:spPr>
        <a:xfrm>
          <a:off x="10775793" y="543421"/>
          <a:ext cx="1842545" cy="18499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effectLst/>
              <a:latin typeface="+mn-lt"/>
              <a:ea typeface="+mn-ea"/>
              <a:cs typeface="+mn-cs"/>
            </a:rPr>
            <a:t>Fixture / Control Payee</a:t>
          </a:r>
          <a:endParaRPr lang="en-US">
            <a:solidFill>
              <a:schemeClr val="bg1"/>
            </a:solidFill>
            <a:effectLst/>
          </a:endParaRPr>
        </a:p>
      </xdr:txBody>
    </xdr:sp>
    <xdr:clientData/>
  </xdr:twoCellAnchor>
  <xdr:twoCellAnchor>
    <xdr:from>
      <xdr:col>31</xdr:col>
      <xdr:colOff>326867</xdr:colOff>
      <xdr:row>8</xdr:row>
      <xdr:rowOff>47957</xdr:rowOff>
    </xdr:from>
    <xdr:to>
      <xdr:col>37</xdr:col>
      <xdr:colOff>312037</xdr:colOff>
      <xdr:row>9</xdr:row>
      <xdr:rowOff>166550</xdr:rowOff>
    </xdr:to>
    <xdr:sp macro="" textlink="">
      <xdr:nvSpPr>
        <xdr:cNvPr id="90" name="TextBox 89" title="Page Navigation">
          <a:hlinkClick xmlns:r="http://schemas.openxmlformats.org/officeDocument/2006/relationships" r:id="rId17"/>
          <a:extLst>
            <a:ext uri="{FF2B5EF4-FFF2-40B4-BE49-F238E27FC236}">
              <a16:creationId xmlns:a16="http://schemas.microsoft.com/office/drawing/2014/main" id="{00000000-0008-0000-0400-00005A000000}"/>
            </a:ext>
          </a:extLst>
        </xdr:cNvPr>
        <xdr:cNvSpPr txBox="1"/>
      </xdr:nvSpPr>
      <xdr:spPr>
        <a:xfrm>
          <a:off x="10775792" y="1029032"/>
          <a:ext cx="1842545" cy="17574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effectLst/>
              <a:latin typeface="+mn-lt"/>
              <a:ea typeface="+mn-ea"/>
              <a:cs typeface="+mn-cs"/>
            </a:rPr>
            <a:t>Customer Signature</a:t>
          </a:r>
          <a:endParaRPr lang="en-US" sz="1100" b="0">
            <a:solidFill>
              <a:schemeClr val="bg1"/>
            </a:solidFill>
            <a:sym typeface="Webdings" panose="05030102010509060703" pitchFamily="18" charset="2"/>
          </a:endParaRPr>
        </a:p>
      </xdr:txBody>
    </xdr:sp>
    <xdr:clientData/>
  </xdr:twoCellAnchor>
  <xdr:twoCellAnchor>
    <xdr:from>
      <xdr:col>12</xdr:col>
      <xdr:colOff>0</xdr:colOff>
      <xdr:row>15</xdr:row>
      <xdr:rowOff>4492</xdr:rowOff>
    </xdr:from>
    <xdr:to>
      <xdr:col>26</xdr:col>
      <xdr:colOff>143594</xdr:colOff>
      <xdr:row>17</xdr:row>
      <xdr:rowOff>9525</xdr:rowOff>
    </xdr:to>
    <xdr:grpSp>
      <xdr:nvGrpSpPr>
        <xdr:cNvPr id="128" name="Group 127">
          <a:extLst>
            <a:ext uri="{FF2B5EF4-FFF2-40B4-BE49-F238E27FC236}">
              <a16:creationId xmlns:a16="http://schemas.microsoft.com/office/drawing/2014/main" id="{00000000-0008-0000-0400-000080000000}"/>
            </a:ext>
          </a:extLst>
        </xdr:cNvPr>
        <xdr:cNvGrpSpPr/>
      </xdr:nvGrpSpPr>
      <xdr:grpSpPr>
        <a:xfrm>
          <a:off x="3891472" y="1748945"/>
          <a:ext cx="5127744" cy="254240"/>
          <a:chOff x="3467100" y="1733550"/>
          <a:chExt cx="4953000" cy="247651"/>
        </a:xfrm>
      </xdr:grpSpPr>
      <xdr:sp macro="" textlink="">
        <xdr:nvSpPr>
          <xdr:cNvPr id="129" name="Rectangle 128">
            <a:extLst>
              <a:ext uri="{FF2B5EF4-FFF2-40B4-BE49-F238E27FC236}">
                <a16:creationId xmlns:a16="http://schemas.microsoft.com/office/drawing/2014/main" id="{00000000-0008-0000-0400-000081000000}"/>
              </a:ext>
            </a:extLst>
          </xdr:cNvPr>
          <xdr:cNvSpPr/>
        </xdr:nvSpPr>
        <xdr:spPr>
          <a:xfrm>
            <a:off x="3467100" y="1733551"/>
            <a:ext cx="4953000" cy="247650"/>
          </a:xfrm>
          <a:prstGeom prst="rect">
            <a:avLst/>
          </a:prstGeom>
          <a:solidFill>
            <a:srgbClr val="156570">
              <a:alpha val="75000"/>
            </a:srgb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130" name="Rectangle 129">
            <a:extLst>
              <a:ext uri="{FF2B5EF4-FFF2-40B4-BE49-F238E27FC236}">
                <a16:creationId xmlns:a16="http://schemas.microsoft.com/office/drawing/2014/main" id="{00000000-0008-0000-0400-000082000000}"/>
              </a:ext>
            </a:extLst>
          </xdr:cNvPr>
          <xdr:cNvSpPr/>
        </xdr:nvSpPr>
        <xdr:spPr>
          <a:xfrm>
            <a:off x="3467100" y="1733550"/>
            <a:ext cx="4952999" cy="247650"/>
          </a:xfrm>
          <a:prstGeom prst="rect">
            <a:avLst/>
          </a:prstGeom>
          <a:solidFill>
            <a:schemeClr val="bg1">
              <a:alpha val="75000"/>
            </a:schemeClr>
          </a:solidFill>
          <a:ln>
            <a:solidFill>
              <a:srgbClr val="15657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effectLst/>
                <a:latin typeface="+mn-lt"/>
                <a:ea typeface="+mn-ea"/>
                <a:cs typeface="+mn-cs"/>
              </a:rPr>
              <a:t>Customer Authorization</a:t>
            </a:r>
            <a:endParaRPr lang="en-US" sz="1400" b="1">
              <a:solidFill>
                <a:sysClr val="windowText" lastClr="000000"/>
              </a:solidFill>
            </a:endParaRPr>
          </a:p>
        </xdr:txBody>
      </xdr:sp>
    </xdr:grpSp>
    <xdr:clientData/>
  </xdr:twoCellAnchor>
</xdr:wsDr>
</file>

<file path=xl/drawings/drawing6.xml><?xml version="1.0" encoding="utf-8"?>
<xdr:wsDr xmlns:xdr="http://schemas.openxmlformats.org/drawingml/2006/spreadsheetDrawing" xmlns:a="http://schemas.openxmlformats.org/drawingml/2006/main">
  <xdr:oneCellAnchor>
    <xdr:from>
      <xdr:col>27</xdr:col>
      <xdr:colOff>0</xdr:colOff>
      <xdr:row>1</xdr:row>
      <xdr:rowOff>0</xdr:rowOff>
    </xdr:from>
    <xdr:ext cx="603250" cy="539750"/>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700-000002000000}"/>
            </a:ext>
          </a:extLst>
        </xdr:cNvPr>
        <xdr:cNvSpPr txBox="1"/>
      </xdr:nvSpPr>
      <xdr:spPr>
        <a:xfrm>
          <a:off x="11303000" y="179917"/>
          <a:ext cx="603250" cy="539750"/>
        </a:xfrm>
        <a:prstGeom prst="rect">
          <a:avLst/>
        </a:prstGeom>
        <a:noFill/>
        <a:ln>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2000">
              <a:solidFill>
                <a:sysClr val="windowText" lastClr="000000"/>
              </a:solidFill>
              <a:effectLst/>
              <a:sym typeface="Wingdings" panose="05000000000000000000" pitchFamily="2" charset="2"/>
            </a:rPr>
            <a:t></a:t>
          </a:r>
        </a:p>
        <a:p>
          <a:pPr algn="ctr"/>
          <a:r>
            <a:rPr lang="en-US" sz="1000" i="1">
              <a:solidFill>
                <a:sysClr val="windowText" lastClr="000000"/>
              </a:solidFill>
              <a:effectLst/>
              <a:sym typeface="Webdings" panose="05030102010509060703" pitchFamily="18" charset="2"/>
            </a:rPr>
            <a:t>back</a:t>
          </a:r>
          <a:endParaRPr lang="en-US" sz="1000" i="1">
            <a:solidFill>
              <a:sysClr val="windowText" lastClr="000000"/>
            </a:solidFill>
            <a:effectLst/>
          </a:endParaRPr>
        </a:p>
      </xdr:txBody>
    </xdr:sp>
    <xdr:clientData fPrintsWithSheet="0"/>
  </xdr:oneCellAnchor>
  <xdr:twoCellAnchor>
    <xdr:from>
      <xdr:col>0</xdr:col>
      <xdr:colOff>152400</xdr:colOff>
      <xdr:row>4</xdr:row>
      <xdr:rowOff>52388</xdr:rowOff>
    </xdr:from>
    <xdr:to>
      <xdr:col>3</xdr:col>
      <xdr:colOff>26161</xdr:colOff>
      <xdr:row>30</xdr:row>
      <xdr:rowOff>169718</xdr:rowOff>
    </xdr:to>
    <xdr:sp macro="" textlink="">
      <xdr:nvSpPr>
        <xdr:cNvPr id="3" name="Callout: Line 2">
          <a:extLst>
            <a:ext uri="{FF2B5EF4-FFF2-40B4-BE49-F238E27FC236}">
              <a16:creationId xmlns:a16="http://schemas.microsoft.com/office/drawing/2014/main" id="{00000000-0008-0000-0700-000003000000}"/>
            </a:ext>
          </a:extLst>
        </xdr:cNvPr>
        <xdr:cNvSpPr/>
      </xdr:nvSpPr>
      <xdr:spPr>
        <a:xfrm>
          <a:off x="152400" y="1131888"/>
          <a:ext cx="1810511" cy="3636289"/>
        </a:xfrm>
        <a:prstGeom prst="borderCallout1">
          <a:avLst>
            <a:gd name="adj1" fmla="val 49345"/>
            <a:gd name="adj2" fmla="val 100562"/>
            <a:gd name="adj3" fmla="val 32495"/>
            <a:gd name="adj4" fmla="val 145474"/>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From</a:t>
          </a:r>
          <a:r>
            <a:rPr lang="en-US" sz="1100" baseline="0"/>
            <a:t> the "Fixture Type" cell, select from the drop down list of fixture types the closest fixture match.</a:t>
          </a:r>
        </a:p>
        <a:p>
          <a:pPr algn="l"/>
          <a:endParaRPr lang="en-US" sz="1100" b="0" i="0" u="none" strike="noStrike" baseline="0">
            <a:solidFill>
              <a:schemeClr val="dk1"/>
            </a:solidFill>
            <a:effectLst/>
            <a:latin typeface="+mn-lt"/>
            <a:ea typeface="+mn-ea"/>
            <a:cs typeface="+mn-cs"/>
          </a:endParaRPr>
        </a:p>
        <a:p>
          <a:pPr algn="l"/>
          <a:r>
            <a:rPr lang="en-US" sz="1100" b="1" i="1" u="none" strike="noStrike">
              <a:solidFill>
                <a:schemeClr val="dk1"/>
              </a:solidFill>
              <a:effectLst/>
              <a:latin typeface="+mn-lt"/>
              <a:ea typeface="+mn-ea"/>
              <a:cs typeface="+mn-cs"/>
            </a:rPr>
            <a:t>Options are </a:t>
          </a:r>
        </a:p>
        <a:p>
          <a:pPr algn="l"/>
          <a:r>
            <a:rPr lang="en-US" sz="1100" b="0" i="0" u="none" strike="noStrike">
              <a:solidFill>
                <a:schemeClr val="dk1"/>
              </a:solidFill>
              <a:effectLst/>
              <a:latin typeface="+mn-lt"/>
              <a:ea typeface="+mn-ea"/>
              <a:cs typeface="+mn-cs"/>
            </a:rPr>
            <a:t>03 Troffer</a:t>
          </a:r>
        </a:p>
        <a:p>
          <a:pPr algn="l"/>
          <a:r>
            <a:rPr lang="en-US" sz="1100" b="0" i="0" u="none" strike="noStrike">
              <a:solidFill>
                <a:schemeClr val="dk1"/>
              </a:solidFill>
              <a:effectLst/>
              <a:latin typeface="+mn-lt"/>
              <a:ea typeface="+mn-ea"/>
              <a:cs typeface="+mn-cs"/>
            </a:rPr>
            <a:t>04 Low/High Bay</a:t>
          </a:r>
          <a:endParaRPr lang="en-US"/>
        </a:p>
        <a:p>
          <a:pPr algn="l"/>
          <a:r>
            <a:rPr lang="en-US" sz="1100" b="0" i="0" u="none" strike="noStrike">
              <a:solidFill>
                <a:schemeClr val="dk1"/>
              </a:solidFill>
              <a:effectLst/>
              <a:latin typeface="+mn-lt"/>
              <a:ea typeface="+mn-ea"/>
              <a:cs typeface="+mn-cs"/>
            </a:rPr>
            <a:t>05 Downlight</a:t>
          </a:r>
          <a:endParaRPr lang="en-US"/>
        </a:p>
        <a:p>
          <a:pPr algn="l"/>
          <a:r>
            <a:rPr lang="en-US" sz="1100" b="0" i="0" u="none" strike="noStrike">
              <a:solidFill>
                <a:schemeClr val="dk1"/>
              </a:solidFill>
              <a:effectLst/>
              <a:latin typeface="+mn-lt"/>
              <a:ea typeface="+mn-ea"/>
              <a:cs typeface="+mn-cs"/>
            </a:rPr>
            <a:t>06 Strip/Industrial</a:t>
          </a:r>
          <a:endParaRPr lang="en-US"/>
        </a:p>
        <a:p>
          <a:pPr algn="l"/>
          <a:r>
            <a:rPr lang="en-US" sz="1100" b="0" i="0" u="none" strike="noStrike">
              <a:solidFill>
                <a:schemeClr val="dk1"/>
              </a:solidFill>
              <a:effectLst/>
              <a:latin typeface="+mn-lt"/>
              <a:ea typeface="+mn-ea"/>
              <a:cs typeface="+mn-cs"/>
            </a:rPr>
            <a:t>07 Cooler Case</a:t>
          </a:r>
          <a:endParaRPr lang="en-US"/>
        </a:p>
        <a:p>
          <a:pPr algn="l"/>
          <a:r>
            <a:rPr lang="en-US" sz="1100" b="0" i="0" u="none" strike="noStrike">
              <a:solidFill>
                <a:schemeClr val="dk1"/>
              </a:solidFill>
              <a:effectLst/>
              <a:latin typeface="+mn-lt"/>
              <a:ea typeface="+mn-ea"/>
              <a:cs typeface="+mn-cs"/>
            </a:rPr>
            <a:t>08 Other Interior</a:t>
          </a:r>
          <a:endParaRPr lang="en-US"/>
        </a:p>
        <a:p>
          <a:pPr algn="l"/>
          <a:r>
            <a:rPr lang="en-US" sz="1100" b="0" i="0" u="none" strike="noStrike">
              <a:solidFill>
                <a:schemeClr val="dk1"/>
              </a:solidFill>
              <a:effectLst/>
              <a:latin typeface="+mn-lt"/>
              <a:ea typeface="+mn-ea"/>
              <a:cs typeface="+mn-cs"/>
            </a:rPr>
            <a:t>09 Parking/Area</a:t>
          </a:r>
          <a:endParaRPr lang="en-US"/>
        </a:p>
        <a:p>
          <a:pPr algn="l"/>
          <a:r>
            <a:rPr lang="en-US" sz="1100" b="0" i="0" u="none" strike="noStrike">
              <a:solidFill>
                <a:schemeClr val="dk1"/>
              </a:solidFill>
              <a:effectLst/>
              <a:latin typeface="+mn-lt"/>
              <a:ea typeface="+mn-ea"/>
              <a:cs typeface="+mn-cs"/>
            </a:rPr>
            <a:t>10 Flood Light</a:t>
          </a:r>
          <a:endParaRPr lang="en-US"/>
        </a:p>
        <a:p>
          <a:pPr algn="l"/>
          <a:r>
            <a:rPr lang="en-US" sz="1100" b="0" i="0" u="none" strike="noStrike">
              <a:solidFill>
                <a:schemeClr val="dk1"/>
              </a:solidFill>
              <a:effectLst/>
              <a:latin typeface="+mn-lt"/>
              <a:ea typeface="+mn-ea"/>
              <a:cs typeface="+mn-cs"/>
            </a:rPr>
            <a:t>11 Parking Garage</a:t>
          </a:r>
          <a:endParaRPr lang="en-US"/>
        </a:p>
        <a:p>
          <a:pPr algn="l"/>
          <a:r>
            <a:rPr lang="en-US" sz="1100" b="0" i="0" u="none" strike="noStrike">
              <a:solidFill>
                <a:schemeClr val="dk1"/>
              </a:solidFill>
              <a:effectLst/>
              <a:latin typeface="+mn-lt"/>
              <a:ea typeface="+mn-ea"/>
              <a:cs typeface="+mn-cs"/>
            </a:rPr>
            <a:t>12 Canopy/Soffit</a:t>
          </a:r>
          <a:endParaRPr lang="en-US"/>
        </a:p>
        <a:p>
          <a:pPr algn="l"/>
          <a:r>
            <a:rPr lang="en-US" sz="1100" b="0" i="0" u="none" strike="noStrike">
              <a:solidFill>
                <a:schemeClr val="dk1"/>
              </a:solidFill>
              <a:effectLst/>
              <a:latin typeface="+mn-lt"/>
              <a:ea typeface="+mn-ea"/>
              <a:cs typeface="+mn-cs"/>
            </a:rPr>
            <a:t>13 Wall Pack</a:t>
          </a:r>
          <a:endParaRPr lang="en-US"/>
        </a:p>
        <a:p>
          <a:pPr algn="l"/>
          <a:r>
            <a:rPr lang="en-US" sz="1100" b="0" i="0" u="none" strike="noStrike">
              <a:solidFill>
                <a:schemeClr val="dk1"/>
              </a:solidFill>
              <a:effectLst/>
              <a:latin typeface="+mn-lt"/>
              <a:ea typeface="+mn-ea"/>
              <a:cs typeface="+mn-cs"/>
            </a:rPr>
            <a:t>14 Street Light</a:t>
          </a:r>
          <a:endParaRPr lang="en-US"/>
        </a:p>
        <a:p>
          <a:pPr algn="l"/>
          <a:r>
            <a:rPr lang="en-US" sz="1100" b="0" i="0" u="none" strike="noStrike">
              <a:solidFill>
                <a:schemeClr val="dk1"/>
              </a:solidFill>
              <a:effectLst/>
              <a:latin typeface="+mn-lt"/>
              <a:ea typeface="+mn-ea"/>
              <a:cs typeface="+mn-cs"/>
            </a:rPr>
            <a:t>15 Sign</a:t>
          </a:r>
          <a:endParaRPr lang="en-US"/>
        </a:p>
        <a:p>
          <a:pPr algn="l"/>
          <a:r>
            <a:rPr lang="en-US" sz="1100" b="0" i="0" u="none" strike="noStrike">
              <a:solidFill>
                <a:schemeClr val="dk1"/>
              </a:solidFill>
              <a:effectLst/>
              <a:latin typeface="+mn-lt"/>
              <a:ea typeface="+mn-ea"/>
              <a:cs typeface="+mn-cs"/>
            </a:rPr>
            <a:t>16 Other Exterior</a:t>
          </a:r>
          <a:r>
            <a:rPr lang="en-US"/>
            <a:t> </a:t>
          </a:r>
          <a:endParaRPr lang="en-US" sz="1100"/>
        </a:p>
      </xdr:txBody>
    </xdr:sp>
    <xdr:clientData/>
  </xdr:twoCellAnchor>
  <xdr:twoCellAnchor>
    <xdr:from>
      <xdr:col>6</xdr:col>
      <xdr:colOff>0</xdr:colOff>
      <xdr:row>25</xdr:row>
      <xdr:rowOff>15876</xdr:rowOff>
    </xdr:from>
    <xdr:to>
      <xdr:col>10</xdr:col>
      <xdr:colOff>201844</xdr:colOff>
      <xdr:row>38</xdr:row>
      <xdr:rowOff>0</xdr:rowOff>
    </xdr:to>
    <xdr:sp macro="" textlink="">
      <xdr:nvSpPr>
        <xdr:cNvPr id="4" name="Callout: Line 3">
          <a:extLst>
            <a:ext uri="{FF2B5EF4-FFF2-40B4-BE49-F238E27FC236}">
              <a16:creationId xmlns:a16="http://schemas.microsoft.com/office/drawing/2014/main" id="{00000000-0008-0000-0700-000004000000}"/>
            </a:ext>
          </a:extLst>
        </xdr:cNvPr>
        <xdr:cNvSpPr/>
      </xdr:nvSpPr>
      <xdr:spPr>
        <a:xfrm>
          <a:off x="2836333" y="3714752"/>
          <a:ext cx="1810511" cy="2323040"/>
        </a:xfrm>
        <a:prstGeom prst="borderCallout1">
          <a:avLst>
            <a:gd name="adj1" fmla="val -424"/>
            <a:gd name="adj2" fmla="val 48537"/>
            <a:gd name="adj3" fmla="val -49632"/>
            <a:gd name="adj4" fmla="val 91111"/>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From</a:t>
          </a:r>
          <a:r>
            <a:rPr lang="en-US" sz="1100" baseline="0"/>
            <a:t> the "Lamp Type" cell, select from the drop down list of lamp types the existing lamp type.</a:t>
          </a:r>
        </a:p>
        <a:p>
          <a:pPr algn="l"/>
          <a:endParaRPr lang="en-US" sz="1100" b="0" i="0" u="none" strike="noStrike" baseline="0">
            <a:solidFill>
              <a:schemeClr val="dk1"/>
            </a:solidFill>
            <a:effectLst/>
            <a:latin typeface="+mn-lt"/>
            <a:ea typeface="+mn-ea"/>
            <a:cs typeface="+mn-cs"/>
          </a:endParaRPr>
        </a:p>
        <a:p>
          <a:pPr algn="l"/>
          <a:r>
            <a:rPr lang="en-US" sz="1100" b="1" i="1" u="none" strike="noStrike">
              <a:solidFill>
                <a:schemeClr val="dk1"/>
              </a:solidFill>
              <a:effectLst/>
              <a:latin typeface="+mn-lt"/>
              <a:ea typeface="+mn-ea"/>
              <a:cs typeface="+mn-cs"/>
            </a:rPr>
            <a:t>Options are </a:t>
          </a:r>
        </a:p>
        <a:p>
          <a:pPr algn="l"/>
          <a:r>
            <a:rPr lang="en-US" sz="1100" b="0" i="0" u="none" strike="noStrike">
              <a:solidFill>
                <a:schemeClr val="dk1"/>
              </a:solidFill>
              <a:effectLst/>
              <a:latin typeface="+mn-lt"/>
              <a:ea typeface="+mn-ea"/>
              <a:cs typeface="+mn-cs"/>
            </a:rPr>
            <a:t>Fluorescent</a:t>
          </a:r>
          <a:r>
            <a:rPr lang="en-US"/>
            <a:t> </a:t>
          </a:r>
          <a:endParaRPr lang="en-US" sz="1100" b="0" i="0" u="none" strike="noStrike">
            <a:solidFill>
              <a:schemeClr val="dk1"/>
            </a:solidFill>
            <a:effectLst/>
            <a:latin typeface="+mn-lt"/>
            <a:ea typeface="+mn-ea"/>
            <a:cs typeface="+mn-cs"/>
          </a:endParaRPr>
        </a:p>
        <a:p>
          <a:pPr algn="l"/>
          <a:r>
            <a:rPr lang="en-US" sz="1100" b="0" i="0" u="none" strike="noStrike">
              <a:solidFill>
                <a:schemeClr val="dk1"/>
              </a:solidFill>
              <a:effectLst/>
              <a:latin typeface="+mn-lt"/>
              <a:ea typeface="+mn-ea"/>
              <a:cs typeface="+mn-cs"/>
            </a:rPr>
            <a:t>HID</a:t>
          </a:r>
          <a:r>
            <a:rPr lang="en-US"/>
            <a:t> </a:t>
          </a:r>
        </a:p>
        <a:p>
          <a:pPr algn="l"/>
          <a:r>
            <a:rPr lang="en-US" sz="1100" b="0" i="0" u="none" strike="noStrike">
              <a:solidFill>
                <a:schemeClr val="dk1"/>
              </a:solidFill>
              <a:effectLst/>
              <a:latin typeface="+mn-lt"/>
              <a:ea typeface="+mn-ea"/>
              <a:cs typeface="+mn-cs"/>
            </a:rPr>
            <a:t>Incandescent</a:t>
          </a:r>
          <a:r>
            <a:rPr lang="en-US"/>
            <a:t> </a:t>
          </a:r>
        </a:p>
        <a:p>
          <a:pPr algn="l"/>
          <a:r>
            <a:rPr lang="en-US" sz="1100" b="0" i="0" u="none" strike="noStrike">
              <a:solidFill>
                <a:schemeClr val="dk1"/>
              </a:solidFill>
              <a:effectLst/>
              <a:latin typeface="+mn-lt"/>
              <a:ea typeface="+mn-ea"/>
              <a:cs typeface="+mn-cs"/>
            </a:rPr>
            <a:t>Induction</a:t>
          </a:r>
          <a:r>
            <a:rPr lang="en-US"/>
            <a:t> </a:t>
          </a:r>
        </a:p>
        <a:p>
          <a:pPr algn="l"/>
          <a:r>
            <a:rPr lang="en-US"/>
            <a:t>LED</a:t>
          </a:r>
        </a:p>
        <a:p>
          <a:pPr algn="l"/>
          <a:r>
            <a:rPr lang="en-US" sz="1100" b="0" i="0" u="none" strike="noStrike">
              <a:solidFill>
                <a:schemeClr val="dk1"/>
              </a:solidFill>
              <a:effectLst/>
              <a:latin typeface="+mn-lt"/>
              <a:ea typeface="+mn-ea"/>
              <a:cs typeface="+mn-cs"/>
            </a:rPr>
            <a:t>Exit Sign</a:t>
          </a:r>
          <a:r>
            <a:rPr lang="en-US"/>
            <a:t> </a:t>
          </a:r>
        </a:p>
      </xdr:txBody>
    </xdr:sp>
    <xdr:clientData/>
  </xdr:twoCellAnchor>
  <xdr:twoCellAnchor>
    <xdr:from>
      <xdr:col>11</xdr:col>
      <xdr:colOff>0</xdr:colOff>
      <xdr:row>25</xdr:row>
      <xdr:rowOff>5293</xdr:rowOff>
    </xdr:from>
    <xdr:to>
      <xdr:col>15</xdr:col>
      <xdr:colOff>185969</xdr:colOff>
      <xdr:row>37</xdr:row>
      <xdr:rowOff>169333</xdr:rowOff>
    </xdr:to>
    <xdr:sp macro="" textlink="">
      <xdr:nvSpPr>
        <xdr:cNvPr id="5" name="Callout: Line 4">
          <a:extLst>
            <a:ext uri="{FF2B5EF4-FFF2-40B4-BE49-F238E27FC236}">
              <a16:creationId xmlns:a16="http://schemas.microsoft.com/office/drawing/2014/main" id="{00000000-0008-0000-0700-000005000000}"/>
            </a:ext>
          </a:extLst>
        </xdr:cNvPr>
        <xdr:cNvSpPr/>
      </xdr:nvSpPr>
      <xdr:spPr>
        <a:xfrm>
          <a:off x="4540250" y="3783543"/>
          <a:ext cx="1699386" cy="2450040"/>
        </a:xfrm>
        <a:prstGeom prst="borderCallout1">
          <a:avLst>
            <a:gd name="adj1" fmla="val -424"/>
            <a:gd name="adj2" fmla="val 48537"/>
            <a:gd name="adj3" fmla="val -39697"/>
            <a:gd name="adj4" fmla="val 82392"/>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From</a:t>
          </a:r>
          <a:r>
            <a:rPr lang="en-US" sz="1100" baseline="0"/>
            <a:t> the "Description" cell, select from the drop down list the correct lamp sub type.</a:t>
          </a:r>
        </a:p>
        <a:p>
          <a:pPr algn="l"/>
          <a:endParaRPr lang="en-US" sz="1100" b="0" i="0" u="none" strike="noStrike" baseline="0">
            <a:solidFill>
              <a:schemeClr val="dk1"/>
            </a:solidFill>
            <a:effectLst/>
            <a:latin typeface="+mn-lt"/>
            <a:ea typeface="+mn-ea"/>
            <a:cs typeface="+mn-cs"/>
          </a:endParaRPr>
        </a:p>
        <a:p>
          <a:pPr algn="l"/>
          <a:r>
            <a:rPr lang="en-US" sz="1100" b="1" i="1" u="none" strike="noStrike">
              <a:solidFill>
                <a:schemeClr val="dk1"/>
              </a:solidFill>
              <a:effectLst/>
              <a:latin typeface="+mn-lt"/>
              <a:ea typeface="+mn-ea"/>
              <a:cs typeface="+mn-cs"/>
            </a:rPr>
            <a:t>Options are </a:t>
          </a:r>
        </a:p>
        <a:p>
          <a:pPr algn="l"/>
          <a:r>
            <a:rPr lang="en-US" sz="1100" b="0" i="0" u="none" strike="noStrike">
              <a:solidFill>
                <a:schemeClr val="dk1"/>
              </a:solidFill>
              <a:effectLst/>
              <a:latin typeface="+mn-lt"/>
              <a:ea typeface="+mn-ea"/>
              <a:cs typeface="+mn-cs"/>
            </a:rPr>
            <a:t>Are dependant on the Lamp Type selected.</a:t>
          </a:r>
          <a:endParaRPr lang="en-US"/>
        </a:p>
      </xdr:txBody>
    </xdr:sp>
    <xdr:clientData/>
  </xdr:twoCellAnchor>
  <xdr:twoCellAnchor>
    <xdr:from>
      <xdr:col>16</xdr:col>
      <xdr:colOff>0</xdr:colOff>
      <xdr:row>25</xdr:row>
      <xdr:rowOff>0</xdr:rowOff>
    </xdr:from>
    <xdr:to>
      <xdr:col>20</xdr:col>
      <xdr:colOff>175386</xdr:colOff>
      <xdr:row>37</xdr:row>
      <xdr:rowOff>164040</xdr:rowOff>
    </xdr:to>
    <xdr:sp macro="" textlink="">
      <xdr:nvSpPr>
        <xdr:cNvPr id="6" name="Callout: Line 4">
          <a:extLst>
            <a:ext uri="{FF2B5EF4-FFF2-40B4-BE49-F238E27FC236}">
              <a16:creationId xmlns:a16="http://schemas.microsoft.com/office/drawing/2014/main" id="{00000000-0008-0000-0700-000006000000}"/>
            </a:ext>
          </a:extLst>
        </xdr:cNvPr>
        <xdr:cNvSpPr/>
      </xdr:nvSpPr>
      <xdr:spPr>
        <a:xfrm>
          <a:off x="6434667" y="3778250"/>
          <a:ext cx="1699386" cy="2450040"/>
        </a:xfrm>
        <a:prstGeom prst="borderCallout1">
          <a:avLst>
            <a:gd name="adj1" fmla="val -424"/>
            <a:gd name="adj2" fmla="val 48537"/>
            <a:gd name="adj3" fmla="val -39697"/>
            <a:gd name="adj4" fmla="val 82392"/>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From</a:t>
          </a:r>
          <a:r>
            <a:rPr lang="en-US" sz="1100" baseline="0"/>
            <a:t> the "Lamp Detail" cell, select from the drop down list the correct lamp wattage and number of lamps.</a:t>
          </a:r>
        </a:p>
        <a:p>
          <a:pPr algn="l"/>
          <a:endParaRPr lang="en-US" sz="1100" b="0" i="0" u="none" strike="noStrike" baseline="0">
            <a:solidFill>
              <a:schemeClr val="dk1"/>
            </a:solidFill>
            <a:effectLst/>
            <a:latin typeface="+mn-lt"/>
            <a:ea typeface="+mn-ea"/>
            <a:cs typeface="+mn-cs"/>
          </a:endParaRPr>
        </a:p>
        <a:p>
          <a:pPr algn="l"/>
          <a:r>
            <a:rPr lang="en-US" sz="1100" b="1" i="1" u="none" strike="noStrike">
              <a:solidFill>
                <a:schemeClr val="dk1"/>
              </a:solidFill>
              <a:effectLst/>
              <a:latin typeface="+mn-lt"/>
              <a:ea typeface="+mn-ea"/>
              <a:cs typeface="+mn-cs"/>
            </a:rPr>
            <a:t>Options are </a:t>
          </a:r>
        </a:p>
        <a:p>
          <a:pPr algn="l"/>
          <a:r>
            <a:rPr lang="en-US" sz="1100" b="0" i="0" u="none" strike="noStrike">
              <a:solidFill>
                <a:schemeClr val="dk1"/>
              </a:solidFill>
              <a:effectLst/>
              <a:latin typeface="+mn-lt"/>
              <a:ea typeface="+mn-ea"/>
              <a:cs typeface="+mn-cs"/>
            </a:rPr>
            <a:t>Are dependant on the Lamp Type and Description selected.</a:t>
          </a:r>
          <a:endParaRPr lang="en-US"/>
        </a:p>
      </xdr:txBody>
    </xdr:sp>
    <xdr:clientData/>
  </xdr:twoCellAnchor>
  <xdr:twoCellAnchor>
    <xdr:from>
      <xdr:col>21</xdr:col>
      <xdr:colOff>0</xdr:colOff>
      <xdr:row>25</xdr:row>
      <xdr:rowOff>0</xdr:rowOff>
    </xdr:from>
    <xdr:to>
      <xdr:col>25</xdr:col>
      <xdr:colOff>175386</xdr:colOff>
      <xdr:row>37</xdr:row>
      <xdr:rowOff>164040</xdr:rowOff>
    </xdr:to>
    <xdr:sp macro="" textlink="">
      <xdr:nvSpPr>
        <xdr:cNvPr id="7" name="Callout: Line 4">
          <a:extLst>
            <a:ext uri="{FF2B5EF4-FFF2-40B4-BE49-F238E27FC236}">
              <a16:creationId xmlns:a16="http://schemas.microsoft.com/office/drawing/2014/main" id="{00000000-0008-0000-0700-000007000000}"/>
            </a:ext>
          </a:extLst>
        </xdr:cNvPr>
        <xdr:cNvSpPr/>
      </xdr:nvSpPr>
      <xdr:spPr>
        <a:xfrm>
          <a:off x="8339667" y="3778250"/>
          <a:ext cx="1699386" cy="2450040"/>
        </a:xfrm>
        <a:prstGeom prst="borderCallout1">
          <a:avLst>
            <a:gd name="adj1" fmla="val -424"/>
            <a:gd name="adj2" fmla="val 48537"/>
            <a:gd name="adj3" fmla="val -20691"/>
            <a:gd name="adj4" fmla="val 186"/>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If a cell is yellow it must be filled in to be "Complete".</a:t>
          </a:r>
        </a:p>
        <a:p>
          <a:pPr algn="l"/>
          <a:endParaRPr lang="en-US" sz="1100"/>
        </a:p>
        <a:p>
          <a:pPr algn="l"/>
          <a:r>
            <a:rPr lang="en-US" sz="1100"/>
            <a:t>The Watts column will auto populate when complete</a:t>
          </a:r>
          <a:r>
            <a:rPr lang="en-US" sz="1100" baseline="0"/>
            <a:t> and the fixture will be available for use in the fixture installations.</a:t>
          </a:r>
          <a:endParaRPr lang="en-US"/>
        </a:p>
      </xdr:txBody>
    </xdr:sp>
    <xdr:clientData/>
  </xdr:twoCellAnchor>
  <xdr:oneCellAnchor>
    <xdr:from>
      <xdr:col>27</xdr:col>
      <xdr:colOff>0</xdr:colOff>
      <xdr:row>65</xdr:row>
      <xdr:rowOff>0</xdr:rowOff>
    </xdr:from>
    <xdr:ext cx="603250" cy="539750"/>
    <xdr:sp macro="" textlink="">
      <xdr:nvSpPr>
        <xdr:cNvPr id="8" name="TextBox 7">
          <a:hlinkClick xmlns:r="http://schemas.openxmlformats.org/officeDocument/2006/relationships" r:id="rId2"/>
          <a:extLst>
            <a:ext uri="{FF2B5EF4-FFF2-40B4-BE49-F238E27FC236}">
              <a16:creationId xmlns:a16="http://schemas.microsoft.com/office/drawing/2014/main" id="{00000000-0008-0000-0700-000008000000}"/>
            </a:ext>
          </a:extLst>
        </xdr:cNvPr>
        <xdr:cNvSpPr txBox="1"/>
      </xdr:nvSpPr>
      <xdr:spPr>
        <a:xfrm>
          <a:off x="11303000" y="10535709"/>
          <a:ext cx="603250" cy="539750"/>
        </a:xfrm>
        <a:prstGeom prst="rect">
          <a:avLst/>
        </a:prstGeom>
        <a:noFill/>
        <a:ln>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2000">
              <a:solidFill>
                <a:sysClr val="windowText" lastClr="000000"/>
              </a:solidFill>
              <a:effectLst/>
              <a:sym typeface="Wingdings" panose="05000000000000000000" pitchFamily="2" charset="2"/>
            </a:rPr>
            <a:t></a:t>
          </a:r>
        </a:p>
        <a:p>
          <a:pPr algn="ctr"/>
          <a:r>
            <a:rPr lang="en-US" sz="1000" i="1">
              <a:solidFill>
                <a:sysClr val="windowText" lastClr="000000"/>
              </a:solidFill>
              <a:effectLst/>
              <a:sym typeface="Webdings" panose="05030102010509060703" pitchFamily="18" charset="2"/>
            </a:rPr>
            <a:t>back</a:t>
          </a:r>
          <a:endParaRPr lang="en-US" sz="1000" i="1">
            <a:solidFill>
              <a:sysClr val="windowText" lastClr="000000"/>
            </a:solidFill>
            <a:effectLst/>
          </a:endParaRPr>
        </a:p>
      </xdr:txBody>
    </xdr:sp>
    <xdr:clientData fPrintsWithSheet="0"/>
  </xdr:oneCellAnchor>
  <xdr:twoCellAnchor>
    <xdr:from>
      <xdr:col>0</xdr:col>
      <xdr:colOff>126239</xdr:colOff>
      <xdr:row>71</xdr:row>
      <xdr:rowOff>0</xdr:rowOff>
    </xdr:from>
    <xdr:to>
      <xdr:col>3</xdr:col>
      <xdr:colOff>0</xdr:colOff>
      <xdr:row>96</xdr:row>
      <xdr:rowOff>180830</xdr:rowOff>
    </xdr:to>
    <xdr:sp macro="" textlink="">
      <xdr:nvSpPr>
        <xdr:cNvPr id="9" name="Callout: Line 2">
          <a:extLst>
            <a:ext uri="{FF2B5EF4-FFF2-40B4-BE49-F238E27FC236}">
              <a16:creationId xmlns:a16="http://schemas.microsoft.com/office/drawing/2014/main" id="{00000000-0008-0000-0700-000009000000}"/>
            </a:ext>
          </a:extLst>
        </xdr:cNvPr>
        <xdr:cNvSpPr/>
      </xdr:nvSpPr>
      <xdr:spPr>
        <a:xfrm>
          <a:off x="126239" y="12033250"/>
          <a:ext cx="1715261" cy="3705080"/>
        </a:xfrm>
        <a:prstGeom prst="borderCallout1">
          <a:avLst>
            <a:gd name="adj1" fmla="val 49345"/>
            <a:gd name="adj2" fmla="val 100562"/>
            <a:gd name="adj3" fmla="val 32495"/>
            <a:gd name="adj4" fmla="val 145474"/>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From</a:t>
          </a:r>
          <a:r>
            <a:rPr lang="en-US" sz="1100" baseline="0"/>
            <a:t> the "Fixture Type" cell, select from the drop down list of fixture types the closest fixture match.</a:t>
          </a:r>
        </a:p>
        <a:p>
          <a:pPr algn="l"/>
          <a:endParaRPr lang="en-US" sz="1100" b="0" i="0" u="none" strike="noStrike" baseline="0">
            <a:solidFill>
              <a:schemeClr val="dk1"/>
            </a:solidFill>
            <a:effectLst/>
            <a:latin typeface="+mn-lt"/>
            <a:ea typeface="+mn-ea"/>
            <a:cs typeface="+mn-cs"/>
          </a:endParaRPr>
        </a:p>
        <a:p>
          <a:pPr algn="l"/>
          <a:r>
            <a:rPr lang="en-US" sz="1100" b="1" i="1" u="none" strike="noStrike">
              <a:solidFill>
                <a:schemeClr val="dk1"/>
              </a:solidFill>
              <a:effectLst/>
              <a:latin typeface="+mn-lt"/>
              <a:ea typeface="+mn-ea"/>
              <a:cs typeface="+mn-cs"/>
            </a:rPr>
            <a:t>Options are </a:t>
          </a:r>
        </a:p>
        <a:p>
          <a:pPr algn="l"/>
          <a:r>
            <a:rPr lang="en-US" sz="1100" b="0" i="0" u="none" strike="noStrike">
              <a:solidFill>
                <a:schemeClr val="dk1"/>
              </a:solidFill>
              <a:effectLst/>
              <a:latin typeface="+mn-lt"/>
              <a:ea typeface="+mn-ea"/>
              <a:cs typeface="+mn-cs"/>
            </a:rPr>
            <a:t>03 Troffer</a:t>
          </a:r>
        </a:p>
        <a:p>
          <a:pPr algn="l"/>
          <a:r>
            <a:rPr lang="en-US" sz="1100" b="0" i="0" u="none" strike="noStrike">
              <a:solidFill>
                <a:schemeClr val="dk1"/>
              </a:solidFill>
              <a:effectLst/>
              <a:latin typeface="+mn-lt"/>
              <a:ea typeface="+mn-ea"/>
              <a:cs typeface="+mn-cs"/>
            </a:rPr>
            <a:t>04 Low/High Bay</a:t>
          </a:r>
          <a:endParaRPr lang="en-US"/>
        </a:p>
        <a:p>
          <a:pPr algn="l"/>
          <a:r>
            <a:rPr lang="en-US" sz="1100" b="0" i="0" u="none" strike="noStrike">
              <a:solidFill>
                <a:schemeClr val="dk1"/>
              </a:solidFill>
              <a:effectLst/>
              <a:latin typeface="+mn-lt"/>
              <a:ea typeface="+mn-ea"/>
              <a:cs typeface="+mn-cs"/>
            </a:rPr>
            <a:t>05 Downlight</a:t>
          </a:r>
          <a:endParaRPr lang="en-US"/>
        </a:p>
        <a:p>
          <a:pPr algn="l"/>
          <a:r>
            <a:rPr lang="en-US" sz="1100" b="0" i="0" u="none" strike="noStrike">
              <a:solidFill>
                <a:schemeClr val="dk1"/>
              </a:solidFill>
              <a:effectLst/>
              <a:latin typeface="+mn-lt"/>
              <a:ea typeface="+mn-ea"/>
              <a:cs typeface="+mn-cs"/>
            </a:rPr>
            <a:t>06 Strip/Industrial</a:t>
          </a:r>
          <a:endParaRPr lang="en-US"/>
        </a:p>
        <a:p>
          <a:pPr algn="l"/>
          <a:r>
            <a:rPr lang="en-US" sz="1100" b="0" i="0" u="none" strike="noStrike">
              <a:solidFill>
                <a:schemeClr val="dk1"/>
              </a:solidFill>
              <a:effectLst/>
              <a:latin typeface="+mn-lt"/>
              <a:ea typeface="+mn-ea"/>
              <a:cs typeface="+mn-cs"/>
            </a:rPr>
            <a:t>07 Cooler Case</a:t>
          </a:r>
          <a:endParaRPr lang="en-US"/>
        </a:p>
        <a:p>
          <a:pPr algn="l"/>
          <a:r>
            <a:rPr lang="en-US" sz="1100" b="0" i="0" u="none" strike="noStrike">
              <a:solidFill>
                <a:schemeClr val="dk1"/>
              </a:solidFill>
              <a:effectLst/>
              <a:latin typeface="+mn-lt"/>
              <a:ea typeface="+mn-ea"/>
              <a:cs typeface="+mn-cs"/>
            </a:rPr>
            <a:t>08 Other Interior</a:t>
          </a:r>
          <a:endParaRPr lang="en-US"/>
        </a:p>
        <a:p>
          <a:pPr algn="l"/>
          <a:r>
            <a:rPr lang="en-US" sz="1100" b="0" i="0" u="none" strike="noStrike">
              <a:solidFill>
                <a:schemeClr val="dk1"/>
              </a:solidFill>
              <a:effectLst/>
              <a:latin typeface="+mn-lt"/>
              <a:ea typeface="+mn-ea"/>
              <a:cs typeface="+mn-cs"/>
            </a:rPr>
            <a:t>09 Parking/Area</a:t>
          </a:r>
          <a:endParaRPr lang="en-US"/>
        </a:p>
        <a:p>
          <a:pPr algn="l"/>
          <a:r>
            <a:rPr lang="en-US" sz="1100" b="0" i="0" u="none" strike="noStrike">
              <a:solidFill>
                <a:schemeClr val="dk1"/>
              </a:solidFill>
              <a:effectLst/>
              <a:latin typeface="+mn-lt"/>
              <a:ea typeface="+mn-ea"/>
              <a:cs typeface="+mn-cs"/>
            </a:rPr>
            <a:t>10 Flood Light</a:t>
          </a:r>
          <a:endParaRPr lang="en-US"/>
        </a:p>
        <a:p>
          <a:pPr algn="l"/>
          <a:r>
            <a:rPr lang="en-US" sz="1100" b="0" i="0" u="none" strike="noStrike">
              <a:solidFill>
                <a:schemeClr val="dk1"/>
              </a:solidFill>
              <a:effectLst/>
              <a:latin typeface="+mn-lt"/>
              <a:ea typeface="+mn-ea"/>
              <a:cs typeface="+mn-cs"/>
            </a:rPr>
            <a:t>11 Parking Garage</a:t>
          </a:r>
          <a:endParaRPr lang="en-US"/>
        </a:p>
        <a:p>
          <a:pPr algn="l"/>
          <a:r>
            <a:rPr lang="en-US" sz="1100" b="0" i="0" u="none" strike="noStrike">
              <a:solidFill>
                <a:schemeClr val="dk1"/>
              </a:solidFill>
              <a:effectLst/>
              <a:latin typeface="+mn-lt"/>
              <a:ea typeface="+mn-ea"/>
              <a:cs typeface="+mn-cs"/>
            </a:rPr>
            <a:t>12 Canopy/Soffit</a:t>
          </a:r>
          <a:endParaRPr lang="en-US"/>
        </a:p>
        <a:p>
          <a:pPr algn="l"/>
          <a:r>
            <a:rPr lang="en-US" sz="1100" b="0" i="0" u="none" strike="noStrike">
              <a:solidFill>
                <a:schemeClr val="dk1"/>
              </a:solidFill>
              <a:effectLst/>
              <a:latin typeface="+mn-lt"/>
              <a:ea typeface="+mn-ea"/>
              <a:cs typeface="+mn-cs"/>
            </a:rPr>
            <a:t>13 Wall Pack</a:t>
          </a:r>
          <a:endParaRPr lang="en-US"/>
        </a:p>
        <a:p>
          <a:pPr algn="l"/>
          <a:r>
            <a:rPr lang="en-US" sz="1100" b="0" i="0" u="none" strike="noStrike">
              <a:solidFill>
                <a:schemeClr val="dk1"/>
              </a:solidFill>
              <a:effectLst/>
              <a:latin typeface="+mn-lt"/>
              <a:ea typeface="+mn-ea"/>
              <a:cs typeface="+mn-cs"/>
            </a:rPr>
            <a:t>14 Street Light</a:t>
          </a:r>
          <a:endParaRPr lang="en-US"/>
        </a:p>
        <a:p>
          <a:pPr algn="l"/>
          <a:r>
            <a:rPr lang="en-US" sz="1100" b="0" i="0" u="none" strike="noStrike">
              <a:solidFill>
                <a:schemeClr val="dk1"/>
              </a:solidFill>
              <a:effectLst/>
              <a:latin typeface="+mn-lt"/>
              <a:ea typeface="+mn-ea"/>
              <a:cs typeface="+mn-cs"/>
            </a:rPr>
            <a:t>15 Sign</a:t>
          </a:r>
          <a:endParaRPr lang="en-US"/>
        </a:p>
        <a:p>
          <a:pPr algn="l"/>
          <a:r>
            <a:rPr lang="en-US" sz="1100" b="0" i="0" u="none" strike="noStrike">
              <a:solidFill>
                <a:schemeClr val="dk1"/>
              </a:solidFill>
              <a:effectLst/>
              <a:latin typeface="+mn-lt"/>
              <a:ea typeface="+mn-ea"/>
              <a:cs typeface="+mn-cs"/>
            </a:rPr>
            <a:t>16 Other Exterior</a:t>
          </a:r>
          <a:r>
            <a:rPr lang="en-US"/>
            <a:t> </a:t>
          </a:r>
          <a:endParaRPr lang="en-US" sz="1100"/>
        </a:p>
      </xdr:txBody>
    </xdr:sp>
    <xdr:clientData/>
  </xdr:twoCellAnchor>
  <xdr:twoCellAnchor>
    <xdr:from>
      <xdr:col>5</xdr:col>
      <xdr:colOff>0</xdr:colOff>
      <xdr:row>90</xdr:row>
      <xdr:rowOff>190499</xdr:rowOff>
    </xdr:from>
    <xdr:to>
      <xdr:col>10</xdr:col>
      <xdr:colOff>21927</xdr:colOff>
      <xdr:row>107</xdr:row>
      <xdr:rowOff>0</xdr:rowOff>
    </xdr:to>
    <xdr:sp macro="" textlink="">
      <xdr:nvSpPr>
        <xdr:cNvPr id="10" name="Callout: Line 3">
          <a:extLst>
            <a:ext uri="{FF2B5EF4-FFF2-40B4-BE49-F238E27FC236}">
              <a16:creationId xmlns:a16="http://schemas.microsoft.com/office/drawing/2014/main" id="{00000000-0008-0000-0700-00000A000000}"/>
            </a:ext>
          </a:extLst>
        </xdr:cNvPr>
        <xdr:cNvSpPr/>
      </xdr:nvSpPr>
      <xdr:spPr>
        <a:xfrm>
          <a:off x="2508250" y="14604999"/>
          <a:ext cx="1683510" cy="3048001"/>
        </a:xfrm>
        <a:prstGeom prst="borderCallout1">
          <a:avLst>
            <a:gd name="adj1" fmla="val -424"/>
            <a:gd name="adj2" fmla="val 48537"/>
            <a:gd name="adj3" fmla="val -54845"/>
            <a:gd name="adj4" fmla="val 102427"/>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From</a:t>
          </a:r>
          <a:r>
            <a:rPr lang="en-US" sz="1100" baseline="0"/>
            <a:t> the "TLED / Fixture Retrofit / Fixture Replacement" cell, select from the drop down list of lamp types the existing lamp typretrofit options.</a:t>
          </a:r>
        </a:p>
        <a:p>
          <a:pPr algn="l"/>
          <a:endParaRPr lang="en-US" sz="1100" b="0" i="0" u="none" strike="noStrike" baseline="0">
            <a:solidFill>
              <a:schemeClr val="dk1"/>
            </a:solidFill>
            <a:effectLst/>
            <a:latin typeface="+mn-lt"/>
            <a:ea typeface="+mn-ea"/>
            <a:cs typeface="+mn-cs"/>
          </a:endParaRPr>
        </a:p>
        <a:p>
          <a:pPr algn="l"/>
          <a:r>
            <a:rPr lang="en-US" sz="1100" b="1" i="1" u="none" strike="noStrike">
              <a:solidFill>
                <a:schemeClr val="dk1"/>
              </a:solidFill>
              <a:effectLst/>
              <a:latin typeface="+mn-lt"/>
              <a:ea typeface="+mn-ea"/>
              <a:cs typeface="+mn-cs"/>
            </a:rPr>
            <a:t>Options are </a:t>
          </a:r>
        </a:p>
        <a:p>
          <a:pPr algn="l"/>
          <a:r>
            <a:rPr lang="en-US" sz="1100" b="0" i="0" u="none" strike="noStrike">
              <a:solidFill>
                <a:schemeClr val="dk1"/>
              </a:solidFill>
              <a:effectLst/>
              <a:latin typeface="+mn-lt"/>
              <a:ea typeface="+mn-ea"/>
              <a:cs typeface="+mn-cs"/>
            </a:rPr>
            <a:t>New Fixture</a:t>
          </a:r>
          <a:r>
            <a:rPr lang="en-US"/>
            <a:t> </a:t>
          </a:r>
        </a:p>
        <a:p>
          <a:pPr algn="l"/>
          <a:r>
            <a:rPr lang="en-US" sz="1100" b="0" i="0" u="none" strike="noStrike">
              <a:solidFill>
                <a:schemeClr val="dk1"/>
              </a:solidFill>
              <a:effectLst/>
              <a:latin typeface="+mn-lt"/>
              <a:ea typeface="+mn-ea"/>
              <a:cs typeface="+mn-cs"/>
            </a:rPr>
            <a:t>Complete Retrofit Kit</a:t>
          </a:r>
          <a:r>
            <a:rPr lang="en-US"/>
            <a:t> </a:t>
          </a:r>
        </a:p>
        <a:p>
          <a:pPr algn="l"/>
          <a:r>
            <a:rPr lang="en-US" sz="1100" b="0" i="0" u="none" strike="noStrike">
              <a:solidFill>
                <a:schemeClr val="dk1"/>
              </a:solidFill>
              <a:effectLst/>
              <a:latin typeface="+mn-lt"/>
              <a:ea typeface="+mn-ea"/>
              <a:cs typeface="+mn-cs"/>
            </a:rPr>
            <a:t>Component Retroft Kit</a:t>
          </a:r>
          <a:r>
            <a:rPr lang="en-US"/>
            <a:t> </a:t>
          </a:r>
        </a:p>
        <a:p>
          <a:pPr algn="l"/>
          <a:r>
            <a:rPr lang="en-US" sz="1100" b="0" i="0" u="none" strike="noStrike">
              <a:solidFill>
                <a:schemeClr val="dk1"/>
              </a:solidFill>
              <a:effectLst/>
              <a:latin typeface="+mn-lt"/>
              <a:ea typeface="+mn-ea"/>
              <a:cs typeface="+mn-cs"/>
            </a:rPr>
            <a:t>TLED (Plug and Play)</a:t>
          </a:r>
          <a:r>
            <a:rPr lang="en-US"/>
            <a:t> </a:t>
          </a:r>
        </a:p>
        <a:p>
          <a:pPr algn="l"/>
          <a:r>
            <a:rPr lang="en-US" sz="1100" b="0" i="0" u="none" strike="noStrike">
              <a:solidFill>
                <a:schemeClr val="dk1"/>
              </a:solidFill>
              <a:effectLst/>
              <a:latin typeface="+mn-lt"/>
              <a:ea typeface="+mn-ea"/>
              <a:cs typeface="+mn-cs"/>
            </a:rPr>
            <a:t>TLED (Ballast ByPass)</a:t>
          </a:r>
          <a:r>
            <a:rPr lang="en-US"/>
            <a:t> </a:t>
          </a:r>
        </a:p>
        <a:p>
          <a:pPr algn="l"/>
          <a:r>
            <a:rPr lang="en-US" sz="1100" b="0" i="0" u="none" strike="noStrike">
              <a:solidFill>
                <a:schemeClr val="dk1"/>
              </a:solidFill>
              <a:effectLst/>
              <a:latin typeface="+mn-lt"/>
              <a:ea typeface="+mn-ea"/>
              <a:cs typeface="+mn-cs"/>
            </a:rPr>
            <a:t>TLED (External)</a:t>
          </a:r>
          <a:r>
            <a:rPr lang="en-US"/>
            <a:t> </a:t>
          </a:r>
        </a:p>
        <a:p>
          <a:pPr algn="l"/>
          <a:r>
            <a:rPr lang="en-US" sz="1100" b="0" i="0" u="none" strike="noStrike">
              <a:solidFill>
                <a:schemeClr val="dk1"/>
              </a:solidFill>
              <a:effectLst/>
              <a:latin typeface="+mn-lt"/>
              <a:ea typeface="+mn-ea"/>
              <a:cs typeface="+mn-cs"/>
            </a:rPr>
            <a:t>CFL-LED Retrofit Lamp</a:t>
          </a:r>
          <a:r>
            <a:rPr lang="en-US"/>
            <a:t> </a:t>
          </a:r>
        </a:p>
        <a:p>
          <a:pPr algn="l"/>
          <a:r>
            <a:rPr lang="en-US" sz="1100" b="0" i="0" u="none" strike="noStrike">
              <a:solidFill>
                <a:schemeClr val="dk1"/>
              </a:solidFill>
              <a:effectLst/>
              <a:latin typeface="+mn-lt"/>
              <a:ea typeface="+mn-ea"/>
              <a:cs typeface="+mn-cs"/>
            </a:rPr>
            <a:t>HID-LED Retrofit lamp</a:t>
          </a:r>
          <a:r>
            <a:rPr lang="en-US"/>
            <a:t> </a:t>
          </a:r>
        </a:p>
      </xdr:txBody>
    </xdr:sp>
    <xdr:clientData/>
  </xdr:twoCellAnchor>
  <xdr:twoCellAnchor>
    <xdr:from>
      <xdr:col>14</xdr:col>
      <xdr:colOff>0</xdr:colOff>
      <xdr:row>91</xdr:row>
      <xdr:rowOff>0</xdr:rowOff>
    </xdr:from>
    <xdr:to>
      <xdr:col>18</xdr:col>
      <xdr:colOff>159510</xdr:colOff>
      <xdr:row>96</xdr:row>
      <xdr:rowOff>169333</xdr:rowOff>
    </xdr:to>
    <xdr:sp macro="" textlink="">
      <xdr:nvSpPr>
        <xdr:cNvPr id="11" name="Callout: Line 3">
          <a:extLst>
            <a:ext uri="{FF2B5EF4-FFF2-40B4-BE49-F238E27FC236}">
              <a16:creationId xmlns:a16="http://schemas.microsoft.com/office/drawing/2014/main" id="{00000000-0008-0000-0700-00000B000000}"/>
            </a:ext>
          </a:extLst>
        </xdr:cNvPr>
        <xdr:cNvSpPr/>
      </xdr:nvSpPr>
      <xdr:spPr>
        <a:xfrm>
          <a:off x="5672667" y="14605000"/>
          <a:ext cx="1683510" cy="1121833"/>
        </a:xfrm>
        <a:prstGeom prst="borderCallout1">
          <a:avLst>
            <a:gd name="adj1" fmla="val -424"/>
            <a:gd name="adj2" fmla="val 48537"/>
            <a:gd name="adj3" fmla="val -88807"/>
            <a:gd name="adj4" fmla="val 33276"/>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In</a:t>
          </a:r>
          <a:r>
            <a:rPr lang="en-US" sz="1100" baseline="0"/>
            <a:t> the "Lamps" cell, enter the quantity of lamps. Enter </a:t>
          </a:r>
          <a:r>
            <a:rPr lang="en-US" sz="1100" u="sng" baseline="0"/>
            <a:t>quantity</a:t>
          </a:r>
          <a:r>
            <a:rPr lang="en-US" sz="1100" baseline="0"/>
            <a:t> of TLED / CFL-LED / HID/LED lamps per fixture or enter 1 for fixtures.</a:t>
          </a:r>
          <a:endParaRPr lang="en-US"/>
        </a:p>
      </xdr:txBody>
    </xdr:sp>
    <xdr:clientData/>
  </xdr:twoCellAnchor>
  <xdr:twoCellAnchor>
    <xdr:from>
      <xdr:col>24</xdr:col>
      <xdr:colOff>0</xdr:colOff>
      <xdr:row>91</xdr:row>
      <xdr:rowOff>0</xdr:rowOff>
    </xdr:from>
    <xdr:to>
      <xdr:col>28</xdr:col>
      <xdr:colOff>159510</xdr:colOff>
      <xdr:row>96</xdr:row>
      <xdr:rowOff>169333</xdr:rowOff>
    </xdr:to>
    <xdr:sp macro="" textlink="">
      <xdr:nvSpPr>
        <xdr:cNvPr id="12" name="Callout: Line 3">
          <a:extLst>
            <a:ext uri="{FF2B5EF4-FFF2-40B4-BE49-F238E27FC236}">
              <a16:creationId xmlns:a16="http://schemas.microsoft.com/office/drawing/2014/main" id="{00000000-0008-0000-0700-00000C000000}"/>
            </a:ext>
          </a:extLst>
        </xdr:cNvPr>
        <xdr:cNvSpPr/>
      </xdr:nvSpPr>
      <xdr:spPr>
        <a:xfrm>
          <a:off x="9482667" y="14605000"/>
          <a:ext cx="1683510" cy="1121833"/>
        </a:xfrm>
        <a:prstGeom prst="borderCallout1">
          <a:avLst>
            <a:gd name="adj1" fmla="val -424"/>
            <a:gd name="adj2" fmla="val 48537"/>
            <a:gd name="adj3" fmla="val -88807"/>
            <a:gd name="adj4" fmla="val 33276"/>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In</a:t>
          </a:r>
          <a:r>
            <a:rPr lang="en-US" sz="1100" baseline="0"/>
            <a:t> the "Total System Watts" cell, enter Enter the TOTAL system watts including all lamps and driver wattage.</a:t>
          </a:r>
          <a:endParaRPr lang="en-US"/>
        </a:p>
      </xdr:txBody>
    </xdr:sp>
    <xdr:clientData/>
  </xdr:twoCellAnchor>
  <xdr:twoCellAnchor>
    <xdr:from>
      <xdr:col>30</xdr:col>
      <xdr:colOff>0</xdr:colOff>
      <xdr:row>91</xdr:row>
      <xdr:rowOff>0</xdr:rowOff>
    </xdr:from>
    <xdr:to>
      <xdr:col>32</xdr:col>
      <xdr:colOff>471720</xdr:colOff>
      <xdr:row>97</xdr:row>
      <xdr:rowOff>0</xdr:rowOff>
    </xdr:to>
    <xdr:sp macro="" textlink="">
      <xdr:nvSpPr>
        <xdr:cNvPr id="14" name="Callout: Line 4">
          <a:extLst>
            <a:ext uri="{FF2B5EF4-FFF2-40B4-BE49-F238E27FC236}">
              <a16:creationId xmlns:a16="http://schemas.microsoft.com/office/drawing/2014/main" id="{00000000-0008-0000-0700-00000E000000}"/>
            </a:ext>
          </a:extLst>
        </xdr:cNvPr>
        <xdr:cNvSpPr/>
      </xdr:nvSpPr>
      <xdr:spPr>
        <a:xfrm>
          <a:off x="11800417" y="14605000"/>
          <a:ext cx="1699386" cy="1143000"/>
        </a:xfrm>
        <a:prstGeom prst="borderCallout1">
          <a:avLst>
            <a:gd name="adj1" fmla="val -424"/>
            <a:gd name="adj2" fmla="val 48537"/>
            <a:gd name="adj3" fmla="val -105596"/>
            <a:gd name="adj4" fmla="val -42785"/>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If a cell is yellow it must be filled in to be "Complete"</a:t>
          </a:r>
          <a:r>
            <a:rPr lang="en-US" sz="1100" baseline="0"/>
            <a:t> and the fixture will be available for use in the fixture installations.</a:t>
          </a:r>
          <a:endParaRPr lang="en-US"/>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18</xdr:col>
      <xdr:colOff>0</xdr:colOff>
      <xdr:row>1</xdr:row>
      <xdr:rowOff>0</xdr:rowOff>
    </xdr:from>
    <xdr:ext cx="1196164" cy="555416"/>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14950" y="57150"/>
          <a:ext cx="1196164" cy="555416"/>
        </a:xfrm>
        <a:prstGeom prst="rect">
          <a:avLst/>
        </a:prstGeom>
      </xdr:spPr>
    </xdr:pic>
    <xdr:clientData/>
  </xdr:oneCellAnchor>
  <xdr:twoCellAnchor>
    <xdr:from>
      <xdr:col>3</xdr:col>
      <xdr:colOff>0</xdr:colOff>
      <xdr:row>0</xdr:row>
      <xdr:rowOff>0</xdr:rowOff>
    </xdr:from>
    <xdr:to>
      <xdr:col>8</xdr:col>
      <xdr:colOff>125765</xdr:colOff>
      <xdr:row>17</xdr:row>
      <xdr:rowOff>38100</xdr:rowOff>
    </xdr:to>
    <xdr:grpSp>
      <xdr:nvGrpSpPr>
        <xdr:cNvPr id="30" name="Group 29">
          <a:extLst>
            <a:ext uri="{FF2B5EF4-FFF2-40B4-BE49-F238E27FC236}">
              <a16:creationId xmlns:a16="http://schemas.microsoft.com/office/drawing/2014/main" id="{00000000-0008-0000-0800-00001E000000}"/>
            </a:ext>
          </a:extLst>
        </xdr:cNvPr>
        <xdr:cNvGrpSpPr/>
      </xdr:nvGrpSpPr>
      <xdr:grpSpPr>
        <a:xfrm>
          <a:off x="488830" y="0"/>
          <a:ext cx="2042746" cy="2022176"/>
          <a:chOff x="373063" y="0"/>
          <a:chExt cx="1976437" cy="2024063"/>
        </a:xfrm>
      </xdr:grpSpPr>
      <xdr:sp macro="" textlink="">
        <xdr:nvSpPr>
          <xdr:cNvPr id="31" name="Rectangle 30">
            <a:extLst>
              <a:ext uri="{FF2B5EF4-FFF2-40B4-BE49-F238E27FC236}">
                <a16:creationId xmlns:a16="http://schemas.microsoft.com/office/drawing/2014/main" id="{00000000-0008-0000-0800-00001F00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2" name="Group 31">
            <a:extLst>
              <a:ext uri="{FF2B5EF4-FFF2-40B4-BE49-F238E27FC236}">
                <a16:creationId xmlns:a16="http://schemas.microsoft.com/office/drawing/2014/main" id="{00000000-0008-0000-0800-000020000000}"/>
              </a:ext>
            </a:extLst>
          </xdr:cNvPr>
          <xdr:cNvGrpSpPr/>
        </xdr:nvGrpSpPr>
        <xdr:grpSpPr>
          <a:xfrm>
            <a:off x="428625" y="301625"/>
            <a:ext cx="1861754" cy="188857"/>
            <a:chOff x="426983" y="303815"/>
            <a:chExt cx="1847521" cy="188857"/>
          </a:xfrm>
        </xdr:grpSpPr>
        <xdr:cxnSp macro="">
          <xdr:nvCxnSpPr>
            <xdr:cNvPr id="63" name="Straight Connector 62">
              <a:extLst>
                <a:ext uri="{FF2B5EF4-FFF2-40B4-BE49-F238E27FC236}">
                  <a16:creationId xmlns:a16="http://schemas.microsoft.com/office/drawing/2014/main" id="{00000000-0008-0000-0800-00003F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4" name="Straight Connector 63">
              <a:extLst>
                <a:ext uri="{FF2B5EF4-FFF2-40B4-BE49-F238E27FC236}">
                  <a16:creationId xmlns:a16="http://schemas.microsoft.com/office/drawing/2014/main" id="{00000000-0008-0000-0800-000040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5" name="Straight Connector 64">
              <a:extLst>
                <a:ext uri="{FF2B5EF4-FFF2-40B4-BE49-F238E27FC236}">
                  <a16:creationId xmlns:a16="http://schemas.microsoft.com/office/drawing/2014/main" id="{00000000-0008-0000-0800-000041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6" name="Straight Connector 65">
              <a:extLst>
                <a:ext uri="{FF2B5EF4-FFF2-40B4-BE49-F238E27FC236}">
                  <a16:creationId xmlns:a16="http://schemas.microsoft.com/office/drawing/2014/main" id="{00000000-0008-0000-0800-000042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3" name="Group 32">
            <a:extLst>
              <a:ext uri="{FF2B5EF4-FFF2-40B4-BE49-F238E27FC236}">
                <a16:creationId xmlns:a16="http://schemas.microsoft.com/office/drawing/2014/main" id="{00000000-0008-0000-0800-000021000000}"/>
              </a:ext>
            </a:extLst>
          </xdr:cNvPr>
          <xdr:cNvGrpSpPr/>
        </xdr:nvGrpSpPr>
        <xdr:grpSpPr>
          <a:xfrm>
            <a:off x="428625" y="547689"/>
            <a:ext cx="1861754" cy="190499"/>
            <a:chOff x="426983" y="303815"/>
            <a:chExt cx="1847521" cy="188857"/>
          </a:xfrm>
        </xdr:grpSpPr>
        <xdr:cxnSp macro="">
          <xdr:nvCxnSpPr>
            <xdr:cNvPr id="59" name="Straight Connector 58">
              <a:extLst>
                <a:ext uri="{FF2B5EF4-FFF2-40B4-BE49-F238E27FC236}">
                  <a16:creationId xmlns:a16="http://schemas.microsoft.com/office/drawing/2014/main" id="{00000000-0008-0000-0800-00003B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0" name="Straight Connector 59">
              <a:extLst>
                <a:ext uri="{FF2B5EF4-FFF2-40B4-BE49-F238E27FC236}">
                  <a16:creationId xmlns:a16="http://schemas.microsoft.com/office/drawing/2014/main" id="{00000000-0008-0000-0800-00003C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1" name="Straight Connector 60">
              <a:extLst>
                <a:ext uri="{FF2B5EF4-FFF2-40B4-BE49-F238E27FC236}">
                  <a16:creationId xmlns:a16="http://schemas.microsoft.com/office/drawing/2014/main" id="{00000000-0008-0000-0800-00003D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2" name="Straight Connector 61">
              <a:extLst>
                <a:ext uri="{FF2B5EF4-FFF2-40B4-BE49-F238E27FC236}">
                  <a16:creationId xmlns:a16="http://schemas.microsoft.com/office/drawing/2014/main" id="{00000000-0008-0000-0800-00003E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4" name="Group 33">
            <a:extLst>
              <a:ext uri="{FF2B5EF4-FFF2-40B4-BE49-F238E27FC236}">
                <a16:creationId xmlns:a16="http://schemas.microsoft.com/office/drawing/2014/main" id="{00000000-0008-0000-0800-000022000000}"/>
              </a:ext>
            </a:extLst>
          </xdr:cNvPr>
          <xdr:cNvGrpSpPr/>
        </xdr:nvGrpSpPr>
        <xdr:grpSpPr>
          <a:xfrm>
            <a:off x="428625" y="793751"/>
            <a:ext cx="1861754" cy="190499"/>
            <a:chOff x="426983" y="303815"/>
            <a:chExt cx="1847521" cy="188857"/>
          </a:xfrm>
        </xdr:grpSpPr>
        <xdr:cxnSp macro="">
          <xdr:nvCxnSpPr>
            <xdr:cNvPr id="55" name="Straight Connector 54">
              <a:extLst>
                <a:ext uri="{FF2B5EF4-FFF2-40B4-BE49-F238E27FC236}">
                  <a16:creationId xmlns:a16="http://schemas.microsoft.com/office/drawing/2014/main" id="{00000000-0008-0000-0800-000037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6" name="Straight Connector 55">
              <a:extLst>
                <a:ext uri="{FF2B5EF4-FFF2-40B4-BE49-F238E27FC236}">
                  <a16:creationId xmlns:a16="http://schemas.microsoft.com/office/drawing/2014/main" id="{00000000-0008-0000-0800-000038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7" name="Straight Connector 56">
              <a:extLst>
                <a:ext uri="{FF2B5EF4-FFF2-40B4-BE49-F238E27FC236}">
                  <a16:creationId xmlns:a16="http://schemas.microsoft.com/office/drawing/2014/main" id="{00000000-0008-0000-0800-000039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8" name="Straight Connector 57">
              <a:extLst>
                <a:ext uri="{FF2B5EF4-FFF2-40B4-BE49-F238E27FC236}">
                  <a16:creationId xmlns:a16="http://schemas.microsoft.com/office/drawing/2014/main" id="{00000000-0008-0000-0800-00003A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5" name="Group 34">
            <a:extLst>
              <a:ext uri="{FF2B5EF4-FFF2-40B4-BE49-F238E27FC236}">
                <a16:creationId xmlns:a16="http://schemas.microsoft.com/office/drawing/2014/main" id="{00000000-0008-0000-0800-000023000000}"/>
              </a:ext>
            </a:extLst>
          </xdr:cNvPr>
          <xdr:cNvGrpSpPr/>
        </xdr:nvGrpSpPr>
        <xdr:grpSpPr>
          <a:xfrm>
            <a:off x="428625" y="1041728"/>
            <a:ext cx="1861754" cy="186942"/>
            <a:chOff x="426983" y="303815"/>
            <a:chExt cx="1847521" cy="188857"/>
          </a:xfrm>
        </xdr:grpSpPr>
        <xdr:cxnSp macro="">
          <xdr:nvCxnSpPr>
            <xdr:cNvPr id="51" name="Straight Connector 50">
              <a:extLst>
                <a:ext uri="{FF2B5EF4-FFF2-40B4-BE49-F238E27FC236}">
                  <a16:creationId xmlns:a16="http://schemas.microsoft.com/office/drawing/2014/main" id="{00000000-0008-0000-0800-000033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2" name="Straight Connector 51">
              <a:extLst>
                <a:ext uri="{FF2B5EF4-FFF2-40B4-BE49-F238E27FC236}">
                  <a16:creationId xmlns:a16="http://schemas.microsoft.com/office/drawing/2014/main" id="{00000000-0008-0000-0800-000034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3" name="Straight Connector 52">
              <a:extLst>
                <a:ext uri="{FF2B5EF4-FFF2-40B4-BE49-F238E27FC236}">
                  <a16:creationId xmlns:a16="http://schemas.microsoft.com/office/drawing/2014/main" id="{00000000-0008-0000-0800-000035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4" name="Straight Connector 53">
              <a:extLst>
                <a:ext uri="{FF2B5EF4-FFF2-40B4-BE49-F238E27FC236}">
                  <a16:creationId xmlns:a16="http://schemas.microsoft.com/office/drawing/2014/main" id="{00000000-0008-0000-0800-000036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6" name="Group 35">
            <a:extLst>
              <a:ext uri="{FF2B5EF4-FFF2-40B4-BE49-F238E27FC236}">
                <a16:creationId xmlns:a16="http://schemas.microsoft.com/office/drawing/2014/main" id="{00000000-0008-0000-0800-000024000000}"/>
              </a:ext>
            </a:extLst>
          </xdr:cNvPr>
          <xdr:cNvGrpSpPr/>
        </xdr:nvGrpSpPr>
        <xdr:grpSpPr>
          <a:xfrm>
            <a:off x="428625" y="1285876"/>
            <a:ext cx="1861754" cy="188857"/>
            <a:chOff x="426983" y="303815"/>
            <a:chExt cx="1847521" cy="188857"/>
          </a:xfrm>
        </xdr:grpSpPr>
        <xdr:cxnSp macro="">
          <xdr:nvCxnSpPr>
            <xdr:cNvPr id="47" name="Straight Connector 46">
              <a:extLst>
                <a:ext uri="{FF2B5EF4-FFF2-40B4-BE49-F238E27FC236}">
                  <a16:creationId xmlns:a16="http://schemas.microsoft.com/office/drawing/2014/main" id="{00000000-0008-0000-0800-00002F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8" name="Straight Connector 47">
              <a:extLst>
                <a:ext uri="{FF2B5EF4-FFF2-40B4-BE49-F238E27FC236}">
                  <a16:creationId xmlns:a16="http://schemas.microsoft.com/office/drawing/2014/main" id="{00000000-0008-0000-0800-000030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9" name="Straight Connector 48">
              <a:extLst>
                <a:ext uri="{FF2B5EF4-FFF2-40B4-BE49-F238E27FC236}">
                  <a16:creationId xmlns:a16="http://schemas.microsoft.com/office/drawing/2014/main" id="{00000000-0008-0000-0800-000031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0" name="Straight Connector 49">
              <a:extLst>
                <a:ext uri="{FF2B5EF4-FFF2-40B4-BE49-F238E27FC236}">
                  <a16:creationId xmlns:a16="http://schemas.microsoft.com/office/drawing/2014/main" id="{00000000-0008-0000-0800-000032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7" name="Group 36">
            <a:extLst>
              <a:ext uri="{FF2B5EF4-FFF2-40B4-BE49-F238E27FC236}">
                <a16:creationId xmlns:a16="http://schemas.microsoft.com/office/drawing/2014/main" id="{00000000-0008-0000-0800-000025000000}"/>
              </a:ext>
            </a:extLst>
          </xdr:cNvPr>
          <xdr:cNvGrpSpPr/>
        </xdr:nvGrpSpPr>
        <xdr:grpSpPr>
          <a:xfrm>
            <a:off x="428625" y="1531938"/>
            <a:ext cx="1861754" cy="188857"/>
            <a:chOff x="426983" y="303815"/>
            <a:chExt cx="1847521" cy="188857"/>
          </a:xfrm>
        </xdr:grpSpPr>
        <xdr:cxnSp macro="">
          <xdr:nvCxnSpPr>
            <xdr:cNvPr id="43" name="Straight Connector 42">
              <a:extLst>
                <a:ext uri="{FF2B5EF4-FFF2-40B4-BE49-F238E27FC236}">
                  <a16:creationId xmlns:a16="http://schemas.microsoft.com/office/drawing/2014/main" id="{00000000-0008-0000-0800-00002B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4" name="Straight Connector 43">
              <a:extLst>
                <a:ext uri="{FF2B5EF4-FFF2-40B4-BE49-F238E27FC236}">
                  <a16:creationId xmlns:a16="http://schemas.microsoft.com/office/drawing/2014/main" id="{00000000-0008-0000-0800-00002C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5" name="Straight Connector 44">
              <a:extLst>
                <a:ext uri="{FF2B5EF4-FFF2-40B4-BE49-F238E27FC236}">
                  <a16:creationId xmlns:a16="http://schemas.microsoft.com/office/drawing/2014/main" id="{00000000-0008-0000-0800-00002D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6" name="Straight Connector 45">
              <a:extLst>
                <a:ext uri="{FF2B5EF4-FFF2-40B4-BE49-F238E27FC236}">
                  <a16:creationId xmlns:a16="http://schemas.microsoft.com/office/drawing/2014/main" id="{00000000-0008-0000-0800-00002E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8" name="Group 37">
            <a:extLst>
              <a:ext uri="{FF2B5EF4-FFF2-40B4-BE49-F238E27FC236}">
                <a16:creationId xmlns:a16="http://schemas.microsoft.com/office/drawing/2014/main" id="{00000000-0008-0000-0800-000026000000}"/>
              </a:ext>
            </a:extLst>
          </xdr:cNvPr>
          <xdr:cNvGrpSpPr/>
        </xdr:nvGrpSpPr>
        <xdr:grpSpPr>
          <a:xfrm>
            <a:off x="428625" y="1778001"/>
            <a:ext cx="1861754" cy="190499"/>
            <a:chOff x="426983" y="303815"/>
            <a:chExt cx="1847521" cy="188857"/>
          </a:xfrm>
        </xdr:grpSpPr>
        <xdr:cxnSp macro="">
          <xdr:nvCxnSpPr>
            <xdr:cNvPr id="39" name="Straight Connector 38">
              <a:extLst>
                <a:ext uri="{FF2B5EF4-FFF2-40B4-BE49-F238E27FC236}">
                  <a16:creationId xmlns:a16="http://schemas.microsoft.com/office/drawing/2014/main" id="{00000000-0008-0000-0800-000027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0" name="Straight Connector 39">
              <a:extLst>
                <a:ext uri="{FF2B5EF4-FFF2-40B4-BE49-F238E27FC236}">
                  <a16:creationId xmlns:a16="http://schemas.microsoft.com/office/drawing/2014/main" id="{00000000-0008-0000-0800-000028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1" name="Straight Connector 40">
              <a:extLst>
                <a:ext uri="{FF2B5EF4-FFF2-40B4-BE49-F238E27FC236}">
                  <a16:creationId xmlns:a16="http://schemas.microsoft.com/office/drawing/2014/main" id="{00000000-0008-0000-0800-000029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2" name="Straight Connector 41">
              <a:extLst>
                <a:ext uri="{FF2B5EF4-FFF2-40B4-BE49-F238E27FC236}">
                  <a16:creationId xmlns:a16="http://schemas.microsoft.com/office/drawing/2014/main" id="{00000000-0008-0000-0800-00002A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3</xdr:col>
      <xdr:colOff>57151</xdr:colOff>
      <xdr:row>0</xdr:row>
      <xdr:rowOff>56443</xdr:rowOff>
    </xdr:from>
    <xdr:to>
      <xdr:col>8</xdr:col>
      <xdr:colOff>57150</xdr:colOff>
      <xdr:row>2</xdr:row>
      <xdr:rowOff>1797</xdr:rowOff>
    </xdr:to>
    <xdr:sp macro="" textlink="">
      <xdr:nvSpPr>
        <xdr:cNvPr id="67" name="TextBox 66" title="Page Navigation">
          <a:hlinkClick xmlns:r="http://schemas.openxmlformats.org/officeDocument/2006/relationships" r:id="rId2"/>
          <a:extLst>
            <a:ext uri="{FF2B5EF4-FFF2-40B4-BE49-F238E27FC236}">
              <a16:creationId xmlns:a16="http://schemas.microsoft.com/office/drawing/2014/main" id="{00000000-0008-0000-0800-000043000000}"/>
            </a:ext>
          </a:extLst>
        </xdr:cNvPr>
        <xdr:cNvSpPr txBox="1"/>
      </xdr:nvSpPr>
      <xdr:spPr>
        <a:xfrm>
          <a:off x="533401" y="56443"/>
          <a:ext cx="1857374" cy="193004"/>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editAs="oneCell">
    <xdr:from>
      <xdr:col>3</xdr:col>
      <xdr:colOff>57151</xdr:colOff>
      <xdr:row>7</xdr:row>
      <xdr:rowOff>0</xdr:rowOff>
    </xdr:from>
    <xdr:to>
      <xdr:col>8</xdr:col>
      <xdr:colOff>57151</xdr:colOff>
      <xdr:row>8</xdr:row>
      <xdr:rowOff>11321</xdr:rowOff>
    </xdr:to>
    <xdr:sp macro="" textlink="">
      <xdr:nvSpPr>
        <xdr:cNvPr id="68" name="TextBox 67" title="Page Navigation">
          <a:hlinkClick xmlns:r="http://schemas.openxmlformats.org/officeDocument/2006/relationships" r:id="rId3"/>
          <a:extLst>
            <a:ext uri="{FF2B5EF4-FFF2-40B4-BE49-F238E27FC236}">
              <a16:creationId xmlns:a16="http://schemas.microsoft.com/office/drawing/2014/main" id="{00000000-0008-0000-0800-000044000000}"/>
            </a:ext>
          </a:extLst>
        </xdr:cNvPr>
        <xdr:cNvSpPr txBox="1"/>
      </xdr:nvSpPr>
      <xdr:spPr>
        <a:xfrm>
          <a:off x="533401" y="800100"/>
          <a:ext cx="1857375" cy="192296"/>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Existing and New Fixtures</a:t>
          </a:r>
        </a:p>
      </xdr:txBody>
    </xdr:sp>
    <xdr:clientData fPrintsWithSheet="0"/>
  </xdr:twoCellAnchor>
  <xdr:twoCellAnchor editAs="oneCell">
    <xdr:from>
      <xdr:col>3</xdr:col>
      <xdr:colOff>56444</xdr:colOff>
      <xdr:row>11</xdr:row>
      <xdr:rowOff>19050</xdr:rowOff>
    </xdr:from>
    <xdr:to>
      <xdr:col>8</xdr:col>
      <xdr:colOff>57150</xdr:colOff>
      <xdr:row>12</xdr:row>
      <xdr:rowOff>28575</xdr:rowOff>
    </xdr:to>
    <xdr:sp macro="" textlink="">
      <xdr:nvSpPr>
        <xdr:cNvPr id="69" name="TextBox 68" title="Page Navigation">
          <a:hlinkClick xmlns:r="http://schemas.openxmlformats.org/officeDocument/2006/relationships" r:id="rId4"/>
          <a:extLst>
            <a:ext uri="{FF2B5EF4-FFF2-40B4-BE49-F238E27FC236}">
              <a16:creationId xmlns:a16="http://schemas.microsoft.com/office/drawing/2014/main" id="{00000000-0008-0000-0800-000045000000}"/>
            </a:ext>
          </a:extLst>
        </xdr:cNvPr>
        <xdr:cNvSpPr txBox="1"/>
      </xdr:nvSpPr>
      <xdr:spPr>
        <a:xfrm>
          <a:off x="532694" y="1295400"/>
          <a:ext cx="185808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Customer Signature</a:t>
          </a:r>
        </a:p>
      </xdr:txBody>
    </xdr:sp>
    <xdr:clientData fPrintsWithSheet="0"/>
  </xdr:twoCellAnchor>
  <xdr:twoCellAnchor editAs="oneCell">
    <xdr:from>
      <xdr:col>3</xdr:col>
      <xdr:colOff>57151</xdr:colOff>
      <xdr:row>15</xdr:row>
      <xdr:rowOff>38101</xdr:rowOff>
    </xdr:from>
    <xdr:to>
      <xdr:col>8</xdr:col>
      <xdr:colOff>57151</xdr:colOff>
      <xdr:row>16</xdr:row>
      <xdr:rowOff>38100</xdr:rowOff>
    </xdr:to>
    <xdr:sp macro="" textlink="">
      <xdr:nvSpPr>
        <xdr:cNvPr id="70" name="TextBox 69" title="Page Navigation">
          <a:hlinkClick xmlns:r="http://schemas.openxmlformats.org/officeDocument/2006/relationships" r:id="rId5"/>
          <a:extLst>
            <a:ext uri="{FF2B5EF4-FFF2-40B4-BE49-F238E27FC236}">
              <a16:creationId xmlns:a16="http://schemas.microsoft.com/office/drawing/2014/main" id="{00000000-0008-0000-0800-000046000000}"/>
            </a:ext>
          </a:extLst>
        </xdr:cNvPr>
        <xdr:cNvSpPr txBox="1"/>
      </xdr:nvSpPr>
      <xdr:spPr>
        <a:xfrm>
          <a:off x="533401" y="1790701"/>
          <a:ext cx="1857375"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PSE</a:t>
          </a:r>
          <a:r>
            <a:rPr lang="en-US" sz="1100" b="0" baseline="0">
              <a:solidFill>
                <a:schemeClr val="bg1"/>
              </a:solidFill>
              <a:sym typeface="Webdings" panose="05030102010509060703" pitchFamily="18" charset="2"/>
            </a:rPr>
            <a:t> Grant QC Page</a:t>
          </a:r>
          <a:endParaRPr lang="en-US" sz="1100" b="0">
            <a:solidFill>
              <a:schemeClr val="bg1"/>
            </a:solidFill>
            <a:sym typeface="Webdings" panose="05030102010509060703" pitchFamily="18" charset="2"/>
          </a:endParaRPr>
        </a:p>
      </xdr:txBody>
    </xdr:sp>
    <xdr:clientData fPrintsWithSheet="0"/>
  </xdr:twoCellAnchor>
  <xdr:twoCellAnchor editAs="oneCell">
    <xdr:from>
      <xdr:col>3</xdr:col>
      <xdr:colOff>56444</xdr:colOff>
      <xdr:row>13</xdr:row>
      <xdr:rowOff>28575</xdr:rowOff>
    </xdr:from>
    <xdr:to>
      <xdr:col>8</xdr:col>
      <xdr:colOff>57150</xdr:colOff>
      <xdr:row>14</xdr:row>
      <xdr:rowOff>38100</xdr:rowOff>
    </xdr:to>
    <xdr:sp macro="" textlink="">
      <xdr:nvSpPr>
        <xdr:cNvPr id="71" name="TextBox 70" title="Page Navigation">
          <a:hlinkClick xmlns:r="http://schemas.openxmlformats.org/officeDocument/2006/relationships" r:id="rId2"/>
          <a:extLst>
            <a:ext uri="{FF2B5EF4-FFF2-40B4-BE49-F238E27FC236}">
              <a16:creationId xmlns:a16="http://schemas.microsoft.com/office/drawing/2014/main" id="{00000000-0008-0000-0800-000047000000}"/>
            </a:ext>
          </a:extLst>
        </xdr:cNvPr>
        <xdr:cNvSpPr txBox="1"/>
      </xdr:nvSpPr>
      <xdr:spPr>
        <a:xfrm>
          <a:off x="532694" y="1543050"/>
          <a:ext cx="1858081" cy="190500"/>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Ready</a:t>
          </a:r>
        </a:p>
      </xdr:txBody>
    </xdr:sp>
    <xdr:clientData fPrintsWithSheet="0"/>
  </xdr:twoCellAnchor>
  <xdr:twoCellAnchor editAs="oneCell">
    <xdr:from>
      <xdr:col>3</xdr:col>
      <xdr:colOff>57151</xdr:colOff>
      <xdr:row>3</xdr:row>
      <xdr:rowOff>1</xdr:rowOff>
    </xdr:from>
    <xdr:to>
      <xdr:col>8</xdr:col>
      <xdr:colOff>57151</xdr:colOff>
      <xdr:row>4</xdr:row>
      <xdr:rowOff>1</xdr:rowOff>
    </xdr:to>
    <xdr:sp macro="" textlink="">
      <xdr:nvSpPr>
        <xdr:cNvPr id="72" name="TextBox 71" title="Page Navigation">
          <a:hlinkClick xmlns:r="http://schemas.openxmlformats.org/officeDocument/2006/relationships" r:id="rId6"/>
          <a:extLst>
            <a:ext uri="{FF2B5EF4-FFF2-40B4-BE49-F238E27FC236}">
              <a16:creationId xmlns:a16="http://schemas.microsoft.com/office/drawing/2014/main" id="{00000000-0008-0000-0800-000048000000}"/>
            </a:ext>
          </a:extLst>
        </xdr:cNvPr>
        <xdr:cNvSpPr txBox="1"/>
      </xdr:nvSpPr>
      <xdr:spPr>
        <a:xfrm>
          <a:off x="533401" y="304801"/>
          <a:ext cx="1857375"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Terms and Conditions</a:t>
          </a:r>
        </a:p>
      </xdr:txBody>
    </xdr:sp>
    <xdr:clientData fPrintsWithSheet="0"/>
  </xdr:twoCellAnchor>
  <xdr:twoCellAnchor editAs="oneCell">
    <xdr:from>
      <xdr:col>3</xdr:col>
      <xdr:colOff>57151</xdr:colOff>
      <xdr:row>4</xdr:row>
      <xdr:rowOff>56444</xdr:rowOff>
    </xdr:from>
    <xdr:to>
      <xdr:col>8</xdr:col>
      <xdr:colOff>57151</xdr:colOff>
      <xdr:row>6</xdr:row>
      <xdr:rowOff>1797</xdr:rowOff>
    </xdr:to>
    <xdr:sp macro="" textlink="">
      <xdr:nvSpPr>
        <xdr:cNvPr id="73" name="TextBox 72" title="Page Navigation">
          <a:hlinkClick xmlns:r="http://schemas.openxmlformats.org/officeDocument/2006/relationships" r:id="rId7"/>
          <a:extLst>
            <a:ext uri="{FF2B5EF4-FFF2-40B4-BE49-F238E27FC236}">
              <a16:creationId xmlns:a16="http://schemas.microsoft.com/office/drawing/2014/main" id="{00000000-0008-0000-0800-000049000000}"/>
            </a:ext>
          </a:extLst>
        </xdr:cNvPr>
        <xdr:cNvSpPr txBox="1"/>
      </xdr:nvSpPr>
      <xdr:spPr>
        <a:xfrm>
          <a:off x="533401" y="551744"/>
          <a:ext cx="1857375" cy="19300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 Owner Info</a:t>
          </a:r>
        </a:p>
      </xdr:txBody>
    </xdr:sp>
    <xdr:clientData fPrintsWithSheet="0"/>
  </xdr:twoCellAnchor>
  <xdr:twoCellAnchor editAs="oneCell">
    <xdr:from>
      <xdr:col>3</xdr:col>
      <xdr:colOff>56444</xdr:colOff>
      <xdr:row>9</xdr:row>
      <xdr:rowOff>8819</xdr:rowOff>
    </xdr:from>
    <xdr:to>
      <xdr:col>8</xdr:col>
      <xdr:colOff>57150</xdr:colOff>
      <xdr:row>10</xdr:row>
      <xdr:rowOff>20846</xdr:rowOff>
    </xdr:to>
    <xdr:sp macro="" textlink="">
      <xdr:nvSpPr>
        <xdr:cNvPr id="74" name="TextBox 73" title="Page Navigation">
          <a:hlinkClick xmlns:r="http://schemas.openxmlformats.org/officeDocument/2006/relationships" r:id="rId8"/>
          <a:extLst>
            <a:ext uri="{FF2B5EF4-FFF2-40B4-BE49-F238E27FC236}">
              <a16:creationId xmlns:a16="http://schemas.microsoft.com/office/drawing/2014/main" id="{00000000-0008-0000-0800-00004A000000}"/>
            </a:ext>
          </a:extLst>
        </xdr:cNvPr>
        <xdr:cNvSpPr txBox="1"/>
      </xdr:nvSpPr>
      <xdr:spPr>
        <a:xfrm>
          <a:off x="532694" y="1047044"/>
          <a:ext cx="1858081" cy="19300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Installations</a:t>
          </a:r>
        </a:p>
      </xdr:txBody>
    </xdr:sp>
    <xdr:clientData fPrintsWithSheet="0"/>
  </xdr:twoCellAnchor>
  <xdr:twoCellAnchor>
    <xdr:from>
      <xdr:col>10</xdr:col>
      <xdr:colOff>76200</xdr:colOff>
      <xdr:row>14</xdr:row>
      <xdr:rowOff>9525</xdr:rowOff>
    </xdr:from>
    <xdr:to>
      <xdr:col>32</xdr:col>
      <xdr:colOff>333375</xdr:colOff>
      <xdr:row>16</xdr:row>
      <xdr:rowOff>14558</xdr:rowOff>
    </xdr:to>
    <xdr:grpSp>
      <xdr:nvGrpSpPr>
        <xdr:cNvPr id="75" name="Group 74">
          <a:extLst>
            <a:ext uri="{FF2B5EF4-FFF2-40B4-BE49-F238E27FC236}">
              <a16:creationId xmlns:a16="http://schemas.microsoft.com/office/drawing/2014/main" id="{00000000-0008-0000-0800-00004B000000}"/>
            </a:ext>
          </a:extLst>
        </xdr:cNvPr>
        <xdr:cNvGrpSpPr/>
      </xdr:nvGrpSpPr>
      <xdr:grpSpPr>
        <a:xfrm>
          <a:off x="3248803" y="1696468"/>
          <a:ext cx="6113553" cy="244656"/>
          <a:chOff x="3467100" y="1733550"/>
          <a:chExt cx="4953000" cy="247651"/>
        </a:xfrm>
      </xdr:grpSpPr>
      <xdr:sp macro="" textlink="">
        <xdr:nvSpPr>
          <xdr:cNvPr id="76" name="Rectangle 75">
            <a:extLst>
              <a:ext uri="{FF2B5EF4-FFF2-40B4-BE49-F238E27FC236}">
                <a16:creationId xmlns:a16="http://schemas.microsoft.com/office/drawing/2014/main" id="{00000000-0008-0000-0800-00004C000000}"/>
              </a:ext>
            </a:extLst>
          </xdr:cNvPr>
          <xdr:cNvSpPr/>
        </xdr:nvSpPr>
        <xdr:spPr>
          <a:xfrm>
            <a:off x="3467100" y="1733551"/>
            <a:ext cx="4953000" cy="247650"/>
          </a:xfrm>
          <a:prstGeom prst="rect">
            <a:avLst/>
          </a:prstGeom>
          <a:solidFill>
            <a:srgbClr val="156570">
              <a:alpha val="75000"/>
            </a:srgb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77" name="Rectangle 76">
            <a:extLst>
              <a:ext uri="{FF2B5EF4-FFF2-40B4-BE49-F238E27FC236}">
                <a16:creationId xmlns:a16="http://schemas.microsoft.com/office/drawing/2014/main" id="{00000000-0008-0000-0800-00004D000000}"/>
              </a:ext>
            </a:extLst>
          </xdr:cNvPr>
          <xdr:cNvSpPr/>
        </xdr:nvSpPr>
        <xdr:spPr>
          <a:xfrm>
            <a:off x="3467100" y="1733550"/>
            <a:ext cx="4952999" cy="247650"/>
          </a:xfrm>
          <a:prstGeom prst="rect">
            <a:avLst/>
          </a:prstGeom>
          <a:solidFill>
            <a:schemeClr val="bg1">
              <a:alpha val="75000"/>
            </a:schemeClr>
          </a:solidFill>
          <a:ln>
            <a:solidFill>
              <a:srgbClr val="15657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effectLst/>
                <a:latin typeface="+mn-lt"/>
                <a:ea typeface="+mn-ea"/>
                <a:cs typeface="+mn-cs"/>
              </a:rPr>
              <a:t>Is the Application Ready to Submit?</a:t>
            </a:r>
            <a:endParaRPr lang="en-US" sz="1400" b="1">
              <a:solidFill>
                <a:sysClr val="windowText" lastClr="000000"/>
              </a:solidFill>
            </a:endParaRPr>
          </a:p>
        </xdr:txBody>
      </xdr:sp>
    </xdr:grpSp>
    <xdr:clientData/>
  </xdr:twoCellAnchor>
</xdr:wsDr>
</file>

<file path=xl/drawings/drawing8.xml><?xml version="1.0" encoding="utf-8"?>
<xdr:wsDr xmlns:xdr="http://schemas.openxmlformats.org/drawingml/2006/spreadsheetDrawing" xmlns:a="http://schemas.openxmlformats.org/drawingml/2006/main">
  <xdr:oneCellAnchor>
    <xdr:from>
      <xdr:col>16</xdr:col>
      <xdr:colOff>142875</xdr:colOff>
      <xdr:row>1</xdr:row>
      <xdr:rowOff>0</xdr:rowOff>
    </xdr:from>
    <xdr:ext cx="1196164" cy="555416"/>
    <xdr:pic>
      <xdr:nvPicPr>
        <xdr:cNvPr id="6" name="Picture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00" y="57150"/>
          <a:ext cx="1196164" cy="555416"/>
        </a:xfrm>
        <a:prstGeom prst="rect">
          <a:avLst/>
        </a:prstGeom>
      </xdr:spPr>
    </xdr:pic>
    <xdr:clientData/>
  </xdr:oneCellAnchor>
  <xdr:twoCellAnchor>
    <xdr:from>
      <xdr:col>2</xdr:col>
      <xdr:colOff>0</xdr:colOff>
      <xdr:row>25</xdr:row>
      <xdr:rowOff>0</xdr:rowOff>
    </xdr:from>
    <xdr:to>
      <xdr:col>34</xdr:col>
      <xdr:colOff>0</xdr:colOff>
      <xdr:row>31</xdr:row>
      <xdr:rowOff>0</xdr:rowOff>
    </xdr:to>
    <xdr:sp macro="" textlink="">
      <xdr:nvSpPr>
        <xdr:cNvPr id="17" name="TextBox 16">
          <a:extLst>
            <a:ext uri="{FF2B5EF4-FFF2-40B4-BE49-F238E27FC236}">
              <a16:creationId xmlns:a16="http://schemas.microsoft.com/office/drawing/2014/main" id="{00000000-0008-0000-0900-000011000000}"/>
            </a:ext>
          </a:extLst>
        </xdr:cNvPr>
        <xdr:cNvSpPr txBox="1"/>
      </xdr:nvSpPr>
      <xdr:spPr>
        <a:xfrm>
          <a:off x="400050" y="3257550"/>
          <a:ext cx="11887200" cy="1143000"/>
        </a:xfrm>
        <a:prstGeom prst="rect">
          <a:avLst/>
        </a:prstGeom>
        <a:solidFill>
          <a:schemeClr val="bg1">
            <a:lumMod val="85000"/>
          </a:schemeClr>
        </a:solidFill>
        <a:ln w="1905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dk1"/>
              </a:solidFill>
              <a:effectLst/>
              <a:latin typeface="+mn-lt"/>
              <a:ea typeface="+mn-ea"/>
              <a:cs typeface="+mn-cs"/>
            </a:rPr>
            <a:t>LLLC Bonus - </a:t>
          </a:r>
          <a:r>
            <a:rPr lang="en-US" sz="1100" b="0">
              <a:solidFill>
                <a:schemeClr val="dk1"/>
              </a:solidFill>
              <a:effectLst/>
              <a:latin typeface="+mn-lt"/>
              <a:ea typeface="+mn-ea"/>
              <a:cs typeface="+mn-cs"/>
            </a:rPr>
            <a:t>for each LLLC fixture PSE will incentivize $75 per fixture.</a:t>
          </a:r>
        </a:p>
        <a:p>
          <a:endParaRPr lang="en-US" sz="1100" b="0">
            <a:solidFill>
              <a:schemeClr val="dk1"/>
            </a:solidFill>
            <a:effectLst/>
            <a:latin typeface="+mn-lt"/>
            <a:ea typeface="+mn-ea"/>
            <a:cs typeface="+mn-cs"/>
          </a:endParaRPr>
        </a:p>
        <a:p>
          <a:r>
            <a:rPr lang="en-US" sz="1100" b="0">
              <a:solidFill>
                <a:schemeClr val="dk1"/>
              </a:solidFill>
              <a:effectLst/>
              <a:latin typeface="+mn-lt"/>
              <a:ea typeface="+mn-ea"/>
              <a:cs typeface="+mn-cs"/>
            </a:rPr>
            <a:t>LLLC fixtures must meet the following.</a:t>
          </a:r>
        </a:p>
        <a:p>
          <a:r>
            <a:rPr lang="en-US" sz="1100" b="0">
              <a:solidFill>
                <a:schemeClr val="dk1"/>
              </a:solidFill>
              <a:effectLst/>
              <a:latin typeface="+mn-lt"/>
              <a:ea typeface="+mn-ea"/>
              <a:cs typeface="+mn-cs"/>
            </a:rPr>
            <a:t>An interior LED lighting system consisting of one or more luminaires with integrated occupancy and daylight sensors in each luminaire with embedded lighting control logic and networking capabilities. The control logic shall allow luminaires to detect and share information with one another to adjust to occupancy and/or daylight  in the space. The system must be able to be programmed to allow grouping of the luminaires and have the capability to adjust light levels either individually or in a group.   </a:t>
          </a:r>
          <a:endParaRPr lang="en-US" sz="1100" b="0">
            <a:solidFill>
              <a:srgbClr val="FF0000"/>
            </a:solidFill>
            <a:effectLst/>
            <a:latin typeface="+mn-lt"/>
            <a:ea typeface="+mn-ea"/>
            <a:cs typeface="+mn-cs"/>
          </a:endParaRPr>
        </a:p>
      </xdr:txBody>
    </xdr:sp>
    <xdr:clientData/>
  </xdr:twoCellAnchor>
  <xdr:twoCellAnchor>
    <xdr:from>
      <xdr:col>1</xdr:col>
      <xdr:colOff>0</xdr:colOff>
      <xdr:row>0</xdr:row>
      <xdr:rowOff>0</xdr:rowOff>
    </xdr:from>
    <xdr:to>
      <xdr:col>7</xdr:col>
      <xdr:colOff>125765</xdr:colOff>
      <xdr:row>17</xdr:row>
      <xdr:rowOff>38100</xdr:rowOff>
    </xdr:to>
    <xdr:sp macro="" textlink="">
      <xdr:nvSpPr>
        <xdr:cNvPr id="69" name="Rectangle 68">
          <a:extLst>
            <a:ext uri="{FF2B5EF4-FFF2-40B4-BE49-F238E27FC236}">
              <a16:creationId xmlns:a16="http://schemas.microsoft.com/office/drawing/2014/main" id="{00000000-0008-0000-0900-000045000000}"/>
            </a:ext>
          </a:extLst>
        </xdr:cNvPr>
        <xdr:cNvSpPr/>
      </xdr:nvSpPr>
      <xdr:spPr>
        <a:xfrm>
          <a:off x="371475" y="0"/>
          <a:ext cx="2011715" cy="2038350"/>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27979</xdr:colOff>
      <xdr:row>2</xdr:row>
      <xdr:rowOff>56104</xdr:rowOff>
    </xdr:from>
    <xdr:to>
      <xdr:col>7</xdr:col>
      <xdr:colOff>65589</xdr:colOff>
      <xdr:row>3</xdr:row>
      <xdr:rowOff>189144</xdr:rowOff>
    </xdr:to>
    <xdr:grpSp>
      <xdr:nvGrpSpPr>
        <xdr:cNvPr id="70" name="Group 69">
          <a:extLst>
            <a:ext uri="{FF2B5EF4-FFF2-40B4-BE49-F238E27FC236}">
              <a16:creationId xmlns:a16="http://schemas.microsoft.com/office/drawing/2014/main" id="{00000000-0008-0000-0900-000046000000}"/>
            </a:ext>
          </a:extLst>
        </xdr:cNvPr>
        <xdr:cNvGrpSpPr/>
      </xdr:nvGrpSpPr>
      <xdr:grpSpPr>
        <a:xfrm>
          <a:off x="449715" y="295726"/>
          <a:ext cx="1954591" cy="181924"/>
          <a:chOff x="426983" y="303815"/>
          <a:chExt cx="1847521" cy="188857"/>
        </a:xfrm>
      </xdr:grpSpPr>
      <xdr:cxnSp macro="">
        <xdr:nvCxnSpPr>
          <xdr:cNvPr id="101" name="Straight Connector 100">
            <a:extLst>
              <a:ext uri="{FF2B5EF4-FFF2-40B4-BE49-F238E27FC236}">
                <a16:creationId xmlns:a16="http://schemas.microsoft.com/office/drawing/2014/main" id="{00000000-0008-0000-0900-000065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2" name="Straight Connector 101">
            <a:extLst>
              <a:ext uri="{FF2B5EF4-FFF2-40B4-BE49-F238E27FC236}">
                <a16:creationId xmlns:a16="http://schemas.microsoft.com/office/drawing/2014/main" id="{00000000-0008-0000-0900-000066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3" name="Straight Connector 102">
            <a:extLst>
              <a:ext uri="{FF2B5EF4-FFF2-40B4-BE49-F238E27FC236}">
                <a16:creationId xmlns:a16="http://schemas.microsoft.com/office/drawing/2014/main" id="{00000000-0008-0000-0900-000067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4" name="Straight Connector 103">
            <a:extLst>
              <a:ext uri="{FF2B5EF4-FFF2-40B4-BE49-F238E27FC236}">
                <a16:creationId xmlns:a16="http://schemas.microsoft.com/office/drawing/2014/main" id="{00000000-0008-0000-0900-000068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27979</xdr:colOff>
      <xdr:row>4</xdr:row>
      <xdr:rowOff>56255</xdr:rowOff>
    </xdr:from>
    <xdr:to>
      <xdr:col>7</xdr:col>
      <xdr:colOff>65589</xdr:colOff>
      <xdr:row>6</xdr:row>
      <xdr:rowOff>449</xdr:rowOff>
    </xdr:to>
    <xdr:grpSp>
      <xdr:nvGrpSpPr>
        <xdr:cNvPr id="71" name="Group 70">
          <a:extLst>
            <a:ext uri="{FF2B5EF4-FFF2-40B4-BE49-F238E27FC236}">
              <a16:creationId xmlns:a16="http://schemas.microsoft.com/office/drawing/2014/main" id="{00000000-0008-0000-0900-000047000000}"/>
            </a:ext>
          </a:extLst>
        </xdr:cNvPr>
        <xdr:cNvGrpSpPr/>
      </xdr:nvGrpSpPr>
      <xdr:grpSpPr>
        <a:xfrm>
          <a:off x="449715" y="535501"/>
          <a:ext cx="1954591" cy="183816"/>
          <a:chOff x="426983" y="303815"/>
          <a:chExt cx="1847521" cy="188857"/>
        </a:xfrm>
      </xdr:grpSpPr>
      <xdr:cxnSp macro="">
        <xdr:nvCxnSpPr>
          <xdr:cNvPr id="97" name="Straight Connector 96">
            <a:extLst>
              <a:ext uri="{FF2B5EF4-FFF2-40B4-BE49-F238E27FC236}">
                <a16:creationId xmlns:a16="http://schemas.microsoft.com/office/drawing/2014/main" id="{00000000-0008-0000-0900-000061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8" name="Straight Connector 97">
            <a:extLst>
              <a:ext uri="{FF2B5EF4-FFF2-40B4-BE49-F238E27FC236}">
                <a16:creationId xmlns:a16="http://schemas.microsoft.com/office/drawing/2014/main" id="{00000000-0008-0000-0900-000062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9" name="Straight Connector 98">
            <a:extLst>
              <a:ext uri="{FF2B5EF4-FFF2-40B4-BE49-F238E27FC236}">
                <a16:creationId xmlns:a16="http://schemas.microsoft.com/office/drawing/2014/main" id="{00000000-0008-0000-0900-000063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0" name="Straight Connector 99">
            <a:extLst>
              <a:ext uri="{FF2B5EF4-FFF2-40B4-BE49-F238E27FC236}">
                <a16:creationId xmlns:a16="http://schemas.microsoft.com/office/drawing/2014/main" id="{00000000-0008-0000-0900-000064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27979</xdr:colOff>
      <xdr:row>6</xdr:row>
      <xdr:rowOff>56404</xdr:rowOff>
    </xdr:from>
    <xdr:to>
      <xdr:col>7</xdr:col>
      <xdr:colOff>65589</xdr:colOff>
      <xdr:row>8</xdr:row>
      <xdr:rowOff>10123</xdr:rowOff>
    </xdr:to>
    <xdr:grpSp>
      <xdr:nvGrpSpPr>
        <xdr:cNvPr id="72" name="Group 71">
          <a:extLst>
            <a:ext uri="{FF2B5EF4-FFF2-40B4-BE49-F238E27FC236}">
              <a16:creationId xmlns:a16="http://schemas.microsoft.com/office/drawing/2014/main" id="{00000000-0008-0000-0900-000048000000}"/>
            </a:ext>
          </a:extLst>
        </xdr:cNvPr>
        <xdr:cNvGrpSpPr/>
      </xdr:nvGrpSpPr>
      <xdr:grpSpPr>
        <a:xfrm>
          <a:off x="449715" y="775272"/>
          <a:ext cx="1954591" cy="193342"/>
          <a:chOff x="426983" y="303815"/>
          <a:chExt cx="1847521" cy="188857"/>
        </a:xfrm>
      </xdr:grpSpPr>
      <xdr:cxnSp macro="">
        <xdr:nvCxnSpPr>
          <xdr:cNvPr id="93" name="Straight Connector 92">
            <a:extLst>
              <a:ext uri="{FF2B5EF4-FFF2-40B4-BE49-F238E27FC236}">
                <a16:creationId xmlns:a16="http://schemas.microsoft.com/office/drawing/2014/main" id="{00000000-0008-0000-0900-00005D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4" name="Straight Connector 93">
            <a:extLst>
              <a:ext uri="{FF2B5EF4-FFF2-40B4-BE49-F238E27FC236}">
                <a16:creationId xmlns:a16="http://schemas.microsoft.com/office/drawing/2014/main" id="{00000000-0008-0000-0900-00005E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5" name="Straight Connector 94">
            <a:extLst>
              <a:ext uri="{FF2B5EF4-FFF2-40B4-BE49-F238E27FC236}">
                <a16:creationId xmlns:a16="http://schemas.microsoft.com/office/drawing/2014/main" id="{00000000-0008-0000-0900-00005F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96" name="Straight Connector 95">
            <a:extLst>
              <a:ext uri="{FF2B5EF4-FFF2-40B4-BE49-F238E27FC236}">
                <a16:creationId xmlns:a16="http://schemas.microsoft.com/office/drawing/2014/main" id="{00000000-0008-0000-0900-000060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27979</xdr:colOff>
      <xdr:row>9</xdr:row>
      <xdr:rowOff>10856</xdr:rowOff>
    </xdr:from>
    <xdr:to>
      <xdr:col>7</xdr:col>
      <xdr:colOff>65589</xdr:colOff>
      <xdr:row>10</xdr:row>
      <xdr:rowOff>18143</xdr:rowOff>
    </xdr:to>
    <xdr:grpSp>
      <xdr:nvGrpSpPr>
        <xdr:cNvPr id="73" name="Group 72">
          <a:extLst>
            <a:ext uri="{FF2B5EF4-FFF2-40B4-BE49-F238E27FC236}">
              <a16:creationId xmlns:a16="http://schemas.microsoft.com/office/drawing/2014/main" id="{00000000-0008-0000-0900-000049000000}"/>
            </a:ext>
          </a:extLst>
        </xdr:cNvPr>
        <xdr:cNvGrpSpPr/>
      </xdr:nvGrpSpPr>
      <xdr:grpSpPr>
        <a:xfrm>
          <a:off x="449715" y="1026856"/>
          <a:ext cx="1954591" cy="189400"/>
          <a:chOff x="426983" y="303815"/>
          <a:chExt cx="1847521" cy="188857"/>
        </a:xfrm>
      </xdr:grpSpPr>
      <xdr:cxnSp macro="">
        <xdr:nvCxnSpPr>
          <xdr:cNvPr id="89" name="Straight Connector 88">
            <a:extLst>
              <a:ext uri="{FF2B5EF4-FFF2-40B4-BE49-F238E27FC236}">
                <a16:creationId xmlns:a16="http://schemas.microsoft.com/office/drawing/2014/main" id="{00000000-0008-0000-0900-000059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0" name="Straight Connector 89">
            <a:extLst>
              <a:ext uri="{FF2B5EF4-FFF2-40B4-BE49-F238E27FC236}">
                <a16:creationId xmlns:a16="http://schemas.microsoft.com/office/drawing/2014/main" id="{00000000-0008-0000-0900-00005A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1" name="Straight Connector 90">
            <a:extLst>
              <a:ext uri="{FF2B5EF4-FFF2-40B4-BE49-F238E27FC236}">
                <a16:creationId xmlns:a16="http://schemas.microsoft.com/office/drawing/2014/main" id="{00000000-0008-0000-0900-00005B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92" name="Straight Connector 91">
            <a:extLst>
              <a:ext uri="{FF2B5EF4-FFF2-40B4-BE49-F238E27FC236}">
                <a16:creationId xmlns:a16="http://schemas.microsoft.com/office/drawing/2014/main" id="{00000000-0008-0000-0900-00005C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27979</xdr:colOff>
      <xdr:row>11</xdr:row>
      <xdr:rowOff>18602</xdr:rowOff>
    </xdr:from>
    <xdr:to>
      <xdr:col>7</xdr:col>
      <xdr:colOff>65589</xdr:colOff>
      <xdr:row>12</xdr:row>
      <xdr:rowOff>27817</xdr:rowOff>
    </xdr:to>
    <xdr:grpSp>
      <xdr:nvGrpSpPr>
        <xdr:cNvPr id="74" name="Group 73">
          <a:extLst>
            <a:ext uri="{FF2B5EF4-FFF2-40B4-BE49-F238E27FC236}">
              <a16:creationId xmlns:a16="http://schemas.microsoft.com/office/drawing/2014/main" id="{00000000-0008-0000-0900-00004A000000}"/>
            </a:ext>
          </a:extLst>
        </xdr:cNvPr>
        <xdr:cNvGrpSpPr/>
      </xdr:nvGrpSpPr>
      <xdr:grpSpPr>
        <a:xfrm>
          <a:off x="449715" y="1274224"/>
          <a:ext cx="1954591" cy="191329"/>
          <a:chOff x="426983" y="303815"/>
          <a:chExt cx="1847521" cy="188857"/>
        </a:xfrm>
      </xdr:grpSpPr>
      <xdr:cxnSp macro="">
        <xdr:nvCxnSpPr>
          <xdr:cNvPr id="85" name="Straight Connector 84">
            <a:extLst>
              <a:ext uri="{FF2B5EF4-FFF2-40B4-BE49-F238E27FC236}">
                <a16:creationId xmlns:a16="http://schemas.microsoft.com/office/drawing/2014/main" id="{00000000-0008-0000-0900-000055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6" name="Straight Connector 85">
            <a:extLst>
              <a:ext uri="{FF2B5EF4-FFF2-40B4-BE49-F238E27FC236}">
                <a16:creationId xmlns:a16="http://schemas.microsoft.com/office/drawing/2014/main" id="{00000000-0008-0000-0900-000056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7" name="Straight Connector 86">
            <a:extLst>
              <a:ext uri="{FF2B5EF4-FFF2-40B4-BE49-F238E27FC236}">
                <a16:creationId xmlns:a16="http://schemas.microsoft.com/office/drawing/2014/main" id="{00000000-0008-0000-0900-000057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8" name="Straight Connector 87">
            <a:extLst>
              <a:ext uri="{FF2B5EF4-FFF2-40B4-BE49-F238E27FC236}">
                <a16:creationId xmlns:a16="http://schemas.microsoft.com/office/drawing/2014/main" id="{00000000-0008-0000-0900-000058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27979</xdr:colOff>
      <xdr:row>13</xdr:row>
      <xdr:rowOff>28276</xdr:rowOff>
    </xdr:from>
    <xdr:to>
      <xdr:col>7</xdr:col>
      <xdr:colOff>65589</xdr:colOff>
      <xdr:row>14</xdr:row>
      <xdr:rowOff>37491</xdr:rowOff>
    </xdr:to>
    <xdr:grpSp>
      <xdr:nvGrpSpPr>
        <xdr:cNvPr id="75" name="Group 74">
          <a:extLst>
            <a:ext uri="{FF2B5EF4-FFF2-40B4-BE49-F238E27FC236}">
              <a16:creationId xmlns:a16="http://schemas.microsoft.com/office/drawing/2014/main" id="{00000000-0008-0000-0900-00004B000000}"/>
            </a:ext>
          </a:extLst>
        </xdr:cNvPr>
        <xdr:cNvGrpSpPr/>
      </xdr:nvGrpSpPr>
      <xdr:grpSpPr>
        <a:xfrm>
          <a:off x="449715" y="1523522"/>
          <a:ext cx="1954591" cy="191328"/>
          <a:chOff x="426983" y="303815"/>
          <a:chExt cx="1847521" cy="188857"/>
        </a:xfrm>
      </xdr:grpSpPr>
      <xdr:cxnSp macro="">
        <xdr:nvCxnSpPr>
          <xdr:cNvPr id="81" name="Straight Connector 80">
            <a:extLst>
              <a:ext uri="{FF2B5EF4-FFF2-40B4-BE49-F238E27FC236}">
                <a16:creationId xmlns:a16="http://schemas.microsoft.com/office/drawing/2014/main" id="{00000000-0008-0000-0900-000051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2" name="Straight Connector 81">
            <a:extLst>
              <a:ext uri="{FF2B5EF4-FFF2-40B4-BE49-F238E27FC236}">
                <a16:creationId xmlns:a16="http://schemas.microsoft.com/office/drawing/2014/main" id="{00000000-0008-0000-0900-000052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3" name="Straight Connector 82">
            <a:extLst>
              <a:ext uri="{FF2B5EF4-FFF2-40B4-BE49-F238E27FC236}">
                <a16:creationId xmlns:a16="http://schemas.microsoft.com/office/drawing/2014/main" id="{00000000-0008-0000-0900-000053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4" name="Straight Connector 83">
            <a:extLst>
              <a:ext uri="{FF2B5EF4-FFF2-40B4-BE49-F238E27FC236}">
                <a16:creationId xmlns:a16="http://schemas.microsoft.com/office/drawing/2014/main" id="{00000000-0008-0000-0900-000054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27979</xdr:colOff>
      <xdr:row>15</xdr:row>
      <xdr:rowOff>37951</xdr:rowOff>
    </xdr:from>
    <xdr:to>
      <xdr:col>7</xdr:col>
      <xdr:colOff>65589</xdr:colOff>
      <xdr:row>16</xdr:row>
      <xdr:rowOff>39295</xdr:rowOff>
    </xdr:to>
    <xdr:grpSp>
      <xdr:nvGrpSpPr>
        <xdr:cNvPr id="76" name="Group 75">
          <a:extLst>
            <a:ext uri="{FF2B5EF4-FFF2-40B4-BE49-F238E27FC236}">
              <a16:creationId xmlns:a16="http://schemas.microsoft.com/office/drawing/2014/main" id="{00000000-0008-0000-0900-00004C000000}"/>
            </a:ext>
          </a:extLst>
        </xdr:cNvPr>
        <xdr:cNvGrpSpPr/>
      </xdr:nvGrpSpPr>
      <xdr:grpSpPr>
        <a:xfrm>
          <a:off x="449715" y="1772819"/>
          <a:ext cx="1954591" cy="183457"/>
          <a:chOff x="426983" y="303815"/>
          <a:chExt cx="1847521" cy="188857"/>
        </a:xfrm>
      </xdr:grpSpPr>
      <xdr:cxnSp macro="">
        <xdr:nvCxnSpPr>
          <xdr:cNvPr id="77" name="Straight Connector 76">
            <a:extLst>
              <a:ext uri="{FF2B5EF4-FFF2-40B4-BE49-F238E27FC236}">
                <a16:creationId xmlns:a16="http://schemas.microsoft.com/office/drawing/2014/main" id="{00000000-0008-0000-0900-00004D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8" name="Straight Connector 77">
            <a:extLst>
              <a:ext uri="{FF2B5EF4-FFF2-40B4-BE49-F238E27FC236}">
                <a16:creationId xmlns:a16="http://schemas.microsoft.com/office/drawing/2014/main" id="{00000000-0008-0000-0900-00004E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9" name="Straight Connector 78">
            <a:extLst>
              <a:ext uri="{FF2B5EF4-FFF2-40B4-BE49-F238E27FC236}">
                <a16:creationId xmlns:a16="http://schemas.microsoft.com/office/drawing/2014/main" id="{00000000-0008-0000-0900-00004F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0" name="Straight Connector 79">
            <a:extLst>
              <a:ext uri="{FF2B5EF4-FFF2-40B4-BE49-F238E27FC236}">
                <a16:creationId xmlns:a16="http://schemas.microsoft.com/office/drawing/2014/main" id="{00000000-0008-0000-0900-000050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2</xdr:col>
      <xdr:colOff>57151</xdr:colOff>
      <xdr:row>0</xdr:row>
      <xdr:rowOff>56443</xdr:rowOff>
    </xdr:from>
    <xdr:to>
      <xdr:col>7</xdr:col>
      <xdr:colOff>57150</xdr:colOff>
      <xdr:row>2</xdr:row>
      <xdr:rowOff>1797</xdr:rowOff>
    </xdr:to>
    <xdr:sp macro="" textlink="">
      <xdr:nvSpPr>
        <xdr:cNvPr id="105" name="TextBox 104" title="Page Navigation">
          <a:hlinkClick xmlns:r="http://schemas.openxmlformats.org/officeDocument/2006/relationships" r:id="rId2"/>
          <a:extLst>
            <a:ext uri="{FF2B5EF4-FFF2-40B4-BE49-F238E27FC236}">
              <a16:creationId xmlns:a16="http://schemas.microsoft.com/office/drawing/2014/main" id="{00000000-0008-0000-0900-000069000000}"/>
            </a:ext>
          </a:extLst>
        </xdr:cNvPr>
        <xdr:cNvSpPr txBox="1"/>
      </xdr:nvSpPr>
      <xdr:spPr>
        <a:xfrm>
          <a:off x="428626" y="56443"/>
          <a:ext cx="1857374" cy="193004"/>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editAs="oneCell">
    <xdr:from>
      <xdr:col>2</xdr:col>
      <xdr:colOff>57151</xdr:colOff>
      <xdr:row>7</xdr:row>
      <xdr:rowOff>0</xdr:rowOff>
    </xdr:from>
    <xdr:to>
      <xdr:col>7</xdr:col>
      <xdr:colOff>57151</xdr:colOff>
      <xdr:row>8</xdr:row>
      <xdr:rowOff>11321</xdr:rowOff>
    </xdr:to>
    <xdr:sp macro="" textlink="">
      <xdr:nvSpPr>
        <xdr:cNvPr id="106" name="TextBox 105" title="Page Navigation">
          <a:hlinkClick xmlns:r="http://schemas.openxmlformats.org/officeDocument/2006/relationships" r:id="rId3"/>
          <a:extLst>
            <a:ext uri="{FF2B5EF4-FFF2-40B4-BE49-F238E27FC236}">
              <a16:creationId xmlns:a16="http://schemas.microsoft.com/office/drawing/2014/main" id="{00000000-0008-0000-0900-00006A000000}"/>
            </a:ext>
          </a:extLst>
        </xdr:cNvPr>
        <xdr:cNvSpPr txBox="1"/>
      </xdr:nvSpPr>
      <xdr:spPr>
        <a:xfrm>
          <a:off x="428626" y="800100"/>
          <a:ext cx="1857375" cy="192296"/>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Existing and New Fixtures</a:t>
          </a:r>
        </a:p>
      </xdr:txBody>
    </xdr:sp>
    <xdr:clientData fPrintsWithSheet="0"/>
  </xdr:twoCellAnchor>
  <xdr:twoCellAnchor editAs="oneCell">
    <xdr:from>
      <xdr:col>2</xdr:col>
      <xdr:colOff>56444</xdr:colOff>
      <xdr:row>11</xdr:row>
      <xdr:rowOff>19050</xdr:rowOff>
    </xdr:from>
    <xdr:to>
      <xdr:col>7</xdr:col>
      <xdr:colOff>57150</xdr:colOff>
      <xdr:row>12</xdr:row>
      <xdr:rowOff>28575</xdr:rowOff>
    </xdr:to>
    <xdr:sp macro="" textlink="">
      <xdr:nvSpPr>
        <xdr:cNvPr id="107" name="TextBox 106" title="Page Navigation">
          <a:hlinkClick xmlns:r="http://schemas.openxmlformats.org/officeDocument/2006/relationships" r:id="rId4"/>
          <a:extLst>
            <a:ext uri="{FF2B5EF4-FFF2-40B4-BE49-F238E27FC236}">
              <a16:creationId xmlns:a16="http://schemas.microsoft.com/office/drawing/2014/main" id="{00000000-0008-0000-0900-00006B000000}"/>
            </a:ext>
          </a:extLst>
        </xdr:cNvPr>
        <xdr:cNvSpPr txBox="1"/>
      </xdr:nvSpPr>
      <xdr:spPr>
        <a:xfrm>
          <a:off x="427919" y="1295400"/>
          <a:ext cx="185808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Customer Signature</a:t>
          </a:r>
        </a:p>
      </xdr:txBody>
    </xdr:sp>
    <xdr:clientData fPrintsWithSheet="0"/>
  </xdr:twoCellAnchor>
  <xdr:twoCellAnchor editAs="oneCell">
    <xdr:from>
      <xdr:col>2</xdr:col>
      <xdr:colOff>57151</xdr:colOff>
      <xdr:row>15</xdr:row>
      <xdr:rowOff>38101</xdr:rowOff>
    </xdr:from>
    <xdr:to>
      <xdr:col>7</xdr:col>
      <xdr:colOff>57151</xdr:colOff>
      <xdr:row>16</xdr:row>
      <xdr:rowOff>38100</xdr:rowOff>
    </xdr:to>
    <xdr:sp macro="" textlink="">
      <xdr:nvSpPr>
        <xdr:cNvPr id="108" name="TextBox 107" title="Page Navigation">
          <a:hlinkClick xmlns:r="http://schemas.openxmlformats.org/officeDocument/2006/relationships" r:id="rId5"/>
          <a:extLst>
            <a:ext uri="{FF2B5EF4-FFF2-40B4-BE49-F238E27FC236}">
              <a16:creationId xmlns:a16="http://schemas.microsoft.com/office/drawing/2014/main" id="{00000000-0008-0000-0900-00006C000000}"/>
            </a:ext>
          </a:extLst>
        </xdr:cNvPr>
        <xdr:cNvSpPr txBox="1"/>
      </xdr:nvSpPr>
      <xdr:spPr>
        <a:xfrm>
          <a:off x="428626" y="1790701"/>
          <a:ext cx="1857375"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PSE</a:t>
          </a:r>
          <a:r>
            <a:rPr lang="en-US" sz="1100" b="0" baseline="0">
              <a:solidFill>
                <a:schemeClr val="bg1"/>
              </a:solidFill>
              <a:sym typeface="Webdings" panose="05030102010509060703" pitchFamily="18" charset="2"/>
            </a:rPr>
            <a:t> Grant QC Page</a:t>
          </a:r>
          <a:endParaRPr lang="en-US" sz="1100" b="0">
            <a:solidFill>
              <a:schemeClr val="bg1"/>
            </a:solidFill>
            <a:sym typeface="Webdings" panose="05030102010509060703" pitchFamily="18" charset="2"/>
          </a:endParaRPr>
        </a:p>
      </xdr:txBody>
    </xdr:sp>
    <xdr:clientData fPrintsWithSheet="0"/>
  </xdr:twoCellAnchor>
  <xdr:twoCellAnchor editAs="oneCell">
    <xdr:from>
      <xdr:col>2</xdr:col>
      <xdr:colOff>56444</xdr:colOff>
      <xdr:row>13</xdr:row>
      <xdr:rowOff>28575</xdr:rowOff>
    </xdr:from>
    <xdr:to>
      <xdr:col>7</xdr:col>
      <xdr:colOff>57150</xdr:colOff>
      <xdr:row>14</xdr:row>
      <xdr:rowOff>38100</xdr:rowOff>
    </xdr:to>
    <xdr:sp macro="" textlink="">
      <xdr:nvSpPr>
        <xdr:cNvPr id="109" name="TextBox 108" title="Page Navigation">
          <a:hlinkClick xmlns:r="http://schemas.openxmlformats.org/officeDocument/2006/relationships" r:id="rId2"/>
          <a:extLst>
            <a:ext uri="{FF2B5EF4-FFF2-40B4-BE49-F238E27FC236}">
              <a16:creationId xmlns:a16="http://schemas.microsoft.com/office/drawing/2014/main" id="{00000000-0008-0000-0900-00006D000000}"/>
            </a:ext>
          </a:extLst>
        </xdr:cNvPr>
        <xdr:cNvSpPr txBox="1"/>
      </xdr:nvSpPr>
      <xdr:spPr>
        <a:xfrm>
          <a:off x="427919" y="1543050"/>
          <a:ext cx="1858081" cy="190500"/>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LLLC &amp; Exterior NLC</a:t>
          </a:r>
        </a:p>
      </xdr:txBody>
    </xdr:sp>
    <xdr:clientData fPrintsWithSheet="0"/>
  </xdr:twoCellAnchor>
  <xdr:twoCellAnchor editAs="oneCell">
    <xdr:from>
      <xdr:col>2</xdr:col>
      <xdr:colOff>57151</xdr:colOff>
      <xdr:row>3</xdr:row>
      <xdr:rowOff>1</xdr:rowOff>
    </xdr:from>
    <xdr:to>
      <xdr:col>7</xdr:col>
      <xdr:colOff>57151</xdr:colOff>
      <xdr:row>4</xdr:row>
      <xdr:rowOff>1</xdr:rowOff>
    </xdr:to>
    <xdr:sp macro="" textlink="">
      <xdr:nvSpPr>
        <xdr:cNvPr id="110" name="TextBox 109" title="Page Navigation">
          <a:hlinkClick xmlns:r="http://schemas.openxmlformats.org/officeDocument/2006/relationships" r:id="rId6"/>
          <a:extLst>
            <a:ext uri="{FF2B5EF4-FFF2-40B4-BE49-F238E27FC236}">
              <a16:creationId xmlns:a16="http://schemas.microsoft.com/office/drawing/2014/main" id="{00000000-0008-0000-0900-00006E000000}"/>
            </a:ext>
          </a:extLst>
        </xdr:cNvPr>
        <xdr:cNvSpPr txBox="1"/>
      </xdr:nvSpPr>
      <xdr:spPr>
        <a:xfrm>
          <a:off x="428626" y="304801"/>
          <a:ext cx="1857375"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Terms and Conditions</a:t>
          </a:r>
        </a:p>
      </xdr:txBody>
    </xdr:sp>
    <xdr:clientData fPrintsWithSheet="0"/>
  </xdr:twoCellAnchor>
  <xdr:twoCellAnchor editAs="oneCell">
    <xdr:from>
      <xdr:col>2</xdr:col>
      <xdr:colOff>57151</xdr:colOff>
      <xdr:row>4</xdr:row>
      <xdr:rowOff>56444</xdr:rowOff>
    </xdr:from>
    <xdr:to>
      <xdr:col>7</xdr:col>
      <xdr:colOff>57151</xdr:colOff>
      <xdr:row>6</xdr:row>
      <xdr:rowOff>1797</xdr:rowOff>
    </xdr:to>
    <xdr:sp macro="" textlink="">
      <xdr:nvSpPr>
        <xdr:cNvPr id="111" name="TextBox 110" title="Page Navigation">
          <a:hlinkClick xmlns:r="http://schemas.openxmlformats.org/officeDocument/2006/relationships" r:id="rId7"/>
          <a:extLst>
            <a:ext uri="{FF2B5EF4-FFF2-40B4-BE49-F238E27FC236}">
              <a16:creationId xmlns:a16="http://schemas.microsoft.com/office/drawing/2014/main" id="{00000000-0008-0000-0900-00006F000000}"/>
            </a:ext>
          </a:extLst>
        </xdr:cNvPr>
        <xdr:cNvSpPr txBox="1"/>
      </xdr:nvSpPr>
      <xdr:spPr>
        <a:xfrm>
          <a:off x="428626" y="551744"/>
          <a:ext cx="1857375" cy="19300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 Owner Info</a:t>
          </a:r>
        </a:p>
      </xdr:txBody>
    </xdr:sp>
    <xdr:clientData fPrintsWithSheet="0"/>
  </xdr:twoCellAnchor>
  <xdr:twoCellAnchor editAs="oneCell">
    <xdr:from>
      <xdr:col>2</xdr:col>
      <xdr:colOff>56444</xdr:colOff>
      <xdr:row>9</xdr:row>
      <xdr:rowOff>8819</xdr:rowOff>
    </xdr:from>
    <xdr:to>
      <xdr:col>7</xdr:col>
      <xdr:colOff>57150</xdr:colOff>
      <xdr:row>10</xdr:row>
      <xdr:rowOff>20846</xdr:rowOff>
    </xdr:to>
    <xdr:sp macro="" textlink="">
      <xdr:nvSpPr>
        <xdr:cNvPr id="112" name="TextBox 111" title="Page Navigation">
          <a:hlinkClick xmlns:r="http://schemas.openxmlformats.org/officeDocument/2006/relationships" r:id="rId8"/>
          <a:extLst>
            <a:ext uri="{FF2B5EF4-FFF2-40B4-BE49-F238E27FC236}">
              <a16:creationId xmlns:a16="http://schemas.microsoft.com/office/drawing/2014/main" id="{00000000-0008-0000-0900-000070000000}"/>
            </a:ext>
          </a:extLst>
        </xdr:cNvPr>
        <xdr:cNvSpPr txBox="1"/>
      </xdr:nvSpPr>
      <xdr:spPr>
        <a:xfrm>
          <a:off x="427919" y="1047044"/>
          <a:ext cx="1858081" cy="19300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Installations</a:t>
          </a:r>
        </a:p>
      </xdr:txBody>
    </xdr:sp>
    <xdr:clientData fPrintsWithSheet="0"/>
  </xdr:twoCellAnchor>
  <xdr:twoCellAnchor>
    <xdr:from>
      <xdr:col>10</xdr:col>
      <xdr:colOff>0</xdr:colOff>
      <xdr:row>14</xdr:row>
      <xdr:rowOff>0</xdr:rowOff>
    </xdr:from>
    <xdr:to>
      <xdr:col>26</xdr:col>
      <xdr:colOff>9525</xdr:colOff>
      <xdr:row>16</xdr:row>
      <xdr:rowOff>5033</xdr:rowOff>
    </xdr:to>
    <xdr:grpSp>
      <xdr:nvGrpSpPr>
        <xdr:cNvPr id="116" name="Group 115">
          <a:extLst>
            <a:ext uri="{FF2B5EF4-FFF2-40B4-BE49-F238E27FC236}">
              <a16:creationId xmlns:a16="http://schemas.microsoft.com/office/drawing/2014/main" id="{00000000-0008-0000-0900-000074000000}"/>
            </a:ext>
          </a:extLst>
        </xdr:cNvPr>
        <xdr:cNvGrpSpPr/>
      </xdr:nvGrpSpPr>
      <xdr:grpSpPr>
        <a:xfrm>
          <a:off x="3488906" y="1677359"/>
          <a:ext cx="6143865" cy="244655"/>
          <a:chOff x="3467100" y="1733550"/>
          <a:chExt cx="4953000" cy="247651"/>
        </a:xfrm>
      </xdr:grpSpPr>
      <xdr:sp macro="" textlink="">
        <xdr:nvSpPr>
          <xdr:cNvPr id="117" name="Rectangle 116">
            <a:extLst>
              <a:ext uri="{FF2B5EF4-FFF2-40B4-BE49-F238E27FC236}">
                <a16:creationId xmlns:a16="http://schemas.microsoft.com/office/drawing/2014/main" id="{00000000-0008-0000-0900-000075000000}"/>
              </a:ext>
            </a:extLst>
          </xdr:cNvPr>
          <xdr:cNvSpPr/>
        </xdr:nvSpPr>
        <xdr:spPr>
          <a:xfrm>
            <a:off x="3467100" y="1733551"/>
            <a:ext cx="4953000" cy="247650"/>
          </a:xfrm>
          <a:prstGeom prst="rect">
            <a:avLst/>
          </a:prstGeom>
          <a:solidFill>
            <a:srgbClr val="156570">
              <a:alpha val="75000"/>
            </a:srgb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118" name="Rectangle 117">
            <a:extLst>
              <a:ext uri="{FF2B5EF4-FFF2-40B4-BE49-F238E27FC236}">
                <a16:creationId xmlns:a16="http://schemas.microsoft.com/office/drawing/2014/main" id="{00000000-0008-0000-0900-000076000000}"/>
              </a:ext>
            </a:extLst>
          </xdr:cNvPr>
          <xdr:cNvSpPr/>
        </xdr:nvSpPr>
        <xdr:spPr>
          <a:xfrm>
            <a:off x="3467100" y="1733550"/>
            <a:ext cx="4952999" cy="247650"/>
          </a:xfrm>
          <a:prstGeom prst="rect">
            <a:avLst/>
          </a:prstGeom>
          <a:solidFill>
            <a:schemeClr val="bg1">
              <a:alpha val="75000"/>
            </a:schemeClr>
          </a:solidFill>
          <a:ln>
            <a:solidFill>
              <a:srgbClr val="15657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effectLst/>
                <a:latin typeface="+mn-lt"/>
                <a:ea typeface="+mn-ea"/>
                <a:cs typeface="+mn-cs"/>
              </a:rPr>
              <a:t>LLLC &amp; Exterior NLC Verification</a:t>
            </a:r>
            <a:endParaRPr lang="en-US" sz="1400" b="1">
              <a:solidFill>
                <a:sysClr val="windowText" lastClr="000000"/>
              </a:solidFill>
            </a:endParaRPr>
          </a:p>
        </xdr:txBody>
      </xdr:sp>
    </xdr:grpSp>
    <xdr:clientData/>
  </xdr:twoCellAnchor>
  <xdr:twoCellAnchor>
    <xdr:from>
      <xdr:col>29</xdr:col>
      <xdr:colOff>249766</xdr:colOff>
      <xdr:row>0</xdr:row>
      <xdr:rowOff>0</xdr:rowOff>
    </xdr:from>
    <xdr:to>
      <xdr:col>35</xdr:col>
      <xdr:colOff>0</xdr:colOff>
      <xdr:row>17</xdr:row>
      <xdr:rowOff>38100</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11023200" y="0"/>
          <a:ext cx="2050611" cy="2012591"/>
          <a:chOff x="12996333" y="0"/>
          <a:chExt cx="1972734" cy="1996017"/>
        </a:xfrm>
      </xdr:grpSpPr>
      <xdr:grpSp>
        <xdr:nvGrpSpPr>
          <xdr:cNvPr id="128" name="Group 127">
            <a:extLst>
              <a:ext uri="{FF2B5EF4-FFF2-40B4-BE49-F238E27FC236}">
                <a16:creationId xmlns:a16="http://schemas.microsoft.com/office/drawing/2014/main" id="{00000000-0008-0000-0900-000080000000}"/>
              </a:ext>
            </a:extLst>
          </xdr:cNvPr>
          <xdr:cNvGrpSpPr/>
        </xdr:nvGrpSpPr>
        <xdr:grpSpPr>
          <a:xfrm>
            <a:off x="12996333" y="0"/>
            <a:ext cx="1972734" cy="1996017"/>
            <a:chOff x="373063" y="0"/>
            <a:chExt cx="1976437" cy="2024063"/>
          </a:xfrm>
        </xdr:grpSpPr>
        <xdr:sp macro="" textlink="">
          <xdr:nvSpPr>
            <xdr:cNvPr id="129" name="Rectangle 128">
              <a:extLst>
                <a:ext uri="{FF2B5EF4-FFF2-40B4-BE49-F238E27FC236}">
                  <a16:creationId xmlns:a16="http://schemas.microsoft.com/office/drawing/2014/main" id="{00000000-0008-0000-0900-00008100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30" name="Group 129">
              <a:extLst>
                <a:ext uri="{FF2B5EF4-FFF2-40B4-BE49-F238E27FC236}">
                  <a16:creationId xmlns:a16="http://schemas.microsoft.com/office/drawing/2014/main" id="{00000000-0008-0000-0900-000082000000}"/>
                </a:ext>
              </a:extLst>
            </xdr:cNvPr>
            <xdr:cNvGrpSpPr/>
          </xdr:nvGrpSpPr>
          <xdr:grpSpPr>
            <a:xfrm>
              <a:off x="428625" y="301625"/>
              <a:ext cx="1861754" cy="188857"/>
              <a:chOff x="426983" y="303815"/>
              <a:chExt cx="1847521" cy="188857"/>
            </a:xfrm>
          </xdr:grpSpPr>
          <xdr:cxnSp macro="">
            <xdr:nvCxnSpPr>
              <xdr:cNvPr id="161" name="Straight Connector 160">
                <a:extLst>
                  <a:ext uri="{FF2B5EF4-FFF2-40B4-BE49-F238E27FC236}">
                    <a16:creationId xmlns:a16="http://schemas.microsoft.com/office/drawing/2014/main" id="{00000000-0008-0000-0900-0000A1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2" name="Straight Connector 161">
                <a:extLst>
                  <a:ext uri="{FF2B5EF4-FFF2-40B4-BE49-F238E27FC236}">
                    <a16:creationId xmlns:a16="http://schemas.microsoft.com/office/drawing/2014/main" id="{00000000-0008-0000-0900-0000A2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3" name="Straight Connector 162">
                <a:extLst>
                  <a:ext uri="{FF2B5EF4-FFF2-40B4-BE49-F238E27FC236}">
                    <a16:creationId xmlns:a16="http://schemas.microsoft.com/office/drawing/2014/main" id="{00000000-0008-0000-0900-0000A3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4" name="Straight Connector 163">
                <a:extLst>
                  <a:ext uri="{FF2B5EF4-FFF2-40B4-BE49-F238E27FC236}">
                    <a16:creationId xmlns:a16="http://schemas.microsoft.com/office/drawing/2014/main" id="{00000000-0008-0000-0900-0000A4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1" name="Group 130">
              <a:extLst>
                <a:ext uri="{FF2B5EF4-FFF2-40B4-BE49-F238E27FC236}">
                  <a16:creationId xmlns:a16="http://schemas.microsoft.com/office/drawing/2014/main" id="{00000000-0008-0000-0900-000083000000}"/>
                </a:ext>
              </a:extLst>
            </xdr:cNvPr>
            <xdr:cNvGrpSpPr/>
          </xdr:nvGrpSpPr>
          <xdr:grpSpPr>
            <a:xfrm>
              <a:off x="428625" y="547689"/>
              <a:ext cx="1861754" cy="190499"/>
              <a:chOff x="426983" y="303815"/>
              <a:chExt cx="1847521" cy="188857"/>
            </a:xfrm>
          </xdr:grpSpPr>
          <xdr:cxnSp macro="">
            <xdr:nvCxnSpPr>
              <xdr:cNvPr id="157" name="Straight Connector 156">
                <a:extLst>
                  <a:ext uri="{FF2B5EF4-FFF2-40B4-BE49-F238E27FC236}">
                    <a16:creationId xmlns:a16="http://schemas.microsoft.com/office/drawing/2014/main" id="{00000000-0008-0000-0900-00009D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8" name="Straight Connector 157">
                <a:extLst>
                  <a:ext uri="{FF2B5EF4-FFF2-40B4-BE49-F238E27FC236}">
                    <a16:creationId xmlns:a16="http://schemas.microsoft.com/office/drawing/2014/main" id="{00000000-0008-0000-0900-00009E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9" name="Straight Connector 158">
                <a:extLst>
                  <a:ext uri="{FF2B5EF4-FFF2-40B4-BE49-F238E27FC236}">
                    <a16:creationId xmlns:a16="http://schemas.microsoft.com/office/drawing/2014/main" id="{00000000-0008-0000-0900-00009F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0" name="Straight Connector 159">
                <a:extLst>
                  <a:ext uri="{FF2B5EF4-FFF2-40B4-BE49-F238E27FC236}">
                    <a16:creationId xmlns:a16="http://schemas.microsoft.com/office/drawing/2014/main" id="{00000000-0008-0000-0900-0000A0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2" name="Group 131">
              <a:extLst>
                <a:ext uri="{FF2B5EF4-FFF2-40B4-BE49-F238E27FC236}">
                  <a16:creationId xmlns:a16="http://schemas.microsoft.com/office/drawing/2014/main" id="{00000000-0008-0000-0900-000084000000}"/>
                </a:ext>
              </a:extLst>
            </xdr:cNvPr>
            <xdr:cNvGrpSpPr/>
          </xdr:nvGrpSpPr>
          <xdr:grpSpPr>
            <a:xfrm>
              <a:off x="428625" y="793751"/>
              <a:ext cx="1861754" cy="190499"/>
              <a:chOff x="426983" y="303815"/>
              <a:chExt cx="1847521" cy="188857"/>
            </a:xfrm>
          </xdr:grpSpPr>
          <xdr:cxnSp macro="">
            <xdr:nvCxnSpPr>
              <xdr:cNvPr id="153" name="Straight Connector 152">
                <a:extLst>
                  <a:ext uri="{FF2B5EF4-FFF2-40B4-BE49-F238E27FC236}">
                    <a16:creationId xmlns:a16="http://schemas.microsoft.com/office/drawing/2014/main" id="{00000000-0008-0000-0900-000099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4" name="Straight Connector 153">
                <a:extLst>
                  <a:ext uri="{FF2B5EF4-FFF2-40B4-BE49-F238E27FC236}">
                    <a16:creationId xmlns:a16="http://schemas.microsoft.com/office/drawing/2014/main" id="{00000000-0008-0000-0900-00009A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5" name="Straight Connector 154">
                <a:extLst>
                  <a:ext uri="{FF2B5EF4-FFF2-40B4-BE49-F238E27FC236}">
                    <a16:creationId xmlns:a16="http://schemas.microsoft.com/office/drawing/2014/main" id="{00000000-0008-0000-0900-00009B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6" name="Straight Connector 155">
                <a:extLst>
                  <a:ext uri="{FF2B5EF4-FFF2-40B4-BE49-F238E27FC236}">
                    <a16:creationId xmlns:a16="http://schemas.microsoft.com/office/drawing/2014/main" id="{00000000-0008-0000-0900-00009C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3" name="Group 132">
              <a:extLst>
                <a:ext uri="{FF2B5EF4-FFF2-40B4-BE49-F238E27FC236}">
                  <a16:creationId xmlns:a16="http://schemas.microsoft.com/office/drawing/2014/main" id="{00000000-0008-0000-0900-000085000000}"/>
                </a:ext>
              </a:extLst>
            </xdr:cNvPr>
            <xdr:cNvGrpSpPr/>
          </xdr:nvGrpSpPr>
          <xdr:grpSpPr>
            <a:xfrm>
              <a:off x="428625" y="1041728"/>
              <a:ext cx="1861754" cy="186942"/>
              <a:chOff x="426983" y="303815"/>
              <a:chExt cx="1847521" cy="188857"/>
            </a:xfrm>
          </xdr:grpSpPr>
          <xdr:cxnSp macro="">
            <xdr:nvCxnSpPr>
              <xdr:cNvPr id="149" name="Straight Connector 148">
                <a:extLst>
                  <a:ext uri="{FF2B5EF4-FFF2-40B4-BE49-F238E27FC236}">
                    <a16:creationId xmlns:a16="http://schemas.microsoft.com/office/drawing/2014/main" id="{00000000-0008-0000-0900-000095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0" name="Straight Connector 149">
                <a:extLst>
                  <a:ext uri="{FF2B5EF4-FFF2-40B4-BE49-F238E27FC236}">
                    <a16:creationId xmlns:a16="http://schemas.microsoft.com/office/drawing/2014/main" id="{00000000-0008-0000-0900-000096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1" name="Straight Connector 150">
                <a:extLst>
                  <a:ext uri="{FF2B5EF4-FFF2-40B4-BE49-F238E27FC236}">
                    <a16:creationId xmlns:a16="http://schemas.microsoft.com/office/drawing/2014/main" id="{00000000-0008-0000-0900-000097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2" name="Straight Connector 151">
                <a:extLst>
                  <a:ext uri="{FF2B5EF4-FFF2-40B4-BE49-F238E27FC236}">
                    <a16:creationId xmlns:a16="http://schemas.microsoft.com/office/drawing/2014/main" id="{00000000-0008-0000-0900-000098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4" name="Group 133">
              <a:extLst>
                <a:ext uri="{FF2B5EF4-FFF2-40B4-BE49-F238E27FC236}">
                  <a16:creationId xmlns:a16="http://schemas.microsoft.com/office/drawing/2014/main" id="{00000000-0008-0000-0900-000086000000}"/>
                </a:ext>
              </a:extLst>
            </xdr:cNvPr>
            <xdr:cNvGrpSpPr/>
          </xdr:nvGrpSpPr>
          <xdr:grpSpPr>
            <a:xfrm>
              <a:off x="428625" y="1285876"/>
              <a:ext cx="1861754" cy="188857"/>
              <a:chOff x="426983" y="303815"/>
              <a:chExt cx="1847521" cy="188857"/>
            </a:xfrm>
          </xdr:grpSpPr>
          <xdr:cxnSp macro="">
            <xdr:nvCxnSpPr>
              <xdr:cNvPr id="145" name="Straight Connector 144">
                <a:extLst>
                  <a:ext uri="{FF2B5EF4-FFF2-40B4-BE49-F238E27FC236}">
                    <a16:creationId xmlns:a16="http://schemas.microsoft.com/office/drawing/2014/main" id="{00000000-0008-0000-0900-000091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6" name="Straight Connector 145">
                <a:extLst>
                  <a:ext uri="{FF2B5EF4-FFF2-40B4-BE49-F238E27FC236}">
                    <a16:creationId xmlns:a16="http://schemas.microsoft.com/office/drawing/2014/main" id="{00000000-0008-0000-0900-000092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7" name="Straight Connector 146">
                <a:extLst>
                  <a:ext uri="{FF2B5EF4-FFF2-40B4-BE49-F238E27FC236}">
                    <a16:creationId xmlns:a16="http://schemas.microsoft.com/office/drawing/2014/main" id="{00000000-0008-0000-0900-000093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48" name="Straight Connector 147">
                <a:extLst>
                  <a:ext uri="{FF2B5EF4-FFF2-40B4-BE49-F238E27FC236}">
                    <a16:creationId xmlns:a16="http://schemas.microsoft.com/office/drawing/2014/main" id="{00000000-0008-0000-0900-000094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5" name="Group 134">
              <a:extLst>
                <a:ext uri="{FF2B5EF4-FFF2-40B4-BE49-F238E27FC236}">
                  <a16:creationId xmlns:a16="http://schemas.microsoft.com/office/drawing/2014/main" id="{00000000-0008-0000-0900-000087000000}"/>
                </a:ext>
              </a:extLst>
            </xdr:cNvPr>
            <xdr:cNvGrpSpPr/>
          </xdr:nvGrpSpPr>
          <xdr:grpSpPr>
            <a:xfrm>
              <a:off x="428625" y="1531938"/>
              <a:ext cx="1861754" cy="188857"/>
              <a:chOff x="426983" y="303815"/>
              <a:chExt cx="1847521" cy="188857"/>
            </a:xfrm>
          </xdr:grpSpPr>
          <xdr:cxnSp macro="">
            <xdr:nvCxnSpPr>
              <xdr:cNvPr id="141" name="Straight Connector 140">
                <a:extLst>
                  <a:ext uri="{FF2B5EF4-FFF2-40B4-BE49-F238E27FC236}">
                    <a16:creationId xmlns:a16="http://schemas.microsoft.com/office/drawing/2014/main" id="{00000000-0008-0000-0900-00008D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2" name="Straight Connector 141">
                <a:extLst>
                  <a:ext uri="{FF2B5EF4-FFF2-40B4-BE49-F238E27FC236}">
                    <a16:creationId xmlns:a16="http://schemas.microsoft.com/office/drawing/2014/main" id="{00000000-0008-0000-0900-00008E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3" name="Straight Connector 142">
                <a:extLst>
                  <a:ext uri="{FF2B5EF4-FFF2-40B4-BE49-F238E27FC236}">
                    <a16:creationId xmlns:a16="http://schemas.microsoft.com/office/drawing/2014/main" id="{00000000-0008-0000-0900-00008F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44" name="Straight Connector 143">
                <a:extLst>
                  <a:ext uri="{FF2B5EF4-FFF2-40B4-BE49-F238E27FC236}">
                    <a16:creationId xmlns:a16="http://schemas.microsoft.com/office/drawing/2014/main" id="{00000000-0008-0000-0900-000090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6" name="Group 135">
              <a:extLst>
                <a:ext uri="{FF2B5EF4-FFF2-40B4-BE49-F238E27FC236}">
                  <a16:creationId xmlns:a16="http://schemas.microsoft.com/office/drawing/2014/main" id="{00000000-0008-0000-0900-000088000000}"/>
                </a:ext>
              </a:extLst>
            </xdr:cNvPr>
            <xdr:cNvGrpSpPr/>
          </xdr:nvGrpSpPr>
          <xdr:grpSpPr>
            <a:xfrm>
              <a:off x="428625" y="1778001"/>
              <a:ext cx="1861754" cy="190499"/>
              <a:chOff x="426983" y="303815"/>
              <a:chExt cx="1847521" cy="188857"/>
            </a:xfrm>
          </xdr:grpSpPr>
          <xdr:cxnSp macro="">
            <xdr:nvCxnSpPr>
              <xdr:cNvPr id="137" name="Straight Connector 136">
                <a:extLst>
                  <a:ext uri="{FF2B5EF4-FFF2-40B4-BE49-F238E27FC236}">
                    <a16:creationId xmlns:a16="http://schemas.microsoft.com/office/drawing/2014/main" id="{00000000-0008-0000-0900-000089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8" name="Straight Connector 137">
                <a:extLst>
                  <a:ext uri="{FF2B5EF4-FFF2-40B4-BE49-F238E27FC236}">
                    <a16:creationId xmlns:a16="http://schemas.microsoft.com/office/drawing/2014/main" id="{00000000-0008-0000-0900-00008A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9" name="Straight Connector 138">
                <a:extLst>
                  <a:ext uri="{FF2B5EF4-FFF2-40B4-BE49-F238E27FC236}">
                    <a16:creationId xmlns:a16="http://schemas.microsoft.com/office/drawing/2014/main" id="{00000000-0008-0000-0900-00008B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40" name="Straight Connector 139">
                <a:extLst>
                  <a:ext uri="{FF2B5EF4-FFF2-40B4-BE49-F238E27FC236}">
                    <a16:creationId xmlns:a16="http://schemas.microsoft.com/office/drawing/2014/main" id="{00000000-0008-0000-0900-00008C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65" name="TextBox 164" title="Page Navigation">
            <a:hlinkClick xmlns:r="http://schemas.openxmlformats.org/officeDocument/2006/relationships" r:id="rId2"/>
            <a:extLst>
              <a:ext uri="{FF2B5EF4-FFF2-40B4-BE49-F238E27FC236}">
                <a16:creationId xmlns:a16="http://schemas.microsoft.com/office/drawing/2014/main" id="{00000000-0008-0000-0900-0000A5000000}"/>
              </a:ext>
            </a:extLst>
          </xdr:cNvPr>
          <xdr:cNvSpPr txBox="1"/>
        </xdr:nvSpPr>
        <xdr:spPr>
          <a:xfrm>
            <a:off x="13053484" y="57149"/>
            <a:ext cx="1905000" cy="190501"/>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Page Navigation</a:t>
            </a:r>
            <a:endParaRPr lang="en-US" sz="1100" b="0" i="1">
              <a:solidFill>
                <a:schemeClr val="bg1"/>
              </a:solidFill>
            </a:endParaRPr>
          </a:p>
        </xdr:txBody>
      </xdr:sp>
      <xdr:sp macro="" textlink="">
        <xdr:nvSpPr>
          <xdr:cNvPr id="166" name="TextBox 165" title="Page Navigation">
            <a:hlinkClick xmlns:r="http://schemas.openxmlformats.org/officeDocument/2006/relationships" r:id="rId9"/>
            <a:extLst>
              <a:ext uri="{FF2B5EF4-FFF2-40B4-BE49-F238E27FC236}">
                <a16:creationId xmlns:a16="http://schemas.microsoft.com/office/drawing/2014/main" id="{00000000-0008-0000-0900-0000A6000000}"/>
              </a:ext>
            </a:extLst>
          </xdr:cNvPr>
          <xdr:cNvSpPr txBox="1"/>
        </xdr:nvSpPr>
        <xdr:spPr>
          <a:xfrm>
            <a:off x="13053483" y="784677"/>
            <a:ext cx="1852083" cy="192518"/>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Occupancy Sensor</a:t>
            </a:r>
          </a:p>
        </xdr:txBody>
      </xdr:sp>
      <xdr:sp macro="" textlink="">
        <xdr:nvSpPr>
          <xdr:cNvPr id="167" name="TextBox 166" title="Page Navigation">
            <a:hlinkClick xmlns:r="http://schemas.openxmlformats.org/officeDocument/2006/relationships" r:id="rId10"/>
            <a:extLst>
              <a:ext uri="{FF2B5EF4-FFF2-40B4-BE49-F238E27FC236}">
                <a16:creationId xmlns:a16="http://schemas.microsoft.com/office/drawing/2014/main" id="{00000000-0008-0000-0900-0000A7000000}"/>
              </a:ext>
            </a:extLst>
          </xdr:cNvPr>
          <xdr:cNvSpPr txBox="1"/>
        </xdr:nvSpPr>
        <xdr:spPr>
          <a:xfrm>
            <a:off x="13053483" y="1267883"/>
            <a:ext cx="1852083"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Task Tuning</a:t>
            </a:r>
          </a:p>
        </xdr:txBody>
      </xdr:sp>
      <xdr:sp macro="" textlink="">
        <xdr:nvSpPr>
          <xdr:cNvPr id="168" name="TextBox 167" title="Page Navigation">
            <a:extLst>
              <a:ext uri="{FF2B5EF4-FFF2-40B4-BE49-F238E27FC236}">
                <a16:creationId xmlns:a16="http://schemas.microsoft.com/office/drawing/2014/main" id="{00000000-0008-0000-0900-0000A8000000}"/>
              </a:ext>
            </a:extLst>
          </xdr:cNvPr>
          <xdr:cNvSpPr txBox="1"/>
        </xdr:nvSpPr>
        <xdr:spPr>
          <a:xfrm>
            <a:off x="13053483" y="1752601"/>
            <a:ext cx="1852083"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endParaRPr lang="en-US" sz="1100" b="0" i="1">
              <a:solidFill>
                <a:schemeClr val="bg1"/>
              </a:solidFill>
              <a:sym typeface="Webdings" panose="05030102010509060703" pitchFamily="18" charset="2"/>
            </a:endParaRPr>
          </a:p>
        </xdr:txBody>
      </xdr:sp>
      <xdr:sp macro="" textlink="">
        <xdr:nvSpPr>
          <xdr:cNvPr id="169" name="TextBox 168" title="Page Navigation">
            <a:hlinkClick xmlns:r="http://schemas.openxmlformats.org/officeDocument/2006/relationships" r:id="rId11"/>
            <a:extLst>
              <a:ext uri="{FF2B5EF4-FFF2-40B4-BE49-F238E27FC236}">
                <a16:creationId xmlns:a16="http://schemas.microsoft.com/office/drawing/2014/main" id="{00000000-0008-0000-0900-0000A9000000}"/>
              </a:ext>
            </a:extLst>
          </xdr:cNvPr>
          <xdr:cNvSpPr txBox="1"/>
        </xdr:nvSpPr>
        <xdr:spPr>
          <a:xfrm>
            <a:off x="13053483" y="1510242"/>
            <a:ext cx="1852083"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Data Monitoring</a:t>
            </a:r>
          </a:p>
        </xdr:txBody>
      </xdr:sp>
      <xdr:sp macro="" textlink="">
        <xdr:nvSpPr>
          <xdr:cNvPr id="170" name="TextBox 169" title="Page Navigation">
            <a:hlinkClick xmlns:r="http://schemas.openxmlformats.org/officeDocument/2006/relationships" r:id="rId12"/>
            <a:extLst>
              <a:ext uri="{FF2B5EF4-FFF2-40B4-BE49-F238E27FC236}">
                <a16:creationId xmlns:a16="http://schemas.microsoft.com/office/drawing/2014/main" id="{00000000-0008-0000-0900-0000AA000000}"/>
              </a:ext>
            </a:extLst>
          </xdr:cNvPr>
          <xdr:cNvSpPr txBox="1"/>
        </xdr:nvSpPr>
        <xdr:spPr>
          <a:xfrm>
            <a:off x="13053483" y="296334"/>
            <a:ext cx="1852083"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baseline="0">
                <a:solidFill>
                  <a:schemeClr val="bg1"/>
                </a:solidFill>
                <a:sym typeface="Webdings" panose="05030102010509060703" pitchFamily="18" charset="2"/>
              </a:rPr>
              <a:t>Bonus</a:t>
            </a:r>
            <a:endParaRPr lang="en-US" sz="1100" b="0">
              <a:solidFill>
                <a:schemeClr val="bg1"/>
              </a:solidFill>
              <a:sym typeface="Webdings" panose="05030102010509060703" pitchFamily="18" charset="2"/>
            </a:endParaRPr>
          </a:p>
        </xdr:txBody>
      </xdr:sp>
      <xdr:sp macro="" textlink="">
        <xdr:nvSpPr>
          <xdr:cNvPr id="171" name="TextBox 170" title="Page Navigation">
            <a:hlinkClick xmlns:r="http://schemas.openxmlformats.org/officeDocument/2006/relationships" r:id="rId13"/>
            <a:extLst>
              <a:ext uri="{FF2B5EF4-FFF2-40B4-BE49-F238E27FC236}">
                <a16:creationId xmlns:a16="http://schemas.microsoft.com/office/drawing/2014/main" id="{00000000-0008-0000-0900-0000AB000000}"/>
              </a:ext>
            </a:extLst>
          </xdr:cNvPr>
          <xdr:cNvSpPr txBox="1"/>
        </xdr:nvSpPr>
        <xdr:spPr>
          <a:xfrm>
            <a:off x="13053483" y="543277"/>
            <a:ext cx="1852083"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Process</a:t>
            </a:r>
          </a:p>
        </xdr:txBody>
      </xdr:sp>
      <xdr:sp macro="" textlink="">
        <xdr:nvSpPr>
          <xdr:cNvPr id="172" name="TextBox 171" title="Page Navigation">
            <a:hlinkClick xmlns:r="http://schemas.openxmlformats.org/officeDocument/2006/relationships" r:id="rId14"/>
            <a:extLst>
              <a:ext uri="{FF2B5EF4-FFF2-40B4-BE49-F238E27FC236}">
                <a16:creationId xmlns:a16="http://schemas.microsoft.com/office/drawing/2014/main" id="{00000000-0008-0000-0900-0000AC000000}"/>
              </a:ext>
            </a:extLst>
          </xdr:cNvPr>
          <xdr:cNvSpPr txBox="1"/>
        </xdr:nvSpPr>
        <xdr:spPr>
          <a:xfrm>
            <a:off x="13053483" y="1024819"/>
            <a:ext cx="1852083"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Daylight Sensor</a:t>
            </a:r>
          </a:p>
        </xdr:txBody>
      </xdr:sp>
    </xdr:grpSp>
    <xdr:clientData fPrintsWithSheet="0"/>
  </xdr:twoCellAnchor>
  <xdr:twoCellAnchor>
    <xdr:from>
      <xdr:col>2</xdr:col>
      <xdr:colOff>0</xdr:colOff>
      <xdr:row>32</xdr:row>
      <xdr:rowOff>0</xdr:rowOff>
    </xdr:from>
    <xdr:to>
      <xdr:col>34</xdr:col>
      <xdr:colOff>0</xdr:colOff>
      <xdr:row>38</xdr:row>
      <xdr:rowOff>0</xdr:rowOff>
    </xdr:to>
    <xdr:sp macro="" textlink="">
      <xdr:nvSpPr>
        <xdr:cNvPr id="114" name="TextBox 113">
          <a:extLst>
            <a:ext uri="{FF2B5EF4-FFF2-40B4-BE49-F238E27FC236}">
              <a16:creationId xmlns:a16="http://schemas.microsoft.com/office/drawing/2014/main" id="{00000000-0008-0000-0900-000072000000}"/>
            </a:ext>
          </a:extLst>
        </xdr:cNvPr>
        <xdr:cNvSpPr txBox="1"/>
      </xdr:nvSpPr>
      <xdr:spPr>
        <a:xfrm>
          <a:off x="400050" y="4781550"/>
          <a:ext cx="11887200" cy="1143000"/>
        </a:xfrm>
        <a:prstGeom prst="rect">
          <a:avLst/>
        </a:prstGeom>
        <a:solidFill>
          <a:schemeClr val="bg1">
            <a:lumMod val="85000"/>
          </a:schemeClr>
        </a:solidFill>
        <a:ln w="1905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dk1"/>
              </a:solidFill>
              <a:effectLst/>
              <a:latin typeface="+mn-lt"/>
              <a:ea typeface="+mn-ea"/>
              <a:cs typeface="+mn-cs"/>
            </a:rPr>
            <a:t>Exterior NLC Bonus - </a:t>
          </a:r>
          <a:r>
            <a:rPr lang="en-US" sz="1100" b="0">
              <a:solidFill>
                <a:schemeClr val="dk1"/>
              </a:solidFill>
              <a:effectLst/>
              <a:latin typeface="+mn-lt"/>
              <a:ea typeface="+mn-ea"/>
              <a:cs typeface="+mn-cs"/>
            </a:rPr>
            <a:t> for each Exterior Networked Lighting Control (Exterior NLC) PSE will incentivize $75 per fixture.</a:t>
          </a:r>
        </a:p>
        <a:p>
          <a:endParaRPr lang="en-US" sz="1100" b="0">
            <a:solidFill>
              <a:schemeClr val="dk1"/>
            </a:solidFill>
            <a:effectLst/>
            <a:latin typeface="+mn-lt"/>
            <a:ea typeface="+mn-ea"/>
            <a:cs typeface="+mn-cs"/>
          </a:endParaRPr>
        </a:p>
        <a:p>
          <a:r>
            <a:rPr lang="en-US" sz="1100" b="0">
              <a:solidFill>
                <a:schemeClr val="dk1"/>
              </a:solidFill>
              <a:effectLst/>
              <a:latin typeface="+mn-lt"/>
              <a:ea typeface="+mn-ea"/>
              <a:cs typeface="+mn-cs"/>
            </a:rPr>
            <a:t>Exterior NLC controlled fixtures must meet the following.</a:t>
          </a:r>
        </a:p>
        <a:p>
          <a:r>
            <a:rPr lang="en-US" sz="1100" b="0">
              <a:solidFill>
                <a:schemeClr val="dk1"/>
              </a:solidFill>
              <a:effectLst/>
              <a:latin typeface="+mn-lt"/>
              <a:ea typeface="+mn-ea"/>
              <a:cs typeface="+mn-cs"/>
            </a:rPr>
            <a:t>Each exterior LED luminaire(s) must include the following automatic control abilities: (1) a photocell or astronomical time switch to turn the lights off during daylight hours, (2) a dimming driver with the high end trim set to maximum 90% power, (3) an occupancy sensing control to dim the power to at least 50% when no activity is detected for 10 minutes or more, or controlled through a time based control system to dim to at least 50% power for at least 6 hours per each night. ​ </a:t>
          </a:r>
          <a:endParaRPr lang="en-US" sz="1100" b="0">
            <a:solidFill>
              <a:srgbClr val="FF0000"/>
            </a:solidFill>
            <a:effectLst/>
            <a:latin typeface="+mn-lt"/>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2</xdr:col>
      <xdr:colOff>31749</xdr:colOff>
      <xdr:row>120</xdr:row>
      <xdr:rowOff>42333</xdr:rowOff>
    </xdr:from>
    <xdr:ext cx="518582" cy="516189"/>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7024" y="18273183"/>
          <a:ext cx="518582" cy="516189"/>
        </a:xfrm>
        <a:prstGeom prst="rect">
          <a:avLst/>
        </a:prstGeom>
      </xdr:spPr>
    </xdr:pic>
    <xdr:clientData/>
  </xdr:oneCellAnchor>
  <xdr:oneCellAnchor>
    <xdr:from>
      <xdr:col>12</xdr:col>
      <xdr:colOff>0</xdr:colOff>
      <xdr:row>1</xdr:row>
      <xdr:rowOff>0</xdr:rowOff>
    </xdr:from>
    <xdr:ext cx="1196164" cy="555416"/>
    <xdr:pic>
      <xdr:nvPicPr>
        <xdr:cNvPr id="20" name="Picture 19">
          <a:extLst>
            <a:ext uri="{FF2B5EF4-FFF2-40B4-BE49-F238E27FC236}">
              <a16:creationId xmlns:a16="http://schemas.microsoft.com/office/drawing/2014/main" id="{00000000-0008-0000-0B00-00001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36167" y="63500"/>
          <a:ext cx="1196164" cy="555416"/>
        </a:xfrm>
        <a:prstGeom prst="rect">
          <a:avLst/>
        </a:prstGeom>
      </xdr:spPr>
    </xdr:pic>
    <xdr:clientData/>
  </xdr:oneCellAnchor>
  <xdr:oneCellAnchor>
    <xdr:from>
      <xdr:col>2</xdr:col>
      <xdr:colOff>31749</xdr:colOff>
      <xdr:row>254</xdr:row>
      <xdr:rowOff>42333</xdr:rowOff>
    </xdr:from>
    <xdr:ext cx="518582" cy="516189"/>
    <xdr:pic>
      <xdr:nvPicPr>
        <xdr:cNvPr id="29" name="Picture 28">
          <a:extLst>
            <a:ext uri="{FF2B5EF4-FFF2-40B4-BE49-F238E27FC236}">
              <a16:creationId xmlns:a16="http://schemas.microsoft.com/office/drawing/2014/main" id="{00000000-0008-0000-0B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3892" y="17663583"/>
          <a:ext cx="518582" cy="516189"/>
        </a:xfrm>
        <a:prstGeom prst="rect">
          <a:avLst/>
        </a:prstGeom>
      </xdr:spPr>
    </xdr:pic>
    <xdr:clientData/>
  </xdr:oneCellAnchor>
  <xdr:twoCellAnchor>
    <xdr:from>
      <xdr:col>1</xdr:col>
      <xdr:colOff>0</xdr:colOff>
      <xdr:row>0</xdr:row>
      <xdr:rowOff>0</xdr:rowOff>
    </xdr:from>
    <xdr:to>
      <xdr:col>9</xdr:col>
      <xdr:colOff>448355</xdr:colOff>
      <xdr:row>16</xdr:row>
      <xdr:rowOff>122768</xdr:rowOff>
    </xdr:to>
    <xdr:grpSp>
      <xdr:nvGrpSpPr>
        <xdr:cNvPr id="77" name="Group 76">
          <a:extLst>
            <a:ext uri="{FF2B5EF4-FFF2-40B4-BE49-F238E27FC236}">
              <a16:creationId xmlns:a16="http://schemas.microsoft.com/office/drawing/2014/main" id="{00000000-0008-0000-0B00-00004D000000}"/>
            </a:ext>
          </a:extLst>
        </xdr:cNvPr>
        <xdr:cNvGrpSpPr/>
      </xdr:nvGrpSpPr>
      <xdr:grpSpPr>
        <a:xfrm>
          <a:off x="287547" y="0"/>
          <a:ext cx="2049035" cy="2039749"/>
          <a:chOff x="373063" y="0"/>
          <a:chExt cx="1976437" cy="2024063"/>
        </a:xfrm>
      </xdr:grpSpPr>
      <xdr:sp macro="" textlink="">
        <xdr:nvSpPr>
          <xdr:cNvPr id="86" name="Rectangle 85">
            <a:extLst>
              <a:ext uri="{FF2B5EF4-FFF2-40B4-BE49-F238E27FC236}">
                <a16:creationId xmlns:a16="http://schemas.microsoft.com/office/drawing/2014/main" id="{00000000-0008-0000-0B00-00005600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87" name="Group 86">
            <a:extLst>
              <a:ext uri="{FF2B5EF4-FFF2-40B4-BE49-F238E27FC236}">
                <a16:creationId xmlns:a16="http://schemas.microsoft.com/office/drawing/2014/main" id="{00000000-0008-0000-0B00-000057000000}"/>
              </a:ext>
            </a:extLst>
          </xdr:cNvPr>
          <xdr:cNvGrpSpPr/>
        </xdr:nvGrpSpPr>
        <xdr:grpSpPr>
          <a:xfrm>
            <a:off x="428625" y="301625"/>
            <a:ext cx="1861754" cy="188857"/>
            <a:chOff x="426983" y="303815"/>
            <a:chExt cx="1847521" cy="188857"/>
          </a:xfrm>
        </xdr:grpSpPr>
        <xdr:cxnSp macro="">
          <xdr:nvCxnSpPr>
            <xdr:cNvPr id="118" name="Straight Connector 117">
              <a:extLst>
                <a:ext uri="{FF2B5EF4-FFF2-40B4-BE49-F238E27FC236}">
                  <a16:creationId xmlns:a16="http://schemas.microsoft.com/office/drawing/2014/main" id="{00000000-0008-0000-0B00-000076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9" name="Straight Connector 118">
              <a:extLst>
                <a:ext uri="{FF2B5EF4-FFF2-40B4-BE49-F238E27FC236}">
                  <a16:creationId xmlns:a16="http://schemas.microsoft.com/office/drawing/2014/main" id="{00000000-0008-0000-0B00-000077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0" name="Straight Connector 119">
              <a:extLst>
                <a:ext uri="{FF2B5EF4-FFF2-40B4-BE49-F238E27FC236}">
                  <a16:creationId xmlns:a16="http://schemas.microsoft.com/office/drawing/2014/main" id="{00000000-0008-0000-0B00-000078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1" name="Straight Connector 120">
              <a:extLst>
                <a:ext uri="{FF2B5EF4-FFF2-40B4-BE49-F238E27FC236}">
                  <a16:creationId xmlns:a16="http://schemas.microsoft.com/office/drawing/2014/main" id="{00000000-0008-0000-0B00-000079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88" name="Group 87">
            <a:extLst>
              <a:ext uri="{FF2B5EF4-FFF2-40B4-BE49-F238E27FC236}">
                <a16:creationId xmlns:a16="http://schemas.microsoft.com/office/drawing/2014/main" id="{00000000-0008-0000-0B00-000058000000}"/>
              </a:ext>
            </a:extLst>
          </xdr:cNvPr>
          <xdr:cNvGrpSpPr/>
        </xdr:nvGrpSpPr>
        <xdr:grpSpPr>
          <a:xfrm>
            <a:off x="428625" y="547689"/>
            <a:ext cx="1861754" cy="190499"/>
            <a:chOff x="426983" y="303815"/>
            <a:chExt cx="1847521" cy="188857"/>
          </a:xfrm>
        </xdr:grpSpPr>
        <xdr:cxnSp macro="">
          <xdr:nvCxnSpPr>
            <xdr:cNvPr id="114" name="Straight Connector 113">
              <a:extLst>
                <a:ext uri="{FF2B5EF4-FFF2-40B4-BE49-F238E27FC236}">
                  <a16:creationId xmlns:a16="http://schemas.microsoft.com/office/drawing/2014/main" id="{00000000-0008-0000-0B00-000072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5" name="Straight Connector 114">
              <a:extLst>
                <a:ext uri="{FF2B5EF4-FFF2-40B4-BE49-F238E27FC236}">
                  <a16:creationId xmlns:a16="http://schemas.microsoft.com/office/drawing/2014/main" id="{00000000-0008-0000-0B00-000073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6" name="Straight Connector 115">
              <a:extLst>
                <a:ext uri="{FF2B5EF4-FFF2-40B4-BE49-F238E27FC236}">
                  <a16:creationId xmlns:a16="http://schemas.microsoft.com/office/drawing/2014/main" id="{00000000-0008-0000-0B00-000074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7" name="Straight Connector 116">
              <a:extLst>
                <a:ext uri="{FF2B5EF4-FFF2-40B4-BE49-F238E27FC236}">
                  <a16:creationId xmlns:a16="http://schemas.microsoft.com/office/drawing/2014/main" id="{00000000-0008-0000-0B00-000075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89" name="Group 88">
            <a:extLst>
              <a:ext uri="{FF2B5EF4-FFF2-40B4-BE49-F238E27FC236}">
                <a16:creationId xmlns:a16="http://schemas.microsoft.com/office/drawing/2014/main" id="{00000000-0008-0000-0B00-000059000000}"/>
              </a:ext>
            </a:extLst>
          </xdr:cNvPr>
          <xdr:cNvGrpSpPr/>
        </xdr:nvGrpSpPr>
        <xdr:grpSpPr>
          <a:xfrm>
            <a:off x="428625" y="793751"/>
            <a:ext cx="1861754" cy="190499"/>
            <a:chOff x="426983" y="303815"/>
            <a:chExt cx="1847521" cy="188857"/>
          </a:xfrm>
        </xdr:grpSpPr>
        <xdr:cxnSp macro="">
          <xdr:nvCxnSpPr>
            <xdr:cNvPr id="110" name="Straight Connector 109">
              <a:extLst>
                <a:ext uri="{FF2B5EF4-FFF2-40B4-BE49-F238E27FC236}">
                  <a16:creationId xmlns:a16="http://schemas.microsoft.com/office/drawing/2014/main" id="{00000000-0008-0000-0B00-00006E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1" name="Straight Connector 110">
              <a:extLst>
                <a:ext uri="{FF2B5EF4-FFF2-40B4-BE49-F238E27FC236}">
                  <a16:creationId xmlns:a16="http://schemas.microsoft.com/office/drawing/2014/main" id="{00000000-0008-0000-0B00-00006F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2" name="Straight Connector 111">
              <a:extLst>
                <a:ext uri="{FF2B5EF4-FFF2-40B4-BE49-F238E27FC236}">
                  <a16:creationId xmlns:a16="http://schemas.microsoft.com/office/drawing/2014/main" id="{00000000-0008-0000-0B00-000070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3" name="Straight Connector 112">
              <a:extLst>
                <a:ext uri="{FF2B5EF4-FFF2-40B4-BE49-F238E27FC236}">
                  <a16:creationId xmlns:a16="http://schemas.microsoft.com/office/drawing/2014/main" id="{00000000-0008-0000-0B00-000071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0" name="Group 89">
            <a:extLst>
              <a:ext uri="{FF2B5EF4-FFF2-40B4-BE49-F238E27FC236}">
                <a16:creationId xmlns:a16="http://schemas.microsoft.com/office/drawing/2014/main" id="{00000000-0008-0000-0B00-00005A000000}"/>
              </a:ext>
            </a:extLst>
          </xdr:cNvPr>
          <xdr:cNvGrpSpPr/>
        </xdr:nvGrpSpPr>
        <xdr:grpSpPr>
          <a:xfrm>
            <a:off x="428625" y="1041728"/>
            <a:ext cx="1861754" cy="186942"/>
            <a:chOff x="426983" y="303815"/>
            <a:chExt cx="1847521" cy="188857"/>
          </a:xfrm>
        </xdr:grpSpPr>
        <xdr:cxnSp macro="">
          <xdr:nvCxnSpPr>
            <xdr:cNvPr id="106" name="Straight Connector 105">
              <a:extLst>
                <a:ext uri="{FF2B5EF4-FFF2-40B4-BE49-F238E27FC236}">
                  <a16:creationId xmlns:a16="http://schemas.microsoft.com/office/drawing/2014/main" id="{00000000-0008-0000-0B00-00006A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7" name="Straight Connector 106">
              <a:extLst>
                <a:ext uri="{FF2B5EF4-FFF2-40B4-BE49-F238E27FC236}">
                  <a16:creationId xmlns:a16="http://schemas.microsoft.com/office/drawing/2014/main" id="{00000000-0008-0000-0B00-00006B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8" name="Straight Connector 107">
              <a:extLst>
                <a:ext uri="{FF2B5EF4-FFF2-40B4-BE49-F238E27FC236}">
                  <a16:creationId xmlns:a16="http://schemas.microsoft.com/office/drawing/2014/main" id="{00000000-0008-0000-0B00-00006C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9" name="Straight Connector 108">
              <a:extLst>
                <a:ext uri="{FF2B5EF4-FFF2-40B4-BE49-F238E27FC236}">
                  <a16:creationId xmlns:a16="http://schemas.microsoft.com/office/drawing/2014/main" id="{00000000-0008-0000-0B00-00006D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1" name="Group 90">
            <a:extLst>
              <a:ext uri="{FF2B5EF4-FFF2-40B4-BE49-F238E27FC236}">
                <a16:creationId xmlns:a16="http://schemas.microsoft.com/office/drawing/2014/main" id="{00000000-0008-0000-0B00-00005B000000}"/>
              </a:ext>
            </a:extLst>
          </xdr:cNvPr>
          <xdr:cNvGrpSpPr/>
        </xdr:nvGrpSpPr>
        <xdr:grpSpPr>
          <a:xfrm>
            <a:off x="428625" y="1285876"/>
            <a:ext cx="1861754" cy="188857"/>
            <a:chOff x="426983" y="303815"/>
            <a:chExt cx="1847521" cy="188857"/>
          </a:xfrm>
        </xdr:grpSpPr>
        <xdr:cxnSp macro="">
          <xdr:nvCxnSpPr>
            <xdr:cNvPr id="102" name="Straight Connector 101">
              <a:extLst>
                <a:ext uri="{FF2B5EF4-FFF2-40B4-BE49-F238E27FC236}">
                  <a16:creationId xmlns:a16="http://schemas.microsoft.com/office/drawing/2014/main" id="{00000000-0008-0000-0B00-000066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3" name="Straight Connector 102">
              <a:extLst>
                <a:ext uri="{FF2B5EF4-FFF2-40B4-BE49-F238E27FC236}">
                  <a16:creationId xmlns:a16="http://schemas.microsoft.com/office/drawing/2014/main" id="{00000000-0008-0000-0B00-000067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4" name="Straight Connector 103">
              <a:extLst>
                <a:ext uri="{FF2B5EF4-FFF2-40B4-BE49-F238E27FC236}">
                  <a16:creationId xmlns:a16="http://schemas.microsoft.com/office/drawing/2014/main" id="{00000000-0008-0000-0B00-000068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5" name="Straight Connector 104">
              <a:extLst>
                <a:ext uri="{FF2B5EF4-FFF2-40B4-BE49-F238E27FC236}">
                  <a16:creationId xmlns:a16="http://schemas.microsoft.com/office/drawing/2014/main" id="{00000000-0008-0000-0B00-000069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2" name="Group 91">
            <a:extLst>
              <a:ext uri="{FF2B5EF4-FFF2-40B4-BE49-F238E27FC236}">
                <a16:creationId xmlns:a16="http://schemas.microsoft.com/office/drawing/2014/main" id="{00000000-0008-0000-0B00-00005C000000}"/>
              </a:ext>
            </a:extLst>
          </xdr:cNvPr>
          <xdr:cNvGrpSpPr/>
        </xdr:nvGrpSpPr>
        <xdr:grpSpPr>
          <a:xfrm>
            <a:off x="428625" y="1531938"/>
            <a:ext cx="1861754" cy="188857"/>
            <a:chOff x="426983" y="303815"/>
            <a:chExt cx="1847521" cy="188857"/>
          </a:xfrm>
        </xdr:grpSpPr>
        <xdr:cxnSp macro="">
          <xdr:nvCxnSpPr>
            <xdr:cNvPr id="98" name="Straight Connector 97">
              <a:extLst>
                <a:ext uri="{FF2B5EF4-FFF2-40B4-BE49-F238E27FC236}">
                  <a16:creationId xmlns:a16="http://schemas.microsoft.com/office/drawing/2014/main" id="{00000000-0008-0000-0B00-000062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9" name="Straight Connector 98">
              <a:extLst>
                <a:ext uri="{FF2B5EF4-FFF2-40B4-BE49-F238E27FC236}">
                  <a16:creationId xmlns:a16="http://schemas.microsoft.com/office/drawing/2014/main" id="{00000000-0008-0000-0B00-000063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0" name="Straight Connector 99">
              <a:extLst>
                <a:ext uri="{FF2B5EF4-FFF2-40B4-BE49-F238E27FC236}">
                  <a16:creationId xmlns:a16="http://schemas.microsoft.com/office/drawing/2014/main" id="{00000000-0008-0000-0B00-000064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1" name="Straight Connector 100">
              <a:extLst>
                <a:ext uri="{FF2B5EF4-FFF2-40B4-BE49-F238E27FC236}">
                  <a16:creationId xmlns:a16="http://schemas.microsoft.com/office/drawing/2014/main" id="{00000000-0008-0000-0B00-000065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3" name="Group 92">
            <a:extLst>
              <a:ext uri="{FF2B5EF4-FFF2-40B4-BE49-F238E27FC236}">
                <a16:creationId xmlns:a16="http://schemas.microsoft.com/office/drawing/2014/main" id="{00000000-0008-0000-0B00-00005D000000}"/>
              </a:ext>
            </a:extLst>
          </xdr:cNvPr>
          <xdr:cNvGrpSpPr/>
        </xdr:nvGrpSpPr>
        <xdr:grpSpPr>
          <a:xfrm>
            <a:off x="428625" y="1778001"/>
            <a:ext cx="1861754" cy="190499"/>
            <a:chOff x="426983" y="303815"/>
            <a:chExt cx="1847521" cy="188857"/>
          </a:xfrm>
        </xdr:grpSpPr>
        <xdr:cxnSp macro="">
          <xdr:nvCxnSpPr>
            <xdr:cNvPr id="94" name="Straight Connector 93">
              <a:extLst>
                <a:ext uri="{FF2B5EF4-FFF2-40B4-BE49-F238E27FC236}">
                  <a16:creationId xmlns:a16="http://schemas.microsoft.com/office/drawing/2014/main" id="{00000000-0008-0000-0B00-00005E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5" name="Straight Connector 94">
              <a:extLst>
                <a:ext uri="{FF2B5EF4-FFF2-40B4-BE49-F238E27FC236}">
                  <a16:creationId xmlns:a16="http://schemas.microsoft.com/office/drawing/2014/main" id="{00000000-0008-0000-0B00-00005F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6" name="Straight Connector 95">
              <a:extLst>
                <a:ext uri="{FF2B5EF4-FFF2-40B4-BE49-F238E27FC236}">
                  <a16:creationId xmlns:a16="http://schemas.microsoft.com/office/drawing/2014/main" id="{00000000-0008-0000-0B00-000060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97" name="Straight Connector 96">
              <a:extLst>
                <a:ext uri="{FF2B5EF4-FFF2-40B4-BE49-F238E27FC236}">
                  <a16:creationId xmlns:a16="http://schemas.microsoft.com/office/drawing/2014/main" id="{00000000-0008-0000-0B00-000061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2</xdr:col>
      <xdr:colOff>56017</xdr:colOff>
      <xdr:row>1</xdr:row>
      <xdr:rowOff>2885</xdr:rowOff>
    </xdr:from>
    <xdr:to>
      <xdr:col>9</xdr:col>
      <xdr:colOff>389391</xdr:colOff>
      <xdr:row>2</xdr:row>
      <xdr:rowOff>4501</xdr:rowOff>
    </xdr:to>
    <xdr:sp macro="" textlink="">
      <xdr:nvSpPr>
        <xdr:cNvPr id="78" name="TextBox 77" title="Page Navigation">
          <a:hlinkClick xmlns:r="http://schemas.openxmlformats.org/officeDocument/2006/relationships" r:id="rId3" tooltip="Go To top of page"/>
          <a:extLst>
            <a:ext uri="{FF2B5EF4-FFF2-40B4-BE49-F238E27FC236}">
              <a16:creationId xmlns:a16="http://schemas.microsoft.com/office/drawing/2014/main" id="{00000000-0008-0000-0B00-00004E000000}"/>
            </a:ext>
          </a:extLst>
        </xdr:cNvPr>
        <xdr:cNvSpPr txBox="1"/>
      </xdr:nvSpPr>
      <xdr:spPr>
        <a:xfrm>
          <a:off x="332242" y="60035"/>
          <a:ext cx="1857374" cy="192116"/>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xdr:from>
      <xdr:col>2</xdr:col>
      <xdr:colOff>56017</xdr:colOff>
      <xdr:row>7</xdr:row>
      <xdr:rowOff>14540</xdr:rowOff>
    </xdr:from>
    <xdr:to>
      <xdr:col>9</xdr:col>
      <xdr:colOff>389392</xdr:colOff>
      <xdr:row>8</xdr:row>
      <xdr:rowOff>27526</xdr:rowOff>
    </xdr:to>
    <xdr:sp macro="" textlink="">
      <xdr:nvSpPr>
        <xdr:cNvPr id="79" name="TextBox 78" title="Page Navigation">
          <a:hlinkClick xmlns:r="http://schemas.openxmlformats.org/officeDocument/2006/relationships" r:id="rId4" tooltip="Go To the Fixture page to enter existing and new fixtures"/>
          <a:extLst>
            <a:ext uri="{FF2B5EF4-FFF2-40B4-BE49-F238E27FC236}">
              <a16:creationId xmlns:a16="http://schemas.microsoft.com/office/drawing/2014/main" id="{00000000-0008-0000-0B00-00004F000000}"/>
            </a:ext>
          </a:extLst>
        </xdr:cNvPr>
        <xdr:cNvSpPr txBox="1"/>
      </xdr:nvSpPr>
      <xdr:spPr>
        <a:xfrm>
          <a:off x="332242" y="814640"/>
          <a:ext cx="1857375" cy="193961"/>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Existing and New Fixtures</a:t>
          </a:r>
        </a:p>
      </xdr:txBody>
    </xdr:sp>
    <xdr:clientData fPrintsWithSheet="0"/>
  </xdr:twoCellAnchor>
  <xdr:twoCellAnchor>
    <xdr:from>
      <xdr:col>2</xdr:col>
      <xdr:colOff>57830</xdr:colOff>
      <xdr:row>11</xdr:row>
      <xdr:rowOff>42591</xdr:rowOff>
    </xdr:from>
    <xdr:to>
      <xdr:col>9</xdr:col>
      <xdr:colOff>389391</xdr:colOff>
      <xdr:row>12</xdr:row>
      <xdr:rowOff>46053</xdr:rowOff>
    </xdr:to>
    <xdr:sp macro="" textlink="">
      <xdr:nvSpPr>
        <xdr:cNvPr id="80" name="TextBox 79" title="Page Navigation">
          <a:hlinkClick xmlns:r="http://schemas.openxmlformats.org/officeDocument/2006/relationships" r:id="rId5" tooltip="Go To the Signature page to select the Payee"/>
          <a:extLst>
            <a:ext uri="{FF2B5EF4-FFF2-40B4-BE49-F238E27FC236}">
              <a16:creationId xmlns:a16="http://schemas.microsoft.com/office/drawing/2014/main" id="{00000000-0008-0000-0B00-000050000000}"/>
            </a:ext>
          </a:extLst>
        </xdr:cNvPr>
        <xdr:cNvSpPr txBox="1"/>
      </xdr:nvSpPr>
      <xdr:spPr>
        <a:xfrm>
          <a:off x="334055" y="1318941"/>
          <a:ext cx="1855561" cy="19396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Customer Authorization</a:t>
          </a:r>
        </a:p>
      </xdr:txBody>
    </xdr:sp>
    <xdr:clientData fPrintsWithSheet="0"/>
  </xdr:twoCellAnchor>
  <xdr:twoCellAnchor>
    <xdr:from>
      <xdr:col>2</xdr:col>
      <xdr:colOff>56017</xdr:colOff>
      <xdr:row>15</xdr:row>
      <xdr:rowOff>61118</xdr:rowOff>
    </xdr:from>
    <xdr:to>
      <xdr:col>9</xdr:col>
      <xdr:colOff>389392</xdr:colOff>
      <xdr:row>16</xdr:row>
      <xdr:rowOff>64579</xdr:rowOff>
    </xdr:to>
    <xdr:sp macro="" textlink="">
      <xdr:nvSpPr>
        <xdr:cNvPr id="81" name="TextBox 80" title="Page Navigation">
          <a:hlinkClick xmlns:r="http://schemas.openxmlformats.org/officeDocument/2006/relationships" r:id="rId3" tooltip="PSE Use page"/>
          <a:extLst>
            <a:ext uri="{FF2B5EF4-FFF2-40B4-BE49-F238E27FC236}">
              <a16:creationId xmlns:a16="http://schemas.microsoft.com/office/drawing/2014/main" id="{00000000-0008-0000-0B00-000051000000}"/>
            </a:ext>
          </a:extLst>
        </xdr:cNvPr>
        <xdr:cNvSpPr txBox="1"/>
      </xdr:nvSpPr>
      <xdr:spPr>
        <a:xfrm>
          <a:off x="332242" y="1823243"/>
          <a:ext cx="1857375" cy="193961"/>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PSE</a:t>
          </a:r>
          <a:r>
            <a:rPr lang="en-US" sz="1100" b="0" baseline="0">
              <a:solidFill>
                <a:sysClr val="windowText" lastClr="000000"/>
              </a:solidFill>
              <a:sym typeface="Webdings" panose="05030102010509060703" pitchFamily="18" charset="2"/>
            </a:rPr>
            <a:t> Grant QC Page</a:t>
          </a:r>
          <a:endParaRPr lang="en-US" sz="1100" b="0">
            <a:solidFill>
              <a:sysClr val="windowText" lastClr="000000"/>
            </a:solidFill>
            <a:sym typeface="Webdings" panose="05030102010509060703" pitchFamily="18" charset="2"/>
          </a:endParaRPr>
        </a:p>
      </xdr:txBody>
    </xdr:sp>
    <xdr:clientData fPrintsWithSheet="0"/>
  </xdr:twoCellAnchor>
  <xdr:twoCellAnchor>
    <xdr:from>
      <xdr:col>2</xdr:col>
      <xdr:colOff>57830</xdr:colOff>
      <xdr:row>13</xdr:row>
      <xdr:rowOff>47092</xdr:rowOff>
    </xdr:from>
    <xdr:to>
      <xdr:col>9</xdr:col>
      <xdr:colOff>389391</xdr:colOff>
      <xdr:row>15</xdr:row>
      <xdr:rowOff>2929</xdr:rowOff>
    </xdr:to>
    <xdr:sp macro="" textlink="">
      <xdr:nvSpPr>
        <xdr:cNvPr id="82" name="TextBox 81" title="Page Navigation">
          <a:hlinkClick xmlns:r="http://schemas.openxmlformats.org/officeDocument/2006/relationships" r:id="rId6" tooltip="Go To Advanced Controls page"/>
          <a:extLst>
            <a:ext uri="{FF2B5EF4-FFF2-40B4-BE49-F238E27FC236}">
              <a16:creationId xmlns:a16="http://schemas.microsoft.com/office/drawing/2014/main" id="{00000000-0008-0000-0B00-000052000000}"/>
            </a:ext>
          </a:extLst>
        </xdr:cNvPr>
        <xdr:cNvSpPr txBox="1"/>
      </xdr:nvSpPr>
      <xdr:spPr>
        <a:xfrm>
          <a:off x="334055" y="1571092"/>
          <a:ext cx="1855561" cy="19396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LLLC &amp; Exterior NLC</a:t>
          </a:r>
        </a:p>
      </xdr:txBody>
    </xdr:sp>
    <xdr:clientData fPrintsWithSheet="0"/>
  </xdr:twoCellAnchor>
  <xdr:twoCellAnchor>
    <xdr:from>
      <xdr:col>2</xdr:col>
      <xdr:colOff>56017</xdr:colOff>
      <xdr:row>3</xdr:row>
      <xdr:rowOff>5540</xdr:rowOff>
    </xdr:from>
    <xdr:to>
      <xdr:col>9</xdr:col>
      <xdr:colOff>389392</xdr:colOff>
      <xdr:row>4</xdr:row>
      <xdr:rowOff>9002</xdr:rowOff>
    </xdr:to>
    <xdr:sp macro="" textlink="">
      <xdr:nvSpPr>
        <xdr:cNvPr id="83" name="TextBox 82" title="Page Navigation">
          <a:hlinkClick xmlns:r="http://schemas.openxmlformats.org/officeDocument/2006/relationships" r:id="rId7" tooltip="Go To the Terms page"/>
          <a:extLst>
            <a:ext uri="{FF2B5EF4-FFF2-40B4-BE49-F238E27FC236}">
              <a16:creationId xmlns:a16="http://schemas.microsoft.com/office/drawing/2014/main" id="{00000000-0008-0000-0B00-000053000000}"/>
            </a:ext>
          </a:extLst>
        </xdr:cNvPr>
        <xdr:cNvSpPr txBox="1"/>
      </xdr:nvSpPr>
      <xdr:spPr>
        <a:xfrm>
          <a:off x="332242" y="310340"/>
          <a:ext cx="1857375" cy="19396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Terms and Conditions</a:t>
          </a:r>
        </a:p>
      </xdr:txBody>
    </xdr:sp>
    <xdr:clientData fPrintsWithSheet="0"/>
  </xdr:twoCellAnchor>
  <xdr:twoCellAnchor>
    <xdr:from>
      <xdr:col>2</xdr:col>
      <xdr:colOff>56017</xdr:colOff>
      <xdr:row>5</xdr:row>
      <xdr:rowOff>10040</xdr:rowOff>
    </xdr:from>
    <xdr:to>
      <xdr:col>9</xdr:col>
      <xdr:colOff>389392</xdr:colOff>
      <xdr:row>6</xdr:row>
      <xdr:rowOff>13502</xdr:rowOff>
    </xdr:to>
    <xdr:sp macro="" textlink="">
      <xdr:nvSpPr>
        <xdr:cNvPr id="84" name="TextBox 83" title="Page Navigation">
          <a:hlinkClick xmlns:r="http://schemas.openxmlformats.org/officeDocument/2006/relationships" r:id="rId8" tooltip="Go To the Project information page"/>
          <a:extLst>
            <a:ext uri="{FF2B5EF4-FFF2-40B4-BE49-F238E27FC236}">
              <a16:creationId xmlns:a16="http://schemas.microsoft.com/office/drawing/2014/main" id="{00000000-0008-0000-0B00-000054000000}"/>
            </a:ext>
          </a:extLst>
        </xdr:cNvPr>
        <xdr:cNvSpPr txBox="1"/>
      </xdr:nvSpPr>
      <xdr:spPr>
        <a:xfrm>
          <a:off x="332242" y="562490"/>
          <a:ext cx="1857375" cy="19396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 Owner Info</a:t>
          </a:r>
        </a:p>
      </xdr:txBody>
    </xdr:sp>
    <xdr:clientData fPrintsWithSheet="0"/>
  </xdr:twoCellAnchor>
  <xdr:twoCellAnchor>
    <xdr:from>
      <xdr:col>2</xdr:col>
      <xdr:colOff>57830</xdr:colOff>
      <xdr:row>9</xdr:row>
      <xdr:rowOff>30413</xdr:rowOff>
    </xdr:from>
    <xdr:to>
      <xdr:col>9</xdr:col>
      <xdr:colOff>389391</xdr:colOff>
      <xdr:row>10</xdr:row>
      <xdr:rowOff>41552</xdr:rowOff>
    </xdr:to>
    <xdr:sp macro="" textlink="">
      <xdr:nvSpPr>
        <xdr:cNvPr id="85" name="TextBox 84" title="Page Navigation">
          <a:hlinkClick xmlns:r="http://schemas.openxmlformats.org/officeDocument/2006/relationships" r:id="rId9" tooltip="Go To the Installations page to enter the installed/new lighting"/>
          <a:extLst>
            <a:ext uri="{FF2B5EF4-FFF2-40B4-BE49-F238E27FC236}">
              <a16:creationId xmlns:a16="http://schemas.microsoft.com/office/drawing/2014/main" id="{00000000-0008-0000-0B00-000055000000}"/>
            </a:ext>
          </a:extLst>
        </xdr:cNvPr>
        <xdr:cNvSpPr txBox="1"/>
      </xdr:nvSpPr>
      <xdr:spPr>
        <a:xfrm>
          <a:off x="334055" y="1068638"/>
          <a:ext cx="1855561" cy="19211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Installations</a:t>
          </a:r>
        </a:p>
      </xdr:txBody>
    </xdr:sp>
    <xdr:clientData fPrintsWithSheet="0"/>
  </xdr:twoCellAnchor>
  <xdr:twoCellAnchor>
    <xdr:from>
      <xdr:col>9</xdr:col>
      <xdr:colOff>1661584</xdr:colOff>
      <xdr:row>15</xdr:row>
      <xdr:rowOff>0</xdr:rowOff>
    </xdr:from>
    <xdr:to>
      <xdr:col>20</xdr:col>
      <xdr:colOff>479087</xdr:colOff>
      <xdr:row>16</xdr:row>
      <xdr:rowOff>62183</xdr:rowOff>
    </xdr:to>
    <xdr:grpSp>
      <xdr:nvGrpSpPr>
        <xdr:cNvPr id="122" name="Group 121">
          <a:extLst>
            <a:ext uri="{FF2B5EF4-FFF2-40B4-BE49-F238E27FC236}">
              <a16:creationId xmlns:a16="http://schemas.microsoft.com/office/drawing/2014/main" id="{00000000-0008-0000-0B00-00007A000000}"/>
            </a:ext>
          </a:extLst>
        </xdr:cNvPr>
        <xdr:cNvGrpSpPr/>
      </xdr:nvGrpSpPr>
      <xdr:grpSpPr>
        <a:xfrm>
          <a:off x="3549811" y="1734868"/>
          <a:ext cx="5239389" cy="244296"/>
          <a:chOff x="3467100" y="1733550"/>
          <a:chExt cx="4953000" cy="247651"/>
        </a:xfrm>
      </xdr:grpSpPr>
      <xdr:sp macro="" textlink="">
        <xdr:nvSpPr>
          <xdr:cNvPr id="123" name="Rectangle 122">
            <a:extLst>
              <a:ext uri="{FF2B5EF4-FFF2-40B4-BE49-F238E27FC236}">
                <a16:creationId xmlns:a16="http://schemas.microsoft.com/office/drawing/2014/main" id="{00000000-0008-0000-0B00-00007B000000}"/>
              </a:ext>
            </a:extLst>
          </xdr:cNvPr>
          <xdr:cNvSpPr/>
        </xdr:nvSpPr>
        <xdr:spPr>
          <a:xfrm>
            <a:off x="3467100" y="1733551"/>
            <a:ext cx="4953000" cy="247650"/>
          </a:xfrm>
          <a:prstGeom prst="rect">
            <a:avLst/>
          </a:prstGeom>
          <a:solidFill>
            <a:srgbClr val="156570">
              <a:alpha val="75000"/>
            </a:srgb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124" name="Rectangle 123">
            <a:extLst>
              <a:ext uri="{FF2B5EF4-FFF2-40B4-BE49-F238E27FC236}">
                <a16:creationId xmlns:a16="http://schemas.microsoft.com/office/drawing/2014/main" id="{00000000-0008-0000-0B00-00007C000000}"/>
              </a:ext>
            </a:extLst>
          </xdr:cNvPr>
          <xdr:cNvSpPr/>
        </xdr:nvSpPr>
        <xdr:spPr>
          <a:xfrm>
            <a:off x="3467100" y="1733550"/>
            <a:ext cx="4952999" cy="247650"/>
          </a:xfrm>
          <a:prstGeom prst="rect">
            <a:avLst/>
          </a:prstGeom>
          <a:solidFill>
            <a:schemeClr val="bg1">
              <a:alpha val="75000"/>
            </a:schemeClr>
          </a:solidFill>
          <a:ln>
            <a:solidFill>
              <a:srgbClr val="15657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effectLst/>
                <a:latin typeface="+mn-lt"/>
                <a:ea typeface="+mn-ea"/>
                <a:cs typeface="+mn-cs"/>
              </a:rPr>
              <a:t>Grant QC Review</a:t>
            </a:r>
            <a:endParaRPr lang="en-US" sz="1400" b="1">
              <a:solidFill>
                <a:sysClr val="windowText" lastClr="000000"/>
              </a:solidFill>
            </a:endParaRPr>
          </a:p>
        </xdr:txBody>
      </xdr:sp>
    </xdr:grpSp>
    <xdr:clientData/>
  </xdr:twoCellAnchor>
  <xdr:twoCellAnchor>
    <xdr:from>
      <xdr:col>21</xdr:col>
      <xdr:colOff>105834</xdr:colOff>
      <xdr:row>0</xdr:row>
      <xdr:rowOff>0</xdr:rowOff>
    </xdr:from>
    <xdr:to>
      <xdr:col>22</xdr:col>
      <xdr:colOff>25022</xdr:colOff>
      <xdr:row>16</xdr:row>
      <xdr:rowOff>122768</xdr:rowOff>
    </xdr:to>
    <xdr:grpSp>
      <xdr:nvGrpSpPr>
        <xdr:cNvPr id="125" name="Group 124">
          <a:extLst>
            <a:ext uri="{FF2B5EF4-FFF2-40B4-BE49-F238E27FC236}">
              <a16:creationId xmlns:a16="http://schemas.microsoft.com/office/drawing/2014/main" id="{00000000-0008-0000-0B00-00007D000000}"/>
            </a:ext>
          </a:extLst>
        </xdr:cNvPr>
        <xdr:cNvGrpSpPr/>
      </xdr:nvGrpSpPr>
      <xdr:grpSpPr>
        <a:xfrm>
          <a:off x="10342513" y="0"/>
          <a:ext cx="2037452" cy="2039749"/>
          <a:chOff x="382134" y="0"/>
          <a:chExt cx="1972355" cy="2038350"/>
        </a:xfrm>
      </xdr:grpSpPr>
      <xdr:grpSp>
        <xdr:nvGrpSpPr>
          <xdr:cNvPr id="126" name="Group 125">
            <a:extLst>
              <a:ext uri="{FF2B5EF4-FFF2-40B4-BE49-F238E27FC236}">
                <a16:creationId xmlns:a16="http://schemas.microsoft.com/office/drawing/2014/main" id="{00000000-0008-0000-0B00-00007E000000}"/>
              </a:ext>
            </a:extLst>
          </xdr:cNvPr>
          <xdr:cNvGrpSpPr/>
        </xdr:nvGrpSpPr>
        <xdr:grpSpPr>
          <a:xfrm>
            <a:off x="382134" y="0"/>
            <a:ext cx="1972355" cy="2038350"/>
            <a:chOff x="373063" y="0"/>
            <a:chExt cx="1976437" cy="2024063"/>
          </a:xfrm>
        </xdr:grpSpPr>
        <xdr:sp macro="" textlink="">
          <xdr:nvSpPr>
            <xdr:cNvPr id="135" name="Rectangle 134">
              <a:extLst>
                <a:ext uri="{FF2B5EF4-FFF2-40B4-BE49-F238E27FC236}">
                  <a16:creationId xmlns:a16="http://schemas.microsoft.com/office/drawing/2014/main" id="{00000000-0008-0000-0B00-00008700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36" name="Group 135">
              <a:extLst>
                <a:ext uri="{FF2B5EF4-FFF2-40B4-BE49-F238E27FC236}">
                  <a16:creationId xmlns:a16="http://schemas.microsoft.com/office/drawing/2014/main" id="{00000000-0008-0000-0B00-000088000000}"/>
                </a:ext>
              </a:extLst>
            </xdr:cNvPr>
            <xdr:cNvGrpSpPr/>
          </xdr:nvGrpSpPr>
          <xdr:grpSpPr>
            <a:xfrm>
              <a:off x="428625" y="301625"/>
              <a:ext cx="1861754" cy="188857"/>
              <a:chOff x="426983" y="303815"/>
              <a:chExt cx="1847521" cy="188857"/>
            </a:xfrm>
          </xdr:grpSpPr>
          <xdr:cxnSp macro="">
            <xdr:nvCxnSpPr>
              <xdr:cNvPr id="167" name="Straight Connector 166">
                <a:extLst>
                  <a:ext uri="{FF2B5EF4-FFF2-40B4-BE49-F238E27FC236}">
                    <a16:creationId xmlns:a16="http://schemas.microsoft.com/office/drawing/2014/main" id="{00000000-0008-0000-0B00-0000A7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8" name="Straight Connector 167">
                <a:extLst>
                  <a:ext uri="{FF2B5EF4-FFF2-40B4-BE49-F238E27FC236}">
                    <a16:creationId xmlns:a16="http://schemas.microsoft.com/office/drawing/2014/main" id="{00000000-0008-0000-0B00-0000A8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9" name="Straight Connector 168">
                <a:extLst>
                  <a:ext uri="{FF2B5EF4-FFF2-40B4-BE49-F238E27FC236}">
                    <a16:creationId xmlns:a16="http://schemas.microsoft.com/office/drawing/2014/main" id="{00000000-0008-0000-0B00-0000A9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70" name="Straight Connector 169">
                <a:extLst>
                  <a:ext uri="{FF2B5EF4-FFF2-40B4-BE49-F238E27FC236}">
                    <a16:creationId xmlns:a16="http://schemas.microsoft.com/office/drawing/2014/main" id="{00000000-0008-0000-0B00-0000AA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7" name="Group 136">
              <a:extLst>
                <a:ext uri="{FF2B5EF4-FFF2-40B4-BE49-F238E27FC236}">
                  <a16:creationId xmlns:a16="http://schemas.microsoft.com/office/drawing/2014/main" id="{00000000-0008-0000-0B00-000089000000}"/>
                </a:ext>
              </a:extLst>
            </xdr:cNvPr>
            <xdr:cNvGrpSpPr/>
          </xdr:nvGrpSpPr>
          <xdr:grpSpPr>
            <a:xfrm>
              <a:off x="428625" y="547689"/>
              <a:ext cx="1861754" cy="190499"/>
              <a:chOff x="426983" y="303815"/>
              <a:chExt cx="1847521" cy="188857"/>
            </a:xfrm>
          </xdr:grpSpPr>
          <xdr:cxnSp macro="">
            <xdr:nvCxnSpPr>
              <xdr:cNvPr id="163" name="Straight Connector 162">
                <a:extLst>
                  <a:ext uri="{FF2B5EF4-FFF2-40B4-BE49-F238E27FC236}">
                    <a16:creationId xmlns:a16="http://schemas.microsoft.com/office/drawing/2014/main" id="{00000000-0008-0000-0B00-0000A3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4" name="Straight Connector 163">
                <a:extLst>
                  <a:ext uri="{FF2B5EF4-FFF2-40B4-BE49-F238E27FC236}">
                    <a16:creationId xmlns:a16="http://schemas.microsoft.com/office/drawing/2014/main" id="{00000000-0008-0000-0B00-0000A4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5" name="Straight Connector 164">
                <a:extLst>
                  <a:ext uri="{FF2B5EF4-FFF2-40B4-BE49-F238E27FC236}">
                    <a16:creationId xmlns:a16="http://schemas.microsoft.com/office/drawing/2014/main" id="{00000000-0008-0000-0B00-0000A5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6" name="Straight Connector 165">
                <a:extLst>
                  <a:ext uri="{FF2B5EF4-FFF2-40B4-BE49-F238E27FC236}">
                    <a16:creationId xmlns:a16="http://schemas.microsoft.com/office/drawing/2014/main" id="{00000000-0008-0000-0B00-0000A6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8" name="Group 137">
              <a:extLst>
                <a:ext uri="{FF2B5EF4-FFF2-40B4-BE49-F238E27FC236}">
                  <a16:creationId xmlns:a16="http://schemas.microsoft.com/office/drawing/2014/main" id="{00000000-0008-0000-0B00-00008A000000}"/>
                </a:ext>
              </a:extLst>
            </xdr:cNvPr>
            <xdr:cNvGrpSpPr/>
          </xdr:nvGrpSpPr>
          <xdr:grpSpPr>
            <a:xfrm>
              <a:off x="428625" y="793751"/>
              <a:ext cx="1861754" cy="190499"/>
              <a:chOff x="426983" y="303815"/>
              <a:chExt cx="1847521" cy="188857"/>
            </a:xfrm>
          </xdr:grpSpPr>
          <xdr:cxnSp macro="">
            <xdr:nvCxnSpPr>
              <xdr:cNvPr id="159" name="Straight Connector 158">
                <a:extLst>
                  <a:ext uri="{FF2B5EF4-FFF2-40B4-BE49-F238E27FC236}">
                    <a16:creationId xmlns:a16="http://schemas.microsoft.com/office/drawing/2014/main" id="{00000000-0008-0000-0B00-00009F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0" name="Straight Connector 159">
                <a:extLst>
                  <a:ext uri="{FF2B5EF4-FFF2-40B4-BE49-F238E27FC236}">
                    <a16:creationId xmlns:a16="http://schemas.microsoft.com/office/drawing/2014/main" id="{00000000-0008-0000-0B00-0000A0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1" name="Straight Connector 160">
                <a:extLst>
                  <a:ext uri="{FF2B5EF4-FFF2-40B4-BE49-F238E27FC236}">
                    <a16:creationId xmlns:a16="http://schemas.microsoft.com/office/drawing/2014/main" id="{00000000-0008-0000-0B00-0000A1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2" name="Straight Connector 161">
                <a:extLst>
                  <a:ext uri="{FF2B5EF4-FFF2-40B4-BE49-F238E27FC236}">
                    <a16:creationId xmlns:a16="http://schemas.microsoft.com/office/drawing/2014/main" id="{00000000-0008-0000-0B00-0000A2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9" name="Group 138">
              <a:extLst>
                <a:ext uri="{FF2B5EF4-FFF2-40B4-BE49-F238E27FC236}">
                  <a16:creationId xmlns:a16="http://schemas.microsoft.com/office/drawing/2014/main" id="{00000000-0008-0000-0B00-00008B000000}"/>
                </a:ext>
              </a:extLst>
            </xdr:cNvPr>
            <xdr:cNvGrpSpPr/>
          </xdr:nvGrpSpPr>
          <xdr:grpSpPr>
            <a:xfrm>
              <a:off x="428625" y="1041728"/>
              <a:ext cx="1861754" cy="186942"/>
              <a:chOff x="426983" y="303815"/>
              <a:chExt cx="1847521" cy="188857"/>
            </a:xfrm>
          </xdr:grpSpPr>
          <xdr:cxnSp macro="">
            <xdr:nvCxnSpPr>
              <xdr:cNvPr id="155" name="Straight Connector 154">
                <a:extLst>
                  <a:ext uri="{FF2B5EF4-FFF2-40B4-BE49-F238E27FC236}">
                    <a16:creationId xmlns:a16="http://schemas.microsoft.com/office/drawing/2014/main" id="{00000000-0008-0000-0B00-00009B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6" name="Straight Connector 155">
                <a:extLst>
                  <a:ext uri="{FF2B5EF4-FFF2-40B4-BE49-F238E27FC236}">
                    <a16:creationId xmlns:a16="http://schemas.microsoft.com/office/drawing/2014/main" id="{00000000-0008-0000-0B00-00009C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7" name="Straight Connector 156">
                <a:extLst>
                  <a:ext uri="{FF2B5EF4-FFF2-40B4-BE49-F238E27FC236}">
                    <a16:creationId xmlns:a16="http://schemas.microsoft.com/office/drawing/2014/main" id="{00000000-0008-0000-0B00-00009D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8" name="Straight Connector 157">
                <a:extLst>
                  <a:ext uri="{FF2B5EF4-FFF2-40B4-BE49-F238E27FC236}">
                    <a16:creationId xmlns:a16="http://schemas.microsoft.com/office/drawing/2014/main" id="{00000000-0008-0000-0B00-00009E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40" name="Group 139">
              <a:extLst>
                <a:ext uri="{FF2B5EF4-FFF2-40B4-BE49-F238E27FC236}">
                  <a16:creationId xmlns:a16="http://schemas.microsoft.com/office/drawing/2014/main" id="{00000000-0008-0000-0B00-00008C000000}"/>
                </a:ext>
              </a:extLst>
            </xdr:cNvPr>
            <xdr:cNvGrpSpPr/>
          </xdr:nvGrpSpPr>
          <xdr:grpSpPr>
            <a:xfrm>
              <a:off x="428625" y="1285876"/>
              <a:ext cx="1861754" cy="188857"/>
              <a:chOff x="426983" y="303815"/>
              <a:chExt cx="1847521" cy="188857"/>
            </a:xfrm>
          </xdr:grpSpPr>
          <xdr:cxnSp macro="">
            <xdr:nvCxnSpPr>
              <xdr:cNvPr id="151" name="Straight Connector 150">
                <a:extLst>
                  <a:ext uri="{FF2B5EF4-FFF2-40B4-BE49-F238E27FC236}">
                    <a16:creationId xmlns:a16="http://schemas.microsoft.com/office/drawing/2014/main" id="{00000000-0008-0000-0B00-000097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2" name="Straight Connector 151">
                <a:extLst>
                  <a:ext uri="{FF2B5EF4-FFF2-40B4-BE49-F238E27FC236}">
                    <a16:creationId xmlns:a16="http://schemas.microsoft.com/office/drawing/2014/main" id="{00000000-0008-0000-0B00-000098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3" name="Straight Connector 152">
                <a:extLst>
                  <a:ext uri="{FF2B5EF4-FFF2-40B4-BE49-F238E27FC236}">
                    <a16:creationId xmlns:a16="http://schemas.microsoft.com/office/drawing/2014/main" id="{00000000-0008-0000-0B00-000099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4" name="Straight Connector 153">
                <a:extLst>
                  <a:ext uri="{FF2B5EF4-FFF2-40B4-BE49-F238E27FC236}">
                    <a16:creationId xmlns:a16="http://schemas.microsoft.com/office/drawing/2014/main" id="{00000000-0008-0000-0B00-00009A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41" name="Group 140">
              <a:extLst>
                <a:ext uri="{FF2B5EF4-FFF2-40B4-BE49-F238E27FC236}">
                  <a16:creationId xmlns:a16="http://schemas.microsoft.com/office/drawing/2014/main" id="{00000000-0008-0000-0B00-00008D000000}"/>
                </a:ext>
              </a:extLst>
            </xdr:cNvPr>
            <xdr:cNvGrpSpPr/>
          </xdr:nvGrpSpPr>
          <xdr:grpSpPr>
            <a:xfrm>
              <a:off x="428625" y="1531938"/>
              <a:ext cx="1861754" cy="188857"/>
              <a:chOff x="426983" y="303815"/>
              <a:chExt cx="1847521" cy="188857"/>
            </a:xfrm>
          </xdr:grpSpPr>
          <xdr:cxnSp macro="">
            <xdr:nvCxnSpPr>
              <xdr:cNvPr id="147" name="Straight Connector 146">
                <a:extLst>
                  <a:ext uri="{FF2B5EF4-FFF2-40B4-BE49-F238E27FC236}">
                    <a16:creationId xmlns:a16="http://schemas.microsoft.com/office/drawing/2014/main" id="{00000000-0008-0000-0B00-000093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8" name="Straight Connector 147">
                <a:extLst>
                  <a:ext uri="{FF2B5EF4-FFF2-40B4-BE49-F238E27FC236}">
                    <a16:creationId xmlns:a16="http://schemas.microsoft.com/office/drawing/2014/main" id="{00000000-0008-0000-0B00-000094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9" name="Straight Connector 148">
                <a:extLst>
                  <a:ext uri="{FF2B5EF4-FFF2-40B4-BE49-F238E27FC236}">
                    <a16:creationId xmlns:a16="http://schemas.microsoft.com/office/drawing/2014/main" id="{00000000-0008-0000-0B00-000095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0" name="Straight Connector 149">
                <a:extLst>
                  <a:ext uri="{FF2B5EF4-FFF2-40B4-BE49-F238E27FC236}">
                    <a16:creationId xmlns:a16="http://schemas.microsoft.com/office/drawing/2014/main" id="{00000000-0008-0000-0B00-000096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42" name="Group 141">
              <a:extLst>
                <a:ext uri="{FF2B5EF4-FFF2-40B4-BE49-F238E27FC236}">
                  <a16:creationId xmlns:a16="http://schemas.microsoft.com/office/drawing/2014/main" id="{00000000-0008-0000-0B00-00008E000000}"/>
                </a:ext>
              </a:extLst>
            </xdr:cNvPr>
            <xdr:cNvGrpSpPr/>
          </xdr:nvGrpSpPr>
          <xdr:grpSpPr>
            <a:xfrm>
              <a:off x="428625" y="1778001"/>
              <a:ext cx="1861754" cy="190499"/>
              <a:chOff x="426983" y="303815"/>
              <a:chExt cx="1847521" cy="188857"/>
            </a:xfrm>
          </xdr:grpSpPr>
          <xdr:cxnSp macro="">
            <xdr:nvCxnSpPr>
              <xdr:cNvPr id="143" name="Straight Connector 142">
                <a:extLst>
                  <a:ext uri="{FF2B5EF4-FFF2-40B4-BE49-F238E27FC236}">
                    <a16:creationId xmlns:a16="http://schemas.microsoft.com/office/drawing/2014/main" id="{00000000-0008-0000-0B00-00008F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4" name="Straight Connector 143">
                <a:extLst>
                  <a:ext uri="{FF2B5EF4-FFF2-40B4-BE49-F238E27FC236}">
                    <a16:creationId xmlns:a16="http://schemas.microsoft.com/office/drawing/2014/main" id="{00000000-0008-0000-0B00-000090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5" name="Straight Connector 144">
                <a:extLst>
                  <a:ext uri="{FF2B5EF4-FFF2-40B4-BE49-F238E27FC236}">
                    <a16:creationId xmlns:a16="http://schemas.microsoft.com/office/drawing/2014/main" id="{00000000-0008-0000-0B00-000091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46" name="Straight Connector 145">
                <a:extLst>
                  <a:ext uri="{FF2B5EF4-FFF2-40B4-BE49-F238E27FC236}">
                    <a16:creationId xmlns:a16="http://schemas.microsoft.com/office/drawing/2014/main" id="{00000000-0008-0000-0B00-000092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27" name="TextBox 126" title="Page Navigation">
            <a:hlinkClick xmlns:r="http://schemas.openxmlformats.org/officeDocument/2006/relationships" r:id="rId3" tooltip="Go To top of page"/>
            <a:extLst>
              <a:ext uri="{FF2B5EF4-FFF2-40B4-BE49-F238E27FC236}">
                <a16:creationId xmlns:a16="http://schemas.microsoft.com/office/drawing/2014/main" id="{00000000-0008-0000-0B00-00007F000000}"/>
              </a:ext>
            </a:extLst>
          </xdr:cNvPr>
          <xdr:cNvSpPr txBox="1"/>
        </xdr:nvSpPr>
        <xdr:spPr>
          <a:xfrm>
            <a:off x="438151" y="58963"/>
            <a:ext cx="1857374" cy="188687"/>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sp macro="" textlink="">
        <xdr:nvSpPr>
          <xdr:cNvPr id="128" name="TextBox 127" title="Page Navigation">
            <a:hlinkClick xmlns:r="http://schemas.openxmlformats.org/officeDocument/2006/relationships" r:id="rId10" tooltip="Go To the Fixture page to enter existing and new fixtures"/>
            <a:extLst>
              <a:ext uri="{FF2B5EF4-FFF2-40B4-BE49-F238E27FC236}">
                <a16:creationId xmlns:a16="http://schemas.microsoft.com/office/drawing/2014/main" id="{00000000-0008-0000-0B00-000080000000}"/>
              </a:ext>
            </a:extLst>
          </xdr:cNvPr>
          <xdr:cNvSpPr txBox="1"/>
        </xdr:nvSpPr>
        <xdr:spPr>
          <a:xfrm>
            <a:off x="438151" y="800100"/>
            <a:ext cx="1857375"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DSMc Form 3</a:t>
            </a:r>
          </a:p>
        </xdr:txBody>
      </xdr:sp>
      <xdr:sp macro="" textlink="">
        <xdr:nvSpPr>
          <xdr:cNvPr id="129" name="TextBox 128" title="Page Navigation">
            <a:hlinkClick xmlns:r="http://schemas.openxmlformats.org/officeDocument/2006/relationships" r:id="rId11"/>
            <a:extLst>
              <a:ext uri="{FF2B5EF4-FFF2-40B4-BE49-F238E27FC236}">
                <a16:creationId xmlns:a16="http://schemas.microsoft.com/office/drawing/2014/main" id="{00000000-0008-0000-0B00-000081000000}"/>
              </a:ext>
            </a:extLst>
          </xdr:cNvPr>
          <xdr:cNvSpPr txBox="1"/>
        </xdr:nvSpPr>
        <xdr:spPr>
          <a:xfrm>
            <a:off x="439964" y="1295400"/>
            <a:ext cx="185556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DSMc Form 1</a:t>
            </a:r>
            <a:endParaRPr lang="en-US" sz="1100" b="0">
              <a:solidFill>
                <a:schemeClr val="bg1"/>
              </a:solidFill>
              <a:sym typeface="Webdings" panose="05030102010509060703" pitchFamily="18" charset="2"/>
            </a:endParaRPr>
          </a:p>
        </xdr:txBody>
      </xdr:sp>
      <xdr:sp macro="" textlink="">
        <xdr:nvSpPr>
          <xdr:cNvPr id="130" name="TextBox 129" title="Page Navigation">
            <a:hlinkClick xmlns:r="http://schemas.openxmlformats.org/officeDocument/2006/relationships" r:id="rId12"/>
            <a:extLst>
              <a:ext uri="{FF2B5EF4-FFF2-40B4-BE49-F238E27FC236}">
                <a16:creationId xmlns:a16="http://schemas.microsoft.com/office/drawing/2014/main" id="{00000000-0008-0000-0B00-000082000000}"/>
              </a:ext>
            </a:extLst>
          </xdr:cNvPr>
          <xdr:cNvSpPr txBox="1"/>
        </xdr:nvSpPr>
        <xdr:spPr>
          <a:xfrm>
            <a:off x="438151" y="1790701"/>
            <a:ext cx="1857375"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LLLC Grant QC Review</a:t>
            </a:r>
            <a:endParaRPr lang="en-US" sz="1100" b="0">
              <a:solidFill>
                <a:schemeClr val="bg1"/>
              </a:solidFill>
              <a:sym typeface="Webdings" panose="05030102010509060703" pitchFamily="18" charset="2"/>
            </a:endParaRPr>
          </a:p>
        </xdr:txBody>
      </xdr:sp>
      <xdr:sp macro="" textlink="">
        <xdr:nvSpPr>
          <xdr:cNvPr id="131" name="TextBox 130" title="Page Navigation">
            <a:extLst>
              <a:ext uri="{FF2B5EF4-FFF2-40B4-BE49-F238E27FC236}">
                <a16:creationId xmlns:a16="http://schemas.microsoft.com/office/drawing/2014/main" id="{00000000-0008-0000-0B00-000083000000}"/>
              </a:ext>
            </a:extLst>
          </xdr:cNvPr>
          <xdr:cNvSpPr txBox="1"/>
        </xdr:nvSpPr>
        <xdr:spPr>
          <a:xfrm>
            <a:off x="439964" y="1543050"/>
            <a:ext cx="185556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endParaRPr lang="en-US" sz="1100" b="0">
              <a:solidFill>
                <a:schemeClr val="bg1"/>
              </a:solidFill>
              <a:sym typeface="Webdings" panose="05030102010509060703" pitchFamily="18" charset="2"/>
            </a:endParaRPr>
          </a:p>
        </xdr:txBody>
      </xdr:sp>
      <xdr:sp macro="" textlink="">
        <xdr:nvSpPr>
          <xdr:cNvPr id="132" name="TextBox 131" title="Page Navigation">
            <a:hlinkClick xmlns:r="http://schemas.openxmlformats.org/officeDocument/2006/relationships" r:id="rId13" tooltip="Go To the Terms page"/>
            <a:extLst>
              <a:ext uri="{FF2B5EF4-FFF2-40B4-BE49-F238E27FC236}">
                <a16:creationId xmlns:a16="http://schemas.microsoft.com/office/drawing/2014/main" id="{00000000-0008-0000-0B00-000084000000}"/>
              </a:ext>
            </a:extLst>
          </xdr:cNvPr>
          <xdr:cNvSpPr txBox="1"/>
        </xdr:nvSpPr>
        <xdr:spPr>
          <a:xfrm>
            <a:off x="438151" y="304801"/>
            <a:ext cx="1857375"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Project</a:t>
            </a:r>
            <a:r>
              <a:rPr lang="en-US" sz="1100" b="0" baseline="0">
                <a:solidFill>
                  <a:schemeClr val="bg1"/>
                </a:solidFill>
                <a:effectLst/>
                <a:latin typeface="+mn-lt"/>
                <a:ea typeface="+mn-ea"/>
                <a:cs typeface="+mn-cs"/>
                <a:sym typeface="Webdings" panose="05030102010509060703" pitchFamily="18" charset="2"/>
              </a:rPr>
              <a:t> Section</a:t>
            </a:r>
            <a:endParaRPr lang="en-US" sz="1100" b="0">
              <a:solidFill>
                <a:schemeClr val="bg1"/>
              </a:solidFill>
              <a:sym typeface="Webdings" panose="05030102010509060703" pitchFamily="18" charset="2"/>
            </a:endParaRPr>
          </a:p>
        </xdr:txBody>
      </xdr:sp>
      <xdr:sp macro="" textlink="">
        <xdr:nvSpPr>
          <xdr:cNvPr id="133" name="TextBox 132" title="Page Navigation">
            <a:hlinkClick xmlns:r="http://schemas.openxmlformats.org/officeDocument/2006/relationships" r:id="rId14" tooltip="Go To the Project information page"/>
            <a:extLst>
              <a:ext uri="{FF2B5EF4-FFF2-40B4-BE49-F238E27FC236}">
                <a16:creationId xmlns:a16="http://schemas.microsoft.com/office/drawing/2014/main" id="{00000000-0008-0000-0B00-000085000000}"/>
              </a:ext>
            </a:extLst>
          </xdr:cNvPr>
          <xdr:cNvSpPr txBox="1"/>
        </xdr:nvSpPr>
        <xdr:spPr>
          <a:xfrm>
            <a:off x="438151" y="552450"/>
            <a:ext cx="1857375"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Grant Section</a:t>
            </a:r>
          </a:p>
        </xdr:txBody>
      </xdr:sp>
      <xdr:sp macro="" textlink="">
        <xdr:nvSpPr>
          <xdr:cNvPr id="134" name="TextBox 133" title="Page Navigation">
            <a:hlinkClick xmlns:r="http://schemas.openxmlformats.org/officeDocument/2006/relationships" r:id="rId15" tooltip="Go To the Installations page to enter the installed/new lighting"/>
            <a:extLst>
              <a:ext uri="{FF2B5EF4-FFF2-40B4-BE49-F238E27FC236}">
                <a16:creationId xmlns:a16="http://schemas.microsoft.com/office/drawing/2014/main" id="{00000000-0008-0000-0B00-000086000000}"/>
              </a:ext>
            </a:extLst>
          </xdr:cNvPr>
          <xdr:cNvSpPr txBox="1"/>
        </xdr:nvSpPr>
        <xdr:spPr>
          <a:xfrm>
            <a:off x="439964" y="1049564"/>
            <a:ext cx="1855561" cy="188685"/>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DSMc Form 2</a:t>
            </a:r>
          </a:p>
        </xdr:txBody>
      </xdr:sp>
    </xdr:grpSp>
    <xdr:clientData fPrintsWithSheet="0"/>
  </xdr:twoCellAnchor>
  <xdr:oneCellAnchor>
    <xdr:from>
      <xdr:col>2</xdr:col>
      <xdr:colOff>31749</xdr:colOff>
      <xdr:row>462</xdr:row>
      <xdr:rowOff>42333</xdr:rowOff>
    </xdr:from>
    <xdr:ext cx="518582" cy="516189"/>
    <xdr:pic>
      <xdr:nvPicPr>
        <xdr:cNvPr id="171" name="Picture 170">
          <a:extLst>
            <a:ext uri="{FF2B5EF4-FFF2-40B4-BE49-F238E27FC236}">
              <a16:creationId xmlns:a16="http://schemas.microsoft.com/office/drawing/2014/main" id="{00000000-0008-0000-0B00-0000A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7974" y="34741908"/>
          <a:ext cx="518582" cy="51618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se0.sharepoint.com/sites/BizLighting-NewConstruction-TIWorkbook/Shared%20Documents/General/Test%20Working%20Copy%20-%20PSE%20Business%20Lighting%202021%20STANDARD%20Application%20V5-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se0.sharepoint.com/Users/mlane/Documents/_Business%20Lighting%20(C)/__2021/PSE%20Business%20Lighting%202021%20SIMPLE%20Application%20V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lane/Documents/_Business%20Lighting%20(C)/_2020/Move%20to%20latest/2020LTO/PSE%20-%20Safeway%20%233500%20Kenmore%20(Increased%20Incentiv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s"/>
      <sheetName val="Project"/>
      <sheetName val="Fixtures"/>
      <sheetName val="Installations"/>
      <sheetName val="Signature"/>
      <sheetName val="Close-Out Award"/>
      <sheetName val="Customer Use"/>
      <sheetName val="Instructions"/>
      <sheetName val="Ready"/>
      <sheetName val="LLLC"/>
      <sheetName val="Control Savings"/>
      <sheetName val="Grant QC Review"/>
      <sheetName val="CNC DSMc SOW"/>
      <sheetName val="LLLC Grant QC Review"/>
      <sheetName val="DATA"/>
      <sheetName val="Autofund"/>
      <sheetName val="Existing"/>
      <sheetName val="Lookup"/>
      <sheetName val="WSEC"/>
      <sheetName val="Space Table"/>
      <sheetName val="Sheet1"/>
      <sheetName val="Test Working Copy - PSE Busines"/>
    </sheetNames>
    <sheetDataSet>
      <sheetData sheetId="0" refreshError="1"/>
      <sheetData sheetId="1">
        <row r="24">
          <cell r="G24" t="str">
            <v>New Construction</v>
          </cell>
        </row>
        <row r="38">
          <cell r="N38">
            <v>0</v>
          </cell>
        </row>
      </sheetData>
      <sheetData sheetId="2">
        <row r="88">
          <cell r="BX88">
            <v>4</v>
          </cell>
        </row>
        <row r="89">
          <cell r="BM89" t="str">
            <v>03 Troffer - T8 4-foot (Electronic) 4-Lamp 114W</v>
          </cell>
          <cell r="BN89">
            <v>114</v>
          </cell>
          <cell r="BO89" t="b">
            <v>0</v>
          </cell>
          <cell r="BP89" t="str">
            <v/>
          </cell>
          <cell r="BQ89" t="str">
            <v/>
          </cell>
          <cell r="BR89">
            <v>28.5</v>
          </cell>
          <cell r="BX89">
            <v>1</v>
          </cell>
          <cell r="BY89" t="str">
            <v>03 Troffer - T8 4-foot (Electronic) 4-Lamp 114W</v>
          </cell>
        </row>
        <row r="90">
          <cell r="BM90" t="str">
            <v>09 Parking/Area - Metal Halide MH 250W 291W</v>
          </cell>
          <cell r="BN90">
            <v>291</v>
          </cell>
          <cell r="BO90" t="b">
            <v>0</v>
          </cell>
          <cell r="BP90" t="str">
            <v/>
          </cell>
          <cell r="BQ90" t="str">
            <v/>
          </cell>
          <cell r="BR90" t="e">
            <v>#VALUE!</v>
          </cell>
          <cell r="BX90">
            <v>2</v>
          </cell>
          <cell r="BY90" t="str">
            <v>09 Parking/Area - Metal Halide MH 250W 291W</v>
          </cell>
        </row>
        <row r="91">
          <cell r="BM91" t="str">
            <v>03 Troffer - TLED (Plug and Play) 4-Lamp 53.28W</v>
          </cell>
          <cell r="BN91">
            <v>53.28</v>
          </cell>
          <cell r="BO91" t="b">
            <v>1</v>
          </cell>
          <cell r="BP91" t="str">
            <v>TLED (Plug and Play)</v>
          </cell>
          <cell r="BQ91">
            <v>4</v>
          </cell>
          <cell r="BR91">
            <v>13.32</v>
          </cell>
          <cell r="BX91">
            <v>3</v>
          </cell>
          <cell r="BY91" t="str">
            <v>03 Troffer - TLED (Plug and Play) 4-Lamp 53.28W</v>
          </cell>
        </row>
        <row r="92">
          <cell r="BM92" t="str">
            <v/>
          </cell>
          <cell r="BN92" t="str">
            <v/>
          </cell>
          <cell r="BO92" t="b">
            <v>0</v>
          </cell>
          <cell r="BP92" t="str">
            <v/>
          </cell>
          <cell r="BQ92" t="str">
            <v/>
          </cell>
          <cell r="BR92">
            <v>0</v>
          </cell>
          <cell r="BX92">
            <v>51</v>
          </cell>
          <cell r="BY92" t="str">
            <v>03 Troffer New Fixture, (1) CREE #CR Series 2</v>
          </cell>
          <cell r="DX92">
            <v>6</v>
          </cell>
        </row>
        <row r="93">
          <cell r="BM93" t="str">
            <v/>
          </cell>
          <cell r="BN93" t="str">
            <v/>
          </cell>
          <cell r="BO93" t="b">
            <v>0</v>
          </cell>
          <cell r="BP93" t="str">
            <v/>
          </cell>
          <cell r="BQ93" t="str">
            <v/>
          </cell>
          <cell r="BR93">
            <v>0</v>
          </cell>
          <cell r="BX93" t="str">
            <v/>
          </cell>
          <cell r="BY93" t="str">
            <v/>
          </cell>
          <cell r="DM93" t="str">
            <v>03 Troffer New Fixture, (1) CREE #CR Series 2</v>
          </cell>
          <cell r="DN93">
            <v>35</v>
          </cell>
          <cell r="DX93">
            <v>1</v>
          </cell>
          <cell r="DY93" t="str">
            <v>03 Troffer New Fixture, (1) CREE #CR Series 2</v>
          </cell>
        </row>
        <row r="94">
          <cell r="BM94" t="str">
            <v/>
          </cell>
          <cell r="BN94" t="str">
            <v/>
          </cell>
          <cell r="BO94" t="b">
            <v>0</v>
          </cell>
          <cell r="BP94" t="str">
            <v/>
          </cell>
          <cell r="BQ94" t="str">
            <v/>
          </cell>
          <cell r="BR94">
            <v>0</v>
          </cell>
          <cell r="BX94" t="str">
            <v/>
          </cell>
          <cell r="BY94" t="str">
            <v/>
          </cell>
          <cell r="DM94" t="str">
            <v>03 Troffer TLED (Plug and Play), (2) ACME #apjfdp</v>
          </cell>
          <cell r="DN94">
            <v>30</v>
          </cell>
          <cell r="DX94">
            <v>2</v>
          </cell>
          <cell r="DY94" t="str">
            <v>03 Troffer TLED (Plug and Play), (2) ACME #apjfdp</v>
          </cell>
        </row>
        <row r="95">
          <cell r="BM95" t="str">
            <v/>
          </cell>
          <cell r="BN95" t="str">
            <v/>
          </cell>
          <cell r="BO95" t="b">
            <v>0</v>
          </cell>
          <cell r="BP95" t="str">
            <v/>
          </cell>
          <cell r="BQ95" t="str">
            <v/>
          </cell>
          <cell r="BR95">
            <v>0</v>
          </cell>
          <cell r="BX95" t="str">
            <v/>
          </cell>
          <cell r="BY95" t="str">
            <v/>
          </cell>
          <cell r="DM95" t="str">
            <v>03 Troffer New Fixture, (1) CREE 2 #CR Series 2</v>
          </cell>
          <cell r="DN95">
            <v>15</v>
          </cell>
          <cell r="DX95">
            <v>3</v>
          </cell>
          <cell r="DY95" t="str">
            <v>03 Troffer New Fixture, (1) CREE 2 #CR Series 2</v>
          </cell>
        </row>
        <row r="96">
          <cell r="BM96" t="str">
            <v/>
          </cell>
          <cell r="BN96" t="str">
            <v/>
          </cell>
          <cell r="BO96" t="b">
            <v>0</v>
          </cell>
          <cell r="BP96" t="str">
            <v/>
          </cell>
          <cell r="BQ96" t="str">
            <v/>
          </cell>
          <cell r="BR96">
            <v>0</v>
          </cell>
          <cell r="BX96" t="str">
            <v/>
          </cell>
          <cell r="BY96" t="str">
            <v/>
          </cell>
          <cell r="DM96" t="str">
            <v>09 Parking/Area New Fixture, (1) ACME #adskjgoaoiodfo</v>
          </cell>
          <cell r="DN96">
            <v>37</v>
          </cell>
          <cell r="DX96">
            <v>4</v>
          </cell>
          <cell r="DY96" t="str">
            <v>09 Parking/Area New Fixture, (1) ACME #adskjgoaoiodfo</v>
          </cell>
        </row>
        <row r="97">
          <cell r="BM97" t="str">
            <v/>
          </cell>
          <cell r="BN97" t="str">
            <v/>
          </cell>
          <cell r="BO97" t="b">
            <v>0</v>
          </cell>
          <cell r="BP97" t="str">
            <v/>
          </cell>
          <cell r="BQ97" t="str">
            <v/>
          </cell>
          <cell r="BR97">
            <v>0</v>
          </cell>
          <cell r="BX97" t="str">
            <v/>
          </cell>
          <cell r="BY97" t="str">
            <v/>
          </cell>
          <cell r="DM97" t="str">
            <v>03 Troffer TLED (Plug and Play), (4) ACME #TLED</v>
          </cell>
          <cell r="DN97">
            <v>40</v>
          </cell>
          <cell r="DX97">
            <v>5</v>
          </cell>
          <cell r="DY97" t="str">
            <v>03 Troffer TLED (Plug and Play), (4) ACME #TLED</v>
          </cell>
        </row>
        <row r="98">
          <cell r="BM98" t="str">
            <v/>
          </cell>
          <cell r="BN98" t="str">
            <v/>
          </cell>
          <cell r="BO98" t="b">
            <v>0</v>
          </cell>
          <cell r="BP98" t="str">
            <v/>
          </cell>
          <cell r="BQ98" t="str">
            <v/>
          </cell>
          <cell r="BR98">
            <v>0</v>
          </cell>
          <cell r="BX98" t="str">
            <v/>
          </cell>
          <cell r="BY98" t="str">
            <v/>
          </cell>
          <cell r="DM98" t="str">
            <v/>
          </cell>
          <cell r="DN98" t="str">
            <v/>
          </cell>
          <cell r="DX98">
            <v>50</v>
          </cell>
          <cell r="DY98" t="str">
            <v>08 Other Interior Fixture Removed, (1) Existing #Removed</v>
          </cell>
        </row>
        <row r="99">
          <cell r="BM99" t="str">
            <v/>
          </cell>
          <cell r="BN99" t="str">
            <v/>
          </cell>
          <cell r="BO99" t="b">
            <v>0</v>
          </cell>
          <cell r="BP99" t="str">
            <v/>
          </cell>
          <cell r="BQ99" t="str">
            <v/>
          </cell>
          <cell r="BR99">
            <v>0</v>
          </cell>
          <cell r="BX99" t="str">
            <v/>
          </cell>
          <cell r="BY99" t="str">
            <v/>
          </cell>
          <cell r="DM99" t="str">
            <v/>
          </cell>
          <cell r="DN99" t="str">
            <v/>
          </cell>
          <cell r="DX99" t="str">
            <v/>
          </cell>
          <cell r="DY99" t="str">
            <v/>
          </cell>
        </row>
        <row r="100">
          <cell r="BM100" t="str">
            <v/>
          </cell>
          <cell r="BN100" t="str">
            <v/>
          </cell>
          <cell r="BO100" t="b">
            <v>0</v>
          </cell>
          <cell r="BP100" t="str">
            <v/>
          </cell>
          <cell r="BQ100" t="str">
            <v/>
          </cell>
          <cell r="BR100">
            <v>0</v>
          </cell>
          <cell r="BX100" t="str">
            <v/>
          </cell>
          <cell r="BY100" t="str">
            <v/>
          </cell>
          <cell r="DM100" t="str">
            <v/>
          </cell>
          <cell r="DN100" t="str">
            <v/>
          </cell>
          <cell r="DX100" t="str">
            <v/>
          </cell>
          <cell r="DY100" t="str">
            <v/>
          </cell>
        </row>
        <row r="101">
          <cell r="BM101" t="str">
            <v/>
          </cell>
          <cell r="BN101" t="str">
            <v/>
          </cell>
          <cell r="BO101" t="b">
            <v>0</v>
          </cell>
          <cell r="BP101" t="str">
            <v/>
          </cell>
          <cell r="BQ101" t="str">
            <v/>
          </cell>
          <cell r="BR101">
            <v>0</v>
          </cell>
          <cell r="BX101" t="str">
            <v/>
          </cell>
          <cell r="BY101" t="str">
            <v/>
          </cell>
          <cell r="DM101" t="str">
            <v/>
          </cell>
          <cell r="DN101" t="str">
            <v/>
          </cell>
          <cell r="DX101" t="str">
            <v/>
          </cell>
          <cell r="DY101" t="str">
            <v/>
          </cell>
        </row>
        <row r="102">
          <cell r="BM102" t="str">
            <v/>
          </cell>
          <cell r="BN102" t="str">
            <v/>
          </cell>
          <cell r="BO102" t="b">
            <v>0</v>
          </cell>
          <cell r="BP102" t="str">
            <v/>
          </cell>
          <cell r="BQ102" t="str">
            <v/>
          </cell>
          <cell r="BR102">
            <v>0</v>
          </cell>
          <cell r="BX102" t="str">
            <v/>
          </cell>
          <cell r="BY102" t="str">
            <v/>
          </cell>
          <cell r="DM102" t="str">
            <v/>
          </cell>
          <cell r="DN102" t="str">
            <v/>
          </cell>
          <cell r="DX102" t="str">
            <v/>
          </cell>
          <cell r="DY102" t="str">
            <v/>
          </cell>
        </row>
        <row r="103">
          <cell r="BM103" t="str">
            <v/>
          </cell>
          <cell r="BN103" t="str">
            <v/>
          </cell>
          <cell r="BO103" t="b">
            <v>0</v>
          </cell>
          <cell r="BP103" t="str">
            <v/>
          </cell>
          <cell r="BQ103" t="str">
            <v/>
          </cell>
          <cell r="BR103">
            <v>0</v>
          </cell>
          <cell r="BX103" t="str">
            <v/>
          </cell>
          <cell r="BY103" t="str">
            <v/>
          </cell>
          <cell r="DM103" t="str">
            <v/>
          </cell>
          <cell r="DN103" t="str">
            <v/>
          </cell>
          <cell r="DX103" t="str">
            <v/>
          </cell>
          <cell r="DY103" t="str">
            <v/>
          </cell>
        </row>
        <row r="104">
          <cell r="BM104" t="str">
            <v/>
          </cell>
          <cell r="BN104" t="str">
            <v/>
          </cell>
          <cell r="BO104" t="b">
            <v>0</v>
          </cell>
          <cell r="BP104" t="str">
            <v/>
          </cell>
          <cell r="BQ104" t="str">
            <v/>
          </cell>
          <cell r="BR104">
            <v>0</v>
          </cell>
          <cell r="BX104" t="str">
            <v/>
          </cell>
          <cell r="BY104" t="str">
            <v/>
          </cell>
          <cell r="DM104" t="str">
            <v/>
          </cell>
          <cell r="DN104" t="str">
            <v/>
          </cell>
          <cell r="DX104" t="str">
            <v/>
          </cell>
          <cell r="DY104" t="str">
            <v/>
          </cell>
        </row>
        <row r="105">
          <cell r="BM105" t="str">
            <v/>
          </cell>
          <cell r="BN105" t="str">
            <v/>
          </cell>
          <cell r="BO105" t="b">
            <v>0</v>
          </cell>
          <cell r="BP105" t="str">
            <v/>
          </cell>
          <cell r="BQ105" t="str">
            <v/>
          </cell>
          <cell r="BR105">
            <v>0</v>
          </cell>
          <cell r="BX105" t="str">
            <v/>
          </cell>
          <cell r="BY105" t="str">
            <v/>
          </cell>
          <cell r="DM105" t="str">
            <v/>
          </cell>
          <cell r="DN105" t="str">
            <v/>
          </cell>
          <cell r="DX105" t="str">
            <v/>
          </cell>
          <cell r="DY105" t="str">
            <v/>
          </cell>
        </row>
        <row r="106">
          <cell r="BM106" t="str">
            <v/>
          </cell>
          <cell r="BN106" t="str">
            <v/>
          </cell>
          <cell r="BO106" t="b">
            <v>0</v>
          </cell>
          <cell r="BP106" t="str">
            <v/>
          </cell>
          <cell r="BQ106" t="str">
            <v/>
          </cell>
          <cell r="BR106">
            <v>0</v>
          </cell>
          <cell r="BX106" t="str">
            <v/>
          </cell>
          <cell r="BY106" t="str">
            <v/>
          </cell>
          <cell r="DM106" t="str">
            <v/>
          </cell>
          <cell r="DN106" t="str">
            <v/>
          </cell>
          <cell r="DX106" t="str">
            <v/>
          </cell>
          <cell r="DY106" t="str">
            <v/>
          </cell>
        </row>
        <row r="107">
          <cell r="BM107" t="str">
            <v/>
          </cell>
          <cell r="BN107" t="str">
            <v/>
          </cell>
          <cell r="BO107" t="b">
            <v>0</v>
          </cell>
          <cell r="BP107" t="str">
            <v/>
          </cell>
          <cell r="BQ107" t="str">
            <v/>
          </cell>
          <cell r="BR107">
            <v>0</v>
          </cell>
          <cell r="BX107" t="str">
            <v/>
          </cell>
          <cell r="BY107" t="str">
            <v/>
          </cell>
          <cell r="DM107" t="str">
            <v/>
          </cell>
          <cell r="DN107" t="str">
            <v/>
          </cell>
          <cell r="DX107" t="str">
            <v/>
          </cell>
          <cell r="DY107" t="str">
            <v/>
          </cell>
        </row>
        <row r="108">
          <cell r="BM108" t="str">
            <v/>
          </cell>
          <cell r="BN108" t="str">
            <v/>
          </cell>
          <cell r="BO108" t="b">
            <v>0</v>
          </cell>
          <cell r="BP108" t="str">
            <v/>
          </cell>
          <cell r="BQ108" t="str">
            <v/>
          </cell>
          <cell r="BR108">
            <v>0</v>
          </cell>
          <cell r="BX108" t="str">
            <v/>
          </cell>
          <cell r="BY108" t="str">
            <v/>
          </cell>
          <cell r="DM108" t="str">
            <v/>
          </cell>
          <cell r="DN108" t="str">
            <v/>
          </cell>
          <cell r="DX108" t="str">
            <v/>
          </cell>
          <cell r="DY108" t="str">
            <v/>
          </cell>
        </row>
        <row r="109">
          <cell r="BM109" t="str">
            <v/>
          </cell>
          <cell r="BN109" t="str">
            <v/>
          </cell>
          <cell r="BO109" t="b">
            <v>0</v>
          </cell>
          <cell r="BP109" t="str">
            <v/>
          </cell>
          <cell r="BQ109" t="str">
            <v/>
          </cell>
          <cell r="BR109">
            <v>0</v>
          </cell>
          <cell r="BX109" t="str">
            <v/>
          </cell>
          <cell r="BY109" t="str">
            <v/>
          </cell>
          <cell r="DM109" t="str">
            <v/>
          </cell>
          <cell r="DN109" t="str">
            <v/>
          </cell>
          <cell r="DX109" t="str">
            <v/>
          </cell>
          <cell r="DY109" t="str">
            <v/>
          </cell>
        </row>
        <row r="110">
          <cell r="BM110" t="str">
            <v/>
          </cell>
          <cell r="BN110" t="str">
            <v/>
          </cell>
          <cell r="BO110" t="b">
            <v>0</v>
          </cell>
          <cell r="BP110" t="str">
            <v/>
          </cell>
          <cell r="BQ110" t="str">
            <v/>
          </cell>
          <cell r="BR110">
            <v>0</v>
          </cell>
          <cell r="BX110" t="str">
            <v/>
          </cell>
          <cell r="BY110" t="str">
            <v/>
          </cell>
          <cell r="DM110" t="str">
            <v/>
          </cell>
          <cell r="DN110" t="str">
            <v/>
          </cell>
          <cell r="DX110" t="str">
            <v/>
          </cell>
          <cell r="DY110" t="str">
            <v/>
          </cell>
        </row>
        <row r="111">
          <cell r="BM111" t="str">
            <v/>
          </cell>
          <cell r="BN111" t="str">
            <v/>
          </cell>
          <cell r="BO111" t="b">
            <v>0</v>
          </cell>
          <cell r="BP111" t="str">
            <v/>
          </cell>
          <cell r="BQ111" t="str">
            <v/>
          </cell>
          <cell r="BR111">
            <v>0</v>
          </cell>
          <cell r="BX111" t="str">
            <v/>
          </cell>
          <cell r="BY111" t="str">
            <v/>
          </cell>
          <cell r="DM111" t="str">
            <v/>
          </cell>
          <cell r="DN111" t="str">
            <v/>
          </cell>
          <cell r="DX111" t="str">
            <v/>
          </cell>
          <cell r="DY111" t="str">
            <v/>
          </cell>
        </row>
        <row r="112">
          <cell r="BM112" t="str">
            <v/>
          </cell>
          <cell r="BN112" t="str">
            <v/>
          </cell>
          <cell r="BO112" t="b">
            <v>0</v>
          </cell>
          <cell r="BP112" t="str">
            <v/>
          </cell>
          <cell r="BQ112" t="str">
            <v/>
          </cell>
          <cell r="BR112">
            <v>0</v>
          </cell>
          <cell r="BX112" t="str">
            <v/>
          </cell>
          <cell r="BY112" t="str">
            <v/>
          </cell>
          <cell r="DM112" t="str">
            <v/>
          </cell>
          <cell r="DN112" t="str">
            <v/>
          </cell>
          <cell r="DX112" t="str">
            <v/>
          </cell>
          <cell r="DY112" t="str">
            <v/>
          </cell>
        </row>
        <row r="113">
          <cell r="BM113" t="str">
            <v/>
          </cell>
          <cell r="BN113" t="str">
            <v/>
          </cell>
          <cell r="BO113" t="b">
            <v>0</v>
          </cell>
          <cell r="BP113" t="str">
            <v/>
          </cell>
          <cell r="BQ113" t="str">
            <v/>
          </cell>
          <cell r="BR113">
            <v>0</v>
          </cell>
          <cell r="BX113" t="str">
            <v/>
          </cell>
          <cell r="BY113" t="str">
            <v/>
          </cell>
          <cell r="DM113" t="str">
            <v/>
          </cell>
          <cell r="DN113" t="str">
            <v/>
          </cell>
          <cell r="DX113" t="str">
            <v/>
          </cell>
          <cell r="DY113" t="str">
            <v/>
          </cell>
        </row>
        <row r="114">
          <cell r="BM114" t="str">
            <v/>
          </cell>
          <cell r="BN114" t="str">
            <v/>
          </cell>
          <cell r="BO114" t="b">
            <v>0</v>
          </cell>
          <cell r="BP114" t="str">
            <v/>
          </cell>
          <cell r="BQ114" t="str">
            <v/>
          </cell>
          <cell r="BR114">
            <v>0</v>
          </cell>
          <cell r="BX114" t="str">
            <v/>
          </cell>
          <cell r="BY114" t="str">
            <v/>
          </cell>
          <cell r="DM114" t="str">
            <v/>
          </cell>
          <cell r="DN114" t="str">
            <v/>
          </cell>
          <cell r="DX114" t="str">
            <v/>
          </cell>
          <cell r="DY114" t="str">
            <v/>
          </cell>
        </row>
        <row r="115">
          <cell r="BM115" t="str">
            <v/>
          </cell>
          <cell r="BN115" t="str">
            <v/>
          </cell>
          <cell r="BO115" t="b">
            <v>0</v>
          </cell>
          <cell r="BP115" t="str">
            <v/>
          </cell>
          <cell r="BQ115" t="str">
            <v/>
          </cell>
          <cell r="BR115">
            <v>0</v>
          </cell>
          <cell r="BX115" t="str">
            <v/>
          </cell>
          <cell r="BY115" t="str">
            <v/>
          </cell>
          <cell r="DM115" t="str">
            <v/>
          </cell>
          <cell r="DN115" t="str">
            <v/>
          </cell>
          <cell r="DX115" t="str">
            <v/>
          </cell>
          <cell r="DY115" t="str">
            <v/>
          </cell>
        </row>
        <row r="116">
          <cell r="BM116" t="str">
            <v/>
          </cell>
          <cell r="BN116" t="str">
            <v/>
          </cell>
          <cell r="BO116" t="b">
            <v>0</v>
          </cell>
          <cell r="BP116" t="str">
            <v/>
          </cell>
          <cell r="BQ116" t="str">
            <v/>
          </cell>
          <cell r="BR116">
            <v>0</v>
          </cell>
          <cell r="BX116" t="str">
            <v/>
          </cell>
          <cell r="BY116" t="str">
            <v/>
          </cell>
          <cell r="DM116" t="str">
            <v/>
          </cell>
          <cell r="DN116" t="str">
            <v/>
          </cell>
          <cell r="DX116" t="str">
            <v/>
          </cell>
          <cell r="DY116" t="str">
            <v/>
          </cell>
        </row>
        <row r="117">
          <cell r="BM117" t="str">
            <v/>
          </cell>
          <cell r="BN117" t="str">
            <v/>
          </cell>
          <cell r="BO117" t="b">
            <v>0</v>
          </cell>
          <cell r="BP117" t="str">
            <v/>
          </cell>
          <cell r="BQ117" t="str">
            <v/>
          </cell>
          <cell r="BR117">
            <v>0</v>
          </cell>
          <cell r="BX117" t="str">
            <v/>
          </cell>
          <cell r="BY117" t="str">
            <v/>
          </cell>
          <cell r="DM117" t="str">
            <v/>
          </cell>
          <cell r="DN117" t="str">
            <v/>
          </cell>
          <cell r="DX117" t="str">
            <v/>
          </cell>
          <cell r="DY117" t="str">
            <v/>
          </cell>
        </row>
        <row r="118">
          <cell r="BM118" t="str">
            <v/>
          </cell>
          <cell r="BN118" t="str">
            <v/>
          </cell>
          <cell r="BO118" t="b">
            <v>0</v>
          </cell>
          <cell r="BP118" t="str">
            <v/>
          </cell>
          <cell r="BQ118" t="str">
            <v/>
          </cell>
          <cell r="BR118">
            <v>0</v>
          </cell>
          <cell r="BX118" t="str">
            <v/>
          </cell>
          <cell r="BY118" t="str">
            <v/>
          </cell>
          <cell r="DM118" t="str">
            <v/>
          </cell>
          <cell r="DN118" t="str">
            <v/>
          </cell>
          <cell r="DX118" t="str">
            <v/>
          </cell>
          <cell r="DY118" t="str">
            <v/>
          </cell>
        </row>
        <row r="119">
          <cell r="BM119" t="str">
            <v/>
          </cell>
          <cell r="BN119" t="str">
            <v/>
          </cell>
          <cell r="BO119" t="b">
            <v>0</v>
          </cell>
          <cell r="BP119" t="str">
            <v/>
          </cell>
          <cell r="BQ119" t="str">
            <v/>
          </cell>
          <cell r="BR119">
            <v>0</v>
          </cell>
          <cell r="BX119" t="str">
            <v/>
          </cell>
          <cell r="BY119" t="str">
            <v/>
          </cell>
          <cell r="DM119" t="str">
            <v/>
          </cell>
          <cell r="DN119" t="str">
            <v/>
          </cell>
          <cell r="DX119" t="str">
            <v/>
          </cell>
          <cell r="DY119" t="str">
            <v/>
          </cell>
        </row>
        <row r="120">
          <cell r="BM120" t="str">
            <v/>
          </cell>
          <cell r="BN120" t="str">
            <v/>
          </cell>
          <cell r="BO120" t="b">
            <v>0</v>
          </cell>
          <cell r="BP120" t="str">
            <v/>
          </cell>
          <cell r="BQ120" t="str">
            <v/>
          </cell>
          <cell r="BR120">
            <v>0</v>
          </cell>
          <cell r="BX120" t="str">
            <v/>
          </cell>
          <cell r="BY120" t="str">
            <v/>
          </cell>
          <cell r="DM120" t="str">
            <v/>
          </cell>
          <cell r="DN120" t="str">
            <v/>
          </cell>
          <cell r="DX120" t="str">
            <v/>
          </cell>
          <cell r="DY120" t="str">
            <v/>
          </cell>
        </row>
        <row r="121">
          <cell r="BM121" t="str">
            <v/>
          </cell>
          <cell r="BN121" t="str">
            <v/>
          </cell>
          <cell r="BO121" t="b">
            <v>0</v>
          </cell>
          <cell r="BP121" t="str">
            <v/>
          </cell>
          <cell r="BQ121" t="str">
            <v/>
          </cell>
          <cell r="BR121">
            <v>0</v>
          </cell>
          <cell r="BX121" t="str">
            <v/>
          </cell>
          <cell r="BY121" t="str">
            <v/>
          </cell>
          <cell r="DM121" t="str">
            <v/>
          </cell>
          <cell r="DN121" t="str">
            <v/>
          </cell>
          <cell r="DX121" t="str">
            <v/>
          </cell>
          <cell r="DY121" t="str">
            <v/>
          </cell>
        </row>
        <row r="122">
          <cell r="BM122" t="str">
            <v/>
          </cell>
          <cell r="BN122" t="str">
            <v/>
          </cell>
          <cell r="BO122" t="b">
            <v>0</v>
          </cell>
          <cell r="BP122" t="str">
            <v/>
          </cell>
          <cell r="BQ122" t="str">
            <v/>
          </cell>
          <cell r="BR122">
            <v>0</v>
          </cell>
          <cell r="BX122" t="str">
            <v/>
          </cell>
          <cell r="BY122" t="str">
            <v/>
          </cell>
          <cell r="DM122" t="str">
            <v/>
          </cell>
          <cell r="DN122" t="str">
            <v/>
          </cell>
          <cell r="DX122" t="str">
            <v/>
          </cell>
          <cell r="DY122" t="str">
            <v/>
          </cell>
        </row>
        <row r="123">
          <cell r="BM123" t="str">
            <v/>
          </cell>
          <cell r="BN123" t="str">
            <v/>
          </cell>
          <cell r="BO123" t="b">
            <v>0</v>
          </cell>
          <cell r="BP123" t="str">
            <v/>
          </cell>
          <cell r="BQ123" t="str">
            <v/>
          </cell>
          <cell r="BR123">
            <v>0</v>
          </cell>
          <cell r="BX123" t="str">
            <v/>
          </cell>
          <cell r="BY123" t="str">
            <v/>
          </cell>
          <cell r="DM123" t="str">
            <v/>
          </cell>
          <cell r="DN123" t="str">
            <v/>
          </cell>
          <cell r="DX123" t="str">
            <v/>
          </cell>
          <cell r="DY123" t="str">
            <v/>
          </cell>
        </row>
        <row r="124">
          <cell r="BM124" t="str">
            <v/>
          </cell>
          <cell r="BN124" t="str">
            <v/>
          </cell>
          <cell r="BO124" t="b">
            <v>0</v>
          </cell>
          <cell r="BP124" t="str">
            <v/>
          </cell>
          <cell r="BQ124" t="str">
            <v/>
          </cell>
          <cell r="BR124">
            <v>0</v>
          </cell>
          <cell r="BX124" t="str">
            <v/>
          </cell>
          <cell r="BY124" t="str">
            <v/>
          </cell>
          <cell r="DM124" t="str">
            <v/>
          </cell>
          <cell r="DN124" t="str">
            <v/>
          </cell>
          <cell r="DX124" t="str">
            <v/>
          </cell>
          <cell r="DY124" t="str">
            <v/>
          </cell>
        </row>
        <row r="125">
          <cell r="BM125" t="str">
            <v/>
          </cell>
          <cell r="BN125" t="str">
            <v/>
          </cell>
          <cell r="BO125" t="b">
            <v>0</v>
          </cell>
          <cell r="BP125" t="str">
            <v/>
          </cell>
          <cell r="BQ125" t="str">
            <v/>
          </cell>
          <cell r="BR125">
            <v>0</v>
          </cell>
          <cell r="BX125" t="str">
            <v/>
          </cell>
          <cell r="BY125" t="str">
            <v/>
          </cell>
          <cell r="DM125" t="str">
            <v/>
          </cell>
          <cell r="DN125" t="str">
            <v/>
          </cell>
          <cell r="DX125" t="str">
            <v/>
          </cell>
          <cell r="DY125" t="str">
            <v/>
          </cell>
        </row>
        <row r="126">
          <cell r="BM126" t="str">
            <v/>
          </cell>
          <cell r="BN126" t="str">
            <v/>
          </cell>
          <cell r="BO126" t="b">
            <v>0</v>
          </cell>
          <cell r="BP126" t="str">
            <v/>
          </cell>
          <cell r="BQ126" t="str">
            <v/>
          </cell>
          <cell r="BR126">
            <v>0</v>
          </cell>
          <cell r="BX126" t="str">
            <v/>
          </cell>
          <cell r="BY126" t="str">
            <v/>
          </cell>
          <cell r="DM126" t="str">
            <v/>
          </cell>
          <cell r="DN126" t="str">
            <v/>
          </cell>
          <cell r="DX126" t="str">
            <v/>
          </cell>
          <cell r="DY126" t="str">
            <v/>
          </cell>
        </row>
        <row r="127">
          <cell r="BM127" t="str">
            <v/>
          </cell>
          <cell r="BN127" t="str">
            <v/>
          </cell>
          <cell r="BO127" t="b">
            <v>0</v>
          </cell>
          <cell r="BP127" t="str">
            <v/>
          </cell>
          <cell r="BQ127" t="str">
            <v/>
          </cell>
          <cell r="BR127">
            <v>0</v>
          </cell>
          <cell r="BX127" t="str">
            <v/>
          </cell>
          <cell r="BY127" t="str">
            <v/>
          </cell>
          <cell r="DM127" t="str">
            <v/>
          </cell>
          <cell r="DN127" t="str">
            <v/>
          </cell>
          <cell r="DX127" t="str">
            <v/>
          </cell>
          <cell r="DY127" t="str">
            <v/>
          </cell>
        </row>
        <row r="128">
          <cell r="BM128" t="str">
            <v/>
          </cell>
          <cell r="BN128" t="str">
            <v/>
          </cell>
          <cell r="BO128" t="b">
            <v>0</v>
          </cell>
          <cell r="BP128" t="str">
            <v/>
          </cell>
          <cell r="BQ128" t="str">
            <v/>
          </cell>
          <cell r="BR128">
            <v>0</v>
          </cell>
          <cell r="BX128" t="str">
            <v/>
          </cell>
          <cell r="BY128" t="str">
            <v/>
          </cell>
          <cell r="DM128" t="str">
            <v/>
          </cell>
          <cell r="DN128" t="str">
            <v/>
          </cell>
          <cell r="DX128" t="str">
            <v/>
          </cell>
          <cell r="DY128" t="str">
            <v/>
          </cell>
        </row>
        <row r="129">
          <cell r="BM129" t="str">
            <v/>
          </cell>
          <cell r="BN129" t="str">
            <v/>
          </cell>
          <cell r="BO129" t="b">
            <v>0</v>
          </cell>
          <cell r="BP129" t="str">
            <v/>
          </cell>
          <cell r="BQ129" t="str">
            <v/>
          </cell>
          <cell r="BR129">
            <v>0</v>
          </cell>
          <cell r="BX129" t="str">
            <v/>
          </cell>
          <cell r="BY129" t="str">
            <v/>
          </cell>
          <cell r="DM129" t="str">
            <v/>
          </cell>
          <cell r="DN129" t="str">
            <v/>
          </cell>
          <cell r="DX129" t="str">
            <v/>
          </cell>
          <cell r="DY129" t="str">
            <v/>
          </cell>
        </row>
        <row r="130">
          <cell r="BM130" t="str">
            <v/>
          </cell>
          <cell r="BN130" t="str">
            <v/>
          </cell>
          <cell r="BO130" t="b">
            <v>0</v>
          </cell>
          <cell r="BP130" t="str">
            <v/>
          </cell>
          <cell r="BQ130" t="str">
            <v/>
          </cell>
          <cell r="BR130">
            <v>0</v>
          </cell>
          <cell r="BX130" t="str">
            <v/>
          </cell>
          <cell r="BY130" t="str">
            <v/>
          </cell>
          <cell r="DM130" t="str">
            <v/>
          </cell>
          <cell r="DN130" t="str">
            <v/>
          </cell>
          <cell r="DX130" t="str">
            <v/>
          </cell>
          <cell r="DY130" t="str">
            <v/>
          </cell>
        </row>
        <row r="131">
          <cell r="BM131" t="str">
            <v/>
          </cell>
          <cell r="BN131" t="str">
            <v/>
          </cell>
          <cell r="BO131" t="b">
            <v>0</v>
          </cell>
          <cell r="BP131" t="str">
            <v/>
          </cell>
          <cell r="BQ131" t="str">
            <v/>
          </cell>
          <cell r="BR131">
            <v>0</v>
          </cell>
          <cell r="BX131" t="str">
            <v/>
          </cell>
          <cell r="BY131" t="str">
            <v/>
          </cell>
          <cell r="DM131" t="str">
            <v/>
          </cell>
          <cell r="DN131" t="str">
            <v/>
          </cell>
          <cell r="DX131" t="str">
            <v/>
          </cell>
          <cell r="DY131" t="str">
            <v/>
          </cell>
        </row>
        <row r="132">
          <cell r="BM132" t="str">
            <v/>
          </cell>
          <cell r="BN132" t="str">
            <v/>
          </cell>
          <cell r="BO132" t="b">
            <v>0</v>
          </cell>
          <cell r="BP132" t="str">
            <v/>
          </cell>
          <cell r="BQ132" t="str">
            <v/>
          </cell>
          <cell r="BR132">
            <v>0</v>
          </cell>
          <cell r="BX132" t="str">
            <v/>
          </cell>
          <cell r="BY132" t="str">
            <v/>
          </cell>
          <cell r="DM132" t="str">
            <v/>
          </cell>
          <cell r="DN132" t="str">
            <v/>
          </cell>
          <cell r="DX132" t="str">
            <v/>
          </cell>
          <cell r="DY132" t="str">
            <v/>
          </cell>
        </row>
        <row r="133">
          <cell r="BM133" t="str">
            <v/>
          </cell>
          <cell r="BN133" t="str">
            <v/>
          </cell>
          <cell r="BO133" t="b">
            <v>0</v>
          </cell>
          <cell r="BP133" t="str">
            <v/>
          </cell>
          <cell r="BQ133" t="str">
            <v/>
          </cell>
          <cell r="BR133">
            <v>0</v>
          </cell>
          <cell r="BX133" t="str">
            <v/>
          </cell>
          <cell r="BY133" t="str">
            <v/>
          </cell>
          <cell r="DM133" t="str">
            <v/>
          </cell>
          <cell r="DN133" t="str">
            <v/>
          </cell>
          <cell r="DX133" t="str">
            <v/>
          </cell>
          <cell r="DY133" t="str">
            <v/>
          </cell>
        </row>
        <row r="134">
          <cell r="BM134" t="str">
            <v/>
          </cell>
          <cell r="BN134" t="str">
            <v/>
          </cell>
          <cell r="BO134" t="b">
            <v>0</v>
          </cell>
          <cell r="BP134" t="str">
            <v/>
          </cell>
          <cell r="BQ134" t="str">
            <v/>
          </cell>
          <cell r="BR134">
            <v>0</v>
          </cell>
          <cell r="BX134" t="str">
            <v/>
          </cell>
          <cell r="BY134" t="str">
            <v/>
          </cell>
          <cell r="DM134" t="str">
            <v/>
          </cell>
          <cell r="DN134" t="str">
            <v/>
          </cell>
          <cell r="DX134" t="str">
            <v/>
          </cell>
          <cell r="DY134" t="str">
            <v/>
          </cell>
        </row>
        <row r="135">
          <cell r="BM135" t="str">
            <v/>
          </cell>
          <cell r="BN135" t="str">
            <v/>
          </cell>
          <cell r="BO135" t="b">
            <v>0</v>
          </cell>
          <cell r="BP135" t="str">
            <v/>
          </cell>
          <cell r="BQ135" t="str">
            <v/>
          </cell>
          <cell r="BR135">
            <v>0</v>
          </cell>
          <cell r="BX135" t="str">
            <v/>
          </cell>
          <cell r="BY135" t="str">
            <v/>
          </cell>
          <cell r="DM135" t="str">
            <v/>
          </cell>
          <cell r="DN135" t="str">
            <v/>
          </cell>
          <cell r="DX135" t="str">
            <v/>
          </cell>
          <cell r="DY135" t="str">
            <v/>
          </cell>
        </row>
        <row r="136">
          <cell r="BM136" t="str">
            <v/>
          </cell>
          <cell r="BN136" t="str">
            <v/>
          </cell>
          <cell r="BO136" t="b">
            <v>0</v>
          </cell>
          <cell r="BP136" t="str">
            <v/>
          </cell>
          <cell r="BQ136" t="str">
            <v/>
          </cell>
          <cell r="BR136">
            <v>0</v>
          </cell>
          <cell r="BX136" t="str">
            <v/>
          </cell>
          <cell r="BY136" t="str">
            <v/>
          </cell>
          <cell r="DM136" t="str">
            <v/>
          </cell>
          <cell r="DN136" t="str">
            <v/>
          </cell>
          <cell r="DX136" t="str">
            <v/>
          </cell>
          <cell r="DY136" t="str">
            <v/>
          </cell>
        </row>
        <row r="137">
          <cell r="BM137" t="str">
            <v/>
          </cell>
          <cell r="BN137" t="str">
            <v/>
          </cell>
          <cell r="BO137" t="b">
            <v>0</v>
          </cell>
          <cell r="BP137" t="str">
            <v/>
          </cell>
          <cell r="BQ137" t="str">
            <v/>
          </cell>
          <cell r="BR137">
            <v>0</v>
          </cell>
          <cell r="BX137" t="str">
            <v/>
          </cell>
          <cell r="BY137" t="str">
            <v/>
          </cell>
          <cell r="DM137" t="str">
            <v/>
          </cell>
          <cell r="DN137" t="str">
            <v/>
          </cell>
          <cell r="DX137" t="str">
            <v/>
          </cell>
          <cell r="DY137" t="str">
            <v/>
          </cell>
        </row>
        <row r="138">
          <cell r="BM138" t="str">
            <v/>
          </cell>
          <cell r="BN138" t="str">
            <v/>
          </cell>
          <cell r="BO138" t="b">
            <v>0</v>
          </cell>
          <cell r="BP138" t="str">
            <v/>
          </cell>
          <cell r="BQ138" t="str">
            <v/>
          </cell>
          <cell r="BR138">
            <v>0</v>
          </cell>
          <cell r="BX138" t="str">
            <v/>
          </cell>
          <cell r="BY138" t="str">
            <v/>
          </cell>
          <cell r="DM138" t="str">
            <v/>
          </cell>
          <cell r="DN138" t="str">
            <v/>
          </cell>
          <cell r="DX138" t="str">
            <v/>
          </cell>
          <cell r="DY138" t="str">
            <v/>
          </cell>
        </row>
        <row r="139">
          <cell r="BM139" t="str">
            <v>03 Troffer New Fixture, (1) CREE #CR Series 2</v>
          </cell>
          <cell r="BN139">
            <v>35</v>
          </cell>
          <cell r="DM139" t="str">
            <v/>
          </cell>
          <cell r="DN139" t="str">
            <v/>
          </cell>
          <cell r="DX139" t="str">
            <v/>
          </cell>
          <cell r="DY139" t="str">
            <v/>
          </cell>
        </row>
        <row r="140">
          <cell r="BM140" t="str">
            <v/>
          </cell>
          <cell r="BN140" t="str">
            <v/>
          </cell>
          <cell r="DM140" t="str">
            <v/>
          </cell>
          <cell r="DN140" t="str">
            <v/>
          </cell>
          <cell r="DX140" t="str">
            <v/>
          </cell>
          <cell r="DY140" t="str">
            <v/>
          </cell>
        </row>
        <row r="141">
          <cell r="BM141" t="str">
            <v/>
          </cell>
          <cell r="BN141" t="str">
            <v/>
          </cell>
          <cell r="DM141" t="str">
            <v/>
          </cell>
          <cell r="DN141" t="str">
            <v/>
          </cell>
          <cell r="DX141" t="str">
            <v/>
          </cell>
          <cell r="DY141" t="str">
            <v/>
          </cell>
        </row>
        <row r="142">
          <cell r="BM142" t="str">
            <v/>
          </cell>
          <cell r="BN142" t="str">
            <v/>
          </cell>
          <cell r="DM142" t="str">
            <v>08 Other Interior Fixture Removed, (1) Existing #Removed</v>
          </cell>
          <cell r="DN142">
            <v>0</v>
          </cell>
          <cell r="DX142" t="str">
            <v/>
          </cell>
          <cell r="DY142" t="str">
            <v/>
          </cell>
        </row>
        <row r="143">
          <cell r="BM143" t="str">
            <v/>
          </cell>
          <cell r="BN143" t="str">
            <v/>
          </cell>
        </row>
        <row r="144">
          <cell r="BM144" t="str">
            <v/>
          </cell>
          <cell r="BN144" t="str">
            <v/>
          </cell>
        </row>
        <row r="145">
          <cell r="BM145" t="str">
            <v/>
          </cell>
          <cell r="BN145" t="str">
            <v/>
          </cell>
        </row>
        <row r="146">
          <cell r="BM146" t="str">
            <v/>
          </cell>
          <cell r="BN146" t="str">
            <v/>
          </cell>
        </row>
        <row r="147">
          <cell r="BM147" t="str">
            <v/>
          </cell>
          <cell r="BN147" t="str">
            <v/>
          </cell>
        </row>
        <row r="148">
          <cell r="BM148" t="str">
            <v/>
          </cell>
          <cell r="BN148" t="str">
            <v/>
          </cell>
        </row>
        <row r="149">
          <cell r="BM149" t="str">
            <v/>
          </cell>
          <cell r="BN149" t="str">
            <v/>
          </cell>
        </row>
        <row r="150">
          <cell r="BM150" t="str">
            <v/>
          </cell>
          <cell r="BN150" t="str">
            <v/>
          </cell>
        </row>
        <row r="151">
          <cell r="BM151" t="str">
            <v/>
          </cell>
          <cell r="BN151" t="str">
            <v/>
          </cell>
        </row>
        <row r="152">
          <cell r="BM152" t="str">
            <v/>
          </cell>
          <cell r="BN152" t="str">
            <v/>
          </cell>
        </row>
        <row r="153">
          <cell r="BM153" t="str">
            <v/>
          </cell>
          <cell r="BN153" t="str">
            <v/>
          </cell>
        </row>
        <row r="154">
          <cell r="BM154" t="str">
            <v/>
          </cell>
          <cell r="BN154" t="str">
            <v/>
          </cell>
        </row>
        <row r="155">
          <cell r="BM155" t="str">
            <v/>
          </cell>
          <cell r="BN155" t="str">
            <v/>
          </cell>
        </row>
        <row r="156">
          <cell r="BM156" t="str">
            <v/>
          </cell>
          <cell r="BN156" t="str">
            <v/>
          </cell>
        </row>
        <row r="157">
          <cell r="BM157" t="str">
            <v/>
          </cell>
          <cell r="BN157" t="str">
            <v/>
          </cell>
        </row>
        <row r="158">
          <cell r="BM158" t="str">
            <v/>
          </cell>
          <cell r="BN158" t="str">
            <v/>
          </cell>
        </row>
        <row r="159">
          <cell r="BM159" t="str">
            <v/>
          </cell>
          <cell r="BN159" t="str">
            <v/>
          </cell>
        </row>
        <row r="160">
          <cell r="BM160" t="str">
            <v/>
          </cell>
          <cell r="BN160" t="str">
            <v/>
          </cell>
        </row>
        <row r="161">
          <cell r="BM161" t="str">
            <v/>
          </cell>
          <cell r="BN161" t="str">
            <v/>
          </cell>
        </row>
        <row r="162">
          <cell r="BM162" t="str">
            <v/>
          </cell>
          <cell r="BN162" t="str">
            <v/>
          </cell>
        </row>
        <row r="163">
          <cell r="BM163" t="str">
            <v/>
          </cell>
          <cell r="BN163" t="str">
            <v/>
          </cell>
        </row>
        <row r="164">
          <cell r="BM164" t="str">
            <v/>
          </cell>
          <cell r="BN164" t="str">
            <v/>
          </cell>
        </row>
        <row r="165">
          <cell r="BM165" t="str">
            <v/>
          </cell>
          <cell r="BN165" t="str">
            <v/>
          </cell>
        </row>
        <row r="166">
          <cell r="BM166" t="str">
            <v/>
          </cell>
          <cell r="BN166" t="str">
            <v/>
          </cell>
        </row>
        <row r="167">
          <cell r="BM167" t="str">
            <v/>
          </cell>
          <cell r="BN167" t="str">
            <v/>
          </cell>
        </row>
        <row r="168">
          <cell r="BM168" t="str">
            <v/>
          </cell>
          <cell r="BN168" t="str">
            <v/>
          </cell>
        </row>
        <row r="169">
          <cell r="BM169" t="str">
            <v/>
          </cell>
          <cell r="BN169" t="str">
            <v/>
          </cell>
        </row>
        <row r="170">
          <cell r="BM170" t="str">
            <v/>
          </cell>
          <cell r="BN170" t="str">
            <v/>
          </cell>
        </row>
        <row r="171">
          <cell r="BM171" t="str">
            <v/>
          </cell>
          <cell r="BN171" t="str">
            <v/>
          </cell>
        </row>
        <row r="172">
          <cell r="BM172" t="str">
            <v/>
          </cell>
          <cell r="BN172" t="str">
            <v/>
          </cell>
        </row>
        <row r="173">
          <cell r="BM173" t="str">
            <v/>
          </cell>
          <cell r="BN173" t="str">
            <v/>
          </cell>
        </row>
        <row r="174">
          <cell r="BM174" t="str">
            <v/>
          </cell>
          <cell r="BN174" t="str">
            <v/>
          </cell>
        </row>
        <row r="175">
          <cell r="BM175" t="str">
            <v/>
          </cell>
          <cell r="BN175" t="str">
            <v/>
          </cell>
        </row>
        <row r="176">
          <cell r="BM176" t="str">
            <v/>
          </cell>
          <cell r="BN176" t="str">
            <v/>
          </cell>
        </row>
        <row r="177">
          <cell r="BM177" t="str">
            <v/>
          </cell>
          <cell r="BN177" t="str">
            <v/>
          </cell>
        </row>
        <row r="178">
          <cell r="BM178" t="str">
            <v/>
          </cell>
          <cell r="BN178" t="str">
            <v/>
          </cell>
        </row>
        <row r="179">
          <cell r="BM179" t="str">
            <v/>
          </cell>
          <cell r="BN179" t="str">
            <v/>
          </cell>
        </row>
        <row r="180">
          <cell r="BM180" t="str">
            <v/>
          </cell>
          <cell r="BN180" t="str">
            <v/>
          </cell>
        </row>
        <row r="181">
          <cell r="BM181" t="str">
            <v/>
          </cell>
          <cell r="BN181" t="str">
            <v/>
          </cell>
        </row>
        <row r="182">
          <cell r="BM182" t="str">
            <v/>
          </cell>
          <cell r="BN182" t="str">
            <v/>
          </cell>
        </row>
        <row r="183">
          <cell r="BM183" t="str">
            <v/>
          </cell>
          <cell r="BN183" t="str">
            <v/>
          </cell>
        </row>
        <row r="184">
          <cell r="BM184" t="str">
            <v/>
          </cell>
          <cell r="BN184" t="str">
            <v/>
          </cell>
        </row>
        <row r="185">
          <cell r="BM185" t="str">
            <v/>
          </cell>
          <cell r="BN185" t="str">
            <v/>
          </cell>
        </row>
        <row r="186">
          <cell r="BM186" t="str">
            <v/>
          </cell>
          <cell r="BN186" t="str">
            <v/>
          </cell>
        </row>
        <row r="187">
          <cell r="BM187" t="str">
            <v/>
          </cell>
          <cell r="BN187" t="str">
            <v/>
          </cell>
        </row>
        <row r="188">
          <cell r="BM188" t="str">
            <v/>
          </cell>
          <cell r="BN188" t="str">
            <v/>
          </cell>
        </row>
      </sheetData>
      <sheetData sheetId="3">
        <row r="2">
          <cell r="EG2" t="e">
            <v>#REF!</v>
          </cell>
        </row>
        <row r="33">
          <cell r="B33">
            <v>1</v>
          </cell>
        </row>
        <row r="36">
          <cell r="C36">
            <v>2</v>
          </cell>
        </row>
      </sheetData>
      <sheetData sheetId="4" refreshError="1"/>
      <sheetData sheetId="5" refreshError="1"/>
      <sheetData sheetId="6" refreshError="1"/>
      <sheetData sheetId="7" refreshError="1"/>
      <sheetData sheetId="8" refreshError="1"/>
      <sheetData sheetId="9" refreshError="1"/>
      <sheetData sheetId="10">
        <row r="5">
          <cell r="F5" t="str">
            <v>Assembly</v>
          </cell>
          <cell r="G5">
            <v>0</v>
          </cell>
          <cell r="H5">
            <v>0.125</v>
          </cell>
          <cell r="I5">
            <v>0.25</v>
          </cell>
          <cell r="J5">
            <v>0.3</v>
          </cell>
          <cell r="K5">
            <v>0.48</v>
          </cell>
          <cell r="L5">
            <v>0</v>
          </cell>
          <cell r="M5">
            <v>0</v>
          </cell>
        </row>
        <row r="6">
          <cell r="F6" t="str">
            <v>Break Room</v>
          </cell>
          <cell r="G6">
            <v>0</v>
          </cell>
          <cell r="H6">
            <v>0.125</v>
          </cell>
          <cell r="I6">
            <v>0.25</v>
          </cell>
          <cell r="J6">
            <v>0.3</v>
          </cell>
          <cell r="K6">
            <v>0.48</v>
          </cell>
          <cell r="L6">
            <v>0</v>
          </cell>
          <cell r="M6">
            <v>0</v>
          </cell>
        </row>
        <row r="7">
          <cell r="F7" t="str">
            <v>Classroom</v>
          </cell>
          <cell r="G7">
            <v>0</v>
          </cell>
          <cell r="H7">
            <v>7.4999999999999997E-2</v>
          </cell>
          <cell r="I7">
            <v>0.15</v>
          </cell>
          <cell r="J7">
            <v>0.3</v>
          </cell>
          <cell r="K7">
            <v>0.41</v>
          </cell>
          <cell r="L7">
            <v>0.47</v>
          </cell>
          <cell r="M7">
            <v>0.24</v>
          </cell>
        </row>
        <row r="8">
          <cell r="F8" t="str">
            <v>Computer Room</v>
          </cell>
          <cell r="G8">
            <v>0</v>
          </cell>
          <cell r="H8">
            <v>0.125</v>
          </cell>
          <cell r="I8">
            <v>0.25</v>
          </cell>
          <cell r="J8">
            <v>0.3</v>
          </cell>
          <cell r="K8">
            <v>0.48</v>
          </cell>
          <cell r="L8">
            <v>0</v>
          </cell>
          <cell r="M8">
            <v>0</v>
          </cell>
        </row>
        <row r="9">
          <cell r="F9" t="str">
            <v>Conference Room</v>
          </cell>
          <cell r="G9">
            <v>0</v>
          </cell>
          <cell r="H9">
            <v>0.125</v>
          </cell>
          <cell r="I9">
            <v>0.25</v>
          </cell>
          <cell r="J9">
            <v>0.3</v>
          </cell>
          <cell r="K9">
            <v>0.48</v>
          </cell>
          <cell r="L9">
            <v>0.53</v>
          </cell>
          <cell r="M9">
            <v>0.33</v>
          </cell>
        </row>
        <row r="10">
          <cell r="F10" t="str">
            <v>Dining</v>
          </cell>
          <cell r="G10">
            <v>0</v>
          </cell>
          <cell r="H10">
            <v>7.4999999999999997E-2</v>
          </cell>
          <cell r="I10">
            <v>0.15</v>
          </cell>
          <cell r="J10">
            <v>0.3</v>
          </cell>
          <cell r="K10">
            <v>0.41</v>
          </cell>
          <cell r="L10">
            <v>0</v>
          </cell>
          <cell r="M10">
            <v>0</v>
          </cell>
        </row>
        <row r="11">
          <cell r="F11" t="str">
            <v>Gymnasium</v>
          </cell>
          <cell r="G11">
            <v>0</v>
          </cell>
          <cell r="H11">
            <v>0.125</v>
          </cell>
          <cell r="I11">
            <v>0.25</v>
          </cell>
          <cell r="J11">
            <v>0.3</v>
          </cell>
          <cell r="K11">
            <v>0.48</v>
          </cell>
          <cell r="L11">
            <v>0</v>
          </cell>
          <cell r="M11">
            <v>0</v>
          </cell>
        </row>
        <row r="12">
          <cell r="F12" t="str">
            <v>Gymnasium (Daylighted)</v>
          </cell>
          <cell r="G12">
            <v>0</v>
          </cell>
          <cell r="H12">
            <v>0.125</v>
          </cell>
          <cell r="I12">
            <v>0.25</v>
          </cell>
          <cell r="J12">
            <v>0.3</v>
          </cell>
          <cell r="K12">
            <v>0.48</v>
          </cell>
          <cell r="L12">
            <v>0.52800000000000002</v>
          </cell>
          <cell r="M12">
            <v>0.3</v>
          </cell>
        </row>
        <row r="13">
          <cell r="F13" t="str">
            <v>Hallway</v>
          </cell>
          <cell r="G13">
            <v>0</v>
          </cell>
          <cell r="H13">
            <v>0.3</v>
          </cell>
          <cell r="I13">
            <v>0.6</v>
          </cell>
          <cell r="J13">
            <v>0.3</v>
          </cell>
          <cell r="K13">
            <v>0.72</v>
          </cell>
          <cell r="L13">
            <v>0</v>
          </cell>
          <cell r="M13">
            <v>0</v>
          </cell>
        </row>
        <row r="14">
          <cell r="F14" t="str">
            <v>Hospital Room</v>
          </cell>
          <cell r="G14">
            <v>0</v>
          </cell>
          <cell r="H14">
            <v>0.125</v>
          </cell>
          <cell r="I14">
            <v>0.25</v>
          </cell>
          <cell r="J14">
            <v>0.3</v>
          </cell>
          <cell r="K14">
            <v>0.48</v>
          </cell>
          <cell r="L14">
            <v>0</v>
          </cell>
          <cell r="M14">
            <v>0</v>
          </cell>
        </row>
        <row r="15">
          <cell r="F15" t="str">
            <v>Industrial</v>
          </cell>
          <cell r="G15">
            <v>0</v>
          </cell>
          <cell r="H15">
            <v>0.125</v>
          </cell>
          <cell r="I15">
            <v>0.25</v>
          </cell>
          <cell r="J15">
            <v>0.3</v>
          </cell>
          <cell r="K15">
            <v>0.48</v>
          </cell>
          <cell r="L15">
            <v>0</v>
          </cell>
          <cell r="M15">
            <v>0</v>
          </cell>
        </row>
        <row r="16">
          <cell r="F16" t="str">
            <v>Kitchen</v>
          </cell>
          <cell r="G16">
            <v>0</v>
          </cell>
          <cell r="H16">
            <v>0.125</v>
          </cell>
          <cell r="I16">
            <v>0.25</v>
          </cell>
          <cell r="J16">
            <v>0.3</v>
          </cell>
          <cell r="K16">
            <v>0.48</v>
          </cell>
          <cell r="L16">
            <v>0</v>
          </cell>
          <cell r="M16">
            <v>0</v>
          </cell>
        </row>
        <row r="17">
          <cell r="F17" t="str">
            <v>Library</v>
          </cell>
          <cell r="G17">
            <v>0</v>
          </cell>
          <cell r="H17">
            <v>0.125</v>
          </cell>
          <cell r="I17">
            <v>0.25</v>
          </cell>
          <cell r="J17">
            <v>0.3</v>
          </cell>
          <cell r="K17">
            <v>0.48</v>
          </cell>
          <cell r="L17">
            <v>0</v>
          </cell>
          <cell r="M17">
            <v>0</v>
          </cell>
        </row>
        <row r="18">
          <cell r="F18" t="str">
            <v>Lobby</v>
          </cell>
          <cell r="G18">
            <v>0</v>
          </cell>
          <cell r="H18">
            <v>0.125</v>
          </cell>
          <cell r="I18">
            <v>0.25</v>
          </cell>
          <cell r="J18">
            <v>0.3</v>
          </cell>
          <cell r="K18">
            <v>0.48</v>
          </cell>
          <cell r="L18">
            <v>0</v>
          </cell>
          <cell r="M18">
            <v>0</v>
          </cell>
        </row>
        <row r="19">
          <cell r="F19" t="str">
            <v>Lodging (Guest Rooms)</v>
          </cell>
          <cell r="G19">
            <v>0</v>
          </cell>
          <cell r="H19">
            <v>0.125</v>
          </cell>
          <cell r="I19">
            <v>0.25</v>
          </cell>
          <cell r="J19">
            <v>0.3</v>
          </cell>
          <cell r="K19">
            <v>0.48</v>
          </cell>
          <cell r="L19">
            <v>0</v>
          </cell>
          <cell r="M19">
            <v>0</v>
          </cell>
        </row>
        <row r="20">
          <cell r="F20" t="str">
            <v>Open Office</v>
          </cell>
          <cell r="G20">
            <v>0</v>
          </cell>
          <cell r="H20">
            <v>7.4999999999999997E-2</v>
          </cell>
          <cell r="I20">
            <v>0.15</v>
          </cell>
          <cell r="J20">
            <v>0.3</v>
          </cell>
          <cell r="K20">
            <v>0.41</v>
          </cell>
          <cell r="L20">
            <v>0.47</v>
          </cell>
          <cell r="M20">
            <v>0.24</v>
          </cell>
        </row>
        <row r="21">
          <cell r="F21" t="str">
            <v>Other</v>
          </cell>
          <cell r="G21">
            <v>0</v>
          </cell>
          <cell r="H21">
            <v>0.125</v>
          </cell>
          <cell r="I21">
            <v>0.25</v>
          </cell>
          <cell r="J21">
            <v>0.3</v>
          </cell>
          <cell r="K21">
            <v>0.48</v>
          </cell>
          <cell r="L21">
            <v>0</v>
          </cell>
          <cell r="M21">
            <v>0</v>
          </cell>
        </row>
        <row r="22">
          <cell r="F22" t="str">
            <v>Parking Garage</v>
          </cell>
          <cell r="G22">
            <v>0</v>
          </cell>
          <cell r="H22">
            <v>0.125</v>
          </cell>
          <cell r="I22">
            <v>0.25</v>
          </cell>
          <cell r="J22">
            <v>0.3</v>
          </cell>
          <cell r="K22">
            <v>0.48</v>
          </cell>
          <cell r="L22">
            <v>0</v>
          </cell>
          <cell r="M22">
            <v>0</v>
          </cell>
        </row>
        <row r="23">
          <cell r="F23" t="str">
            <v>Private Office</v>
          </cell>
          <cell r="G23">
            <v>0</v>
          </cell>
          <cell r="H23">
            <v>7.4999999999999997E-2</v>
          </cell>
          <cell r="I23">
            <v>0.15</v>
          </cell>
          <cell r="J23">
            <v>0.3</v>
          </cell>
          <cell r="K23">
            <v>0.41</v>
          </cell>
          <cell r="L23">
            <v>0.47</v>
          </cell>
          <cell r="M23">
            <v>0.24</v>
          </cell>
        </row>
        <row r="24">
          <cell r="F24" t="str">
            <v>Process</v>
          </cell>
          <cell r="G24">
            <v>0</v>
          </cell>
          <cell r="H24">
            <v>0.125</v>
          </cell>
          <cell r="I24">
            <v>0.25</v>
          </cell>
          <cell r="J24">
            <v>0.3</v>
          </cell>
          <cell r="K24">
            <v>0.48</v>
          </cell>
          <cell r="L24">
            <v>0</v>
          </cell>
          <cell r="M24">
            <v>0</v>
          </cell>
        </row>
        <row r="25">
          <cell r="F25" t="str">
            <v>Public Assembly</v>
          </cell>
          <cell r="G25">
            <v>0</v>
          </cell>
          <cell r="H25">
            <v>0.125</v>
          </cell>
          <cell r="I25">
            <v>0.25</v>
          </cell>
          <cell r="J25">
            <v>0.3</v>
          </cell>
          <cell r="K25">
            <v>0.48</v>
          </cell>
          <cell r="L25">
            <v>0</v>
          </cell>
          <cell r="M25">
            <v>0</v>
          </cell>
        </row>
        <row r="26">
          <cell r="F26" t="str">
            <v>Restroom</v>
          </cell>
          <cell r="G26">
            <v>0</v>
          </cell>
          <cell r="H26">
            <v>0.25</v>
          </cell>
          <cell r="I26">
            <v>0.5</v>
          </cell>
          <cell r="J26">
            <v>0.3</v>
          </cell>
          <cell r="K26">
            <v>0.65</v>
          </cell>
          <cell r="L26">
            <v>0</v>
          </cell>
          <cell r="M26">
            <v>0</v>
          </cell>
        </row>
        <row r="27">
          <cell r="F27" t="str">
            <v>Retail</v>
          </cell>
          <cell r="G27">
            <v>0</v>
          </cell>
          <cell r="H27">
            <v>0.125</v>
          </cell>
          <cell r="I27">
            <v>0.25</v>
          </cell>
          <cell r="J27">
            <v>0.3</v>
          </cell>
          <cell r="K27">
            <v>0.48</v>
          </cell>
          <cell r="L27">
            <v>0</v>
          </cell>
          <cell r="M27">
            <v>0</v>
          </cell>
        </row>
        <row r="28">
          <cell r="F28" t="str">
            <v>Stairs</v>
          </cell>
          <cell r="G28">
            <v>0</v>
          </cell>
          <cell r="H28">
            <v>0.32</v>
          </cell>
          <cell r="I28">
            <v>0.64</v>
          </cell>
          <cell r="J28">
            <v>0.3</v>
          </cell>
          <cell r="K28">
            <v>0.75</v>
          </cell>
          <cell r="L28">
            <v>0</v>
          </cell>
          <cell r="M28">
            <v>0</v>
          </cell>
        </row>
        <row r="29">
          <cell r="F29" t="str">
            <v>Storage</v>
          </cell>
          <cell r="G29">
            <v>0</v>
          </cell>
          <cell r="H29">
            <v>0.25</v>
          </cell>
          <cell r="I29">
            <v>0.5</v>
          </cell>
          <cell r="J29">
            <v>0.3</v>
          </cell>
          <cell r="K29">
            <v>0.65</v>
          </cell>
          <cell r="L29">
            <v>0</v>
          </cell>
          <cell r="M29">
            <v>0</v>
          </cell>
        </row>
        <row r="30">
          <cell r="F30" t="str">
            <v>Technical Area</v>
          </cell>
          <cell r="G30">
            <v>0</v>
          </cell>
          <cell r="H30">
            <v>0.125</v>
          </cell>
          <cell r="I30">
            <v>0.25</v>
          </cell>
          <cell r="J30">
            <v>0.3</v>
          </cell>
          <cell r="K30">
            <v>0.48</v>
          </cell>
          <cell r="L30">
            <v>0</v>
          </cell>
          <cell r="M30">
            <v>0</v>
          </cell>
        </row>
        <row r="31">
          <cell r="F31" t="str">
            <v>Warehouse</v>
          </cell>
          <cell r="G31">
            <v>0</v>
          </cell>
          <cell r="H31">
            <v>0.25</v>
          </cell>
          <cell r="I31">
            <v>0.5</v>
          </cell>
          <cell r="J31">
            <v>0.3</v>
          </cell>
          <cell r="K31">
            <v>0.65</v>
          </cell>
          <cell r="L31">
            <v>0</v>
          </cell>
          <cell r="M31">
            <v>0</v>
          </cell>
        </row>
        <row r="32">
          <cell r="F32" t="str">
            <v>Warehouse (Top Lighted)</v>
          </cell>
          <cell r="G32">
            <v>0</v>
          </cell>
          <cell r="H32">
            <v>0.25</v>
          </cell>
          <cell r="I32">
            <v>0.5</v>
          </cell>
          <cell r="J32">
            <v>0.3</v>
          </cell>
          <cell r="K32">
            <v>0.65</v>
          </cell>
          <cell r="L32">
            <v>0.69</v>
          </cell>
          <cell r="M32">
            <v>0.55000000000000004</v>
          </cell>
        </row>
        <row r="33">
          <cell r="F33" t="str">
            <v>OtherDaylighted Space</v>
          </cell>
          <cell r="G33">
            <v>0</v>
          </cell>
          <cell r="H33">
            <v>0.15</v>
          </cell>
          <cell r="I33">
            <v>7.4999999999999997E-2</v>
          </cell>
          <cell r="J33">
            <v>0.3</v>
          </cell>
          <cell r="K33">
            <v>0.41</v>
          </cell>
          <cell r="L33">
            <v>0.41</v>
          </cell>
          <cell r="M33">
            <v>0</v>
          </cell>
        </row>
        <row r="37">
          <cell r="F37" t="str">
            <v>Parking and drives</v>
          </cell>
          <cell r="G37">
            <v>0</v>
          </cell>
          <cell r="H37">
            <v>0</v>
          </cell>
          <cell r="I37">
            <v>0.25</v>
          </cell>
          <cell r="J37">
            <v>0.05</v>
          </cell>
          <cell r="K37">
            <v>0</v>
          </cell>
          <cell r="L37">
            <v>0.3</v>
          </cell>
        </row>
        <row r="38">
          <cell r="F38" t="str">
            <v>Walkways and Plaza</v>
          </cell>
          <cell r="G38">
            <v>0</v>
          </cell>
          <cell r="H38">
            <v>0</v>
          </cell>
          <cell r="I38">
            <v>0.25</v>
          </cell>
          <cell r="J38">
            <v>0.05</v>
          </cell>
          <cell r="K38">
            <v>0</v>
          </cell>
          <cell r="L38">
            <v>0.3</v>
          </cell>
        </row>
        <row r="39">
          <cell r="F39" t="str">
            <v>Stairways</v>
          </cell>
          <cell r="G39">
            <v>0</v>
          </cell>
          <cell r="H39">
            <v>0</v>
          </cell>
          <cell r="I39">
            <v>0</v>
          </cell>
          <cell r="J39">
            <v>0.05</v>
          </cell>
          <cell r="K39">
            <v>0</v>
          </cell>
          <cell r="L39">
            <v>0.3</v>
          </cell>
        </row>
        <row r="40">
          <cell r="F40" t="str">
            <v>Pedestrian tunnels</v>
          </cell>
          <cell r="G40">
            <v>0</v>
          </cell>
          <cell r="H40">
            <v>0</v>
          </cell>
          <cell r="I40">
            <v>0.25</v>
          </cell>
          <cell r="J40">
            <v>0.05</v>
          </cell>
          <cell r="K40">
            <v>0</v>
          </cell>
          <cell r="L40">
            <v>0.3</v>
          </cell>
        </row>
        <row r="41">
          <cell r="F41" t="str">
            <v>Entry canopies</v>
          </cell>
          <cell r="G41">
            <v>0</v>
          </cell>
          <cell r="H41">
            <v>0</v>
          </cell>
          <cell r="I41">
            <v>0.25</v>
          </cell>
          <cell r="J41">
            <v>0.05</v>
          </cell>
          <cell r="K41">
            <v>0</v>
          </cell>
          <cell r="L41">
            <v>0.3</v>
          </cell>
        </row>
        <row r="42">
          <cell r="F42" t="str">
            <v>Sales Canopies</v>
          </cell>
          <cell r="G42">
            <v>0</v>
          </cell>
          <cell r="H42">
            <v>0</v>
          </cell>
          <cell r="I42">
            <v>0.25</v>
          </cell>
          <cell r="J42">
            <v>0.05</v>
          </cell>
          <cell r="K42">
            <v>0</v>
          </cell>
          <cell r="L42">
            <v>0.3</v>
          </cell>
        </row>
        <row r="43">
          <cell r="F43" t="str">
            <v>Outdoor Sales</v>
          </cell>
          <cell r="G43">
            <v>0</v>
          </cell>
          <cell r="H43">
            <v>0</v>
          </cell>
          <cell r="I43">
            <v>0.25</v>
          </cell>
          <cell r="J43">
            <v>0.05</v>
          </cell>
          <cell r="K43">
            <v>0</v>
          </cell>
          <cell r="L43">
            <v>0.3</v>
          </cell>
        </row>
        <row r="44">
          <cell r="F44" t="str">
            <v>Building facades</v>
          </cell>
          <cell r="G44">
            <v>0</v>
          </cell>
          <cell r="H44">
            <v>0</v>
          </cell>
          <cell r="I44">
            <v>0</v>
          </cell>
          <cell r="J44">
            <v>0.05</v>
          </cell>
          <cell r="K44">
            <v>0</v>
          </cell>
          <cell r="L44">
            <v>0.3</v>
          </cell>
        </row>
        <row r="45">
          <cell r="F45" t="str">
            <v>Other Exterior Area</v>
          </cell>
          <cell r="G45">
            <v>0</v>
          </cell>
          <cell r="H45">
            <v>0</v>
          </cell>
          <cell r="I45">
            <v>0</v>
          </cell>
          <cell r="J45">
            <v>0.05</v>
          </cell>
          <cell r="K45">
            <v>0</v>
          </cell>
          <cell r="L45">
            <v>0.3</v>
          </cell>
        </row>
        <row r="49">
          <cell r="F49" t="str">
            <v>Street</v>
          </cell>
          <cell r="G49">
            <v>0</v>
          </cell>
          <cell r="H49">
            <v>0</v>
          </cell>
          <cell r="I49">
            <v>0</v>
          </cell>
          <cell r="J49">
            <v>0</v>
          </cell>
          <cell r="K49">
            <v>0.05</v>
          </cell>
          <cell r="L49">
            <v>0</v>
          </cell>
        </row>
        <row r="74">
          <cell r="F74">
            <v>0.77083333333333337</v>
          </cell>
          <cell r="G74">
            <v>1</v>
          </cell>
        </row>
        <row r="75">
          <cell r="F75">
            <v>0.79166666666666663</v>
          </cell>
          <cell r="G75">
            <v>0.95</v>
          </cell>
        </row>
        <row r="76">
          <cell r="F76">
            <v>0.8125</v>
          </cell>
          <cell r="G76">
            <v>0.9</v>
          </cell>
        </row>
        <row r="77">
          <cell r="F77">
            <v>0.83333333333333304</v>
          </cell>
          <cell r="G77">
            <v>0.85</v>
          </cell>
        </row>
        <row r="78">
          <cell r="F78">
            <v>0.85416666666666596</v>
          </cell>
          <cell r="G78">
            <v>0.8</v>
          </cell>
        </row>
        <row r="79">
          <cell r="F79">
            <v>0.874999999999999</v>
          </cell>
          <cell r="G79">
            <v>0.75</v>
          </cell>
        </row>
        <row r="80">
          <cell r="F80">
            <v>0.89583333333333304</v>
          </cell>
          <cell r="G80">
            <v>0.7</v>
          </cell>
        </row>
        <row r="81">
          <cell r="F81">
            <v>0.91666666666666596</v>
          </cell>
          <cell r="G81">
            <v>0.65</v>
          </cell>
        </row>
        <row r="82">
          <cell r="F82">
            <v>0.937499999999999</v>
          </cell>
          <cell r="G82">
            <v>0.6</v>
          </cell>
        </row>
        <row r="83">
          <cell r="F83">
            <v>0.95833333333333204</v>
          </cell>
          <cell r="G83">
            <v>0.55000000000000004</v>
          </cell>
        </row>
        <row r="84">
          <cell r="F84">
            <v>0.97916666666666596</v>
          </cell>
          <cell r="G84">
            <v>0.5</v>
          </cell>
        </row>
        <row r="85">
          <cell r="F85">
            <v>0.999999999999999</v>
          </cell>
          <cell r="G85">
            <v>0.45</v>
          </cell>
        </row>
        <row r="86">
          <cell r="F86">
            <v>1.0208333333333299</v>
          </cell>
          <cell r="G86">
            <v>0.4</v>
          </cell>
        </row>
        <row r="87">
          <cell r="F87">
            <v>1.0416666666666701</v>
          </cell>
          <cell r="G87">
            <v>0.35</v>
          </cell>
        </row>
        <row r="88">
          <cell r="F88">
            <v>1.0625</v>
          </cell>
          <cell r="G88">
            <v>0.3</v>
          </cell>
        </row>
        <row r="89">
          <cell r="F89">
            <v>1.0833333333333299</v>
          </cell>
          <cell r="G89">
            <v>0.25</v>
          </cell>
        </row>
        <row r="90">
          <cell r="F90">
            <v>1.1041666666666701</v>
          </cell>
          <cell r="G90">
            <v>0.2</v>
          </cell>
        </row>
        <row r="91">
          <cell r="F91">
            <v>1.125</v>
          </cell>
          <cell r="G91">
            <v>0.15</v>
          </cell>
        </row>
        <row r="92">
          <cell r="F92">
            <v>1.1458333333333299</v>
          </cell>
          <cell r="G92">
            <v>0.1</v>
          </cell>
        </row>
        <row r="93">
          <cell r="F93">
            <v>1.1666666666666701</v>
          </cell>
          <cell r="G93">
            <v>0.05</v>
          </cell>
        </row>
        <row r="94">
          <cell r="F94">
            <v>1.1875</v>
          </cell>
          <cell r="G94">
            <v>0</v>
          </cell>
        </row>
        <row r="95">
          <cell r="F95">
            <v>1.2083333333333299</v>
          </cell>
        </row>
        <row r="96">
          <cell r="F96">
            <v>1.2291666666666667</v>
          </cell>
        </row>
        <row r="97">
          <cell r="F97">
            <v>1.25</v>
          </cell>
        </row>
      </sheetData>
      <sheetData sheetId="11" refreshError="1"/>
      <sheetData sheetId="12" refreshError="1"/>
      <sheetData sheetId="13" refreshError="1"/>
      <sheetData sheetId="14" refreshError="1"/>
      <sheetData sheetId="15" refreshError="1"/>
      <sheetData sheetId="16" refreshError="1"/>
      <sheetData sheetId="17">
        <row r="3">
          <cell r="M3" t="str">
            <v>LED Fixture (not TLED)</v>
          </cell>
          <cell r="N3" t="str">
            <v>Custom_Fixtures</v>
          </cell>
          <cell r="P3" t="str">
            <v>03 Troffer</v>
          </cell>
          <cell r="T3" t="str">
            <v>Gas / Propane Heat</v>
          </cell>
          <cell r="Z3" t="str">
            <v>- Choose Interior Area -</v>
          </cell>
          <cell r="AR3" t="str">
            <v>Controls_Interior_Basic</v>
          </cell>
          <cell r="AS3">
            <v>1</v>
          </cell>
          <cell r="AU3" t="str">
            <v>Switch / Breaker</v>
          </cell>
          <cell r="AV3">
            <v>2</v>
          </cell>
          <cell r="AW3" t="str">
            <v>Controls_Interior_Basic</v>
          </cell>
          <cell r="AX3" t="str">
            <v>Controls_Interior_LLLC</v>
          </cell>
          <cell r="BC3" t="str">
            <v>Sch 8</v>
          </cell>
          <cell r="BJ3" t="str">
            <v>- Choose Type -</v>
          </cell>
          <cell r="BP3" t="str">
            <v>Alex Cimino-Hurt</v>
          </cell>
        </row>
        <row r="4">
          <cell r="M4" t="str">
            <v>TLED Lamp</v>
          </cell>
          <cell r="N4" t="str">
            <v>Custom_TLED</v>
          </cell>
          <cell r="P4" t="str">
            <v>04 Low/High Bay</v>
          </cell>
          <cell r="T4" t="str">
            <v>Electric Heat</v>
          </cell>
          <cell r="Z4" t="str">
            <v>Assembly</v>
          </cell>
          <cell r="AR4" t="str">
            <v>Controls_Interior_LLLC</v>
          </cell>
          <cell r="AS4">
            <v>2</v>
          </cell>
          <cell r="AU4" t="str">
            <v>Timer / Time Switch</v>
          </cell>
          <cell r="AV4">
            <v>3</v>
          </cell>
          <cell r="AW4" t="str">
            <v>Controls_Interior_Basic</v>
          </cell>
          <cell r="AX4" t="str">
            <v>Controls_Interior_LLLC</v>
          </cell>
          <cell r="BC4" t="str">
            <v xml:space="preserve">Sch 11 (&lt;20,000 kWh/mo) </v>
          </cell>
          <cell r="BJ4" t="str">
            <v>In-house (Self)</v>
          </cell>
          <cell r="BP4" t="str">
            <v>Allen Ma</v>
          </cell>
        </row>
        <row r="5">
          <cell r="M5" t="str">
            <v>TLED (Plug and Play)</v>
          </cell>
          <cell r="N5" t="str">
            <v>Exist_T8_4ft_E</v>
          </cell>
          <cell r="P5" t="str">
            <v>05 Downlight</v>
          </cell>
          <cell r="T5" t="str">
            <v>Non Heated</v>
          </cell>
          <cell r="Z5" t="str">
            <v>Break Room</v>
          </cell>
          <cell r="AR5" t="str">
            <v>Controls_Exterior</v>
          </cell>
          <cell r="AS5">
            <v>3</v>
          </cell>
          <cell r="AU5" t="str">
            <v>Occupancy Sensor</v>
          </cell>
          <cell r="AV5">
            <v>4</v>
          </cell>
          <cell r="AW5" t="str">
            <v>Controls_Interior_Basic</v>
          </cell>
          <cell r="AX5" t="str">
            <v>Controls_Interior_LLLC</v>
          </cell>
          <cell r="BC5" t="str">
            <v xml:space="preserve">Sch 11 (&gt;20,000 kWh/mo) </v>
          </cell>
          <cell r="BJ5" t="str">
            <v>Contractor</v>
          </cell>
          <cell r="BP5" t="str">
            <v>Andrew Pultorak</v>
          </cell>
        </row>
        <row r="6">
          <cell r="M6" t="str">
            <v>TLED (Ballast ByPass)</v>
          </cell>
          <cell r="N6" t="str">
            <v>Exist_T8_4ft_E</v>
          </cell>
          <cell r="P6" t="str">
            <v>06 Strip/Industrial</v>
          </cell>
          <cell r="T6" t="str">
            <v>Refrig Space</v>
          </cell>
          <cell r="Z6" t="str">
            <v>Classroom</v>
          </cell>
          <cell r="AR6" t="str">
            <v>Controls_Exterior_Basic</v>
          </cell>
          <cell r="AS6">
            <v>4</v>
          </cell>
          <cell r="AU6" t="str">
            <v>Interior Daylight Dimming</v>
          </cell>
          <cell r="AV6">
            <v>5</v>
          </cell>
          <cell r="AW6" t="str">
            <v>Controls_Interior_Basic</v>
          </cell>
          <cell r="AX6" t="str">
            <v>Controls_Interior_LLLC</v>
          </cell>
          <cell r="BC6" t="str">
            <v>Sch 12 - Primary</v>
          </cell>
          <cell r="BP6" t="str">
            <v>Austin Doutre</v>
          </cell>
        </row>
        <row r="7">
          <cell r="M7" t="str">
            <v>TLED (External)</v>
          </cell>
          <cell r="N7" t="str">
            <v>Exist_T8_4ft_E</v>
          </cell>
          <cell r="P7" t="str">
            <v>07 Cooler Case</v>
          </cell>
          <cell r="T7" t="str">
            <v>Exterior</v>
          </cell>
          <cell r="Z7" t="str">
            <v>Computer Rooms</v>
          </cell>
          <cell r="AR7" t="str">
            <v>Controls_Removed</v>
          </cell>
          <cell r="AS7">
            <v>5</v>
          </cell>
          <cell r="AU7" t="str">
            <v>Daylight + Occupancy</v>
          </cell>
          <cell r="AV7">
            <v>6</v>
          </cell>
          <cell r="AW7" t="str">
            <v>Controls_Interior_Basic</v>
          </cell>
          <cell r="AX7" t="str">
            <v>Controls_Interior_LLLC</v>
          </cell>
          <cell r="BC7" t="str">
            <v>Sch 12 - Secondary</v>
          </cell>
          <cell r="BP7" t="str">
            <v>Beth Robinweiler</v>
          </cell>
        </row>
        <row r="8">
          <cell r="M8" t="str">
            <v>LED Lamp (CFL or HID replacement)</v>
          </cell>
          <cell r="N8" t="str">
            <v>Custom_CFL_HID_Lamps</v>
          </cell>
          <cell r="P8" t="str">
            <v>08 Other Interior</v>
          </cell>
          <cell r="T8" t="str">
            <v>Street Light</v>
          </cell>
          <cell r="Z8" t="str">
            <v>Conference Room</v>
          </cell>
          <cell r="AU8" t="str">
            <v>Interior LLLC</v>
          </cell>
          <cell r="AV8">
            <v>7</v>
          </cell>
          <cell r="AW8" t="str">
            <v>Controls_Interior_LLLC</v>
          </cell>
          <cell r="AX8" t="str">
            <v>Controls_Interior_LLLC</v>
          </cell>
          <cell r="BC8" t="str">
            <v>Sch 24</v>
          </cell>
          <cell r="BP8" t="str">
            <v>Chao Chen</v>
          </cell>
        </row>
        <row r="9">
          <cell r="M9" t="str">
            <v>Fixture Removed</v>
          </cell>
          <cell r="N9" t="str">
            <v>Exist_Removed</v>
          </cell>
          <cell r="P9" t="str">
            <v>09 Parking/Area</v>
          </cell>
          <cell r="T9" t="str">
            <v>Horticultural</v>
          </cell>
          <cell r="Z9" t="str">
            <v>Dining</v>
          </cell>
          <cell r="AU9" t="str">
            <v>Exterior Photo Control</v>
          </cell>
          <cell r="AV9">
            <v>2</v>
          </cell>
          <cell r="AW9" t="str">
            <v>Controls_Exterior_Basic</v>
          </cell>
          <cell r="AX9" t="str">
            <v>Controls_Exterior_Basic</v>
          </cell>
          <cell r="BC9" t="str">
            <v xml:space="preserve">Sch 25 (&lt;20,000 kWh/mo) </v>
          </cell>
          <cell r="BP9" t="str">
            <v>Courtney Shaw</v>
          </cell>
        </row>
        <row r="10">
          <cell r="M10" t="str">
            <v>No Existing</v>
          </cell>
          <cell r="N10" t="str">
            <v>No_Existing</v>
          </cell>
          <cell r="P10" t="str">
            <v>10 Flood Light</v>
          </cell>
          <cell r="Z10" t="str">
            <v>Gymnasium</v>
          </cell>
          <cell r="AU10" t="str">
            <v>Astronomical Time Switch</v>
          </cell>
          <cell r="AV10">
            <v>3</v>
          </cell>
          <cell r="AW10" t="str">
            <v>Controls_Exterior_Basic</v>
          </cell>
          <cell r="AX10" t="str">
            <v>Controls_Exterior_Basic</v>
          </cell>
          <cell r="BC10" t="str">
            <v xml:space="preserve">Sch 25 (&gt;20,000 kWh/mo) </v>
          </cell>
          <cell r="BP10" t="str">
            <v>David Montgomery</v>
          </cell>
        </row>
        <row r="11">
          <cell r="M11" t="str">
            <v>T8 4-foot (32W High Perf)</v>
          </cell>
          <cell r="N11" t="str">
            <v>Exist_T8_32WHighPerf</v>
          </cell>
          <cell r="P11" t="str">
            <v>11 Parking Garage</v>
          </cell>
          <cell r="Z11" t="str">
            <v>Hallway</v>
          </cell>
          <cell r="AU11" t="str">
            <v>Ext. Occupancy Sensor</v>
          </cell>
          <cell r="AV11">
            <v>4</v>
          </cell>
          <cell r="AW11" t="str">
            <v>Controls_Exterior_Basic</v>
          </cell>
          <cell r="AX11" t="str">
            <v>Controls_Exterior_Basic</v>
          </cell>
          <cell r="BC11" t="str">
            <v>Sch 26 - Primary</v>
          </cell>
          <cell r="BP11" t="str">
            <v>Deepa Narayanan</v>
          </cell>
        </row>
        <row r="12">
          <cell r="M12" t="str">
            <v>T8 (4-foot 28W)</v>
          </cell>
          <cell r="N12" t="str">
            <v>Exist_T8_28W</v>
          </cell>
          <cell r="P12" t="str">
            <v>12 Canopy/Soffit</v>
          </cell>
          <cell r="Z12" t="str">
            <v>Hospital Room</v>
          </cell>
          <cell r="AU12" t="str">
            <v>Exterior Dimming</v>
          </cell>
          <cell r="AV12">
            <v>5</v>
          </cell>
          <cell r="AW12" t="str">
            <v>Controls_Exterior_Basic</v>
          </cell>
          <cell r="AX12" t="str">
            <v>Controls_Exterior_Basic</v>
          </cell>
          <cell r="BC12" t="str">
            <v>Sch 26 - Secondary</v>
          </cell>
          <cell r="BP12" t="str">
            <v>Diego Rojas</v>
          </cell>
        </row>
        <row r="13">
          <cell r="M13" t="str">
            <v>T8 (4-foot 25W)</v>
          </cell>
          <cell r="N13" t="str">
            <v>Exist_T8_25W</v>
          </cell>
          <cell r="P13" t="str">
            <v>13 Wall Pack</v>
          </cell>
          <cell r="Z13" t="str">
            <v>Industrial</v>
          </cell>
          <cell r="AU13" t="str">
            <v>ADV Ext Occupancy based</v>
          </cell>
          <cell r="AV13">
            <v>7</v>
          </cell>
          <cell r="AW13" t="str">
            <v>Controls_Exterior_Basic</v>
          </cell>
          <cell r="AX13" t="str">
            <v>Controls_Exterior_Basic</v>
          </cell>
          <cell r="BC13" t="str">
            <v xml:space="preserve">Sch 29 (&lt;20,000 kWh/mo) </v>
          </cell>
          <cell r="BP13" t="str">
            <v>Jason Dinwiddie</v>
          </cell>
        </row>
        <row r="14">
          <cell r="M14" t="str">
            <v>T8 4-foot (Electronic)</v>
          </cell>
          <cell r="N14" t="str">
            <v>Exist_T8_4ft_E</v>
          </cell>
          <cell r="P14" t="str">
            <v>14 Street Light</v>
          </cell>
          <cell r="Z14" t="str">
            <v>Kitchen</v>
          </cell>
          <cell r="AU14" t="str">
            <v>ADV Ext Time based</v>
          </cell>
          <cell r="AV14">
            <v>7</v>
          </cell>
          <cell r="AW14" t="str">
            <v>Controls_Exterior_Basic</v>
          </cell>
          <cell r="AX14" t="str">
            <v>Controls_Exterior_Basic</v>
          </cell>
          <cell r="BC14" t="str">
            <v xml:space="preserve">Sch 29 (&gt;20,000 kWh/mo) </v>
          </cell>
          <cell r="BP14" t="str">
            <v>Jason Hyatt</v>
          </cell>
        </row>
        <row r="15">
          <cell r="M15" t="str">
            <v>T8 4-foot (Magnetic NOT COMMON)</v>
          </cell>
          <cell r="N15" t="str">
            <v>Exist_T8_4ft_Mag</v>
          </cell>
          <cell r="P15" t="str">
            <v>15 Sign</v>
          </cell>
          <cell r="Z15" t="str">
            <v>Library</v>
          </cell>
          <cell r="AU15" t="str">
            <v>Removed</v>
          </cell>
          <cell r="AV15">
            <v>0</v>
          </cell>
          <cell r="AW15" t="str">
            <v>Controls_Removed</v>
          </cell>
          <cell r="AX15" t="str">
            <v>Controls_Removed</v>
          </cell>
          <cell r="BC15" t="str">
            <v>Sch 31</v>
          </cell>
          <cell r="BP15" t="str">
            <v>Jeff Petersen</v>
          </cell>
        </row>
        <row r="16">
          <cell r="M16" t="str">
            <v>Exit Sign</v>
          </cell>
          <cell r="N16" t="str">
            <v>Exist_Exit</v>
          </cell>
          <cell r="P16" t="str">
            <v>16 Other Exterior</v>
          </cell>
          <cell r="Z16" t="str">
            <v>Lobby</v>
          </cell>
          <cell r="BC16" t="str">
            <v>Sch 40-HV</v>
          </cell>
          <cell r="BP16" t="str">
            <v>Jenny Voss</v>
          </cell>
        </row>
        <row r="17">
          <cell r="M17" t="str">
            <v>T8 2-foot</v>
          </cell>
          <cell r="N17" t="str">
            <v>Exist_T8_2ft</v>
          </cell>
          <cell r="P17" t="str">
            <v>CFL-LED Retrofit module</v>
          </cell>
          <cell r="Z17" t="str">
            <v>Lodging (Guest Rooms)</v>
          </cell>
          <cell r="BC17" t="str">
            <v>Sch 40-Primary</v>
          </cell>
          <cell r="BP17" t="str">
            <v>Jon Fairless</v>
          </cell>
        </row>
        <row r="18">
          <cell r="M18" t="str">
            <v>T8 3-foot</v>
          </cell>
          <cell r="N18" t="str">
            <v>Exist_T8_3ft</v>
          </cell>
          <cell r="P18" t="str">
            <v>HID-LED Retrofit module</v>
          </cell>
          <cell r="Z18" t="str">
            <v>Open Office</v>
          </cell>
          <cell r="BC18" t="str">
            <v>Sch 40-Secondary</v>
          </cell>
          <cell r="BP18" t="str">
            <v>Karla Petersen</v>
          </cell>
        </row>
        <row r="19">
          <cell r="M19" t="str">
            <v>T8 5-foot</v>
          </cell>
          <cell r="N19" t="str">
            <v>Exist_T8_5ft</v>
          </cell>
          <cell r="P19" t="str">
            <v>CFL-LED Retrofit Lamp</v>
          </cell>
          <cell r="Z19" t="str">
            <v>Other</v>
          </cell>
          <cell r="BC19" t="str">
            <v>Sch 43</v>
          </cell>
          <cell r="BP19" t="str">
            <v>Leo Liu</v>
          </cell>
        </row>
        <row r="20">
          <cell r="M20" t="str">
            <v>T8 Slimline</v>
          </cell>
          <cell r="N20" t="str">
            <v>Exist_T8_Slimline</v>
          </cell>
          <cell r="P20" t="str">
            <v>HID-LED Retrofit lamp</v>
          </cell>
          <cell r="Z20" t="str">
            <v>Parking Garage</v>
          </cell>
          <cell r="BC20" t="str">
            <v>Sch 46</v>
          </cell>
          <cell r="BP20" t="str">
            <v>Lionel Metchop</v>
          </cell>
        </row>
        <row r="21">
          <cell r="M21" t="str">
            <v>T8 HO</v>
          </cell>
          <cell r="N21" t="str">
            <v>Exist_T8_HO</v>
          </cell>
          <cell r="P21" t="str">
            <v>TLED (Plug and Play)</v>
          </cell>
          <cell r="Z21" t="str">
            <v>Private Office</v>
          </cell>
          <cell r="BC21" t="str">
            <v>Sch 49</v>
          </cell>
          <cell r="BP21" t="str">
            <v>Max Rennie</v>
          </cell>
        </row>
        <row r="22">
          <cell r="M22" t="str">
            <v>T5</v>
          </cell>
          <cell r="N22" t="str">
            <v>Exist_T5</v>
          </cell>
          <cell r="P22" t="str">
            <v>TLED (Ballast ByPass)</v>
          </cell>
          <cell r="Z22" t="str">
            <v>Process</v>
          </cell>
          <cell r="BC22" t="str">
            <v>Sch 5x</v>
          </cell>
          <cell r="BP22" t="str">
            <v>Michael Lane</v>
          </cell>
        </row>
        <row r="23">
          <cell r="M23" t="str">
            <v>T5HO</v>
          </cell>
          <cell r="N23" t="str">
            <v>Exist_T5_HO</v>
          </cell>
          <cell r="P23" t="str">
            <v>TLED (External)</v>
          </cell>
          <cell r="Z23" t="str">
            <v>Public Assembly</v>
          </cell>
          <cell r="BP23" t="str">
            <v>Michelle Goldberg</v>
          </cell>
        </row>
        <row r="24">
          <cell r="M24" t="str">
            <v>T12</v>
          </cell>
          <cell r="N24" t="str">
            <v>Exist_T12</v>
          </cell>
          <cell r="Z24" t="str">
            <v>Restroom</v>
          </cell>
          <cell r="BP24" t="str">
            <v>Mike Morris</v>
          </cell>
        </row>
        <row r="25">
          <cell r="M25" t="str">
            <v>T12 Slimline</v>
          </cell>
          <cell r="N25" t="str">
            <v>Exist_T12_Slimline</v>
          </cell>
          <cell r="Z25" t="str">
            <v>Retail</v>
          </cell>
          <cell r="BP25" t="str">
            <v>Oneira Gonzalez</v>
          </cell>
        </row>
        <row r="26">
          <cell r="M26" t="str">
            <v>T12 HO</v>
          </cell>
          <cell r="N26" t="str">
            <v>Exist_T12_HO</v>
          </cell>
          <cell r="Z26" t="str">
            <v>Stairs</v>
          </cell>
          <cell r="BP26" t="str">
            <v>Peter Lillesve</v>
          </cell>
        </row>
        <row r="27">
          <cell r="M27" t="str">
            <v>Metal Halide</v>
          </cell>
          <cell r="N27" t="str">
            <v>Exist_MH</v>
          </cell>
          <cell r="Z27" t="str">
            <v>Storage</v>
          </cell>
          <cell r="AY27">
            <v>0</v>
          </cell>
          <cell r="AZ27" t="str">
            <v>Calculate</v>
          </cell>
          <cell r="BA27" t="str">
            <v>Complete</v>
          </cell>
          <cell r="BB27" t="str">
            <v>Green</v>
          </cell>
          <cell r="BP27" t="str">
            <v>Qun Yu</v>
          </cell>
        </row>
        <row r="28">
          <cell r="M28" t="str">
            <v>High Pressure Sodium</v>
          </cell>
          <cell r="N28" t="str">
            <v>Exist_HPS</v>
          </cell>
          <cell r="Z28" t="str">
            <v>Technical Area</v>
          </cell>
          <cell r="AY28">
            <v>1</v>
          </cell>
          <cell r="AZ28" t="str">
            <v>Exterior Hrs are 4200</v>
          </cell>
          <cell r="BA28" t="str">
            <v>Exterior Hours exceed PSE default of 4200? Justification Required!</v>
          </cell>
          <cell r="BB28" t="str">
            <v>Yellow</v>
          </cell>
          <cell r="BP28" t="str">
            <v>Richard Perlot</v>
          </cell>
        </row>
        <row r="29">
          <cell r="M29" t="str">
            <v>Mercury Vapor</v>
          </cell>
          <cell r="N29" t="str">
            <v>Exist_Mercury_Vapor</v>
          </cell>
          <cell r="Z29" t="str">
            <v>Warehouse</v>
          </cell>
          <cell r="AY29">
            <v>4</v>
          </cell>
          <cell r="AZ29" t="str">
            <v>Interior Code</v>
          </cell>
          <cell r="BA29" t="str">
            <v>Interior kWh dosen't save 5% over code, no funding - Revise!</v>
          </cell>
          <cell r="BB29" t="str">
            <v>Red</v>
          </cell>
          <cell r="BP29" t="str">
            <v>Steve Ottenbreit</v>
          </cell>
        </row>
        <row r="30">
          <cell r="M30" t="str">
            <v>Halogen A</v>
          </cell>
          <cell r="N30" t="str">
            <v>Exist_HalogenA</v>
          </cell>
          <cell r="Z30" t="str">
            <v>Warehouse (Top Lighted)</v>
          </cell>
          <cell r="AY30">
            <v>3</v>
          </cell>
          <cell r="AZ30" t="str">
            <v>Exterior Code</v>
          </cell>
          <cell r="BA30" t="str">
            <v>Exterior kWh dosen't save 5% over code, no funding - Revise!</v>
          </cell>
          <cell r="BB30" t="str">
            <v>Red</v>
          </cell>
          <cell r="BP30" t="str">
            <v>Taylor Pitts</v>
          </cell>
        </row>
        <row r="31">
          <cell r="M31" t="str">
            <v>Halogen PAR</v>
          </cell>
          <cell r="N31" t="str">
            <v>Exist_HalogenPAR</v>
          </cell>
          <cell r="AY31">
            <v>2</v>
          </cell>
          <cell r="AZ31" t="str">
            <v>Code</v>
          </cell>
          <cell r="BA31" t="str">
            <v>Installed LPD exceeds LPA for the space/area - Revise!</v>
          </cell>
          <cell r="BB31" t="str">
            <v>Yellow</v>
          </cell>
          <cell r="BP31" t="str">
            <v>Tom Anderson</v>
          </cell>
        </row>
        <row r="32">
          <cell r="M32" t="str">
            <v>Halogen MR/AR111</v>
          </cell>
          <cell r="N32" t="str">
            <v>Exist_HalogenMR</v>
          </cell>
          <cell r="AY32">
            <v>5</v>
          </cell>
          <cell r="AZ32" t="str">
            <v>Wattage Reduction</v>
          </cell>
          <cell r="BA32" t="str">
            <v>CHECK wattage reduction!</v>
          </cell>
          <cell r="BB32" t="str">
            <v>Yellow</v>
          </cell>
          <cell r="BP32" t="str">
            <v>Tyson Schmitt</v>
          </cell>
        </row>
        <row r="33">
          <cell r="M33" t="str">
            <v>Incandescent</v>
          </cell>
          <cell r="N33" t="str">
            <v>Exist_Incan</v>
          </cell>
          <cell r="Z33" t="str">
            <v>Parking and drives</v>
          </cell>
          <cell r="AY33">
            <v>6</v>
          </cell>
          <cell r="AZ33" t="str">
            <v>TI Code Control match</v>
          </cell>
          <cell r="BA33" t="str">
            <v>New Control does not meet Code Requirement for the space - Revise!</v>
          </cell>
          <cell r="BB33" t="str">
            <v>Red</v>
          </cell>
        </row>
        <row r="34">
          <cell r="M34" t="str">
            <v>CFL - Pin Base</v>
          </cell>
          <cell r="N34" t="str">
            <v>Exist_CFL</v>
          </cell>
          <cell r="Z34" t="str">
            <v>Walkways and Plaza</v>
          </cell>
          <cell r="AY34">
            <v>7</v>
          </cell>
          <cell r="AZ34" t="str">
            <v>ADV Ext Control Qty</v>
          </cell>
          <cell r="BA34" t="str">
            <v>Control quantity is greater than fixture quantity - Revise!</v>
          </cell>
          <cell r="BB34" t="str">
            <v>Red</v>
          </cell>
        </row>
        <row r="35">
          <cell r="M35" t="str">
            <v>Induction</v>
          </cell>
          <cell r="N35" t="str">
            <v>Exist_Induction</v>
          </cell>
          <cell r="Z35" t="str">
            <v>Stairways</v>
          </cell>
          <cell r="AY35">
            <v>8</v>
          </cell>
          <cell r="AZ35" t="str">
            <v>LLLC Qty</v>
          </cell>
          <cell r="BA35" t="str">
            <v>REVISE! Control Qty must match Fixture Qty for LLLC Control</v>
          </cell>
          <cell r="BB35" t="str">
            <v>Red</v>
          </cell>
        </row>
        <row r="36">
          <cell r="M36" t="str">
            <v>PoleServices</v>
          </cell>
          <cell r="N36" t="str">
            <v>PoleServices</v>
          </cell>
          <cell r="Z36" t="str">
            <v>Pedestrian tunnels</v>
          </cell>
          <cell r="AY36">
            <v>9</v>
          </cell>
          <cell r="AZ36" t="str">
            <v>Retrofit and Daylight Controls</v>
          </cell>
          <cell r="BA36" t="str">
            <v>Daylight controls selected but no daylight in space - Revise control</v>
          </cell>
          <cell r="BB36" t="str">
            <v>Red</v>
          </cell>
        </row>
        <row r="37">
          <cell r="Z37" t="str">
            <v>Entry canopies</v>
          </cell>
          <cell r="AY37">
            <v>10</v>
          </cell>
          <cell r="AZ37" t="str">
            <v>New Control Incorrect</v>
          </cell>
          <cell r="BA37" t="str">
            <v>Incorrect Control for selected heat type - Revise!</v>
          </cell>
          <cell r="BB37" t="str">
            <v>Red</v>
          </cell>
        </row>
        <row r="38">
          <cell r="Z38" t="str">
            <v>Sales Canopies</v>
          </cell>
          <cell r="AY38">
            <v>11</v>
          </cell>
          <cell r="AZ38" t="str">
            <v>Exist Control Incorrect</v>
          </cell>
          <cell r="BA38" t="str">
            <v>Incorrect Control for selected heat type - Revise!</v>
          </cell>
          <cell r="BB38" t="str">
            <v>Red</v>
          </cell>
        </row>
        <row r="39">
          <cell r="Z39" t="str">
            <v>Outdoor Sales</v>
          </cell>
          <cell r="AY39">
            <v>12</v>
          </cell>
          <cell r="AZ39" t="str">
            <v>TLED to TLED watts</v>
          </cell>
          <cell r="BA39" t="str">
            <v>No Incentive. TLED to TLED savings less than 5 watts/lamp.</v>
          </cell>
          <cell r="BB39" t="str">
            <v>Red</v>
          </cell>
        </row>
        <row r="40">
          <cell r="M40" t="str">
            <v>Fluorescent</v>
          </cell>
          <cell r="N40" t="str">
            <v>Lookup_Fixture_Fluorescent</v>
          </cell>
          <cell r="Z40" t="str">
            <v>Building facades</v>
          </cell>
          <cell r="AY40">
            <v>13</v>
          </cell>
          <cell r="AZ40" t="str">
            <v>New Fixture Changed</v>
          </cell>
          <cell r="BA40" t="str">
            <v>REVISE New Fixture! Fixture edited not created</v>
          </cell>
          <cell r="BB40" t="str">
            <v>Red</v>
          </cell>
        </row>
        <row r="41">
          <cell r="M41" t="str">
            <v>HID</v>
          </cell>
          <cell r="N41" t="str">
            <v>Lookup_Fixture_HID</v>
          </cell>
          <cell r="Z41" t="str">
            <v>Other Exterior Area</v>
          </cell>
          <cell r="AY41">
            <v>14</v>
          </cell>
          <cell r="AZ41" t="str">
            <v>Existing Fixture Changed</v>
          </cell>
          <cell r="BA41" t="str">
            <v>REVISE Existing Fixture! Fixture not created or has been edited!</v>
          </cell>
          <cell r="BB41" t="str">
            <v>Red</v>
          </cell>
        </row>
        <row r="42">
          <cell r="M42" t="str">
            <v>Incandescent</v>
          </cell>
          <cell r="N42" t="str">
            <v>Lookup_Fixture_Incandescent</v>
          </cell>
          <cell r="Z42" t="str">
            <v>Street</v>
          </cell>
          <cell r="AY42">
            <v>15</v>
          </cell>
          <cell r="AZ42" t="str">
            <v>Heat Type Change?</v>
          </cell>
          <cell r="BA42" t="str">
            <v>REVISE SPACE TYPE! Space Type incorrect for chosen Heat Type</v>
          </cell>
          <cell r="BB42" t="str">
            <v>Red</v>
          </cell>
        </row>
        <row r="43">
          <cell r="M43" t="str">
            <v>Induction</v>
          </cell>
          <cell r="N43" t="str">
            <v>Lookup_Fixture_Induction</v>
          </cell>
          <cell r="AY43">
            <v>16</v>
          </cell>
          <cell r="AZ43" t="str">
            <v>Retrofit / TI / NC Change?</v>
          </cell>
          <cell r="BA43" t="str">
            <v>REVISE SPACE TYPE! Project Type Changed</v>
          </cell>
          <cell r="BB43" t="str">
            <v>Red</v>
          </cell>
        </row>
        <row r="44">
          <cell r="M44" t="str">
            <v>Exit Sign</v>
          </cell>
          <cell r="N44" t="str">
            <v>Lookup_Fixture_Exit</v>
          </cell>
          <cell r="AY44">
            <v>32</v>
          </cell>
          <cell r="AZ44" t="str">
            <v>Cells Complete</v>
          </cell>
          <cell r="BA44" t="str">
            <v>INCOMPLETE! ALL yellow cells must be filled in.</v>
          </cell>
          <cell r="BB44" t="str">
            <v>Yellow</v>
          </cell>
        </row>
        <row r="45">
          <cell r="M45" t="str">
            <v>Existing TLED</v>
          </cell>
          <cell r="N45" t="str">
            <v>Lookup_Existing_TLED</v>
          </cell>
          <cell r="AY45">
            <v>33</v>
          </cell>
          <cell r="AZ45" t="str">
            <v>Location:</v>
          </cell>
          <cell r="BA45" t="str">
            <v xml:space="preserve"> </v>
          </cell>
          <cell r="BB45" t="str">
            <v>White</v>
          </cell>
        </row>
        <row r="46">
          <cell r="M46" t="str">
            <v>NO Existing Fixture</v>
          </cell>
          <cell r="N46" t="str">
            <v>Lookup_No_Existing</v>
          </cell>
          <cell r="AY46">
            <v>35</v>
          </cell>
          <cell r="AZ46" t="str">
            <v>Include</v>
          </cell>
          <cell r="BA46" t="str">
            <v>Not Included</v>
          </cell>
          <cell r="BB46" t="str">
            <v>White</v>
          </cell>
        </row>
        <row r="47">
          <cell r="AY47" t="e">
            <v>#N/A</v>
          </cell>
          <cell r="BA47" t="str">
            <v>Exterior Hours exceed 4200, AND check wattages!</v>
          </cell>
        </row>
        <row r="48">
          <cell r="AY48" t="e">
            <v>#N/A</v>
          </cell>
          <cell r="BA48" t="str">
            <v>REVISE! Interior LLLC Control not allowed with TLEDs</v>
          </cell>
        </row>
        <row r="49">
          <cell r="AY49" t="e">
            <v>#N/A</v>
          </cell>
          <cell r="BA49" t="str">
            <v>REVISE CONTROL TYPE! Control Type incorrect for chosen Space Type</v>
          </cell>
        </row>
        <row r="50">
          <cell r="AY50" t="e">
            <v>#N/A</v>
          </cell>
        </row>
        <row r="51">
          <cell r="AY51" t="e">
            <v>#N/A</v>
          </cell>
          <cell r="BA51" t="str">
            <v>REVISE SPACE TYPE! Space Type incorrect for chosen Project Type</v>
          </cell>
        </row>
      </sheetData>
      <sheetData sheetId="18" refreshError="1"/>
      <sheetData sheetId="19">
        <row r="3">
          <cell r="B3" t="str">
            <v>Atrium: 20 to 40 ft in height</v>
          </cell>
        </row>
        <row r="4">
          <cell r="B4" t="str">
            <v>Atrium: above 40 ft in height</v>
          </cell>
        </row>
        <row r="5">
          <cell r="B5" t="str">
            <v>Atrium: less than 20 ft in height</v>
          </cell>
        </row>
        <row r="6">
          <cell r="B6" t="str">
            <v>Audience/seating area: auditorium</v>
          </cell>
        </row>
        <row r="7">
          <cell r="B7" t="str">
            <v>Audience/seating area: convention center</v>
          </cell>
        </row>
        <row r="8">
          <cell r="B8" t="str">
            <v>Audience/seating area: gymnasium</v>
          </cell>
        </row>
        <row r="9">
          <cell r="B9" t="str">
            <v>Audience/seating area: motion picture theater</v>
          </cell>
        </row>
        <row r="10">
          <cell r="B10" t="str">
            <v>Audience/seating area: other</v>
          </cell>
        </row>
        <row r="11">
          <cell r="B11" t="str">
            <v>Audience/seating area: penitentiary</v>
          </cell>
        </row>
        <row r="12">
          <cell r="B12" t="str">
            <v>Audience/seating area: performing arts theater</v>
          </cell>
        </row>
        <row r="13">
          <cell r="B13" t="str">
            <v>Audience/seating area: religious building</v>
          </cell>
        </row>
        <row r="14">
          <cell r="B14" t="str">
            <v>Audience/seating area: sports arena</v>
          </cell>
        </row>
        <row r="15">
          <cell r="B15" t="str">
            <v>Banking activity area</v>
          </cell>
        </row>
        <row r="16">
          <cell r="B16" t="str">
            <v>Classroom/lecture/training</v>
          </cell>
        </row>
        <row r="17">
          <cell r="B17" t="str">
            <v>Classroom/lecture/training: penitentiary</v>
          </cell>
        </row>
        <row r="18">
          <cell r="B18" t="str">
            <v>Computer room</v>
          </cell>
        </row>
        <row r="19">
          <cell r="B19" t="str">
            <v>Conference/meeting/multipurpose</v>
          </cell>
        </row>
        <row r="20">
          <cell r="B20" t="str">
            <v>Convention center: Exhibit space</v>
          </cell>
        </row>
        <row r="21">
          <cell r="B21" t="str">
            <v>Copy/print room</v>
          </cell>
        </row>
        <row r="22">
          <cell r="B22" t="str">
            <v>Corridor: all other</v>
          </cell>
        </row>
        <row r="23">
          <cell r="B23" t="str">
            <v>Corridor: facility for the visually impaired</v>
          </cell>
        </row>
        <row r="24">
          <cell r="B24" t="str">
            <v>Corridor: hospital</v>
          </cell>
        </row>
        <row r="25">
          <cell r="B25" t="str">
            <v>Corridor: manufacturing</v>
          </cell>
        </row>
        <row r="26">
          <cell r="B26" t="str">
            <v>Courtroom</v>
          </cell>
        </row>
        <row r="27">
          <cell r="B27" t="str">
            <v>Dining area: all other</v>
          </cell>
        </row>
        <row r="28">
          <cell r="B28" t="str">
            <v>Dining area: Bar/lounge/leisure dining</v>
          </cell>
        </row>
        <row r="29">
          <cell r="B29" t="str">
            <v>Dining area: facility for the visually impaired</v>
          </cell>
        </row>
        <row r="30">
          <cell r="B30" t="str">
            <v>Dining area: Family dining area</v>
          </cell>
        </row>
        <row r="31">
          <cell r="B31" t="str">
            <v>Dining area: penitentiary</v>
          </cell>
        </row>
        <row r="32">
          <cell r="B32" t="str">
            <v>Dormitory living quarters</v>
          </cell>
        </row>
        <row r="33">
          <cell r="B33" t="str">
            <v>Electrical/mechanical</v>
          </cell>
        </row>
        <row r="34">
          <cell r="B34" t="str">
            <v>Emergency vehicle garage</v>
          </cell>
        </row>
        <row r="35">
          <cell r="B35" t="str">
            <v>Facility for the visually impaired: Chapel</v>
          </cell>
        </row>
        <row r="36">
          <cell r="B36" t="str">
            <v>Facility for the visually impaired: Recreation room</v>
          </cell>
        </row>
        <row r="37">
          <cell r="B37" t="str">
            <v>Fire stations: Engine rooms</v>
          </cell>
        </row>
        <row r="38">
          <cell r="B38" t="str">
            <v>Fire stations: Sleeping quarters</v>
          </cell>
        </row>
        <row r="39">
          <cell r="B39" t="str">
            <v>Food preparation</v>
          </cell>
        </row>
        <row r="40">
          <cell r="B40" t="str">
            <v>Guest room</v>
          </cell>
        </row>
        <row r="41">
          <cell r="B41" t="str">
            <v>Gymnasium/fitness center: Exercise area</v>
          </cell>
        </row>
        <row r="42">
          <cell r="B42" t="str">
            <v>Gymnasium/fitness center: Exercise area (Top Lighted)</v>
          </cell>
        </row>
        <row r="43">
          <cell r="B43" t="str">
            <v>Gymnasium/fitness center: Playing area</v>
          </cell>
        </row>
        <row r="44">
          <cell r="B44" t="str">
            <v>Gymnasium/fitness center: Playing area (Top Lighted)</v>
          </cell>
        </row>
        <row r="45">
          <cell r="B45" t="str">
            <v>Health care facility: Exam/treatment</v>
          </cell>
        </row>
        <row r="46">
          <cell r="B46" t="str">
            <v>Health care facility: Imaging room</v>
          </cell>
        </row>
        <row r="47">
          <cell r="B47" t="str">
            <v>Health care facility: Medical supplies</v>
          </cell>
        </row>
        <row r="48">
          <cell r="B48" t="str">
            <v>Health care facility: Nurse station</v>
          </cell>
        </row>
        <row r="49">
          <cell r="B49" t="str">
            <v>Health care facility: Nursery</v>
          </cell>
        </row>
        <row r="50">
          <cell r="B50" t="str">
            <v>Health care facility: Operating room</v>
          </cell>
        </row>
        <row r="51">
          <cell r="B51" t="str">
            <v>Health care facility: Patient room</v>
          </cell>
        </row>
        <row r="52">
          <cell r="B52" t="str">
            <v>Health care facility: Physical therapy</v>
          </cell>
        </row>
        <row r="53">
          <cell r="B53" t="str">
            <v>Health care facility: Recovery</v>
          </cell>
        </row>
        <row r="54">
          <cell r="B54" t="str">
            <v>Laboratory for classrooms</v>
          </cell>
        </row>
        <row r="55">
          <cell r="B55" t="str">
            <v>Laboratory for medical/industrial/research</v>
          </cell>
        </row>
        <row r="56">
          <cell r="B56" t="str">
            <v>Laundry/washing area</v>
          </cell>
        </row>
        <row r="57">
          <cell r="B57" t="str">
            <v>Library: Reading area</v>
          </cell>
        </row>
        <row r="58">
          <cell r="B58" t="str">
            <v>Library: Stacks</v>
          </cell>
        </row>
        <row r="59">
          <cell r="B59" t="str">
            <v>Loading dock, interior</v>
          </cell>
        </row>
        <row r="60">
          <cell r="B60" t="str">
            <v>Lobby: all other</v>
          </cell>
        </row>
        <row r="61">
          <cell r="B61" t="str">
            <v>Lobby: elevator</v>
          </cell>
        </row>
        <row r="62">
          <cell r="B62" t="str">
            <v>Lobby: facility for the visually impaired</v>
          </cell>
        </row>
        <row r="63">
          <cell r="B63" t="str">
            <v>Lobby: hotel</v>
          </cell>
        </row>
        <row r="64">
          <cell r="B64" t="str">
            <v>Lobby: motion picture theater</v>
          </cell>
        </row>
        <row r="65">
          <cell r="B65" t="str">
            <v>Lobby: performing arts theater</v>
          </cell>
        </row>
        <row r="66">
          <cell r="B66" t="str">
            <v>Locker room</v>
          </cell>
        </row>
        <row r="67">
          <cell r="B67" t="str">
            <v>Lounge/breakroom: all other</v>
          </cell>
        </row>
        <row r="68">
          <cell r="B68" t="str">
            <v>Lounge/breakroom: health care facility</v>
          </cell>
        </row>
        <row r="69">
          <cell r="B69" t="str">
            <v>Manufacturing: Detailed manufacturing</v>
          </cell>
        </row>
        <row r="70">
          <cell r="B70" t="str">
            <v>Manufacturing: Equipment room</v>
          </cell>
        </row>
        <row r="71">
          <cell r="B71" t="str">
            <v>Manufacturing: Extra high bay (&gt; 50 ft floor-ceiling ht.)</v>
          </cell>
        </row>
        <row r="72">
          <cell r="B72" t="str">
            <v>Manufacturing: Extra high bay (Top Lighted)</v>
          </cell>
        </row>
        <row r="73">
          <cell r="B73" t="str">
            <v>Manufacturing: High bay (25 ‑ 50 ft floor-ceiling ht.)</v>
          </cell>
        </row>
        <row r="74">
          <cell r="B74" t="str">
            <v>Manufacturing: High bay (Top Lighted)</v>
          </cell>
        </row>
        <row r="75">
          <cell r="B75" t="str">
            <v>Manufacturing: Low bay (&lt; 25 ft floor-ceiling ht.)</v>
          </cell>
        </row>
        <row r="76">
          <cell r="B76" t="str">
            <v>Manufacturing: Low bay (Top Lighted)</v>
          </cell>
        </row>
        <row r="77">
          <cell r="B77" t="str">
            <v>Museum: General exhibition</v>
          </cell>
        </row>
        <row r="78">
          <cell r="B78" t="str">
            <v>Museum: Restoration</v>
          </cell>
        </row>
        <row r="79">
          <cell r="B79" t="str">
            <v>Office: Enclosed</v>
          </cell>
        </row>
        <row r="80">
          <cell r="B80" t="str">
            <v>Office: Open plan</v>
          </cell>
        </row>
        <row r="81">
          <cell r="B81" t="str">
            <v>Parking area, interior</v>
          </cell>
        </row>
        <row r="82">
          <cell r="B82" t="str">
            <v xml:space="preserve">Performing arts theater: Dressing/fitting room </v>
          </cell>
        </row>
        <row r="83">
          <cell r="B83" t="str">
            <v>Pharmacy area</v>
          </cell>
        </row>
        <row r="84">
          <cell r="B84" t="str">
            <v>Post office: Sorting area</v>
          </cell>
        </row>
        <row r="85">
          <cell r="B85" t="str">
            <v>Religious building: Fellowship hall</v>
          </cell>
        </row>
        <row r="86">
          <cell r="B86" t="str">
            <v>Religious building: Worship pulpit/choir</v>
          </cell>
        </row>
        <row r="87">
          <cell r="B87" t="str">
            <v>Restroom: all other</v>
          </cell>
        </row>
        <row r="88">
          <cell r="B88" t="str">
            <v>Restroom: facility for the visually impaired</v>
          </cell>
        </row>
        <row r="89">
          <cell r="B89" t="str">
            <v>Retail: Dressing/fitting area</v>
          </cell>
        </row>
        <row r="90">
          <cell r="B90" t="str">
            <v>Retail: Mall concourse</v>
          </cell>
        </row>
        <row r="91">
          <cell r="B91" t="str">
            <v>Sales area</v>
          </cell>
        </row>
        <row r="92">
          <cell r="B92" t="str">
            <v>Sales area (Top Lighted)</v>
          </cell>
        </row>
        <row r="93">
          <cell r="B93" t="str">
            <v>Seating area, general</v>
          </cell>
        </row>
        <row r="94">
          <cell r="B94" t="str">
            <v>Sports arena: Court sports area ‑ Class 1</v>
          </cell>
        </row>
        <row r="95">
          <cell r="B95" t="str">
            <v>Sports arena: Court sports area ‑ Class 2</v>
          </cell>
        </row>
        <row r="96">
          <cell r="B96" t="str">
            <v>Sports arena: Court sports area ‑ Class 3</v>
          </cell>
        </row>
        <row r="97">
          <cell r="B97" t="str">
            <v>Sports arena: Court sports area ‑ Class 4</v>
          </cell>
        </row>
        <row r="98">
          <cell r="B98" t="str">
            <v>Stairwell</v>
          </cell>
        </row>
        <row r="99">
          <cell r="B99" t="str">
            <v>Storage room</v>
          </cell>
        </row>
        <row r="100">
          <cell r="B100" t="str">
            <v>Transportation: Airport concourse</v>
          </cell>
        </row>
        <row r="101">
          <cell r="B101" t="str">
            <v>Transportation: Baggage/carousel area</v>
          </cell>
        </row>
        <row r="102">
          <cell r="B102" t="str">
            <v>Transportation: Terminal ‑ Ticket counter</v>
          </cell>
        </row>
        <row r="103">
          <cell r="B103" t="str">
            <v>Vehicular maintenance</v>
          </cell>
        </row>
        <row r="104">
          <cell r="B104" t="str">
            <v>Warehouse: Medium/bulky palletized items</v>
          </cell>
        </row>
        <row r="105">
          <cell r="B105" t="str">
            <v>Warehouse: Medium/bulky palletized items (Top Lighted)</v>
          </cell>
        </row>
        <row r="106">
          <cell r="B106" t="str">
            <v>Warehouse: Smaller, hand carried items</v>
          </cell>
        </row>
        <row r="107">
          <cell r="B107" t="str">
            <v>Warehouse: Smaller, hand carried items (Top Lighted)</v>
          </cell>
        </row>
        <row r="137">
          <cell r="B137" t="str">
            <v>Parking areas and drives</v>
          </cell>
        </row>
        <row r="138">
          <cell r="B138" t="str">
            <v>Walkways and ramps less than 10 feet wide</v>
          </cell>
        </row>
        <row r="139">
          <cell r="B139" t="str">
            <v>Walkways and ramps 10 feet wide or greater, plaza areas special feature areas</v>
          </cell>
        </row>
        <row r="140">
          <cell r="B140" t="str">
            <v>Exterior Dining</v>
          </cell>
        </row>
        <row r="141">
          <cell r="B141" t="str">
            <v>Stairways</v>
          </cell>
        </row>
        <row r="142">
          <cell r="B142" t="str">
            <v>Pedestrian tunnels</v>
          </cell>
        </row>
        <row r="143">
          <cell r="B143" t="str">
            <v>Landscaping</v>
          </cell>
        </row>
        <row r="144">
          <cell r="B144" t="str">
            <v>Pedestrian and vehicular entrances and exists</v>
          </cell>
        </row>
        <row r="145">
          <cell r="B145" t="str">
            <v>Entry canopies</v>
          </cell>
        </row>
        <row r="146">
          <cell r="B146" t="str">
            <v>Loading docks</v>
          </cell>
        </row>
        <row r="147">
          <cell r="B147" t="str">
            <v>Sales Canopies - Free-standing and attached</v>
          </cell>
        </row>
        <row r="148">
          <cell r="B148" t="str">
            <v>Outdoor Sales - Open areas (including vehicle sales lots)</v>
          </cell>
        </row>
        <row r="149">
          <cell r="B149" t="str">
            <v>Outdoor Sales - Street frontage for vehicle sales</v>
          </cell>
        </row>
      </sheetData>
      <sheetData sheetId="20" refreshError="1"/>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s"/>
      <sheetName val="Application"/>
      <sheetName val="Signature"/>
      <sheetName val="Close-Out Award"/>
      <sheetName val="LLLC"/>
      <sheetName val="Customer Use"/>
      <sheetName val="Control Savings"/>
      <sheetName val="Grant QC Review"/>
      <sheetName val="LLLC Grant QC Review"/>
      <sheetName val="DATA"/>
      <sheetName val="Autofund"/>
      <sheetName val="Lookup"/>
      <sheetName val="Exist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s"/>
      <sheetName val="Project"/>
      <sheetName val="Fixtures"/>
      <sheetName val="Installations"/>
      <sheetName val="Signature"/>
      <sheetName val="Customer Use"/>
      <sheetName val="Instructions"/>
      <sheetName val="Ready"/>
      <sheetName val="LLLC"/>
      <sheetName val="Control Savings"/>
      <sheetName val="Grant QC Review"/>
      <sheetName val="LLLC Grant QC Review"/>
      <sheetName val="DATA"/>
      <sheetName val="Autofund"/>
      <sheetName val="Existing"/>
      <sheetName val="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ables/table1.xml><?xml version="1.0" encoding="utf-8"?>
<table xmlns="http://schemas.openxmlformats.org/spreadsheetml/2006/main" id="2" name="Table_Building_Type" displayName="Table_Building_Type" ref="BM3:BN18" totalsRowShown="0" headerRowBorderDxfId="38" tableBorderDxfId="37" totalsRowBorderDxfId="36">
  <autoFilter ref="BM3:BN18"/>
  <tableColumns count="2">
    <tableColumn id="1" name="Lookup_Building_Type" dataDxfId="35"/>
    <tableColumn id="2" name="Hrs" dataDxfId="34"/>
  </tableColumns>
  <tableStyleInfo name="TableStyleMedium2" showFirstColumn="0" showLastColumn="0" showRowStripes="1" showColumnStripes="0"/>
</table>
</file>

<file path=xl/tables/table2.xml><?xml version="1.0" encoding="utf-8"?>
<table xmlns="http://schemas.openxmlformats.org/spreadsheetml/2006/main" id="4" name="Table4" displayName="Table4" ref="S19:X38" totalsRowShown="0" headerRowDxfId="33" dataDxfId="32" tableBorderDxfId="31">
  <autoFilter ref="S19:X38"/>
  <tableColumns count="6">
    <tableColumn id="1" name="Space Heating Type" dataDxfId="30"/>
    <tableColumn id="2" name="Lookup_Heat_Type" dataDxfId="29"/>
    <tableColumn id="3" name="Interaction Factor" dataDxfId="28"/>
    <tableColumn id="4" name="Interior/Exterior" dataDxfId="27"/>
    <tableColumn id="5" name="Lookup_Type_New" dataDxfId="26"/>
    <tableColumn id="6" name="Short" dataDxfId="25"/>
  </tableColumns>
  <tableStyleInfo name="TableStyleMedium3" showFirstColumn="0" showLastColumn="0" showRowStripes="1" showColumnStripes="0"/>
</table>
</file>

<file path=xl/tables/table3.xml><?xml version="1.0" encoding="utf-8"?>
<table xmlns="http://schemas.openxmlformats.org/spreadsheetml/2006/main" id="7" name="Table7" displayName="Table7" ref="AU2:AX15" totalsRowShown="0" headerRowDxfId="24" dataDxfId="22" headerRowBorderDxfId="23" tableBorderDxfId="21" totalsRowBorderDxfId="20">
  <autoFilter ref="AU2:AX15"/>
  <tableColumns count="4">
    <tableColumn id="1" name="Control Type" dataDxfId="19"/>
    <tableColumn id="2" name="Number" dataDxfId="18"/>
    <tableColumn id="3" name="Basic" dataDxfId="17"/>
    <tableColumn id="4" name="LLLC" dataDxfId="16"/>
  </tableColumns>
  <tableStyleInfo name="TableStyleMedium3" showFirstColumn="0" showLastColumn="0" showRowStripes="1" showColumnStripes="0"/>
</table>
</file>

<file path=xl/tables/table4.xml><?xml version="1.0" encoding="utf-8"?>
<table xmlns="http://schemas.openxmlformats.org/spreadsheetml/2006/main" id="8" name="_Daylight_Table" displayName="_Daylight_Table" ref="AU25:AV30" totalsRowShown="0">
  <autoFilter ref="AU25:AV30"/>
  <tableColumns count="2">
    <tableColumn id="1" name="Daylighted"/>
    <tableColumn id="2" name="Code" dataDxfId="15"/>
  </tableColumns>
  <tableStyleInfo name="TableStyleMedium3" showFirstColumn="0" showLastColumn="0" showRowStripes="1" showColumnStripes="0"/>
</table>
</file>

<file path=xl/tables/table5.xml><?xml version="1.0" encoding="utf-8"?>
<table xmlns="http://schemas.openxmlformats.org/spreadsheetml/2006/main" id="9" name="_Control_Match" displayName="_Control_Match" ref="AU33:AU47" totalsRowShown="0">
  <autoFilter ref="AU33:AU47"/>
  <tableColumns count="1">
    <tableColumn id="1" name="_Control_Match"/>
  </tableColumns>
  <tableStyleInfo name="TableStyleMedium3" showFirstColumn="0" showLastColumn="0" showRowStripes="1" showColumnStripes="0"/>
</table>
</file>

<file path=xl/tables/table6.xml><?xml version="1.0" encoding="utf-8"?>
<table xmlns="http://schemas.openxmlformats.org/spreadsheetml/2006/main" id="1" name="Table_LPA_Building_Area" displayName="Table_LPA_Building_Area" ref="Z3:AC38" totalsRowShown="0">
  <autoFilter ref="Z3:AC38"/>
  <tableColumns count="4">
    <tableColumn id="1" name="Building Area Type"/>
    <tableColumn id="2" name="2015" dataDxfId="14"/>
    <tableColumn id="3" name="2018" dataDxfId="13"/>
    <tableColumn id="4" name="PSE Building Type"/>
  </tableColumns>
  <tableStyleInfo name="TableStyleMedium2" showFirstColumn="0" showLastColumn="0" showRowStripes="1" showColumnStripes="0"/>
</table>
</file>

<file path=xl/tables/table7.xml><?xml version="1.0" encoding="utf-8"?>
<table xmlns="http://schemas.openxmlformats.org/spreadsheetml/2006/main" id="3" name="Table_LPA_SxS" displayName="Table_LPA_SxS" ref="B2:M135" totalsRowShown="0" headerRowDxfId="12" dataDxfId="11">
  <autoFilter ref="B2:M135"/>
  <sortState ref="B3:H95">
    <sortCondition ref="B2:B95"/>
  </sortState>
  <tableColumns count="12">
    <tableColumn id="1" name="Space-by-Space areas"/>
    <tableColumn id="2" name="2015" dataDxfId="10"/>
    <tableColumn id="3" name="2018" dataDxfId="9"/>
    <tableColumn id="4" name="Height" dataDxfId="8"/>
    <tableColumn id="5" name="Column2" dataDxfId="7">
      <calculatedColumnFormula>CONCATENATE("Interior ",Table_LPA_SxS[[#This Row],[Space-by-Space areas]])</calculatedColumnFormula>
    </tableColumn>
    <tableColumn id="6" name="LLLC" dataDxfId="6"/>
    <tableColumn id="7" name="Key" dataDxfId="5"/>
    <tableColumn id="8" name="Column1" dataDxfId="4">
      <calculatedColumnFormula>IF(G3="No","Controls_Interior_Basic", "Controls_Interior_LLLC")</calculatedColumnFormula>
    </tableColumn>
    <tableColumn id="9" name="TLED" dataDxfId="3"/>
    <tableColumn id="10" name="Column3" dataDxfId="2"/>
    <tableColumn id="11" name="Column4" dataDxfId="1"/>
    <tableColumn id="12" name="Control"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pse.com/rebates/multifamily-retrofit" TargetMode="External"/><Relationship Id="rId7" Type="http://schemas.openxmlformats.org/officeDocument/2006/relationships/drawing" Target="../drawings/drawing1.xml"/><Relationship Id="rId2" Type="http://schemas.openxmlformats.org/officeDocument/2006/relationships/hyperlink" Target="https://www.pse.com/rebates/business-incentives/commercial-lighting/lighting-to-go" TargetMode="External"/><Relationship Id="rId1" Type="http://schemas.openxmlformats.org/officeDocument/2006/relationships/hyperlink" Target="https://www.pse.com/rebates/business-incentives/commercial-lighting/business-lighting-incentive-program" TargetMode="External"/><Relationship Id="rId6" Type="http://schemas.openxmlformats.org/officeDocument/2006/relationships/printerSettings" Target="../printerSettings/printerSettings1.bin"/><Relationship Id="rId5" Type="http://schemas.openxmlformats.org/officeDocument/2006/relationships/hyperlink" Target="https://www.pse.com/rebates/new-construction-grants/multifamily-projects" TargetMode="External"/><Relationship Id="rId4" Type="http://schemas.openxmlformats.org/officeDocument/2006/relationships/hyperlink" Target="https://www.pse.com/rebates/business-incentives/commercial-new-construction-grant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8" Type="http://schemas.openxmlformats.org/officeDocument/2006/relationships/comments" Target="../comments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vmlDrawing" Target="../drawings/vmlDrawing6.vml"/><Relationship Id="rId1" Type="http://schemas.openxmlformats.org/officeDocument/2006/relationships/printerSettings" Target="../printerSettings/printerSettings15.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1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table" Target="../tables/table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fitToPage="1"/>
  </sheetPr>
  <dimension ref="A1:AN180"/>
  <sheetViews>
    <sheetView showGridLines="0" showRowColHeaders="0" tabSelected="1" zoomScale="90" zoomScaleNormal="90" workbookViewId="0">
      <pane ySplit="17" topLeftCell="A18" activePane="bottomLeft" state="frozen"/>
      <selection pane="bottomLeft" activeCell="A18" sqref="A18:AM18"/>
    </sheetView>
  </sheetViews>
  <sheetFormatPr defaultRowHeight="14.3"/>
  <cols>
    <col min="1" max="1" width="5.75" customWidth="1"/>
    <col min="2" max="2" width="0.875" customWidth="1"/>
    <col min="3" max="7" width="5.5" customWidth="1"/>
    <col min="8" max="8" width="0.875" customWidth="1"/>
    <col min="9" max="12" width="5.5" customWidth="1"/>
    <col min="13" max="13" width="1.5" customWidth="1"/>
    <col min="14" max="14" width="2.5" customWidth="1"/>
    <col min="15" max="15" width="1.5" customWidth="1"/>
    <col min="16" max="21" width="5.5" customWidth="1"/>
    <col min="22" max="22" width="1.5" customWidth="1"/>
    <col min="23" max="25" width="5.5" customWidth="1"/>
    <col min="26" max="26" width="1.5" customWidth="1"/>
    <col min="27" max="27" width="2.5" customWidth="1"/>
    <col min="28" max="28" width="1.5" customWidth="1"/>
    <col min="29" max="32" width="5.5" customWidth="1"/>
    <col min="33" max="33" width="0.875" customWidth="1"/>
    <col min="34" max="38" width="5.5" customWidth="1"/>
    <col min="39" max="39" width="0.875" customWidth="1"/>
    <col min="40" max="41" width="5.5" customWidth="1"/>
  </cols>
  <sheetData>
    <row r="1" spans="2:40" ht="5.0999999999999996" customHeight="1"/>
    <row r="2" spans="2:40" ht="14.95" customHeight="1">
      <c r="B2" s="3"/>
      <c r="C2" s="1145"/>
      <c r="D2" s="1146"/>
      <c r="E2" s="1146"/>
      <c r="F2" s="1146"/>
      <c r="G2" s="1146"/>
      <c r="H2" s="3"/>
      <c r="AG2" s="3"/>
      <c r="AH2" s="1145"/>
      <c r="AI2" s="1146"/>
      <c r="AJ2" s="1146"/>
      <c r="AK2" s="1146"/>
      <c r="AL2" s="1146"/>
      <c r="AM2" s="3"/>
    </row>
    <row r="3" spans="2:40" ht="5.0999999999999996" customHeight="1">
      <c r="B3" s="3"/>
      <c r="C3" s="3"/>
      <c r="D3" s="3"/>
      <c r="E3" s="3"/>
      <c r="F3" s="3"/>
      <c r="G3" s="3"/>
      <c r="H3" s="3"/>
      <c r="AG3" s="3"/>
      <c r="AH3" s="3"/>
      <c r="AI3" s="3"/>
      <c r="AJ3" s="3"/>
      <c r="AK3" s="3"/>
      <c r="AL3" s="3"/>
      <c r="AM3" s="3"/>
    </row>
    <row r="4" spans="2:40" ht="14.95" customHeight="1">
      <c r="B4" s="3"/>
      <c r="C4" s="1147"/>
      <c r="D4" s="1147"/>
      <c r="E4" s="1147"/>
      <c r="F4" s="1147"/>
      <c r="G4" s="1147"/>
      <c r="H4" s="3"/>
      <c r="AG4" s="3"/>
      <c r="AH4" s="1147"/>
      <c r="AI4" s="1147"/>
      <c r="AJ4" s="1147"/>
      <c r="AK4" s="1147"/>
      <c r="AL4" s="1147"/>
      <c r="AM4" s="3"/>
    </row>
    <row r="5" spans="2:40" ht="5.0999999999999996" customHeight="1">
      <c r="B5" s="3"/>
      <c r="C5" s="3"/>
      <c r="D5" s="3"/>
      <c r="E5" s="3"/>
      <c r="F5" s="3"/>
      <c r="G5" s="3"/>
      <c r="H5" s="3"/>
      <c r="AG5" s="3"/>
      <c r="AH5" s="3"/>
      <c r="AI5" s="3"/>
      <c r="AJ5" s="3"/>
      <c r="AK5" s="3"/>
      <c r="AL5" s="3"/>
      <c r="AM5" s="3"/>
    </row>
    <row r="6" spans="2:40" ht="14.95" customHeight="1">
      <c r="B6" s="3"/>
      <c r="C6" s="1148"/>
      <c r="D6" s="1148"/>
      <c r="E6" s="1148"/>
      <c r="F6" s="1148"/>
      <c r="G6" s="1148"/>
      <c r="H6" s="3"/>
      <c r="AG6" s="3"/>
      <c r="AH6" s="1148"/>
      <c r="AI6" s="1148"/>
      <c r="AJ6" s="1148"/>
      <c r="AK6" s="1148"/>
      <c r="AL6" s="1148"/>
      <c r="AM6" s="3"/>
    </row>
    <row r="7" spans="2:40" ht="5.0999999999999996" customHeight="1">
      <c r="B7" s="3"/>
      <c r="C7" s="3"/>
      <c r="D7" s="3"/>
      <c r="E7" s="3"/>
      <c r="F7" s="3"/>
      <c r="G7" s="3"/>
      <c r="H7" s="3"/>
      <c r="J7" s="1142" t="str">
        <f>Lookup!$D$19</f>
        <v>MULTI-FAMILY LIGHTING INCENTIVE PROGRAM</v>
      </c>
      <c r="K7" s="1142"/>
      <c r="L7" s="1142"/>
      <c r="M7" s="1142"/>
      <c r="N7" s="1142"/>
      <c r="O7" s="1142"/>
      <c r="P7" s="1142"/>
      <c r="Q7" s="1142"/>
      <c r="R7" s="1142"/>
      <c r="S7" s="1142"/>
      <c r="T7" s="1142"/>
      <c r="U7" s="1142"/>
      <c r="V7" s="1142"/>
      <c r="W7" s="1142"/>
      <c r="X7" s="1142"/>
      <c r="Y7" s="1142"/>
      <c r="Z7" s="1142"/>
      <c r="AA7" s="1142"/>
      <c r="AB7" s="1142"/>
      <c r="AC7" s="1142"/>
      <c r="AD7" s="1142"/>
      <c r="AE7" s="1142"/>
      <c r="AG7" s="3"/>
      <c r="AH7" s="3"/>
      <c r="AI7" s="3"/>
      <c r="AJ7" s="3"/>
      <c r="AK7" s="3"/>
      <c r="AL7" s="3"/>
      <c r="AM7" s="3"/>
    </row>
    <row r="8" spans="2:40" ht="14.95" customHeight="1">
      <c r="B8" s="3"/>
      <c r="C8" s="1148"/>
      <c r="D8" s="1148"/>
      <c r="E8" s="1148"/>
      <c r="F8" s="1148"/>
      <c r="G8" s="1148"/>
      <c r="H8" s="3"/>
      <c r="J8" s="1142"/>
      <c r="K8" s="1142"/>
      <c r="L8" s="1142"/>
      <c r="M8" s="1142"/>
      <c r="N8" s="1142"/>
      <c r="O8" s="1142"/>
      <c r="P8" s="1142"/>
      <c r="Q8" s="1142"/>
      <c r="R8" s="1142"/>
      <c r="S8" s="1142"/>
      <c r="T8" s="1142"/>
      <c r="U8" s="1142"/>
      <c r="V8" s="1142"/>
      <c r="W8" s="1142"/>
      <c r="X8" s="1142"/>
      <c r="Y8" s="1142"/>
      <c r="Z8" s="1142"/>
      <c r="AA8" s="1142"/>
      <c r="AB8" s="1142"/>
      <c r="AC8" s="1142"/>
      <c r="AD8" s="1142"/>
      <c r="AE8" s="1142"/>
      <c r="AF8" s="473"/>
      <c r="AG8" s="3"/>
      <c r="AH8" s="1148"/>
      <c r="AI8" s="1148"/>
      <c r="AJ8" s="1148"/>
      <c r="AK8" s="1148"/>
      <c r="AL8" s="1148"/>
      <c r="AM8" s="3"/>
      <c r="AN8" s="16"/>
    </row>
    <row r="9" spans="2:40" ht="5.0999999999999996" customHeight="1">
      <c r="B9" s="3"/>
      <c r="C9" s="3"/>
      <c r="D9" s="3"/>
      <c r="E9" s="3"/>
      <c r="F9" s="3"/>
      <c r="G9" s="473"/>
      <c r="H9" s="473"/>
      <c r="J9" s="1143" t="str">
        <f>Lookup!$D$20</f>
        <v>Multi-Family Lighting 2022 STANDARD Application V2-2 - Valid through 12/31/2022</v>
      </c>
      <c r="K9" s="1143"/>
      <c r="L9" s="1143"/>
      <c r="M9" s="1143"/>
      <c r="N9" s="1143"/>
      <c r="O9" s="1143"/>
      <c r="P9" s="1143"/>
      <c r="Q9" s="1143"/>
      <c r="R9" s="1143"/>
      <c r="S9" s="1143"/>
      <c r="T9" s="1143"/>
      <c r="U9" s="1143"/>
      <c r="V9" s="1143"/>
      <c r="W9" s="1143"/>
      <c r="X9" s="1143"/>
      <c r="Y9" s="1143"/>
      <c r="Z9" s="1143"/>
      <c r="AA9" s="1143"/>
      <c r="AB9" s="1143"/>
      <c r="AC9" s="1143"/>
      <c r="AD9" s="1143"/>
      <c r="AE9" s="1143"/>
      <c r="AF9" s="473"/>
      <c r="AG9" s="3"/>
      <c r="AH9" s="3"/>
      <c r="AI9" s="3"/>
      <c r="AJ9" s="3"/>
      <c r="AK9" s="3"/>
      <c r="AL9" s="473"/>
      <c r="AM9" s="473"/>
    </row>
    <row r="10" spans="2:40" ht="14.95" customHeight="1">
      <c r="B10" s="3"/>
      <c r="C10" s="1148"/>
      <c r="D10" s="1148"/>
      <c r="E10" s="1148"/>
      <c r="F10" s="1148"/>
      <c r="G10" s="1148"/>
      <c r="H10" s="3"/>
      <c r="J10" s="1143"/>
      <c r="K10" s="1143"/>
      <c r="L10" s="1143"/>
      <c r="M10" s="1143"/>
      <c r="N10" s="1143"/>
      <c r="O10" s="1143"/>
      <c r="P10" s="1143"/>
      <c r="Q10" s="1143"/>
      <c r="R10" s="1143"/>
      <c r="S10" s="1143"/>
      <c r="T10" s="1143"/>
      <c r="U10" s="1143"/>
      <c r="V10" s="1143"/>
      <c r="W10" s="1143"/>
      <c r="X10" s="1143"/>
      <c r="Y10" s="1143"/>
      <c r="Z10" s="1143"/>
      <c r="AA10" s="1143"/>
      <c r="AB10" s="1143"/>
      <c r="AC10" s="1143"/>
      <c r="AD10" s="1143"/>
      <c r="AE10" s="1143"/>
      <c r="AF10" s="543"/>
      <c r="AG10" s="3"/>
      <c r="AH10" s="1148"/>
      <c r="AI10" s="1148"/>
      <c r="AJ10" s="1148"/>
      <c r="AK10" s="1148"/>
      <c r="AL10" s="1148"/>
      <c r="AM10" s="3"/>
      <c r="AN10" s="91"/>
    </row>
    <row r="11" spans="2:40" ht="5.0999999999999996" customHeight="1">
      <c r="B11" s="3"/>
      <c r="C11" s="3"/>
      <c r="D11" s="3"/>
      <c r="E11" s="3"/>
      <c r="F11" s="3"/>
      <c r="G11" s="482"/>
      <c r="H11" s="482"/>
      <c r="J11" s="1155" t="str">
        <f>CONCATENATE("This is a ",Lookup!D16," lighting project")</f>
        <v>This is a RETROFIT lighting project</v>
      </c>
      <c r="K11" s="1155"/>
      <c r="L11" s="1155"/>
      <c r="M11" s="1155"/>
      <c r="N11" s="1155"/>
      <c r="O11" s="1155"/>
      <c r="P11" s="1155"/>
      <c r="Q11" s="1155"/>
      <c r="R11" s="1155"/>
      <c r="S11" s="1155"/>
      <c r="T11" s="1155"/>
      <c r="U11" s="1155"/>
      <c r="V11" s="1155"/>
      <c r="W11" s="1155"/>
      <c r="X11" s="1155"/>
      <c r="Y11" s="1155"/>
      <c r="Z11" s="1155"/>
      <c r="AA11" s="1155"/>
      <c r="AB11" s="1155"/>
      <c r="AC11" s="1155"/>
      <c r="AD11" s="1155"/>
      <c r="AE11" s="1155"/>
      <c r="AF11" s="543"/>
      <c r="AG11" s="3"/>
      <c r="AH11" s="3"/>
      <c r="AI11" s="3"/>
      <c r="AJ11" s="3"/>
      <c r="AK11" s="3"/>
      <c r="AL11" s="482"/>
      <c r="AM11" s="482"/>
    </row>
    <row r="12" spans="2:40" ht="14.95" customHeight="1">
      <c r="B12" s="3"/>
      <c r="C12" s="1148"/>
      <c r="D12" s="1148"/>
      <c r="E12" s="1148"/>
      <c r="F12" s="1148"/>
      <c r="G12" s="1148"/>
      <c r="H12" s="16"/>
      <c r="J12" s="1155"/>
      <c r="K12" s="1155"/>
      <c r="L12" s="1155"/>
      <c r="M12" s="1155"/>
      <c r="N12" s="1155"/>
      <c r="O12" s="1155"/>
      <c r="P12" s="1155"/>
      <c r="Q12" s="1155"/>
      <c r="R12" s="1155"/>
      <c r="S12" s="1155"/>
      <c r="T12" s="1155"/>
      <c r="U12" s="1155"/>
      <c r="V12" s="1155"/>
      <c r="W12" s="1155"/>
      <c r="X12" s="1155"/>
      <c r="Y12" s="1155"/>
      <c r="Z12" s="1155"/>
      <c r="AA12" s="1155"/>
      <c r="AB12" s="1155"/>
      <c r="AC12" s="1155"/>
      <c r="AD12" s="1155"/>
      <c r="AE12" s="1155"/>
      <c r="AF12" s="544"/>
      <c r="AG12" s="3"/>
      <c r="AH12" s="1148"/>
      <c r="AI12" s="1148"/>
      <c r="AJ12" s="1148"/>
      <c r="AK12" s="1148"/>
      <c r="AL12" s="1148"/>
      <c r="AM12" s="16"/>
    </row>
    <row r="13" spans="2:40" ht="5.0999999999999996" customHeight="1">
      <c r="B13" s="3"/>
      <c r="C13" s="3"/>
      <c r="D13" s="3"/>
      <c r="E13" s="3"/>
      <c r="F13" s="3"/>
      <c r="G13" s="16"/>
      <c r="H13" s="16"/>
      <c r="J13" s="1144" t="str">
        <f>Project!K13</f>
        <v>PSE Approval is required before the retrofit is started!</v>
      </c>
      <c r="K13" s="1144"/>
      <c r="L13" s="1144"/>
      <c r="M13" s="1144"/>
      <c r="N13" s="1144"/>
      <c r="O13" s="1144"/>
      <c r="P13" s="1144"/>
      <c r="Q13" s="1144"/>
      <c r="R13" s="1144"/>
      <c r="S13" s="1144"/>
      <c r="T13" s="1144"/>
      <c r="U13" s="1144"/>
      <c r="V13" s="1144"/>
      <c r="W13" s="1144"/>
      <c r="X13" s="1144"/>
      <c r="Y13" s="1144"/>
      <c r="Z13" s="1144"/>
      <c r="AA13" s="1144"/>
      <c r="AB13" s="1144"/>
      <c r="AC13" s="1144"/>
      <c r="AD13" s="1144"/>
      <c r="AE13" s="1144"/>
      <c r="AF13" s="3"/>
      <c r="AG13" s="3"/>
      <c r="AH13" s="3"/>
      <c r="AI13" s="3"/>
      <c r="AJ13" s="3"/>
      <c r="AK13" s="3"/>
      <c r="AL13" s="16"/>
      <c r="AM13" s="16"/>
    </row>
    <row r="14" spans="2:40" ht="14.95" customHeight="1">
      <c r="B14" s="3"/>
      <c r="C14" s="1148"/>
      <c r="D14" s="1148"/>
      <c r="E14" s="1148"/>
      <c r="F14" s="1148"/>
      <c r="G14" s="1148"/>
      <c r="H14" s="3"/>
      <c r="J14" s="1144"/>
      <c r="K14" s="1144"/>
      <c r="L14" s="1144"/>
      <c r="M14" s="1144"/>
      <c r="N14" s="1144"/>
      <c r="O14" s="1144"/>
      <c r="P14" s="1144"/>
      <c r="Q14" s="1144"/>
      <c r="R14" s="1144"/>
      <c r="S14" s="1144"/>
      <c r="T14" s="1144"/>
      <c r="U14" s="1144"/>
      <c r="V14" s="1144"/>
      <c r="W14" s="1144"/>
      <c r="X14" s="1144"/>
      <c r="Y14" s="1144"/>
      <c r="Z14" s="1144"/>
      <c r="AA14" s="1144"/>
      <c r="AB14" s="1144"/>
      <c r="AC14" s="1144"/>
      <c r="AD14" s="1144"/>
      <c r="AE14" s="1144"/>
      <c r="AF14" s="474"/>
      <c r="AG14" s="3"/>
      <c r="AH14" s="1148"/>
      <c r="AI14" s="1148"/>
      <c r="AJ14" s="1148"/>
      <c r="AK14" s="1148"/>
      <c r="AL14" s="1148"/>
      <c r="AM14" s="3"/>
      <c r="AN14" s="92"/>
    </row>
    <row r="15" spans="2:40" ht="5.0999999999999996" customHeight="1">
      <c r="B15" s="3"/>
      <c r="C15" s="3"/>
      <c r="D15" s="3"/>
      <c r="E15" s="3"/>
      <c r="F15" s="3"/>
      <c r="G15" s="3"/>
      <c r="H15" s="3"/>
      <c r="AF15" s="474"/>
      <c r="AG15" s="3"/>
      <c r="AH15" s="3"/>
      <c r="AI15" s="3"/>
      <c r="AJ15" s="3"/>
      <c r="AK15" s="3"/>
      <c r="AL15" s="3"/>
      <c r="AM15" s="3"/>
    </row>
    <row r="16" spans="2:40" ht="14.95" customHeight="1">
      <c r="B16" s="3"/>
      <c r="C16" s="1148"/>
      <c r="D16" s="1148"/>
      <c r="E16" s="1148"/>
      <c r="F16" s="1148"/>
      <c r="G16" s="1148"/>
      <c r="H16" s="3"/>
      <c r="AF16" s="475"/>
      <c r="AG16" s="3"/>
      <c r="AH16" s="1148"/>
      <c r="AI16" s="1148"/>
      <c r="AJ16" s="1148"/>
      <c r="AK16" s="1148"/>
      <c r="AL16" s="1148"/>
      <c r="AM16" s="3"/>
    </row>
    <row r="17" spans="1:39" ht="5.0999999999999996" customHeight="1">
      <c r="B17" s="3"/>
      <c r="C17" s="3"/>
      <c r="D17" s="3"/>
      <c r="E17" s="3"/>
      <c r="F17" s="3"/>
      <c r="G17" s="3"/>
      <c r="H17" s="3"/>
      <c r="AG17" s="3"/>
      <c r="AH17" s="3"/>
      <c r="AI17" s="3"/>
      <c r="AJ17" s="3"/>
      <c r="AK17" s="3"/>
      <c r="AL17" s="3"/>
      <c r="AM17" s="3"/>
    </row>
    <row r="18" spans="1:39" ht="2.25" customHeight="1">
      <c r="A18" s="1149"/>
      <c r="B18" s="1149"/>
      <c r="C18" s="1149"/>
      <c r="D18" s="1149"/>
      <c r="E18" s="1149"/>
      <c r="F18" s="1149"/>
      <c r="G18" s="1149"/>
      <c r="H18" s="1149"/>
      <c r="I18" s="1149"/>
      <c r="J18" s="1149"/>
      <c r="K18" s="1149"/>
      <c r="L18" s="1149"/>
      <c r="M18" s="1149"/>
      <c r="N18" s="1149"/>
      <c r="O18" s="1149"/>
      <c r="P18" s="1149"/>
      <c r="Q18" s="1149"/>
      <c r="R18" s="1149"/>
      <c r="S18" s="1149"/>
      <c r="T18" s="1149"/>
      <c r="U18" s="1149"/>
      <c r="V18" s="1149"/>
      <c r="W18" s="1149"/>
      <c r="X18" s="1149"/>
      <c r="Y18" s="1149"/>
      <c r="Z18" s="1149"/>
      <c r="AA18" s="1149"/>
      <c r="AB18" s="1149"/>
      <c r="AC18" s="1149"/>
      <c r="AD18" s="1149"/>
      <c r="AE18" s="1149"/>
      <c r="AF18" s="1149"/>
      <c r="AG18" s="1149"/>
      <c r="AH18" s="1149"/>
      <c r="AI18" s="1149"/>
      <c r="AJ18" s="1149"/>
      <c r="AK18" s="1149"/>
      <c r="AL18" s="1149"/>
      <c r="AM18" s="1149"/>
    </row>
    <row r="19" spans="1:39" ht="14.95" customHeight="1"/>
    <row r="20" spans="1:39">
      <c r="B20" t="str">
        <f>CONCATENATE("This PSE application covers lighting retrofits to existing " &amp;  Lookup!D23 &amp;".")</f>
        <v>This PSE application covers lighting retrofits to existing Muli-Family lighting projects.</v>
      </c>
    </row>
    <row r="22" spans="1:39">
      <c r="B22" s="169" t="s">
        <v>0</v>
      </c>
    </row>
    <row r="23" spans="1:39">
      <c r="B23" s="1151" t="s">
        <v>1</v>
      </c>
      <c r="C23" s="1151"/>
      <c r="D23" s="1151"/>
      <c r="E23" s="1151"/>
      <c r="F23" s="1151"/>
      <c r="G23" s="1151"/>
      <c r="H23" s="1151"/>
      <c r="I23" s="1151"/>
      <c r="J23" s="179" t="str">
        <f>IF(J7="MULTI-FAMILY LIGHTING INCENTIVE PROGRAM","","&lt;--  Click this link to find the latest version of the Business Lighting Application (Excel)")</f>
        <v/>
      </c>
    </row>
    <row r="24" spans="1:39">
      <c r="B24" s="1151" t="s">
        <v>2</v>
      </c>
      <c r="C24" s="1151"/>
      <c r="D24" s="1151"/>
      <c r="E24" s="1151"/>
      <c r="F24" s="1151"/>
      <c r="G24" s="1151"/>
      <c r="H24" s="1151"/>
      <c r="I24" s="1151"/>
      <c r="J24" s="1151"/>
    </row>
    <row r="25" spans="1:39" ht="14.95" customHeight="1">
      <c r="B25" s="1151" t="s">
        <v>3</v>
      </c>
      <c r="C25" s="1151"/>
      <c r="D25" s="1151"/>
      <c r="E25" s="1151"/>
      <c r="F25" s="1151"/>
      <c r="G25" s="1151"/>
      <c r="H25" s="1151"/>
      <c r="I25" s="1151"/>
      <c r="P25" s="92"/>
      <c r="Q25" s="92"/>
      <c r="R25" s="92"/>
      <c r="S25" s="92"/>
      <c r="T25" s="92"/>
      <c r="U25" s="92"/>
      <c r="V25" s="92"/>
      <c r="W25" s="92"/>
      <c r="X25" s="92"/>
      <c r="Y25" s="92"/>
      <c r="Z25" s="92"/>
      <c r="AA25" s="92"/>
      <c r="AB25" s="92"/>
      <c r="AC25" s="92"/>
      <c r="AD25" s="92"/>
      <c r="AE25" s="92"/>
      <c r="AF25" s="92"/>
      <c r="AG25" s="92"/>
      <c r="AH25" s="92"/>
      <c r="AI25" s="92"/>
      <c r="AJ25" s="92"/>
      <c r="AK25" s="92"/>
    </row>
    <row r="26" spans="1:39" ht="14.95" customHeight="1">
      <c r="B26" s="1152" t="s">
        <v>4</v>
      </c>
      <c r="C26" s="1152"/>
      <c r="D26" s="1152"/>
      <c r="E26" s="1152"/>
      <c r="F26" s="1152"/>
      <c r="G26" s="1152"/>
      <c r="H26" s="1152"/>
      <c r="I26" s="1152"/>
      <c r="P26" s="92"/>
      <c r="Q26" s="92"/>
      <c r="R26" s="92"/>
      <c r="S26" s="92"/>
      <c r="T26" s="92"/>
      <c r="U26" s="92"/>
      <c r="V26" s="92"/>
      <c r="W26" s="92"/>
      <c r="X26" s="92"/>
      <c r="Y26" s="92"/>
      <c r="Z26" s="92"/>
      <c r="AA26" s="92"/>
      <c r="AB26" s="92"/>
      <c r="AC26" s="92"/>
      <c r="AD26" s="92"/>
      <c r="AE26" s="92"/>
      <c r="AF26" s="92"/>
      <c r="AG26" s="92"/>
      <c r="AH26" s="92"/>
      <c r="AI26" s="92"/>
      <c r="AJ26" s="92"/>
      <c r="AK26" s="92"/>
    </row>
    <row r="27" spans="1:39">
      <c r="B27" s="1154" t="s">
        <v>5</v>
      </c>
      <c r="C27" s="1154"/>
      <c r="D27" s="1154"/>
      <c r="E27" s="1154"/>
      <c r="F27" s="1154"/>
      <c r="G27" s="1154"/>
      <c r="H27" s="1154"/>
      <c r="I27" s="1154"/>
      <c r="J27" s="1154"/>
    </row>
    <row r="28" spans="1:39">
      <c r="A28" s="1150"/>
    </row>
    <row r="29" spans="1:39" ht="5.0999999999999996" customHeight="1">
      <c r="A29" s="1150"/>
      <c r="B29" s="192"/>
      <c r="C29" s="193"/>
      <c r="D29" s="193"/>
      <c r="E29" s="193"/>
      <c r="F29" s="193"/>
      <c r="G29" s="193"/>
      <c r="H29" s="193"/>
      <c r="I29" s="193"/>
      <c r="J29" s="193"/>
      <c r="K29" s="193"/>
      <c r="L29" s="193"/>
      <c r="M29" s="193"/>
      <c r="N29" s="193"/>
      <c r="O29" s="193"/>
      <c r="P29" s="193"/>
      <c r="Q29" s="193"/>
      <c r="R29" s="193"/>
      <c r="S29" s="193"/>
      <c r="T29" s="193"/>
      <c r="U29" s="193"/>
      <c r="V29" s="193"/>
      <c r="W29" s="193"/>
      <c r="X29" s="193"/>
      <c r="Y29" s="193"/>
      <c r="Z29" s="193"/>
      <c r="AA29" s="193"/>
      <c r="AB29" s="193"/>
      <c r="AC29" s="193"/>
      <c r="AD29" s="193"/>
      <c r="AE29" s="193"/>
      <c r="AF29" s="193"/>
      <c r="AG29" s="193"/>
      <c r="AH29" s="193"/>
      <c r="AI29" s="193"/>
      <c r="AJ29" s="193"/>
      <c r="AK29" s="193"/>
      <c r="AL29" s="193"/>
      <c r="AM29" s="194"/>
    </row>
    <row r="30" spans="1:39" ht="16.3">
      <c r="A30" s="1150"/>
      <c r="B30" s="195"/>
      <c r="C30" s="170" t="s">
        <v>6</v>
      </c>
      <c r="D30" s="9"/>
      <c r="E30" s="9"/>
      <c r="F30" s="9"/>
      <c r="G30" s="9"/>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196"/>
    </row>
    <row r="31" spans="1:39" ht="16.3">
      <c r="A31" s="1150"/>
      <c r="B31" s="195"/>
      <c r="C31" s="171" t="s">
        <v>1984</v>
      </c>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196"/>
    </row>
    <row r="32" spans="1:39" ht="16.3">
      <c r="A32" s="1150"/>
      <c r="B32" s="195"/>
      <c r="C32" s="171" t="s">
        <v>1985</v>
      </c>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196"/>
    </row>
    <row r="33" spans="1:39" ht="5.0999999999999996" customHeight="1">
      <c r="A33" s="1150"/>
      <c r="B33" s="195"/>
      <c r="C33" s="171"/>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196"/>
    </row>
    <row r="34" spans="1:39" ht="16.3">
      <c r="A34" s="1150"/>
      <c r="B34" s="195"/>
      <c r="C34" s="171"/>
      <c r="D34" s="9" t="s">
        <v>7</v>
      </c>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196"/>
    </row>
    <row r="35" spans="1:39" ht="16.3">
      <c r="A35" s="1150"/>
      <c r="B35" s="195"/>
      <c r="C35" s="171"/>
      <c r="D35" s="9"/>
      <c r="E35" s="9" t="s">
        <v>8</v>
      </c>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196"/>
    </row>
    <row r="36" spans="1:39" ht="16.3">
      <c r="A36" s="1150"/>
      <c r="B36" s="195"/>
      <c r="C36" s="171"/>
      <c r="D36" s="9"/>
      <c r="E36" s="9" t="s">
        <v>9</v>
      </c>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196"/>
    </row>
    <row r="37" spans="1:39" ht="16.3">
      <c r="A37" s="1150"/>
      <c r="B37" s="195"/>
      <c r="C37" s="171"/>
      <c r="D37" s="9"/>
      <c r="E37" s="9" t="s">
        <v>10</v>
      </c>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196"/>
    </row>
    <row r="38" spans="1:39" ht="16.3" hidden="1">
      <c r="A38" s="1150"/>
      <c r="B38" s="195"/>
      <c r="C38" s="171"/>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196"/>
    </row>
    <row r="39" spans="1:39" ht="16.3" hidden="1">
      <c r="A39" s="1150"/>
      <c r="B39" s="195"/>
      <c r="C39" s="170" t="s">
        <v>11</v>
      </c>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196"/>
    </row>
    <row r="40" spans="1:39" ht="16.3" hidden="1">
      <c r="A40" s="1150"/>
      <c r="B40" s="195"/>
      <c r="C40" s="171" t="s">
        <v>1986</v>
      </c>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196"/>
    </row>
    <row r="41" spans="1:39" ht="16.3" hidden="1">
      <c r="A41" s="1150"/>
      <c r="B41" s="195"/>
      <c r="C41" s="171"/>
      <c r="D41" s="9"/>
      <c r="E41" s="667" t="s">
        <v>12</v>
      </c>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196"/>
    </row>
    <row r="42" spans="1:39" ht="16.3" hidden="1">
      <c r="A42" s="1150"/>
      <c r="B42" s="195"/>
      <c r="C42" s="171" t="s">
        <v>1987</v>
      </c>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196"/>
    </row>
    <row r="43" spans="1:39" ht="5.0999999999999996" customHeight="1" thickBot="1">
      <c r="A43" s="1150"/>
      <c r="B43" s="197"/>
      <c r="C43" s="198"/>
      <c r="D43" s="198"/>
      <c r="E43" s="198"/>
      <c r="F43" s="198"/>
      <c r="G43" s="198"/>
      <c r="H43" s="198"/>
      <c r="I43" s="198"/>
      <c r="J43" s="198"/>
      <c r="K43" s="198"/>
      <c r="L43" s="198"/>
      <c r="M43" s="198"/>
      <c r="N43" s="198"/>
      <c r="O43" s="198"/>
      <c r="P43" s="198"/>
      <c r="Q43" s="198"/>
      <c r="R43" s="198"/>
      <c r="S43" s="198"/>
      <c r="T43" s="198"/>
      <c r="U43" s="198"/>
      <c r="V43" s="198"/>
      <c r="W43" s="198"/>
      <c r="X43" s="198"/>
      <c r="Y43" s="198"/>
      <c r="Z43" s="198"/>
      <c r="AA43" s="198"/>
      <c r="AB43" s="198"/>
      <c r="AC43" s="198"/>
      <c r="AD43" s="198"/>
      <c r="AE43" s="198"/>
      <c r="AF43" s="198"/>
      <c r="AG43" s="198"/>
      <c r="AH43" s="198"/>
      <c r="AI43" s="198"/>
      <c r="AJ43" s="198"/>
      <c r="AK43" s="198"/>
      <c r="AL43" s="198"/>
      <c r="AM43" s="199"/>
    </row>
    <row r="44" spans="1:39" ht="14.95" thickTop="1"/>
    <row r="45" spans="1:39" ht="16.3">
      <c r="A45" s="1150"/>
      <c r="B45" s="172" t="str">
        <f>CONCATENATE("Submit the following documents to " &amp; Lookup!D24 &amp;":")</f>
        <v>Submit the following documents to multifamilyretrofit@pse.com:</v>
      </c>
    </row>
    <row r="46" spans="1:39">
      <c r="A46" s="1150"/>
      <c r="B46" s="14" t="s">
        <v>1988</v>
      </c>
    </row>
    <row r="47" spans="1:39">
      <c r="A47" s="1150"/>
      <c r="B47" s="14" t="s">
        <v>1989</v>
      </c>
    </row>
    <row r="48" spans="1:39">
      <c r="A48" s="1150"/>
      <c r="B48" s="14" t="s">
        <v>13</v>
      </c>
    </row>
    <row r="49" spans="1:39">
      <c r="A49" s="1150"/>
      <c r="B49" s="173" t="s">
        <v>14</v>
      </c>
    </row>
    <row r="50" spans="1:39" hidden="1">
      <c r="A50" s="1150"/>
      <c r="B50" s="173" t="s">
        <v>1990</v>
      </c>
    </row>
    <row r="51" spans="1:39">
      <c r="A51" s="1150"/>
    </row>
    <row r="52" spans="1:39" ht="16.3">
      <c r="A52" s="1150"/>
      <c r="B52" s="172" t="s">
        <v>15</v>
      </c>
    </row>
    <row r="53" spans="1:39" ht="14.95" customHeight="1">
      <c r="A53" s="1150"/>
      <c r="B53" s="1153" t="str">
        <f>Lookup!D26</f>
        <v xml:space="preserve">Qualifying Electric Customers: Qualifying customers for the Multi-Family Lighting Incentive Program include any PSE customer, owner or tenant with appropriate owner consent, of a qualifying Multi-Family structure. Qualifying structures include, but are not limited to: apartments, condominium residences, senior living residences, dormitories or similar structures with five or more attached dwelling units. Services are also available in qualifying Multi-Family campuses.  </v>
      </c>
      <c r="C53" s="1153"/>
      <c r="D53" s="1153"/>
      <c r="E53" s="1153"/>
      <c r="F53" s="1153"/>
      <c r="G53" s="1153"/>
      <c r="H53" s="1153"/>
      <c r="I53" s="1153"/>
      <c r="J53" s="1153"/>
      <c r="K53" s="1153"/>
      <c r="L53" s="1153"/>
      <c r="M53" s="1153"/>
      <c r="N53" s="1153"/>
      <c r="O53" s="1153"/>
      <c r="P53" s="1153"/>
      <c r="Q53" s="1153"/>
      <c r="R53" s="1153"/>
      <c r="S53" s="1153"/>
      <c r="T53" s="1153"/>
      <c r="U53" s="1153"/>
      <c r="V53" s="1153"/>
      <c r="W53" s="1153"/>
      <c r="X53" s="1153"/>
      <c r="Y53" s="1153"/>
      <c r="Z53" s="1153"/>
      <c r="AA53" s="1153"/>
      <c r="AB53" s="1153"/>
      <c r="AC53" s="1153"/>
      <c r="AD53" s="1153"/>
      <c r="AE53" s="1153"/>
      <c r="AF53" s="1153"/>
      <c r="AG53" s="1153"/>
      <c r="AH53" s="1153"/>
      <c r="AI53" s="1153"/>
      <c r="AJ53" s="1153"/>
      <c r="AK53" s="1153"/>
      <c r="AL53" s="1153"/>
      <c r="AM53" s="1153"/>
    </row>
    <row r="54" spans="1:39" ht="14.95" customHeight="1">
      <c r="A54" s="1150"/>
      <c r="B54" s="1153"/>
      <c r="C54" s="1153"/>
      <c r="D54" s="1153"/>
      <c r="E54" s="1153"/>
      <c r="F54" s="1153"/>
      <c r="G54" s="1153"/>
      <c r="H54" s="1153"/>
      <c r="I54" s="1153"/>
      <c r="J54" s="1153"/>
      <c r="K54" s="1153"/>
      <c r="L54" s="1153"/>
      <c r="M54" s="1153"/>
      <c r="N54" s="1153"/>
      <c r="O54" s="1153"/>
      <c r="P54" s="1153"/>
      <c r="Q54" s="1153"/>
      <c r="R54" s="1153"/>
      <c r="S54" s="1153"/>
      <c r="T54" s="1153"/>
      <c r="U54" s="1153"/>
      <c r="V54" s="1153"/>
      <c r="W54" s="1153"/>
      <c r="X54" s="1153"/>
      <c r="Y54" s="1153"/>
      <c r="Z54" s="1153"/>
      <c r="AA54" s="1153"/>
      <c r="AB54" s="1153"/>
      <c r="AC54" s="1153"/>
      <c r="AD54" s="1153"/>
      <c r="AE54" s="1153"/>
      <c r="AF54" s="1153"/>
      <c r="AG54" s="1153"/>
      <c r="AH54" s="1153"/>
      <c r="AI54" s="1153"/>
      <c r="AJ54" s="1153"/>
      <c r="AK54" s="1153"/>
      <c r="AL54" s="1153"/>
      <c r="AM54" s="1153"/>
    </row>
    <row r="55" spans="1:39" ht="14.95" customHeight="1">
      <c r="A55" s="1150"/>
      <c r="B55" s="1153"/>
      <c r="C55" s="1153"/>
      <c r="D55" s="1153"/>
      <c r="E55" s="1153"/>
      <c r="F55" s="1153"/>
      <c r="G55" s="1153"/>
      <c r="H55" s="1153"/>
      <c r="I55" s="1153"/>
      <c r="J55" s="1153"/>
      <c r="K55" s="1153"/>
      <c r="L55" s="1153"/>
      <c r="M55" s="1153"/>
      <c r="N55" s="1153"/>
      <c r="O55" s="1153"/>
      <c r="P55" s="1153"/>
      <c r="Q55" s="1153"/>
      <c r="R55" s="1153"/>
      <c r="S55" s="1153"/>
      <c r="T55" s="1153"/>
      <c r="U55" s="1153"/>
      <c r="V55" s="1153"/>
      <c r="W55" s="1153"/>
      <c r="X55" s="1153"/>
      <c r="Y55" s="1153"/>
      <c r="Z55" s="1153"/>
      <c r="AA55" s="1153"/>
      <c r="AB55" s="1153"/>
      <c r="AC55" s="1153"/>
      <c r="AD55" s="1153"/>
      <c r="AE55" s="1153"/>
      <c r="AF55" s="1153"/>
      <c r="AG55" s="1153"/>
      <c r="AH55" s="1153"/>
      <c r="AI55" s="1153"/>
      <c r="AJ55" s="1153"/>
      <c r="AK55" s="1153"/>
      <c r="AL55" s="1153"/>
      <c r="AM55" s="1153"/>
    </row>
    <row r="56" spans="1:39">
      <c r="A56" s="1150"/>
      <c r="B56" s="1153"/>
      <c r="C56" s="1153"/>
      <c r="D56" s="1153"/>
      <c r="E56" s="1153"/>
      <c r="F56" s="1153"/>
      <c r="G56" s="1153"/>
      <c r="H56" s="1153"/>
      <c r="I56" s="1153"/>
      <c r="J56" s="1153"/>
      <c r="K56" s="1153"/>
      <c r="L56" s="1153"/>
      <c r="M56" s="1153"/>
      <c r="N56" s="1153"/>
      <c r="O56" s="1153"/>
      <c r="P56" s="1153"/>
      <c r="Q56" s="1153"/>
      <c r="R56" s="1153"/>
      <c r="S56" s="1153"/>
      <c r="T56" s="1153"/>
      <c r="U56" s="1153"/>
      <c r="V56" s="1153"/>
      <c r="W56" s="1153"/>
      <c r="X56" s="1153"/>
      <c r="Y56" s="1153"/>
      <c r="Z56" s="1153"/>
      <c r="AA56" s="1153"/>
      <c r="AB56" s="1153"/>
      <c r="AC56" s="1153"/>
      <c r="AD56" s="1153"/>
      <c r="AE56" s="1153"/>
      <c r="AF56" s="1153"/>
      <c r="AG56" s="1153"/>
      <c r="AH56" s="1153"/>
      <c r="AI56" s="1153"/>
      <c r="AJ56" s="1153"/>
      <c r="AK56" s="1153"/>
      <c r="AL56" s="1153"/>
      <c r="AM56" s="1153"/>
    </row>
    <row r="57" spans="1:39" ht="14.95" customHeight="1">
      <c r="B57" s="1153"/>
      <c r="C57" s="1153"/>
      <c r="D57" s="1153"/>
      <c r="E57" s="1153"/>
      <c r="F57" s="1153"/>
      <c r="G57" s="1153"/>
      <c r="H57" s="1153"/>
      <c r="I57" s="1153"/>
      <c r="J57" s="1153"/>
      <c r="K57" s="1153"/>
      <c r="L57" s="1153"/>
      <c r="M57" s="1153"/>
      <c r="N57" s="1153"/>
      <c r="O57" s="1153"/>
      <c r="P57" s="1153"/>
      <c r="Q57" s="1153"/>
      <c r="R57" s="1153"/>
      <c r="S57" s="1153"/>
      <c r="T57" s="1153"/>
      <c r="U57" s="1153"/>
      <c r="V57" s="1153"/>
      <c r="W57" s="1153"/>
      <c r="X57" s="1153"/>
      <c r="Y57" s="1153"/>
      <c r="Z57" s="1153"/>
      <c r="AA57" s="1153"/>
      <c r="AB57" s="1153"/>
      <c r="AC57" s="1153"/>
      <c r="AD57" s="1153"/>
      <c r="AE57" s="1153"/>
      <c r="AF57" s="1153"/>
      <c r="AG57" s="1153"/>
      <c r="AH57" s="1153"/>
      <c r="AI57" s="1153"/>
      <c r="AJ57" s="1153"/>
      <c r="AK57" s="1153"/>
      <c r="AL57" s="1153"/>
      <c r="AM57" s="1153"/>
    </row>
    <row r="58" spans="1:39" ht="16.3">
      <c r="A58" s="1150"/>
      <c r="B58" s="172" t="s">
        <v>16</v>
      </c>
    </row>
    <row r="59" spans="1:39">
      <c r="A59" s="1150"/>
      <c r="B59" s="174" t="s">
        <v>17</v>
      </c>
    </row>
    <row r="60" spans="1:39">
      <c r="A60" s="1150"/>
      <c r="B60" s="174" t="s">
        <v>18</v>
      </c>
    </row>
    <row r="61" spans="1:39">
      <c r="A61" s="1150"/>
      <c r="B61" s="476"/>
    </row>
    <row r="62" spans="1:39">
      <c r="A62" s="1150"/>
      <c r="B62" s="174" t="s">
        <v>19</v>
      </c>
    </row>
    <row r="63" spans="1:39">
      <c r="A63" s="1150"/>
    </row>
    <row r="64" spans="1:39">
      <c r="A64" s="1150"/>
      <c r="B64" s="175" t="s">
        <v>1991</v>
      </c>
      <c r="C64" s="175"/>
      <c r="D64" s="175"/>
      <c r="E64" s="175"/>
      <c r="F64" s="175"/>
      <c r="G64" s="175"/>
      <c r="H64" s="175"/>
      <c r="I64" s="175"/>
      <c r="J64" s="175"/>
      <c r="K64" s="175"/>
      <c r="L64" s="175"/>
      <c r="M64" s="175"/>
      <c r="N64" s="175"/>
      <c r="O64" s="175"/>
      <c r="P64" s="175"/>
      <c r="Q64" s="175"/>
      <c r="R64" s="175"/>
      <c r="S64" s="175"/>
      <c r="T64" s="175"/>
      <c r="U64" s="175"/>
    </row>
    <row r="65" spans="1:21">
      <c r="A65" s="1150"/>
      <c r="B65" s="175"/>
      <c r="C65" s="175"/>
      <c r="D65" s="175"/>
      <c r="E65" s="175"/>
      <c r="F65" s="175"/>
      <c r="G65" s="175"/>
      <c r="H65" s="175"/>
      <c r="I65" s="175"/>
      <c r="J65" s="175"/>
      <c r="K65" s="175"/>
      <c r="L65" s="175"/>
      <c r="M65" s="175"/>
      <c r="N65" s="175"/>
      <c r="O65" s="175"/>
      <c r="P65" s="175"/>
      <c r="Q65" s="175"/>
      <c r="R65" s="175"/>
      <c r="S65" s="175"/>
      <c r="T65" s="175"/>
      <c r="U65" s="175"/>
    </row>
    <row r="66" spans="1:21">
      <c r="A66" s="1150"/>
      <c r="C66" s="329" t="s">
        <v>1992</v>
      </c>
    </row>
    <row r="67" spans="1:21">
      <c r="A67" s="1150"/>
      <c r="C67" s="329" t="str">
        <f>CONCATENATE("are NOT incentivized through the ",Lookup!D22," Program. ")</f>
        <v xml:space="preserve">are NOT incentivized through the Multi-Family Lighting Program. </v>
      </c>
    </row>
    <row r="68" spans="1:21">
      <c r="A68" s="1150"/>
      <c r="C68" s="176" t="s">
        <v>20</v>
      </c>
    </row>
    <row r="69" spans="1:21">
      <c r="A69" s="1150"/>
      <c r="C69" s="476"/>
    </row>
    <row r="70" spans="1:21">
      <c r="A70" s="1150"/>
      <c r="C70" s="329" t="s">
        <v>1993</v>
      </c>
    </row>
    <row r="71" spans="1:21">
      <c r="A71" s="1150"/>
      <c r="C71" s="329" t="str">
        <f>CONCATENATE("- replacing fluorescent lamps, are incentivized at the current Lighting To Go $",Lookup!B2,"/lamp regardless if the fixture they are installed in is new, existing or retrofitted.")</f>
        <v>- replacing fluorescent lamps, are incentivized at the current Lighting To Go $4/lamp regardless if the fixture they are installed in is new, existing or retrofitted.</v>
      </c>
    </row>
    <row r="72" spans="1:21">
      <c r="A72" s="1150"/>
      <c r="C72" s="329" t="str">
        <f>CONCATENATE("- replacing TLED lamps, are incentivized at $2/lamp regardless if the fixture they are installed in is new, existing or retrofitted. Each lamp must save at least 5 watts.")</f>
        <v>- replacing TLED lamps, are incentivized at $2/lamp regardless if the fixture they are installed in is new, existing or retrofitted. Each lamp must save at least 5 watts.</v>
      </c>
    </row>
    <row r="73" spans="1:21">
      <c r="A73" s="1150"/>
      <c r="C73" s="329"/>
    </row>
    <row r="74" spans="1:21">
      <c r="A74" s="1150"/>
      <c r="C74" s="177" t="s">
        <v>21</v>
      </c>
    </row>
    <row r="75" spans="1:21">
      <c r="A75" s="1150"/>
      <c r="C75" s="177" t="s">
        <v>22</v>
      </c>
    </row>
    <row r="76" spans="1:21">
      <c r="A76" s="1150"/>
      <c r="C76" s="178" t="s">
        <v>23</v>
      </c>
    </row>
    <row r="77" spans="1:21">
      <c r="A77" s="1150"/>
      <c r="C77" s="329"/>
    </row>
    <row r="78" spans="1:21">
      <c r="A78" s="1150"/>
      <c r="C78" s="179" t="s">
        <v>24</v>
      </c>
    </row>
    <row r="79" spans="1:21">
      <c r="A79" s="1150"/>
    </row>
    <row r="80" spans="1:21">
      <c r="A80" s="1150"/>
      <c r="C80" s="174" t="s">
        <v>25</v>
      </c>
    </row>
    <row r="81" spans="1:3">
      <c r="A81" s="1150"/>
      <c r="C81" s="19" t="s">
        <v>1994</v>
      </c>
    </row>
    <row r="82" spans="1:3">
      <c r="A82" s="1150"/>
      <c r="C82" s="19" t="s">
        <v>26</v>
      </c>
    </row>
    <row r="83" spans="1:3">
      <c r="A83" s="1150"/>
      <c r="C83" s="19" t="s">
        <v>27</v>
      </c>
    </row>
    <row r="84" spans="1:3">
      <c r="A84" s="1150"/>
    </row>
    <row r="85" spans="1:3">
      <c r="A85" s="1150"/>
      <c r="C85" s="180" t="s">
        <v>28</v>
      </c>
    </row>
    <row r="86" spans="1:3">
      <c r="A86" s="1150"/>
      <c r="C86" s="329" t="str">
        <f>CONCATENATE("Incentivized at $",Lookup!B9,"/kWh up to 70% of the installed cost. ")</f>
        <v xml:space="preserve">Incentivized at $0.17/kWh up to 70% of the installed cost. </v>
      </c>
    </row>
    <row r="87" spans="1:3">
      <c r="A87" s="1150"/>
      <c r="C87" s="181" t="s">
        <v>1997</v>
      </c>
    </row>
    <row r="88" spans="1:3">
      <c r="A88" s="1150"/>
      <c r="C88" s="181" t="s">
        <v>1995</v>
      </c>
    </row>
    <row r="89" spans="1:3">
      <c r="A89" s="1150"/>
      <c r="C89" s="181" t="s">
        <v>1996</v>
      </c>
    </row>
    <row r="90" spans="1:3">
      <c r="A90" s="1150"/>
      <c r="C90" s="329"/>
    </row>
    <row r="91" spans="1:3">
      <c r="A91" s="1150"/>
      <c r="C91" s="180" t="s">
        <v>29</v>
      </c>
    </row>
    <row r="92" spans="1:3">
      <c r="A92" s="1150"/>
      <c r="C92" s="329" t="str">
        <f>CONCATENATE("Incentivized at $",Lookup!B8,"/kWh up to 70% of the installed cost.")</f>
        <v>Incentivized at $0.17/kWh up to 70% of the installed cost.</v>
      </c>
    </row>
    <row r="93" spans="1:3">
      <c r="A93" s="1150"/>
      <c r="C93" s="181" t="s">
        <v>1997</v>
      </c>
    </row>
    <row r="94" spans="1:3">
      <c r="A94" s="1150"/>
      <c r="C94" s="181" t="s">
        <v>1996</v>
      </c>
    </row>
    <row r="95" spans="1:3">
      <c r="A95" s="1150"/>
      <c r="C95" s="329"/>
    </row>
    <row r="96" spans="1:3">
      <c r="A96" s="1150"/>
      <c r="C96" s="180" t="s">
        <v>30</v>
      </c>
    </row>
    <row r="97" spans="1:3">
      <c r="A97" s="1150"/>
      <c r="C97" s="329" t="str">
        <f>CONCATENATE("Incentivized at $",Lookup!B3,"/kWh up to 70% of the installed cost.")</f>
        <v>Incentivized at $0.17/kWh up to 70% of the installed cost.</v>
      </c>
    </row>
    <row r="98" spans="1:3">
      <c r="A98" s="1150"/>
      <c r="C98" s="181" t="s">
        <v>1998</v>
      </c>
    </row>
    <row r="99" spans="1:3">
      <c r="A99" s="1150"/>
      <c r="C99" s="329"/>
    </row>
    <row r="100" spans="1:3">
      <c r="A100" s="1150"/>
      <c r="C100" s="180" t="s">
        <v>31</v>
      </c>
    </row>
    <row r="101" spans="1:3">
      <c r="A101" s="1150"/>
      <c r="C101" s="329" t="str">
        <f>CONCATENATE("Incentivized at $",Lookup!B4,"/kWh up to 70% of the installed cost.")</f>
        <v>Incentivized at $0.25/kWh up to 70% of the installed cost.</v>
      </c>
    </row>
    <row r="102" spans="1:3">
      <c r="A102" s="1150"/>
      <c r="C102" s="181" t="s">
        <v>32</v>
      </c>
    </row>
    <row r="103" spans="1:3">
      <c r="A103" s="1150"/>
      <c r="C103" s="329"/>
    </row>
    <row r="104" spans="1:3">
      <c r="A104" s="1150"/>
      <c r="C104" s="180" t="s">
        <v>33</v>
      </c>
    </row>
    <row r="105" spans="1:3">
      <c r="A105" s="1150"/>
      <c r="C105" s="329" t="str">
        <f>CONCATENATE("Incentivized at $",Lookup!B5,"/kWh up to 70% of the installed cost.")</f>
        <v>Incentivized at $0.25/kWh up to 70% of the installed cost.</v>
      </c>
    </row>
    <row r="106" spans="1:3">
      <c r="A106" s="1150"/>
      <c r="C106" s="181" t="s">
        <v>34</v>
      </c>
    </row>
    <row r="107" spans="1:3">
      <c r="A107" s="1150"/>
      <c r="C107" s="181" t="s">
        <v>35</v>
      </c>
    </row>
    <row r="108" spans="1:3">
      <c r="A108" s="1150"/>
    </row>
    <row r="109" spans="1:3">
      <c r="A109" s="1150"/>
      <c r="C109" s="2" t="s">
        <v>36</v>
      </c>
    </row>
    <row r="110" spans="1:3">
      <c r="A110" s="1150"/>
      <c r="C110" t="str">
        <f>CONCATENATE("An additional $",Lookup!B6,"0/kWh will be incentivized for each measure that includes an upgraded lighting control.")</f>
        <v>An additional $0.10/kWh will be incentivized for each measure that includes an upgraded lighting control.</v>
      </c>
    </row>
    <row r="111" spans="1:3">
      <c r="A111" s="1150"/>
      <c r="C111" t="s">
        <v>37</v>
      </c>
    </row>
    <row r="112" spans="1:3">
      <c r="A112" s="1150"/>
      <c r="C112" s="181" t="s">
        <v>38</v>
      </c>
    </row>
    <row r="113" spans="1:39">
      <c r="A113" s="1150"/>
      <c r="C113" s="181" t="s">
        <v>39</v>
      </c>
    </row>
    <row r="114" spans="1:39">
      <c r="A114" s="1150"/>
    </row>
    <row r="115" spans="1:39">
      <c r="A115" s="1150"/>
      <c r="C115" s="182" t="s">
        <v>40</v>
      </c>
    </row>
    <row r="116" spans="1:39">
      <c r="A116" s="1150"/>
      <c r="C116" s="174" t="str">
        <f>CONCATENATE("Incentivized at $",Lookup!B5+Lookup!B6,"/kWh up to 70% of the installed cost.")</f>
        <v>Incentivized at $0.35/kWh up to 70% of the installed cost.</v>
      </c>
    </row>
    <row r="117" spans="1:39">
      <c r="A117" s="1150"/>
      <c r="C117" s="181" t="s">
        <v>41</v>
      </c>
    </row>
    <row r="118" spans="1:39">
      <c r="A118" s="1150"/>
      <c r="C118" s="181" t="str">
        <f>CONCATENATE("All LLLC projects must be pre-inspected, contact "&amp;Lookup!D24&amp;" for more information. ")</f>
        <v xml:space="preserve">All LLLC projects must be pre-inspected, contact multifamilyretrofit@pse.com for more information. </v>
      </c>
    </row>
    <row r="119" spans="1:39">
      <c r="A119" s="1150"/>
    </row>
    <row r="120" spans="1:39">
      <c r="A120" s="1150"/>
      <c r="C120" s="183" t="s">
        <v>1999</v>
      </c>
    </row>
    <row r="121" spans="1:39">
      <c r="A121" s="1150"/>
      <c r="C121" s="200" t="s">
        <v>2000</v>
      </c>
    </row>
    <row r="122" spans="1:39">
      <c r="A122" s="1150"/>
      <c r="C122" s="184"/>
    </row>
    <row r="123" spans="1:39" ht="14.95" customHeight="1">
      <c r="A123" s="1150"/>
      <c r="D123" s="1157" t="s">
        <v>2095</v>
      </c>
      <c r="E123" s="1158"/>
      <c r="F123" s="1158"/>
      <c r="G123" s="1158"/>
      <c r="H123" s="1158"/>
      <c r="I123" s="1158"/>
      <c r="J123" s="1158"/>
      <c r="K123" s="1158"/>
      <c r="L123" s="1158"/>
      <c r="M123" s="1158"/>
      <c r="N123" s="1158"/>
      <c r="O123" s="1158"/>
      <c r="P123" s="1158"/>
      <c r="Q123" s="1158"/>
      <c r="R123" s="1158"/>
      <c r="S123" s="1158"/>
      <c r="T123" s="1158"/>
      <c r="U123" s="1158"/>
      <c r="V123" s="1158"/>
      <c r="W123" s="1158"/>
      <c r="X123" s="1158"/>
      <c r="Y123" s="1158"/>
      <c r="Z123" s="1158"/>
      <c r="AA123" s="1158"/>
      <c r="AB123" s="1158"/>
      <c r="AC123" s="1158"/>
      <c r="AD123" s="1158"/>
      <c r="AE123" s="1158"/>
      <c r="AF123" s="1158"/>
      <c r="AG123" s="1158"/>
      <c r="AH123" s="1158"/>
      <c r="AI123" s="1158"/>
      <c r="AJ123" s="1158"/>
      <c r="AK123" s="1158"/>
      <c r="AL123" s="1158"/>
      <c r="AM123" s="1159"/>
    </row>
    <row r="124" spans="1:39">
      <c r="A124" s="1150"/>
      <c r="D124" s="1160"/>
      <c r="E124" s="1161"/>
      <c r="F124" s="1161"/>
      <c r="G124" s="1161"/>
      <c r="H124" s="1161"/>
      <c r="I124" s="1161"/>
      <c r="J124" s="1161"/>
      <c r="K124" s="1161"/>
      <c r="L124" s="1161"/>
      <c r="M124" s="1161"/>
      <c r="N124" s="1161"/>
      <c r="O124" s="1161"/>
      <c r="P124" s="1161"/>
      <c r="Q124" s="1161"/>
      <c r="R124" s="1161"/>
      <c r="S124" s="1161"/>
      <c r="T124" s="1161"/>
      <c r="U124" s="1161"/>
      <c r="V124" s="1161"/>
      <c r="W124" s="1161"/>
      <c r="X124" s="1161"/>
      <c r="Y124" s="1161"/>
      <c r="Z124" s="1161"/>
      <c r="AA124" s="1161"/>
      <c r="AB124" s="1161"/>
      <c r="AC124" s="1161"/>
      <c r="AD124" s="1161"/>
      <c r="AE124" s="1161"/>
      <c r="AF124" s="1161"/>
      <c r="AG124" s="1161"/>
      <c r="AH124" s="1161"/>
      <c r="AI124" s="1161"/>
      <c r="AJ124" s="1161"/>
      <c r="AK124" s="1161"/>
      <c r="AL124" s="1161"/>
      <c r="AM124" s="1162"/>
    </row>
    <row r="125" spans="1:39">
      <c r="A125" s="1150"/>
      <c r="D125" s="1160"/>
      <c r="E125" s="1161"/>
      <c r="F125" s="1161"/>
      <c r="G125" s="1161"/>
      <c r="H125" s="1161"/>
      <c r="I125" s="1161"/>
      <c r="J125" s="1161"/>
      <c r="K125" s="1161"/>
      <c r="L125" s="1161"/>
      <c r="M125" s="1161"/>
      <c r="N125" s="1161"/>
      <c r="O125" s="1161"/>
      <c r="P125" s="1161"/>
      <c r="Q125" s="1161"/>
      <c r="R125" s="1161"/>
      <c r="S125" s="1161"/>
      <c r="T125" s="1161"/>
      <c r="U125" s="1161"/>
      <c r="V125" s="1161"/>
      <c r="W125" s="1161"/>
      <c r="X125" s="1161"/>
      <c r="Y125" s="1161"/>
      <c r="Z125" s="1161"/>
      <c r="AA125" s="1161"/>
      <c r="AB125" s="1161"/>
      <c r="AC125" s="1161"/>
      <c r="AD125" s="1161"/>
      <c r="AE125" s="1161"/>
      <c r="AF125" s="1161"/>
      <c r="AG125" s="1161"/>
      <c r="AH125" s="1161"/>
      <c r="AI125" s="1161"/>
      <c r="AJ125" s="1161"/>
      <c r="AK125" s="1161"/>
      <c r="AL125" s="1161"/>
      <c r="AM125" s="1162"/>
    </row>
    <row r="126" spans="1:39">
      <c r="A126" s="1150"/>
      <c r="D126" s="1163"/>
      <c r="E126" s="1164"/>
      <c r="F126" s="1164"/>
      <c r="G126" s="1164"/>
      <c r="H126" s="1164"/>
      <c r="I126" s="1164"/>
      <c r="J126" s="1164"/>
      <c r="K126" s="1164"/>
      <c r="L126" s="1164"/>
      <c r="M126" s="1164"/>
      <c r="N126" s="1164"/>
      <c r="O126" s="1164"/>
      <c r="P126" s="1164"/>
      <c r="Q126" s="1164"/>
      <c r="R126" s="1164"/>
      <c r="S126" s="1164"/>
      <c r="T126" s="1164"/>
      <c r="U126" s="1164"/>
      <c r="V126" s="1164"/>
      <c r="W126" s="1164"/>
      <c r="X126" s="1164"/>
      <c r="Y126" s="1164"/>
      <c r="Z126" s="1164"/>
      <c r="AA126" s="1164"/>
      <c r="AB126" s="1164"/>
      <c r="AC126" s="1164"/>
      <c r="AD126" s="1164"/>
      <c r="AE126" s="1164"/>
      <c r="AF126" s="1164"/>
      <c r="AG126" s="1164"/>
      <c r="AH126" s="1164"/>
      <c r="AI126" s="1164"/>
      <c r="AJ126" s="1164"/>
      <c r="AK126" s="1164"/>
      <c r="AL126" s="1164"/>
      <c r="AM126" s="1165"/>
    </row>
    <row r="127" spans="1:39">
      <c r="A127" s="1150"/>
    </row>
    <row r="128" spans="1:39" hidden="1">
      <c r="A128" s="1150"/>
      <c r="C128" s="183" t="s">
        <v>42</v>
      </c>
    </row>
    <row r="129" spans="1:39" hidden="1">
      <c r="A129" s="1150"/>
      <c r="C129" s="200" t="s">
        <v>2001</v>
      </c>
    </row>
    <row r="130" spans="1:39" hidden="1">
      <c r="A130" s="1150"/>
      <c r="C130" s="184"/>
    </row>
    <row r="131" spans="1:39" ht="14.95" hidden="1" customHeight="1">
      <c r="A131" s="1150"/>
      <c r="D131" s="1157" t="s">
        <v>43</v>
      </c>
      <c r="E131" s="1158"/>
      <c r="F131" s="1158"/>
      <c r="G131" s="1158"/>
      <c r="H131" s="1158"/>
      <c r="I131" s="1158"/>
      <c r="J131" s="1158"/>
      <c r="K131" s="1158"/>
      <c r="L131" s="1158"/>
      <c r="M131" s="1158"/>
      <c r="N131" s="1158"/>
      <c r="O131" s="1158"/>
      <c r="P131" s="1158"/>
      <c r="Q131" s="1158"/>
      <c r="R131" s="1158"/>
      <c r="S131" s="1158"/>
      <c r="T131" s="1158"/>
      <c r="U131" s="1158"/>
      <c r="V131" s="1158"/>
      <c r="W131" s="1158"/>
      <c r="X131" s="1158"/>
      <c r="Y131" s="1158"/>
      <c r="Z131" s="1158"/>
      <c r="AA131" s="1158"/>
      <c r="AB131" s="1158"/>
      <c r="AC131" s="1158"/>
      <c r="AD131" s="1158"/>
      <c r="AE131" s="1158"/>
      <c r="AF131" s="1158"/>
      <c r="AG131" s="1158"/>
      <c r="AH131" s="1158"/>
      <c r="AI131" s="1158"/>
      <c r="AJ131" s="1158"/>
      <c r="AK131" s="1158"/>
      <c r="AL131" s="1158"/>
      <c r="AM131" s="1159"/>
    </row>
    <row r="132" spans="1:39" hidden="1">
      <c r="A132" s="1150"/>
      <c r="D132" s="1160"/>
      <c r="E132" s="1161"/>
      <c r="F132" s="1161"/>
      <c r="G132" s="1161"/>
      <c r="H132" s="1161"/>
      <c r="I132" s="1161"/>
      <c r="J132" s="1161"/>
      <c r="K132" s="1161"/>
      <c r="L132" s="1161"/>
      <c r="M132" s="1161"/>
      <c r="N132" s="1161"/>
      <c r="O132" s="1161"/>
      <c r="P132" s="1161"/>
      <c r="Q132" s="1161"/>
      <c r="R132" s="1161"/>
      <c r="S132" s="1161"/>
      <c r="T132" s="1161"/>
      <c r="U132" s="1161"/>
      <c r="V132" s="1161"/>
      <c r="W132" s="1161"/>
      <c r="X132" s="1161"/>
      <c r="Y132" s="1161"/>
      <c r="Z132" s="1161"/>
      <c r="AA132" s="1161"/>
      <c r="AB132" s="1161"/>
      <c r="AC132" s="1161"/>
      <c r="AD132" s="1161"/>
      <c r="AE132" s="1161"/>
      <c r="AF132" s="1161"/>
      <c r="AG132" s="1161"/>
      <c r="AH132" s="1161"/>
      <c r="AI132" s="1161"/>
      <c r="AJ132" s="1161"/>
      <c r="AK132" s="1161"/>
      <c r="AL132" s="1161"/>
      <c r="AM132" s="1162"/>
    </row>
    <row r="133" spans="1:39" hidden="1">
      <c r="A133" s="1150"/>
      <c r="D133" s="1160"/>
      <c r="E133" s="1161"/>
      <c r="F133" s="1161"/>
      <c r="G133" s="1161"/>
      <c r="H133" s="1161"/>
      <c r="I133" s="1161"/>
      <c r="J133" s="1161"/>
      <c r="K133" s="1161"/>
      <c r="L133" s="1161"/>
      <c r="M133" s="1161"/>
      <c r="N133" s="1161"/>
      <c r="O133" s="1161"/>
      <c r="P133" s="1161"/>
      <c r="Q133" s="1161"/>
      <c r="R133" s="1161"/>
      <c r="S133" s="1161"/>
      <c r="T133" s="1161"/>
      <c r="U133" s="1161"/>
      <c r="V133" s="1161"/>
      <c r="W133" s="1161"/>
      <c r="X133" s="1161"/>
      <c r="Y133" s="1161"/>
      <c r="Z133" s="1161"/>
      <c r="AA133" s="1161"/>
      <c r="AB133" s="1161"/>
      <c r="AC133" s="1161"/>
      <c r="AD133" s="1161"/>
      <c r="AE133" s="1161"/>
      <c r="AF133" s="1161"/>
      <c r="AG133" s="1161"/>
      <c r="AH133" s="1161"/>
      <c r="AI133" s="1161"/>
      <c r="AJ133" s="1161"/>
      <c r="AK133" s="1161"/>
      <c r="AL133" s="1161"/>
      <c r="AM133" s="1162"/>
    </row>
    <row r="134" spans="1:39" hidden="1">
      <c r="A134" s="1150"/>
      <c r="D134" s="1163"/>
      <c r="E134" s="1164"/>
      <c r="F134" s="1164"/>
      <c r="G134" s="1164"/>
      <c r="H134" s="1164"/>
      <c r="I134" s="1164"/>
      <c r="J134" s="1164"/>
      <c r="K134" s="1164"/>
      <c r="L134" s="1164"/>
      <c r="M134" s="1164"/>
      <c r="N134" s="1164"/>
      <c r="O134" s="1164"/>
      <c r="P134" s="1164"/>
      <c r="Q134" s="1164"/>
      <c r="R134" s="1164"/>
      <c r="S134" s="1164"/>
      <c r="T134" s="1164"/>
      <c r="U134" s="1164"/>
      <c r="V134" s="1164"/>
      <c r="W134" s="1164"/>
      <c r="X134" s="1164"/>
      <c r="Y134" s="1164"/>
      <c r="Z134" s="1164"/>
      <c r="AA134" s="1164"/>
      <c r="AB134" s="1164"/>
      <c r="AC134" s="1164"/>
      <c r="AD134" s="1164"/>
      <c r="AE134" s="1164"/>
      <c r="AF134" s="1164"/>
      <c r="AG134" s="1164"/>
      <c r="AH134" s="1164"/>
      <c r="AI134" s="1164"/>
      <c r="AJ134" s="1164"/>
      <c r="AK134" s="1164"/>
      <c r="AL134" s="1164"/>
      <c r="AM134" s="1165"/>
    </row>
    <row r="135" spans="1:39" hidden="1">
      <c r="A135" s="1150"/>
    </row>
    <row r="136" spans="1:39">
      <c r="A136" s="1150"/>
      <c r="B136" s="4" t="s">
        <v>44</v>
      </c>
      <c r="C136" s="185"/>
      <c r="D136" s="185"/>
    </row>
    <row r="137" spans="1:39">
      <c r="A137" s="1150"/>
      <c r="C137" t="s">
        <v>45</v>
      </c>
      <c r="D137" s="174"/>
    </row>
    <row r="138" spans="1:39">
      <c r="A138" s="1150"/>
      <c r="C138" t="s">
        <v>2002</v>
      </c>
      <c r="D138" s="174"/>
    </row>
    <row r="139" spans="1:39">
      <c r="A139" s="1150"/>
      <c r="D139" s="174"/>
    </row>
    <row r="140" spans="1:39">
      <c r="A140" s="1150"/>
      <c r="C140" s="1032" t="s">
        <v>2004</v>
      </c>
    </row>
    <row r="141" spans="1:39" hidden="1">
      <c r="A141" s="1150"/>
      <c r="C141" s="186" t="s">
        <v>46</v>
      </c>
      <c r="D141" s="174"/>
    </row>
    <row r="142" spans="1:39" hidden="1">
      <c r="A142" s="1150"/>
      <c r="C142" s="98" t="s">
        <v>47</v>
      </c>
      <c r="D142" s="186"/>
    </row>
    <row r="143" spans="1:39">
      <c r="A143" s="1150"/>
      <c r="C143" s="186" t="s">
        <v>48</v>
      </c>
      <c r="D143" s="187"/>
    </row>
    <row r="144" spans="1:39">
      <c r="A144" s="1150"/>
      <c r="C144" s="186" t="s">
        <v>49</v>
      </c>
    </row>
    <row r="145" spans="1:4">
      <c r="A145" s="1150"/>
      <c r="C145" s="186" t="s">
        <v>50</v>
      </c>
      <c r="D145" s="186"/>
    </row>
    <row r="146" spans="1:4">
      <c r="A146" s="1150"/>
      <c r="C146" s="186" t="s">
        <v>51</v>
      </c>
      <c r="D146" s="186"/>
    </row>
    <row r="147" spans="1:4">
      <c r="A147" s="1150"/>
      <c r="C147" s="186"/>
      <c r="D147" s="186"/>
    </row>
    <row r="148" spans="1:4">
      <c r="A148" s="1150"/>
      <c r="C148" s="1030" t="s">
        <v>2005</v>
      </c>
      <c r="D148" s="186"/>
    </row>
    <row r="149" spans="1:4">
      <c r="A149" s="1150"/>
      <c r="C149" s="186" t="s">
        <v>52</v>
      </c>
      <c r="D149" s="186"/>
    </row>
    <row r="150" spans="1:4">
      <c r="A150" s="1150"/>
      <c r="C150" s="186" t="s">
        <v>53</v>
      </c>
      <c r="D150" s="186"/>
    </row>
    <row r="151" spans="1:4">
      <c r="A151" s="1150"/>
      <c r="C151" s="186" t="s">
        <v>54</v>
      </c>
      <c r="D151" s="186"/>
    </row>
    <row r="152" spans="1:4">
      <c r="A152" s="1150"/>
      <c r="C152" s="186" t="s">
        <v>55</v>
      </c>
      <c r="D152" s="186"/>
    </row>
    <row r="153" spans="1:4">
      <c r="A153" s="1150"/>
      <c r="C153" s="186" t="s">
        <v>56</v>
      </c>
      <c r="D153" s="186"/>
    </row>
    <row r="154" spans="1:4">
      <c r="A154" s="1150"/>
      <c r="C154" s="186" t="s">
        <v>57</v>
      </c>
      <c r="D154" s="186"/>
    </row>
    <row r="155" spans="1:4">
      <c r="A155" s="1150"/>
      <c r="C155" s="188"/>
      <c r="D155" s="186"/>
    </row>
    <row r="156" spans="1:4">
      <c r="A156" s="1150"/>
      <c r="C156" s="1030" t="s">
        <v>2003</v>
      </c>
      <c r="D156" s="186"/>
    </row>
    <row r="157" spans="1:4">
      <c r="A157" s="1150"/>
      <c r="D157" s="186"/>
    </row>
    <row r="158" spans="1:4">
      <c r="A158" s="1150"/>
      <c r="C158" s="174" t="s">
        <v>2006</v>
      </c>
      <c r="D158" s="174"/>
    </row>
    <row r="159" spans="1:4">
      <c r="A159" s="1150"/>
      <c r="C159" s="174" t="s">
        <v>58</v>
      </c>
      <c r="D159" s="174"/>
    </row>
    <row r="160" spans="1:4">
      <c r="A160" s="1150"/>
      <c r="C160" s="174"/>
      <c r="D160" s="174"/>
    </row>
    <row r="161" spans="1:37">
      <c r="A161" s="1150"/>
      <c r="C161" s="189" t="s">
        <v>59</v>
      </c>
      <c r="D161" s="174"/>
    </row>
    <row r="162" spans="1:37">
      <c r="A162" s="1150"/>
      <c r="C162" s="19" t="str">
        <f>CONCATENATE("New T8 fixtures are NOT incentivized through the ",Lookup!D22," Incentive program.")</f>
        <v>New T8 fixtures are NOT incentivized through the Multi-Family Lighting Incentive program.</v>
      </c>
      <c r="D162" s="174"/>
    </row>
    <row r="163" spans="1:37">
      <c r="A163" s="1150"/>
      <c r="C163" s="174"/>
      <c r="D163" s="174"/>
    </row>
    <row r="164" spans="1:37">
      <c r="A164" s="1150"/>
      <c r="C164" s="189" t="s">
        <v>60</v>
      </c>
      <c r="D164" s="174"/>
    </row>
    <row r="165" spans="1:37">
      <c r="A165" s="1150"/>
      <c r="C165" s="19" t="str">
        <f>CONCATENATE("New T12 fixtures are NOT incentivized through the ",Lookup!D22," Incentive program.")</f>
        <v>New T12 fixtures are NOT incentivized through the Multi-Family Lighting Incentive program.</v>
      </c>
      <c r="D165" s="174"/>
    </row>
    <row r="166" spans="1:37">
      <c r="A166" s="1150"/>
      <c r="C166" s="174"/>
      <c r="D166" s="174"/>
    </row>
    <row r="167" spans="1:37">
      <c r="A167" s="1150"/>
      <c r="C167" s="174" t="s">
        <v>2007</v>
      </c>
      <c r="D167" s="174"/>
    </row>
    <row r="168" spans="1:37">
      <c r="C168" s="174"/>
      <c r="D168" s="174"/>
    </row>
    <row r="169" spans="1:37" ht="14.95" customHeight="1">
      <c r="B169" s="1166" t="s">
        <v>61</v>
      </c>
      <c r="C169" s="1166"/>
      <c r="D169" s="1166"/>
      <c r="E169" s="1166"/>
      <c r="F169" s="1166"/>
      <c r="G169" s="1166"/>
      <c r="H169" s="1166"/>
      <c r="I169" s="1166"/>
      <c r="J169" s="1166"/>
      <c r="K169" s="1166"/>
      <c r="L169" s="1166"/>
      <c r="M169" s="1166"/>
      <c r="N169" s="1166"/>
      <c r="O169" s="1166"/>
      <c r="P169" s="1166"/>
      <c r="Q169" s="1166"/>
      <c r="R169" s="1166"/>
      <c r="S169" s="1166"/>
      <c r="T169" s="1166"/>
      <c r="U169" s="1166"/>
      <c r="V169" s="1166"/>
      <c r="W169" s="1166"/>
      <c r="X169" s="1166"/>
      <c r="Y169" s="1166"/>
      <c r="Z169" s="1166"/>
      <c r="AA169" s="1166"/>
      <c r="AB169" s="1166"/>
      <c r="AC169" s="1166"/>
      <c r="AD169" s="1166"/>
      <c r="AE169" s="1166"/>
      <c r="AF169" s="1166"/>
      <c r="AG169" s="1166"/>
      <c r="AH169" s="1166"/>
      <c r="AI169" s="1166"/>
      <c r="AJ169" s="1166"/>
      <c r="AK169" s="1166"/>
    </row>
    <row r="170" spans="1:37">
      <c r="B170" s="1166"/>
      <c r="C170" s="1166"/>
      <c r="D170" s="1166"/>
      <c r="E170" s="1166"/>
      <c r="F170" s="1166"/>
      <c r="G170" s="1166"/>
      <c r="H170" s="1166"/>
      <c r="I170" s="1166"/>
      <c r="J170" s="1166"/>
      <c r="K170" s="1166"/>
      <c r="L170" s="1166"/>
      <c r="M170" s="1166"/>
      <c r="N170" s="1166"/>
      <c r="O170" s="1166"/>
      <c r="P170" s="1166"/>
      <c r="Q170" s="1166"/>
      <c r="R170" s="1166"/>
      <c r="S170" s="1166"/>
      <c r="T170" s="1166"/>
      <c r="U170" s="1166"/>
      <c r="V170" s="1166"/>
      <c r="W170" s="1166"/>
      <c r="X170" s="1166"/>
      <c r="Y170" s="1166"/>
      <c r="Z170" s="1166"/>
      <c r="AA170" s="1166"/>
      <c r="AB170" s="1166"/>
      <c r="AC170" s="1166"/>
      <c r="AD170" s="1166"/>
      <c r="AE170" s="1166"/>
      <c r="AF170" s="1166"/>
      <c r="AG170" s="1166"/>
      <c r="AH170" s="1166"/>
      <c r="AI170" s="1166"/>
      <c r="AJ170" s="1166"/>
      <c r="AK170" s="1166"/>
    </row>
    <row r="171" spans="1:37">
      <c r="A171" s="1150"/>
      <c r="B171" s="190"/>
      <c r="C171" s="190"/>
      <c r="D171" s="190"/>
      <c r="E171" s="190"/>
      <c r="F171" s="190"/>
      <c r="G171" s="190"/>
      <c r="H171" s="190"/>
      <c r="I171" s="190"/>
      <c r="J171" s="190"/>
      <c r="K171" s="190"/>
      <c r="L171" s="190"/>
      <c r="M171" s="190"/>
      <c r="N171" s="190"/>
      <c r="O171" s="190"/>
      <c r="P171" s="190"/>
      <c r="Q171" s="190"/>
      <c r="R171" s="190"/>
      <c r="S171" s="190"/>
      <c r="T171" s="190"/>
      <c r="U171" s="190"/>
      <c r="V171" s="190"/>
    </row>
    <row r="172" spans="1:37" ht="14.95" customHeight="1">
      <c r="A172" s="1150"/>
      <c r="B172" s="1166" t="s">
        <v>62</v>
      </c>
      <c r="C172" s="1166"/>
      <c r="D172" s="1166"/>
      <c r="E172" s="1166"/>
      <c r="F172" s="1166"/>
      <c r="G172" s="1166"/>
      <c r="H172" s="1166"/>
      <c r="I172" s="1166"/>
      <c r="J172" s="1166"/>
      <c r="K172" s="1166"/>
      <c r="L172" s="1166"/>
      <c r="M172" s="1166"/>
      <c r="N172" s="1166"/>
      <c r="O172" s="1166"/>
      <c r="P172" s="1166"/>
      <c r="Q172" s="1166"/>
      <c r="R172" s="1166"/>
      <c r="S172" s="1166"/>
      <c r="T172" s="1166"/>
      <c r="U172" s="1166"/>
      <c r="V172" s="1166"/>
      <c r="W172" s="1166"/>
      <c r="X172" s="1166"/>
      <c r="Y172" s="1166"/>
      <c r="Z172" s="1166"/>
      <c r="AA172" s="1166"/>
      <c r="AB172" s="1166"/>
      <c r="AC172" s="1166"/>
      <c r="AD172" s="1166"/>
      <c r="AE172" s="1166"/>
      <c r="AF172" s="1166"/>
      <c r="AG172" s="1166"/>
      <c r="AH172" s="1166"/>
      <c r="AI172" s="1166"/>
      <c r="AJ172" s="1166"/>
      <c r="AK172" s="1166"/>
    </row>
    <row r="173" spans="1:37">
      <c r="A173" s="1150"/>
      <c r="B173" s="1166"/>
      <c r="C173" s="1166"/>
      <c r="D173" s="1166"/>
      <c r="E173" s="1166"/>
      <c r="F173" s="1166"/>
      <c r="G173" s="1166"/>
      <c r="H173" s="1166"/>
      <c r="I173" s="1166"/>
      <c r="J173" s="1166"/>
      <c r="K173" s="1166"/>
      <c r="L173" s="1166"/>
      <c r="M173" s="1166"/>
      <c r="N173" s="1166"/>
      <c r="O173" s="1166"/>
      <c r="P173" s="1166"/>
      <c r="Q173" s="1166"/>
      <c r="R173" s="1166"/>
      <c r="S173" s="1166"/>
      <c r="T173" s="1166"/>
      <c r="U173" s="1166"/>
      <c r="V173" s="1166"/>
      <c r="W173" s="1166"/>
      <c r="X173" s="1166"/>
      <c r="Y173" s="1166"/>
      <c r="Z173" s="1166"/>
      <c r="AA173" s="1166"/>
      <c r="AB173" s="1166"/>
      <c r="AC173" s="1166"/>
      <c r="AD173" s="1166"/>
      <c r="AE173" s="1166"/>
      <c r="AF173" s="1166"/>
      <c r="AG173" s="1166"/>
      <c r="AH173" s="1166"/>
      <c r="AI173" s="1166"/>
      <c r="AJ173" s="1166"/>
      <c r="AK173" s="1166"/>
    </row>
    <row r="174" spans="1:37">
      <c r="A174" s="1150"/>
      <c r="B174" s="1166"/>
      <c r="C174" s="1166"/>
      <c r="D174" s="1166"/>
      <c r="E174" s="1166"/>
      <c r="F174" s="1166"/>
      <c r="G174" s="1166"/>
      <c r="H174" s="1166"/>
      <c r="I174" s="1166"/>
      <c r="J174" s="1166"/>
      <c r="K174" s="1166"/>
      <c r="L174" s="1166"/>
      <c r="M174" s="1166"/>
      <c r="N174" s="1166"/>
      <c r="O174" s="1166"/>
      <c r="P174" s="1166"/>
      <c r="Q174" s="1166"/>
      <c r="R174" s="1166"/>
      <c r="S174" s="1166"/>
      <c r="T174" s="1166"/>
      <c r="U174" s="1166"/>
      <c r="V174" s="1166"/>
      <c r="W174" s="1166"/>
      <c r="X174" s="1166"/>
      <c r="Y174" s="1166"/>
      <c r="Z174" s="1166"/>
      <c r="AA174" s="1166"/>
      <c r="AB174" s="1166"/>
      <c r="AC174" s="1166"/>
      <c r="AD174" s="1166"/>
      <c r="AE174" s="1166"/>
      <c r="AF174" s="1166"/>
      <c r="AG174" s="1166"/>
      <c r="AH174" s="1166"/>
      <c r="AI174" s="1166"/>
      <c r="AJ174" s="1166"/>
      <c r="AK174" s="1166"/>
    </row>
    <row r="175" spans="1:37">
      <c r="A175" s="1150"/>
      <c r="B175" s="190"/>
      <c r="C175" s="190"/>
      <c r="D175" s="190"/>
      <c r="E175" s="190"/>
      <c r="F175" s="190"/>
      <c r="G175" s="190"/>
      <c r="H175" s="190"/>
      <c r="I175" s="190"/>
      <c r="J175" s="190"/>
      <c r="K175" s="190"/>
      <c r="L175" s="190"/>
      <c r="M175" s="190"/>
      <c r="N175" s="190"/>
      <c r="O175" s="190"/>
      <c r="P175" s="190"/>
      <c r="Q175" s="190"/>
      <c r="R175" s="190"/>
      <c r="S175" s="190"/>
      <c r="T175" s="190"/>
      <c r="U175" s="190"/>
      <c r="V175" s="190"/>
      <c r="W175" s="190"/>
      <c r="X175" s="190"/>
      <c r="Y175" s="190"/>
      <c r="Z175" s="190"/>
      <c r="AA175" s="190"/>
      <c r="AB175" s="190"/>
      <c r="AC175" s="190"/>
      <c r="AD175" s="190"/>
      <c r="AE175" s="190"/>
      <c r="AF175" s="190"/>
      <c r="AG175" s="190"/>
      <c r="AH175" s="190"/>
      <c r="AI175" s="190"/>
      <c r="AJ175" s="190"/>
      <c r="AK175" s="190"/>
    </row>
    <row r="176" spans="1:37" ht="14.95" customHeight="1">
      <c r="A176" s="1150"/>
      <c r="B176" s="1156" t="s">
        <v>63</v>
      </c>
      <c r="C176" s="1156"/>
      <c r="D176" s="1156"/>
      <c r="E176" s="1156"/>
      <c r="F176" s="1156"/>
      <c r="G176" s="1156"/>
      <c r="H176" s="1156"/>
      <c r="I176" s="1156"/>
      <c r="J176" s="1156"/>
      <c r="K176" s="1156"/>
      <c r="L176" s="1156"/>
      <c r="M176" s="1156"/>
      <c r="N176" s="1156"/>
      <c r="O176" s="1156"/>
      <c r="P176" s="1156"/>
      <c r="Q176" s="1156"/>
      <c r="R176" s="1156"/>
      <c r="S176" s="1156"/>
      <c r="T176" s="1156"/>
      <c r="U176" s="1156"/>
      <c r="V176" s="1156"/>
      <c r="W176" s="1156"/>
      <c r="X176" s="1156"/>
      <c r="Y176" s="1156"/>
      <c r="Z176" s="1156"/>
      <c r="AA176" s="1156"/>
      <c r="AB176" s="1156"/>
      <c r="AC176" s="1156"/>
      <c r="AD176" s="1156"/>
      <c r="AE176" s="1156"/>
      <c r="AF176" s="1156"/>
      <c r="AG176" s="1156"/>
      <c r="AH176" s="1156"/>
      <c r="AI176" s="1156"/>
      <c r="AJ176" s="1156"/>
      <c r="AK176" s="1156"/>
    </row>
    <row r="177" spans="1:37">
      <c r="A177" s="1150"/>
      <c r="B177" s="1156"/>
      <c r="C177" s="1156"/>
      <c r="D177" s="1156"/>
      <c r="E177" s="1156"/>
      <c r="F177" s="1156"/>
      <c r="G177" s="1156"/>
      <c r="H177" s="1156"/>
      <c r="I177" s="1156"/>
      <c r="J177" s="1156"/>
      <c r="K177" s="1156"/>
      <c r="L177" s="1156"/>
      <c r="M177" s="1156"/>
      <c r="N177" s="1156"/>
      <c r="O177" s="1156"/>
      <c r="P177" s="1156"/>
      <c r="Q177" s="1156"/>
      <c r="R177" s="1156"/>
      <c r="S177" s="1156"/>
      <c r="T177" s="1156"/>
      <c r="U177" s="1156"/>
      <c r="V177" s="1156"/>
      <c r="W177" s="1156"/>
      <c r="X177" s="1156"/>
      <c r="Y177" s="1156"/>
      <c r="Z177" s="1156"/>
      <c r="AA177" s="1156"/>
      <c r="AB177" s="1156"/>
      <c r="AC177" s="1156"/>
      <c r="AD177" s="1156"/>
      <c r="AE177" s="1156"/>
      <c r="AF177" s="1156"/>
      <c r="AG177" s="1156"/>
      <c r="AH177" s="1156"/>
      <c r="AI177" s="1156"/>
      <c r="AJ177" s="1156"/>
      <c r="AK177" s="1156"/>
    </row>
    <row r="178" spans="1:37">
      <c r="A178" s="1150"/>
      <c r="B178" s="1156"/>
      <c r="C178" s="1156"/>
      <c r="D178" s="1156"/>
      <c r="E178" s="1156"/>
      <c r="F178" s="1156"/>
      <c r="G178" s="1156"/>
      <c r="H178" s="1156"/>
      <c r="I178" s="1156"/>
      <c r="J178" s="1156"/>
      <c r="K178" s="1156"/>
      <c r="L178" s="1156"/>
      <c r="M178" s="1156"/>
      <c r="N178" s="1156"/>
      <c r="O178" s="1156"/>
      <c r="P178" s="1156"/>
      <c r="Q178" s="1156"/>
      <c r="R178" s="1156"/>
      <c r="S178" s="1156"/>
      <c r="T178" s="1156"/>
      <c r="U178" s="1156"/>
      <c r="V178" s="1156"/>
      <c r="W178" s="1156"/>
      <c r="X178" s="1156"/>
      <c r="Y178" s="1156"/>
      <c r="Z178" s="1156"/>
      <c r="AA178" s="1156"/>
      <c r="AB178" s="1156"/>
      <c r="AC178" s="1156"/>
      <c r="AD178" s="1156"/>
      <c r="AE178" s="1156"/>
      <c r="AF178" s="1156"/>
      <c r="AG178" s="1156"/>
      <c r="AH178" s="1156"/>
      <c r="AI178" s="1156"/>
      <c r="AJ178" s="1156"/>
      <c r="AK178" s="1156"/>
    </row>
    <row r="179" spans="1:37">
      <c r="A179" s="1150"/>
      <c r="B179" s="191"/>
      <c r="C179" s="191"/>
      <c r="D179" s="191"/>
      <c r="E179" s="191"/>
      <c r="F179" s="191"/>
      <c r="G179" s="191"/>
      <c r="H179" s="191"/>
      <c r="I179" s="191"/>
      <c r="J179" s="191"/>
      <c r="K179" s="191"/>
      <c r="L179" s="191"/>
      <c r="M179" s="191"/>
      <c r="N179" s="191"/>
      <c r="O179" s="191"/>
      <c r="P179" s="191"/>
      <c r="Q179" s="191"/>
      <c r="R179" s="191"/>
      <c r="S179" s="191"/>
      <c r="T179" s="191"/>
      <c r="U179" s="191"/>
      <c r="V179" s="191"/>
      <c r="W179" s="191"/>
      <c r="X179" s="191"/>
      <c r="Y179" s="191"/>
      <c r="Z179" s="191"/>
      <c r="AA179" s="191"/>
      <c r="AB179" s="191"/>
      <c r="AC179" s="191"/>
      <c r="AD179" s="191"/>
      <c r="AE179" s="191"/>
      <c r="AF179" s="191"/>
      <c r="AG179" s="191"/>
      <c r="AH179" s="191"/>
      <c r="AI179" s="191"/>
      <c r="AJ179" s="191"/>
      <c r="AK179" s="191"/>
    </row>
    <row r="180" spans="1:37">
      <c r="B180" s="191"/>
      <c r="C180" s="191"/>
      <c r="D180" s="191"/>
      <c r="E180" s="191"/>
      <c r="F180" s="191"/>
      <c r="G180" s="191"/>
      <c r="H180" s="191"/>
      <c r="I180" s="191"/>
      <c r="J180" s="191"/>
      <c r="K180" s="191"/>
      <c r="L180" s="191"/>
      <c r="M180" s="191"/>
      <c r="N180" s="191"/>
      <c r="O180" s="191"/>
      <c r="P180" s="191"/>
      <c r="Q180" s="191"/>
      <c r="R180" s="191"/>
      <c r="S180" s="191"/>
      <c r="T180" s="191"/>
      <c r="U180" s="191"/>
      <c r="V180" s="191"/>
      <c r="W180" s="191"/>
      <c r="X180" s="191"/>
      <c r="Y180" s="191"/>
      <c r="Z180" s="191"/>
      <c r="AA180" s="191"/>
      <c r="AB180" s="191"/>
      <c r="AC180" s="191"/>
      <c r="AD180" s="191"/>
      <c r="AE180" s="191"/>
      <c r="AF180" s="191"/>
      <c r="AG180" s="191"/>
      <c r="AH180" s="191"/>
      <c r="AI180" s="191"/>
      <c r="AJ180" s="191"/>
      <c r="AK180" s="191"/>
    </row>
  </sheetData>
  <sheetProtection algorithmName="SHA-512" hashValue="LEdUMuBv/6q/lVdKn9davpDc54kvNfy4/JWvpUOKQXJlrRmRocVcHisY9HE/EnrAckEFFEY1WdAPjuKf6rXbwA==" saltValue="xDWFIMgR+CayB4RtKA1Raw==" spinCount="100000" sheet="1" objects="1" scenarios="1"/>
  <mergeCells count="39">
    <mergeCell ref="A171:A174"/>
    <mergeCell ref="A175:A179"/>
    <mergeCell ref="B176:AK178"/>
    <mergeCell ref="D123:AM126"/>
    <mergeCell ref="B169:AK170"/>
    <mergeCell ref="B172:AK174"/>
    <mergeCell ref="D131:AM134"/>
    <mergeCell ref="A136:A167"/>
    <mergeCell ref="A58:A135"/>
    <mergeCell ref="AH16:AL16"/>
    <mergeCell ref="J11:AE12"/>
    <mergeCell ref="C12:G12"/>
    <mergeCell ref="C16:G16"/>
    <mergeCell ref="C14:G14"/>
    <mergeCell ref="A18:AM18"/>
    <mergeCell ref="A51:A56"/>
    <mergeCell ref="B23:I23"/>
    <mergeCell ref="B24:J24"/>
    <mergeCell ref="B25:I25"/>
    <mergeCell ref="B26:I26"/>
    <mergeCell ref="A28:A43"/>
    <mergeCell ref="A45:A50"/>
    <mergeCell ref="B53:AM57"/>
    <mergeCell ref="B27:J27"/>
    <mergeCell ref="C2:G2"/>
    <mergeCell ref="C4:G4"/>
    <mergeCell ref="C6:G6"/>
    <mergeCell ref="C8:G8"/>
    <mergeCell ref="C10:G10"/>
    <mergeCell ref="J7:AE8"/>
    <mergeCell ref="J9:AE10"/>
    <mergeCell ref="J13:AE14"/>
    <mergeCell ref="AH2:AL2"/>
    <mergeCell ref="AH4:AL4"/>
    <mergeCell ref="AH6:AL6"/>
    <mergeCell ref="AH8:AL8"/>
    <mergeCell ref="AH10:AL10"/>
    <mergeCell ref="AH12:AL12"/>
    <mergeCell ref="AH14:AL14"/>
  </mergeCells>
  <hyperlinks>
    <hyperlink ref="B23:I23" r:id="rId1" display="Business Lighting Incentive Program"/>
    <hyperlink ref="B25:I25" r:id="rId2" display="Lighting To Go"/>
    <hyperlink ref="B24:I24" r:id="rId3" display="Multi-Family Lighting Incentive Program"/>
    <hyperlink ref="B26" r:id="rId4" display="New Construction Grants"/>
    <hyperlink ref="B27" r:id="rId5"/>
  </hyperlinks>
  <pageMargins left="0.7" right="0.7" top="0.75" bottom="0.75" header="0.3" footer="0.3"/>
  <pageSetup scale="53" fitToHeight="0" orientation="portrait" horizontalDpi="1200" verticalDpi="1200" r:id="rId6"/>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70C0"/>
    <pageSetUpPr fitToPage="1"/>
  </sheetPr>
  <dimension ref="A1:U97"/>
  <sheetViews>
    <sheetView showGridLines="0" showRowColHeaders="0" zoomScale="90" zoomScaleNormal="90" workbookViewId="0"/>
  </sheetViews>
  <sheetFormatPr defaultRowHeight="14.3"/>
  <cols>
    <col min="1" max="1" width="2.875" customWidth="1"/>
    <col min="3" max="3" width="23.875" bestFit="1" customWidth="1"/>
    <col min="6" max="6" width="26" customWidth="1"/>
    <col min="7" max="7" width="17" style="12" bestFit="1" customWidth="1"/>
    <col min="8" max="9" width="17.875" customWidth="1"/>
    <col min="10" max="10" width="20.125" bestFit="1" customWidth="1"/>
    <col min="11" max="11" width="19.5" bestFit="1" customWidth="1"/>
    <col min="12" max="16" width="19.5" customWidth="1"/>
    <col min="17" max="17" width="9.125" customWidth="1"/>
    <col min="18" max="19" width="19.875" customWidth="1"/>
    <col min="20" max="20" width="24.25" bestFit="1" customWidth="1"/>
    <col min="23" max="23" width="24.25" bestFit="1" customWidth="1"/>
    <col min="24" max="24" width="3" bestFit="1" customWidth="1"/>
  </cols>
  <sheetData>
    <row r="1" spans="1:21" ht="14.95" thickBot="1">
      <c r="A1" s="48"/>
      <c r="F1" s="12">
        <v>1</v>
      </c>
      <c r="G1" s="12">
        <v>2</v>
      </c>
      <c r="H1" s="12">
        <v>3</v>
      </c>
      <c r="I1" s="12">
        <v>4</v>
      </c>
      <c r="J1" s="12">
        <v>5</v>
      </c>
      <c r="K1" s="12">
        <v>6</v>
      </c>
      <c r="L1" s="12">
        <v>7</v>
      </c>
      <c r="M1" s="12">
        <v>8</v>
      </c>
    </row>
    <row r="2" spans="1:21" ht="14.95" customHeight="1">
      <c r="F2" s="784" t="s">
        <v>541</v>
      </c>
      <c r="G2" s="785" t="s">
        <v>542</v>
      </c>
      <c r="H2" s="786"/>
      <c r="I2" s="786"/>
      <c r="J2" s="786"/>
      <c r="K2" s="786"/>
      <c r="L2" s="787"/>
      <c r="M2" s="59"/>
      <c r="N2" s="60"/>
      <c r="O2" s="1692" t="s">
        <v>543</v>
      </c>
      <c r="P2" s="1693"/>
      <c r="T2" t="s">
        <v>544</v>
      </c>
      <c r="U2">
        <v>0</v>
      </c>
    </row>
    <row r="3" spans="1:21" ht="14.95" thickBot="1">
      <c r="F3" s="391"/>
      <c r="G3" s="392"/>
      <c r="H3" s="392"/>
      <c r="I3" s="392"/>
      <c r="J3" s="676">
        <v>0.3</v>
      </c>
      <c r="K3" s="392"/>
      <c r="L3" s="393"/>
      <c r="M3" s="593">
        <v>0.1</v>
      </c>
      <c r="N3" s="60"/>
      <c r="O3" s="1694"/>
      <c r="P3" s="1695"/>
      <c r="T3" t="s">
        <v>359</v>
      </c>
      <c r="U3">
        <v>1</v>
      </c>
    </row>
    <row r="4" spans="1:21" ht="52.5" customHeight="1">
      <c r="C4" s="2" t="s">
        <v>237</v>
      </c>
      <c r="D4" s="2" t="s">
        <v>314</v>
      </c>
      <c r="F4" s="400" t="s">
        <v>545</v>
      </c>
      <c r="G4" s="401" t="s">
        <v>546</v>
      </c>
      <c r="H4" s="401" t="s">
        <v>547</v>
      </c>
      <c r="I4" s="401" t="s">
        <v>548</v>
      </c>
      <c r="J4" s="401" t="s">
        <v>549</v>
      </c>
      <c r="K4" s="401" t="s">
        <v>550</v>
      </c>
      <c r="L4" s="64" t="s">
        <v>356</v>
      </c>
      <c r="M4" s="61" t="s">
        <v>551</v>
      </c>
      <c r="N4" s="62"/>
      <c r="O4" s="63" t="s">
        <v>552</v>
      </c>
      <c r="P4" s="64" t="s">
        <v>553</v>
      </c>
      <c r="T4" t="s">
        <v>353</v>
      </c>
      <c r="U4">
        <v>2</v>
      </c>
    </row>
    <row r="5" spans="1:21">
      <c r="C5" t="s">
        <v>554</v>
      </c>
      <c r="D5" t="s">
        <v>166</v>
      </c>
      <c r="F5" s="788" t="s">
        <v>554</v>
      </c>
      <c r="G5" s="789">
        <f>0</f>
        <v>0</v>
      </c>
      <c r="H5" s="789">
        <f>I5*0.5</f>
        <v>0.125</v>
      </c>
      <c r="I5" s="790">
        <v>0.25</v>
      </c>
      <c r="J5" s="791">
        <f>J$3</f>
        <v>0.3</v>
      </c>
      <c r="K5" s="792">
        <f t="shared" ref="K5:K32" si="0">ROUND(((1-I5)*J5)+I5,2)</f>
        <v>0.48</v>
      </c>
      <c r="L5" s="793">
        <f>IF(D5="Yes",'Control Savings'!$K5*1.1,0)</f>
        <v>0</v>
      </c>
      <c r="M5" s="793">
        <f>0</f>
        <v>0</v>
      </c>
      <c r="N5" s="65"/>
      <c r="O5" s="794">
        <f t="shared" ref="O5:O32" si="1">($K5*0.33)+($I5*0.67)</f>
        <v>0.32590000000000002</v>
      </c>
      <c r="P5" s="793">
        <f t="shared" ref="P5:P32" si="2">($K5*0.25)+($I5*0.75)</f>
        <v>0.3075</v>
      </c>
      <c r="T5" t="s">
        <v>547</v>
      </c>
      <c r="U5">
        <v>3</v>
      </c>
    </row>
    <row r="6" spans="1:21">
      <c r="C6" t="s">
        <v>555</v>
      </c>
      <c r="D6" t="s">
        <v>166</v>
      </c>
      <c r="F6" s="795" t="s">
        <v>555</v>
      </c>
      <c r="G6" s="796">
        <f>0</f>
        <v>0</v>
      </c>
      <c r="H6" s="796">
        <f t="shared" ref="H6:H32" si="3">I6*0.5</f>
        <v>0.125</v>
      </c>
      <c r="I6" s="797">
        <v>0.25</v>
      </c>
      <c r="J6" s="798">
        <f t="shared" ref="J6:J32" si="4">J$3</f>
        <v>0.3</v>
      </c>
      <c r="K6" s="799">
        <f t="shared" si="0"/>
        <v>0.48</v>
      </c>
      <c r="L6" s="799">
        <f>IF(D6="Yes",'Control Savings'!$K6*1.1,0)</f>
        <v>0</v>
      </c>
      <c r="M6" s="800">
        <f>0</f>
        <v>0</v>
      </c>
      <c r="N6" s="65"/>
      <c r="O6" s="801">
        <f t="shared" si="1"/>
        <v>0.32590000000000002</v>
      </c>
      <c r="P6" s="802">
        <f t="shared" si="2"/>
        <v>0.3075</v>
      </c>
      <c r="T6" t="s">
        <v>556</v>
      </c>
      <c r="U6">
        <v>4</v>
      </c>
    </row>
    <row r="7" spans="1:21">
      <c r="C7" t="s">
        <v>354</v>
      </c>
      <c r="D7" t="s">
        <v>157</v>
      </c>
      <c r="F7" s="788" t="s">
        <v>354</v>
      </c>
      <c r="G7" s="789">
        <f>0</f>
        <v>0</v>
      </c>
      <c r="H7" s="789">
        <f t="shared" si="3"/>
        <v>7.4999999999999997E-2</v>
      </c>
      <c r="I7" s="790">
        <v>0.15</v>
      </c>
      <c r="J7" s="791">
        <f t="shared" si="4"/>
        <v>0.3</v>
      </c>
      <c r="K7" s="792">
        <f>ROUND(((1-I7)*J7)+I7,2)</f>
        <v>0.41</v>
      </c>
      <c r="L7" s="793">
        <f>IF(D7="Yes",ROUND(((1-M7)*J7)+M7,2),0)</f>
        <v>0.47</v>
      </c>
      <c r="M7" s="793">
        <f>ROUND(((1-I7)*M$3)+I7,2)</f>
        <v>0.24</v>
      </c>
      <c r="N7" s="65"/>
      <c r="O7" s="794">
        <f t="shared" si="1"/>
        <v>0.23580000000000001</v>
      </c>
      <c r="P7" s="793">
        <f t="shared" si="2"/>
        <v>0.21499999999999997</v>
      </c>
      <c r="T7" t="s">
        <v>557</v>
      </c>
      <c r="U7">
        <v>5</v>
      </c>
    </row>
    <row r="8" spans="1:21">
      <c r="C8" t="s">
        <v>558</v>
      </c>
      <c r="D8" t="s">
        <v>166</v>
      </c>
      <c r="F8" s="795" t="s">
        <v>558</v>
      </c>
      <c r="G8" s="796">
        <f>0</f>
        <v>0</v>
      </c>
      <c r="H8" s="796">
        <f t="shared" si="3"/>
        <v>0.125</v>
      </c>
      <c r="I8" s="797">
        <v>0.25</v>
      </c>
      <c r="J8" s="798">
        <f t="shared" si="4"/>
        <v>0.3</v>
      </c>
      <c r="K8" s="799">
        <f t="shared" si="0"/>
        <v>0.48</v>
      </c>
      <c r="L8" s="802">
        <f>IF(D8="Yes",'Control Savings'!$K8*1.1,0)</f>
        <v>0</v>
      </c>
      <c r="M8" s="802">
        <f>0</f>
        <v>0</v>
      </c>
      <c r="N8" s="65"/>
      <c r="O8" s="801">
        <f t="shared" si="1"/>
        <v>0.32590000000000002</v>
      </c>
      <c r="P8" s="802">
        <f t="shared" si="2"/>
        <v>0.3075</v>
      </c>
      <c r="T8" t="s">
        <v>559</v>
      </c>
      <c r="U8">
        <v>6</v>
      </c>
    </row>
    <row r="9" spans="1:21">
      <c r="C9" t="s">
        <v>560</v>
      </c>
      <c r="D9" t="s">
        <v>157</v>
      </c>
      <c r="F9" s="788" t="s">
        <v>560</v>
      </c>
      <c r="G9" s="789">
        <f>0</f>
        <v>0</v>
      </c>
      <c r="H9" s="789">
        <f t="shared" si="3"/>
        <v>0.125</v>
      </c>
      <c r="I9" s="790">
        <v>0.25</v>
      </c>
      <c r="J9" s="791">
        <f t="shared" si="4"/>
        <v>0.3</v>
      </c>
      <c r="K9" s="792">
        <f t="shared" si="0"/>
        <v>0.48</v>
      </c>
      <c r="L9" s="793">
        <f>IF(D9="Yes",ROUND(((1-M9)*J9)+M9,2),0)</f>
        <v>0.53</v>
      </c>
      <c r="M9" s="793">
        <f>ROUND(((1-I9)*M$3)+I9,2)</f>
        <v>0.33</v>
      </c>
      <c r="N9" s="65"/>
      <c r="O9" s="794">
        <f t="shared" si="1"/>
        <v>0.32590000000000002</v>
      </c>
      <c r="P9" s="793">
        <f t="shared" si="2"/>
        <v>0.3075</v>
      </c>
      <c r="T9" t="s">
        <v>561</v>
      </c>
      <c r="U9">
        <v>7</v>
      </c>
    </row>
    <row r="10" spans="1:21">
      <c r="C10" t="s">
        <v>562</v>
      </c>
      <c r="D10" t="s">
        <v>166</v>
      </c>
      <c r="F10" s="795" t="s">
        <v>562</v>
      </c>
      <c r="G10" s="796">
        <f>0</f>
        <v>0</v>
      </c>
      <c r="H10" s="796">
        <f t="shared" si="3"/>
        <v>7.4999999999999997E-2</v>
      </c>
      <c r="I10" s="797">
        <v>0.15</v>
      </c>
      <c r="J10" s="798">
        <f t="shared" si="4"/>
        <v>0.3</v>
      </c>
      <c r="K10" s="799">
        <f t="shared" si="0"/>
        <v>0.41</v>
      </c>
      <c r="L10" s="802">
        <f>IF(D10="Yes",'Control Savings'!$K10*1.1,0)</f>
        <v>0</v>
      </c>
      <c r="M10" s="802">
        <f>0</f>
        <v>0</v>
      </c>
      <c r="N10" s="65"/>
      <c r="O10" s="801">
        <f t="shared" si="1"/>
        <v>0.23580000000000001</v>
      </c>
      <c r="P10" s="802">
        <f t="shared" si="2"/>
        <v>0.21499999999999997</v>
      </c>
      <c r="T10" t="s">
        <v>563</v>
      </c>
      <c r="U10">
        <v>8</v>
      </c>
    </row>
    <row r="11" spans="1:21">
      <c r="C11" t="s">
        <v>361</v>
      </c>
      <c r="D11" t="s">
        <v>166</v>
      </c>
      <c r="F11" s="788" t="s">
        <v>361</v>
      </c>
      <c r="G11" s="789">
        <f>0</f>
        <v>0</v>
      </c>
      <c r="H11" s="789">
        <f t="shared" si="3"/>
        <v>0.125</v>
      </c>
      <c r="I11" s="790">
        <v>0.25</v>
      </c>
      <c r="J11" s="791">
        <f t="shared" si="4"/>
        <v>0.3</v>
      </c>
      <c r="K11" s="792">
        <f t="shared" si="0"/>
        <v>0.48</v>
      </c>
      <c r="L11" s="793">
        <f>IF(D11="Yes",'Control Savings'!$K11*1.1,0)</f>
        <v>0</v>
      </c>
      <c r="M11" s="793">
        <f>0</f>
        <v>0</v>
      </c>
      <c r="N11" s="65"/>
      <c r="O11" s="794">
        <f t="shared" si="1"/>
        <v>0.32590000000000002</v>
      </c>
      <c r="P11" s="793">
        <f t="shared" si="2"/>
        <v>0.3075</v>
      </c>
      <c r="T11" t="s">
        <v>356</v>
      </c>
      <c r="U11">
        <v>9</v>
      </c>
    </row>
    <row r="12" spans="1:21" hidden="1">
      <c r="C12" t="s">
        <v>564</v>
      </c>
      <c r="D12" t="s">
        <v>157</v>
      </c>
      <c r="F12" s="795" t="s">
        <v>565</v>
      </c>
      <c r="G12" s="796">
        <f>0</f>
        <v>0</v>
      </c>
      <c r="H12" s="796">
        <f t="shared" si="3"/>
        <v>0.125</v>
      </c>
      <c r="I12" s="797">
        <v>0.25</v>
      </c>
      <c r="J12" s="798">
        <f t="shared" si="4"/>
        <v>0.3</v>
      </c>
      <c r="K12" s="799">
        <f t="shared" si="0"/>
        <v>0.48</v>
      </c>
      <c r="L12" s="802">
        <f>IF(D12="Yes",'Control Savings'!$K12*1.1,0)</f>
        <v>0.52800000000000002</v>
      </c>
      <c r="M12" s="802">
        <v>0.3</v>
      </c>
      <c r="N12" s="65"/>
      <c r="O12" s="801">
        <f t="shared" si="1"/>
        <v>0.32590000000000002</v>
      </c>
      <c r="P12" s="802">
        <f t="shared" si="2"/>
        <v>0.3075</v>
      </c>
      <c r="T12" t="s">
        <v>566</v>
      </c>
      <c r="U12">
        <v>10</v>
      </c>
    </row>
    <row r="13" spans="1:21">
      <c r="C13" t="s">
        <v>567</v>
      </c>
      <c r="D13" t="s">
        <v>166</v>
      </c>
      <c r="F13" s="795" t="s">
        <v>567</v>
      </c>
      <c r="G13" s="796">
        <f>0</f>
        <v>0</v>
      </c>
      <c r="H13" s="796">
        <f t="shared" si="3"/>
        <v>0.3</v>
      </c>
      <c r="I13" s="797">
        <v>0.6</v>
      </c>
      <c r="J13" s="798">
        <f t="shared" si="4"/>
        <v>0.3</v>
      </c>
      <c r="K13" s="799">
        <f t="shared" si="0"/>
        <v>0.72</v>
      </c>
      <c r="L13" s="802">
        <f>IF(D13="Yes",'Control Savings'!$K13*1.1,0)</f>
        <v>0</v>
      </c>
      <c r="M13" s="802">
        <f>0</f>
        <v>0</v>
      </c>
      <c r="N13" s="65"/>
      <c r="O13" s="801">
        <f t="shared" si="1"/>
        <v>0.63960000000000006</v>
      </c>
      <c r="P13" s="802">
        <f t="shared" si="2"/>
        <v>0.62999999999999989</v>
      </c>
    </row>
    <row r="14" spans="1:21">
      <c r="C14" t="s">
        <v>568</v>
      </c>
      <c r="D14" t="s">
        <v>166</v>
      </c>
      <c r="F14" s="788" t="s">
        <v>568</v>
      </c>
      <c r="G14" s="789">
        <f>0</f>
        <v>0</v>
      </c>
      <c r="H14" s="789">
        <f t="shared" si="3"/>
        <v>0.125</v>
      </c>
      <c r="I14" s="790">
        <v>0.25</v>
      </c>
      <c r="J14" s="791">
        <f t="shared" si="4"/>
        <v>0.3</v>
      </c>
      <c r="K14" s="792">
        <f t="shared" si="0"/>
        <v>0.48</v>
      </c>
      <c r="L14" s="793">
        <f>IF(D14="Yes",'Control Savings'!$K14*1.1,0)</f>
        <v>0</v>
      </c>
      <c r="M14" s="793">
        <f>0</f>
        <v>0</v>
      </c>
      <c r="N14" s="65"/>
      <c r="O14" s="794">
        <f t="shared" si="1"/>
        <v>0.32590000000000002</v>
      </c>
      <c r="P14" s="793">
        <f t="shared" si="2"/>
        <v>0.3075</v>
      </c>
    </row>
    <row r="15" spans="1:21">
      <c r="C15" t="s">
        <v>569</v>
      </c>
      <c r="D15" t="s">
        <v>166</v>
      </c>
      <c r="F15" s="795" t="s">
        <v>569</v>
      </c>
      <c r="G15" s="796">
        <f>0</f>
        <v>0</v>
      </c>
      <c r="H15" s="796">
        <f t="shared" si="3"/>
        <v>0.125</v>
      </c>
      <c r="I15" s="797">
        <v>0.25</v>
      </c>
      <c r="J15" s="798">
        <f t="shared" si="4"/>
        <v>0.3</v>
      </c>
      <c r="K15" s="799">
        <f t="shared" si="0"/>
        <v>0.48</v>
      </c>
      <c r="L15" s="802">
        <f>IF(D15="Yes",'Control Savings'!$K15*1.1,0)</f>
        <v>0</v>
      </c>
      <c r="M15" s="802">
        <f>0</f>
        <v>0</v>
      </c>
      <c r="N15" s="65"/>
      <c r="O15" s="801">
        <f t="shared" si="1"/>
        <v>0.32590000000000002</v>
      </c>
      <c r="P15" s="802">
        <f t="shared" si="2"/>
        <v>0.3075</v>
      </c>
    </row>
    <row r="16" spans="1:21">
      <c r="C16" t="s">
        <v>570</v>
      </c>
      <c r="D16" t="s">
        <v>166</v>
      </c>
      <c r="F16" s="788" t="s">
        <v>570</v>
      </c>
      <c r="G16" s="789">
        <f>0</f>
        <v>0</v>
      </c>
      <c r="H16" s="789">
        <f t="shared" si="3"/>
        <v>0.125</v>
      </c>
      <c r="I16" s="790">
        <v>0.25</v>
      </c>
      <c r="J16" s="791">
        <f t="shared" si="4"/>
        <v>0.3</v>
      </c>
      <c r="K16" s="792">
        <f t="shared" si="0"/>
        <v>0.48</v>
      </c>
      <c r="L16" s="793">
        <f>IF(D16="Yes",'Control Savings'!$K16*1.1,0)</f>
        <v>0</v>
      </c>
      <c r="M16" s="793">
        <f>0</f>
        <v>0</v>
      </c>
      <c r="N16" s="65"/>
      <c r="O16" s="794">
        <f t="shared" si="1"/>
        <v>0.32590000000000002</v>
      </c>
      <c r="P16" s="793">
        <f t="shared" si="2"/>
        <v>0.3075</v>
      </c>
    </row>
    <row r="17" spans="3:16">
      <c r="C17" t="s">
        <v>571</v>
      </c>
      <c r="D17" t="s">
        <v>166</v>
      </c>
      <c r="F17" s="795" t="s">
        <v>571</v>
      </c>
      <c r="G17" s="796">
        <f>0</f>
        <v>0</v>
      </c>
      <c r="H17" s="796">
        <f t="shared" si="3"/>
        <v>0.125</v>
      </c>
      <c r="I17" s="797">
        <v>0.25</v>
      </c>
      <c r="J17" s="798">
        <f t="shared" si="4"/>
        <v>0.3</v>
      </c>
      <c r="K17" s="799">
        <f t="shared" si="0"/>
        <v>0.48</v>
      </c>
      <c r="L17" s="802">
        <f>IF(D17="Yes",'Control Savings'!$K17*1.1,0)</f>
        <v>0</v>
      </c>
      <c r="M17" s="802">
        <f>0</f>
        <v>0</v>
      </c>
      <c r="N17" s="65"/>
      <c r="O17" s="801">
        <f t="shared" si="1"/>
        <v>0.32590000000000002</v>
      </c>
      <c r="P17" s="802">
        <f t="shared" si="2"/>
        <v>0.3075</v>
      </c>
    </row>
    <row r="18" spans="3:16">
      <c r="C18" t="s">
        <v>572</v>
      </c>
      <c r="D18" t="s">
        <v>166</v>
      </c>
      <c r="F18" s="788" t="s">
        <v>572</v>
      </c>
      <c r="G18" s="789">
        <f>0</f>
        <v>0</v>
      </c>
      <c r="H18" s="789">
        <f t="shared" si="3"/>
        <v>0.125</v>
      </c>
      <c r="I18" s="790">
        <v>0.25</v>
      </c>
      <c r="J18" s="791">
        <f t="shared" si="4"/>
        <v>0.3</v>
      </c>
      <c r="K18" s="792">
        <f t="shared" si="0"/>
        <v>0.48</v>
      </c>
      <c r="L18" s="793">
        <f>IF(D18="Yes",'Control Savings'!$K18*1.1,0)</f>
        <v>0</v>
      </c>
      <c r="M18" s="793">
        <f>0</f>
        <v>0</v>
      </c>
      <c r="N18" s="65"/>
      <c r="O18" s="794">
        <f t="shared" si="1"/>
        <v>0.32590000000000002</v>
      </c>
      <c r="P18" s="793">
        <f t="shared" si="2"/>
        <v>0.3075</v>
      </c>
    </row>
    <row r="19" spans="3:16">
      <c r="C19" t="s">
        <v>573</v>
      </c>
      <c r="D19" t="s">
        <v>166</v>
      </c>
      <c r="F19" s="795" t="s">
        <v>573</v>
      </c>
      <c r="G19" s="796">
        <f>0</f>
        <v>0</v>
      </c>
      <c r="H19" s="796">
        <f t="shared" si="3"/>
        <v>0.125</v>
      </c>
      <c r="I19" s="797">
        <v>0.25</v>
      </c>
      <c r="J19" s="798">
        <f t="shared" si="4"/>
        <v>0.3</v>
      </c>
      <c r="K19" s="799">
        <f t="shared" si="0"/>
        <v>0.48</v>
      </c>
      <c r="L19" s="802">
        <f>IF(D19="Yes",'Control Savings'!$K19*1.1,0)</f>
        <v>0</v>
      </c>
      <c r="M19" s="802">
        <f>0</f>
        <v>0</v>
      </c>
      <c r="N19" s="65"/>
      <c r="O19" s="801">
        <f t="shared" si="1"/>
        <v>0.32590000000000002</v>
      </c>
      <c r="P19" s="802">
        <f t="shared" si="2"/>
        <v>0.3075</v>
      </c>
    </row>
    <row r="20" spans="3:16">
      <c r="C20" t="s">
        <v>574</v>
      </c>
      <c r="D20" t="s">
        <v>157</v>
      </c>
      <c r="F20" s="788" t="s">
        <v>574</v>
      </c>
      <c r="G20" s="789">
        <f>0</f>
        <v>0</v>
      </c>
      <c r="H20" s="789">
        <f t="shared" si="3"/>
        <v>7.4999999999999997E-2</v>
      </c>
      <c r="I20" s="790">
        <v>0.15</v>
      </c>
      <c r="J20" s="791">
        <f t="shared" si="4"/>
        <v>0.3</v>
      </c>
      <c r="K20" s="792">
        <f t="shared" si="0"/>
        <v>0.41</v>
      </c>
      <c r="L20" s="793">
        <f>IF(D20="Yes",ROUND(((1-M20)*J20)+M20,2),0)</f>
        <v>0.47</v>
      </c>
      <c r="M20" s="793">
        <f>ROUND(((1-I20)*M$3)+I20,2)</f>
        <v>0.24</v>
      </c>
      <c r="N20" s="65"/>
      <c r="O20" s="794">
        <f t="shared" si="1"/>
        <v>0.23580000000000001</v>
      </c>
      <c r="P20" s="793">
        <f t="shared" si="2"/>
        <v>0.21499999999999997</v>
      </c>
    </row>
    <row r="21" spans="3:16">
      <c r="C21" t="s">
        <v>575</v>
      </c>
      <c r="D21" t="s">
        <v>166</v>
      </c>
      <c r="F21" s="795" t="s">
        <v>575</v>
      </c>
      <c r="G21" s="796">
        <f>0</f>
        <v>0</v>
      </c>
      <c r="H21" s="796">
        <f t="shared" si="3"/>
        <v>0.125</v>
      </c>
      <c r="I21" s="797">
        <v>0.25</v>
      </c>
      <c r="J21" s="798">
        <f t="shared" si="4"/>
        <v>0.3</v>
      </c>
      <c r="K21" s="799">
        <f t="shared" si="0"/>
        <v>0.48</v>
      </c>
      <c r="L21" s="802">
        <f>IF(D21="Yes",'Control Savings'!$K21*1.1,0)</f>
        <v>0</v>
      </c>
      <c r="M21" s="802">
        <f>0</f>
        <v>0</v>
      </c>
      <c r="N21" s="65"/>
      <c r="O21" s="801">
        <f t="shared" si="1"/>
        <v>0.32590000000000002</v>
      </c>
      <c r="P21" s="802">
        <f t="shared" si="2"/>
        <v>0.3075</v>
      </c>
    </row>
    <row r="22" spans="3:16">
      <c r="C22" t="s">
        <v>576</v>
      </c>
      <c r="D22" t="s">
        <v>166</v>
      </c>
      <c r="F22" s="788" t="s">
        <v>576</v>
      </c>
      <c r="G22" s="789">
        <f>0</f>
        <v>0</v>
      </c>
      <c r="H22" s="789">
        <f t="shared" si="3"/>
        <v>0.125</v>
      </c>
      <c r="I22" s="790">
        <v>0.25</v>
      </c>
      <c r="J22" s="791">
        <f t="shared" si="4"/>
        <v>0.3</v>
      </c>
      <c r="K22" s="792">
        <f t="shared" si="0"/>
        <v>0.48</v>
      </c>
      <c r="L22" s="793">
        <f>IF(D22="Yes",'Control Savings'!$K22*1.1,0)</f>
        <v>0</v>
      </c>
      <c r="M22" s="793">
        <f>0</f>
        <v>0</v>
      </c>
      <c r="N22" s="65"/>
      <c r="O22" s="794">
        <f t="shared" si="1"/>
        <v>0.32590000000000002</v>
      </c>
      <c r="P22" s="793">
        <f t="shared" si="2"/>
        <v>0.3075</v>
      </c>
    </row>
    <row r="23" spans="3:16">
      <c r="C23" t="s">
        <v>577</v>
      </c>
      <c r="D23" t="s">
        <v>157</v>
      </c>
      <c r="F23" s="795" t="s">
        <v>577</v>
      </c>
      <c r="G23" s="796">
        <f>0</f>
        <v>0</v>
      </c>
      <c r="H23" s="796">
        <f t="shared" si="3"/>
        <v>7.4999999999999997E-2</v>
      </c>
      <c r="I23" s="797">
        <v>0.15</v>
      </c>
      <c r="J23" s="798">
        <f t="shared" si="4"/>
        <v>0.3</v>
      </c>
      <c r="K23" s="799">
        <f t="shared" si="0"/>
        <v>0.41</v>
      </c>
      <c r="L23" s="802">
        <f>IF(D23="Yes",ROUND(((1-M23)*J23)+M23,2),0)</f>
        <v>0.47</v>
      </c>
      <c r="M23" s="802">
        <f>ROUND(((1-I23)*M$3)+I23,2)</f>
        <v>0.24</v>
      </c>
      <c r="N23" s="65"/>
      <c r="O23" s="801">
        <f t="shared" si="1"/>
        <v>0.23580000000000001</v>
      </c>
      <c r="P23" s="802">
        <f t="shared" si="2"/>
        <v>0.21499999999999997</v>
      </c>
    </row>
    <row r="24" spans="3:16">
      <c r="C24" t="s">
        <v>578</v>
      </c>
      <c r="D24" t="s">
        <v>166</v>
      </c>
      <c r="F24" s="788" t="s">
        <v>578</v>
      </c>
      <c r="G24" s="789">
        <f>0</f>
        <v>0</v>
      </c>
      <c r="H24" s="789">
        <f t="shared" si="3"/>
        <v>0.125</v>
      </c>
      <c r="I24" s="790">
        <v>0.25</v>
      </c>
      <c r="J24" s="791">
        <f t="shared" si="4"/>
        <v>0.3</v>
      </c>
      <c r="K24" s="792">
        <f t="shared" si="0"/>
        <v>0.48</v>
      </c>
      <c r="L24" s="793">
        <f>IF(D24="Yes",'Control Savings'!$K24*1.1,0)</f>
        <v>0</v>
      </c>
      <c r="M24" s="793">
        <f>0</f>
        <v>0</v>
      </c>
      <c r="N24" s="65"/>
      <c r="O24" s="794">
        <f t="shared" si="1"/>
        <v>0.32590000000000002</v>
      </c>
      <c r="P24" s="793">
        <f t="shared" si="2"/>
        <v>0.3075</v>
      </c>
    </row>
    <row r="25" spans="3:16">
      <c r="C25" t="s">
        <v>579</v>
      </c>
      <c r="D25" t="s">
        <v>166</v>
      </c>
      <c r="F25" s="795" t="s">
        <v>579</v>
      </c>
      <c r="G25" s="796">
        <f>0</f>
        <v>0</v>
      </c>
      <c r="H25" s="796">
        <f t="shared" si="3"/>
        <v>0.125</v>
      </c>
      <c r="I25" s="797">
        <v>0.25</v>
      </c>
      <c r="J25" s="798">
        <f t="shared" si="4"/>
        <v>0.3</v>
      </c>
      <c r="K25" s="799">
        <f t="shared" si="0"/>
        <v>0.48</v>
      </c>
      <c r="L25" s="802">
        <f>IF(D25="Yes",'Control Savings'!$K25*1.1,0)</f>
        <v>0</v>
      </c>
      <c r="M25" s="802">
        <f>0</f>
        <v>0</v>
      </c>
      <c r="N25" s="65"/>
      <c r="O25" s="801">
        <f t="shared" si="1"/>
        <v>0.32590000000000002</v>
      </c>
      <c r="P25" s="802">
        <f t="shared" si="2"/>
        <v>0.3075</v>
      </c>
    </row>
    <row r="26" spans="3:16">
      <c r="C26" t="s">
        <v>580</v>
      </c>
      <c r="D26" t="s">
        <v>166</v>
      </c>
      <c r="F26" s="788" t="s">
        <v>580</v>
      </c>
      <c r="G26" s="789">
        <f>0</f>
        <v>0</v>
      </c>
      <c r="H26" s="789">
        <f t="shared" si="3"/>
        <v>0.25</v>
      </c>
      <c r="I26" s="790">
        <v>0.5</v>
      </c>
      <c r="J26" s="791">
        <f t="shared" si="4"/>
        <v>0.3</v>
      </c>
      <c r="K26" s="792">
        <f t="shared" si="0"/>
        <v>0.65</v>
      </c>
      <c r="L26" s="793">
        <f>IF(D26="Yes",'Control Savings'!$K26*1.1,0)</f>
        <v>0</v>
      </c>
      <c r="M26" s="793">
        <f>0</f>
        <v>0</v>
      </c>
      <c r="N26" s="65"/>
      <c r="O26" s="794">
        <f t="shared" si="1"/>
        <v>0.5495000000000001</v>
      </c>
      <c r="P26" s="793">
        <f t="shared" si="2"/>
        <v>0.53749999999999998</v>
      </c>
    </row>
    <row r="27" spans="3:16">
      <c r="C27" t="s">
        <v>581</v>
      </c>
      <c r="D27" t="s">
        <v>166</v>
      </c>
      <c r="F27" s="795" t="s">
        <v>581</v>
      </c>
      <c r="G27" s="796">
        <f>0</f>
        <v>0</v>
      </c>
      <c r="H27" s="796">
        <f t="shared" si="3"/>
        <v>0.125</v>
      </c>
      <c r="I27" s="797">
        <v>0.25</v>
      </c>
      <c r="J27" s="798">
        <f t="shared" si="4"/>
        <v>0.3</v>
      </c>
      <c r="K27" s="799">
        <f t="shared" si="0"/>
        <v>0.48</v>
      </c>
      <c r="L27" s="802">
        <f>IF(D27="Yes",'Control Savings'!$K27*1.1,0)</f>
        <v>0</v>
      </c>
      <c r="M27" s="802">
        <f>0</f>
        <v>0</v>
      </c>
      <c r="N27" s="65"/>
      <c r="O27" s="801">
        <f t="shared" si="1"/>
        <v>0.32590000000000002</v>
      </c>
      <c r="P27" s="802">
        <f t="shared" si="2"/>
        <v>0.3075</v>
      </c>
    </row>
    <row r="28" spans="3:16">
      <c r="C28" t="s">
        <v>582</v>
      </c>
      <c r="D28" t="s">
        <v>166</v>
      </c>
      <c r="F28" s="788" t="s">
        <v>582</v>
      </c>
      <c r="G28" s="789">
        <f>0</f>
        <v>0</v>
      </c>
      <c r="H28" s="789">
        <f t="shared" si="3"/>
        <v>0.32</v>
      </c>
      <c r="I28" s="790">
        <v>0.64</v>
      </c>
      <c r="J28" s="791">
        <f t="shared" si="4"/>
        <v>0.3</v>
      </c>
      <c r="K28" s="792">
        <f t="shared" si="0"/>
        <v>0.75</v>
      </c>
      <c r="L28" s="793">
        <f>IF(D28="Yes",'Control Savings'!$K28*1.1,0)</f>
        <v>0</v>
      </c>
      <c r="M28" s="793">
        <f>0</f>
        <v>0</v>
      </c>
      <c r="N28" s="65"/>
      <c r="O28" s="794">
        <f t="shared" si="1"/>
        <v>0.67630000000000001</v>
      </c>
      <c r="P28" s="793">
        <f t="shared" si="2"/>
        <v>0.66749999999999998</v>
      </c>
    </row>
    <row r="29" spans="3:16">
      <c r="C29" t="s">
        <v>583</v>
      </c>
      <c r="D29" t="s">
        <v>166</v>
      </c>
      <c r="F29" s="795" t="s">
        <v>583</v>
      </c>
      <c r="G29" s="796">
        <f>0</f>
        <v>0</v>
      </c>
      <c r="H29" s="796">
        <f t="shared" si="3"/>
        <v>0.25</v>
      </c>
      <c r="I29" s="797">
        <v>0.5</v>
      </c>
      <c r="J29" s="798">
        <f t="shared" si="4"/>
        <v>0.3</v>
      </c>
      <c r="K29" s="799">
        <f t="shared" si="0"/>
        <v>0.65</v>
      </c>
      <c r="L29" s="802">
        <f>IF(D29="Yes",'Control Savings'!$K29*1.1,0)</f>
        <v>0</v>
      </c>
      <c r="M29" s="802">
        <f>0</f>
        <v>0</v>
      </c>
      <c r="N29" s="65"/>
      <c r="O29" s="801">
        <f t="shared" si="1"/>
        <v>0.5495000000000001</v>
      </c>
      <c r="P29" s="802">
        <f t="shared" si="2"/>
        <v>0.53749999999999998</v>
      </c>
    </row>
    <row r="30" spans="3:16">
      <c r="C30" t="s">
        <v>584</v>
      </c>
      <c r="D30" t="s">
        <v>166</v>
      </c>
      <c r="F30" s="788" t="s">
        <v>584</v>
      </c>
      <c r="G30" s="789">
        <f>0</f>
        <v>0</v>
      </c>
      <c r="H30" s="789">
        <f t="shared" si="3"/>
        <v>0.125</v>
      </c>
      <c r="I30" s="790">
        <v>0.25</v>
      </c>
      <c r="J30" s="791">
        <f t="shared" si="4"/>
        <v>0.3</v>
      </c>
      <c r="K30" s="792">
        <f t="shared" si="0"/>
        <v>0.48</v>
      </c>
      <c r="L30" s="793">
        <f>IF(D30="Yes",'Control Savings'!$K30*1.1,0)</f>
        <v>0</v>
      </c>
      <c r="M30" s="793">
        <f>0</f>
        <v>0</v>
      </c>
      <c r="N30" s="65"/>
      <c r="O30" s="794">
        <f t="shared" si="1"/>
        <v>0.32590000000000002</v>
      </c>
      <c r="P30" s="793">
        <f t="shared" si="2"/>
        <v>0.3075</v>
      </c>
    </row>
    <row r="31" spans="3:16">
      <c r="C31" t="s">
        <v>585</v>
      </c>
      <c r="D31" t="s">
        <v>166</v>
      </c>
      <c r="F31" s="795" t="s">
        <v>586</v>
      </c>
      <c r="G31" s="796">
        <f>0</f>
        <v>0</v>
      </c>
      <c r="H31" s="796">
        <f t="shared" si="3"/>
        <v>0.25</v>
      </c>
      <c r="I31" s="797">
        <v>0.5</v>
      </c>
      <c r="J31" s="798">
        <f t="shared" si="4"/>
        <v>0.3</v>
      </c>
      <c r="K31" s="799">
        <f t="shared" si="0"/>
        <v>0.65</v>
      </c>
      <c r="L31" s="802">
        <f>IF(D31="Yes",'Control Savings'!$K31*1.1,0)</f>
        <v>0</v>
      </c>
      <c r="M31" s="802">
        <f>0</f>
        <v>0</v>
      </c>
      <c r="N31" s="65"/>
      <c r="O31" s="801">
        <f t="shared" si="1"/>
        <v>0.5495000000000001</v>
      </c>
      <c r="P31" s="802">
        <f t="shared" si="2"/>
        <v>0.53749999999999998</v>
      </c>
    </row>
    <row r="32" spans="3:16" ht="14.95" thickBot="1">
      <c r="C32" t="s">
        <v>587</v>
      </c>
      <c r="D32" t="s">
        <v>157</v>
      </c>
      <c r="F32" s="803" t="s">
        <v>588</v>
      </c>
      <c r="G32" s="804">
        <f>0</f>
        <v>0</v>
      </c>
      <c r="H32" s="804">
        <f t="shared" si="3"/>
        <v>0.25</v>
      </c>
      <c r="I32" s="805">
        <v>0.5</v>
      </c>
      <c r="J32" s="806">
        <f t="shared" si="4"/>
        <v>0.3</v>
      </c>
      <c r="K32" s="807">
        <f t="shared" si="0"/>
        <v>0.65</v>
      </c>
      <c r="L32" s="808">
        <f>IF(D32="Yes",ROUND(((1-M32)*J32)+M32,2),0)</f>
        <v>0.69</v>
      </c>
      <c r="M32" s="808">
        <f>ROUND(((1-I32)*M$3)+I32,2)</f>
        <v>0.55000000000000004</v>
      </c>
      <c r="N32" s="65"/>
      <c r="O32" s="809">
        <f t="shared" si="1"/>
        <v>0.5495000000000001</v>
      </c>
      <c r="P32" s="808">
        <f t="shared" si="2"/>
        <v>0.53749999999999998</v>
      </c>
    </row>
    <row r="33" spans="3:16" ht="14.95" hidden="1" thickBot="1">
      <c r="C33" t="s">
        <v>589</v>
      </c>
      <c r="D33" t="s">
        <v>157</v>
      </c>
      <c r="F33" s="394" t="s">
        <v>590</v>
      </c>
      <c r="G33" s="395">
        <f>0</f>
        <v>0</v>
      </c>
      <c r="H33" s="396">
        <v>0.15</v>
      </c>
      <c r="I33" s="396">
        <f>H33*0.5</f>
        <v>7.4999999999999997E-2</v>
      </c>
      <c r="J33" s="397">
        <v>0.3</v>
      </c>
      <c r="K33" s="398">
        <f>ROUND(((1-H33)*J33)+H33,2)</f>
        <v>0.41</v>
      </c>
      <c r="L33" s="399">
        <f>IF(D33="Yes",'Control Savings'!$K33,0)</f>
        <v>0.41</v>
      </c>
      <c r="M33" s="810">
        <f>0</f>
        <v>0</v>
      </c>
      <c r="O33" s="402">
        <f t="shared" ref="O33" si="5">($K33*0.33)+($H33*0.67)</f>
        <v>0.23580000000000001</v>
      </c>
      <c r="P33" s="399">
        <f t="shared" ref="P33" si="6">($K33*0.25)+($H33*0.75)</f>
        <v>0.21499999999999997</v>
      </c>
    </row>
    <row r="34" spans="3:16">
      <c r="F34" s="66"/>
      <c r="G34" s="67"/>
      <c r="H34" s="446" t="s">
        <v>591</v>
      </c>
      <c r="I34" s="68"/>
      <c r="J34" s="69"/>
      <c r="K34" s="65"/>
      <c r="L34" s="65"/>
      <c r="M34" s="65"/>
      <c r="O34" s="70"/>
      <c r="P34" s="70"/>
    </row>
    <row r="35" spans="3:16" ht="14.95" thickBot="1">
      <c r="F35" s="71" t="s">
        <v>592</v>
      </c>
      <c r="G35" s="67">
        <v>2</v>
      </c>
      <c r="H35" s="12">
        <v>3</v>
      </c>
      <c r="I35" s="12">
        <v>4</v>
      </c>
      <c r="J35" s="12">
        <v>5</v>
      </c>
      <c r="K35" s="12">
        <v>6</v>
      </c>
      <c r="L35" s="12">
        <v>7</v>
      </c>
      <c r="N35" s="70"/>
      <c r="O35" s="70"/>
    </row>
    <row r="36" spans="3:16" ht="28.55">
      <c r="F36" s="72" t="s">
        <v>593</v>
      </c>
      <c r="G36" s="73" t="s">
        <v>559</v>
      </c>
      <c r="H36" s="73" t="s">
        <v>561</v>
      </c>
      <c r="I36" s="73" t="s">
        <v>548</v>
      </c>
      <c r="J36" s="73" t="s">
        <v>563</v>
      </c>
      <c r="K36" s="590" t="s">
        <v>594</v>
      </c>
      <c r="L36" s="589" t="s">
        <v>594</v>
      </c>
      <c r="N36" s="70"/>
      <c r="O36" s="70"/>
    </row>
    <row r="37" spans="3:16">
      <c r="C37" s="388" t="s">
        <v>595</v>
      </c>
      <c r="D37" s="388" t="s">
        <v>166</v>
      </c>
      <c r="F37" s="788" t="s">
        <v>595</v>
      </c>
      <c r="G37" s="789">
        <f>0</f>
        <v>0</v>
      </c>
      <c r="H37" s="792">
        <v>0</v>
      </c>
      <c r="I37" s="790">
        <v>0.25</v>
      </c>
      <c r="J37" s="792">
        <v>0.05</v>
      </c>
      <c r="K37" s="793">
        <v>0</v>
      </c>
      <c r="L37" s="793">
        <v>0.3</v>
      </c>
      <c r="N37" s="70">
        <v>0.08</v>
      </c>
      <c r="O37" s="70"/>
    </row>
    <row r="38" spans="3:16">
      <c r="C38" s="388" t="s">
        <v>596</v>
      </c>
      <c r="D38" s="388" t="s">
        <v>166</v>
      </c>
      <c r="F38" s="795" t="s">
        <v>596</v>
      </c>
      <c r="G38" s="796">
        <f>0</f>
        <v>0</v>
      </c>
      <c r="H38" s="799">
        <v>0</v>
      </c>
      <c r="I38" s="797">
        <v>0.25</v>
      </c>
      <c r="J38" s="799">
        <v>0.05</v>
      </c>
      <c r="K38" s="802">
        <v>0</v>
      </c>
      <c r="L38" s="802">
        <v>0.3</v>
      </c>
      <c r="N38" s="70"/>
      <c r="O38" s="70"/>
    </row>
    <row r="39" spans="3:16">
      <c r="C39" s="388" t="s">
        <v>597</v>
      </c>
      <c r="D39" s="388" t="s">
        <v>166</v>
      </c>
      <c r="F39" s="788" t="s">
        <v>597</v>
      </c>
      <c r="G39" s="789">
        <f>0</f>
        <v>0</v>
      </c>
      <c r="H39" s="792">
        <v>0</v>
      </c>
      <c r="I39" s="790">
        <v>0</v>
      </c>
      <c r="J39" s="792">
        <v>0.05</v>
      </c>
      <c r="K39" s="793">
        <v>0</v>
      </c>
      <c r="L39" s="793">
        <v>0.3</v>
      </c>
      <c r="N39" s="70"/>
      <c r="O39" s="70"/>
    </row>
    <row r="40" spans="3:16">
      <c r="C40" s="388" t="s">
        <v>598</v>
      </c>
      <c r="D40" s="388" t="s">
        <v>166</v>
      </c>
      <c r="F40" s="795" t="s">
        <v>598</v>
      </c>
      <c r="G40" s="796">
        <f>0</f>
        <v>0</v>
      </c>
      <c r="H40" s="799">
        <v>0</v>
      </c>
      <c r="I40" s="797">
        <v>0.25</v>
      </c>
      <c r="J40" s="799">
        <v>0.05</v>
      </c>
      <c r="K40" s="802">
        <v>0</v>
      </c>
      <c r="L40" s="802">
        <v>0.3</v>
      </c>
      <c r="N40" s="70"/>
      <c r="O40" s="70"/>
    </row>
    <row r="41" spans="3:16">
      <c r="C41" s="388" t="s">
        <v>599</v>
      </c>
      <c r="D41" s="388" t="s">
        <v>166</v>
      </c>
      <c r="F41" s="788" t="s">
        <v>599</v>
      </c>
      <c r="G41" s="789">
        <f>0</f>
        <v>0</v>
      </c>
      <c r="H41" s="792">
        <v>0</v>
      </c>
      <c r="I41" s="790">
        <v>0.25</v>
      </c>
      <c r="J41" s="792">
        <v>0.05</v>
      </c>
      <c r="K41" s="793">
        <v>0</v>
      </c>
      <c r="L41" s="793">
        <v>0.3</v>
      </c>
      <c r="N41" s="70"/>
      <c r="O41" s="70"/>
    </row>
    <row r="42" spans="3:16">
      <c r="C42" s="388" t="s">
        <v>600</v>
      </c>
      <c r="D42" s="388" t="s">
        <v>166</v>
      </c>
      <c r="F42" s="795" t="s">
        <v>600</v>
      </c>
      <c r="G42" s="796">
        <f>0</f>
        <v>0</v>
      </c>
      <c r="H42" s="799">
        <v>0</v>
      </c>
      <c r="I42" s="797">
        <v>0.25</v>
      </c>
      <c r="J42" s="799">
        <v>0.05</v>
      </c>
      <c r="K42" s="802">
        <v>0</v>
      </c>
      <c r="L42" s="802">
        <v>0.3</v>
      </c>
      <c r="N42" s="70"/>
      <c r="O42" s="70"/>
    </row>
    <row r="43" spans="3:16">
      <c r="C43" s="388" t="s">
        <v>601</v>
      </c>
      <c r="D43" s="388" t="s">
        <v>166</v>
      </c>
      <c r="F43" s="788" t="s">
        <v>601</v>
      </c>
      <c r="G43" s="789">
        <f>0</f>
        <v>0</v>
      </c>
      <c r="H43" s="792">
        <v>0</v>
      </c>
      <c r="I43" s="790">
        <v>0.25</v>
      </c>
      <c r="J43" s="792">
        <v>0.05</v>
      </c>
      <c r="K43" s="793">
        <v>0</v>
      </c>
      <c r="L43" s="793">
        <v>0.3</v>
      </c>
      <c r="N43" s="70"/>
      <c r="O43" s="70"/>
    </row>
    <row r="44" spans="3:16">
      <c r="C44" s="388" t="s">
        <v>602</v>
      </c>
      <c r="D44" s="388" t="s">
        <v>166</v>
      </c>
      <c r="F44" s="795" t="s">
        <v>602</v>
      </c>
      <c r="G44" s="796">
        <f>0</f>
        <v>0</v>
      </c>
      <c r="H44" s="799">
        <v>0</v>
      </c>
      <c r="I44" s="797">
        <v>0</v>
      </c>
      <c r="J44" s="799">
        <v>0.05</v>
      </c>
      <c r="K44" s="802">
        <v>0</v>
      </c>
      <c r="L44" s="802">
        <v>0.3</v>
      </c>
    </row>
    <row r="45" spans="3:16" ht="14.95" thickBot="1">
      <c r="C45" s="388" t="s">
        <v>603</v>
      </c>
      <c r="D45" s="388" t="s">
        <v>166</v>
      </c>
      <c r="F45" s="803" t="s">
        <v>603</v>
      </c>
      <c r="G45" s="804">
        <f>0</f>
        <v>0</v>
      </c>
      <c r="H45" s="807">
        <v>0</v>
      </c>
      <c r="I45" s="805">
        <v>0</v>
      </c>
      <c r="J45" s="807">
        <v>0.05</v>
      </c>
      <c r="K45" s="808">
        <v>0</v>
      </c>
      <c r="L45" s="808">
        <v>0.3</v>
      </c>
    </row>
    <row r="46" spans="3:16" hidden="1">
      <c r="F46" s="403"/>
      <c r="G46" s="404"/>
      <c r="H46" s="405"/>
      <c r="I46" s="406"/>
      <c r="J46" s="406"/>
      <c r="K46" s="406"/>
      <c r="L46" s="407"/>
    </row>
    <row r="47" spans="3:16" hidden="1">
      <c r="F47" s="788"/>
      <c r="G47" s="811"/>
      <c r="H47" s="790"/>
      <c r="I47" s="792"/>
      <c r="J47" s="792"/>
      <c r="K47" s="792"/>
      <c r="L47" s="793"/>
    </row>
    <row r="48" spans="3:16" hidden="1">
      <c r="C48" t="s">
        <v>604</v>
      </c>
      <c r="F48" s="795"/>
      <c r="G48" s="812"/>
      <c r="H48" s="797"/>
      <c r="I48" s="799"/>
      <c r="J48" s="799"/>
      <c r="K48" s="799"/>
      <c r="L48" s="802"/>
    </row>
    <row r="49" spans="3:16" ht="14.95" hidden="1" thickBot="1">
      <c r="C49" t="s">
        <v>604</v>
      </c>
      <c r="F49" s="803" t="s">
        <v>604</v>
      </c>
      <c r="G49" s="804">
        <f>0</f>
        <v>0</v>
      </c>
      <c r="H49" s="805">
        <v>0</v>
      </c>
      <c r="I49" s="807">
        <f>0%</f>
        <v>0</v>
      </c>
      <c r="J49" s="807">
        <v>0</v>
      </c>
      <c r="K49" s="807">
        <v>0.05</v>
      </c>
      <c r="L49" s="808">
        <f>0</f>
        <v>0</v>
      </c>
    </row>
    <row r="50" spans="3:16">
      <c r="H50" s="44" t="s">
        <v>605</v>
      </c>
    </row>
    <row r="52" spans="3:16" ht="19.05">
      <c r="C52" s="424" t="s">
        <v>606</v>
      </c>
      <c r="G52"/>
    </row>
    <row r="53" spans="3:16">
      <c r="G53"/>
    </row>
    <row r="54" spans="3:16">
      <c r="C54" s="1696" t="s">
        <v>607</v>
      </c>
      <c r="D54" s="1696"/>
      <c r="G54" s="1176" t="s">
        <v>608</v>
      </c>
      <c r="H54" s="1703"/>
      <c r="I54" s="1177"/>
    </row>
    <row r="55" spans="3:16">
      <c r="C55" s="1697">
        <v>4200</v>
      </c>
      <c r="D55" s="1697"/>
      <c r="E55" t="s">
        <v>609</v>
      </c>
      <c r="G55" s="715" t="s">
        <v>610</v>
      </c>
      <c r="H55" s="813" t="s">
        <v>611</v>
      </c>
      <c r="I55" s="715" t="s">
        <v>612</v>
      </c>
    </row>
    <row r="56" spans="3:16">
      <c r="C56" s="1698">
        <f>C55/365</f>
        <v>11.506849315068493</v>
      </c>
      <c r="D56" s="1698"/>
      <c r="E56" s="96" t="s">
        <v>613</v>
      </c>
      <c r="G56" s="814">
        <f>F74</f>
        <v>0.77083333333333337</v>
      </c>
      <c r="H56" s="815">
        <f>F97</f>
        <v>1.25</v>
      </c>
      <c r="I56" s="816">
        <f>(H56-G56)*24</f>
        <v>11.5</v>
      </c>
    </row>
    <row r="57" spans="3:16">
      <c r="G57"/>
    </row>
    <row r="58" spans="3:16">
      <c r="G58"/>
    </row>
    <row r="60" spans="3:16">
      <c r="G60" s="1699" t="s">
        <v>614</v>
      </c>
      <c r="H60" s="1699"/>
      <c r="I60" s="1700" t="s">
        <v>615</v>
      </c>
      <c r="J60" s="1700"/>
      <c r="K60" s="425">
        <v>0.15</v>
      </c>
      <c r="L60" s="1701" t="s">
        <v>616</v>
      </c>
    </row>
    <row r="61" spans="3:16">
      <c r="D61" s="1697" t="s">
        <v>610</v>
      </c>
      <c r="E61" s="1697"/>
      <c r="F61" s="715" t="s">
        <v>617</v>
      </c>
      <c r="G61" s="715" t="s">
        <v>618</v>
      </c>
      <c r="H61" s="715" t="s">
        <v>233</v>
      </c>
      <c r="I61" s="715" t="s">
        <v>548</v>
      </c>
      <c r="J61" s="715" t="s">
        <v>619</v>
      </c>
      <c r="K61" s="715" t="s">
        <v>620</v>
      </c>
      <c r="L61" s="1702"/>
      <c r="O61" s="426" t="s">
        <v>621</v>
      </c>
      <c r="P61" s="426" t="s">
        <v>622</v>
      </c>
    </row>
    <row r="62" spans="3:16">
      <c r="C62" s="217" t="s">
        <v>623</v>
      </c>
      <c r="D62" s="1691">
        <f>G56</f>
        <v>0.77083333333333337</v>
      </c>
      <c r="E62" s="1691"/>
      <c r="F62" s="817">
        <v>0.77083333333333337</v>
      </c>
      <c r="G62" s="818">
        <v>0.9</v>
      </c>
      <c r="H62" s="819">
        <f>ROUND((((F62-D62)*24)*(1-G62))/11.5,2)</f>
        <v>0</v>
      </c>
      <c r="I62" s="820" t="s">
        <v>166</v>
      </c>
      <c r="J62" s="818">
        <v>1</v>
      </c>
      <c r="K62" s="819">
        <f>IF(I62="Yes",ROUND(((O62)*(K$60)*(G62-J62))/11.5,2),0)</f>
        <v>0</v>
      </c>
      <c r="L62" s="819">
        <f>H62+K62</f>
        <v>0</v>
      </c>
      <c r="O62" s="427">
        <f>(F62-D62)*24</f>
        <v>0</v>
      </c>
      <c r="P62" s="427">
        <f>IF(I62="Yes",(F62-D62)*24*(1-K$60),0)</f>
        <v>0</v>
      </c>
    </row>
    <row r="63" spans="3:16">
      <c r="C63" s="217" t="s">
        <v>624</v>
      </c>
      <c r="D63" s="1691">
        <f>F62</f>
        <v>0.77083333333333337</v>
      </c>
      <c r="E63" s="1691"/>
      <c r="F63" s="817">
        <v>0.937499999999999</v>
      </c>
      <c r="G63" s="818">
        <v>0.9</v>
      </c>
      <c r="H63" s="819">
        <f>ROUND((((F63-D63)*24)*(1-G63))/11.5,2)</f>
        <v>0.03</v>
      </c>
      <c r="I63" s="820" t="s">
        <v>166</v>
      </c>
      <c r="J63" s="818">
        <v>1</v>
      </c>
      <c r="K63" s="819">
        <f>IF(I63="Yes",ROUND(((O63)*(K$60)*(G63-J63))/11.5,2),0)</f>
        <v>0</v>
      </c>
      <c r="L63" s="819">
        <f>H63+K63</f>
        <v>0.03</v>
      </c>
      <c r="O63" s="427">
        <f>(F63-D63)*24</f>
        <v>3.9999999999999751</v>
      </c>
      <c r="P63" s="427">
        <f>IF(I63="Yes",(F63-D63)*24*(1-K$60),0)</f>
        <v>0</v>
      </c>
    </row>
    <row r="64" spans="3:16">
      <c r="C64" s="217" t="s">
        <v>625</v>
      </c>
      <c r="D64" s="1691">
        <f>F63</f>
        <v>0.937499999999999</v>
      </c>
      <c r="E64" s="1691"/>
      <c r="F64" s="817">
        <v>1.1875</v>
      </c>
      <c r="G64" s="818">
        <v>0.5</v>
      </c>
      <c r="H64" s="819">
        <f>ROUND((((F64-D64)*24)*(1-G64))/11.5,2)</f>
        <v>0.26</v>
      </c>
      <c r="I64" s="820" t="s">
        <v>166</v>
      </c>
      <c r="J64" s="818">
        <v>1</v>
      </c>
      <c r="K64" s="819">
        <f>IF(I64="Yes",ROUND(((O64)*(K$60)*(G64-J64))/11.5,2),0)</f>
        <v>0</v>
      </c>
      <c r="L64" s="819">
        <f>H64+K64</f>
        <v>0.26</v>
      </c>
      <c r="O64" s="427">
        <f>(F64-D64)*24</f>
        <v>6.000000000000024</v>
      </c>
      <c r="P64" s="427">
        <f>IF(I64="Yes",(F64-D64)*24*(1-K$60),0)</f>
        <v>0</v>
      </c>
    </row>
    <row r="65" spans="3:16">
      <c r="C65" s="217" t="s">
        <v>626</v>
      </c>
      <c r="D65" s="1691">
        <f>F64</f>
        <v>1.1875</v>
      </c>
      <c r="E65" s="1691"/>
      <c r="F65" s="814">
        <f>H56</f>
        <v>1.25</v>
      </c>
      <c r="G65" s="818">
        <v>0.9</v>
      </c>
      <c r="H65" s="819">
        <f>ROUND((((F65-D65)*24)*(1-G65))/11.5,2)</f>
        <v>0.01</v>
      </c>
      <c r="I65" s="820" t="s">
        <v>166</v>
      </c>
      <c r="J65" s="818">
        <v>1</v>
      </c>
      <c r="K65" s="819">
        <f>IF(I65="Yes",ROUND(((O65)*(K$60)*(G65-J65))/11.5,2),0)</f>
        <v>0</v>
      </c>
      <c r="L65" s="819">
        <f>H65+K65</f>
        <v>0.01</v>
      </c>
      <c r="O65" s="427">
        <f>(F65-D65)*24</f>
        <v>1.5</v>
      </c>
      <c r="P65" s="427">
        <f>IF(I65="Yes",(F65-D65)*24*(1-K$60),0)</f>
        <v>0</v>
      </c>
    </row>
    <row r="66" spans="3:16">
      <c r="G66"/>
      <c r="H66" s="819">
        <f>SUM(H62:H65)</f>
        <v>0.30000000000000004</v>
      </c>
      <c r="K66" s="819">
        <f>SUM(K62:K65)</f>
        <v>0</v>
      </c>
      <c r="L66" s="819">
        <f>SUM(L62:L65)</f>
        <v>0.30000000000000004</v>
      </c>
      <c r="O66" s="427">
        <f>SUM(O62:O65)</f>
        <v>11.5</v>
      </c>
      <c r="P66" s="427">
        <f>SUM(P62:P65)</f>
        <v>0</v>
      </c>
    </row>
    <row r="67" spans="3:16">
      <c r="G67" s="258"/>
    </row>
    <row r="68" spans="3:16">
      <c r="G68" s="258"/>
    </row>
    <row r="69" spans="3:16">
      <c r="G69" s="258"/>
    </row>
    <row r="70" spans="3:16">
      <c r="G70" s="258"/>
    </row>
    <row r="71" spans="3:16">
      <c r="G71"/>
    </row>
    <row r="74" spans="3:16">
      <c r="F74" s="428">
        <v>0.77083333333333337</v>
      </c>
      <c r="G74" s="429">
        <v>1</v>
      </c>
    </row>
    <row r="75" spans="3:16">
      <c r="F75" s="428">
        <v>0.79166666666666663</v>
      </c>
      <c r="G75" s="429">
        <v>0.95</v>
      </c>
    </row>
    <row r="76" spans="3:16">
      <c r="F76" s="428">
        <v>0.8125</v>
      </c>
      <c r="G76" s="429">
        <v>0.9</v>
      </c>
    </row>
    <row r="77" spans="3:16">
      <c r="F77" s="428">
        <v>0.83333333333333304</v>
      </c>
      <c r="G77" s="429">
        <v>0.85</v>
      </c>
    </row>
    <row r="78" spans="3:16">
      <c r="F78" s="428">
        <v>0.85416666666666596</v>
      </c>
      <c r="G78" s="429">
        <v>0.8</v>
      </c>
    </row>
    <row r="79" spans="3:16">
      <c r="F79" s="428">
        <v>0.874999999999999</v>
      </c>
      <c r="G79" s="429">
        <v>0.75</v>
      </c>
    </row>
    <row r="80" spans="3:16">
      <c r="F80" s="428">
        <v>0.89583333333333304</v>
      </c>
      <c r="G80" s="429">
        <v>0.7</v>
      </c>
    </row>
    <row r="81" spans="6:7">
      <c r="F81" s="428">
        <v>0.91666666666666596</v>
      </c>
      <c r="G81" s="429">
        <v>0.65</v>
      </c>
    </row>
    <row r="82" spans="6:7">
      <c r="F82" s="428">
        <v>0.937499999999999</v>
      </c>
      <c r="G82" s="429">
        <v>0.6</v>
      </c>
    </row>
    <row r="83" spans="6:7">
      <c r="F83" s="428">
        <v>0.95833333333333204</v>
      </c>
      <c r="G83" s="429">
        <v>0.55000000000000004</v>
      </c>
    </row>
    <row r="84" spans="6:7">
      <c r="F84" s="428">
        <v>0.97916666666666596</v>
      </c>
      <c r="G84" s="429">
        <v>0.5</v>
      </c>
    </row>
    <row r="85" spans="6:7">
      <c r="F85" s="428">
        <v>0.999999999999999</v>
      </c>
      <c r="G85" s="429">
        <v>0.45</v>
      </c>
    </row>
    <row r="86" spans="6:7">
      <c r="F86" s="428">
        <v>1.0208333333333299</v>
      </c>
      <c r="G86" s="429">
        <v>0.4</v>
      </c>
    </row>
    <row r="87" spans="6:7">
      <c r="F87" s="428">
        <v>1.0416666666666701</v>
      </c>
      <c r="G87" s="429">
        <v>0.35</v>
      </c>
    </row>
    <row r="88" spans="6:7">
      <c r="F88" s="428">
        <v>1.0625</v>
      </c>
      <c r="G88" s="429">
        <v>0.3</v>
      </c>
    </row>
    <row r="89" spans="6:7">
      <c r="F89" s="428">
        <v>1.0833333333333299</v>
      </c>
      <c r="G89" s="429">
        <v>0.25</v>
      </c>
    </row>
    <row r="90" spans="6:7">
      <c r="F90" s="428">
        <v>1.1041666666666701</v>
      </c>
      <c r="G90" s="429">
        <v>0.2</v>
      </c>
    </row>
    <row r="91" spans="6:7">
      <c r="F91" s="428">
        <v>1.125</v>
      </c>
      <c r="G91" s="429">
        <v>0.15</v>
      </c>
    </row>
    <row r="92" spans="6:7">
      <c r="F92" s="428">
        <v>1.1458333333333299</v>
      </c>
      <c r="G92" s="429">
        <v>0.1</v>
      </c>
    </row>
    <row r="93" spans="6:7">
      <c r="F93" s="428">
        <v>1.1666666666666701</v>
      </c>
      <c r="G93" s="429">
        <v>0.05</v>
      </c>
    </row>
    <row r="94" spans="6:7">
      <c r="F94" s="428">
        <v>1.1875</v>
      </c>
      <c r="G94" s="429">
        <v>0</v>
      </c>
    </row>
    <row r="95" spans="6:7">
      <c r="F95" s="428">
        <v>1.2083333333333299</v>
      </c>
      <c r="G95" s="426"/>
    </row>
    <row r="96" spans="6:7">
      <c r="F96" s="430">
        <v>1.2291666666666667</v>
      </c>
      <c r="G96" s="426"/>
    </row>
    <row r="97" spans="6:7">
      <c r="F97" s="428">
        <v>1.25</v>
      </c>
      <c r="G97" s="426"/>
    </row>
  </sheetData>
  <sheetProtection password="DC20" sheet="1" objects="1" scenarios="1" selectLockedCells="1"/>
  <mergeCells count="13">
    <mergeCell ref="D65:E65"/>
    <mergeCell ref="O2:P3"/>
    <mergeCell ref="C54:D54"/>
    <mergeCell ref="C55:D55"/>
    <mergeCell ref="C56:D56"/>
    <mergeCell ref="G60:H60"/>
    <mergeCell ref="I60:J60"/>
    <mergeCell ref="L60:L61"/>
    <mergeCell ref="G54:I54"/>
    <mergeCell ref="D61:E61"/>
    <mergeCell ref="D62:E62"/>
    <mergeCell ref="D63:E63"/>
    <mergeCell ref="D64:E64"/>
  </mergeCells>
  <conditionalFormatting sqref="D5:D32">
    <cfRule type="cellIs" dxfId="53" priority="1" operator="equal">
      <formula>"Yes"</formula>
    </cfRule>
  </conditionalFormatting>
  <dataValidations disablePrompts="1" count="4">
    <dataValidation type="decimal" allowBlank="1" showInputMessage="1" showErrorMessage="1" error="Value must be between 0% and 30%!" sqref="K37:L45 L49 M5:M6 M8:M33">
      <formula1>0</formula1>
      <formula2>0.3</formula2>
    </dataValidation>
    <dataValidation type="list" allowBlank="1" showInputMessage="1" showErrorMessage="1" sqref="F62:F64">
      <formula1>ControlTime</formula1>
    </dataValidation>
    <dataValidation type="list" allowBlank="1" showInputMessage="1" showErrorMessage="1" sqref="G62:G65 J62:J65">
      <formula1>OnIntensity</formula1>
    </dataValidation>
    <dataValidation type="list" allowBlank="1" showInputMessage="1" showErrorMessage="1" sqref="I62:I65">
      <formula1>"Yes, No"</formula1>
    </dataValidation>
  </dataValidations>
  <pageMargins left="0.7" right="0.7" top="0.75" bottom="0.75" header="0.3" footer="0.3"/>
  <pageSetup paperSize="17" scale="49" orientation="landscape"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AI659"/>
  <sheetViews>
    <sheetView showGridLines="0" showRowColHeaders="0" zoomScale="90" zoomScaleNormal="90" workbookViewId="0">
      <pane ySplit="17" topLeftCell="A18" activePane="bottomLeft" state="frozen"/>
      <selection pane="bottomLeft" activeCell="A18" sqref="A18:X18"/>
    </sheetView>
  </sheetViews>
  <sheetFormatPr defaultColWidth="9.125" defaultRowHeight="14.3"/>
  <cols>
    <col min="1" max="1" width="4.125" customWidth="1"/>
    <col min="2" max="2" width="4.125" hidden="1" customWidth="1"/>
    <col min="3" max="8" width="2.875" customWidth="1"/>
    <col min="9" max="9" width="5.75" customWidth="1"/>
    <col min="10" max="10" width="30.75" customWidth="1"/>
    <col min="11" max="11" width="1.5" customWidth="1"/>
    <col min="12" max="12" width="20.75" customWidth="1"/>
    <col min="13" max="13" width="10.75" customWidth="1"/>
    <col min="14" max="14" width="1.25" customWidth="1"/>
    <col min="15" max="16" width="8.75" customWidth="1"/>
    <col min="17" max="17" width="4.75" customWidth="1"/>
    <col min="18" max="18" width="1.5" customWidth="1"/>
    <col min="19" max="19" width="2.875" customWidth="1"/>
    <col min="20" max="20" width="1.5" customWidth="1"/>
    <col min="21" max="21" width="27.875" customWidth="1"/>
    <col min="22" max="22" width="30.75" customWidth="1"/>
    <col min="23" max="23" width="1.5" customWidth="1"/>
    <col min="24" max="24" width="1.75" customWidth="1"/>
    <col min="27" max="27" width="122.75" customWidth="1"/>
    <col min="39" max="39" width="16.5" customWidth="1"/>
    <col min="40" max="40" width="2.75" customWidth="1"/>
    <col min="41" max="41" width="16.5" customWidth="1"/>
    <col min="42" max="42" width="2.75" customWidth="1"/>
    <col min="43" max="43" width="16.5" customWidth="1"/>
    <col min="44" max="44" width="2.75" customWidth="1"/>
    <col min="45" max="45" width="16.5" customWidth="1"/>
    <col min="46" max="46" width="2.75" customWidth="1"/>
    <col min="47" max="47" width="16.5" customWidth="1"/>
    <col min="48" max="48" width="2.75" customWidth="1"/>
    <col min="49" max="49" width="16.5" customWidth="1"/>
    <col min="50" max="50" width="6.875" customWidth="1"/>
    <col min="51" max="51" width="16.5" customWidth="1"/>
    <col min="52" max="52" width="2.75" customWidth="1"/>
    <col min="53" max="53" width="16.5" customWidth="1"/>
    <col min="54" max="54" width="2.75" customWidth="1"/>
    <col min="55" max="55" width="16.5" customWidth="1"/>
    <col min="57" max="57" width="16.5" customWidth="1"/>
  </cols>
  <sheetData>
    <row r="1" spans="10:35" ht="5.0999999999999996" customHeight="1"/>
    <row r="3" spans="10:35" ht="5.0999999999999996" customHeight="1"/>
    <row r="5" spans="10:35" ht="5.0999999999999996" customHeight="1"/>
    <row r="7" spans="10:35" ht="5.0999999999999996" customHeight="1">
      <c r="J7" s="1142" t="s">
        <v>476</v>
      </c>
      <c r="K7" s="1142"/>
      <c r="L7" s="1142"/>
      <c r="M7" s="1142"/>
      <c r="N7" s="1142"/>
      <c r="O7" s="1142"/>
      <c r="P7" s="1142"/>
      <c r="Q7" s="1142"/>
      <c r="R7" s="1142"/>
      <c r="S7" s="1142"/>
      <c r="T7" s="1142"/>
      <c r="U7" s="1142"/>
      <c r="V7" s="16"/>
      <c r="W7" s="16"/>
      <c r="X7" s="16"/>
      <c r="Y7" s="16"/>
      <c r="Z7" s="16"/>
      <c r="AA7" s="16"/>
      <c r="AB7" s="16"/>
      <c r="AC7" s="16"/>
      <c r="AD7" s="16"/>
      <c r="AE7" s="16"/>
      <c r="AF7" s="16"/>
      <c r="AG7" s="16"/>
      <c r="AH7" s="16"/>
      <c r="AI7" s="16"/>
    </row>
    <row r="8" spans="10:35" ht="14.45" customHeight="1">
      <c r="J8" s="1142"/>
      <c r="K8" s="1142"/>
      <c r="L8" s="1142"/>
      <c r="M8" s="1142"/>
      <c r="N8" s="1142"/>
      <c r="O8" s="1142"/>
      <c r="P8" s="1142"/>
      <c r="Q8" s="1142"/>
      <c r="R8" s="1142"/>
      <c r="S8" s="1142"/>
      <c r="T8" s="1142"/>
      <c r="U8" s="1142"/>
      <c r="V8" s="16"/>
      <c r="W8" s="16"/>
      <c r="X8" s="16"/>
      <c r="Y8" s="16"/>
      <c r="Z8" s="16"/>
      <c r="AA8" s="16"/>
      <c r="AB8" s="16"/>
      <c r="AC8" s="16"/>
      <c r="AD8" s="16"/>
      <c r="AE8" s="16"/>
      <c r="AF8" s="16"/>
      <c r="AG8" s="16"/>
      <c r="AH8" s="16"/>
      <c r="AI8" s="16"/>
    </row>
    <row r="9" spans="10:35" ht="5.0999999999999996" customHeight="1">
      <c r="J9" s="1143" t="s">
        <v>477</v>
      </c>
      <c r="K9" s="1143"/>
      <c r="L9" s="1143"/>
      <c r="M9" s="1143"/>
      <c r="N9" s="1143"/>
      <c r="O9" s="1143"/>
      <c r="P9" s="1143"/>
      <c r="Q9" s="1143"/>
      <c r="R9" s="1143"/>
      <c r="S9" s="1143"/>
      <c r="T9" s="1143"/>
      <c r="U9" s="1143"/>
      <c r="V9" s="445"/>
      <c r="W9" s="445"/>
      <c r="X9" s="445"/>
      <c r="Y9" s="445"/>
      <c r="Z9" s="445"/>
      <c r="AA9" s="445"/>
      <c r="AB9" s="445"/>
      <c r="AC9" s="445"/>
      <c r="AD9" s="445"/>
      <c r="AE9" s="445"/>
      <c r="AF9" s="445"/>
      <c r="AG9" s="445"/>
      <c r="AH9" s="445"/>
      <c r="AI9" s="445"/>
    </row>
    <row r="10" spans="10:35" ht="14.45" customHeight="1">
      <c r="J10" s="1143"/>
      <c r="K10" s="1143"/>
      <c r="L10" s="1143"/>
      <c r="M10" s="1143"/>
      <c r="N10" s="1143"/>
      <c r="O10" s="1143"/>
      <c r="P10" s="1143"/>
      <c r="Q10" s="1143"/>
      <c r="R10" s="1143"/>
      <c r="S10" s="1143"/>
      <c r="T10" s="1143"/>
      <c r="U10" s="1143"/>
      <c r="V10" s="445"/>
      <c r="W10" s="445"/>
      <c r="X10" s="445"/>
      <c r="Y10" s="445"/>
      <c r="Z10" s="445"/>
      <c r="AA10" s="445"/>
      <c r="AB10" s="445"/>
      <c r="AC10" s="445"/>
      <c r="AD10" s="445"/>
      <c r="AE10" s="445"/>
      <c r="AF10" s="445"/>
      <c r="AG10" s="445"/>
      <c r="AH10" s="445"/>
      <c r="AI10" s="445"/>
    </row>
    <row r="11" spans="10:35" ht="5.0999999999999996" customHeight="1">
      <c r="J11" s="1155" t="s">
        <v>478</v>
      </c>
      <c r="K11" s="1155"/>
      <c r="L11" s="1155"/>
      <c r="M11" s="1155"/>
      <c r="N11" s="1155"/>
      <c r="O11" s="1155"/>
      <c r="P11" s="1155"/>
      <c r="Q11" s="1155"/>
      <c r="R11" s="1155"/>
      <c r="S11" s="1155"/>
      <c r="T11" s="1155"/>
      <c r="U11" s="1155"/>
      <c r="V11" s="594"/>
      <c r="W11" s="594"/>
      <c r="X11" s="594"/>
      <c r="Y11" s="594"/>
      <c r="Z11" s="594"/>
      <c r="AA11" s="594"/>
      <c r="AB11" s="594"/>
      <c r="AC11" s="594"/>
      <c r="AD11" s="594"/>
      <c r="AE11" s="594"/>
      <c r="AF11" s="594"/>
      <c r="AG11" s="594"/>
      <c r="AH11" s="594"/>
      <c r="AI11" s="594"/>
    </row>
    <row r="12" spans="10:35">
      <c r="J12" s="1155"/>
      <c r="K12" s="1155"/>
      <c r="L12" s="1155"/>
      <c r="M12" s="1155"/>
      <c r="N12" s="1155"/>
      <c r="O12" s="1155"/>
      <c r="P12" s="1155"/>
      <c r="Q12" s="1155"/>
      <c r="R12" s="1155"/>
      <c r="S12" s="1155"/>
      <c r="T12" s="1155"/>
      <c r="U12" s="1155"/>
      <c r="V12" s="594"/>
      <c r="W12" s="594"/>
      <c r="X12" s="594"/>
      <c r="Y12" s="594"/>
      <c r="Z12" s="594"/>
      <c r="AA12" s="594"/>
      <c r="AB12" s="594"/>
      <c r="AC12" s="594"/>
      <c r="AD12" s="594"/>
      <c r="AE12" s="594"/>
      <c r="AF12" s="594"/>
      <c r="AG12" s="594"/>
      <c r="AH12" s="594"/>
      <c r="AI12" s="594"/>
    </row>
    <row r="13" spans="10:35" ht="5.0999999999999996" customHeight="1">
      <c r="J13" s="1144" t="s">
        <v>479</v>
      </c>
      <c r="K13" s="1144"/>
      <c r="L13" s="1144"/>
      <c r="M13" s="1144"/>
      <c r="N13" s="1144"/>
      <c r="O13" s="1144"/>
      <c r="P13" s="1144"/>
      <c r="Q13" s="1144"/>
      <c r="R13" s="1144"/>
      <c r="S13" s="1144"/>
      <c r="T13" s="1144"/>
      <c r="U13" s="1144"/>
      <c r="V13" s="696"/>
      <c r="W13" s="696"/>
      <c r="X13" s="696"/>
      <c r="Y13" s="696"/>
      <c r="Z13" s="696"/>
      <c r="AA13" s="696"/>
      <c r="AB13" s="696"/>
      <c r="AC13" s="696"/>
      <c r="AD13" s="696"/>
      <c r="AE13" s="696"/>
      <c r="AF13" s="696"/>
      <c r="AG13" s="696"/>
      <c r="AH13" s="696"/>
      <c r="AI13" s="696"/>
    </row>
    <row r="14" spans="10:35" ht="14.45" customHeight="1">
      <c r="J14" s="1144"/>
      <c r="K14" s="1144"/>
      <c r="L14" s="1144"/>
      <c r="M14" s="1144"/>
      <c r="N14" s="1144"/>
      <c r="O14" s="1144"/>
      <c r="P14" s="1144"/>
      <c r="Q14" s="1144"/>
      <c r="R14" s="1144"/>
      <c r="S14" s="1144"/>
      <c r="T14" s="1144"/>
      <c r="U14" s="1144"/>
      <c r="V14" s="696"/>
      <c r="W14" s="696"/>
      <c r="X14" s="696"/>
      <c r="Y14" s="696"/>
      <c r="Z14" s="696"/>
      <c r="AA14" s="696"/>
      <c r="AB14" s="696"/>
      <c r="AC14" s="696"/>
      <c r="AD14" s="696"/>
      <c r="AE14" s="696"/>
      <c r="AF14" s="696"/>
      <c r="AG14" s="696"/>
      <c r="AH14" s="696"/>
      <c r="AI14" s="696"/>
    </row>
    <row r="15" spans="10:35" ht="5.0999999999999996" customHeight="1">
      <c r="L15" s="92"/>
      <c r="M15" s="92"/>
      <c r="N15" s="92"/>
      <c r="O15" s="92"/>
      <c r="P15" s="92"/>
      <c r="Q15" s="92"/>
      <c r="R15" s="92"/>
      <c r="S15" s="92"/>
      <c r="T15" s="92"/>
    </row>
    <row r="18" spans="1:33" ht="2.5499999999999998" customHeight="1">
      <c r="A18" s="1149"/>
      <c r="B18" s="1149"/>
      <c r="C18" s="1149"/>
      <c r="D18" s="1149"/>
      <c r="E18" s="1149"/>
      <c r="F18" s="1149"/>
      <c r="G18" s="1149"/>
      <c r="H18" s="1149"/>
      <c r="I18" s="1149"/>
      <c r="J18" s="1149"/>
      <c r="K18" s="1149"/>
      <c r="L18" s="1149"/>
      <c r="M18" s="1149"/>
      <c r="N18" s="1149"/>
      <c r="O18" s="1149"/>
      <c r="P18" s="1149"/>
      <c r="Q18" s="1149"/>
      <c r="R18" s="1149"/>
      <c r="S18" s="1149"/>
      <c r="T18" s="1149"/>
      <c r="U18" s="1149"/>
      <c r="V18" s="1149"/>
      <c r="W18" s="1149"/>
      <c r="X18" s="1149"/>
    </row>
    <row r="19" spans="1:33" ht="20.25" customHeight="1">
      <c r="C19" s="302"/>
      <c r="D19" s="302"/>
      <c r="E19" s="695" t="s">
        <v>627</v>
      </c>
      <c r="F19" s="302"/>
      <c r="G19" s="302"/>
      <c r="H19" s="302"/>
      <c r="I19" s="302"/>
      <c r="J19" s="302"/>
      <c r="K19" s="302"/>
      <c r="L19" s="302"/>
      <c r="M19" s="302"/>
      <c r="N19" s="302"/>
      <c r="O19" s="302"/>
      <c r="P19" s="302"/>
      <c r="Q19" s="302"/>
      <c r="R19" s="302"/>
      <c r="S19" s="302"/>
      <c r="T19" s="302"/>
      <c r="U19" s="302"/>
      <c r="V19" s="302"/>
      <c r="W19" s="302"/>
      <c r="X19" s="302"/>
      <c r="Y19" s="17"/>
      <c r="Z19" s="17"/>
      <c r="AA19" s="1156"/>
      <c r="AC19" s="377"/>
      <c r="AD19" s="377"/>
      <c r="AE19" s="377"/>
      <c r="AF19" s="377"/>
      <c r="AG19" s="377"/>
    </row>
    <row r="20" spans="1:33" ht="19.05">
      <c r="B20" s="1149"/>
      <c r="C20" s="302"/>
      <c r="D20" s="303"/>
      <c r="F20" s="821"/>
      <c r="G20" s="821"/>
      <c r="H20" s="821"/>
      <c r="I20" s="821"/>
      <c r="J20" s="821"/>
      <c r="K20" s="822"/>
      <c r="L20" s="822"/>
      <c r="M20" s="822"/>
      <c r="N20" s="823"/>
      <c r="O20" s="304"/>
      <c r="P20" s="303"/>
      <c r="Q20" s="303"/>
      <c r="R20" s="309" t="s">
        <v>628</v>
      </c>
      <c r="S20" s="303"/>
      <c r="T20" s="303"/>
      <c r="U20" s="303"/>
      <c r="V20" s="303"/>
      <c r="W20" s="303"/>
      <c r="X20" s="302"/>
      <c r="Y20" s="17"/>
      <c r="Z20" s="17"/>
      <c r="AA20" s="1156"/>
      <c r="AC20" s="2"/>
    </row>
    <row r="21" spans="1:33" ht="7.5" customHeight="1">
      <c r="B21" s="1149"/>
      <c r="C21" s="191"/>
      <c r="D21" s="305"/>
      <c r="E21" s="305"/>
      <c r="F21" s="305"/>
      <c r="G21" s="305"/>
      <c r="H21" s="305"/>
      <c r="I21" s="305"/>
      <c r="J21" s="306"/>
      <c r="K21" s="303"/>
      <c r="L21" s="305"/>
      <c r="N21" s="303"/>
      <c r="O21" s="303"/>
      <c r="P21" s="303"/>
      <c r="Q21" s="303"/>
      <c r="R21" s="303"/>
      <c r="S21" s="303"/>
      <c r="T21" s="303"/>
      <c r="U21" s="303"/>
      <c r="V21" s="303"/>
      <c r="W21" s="303"/>
      <c r="X21" s="302"/>
      <c r="Y21" s="17"/>
      <c r="Z21" s="17"/>
      <c r="AA21" s="1156"/>
    </row>
    <row r="22" spans="1:33" ht="14.95" customHeight="1">
      <c r="B22" s="1149"/>
      <c r="D22" s="305"/>
      <c r="I22" s="694" t="s">
        <v>629</v>
      </c>
      <c r="J22" s="489">
        <f>Project!V22</f>
        <v>0</v>
      </c>
      <c r="L22" s="307" t="s">
        <v>630</v>
      </c>
      <c r="M22" s="1818"/>
      <c r="N22" s="1818"/>
      <c r="O22" s="1818"/>
      <c r="P22" s="1819"/>
      <c r="Q22" s="304"/>
      <c r="S22" s="824"/>
      <c r="T22" s="312"/>
      <c r="U22" s="313" t="s">
        <v>631</v>
      </c>
      <c r="V22" s="304"/>
      <c r="W22" s="304"/>
      <c r="X22" s="182"/>
      <c r="Y22" s="17"/>
      <c r="Z22" s="17"/>
      <c r="AA22" s="1156"/>
      <c r="AC22" s="190"/>
      <c r="AD22" s="190"/>
      <c r="AE22" s="190"/>
      <c r="AF22" s="190"/>
      <c r="AG22" s="190"/>
    </row>
    <row r="23" spans="1:33" ht="7.5" customHeight="1">
      <c r="B23" s="1149"/>
      <c r="C23" s="191"/>
      <c r="D23" s="305"/>
      <c r="E23" s="305"/>
      <c r="F23" s="305"/>
      <c r="G23" s="305"/>
      <c r="H23" s="305"/>
      <c r="I23" s="305"/>
      <c r="J23" s="306"/>
      <c r="K23" s="303"/>
      <c r="L23" s="305"/>
      <c r="N23" s="303"/>
      <c r="O23" s="303"/>
      <c r="P23" s="303"/>
      <c r="Q23" s="303"/>
      <c r="R23" s="303"/>
      <c r="S23" s="303"/>
      <c r="T23" s="303"/>
      <c r="U23" s="303"/>
      <c r="V23" s="303"/>
      <c r="W23" s="303"/>
      <c r="X23" s="302"/>
      <c r="Y23" s="17"/>
      <c r="Z23" s="17"/>
      <c r="AA23" s="1156"/>
    </row>
    <row r="24" spans="1:33" ht="16.3">
      <c r="B24" s="1149"/>
      <c r="C24" s="191"/>
      <c r="D24" s="305"/>
      <c r="E24" s="305"/>
      <c r="F24" s="305"/>
      <c r="G24" s="305"/>
      <c r="H24" s="305"/>
      <c r="I24" s="307" t="s">
        <v>632</v>
      </c>
      <c r="J24" s="489" t="str">
        <f>Project!H22</f>
        <v>Commercial/Industrial</v>
      </c>
      <c r="K24" s="308"/>
      <c r="L24" s="307" t="s">
        <v>633</v>
      </c>
      <c r="M24" s="1820"/>
      <c r="N24" s="1820"/>
      <c r="O24" s="1820"/>
      <c r="P24" s="1821"/>
      <c r="Q24" s="308"/>
      <c r="S24" s="824"/>
      <c r="T24" s="312"/>
      <c r="U24" s="313" t="s">
        <v>635</v>
      </c>
      <c r="V24" s="309"/>
      <c r="W24" s="308"/>
      <c r="AA24" s="1156"/>
      <c r="AC24" s="190"/>
      <c r="AD24" s="190"/>
      <c r="AE24" s="190"/>
      <c r="AF24" s="190"/>
      <c r="AG24" s="190"/>
    </row>
    <row r="25" spans="1:33" ht="7.5" customHeight="1">
      <c r="B25" s="1149"/>
      <c r="C25" s="191"/>
      <c r="D25" s="305"/>
      <c r="E25" s="305"/>
      <c r="F25" s="305"/>
      <c r="G25" s="305"/>
      <c r="H25" s="305"/>
      <c r="I25" s="308"/>
      <c r="J25" s="310"/>
      <c r="K25" s="308"/>
      <c r="L25" s="305"/>
      <c r="M25" s="303"/>
      <c r="N25" s="303"/>
      <c r="O25" s="308"/>
      <c r="P25" s="308"/>
      <c r="Q25" s="308"/>
      <c r="R25" s="308"/>
      <c r="S25" s="308"/>
      <c r="T25" s="303"/>
      <c r="U25" s="311"/>
      <c r="V25" s="308"/>
      <c r="W25" s="308"/>
      <c r="AA25" s="1156"/>
      <c r="AC25" s="190"/>
      <c r="AD25" s="190"/>
      <c r="AE25" s="190"/>
      <c r="AF25" s="190"/>
      <c r="AG25" s="190"/>
    </row>
    <row r="26" spans="1:33" ht="15.8" customHeight="1">
      <c r="B26" s="1149"/>
      <c r="C26" s="191"/>
      <c r="D26" s="305"/>
      <c r="E26" s="305"/>
      <c r="F26" s="305"/>
      <c r="G26" s="305"/>
      <c r="H26" s="305"/>
      <c r="I26" s="307" t="s">
        <v>636</v>
      </c>
      <c r="J26" s="316" t="str">
        <f>Project!H24</f>
        <v>RETROFIT</v>
      </c>
      <c r="K26" s="308"/>
      <c r="L26" s="307" t="s">
        <v>637</v>
      </c>
      <c r="M26" s="1820"/>
      <c r="N26" s="1820"/>
      <c r="O26" s="1820"/>
      <c r="P26" s="1821"/>
      <c r="Q26" s="308"/>
      <c r="R26" s="309" t="s">
        <v>639</v>
      </c>
      <c r="V26" s="308"/>
      <c r="W26" s="308"/>
      <c r="AA26" s="1156"/>
      <c r="AC26" s="190"/>
      <c r="AD26" s="190"/>
      <c r="AE26" s="190"/>
      <c r="AF26" s="190"/>
      <c r="AG26" s="190"/>
    </row>
    <row r="27" spans="1:33" ht="7.5" customHeight="1">
      <c r="B27" s="1149"/>
      <c r="C27" s="191"/>
      <c r="D27" s="305"/>
      <c r="E27" s="305"/>
      <c r="F27" s="305"/>
      <c r="G27" s="305"/>
      <c r="H27" s="305"/>
      <c r="I27" s="308"/>
      <c r="J27" s="310"/>
      <c r="K27" s="308"/>
      <c r="L27" s="305"/>
      <c r="M27" s="303"/>
      <c r="N27" s="303"/>
      <c r="O27" s="314"/>
      <c r="P27" s="314"/>
      <c r="Q27" s="314"/>
      <c r="R27" s="308"/>
      <c r="S27" s="303"/>
      <c r="T27" s="308"/>
      <c r="U27" s="315"/>
      <c r="V27" s="308"/>
      <c r="W27" s="308"/>
      <c r="AA27" s="1156"/>
    </row>
    <row r="28" spans="1:33" ht="15.8" customHeight="1">
      <c r="B28" s="1149"/>
      <c r="C28" s="191"/>
      <c r="D28" s="305"/>
      <c r="E28" s="305"/>
      <c r="F28" s="305"/>
      <c r="G28" s="305"/>
      <c r="H28" s="305"/>
      <c r="I28" s="307" t="s">
        <v>640</v>
      </c>
      <c r="J28" s="316">
        <f>Project!V26</f>
        <v>0</v>
      </c>
      <c r="K28" s="317"/>
      <c r="L28" s="307" t="s">
        <v>641</v>
      </c>
      <c r="M28" s="1822"/>
      <c r="N28" s="1822"/>
      <c r="O28" s="1822"/>
      <c r="P28" s="1823"/>
      <c r="Q28" s="308"/>
      <c r="S28" s="824"/>
      <c r="T28" s="312"/>
      <c r="U28" s="313" t="s">
        <v>642</v>
      </c>
      <c r="V28" s="311"/>
      <c r="W28" s="308"/>
      <c r="AA28" s="1156"/>
      <c r="AC28" s="190"/>
      <c r="AD28" s="190"/>
      <c r="AE28" s="190"/>
      <c r="AF28" s="190"/>
      <c r="AG28" s="190"/>
    </row>
    <row r="29" spans="1:33" ht="7.5" customHeight="1">
      <c r="B29" s="1149"/>
      <c r="C29" s="191"/>
      <c r="D29" s="305"/>
      <c r="E29" s="305"/>
      <c r="F29" s="305"/>
      <c r="G29" s="305"/>
      <c r="H29" s="305"/>
      <c r="I29" s="305"/>
      <c r="J29" s="314"/>
      <c r="K29" s="314"/>
      <c r="L29" s="308"/>
      <c r="M29" s="308"/>
      <c r="N29" s="308"/>
      <c r="O29" s="308"/>
      <c r="P29" s="308"/>
      <c r="Q29" s="308"/>
      <c r="R29" s="308"/>
      <c r="S29" s="308"/>
      <c r="T29" s="303"/>
      <c r="U29" s="310"/>
      <c r="V29" s="311"/>
      <c r="W29" s="308"/>
      <c r="AA29" s="1156"/>
      <c r="AC29" s="190"/>
      <c r="AD29" s="190"/>
      <c r="AE29" s="190"/>
      <c r="AF29" s="190"/>
      <c r="AG29" s="190"/>
    </row>
    <row r="30" spans="1:33" ht="15.8" customHeight="1">
      <c r="B30" s="1149"/>
      <c r="C30" s="191"/>
      <c r="D30" s="305"/>
      <c r="E30" s="305"/>
      <c r="F30" s="305"/>
      <c r="G30" s="305"/>
      <c r="H30" s="305"/>
      <c r="I30" s="307" t="s">
        <v>643</v>
      </c>
      <c r="J30" s="1086">
        <f>Project!V28</f>
        <v>0</v>
      </c>
      <c r="K30" s="308"/>
      <c r="L30" s="307" t="s">
        <v>644</v>
      </c>
      <c r="M30" s="1824" t="str">
        <f ca="1">U579</f>
        <v>Enter on "Customer Authorization" tab</v>
      </c>
      <c r="N30" s="1824"/>
      <c r="O30" s="1824"/>
      <c r="P30" s="1825"/>
      <c r="Q30" s="308"/>
      <c r="S30" s="824"/>
      <c r="T30" s="303"/>
      <c r="U30" s="313" t="s">
        <v>645</v>
      </c>
      <c r="V30" s="311"/>
      <c r="W30" s="308"/>
      <c r="AA30" s="1156"/>
      <c r="AC30" s="190"/>
      <c r="AD30" s="190"/>
      <c r="AE30" s="190"/>
      <c r="AF30" s="190"/>
      <c r="AG30" s="190"/>
    </row>
    <row r="31" spans="1:33" ht="7.5" customHeight="1">
      <c r="B31" s="1149"/>
      <c r="C31" s="191"/>
      <c r="D31" s="305"/>
      <c r="E31" s="305"/>
      <c r="F31" s="305"/>
      <c r="G31" s="305"/>
      <c r="H31" s="305"/>
      <c r="I31" s="305"/>
      <c r="J31" s="310"/>
      <c r="K31" s="308"/>
      <c r="L31" s="305"/>
      <c r="M31" s="303"/>
      <c r="N31" s="303"/>
      <c r="O31" s="303"/>
      <c r="P31" s="303"/>
      <c r="Q31" s="303"/>
      <c r="R31" s="303"/>
      <c r="S31" s="308"/>
      <c r="T31" s="308"/>
      <c r="U31" s="308"/>
      <c r="V31" s="303"/>
      <c r="W31" s="303"/>
      <c r="X31" s="318"/>
      <c r="AA31" s="1156"/>
      <c r="AC31" s="190"/>
      <c r="AD31" s="190"/>
      <c r="AE31" s="190"/>
      <c r="AF31" s="190"/>
      <c r="AG31" s="190"/>
    </row>
    <row r="32" spans="1:33" ht="15.8" customHeight="1">
      <c r="B32" s="1149"/>
      <c r="C32" s="191"/>
      <c r="D32" s="305"/>
      <c r="E32" s="305"/>
      <c r="F32" s="305"/>
      <c r="G32" s="305"/>
      <c r="H32" s="305"/>
      <c r="I32" s="307" t="s">
        <v>646</v>
      </c>
      <c r="J32" s="489" t="str">
        <f>Project!H34</f>
        <v>Multi-Family Housing</v>
      </c>
      <c r="K32" s="308"/>
      <c r="L32" s="307" t="s">
        <v>647</v>
      </c>
      <c r="M32" s="1780"/>
      <c r="N32" s="1780"/>
      <c r="O32" s="1780"/>
      <c r="P32" s="1781"/>
      <c r="Q32" s="303"/>
      <c r="R32" s="303"/>
      <c r="S32" s="824"/>
      <c r="U32" s="313" t="s">
        <v>648</v>
      </c>
      <c r="V32" s="311"/>
      <c r="W32" s="303"/>
      <c r="X32" s="318"/>
      <c r="AA32" s="1156"/>
      <c r="AC32" s="190"/>
      <c r="AD32" s="190"/>
      <c r="AE32" s="190"/>
      <c r="AF32" s="190"/>
      <c r="AG32" s="190"/>
    </row>
    <row r="33" spans="2:33" ht="7.5" customHeight="1">
      <c r="B33" s="1149"/>
      <c r="C33" s="191"/>
      <c r="D33" s="305"/>
      <c r="E33" s="305"/>
      <c r="F33" s="305"/>
      <c r="G33" s="305"/>
      <c r="H33" s="305"/>
      <c r="I33" s="305"/>
      <c r="J33" s="308"/>
      <c r="K33" s="308"/>
      <c r="L33" s="303"/>
      <c r="M33" s="303"/>
      <c r="N33" s="303"/>
      <c r="O33" s="303"/>
      <c r="P33" s="303"/>
      <c r="Q33" s="303"/>
      <c r="R33" s="303"/>
      <c r="S33" s="303"/>
      <c r="T33" s="303"/>
      <c r="U33" s="313"/>
      <c r="V33" s="311"/>
      <c r="W33" s="303"/>
      <c r="X33" s="318"/>
      <c r="AA33" s="1156"/>
    </row>
    <row r="34" spans="2:33" ht="15.8" customHeight="1">
      <c r="B34" s="1149"/>
      <c r="C34" s="191"/>
      <c r="D34" s="305"/>
      <c r="E34" s="305"/>
      <c r="F34" s="305"/>
      <c r="G34" s="305"/>
      <c r="H34" s="305"/>
      <c r="I34" s="307" t="s">
        <v>649</v>
      </c>
      <c r="J34" s="489">
        <f>Project!H26</f>
        <v>0</v>
      </c>
      <c r="K34" s="308"/>
      <c r="Q34" s="303"/>
      <c r="R34" s="308"/>
      <c r="S34" s="824"/>
      <c r="U34" s="313" t="s">
        <v>650</v>
      </c>
      <c r="V34" s="308"/>
      <c r="W34" s="303"/>
      <c r="X34" s="318"/>
      <c r="AA34" s="1156"/>
      <c r="AC34" s="190"/>
      <c r="AD34" s="190"/>
      <c r="AE34" s="190"/>
      <c r="AF34" s="190"/>
      <c r="AG34" s="190"/>
    </row>
    <row r="35" spans="2:33" ht="7.5" customHeight="1">
      <c r="B35" s="1149"/>
      <c r="C35" s="191"/>
      <c r="D35" s="305"/>
      <c r="E35" s="305"/>
      <c r="F35" s="305"/>
      <c r="G35" s="305"/>
      <c r="H35" s="305"/>
      <c r="I35" s="308"/>
      <c r="J35" s="308"/>
      <c r="K35" s="308"/>
      <c r="L35" s="308"/>
      <c r="M35" s="308"/>
      <c r="N35" s="303"/>
      <c r="O35" s="303"/>
      <c r="P35" s="303"/>
      <c r="Q35" s="303"/>
      <c r="R35" s="303"/>
      <c r="S35" s="303"/>
      <c r="T35" s="303"/>
      <c r="U35" s="308"/>
      <c r="V35" s="308"/>
      <c r="W35" s="308"/>
      <c r="AA35" s="1156"/>
      <c r="AC35" s="190"/>
      <c r="AD35" s="190"/>
      <c r="AE35" s="190"/>
      <c r="AF35" s="190"/>
      <c r="AG35" s="190"/>
    </row>
    <row r="36" spans="2:33" ht="15.8" customHeight="1">
      <c r="B36" s="1149"/>
      <c r="C36" s="191"/>
      <c r="D36" s="305"/>
      <c r="E36" s="305"/>
      <c r="F36" s="305"/>
      <c r="G36" s="305"/>
      <c r="H36" s="305"/>
      <c r="I36" s="307" t="s">
        <v>651</v>
      </c>
      <c r="J36" s="489">
        <f>Project!V30</f>
        <v>0</v>
      </c>
      <c r="K36" s="308"/>
      <c r="L36" s="694" t="s">
        <v>652</v>
      </c>
      <c r="M36" s="1783" t="str">
        <f>Project!H81</f>
        <v/>
      </c>
      <c r="N36" s="1783"/>
      <c r="O36" s="1783"/>
      <c r="P36" s="1784"/>
      <c r="Q36" s="303"/>
      <c r="U36" s="825"/>
      <c r="V36" t="s">
        <v>653</v>
      </c>
      <c r="W36" s="319"/>
      <c r="X36" s="320"/>
      <c r="AA36" s="1156"/>
      <c r="AC36" s="190"/>
      <c r="AD36" s="190"/>
      <c r="AE36" s="190"/>
      <c r="AF36" s="190"/>
      <c r="AG36" s="190"/>
    </row>
    <row r="37" spans="2:33" ht="7.5" customHeight="1">
      <c r="B37" s="1149"/>
      <c r="C37" s="191"/>
      <c r="D37" s="305"/>
      <c r="E37" s="305"/>
      <c r="F37" s="305"/>
      <c r="G37" s="305"/>
      <c r="H37" s="305"/>
      <c r="K37" s="308"/>
      <c r="L37" s="303"/>
      <c r="M37" s="303"/>
      <c r="N37" s="303"/>
      <c r="O37" s="303"/>
      <c r="P37" s="303"/>
      <c r="Q37" s="303"/>
      <c r="W37" s="319"/>
      <c r="X37" s="320"/>
      <c r="AA37" s="1156"/>
      <c r="AC37" s="190"/>
      <c r="AD37" s="190"/>
      <c r="AE37" s="190"/>
      <c r="AF37" s="190"/>
      <c r="AG37" s="190"/>
    </row>
    <row r="38" spans="2:33" ht="15.8" customHeight="1">
      <c r="B38" s="1149"/>
      <c r="C38" s="191"/>
      <c r="D38" s="305"/>
      <c r="E38" s="305"/>
      <c r="F38" s="305"/>
      <c r="G38" s="305"/>
      <c r="H38" s="305"/>
      <c r="I38" s="307"/>
      <c r="J38" s="489" t="str">
        <f>CONCATENATE(Project!V34,", ",Project!V36," ",Project!AA36)</f>
        <v xml:space="preserve">, WA </v>
      </c>
      <c r="K38" s="308"/>
      <c r="L38" s="307" t="s">
        <v>654</v>
      </c>
      <c r="M38" s="1783" t="str">
        <f>Project!H83</f>
        <v/>
      </c>
      <c r="N38" s="1783"/>
      <c r="O38" s="1783"/>
      <c r="P38" s="1784"/>
      <c r="Q38" s="303"/>
      <c r="W38" s="319"/>
      <c r="X38" s="320"/>
      <c r="AA38" s="1156"/>
      <c r="AC38" s="190"/>
      <c r="AD38" s="190"/>
      <c r="AE38" s="190"/>
      <c r="AF38" s="190"/>
      <c r="AG38" s="190"/>
    </row>
    <row r="39" spans="2:33" ht="7.5" customHeight="1">
      <c r="B39" s="1149"/>
      <c r="C39" s="191"/>
      <c r="D39" s="305"/>
      <c r="E39" s="305"/>
      <c r="F39" s="305"/>
      <c r="G39" s="305"/>
      <c r="H39" s="305"/>
      <c r="K39" s="308"/>
      <c r="L39" s="303"/>
      <c r="M39" s="303"/>
      <c r="N39" s="303"/>
      <c r="O39" s="303"/>
      <c r="P39" s="303"/>
      <c r="Q39" s="303"/>
      <c r="R39" s="303"/>
      <c r="S39" s="303"/>
      <c r="T39" s="303"/>
      <c r="U39" s="308"/>
      <c r="V39" s="308"/>
      <c r="W39" s="308"/>
      <c r="AA39" s="1156"/>
    </row>
    <row r="40" spans="2:33" ht="15.8" customHeight="1">
      <c r="B40" s="1149"/>
      <c r="C40" s="191"/>
      <c r="D40" s="305"/>
      <c r="E40" s="305"/>
      <c r="F40" s="305"/>
      <c r="G40" s="305"/>
      <c r="H40" s="305"/>
      <c r="K40" s="308"/>
      <c r="L40" s="307" t="s">
        <v>655</v>
      </c>
      <c r="M40" s="1783" t="str">
        <f>Project!H85</f>
        <v/>
      </c>
      <c r="N40" s="1783"/>
      <c r="O40" s="1783"/>
      <c r="P40" s="1784"/>
      <c r="Q40" s="303"/>
      <c r="R40" s="1782" t="s">
        <v>656</v>
      </c>
      <c r="S40" s="1782"/>
      <c r="T40" s="1782"/>
      <c r="U40" s="1782"/>
      <c r="V40" s="1782"/>
      <c r="W40" s="308"/>
      <c r="AA40" s="1156"/>
    </row>
    <row r="41" spans="2:33" ht="7.5" customHeight="1">
      <c r="B41" s="1149"/>
      <c r="C41" s="191"/>
      <c r="D41" s="305"/>
      <c r="E41" s="305"/>
      <c r="F41" s="305"/>
      <c r="G41" s="305"/>
      <c r="H41" s="305"/>
      <c r="I41" s="308"/>
      <c r="J41" s="308"/>
      <c r="K41" s="308"/>
      <c r="L41" s="303"/>
      <c r="M41" s="303"/>
      <c r="N41" s="303"/>
      <c r="O41" s="303"/>
      <c r="P41" s="303"/>
      <c r="Q41" s="303"/>
      <c r="R41" s="1782"/>
      <c r="S41" s="1782"/>
      <c r="T41" s="1782"/>
      <c r="U41" s="1782"/>
      <c r="V41" s="1782"/>
      <c r="W41" s="308"/>
      <c r="AA41" s="1156"/>
    </row>
    <row r="42" spans="2:33" ht="15.8" customHeight="1">
      <c r="B42" s="1149"/>
      <c r="C42" s="191"/>
      <c r="D42" s="305"/>
      <c r="E42" s="305"/>
      <c r="F42" s="305"/>
      <c r="G42" s="305"/>
      <c r="H42" s="305"/>
      <c r="I42" s="694" t="s">
        <v>657</v>
      </c>
      <c r="J42" s="489">
        <f>Project!AK22</f>
        <v>0</v>
      </c>
      <c r="K42" s="308"/>
      <c r="L42" s="324" t="s">
        <v>658</v>
      </c>
      <c r="M42" s="1785" t="str">
        <f>Project!H87</f>
        <v/>
      </c>
      <c r="N42" s="1785"/>
      <c r="O42" s="1785"/>
      <c r="P42" s="1786"/>
      <c r="Q42" s="303"/>
      <c r="R42" s="1782"/>
      <c r="S42" s="1782"/>
      <c r="T42" s="1782"/>
      <c r="U42" s="1782"/>
      <c r="V42" s="1782"/>
      <c r="W42" s="308"/>
      <c r="AA42" s="1156"/>
    </row>
    <row r="43" spans="2:33" ht="7.5" customHeight="1">
      <c r="B43" s="1149"/>
      <c r="C43" s="191"/>
      <c r="D43" s="305"/>
      <c r="E43" s="305"/>
      <c r="F43" s="305"/>
      <c r="G43" s="305"/>
      <c r="H43" s="305"/>
      <c r="I43" s="305"/>
      <c r="J43" s="303"/>
      <c r="K43" s="308"/>
      <c r="Q43" s="303"/>
      <c r="R43" s="303"/>
      <c r="S43" s="308"/>
      <c r="T43" s="303"/>
      <c r="U43" s="308"/>
      <c r="V43" s="308"/>
      <c r="W43" s="308"/>
      <c r="AA43" s="1156"/>
    </row>
    <row r="44" spans="2:33" ht="15.8" customHeight="1">
      <c r="B44" s="1149"/>
      <c r="C44" s="191"/>
      <c r="D44" s="305"/>
      <c r="E44" s="305"/>
      <c r="F44" s="305"/>
      <c r="G44" s="305"/>
      <c r="H44" s="305"/>
      <c r="I44" s="307" t="s">
        <v>659</v>
      </c>
      <c r="J44" s="489">
        <f>Project!AK24</f>
        <v>0</v>
      </c>
      <c r="K44" s="308"/>
      <c r="Q44" s="303"/>
      <c r="R44" s="303"/>
      <c r="S44" s="824"/>
      <c r="T44" s="303"/>
      <c r="U44" s="313" t="s">
        <v>660</v>
      </c>
      <c r="V44" s="303"/>
      <c r="W44" s="303"/>
      <c r="X44" s="318"/>
      <c r="AA44" s="1156"/>
    </row>
    <row r="45" spans="2:33" ht="7.5" customHeight="1">
      <c r="B45" s="1149"/>
      <c r="C45" s="191"/>
      <c r="D45" s="305"/>
      <c r="E45" s="305"/>
      <c r="F45" s="305"/>
      <c r="G45" s="305"/>
      <c r="H45" s="305"/>
      <c r="I45" s="305"/>
      <c r="J45" s="303"/>
      <c r="K45" s="308"/>
      <c r="L45" s="323"/>
      <c r="M45" s="323"/>
      <c r="N45" s="303"/>
      <c r="O45" s="303"/>
      <c r="P45" s="303"/>
      <c r="Q45" s="303"/>
      <c r="R45" s="308"/>
      <c r="S45" s="308"/>
      <c r="T45" s="303"/>
      <c r="U45" s="303"/>
      <c r="V45" s="303"/>
      <c r="W45" s="303"/>
      <c r="X45" s="318"/>
      <c r="AA45" s="1156"/>
    </row>
    <row r="46" spans="2:33" ht="16.3">
      <c r="C46" s="191"/>
      <c r="D46" s="305"/>
      <c r="E46" s="305"/>
      <c r="F46" s="305"/>
      <c r="G46" s="305"/>
      <c r="H46" s="305"/>
      <c r="I46" s="307" t="s">
        <v>661</v>
      </c>
      <c r="J46" s="489">
        <f>Project!AK26</f>
        <v>0</v>
      </c>
      <c r="K46" s="308"/>
      <c r="L46" s="694" t="s">
        <v>662</v>
      </c>
      <c r="M46" s="1783" t="str">
        <f>Project!U81</f>
        <v/>
      </c>
      <c r="N46" s="1783"/>
      <c r="O46" s="1783"/>
      <c r="P46" s="1784"/>
      <c r="Q46" s="303"/>
      <c r="R46" s="308"/>
      <c r="S46" s="824"/>
      <c r="T46" s="303"/>
      <c r="U46" s="321" t="s">
        <v>663</v>
      </c>
      <c r="V46" s="303"/>
      <c r="W46" s="303"/>
      <c r="X46" s="318"/>
      <c r="AA46" s="1156"/>
    </row>
    <row r="47" spans="2:33" ht="7.5" customHeight="1">
      <c r="C47" s="191"/>
      <c r="D47" s="305"/>
      <c r="E47" s="305"/>
      <c r="F47" s="305"/>
      <c r="G47" s="305"/>
      <c r="H47" s="305"/>
      <c r="I47" s="305"/>
      <c r="J47" s="305"/>
      <c r="K47" s="308"/>
      <c r="L47" s="303"/>
      <c r="M47" s="303"/>
      <c r="N47" s="303"/>
      <c r="O47" s="303"/>
      <c r="P47" s="303"/>
      <c r="Q47" s="303"/>
      <c r="R47" s="308"/>
      <c r="S47" s="308"/>
      <c r="T47" s="303"/>
      <c r="U47" s="303"/>
      <c r="V47" s="303"/>
      <c r="W47" s="303"/>
      <c r="X47" s="318"/>
      <c r="AA47" s="1156"/>
    </row>
    <row r="48" spans="2:33" ht="15.8" customHeight="1">
      <c r="C48" s="191"/>
      <c r="D48" s="305"/>
      <c r="E48" s="305"/>
      <c r="F48" s="305"/>
      <c r="G48" s="305"/>
      <c r="H48" s="305"/>
      <c r="I48" s="307" t="s">
        <v>664</v>
      </c>
      <c r="J48" s="491">
        <f>Project!AK28</f>
        <v>0</v>
      </c>
      <c r="L48" s="307" t="s">
        <v>654</v>
      </c>
      <c r="M48" s="1783" t="str">
        <f>Project!U83</f>
        <v/>
      </c>
      <c r="N48" s="1783"/>
      <c r="O48" s="1783"/>
      <c r="P48" s="1784"/>
      <c r="Q48" s="303"/>
      <c r="R48" s="308"/>
      <c r="S48" s="308" t="s">
        <v>665</v>
      </c>
      <c r="T48" s="308"/>
      <c r="U48" s="308"/>
      <c r="V48" s="308"/>
      <c r="W48" s="303"/>
      <c r="X48" s="318"/>
      <c r="AA48" s="1156"/>
    </row>
    <row r="49" spans="3:27" ht="7.5" customHeight="1">
      <c r="C49" s="191"/>
      <c r="D49" s="305"/>
      <c r="E49" s="305"/>
      <c r="F49" s="305"/>
      <c r="G49" s="305"/>
      <c r="H49" s="305"/>
      <c r="I49" s="305"/>
      <c r="J49" s="305"/>
      <c r="K49" s="308"/>
      <c r="L49" s="303"/>
      <c r="M49" s="303"/>
      <c r="N49" s="303"/>
      <c r="O49" s="303"/>
      <c r="P49" s="303"/>
      <c r="Q49" s="303"/>
      <c r="R49" s="303"/>
      <c r="S49" s="1787"/>
      <c r="T49" s="1788"/>
      <c r="U49" s="1788"/>
      <c r="V49" s="1789"/>
      <c r="W49" s="303"/>
      <c r="X49" s="318"/>
      <c r="AA49" s="1156"/>
    </row>
    <row r="50" spans="3:27" ht="15.8" customHeight="1">
      <c r="C50" s="191"/>
      <c r="K50" s="308"/>
      <c r="L50" s="307" t="s">
        <v>655</v>
      </c>
      <c r="M50" s="1783" t="str">
        <f>Project!U85</f>
        <v/>
      </c>
      <c r="N50" s="1783"/>
      <c r="O50" s="1783"/>
      <c r="P50" s="1784"/>
      <c r="Q50" s="303"/>
      <c r="R50" s="303"/>
      <c r="S50" s="1790"/>
      <c r="T50" s="1791"/>
      <c r="U50" s="1791"/>
      <c r="V50" s="1792"/>
      <c r="W50" s="303"/>
      <c r="X50" s="318"/>
      <c r="AA50" s="1156"/>
    </row>
    <row r="51" spans="3:27" ht="7.5" customHeight="1">
      <c r="C51" s="191"/>
      <c r="D51" s="305"/>
      <c r="E51" s="305"/>
      <c r="F51" s="305"/>
      <c r="G51" s="305"/>
      <c r="H51" s="305"/>
      <c r="I51" s="305"/>
      <c r="K51" s="308"/>
      <c r="Q51" s="303"/>
      <c r="R51" s="303"/>
      <c r="S51" s="1790"/>
      <c r="T51" s="1791"/>
      <c r="U51" s="1791"/>
      <c r="V51" s="1792"/>
      <c r="W51" s="303"/>
      <c r="X51" s="318"/>
      <c r="AA51" s="1156"/>
    </row>
    <row r="52" spans="3:27" ht="15.8" customHeight="1">
      <c r="C52" s="191"/>
      <c r="K52" s="308"/>
      <c r="L52" s="324" t="s">
        <v>658</v>
      </c>
      <c r="M52" s="1785" t="str">
        <f>Project!U87</f>
        <v/>
      </c>
      <c r="N52" s="1785"/>
      <c r="O52" s="1785"/>
      <c r="P52" s="1786"/>
      <c r="Q52" s="303"/>
      <c r="R52" s="303"/>
      <c r="S52" s="1790"/>
      <c r="T52" s="1791"/>
      <c r="U52" s="1791"/>
      <c r="V52" s="1792"/>
      <c r="W52" s="303"/>
      <c r="X52" s="318"/>
      <c r="AA52" s="1156"/>
    </row>
    <row r="53" spans="3:27" ht="7.5" customHeight="1">
      <c r="C53" s="191"/>
      <c r="D53" s="305"/>
      <c r="E53" s="305"/>
      <c r="F53" s="305"/>
      <c r="K53" s="308"/>
      <c r="Q53" s="303"/>
      <c r="R53" s="303"/>
      <c r="S53" s="1790"/>
      <c r="T53" s="1791"/>
      <c r="U53" s="1791"/>
      <c r="V53" s="1792"/>
      <c r="W53" s="303"/>
      <c r="AA53" s="1156"/>
    </row>
    <row r="54" spans="3:27" ht="15.8" customHeight="1">
      <c r="C54" s="191"/>
      <c r="D54" s="492" t="s">
        <v>666</v>
      </c>
      <c r="E54" s="492"/>
      <c r="F54" s="492" t="s">
        <v>667</v>
      </c>
      <c r="G54" s="492"/>
      <c r="H54" s="492" t="s">
        <v>668</v>
      </c>
      <c r="K54" s="308"/>
      <c r="Q54" s="303"/>
      <c r="R54" s="303"/>
      <c r="S54" s="1790"/>
      <c r="T54" s="1791"/>
      <c r="U54" s="1791"/>
      <c r="V54" s="1792"/>
      <c r="W54" s="303"/>
      <c r="X54" s="318"/>
      <c r="AA54" s="1156"/>
    </row>
    <row r="55" spans="3:27" ht="7.5" customHeight="1">
      <c r="C55" s="191"/>
      <c r="D55" s="305"/>
      <c r="E55" s="305"/>
      <c r="F55" s="305"/>
      <c r="G55" s="305"/>
      <c r="H55" s="305"/>
      <c r="I55" s="308"/>
      <c r="K55" s="308"/>
      <c r="L55" s="308"/>
      <c r="M55" s="308"/>
      <c r="N55" s="303"/>
      <c r="O55" s="303"/>
      <c r="P55" s="303"/>
      <c r="Q55" s="303"/>
      <c r="R55" s="303"/>
      <c r="S55" s="1790"/>
      <c r="T55" s="1791"/>
      <c r="U55" s="1791"/>
      <c r="V55" s="1792"/>
      <c r="W55" s="308"/>
      <c r="AA55" s="1156"/>
    </row>
    <row r="56" spans="3:27" ht="15.8" customHeight="1">
      <c r="C56" s="191"/>
      <c r="D56" s="826"/>
      <c r="E56" s="325"/>
      <c r="F56" s="1012"/>
      <c r="G56" s="325"/>
      <c r="H56" s="1012"/>
      <c r="I56" s="326" t="s">
        <v>669</v>
      </c>
      <c r="K56" s="308"/>
      <c r="N56" s="303"/>
      <c r="O56" s="303"/>
      <c r="P56" s="303"/>
      <c r="Q56" s="303"/>
      <c r="R56" s="303"/>
      <c r="S56" s="1790"/>
      <c r="T56" s="1791"/>
      <c r="U56" s="1791"/>
      <c r="V56" s="1792"/>
      <c r="W56" s="308"/>
      <c r="AA56" s="1156"/>
    </row>
    <row r="57" spans="3:27" ht="7.5" customHeight="1">
      <c r="C57" s="191"/>
      <c r="D57" s="305"/>
      <c r="E57" s="305"/>
      <c r="F57" s="305"/>
      <c r="K57" s="308"/>
      <c r="L57" s="308"/>
      <c r="N57" s="303"/>
      <c r="O57" s="303"/>
      <c r="P57" s="303"/>
      <c r="Q57" s="303"/>
      <c r="R57" s="303"/>
      <c r="S57" s="1790"/>
      <c r="T57" s="1791"/>
      <c r="U57" s="1791"/>
      <c r="V57" s="1792"/>
      <c r="W57" s="308"/>
      <c r="AA57" s="1156"/>
    </row>
    <row r="58" spans="3:27" ht="15.8" customHeight="1">
      <c r="C58" s="191"/>
      <c r="D58" s="826"/>
      <c r="E58" s="325"/>
      <c r="F58" s="1012"/>
      <c r="G58" s="325"/>
      <c r="H58" s="1012"/>
      <c r="I58" s="326" t="s">
        <v>670</v>
      </c>
      <c r="K58" s="308"/>
      <c r="N58" s="303"/>
      <c r="O58" s="303"/>
      <c r="P58" s="303"/>
      <c r="Q58" s="303"/>
      <c r="R58" s="303"/>
      <c r="S58" s="1790"/>
      <c r="T58" s="1791"/>
      <c r="U58" s="1791"/>
      <c r="V58" s="1792"/>
      <c r="W58" s="303"/>
      <c r="X58" s="318"/>
      <c r="AA58" s="1156"/>
    </row>
    <row r="59" spans="3:27" ht="7.5" customHeight="1">
      <c r="C59" s="191"/>
      <c r="D59" s="325"/>
      <c r="E59" s="325"/>
      <c r="F59" s="325"/>
      <c r="G59" s="325"/>
      <c r="H59" s="325"/>
      <c r="I59" s="327"/>
      <c r="K59" s="308"/>
      <c r="L59" s="303"/>
      <c r="N59" s="303"/>
      <c r="O59" s="303"/>
      <c r="P59" s="303"/>
      <c r="Q59" s="303"/>
      <c r="R59" s="303"/>
      <c r="S59" s="1790"/>
      <c r="T59" s="1791"/>
      <c r="U59" s="1791"/>
      <c r="V59" s="1792"/>
      <c r="W59" s="303"/>
      <c r="X59" s="318"/>
      <c r="AA59" s="1156"/>
    </row>
    <row r="60" spans="3:27" ht="15.8" customHeight="1">
      <c r="C60" s="191"/>
      <c r="D60" s="826"/>
      <c r="E60" s="325"/>
      <c r="F60" s="1012"/>
      <c r="G60" s="325"/>
      <c r="H60" s="1012"/>
      <c r="I60" s="326" t="s">
        <v>671</v>
      </c>
      <c r="K60" s="308"/>
      <c r="N60" s="303"/>
      <c r="O60" s="303"/>
      <c r="P60" s="303"/>
      <c r="Q60" s="303"/>
      <c r="R60" s="303"/>
      <c r="S60" s="1790"/>
      <c r="T60" s="1791"/>
      <c r="U60" s="1791"/>
      <c r="V60" s="1792"/>
      <c r="W60" s="303"/>
      <c r="X60" s="318"/>
      <c r="AA60" s="1156"/>
    </row>
    <row r="61" spans="3:27" ht="7.5" customHeight="1">
      <c r="C61" s="191"/>
      <c r="K61" s="308"/>
      <c r="N61" s="303"/>
      <c r="O61" s="303"/>
      <c r="P61" s="303"/>
      <c r="Q61" s="303"/>
      <c r="R61" s="303"/>
      <c r="S61" s="1790"/>
      <c r="T61" s="1791"/>
      <c r="U61" s="1791"/>
      <c r="V61" s="1792"/>
      <c r="W61" s="303"/>
      <c r="X61" s="318"/>
      <c r="AA61" s="1156"/>
    </row>
    <row r="62" spans="3:27" ht="15.8" customHeight="1">
      <c r="C62" s="191"/>
      <c r="D62" s="826"/>
      <c r="E62" s="325"/>
      <c r="F62" s="1012"/>
      <c r="G62" s="325"/>
      <c r="H62" s="1012"/>
      <c r="I62" s="326" t="s">
        <v>672</v>
      </c>
      <c r="K62" s="308"/>
      <c r="N62" s="303"/>
      <c r="O62" s="303"/>
      <c r="P62" s="303"/>
      <c r="Q62" s="303"/>
      <c r="R62" s="303"/>
      <c r="S62" s="1790"/>
      <c r="T62" s="1791"/>
      <c r="U62" s="1791"/>
      <c r="V62" s="1792"/>
      <c r="W62" s="303"/>
      <c r="X62" s="318"/>
      <c r="AA62" s="1156"/>
    </row>
    <row r="63" spans="3:27" ht="7.5" customHeight="1">
      <c r="C63" s="191"/>
      <c r="J63" s="308"/>
      <c r="K63" s="308"/>
      <c r="L63" s="308"/>
      <c r="M63" s="308"/>
      <c r="N63" s="303"/>
      <c r="O63" s="303"/>
      <c r="P63" s="303"/>
      <c r="Q63" s="303"/>
      <c r="R63" s="303"/>
      <c r="S63" s="1790"/>
      <c r="T63" s="1791"/>
      <c r="U63" s="1791"/>
      <c r="V63" s="1792"/>
      <c r="W63" s="303"/>
      <c r="X63" s="318"/>
      <c r="AA63" s="1156"/>
    </row>
    <row r="64" spans="3:27" ht="15.8" customHeight="1">
      <c r="C64" s="191"/>
      <c r="D64" s="826"/>
      <c r="E64" s="325"/>
      <c r="F64" s="1012"/>
      <c r="G64" s="325"/>
      <c r="H64" s="1012"/>
      <c r="I64" s="326" t="s">
        <v>673</v>
      </c>
      <c r="K64" s="308"/>
      <c r="L64" s="308"/>
      <c r="M64" s="308"/>
      <c r="N64" s="303"/>
      <c r="O64" s="303"/>
      <c r="P64" s="303"/>
      <c r="Q64" s="303"/>
      <c r="R64" s="303"/>
      <c r="S64" s="1793"/>
      <c r="T64" s="1794"/>
      <c r="U64" s="1794"/>
      <c r="V64" s="1795"/>
      <c r="W64" s="303"/>
      <c r="X64" s="318"/>
      <c r="AA64" s="1156"/>
    </row>
    <row r="65" spans="3:27" ht="7.5" customHeight="1">
      <c r="C65" s="191"/>
      <c r="D65" s="325"/>
      <c r="E65" s="325"/>
      <c r="F65" s="325"/>
      <c r="G65" s="325"/>
      <c r="H65" s="325"/>
      <c r="I65" s="327"/>
      <c r="J65" s="305"/>
      <c r="K65" s="308"/>
      <c r="L65" s="303"/>
      <c r="M65" s="303"/>
      <c r="N65" s="303"/>
      <c r="O65" s="303"/>
      <c r="P65" s="303"/>
      <c r="Q65" s="303"/>
      <c r="R65" s="303"/>
      <c r="S65" s="303"/>
      <c r="T65" s="303"/>
      <c r="U65" s="303"/>
      <c r="V65" s="303"/>
      <c r="W65" s="303"/>
      <c r="X65" s="318"/>
      <c r="AA65" s="1156"/>
    </row>
    <row r="66" spans="3:27" ht="15.8" customHeight="1">
      <c r="D66" s="826"/>
      <c r="E66" s="325"/>
      <c r="F66" s="1012"/>
      <c r="G66" s="325"/>
      <c r="H66" s="826"/>
      <c r="I66" s="326" t="s">
        <v>674</v>
      </c>
      <c r="K66" s="308"/>
      <c r="L66" s="303"/>
      <c r="M66" s="303"/>
      <c r="N66" s="303"/>
      <c r="O66" s="303"/>
      <c r="P66" s="303"/>
      <c r="Q66" s="303"/>
      <c r="R66" s="303"/>
      <c r="S66" s="308" t="s">
        <v>675</v>
      </c>
      <c r="T66" s="308"/>
      <c r="U66" s="308"/>
      <c r="V66" s="308"/>
      <c r="W66" s="303"/>
      <c r="X66" s="318"/>
      <c r="AA66" s="1156"/>
    </row>
    <row r="67" spans="3:27" ht="7.5" customHeight="1">
      <c r="J67" s="305"/>
      <c r="K67" s="308"/>
      <c r="L67" s="303"/>
      <c r="M67" s="303"/>
      <c r="N67" s="303"/>
      <c r="O67" s="303"/>
      <c r="P67" s="303"/>
      <c r="Q67" s="303"/>
      <c r="R67" s="303"/>
      <c r="S67" s="1787"/>
      <c r="T67" s="1788"/>
      <c r="U67" s="1788"/>
      <c r="V67" s="1789"/>
      <c r="W67" s="303"/>
      <c r="X67" s="318"/>
    </row>
    <row r="68" spans="3:27" ht="15.8" customHeight="1">
      <c r="D68" s="691" t="s">
        <v>676</v>
      </c>
      <c r="E68" s="692"/>
      <c r="F68" s="692"/>
      <c r="G68" s="692"/>
      <c r="H68" s="692"/>
      <c r="I68" s="692"/>
      <c r="J68" s="692"/>
      <c r="K68" s="692"/>
      <c r="L68" s="693"/>
      <c r="M68" s="693"/>
      <c r="N68" s="693"/>
      <c r="O68" s="303"/>
      <c r="P68" s="303"/>
      <c r="Q68" s="303"/>
      <c r="R68" s="303"/>
      <c r="S68" s="1790"/>
      <c r="T68" s="1791"/>
      <c r="U68" s="1791"/>
      <c r="V68" s="1792"/>
      <c r="W68" s="303"/>
      <c r="X68" s="318"/>
    </row>
    <row r="69" spans="3:27" ht="7.5" customHeight="1">
      <c r="J69" s="327"/>
      <c r="K69" s="308"/>
      <c r="L69" s="303"/>
      <c r="M69" s="303"/>
      <c r="N69" s="303"/>
      <c r="O69" s="303"/>
      <c r="P69" s="303"/>
      <c r="Q69" s="303"/>
      <c r="R69" s="303"/>
      <c r="S69" s="1790"/>
      <c r="T69" s="1791"/>
      <c r="U69" s="1791"/>
      <c r="V69" s="1792"/>
      <c r="W69" s="303"/>
      <c r="X69" s="318"/>
    </row>
    <row r="70" spans="3:27" ht="15.8" customHeight="1">
      <c r="J70" s="322" t="s">
        <v>677</v>
      </c>
      <c r="L70" s="1796">
        <f>M32</f>
        <v>0</v>
      </c>
      <c r="M70" s="1797"/>
      <c r="N70" s="303"/>
      <c r="O70" s="303"/>
      <c r="P70" s="303"/>
      <c r="Q70" s="303"/>
      <c r="R70" s="303"/>
      <c r="S70" s="1790"/>
      <c r="T70" s="1791"/>
      <c r="U70" s="1791"/>
      <c r="V70" s="1792"/>
      <c r="W70" s="303"/>
      <c r="X70" s="318"/>
    </row>
    <row r="71" spans="3:27" ht="7.5" customHeight="1">
      <c r="D71" s="325"/>
      <c r="E71" s="325"/>
      <c r="F71" s="325"/>
      <c r="G71" s="325"/>
      <c r="H71" s="325"/>
      <c r="I71" s="327"/>
      <c r="J71" s="308"/>
      <c r="K71" s="308"/>
      <c r="L71" s="375"/>
      <c r="M71" s="375"/>
      <c r="N71" s="303"/>
      <c r="O71" s="303"/>
      <c r="P71" s="303"/>
      <c r="Q71" s="303"/>
      <c r="R71" s="303"/>
      <c r="S71" s="1790"/>
      <c r="T71" s="1791"/>
      <c r="U71" s="1791"/>
      <c r="V71" s="1792"/>
      <c r="W71" s="303"/>
      <c r="X71" s="318"/>
    </row>
    <row r="72" spans="3:27" ht="15.8" customHeight="1">
      <c r="J72" s="322" t="s">
        <v>678</v>
      </c>
      <c r="K72" s="308"/>
      <c r="L72" s="1796">
        <f>Autofund!F76</f>
        <v>0</v>
      </c>
      <c r="M72" s="1797"/>
      <c r="N72" s="303"/>
      <c r="O72" s="328">
        <f>IFERROR(L72/M32,0)</f>
        <v>0</v>
      </c>
      <c r="P72" s="329" t="s">
        <v>679</v>
      </c>
      <c r="Q72" s="303"/>
      <c r="R72" s="303"/>
      <c r="S72" s="1790"/>
      <c r="T72" s="1791"/>
      <c r="U72" s="1791"/>
      <c r="V72" s="1792"/>
      <c r="W72" s="303"/>
      <c r="X72" s="318"/>
    </row>
    <row r="73" spans="3:27" ht="7.5" customHeight="1">
      <c r="J73" s="327"/>
      <c r="K73" s="308"/>
      <c r="L73" s="376"/>
      <c r="M73" s="376"/>
      <c r="N73" s="303"/>
      <c r="P73" s="303"/>
      <c r="Q73" s="303"/>
      <c r="R73" s="303"/>
      <c r="S73" s="1790"/>
      <c r="T73" s="1791"/>
      <c r="U73" s="1791"/>
      <c r="V73" s="1792"/>
      <c r="W73" s="303"/>
      <c r="X73" s="318"/>
    </row>
    <row r="74" spans="3:27" ht="15.8" customHeight="1">
      <c r="J74" s="330" t="s">
        <v>680</v>
      </c>
      <c r="K74" s="169"/>
      <c r="L74" s="1798">
        <f>Autofund!J76</f>
        <v>0</v>
      </c>
      <c r="M74" s="1799"/>
      <c r="Q74" s="303"/>
      <c r="R74" s="303"/>
      <c r="S74" s="1790"/>
      <c r="T74" s="1791"/>
      <c r="U74" s="1791"/>
      <c r="V74" s="1792"/>
      <c r="W74" s="303"/>
      <c r="X74" s="318"/>
    </row>
    <row r="75" spans="3:27" ht="7.5" customHeight="1">
      <c r="J75" s="308"/>
      <c r="K75" s="308"/>
      <c r="L75" s="385"/>
      <c r="M75" s="385"/>
      <c r="Q75" s="303"/>
      <c r="R75" s="303"/>
      <c r="S75" s="1790"/>
      <c r="T75" s="1791"/>
      <c r="U75" s="1791"/>
      <c r="V75" s="1792"/>
      <c r="W75" s="303"/>
      <c r="X75" s="318"/>
    </row>
    <row r="76" spans="3:27" ht="15.8" customHeight="1">
      <c r="J76" s="330" t="s">
        <v>681</v>
      </c>
      <c r="K76" s="169"/>
      <c r="L76" s="1798">
        <f>Autofund!G4</f>
        <v>0</v>
      </c>
      <c r="M76" s="1799"/>
      <c r="Q76" s="303"/>
      <c r="R76" s="303"/>
      <c r="S76" s="1790"/>
      <c r="T76" s="1791"/>
      <c r="U76" s="1791"/>
      <c r="V76" s="1792"/>
      <c r="W76" s="303"/>
      <c r="X76" s="318"/>
    </row>
    <row r="77" spans="3:27" ht="7.5" customHeight="1">
      <c r="L77" s="270"/>
      <c r="M77" s="270"/>
      <c r="Q77" s="303"/>
      <c r="R77" s="303"/>
      <c r="S77" s="1790"/>
      <c r="T77" s="1791"/>
      <c r="U77" s="1791"/>
      <c r="V77" s="1792"/>
      <c r="W77" s="303"/>
      <c r="X77" s="318"/>
    </row>
    <row r="78" spans="3:27" ht="15.8" customHeight="1">
      <c r="J78" s="330" t="s">
        <v>682</v>
      </c>
      <c r="K78" s="169"/>
      <c r="L78" s="1798">
        <f>Autofund!H76</f>
        <v>0</v>
      </c>
      <c r="M78" s="1799"/>
      <c r="Q78" s="303"/>
      <c r="R78" s="303"/>
      <c r="S78" s="1790"/>
      <c r="T78" s="1791"/>
      <c r="U78" s="1791"/>
      <c r="V78" s="1792"/>
      <c r="W78" s="303"/>
      <c r="X78" s="318"/>
    </row>
    <row r="79" spans="3:27" ht="7.5" customHeight="1">
      <c r="D79" s="308"/>
      <c r="E79" s="308"/>
      <c r="F79" s="308"/>
      <c r="G79" s="308"/>
      <c r="H79" s="308"/>
      <c r="I79" s="308"/>
      <c r="L79" s="270"/>
      <c r="M79" s="270"/>
      <c r="Q79" s="303"/>
      <c r="R79" s="303"/>
      <c r="S79" s="1790"/>
      <c r="T79" s="1791"/>
      <c r="U79" s="1791"/>
      <c r="V79" s="1792"/>
      <c r="W79" s="303"/>
      <c r="X79" s="318"/>
    </row>
    <row r="80" spans="3:27" ht="15.8" customHeight="1">
      <c r="D80" s="308"/>
      <c r="E80" s="308"/>
      <c r="F80" s="308"/>
      <c r="G80" s="308"/>
      <c r="H80" s="308"/>
      <c r="I80" s="308"/>
      <c r="J80" s="322" t="s">
        <v>683</v>
      </c>
      <c r="K80" s="308"/>
      <c r="L80" s="1796">
        <f>Autofund!O76</f>
        <v>0</v>
      </c>
      <c r="M80" s="1797"/>
      <c r="N80" s="331"/>
      <c r="O80" s="328">
        <f>IFERROR(L80/L72,0)</f>
        <v>0</v>
      </c>
      <c r="P80" s="329" t="s">
        <v>684</v>
      </c>
      <c r="Q80" s="308"/>
      <c r="R80" s="303"/>
      <c r="S80" s="1790"/>
      <c r="T80" s="1791"/>
      <c r="U80" s="1791"/>
      <c r="V80" s="1792"/>
      <c r="W80" s="303"/>
      <c r="X80" s="318"/>
    </row>
    <row r="81" spans="2:24" ht="7.5" customHeight="1">
      <c r="D81" s="308"/>
      <c r="E81" s="308"/>
      <c r="F81" s="308"/>
      <c r="G81" s="308"/>
      <c r="H81" s="308"/>
      <c r="I81" s="308"/>
      <c r="J81" s="308"/>
      <c r="K81" s="308"/>
      <c r="L81" s="376"/>
      <c r="M81" s="376"/>
      <c r="N81" s="303"/>
      <c r="O81" s="303"/>
      <c r="P81" s="303"/>
      <c r="Q81" s="308"/>
      <c r="R81" s="303"/>
      <c r="S81" s="1790"/>
      <c r="T81" s="1791"/>
      <c r="U81" s="1791"/>
      <c r="V81" s="1792"/>
      <c r="W81" s="303"/>
      <c r="X81" s="318"/>
    </row>
    <row r="82" spans="2:24" ht="15.8" customHeight="1">
      <c r="C82" s="191"/>
      <c r="J82" s="322" t="s">
        <v>685</v>
      </c>
      <c r="K82" s="308"/>
      <c r="L82" s="1796">
        <f>Autofund!I76</f>
        <v>0</v>
      </c>
      <c r="M82" s="1797"/>
      <c r="Q82" s="303"/>
      <c r="R82" s="303"/>
      <c r="S82" s="1793"/>
      <c r="T82" s="1794"/>
      <c r="U82" s="1794"/>
      <c r="V82" s="1795"/>
      <c r="W82" s="303"/>
      <c r="X82" s="318"/>
    </row>
    <row r="83" spans="2:24" ht="7.5" customHeight="1">
      <c r="C83" s="191"/>
      <c r="D83" s="305"/>
      <c r="E83" s="305"/>
      <c r="F83" s="305"/>
      <c r="G83" s="305"/>
      <c r="H83" s="305"/>
      <c r="I83" s="308"/>
      <c r="J83" s="332"/>
      <c r="K83" s="332"/>
      <c r="L83" s="333"/>
      <c r="M83" s="333"/>
      <c r="N83" s="303"/>
      <c r="O83" s="303"/>
      <c r="P83" s="303"/>
      <c r="Q83" s="303"/>
      <c r="R83" s="303"/>
      <c r="S83" s="303"/>
      <c r="T83" s="303"/>
      <c r="U83" s="303"/>
      <c r="V83" s="303"/>
      <c r="W83" s="303"/>
      <c r="X83" s="318"/>
    </row>
    <row r="84" spans="2:24" ht="15.8" customHeight="1">
      <c r="C84" s="191"/>
      <c r="D84" s="305"/>
      <c r="E84" s="305"/>
      <c r="F84" s="305"/>
      <c r="G84" s="305"/>
      <c r="H84" s="305"/>
      <c r="J84" s="322" t="s">
        <v>686</v>
      </c>
      <c r="K84" s="308"/>
      <c r="L84" s="1816">
        <f>Installations!K32</f>
        <v>0</v>
      </c>
      <c r="M84" s="1817"/>
      <c r="Q84" s="303"/>
      <c r="R84" s="303"/>
      <c r="S84" s="308" t="s">
        <v>687</v>
      </c>
      <c r="T84" s="308"/>
      <c r="U84" s="308"/>
      <c r="V84" s="308"/>
      <c r="W84" s="303"/>
      <c r="X84" s="318"/>
    </row>
    <row r="85" spans="2:24" ht="7.5" customHeight="1">
      <c r="C85" s="191"/>
      <c r="D85" s="305"/>
      <c r="E85" s="305"/>
      <c r="F85" s="305"/>
      <c r="G85" s="305"/>
      <c r="H85" s="305"/>
      <c r="Q85" s="303"/>
      <c r="R85" s="303"/>
      <c r="S85" s="1787"/>
      <c r="T85" s="1788"/>
      <c r="U85" s="1788"/>
      <c r="V85" s="1789"/>
      <c r="W85" s="303"/>
      <c r="X85" s="318"/>
    </row>
    <row r="86" spans="2:24" ht="15.8" customHeight="1">
      <c r="C86" s="191"/>
      <c r="D86" s="308"/>
      <c r="E86" s="308"/>
      <c r="F86" s="308"/>
      <c r="G86" s="308"/>
      <c r="H86" s="308"/>
      <c r="Q86" s="329"/>
      <c r="R86" s="303"/>
      <c r="S86" s="1790"/>
      <c r="T86" s="1791"/>
      <c r="U86" s="1791"/>
      <c r="V86" s="1792"/>
      <c r="W86" s="303"/>
      <c r="X86" s="318"/>
    </row>
    <row r="87" spans="2:24" ht="7.5" customHeight="1">
      <c r="C87" s="191"/>
      <c r="D87" s="308"/>
      <c r="E87" s="308"/>
      <c r="F87" s="308"/>
      <c r="G87" s="308"/>
      <c r="H87" s="308"/>
      <c r="Q87" s="303"/>
      <c r="R87" s="303"/>
      <c r="S87" s="1790"/>
      <c r="T87" s="1791"/>
      <c r="U87" s="1791"/>
      <c r="V87" s="1792"/>
      <c r="W87" s="303"/>
      <c r="X87" s="318"/>
    </row>
    <row r="88" spans="2:24" ht="15.8" customHeight="1">
      <c r="B88" s="1149"/>
      <c r="C88" s="191"/>
      <c r="D88" s="823" t="s">
        <v>688</v>
      </c>
      <c r="E88" s="822"/>
      <c r="F88" s="822"/>
      <c r="G88" s="822"/>
      <c r="H88" s="822"/>
      <c r="I88" s="822"/>
      <c r="J88" s="822"/>
      <c r="K88" s="822"/>
      <c r="L88" s="827" t="str">
        <f ca="1">IF(O100&gt;0,"Fixture/TLED (base) Grant","Fixture/TLED/Control Grant")</f>
        <v>Fixture/TLED/Control Grant</v>
      </c>
      <c r="M88" s="827"/>
      <c r="N88" s="827"/>
      <c r="O88" s="303" t="s">
        <v>689</v>
      </c>
      <c r="P88" s="304"/>
      <c r="Q88" s="304"/>
      <c r="R88" s="303"/>
      <c r="S88" s="1790"/>
      <c r="T88" s="1791"/>
      <c r="U88" s="1791"/>
      <c r="V88" s="1792"/>
      <c r="W88" s="303"/>
      <c r="X88" s="318"/>
    </row>
    <row r="89" spans="2:24" ht="7.5" customHeight="1">
      <c r="B89" s="1149"/>
      <c r="C89" s="191"/>
      <c r="Q89" s="303"/>
      <c r="R89" s="303"/>
      <c r="S89" s="1790"/>
      <c r="T89" s="1791"/>
      <c r="U89" s="1791"/>
      <c r="V89" s="1792"/>
      <c r="W89" s="303"/>
      <c r="X89" s="318"/>
    </row>
    <row r="90" spans="2:24" ht="15.8" customHeight="1">
      <c r="B90" s="1149"/>
      <c r="C90" s="191"/>
      <c r="J90" s="1019" t="s">
        <v>690</v>
      </c>
      <c r="K90" s="308"/>
      <c r="L90" s="334">
        <f>M22</f>
        <v>0</v>
      </c>
      <c r="M90" s="322" t="s">
        <v>691</v>
      </c>
      <c r="N90" s="308"/>
      <c r="O90" s="1818"/>
      <c r="P90" s="1819"/>
      <c r="R90" s="303"/>
      <c r="S90" s="1790"/>
      <c r="T90" s="1791"/>
      <c r="U90" s="1791"/>
      <c r="V90" s="1792"/>
      <c r="W90" s="303"/>
      <c r="X90" s="318"/>
    </row>
    <row r="91" spans="2:24" ht="7.5" customHeight="1">
      <c r="B91" s="1149"/>
      <c r="C91" s="191"/>
      <c r="D91" s="305"/>
      <c r="E91" s="305"/>
      <c r="F91" s="305"/>
      <c r="G91" s="305"/>
      <c r="H91" s="305"/>
      <c r="J91" s="2"/>
      <c r="M91" s="308"/>
      <c r="P91" s="303"/>
      <c r="Q91" s="303"/>
      <c r="R91" s="303"/>
      <c r="S91" s="1790"/>
      <c r="T91" s="1791"/>
      <c r="U91" s="1791"/>
      <c r="V91" s="1792"/>
      <c r="W91" s="303"/>
      <c r="X91" s="318"/>
    </row>
    <row r="92" spans="2:24" ht="15.8" customHeight="1">
      <c r="B92" s="1149"/>
      <c r="C92" s="191"/>
      <c r="D92" s="305"/>
      <c r="E92" s="305"/>
      <c r="F92" s="305"/>
      <c r="G92" s="305"/>
      <c r="H92" s="305"/>
      <c r="J92" s="1019" t="s">
        <v>692</v>
      </c>
      <c r="K92" s="308"/>
      <c r="L92" s="493">
        <f ca="1">J581</f>
        <v>0</v>
      </c>
      <c r="M92" s="322" t="s">
        <v>693</v>
      </c>
      <c r="N92" s="476"/>
      <c r="O92" s="1826">
        <f ca="1">DATA!R15</f>
        <v>0</v>
      </c>
      <c r="P92" s="1827"/>
      <c r="R92" s="303"/>
      <c r="S92" s="1790"/>
      <c r="T92" s="1791"/>
      <c r="U92" s="1791"/>
      <c r="V92" s="1792"/>
      <c r="W92" s="303"/>
      <c r="X92" s="318"/>
    </row>
    <row r="93" spans="2:24" ht="7.5" customHeight="1">
      <c r="B93" s="1149"/>
      <c r="C93" s="191"/>
      <c r="D93" s="305"/>
      <c r="E93" s="305"/>
      <c r="F93" s="305"/>
      <c r="G93" s="305"/>
      <c r="H93" s="305"/>
      <c r="J93" s="2"/>
      <c r="M93" s="303"/>
      <c r="Q93" s="303"/>
      <c r="R93" s="303"/>
      <c r="S93" s="1790"/>
      <c r="T93" s="1791"/>
      <c r="U93" s="1791"/>
      <c r="V93" s="1792"/>
      <c r="W93" s="303"/>
      <c r="X93" s="318"/>
    </row>
    <row r="94" spans="2:24" ht="15.8" customHeight="1">
      <c r="B94" s="1149"/>
      <c r="C94" s="191"/>
      <c r="D94" s="308"/>
      <c r="E94" s="308"/>
      <c r="F94" s="308"/>
      <c r="G94" s="308"/>
      <c r="H94" s="308"/>
      <c r="J94" s="1019" t="s">
        <v>694</v>
      </c>
      <c r="K94" s="308"/>
      <c r="L94" s="493">
        <f ca="1">U585</f>
        <v>0</v>
      </c>
      <c r="M94" s="335" t="s">
        <v>695</v>
      </c>
      <c r="N94" s="303"/>
      <c r="O94" s="1826">
        <f ca="1">DATA!R15</f>
        <v>0</v>
      </c>
      <c r="P94" s="1827"/>
      <c r="Q94" s="190"/>
      <c r="R94" s="303"/>
      <c r="S94" s="1790"/>
      <c r="T94" s="1791"/>
      <c r="U94" s="1791"/>
      <c r="V94" s="1792"/>
      <c r="W94" s="303"/>
      <c r="X94" s="318"/>
    </row>
    <row r="95" spans="2:24" ht="7.5" customHeight="1">
      <c r="B95" s="1149"/>
      <c r="C95" s="191"/>
      <c r="D95" s="308"/>
      <c r="E95" s="308"/>
      <c r="F95" s="308"/>
      <c r="G95" s="308"/>
      <c r="H95" s="308"/>
      <c r="J95" s="2"/>
      <c r="M95" s="303"/>
      <c r="N95" s="303"/>
      <c r="O95" s="303"/>
      <c r="P95" s="476"/>
      <c r="Q95" s="190"/>
      <c r="R95" s="303"/>
      <c r="S95" s="1790"/>
      <c r="T95" s="1791"/>
      <c r="U95" s="1791"/>
      <c r="V95" s="1792"/>
      <c r="W95" s="303"/>
      <c r="X95" s="318"/>
    </row>
    <row r="96" spans="2:24" ht="15.8" customHeight="1">
      <c r="B96" s="1149"/>
      <c r="C96" s="191"/>
      <c r="D96" s="308"/>
      <c r="E96" s="308"/>
      <c r="F96" s="308"/>
      <c r="G96" s="308"/>
      <c r="H96" s="308"/>
      <c r="J96" s="1022" t="s">
        <v>696</v>
      </c>
      <c r="K96" s="169"/>
      <c r="L96" s="1018">
        <f ca="1">DATA!S15</f>
        <v>0</v>
      </c>
      <c r="M96" s="303"/>
      <c r="O96" s="270"/>
      <c r="P96" s="476"/>
      <c r="Q96" s="190"/>
      <c r="R96" s="303"/>
      <c r="S96" s="1790"/>
      <c r="T96" s="1791"/>
      <c r="U96" s="1791"/>
      <c r="V96" s="1792"/>
      <c r="W96" s="303"/>
      <c r="X96" s="318"/>
    </row>
    <row r="97" spans="2:24" ht="7.5" customHeight="1">
      <c r="B97" s="1149"/>
      <c r="C97" s="191"/>
      <c r="D97" s="308"/>
      <c r="E97" s="308"/>
      <c r="F97" s="308"/>
      <c r="G97" s="308"/>
      <c r="H97" s="308"/>
      <c r="I97" s="308"/>
      <c r="J97" s="1021"/>
      <c r="K97" s="308"/>
      <c r="L97" s="303"/>
      <c r="M97" s="303"/>
      <c r="O97" s="303"/>
      <c r="R97" s="303"/>
      <c r="S97" s="1790"/>
      <c r="T97" s="1791"/>
      <c r="U97" s="1791"/>
      <c r="V97" s="1792"/>
      <c r="W97" s="303"/>
      <c r="X97" s="318"/>
    </row>
    <row r="98" spans="2:24" ht="15.8" customHeight="1">
      <c r="B98" s="1149"/>
      <c r="C98" s="191"/>
      <c r="J98" s="1022" t="s">
        <v>697</v>
      </c>
      <c r="K98" s="169"/>
      <c r="L98" s="1018">
        <f ca="1">DATA!P15</f>
        <v>0</v>
      </c>
      <c r="M98" s="303"/>
      <c r="O98" s="376"/>
      <c r="P98" s="303"/>
      <c r="Q98" s="303"/>
      <c r="R98" s="303"/>
      <c r="S98" s="1793"/>
      <c r="T98" s="1794"/>
      <c r="U98" s="1794"/>
      <c r="V98" s="1795"/>
      <c r="W98" s="303"/>
      <c r="X98" s="318"/>
    </row>
    <row r="99" spans="2:24" ht="7.5" customHeight="1">
      <c r="B99" s="1149"/>
      <c r="C99" s="191"/>
      <c r="J99" s="1023"/>
      <c r="K99" s="169"/>
      <c r="L99" s="169"/>
      <c r="M99" s="303"/>
      <c r="O99" s="303"/>
      <c r="P99" s="303"/>
      <c r="Q99" s="303"/>
      <c r="R99" s="318"/>
      <c r="W99" s="318"/>
      <c r="X99" s="318"/>
    </row>
    <row r="100" spans="2:24" ht="16.3">
      <c r="B100" s="1149"/>
      <c r="C100" s="191"/>
      <c r="J100" s="1019" t="s">
        <v>698</v>
      </c>
      <c r="L100" s="494">
        <f ca="1">L80-O100</f>
        <v>0</v>
      </c>
      <c r="M100" s="322" t="s">
        <v>698</v>
      </c>
      <c r="O100" s="1828">
        <f ca="1">DATA!U15</f>
        <v>0</v>
      </c>
      <c r="P100" s="1829"/>
      <c r="Q100" s="303"/>
      <c r="R100" s="318"/>
      <c r="W100" s="318"/>
      <c r="X100" s="318"/>
    </row>
    <row r="101" spans="2:24" ht="7.5" customHeight="1">
      <c r="B101" s="1149"/>
      <c r="C101" s="191"/>
      <c r="J101" s="2"/>
      <c r="M101" s="308"/>
      <c r="N101" s="303"/>
      <c r="O101" s="303"/>
      <c r="R101" s="318"/>
      <c r="X101" s="318"/>
    </row>
    <row r="102" spans="2:24" ht="15.8" customHeight="1">
      <c r="B102" s="1149"/>
      <c r="C102" s="191"/>
      <c r="D102" s="305"/>
      <c r="E102" s="305"/>
      <c r="F102" s="305"/>
      <c r="G102" s="305"/>
      <c r="H102" s="305"/>
      <c r="J102" s="1019" t="s">
        <v>699</v>
      </c>
      <c r="L102" s="494">
        <f>L72</f>
        <v>0</v>
      </c>
      <c r="M102" s="322" t="s">
        <v>699</v>
      </c>
      <c r="N102" s="303"/>
      <c r="O102" s="1828">
        <f>Autofund!T79</f>
        <v>0</v>
      </c>
      <c r="P102" s="1829"/>
      <c r="R102" s="318"/>
      <c r="X102" s="318"/>
    </row>
    <row r="103" spans="2:24" ht="7.5" customHeight="1">
      <c r="B103" s="1149"/>
      <c r="C103" s="191"/>
      <c r="N103" s="303"/>
      <c r="O103" s="303"/>
      <c r="P103" s="303"/>
      <c r="Q103" s="303"/>
      <c r="R103" s="318"/>
      <c r="W103" s="318"/>
      <c r="X103" s="318"/>
    </row>
    <row r="104" spans="2:24" ht="15.8" customHeight="1">
      <c r="B104" s="1149"/>
      <c r="C104" s="191"/>
      <c r="D104" s="492" t="s">
        <v>666</v>
      </c>
      <c r="E104" s="492"/>
      <c r="F104" s="492" t="s">
        <v>667</v>
      </c>
      <c r="G104" s="492"/>
      <c r="H104" s="492" t="s">
        <v>668</v>
      </c>
      <c r="P104" s="303"/>
      <c r="Q104" s="303"/>
      <c r="R104" s="318"/>
      <c r="W104" s="318"/>
      <c r="X104" s="318"/>
    </row>
    <row r="105" spans="2:24" ht="7.5" customHeight="1">
      <c r="B105" s="1149"/>
      <c r="C105" s="191"/>
      <c r="P105" s="303"/>
      <c r="Q105" s="303"/>
      <c r="R105" s="318"/>
      <c r="W105" s="318"/>
      <c r="X105" s="318"/>
    </row>
    <row r="106" spans="2:24" ht="15.8" customHeight="1">
      <c r="B106" s="1149"/>
      <c r="C106" s="191"/>
      <c r="D106" s="826"/>
      <c r="E106" s="325"/>
      <c r="F106" s="1013"/>
      <c r="G106" s="325"/>
      <c r="H106" s="1013"/>
      <c r="I106" s="326" t="s">
        <v>700</v>
      </c>
      <c r="P106" s="303"/>
      <c r="Q106" s="303"/>
      <c r="R106" s="318"/>
      <c r="U106" s="322" t="s">
        <v>701</v>
      </c>
      <c r="V106" s="1087">
        <f>Autofund!L3*100</f>
        <v>0</v>
      </c>
      <c r="W106" s="318"/>
      <c r="X106" s="318"/>
    </row>
    <row r="107" spans="2:24" ht="7.5" customHeight="1">
      <c r="B107" s="1149"/>
      <c r="C107" s="191"/>
      <c r="P107" s="303"/>
      <c r="Q107" s="303"/>
      <c r="R107" s="318"/>
      <c r="X107" s="318"/>
    </row>
    <row r="108" spans="2:24" ht="15.8" customHeight="1">
      <c r="B108" s="1149"/>
      <c r="C108" s="191"/>
      <c r="D108" s="826"/>
      <c r="E108" s="325"/>
      <c r="F108" s="1013"/>
      <c r="G108" s="325"/>
      <c r="H108" s="1013"/>
      <c r="I108" s="326" t="s">
        <v>702</v>
      </c>
      <c r="P108" s="303"/>
      <c r="Q108" s="303"/>
      <c r="R108" s="318"/>
      <c r="U108" s="322" t="s">
        <v>703</v>
      </c>
      <c r="V108" s="336">
        <f>Autofund!O3</f>
        <v>0</v>
      </c>
      <c r="X108" s="318"/>
    </row>
    <row r="109" spans="2:24" ht="7.5" customHeight="1">
      <c r="B109" s="1149"/>
      <c r="C109" s="191"/>
      <c r="N109" s="303"/>
      <c r="O109" s="303"/>
      <c r="P109" s="303"/>
      <c r="Q109" s="303"/>
      <c r="R109" s="318"/>
      <c r="X109" s="318"/>
    </row>
    <row r="110" spans="2:24" ht="15.8" customHeight="1">
      <c r="B110" s="1149"/>
      <c r="C110" s="191"/>
      <c r="D110" s="826"/>
      <c r="E110" s="325"/>
      <c r="F110" s="1013"/>
      <c r="G110" s="325"/>
      <c r="H110" s="1013"/>
      <c r="I110" s="326" t="s">
        <v>704</v>
      </c>
      <c r="K110" s="308"/>
      <c r="N110" s="303"/>
      <c r="O110" s="303"/>
      <c r="P110" s="303"/>
      <c r="Q110" s="303"/>
      <c r="R110" s="318"/>
      <c r="U110" s="322" t="s">
        <v>705</v>
      </c>
      <c r="V110" s="337">
        <f ca="1">DATA!N15</f>
        <v>0</v>
      </c>
      <c r="W110" s="318"/>
      <c r="X110" s="318"/>
    </row>
    <row r="111" spans="2:24" ht="7.5" customHeight="1">
      <c r="C111" s="191"/>
      <c r="N111" s="308"/>
      <c r="O111" s="308"/>
      <c r="P111" s="308"/>
      <c r="Q111" s="308"/>
      <c r="R111" s="318"/>
      <c r="W111" s="318"/>
      <c r="X111" s="318"/>
    </row>
    <row r="112" spans="2:24" ht="15.8" customHeight="1">
      <c r="C112" s="191"/>
      <c r="D112" s="826"/>
      <c r="E112" s="325"/>
      <c r="F112" s="1013"/>
      <c r="G112" s="325"/>
      <c r="H112" s="1013"/>
      <c r="I112" s="326" t="s">
        <v>706</v>
      </c>
      <c r="J112" s="326"/>
      <c r="N112" s="308"/>
      <c r="O112" s="308"/>
      <c r="P112" s="308"/>
      <c r="Q112" s="308"/>
      <c r="U112" s="322" t="s">
        <v>707</v>
      </c>
      <c r="V112" s="338">
        <f ca="1">IFERROR(L94/L92,0)</f>
        <v>0</v>
      </c>
    </row>
    <row r="113" spans="2:24" ht="7.5" customHeight="1">
      <c r="C113" s="191"/>
      <c r="N113" s="308"/>
      <c r="O113" s="308"/>
      <c r="P113" s="308"/>
      <c r="Q113" s="308"/>
    </row>
    <row r="114" spans="2:24" ht="15.8" customHeight="1">
      <c r="C114" s="191"/>
      <c r="J114" s="326"/>
      <c r="K114" s="492"/>
      <c r="L114" s="492"/>
      <c r="M114" s="492"/>
      <c r="N114" s="308"/>
      <c r="O114" s="308"/>
      <c r="P114" s="308"/>
      <c r="Q114" s="308"/>
    </row>
    <row r="115" spans="2:24" ht="7.5" customHeight="1">
      <c r="C115" s="191"/>
      <c r="N115" s="308"/>
      <c r="O115" s="308"/>
      <c r="P115" s="308"/>
      <c r="Q115" s="308"/>
    </row>
    <row r="116" spans="2:24" ht="16.3">
      <c r="C116" s="191"/>
      <c r="D116" s="305"/>
      <c r="E116" s="305"/>
      <c r="F116" s="305"/>
      <c r="G116" s="305"/>
      <c r="H116" s="305"/>
      <c r="I116" s="1800"/>
      <c r="J116" s="1800"/>
      <c r="K116" s="1800"/>
      <c r="L116" s="1800"/>
      <c r="M116" s="1801"/>
      <c r="N116" s="308"/>
      <c r="O116" s="308"/>
      <c r="P116" s="308"/>
      <c r="Q116" s="308"/>
      <c r="S116" s="1800"/>
      <c r="T116" s="1800"/>
      <c r="U116" s="1800"/>
      <c r="V116" s="1801"/>
    </row>
    <row r="117" spans="2:24" ht="14.95" customHeight="1">
      <c r="C117" s="191"/>
      <c r="D117" s="191"/>
      <c r="E117" s="191"/>
      <c r="F117" s="191"/>
      <c r="G117" s="191"/>
      <c r="H117" s="191"/>
      <c r="I117" s="1800"/>
      <c r="J117" s="1800"/>
      <c r="K117" s="1800"/>
      <c r="L117" s="1800"/>
      <c r="M117" s="1801"/>
      <c r="S117" s="1800"/>
      <c r="T117" s="1800"/>
      <c r="U117" s="1800"/>
      <c r="V117" s="1801"/>
    </row>
    <row r="118" spans="2:24" ht="14.95" customHeight="1">
      <c r="C118" s="191"/>
      <c r="D118" s="191"/>
      <c r="E118" s="191"/>
      <c r="F118" s="191"/>
      <c r="G118" s="191"/>
      <c r="H118" s="191"/>
      <c r="I118" s="1802"/>
      <c r="J118" s="1802"/>
      <c r="K118" s="1802"/>
      <c r="L118" s="1802"/>
      <c r="M118" s="1803"/>
      <c r="S118" s="1802"/>
      <c r="T118" s="1802"/>
      <c r="U118" s="1802"/>
      <c r="V118" s="1803"/>
    </row>
    <row r="119" spans="2:24" ht="14.95" customHeight="1">
      <c r="C119" s="191"/>
      <c r="D119" s="191"/>
      <c r="E119" s="191"/>
      <c r="F119" s="191"/>
      <c r="G119" s="191"/>
      <c r="H119" s="191"/>
      <c r="I119" s="1804" t="str">
        <f>CONCATENATE("EME   (",M24,")   Signature/Date")</f>
        <v>EME   ()   Signature/Date</v>
      </c>
      <c r="J119" s="1804"/>
      <c r="K119" s="1804"/>
      <c r="L119" s="1804"/>
      <c r="M119" s="492"/>
      <c r="S119" s="1805" t="str">
        <f>CONCATENATE("QC Reviewer  (",M26,")   Signature/Date")</f>
        <v>QC Reviewer  ()   Signature/Date</v>
      </c>
      <c r="T119" s="1805"/>
      <c r="U119" s="1805"/>
      <c r="V119" s="1805"/>
    </row>
    <row r="120" spans="2:24" ht="7.5" customHeight="1" thickBot="1"/>
    <row r="121" spans="2:24" ht="43.5" customHeight="1" thickTop="1" thickBot="1">
      <c r="B121" s="1149"/>
      <c r="C121" s="339"/>
      <c r="D121" s="339"/>
      <c r="E121" s="339"/>
      <c r="F121" s="339"/>
      <c r="G121" s="339"/>
      <c r="H121" s="339"/>
      <c r="I121" s="339"/>
      <c r="J121" s="340">
        <f>M22</f>
        <v>0</v>
      </c>
      <c r="K121" s="1806" t="str">
        <f>CONCATENATE(J22," (BASE)")</f>
        <v>0 (BASE)</v>
      </c>
      <c r="L121" s="1806"/>
      <c r="M121" s="1806"/>
      <c r="N121" s="1806"/>
      <c r="O121" s="1806"/>
      <c r="P121" s="1806"/>
      <c r="Q121" s="1806"/>
      <c r="R121" s="1806"/>
      <c r="S121" s="1806"/>
      <c r="T121" s="1806"/>
      <c r="U121" s="341" t="s">
        <v>708</v>
      </c>
      <c r="V121" s="341"/>
      <c r="W121" s="341"/>
      <c r="X121" s="339"/>
    </row>
    <row r="122" spans="2:24" ht="14.95" customHeight="1">
      <c r="B122" s="1149"/>
      <c r="H122" s="1807" t="s">
        <v>709</v>
      </c>
      <c r="I122" s="1808"/>
      <c r="J122" s="1808"/>
      <c r="K122" s="1808"/>
      <c r="L122" s="1808"/>
      <c r="M122" s="1808"/>
      <c r="N122" s="1808"/>
      <c r="O122" s="1808"/>
      <c r="P122" s="1808"/>
      <c r="Q122" s="1808"/>
      <c r="R122" s="1808"/>
      <c r="S122" s="1808"/>
      <c r="T122" s="1808"/>
      <c r="U122" s="1808"/>
      <c r="V122" s="1808"/>
      <c r="W122" s="1808"/>
      <c r="X122" s="1809"/>
    </row>
    <row r="123" spans="2:24" ht="14.95" customHeight="1">
      <c r="B123" s="1149"/>
      <c r="H123" s="1810"/>
      <c r="I123" s="1811"/>
      <c r="J123" s="1811"/>
      <c r="K123" s="1811"/>
      <c r="L123" s="1811"/>
      <c r="M123" s="1811"/>
      <c r="N123" s="1811"/>
      <c r="O123" s="1811"/>
      <c r="P123" s="1811"/>
      <c r="Q123" s="1811"/>
      <c r="R123" s="1811"/>
      <c r="S123" s="1811"/>
      <c r="T123" s="1811"/>
      <c r="U123" s="1811"/>
      <c r="V123" s="1811"/>
      <c r="W123" s="1811"/>
      <c r="X123" s="1812"/>
    </row>
    <row r="124" spans="2:24">
      <c r="B124" s="1149"/>
      <c r="H124" s="1810"/>
      <c r="I124" s="1811"/>
      <c r="J124" s="1811"/>
      <c r="K124" s="1811"/>
      <c r="L124" s="1811"/>
      <c r="M124" s="1811"/>
      <c r="N124" s="1811"/>
      <c r="O124" s="1811"/>
      <c r="P124" s="1811"/>
      <c r="Q124" s="1811"/>
      <c r="R124" s="1811"/>
      <c r="S124" s="1811"/>
      <c r="T124" s="1811"/>
      <c r="U124" s="1811"/>
      <c r="V124" s="1811"/>
      <c r="W124" s="1811"/>
      <c r="X124" s="1812"/>
    </row>
    <row r="125" spans="2:24">
      <c r="B125" s="1149"/>
      <c r="H125" s="1810"/>
      <c r="I125" s="1811"/>
      <c r="J125" s="1811"/>
      <c r="K125" s="1811"/>
      <c r="L125" s="1811"/>
      <c r="M125" s="1811"/>
      <c r="N125" s="1811"/>
      <c r="O125" s="1811"/>
      <c r="P125" s="1811"/>
      <c r="Q125" s="1811"/>
      <c r="R125" s="1811"/>
      <c r="S125" s="1811"/>
      <c r="T125" s="1811"/>
      <c r="U125" s="1811"/>
      <c r="V125" s="1811"/>
      <c r="W125" s="1811"/>
      <c r="X125" s="1812"/>
    </row>
    <row r="126" spans="2:24" ht="14.95" customHeight="1">
      <c r="B126" s="1149"/>
      <c r="H126" s="1810"/>
      <c r="I126" s="1811"/>
      <c r="J126" s="1811"/>
      <c r="K126" s="1811"/>
      <c r="L126" s="1811"/>
      <c r="M126" s="1811"/>
      <c r="N126" s="1811"/>
      <c r="O126" s="1811"/>
      <c r="P126" s="1811"/>
      <c r="Q126" s="1811"/>
      <c r="R126" s="1811"/>
      <c r="S126" s="1811"/>
      <c r="T126" s="1811"/>
      <c r="U126" s="1811"/>
      <c r="V126" s="1811"/>
      <c r="W126" s="1811"/>
      <c r="X126" s="1812"/>
    </row>
    <row r="127" spans="2:24" ht="14.95" thickBot="1">
      <c r="B127" s="1149"/>
      <c r="H127" s="1813"/>
      <c r="I127" s="1814"/>
      <c r="J127" s="1814"/>
      <c r="K127" s="1814"/>
      <c r="L127" s="1814"/>
      <c r="M127" s="1814"/>
      <c r="N127" s="1814"/>
      <c r="O127" s="1814"/>
      <c r="P127" s="1814"/>
      <c r="Q127" s="1814"/>
      <c r="R127" s="1814"/>
      <c r="S127" s="1814"/>
      <c r="T127" s="1814"/>
      <c r="U127" s="1814"/>
      <c r="V127" s="1814"/>
      <c r="W127" s="1814"/>
      <c r="X127" s="1815"/>
    </row>
    <row r="128" spans="2:24">
      <c r="B128" s="1149"/>
    </row>
    <row r="129" spans="2:24" ht="7.5" customHeight="1">
      <c r="B129" s="1149"/>
      <c r="C129" s="701"/>
      <c r="D129" s="690"/>
      <c r="E129" s="690"/>
      <c r="F129" s="690"/>
      <c r="G129" s="690"/>
      <c r="H129" s="690"/>
      <c r="I129" s="690"/>
      <c r="J129" s="690"/>
      <c r="K129" s="690"/>
      <c r="L129" s="690"/>
      <c r="M129" s="690"/>
      <c r="N129" s="690"/>
      <c r="O129" s="690"/>
      <c r="P129" s="690"/>
      <c r="Q129" s="690"/>
      <c r="R129" s="690"/>
      <c r="S129" s="690"/>
      <c r="T129" s="690"/>
      <c r="U129" s="690"/>
      <c r="V129" s="690"/>
      <c r="W129" s="690"/>
      <c r="X129" s="702"/>
    </row>
    <row r="130" spans="2:24">
      <c r="B130" s="1149"/>
      <c r="C130" s="296"/>
      <c r="D130" s="1767" t="s">
        <v>710</v>
      </c>
      <c r="E130" s="1767"/>
      <c r="F130" s="1767"/>
      <c r="G130" s="1767"/>
      <c r="H130" s="1767"/>
      <c r="I130" s="1767"/>
      <c r="J130" s="1767"/>
      <c r="K130" s="1767"/>
      <c r="L130" s="1767"/>
      <c r="M130" s="1767"/>
      <c r="N130" s="1767"/>
      <c r="O130" s="1767"/>
      <c r="P130" s="1767"/>
      <c r="Q130" s="1767"/>
      <c r="R130" s="1767"/>
      <c r="S130" s="1767"/>
      <c r="T130" s="1767"/>
      <c r="U130" s="1767"/>
      <c r="V130" s="1767"/>
      <c r="W130" s="1767"/>
      <c r="X130" s="298"/>
    </row>
    <row r="131" spans="2:24" ht="5.0999999999999996" customHeight="1">
      <c r="B131" s="1149"/>
      <c r="C131" s="296"/>
      <c r="X131" s="298"/>
    </row>
    <row r="132" spans="2:24">
      <c r="B132" s="1149"/>
      <c r="C132" s="296"/>
      <c r="D132" s="1704" t="s">
        <v>711</v>
      </c>
      <c r="E132" s="1704"/>
      <c r="F132" s="1704"/>
      <c r="G132" s="1704"/>
      <c r="H132" s="1704"/>
      <c r="I132" s="1706"/>
      <c r="J132" s="1710">
        <f>M24</f>
        <v>0</v>
      </c>
      <c r="K132" s="1711"/>
      <c r="L132" s="1712"/>
      <c r="N132" s="10"/>
      <c r="O132" s="1704" t="s">
        <v>637</v>
      </c>
      <c r="P132" s="1704"/>
      <c r="Q132" s="1704"/>
      <c r="R132" s="1704"/>
      <c r="S132" s="1704"/>
      <c r="T132" s="1706"/>
      <c r="U132" s="1710">
        <f>M26</f>
        <v>0</v>
      </c>
      <c r="V132" s="1712"/>
      <c r="X132" s="298"/>
    </row>
    <row r="133" spans="2:24" ht="5.0999999999999996" customHeight="1">
      <c r="B133" s="1149"/>
      <c r="C133" s="296"/>
      <c r="I133" s="1065"/>
      <c r="J133" s="10"/>
      <c r="K133" s="10"/>
      <c r="N133" s="10"/>
      <c r="O133" s="10"/>
      <c r="P133" s="10"/>
      <c r="Q133" s="10"/>
      <c r="R133" s="10"/>
      <c r="T133" s="343"/>
      <c r="U133" s="343"/>
      <c r="V133" s="344"/>
      <c r="X133" s="298"/>
    </row>
    <row r="134" spans="2:24">
      <c r="B134" s="1149"/>
      <c r="C134" s="296"/>
      <c r="D134" s="1704" t="s">
        <v>712</v>
      </c>
      <c r="E134" s="1704"/>
      <c r="F134" s="1704"/>
      <c r="G134" s="1704"/>
      <c r="H134" s="1704"/>
      <c r="I134" s="1705"/>
      <c r="J134" s="1707"/>
      <c r="K134" s="1708"/>
      <c r="L134" s="1709"/>
      <c r="N134" s="10"/>
      <c r="O134" s="10"/>
      <c r="P134" s="10"/>
      <c r="Q134" s="10"/>
      <c r="R134" s="10"/>
      <c r="T134" s="343"/>
      <c r="U134" s="345"/>
      <c r="X134" s="298"/>
    </row>
    <row r="135" spans="2:24" ht="7.5" customHeight="1">
      <c r="B135" s="1149"/>
      <c r="C135" s="297"/>
      <c r="D135" s="214"/>
      <c r="E135" s="214"/>
      <c r="F135" s="214"/>
      <c r="G135" s="214"/>
      <c r="H135" s="214"/>
      <c r="I135" s="214"/>
      <c r="J135" s="214"/>
      <c r="K135" s="214"/>
      <c r="L135" s="214"/>
      <c r="M135" s="214"/>
      <c r="N135" s="214"/>
      <c r="O135" s="214"/>
      <c r="P135" s="214"/>
      <c r="Q135" s="214"/>
      <c r="R135" s="214"/>
      <c r="S135" s="214"/>
      <c r="T135" s="214"/>
      <c r="U135" s="214"/>
      <c r="V135" s="214"/>
      <c r="W135" s="214"/>
      <c r="X135" s="299"/>
    </row>
    <row r="136" spans="2:24" ht="5.0999999999999996" customHeight="1">
      <c r="B136" s="1149"/>
    </row>
    <row r="137" spans="2:24" ht="7.5" customHeight="1">
      <c r="B137" s="1149"/>
      <c r="C137" s="701"/>
      <c r="D137" s="690"/>
      <c r="E137" s="690"/>
      <c r="F137" s="690"/>
      <c r="G137" s="690"/>
      <c r="H137" s="690"/>
      <c r="I137" s="690"/>
      <c r="J137" s="690"/>
      <c r="K137" s="690"/>
      <c r="L137" s="690"/>
      <c r="M137" s="690"/>
      <c r="N137" s="690"/>
      <c r="O137" s="690"/>
      <c r="P137" s="690"/>
      <c r="Q137" s="690"/>
      <c r="R137" s="690"/>
      <c r="S137" s="690"/>
      <c r="T137" s="690"/>
      <c r="U137" s="690"/>
      <c r="V137" s="690"/>
      <c r="W137" s="690"/>
      <c r="X137" s="702"/>
    </row>
    <row r="138" spans="2:24">
      <c r="B138" s="1149"/>
      <c r="C138" s="296"/>
      <c r="D138" s="1767" t="s">
        <v>713</v>
      </c>
      <c r="E138" s="1767"/>
      <c r="F138" s="1767"/>
      <c r="G138" s="1767"/>
      <c r="H138" s="1767"/>
      <c r="I138" s="1767"/>
      <c r="J138" s="1767"/>
      <c r="K138" s="1767"/>
      <c r="L138" s="1767"/>
      <c r="M138" s="1767"/>
      <c r="N138" s="1767"/>
      <c r="O138" s="1767"/>
      <c r="P138" s="1767"/>
      <c r="Q138" s="1767"/>
      <c r="R138" s="1767"/>
      <c r="S138" s="1767"/>
      <c r="T138" s="1767"/>
      <c r="U138" s="1767"/>
      <c r="V138" s="1767"/>
      <c r="W138" s="1767"/>
      <c r="X138" s="298"/>
    </row>
    <row r="139" spans="2:24" ht="5.0999999999999996" customHeight="1">
      <c r="B139" s="1149"/>
      <c r="C139" s="296"/>
      <c r="X139" s="298"/>
    </row>
    <row r="140" spans="2:24">
      <c r="B140" s="1149"/>
      <c r="C140" s="296"/>
      <c r="O140" s="1704" t="s">
        <v>714</v>
      </c>
      <c r="P140" s="1704"/>
      <c r="Q140" s="1704"/>
      <c r="R140" s="1704"/>
      <c r="S140" s="1704"/>
      <c r="T140" s="1705"/>
      <c r="U140" s="1707"/>
      <c r="V140" s="1709"/>
      <c r="X140" s="298"/>
    </row>
    <row r="141" spans="2:24" ht="5.0999999999999996" customHeight="1">
      <c r="B141" s="1149"/>
      <c r="C141" s="296"/>
      <c r="S141" s="1065"/>
      <c r="T141" s="1065"/>
      <c r="U141" s="447"/>
      <c r="V141" s="447"/>
      <c r="X141" s="298"/>
    </row>
    <row r="142" spans="2:24">
      <c r="B142" s="1149"/>
      <c r="C142" s="296"/>
      <c r="D142" s="1704" t="s">
        <v>715</v>
      </c>
      <c r="E142" s="1704"/>
      <c r="F142" s="1704"/>
      <c r="G142" s="1704"/>
      <c r="H142" s="1704"/>
      <c r="I142" s="1706"/>
      <c r="J142" s="1830">
        <f ca="1">J391</f>
        <v>0</v>
      </c>
      <c r="K142" s="1831"/>
      <c r="L142" s="1832"/>
      <c r="S142" s="1065"/>
      <c r="T142" s="1065"/>
      <c r="U142" s="447"/>
      <c r="V142" s="447"/>
      <c r="X142" s="298"/>
    </row>
    <row r="143" spans="2:24" ht="5.0999999999999996" customHeight="1">
      <c r="C143" s="296"/>
      <c r="I143" s="1065"/>
      <c r="S143" s="1065"/>
      <c r="T143" s="1065"/>
      <c r="U143" s="447"/>
      <c r="V143" s="447"/>
      <c r="X143" s="298"/>
    </row>
    <row r="144" spans="2:24">
      <c r="C144" s="296"/>
      <c r="D144" s="1704" t="s">
        <v>716</v>
      </c>
      <c r="E144" s="1704"/>
      <c r="F144" s="1704"/>
      <c r="G144" s="1704"/>
      <c r="H144" s="1704"/>
      <c r="I144" s="1705"/>
      <c r="J144" s="1707">
        <f ca="1">J393</f>
        <v>0</v>
      </c>
      <c r="K144" s="1708"/>
      <c r="L144" s="1709"/>
      <c r="O144" s="1704" t="s">
        <v>717</v>
      </c>
      <c r="P144" s="1704"/>
      <c r="Q144" s="1704"/>
      <c r="R144" s="1704"/>
      <c r="S144" s="1704"/>
      <c r="T144" s="1705"/>
      <c r="U144" s="1833">
        <f ca="1">U393</f>
        <v>0</v>
      </c>
      <c r="V144" s="1709"/>
      <c r="X144" s="298"/>
    </row>
    <row r="145" spans="3:24" ht="5.0999999999999996" customHeight="1">
      <c r="C145" s="296"/>
      <c r="I145" s="1065"/>
      <c r="J145" s="447"/>
      <c r="K145" s="447"/>
      <c r="L145" s="447"/>
      <c r="S145" s="1065"/>
      <c r="T145" s="1065"/>
      <c r="U145" s="448"/>
      <c r="V145" s="447"/>
      <c r="X145" s="298"/>
    </row>
    <row r="146" spans="3:24">
      <c r="C146" s="296"/>
      <c r="D146" s="1704" t="s">
        <v>718</v>
      </c>
      <c r="E146" s="1704"/>
      <c r="F146" s="1704"/>
      <c r="G146" s="1704"/>
      <c r="H146" s="1704"/>
      <c r="I146" s="1705"/>
      <c r="J146" s="1707"/>
      <c r="K146" s="1708"/>
      <c r="L146" s="1709"/>
      <c r="O146" s="1704" t="s">
        <v>719</v>
      </c>
      <c r="P146" s="1704"/>
      <c r="Q146" s="1704"/>
      <c r="R146" s="1704"/>
      <c r="S146" s="1704"/>
      <c r="T146" s="1705"/>
      <c r="U146" s="1833">
        <f ca="1">U395</f>
        <v>0</v>
      </c>
      <c r="V146" s="1709"/>
      <c r="X146" s="298"/>
    </row>
    <row r="147" spans="3:24" ht="5.0999999999999996" customHeight="1">
      <c r="C147" s="296"/>
      <c r="I147" s="1065"/>
      <c r="J147" s="447"/>
      <c r="K147" s="447"/>
      <c r="L147" s="447"/>
      <c r="S147" s="1065"/>
      <c r="T147" s="1065"/>
      <c r="U147" s="448"/>
      <c r="V147" s="447"/>
      <c r="X147" s="298"/>
    </row>
    <row r="148" spans="3:24">
      <c r="C148" s="296"/>
      <c r="D148" s="1704" t="s">
        <v>720</v>
      </c>
      <c r="E148" s="1704"/>
      <c r="F148" s="1704"/>
      <c r="G148" s="1704"/>
      <c r="H148" s="1704"/>
      <c r="I148" s="1705"/>
      <c r="J148" s="1707"/>
      <c r="K148" s="1708"/>
      <c r="L148" s="1709"/>
      <c r="O148" s="1704" t="s">
        <v>721</v>
      </c>
      <c r="P148" s="1704"/>
      <c r="Q148" s="1704"/>
      <c r="R148" s="1704"/>
      <c r="S148" s="1704"/>
      <c r="T148" s="1705"/>
      <c r="U148" s="1833">
        <f ca="1">U397</f>
        <v>0</v>
      </c>
      <c r="V148" s="1709"/>
      <c r="X148" s="298"/>
    </row>
    <row r="149" spans="3:24" ht="5.0999999999999996" customHeight="1">
      <c r="C149" s="296"/>
      <c r="I149" s="1065"/>
      <c r="J149" s="447"/>
      <c r="K149" s="447"/>
      <c r="L149" s="447"/>
      <c r="S149" s="1065"/>
      <c r="T149" s="1065"/>
      <c r="U149" s="448"/>
      <c r="V149" s="447"/>
      <c r="X149" s="298"/>
    </row>
    <row r="150" spans="3:24">
      <c r="C150" s="296"/>
      <c r="D150" s="1704" t="s">
        <v>722</v>
      </c>
      <c r="E150" s="1704"/>
      <c r="F150" s="1704"/>
      <c r="G150" s="1704"/>
      <c r="H150" s="1704"/>
      <c r="I150" s="1705"/>
      <c r="J150" s="1833" t="str">
        <f ca="1">J399</f>
        <v>WA</v>
      </c>
      <c r="K150" s="1708"/>
      <c r="L150" s="1709"/>
      <c r="O150" s="1704" t="s">
        <v>723</v>
      </c>
      <c r="P150" s="1704"/>
      <c r="Q150" s="1704"/>
      <c r="R150" s="1704"/>
      <c r="S150" s="1704"/>
      <c r="T150" s="1705"/>
      <c r="U150" s="1833">
        <f ca="1">U399</f>
        <v>0</v>
      </c>
      <c r="V150" s="1709"/>
      <c r="X150" s="298"/>
    </row>
    <row r="151" spans="3:24" ht="5.0999999999999996" customHeight="1">
      <c r="C151" s="296"/>
      <c r="I151" s="1065"/>
      <c r="J151" s="447"/>
      <c r="K151" s="447"/>
      <c r="L151" s="447"/>
      <c r="S151" s="1065"/>
      <c r="T151" s="1065"/>
      <c r="U151" s="448"/>
      <c r="V151" s="447"/>
      <c r="X151" s="298"/>
    </row>
    <row r="152" spans="3:24">
      <c r="C152" s="296"/>
      <c r="D152" s="1704" t="s">
        <v>724</v>
      </c>
      <c r="E152" s="1704"/>
      <c r="F152" s="1704"/>
      <c r="G152" s="1704"/>
      <c r="H152" s="1704"/>
      <c r="I152" s="1705"/>
      <c r="J152" s="1707">
        <f>J401</f>
        <v>0</v>
      </c>
      <c r="K152" s="1708"/>
      <c r="L152" s="1709"/>
      <c r="O152" s="1704" t="s">
        <v>725</v>
      </c>
      <c r="P152" s="1704"/>
      <c r="Q152" s="1704"/>
      <c r="R152" s="1704"/>
      <c r="S152" s="1704"/>
      <c r="T152" s="1705"/>
      <c r="U152" s="1835">
        <f ca="1">U401</f>
        <v>0</v>
      </c>
      <c r="V152" s="1709"/>
      <c r="X152" s="298"/>
    </row>
    <row r="153" spans="3:24" ht="5.0999999999999996" customHeight="1">
      <c r="C153" s="296"/>
      <c r="I153" s="1065"/>
      <c r="J153" s="447"/>
      <c r="K153" s="447"/>
      <c r="L153" s="447"/>
      <c r="S153" s="1065"/>
      <c r="T153" s="1065"/>
      <c r="U153" s="448"/>
      <c r="V153" s="447"/>
      <c r="X153" s="298"/>
    </row>
    <row r="154" spans="3:24">
      <c r="C154" s="296"/>
      <c r="D154" s="1704" t="s">
        <v>726</v>
      </c>
      <c r="E154" s="1704"/>
      <c r="F154" s="1704"/>
      <c r="G154" s="1704"/>
      <c r="H154" s="1704"/>
      <c r="I154" s="1705"/>
      <c r="J154" s="1707">
        <f ca="1">J403</f>
        <v>0</v>
      </c>
      <c r="K154" s="1708"/>
      <c r="L154" s="1709"/>
      <c r="O154" s="1704" t="s">
        <v>727</v>
      </c>
      <c r="P154" s="1704"/>
      <c r="Q154" s="1704"/>
      <c r="R154" s="1704"/>
      <c r="S154" s="1704"/>
      <c r="T154" s="1705"/>
      <c r="U154" s="1835" t="str">
        <f ca="1">U403</f>
        <v>WA</v>
      </c>
      <c r="V154" s="1709"/>
      <c r="X154" s="298"/>
    </row>
    <row r="155" spans="3:24" ht="5.0999999999999996" customHeight="1">
      <c r="C155" s="296"/>
      <c r="I155" s="1065"/>
      <c r="J155" s="447"/>
      <c r="K155" s="447"/>
      <c r="L155" s="447"/>
      <c r="S155" s="1065"/>
      <c r="T155" s="1065"/>
      <c r="U155" s="448"/>
      <c r="V155" s="447"/>
      <c r="X155" s="298"/>
    </row>
    <row r="156" spans="3:24">
      <c r="C156" s="296"/>
      <c r="D156" s="1704" t="s">
        <v>728</v>
      </c>
      <c r="E156" s="1704"/>
      <c r="F156" s="1704"/>
      <c r="G156" s="1704"/>
      <c r="H156" s="1704"/>
      <c r="I156" s="1705"/>
      <c r="J156" s="1707">
        <f ca="1">J405</f>
        <v>0</v>
      </c>
      <c r="K156" s="1708"/>
      <c r="L156" s="1709"/>
      <c r="O156" s="1704" t="s">
        <v>437</v>
      </c>
      <c r="P156" s="1704"/>
      <c r="Q156" s="1704"/>
      <c r="R156" s="1704"/>
      <c r="S156" s="1704"/>
      <c r="T156" s="1705"/>
      <c r="U156" s="1834">
        <f ca="1">U405</f>
        <v>0</v>
      </c>
      <c r="V156" s="1709"/>
      <c r="X156" s="298"/>
    </row>
    <row r="157" spans="3:24" ht="5.0999999999999996" customHeight="1">
      <c r="C157" s="296"/>
      <c r="I157" s="1065"/>
      <c r="J157" s="447"/>
      <c r="K157" s="447"/>
      <c r="L157" s="447"/>
      <c r="S157" s="1065"/>
      <c r="T157" s="1065"/>
      <c r="U157" s="96"/>
      <c r="X157" s="298"/>
    </row>
    <row r="158" spans="3:24">
      <c r="C158" s="296"/>
      <c r="D158" s="1704" t="s">
        <v>438</v>
      </c>
      <c r="E158" s="1704"/>
      <c r="F158" s="1704"/>
      <c r="G158" s="1704"/>
      <c r="H158" s="1704"/>
      <c r="I158" s="1705"/>
      <c r="J158" s="1833">
        <f ca="1">J407</f>
        <v>0</v>
      </c>
      <c r="K158" s="1708"/>
      <c r="L158" s="1709"/>
      <c r="O158" s="1704" t="s">
        <v>729</v>
      </c>
      <c r="P158" s="1704"/>
      <c r="Q158" s="1704"/>
      <c r="R158" s="1704"/>
      <c r="S158" s="1704"/>
      <c r="T158" s="1706"/>
      <c r="U158" s="1779">
        <f ca="1">U407</f>
        <v>0</v>
      </c>
      <c r="V158" s="1712"/>
      <c r="X158" s="298"/>
    </row>
    <row r="159" spans="3:24" ht="5.0999999999999996" customHeight="1">
      <c r="C159" s="297"/>
      <c r="D159" s="214"/>
      <c r="E159" s="214"/>
      <c r="F159" s="214"/>
      <c r="G159" s="214"/>
      <c r="H159" s="214"/>
      <c r="I159" s="214"/>
      <c r="J159" s="214"/>
      <c r="K159" s="214"/>
      <c r="L159" s="214"/>
      <c r="M159" s="214"/>
      <c r="N159" s="214"/>
      <c r="O159" s="214"/>
      <c r="P159" s="214"/>
      <c r="Q159" s="214"/>
      <c r="R159" s="214"/>
      <c r="S159" s="214"/>
      <c r="T159" s="214"/>
      <c r="U159" s="214"/>
      <c r="V159" s="214"/>
      <c r="W159" s="214"/>
      <c r="X159" s="299"/>
    </row>
    <row r="160" spans="3:24" ht="5.0999999999999996" customHeight="1"/>
    <row r="161" spans="3:24" ht="5.0999999999999996" customHeight="1">
      <c r="C161" s="701"/>
      <c r="D161" s="690"/>
      <c r="E161" s="690"/>
      <c r="F161" s="690"/>
      <c r="G161" s="690"/>
      <c r="H161" s="690"/>
      <c r="I161" s="690"/>
      <c r="J161" s="690"/>
      <c r="K161" s="690"/>
      <c r="L161" s="690"/>
      <c r="M161" s="690"/>
      <c r="N161" s="690"/>
      <c r="O161" s="690"/>
      <c r="P161" s="690"/>
      <c r="Q161" s="690"/>
      <c r="R161" s="690"/>
      <c r="S161" s="690"/>
      <c r="T161" s="690"/>
      <c r="U161" s="690"/>
      <c r="V161" s="690"/>
      <c r="W161" s="690"/>
      <c r="X161" s="702"/>
    </row>
    <row r="162" spans="3:24">
      <c r="C162" s="296"/>
      <c r="D162" s="1767" t="s">
        <v>730</v>
      </c>
      <c r="E162" s="1767"/>
      <c r="F162" s="1767"/>
      <c r="G162" s="1767"/>
      <c r="H162" s="1767"/>
      <c r="I162" s="1767"/>
      <c r="J162" s="1767"/>
      <c r="K162" s="1767"/>
      <c r="L162" s="1767"/>
      <c r="M162" s="1767"/>
      <c r="N162" s="1767"/>
      <c r="O162" s="1767"/>
      <c r="P162" s="1767"/>
      <c r="Q162" s="1767"/>
      <c r="R162" s="1767"/>
      <c r="S162" s="1767"/>
      <c r="T162" s="1767"/>
      <c r="U162" s="1767"/>
      <c r="V162" s="1767"/>
      <c r="W162" s="1767"/>
      <c r="X162" s="298"/>
    </row>
    <row r="163" spans="3:24" ht="5.0999999999999996" customHeight="1">
      <c r="C163" s="296"/>
      <c r="X163" s="298"/>
    </row>
    <row r="164" spans="3:24">
      <c r="C164" s="296"/>
      <c r="O164" s="1704" t="s">
        <v>731</v>
      </c>
      <c r="P164" s="1704"/>
      <c r="Q164" s="1704"/>
      <c r="R164" s="1704"/>
      <c r="S164" s="1704"/>
      <c r="T164" s="1705"/>
      <c r="U164" s="1707"/>
      <c r="V164" s="1709"/>
      <c r="X164" s="298"/>
    </row>
    <row r="165" spans="3:24" ht="5.0999999999999996" customHeight="1">
      <c r="C165" s="296"/>
      <c r="S165" s="1065"/>
      <c r="T165" s="1065"/>
      <c r="U165" s="447"/>
      <c r="V165" s="447"/>
      <c r="X165" s="298"/>
    </row>
    <row r="166" spans="3:24">
      <c r="C166" s="296"/>
      <c r="J166" s="447"/>
      <c r="K166" s="447"/>
      <c r="L166" s="447"/>
      <c r="O166" s="1704" t="s">
        <v>436</v>
      </c>
      <c r="P166" s="1704"/>
      <c r="Q166" s="1704"/>
      <c r="R166" s="1704"/>
      <c r="S166" s="1704"/>
      <c r="T166" s="1706"/>
      <c r="U166" s="1710" t="str">
        <f ca="1">U429</f>
        <v/>
      </c>
      <c r="V166" s="1712"/>
      <c r="X166" s="298"/>
    </row>
    <row r="167" spans="3:24" ht="5.0999999999999996" customHeight="1">
      <c r="C167" s="296"/>
      <c r="I167" s="447"/>
      <c r="J167" s="447"/>
      <c r="K167" s="447"/>
      <c r="L167" s="447"/>
      <c r="S167" s="1065"/>
      <c r="T167" s="1065"/>
      <c r="U167" s="448"/>
      <c r="V167" s="447"/>
      <c r="X167" s="298"/>
    </row>
    <row r="168" spans="3:24">
      <c r="C168" s="296"/>
      <c r="D168" s="1704" t="s">
        <v>732</v>
      </c>
      <c r="E168" s="1704"/>
      <c r="F168" s="1704"/>
      <c r="G168" s="1704"/>
      <c r="H168" s="1704"/>
      <c r="I168" s="1705"/>
      <c r="J168" s="1707">
        <f>J431</f>
        <v>0</v>
      </c>
      <c r="K168" s="1708"/>
      <c r="L168" s="1709"/>
      <c r="O168" s="1704" t="s">
        <v>437</v>
      </c>
      <c r="P168" s="1704"/>
      <c r="Q168" s="1704"/>
      <c r="R168" s="1704"/>
      <c r="S168" s="1704"/>
      <c r="T168" s="1706"/>
      <c r="U168" s="1776" t="str">
        <f ca="1">U431</f>
        <v/>
      </c>
      <c r="V168" s="1712"/>
      <c r="X168" s="298"/>
    </row>
    <row r="169" spans="3:24" ht="5.0999999999999996" customHeight="1">
      <c r="C169" s="296"/>
      <c r="I169" s="1065"/>
      <c r="J169" s="447"/>
      <c r="K169" s="447"/>
      <c r="L169" s="447"/>
      <c r="S169" s="1065"/>
      <c r="T169" s="1065"/>
      <c r="U169" s="448"/>
      <c r="V169" s="447"/>
      <c r="X169" s="298"/>
    </row>
    <row r="170" spans="3:24">
      <c r="C170" s="296"/>
      <c r="D170" s="1704" t="s">
        <v>438</v>
      </c>
      <c r="E170" s="1704"/>
      <c r="F170" s="1704"/>
      <c r="G170" s="1704"/>
      <c r="H170" s="1704"/>
      <c r="I170" s="1706"/>
      <c r="J170" s="1710" t="str">
        <f ca="1">J433</f>
        <v/>
      </c>
      <c r="K170" s="1711"/>
      <c r="L170" s="1712"/>
      <c r="O170" s="1704" t="s">
        <v>733</v>
      </c>
      <c r="P170" s="1704"/>
      <c r="Q170" s="1704"/>
      <c r="R170" s="1704"/>
      <c r="S170" s="1704"/>
      <c r="T170" s="1706"/>
      <c r="U170" s="1710" t="str">
        <f ca="1">U433</f>
        <v/>
      </c>
      <c r="V170" s="1712"/>
      <c r="X170" s="298"/>
    </row>
    <row r="171" spans="3:24" ht="5.0999999999999996" customHeight="1">
      <c r="C171" s="296"/>
      <c r="I171" s="1065"/>
      <c r="J171" s="447"/>
      <c r="K171" s="447"/>
      <c r="L171" s="447"/>
      <c r="S171" s="1065"/>
      <c r="T171" s="1065"/>
      <c r="U171" s="448"/>
      <c r="V171" s="447"/>
      <c r="X171" s="298"/>
    </row>
    <row r="172" spans="3:24">
      <c r="C172" s="296"/>
      <c r="D172" s="1704" t="s">
        <v>720</v>
      </c>
      <c r="E172" s="1704"/>
      <c r="F172" s="1704"/>
      <c r="G172" s="1704"/>
      <c r="H172" s="1704"/>
      <c r="I172" s="1705"/>
      <c r="J172" s="1707">
        <f>J435</f>
        <v>0</v>
      </c>
      <c r="K172" s="1708"/>
      <c r="L172" s="1709"/>
      <c r="O172" s="1704" t="s">
        <v>721</v>
      </c>
      <c r="P172" s="1704"/>
      <c r="Q172" s="1704"/>
      <c r="R172" s="1704"/>
      <c r="S172" s="1704"/>
      <c r="T172" s="1706"/>
      <c r="U172" s="1710" t="str">
        <f ca="1">U435</f>
        <v/>
      </c>
      <c r="V172" s="1712"/>
      <c r="X172" s="298"/>
    </row>
    <row r="173" spans="3:24" ht="5.0999999999999996" customHeight="1">
      <c r="C173" s="296"/>
      <c r="I173" s="1065"/>
      <c r="J173" s="447"/>
      <c r="K173" s="447"/>
      <c r="L173" s="447"/>
      <c r="S173" s="1065"/>
      <c r="T173" s="1065"/>
      <c r="U173" s="448"/>
      <c r="V173" s="447"/>
      <c r="X173" s="298"/>
    </row>
    <row r="174" spans="3:24">
      <c r="C174" s="296"/>
      <c r="D174" s="1704" t="s">
        <v>722</v>
      </c>
      <c r="E174" s="1704"/>
      <c r="F174" s="1704"/>
      <c r="G174" s="1704"/>
      <c r="H174" s="1704"/>
      <c r="I174" s="1706"/>
      <c r="J174" s="1710" t="str">
        <f ca="1">J437</f>
        <v/>
      </c>
      <c r="K174" s="1711"/>
      <c r="L174" s="1712"/>
      <c r="O174" s="1704" t="s">
        <v>723</v>
      </c>
      <c r="P174" s="1704"/>
      <c r="Q174" s="1704"/>
      <c r="R174" s="1704"/>
      <c r="S174" s="1704"/>
      <c r="T174" s="1706"/>
      <c r="U174" s="1710" t="str">
        <f ca="1">U437</f>
        <v/>
      </c>
      <c r="V174" s="1712"/>
      <c r="X174" s="298"/>
    </row>
    <row r="175" spans="3:24" ht="5.0999999999999996" customHeight="1">
      <c r="C175" s="297"/>
      <c r="D175" s="214"/>
      <c r="E175" s="214"/>
      <c r="F175" s="214"/>
      <c r="G175" s="214"/>
      <c r="H175" s="214"/>
      <c r="I175" s="214"/>
      <c r="J175" s="214"/>
      <c r="K175" s="214"/>
      <c r="L175" s="214"/>
      <c r="M175" s="214"/>
      <c r="N175" s="214"/>
      <c r="O175" s="214"/>
      <c r="P175" s="214"/>
      <c r="Q175" s="214"/>
      <c r="R175" s="214"/>
      <c r="S175" s="214"/>
      <c r="T175" s="214"/>
      <c r="U175" s="214"/>
      <c r="V175" s="214"/>
      <c r="W175" s="214"/>
      <c r="X175" s="299"/>
    </row>
    <row r="176" spans="3:24" ht="5.0999999999999996" customHeight="1"/>
    <row r="177" spans="3:24" ht="7.5" customHeight="1">
      <c r="C177" s="701"/>
      <c r="D177" s="690"/>
      <c r="E177" s="690"/>
      <c r="F177" s="690"/>
      <c r="G177" s="690"/>
      <c r="H177" s="690"/>
      <c r="I177" s="690"/>
      <c r="J177" s="690"/>
      <c r="K177" s="690"/>
      <c r="L177" s="690"/>
      <c r="M177" s="690"/>
      <c r="N177" s="690"/>
      <c r="O177" s="690"/>
      <c r="P177" s="690"/>
      <c r="Q177" s="690"/>
      <c r="R177" s="690"/>
      <c r="S177" s="690"/>
      <c r="T177" s="690"/>
      <c r="U177" s="690"/>
      <c r="V177" s="690"/>
      <c r="W177" s="690"/>
      <c r="X177" s="702"/>
    </row>
    <row r="178" spans="3:24">
      <c r="C178" s="296"/>
      <c r="D178" s="1767" t="s">
        <v>2055</v>
      </c>
      <c r="E178" s="1767"/>
      <c r="F178" s="1767"/>
      <c r="G178" s="1767"/>
      <c r="H178" s="1767"/>
      <c r="I178" s="1767"/>
      <c r="J178" s="1767"/>
      <c r="K178" s="1767"/>
      <c r="L178" s="1767"/>
      <c r="M178" s="1767"/>
      <c r="N178" s="1767"/>
      <c r="O178" s="1767"/>
      <c r="P178" s="1767"/>
      <c r="Q178" s="1767"/>
      <c r="R178" s="1767"/>
      <c r="S178" s="1767"/>
      <c r="T178" s="1767"/>
      <c r="U178" s="1767"/>
      <c r="V178" s="1767"/>
      <c r="W178" s="1767"/>
      <c r="X178" s="298"/>
    </row>
    <row r="179" spans="3:24" ht="5.0999999999999996" customHeight="1">
      <c r="C179" s="296"/>
      <c r="X179" s="298"/>
    </row>
    <row r="180" spans="3:24">
      <c r="C180" s="1082"/>
      <c r="D180" s="1704" t="s">
        <v>734</v>
      </c>
      <c r="E180" s="1704"/>
      <c r="F180" s="1704"/>
      <c r="G180" s="1704"/>
      <c r="H180" s="1704"/>
      <c r="I180" s="1705"/>
      <c r="J180" s="1707">
        <f>J349</f>
        <v>0</v>
      </c>
      <c r="K180" s="1708"/>
      <c r="L180" s="1709"/>
      <c r="S180" s="447"/>
      <c r="T180" s="449"/>
      <c r="U180" s="447"/>
      <c r="V180" s="447"/>
      <c r="X180" s="298"/>
    </row>
    <row r="181" spans="3:24" ht="5.0999999999999996" customHeight="1">
      <c r="C181" s="1082"/>
      <c r="D181" s="1065"/>
      <c r="E181" s="1065"/>
      <c r="F181" s="1065"/>
      <c r="G181" s="1065"/>
      <c r="H181" s="1065"/>
      <c r="I181" s="1065"/>
      <c r="V181" s="329"/>
      <c r="X181" s="298"/>
    </row>
    <row r="182" spans="3:24" ht="14.95" customHeight="1">
      <c r="C182" s="1774" t="s">
        <v>735</v>
      </c>
      <c r="D182" s="1775"/>
      <c r="E182" s="1775"/>
      <c r="F182" s="1775"/>
      <c r="G182" s="1775"/>
      <c r="H182" s="1775"/>
      <c r="I182" s="1775"/>
      <c r="J182" s="1719">
        <f ca="1">U355</f>
        <v>0</v>
      </c>
      <c r="K182" s="1711"/>
      <c r="L182" s="1712"/>
      <c r="N182" s="1065"/>
      <c r="O182" s="1704" t="s">
        <v>736</v>
      </c>
      <c r="P182" s="1704"/>
      <c r="Q182" s="1704"/>
      <c r="R182" s="1704"/>
      <c r="S182" s="1704"/>
      <c r="T182" s="1706"/>
      <c r="U182" s="1710">
        <f ca="1">J357</f>
        <v>0</v>
      </c>
      <c r="V182" s="1712"/>
      <c r="X182" s="298"/>
    </row>
    <row r="183" spans="3:24" ht="7.5" customHeight="1">
      <c r="C183" s="1774"/>
      <c r="D183" s="1775"/>
      <c r="E183" s="1775"/>
      <c r="F183" s="1775"/>
      <c r="G183" s="1775"/>
      <c r="H183" s="1775"/>
      <c r="I183" s="1775"/>
      <c r="N183" s="1065"/>
      <c r="O183" s="1065"/>
      <c r="P183" s="1065"/>
      <c r="Q183" s="1065"/>
      <c r="R183" s="1065"/>
      <c r="S183" s="1065"/>
      <c r="T183" s="1065"/>
      <c r="U183" s="329"/>
      <c r="X183" s="298"/>
    </row>
    <row r="184" spans="3:24" ht="14.95" customHeight="1">
      <c r="C184" s="1774" t="s">
        <v>737</v>
      </c>
      <c r="D184" s="1775"/>
      <c r="E184" s="1775"/>
      <c r="F184" s="1775"/>
      <c r="G184" s="1775"/>
      <c r="H184" s="1775"/>
      <c r="I184" s="1775"/>
      <c r="J184" s="1776">
        <f ca="1">U357</f>
        <v>0</v>
      </c>
      <c r="K184" s="1777"/>
      <c r="L184" s="1778"/>
      <c r="N184" s="1065"/>
      <c r="O184" s="1704" t="s">
        <v>716</v>
      </c>
      <c r="P184" s="1704"/>
      <c r="Q184" s="1704"/>
      <c r="R184" s="1704"/>
      <c r="S184" s="1704"/>
      <c r="T184" s="1706"/>
      <c r="U184" s="1779">
        <f ca="1">J359</f>
        <v>0</v>
      </c>
      <c r="V184" s="1712"/>
      <c r="X184" s="298"/>
    </row>
    <row r="185" spans="3:24" ht="7.5" customHeight="1">
      <c r="C185" s="1774"/>
      <c r="D185" s="1775"/>
      <c r="E185" s="1775"/>
      <c r="F185" s="1775"/>
      <c r="G185" s="1775"/>
      <c r="H185" s="1775"/>
      <c r="I185" s="1775"/>
      <c r="N185" s="1065"/>
      <c r="O185" s="1065"/>
      <c r="P185" s="1065"/>
      <c r="Q185" s="1065"/>
      <c r="R185" s="1065"/>
      <c r="S185" s="1065"/>
      <c r="T185" s="1065"/>
      <c r="U185" s="329"/>
      <c r="X185" s="298"/>
    </row>
    <row r="186" spans="3:24" ht="14.95" customHeight="1">
      <c r="C186" s="1774" t="s">
        <v>738</v>
      </c>
      <c r="D186" s="1775"/>
      <c r="E186" s="1775"/>
      <c r="F186" s="1775"/>
      <c r="G186" s="1775"/>
      <c r="H186" s="1775"/>
      <c r="I186" s="1775"/>
      <c r="J186" s="1710">
        <f ca="1">U359</f>
        <v>0</v>
      </c>
      <c r="K186" s="1711"/>
      <c r="L186" s="1712"/>
      <c r="N186" s="1728" t="s">
        <v>739</v>
      </c>
      <c r="O186" s="1728"/>
      <c r="P186" s="1728"/>
      <c r="Q186" s="1728"/>
      <c r="R186" s="1728"/>
      <c r="S186" s="1728"/>
      <c r="T186" s="1728"/>
      <c r="U186" s="1710">
        <f ca="1">J361</f>
        <v>0</v>
      </c>
      <c r="V186" s="1712"/>
      <c r="X186" s="298"/>
    </row>
    <row r="187" spans="3:24" ht="7.5" customHeight="1">
      <c r="C187" s="1774"/>
      <c r="D187" s="1775"/>
      <c r="E187" s="1775"/>
      <c r="F187" s="1775"/>
      <c r="G187" s="1775"/>
      <c r="H187" s="1775"/>
      <c r="I187" s="1775"/>
      <c r="N187" s="1728"/>
      <c r="O187" s="1728"/>
      <c r="P187" s="1728"/>
      <c r="Q187" s="1728"/>
      <c r="R187" s="1728"/>
      <c r="S187" s="1728"/>
      <c r="T187" s="1728"/>
      <c r="U187" s="329"/>
      <c r="X187" s="298"/>
    </row>
    <row r="188" spans="3:24" ht="14.95" customHeight="1">
      <c r="C188" s="1774" t="s">
        <v>740</v>
      </c>
      <c r="D188" s="1775"/>
      <c r="E188" s="1775"/>
      <c r="F188" s="1775"/>
      <c r="G188" s="1775"/>
      <c r="H188" s="1775"/>
      <c r="I188" s="1775"/>
      <c r="J188" s="1776">
        <f ca="1">U361</f>
        <v>0</v>
      </c>
      <c r="K188" s="1777"/>
      <c r="L188" s="1778"/>
      <c r="N188" s="1065"/>
      <c r="O188" s="1704" t="s">
        <v>741</v>
      </c>
      <c r="P188" s="1704"/>
      <c r="Q188" s="1704"/>
      <c r="R188" s="1704"/>
      <c r="S188" s="1704"/>
      <c r="T188" s="1706"/>
      <c r="U188" s="1710">
        <f ca="1">J363</f>
        <v>0</v>
      </c>
      <c r="V188" s="1712"/>
      <c r="X188" s="298"/>
    </row>
    <row r="189" spans="3:24" ht="7.5" customHeight="1">
      <c r="C189" s="1774"/>
      <c r="D189" s="1775"/>
      <c r="E189" s="1775"/>
      <c r="F189" s="1775"/>
      <c r="G189" s="1775"/>
      <c r="H189" s="1775"/>
      <c r="I189" s="1775"/>
      <c r="N189" s="1065"/>
      <c r="O189" s="1065"/>
      <c r="P189" s="1065"/>
      <c r="Q189" s="1065"/>
      <c r="R189" s="1065"/>
      <c r="S189" s="1065"/>
      <c r="T189" s="1065"/>
      <c r="U189" s="329"/>
      <c r="X189" s="298"/>
    </row>
    <row r="190" spans="3:24">
      <c r="C190" s="1082"/>
      <c r="D190" s="1704" t="s">
        <v>742</v>
      </c>
      <c r="E190" s="1704"/>
      <c r="F190" s="1704"/>
      <c r="G190" s="1704"/>
      <c r="H190" s="1704"/>
      <c r="I190" s="1706"/>
      <c r="J190" s="1710">
        <f ca="1">U363</f>
        <v>0</v>
      </c>
      <c r="K190" s="1711"/>
      <c r="L190" s="1712"/>
      <c r="N190" s="1065"/>
      <c r="O190" s="1704" t="s">
        <v>743</v>
      </c>
      <c r="P190" s="1704"/>
      <c r="Q190" s="1704"/>
      <c r="R190" s="1704"/>
      <c r="S190" s="1704"/>
      <c r="T190" s="1706"/>
      <c r="U190" s="1710" t="str">
        <f ca="1">J365</f>
        <v>WA</v>
      </c>
      <c r="V190" s="1712"/>
      <c r="X190" s="298"/>
    </row>
    <row r="191" spans="3:24" ht="5.0999999999999996" customHeight="1">
      <c r="C191" s="1082"/>
      <c r="D191" s="1065"/>
      <c r="E191" s="1065"/>
      <c r="F191" s="1065"/>
      <c r="G191" s="1065"/>
      <c r="H191" s="1065"/>
      <c r="I191" s="1065"/>
      <c r="N191" s="1065"/>
      <c r="O191" s="1065"/>
      <c r="P191" s="1065"/>
      <c r="Q191" s="1065"/>
      <c r="R191" s="1065"/>
      <c r="S191" s="1065"/>
      <c r="T191" s="1065"/>
      <c r="U191" s="329"/>
      <c r="X191" s="298"/>
    </row>
    <row r="192" spans="3:24">
      <c r="C192" s="1082"/>
      <c r="D192" s="1704" t="s">
        <v>744</v>
      </c>
      <c r="E192" s="1704"/>
      <c r="F192" s="1704"/>
      <c r="G192" s="1704"/>
      <c r="H192" s="1704"/>
      <c r="I192" s="1706"/>
      <c r="J192" s="1710">
        <f ca="1">U365</f>
        <v>0</v>
      </c>
      <c r="K192" s="1711"/>
      <c r="L192" s="1712"/>
      <c r="N192" s="1065"/>
      <c r="O192" s="1704" t="s">
        <v>745</v>
      </c>
      <c r="P192" s="1704"/>
      <c r="Q192" s="1704"/>
      <c r="R192" s="1704"/>
      <c r="S192" s="1704"/>
      <c r="T192" s="1706"/>
      <c r="U192" s="1710" t="str">
        <f ca="1">J367</f>
        <v/>
      </c>
      <c r="V192" s="1712"/>
      <c r="X192" s="298"/>
    </row>
    <row r="193" spans="3:24" ht="5.0999999999999996" customHeight="1">
      <c r="C193" s="1082"/>
      <c r="D193" s="1065"/>
      <c r="E193" s="1065"/>
      <c r="F193" s="1065"/>
      <c r="G193" s="1065"/>
      <c r="H193" s="1065"/>
      <c r="I193" s="1065"/>
      <c r="N193" s="1065"/>
      <c r="O193" s="1065"/>
      <c r="P193" s="1065"/>
      <c r="Q193" s="1065"/>
      <c r="R193" s="1065"/>
      <c r="S193" s="1065"/>
      <c r="T193" s="1065"/>
      <c r="U193" s="329"/>
      <c r="X193" s="298"/>
    </row>
    <row r="194" spans="3:24">
      <c r="C194" s="1082"/>
      <c r="D194" s="1704" t="s">
        <v>746</v>
      </c>
      <c r="E194" s="1704"/>
      <c r="F194" s="1704"/>
      <c r="G194" s="1704"/>
      <c r="H194" s="1704"/>
      <c r="I194" s="1706"/>
      <c r="J194" s="1710" t="str">
        <f ca="1">U367</f>
        <v xml:space="preserve"> </v>
      </c>
      <c r="K194" s="1711"/>
      <c r="L194" s="1712"/>
      <c r="N194" s="1065"/>
      <c r="O194" s="1704" t="s">
        <v>658</v>
      </c>
      <c r="P194" s="1704"/>
      <c r="Q194" s="1704"/>
      <c r="R194" s="1704"/>
      <c r="S194" s="1704"/>
      <c r="T194" s="1706"/>
      <c r="U194" s="1776" t="str">
        <f ca="1">J369</f>
        <v/>
      </c>
      <c r="V194" s="1778"/>
      <c r="X194" s="298"/>
    </row>
    <row r="195" spans="3:24" ht="5.0999999999999996" customHeight="1">
      <c r="C195" s="1082"/>
      <c r="D195" s="1065"/>
      <c r="E195" s="1065"/>
      <c r="F195" s="1065"/>
      <c r="G195" s="1065"/>
      <c r="H195" s="1065"/>
      <c r="I195" s="1065"/>
      <c r="N195" s="1065"/>
      <c r="O195" s="1065"/>
      <c r="P195" s="1065"/>
      <c r="Q195" s="1065"/>
      <c r="R195" s="1065"/>
      <c r="S195" s="1065"/>
      <c r="T195" s="1065"/>
      <c r="U195" s="329"/>
      <c r="X195" s="298"/>
    </row>
    <row r="196" spans="3:24">
      <c r="C196" s="1082"/>
      <c r="D196" s="1704" t="s">
        <v>655</v>
      </c>
      <c r="E196" s="1704"/>
      <c r="F196" s="1704"/>
      <c r="G196" s="1704"/>
      <c r="H196" s="1704"/>
      <c r="I196" s="1706"/>
      <c r="J196" s="1710" t="str">
        <f ca="1">U369</f>
        <v/>
      </c>
      <c r="K196" s="1711"/>
      <c r="L196" s="1712"/>
      <c r="N196" s="1065"/>
      <c r="O196" s="1065"/>
      <c r="P196" s="1065"/>
      <c r="Q196" s="1065"/>
      <c r="R196" s="1065"/>
      <c r="S196" s="1065"/>
      <c r="T196" s="1065"/>
      <c r="X196" s="298"/>
    </row>
    <row r="197" spans="3:24" ht="5.0999999999999996" customHeight="1">
      <c r="C197" s="1082"/>
      <c r="D197" s="1065"/>
      <c r="E197" s="1065"/>
      <c r="F197" s="1065"/>
      <c r="G197" s="1065"/>
      <c r="H197" s="1065"/>
      <c r="I197" s="1065"/>
      <c r="N197" s="1065"/>
      <c r="O197" s="1065"/>
      <c r="P197" s="1065"/>
      <c r="Q197" s="1065"/>
      <c r="R197" s="1065"/>
      <c r="S197" s="1065"/>
      <c r="T197" s="1065"/>
      <c r="U197" s="329"/>
      <c r="X197" s="298"/>
    </row>
    <row r="198" spans="3:24">
      <c r="C198" s="1082"/>
      <c r="D198" s="1065"/>
      <c r="E198" s="1065"/>
      <c r="F198" s="1065"/>
      <c r="G198" s="1065"/>
      <c r="H198" s="1065"/>
      <c r="I198" s="1079"/>
      <c r="J198" s="347"/>
      <c r="K198" s="347"/>
      <c r="N198" s="1065"/>
      <c r="O198" s="1065"/>
      <c r="P198" s="1065"/>
      <c r="Q198" s="1065"/>
      <c r="R198" s="1065"/>
      <c r="S198" s="1065"/>
      <c r="T198" s="1770"/>
      <c r="U198" s="347"/>
      <c r="X198" s="298"/>
    </row>
    <row r="199" spans="3:24" ht="5.0999999999999996" customHeight="1">
      <c r="C199" s="1082"/>
      <c r="D199" s="1065"/>
      <c r="E199" s="1065"/>
      <c r="F199" s="1065"/>
      <c r="G199" s="1065"/>
      <c r="H199" s="1065"/>
      <c r="I199" s="1079"/>
      <c r="J199" s="347"/>
      <c r="K199" s="347"/>
      <c r="N199" s="1065"/>
      <c r="O199" s="1065"/>
      <c r="P199" s="1065"/>
      <c r="Q199" s="1065"/>
      <c r="R199" s="1065"/>
      <c r="S199" s="1065"/>
      <c r="T199" s="1770"/>
      <c r="U199" s="347"/>
      <c r="X199" s="298"/>
    </row>
    <row r="200" spans="3:24">
      <c r="C200" s="1082"/>
      <c r="D200" s="1704" t="s">
        <v>629</v>
      </c>
      <c r="E200" s="1704"/>
      <c r="F200" s="1704"/>
      <c r="G200" s="1704"/>
      <c r="H200" s="1704"/>
      <c r="I200" s="1706"/>
      <c r="J200" s="1710">
        <f ca="1">J375</f>
        <v>0</v>
      </c>
      <c r="K200" s="1711"/>
      <c r="L200" s="1712"/>
      <c r="N200" s="1065"/>
      <c r="O200" s="1704" t="s">
        <v>747</v>
      </c>
      <c r="P200" s="1704"/>
      <c r="Q200" s="1704"/>
      <c r="R200" s="1704"/>
      <c r="S200" s="1704"/>
      <c r="T200" s="1705"/>
      <c r="U200" s="1707"/>
      <c r="V200" s="1709"/>
      <c r="X200" s="298"/>
    </row>
    <row r="201" spans="3:24" ht="5.0999999999999996" customHeight="1">
      <c r="C201" s="1082"/>
      <c r="D201" s="1065"/>
      <c r="E201" s="1065"/>
      <c r="F201" s="1065"/>
      <c r="G201" s="1065"/>
      <c r="H201" s="1065"/>
      <c r="I201" s="1079"/>
      <c r="J201" s="348"/>
      <c r="K201" s="348"/>
      <c r="U201" s="346"/>
      <c r="V201" s="347"/>
      <c r="X201" s="298"/>
    </row>
    <row r="202" spans="3:24">
      <c r="C202" s="1082"/>
      <c r="D202" s="1065"/>
      <c r="E202" s="1065"/>
      <c r="F202" s="1065"/>
      <c r="G202" s="1065"/>
      <c r="H202" s="1065"/>
      <c r="I202" s="1065"/>
      <c r="X202" s="298"/>
    </row>
    <row r="203" spans="3:24" ht="5.0999999999999996" customHeight="1">
      <c r="C203" s="1082"/>
      <c r="D203" s="1065"/>
      <c r="E203" s="1065"/>
      <c r="F203" s="1065"/>
      <c r="G203" s="1065"/>
      <c r="H203" s="1065"/>
      <c r="I203" s="1065"/>
      <c r="U203" s="215"/>
      <c r="V203" s="329"/>
      <c r="X203" s="298"/>
    </row>
    <row r="204" spans="3:24">
      <c r="C204" s="1082"/>
      <c r="D204" s="1704" t="s">
        <v>748</v>
      </c>
      <c r="E204" s="1704"/>
      <c r="F204" s="1704"/>
      <c r="G204" s="1704"/>
      <c r="H204" s="1704"/>
      <c r="I204" s="1706"/>
      <c r="J204" s="1710" t="str">
        <f>J351</f>
        <v>NOT Specified?</v>
      </c>
      <c r="K204" s="1711"/>
      <c r="L204" s="1712"/>
      <c r="V204" s="329"/>
      <c r="X204" s="298"/>
    </row>
    <row r="205" spans="3:24" ht="5.0999999999999996" customHeight="1">
      <c r="C205" s="1082"/>
      <c r="D205" s="1065"/>
      <c r="E205" s="1065"/>
      <c r="F205" s="1065"/>
      <c r="G205" s="1065"/>
      <c r="H205" s="1065"/>
      <c r="I205" s="1065"/>
      <c r="U205" s="215"/>
      <c r="V205" s="349"/>
      <c r="X205" s="298"/>
    </row>
    <row r="206" spans="3:24">
      <c r="C206" s="1082"/>
      <c r="D206" s="1065"/>
      <c r="E206" s="1065"/>
      <c r="F206" s="1065"/>
      <c r="G206" s="1065"/>
      <c r="H206" s="1065"/>
      <c r="I206" s="1065"/>
      <c r="V206" s="329"/>
      <c r="X206" s="298"/>
    </row>
    <row r="207" spans="3:24" ht="5.0999999999999996" customHeight="1">
      <c r="C207" s="1082"/>
      <c r="D207" s="1065"/>
      <c r="E207" s="1065"/>
      <c r="F207" s="1065"/>
      <c r="G207" s="1065"/>
      <c r="H207" s="1065"/>
      <c r="I207" s="1065"/>
      <c r="V207" s="329"/>
      <c r="X207" s="298"/>
    </row>
    <row r="208" spans="3:24">
      <c r="C208" s="1082"/>
      <c r="D208" s="1704" t="s">
        <v>749</v>
      </c>
      <c r="E208" s="1704"/>
      <c r="F208" s="1704"/>
      <c r="G208" s="1704"/>
      <c r="H208" s="1704"/>
      <c r="I208" s="1706"/>
      <c r="J208" s="1710" t="str">
        <f ca="1">U379</f>
        <v>Multi-Family Housing</v>
      </c>
      <c r="K208" s="1711"/>
      <c r="L208" s="1712"/>
      <c r="V208" s="329"/>
      <c r="X208" s="298"/>
    </row>
    <row r="209" spans="3:24" ht="5.0999999999999996" customHeight="1">
      <c r="C209" s="1082"/>
      <c r="D209" s="1065"/>
      <c r="E209" s="1065"/>
      <c r="F209" s="1065"/>
      <c r="G209" s="1065"/>
      <c r="H209" s="1065"/>
      <c r="I209" s="1065"/>
      <c r="J209" s="476"/>
      <c r="K209" s="476"/>
      <c r="V209" s="329"/>
      <c r="X209" s="298"/>
    </row>
    <row r="210" spans="3:24">
      <c r="C210" s="1082"/>
      <c r="D210" s="1704" t="s">
        <v>750</v>
      </c>
      <c r="E210" s="1704"/>
      <c r="F210" s="1704"/>
      <c r="G210" s="1704"/>
      <c r="H210" s="1704"/>
      <c r="I210" s="1706"/>
      <c r="J210" s="1713">
        <f ca="1">J381</f>
        <v>0</v>
      </c>
      <c r="K210" s="1711"/>
      <c r="L210" s="1712"/>
      <c r="X210" s="298"/>
    </row>
    <row r="211" spans="3:24" ht="5.0999999999999996" customHeight="1">
      <c r="C211" s="1082"/>
      <c r="D211" s="1065"/>
      <c r="E211" s="1065"/>
      <c r="F211" s="1065"/>
      <c r="G211" s="1065"/>
      <c r="H211" s="1065"/>
      <c r="I211" s="1065"/>
      <c r="V211" s="329"/>
      <c r="X211" s="298"/>
    </row>
    <row r="212" spans="3:24">
      <c r="C212" s="1082"/>
      <c r="D212" s="1704" t="s">
        <v>751</v>
      </c>
      <c r="E212" s="1704"/>
      <c r="F212" s="1704"/>
      <c r="G212" s="1704"/>
      <c r="H212" s="1704"/>
      <c r="I212" s="1706"/>
      <c r="J212" s="1710">
        <f ca="1">J383</f>
        <v>0</v>
      </c>
      <c r="K212" s="1711"/>
      <c r="L212" s="1712"/>
      <c r="X212" s="298"/>
    </row>
    <row r="213" spans="3:24" ht="5.0999999999999996" customHeight="1">
      <c r="C213" s="296"/>
      <c r="V213" s="329"/>
      <c r="X213" s="298"/>
    </row>
    <row r="214" spans="3:24">
      <c r="C214" s="296"/>
      <c r="I214" s="348"/>
      <c r="J214" s="348"/>
      <c r="X214" s="298"/>
    </row>
    <row r="215" spans="3:24" ht="5.0999999999999996" customHeight="1">
      <c r="C215" s="297"/>
      <c r="D215" s="214"/>
      <c r="E215" s="214"/>
      <c r="F215" s="214"/>
      <c r="G215" s="214"/>
      <c r="H215" s="214"/>
      <c r="I215" s="214"/>
      <c r="J215" s="214"/>
      <c r="K215" s="214"/>
      <c r="L215" s="214"/>
      <c r="M215" s="214"/>
      <c r="N215" s="214"/>
      <c r="O215" s="214"/>
      <c r="P215" s="214"/>
      <c r="Q215" s="214"/>
      <c r="R215" s="214"/>
      <c r="S215" s="214"/>
      <c r="T215" s="214"/>
      <c r="U215" s="214"/>
      <c r="V215" s="214"/>
      <c r="W215" s="214"/>
      <c r="X215" s="299"/>
    </row>
    <row r="216" spans="3:24" ht="5.0999999999999996" customHeight="1"/>
    <row r="217" spans="3:24" ht="5.0999999999999996" customHeight="1">
      <c r="C217" s="701"/>
      <c r="D217" s="690"/>
      <c r="E217" s="690"/>
      <c r="F217" s="690"/>
      <c r="G217" s="690"/>
      <c r="H217" s="690"/>
      <c r="I217" s="690"/>
      <c r="J217" s="690"/>
      <c r="K217" s="690"/>
      <c r="L217" s="690"/>
      <c r="M217" s="690"/>
      <c r="N217" s="690"/>
      <c r="O217" s="690"/>
      <c r="P217" s="690"/>
      <c r="Q217" s="690"/>
      <c r="R217" s="690"/>
      <c r="S217" s="690"/>
      <c r="T217" s="690"/>
      <c r="U217" s="690"/>
      <c r="V217" s="690"/>
      <c r="W217" s="690"/>
      <c r="X217" s="702"/>
    </row>
    <row r="218" spans="3:24">
      <c r="C218" s="296"/>
      <c r="D218" s="1767" t="s">
        <v>752</v>
      </c>
      <c r="E218" s="1767"/>
      <c r="F218" s="1767"/>
      <c r="G218" s="1767"/>
      <c r="H218" s="1767"/>
      <c r="I218" s="1767"/>
      <c r="J218" s="1767"/>
      <c r="K218" s="1767"/>
      <c r="L218" s="1767"/>
      <c r="M218" s="1767"/>
      <c r="N218" s="1767"/>
      <c r="O218" s="1767"/>
      <c r="P218" s="1767"/>
      <c r="Q218" s="1767"/>
      <c r="R218" s="1767"/>
      <c r="S218" s="1767"/>
      <c r="T218" s="1767"/>
      <c r="U218" s="1767"/>
      <c r="V218" s="1767"/>
      <c r="W218" s="1767"/>
      <c r="X218" s="298"/>
    </row>
    <row r="219" spans="3:24" ht="5.0999999999999996" customHeight="1">
      <c r="C219" s="296"/>
      <c r="X219" s="298"/>
    </row>
    <row r="220" spans="3:24">
      <c r="C220" s="296"/>
      <c r="I220" s="348"/>
      <c r="O220" s="1704" t="s">
        <v>753</v>
      </c>
      <c r="P220" s="1704"/>
      <c r="Q220" s="1704"/>
      <c r="R220" s="1704"/>
      <c r="S220" s="1704"/>
      <c r="T220" s="1705"/>
      <c r="U220" s="1707"/>
      <c r="V220" s="1709"/>
      <c r="X220" s="298"/>
    </row>
    <row r="221" spans="3:24" ht="5.0999999999999996" customHeight="1">
      <c r="C221" s="296"/>
      <c r="K221" s="350"/>
      <c r="L221" s="96"/>
      <c r="M221" s="96"/>
      <c r="S221" s="1065"/>
      <c r="T221" s="1065"/>
      <c r="V221" s="96"/>
      <c r="X221" s="298"/>
    </row>
    <row r="222" spans="3:24">
      <c r="C222" s="296"/>
      <c r="D222" s="1704" t="s">
        <v>754</v>
      </c>
      <c r="E222" s="1704"/>
      <c r="F222" s="1704"/>
      <c r="G222" s="1704"/>
      <c r="H222" s="1704"/>
      <c r="I222" s="1705"/>
      <c r="J222" s="1707" t="str">
        <f ca="1">J302</f>
        <v>Lighting - Custom</v>
      </c>
      <c r="K222" s="1708"/>
      <c r="L222" s="1709"/>
      <c r="S222" s="1065"/>
      <c r="T222" s="1065"/>
      <c r="X222" s="298"/>
    </row>
    <row r="223" spans="3:24" ht="5.0999999999999996" customHeight="1">
      <c r="C223" s="296"/>
      <c r="D223" s="1065"/>
      <c r="E223" s="1065"/>
      <c r="F223" s="1065"/>
      <c r="G223" s="1065"/>
      <c r="H223" s="1065"/>
      <c r="I223" s="1065"/>
      <c r="J223" s="96"/>
      <c r="K223" s="96"/>
      <c r="S223" s="1065"/>
      <c r="T223" s="1065"/>
      <c r="V223" s="96"/>
      <c r="X223" s="298"/>
    </row>
    <row r="224" spans="3:24">
      <c r="C224" s="296"/>
      <c r="D224" s="1704" t="s">
        <v>755</v>
      </c>
      <c r="E224" s="1704"/>
      <c r="F224" s="1704"/>
      <c r="G224" s="1704"/>
      <c r="H224" s="1704"/>
      <c r="I224" s="1706"/>
      <c r="J224" s="1771">
        <f ca="1">J308</f>
        <v>0</v>
      </c>
      <c r="K224" s="1772"/>
      <c r="L224" s="1773"/>
      <c r="S224" s="1065"/>
      <c r="T224" s="1065"/>
      <c r="X224" s="298"/>
    </row>
    <row r="225" spans="3:24" ht="5.0999999999999996" customHeight="1">
      <c r="C225" s="296"/>
      <c r="D225" s="1065"/>
      <c r="E225" s="1065"/>
      <c r="F225" s="1065"/>
      <c r="G225" s="1065"/>
      <c r="H225" s="1065"/>
      <c r="I225" s="1065"/>
      <c r="J225" s="96"/>
      <c r="K225" s="96"/>
      <c r="S225" s="1065"/>
      <c r="T225" s="1065"/>
      <c r="V225" s="96"/>
      <c r="X225" s="298"/>
    </row>
    <row r="226" spans="3:24">
      <c r="C226" s="296"/>
      <c r="D226" s="1704" t="s">
        <v>756</v>
      </c>
      <c r="E226" s="1704"/>
      <c r="F226" s="1704"/>
      <c r="G226" s="1704"/>
      <c r="H226" s="1704"/>
      <c r="I226" s="1706"/>
      <c r="J226" s="1710" t="str">
        <f>U308</f>
        <v>Lighting</v>
      </c>
      <c r="K226" s="1711"/>
      <c r="L226" s="1712"/>
      <c r="S226" s="1065"/>
      <c r="T226" s="1065"/>
      <c r="X226" s="298"/>
    </row>
    <row r="227" spans="3:24" ht="5.0999999999999996" customHeight="1">
      <c r="C227" s="296"/>
      <c r="D227" s="1065"/>
      <c r="E227" s="1065"/>
      <c r="F227" s="1065"/>
      <c r="G227" s="1065"/>
      <c r="H227" s="1065"/>
      <c r="I227" s="1065"/>
      <c r="J227" s="96"/>
      <c r="K227" s="96"/>
      <c r="S227" s="1065"/>
      <c r="T227" s="1065"/>
      <c r="V227" s="96"/>
      <c r="X227" s="298"/>
    </row>
    <row r="228" spans="3:24">
      <c r="C228" s="296"/>
      <c r="D228" s="1704" t="s">
        <v>758</v>
      </c>
      <c r="E228" s="1704"/>
      <c r="F228" s="1704"/>
      <c r="G228" s="1704"/>
      <c r="H228" s="1704"/>
      <c r="I228" s="1706"/>
      <c r="J228" s="1719">
        <f ca="1">J310</f>
        <v>0</v>
      </c>
      <c r="K228" s="1711"/>
      <c r="L228" s="1712"/>
      <c r="S228" s="1065"/>
      <c r="T228" s="1065"/>
      <c r="X228" s="298"/>
    </row>
    <row r="229" spans="3:24" ht="5.0999999999999996" customHeight="1">
      <c r="C229" s="296"/>
      <c r="D229" s="1065"/>
      <c r="E229" s="1065"/>
      <c r="F229" s="1065"/>
      <c r="G229" s="1065"/>
      <c r="H229" s="1065"/>
      <c r="I229" s="1065"/>
      <c r="J229" s="96"/>
      <c r="K229" s="96"/>
      <c r="S229" s="1065"/>
      <c r="T229" s="1065"/>
      <c r="V229" s="96"/>
      <c r="X229" s="298"/>
    </row>
    <row r="230" spans="3:24">
      <c r="C230" s="296"/>
      <c r="D230" s="1704" t="s">
        <v>759</v>
      </c>
      <c r="E230" s="1704"/>
      <c r="F230" s="1704"/>
      <c r="G230" s="1704"/>
      <c r="H230" s="1704"/>
      <c r="I230" s="1706"/>
      <c r="J230" s="1719">
        <f ca="1">J312</f>
        <v>0</v>
      </c>
      <c r="K230" s="1711"/>
      <c r="L230" s="1712"/>
      <c r="S230" s="1065"/>
      <c r="T230" s="1065"/>
      <c r="X230" s="298"/>
    </row>
    <row r="231" spans="3:24" ht="5.0999999999999996" customHeight="1">
      <c r="C231" s="296"/>
      <c r="D231" s="1065"/>
      <c r="E231" s="1065"/>
      <c r="F231" s="1065"/>
      <c r="G231" s="1065"/>
      <c r="H231" s="1065"/>
      <c r="I231" s="1065"/>
      <c r="S231" s="1065"/>
      <c r="T231" s="1065"/>
      <c r="V231" s="96"/>
      <c r="X231" s="298"/>
    </row>
    <row r="232" spans="3:24">
      <c r="C232" s="296"/>
      <c r="D232" s="1704" t="s">
        <v>760</v>
      </c>
      <c r="E232" s="1704"/>
      <c r="F232" s="1704"/>
      <c r="G232" s="1704"/>
      <c r="H232" s="1704"/>
      <c r="I232" s="1705"/>
      <c r="J232" s="1707"/>
      <c r="K232" s="1708"/>
      <c r="L232" s="1709"/>
      <c r="S232" s="1065"/>
      <c r="T232" s="1065"/>
      <c r="U232" s="215"/>
      <c r="V232" s="96"/>
      <c r="X232" s="298"/>
    </row>
    <row r="233" spans="3:24" ht="5.0999999999999996" customHeight="1">
      <c r="C233" s="296"/>
      <c r="D233" s="1065"/>
      <c r="E233" s="1065"/>
      <c r="F233" s="1065"/>
      <c r="G233" s="1065"/>
      <c r="H233" s="1065"/>
      <c r="I233" s="1065"/>
      <c r="S233" s="1065"/>
      <c r="T233" s="1065"/>
      <c r="V233" s="96"/>
      <c r="X233" s="298"/>
    </row>
    <row r="234" spans="3:24">
      <c r="C234" s="296"/>
      <c r="D234" s="1704" t="s">
        <v>761</v>
      </c>
      <c r="E234" s="1704"/>
      <c r="F234" s="1704"/>
      <c r="G234" s="1704"/>
      <c r="H234" s="1704"/>
      <c r="I234" s="1706"/>
      <c r="J234" s="1716">
        <f ca="1">J314</f>
        <v>0</v>
      </c>
      <c r="K234" s="1717"/>
      <c r="L234" s="1718"/>
      <c r="S234" s="1065"/>
      <c r="T234" s="1065"/>
      <c r="X234" s="298"/>
    </row>
    <row r="235" spans="3:24" ht="5.0999999999999996" customHeight="1">
      <c r="C235" s="296"/>
      <c r="D235" s="1065"/>
      <c r="E235" s="1065"/>
      <c r="F235" s="1065"/>
      <c r="G235" s="1065"/>
      <c r="H235" s="1065"/>
      <c r="I235" s="1065"/>
      <c r="S235" s="1065"/>
      <c r="T235" s="1065"/>
      <c r="V235" s="96"/>
      <c r="X235" s="298"/>
    </row>
    <row r="236" spans="3:24" ht="14.95" customHeight="1">
      <c r="C236" s="296"/>
      <c r="D236" s="1728" t="s">
        <v>762</v>
      </c>
      <c r="E236" s="1728"/>
      <c r="F236" s="1728"/>
      <c r="G236" s="1728"/>
      <c r="H236" s="1728"/>
      <c r="I236" s="1728"/>
      <c r="J236" s="1719">
        <f ca="1">J316</f>
        <v>0</v>
      </c>
      <c r="K236" s="1720"/>
      <c r="L236" s="1721"/>
      <c r="S236" s="1065"/>
      <c r="T236" s="1065"/>
      <c r="X236" s="298"/>
    </row>
    <row r="237" spans="3:24" ht="7.5" customHeight="1">
      <c r="C237" s="296"/>
      <c r="D237" s="1728"/>
      <c r="E237" s="1728"/>
      <c r="F237" s="1728"/>
      <c r="G237" s="1728"/>
      <c r="H237" s="1728"/>
      <c r="I237" s="1728"/>
      <c r="S237" s="1065"/>
      <c r="T237" s="1065"/>
      <c r="V237" s="96"/>
      <c r="X237" s="298"/>
    </row>
    <row r="238" spans="3:24">
      <c r="C238" s="296"/>
      <c r="D238" s="1704" t="s">
        <v>707</v>
      </c>
      <c r="E238" s="1704"/>
      <c r="F238" s="1704"/>
      <c r="G238" s="1704"/>
      <c r="H238" s="1704"/>
      <c r="I238" s="1706"/>
      <c r="J238" s="1722">
        <f ca="1">U320</f>
        <v>2</v>
      </c>
      <c r="K238" s="1723"/>
      <c r="L238" s="1724"/>
      <c r="S238" s="1065"/>
      <c r="T238" s="1065"/>
      <c r="X238" s="298"/>
    </row>
    <row r="239" spans="3:24" ht="5.0999999999999996" customHeight="1">
      <c r="C239" s="296"/>
      <c r="D239" s="1065"/>
      <c r="E239" s="1065"/>
      <c r="F239" s="1065"/>
      <c r="G239" s="1065"/>
      <c r="H239" s="1065"/>
      <c r="I239" s="1065"/>
      <c r="S239" s="1065"/>
      <c r="T239" s="1065"/>
      <c r="X239" s="298"/>
    </row>
    <row r="240" spans="3:24">
      <c r="C240" s="296"/>
      <c r="D240" s="1704" t="s">
        <v>763</v>
      </c>
      <c r="E240" s="1704"/>
      <c r="F240" s="1704"/>
      <c r="G240" s="1704"/>
      <c r="H240" s="1704"/>
      <c r="I240" s="1706"/>
      <c r="J240" s="1725" t="str">
        <f ca="1">J306</f>
        <v>Enter on "Customer Authorization" tab</v>
      </c>
      <c r="K240" s="1726"/>
      <c r="L240" s="1727"/>
      <c r="O240" s="1704" t="s">
        <v>764</v>
      </c>
      <c r="P240" s="1704"/>
      <c r="Q240" s="1704"/>
      <c r="R240" s="1704"/>
      <c r="S240" s="1704"/>
      <c r="T240" s="1705"/>
      <c r="U240" s="1707" t="str">
        <f>J304</f>
        <v>Full</v>
      </c>
      <c r="V240" s="1709"/>
      <c r="X240" s="298"/>
    </row>
    <row r="241" spans="2:24" ht="5.0999999999999996" customHeight="1">
      <c r="C241" s="297"/>
      <c r="D241" s="214"/>
      <c r="E241" s="214"/>
      <c r="F241" s="214"/>
      <c r="G241" s="214"/>
      <c r="H241" s="214"/>
      <c r="I241" s="214"/>
      <c r="J241" s="214"/>
      <c r="K241" s="214"/>
      <c r="L241" s="214"/>
      <c r="M241" s="214"/>
      <c r="N241" s="214"/>
      <c r="O241" s="214"/>
      <c r="P241" s="214"/>
      <c r="Q241" s="214"/>
      <c r="R241" s="214"/>
      <c r="S241" s="214"/>
      <c r="T241" s="214"/>
      <c r="U241" s="214"/>
      <c r="V241" s="214"/>
      <c r="W241" s="214"/>
      <c r="X241" s="299"/>
    </row>
    <row r="242" spans="2:24" ht="5.0999999999999996" customHeight="1"/>
    <row r="243" spans="2:24" ht="5.0999999999999996" customHeight="1">
      <c r="C243" s="701"/>
      <c r="D243" s="690"/>
      <c r="E243" s="690"/>
      <c r="F243" s="690"/>
      <c r="G243" s="690"/>
      <c r="H243" s="690"/>
      <c r="I243" s="690"/>
      <c r="J243" s="690"/>
      <c r="K243" s="690"/>
      <c r="L243" s="690"/>
      <c r="M243" s="690"/>
      <c r="N243" s="690"/>
      <c r="O243" s="690"/>
      <c r="P243" s="690"/>
      <c r="Q243" s="690"/>
      <c r="R243" s="690"/>
      <c r="S243" s="690"/>
      <c r="T243" s="690"/>
      <c r="U243" s="690"/>
      <c r="V243" s="690"/>
      <c r="W243" s="690"/>
      <c r="X243" s="702"/>
    </row>
    <row r="244" spans="2:24">
      <c r="C244" s="296"/>
      <c r="D244" s="1767" t="s">
        <v>765</v>
      </c>
      <c r="E244" s="1767"/>
      <c r="F244" s="1767"/>
      <c r="G244" s="1767"/>
      <c r="H244" s="1767"/>
      <c r="I244" s="1767"/>
      <c r="J244" s="1767"/>
      <c r="K244" s="1767"/>
      <c r="L244" s="1767"/>
      <c r="M244" s="1767"/>
      <c r="N244" s="1767"/>
      <c r="O244" s="1767"/>
      <c r="P244" s="1767"/>
      <c r="Q244" s="1767"/>
      <c r="R244" s="1767"/>
      <c r="S244" s="1767"/>
      <c r="T244" s="1767"/>
      <c r="U244" s="1767"/>
      <c r="V244" s="1767"/>
      <c r="W244" s="1767"/>
      <c r="X244" s="298"/>
    </row>
    <row r="245" spans="2:24" ht="5.0999999999999996" customHeight="1">
      <c r="C245" s="296"/>
      <c r="X245" s="298"/>
    </row>
    <row r="246" spans="2:24">
      <c r="C246" s="296"/>
      <c r="D246" s="1714" t="s">
        <v>766</v>
      </c>
      <c r="E246" s="1714"/>
      <c r="F246" s="1714"/>
      <c r="G246" s="1714"/>
      <c r="H246" s="1714"/>
      <c r="I246" s="1715"/>
      <c r="J246" s="1719">
        <f ca="1">J457</f>
        <v>0</v>
      </c>
      <c r="K246" s="1720"/>
      <c r="L246" s="1721"/>
      <c r="X246" s="298"/>
    </row>
    <row r="247" spans="2:24" ht="5.0999999999999996" customHeight="1">
      <c r="C247" s="296"/>
      <c r="I247" s="44"/>
      <c r="J247" s="96"/>
      <c r="K247" s="96"/>
      <c r="X247" s="298"/>
    </row>
    <row r="248" spans="2:24">
      <c r="C248" s="296"/>
      <c r="D248" s="1714" t="s">
        <v>767</v>
      </c>
      <c r="E248" s="1714"/>
      <c r="F248" s="1714"/>
      <c r="G248" s="1714"/>
      <c r="H248" s="1714"/>
      <c r="I248" s="1715"/>
      <c r="J248" s="1771">
        <f ca="1">J459</f>
        <v>0</v>
      </c>
      <c r="K248" s="1772"/>
      <c r="L248" s="1773"/>
      <c r="O248" s="1714" t="s">
        <v>768</v>
      </c>
      <c r="P248" s="1714"/>
      <c r="Q248" s="1714"/>
      <c r="R248" s="1714"/>
      <c r="S248" s="1714"/>
      <c r="T248" s="1715"/>
      <c r="U248" s="1759">
        <f ca="1">U459</f>
        <v>0</v>
      </c>
      <c r="V248" s="1761"/>
      <c r="X248" s="298"/>
    </row>
    <row r="249" spans="2:24" ht="5.0999999999999996" customHeight="1">
      <c r="C249" s="297"/>
      <c r="D249" s="214"/>
      <c r="E249" s="214"/>
      <c r="F249" s="214"/>
      <c r="G249" s="214"/>
      <c r="H249" s="214"/>
      <c r="I249" s="214"/>
      <c r="J249" s="214"/>
      <c r="K249" s="214"/>
      <c r="L249" s="214"/>
      <c r="M249" s="214"/>
      <c r="N249" s="214"/>
      <c r="O249" s="214"/>
      <c r="P249" s="214"/>
      <c r="Q249" s="214"/>
      <c r="R249" s="214"/>
      <c r="S249" s="214"/>
      <c r="T249" s="214"/>
      <c r="U249" s="214"/>
      <c r="V249" s="214"/>
      <c r="W249" s="214"/>
      <c r="X249" s="299"/>
    </row>
    <row r="250" spans="2:24" ht="5.0999999999999996" customHeight="1"/>
    <row r="252" spans="2:24" ht="7.5" customHeight="1"/>
    <row r="254" spans="2:24">
      <c r="C254" s="1150"/>
      <c r="D254" s="1150"/>
      <c r="E254" s="1150"/>
      <c r="F254" s="1150"/>
      <c r="G254" s="1150"/>
      <c r="H254" s="1150"/>
      <c r="I254" s="1150"/>
      <c r="J254" s="1150"/>
      <c r="K254" s="1150"/>
      <c r="L254" s="1150"/>
      <c r="M254" s="1150"/>
      <c r="N254" s="1150"/>
      <c r="O254" s="1150"/>
      <c r="P254" s="1150"/>
      <c r="Q254" s="1150"/>
      <c r="R254" s="1150"/>
      <c r="S254" s="1150"/>
      <c r="T254" s="1150"/>
      <c r="U254" s="1150"/>
      <c r="V254" s="1150"/>
      <c r="W254" s="1150"/>
      <c r="X254" s="1150"/>
    </row>
    <row r="255" spans="2:24" ht="21.75" thickBot="1">
      <c r="B255" s="1149"/>
      <c r="I255" s="1900">
        <f>M22</f>
        <v>0</v>
      </c>
      <c r="J255" s="1900"/>
      <c r="K255" s="352"/>
      <c r="L255" s="352" t="s">
        <v>769</v>
      </c>
      <c r="M255" s="352"/>
      <c r="N255" s="352"/>
      <c r="O255" s="352"/>
      <c r="P255" s="352"/>
      <c r="Q255" s="352"/>
      <c r="R255" s="352"/>
      <c r="S255" s="352"/>
      <c r="T255" s="352"/>
      <c r="U255" s="352"/>
      <c r="V255" s="352"/>
      <c r="W255" s="352"/>
      <c r="X255" s="352"/>
    </row>
    <row r="256" spans="2:24" ht="14.95" customHeight="1">
      <c r="B256" s="1149"/>
      <c r="H256" s="1807" t="s">
        <v>709</v>
      </c>
      <c r="I256" s="1808"/>
      <c r="J256" s="1808"/>
      <c r="K256" s="1808"/>
      <c r="L256" s="1808"/>
      <c r="M256" s="1808"/>
      <c r="N256" s="1808"/>
      <c r="O256" s="1808"/>
      <c r="P256" s="1808"/>
      <c r="Q256" s="1808"/>
      <c r="R256" s="1808"/>
      <c r="S256" s="1808"/>
      <c r="T256" s="1808"/>
      <c r="U256" s="1808"/>
      <c r="V256" s="1808"/>
      <c r="W256" s="1808"/>
      <c r="X256" s="1809"/>
    </row>
    <row r="257" spans="2:24" ht="14.95" customHeight="1">
      <c r="B257" s="1149"/>
      <c r="H257" s="1810"/>
      <c r="I257" s="1811"/>
      <c r="J257" s="1811"/>
      <c r="K257" s="1811"/>
      <c r="L257" s="1811"/>
      <c r="M257" s="1811"/>
      <c r="N257" s="1811"/>
      <c r="O257" s="1811"/>
      <c r="P257" s="1811"/>
      <c r="Q257" s="1811"/>
      <c r="R257" s="1811"/>
      <c r="S257" s="1811"/>
      <c r="T257" s="1811"/>
      <c r="U257" s="1811"/>
      <c r="V257" s="1811"/>
      <c r="W257" s="1811"/>
      <c r="X257" s="1812"/>
    </row>
    <row r="258" spans="2:24">
      <c r="B258" s="1149"/>
      <c r="H258" s="1810"/>
      <c r="I258" s="1811"/>
      <c r="J258" s="1811"/>
      <c r="K258" s="1811"/>
      <c r="L258" s="1811"/>
      <c r="M258" s="1811"/>
      <c r="N258" s="1811"/>
      <c r="O258" s="1811"/>
      <c r="P258" s="1811"/>
      <c r="Q258" s="1811"/>
      <c r="R258" s="1811"/>
      <c r="S258" s="1811"/>
      <c r="T258" s="1811"/>
      <c r="U258" s="1811"/>
      <c r="V258" s="1811"/>
      <c r="W258" s="1811"/>
      <c r="X258" s="1812"/>
    </row>
    <row r="259" spans="2:24">
      <c r="B259" s="1149"/>
      <c r="H259" s="1810"/>
      <c r="I259" s="1811"/>
      <c r="J259" s="1811"/>
      <c r="K259" s="1811"/>
      <c r="L259" s="1811"/>
      <c r="M259" s="1811"/>
      <c r="N259" s="1811"/>
      <c r="O259" s="1811"/>
      <c r="P259" s="1811"/>
      <c r="Q259" s="1811"/>
      <c r="R259" s="1811"/>
      <c r="S259" s="1811"/>
      <c r="T259" s="1811"/>
      <c r="U259" s="1811"/>
      <c r="V259" s="1811"/>
      <c r="W259" s="1811"/>
      <c r="X259" s="1812"/>
    </row>
    <row r="260" spans="2:24" ht="14.95" customHeight="1">
      <c r="B260" s="1149"/>
      <c r="H260" s="1810"/>
      <c r="I260" s="1811"/>
      <c r="J260" s="1811"/>
      <c r="K260" s="1811"/>
      <c r="L260" s="1811"/>
      <c r="M260" s="1811"/>
      <c r="N260" s="1811"/>
      <c r="O260" s="1811"/>
      <c r="P260" s="1811"/>
      <c r="Q260" s="1811"/>
      <c r="R260" s="1811"/>
      <c r="S260" s="1811"/>
      <c r="T260" s="1811"/>
      <c r="U260" s="1811"/>
      <c r="V260" s="1811"/>
      <c r="W260" s="1811"/>
      <c r="X260" s="1812"/>
    </row>
    <row r="261" spans="2:24" ht="14.95" thickBot="1">
      <c r="B261" s="1149"/>
      <c r="H261" s="1813"/>
      <c r="I261" s="1814"/>
      <c r="J261" s="1814"/>
      <c r="K261" s="1814"/>
      <c r="L261" s="1814"/>
      <c r="M261" s="1814"/>
      <c r="N261" s="1814"/>
      <c r="O261" s="1814"/>
      <c r="P261" s="1814"/>
      <c r="Q261" s="1814"/>
      <c r="R261" s="1814"/>
      <c r="S261" s="1814"/>
      <c r="T261" s="1814"/>
      <c r="U261" s="1814"/>
      <c r="V261" s="1814"/>
      <c r="W261" s="1814"/>
      <c r="X261" s="1815"/>
    </row>
    <row r="262" spans="2:24">
      <c r="B262" s="1149"/>
    </row>
    <row r="263" spans="2:24" ht="5.0999999999999996" customHeight="1">
      <c r="B263" s="1149"/>
      <c r="C263" s="701"/>
      <c r="D263" s="690"/>
      <c r="E263" s="690"/>
      <c r="F263" s="690"/>
      <c r="G263" s="690"/>
      <c r="H263" s="690"/>
      <c r="I263" s="690"/>
      <c r="J263" s="690"/>
      <c r="K263" s="690"/>
      <c r="L263" s="690"/>
      <c r="M263" s="690"/>
      <c r="N263" s="690"/>
      <c r="O263" s="690"/>
      <c r="P263" s="690"/>
      <c r="Q263" s="690"/>
      <c r="R263" s="690"/>
      <c r="S263" s="690"/>
      <c r="T263" s="690"/>
      <c r="U263" s="690"/>
      <c r="V263" s="690"/>
      <c r="W263" s="690"/>
      <c r="X263" s="702"/>
    </row>
    <row r="264" spans="2:24">
      <c r="B264" s="1149"/>
      <c r="C264" s="296"/>
      <c r="D264" s="1767" t="s">
        <v>710</v>
      </c>
      <c r="E264" s="1767"/>
      <c r="F264" s="1767"/>
      <c r="G264" s="1767"/>
      <c r="H264" s="1767"/>
      <c r="I264" s="1767"/>
      <c r="J264" s="1767"/>
      <c r="K264" s="1767"/>
      <c r="L264" s="1767"/>
      <c r="M264" s="1767"/>
      <c r="N264" s="1767"/>
      <c r="O264" s="1767"/>
      <c r="P264" s="1767"/>
      <c r="Q264" s="1767"/>
      <c r="R264" s="1767"/>
      <c r="S264" s="1767"/>
      <c r="T264" s="1767"/>
      <c r="U264" s="1767"/>
      <c r="V264" s="1767"/>
      <c r="W264" s="1767"/>
      <c r="X264" s="298"/>
    </row>
    <row r="265" spans="2:24" ht="5.0999999999999996" customHeight="1">
      <c r="B265" s="1149"/>
      <c r="C265" s="296"/>
      <c r="X265" s="298"/>
    </row>
    <row r="266" spans="2:24">
      <c r="B266" s="1149"/>
      <c r="C266" s="296"/>
      <c r="D266" s="1704" t="s">
        <v>711</v>
      </c>
      <c r="E266" s="1704"/>
      <c r="F266" s="1704"/>
      <c r="G266" s="1704"/>
      <c r="H266" s="1704"/>
      <c r="I266" s="1706"/>
      <c r="J266" s="1710">
        <f>M24</f>
        <v>0</v>
      </c>
      <c r="K266" s="1711"/>
      <c r="L266" s="1712"/>
      <c r="N266" s="32"/>
      <c r="O266" s="1704" t="s">
        <v>637</v>
      </c>
      <c r="P266" s="1704"/>
      <c r="Q266" s="1704"/>
      <c r="R266" s="1704"/>
      <c r="S266" s="1704"/>
      <c r="T266" s="1706"/>
      <c r="U266" s="1710">
        <f>M26</f>
        <v>0</v>
      </c>
      <c r="V266" s="1712"/>
      <c r="X266" s="298"/>
    </row>
    <row r="267" spans="2:24" ht="5.0999999999999996" customHeight="1">
      <c r="B267" s="1149"/>
      <c r="C267" s="296"/>
      <c r="D267" s="1065"/>
      <c r="E267" s="1065"/>
      <c r="F267" s="1065"/>
      <c r="G267" s="1065"/>
      <c r="H267" s="1065"/>
      <c r="I267" s="1066"/>
      <c r="J267" s="353"/>
      <c r="K267" s="353"/>
      <c r="N267" s="353"/>
      <c r="O267" s="353"/>
      <c r="P267" s="343"/>
      <c r="Q267" s="343"/>
      <c r="R267" s="344"/>
      <c r="U267" s="348"/>
      <c r="V267" s="348"/>
      <c r="X267" s="298"/>
    </row>
    <row r="268" spans="2:24">
      <c r="B268" s="1149"/>
      <c r="C268" s="296"/>
      <c r="D268" s="1704" t="s">
        <v>712</v>
      </c>
      <c r="E268" s="1704"/>
      <c r="F268" s="1704"/>
      <c r="G268" s="1704"/>
      <c r="H268" s="1704"/>
      <c r="I268" s="1705"/>
      <c r="J268" s="1707"/>
      <c r="K268" s="1708"/>
      <c r="L268" s="1709"/>
      <c r="N268" s="32"/>
      <c r="O268" s="32"/>
      <c r="X268" s="298"/>
    </row>
    <row r="269" spans="2:24" ht="5.0999999999999996" customHeight="1">
      <c r="B269" s="1149"/>
      <c r="C269" s="296"/>
      <c r="D269" s="1065"/>
      <c r="E269" s="1065"/>
      <c r="F269" s="1065"/>
      <c r="G269" s="1065"/>
      <c r="H269" s="1065"/>
      <c r="I269" s="1065"/>
      <c r="J269" s="10"/>
      <c r="K269" s="10"/>
      <c r="N269" s="10"/>
      <c r="O269" s="10"/>
      <c r="P269" s="10"/>
      <c r="Q269" s="10"/>
      <c r="R269" s="10"/>
      <c r="X269" s="298"/>
    </row>
    <row r="270" spans="2:24" ht="14.95" customHeight="1">
      <c r="B270" s="1149"/>
      <c r="C270" s="296"/>
      <c r="D270" s="1728" t="s">
        <v>770</v>
      </c>
      <c r="E270" s="1728"/>
      <c r="F270" s="1728"/>
      <c r="G270" s="1728"/>
      <c r="H270" s="1728"/>
      <c r="I270" s="1728"/>
      <c r="J270" s="1707"/>
      <c r="K270" s="1708"/>
      <c r="L270" s="1709"/>
      <c r="N270" s="354"/>
      <c r="O270" s="354"/>
      <c r="P270" s="10"/>
      <c r="Q270" s="10"/>
      <c r="R270" s="10"/>
      <c r="X270" s="298"/>
    </row>
    <row r="271" spans="2:24" ht="7.5" customHeight="1">
      <c r="B271" s="1149"/>
      <c r="C271" s="297"/>
      <c r="D271" s="1836"/>
      <c r="E271" s="1836"/>
      <c r="F271" s="1836"/>
      <c r="G271" s="1836"/>
      <c r="H271" s="1836"/>
      <c r="I271" s="1836"/>
      <c r="J271" s="355"/>
      <c r="K271" s="355"/>
      <c r="L271" s="356"/>
      <c r="M271" s="356"/>
      <c r="N271" s="356"/>
      <c r="O271" s="356"/>
      <c r="P271" s="214"/>
      <c r="Q271" s="214"/>
      <c r="R271" s="214"/>
      <c r="S271" s="214"/>
      <c r="T271" s="214"/>
      <c r="U271" s="214"/>
      <c r="V271" s="214"/>
      <c r="W271" s="214"/>
      <c r="X271" s="299"/>
    </row>
    <row r="272" spans="2:24" ht="5.0999999999999996" customHeight="1">
      <c r="B272" s="1149"/>
    </row>
    <row r="273" spans="2:24" ht="5.0999999999999996" customHeight="1">
      <c r="B273" s="1149"/>
      <c r="C273" s="701"/>
      <c r="D273" s="690"/>
      <c r="E273" s="690"/>
      <c r="F273" s="690"/>
      <c r="G273" s="690"/>
      <c r="H273" s="690"/>
      <c r="I273" s="690"/>
      <c r="J273" s="690"/>
      <c r="K273" s="690"/>
      <c r="L273" s="690"/>
      <c r="M273" s="690"/>
      <c r="N273" s="690"/>
      <c r="O273" s="690"/>
      <c r="P273" s="690"/>
      <c r="Q273" s="690"/>
      <c r="R273" s="690"/>
      <c r="S273" s="690"/>
      <c r="T273" s="690"/>
      <c r="U273" s="690"/>
      <c r="V273" s="690"/>
      <c r="W273" s="690"/>
      <c r="X273" s="702"/>
    </row>
    <row r="274" spans="2:24">
      <c r="B274" s="1149"/>
      <c r="C274" s="296"/>
      <c r="D274" s="1767" t="s">
        <v>771</v>
      </c>
      <c r="E274" s="1767"/>
      <c r="F274" s="1767"/>
      <c r="G274" s="1767"/>
      <c r="H274" s="1767"/>
      <c r="I274" s="1767"/>
      <c r="J274" s="1767"/>
      <c r="K274" s="1767"/>
      <c r="L274" s="1767"/>
      <c r="M274" s="1767"/>
      <c r="N274" s="1767"/>
      <c r="O274" s="1767"/>
      <c r="P274" s="1767"/>
      <c r="Q274" s="1767"/>
      <c r="R274" s="1767"/>
      <c r="S274" s="1767"/>
      <c r="T274" s="1767"/>
      <c r="U274" s="1767"/>
      <c r="V274" s="1767"/>
      <c r="W274" s="1767"/>
      <c r="X274" s="298"/>
    </row>
    <row r="275" spans="2:24" ht="5.0999999999999996" customHeight="1">
      <c r="B275" s="1149"/>
      <c r="C275" s="296"/>
      <c r="X275" s="298"/>
    </row>
    <row r="276" spans="2:24" ht="14.95" customHeight="1">
      <c r="B276" s="1149"/>
      <c r="C276" s="296"/>
      <c r="D276" s="1728" t="s">
        <v>2052</v>
      </c>
      <c r="E276" s="1728"/>
      <c r="F276" s="1728"/>
      <c r="G276" s="1728"/>
      <c r="H276" s="1728"/>
      <c r="I276" s="1728"/>
      <c r="J276" s="1710" t="str">
        <f>IF(S24&lt;&gt;"","Yes","No")</f>
        <v>No</v>
      </c>
      <c r="K276" s="1711"/>
      <c r="L276" s="1712"/>
      <c r="O276" s="1704" t="s">
        <v>773</v>
      </c>
      <c r="P276" s="1704"/>
      <c r="Q276" s="1704"/>
      <c r="R276" s="1704"/>
      <c r="S276" s="1704"/>
      <c r="T276" s="1705"/>
      <c r="U276" s="1886" t="s">
        <v>774</v>
      </c>
      <c r="V276" s="1887"/>
      <c r="X276" s="298"/>
    </row>
    <row r="277" spans="2:24">
      <c r="B277" s="1149"/>
      <c r="C277" s="296"/>
      <c r="D277" s="1728"/>
      <c r="E277" s="1728"/>
      <c r="F277" s="1728"/>
      <c r="G277" s="1728"/>
      <c r="H277" s="1728"/>
      <c r="I277" s="1728"/>
      <c r="O277" s="1065"/>
      <c r="P277" s="1065"/>
      <c r="Q277" s="1065"/>
      <c r="R277" s="1065"/>
      <c r="S277" s="1065"/>
      <c r="T277" s="1065"/>
      <c r="U277" s="1888"/>
      <c r="V277" s="1889"/>
      <c r="X277" s="298"/>
    </row>
    <row r="278" spans="2:24">
      <c r="B278" s="1149"/>
      <c r="C278" s="296"/>
      <c r="D278" s="1065"/>
      <c r="E278" s="1065"/>
      <c r="F278" s="1065"/>
      <c r="G278" s="1065"/>
      <c r="H278" s="1065"/>
      <c r="I278" s="1065"/>
      <c r="N278" s="207"/>
      <c r="O278" s="1081"/>
      <c r="P278" s="1065"/>
      <c r="Q278" s="1065"/>
      <c r="R278" s="1065"/>
      <c r="S278" s="1065"/>
      <c r="T278" s="1065"/>
      <c r="U278" s="1890"/>
      <c r="V278" s="1891"/>
      <c r="X278" s="298"/>
    </row>
    <row r="279" spans="2:24" ht="5.0999999999999996" customHeight="1">
      <c r="B279" s="1149"/>
      <c r="C279" s="296"/>
      <c r="D279" s="1065"/>
      <c r="E279" s="1065"/>
      <c r="F279" s="1065"/>
      <c r="G279" s="1065"/>
      <c r="H279" s="1065"/>
      <c r="I279" s="1065"/>
      <c r="O279" s="1065"/>
      <c r="P279" s="1065"/>
      <c r="Q279" s="1065"/>
      <c r="R279" s="1065"/>
      <c r="S279" s="1065"/>
      <c r="T279" s="1065"/>
      <c r="U279" s="447"/>
      <c r="V279" s="447"/>
      <c r="X279" s="298"/>
    </row>
    <row r="280" spans="2:24">
      <c r="B280" s="1149"/>
      <c r="C280" s="296"/>
      <c r="D280" s="1704" t="s">
        <v>775</v>
      </c>
      <c r="E280" s="1704"/>
      <c r="F280" s="1704"/>
      <c r="G280" s="1704"/>
      <c r="H280" s="1704"/>
      <c r="I280" s="1705"/>
      <c r="J280" s="1710">
        <f ca="1">DATA!AR4</f>
        <v>0</v>
      </c>
      <c r="K280" s="1711"/>
      <c r="L280" s="1712"/>
      <c r="N280" s="357"/>
      <c r="O280" s="1704" t="s">
        <v>776</v>
      </c>
      <c r="P280" s="1704"/>
      <c r="Q280" s="1704"/>
      <c r="R280" s="1704"/>
      <c r="S280" s="1704"/>
      <c r="T280" s="1705"/>
      <c r="U280" s="1710" t="str">
        <f ca="1">DATA!V4</f>
        <v/>
      </c>
      <c r="V280" s="1712"/>
      <c r="X280" s="298"/>
    </row>
    <row r="281" spans="2:24" ht="5.0999999999999996" customHeight="1">
      <c r="B281" s="1149"/>
      <c r="C281" s="296"/>
      <c r="D281" s="1065"/>
      <c r="E281" s="1065"/>
      <c r="F281" s="1065"/>
      <c r="G281" s="1065"/>
      <c r="H281" s="1065"/>
      <c r="I281" s="1065"/>
      <c r="J281" s="447"/>
      <c r="K281" s="447"/>
      <c r="L281" s="447"/>
      <c r="N281" s="350"/>
      <c r="O281" s="1065"/>
      <c r="P281" s="1065"/>
      <c r="Q281" s="1065"/>
      <c r="R281" s="1065"/>
      <c r="S281" s="1065"/>
      <c r="T281" s="1065"/>
      <c r="U281" s="447"/>
      <c r="V281" s="447"/>
      <c r="X281" s="298"/>
    </row>
    <row r="282" spans="2:24" ht="14.95" customHeight="1">
      <c r="B282" s="1149"/>
      <c r="C282" s="296"/>
      <c r="D282" s="1728" t="s">
        <v>777</v>
      </c>
      <c r="E282" s="1728"/>
      <c r="F282" s="1728"/>
      <c r="G282" s="1728"/>
      <c r="H282" s="1728"/>
      <c r="I282" s="1837"/>
      <c r="J282" s="1838"/>
      <c r="K282" s="1839"/>
      <c r="L282" s="1840"/>
      <c r="N282" s="358"/>
      <c r="O282" s="1728" t="s">
        <v>778</v>
      </c>
      <c r="P282" s="1728"/>
      <c r="Q282" s="1728"/>
      <c r="R282" s="1728"/>
      <c r="S282" s="1728"/>
      <c r="T282" s="1837"/>
      <c r="U282" s="1848"/>
      <c r="V282" s="1849"/>
      <c r="X282" s="298"/>
    </row>
    <row r="283" spans="2:24">
      <c r="B283" s="1149"/>
      <c r="C283" s="296"/>
      <c r="D283" s="1728"/>
      <c r="E283" s="1728"/>
      <c r="F283" s="1728"/>
      <c r="G283" s="1728"/>
      <c r="H283" s="1728"/>
      <c r="I283" s="1837"/>
      <c r="J283" s="1841"/>
      <c r="K283" s="1842"/>
      <c r="L283" s="1843"/>
      <c r="N283" s="358"/>
      <c r="O283" s="1728"/>
      <c r="P283" s="1728"/>
      <c r="Q283" s="1728"/>
      <c r="R283" s="1728"/>
      <c r="S283" s="1728"/>
      <c r="T283" s="1837"/>
      <c r="U283" s="1850"/>
      <c r="V283" s="1851"/>
      <c r="X283" s="298"/>
    </row>
    <row r="284" spans="2:24">
      <c r="B284" s="1149"/>
      <c r="C284" s="296"/>
      <c r="D284" s="1728"/>
      <c r="E284" s="1728"/>
      <c r="F284" s="1728"/>
      <c r="G284" s="1728"/>
      <c r="H284" s="1728"/>
      <c r="I284" s="1837"/>
      <c r="J284" s="1844"/>
      <c r="K284" s="1845"/>
      <c r="L284" s="1846"/>
      <c r="N284" s="358"/>
      <c r="O284" s="1728"/>
      <c r="P284" s="1728"/>
      <c r="Q284" s="1728"/>
      <c r="R284" s="1728"/>
      <c r="S284" s="1728"/>
      <c r="T284" s="1837"/>
      <c r="U284" s="1852"/>
      <c r="V284" s="1853"/>
      <c r="X284" s="298"/>
    </row>
    <row r="285" spans="2:24" ht="5.0999999999999996" customHeight="1">
      <c r="B285" s="1149"/>
      <c r="C285" s="296"/>
      <c r="D285" s="1065"/>
      <c r="E285" s="1065"/>
      <c r="F285" s="1065"/>
      <c r="G285" s="1065"/>
      <c r="H285" s="1065"/>
      <c r="I285" s="1065"/>
      <c r="J285" s="350"/>
      <c r="K285" s="350"/>
      <c r="L285" s="350"/>
      <c r="M285" s="350"/>
      <c r="N285" s="350"/>
      <c r="O285" s="1065"/>
      <c r="P285" s="1065"/>
      <c r="Q285" s="1065"/>
      <c r="R285" s="1065"/>
      <c r="S285" s="1065"/>
      <c r="T285" s="1065"/>
      <c r="U285" s="350"/>
      <c r="V285" s="350"/>
      <c r="X285" s="298"/>
    </row>
    <row r="286" spans="2:24" ht="14.95" customHeight="1">
      <c r="B286" s="1149"/>
      <c r="C286" s="296"/>
      <c r="D286" s="1728" t="s">
        <v>779</v>
      </c>
      <c r="E286" s="1728"/>
      <c r="F286" s="1728"/>
      <c r="G286" s="1728"/>
      <c r="H286" s="1728"/>
      <c r="I286" s="1847"/>
      <c r="J286" s="1838" t="s">
        <v>780</v>
      </c>
      <c r="K286" s="1839"/>
      <c r="L286" s="1840"/>
      <c r="N286" s="357"/>
      <c r="O286" s="1704" t="s">
        <v>781</v>
      </c>
      <c r="P286" s="1704"/>
      <c r="Q286" s="1704"/>
      <c r="R286" s="1704"/>
      <c r="S286" s="1704"/>
      <c r="T286" s="1706"/>
      <c r="U286" s="1848" t="s">
        <v>780</v>
      </c>
      <c r="V286" s="1849"/>
      <c r="X286" s="298"/>
    </row>
    <row r="287" spans="2:24">
      <c r="C287" s="296"/>
      <c r="D287" s="1728"/>
      <c r="E287" s="1728"/>
      <c r="F287" s="1728"/>
      <c r="G287" s="1728"/>
      <c r="H287" s="1728"/>
      <c r="I287" s="1847"/>
      <c r="J287" s="1841"/>
      <c r="K287" s="1842"/>
      <c r="L287" s="1843"/>
      <c r="N287" s="357"/>
      <c r="O287" s="1081"/>
      <c r="P287" s="1065"/>
      <c r="Q287" s="1065"/>
      <c r="R287" s="1065"/>
      <c r="S287" s="1065"/>
      <c r="T287" s="1065"/>
      <c r="U287" s="1850"/>
      <c r="V287" s="1851"/>
      <c r="X287" s="298"/>
    </row>
    <row r="288" spans="2:24">
      <c r="C288" s="296"/>
      <c r="D288" s="1065"/>
      <c r="E288" s="1065"/>
      <c r="F288" s="1065"/>
      <c r="G288" s="1065"/>
      <c r="H288" s="1065"/>
      <c r="I288" s="1066"/>
      <c r="J288" s="1844"/>
      <c r="K288" s="1845"/>
      <c r="L288" s="1846"/>
      <c r="N288" s="357"/>
      <c r="O288" s="1081"/>
      <c r="P288" s="1065"/>
      <c r="Q288" s="1065"/>
      <c r="R288" s="1065"/>
      <c r="S288" s="1065"/>
      <c r="T288" s="1065"/>
      <c r="U288" s="1852"/>
      <c r="V288" s="1853"/>
      <c r="X288" s="298"/>
    </row>
    <row r="289" spans="3:24" ht="5.0999999999999996" customHeight="1">
      <c r="C289" s="296"/>
      <c r="D289" s="1065"/>
      <c r="E289" s="1065"/>
      <c r="F289" s="1065"/>
      <c r="G289" s="1065"/>
      <c r="H289" s="1065"/>
      <c r="I289" s="1065"/>
      <c r="J289" s="350"/>
      <c r="K289" s="350"/>
      <c r="N289" s="350"/>
      <c r="O289" s="1065"/>
      <c r="P289" s="1065"/>
      <c r="Q289" s="1065"/>
      <c r="R289" s="1065"/>
      <c r="S289" s="1065"/>
      <c r="T289" s="1065"/>
      <c r="U289" s="350"/>
      <c r="V289" s="350"/>
      <c r="X289" s="298"/>
    </row>
    <row r="290" spans="3:24" ht="14.95" customHeight="1">
      <c r="C290" s="296"/>
      <c r="D290" s="1728" t="s">
        <v>782</v>
      </c>
      <c r="E290" s="1728"/>
      <c r="F290" s="1728"/>
      <c r="G290" s="1728"/>
      <c r="H290" s="1728"/>
      <c r="I290" s="1847"/>
      <c r="J290" s="1838" t="s">
        <v>780</v>
      </c>
      <c r="K290" s="1839"/>
      <c r="L290" s="1840"/>
      <c r="N290" s="357"/>
      <c r="O290" s="1704" t="s">
        <v>783</v>
      </c>
      <c r="P290" s="1704"/>
      <c r="Q290" s="1704"/>
      <c r="R290" s="1704"/>
      <c r="S290" s="1704"/>
      <c r="T290" s="1705"/>
      <c r="U290" s="1848" t="s">
        <v>2054</v>
      </c>
      <c r="V290" s="1849"/>
      <c r="X290" s="298"/>
    </row>
    <row r="291" spans="3:24">
      <c r="C291" s="296"/>
      <c r="D291" s="1728"/>
      <c r="E291" s="1728"/>
      <c r="F291" s="1728"/>
      <c r="G291" s="1728"/>
      <c r="H291" s="1728"/>
      <c r="I291" s="1847"/>
      <c r="J291" s="1841"/>
      <c r="K291" s="1842"/>
      <c r="L291" s="1843"/>
      <c r="N291" s="357"/>
      <c r="O291" s="1081"/>
      <c r="P291" s="1065"/>
      <c r="Q291" s="1065"/>
      <c r="R291" s="1065"/>
      <c r="S291" s="1065"/>
      <c r="T291" s="1065"/>
      <c r="U291" s="1850"/>
      <c r="V291" s="1851"/>
      <c r="X291" s="298"/>
    </row>
    <row r="292" spans="3:24">
      <c r="C292" s="296"/>
      <c r="D292" s="1065"/>
      <c r="E292" s="1065"/>
      <c r="F292" s="1065"/>
      <c r="G292" s="1065"/>
      <c r="H292" s="1065"/>
      <c r="I292" s="1066"/>
      <c r="J292" s="1844"/>
      <c r="K292" s="1845"/>
      <c r="L292" s="1846"/>
      <c r="N292" s="357"/>
      <c r="O292" s="1081"/>
      <c r="P292" s="1065"/>
      <c r="Q292" s="1065"/>
      <c r="R292" s="1065"/>
      <c r="S292" s="1065"/>
      <c r="T292" s="1065"/>
      <c r="U292" s="1852"/>
      <c r="V292" s="1853"/>
      <c r="X292" s="298"/>
    </row>
    <row r="293" spans="3:24" ht="5.0999999999999996" customHeight="1">
      <c r="C293" s="296"/>
      <c r="D293" s="1065"/>
      <c r="E293" s="1065"/>
      <c r="F293" s="1065"/>
      <c r="G293" s="1065"/>
      <c r="H293" s="1065"/>
      <c r="I293" s="1065"/>
      <c r="O293" s="1065"/>
      <c r="P293" s="1065"/>
      <c r="Q293" s="1065"/>
      <c r="R293" s="1065"/>
      <c r="S293" s="1065"/>
      <c r="T293" s="1065"/>
      <c r="X293" s="298"/>
    </row>
    <row r="294" spans="3:24" ht="14.95" customHeight="1">
      <c r="C294" s="296"/>
      <c r="D294" s="1728" t="s">
        <v>785</v>
      </c>
      <c r="E294" s="1728"/>
      <c r="F294" s="1728"/>
      <c r="G294" s="1728"/>
      <c r="H294" s="1728"/>
      <c r="I294" s="1837"/>
      <c r="J294" s="1838"/>
      <c r="K294" s="1839"/>
      <c r="L294" s="1840"/>
      <c r="N294" s="358"/>
      <c r="O294" s="1728" t="s">
        <v>786</v>
      </c>
      <c r="P294" s="1728"/>
      <c r="Q294" s="1728"/>
      <c r="R294" s="1728"/>
      <c r="S294" s="1728"/>
      <c r="T294" s="1847"/>
      <c r="U294" s="1848">
        <f>S67</f>
        <v>0</v>
      </c>
      <c r="V294" s="1849"/>
      <c r="X294" s="298"/>
    </row>
    <row r="295" spans="3:24">
      <c r="C295" s="296"/>
      <c r="D295" s="1728"/>
      <c r="E295" s="1728"/>
      <c r="F295" s="1728"/>
      <c r="G295" s="1728"/>
      <c r="H295" s="1728"/>
      <c r="I295" s="1837"/>
      <c r="J295" s="1841"/>
      <c r="K295" s="1842"/>
      <c r="L295" s="1843"/>
      <c r="N295" s="358"/>
      <c r="O295" s="1728"/>
      <c r="P295" s="1728"/>
      <c r="Q295" s="1728"/>
      <c r="R295" s="1728"/>
      <c r="S295" s="1728"/>
      <c r="T295" s="1847"/>
      <c r="U295" s="1850"/>
      <c r="V295" s="1851"/>
      <c r="X295" s="298"/>
    </row>
    <row r="296" spans="3:24">
      <c r="C296" s="296"/>
      <c r="D296" s="1728"/>
      <c r="E296" s="1728"/>
      <c r="F296" s="1728"/>
      <c r="G296" s="1728"/>
      <c r="H296" s="1728"/>
      <c r="I296" s="1837"/>
      <c r="J296" s="1844"/>
      <c r="K296" s="1845"/>
      <c r="L296" s="1846"/>
      <c r="N296" s="358"/>
      <c r="O296" s="1728"/>
      <c r="P296" s="1728"/>
      <c r="Q296" s="1728"/>
      <c r="R296" s="1728"/>
      <c r="S296" s="1728"/>
      <c r="T296" s="1847"/>
      <c r="U296" s="1852"/>
      <c r="V296" s="1853"/>
      <c r="X296" s="298"/>
    </row>
    <row r="297" spans="3:24" ht="5.0999999999999996" customHeight="1">
      <c r="C297" s="297"/>
      <c r="D297" s="214"/>
      <c r="E297" s="214"/>
      <c r="F297" s="214"/>
      <c r="G297" s="214"/>
      <c r="H297" s="214"/>
      <c r="I297" s="214"/>
      <c r="J297" s="214"/>
      <c r="K297" s="214"/>
      <c r="L297" s="214"/>
      <c r="M297" s="214"/>
      <c r="N297" s="214"/>
      <c r="O297" s="214"/>
      <c r="P297" s="214"/>
      <c r="Q297" s="214"/>
      <c r="R297" s="214"/>
      <c r="S297" s="214"/>
      <c r="T297" s="214"/>
      <c r="U297" s="214"/>
      <c r="V297" s="214"/>
      <c r="W297" s="214"/>
      <c r="X297" s="299"/>
    </row>
    <row r="298" spans="3:24" ht="5.0999999999999996" customHeight="1"/>
    <row r="299" spans="3:24" ht="5.0999999999999996" customHeight="1">
      <c r="C299" s="701"/>
      <c r="D299" s="690"/>
      <c r="E299" s="690"/>
      <c r="F299" s="690"/>
      <c r="G299" s="690"/>
      <c r="H299" s="690"/>
      <c r="I299" s="690"/>
      <c r="J299" s="690"/>
      <c r="K299" s="690"/>
      <c r="L299" s="690"/>
      <c r="M299" s="690"/>
      <c r="N299" s="690"/>
      <c r="O299" s="690"/>
      <c r="P299" s="690"/>
      <c r="Q299" s="690"/>
      <c r="R299" s="690"/>
      <c r="S299" s="690"/>
      <c r="T299" s="690"/>
      <c r="U299" s="690"/>
      <c r="V299" s="690"/>
      <c r="W299" s="690"/>
      <c r="X299" s="702"/>
    </row>
    <row r="300" spans="3:24">
      <c r="C300" s="296"/>
      <c r="D300" s="1767" t="s">
        <v>752</v>
      </c>
      <c r="E300" s="1767"/>
      <c r="F300" s="1767"/>
      <c r="G300" s="1767"/>
      <c r="H300" s="1767"/>
      <c r="I300" s="1767"/>
      <c r="J300" s="1767"/>
      <c r="K300" s="1767"/>
      <c r="L300" s="1767"/>
      <c r="M300" s="1767"/>
      <c r="N300" s="1767"/>
      <c r="O300" s="1767"/>
      <c r="P300" s="1767"/>
      <c r="Q300" s="1767"/>
      <c r="R300" s="1767"/>
      <c r="S300" s="1767"/>
      <c r="T300" s="1767"/>
      <c r="U300" s="1767"/>
      <c r="V300" s="1767"/>
      <c r="W300" s="1767"/>
      <c r="X300" s="298"/>
    </row>
    <row r="301" spans="3:24" ht="5.0999999999999996" customHeight="1">
      <c r="C301" s="296"/>
      <c r="X301" s="298"/>
    </row>
    <row r="302" spans="3:24">
      <c r="C302" s="296"/>
      <c r="D302" s="1704" t="s">
        <v>754</v>
      </c>
      <c r="E302" s="1704"/>
      <c r="F302" s="1704"/>
      <c r="G302" s="1704"/>
      <c r="H302" s="1704"/>
      <c r="I302" s="1705"/>
      <c r="J302" s="1707" t="str">
        <f ca="1">J577</f>
        <v>Lighting - Custom</v>
      </c>
      <c r="K302" s="1708"/>
      <c r="L302" s="1709"/>
      <c r="M302" s="448"/>
      <c r="N302" s="448"/>
      <c r="O302" s="1704" t="s">
        <v>787</v>
      </c>
      <c r="P302" s="1704"/>
      <c r="Q302" s="1704"/>
      <c r="R302" s="1704"/>
      <c r="S302" s="1704"/>
      <c r="T302" s="1705"/>
      <c r="U302" s="1707">
        <f ca="1">U577</f>
        <v>10059</v>
      </c>
      <c r="V302" s="1709"/>
      <c r="X302" s="298"/>
    </row>
    <row r="303" spans="3:24" ht="5.0999999999999996" customHeight="1">
      <c r="C303" s="296"/>
      <c r="D303" s="1065"/>
      <c r="E303" s="1065"/>
      <c r="F303" s="1065"/>
      <c r="G303" s="1065"/>
      <c r="H303" s="1065"/>
      <c r="I303" s="1065"/>
      <c r="J303" s="448"/>
      <c r="K303" s="447"/>
      <c r="L303" s="447"/>
      <c r="M303" s="448"/>
      <c r="N303" s="448"/>
      <c r="O303" s="448"/>
      <c r="P303" s="447"/>
      <c r="Q303" s="447"/>
      <c r="R303" s="447"/>
      <c r="S303" s="447"/>
      <c r="T303" s="1065"/>
      <c r="U303" s="448"/>
      <c r="V303" s="447"/>
      <c r="X303" s="298"/>
    </row>
    <row r="304" spans="3:24">
      <c r="C304" s="296"/>
      <c r="D304" s="1704" t="s">
        <v>764</v>
      </c>
      <c r="E304" s="1704"/>
      <c r="F304" s="1704"/>
      <c r="G304" s="1704"/>
      <c r="H304" s="1704"/>
      <c r="I304" s="1705"/>
      <c r="J304" s="1719" t="str">
        <f>J579</f>
        <v>Full</v>
      </c>
      <c r="K304" s="1720"/>
      <c r="L304" s="1721"/>
      <c r="M304" s="448"/>
      <c r="N304" s="448"/>
      <c r="O304" s="448"/>
      <c r="P304" s="447"/>
      <c r="Q304" s="447"/>
      <c r="R304" s="447"/>
      <c r="S304" s="447"/>
      <c r="T304" s="1065"/>
      <c r="U304" s="447"/>
      <c r="V304" s="447"/>
      <c r="X304" s="298"/>
    </row>
    <row r="305" spans="3:24" ht="5.0999999999999996" customHeight="1">
      <c r="C305" s="296"/>
      <c r="D305" s="1065"/>
      <c r="E305" s="1065"/>
      <c r="F305" s="1065"/>
      <c r="G305" s="1065"/>
      <c r="H305" s="1065"/>
      <c r="I305" s="1065"/>
      <c r="J305" s="96"/>
      <c r="M305" s="96"/>
      <c r="N305" s="96"/>
      <c r="O305" s="96"/>
      <c r="T305" s="1065"/>
      <c r="U305" s="96"/>
      <c r="X305" s="298"/>
    </row>
    <row r="306" spans="3:24">
      <c r="C306" s="296"/>
      <c r="D306" s="1704" t="s">
        <v>788</v>
      </c>
      <c r="E306" s="1704"/>
      <c r="F306" s="1704"/>
      <c r="G306" s="1704"/>
      <c r="H306" s="1704"/>
      <c r="I306" s="1706"/>
      <c r="J306" s="1725" t="str">
        <f ca="1">U579</f>
        <v>Enter on "Customer Authorization" tab</v>
      </c>
      <c r="K306" s="1726"/>
      <c r="L306" s="1727"/>
      <c r="M306" s="96"/>
      <c r="N306" s="96"/>
      <c r="O306" s="96"/>
      <c r="T306" s="1065"/>
      <c r="U306" s="96"/>
      <c r="X306" s="298"/>
    </row>
    <row r="307" spans="3:24" ht="5.0999999999999996" customHeight="1">
      <c r="C307" s="296"/>
      <c r="D307" s="1065"/>
      <c r="E307" s="1065"/>
      <c r="F307" s="1065"/>
      <c r="G307" s="1065"/>
      <c r="H307" s="1065"/>
      <c r="I307" s="1065"/>
      <c r="J307" s="96"/>
      <c r="M307" s="96"/>
      <c r="N307" s="96"/>
      <c r="O307" s="96"/>
      <c r="T307" s="1065"/>
      <c r="U307" s="96"/>
      <c r="X307" s="298"/>
    </row>
    <row r="308" spans="3:24">
      <c r="C308" s="296"/>
      <c r="D308" s="1704" t="s">
        <v>755</v>
      </c>
      <c r="E308" s="1704"/>
      <c r="F308" s="1704"/>
      <c r="G308" s="1704"/>
      <c r="H308" s="1704"/>
      <c r="I308" s="1706"/>
      <c r="J308" s="1716">
        <f ca="1">J581</f>
        <v>0</v>
      </c>
      <c r="K308" s="1717"/>
      <c r="L308" s="1718"/>
      <c r="M308" s="362"/>
      <c r="N308" s="362"/>
      <c r="O308" s="1704" t="s">
        <v>756</v>
      </c>
      <c r="P308" s="1704"/>
      <c r="Q308" s="1704"/>
      <c r="R308" s="1704"/>
      <c r="S308" s="1704"/>
      <c r="T308" s="1706"/>
      <c r="U308" s="1710" t="str">
        <f>U581</f>
        <v>Lighting</v>
      </c>
      <c r="V308" s="1712"/>
      <c r="X308" s="298"/>
    </row>
    <row r="309" spans="3:24" ht="5.0999999999999996" customHeight="1">
      <c r="C309" s="296"/>
      <c r="D309" s="1065"/>
      <c r="E309" s="1065"/>
      <c r="F309" s="1065"/>
      <c r="G309" s="1065"/>
      <c r="H309" s="1065"/>
      <c r="I309" s="1065"/>
      <c r="J309" s="96"/>
      <c r="M309" s="96"/>
      <c r="N309" s="96"/>
      <c r="O309" s="96"/>
      <c r="T309" s="1065"/>
      <c r="U309" s="361"/>
      <c r="X309" s="298"/>
    </row>
    <row r="310" spans="3:24">
      <c r="C310" s="296"/>
      <c r="D310" s="1704" t="s">
        <v>758</v>
      </c>
      <c r="E310" s="1704"/>
      <c r="F310" s="1704"/>
      <c r="G310" s="1704"/>
      <c r="H310" s="1704"/>
      <c r="I310" s="1706"/>
      <c r="J310" s="1719">
        <f ca="1">J583</f>
        <v>0</v>
      </c>
      <c r="K310" s="1720"/>
      <c r="L310" s="1721"/>
      <c r="M310" s="363"/>
      <c r="N310" s="363"/>
      <c r="O310" s="1704" t="s">
        <v>789</v>
      </c>
      <c r="P310" s="1704"/>
      <c r="Q310" s="1704"/>
      <c r="R310" s="1704"/>
      <c r="S310" s="1704"/>
      <c r="T310" s="1705"/>
      <c r="U310" s="1707">
        <f>DATA!CE4</f>
        <v>0</v>
      </c>
      <c r="V310" s="1709"/>
      <c r="X310" s="298"/>
    </row>
    <row r="311" spans="3:24" ht="5.0999999999999996" customHeight="1">
      <c r="C311" s="296"/>
      <c r="D311" s="1065"/>
      <c r="E311" s="1065"/>
      <c r="F311" s="1065"/>
      <c r="G311" s="1065"/>
      <c r="H311" s="1065"/>
      <c r="I311" s="1065"/>
      <c r="J311" s="96"/>
      <c r="M311" s="96"/>
      <c r="N311" s="96"/>
      <c r="O311" s="96"/>
      <c r="R311" s="447"/>
      <c r="S311" s="447"/>
      <c r="T311" s="1065"/>
      <c r="U311" s="448"/>
      <c r="V311" s="447"/>
      <c r="X311" s="298"/>
    </row>
    <row r="312" spans="3:24">
      <c r="C312" s="296"/>
      <c r="D312" s="1704" t="s">
        <v>790</v>
      </c>
      <c r="E312" s="1704"/>
      <c r="F312" s="1704"/>
      <c r="G312" s="1704"/>
      <c r="H312" s="1704"/>
      <c r="I312" s="1706"/>
      <c r="J312" s="1719">
        <f ca="1">J585</f>
        <v>0</v>
      </c>
      <c r="K312" s="1720"/>
      <c r="L312" s="1721"/>
      <c r="M312" s="364"/>
      <c r="N312" s="96"/>
      <c r="O312" s="1704" t="s">
        <v>760</v>
      </c>
      <c r="P312" s="1704"/>
      <c r="Q312" s="1704"/>
      <c r="R312" s="1704"/>
      <c r="S312" s="1704"/>
      <c r="T312" s="1705"/>
      <c r="U312" s="1707"/>
      <c r="V312" s="1709"/>
      <c r="X312" s="298"/>
    </row>
    <row r="313" spans="3:24" ht="5.0999999999999996" customHeight="1">
      <c r="C313" s="296"/>
      <c r="D313" s="1065"/>
      <c r="E313" s="1065"/>
      <c r="F313" s="1065"/>
      <c r="G313" s="1065"/>
      <c r="H313" s="1065"/>
      <c r="I313" s="1065"/>
      <c r="J313" s="96"/>
      <c r="M313" s="96"/>
      <c r="N313" s="96"/>
      <c r="O313" s="96"/>
      <c r="R313" s="447"/>
      <c r="S313" s="447"/>
      <c r="T313" s="1065"/>
      <c r="U313" s="448"/>
      <c r="V313" s="447"/>
      <c r="X313" s="298"/>
    </row>
    <row r="314" spans="3:24">
      <c r="C314" s="296"/>
      <c r="D314" s="1704" t="s">
        <v>761</v>
      </c>
      <c r="E314" s="1704"/>
      <c r="F314" s="1704"/>
      <c r="G314" s="1704"/>
      <c r="H314" s="1704"/>
      <c r="I314" s="1706"/>
      <c r="J314" s="1716">
        <f ca="1">U585</f>
        <v>0</v>
      </c>
      <c r="K314" s="1717"/>
      <c r="L314" s="1718"/>
      <c r="M314" s="362"/>
      <c r="N314" s="362"/>
      <c r="O314" s="362"/>
      <c r="R314" s="447"/>
      <c r="S314" s="447"/>
      <c r="T314" s="1065"/>
      <c r="U314" s="447"/>
      <c r="V314" s="447"/>
      <c r="X314" s="298"/>
    </row>
    <row r="315" spans="3:24" ht="5.0999999999999996" customHeight="1">
      <c r="C315" s="296"/>
      <c r="D315" s="1065"/>
      <c r="E315" s="1065"/>
      <c r="F315" s="1065"/>
      <c r="G315" s="1065"/>
      <c r="H315" s="1065"/>
      <c r="I315" s="1065"/>
      <c r="J315" s="96"/>
      <c r="M315" s="96"/>
      <c r="N315" s="96"/>
      <c r="O315" s="96"/>
      <c r="R315" s="447"/>
      <c r="S315" s="447"/>
      <c r="T315" s="1065"/>
      <c r="U315" s="448"/>
      <c r="V315" s="447"/>
      <c r="X315" s="298"/>
    </row>
    <row r="316" spans="3:24" ht="14.95" customHeight="1">
      <c r="C316" s="296"/>
      <c r="D316" s="1728" t="s">
        <v>762</v>
      </c>
      <c r="E316" s="1728"/>
      <c r="F316" s="1728"/>
      <c r="G316" s="1728"/>
      <c r="H316" s="1728"/>
      <c r="I316" s="1728"/>
      <c r="J316" s="1719">
        <f ca="1">J587</f>
        <v>0</v>
      </c>
      <c r="K316" s="1720"/>
      <c r="L316" s="1721"/>
      <c r="M316" s="96"/>
      <c r="N316" s="96"/>
      <c r="O316" s="96"/>
      <c r="R316" s="447"/>
      <c r="S316" s="447"/>
      <c r="T316" s="1065"/>
      <c r="U316" s="448"/>
      <c r="V316" s="447"/>
      <c r="X316" s="298"/>
    </row>
    <row r="317" spans="3:24" ht="7.5" customHeight="1">
      <c r="C317" s="296"/>
      <c r="D317" s="1728"/>
      <c r="E317" s="1728"/>
      <c r="F317" s="1728"/>
      <c r="G317" s="1728"/>
      <c r="H317" s="1728"/>
      <c r="I317" s="1728"/>
      <c r="J317" s="96"/>
      <c r="M317" s="96"/>
      <c r="N317" s="96"/>
      <c r="O317" s="96"/>
      <c r="R317" s="447"/>
      <c r="S317" s="447"/>
      <c r="T317" s="1065"/>
      <c r="U317" s="448"/>
      <c r="V317" s="447"/>
      <c r="X317" s="298"/>
    </row>
    <row r="318" spans="3:24">
      <c r="C318" s="296"/>
      <c r="D318" s="1729" t="s">
        <v>791</v>
      </c>
      <c r="E318" s="1729"/>
      <c r="F318" s="1729"/>
      <c r="G318" s="1729"/>
      <c r="H318" s="1729"/>
      <c r="I318" s="1730"/>
      <c r="J318" s="1856">
        <f ca="1">U587</f>
        <v>0</v>
      </c>
      <c r="K318" s="1857"/>
      <c r="L318" s="1858"/>
      <c r="M318" s="366"/>
      <c r="N318" s="366"/>
      <c r="O318" s="366"/>
      <c r="R318" s="447"/>
      <c r="S318" s="447"/>
      <c r="T318" s="1066"/>
      <c r="U318" s="448"/>
      <c r="V318" s="447"/>
      <c r="X318" s="298"/>
    </row>
    <row r="319" spans="3:24" ht="5.0999999999999996" customHeight="1">
      <c r="C319" s="296"/>
      <c r="D319" s="1065"/>
      <c r="E319" s="1065"/>
      <c r="F319" s="1065"/>
      <c r="G319" s="1065"/>
      <c r="H319" s="1065"/>
      <c r="I319" s="1065"/>
      <c r="J319" s="96"/>
      <c r="M319" s="96"/>
      <c r="N319" s="96"/>
      <c r="O319" s="96"/>
      <c r="T319" s="1065"/>
      <c r="U319" s="96"/>
      <c r="X319" s="298"/>
    </row>
    <row r="320" spans="3:24">
      <c r="C320" s="296"/>
      <c r="D320" s="1731" t="s">
        <v>792</v>
      </c>
      <c r="E320" s="1731"/>
      <c r="F320" s="1731"/>
      <c r="G320" s="1731"/>
      <c r="H320" s="1731"/>
      <c r="I320" s="1732"/>
      <c r="J320" s="1859">
        <f ca="1">J589</f>
        <v>0</v>
      </c>
      <c r="K320" s="1860"/>
      <c r="L320" s="1861"/>
      <c r="M320" s="362"/>
      <c r="N320" s="362"/>
      <c r="O320" s="1704" t="s">
        <v>793</v>
      </c>
      <c r="P320" s="1704"/>
      <c r="Q320" s="1704"/>
      <c r="R320" s="1704"/>
      <c r="S320" s="1704"/>
      <c r="T320" s="1705"/>
      <c r="U320" s="1733">
        <f ca="1">U589</f>
        <v>2</v>
      </c>
      <c r="V320" s="1735"/>
      <c r="X320" s="298"/>
    </row>
    <row r="321" spans="3:24" ht="5.0999999999999996" customHeight="1">
      <c r="C321" s="296"/>
      <c r="D321" s="1065"/>
      <c r="E321" s="1065"/>
      <c r="F321" s="1065"/>
      <c r="G321" s="1065"/>
      <c r="H321" s="1065"/>
      <c r="I321" s="1065"/>
      <c r="J321" s="96"/>
      <c r="M321" s="96"/>
      <c r="N321" s="96"/>
      <c r="O321" s="96"/>
      <c r="T321" s="1065"/>
      <c r="U321" s="96"/>
      <c r="X321" s="298"/>
    </row>
    <row r="322" spans="3:24">
      <c r="C322" s="296"/>
      <c r="D322" s="1704" t="s">
        <v>794</v>
      </c>
      <c r="E322" s="1704"/>
      <c r="F322" s="1704"/>
      <c r="G322" s="1704"/>
      <c r="H322" s="1704"/>
      <c r="I322" s="1706"/>
      <c r="J322" s="1733">
        <f ca="1">J591</f>
        <v>0</v>
      </c>
      <c r="K322" s="1734"/>
      <c r="L322" s="1735"/>
      <c r="M322" s="367"/>
      <c r="N322" s="368"/>
      <c r="O322" s="1704" t="s">
        <v>795</v>
      </c>
      <c r="P322" s="1704"/>
      <c r="Q322" s="1704"/>
      <c r="R322" s="1704"/>
      <c r="S322" s="1704"/>
      <c r="T322" s="1705"/>
      <c r="U322" s="1854">
        <f>ROUND(O72,4)</f>
        <v>0</v>
      </c>
      <c r="V322" s="1855"/>
      <c r="X322" s="298"/>
    </row>
    <row r="323" spans="3:24" ht="5.0999999999999996" customHeight="1">
      <c r="C323" s="296"/>
      <c r="D323" s="1065"/>
      <c r="E323" s="1065"/>
      <c r="F323" s="1065"/>
      <c r="G323" s="1065"/>
      <c r="H323" s="1065"/>
      <c r="I323" s="1065"/>
      <c r="J323" s="96"/>
      <c r="M323" s="96"/>
      <c r="N323" s="96"/>
      <c r="O323" s="96"/>
      <c r="U323" s="96"/>
      <c r="X323" s="298"/>
    </row>
    <row r="324" spans="3:24">
      <c r="C324" s="296"/>
      <c r="D324" s="1704" t="s">
        <v>796</v>
      </c>
      <c r="E324" s="1704"/>
      <c r="F324" s="1704"/>
      <c r="G324" s="1704"/>
      <c r="H324" s="1704"/>
      <c r="I324" s="1705"/>
      <c r="J324" s="1733" t="e">
        <f ca="1">ROUND(L100/M32,4)</f>
        <v>#DIV/0!</v>
      </c>
      <c r="K324" s="1734"/>
      <c r="L324" s="1735"/>
      <c r="M324" s="369"/>
      <c r="N324" s="96"/>
      <c r="O324" s="96"/>
      <c r="X324" s="298"/>
    </row>
    <row r="325" spans="3:24" ht="5.0999999999999996" customHeight="1">
      <c r="C325" s="296"/>
      <c r="J325" s="96"/>
      <c r="M325" s="96"/>
      <c r="N325" s="96"/>
      <c r="O325" s="96"/>
      <c r="X325" s="298"/>
    </row>
    <row r="326" spans="3:24">
      <c r="C326" s="297"/>
      <c r="D326" s="214"/>
      <c r="E326" s="214"/>
      <c r="F326" s="214"/>
      <c r="G326" s="214"/>
      <c r="H326" s="214"/>
      <c r="I326" s="355"/>
      <c r="J326" s="355"/>
      <c r="K326" s="355"/>
      <c r="L326" s="458"/>
      <c r="M326" s="458"/>
      <c r="N326" s="458"/>
      <c r="O326" s="458"/>
      <c r="P326" s="214"/>
      <c r="Q326" s="214"/>
      <c r="R326" s="214"/>
      <c r="S326" s="214"/>
      <c r="T326" s="214"/>
      <c r="U326" s="214"/>
      <c r="V326" s="214"/>
      <c r="W326" s="214"/>
      <c r="X326" s="299"/>
    </row>
    <row r="327" spans="3:24" ht="5.0999999999999996" customHeight="1"/>
    <row r="328" spans="3:24" ht="5.0999999999999996" customHeight="1">
      <c r="C328" s="701"/>
      <c r="D328" s="690"/>
      <c r="E328" s="690"/>
      <c r="F328" s="690"/>
      <c r="G328" s="690"/>
      <c r="H328" s="690"/>
      <c r="I328" s="690"/>
      <c r="J328" s="690"/>
      <c r="K328" s="690"/>
      <c r="L328" s="690"/>
      <c r="M328" s="690"/>
      <c r="N328" s="690"/>
      <c r="O328" s="690"/>
      <c r="P328" s="690"/>
      <c r="Q328" s="690"/>
      <c r="R328" s="690"/>
      <c r="S328" s="690"/>
      <c r="T328" s="690"/>
      <c r="U328" s="690"/>
      <c r="V328" s="690"/>
      <c r="W328" s="690"/>
      <c r="X328" s="702"/>
    </row>
    <row r="329" spans="3:24">
      <c r="C329" s="296"/>
      <c r="D329" s="1767" t="s">
        <v>797</v>
      </c>
      <c r="E329" s="1767"/>
      <c r="F329" s="1767"/>
      <c r="G329" s="1767"/>
      <c r="H329" s="1767"/>
      <c r="I329" s="1767"/>
      <c r="J329" s="1767"/>
      <c r="K329" s="1767"/>
      <c r="L329" s="1767"/>
      <c r="M329" s="1767"/>
      <c r="N329" s="1767"/>
      <c r="O329" s="1767"/>
      <c r="P329" s="1767"/>
      <c r="Q329" s="1767"/>
      <c r="R329" s="1767"/>
      <c r="S329" s="1767"/>
      <c r="T329" s="1767"/>
      <c r="U329" s="1767"/>
      <c r="V329" s="1767"/>
      <c r="W329" s="1767"/>
      <c r="X329" s="298"/>
    </row>
    <row r="330" spans="3:24" ht="5.0999999999999996" customHeight="1">
      <c r="C330" s="296"/>
      <c r="X330" s="298"/>
    </row>
    <row r="331" spans="3:24">
      <c r="C331" s="296"/>
      <c r="I331" s="1066" t="s">
        <v>798</v>
      </c>
      <c r="J331" s="1707"/>
      <c r="K331" s="1708"/>
      <c r="L331" s="1709"/>
      <c r="M331" s="448"/>
      <c r="N331" s="448"/>
      <c r="O331" s="1704" t="s">
        <v>799</v>
      </c>
      <c r="P331" s="1704"/>
      <c r="Q331" s="1704"/>
      <c r="R331" s="1704"/>
      <c r="S331" s="1704"/>
      <c r="T331" s="1705"/>
      <c r="U331" s="1707"/>
      <c r="V331" s="1709"/>
      <c r="X331" s="298"/>
    </row>
    <row r="332" spans="3:24" ht="5.0999999999999996" customHeight="1">
      <c r="C332" s="296"/>
      <c r="I332" s="1066"/>
      <c r="J332" s="449"/>
      <c r="K332" s="449"/>
      <c r="L332" s="447"/>
      <c r="M332" s="447"/>
      <c r="N332" s="447"/>
      <c r="O332" s="447"/>
      <c r="P332" s="447"/>
      <c r="Q332" s="447"/>
      <c r="R332" s="447"/>
      <c r="S332" s="447"/>
      <c r="T332" s="1066"/>
      <c r="U332" s="447"/>
      <c r="V332" s="447"/>
      <c r="X332" s="298"/>
    </row>
    <row r="333" spans="3:24">
      <c r="C333" s="296"/>
      <c r="I333" s="1066" t="s">
        <v>800</v>
      </c>
      <c r="J333" s="1707"/>
      <c r="K333" s="1708"/>
      <c r="L333" s="1709"/>
      <c r="M333" s="448"/>
      <c r="N333" s="448"/>
      <c r="O333" s="1704" t="s">
        <v>801</v>
      </c>
      <c r="P333" s="1704"/>
      <c r="Q333" s="1704"/>
      <c r="R333" s="1704"/>
      <c r="S333" s="1704"/>
      <c r="T333" s="1705"/>
      <c r="U333" s="1707"/>
      <c r="V333" s="1709"/>
      <c r="X333" s="298"/>
    </row>
    <row r="334" spans="3:24" ht="5.0999999999999996" customHeight="1">
      <c r="C334" s="296"/>
      <c r="I334" s="1066"/>
      <c r="J334" s="449"/>
      <c r="K334" s="449"/>
      <c r="L334" s="447"/>
      <c r="M334" s="447"/>
      <c r="N334" s="447"/>
      <c r="O334" s="447"/>
      <c r="P334" s="447"/>
      <c r="Q334" s="447"/>
      <c r="R334" s="447"/>
      <c r="S334" s="447"/>
      <c r="T334" s="1066"/>
      <c r="U334" s="447"/>
      <c r="V334" s="447"/>
      <c r="X334" s="298"/>
    </row>
    <row r="335" spans="3:24">
      <c r="C335" s="296"/>
      <c r="I335" s="1066" t="s">
        <v>802</v>
      </c>
      <c r="J335" s="1707"/>
      <c r="K335" s="1708"/>
      <c r="L335" s="1709"/>
      <c r="M335" s="448"/>
      <c r="N335" s="448"/>
      <c r="O335" s="1704" t="s">
        <v>803</v>
      </c>
      <c r="P335" s="1704"/>
      <c r="Q335" s="1704"/>
      <c r="R335" s="1704"/>
      <c r="S335" s="1704"/>
      <c r="T335" s="1705"/>
      <c r="U335" s="1707"/>
      <c r="V335" s="1709"/>
      <c r="X335" s="298"/>
    </row>
    <row r="336" spans="3:24" ht="5.0999999999999996" customHeight="1">
      <c r="C336" s="297"/>
      <c r="D336" s="214"/>
      <c r="E336" s="214"/>
      <c r="F336" s="214"/>
      <c r="G336" s="214"/>
      <c r="H336" s="214"/>
      <c r="I336" s="452"/>
      <c r="J336" s="452"/>
      <c r="K336" s="452"/>
      <c r="L336" s="452"/>
      <c r="M336" s="452"/>
      <c r="N336" s="452"/>
      <c r="O336" s="452"/>
      <c r="P336" s="452"/>
      <c r="Q336" s="452"/>
      <c r="R336" s="452"/>
      <c r="S336" s="452"/>
      <c r="T336" s="452"/>
      <c r="U336" s="452"/>
      <c r="V336" s="452"/>
      <c r="W336" s="214"/>
      <c r="X336" s="299"/>
    </row>
    <row r="337" spans="3:24" ht="5.0999999999999996" customHeight="1"/>
    <row r="338" spans="3:24" ht="5.0999999999999996" customHeight="1">
      <c r="C338" s="701"/>
      <c r="D338" s="690"/>
      <c r="E338" s="690"/>
      <c r="F338" s="690"/>
      <c r="G338" s="690"/>
      <c r="H338" s="690"/>
      <c r="I338" s="690"/>
      <c r="J338" s="690"/>
      <c r="K338" s="690"/>
      <c r="L338" s="690"/>
      <c r="M338" s="690"/>
      <c r="N338" s="690"/>
      <c r="O338" s="690"/>
      <c r="P338" s="690"/>
      <c r="Q338" s="690"/>
      <c r="R338" s="690"/>
      <c r="S338" s="690"/>
      <c r="T338" s="690"/>
      <c r="U338" s="690"/>
      <c r="V338" s="690"/>
      <c r="W338" s="690"/>
      <c r="X338" s="702"/>
    </row>
    <row r="339" spans="3:24">
      <c r="C339" s="296"/>
      <c r="D339" s="1767" t="s">
        <v>804</v>
      </c>
      <c r="E339" s="1767"/>
      <c r="F339" s="1767"/>
      <c r="G339" s="1767"/>
      <c r="H339" s="1767"/>
      <c r="I339" s="1767"/>
      <c r="J339" s="1767"/>
      <c r="K339" s="1767"/>
      <c r="L339" s="1767"/>
      <c r="M339" s="1767"/>
      <c r="N339" s="1767"/>
      <c r="O339" s="1767"/>
      <c r="P339" s="1767"/>
      <c r="Q339" s="1767"/>
      <c r="R339" s="1767"/>
      <c r="S339" s="1767"/>
      <c r="T339" s="1767"/>
      <c r="U339" s="1767"/>
      <c r="V339" s="1767"/>
      <c r="W339" s="1767"/>
      <c r="X339" s="298"/>
    </row>
    <row r="340" spans="3:24" ht="5.0999999999999996" customHeight="1">
      <c r="C340" s="296"/>
      <c r="X340" s="298"/>
    </row>
    <row r="341" spans="3:24">
      <c r="C341" s="296"/>
      <c r="D341" s="1704" t="s">
        <v>805</v>
      </c>
      <c r="E341" s="1704"/>
      <c r="F341" s="1704"/>
      <c r="G341" s="1704"/>
      <c r="H341" s="1704"/>
      <c r="I341" s="1705"/>
      <c r="J341" s="1865">
        <f>M28</f>
        <v>0</v>
      </c>
      <c r="K341" s="1866"/>
      <c r="L341" s="1867"/>
      <c r="M341" s="448"/>
      <c r="N341" s="448"/>
      <c r="O341" s="448"/>
      <c r="P341" s="447"/>
      <c r="Q341" s="447"/>
      <c r="R341" s="447"/>
      <c r="S341" s="447"/>
      <c r="T341" s="1066" t="s">
        <v>806</v>
      </c>
      <c r="U341" s="1736"/>
      <c r="V341" s="1738"/>
      <c r="X341" s="298"/>
    </row>
    <row r="342" spans="3:24" ht="5.0999999999999996" customHeight="1">
      <c r="C342" s="296"/>
      <c r="D342" s="1065"/>
      <c r="E342" s="1065"/>
      <c r="F342" s="1065"/>
      <c r="G342" s="1065"/>
      <c r="H342" s="1065"/>
      <c r="I342" s="1066"/>
      <c r="J342" s="449"/>
      <c r="K342" s="449"/>
      <c r="L342" s="447"/>
      <c r="M342" s="447"/>
      <c r="N342" s="447"/>
      <c r="O342" s="447"/>
      <c r="P342" s="447"/>
      <c r="Q342" s="447"/>
      <c r="R342" s="447"/>
      <c r="S342" s="447"/>
      <c r="T342" s="1066"/>
      <c r="U342" s="447"/>
      <c r="V342" s="447"/>
      <c r="X342" s="298"/>
    </row>
    <row r="343" spans="3:24" ht="14.95" customHeight="1">
      <c r="C343" s="296"/>
      <c r="D343" s="1728" t="s">
        <v>807</v>
      </c>
      <c r="E343" s="1728"/>
      <c r="F343" s="1728"/>
      <c r="G343" s="1728"/>
      <c r="H343" s="1728"/>
      <c r="I343" s="1728"/>
      <c r="J343" s="1736"/>
      <c r="K343" s="1737"/>
      <c r="L343" s="1738"/>
      <c r="M343" s="448"/>
      <c r="N343" s="448"/>
      <c r="O343" s="448"/>
      <c r="P343" s="447"/>
      <c r="Q343" s="447"/>
      <c r="R343" s="447"/>
      <c r="S343" s="447"/>
      <c r="T343" s="1066" t="s">
        <v>808</v>
      </c>
      <c r="U343" s="1736"/>
      <c r="V343" s="1738"/>
      <c r="X343" s="298"/>
    </row>
    <row r="344" spans="3:24" ht="7.5" customHeight="1">
      <c r="C344" s="297"/>
      <c r="D344" s="1836"/>
      <c r="E344" s="1836"/>
      <c r="F344" s="1836"/>
      <c r="G344" s="1836"/>
      <c r="H344" s="1836"/>
      <c r="I344" s="1836"/>
      <c r="J344" s="214"/>
      <c r="K344" s="214"/>
      <c r="L344" s="214"/>
      <c r="M344" s="214"/>
      <c r="N344" s="214"/>
      <c r="O344" s="214"/>
      <c r="P344" s="214"/>
      <c r="Q344" s="214"/>
      <c r="R344" s="214"/>
      <c r="S344" s="214"/>
      <c r="T344" s="214"/>
      <c r="U344" s="214"/>
      <c r="V344" s="214"/>
      <c r="W344" s="214"/>
      <c r="X344" s="299"/>
    </row>
    <row r="345" spans="3:24" ht="5.0999999999999996" customHeight="1"/>
    <row r="346" spans="3:24" ht="5.0999999999999996" customHeight="1">
      <c r="C346" s="701"/>
      <c r="D346" s="690"/>
      <c r="E346" s="690"/>
      <c r="F346" s="690"/>
      <c r="G346" s="690"/>
      <c r="H346" s="690"/>
      <c r="I346" s="690"/>
      <c r="J346" s="690"/>
      <c r="K346" s="690"/>
      <c r="L346" s="690"/>
      <c r="M346" s="690"/>
      <c r="N346" s="690"/>
      <c r="O346" s="690"/>
      <c r="P346" s="690"/>
      <c r="Q346" s="690"/>
      <c r="R346" s="690"/>
      <c r="S346" s="690"/>
      <c r="T346" s="690"/>
      <c r="U346" s="690"/>
      <c r="V346" s="690"/>
      <c r="W346" s="690"/>
      <c r="X346" s="702"/>
    </row>
    <row r="347" spans="3:24">
      <c r="C347" s="296"/>
      <c r="D347" s="1767" t="s">
        <v>809</v>
      </c>
      <c r="E347" s="1767"/>
      <c r="F347" s="1767"/>
      <c r="G347" s="1767"/>
      <c r="H347" s="1767"/>
      <c r="I347" s="1767"/>
      <c r="J347" s="1767"/>
      <c r="K347" s="1767"/>
      <c r="L347" s="1767"/>
      <c r="M347" s="1767"/>
      <c r="N347" s="1767"/>
      <c r="O347" s="1767"/>
      <c r="P347" s="1767"/>
      <c r="Q347" s="1767"/>
      <c r="R347" s="1767"/>
      <c r="S347" s="1767"/>
      <c r="T347" s="1767"/>
      <c r="U347" s="1767"/>
      <c r="V347" s="1767"/>
      <c r="W347" s="1767"/>
      <c r="X347" s="298"/>
    </row>
    <row r="348" spans="3:24" ht="5.0999999999999996" customHeight="1">
      <c r="C348" s="296"/>
      <c r="X348" s="298"/>
    </row>
    <row r="349" spans="3:24">
      <c r="C349" s="1082"/>
      <c r="D349" s="1704" t="s">
        <v>734</v>
      </c>
      <c r="E349" s="1704"/>
      <c r="F349" s="1704"/>
      <c r="G349" s="1704"/>
      <c r="H349" s="1704"/>
      <c r="I349" s="1868"/>
      <c r="J349" s="1862">
        <f>J529</f>
        <v>0</v>
      </c>
      <c r="K349" s="1863"/>
      <c r="L349" s="1864"/>
      <c r="M349" s="453"/>
      <c r="N349" s="1078"/>
      <c r="O349" s="1704" t="s">
        <v>810</v>
      </c>
      <c r="P349" s="1704"/>
      <c r="Q349" s="1704"/>
      <c r="R349" s="1704"/>
      <c r="S349" s="1704"/>
      <c r="T349" s="1705"/>
      <c r="U349" s="1707">
        <f>DATA!AQ4</f>
        <v>0</v>
      </c>
      <c r="V349" s="1709"/>
      <c r="X349" s="298"/>
    </row>
    <row r="350" spans="3:24" ht="5.0999999999999996" customHeight="1">
      <c r="C350" s="1082"/>
      <c r="D350" s="1065"/>
      <c r="E350" s="1065"/>
      <c r="F350" s="1065"/>
      <c r="G350" s="1065"/>
      <c r="H350" s="1065"/>
      <c r="I350" s="1065"/>
      <c r="L350" s="329"/>
      <c r="M350" s="329"/>
      <c r="N350" s="1078"/>
      <c r="O350" s="1078"/>
      <c r="P350" s="1065"/>
      <c r="Q350" s="1065"/>
      <c r="R350" s="1065"/>
      <c r="S350" s="1065"/>
      <c r="T350" s="1065"/>
      <c r="U350" s="453"/>
      <c r="V350" s="447"/>
      <c r="X350" s="298"/>
    </row>
    <row r="351" spans="3:24">
      <c r="C351" s="1082"/>
      <c r="D351" s="1704" t="s">
        <v>2053</v>
      </c>
      <c r="E351" s="1704"/>
      <c r="F351" s="1704"/>
      <c r="G351" s="1704"/>
      <c r="H351" s="1704"/>
      <c r="I351" s="1706"/>
      <c r="J351" s="1710" t="str">
        <f>IF(AND(S28&lt;&gt;"",S30&lt;&gt;""),"Error on QC page",IF(S28&lt;&gt;"","Customer Only Agreement",IF(S30&lt;&gt;"","Customer and Contractor Agreement","NOT Specified?")))</f>
        <v>NOT Specified?</v>
      </c>
      <c r="K351" s="1711"/>
      <c r="L351" s="1712"/>
      <c r="M351" s="329"/>
      <c r="N351" s="1078"/>
      <c r="O351" s="1704" t="s">
        <v>2050</v>
      </c>
      <c r="P351" s="1704"/>
      <c r="Q351" s="1704"/>
      <c r="R351" s="1704"/>
      <c r="S351" s="1704"/>
      <c r="T351" s="1706"/>
      <c r="U351" s="1719">
        <f>M32</f>
        <v>0</v>
      </c>
      <c r="V351" s="1721"/>
      <c r="X351" s="298"/>
    </row>
    <row r="352" spans="3:24" ht="5.0999999999999996" customHeight="1">
      <c r="C352" s="1082"/>
      <c r="D352" s="1065"/>
      <c r="E352" s="1065"/>
      <c r="F352" s="1065"/>
      <c r="G352" s="1065"/>
      <c r="H352" s="1065"/>
      <c r="I352" s="1065"/>
      <c r="J352" s="329"/>
      <c r="M352" s="329"/>
      <c r="N352" s="1078"/>
      <c r="O352" s="1078"/>
      <c r="P352" s="1065"/>
      <c r="Q352" s="1065"/>
      <c r="R352" s="1065"/>
      <c r="S352" s="1065"/>
      <c r="T352" s="1065"/>
      <c r="U352" s="329"/>
      <c r="X352" s="298"/>
    </row>
    <row r="353" spans="3:24">
      <c r="C353" s="1082"/>
      <c r="D353" s="1065"/>
      <c r="E353" s="1065"/>
      <c r="F353" s="1065"/>
      <c r="G353" s="1065"/>
      <c r="H353" s="1065"/>
      <c r="I353" s="1065"/>
      <c r="J353" s="329"/>
      <c r="M353" s="329"/>
      <c r="N353" s="1078"/>
      <c r="O353" s="1704" t="s">
        <v>813</v>
      </c>
      <c r="P353" s="1704"/>
      <c r="Q353" s="1704"/>
      <c r="R353" s="1704"/>
      <c r="S353" s="1704"/>
      <c r="T353" s="1705"/>
      <c r="U353" s="1707"/>
      <c r="V353" s="1709"/>
      <c r="X353" s="298"/>
    </row>
    <row r="354" spans="3:24" ht="5.0999999999999996" customHeight="1">
      <c r="C354" s="1082"/>
      <c r="D354" s="1065"/>
      <c r="E354" s="1065"/>
      <c r="F354" s="1065"/>
      <c r="G354" s="1065"/>
      <c r="H354" s="1065"/>
      <c r="I354" s="1065"/>
      <c r="J354" s="329"/>
      <c r="M354" s="329"/>
      <c r="N354" s="1078"/>
      <c r="O354" s="1078"/>
      <c r="P354" s="1065"/>
      <c r="Q354" s="1065"/>
      <c r="R354" s="1065"/>
      <c r="S354" s="1065"/>
      <c r="T354" s="1065"/>
      <c r="U354" s="329"/>
      <c r="X354" s="298"/>
    </row>
    <row r="355" spans="3:24">
      <c r="C355" s="1082"/>
      <c r="D355" s="1704" t="s">
        <v>814</v>
      </c>
      <c r="E355" s="1704"/>
      <c r="F355" s="1704"/>
      <c r="G355" s="1704"/>
      <c r="H355" s="1704"/>
      <c r="I355" s="1705"/>
      <c r="J355" s="1707"/>
      <c r="K355" s="1708"/>
      <c r="L355" s="1709"/>
      <c r="M355" s="347"/>
      <c r="N355" s="1078"/>
      <c r="O355" s="1704" t="s">
        <v>815</v>
      </c>
      <c r="P355" s="1704"/>
      <c r="Q355" s="1704"/>
      <c r="R355" s="1704"/>
      <c r="S355" s="1704"/>
      <c r="T355" s="1706"/>
      <c r="U355" s="1719">
        <f ca="1">U531</f>
        <v>0</v>
      </c>
      <c r="V355" s="1712"/>
      <c r="X355" s="298"/>
    </row>
    <row r="356" spans="3:24" ht="5.0999999999999996" customHeight="1">
      <c r="C356" s="1082"/>
      <c r="D356" s="1065"/>
      <c r="E356" s="1065"/>
      <c r="F356" s="1065"/>
      <c r="G356" s="1065"/>
      <c r="H356" s="1065"/>
      <c r="I356" s="1065"/>
      <c r="J356" s="329"/>
      <c r="M356" s="329"/>
      <c r="N356" s="1078"/>
      <c r="O356" s="1078"/>
      <c r="P356" s="1065"/>
      <c r="Q356" s="1065"/>
      <c r="R356" s="1065"/>
      <c r="S356" s="1065"/>
      <c r="T356" s="1065"/>
      <c r="U356" s="329"/>
      <c r="X356" s="298"/>
    </row>
    <row r="357" spans="3:24" ht="14.95" customHeight="1">
      <c r="C357" s="1082"/>
      <c r="D357" s="1728" t="s">
        <v>736</v>
      </c>
      <c r="E357" s="1728"/>
      <c r="F357" s="1728"/>
      <c r="G357" s="1728"/>
      <c r="H357" s="1728"/>
      <c r="I357" s="1728"/>
      <c r="J357" s="1710">
        <f ca="1">J533</f>
        <v>0</v>
      </c>
      <c r="K357" s="1711"/>
      <c r="L357" s="1712"/>
      <c r="M357" s="329"/>
      <c r="N357" s="1078"/>
      <c r="O357" s="1704" t="s">
        <v>737</v>
      </c>
      <c r="P357" s="1704"/>
      <c r="Q357" s="1704"/>
      <c r="R357" s="1704"/>
      <c r="S357" s="1704"/>
      <c r="T357" s="1706"/>
      <c r="U357" s="1776">
        <f ca="1">U533</f>
        <v>0</v>
      </c>
      <c r="V357" s="1778"/>
      <c r="X357" s="298"/>
    </row>
    <row r="358" spans="3:24" ht="7.5" customHeight="1">
      <c r="C358" s="1082"/>
      <c r="D358" s="1728"/>
      <c r="E358" s="1728"/>
      <c r="F358" s="1728"/>
      <c r="G358" s="1728"/>
      <c r="H358" s="1728"/>
      <c r="I358" s="1728"/>
      <c r="J358" s="329"/>
      <c r="M358" s="329"/>
      <c r="N358" s="1078"/>
      <c r="O358" s="1078"/>
      <c r="P358" s="1065"/>
      <c r="Q358" s="1065"/>
      <c r="R358" s="1065"/>
      <c r="S358" s="1065"/>
      <c r="T358" s="1065"/>
      <c r="U358" s="329"/>
      <c r="X358" s="298"/>
    </row>
    <row r="359" spans="3:24" ht="14.95" customHeight="1">
      <c r="C359" s="1082"/>
      <c r="D359" s="1704" t="s">
        <v>716</v>
      </c>
      <c r="E359" s="1704"/>
      <c r="F359" s="1704"/>
      <c r="G359" s="1704"/>
      <c r="H359" s="1704"/>
      <c r="I359" s="1706"/>
      <c r="J359" s="1779">
        <f ca="1">J531</f>
        <v>0</v>
      </c>
      <c r="K359" s="1711"/>
      <c r="L359" s="1712"/>
      <c r="M359" s="329"/>
      <c r="N359" s="1078"/>
      <c r="O359" s="1704" t="s">
        <v>816</v>
      </c>
      <c r="P359" s="1704"/>
      <c r="Q359" s="1704"/>
      <c r="R359" s="1704"/>
      <c r="S359" s="1704"/>
      <c r="T359" s="1706"/>
      <c r="U359" s="1710">
        <f ca="1">J535</f>
        <v>0</v>
      </c>
      <c r="V359" s="1712"/>
      <c r="X359" s="298"/>
    </row>
    <row r="360" spans="3:24" ht="7.5" customHeight="1">
      <c r="C360" s="1082"/>
      <c r="D360" s="1065"/>
      <c r="E360" s="1065"/>
      <c r="F360" s="1065"/>
      <c r="G360" s="1065"/>
      <c r="H360" s="1065"/>
      <c r="I360" s="1065"/>
      <c r="J360" s="329"/>
      <c r="M360" s="329"/>
      <c r="N360" s="1078"/>
      <c r="O360" s="1079"/>
      <c r="P360" s="1079"/>
      <c r="Q360" s="1079"/>
      <c r="R360" s="1079"/>
      <c r="S360" s="1079"/>
      <c r="T360" s="1079"/>
      <c r="U360" s="329"/>
      <c r="X360" s="298"/>
    </row>
    <row r="361" spans="3:24" ht="14.95" customHeight="1">
      <c r="C361" s="1082"/>
      <c r="D361" s="1728" t="s">
        <v>817</v>
      </c>
      <c r="E361" s="1728"/>
      <c r="F361" s="1728"/>
      <c r="G361" s="1728"/>
      <c r="H361" s="1728"/>
      <c r="I361" s="1728"/>
      <c r="J361" s="1719">
        <f ca="1">U535</f>
        <v>0</v>
      </c>
      <c r="K361" s="1711"/>
      <c r="L361" s="1712"/>
      <c r="M361" s="329"/>
      <c r="N361" s="1078"/>
      <c r="O361" s="1704" t="s">
        <v>818</v>
      </c>
      <c r="P361" s="1704"/>
      <c r="Q361" s="1704"/>
      <c r="R361" s="1704"/>
      <c r="S361" s="1704"/>
      <c r="T361" s="1706"/>
      <c r="U361" s="1776">
        <f ca="1">DATA!AX4</f>
        <v>0</v>
      </c>
      <c r="V361" s="1778"/>
      <c r="X361" s="298"/>
    </row>
    <row r="362" spans="3:24" ht="7.5" customHeight="1">
      <c r="C362" s="1082"/>
      <c r="D362" s="1728"/>
      <c r="E362" s="1728"/>
      <c r="F362" s="1728"/>
      <c r="G362" s="1728"/>
      <c r="H362" s="1728"/>
      <c r="I362" s="1728"/>
      <c r="J362" s="329"/>
      <c r="M362" s="329"/>
      <c r="N362" s="1078"/>
      <c r="O362" s="1078"/>
      <c r="P362" s="1065"/>
      <c r="Q362" s="1065"/>
      <c r="R362" s="1065"/>
      <c r="S362" s="1065"/>
      <c r="T362" s="1065"/>
      <c r="U362" s="329"/>
      <c r="X362" s="298"/>
    </row>
    <row r="363" spans="3:24">
      <c r="C363" s="1082"/>
      <c r="D363" s="1704" t="s">
        <v>819</v>
      </c>
      <c r="E363" s="1704"/>
      <c r="F363" s="1704"/>
      <c r="G363" s="1704"/>
      <c r="H363" s="1704"/>
      <c r="I363" s="1706"/>
      <c r="J363" s="1719">
        <f ca="1">U539</f>
        <v>0</v>
      </c>
      <c r="K363" s="1711"/>
      <c r="L363" s="1712"/>
      <c r="M363" s="329"/>
      <c r="N363" s="1078"/>
      <c r="O363" s="1704" t="s">
        <v>742</v>
      </c>
      <c r="P363" s="1704"/>
      <c r="Q363" s="1704"/>
      <c r="R363" s="1704"/>
      <c r="S363" s="1704"/>
      <c r="T363" s="1706"/>
      <c r="U363" s="1710">
        <f ca="1">J539</f>
        <v>0</v>
      </c>
      <c r="V363" s="1712"/>
      <c r="X363" s="298"/>
    </row>
    <row r="364" spans="3:24" ht="5.0999999999999996" customHeight="1">
      <c r="C364" s="1082"/>
      <c r="D364" s="1065"/>
      <c r="E364" s="1065"/>
      <c r="F364" s="1065"/>
      <c r="G364" s="1065"/>
      <c r="H364" s="1065"/>
      <c r="I364" s="1065"/>
      <c r="J364" s="329"/>
      <c r="M364" s="329"/>
      <c r="N364" s="1078"/>
      <c r="O364" s="1078"/>
      <c r="P364" s="1080"/>
      <c r="Q364" s="1065"/>
      <c r="R364" s="1065"/>
      <c r="S364" s="1065"/>
      <c r="T364" s="1065"/>
      <c r="U364" s="329"/>
      <c r="X364" s="298"/>
    </row>
    <row r="365" spans="3:24">
      <c r="C365" s="1082"/>
      <c r="D365" s="1704" t="s">
        <v>743</v>
      </c>
      <c r="E365" s="1704"/>
      <c r="F365" s="1704"/>
      <c r="G365" s="1704"/>
      <c r="H365" s="1704"/>
      <c r="I365" s="1706"/>
      <c r="J365" s="1719" t="str">
        <f ca="1">U541</f>
        <v>WA</v>
      </c>
      <c r="K365" s="1711"/>
      <c r="L365" s="1712"/>
      <c r="M365" s="329"/>
      <c r="N365" s="1078"/>
      <c r="O365" s="1704" t="s">
        <v>744</v>
      </c>
      <c r="P365" s="1704"/>
      <c r="Q365" s="1704"/>
      <c r="R365" s="1704"/>
      <c r="S365" s="1704"/>
      <c r="T365" s="1706"/>
      <c r="U365" s="1710">
        <f ca="1">J541</f>
        <v>0</v>
      </c>
      <c r="V365" s="1712"/>
      <c r="X365" s="298"/>
    </row>
    <row r="366" spans="3:24" ht="5.0999999999999996" customHeight="1">
      <c r="C366" s="1082"/>
      <c r="D366" s="1065"/>
      <c r="E366" s="1065"/>
      <c r="F366" s="1065"/>
      <c r="G366" s="1065"/>
      <c r="H366" s="1065"/>
      <c r="I366" s="1065"/>
      <c r="J366" s="329"/>
      <c r="M366" s="329"/>
      <c r="N366" s="1078"/>
      <c r="O366" s="1078"/>
      <c r="P366" s="1065"/>
      <c r="Q366" s="1065"/>
      <c r="R366" s="1065"/>
      <c r="S366" s="1065"/>
      <c r="T366" s="1065"/>
      <c r="U366" s="329"/>
      <c r="X366" s="298"/>
    </row>
    <row r="367" spans="3:24" ht="14.95" customHeight="1">
      <c r="C367" s="1082"/>
      <c r="D367" s="1728" t="s">
        <v>745</v>
      </c>
      <c r="E367" s="1728"/>
      <c r="F367" s="1728"/>
      <c r="G367" s="1728"/>
      <c r="H367" s="1728"/>
      <c r="I367" s="1728"/>
      <c r="J367" s="1877" t="str">
        <f ca="1">J501</f>
        <v/>
      </c>
      <c r="K367" s="1878"/>
      <c r="L367" s="1879"/>
      <c r="M367" s="329"/>
      <c r="N367" s="1078"/>
      <c r="O367" s="1704" t="s">
        <v>746</v>
      </c>
      <c r="P367" s="1704"/>
      <c r="Q367" s="1704"/>
      <c r="R367" s="1704"/>
      <c r="S367" s="1704"/>
      <c r="T367" s="1706"/>
      <c r="U367" s="1877" t="str">
        <f ca="1">CONCATENATE(DATA!X4," ",DATA!Y4)</f>
        <v xml:space="preserve"> </v>
      </c>
      <c r="V367" s="1879"/>
      <c r="X367" s="298"/>
    </row>
    <row r="368" spans="3:24" ht="7.5" customHeight="1">
      <c r="C368" s="1082"/>
      <c r="D368" s="1728"/>
      <c r="E368" s="1728"/>
      <c r="F368" s="1728"/>
      <c r="G368" s="1728"/>
      <c r="H368" s="1728"/>
      <c r="I368" s="1728"/>
      <c r="J368" s="329"/>
      <c r="M368" s="329"/>
      <c r="N368" s="1078"/>
      <c r="O368" s="1078"/>
      <c r="P368" s="1065"/>
      <c r="Q368" s="1065"/>
      <c r="R368" s="1065"/>
      <c r="S368" s="1065"/>
      <c r="T368" s="1065"/>
      <c r="U368" s="329"/>
      <c r="X368" s="298"/>
    </row>
    <row r="369" spans="3:24">
      <c r="C369" s="1082"/>
      <c r="D369" s="1704" t="s">
        <v>658</v>
      </c>
      <c r="E369" s="1704"/>
      <c r="F369" s="1704"/>
      <c r="G369" s="1704"/>
      <c r="H369" s="1704"/>
      <c r="I369" s="1706"/>
      <c r="J369" s="1883" t="str">
        <f ca="1">J505</f>
        <v/>
      </c>
      <c r="K369" s="1884"/>
      <c r="L369" s="1885"/>
      <c r="M369" s="370"/>
      <c r="N369" s="1078"/>
      <c r="O369" s="1704" t="s">
        <v>655</v>
      </c>
      <c r="P369" s="1704"/>
      <c r="Q369" s="1704"/>
      <c r="R369" s="1704"/>
      <c r="S369" s="1704"/>
      <c r="T369" s="1706"/>
      <c r="U369" s="1877" t="str">
        <f ca="1">U505</f>
        <v/>
      </c>
      <c r="V369" s="1879"/>
      <c r="X369" s="298"/>
    </row>
    <row r="370" spans="3:24" ht="5.0999999999999996" customHeight="1">
      <c r="C370" s="1082"/>
      <c r="D370" s="1065"/>
      <c r="E370" s="1065"/>
      <c r="F370" s="1065"/>
      <c r="G370" s="1065"/>
      <c r="H370" s="1065"/>
      <c r="I370" s="1065"/>
      <c r="J370" s="329"/>
      <c r="M370" s="329"/>
      <c r="N370" s="1078"/>
      <c r="O370" s="1078"/>
      <c r="P370" s="1065"/>
      <c r="Q370" s="1065"/>
      <c r="R370" s="1065"/>
      <c r="S370" s="1065"/>
      <c r="T370" s="1065"/>
      <c r="U370" s="329"/>
      <c r="X370" s="298"/>
    </row>
    <row r="371" spans="3:24" ht="14.95" customHeight="1">
      <c r="C371" s="1774" t="s">
        <v>820</v>
      </c>
      <c r="D371" s="1775"/>
      <c r="E371" s="1775"/>
      <c r="F371" s="1775"/>
      <c r="G371" s="1775"/>
      <c r="H371" s="1775"/>
      <c r="I371" s="1775"/>
      <c r="J371" s="1707"/>
      <c r="K371" s="1708"/>
      <c r="L371" s="1709"/>
      <c r="M371" s="360"/>
      <c r="O371" s="1728" t="s">
        <v>821</v>
      </c>
      <c r="P371" s="1728"/>
      <c r="Q371" s="1728"/>
      <c r="R371" s="1728"/>
      <c r="S371" s="1728"/>
      <c r="T371" s="1728"/>
      <c r="U371" s="1707"/>
      <c r="V371" s="1709"/>
      <c r="X371" s="298"/>
    </row>
    <row r="372" spans="3:24" ht="7.5" customHeight="1">
      <c r="C372" s="1774"/>
      <c r="D372" s="1775"/>
      <c r="E372" s="1775"/>
      <c r="F372" s="1775"/>
      <c r="G372" s="1775"/>
      <c r="H372" s="1775"/>
      <c r="I372" s="1775"/>
      <c r="J372" s="347"/>
      <c r="K372" s="490"/>
      <c r="M372" s="347"/>
      <c r="N372" s="1067"/>
      <c r="O372" s="1728"/>
      <c r="P372" s="1728"/>
      <c r="Q372" s="1728"/>
      <c r="R372" s="1728"/>
      <c r="S372" s="1728"/>
      <c r="T372" s="1728"/>
      <c r="X372" s="298"/>
    </row>
    <row r="373" spans="3:24" ht="14.95" customHeight="1">
      <c r="C373" s="1774" t="s">
        <v>822</v>
      </c>
      <c r="D373" s="1775"/>
      <c r="E373" s="1775"/>
      <c r="F373" s="1775"/>
      <c r="G373" s="1775"/>
      <c r="H373" s="1775"/>
      <c r="I373" s="1775"/>
      <c r="J373" s="1707"/>
      <c r="K373" s="1708"/>
      <c r="L373" s="1709"/>
      <c r="M373" s="360"/>
      <c r="O373" s="1728" t="s">
        <v>823</v>
      </c>
      <c r="P373" s="1728"/>
      <c r="Q373" s="1728"/>
      <c r="R373" s="1728"/>
      <c r="S373" s="1728"/>
      <c r="T373" s="1728"/>
      <c r="U373" s="1707"/>
      <c r="V373" s="1709"/>
      <c r="X373" s="298"/>
    </row>
    <row r="374" spans="3:24" ht="7.5" customHeight="1">
      <c r="C374" s="1774"/>
      <c r="D374" s="1775"/>
      <c r="E374" s="1775"/>
      <c r="F374" s="1775"/>
      <c r="G374" s="1775"/>
      <c r="H374" s="1775"/>
      <c r="I374" s="1775"/>
      <c r="J374" s="347"/>
      <c r="K374" s="490"/>
      <c r="M374" s="347"/>
      <c r="N374" s="1067"/>
      <c r="O374" s="1728"/>
      <c r="P374" s="1728"/>
      <c r="Q374" s="1728"/>
      <c r="R374" s="1728"/>
      <c r="S374" s="1728"/>
      <c r="T374" s="1728"/>
      <c r="U374" s="347"/>
      <c r="X374" s="298"/>
    </row>
    <row r="375" spans="3:24">
      <c r="C375" s="1082"/>
      <c r="D375" s="1704" t="s">
        <v>629</v>
      </c>
      <c r="E375" s="1704"/>
      <c r="F375" s="1704"/>
      <c r="G375" s="1704"/>
      <c r="H375" s="1704"/>
      <c r="I375" s="1706"/>
      <c r="J375" s="1710">
        <f ca="1">J537</f>
        <v>0</v>
      </c>
      <c r="K375" s="1711"/>
      <c r="L375" s="1712"/>
      <c r="M375" s="329"/>
      <c r="N375" s="1078"/>
      <c r="O375" s="1704" t="s">
        <v>747</v>
      </c>
      <c r="P375" s="1704"/>
      <c r="Q375" s="1704"/>
      <c r="R375" s="1704"/>
      <c r="S375" s="1704"/>
      <c r="T375" s="1705"/>
      <c r="U375" s="1707">
        <f>DATA!BE4</f>
        <v>0</v>
      </c>
      <c r="V375" s="1709"/>
      <c r="X375" s="298"/>
    </row>
    <row r="376" spans="3:24" ht="5.0999999999999996" customHeight="1">
      <c r="C376" s="1082"/>
      <c r="D376" s="1065"/>
      <c r="E376" s="1065"/>
      <c r="F376" s="1065"/>
      <c r="G376" s="1065"/>
      <c r="H376" s="1065"/>
      <c r="I376" s="1065"/>
      <c r="N376" s="1065"/>
      <c r="O376" s="1065"/>
      <c r="P376" s="1065"/>
      <c r="Q376" s="1065"/>
      <c r="R376" s="1065"/>
      <c r="S376" s="1065"/>
      <c r="T376" s="1065"/>
      <c r="U376" s="329"/>
      <c r="X376" s="298"/>
    </row>
    <row r="377" spans="3:24">
      <c r="C377" s="1082"/>
      <c r="D377" s="1704" t="s">
        <v>824</v>
      </c>
      <c r="E377" s="1704"/>
      <c r="F377" s="1704"/>
      <c r="G377" s="1704"/>
      <c r="H377" s="1704"/>
      <c r="I377" s="1706"/>
      <c r="J377" s="1739">
        <f ca="1">J543</f>
        <v>0</v>
      </c>
      <c r="K377" s="1740"/>
      <c r="L377" s="1741"/>
      <c r="M377" s="329"/>
      <c r="N377" s="1078"/>
      <c r="O377" s="1078"/>
      <c r="P377" s="1065"/>
      <c r="Q377" s="1065"/>
      <c r="R377" s="1065"/>
      <c r="S377" s="1065"/>
      <c r="T377" s="1065"/>
      <c r="U377" s="329"/>
      <c r="X377" s="298"/>
    </row>
    <row r="378" spans="3:24">
      <c r="C378" s="1082"/>
      <c r="D378" s="1065"/>
      <c r="E378" s="1065"/>
      <c r="F378" s="1065"/>
      <c r="G378" s="1065"/>
      <c r="H378" s="1065"/>
      <c r="I378" s="1066"/>
      <c r="J378" s="1742"/>
      <c r="K378" s="1743"/>
      <c r="L378" s="1744"/>
      <c r="M378" s="329"/>
      <c r="N378" s="1078"/>
      <c r="O378" s="1078"/>
      <c r="P378" s="1065"/>
      <c r="Q378" s="1065"/>
      <c r="R378" s="1065"/>
      <c r="S378" s="1065"/>
      <c r="T378" s="1065"/>
      <c r="X378" s="298"/>
    </row>
    <row r="379" spans="3:24">
      <c r="C379" s="1082"/>
      <c r="D379" s="1065"/>
      <c r="E379" s="1065"/>
      <c r="F379" s="1065"/>
      <c r="G379" s="1065"/>
      <c r="H379" s="1065"/>
      <c r="I379" s="1066"/>
      <c r="J379" s="1745"/>
      <c r="K379" s="1746"/>
      <c r="L379" s="1747"/>
      <c r="M379" s="329"/>
      <c r="N379" s="1078"/>
      <c r="O379" s="1704" t="s">
        <v>749</v>
      </c>
      <c r="P379" s="1704"/>
      <c r="Q379" s="1704"/>
      <c r="R379" s="1704"/>
      <c r="S379" s="1704"/>
      <c r="T379" s="1706"/>
      <c r="U379" s="1710" t="str">
        <f ca="1">J553</f>
        <v>Multi-Family Housing</v>
      </c>
      <c r="V379" s="1712"/>
      <c r="X379" s="298"/>
    </row>
    <row r="380" spans="3:24" ht="5.0999999999999996" customHeight="1">
      <c r="C380" s="1082"/>
      <c r="D380" s="1065"/>
      <c r="E380" s="1065"/>
      <c r="F380" s="1065"/>
      <c r="G380" s="1065"/>
      <c r="H380" s="1065"/>
      <c r="I380" s="1065"/>
      <c r="J380" s="329"/>
      <c r="M380" s="329"/>
      <c r="N380" s="329"/>
      <c r="O380" s="329"/>
      <c r="V380" s="329"/>
      <c r="X380" s="298"/>
    </row>
    <row r="381" spans="3:24">
      <c r="C381" s="1082"/>
      <c r="D381" s="1704" t="s">
        <v>825</v>
      </c>
      <c r="E381" s="1704"/>
      <c r="F381" s="1704"/>
      <c r="G381" s="1704"/>
      <c r="H381" s="1704"/>
      <c r="I381" s="1706"/>
      <c r="J381" s="1713">
        <f ca="1">DATA!BL4</f>
        <v>0</v>
      </c>
      <c r="K381" s="1711"/>
      <c r="L381" s="1712"/>
      <c r="M381" s="371"/>
      <c r="N381" s="371"/>
      <c r="O381" s="371"/>
      <c r="U381" s="215"/>
      <c r="X381" s="298"/>
    </row>
    <row r="382" spans="3:24" ht="5.0999999999999996" customHeight="1">
      <c r="C382" s="1082"/>
      <c r="D382" s="1065"/>
      <c r="E382" s="1065"/>
      <c r="F382" s="1065"/>
      <c r="G382" s="1065"/>
      <c r="H382" s="1065"/>
      <c r="I382" s="1065"/>
      <c r="X382" s="298"/>
    </row>
    <row r="383" spans="3:24">
      <c r="C383" s="1082"/>
      <c r="D383" s="1704" t="s">
        <v>751</v>
      </c>
      <c r="E383" s="1704"/>
      <c r="F383" s="1704"/>
      <c r="G383" s="1704"/>
      <c r="H383" s="1704"/>
      <c r="I383" s="1706"/>
      <c r="J383" s="1877">
        <f ca="1">DATA!B10</f>
        <v>0</v>
      </c>
      <c r="K383" s="1878"/>
      <c r="L383" s="1879"/>
      <c r="M383" s="329"/>
      <c r="N383" s="329"/>
      <c r="O383" s="329"/>
      <c r="X383" s="298"/>
    </row>
    <row r="384" spans="3:24" ht="5.0999999999999996" customHeight="1">
      <c r="C384" s="297"/>
      <c r="D384" s="214"/>
      <c r="E384" s="214"/>
      <c r="F384" s="214"/>
      <c r="G384" s="214"/>
      <c r="H384" s="214"/>
      <c r="I384" s="214"/>
      <c r="J384" s="214"/>
      <c r="K384" s="214"/>
      <c r="L384" s="214"/>
      <c r="M384" s="214"/>
      <c r="N384" s="214"/>
      <c r="O384" s="214"/>
      <c r="P384" s="214"/>
      <c r="Q384" s="214"/>
      <c r="R384" s="214"/>
      <c r="S384" s="214"/>
      <c r="T384" s="214"/>
      <c r="U384" s="214"/>
      <c r="V384" s="214"/>
      <c r="W384" s="214"/>
      <c r="X384" s="299"/>
    </row>
    <row r="385" spans="3:24" ht="5.0999999999999996" customHeight="1"/>
    <row r="386" spans="3:24" ht="5.0999999999999996" customHeight="1">
      <c r="C386" s="701"/>
      <c r="D386" s="690"/>
      <c r="E386" s="690"/>
      <c r="F386" s="690"/>
      <c r="G386" s="690"/>
      <c r="H386" s="690"/>
      <c r="I386" s="690"/>
      <c r="J386" s="690"/>
      <c r="K386" s="690"/>
      <c r="L386" s="690"/>
      <c r="M386" s="690"/>
      <c r="N386" s="690"/>
      <c r="O386" s="690"/>
      <c r="P386" s="690"/>
      <c r="Q386" s="690"/>
      <c r="R386" s="690"/>
      <c r="S386" s="690"/>
      <c r="T386" s="690"/>
      <c r="U386" s="690"/>
      <c r="V386" s="690"/>
      <c r="W386" s="690"/>
      <c r="X386" s="702"/>
    </row>
    <row r="387" spans="3:24">
      <c r="C387" s="296"/>
      <c r="D387" s="1767" t="s">
        <v>826</v>
      </c>
      <c r="E387" s="1767"/>
      <c r="F387" s="1767"/>
      <c r="G387" s="1767"/>
      <c r="H387" s="1767"/>
      <c r="I387" s="1767"/>
      <c r="J387" s="1767"/>
      <c r="K387" s="1767"/>
      <c r="L387" s="1767"/>
      <c r="M387" s="1767"/>
      <c r="N387" s="1767"/>
      <c r="O387" s="1767"/>
      <c r="P387" s="1767"/>
      <c r="Q387" s="1767"/>
      <c r="R387" s="1767"/>
      <c r="S387" s="1767"/>
      <c r="T387" s="1767"/>
      <c r="U387" s="1767"/>
      <c r="V387" s="1767"/>
      <c r="W387" s="1767"/>
      <c r="X387" s="298"/>
    </row>
    <row r="388" spans="3:24" ht="5.0999999999999996" customHeight="1">
      <c r="C388" s="296"/>
      <c r="X388" s="298"/>
    </row>
    <row r="389" spans="3:24" ht="14.95" customHeight="1">
      <c r="C389" s="296"/>
      <c r="O389" s="1704" t="s">
        <v>827</v>
      </c>
      <c r="P389" s="1704"/>
      <c r="Q389" s="1704"/>
      <c r="R389" s="1704"/>
      <c r="S389" s="1704"/>
      <c r="T389" s="1705"/>
      <c r="U389" s="1707"/>
      <c r="V389" s="1709"/>
      <c r="X389" s="298"/>
    </row>
    <row r="390" spans="3:24" ht="5.0999999999999996" customHeight="1">
      <c r="C390" s="296"/>
      <c r="S390" s="1065"/>
      <c r="T390" s="1065"/>
      <c r="X390" s="298"/>
    </row>
    <row r="391" spans="3:24">
      <c r="C391" s="296"/>
      <c r="D391" s="1704" t="s">
        <v>715</v>
      </c>
      <c r="E391" s="1704"/>
      <c r="F391" s="1704"/>
      <c r="G391" s="1704"/>
      <c r="H391" s="1704"/>
      <c r="I391" s="1706"/>
      <c r="J391" s="1880">
        <f ca="1">J477</f>
        <v>0</v>
      </c>
      <c r="K391" s="1881"/>
      <c r="L391" s="1882"/>
      <c r="M391" s="207"/>
      <c r="N391" s="207"/>
      <c r="O391" s="207"/>
      <c r="S391" s="1065"/>
      <c r="T391" s="1065"/>
      <c r="X391" s="298"/>
    </row>
    <row r="392" spans="3:24" ht="5.0999999999999996" customHeight="1">
      <c r="C392" s="296"/>
      <c r="I392" s="1065"/>
      <c r="S392" s="1065"/>
      <c r="T392" s="1065"/>
      <c r="X392" s="298"/>
    </row>
    <row r="393" spans="3:24">
      <c r="C393" s="296"/>
      <c r="D393" s="1704" t="s">
        <v>716</v>
      </c>
      <c r="E393" s="1704"/>
      <c r="F393" s="1704"/>
      <c r="G393" s="1704"/>
      <c r="H393" s="1704"/>
      <c r="I393" s="1706"/>
      <c r="J393" s="1748">
        <f ca="1">J479</f>
        <v>0</v>
      </c>
      <c r="K393" s="1749"/>
      <c r="L393" s="1750"/>
      <c r="M393" s="96"/>
      <c r="N393" s="96"/>
      <c r="O393" s="1704" t="s">
        <v>717</v>
      </c>
      <c r="P393" s="1704"/>
      <c r="Q393" s="1704"/>
      <c r="R393" s="1704"/>
      <c r="S393" s="1704"/>
      <c r="T393" s="1706"/>
      <c r="U393" s="1779">
        <f ca="1">DATA!G4</f>
        <v>0</v>
      </c>
      <c r="V393" s="1712"/>
      <c r="X393" s="298"/>
    </row>
    <row r="394" spans="3:24" ht="5.0999999999999996" customHeight="1">
      <c r="C394" s="296"/>
      <c r="I394" s="1065"/>
      <c r="S394" s="1065"/>
      <c r="T394" s="1065"/>
      <c r="U394" s="96"/>
      <c r="X394" s="298"/>
    </row>
    <row r="395" spans="3:24">
      <c r="C395" s="296"/>
      <c r="D395" s="1704" t="s">
        <v>718</v>
      </c>
      <c r="E395" s="1704"/>
      <c r="F395" s="1704"/>
      <c r="G395" s="1704"/>
      <c r="H395" s="1704"/>
      <c r="I395" s="1705"/>
      <c r="J395" s="1710"/>
      <c r="K395" s="1711"/>
      <c r="L395" s="1712"/>
      <c r="M395" s="360"/>
      <c r="N395" s="361"/>
      <c r="O395" s="1704" t="s">
        <v>719</v>
      </c>
      <c r="P395" s="1704"/>
      <c r="Q395" s="1704"/>
      <c r="R395" s="1704"/>
      <c r="S395" s="1704"/>
      <c r="T395" s="1706"/>
      <c r="U395" s="1779">
        <f ca="1">DATA!H4</f>
        <v>0</v>
      </c>
      <c r="V395" s="1712"/>
      <c r="X395" s="298"/>
    </row>
    <row r="396" spans="3:24" ht="5.0999999999999996" customHeight="1">
      <c r="C396" s="296"/>
      <c r="I396" s="1065"/>
      <c r="J396" s="96"/>
      <c r="M396" s="96"/>
      <c r="N396" s="96"/>
      <c r="O396" s="96"/>
      <c r="S396" s="1065"/>
      <c r="T396" s="1065"/>
      <c r="U396" s="96"/>
      <c r="X396" s="298"/>
    </row>
    <row r="397" spans="3:24">
      <c r="C397" s="296"/>
      <c r="I397" s="1066"/>
      <c r="J397" s="96"/>
      <c r="K397" s="215"/>
      <c r="M397" s="96"/>
      <c r="N397" s="96"/>
      <c r="O397" s="1704" t="s">
        <v>721</v>
      </c>
      <c r="P397" s="1704"/>
      <c r="Q397" s="1704"/>
      <c r="R397" s="1704"/>
      <c r="S397" s="1704"/>
      <c r="T397" s="1706"/>
      <c r="U397" s="1779">
        <f ca="1">DATA!J4</f>
        <v>0</v>
      </c>
      <c r="V397" s="1712"/>
      <c r="X397" s="298"/>
    </row>
    <row r="398" spans="3:24" ht="5.0999999999999996" customHeight="1">
      <c r="C398" s="296"/>
      <c r="I398" s="1065"/>
      <c r="J398" s="96"/>
      <c r="M398" s="96"/>
      <c r="N398" s="96"/>
      <c r="O398" s="96"/>
      <c r="S398" s="1065"/>
      <c r="T398" s="1065"/>
      <c r="U398" s="96"/>
      <c r="X398" s="298"/>
    </row>
    <row r="399" spans="3:24">
      <c r="C399" s="296"/>
      <c r="D399" s="1704" t="s">
        <v>722</v>
      </c>
      <c r="E399" s="1704"/>
      <c r="F399" s="1704"/>
      <c r="G399" s="1704"/>
      <c r="H399" s="1704"/>
      <c r="I399" s="1706"/>
      <c r="J399" s="1779" t="str">
        <f ca="1">DATA!K4</f>
        <v>WA</v>
      </c>
      <c r="K399" s="1711"/>
      <c r="L399" s="1712"/>
      <c r="M399" s="96"/>
      <c r="N399" s="96"/>
      <c r="O399" s="1704" t="s">
        <v>723</v>
      </c>
      <c r="P399" s="1704"/>
      <c r="Q399" s="1704"/>
      <c r="R399" s="1704"/>
      <c r="S399" s="1704"/>
      <c r="T399" s="1706"/>
      <c r="U399" s="1779">
        <f ca="1">DATA!L4</f>
        <v>0</v>
      </c>
      <c r="V399" s="1712"/>
      <c r="X399" s="298"/>
    </row>
    <row r="400" spans="3:24" ht="5.0999999999999996" customHeight="1">
      <c r="C400" s="296"/>
      <c r="I400" s="1065"/>
      <c r="J400" s="96"/>
      <c r="M400" s="96"/>
      <c r="N400" s="96"/>
      <c r="O400" s="96"/>
      <c r="S400" s="1065"/>
      <c r="T400" s="1065"/>
      <c r="U400" s="96"/>
      <c r="X400" s="298"/>
    </row>
    <row r="401" spans="3:24">
      <c r="C401" s="296"/>
      <c r="D401" s="1704" t="s">
        <v>724</v>
      </c>
      <c r="E401" s="1704"/>
      <c r="F401" s="1704"/>
      <c r="G401" s="1704"/>
      <c r="H401" s="1704"/>
      <c r="I401" s="1705"/>
      <c r="J401" s="1707">
        <f>DATA!M4</f>
        <v>0</v>
      </c>
      <c r="K401" s="1708"/>
      <c r="L401" s="1709"/>
      <c r="M401" s="360"/>
      <c r="N401" s="361"/>
      <c r="O401" s="1704" t="s">
        <v>725</v>
      </c>
      <c r="P401" s="1704"/>
      <c r="Q401" s="1704"/>
      <c r="R401" s="1704"/>
      <c r="S401" s="1704"/>
      <c r="T401" s="1706"/>
      <c r="U401" s="1707">
        <f ca="1">J489</f>
        <v>0</v>
      </c>
      <c r="V401" s="1709"/>
      <c r="X401" s="298"/>
    </row>
    <row r="402" spans="3:24" ht="5.0999999999999996" customHeight="1">
      <c r="C402" s="296"/>
      <c r="I402" s="1065"/>
      <c r="J402" s="96"/>
      <c r="M402" s="96"/>
      <c r="N402" s="96"/>
      <c r="O402" s="96"/>
      <c r="S402" s="1065"/>
      <c r="T402" s="1065"/>
      <c r="U402" s="96"/>
      <c r="X402" s="298"/>
    </row>
    <row r="403" spans="3:24">
      <c r="C403" s="296"/>
      <c r="D403" s="1704" t="s">
        <v>726</v>
      </c>
      <c r="E403" s="1704"/>
      <c r="F403" s="1704"/>
      <c r="G403" s="1704"/>
      <c r="H403" s="1704"/>
      <c r="I403" s="1706"/>
      <c r="J403" s="1707">
        <f ca="1">U489</f>
        <v>0</v>
      </c>
      <c r="K403" s="1708"/>
      <c r="L403" s="1709"/>
      <c r="M403" s="96"/>
      <c r="N403" s="96"/>
      <c r="O403" s="1704" t="s">
        <v>727</v>
      </c>
      <c r="P403" s="1704"/>
      <c r="Q403" s="1704"/>
      <c r="R403" s="1704"/>
      <c r="S403" s="1704"/>
      <c r="T403" s="1706"/>
      <c r="U403" s="1707" t="str">
        <f ca="1">J491</f>
        <v>WA</v>
      </c>
      <c r="V403" s="1709"/>
      <c r="X403" s="298"/>
    </row>
    <row r="404" spans="3:24" ht="5.0999999999999996" customHeight="1">
      <c r="C404" s="296"/>
      <c r="I404" s="1065"/>
      <c r="J404" s="96"/>
      <c r="M404" s="96"/>
      <c r="N404" s="96"/>
      <c r="O404" s="96"/>
      <c r="S404" s="1065"/>
      <c r="T404" s="1065"/>
      <c r="U404" s="96"/>
      <c r="X404" s="298"/>
    </row>
    <row r="405" spans="3:24">
      <c r="C405" s="296"/>
      <c r="D405" s="1704" t="s">
        <v>728</v>
      </c>
      <c r="E405" s="1704"/>
      <c r="F405" s="1704"/>
      <c r="G405" s="1704"/>
      <c r="H405" s="1704"/>
      <c r="I405" s="1706"/>
      <c r="J405" s="1707">
        <f ca="1">U491</f>
        <v>0</v>
      </c>
      <c r="K405" s="1708"/>
      <c r="L405" s="1709"/>
      <c r="M405" s="96"/>
      <c r="N405" s="96"/>
      <c r="O405" s="1704" t="s">
        <v>437</v>
      </c>
      <c r="P405" s="1704"/>
      <c r="Q405" s="1704"/>
      <c r="R405" s="1704"/>
      <c r="S405" s="1704"/>
      <c r="T405" s="1706"/>
      <c r="U405" s="1776">
        <f ca="1">DATA!R4</f>
        <v>0</v>
      </c>
      <c r="V405" s="1778"/>
      <c r="X405" s="298"/>
    </row>
    <row r="406" spans="3:24" ht="5.0999999999999996" customHeight="1">
      <c r="C406" s="296"/>
      <c r="I406" s="1065"/>
      <c r="J406" s="96"/>
      <c r="M406" s="96"/>
      <c r="N406" s="96"/>
      <c r="O406" s="96"/>
      <c r="S406" s="1065"/>
      <c r="T406" s="1065"/>
      <c r="U406" s="96"/>
      <c r="X406" s="298"/>
    </row>
    <row r="407" spans="3:24">
      <c r="C407" s="296"/>
      <c r="D407" s="1704" t="s">
        <v>438</v>
      </c>
      <c r="E407" s="1704"/>
      <c r="F407" s="1704"/>
      <c r="G407" s="1704"/>
      <c r="H407" s="1704"/>
      <c r="I407" s="1706"/>
      <c r="J407" s="1779">
        <f ca="1">DATA!S4</f>
        <v>0</v>
      </c>
      <c r="K407" s="1711"/>
      <c r="L407" s="1712"/>
      <c r="M407" s="96"/>
      <c r="N407" s="96"/>
      <c r="O407" s="1704" t="s">
        <v>729</v>
      </c>
      <c r="P407" s="1704"/>
      <c r="Q407" s="1704"/>
      <c r="R407" s="1704"/>
      <c r="S407" s="1704"/>
      <c r="T407" s="1706"/>
      <c r="U407" s="1872">
        <f ca="1">DATA!T4</f>
        <v>0</v>
      </c>
      <c r="V407" s="1754"/>
      <c r="X407" s="298"/>
    </row>
    <row r="408" spans="3:24" ht="5.0999999999999996" customHeight="1">
      <c r="C408" s="297"/>
      <c r="D408" s="214"/>
      <c r="E408" s="214"/>
      <c r="F408" s="214"/>
      <c r="G408" s="214"/>
      <c r="H408" s="214"/>
      <c r="I408" s="214"/>
      <c r="J408" s="214"/>
      <c r="K408" s="214"/>
      <c r="L408" s="214"/>
      <c r="M408" s="214"/>
      <c r="N408" s="214"/>
      <c r="O408" s="214"/>
      <c r="P408" s="214"/>
      <c r="Q408" s="214"/>
      <c r="R408" s="214"/>
      <c r="S408" s="214"/>
      <c r="T408" s="214"/>
      <c r="U408" s="214"/>
      <c r="V408" s="214"/>
      <c r="W408" s="214"/>
      <c r="X408" s="299"/>
    </row>
    <row r="409" spans="3:24" ht="5.0999999999999996" customHeight="1"/>
    <row r="410" spans="3:24" ht="5.0999999999999996" customHeight="1">
      <c r="C410" s="701"/>
      <c r="D410" s="690"/>
      <c r="E410" s="690"/>
      <c r="F410" s="690"/>
      <c r="G410" s="690"/>
      <c r="H410" s="690"/>
      <c r="I410" s="690"/>
      <c r="J410" s="690"/>
      <c r="K410" s="690"/>
      <c r="L410" s="690"/>
      <c r="M410" s="690"/>
      <c r="N410" s="690"/>
      <c r="O410" s="690"/>
      <c r="P410" s="690"/>
      <c r="Q410" s="690"/>
      <c r="R410" s="690"/>
      <c r="S410" s="690"/>
      <c r="T410" s="690"/>
      <c r="U410" s="690"/>
      <c r="V410" s="690"/>
      <c r="W410" s="690"/>
      <c r="X410" s="702"/>
    </row>
    <row r="411" spans="3:24">
      <c r="C411" s="296"/>
      <c r="D411" s="1767" t="s">
        <v>828</v>
      </c>
      <c r="E411" s="1767"/>
      <c r="F411" s="1767"/>
      <c r="G411" s="1767"/>
      <c r="H411" s="1767"/>
      <c r="I411" s="1767"/>
      <c r="J411" s="1767"/>
      <c r="K411" s="1767"/>
      <c r="L411" s="1767"/>
      <c r="M411" s="1767"/>
      <c r="N411" s="1767"/>
      <c r="O411" s="1767"/>
      <c r="P411" s="1767"/>
      <c r="Q411" s="1767"/>
      <c r="R411" s="1767"/>
      <c r="S411" s="1767"/>
      <c r="T411" s="1767"/>
      <c r="U411" s="1767"/>
      <c r="V411" s="1767"/>
      <c r="W411" s="1767"/>
      <c r="X411" s="298"/>
    </row>
    <row r="412" spans="3:24" ht="5.0999999999999996" customHeight="1">
      <c r="C412" s="296"/>
      <c r="I412" s="38"/>
      <c r="J412" s="38"/>
      <c r="K412" s="38"/>
      <c r="L412" s="38"/>
      <c r="M412" s="38"/>
      <c r="N412" s="38"/>
      <c r="O412" s="38"/>
      <c r="X412" s="298"/>
    </row>
    <row r="413" spans="3:24" ht="14.95" customHeight="1">
      <c r="C413" s="296"/>
      <c r="I413" s="38"/>
      <c r="J413" s="38"/>
      <c r="K413" s="38"/>
      <c r="L413" s="38"/>
      <c r="M413" s="38"/>
      <c r="N413" s="38"/>
      <c r="O413" s="1704" t="s">
        <v>829</v>
      </c>
      <c r="P413" s="1704"/>
      <c r="Q413" s="1704"/>
      <c r="R413" s="1704"/>
      <c r="S413" s="1704"/>
      <c r="T413" s="1705"/>
      <c r="U413" s="1707"/>
      <c r="V413" s="1709"/>
      <c r="X413" s="298"/>
    </row>
    <row r="414" spans="3:24" ht="5.0999999999999996" customHeight="1">
      <c r="C414" s="296"/>
      <c r="I414" s="38"/>
      <c r="J414" s="38"/>
      <c r="K414" s="38"/>
      <c r="L414" s="38"/>
      <c r="M414" s="38"/>
      <c r="N414" s="38"/>
      <c r="O414" s="38"/>
      <c r="S414" s="1065"/>
      <c r="T414" s="1065"/>
      <c r="X414" s="298"/>
    </row>
    <row r="415" spans="3:24">
      <c r="C415" s="296"/>
      <c r="D415" s="1704" t="s">
        <v>716</v>
      </c>
      <c r="E415" s="1704"/>
      <c r="F415" s="1704"/>
      <c r="G415" s="1704"/>
      <c r="H415" s="1704"/>
      <c r="I415" s="1706"/>
      <c r="J415" s="1752" t="str">
        <f ca="1">DATA!AE18</f>
        <v/>
      </c>
      <c r="K415" s="1753"/>
      <c r="L415" s="1754"/>
      <c r="M415" s="38"/>
      <c r="N415" s="96"/>
      <c r="O415" s="96"/>
      <c r="S415" s="1065"/>
      <c r="T415" s="1065"/>
      <c r="X415" s="298"/>
    </row>
    <row r="416" spans="3:24" ht="5.0999999999999996" customHeight="1">
      <c r="C416" s="296"/>
      <c r="I416" s="1066"/>
      <c r="J416" s="38"/>
      <c r="K416" s="215"/>
      <c r="M416" s="38"/>
      <c r="N416" s="38"/>
      <c r="O416" s="38"/>
      <c r="S416" s="1065"/>
      <c r="T416" s="1065"/>
      <c r="X416" s="298"/>
    </row>
    <row r="417" spans="3:26">
      <c r="C417" s="296"/>
      <c r="D417" s="1704" t="s">
        <v>830</v>
      </c>
      <c r="E417" s="1704"/>
      <c r="F417" s="1704"/>
      <c r="G417" s="1704"/>
      <c r="H417" s="1704"/>
      <c r="I417" s="1706"/>
      <c r="J417" s="1752" t="str">
        <f ca="1">IFERROR(LEFT(Z417,FIND(" ",Z417)-1),Z417)</f>
        <v/>
      </c>
      <c r="K417" s="1753"/>
      <c r="L417" s="1754"/>
      <c r="M417" s="38"/>
      <c r="N417" s="96"/>
      <c r="O417" s="1704" t="s">
        <v>831</v>
      </c>
      <c r="P417" s="1704"/>
      <c r="Q417" s="1704"/>
      <c r="R417" s="1704"/>
      <c r="S417" s="1704"/>
      <c r="T417" s="1706"/>
      <c r="U417" s="1752" t="str">
        <f ca="1">IFERROR(RIGHT(Z417,LEN(Z417)-FIND(" ",Z417)),"")</f>
        <v/>
      </c>
      <c r="V417" s="1754"/>
      <c r="X417" s="298"/>
      <c r="Z417" t="str">
        <f ca="1">DATA!AF18</f>
        <v/>
      </c>
    </row>
    <row r="418" spans="3:26" ht="5.0999999999999996" customHeight="1">
      <c r="C418" s="296"/>
      <c r="I418" s="1066"/>
      <c r="J418" s="38"/>
      <c r="K418" s="215"/>
      <c r="M418" s="38"/>
      <c r="N418" s="38"/>
      <c r="O418" s="38"/>
      <c r="T418" s="1066"/>
      <c r="U418" s="38"/>
      <c r="X418" s="298"/>
    </row>
    <row r="419" spans="3:26">
      <c r="C419" s="296"/>
      <c r="D419" s="1704" t="s">
        <v>832</v>
      </c>
      <c r="E419" s="1704"/>
      <c r="F419" s="1704"/>
      <c r="G419" s="1704"/>
      <c r="H419" s="1704"/>
      <c r="I419" s="1706"/>
      <c r="J419" s="1768" t="str">
        <f ca="1">DATA!AG18</f>
        <v/>
      </c>
      <c r="K419" s="1873"/>
      <c r="L419" s="1769"/>
      <c r="M419" s="38"/>
      <c r="N419" s="96"/>
      <c r="O419" s="1704" t="s">
        <v>833</v>
      </c>
      <c r="P419" s="1704"/>
      <c r="Q419" s="1704"/>
      <c r="R419" s="1704"/>
      <c r="S419" s="1704"/>
      <c r="T419" s="1706"/>
      <c r="U419" s="1752" t="str">
        <f ca="1">DATA!AH18</f>
        <v/>
      </c>
      <c r="V419" s="1754"/>
      <c r="X419" s="298"/>
    </row>
    <row r="420" spans="3:26" ht="5.0999999999999996" customHeight="1">
      <c r="C420" s="296"/>
      <c r="I420" s="1066"/>
      <c r="J420" s="38"/>
      <c r="K420" s="215"/>
      <c r="M420" s="38"/>
      <c r="N420" s="38"/>
      <c r="O420" s="38"/>
      <c r="X420" s="298"/>
    </row>
    <row r="421" spans="3:26">
      <c r="C421" s="296"/>
      <c r="D421" s="1704" t="s">
        <v>834</v>
      </c>
      <c r="E421" s="1704"/>
      <c r="F421" s="1704"/>
      <c r="G421" s="1704"/>
      <c r="H421" s="1704"/>
      <c r="I421" s="1751"/>
      <c r="J421" s="1748"/>
      <c r="K421" s="1749"/>
      <c r="L421" s="1750"/>
      <c r="M421" s="360"/>
      <c r="N421" s="96"/>
      <c r="O421" s="96"/>
      <c r="X421" s="298"/>
    </row>
    <row r="422" spans="3:26" ht="5.0999999999999996" customHeight="1">
      <c r="C422" s="297"/>
      <c r="D422" s="214"/>
      <c r="E422" s="214"/>
      <c r="F422" s="214"/>
      <c r="G422" s="214"/>
      <c r="H422" s="214"/>
      <c r="I422" s="214"/>
      <c r="J422" s="214"/>
      <c r="K422" s="214"/>
      <c r="L422" s="214"/>
      <c r="M422" s="214"/>
      <c r="N422" s="214"/>
      <c r="O422" s="214"/>
      <c r="P422" s="214"/>
      <c r="Q422" s="214"/>
      <c r="R422" s="214"/>
      <c r="S422" s="214"/>
      <c r="T422" s="214"/>
      <c r="U422" s="214"/>
      <c r="V422" s="214"/>
      <c r="W422" s="214"/>
      <c r="X422" s="299"/>
    </row>
    <row r="423" spans="3:26" ht="5.0999999999999996" customHeight="1"/>
    <row r="424" spans="3:26" ht="5.0999999999999996" customHeight="1">
      <c r="C424" s="701"/>
      <c r="D424" s="690"/>
      <c r="E424" s="690"/>
      <c r="F424" s="690"/>
      <c r="G424" s="690"/>
      <c r="H424" s="690"/>
      <c r="I424" s="690"/>
      <c r="J424" s="690"/>
      <c r="K424" s="690"/>
      <c r="L424" s="690"/>
      <c r="M424" s="690"/>
      <c r="N424" s="690"/>
      <c r="O424" s="690"/>
      <c r="P424" s="690"/>
      <c r="Q424" s="690"/>
      <c r="R424" s="690"/>
      <c r="S424" s="690"/>
      <c r="T424" s="690"/>
      <c r="U424" s="690"/>
      <c r="V424" s="690"/>
      <c r="W424" s="690"/>
      <c r="X424" s="702"/>
    </row>
    <row r="425" spans="3:26">
      <c r="C425" s="296"/>
      <c r="D425" s="1767" t="s">
        <v>835</v>
      </c>
      <c r="E425" s="1767"/>
      <c r="F425" s="1767"/>
      <c r="G425" s="1767"/>
      <c r="H425" s="1767"/>
      <c r="I425" s="1767"/>
      <c r="J425" s="1767"/>
      <c r="K425" s="1767"/>
      <c r="L425" s="1767"/>
      <c r="M425" s="1767"/>
      <c r="N425" s="1767"/>
      <c r="O425" s="1767"/>
      <c r="P425" s="1767"/>
      <c r="Q425" s="1767"/>
      <c r="R425" s="1767"/>
      <c r="S425" s="1767"/>
      <c r="T425" s="1767"/>
      <c r="U425" s="1767"/>
      <c r="V425" s="1767"/>
      <c r="W425" s="1767"/>
      <c r="X425" s="298"/>
    </row>
    <row r="426" spans="3:26" ht="5.0999999999999996" customHeight="1">
      <c r="C426" s="296"/>
      <c r="I426" s="38"/>
      <c r="J426" s="38"/>
      <c r="K426" s="38"/>
      <c r="L426" s="38"/>
      <c r="M426" s="38"/>
      <c r="N426" s="38"/>
      <c r="O426" s="38"/>
      <c r="X426" s="298"/>
    </row>
    <row r="427" spans="3:26" ht="14.95" customHeight="1">
      <c r="C427" s="296"/>
      <c r="I427" s="1065"/>
      <c r="J427" s="38"/>
      <c r="K427" s="38"/>
      <c r="L427" s="38"/>
      <c r="M427" s="38"/>
      <c r="N427" s="38"/>
      <c r="O427" s="1704" t="s">
        <v>836</v>
      </c>
      <c r="P427" s="1704"/>
      <c r="Q427" s="1704"/>
      <c r="R427" s="1704"/>
      <c r="S427" s="1704"/>
      <c r="T427" s="1705"/>
      <c r="U427" s="1707"/>
      <c r="V427" s="1709"/>
      <c r="X427" s="298"/>
    </row>
    <row r="428" spans="3:26" ht="5.0999999999999996" customHeight="1">
      <c r="C428" s="296"/>
      <c r="I428" s="1065"/>
      <c r="J428" s="38"/>
      <c r="K428" s="38"/>
      <c r="L428" s="38"/>
      <c r="M428" s="38"/>
      <c r="N428" s="38"/>
      <c r="O428" s="38"/>
      <c r="S428" s="1065"/>
      <c r="T428" s="1065"/>
      <c r="X428" s="298"/>
    </row>
    <row r="429" spans="3:26">
      <c r="C429" s="296"/>
      <c r="I429" s="1066"/>
      <c r="J429" s="38"/>
      <c r="K429" s="38"/>
      <c r="L429" s="38"/>
      <c r="M429" s="38"/>
      <c r="N429" s="96"/>
      <c r="O429" s="1704" t="s">
        <v>436</v>
      </c>
      <c r="P429" s="1704"/>
      <c r="Q429" s="1704"/>
      <c r="R429" s="1704"/>
      <c r="S429" s="1704"/>
      <c r="T429" s="1706"/>
      <c r="U429" s="1752" t="str">
        <f ca="1">U515</f>
        <v/>
      </c>
      <c r="V429" s="1754"/>
      <c r="X429" s="298"/>
    </row>
    <row r="430" spans="3:26" ht="5.0999999999999996" customHeight="1">
      <c r="C430" s="296"/>
      <c r="I430" s="1066"/>
      <c r="J430" s="38"/>
      <c r="K430" s="215"/>
      <c r="M430" s="38"/>
      <c r="N430" s="38"/>
      <c r="O430" s="38"/>
      <c r="S430" s="1065"/>
      <c r="T430" s="1065"/>
      <c r="X430" s="298"/>
    </row>
    <row r="431" spans="3:26">
      <c r="C431" s="296"/>
      <c r="D431" s="1704" t="s">
        <v>837</v>
      </c>
      <c r="E431" s="1704"/>
      <c r="F431" s="1704"/>
      <c r="G431" s="1704"/>
      <c r="H431" s="1704"/>
      <c r="I431" s="1751"/>
      <c r="J431" s="1748">
        <f>J517</f>
        <v>0</v>
      </c>
      <c r="K431" s="1749"/>
      <c r="L431" s="1750"/>
      <c r="M431" s="38"/>
      <c r="N431" s="96"/>
      <c r="O431" s="1704" t="s">
        <v>437</v>
      </c>
      <c r="P431" s="1704"/>
      <c r="Q431" s="1704"/>
      <c r="R431" s="1704"/>
      <c r="S431" s="1704"/>
      <c r="T431" s="1706"/>
      <c r="U431" s="1768" t="str">
        <f ca="1">U517</f>
        <v/>
      </c>
      <c r="V431" s="1769"/>
      <c r="X431" s="298"/>
    </row>
    <row r="432" spans="3:26" ht="5.0999999999999996" customHeight="1">
      <c r="C432" s="296"/>
      <c r="I432" s="1066"/>
      <c r="J432" s="38"/>
      <c r="K432" s="215"/>
      <c r="M432" s="38"/>
      <c r="N432" s="38"/>
      <c r="O432" s="38"/>
      <c r="S432" s="1065"/>
      <c r="T432" s="1065"/>
      <c r="X432" s="298"/>
    </row>
    <row r="433" spans="3:24">
      <c r="C433" s="296"/>
      <c r="D433" s="1704" t="s">
        <v>438</v>
      </c>
      <c r="E433" s="1704"/>
      <c r="F433" s="1704"/>
      <c r="G433" s="1704"/>
      <c r="H433" s="1704"/>
      <c r="I433" s="1706"/>
      <c r="J433" s="1752" t="str">
        <f ca="1">J519</f>
        <v/>
      </c>
      <c r="K433" s="1753"/>
      <c r="L433" s="1754"/>
      <c r="M433" s="38"/>
      <c r="N433" s="96"/>
      <c r="O433" s="1704" t="s">
        <v>733</v>
      </c>
      <c r="P433" s="1704"/>
      <c r="Q433" s="1704"/>
      <c r="R433" s="1704"/>
      <c r="S433" s="1704"/>
      <c r="T433" s="1706"/>
      <c r="U433" s="1752" t="str">
        <f ca="1">U519</f>
        <v/>
      </c>
      <c r="V433" s="1754"/>
      <c r="X433" s="298"/>
    </row>
    <row r="434" spans="3:24" ht="5.0999999999999996" customHeight="1">
      <c r="C434" s="296"/>
      <c r="I434" s="1066"/>
      <c r="J434" s="38"/>
      <c r="K434" s="215"/>
      <c r="M434" s="38"/>
      <c r="N434" s="38"/>
      <c r="O434" s="38"/>
      <c r="S434" s="1065"/>
      <c r="T434" s="1066"/>
      <c r="U434" s="38"/>
      <c r="X434" s="298"/>
    </row>
    <row r="435" spans="3:24">
      <c r="C435" s="296"/>
      <c r="D435" s="1704" t="s">
        <v>720</v>
      </c>
      <c r="E435" s="1704"/>
      <c r="F435" s="1704"/>
      <c r="G435" s="1704"/>
      <c r="H435" s="1704"/>
      <c r="I435" s="1751"/>
      <c r="J435" s="1748">
        <f>J521</f>
        <v>0</v>
      </c>
      <c r="K435" s="1749"/>
      <c r="L435" s="1750"/>
      <c r="M435" s="38"/>
      <c r="N435" s="96"/>
      <c r="O435" s="1704" t="s">
        <v>721</v>
      </c>
      <c r="P435" s="1704"/>
      <c r="Q435" s="1704"/>
      <c r="R435" s="1704"/>
      <c r="S435" s="1704"/>
      <c r="T435" s="1706"/>
      <c r="U435" s="1752" t="str">
        <f ca="1">U521</f>
        <v/>
      </c>
      <c r="V435" s="1754"/>
      <c r="X435" s="298"/>
    </row>
    <row r="436" spans="3:24" ht="5.0999999999999996" customHeight="1">
      <c r="C436" s="296"/>
      <c r="I436" s="1066"/>
      <c r="J436" s="38"/>
      <c r="K436" s="215"/>
      <c r="M436" s="38"/>
      <c r="N436" s="38"/>
      <c r="O436" s="38"/>
      <c r="S436" s="1065"/>
      <c r="T436" s="1065"/>
      <c r="X436" s="298"/>
    </row>
    <row r="437" spans="3:24">
      <c r="C437" s="296"/>
      <c r="D437" s="1704" t="s">
        <v>722</v>
      </c>
      <c r="E437" s="1704"/>
      <c r="F437" s="1704"/>
      <c r="G437" s="1704"/>
      <c r="H437" s="1704"/>
      <c r="I437" s="1706"/>
      <c r="J437" s="1752" t="str">
        <f ca="1">J523</f>
        <v/>
      </c>
      <c r="K437" s="1753"/>
      <c r="L437" s="1754"/>
      <c r="M437" s="360"/>
      <c r="N437" s="96"/>
      <c r="O437" s="1704" t="s">
        <v>723</v>
      </c>
      <c r="P437" s="1704"/>
      <c r="Q437" s="1704"/>
      <c r="R437" s="1704"/>
      <c r="S437" s="1704"/>
      <c r="T437" s="1706"/>
      <c r="U437" s="1752" t="str">
        <f ca="1">U523</f>
        <v/>
      </c>
      <c r="V437" s="1754"/>
      <c r="X437" s="298"/>
    </row>
    <row r="438" spans="3:24" ht="5.0999999999999996" customHeight="1">
      <c r="C438" s="297"/>
      <c r="D438" s="214"/>
      <c r="E438" s="214"/>
      <c r="F438" s="214"/>
      <c r="G438" s="214"/>
      <c r="H438" s="214"/>
      <c r="I438" s="214"/>
      <c r="J438" s="214"/>
      <c r="K438" s="214"/>
      <c r="L438" s="214"/>
      <c r="M438" s="214"/>
      <c r="N438" s="214"/>
      <c r="O438" s="214"/>
      <c r="P438" s="214"/>
      <c r="Q438" s="214"/>
      <c r="R438" s="214"/>
      <c r="S438" s="214"/>
      <c r="T438" s="214"/>
      <c r="U438" s="214"/>
      <c r="V438" s="214"/>
      <c r="W438" s="214"/>
      <c r="X438" s="299"/>
    </row>
    <row r="439" spans="3:24" ht="5.0999999999999996" customHeight="1"/>
    <row r="440" spans="3:24" ht="5.0999999999999996" customHeight="1">
      <c r="C440" s="701"/>
      <c r="D440" s="690"/>
      <c r="E440" s="690"/>
      <c r="F440" s="690"/>
      <c r="G440" s="690"/>
      <c r="H440" s="828"/>
      <c r="I440" s="828"/>
      <c r="J440" s="828"/>
      <c r="K440" s="828"/>
      <c r="L440" s="828"/>
      <c r="M440" s="828"/>
      <c r="N440" s="828"/>
      <c r="O440" s="828"/>
      <c r="P440" s="690"/>
      <c r="Q440" s="690"/>
      <c r="R440" s="690"/>
      <c r="S440" s="828"/>
      <c r="T440" s="690"/>
      <c r="U440" s="828"/>
      <c r="V440" s="828"/>
      <c r="W440" s="690"/>
      <c r="X440" s="702"/>
    </row>
    <row r="441" spans="3:24">
      <c r="C441" s="296"/>
      <c r="D441" s="1767" t="s">
        <v>838</v>
      </c>
      <c r="E441" s="1767"/>
      <c r="F441" s="1767"/>
      <c r="G441" s="1767"/>
      <c r="H441" s="1767"/>
      <c r="I441" s="1767"/>
      <c r="J441" s="1767"/>
      <c r="K441" s="1767"/>
      <c r="L441" s="1767"/>
      <c r="M441" s="1767"/>
      <c r="N441" s="1767"/>
      <c r="O441" s="1767"/>
      <c r="P441" s="1767"/>
      <c r="Q441" s="1767"/>
      <c r="R441" s="1767"/>
      <c r="S441" s="1767"/>
      <c r="T441" s="1767"/>
      <c r="U441" s="1767"/>
      <c r="V441" s="1767"/>
      <c r="W441" s="1767"/>
      <c r="X441" s="298"/>
    </row>
    <row r="442" spans="3:24" ht="5.0999999999999996" customHeight="1">
      <c r="C442" s="296"/>
      <c r="H442" s="38"/>
      <c r="I442" s="38"/>
      <c r="J442" s="38"/>
      <c r="K442" s="38"/>
      <c r="L442" s="38"/>
      <c r="M442" s="38"/>
      <c r="N442" s="38"/>
      <c r="O442" s="38"/>
      <c r="S442" s="38"/>
      <c r="U442" s="38"/>
      <c r="V442" s="38"/>
      <c r="X442" s="298"/>
    </row>
    <row r="443" spans="3:24">
      <c r="C443" s="296"/>
      <c r="D443" s="1704" t="s">
        <v>436</v>
      </c>
      <c r="E443" s="1704"/>
      <c r="F443" s="1704"/>
      <c r="G443" s="1704"/>
      <c r="H443" s="1704"/>
      <c r="I443" s="1706"/>
      <c r="J443" s="1752">
        <f ca="1">J561</f>
        <v>0</v>
      </c>
      <c r="K443" s="1753"/>
      <c r="L443" s="1754"/>
      <c r="M443" s="38"/>
      <c r="N443" s="96"/>
      <c r="O443" s="1704" t="s">
        <v>839</v>
      </c>
      <c r="P443" s="1704"/>
      <c r="Q443" s="1704"/>
      <c r="R443" s="1704"/>
      <c r="S443" s="1704"/>
      <c r="T443" s="1706"/>
      <c r="U443" s="1766" t="str">
        <f ca="1">U561</f>
        <v/>
      </c>
      <c r="V443" s="1754"/>
      <c r="X443" s="298"/>
    </row>
    <row r="444" spans="3:24" ht="5.0999999999999996" customHeight="1">
      <c r="C444" s="296"/>
      <c r="H444" s="38"/>
      <c r="I444" s="1066"/>
      <c r="J444" s="38"/>
      <c r="K444" s="215"/>
      <c r="M444" s="38"/>
      <c r="N444" s="38"/>
      <c r="O444" s="38"/>
      <c r="S444" s="1066"/>
      <c r="T444" s="1065"/>
      <c r="U444" s="38"/>
      <c r="X444" s="298"/>
    </row>
    <row r="445" spans="3:24" ht="14.95" customHeight="1">
      <c r="C445" s="296"/>
      <c r="D445" s="1704" t="s">
        <v>840</v>
      </c>
      <c r="E445" s="1704"/>
      <c r="F445" s="1704"/>
      <c r="G445" s="1704"/>
      <c r="H445" s="1704"/>
      <c r="I445" s="1751"/>
      <c r="J445" s="1748">
        <f>J563</f>
        <v>0</v>
      </c>
      <c r="K445" s="1749"/>
      <c r="L445" s="1750"/>
      <c r="M445" s="38"/>
      <c r="N445" s="38"/>
      <c r="O445" s="1704" t="s">
        <v>841</v>
      </c>
      <c r="P445" s="1704"/>
      <c r="Q445" s="1704"/>
      <c r="R445" s="1704"/>
      <c r="S445" s="1704"/>
      <c r="T445" s="1706"/>
      <c r="U445" s="1766" t="str">
        <f ca="1">U565</f>
        <v/>
      </c>
      <c r="V445" s="1754"/>
      <c r="X445" s="298"/>
    </row>
    <row r="446" spans="3:24" ht="14.95" customHeight="1">
      <c r="C446" s="296"/>
      <c r="H446" s="38"/>
      <c r="I446" s="1066"/>
      <c r="J446" s="38"/>
      <c r="K446" s="215"/>
      <c r="M446" s="38"/>
      <c r="N446" s="38"/>
      <c r="O446" s="38"/>
      <c r="S446" s="1066"/>
      <c r="T446" s="1065"/>
      <c r="U446" s="38"/>
      <c r="X446" s="298"/>
    </row>
    <row r="447" spans="3:24">
      <c r="C447" s="296"/>
      <c r="D447" s="1704" t="s">
        <v>842</v>
      </c>
      <c r="E447" s="1704"/>
      <c r="F447" s="1704"/>
      <c r="G447" s="1704"/>
      <c r="H447" s="1704"/>
      <c r="I447" s="1751"/>
      <c r="J447" s="1748">
        <f>J567</f>
        <v>0</v>
      </c>
      <c r="K447" s="1749"/>
      <c r="L447" s="1750"/>
      <c r="M447" s="38"/>
      <c r="N447" s="96"/>
      <c r="O447" s="1704" t="s">
        <v>843</v>
      </c>
      <c r="P447" s="1704"/>
      <c r="Q447" s="1704"/>
      <c r="R447" s="1704"/>
      <c r="S447" s="1704"/>
      <c r="T447" s="1706"/>
      <c r="U447" s="1766" t="str">
        <f ca="1">U567</f>
        <v/>
      </c>
      <c r="V447" s="1754"/>
      <c r="X447" s="298"/>
    </row>
    <row r="448" spans="3:24" ht="5.0999999999999996" customHeight="1">
      <c r="C448" s="296"/>
      <c r="H448" s="38"/>
      <c r="I448" s="1066"/>
      <c r="J448" s="38"/>
      <c r="K448" s="215"/>
      <c r="M448" s="38"/>
      <c r="N448" s="38"/>
      <c r="O448" s="38"/>
      <c r="S448" s="1066"/>
      <c r="T448" s="1065"/>
      <c r="U448" s="38"/>
      <c r="X448" s="298"/>
    </row>
    <row r="449" spans="2:24">
      <c r="C449" s="296"/>
      <c r="D449" s="1704" t="s">
        <v>844</v>
      </c>
      <c r="E449" s="1704"/>
      <c r="F449" s="1704"/>
      <c r="G449" s="1704"/>
      <c r="H449" s="1704"/>
      <c r="I449" s="1706"/>
      <c r="J449" s="1752" t="str">
        <f ca="1">J569</f>
        <v/>
      </c>
      <c r="K449" s="1753"/>
      <c r="L449" s="1754"/>
      <c r="M449" s="38"/>
      <c r="N449" s="96"/>
      <c r="O449" s="1704" t="s">
        <v>845</v>
      </c>
      <c r="P449" s="1704"/>
      <c r="Q449" s="1704"/>
      <c r="R449" s="1704"/>
      <c r="S449" s="1704"/>
      <c r="T449" s="1706"/>
      <c r="U449" s="1872" t="str">
        <f ca="1">U569</f>
        <v/>
      </c>
      <c r="V449" s="1754"/>
      <c r="X449" s="298"/>
    </row>
    <row r="450" spans="2:24" ht="5.0999999999999996" customHeight="1">
      <c r="C450" s="296"/>
      <c r="H450" s="38"/>
      <c r="I450" s="1066"/>
      <c r="J450" s="38"/>
      <c r="K450" s="215"/>
      <c r="M450" s="38"/>
      <c r="N450" s="38"/>
      <c r="O450" s="38"/>
      <c r="S450" s="38"/>
      <c r="U450" s="215"/>
      <c r="V450" s="38"/>
      <c r="X450" s="298"/>
    </row>
    <row r="451" spans="2:24">
      <c r="C451" s="296"/>
      <c r="D451" s="1704" t="s">
        <v>2051</v>
      </c>
      <c r="E451" s="1704"/>
      <c r="F451" s="1704"/>
      <c r="G451" s="1704"/>
      <c r="H451" s="1704"/>
      <c r="I451" s="1706"/>
      <c r="J451" s="1752" t="str">
        <f>DATA!BV4</f>
        <v>Check Payment</v>
      </c>
      <c r="K451" s="1753"/>
      <c r="L451" s="1754"/>
      <c r="M451" s="38"/>
      <c r="N451" s="96"/>
      <c r="O451" s="96"/>
      <c r="R451" s="215"/>
      <c r="U451" s="447"/>
      <c r="V451" s="447"/>
      <c r="X451" s="298"/>
    </row>
    <row r="452" spans="2:24" ht="5.0999999999999996" customHeight="1">
      <c r="C452" s="297"/>
      <c r="D452" s="214"/>
      <c r="E452" s="214"/>
      <c r="F452" s="214"/>
      <c r="G452" s="214"/>
      <c r="H452" s="206"/>
      <c r="I452" s="206"/>
      <c r="J452" s="206"/>
      <c r="K452" s="206"/>
      <c r="L452" s="206"/>
      <c r="M452" s="206"/>
      <c r="N452" s="206"/>
      <c r="O452" s="206"/>
      <c r="P452" s="214"/>
      <c r="Q452" s="214"/>
      <c r="R452" s="214"/>
      <c r="S452" s="206"/>
      <c r="T452" s="214"/>
      <c r="U452" s="206"/>
      <c r="V452" s="206"/>
      <c r="W452" s="214"/>
      <c r="X452" s="299"/>
    </row>
    <row r="453" spans="2:24" ht="5.0999999999999996" customHeight="1">
      <c r="U453" s="38"/>
      <c r="V453" s="38"/>
    </row>
    <row r="454" spans="2:24" ht="5.0999999999999996" customHeight="1">
      <c r="C454" s="701"/>
      <c r="D454" s="690"/>
      <c r="E454" s="690"/>
      <c r="F454" s="690"/>
      <c r="G454" s="690"/>
      <c r="H454" s="690"/>
      <c r="I454" s="690"/>
      <c r="J454" s="690"/>
      <c r="K454" s="690"/>
      <c r="L454" s="690"/>
      <c r="M454" s="690"/>
      <c r="N454" s="690"/>
      <c r="O454" s="690"/>
      <c r="P454" s="690"/>
      <c r="Q454" s="690"/>
      <c r="R454" s="690"/>
      <c r="S454" s="690"/>
      <c r="T454" s="690"/>
      <c r="U454" s="690"/>
      <c r="V454" s="690"/>
      <c r="W454" s="690"/>
      <c r="X454" s="702"/>
    </row>
    <row r="455" spans="2:24">
      <c r="C455" s="296"/>
      <c r="D455" s="1767" t="s">
        <v>765</v>
      </c>
      <c r="E455" s="1767"/>
      <c r="F455" s="1767"/>
      <c r="G455" s="1767"/>
      <c r="H455" s="1767"/>
      <c r="I455" s="1767"/>
      <c r="J455" s="1767"/>
      <c r="K455" s="1767"/>
      <c r="L455" s="1767"/>
      <c r="M455" s="1767"/>
      <c r="N455" s="1767"/>
      <c r="O455" s="1767"/>
      <c r="P455" s="1767"/>
      <c r="Q455" s="1767"/>
      <c r="R455" s="1767"/>
      <c r="S455" s="1767"/>
      <c r="T455" s="1767"/>
      <c r="U455" s="1767"/>
      <c r="V455" s="1767"/>
      <c r="W455" s="1767"/>
      <c r="X455" s="298"/>
    </row>
    <row r="456" spans="2:24" ht="5.0999999999999996" customHeight="1">
      <c r="C456" s="296"/>
      <c r="X456" s="298"/>
    </row>
    <row r="457" spans="2:24">
      <c r="C457" s="296"/>
      <c r="D457" s="1756" t="s">
        <v>766</v>
      </c>
      <c r="E457" s="1756"/>
      <c r="F457" s="1756"/>
      <c r="G457" s="1756"/>
      <c r="H457" s="1756"/>
      <c r="I457" s="1757"/>
      <c r="J457" s="1874">
        <f ca="1">J583</f>
        <v>0</v>
      </c>
      <c r="K457" s="1875"/>
      <c r="L457" s="1876"/>
      <c r="M457" s="96"/>
      <c r="N457" s="363"/>
      <c r="O457" s="1704" t="s">
        <v>847</v>
      </c>
      <c r="P457" s="1704"/>
      <c r="Q457" s="1704"/>
      <c r="R457" s="1704"/>
      <c r="S457" s="1704"/>
      <c r="T457" s="1705"/>
      <c r="U457" s="1707"/>
      <c r="V457" s="1709"/>
      <c r="X457" s="298"/>
    </row>
    <row r="458" spans="2:24" ht="5.0999999999999996" customHeight="1">
      <c r="C458" s="296"/>
      <c r="J458" s="96"/>
      <c r="M458" s="96"/>
      <c r="N458" s="96"/>
      <c r="O458" s="96"/>
      <c r="S458" s="1065"/>
      <c r="T458" s="1065"/>
      <c r="X458" s="298"/>
    </row>
    <row r="459" spans="2:24">
      <c r="C459" s="296"/>
      <c r="D459" s="1756" t="s">
        <v>767</v>
      </c>
      <c r="E459" s="1756"/>
      <c r="F459" s="1756"/>
      <c r="G459" s="1756"/>
      <c r="H459" s="1756"/>
      <c r="I459" s="1757"/>
      <c r="J459" s="1869">
        <f ca="1">U585</f>
        <v>0</v>
      </c>
      <c r="K459" s="1870"/>
      <c r="L459" s="1871"/>
      <c r="M459" s="96"/>
      <c r="N459" s="362"/>
      <c r="O459" s="1704" t="s">
        <v>792</v>
      </c>
      <c r="P459" s="1704"/>
      <c r="Q459" s="1704"/>
      <c r="R459" s="1704"/>
      <c r="S459" s="1704"/>
      <c r="T459" s="1706"/>
      <c r="U459" s="1869">
        <f ca="1">J589</f>
        <v>0</v>
      </c>
      <c r="V459" s="1871"/>
      <c r="X459" s="298"/>
    </row>
    <row r="460" spans="2:24" ht="5.0999999999999996" customHeight="1">
      <c r="C460" s="297"/>
      <c r="D460" s="214"/>
      <c r="E460" s="214"/>
      <c r="F460" s="214"/>
      <c r="G460" s="214"/>
      <c r="H460" s="214"/>
      <c r="I460" s="214"/>
      <c r="J460" s="214"/>
      <c r="K460" s="214"/>
      <c r="L460" s="214"/>
      <c r="M460" s="214"/>
      <c r="N460" s="214"/>
      <c r="O460" s="214"/>
      <c r="P460" s="214"/>
      <c r="Q460" s="214"/>
      <c r="R460" s="214"/>
      <c r="S460" s="214"/>
      <c r="T460" s="214"/>
      <c r="U460" s="214"/>
      <c r="V460" s="214"/>
      <c r="W460" s="214"/>
      <c r="X460" s="299"/>
    </row>
    <row r="462" spans="2:24" s="1063" customFormat="1">
      <c r="B462" s="1149"/>
    </row>
    <row r="463" spans="2:24" ht="21.75" thickBot="1">
      <c r="B463" s="1149"/>
      <c r="I463" s="1900">
        <f>M22</f>
        <v>0</v>
      </c>
      <c r="J463" s="1900"/>
      <c r="K463" s="352"/>
      <c r="L463" s="352" t="s">
        <v>2021</v>
      </c>
      <c r="M463" s="352"/>
      <c r="N463" s="352"/>
      <c r="O463" s="352"/>
      <c r="P463" s="352"/>
      <c r="Q463" s="352"/>
      <c r="R463" s="352"/>
      <c r="S463" s="352"/>
      <c r="T463" s="352"/>
      <c r="U463" s="352"/>
      <c r="V463" s="352"/>
      <c r="W463" s="352"/>
      <c r="X463" s="352"/>
    </row>
    <row r="464" spans="2:24" ht="14.95" customHeight="1">
      <c r="B464" s="1149"/>
      <c r="H464" s="1807" t="s">
        <v>709</v>
      </c>
      <c r="I464" s="1808"/>
      <c r="J464" s="1808"/>
      <c r="K464" s="1808"/>
      <c r="L464" s="1808"/>
      <c r="M464" s="1808"/>
      <c r="N464" s="1808"/>
      <c r="O464" s="1808"/>
      <c r="P464" s="1808"/>
      <c r="Q464" s="1808"/>
      <c r="R464" s="1808"/>
      <c r="S464" s="1808"/>
      <c r="T464" s="1808"/>
      <c r="U464" s="1808"/>
      <c r="V464" s="1808"/>
      <c r="W464" s="1808"/>
      <c r="X464" s="1809"/>
    </row>
    <row r="465" spans="2:24" ht="14.95" customHeight="1">
      <c r="B465" s="1149"/>
      <c r="H465" s="1810"/>
      <c r="I465" s="1811"/>
      <c r="J465" s="1811"/>
      <c r="K465" s="1811"/>
      <c r="L465" s="1811"/>
      <c r="M465" s="1811"/>
      <c r="N465" s="1811"/>
      <c r="O465" s="1811"/>
      <c r="P465" s="1811"/>
      <c r="Q465" s="1811"/>
      <c r="R465" s="1811"/>
      <c r="S465" s="1811"/>
      <c r="T465" s="1811"/>
      <c r="U465" s="1811"/>
      <c r="V465" s="1811"/>
      <c r="W465" s="1811"/>
      <c r="X465" s="1812"/>
    </row>
    <row r="466" spans="2:24">
      <c r="B466" s="1149"/>
      <c r="H466" s="1810"/>
      <c r="I466" s="1811"/>
      <c r="J466" s="1811"/>
      <c r="K466" s="1811"/>
      <c r="L466" s="1811"/>
      <c r="M466" s="1811"/>
      <c r="N466" s="1811"/>
      <c r="O466" s="1811"/>
      <c r="P466" s="1811"/>
      <c r="Q466" s="1811"/>
      <c r="R466" s="1811"/>
      <c r="S466" s="1811"/>
      <c r="T466" s="1811"/>
      <c r="U466" s="1811"/>
      <c r="V466" s="1811"/>
      <c r="W466" s="1811"/>
      <c r="X466" s="1812"/>
    </row>
    <row r="467" spans="2:24">
      <c r="B467" s="1149"/>
      <c r="H467" s="1810"/>
      <c r="I467" s="1811"/>
      <c r="J467" s="1811"/>
      <c r="K467" s="1811"/>
      <c r="L467" s="1811"/>
      <c r="M467" s="1811"/>
      <c r="N467" s="1811"/>
      <c r="O467" s="1811"/>
      <c r="P467" s="1811"/>
      <c r="Q467" s="1811"/>
      <c r="R467" s="1811"/>
      <c r="S467" s="1811"/>
      <c r="T467" s="1811"/>
      <c r="U467" s="1811"/>
      <c r="V467" s="1811"/>
      <c r="W467" s="1811"/>
      <c r="X467" s="1812"/>
    </row>
    <row r="468" spans="2:24" ht="14.95" customHeight="1">
      <c r="B468" s="1149"/>
      <c r="H468" s="1810"/>
      <c r="I468" s="1811"/>
      <c r="J468" s="1811"/>
      <c r="K468" s="1811"/>
      <c r="L468" s="1811"/>
      <c r="M468" s="1811"/>
      <c r="N468" s="1811"/>
      <c r="O468" s="1811"/>
      <c r="P468" s="1811"/>
      <c r="Q468" s="1811"/>
      <c r="R468" s="1811"/>
      <c r="S468" s="1811"/>
      <c r="T468" s="1811"/>
      <c r="U468" s="1811"/>
      <c r="V468" s="1811"/>
      <c r="W468" s="1811"/>
      <c r="X468" s="1812"/>
    </row>
    <row r="469" spans="2:24" ht="14.95" thickBot="1">
      <c r="B469" s="1149"/>
      <c r="H469" s="1813"/>
      <c r="I469" s="1814"/>
      <c r="J469" s="1814"/>
      <c r="K469" s="1814"/>
      <c r="L469" s="1814"/>
      <c r="M469" s="1814"/>
      <c r="N469" s="1814"/>
      <c r="O469" s="1814"/>
      <c r="P469" s="1814"/>
      <c r="Q469" s="1814"/>
      <c r="R469" s="1814"/>
      <c r="S469" s="1814"/>
      <c r="T469" s="1814"/>
      <c r="U469" s="1814"/>
      <c r="V469" s="1814"/>
      <c r="W469" s="1814"/>
      <c r="X469" s="1815"/>
    </row>
    <row r="470" spans="2:24">
      <c r="B470" s="1149"/>
    </row>
    <row r="471" spans="2:24" s="1063" customFormat="1">
      <c r="B471" s="1149"/>
    </row>
    <row r="472" spans="2:24" ht="7.5" customHeight="1">
      <c r="B472" s="1149"/>
      <c r="C472" s="701"/>
      <c r="D472" s="690"/>
      <c r="E472" s="690"/>
      <c r="F472" s="690"/>
      <c r="G472" s="690"/>
      <c r="H472" s="690"/>
      <c r="I472" s="690"/>
      <c r="J472" s="690"/>
      <c r="K472" s="690"/>
      <c r="L472" s="690"/>
      <c r="M472" s="690"/>
      <c r="N472" s="690"/>
      <c r="O472" s="690"/>
      <c r="P472" s="690"/>
      <c r="Q472" s="690"/>
      <c r="R472" s="690"/>
      <c r="S472" s="690"/>
      <c r="T472" s="690"/>
      <c r="U472" s="690"/>
      <c r="V472" s="690"/>
      <c r="W472" s="690"/>
      <c r="X472" s="702"/>
    </row>
    <row r="473" spans="2:24">
      <c r="B473" s="1149"/>
      <c r="C473" s="296"/>
      <c r="D473" s="1897" t="s">
        <v>861</v>
      </c>
      <c r="E473" s="1897"/>
      <c r="F473" s="1897"/>
      <c r="G473" s="1897"/>
      <c r="H473" s="1897"/>
      <c r="I473" s="1897"/>
      <c r="J473" s="1897"/>
      <c r="K473" s="1897"/>
      <c r="L473" s="1897"/>
      <c r="M473" s="1897"/>
      <c r="N473" s="1897"/>
      <c r="O473" s="1897"/>
      <c r="P473" s="1897"/>
      <c r="Q473" s="1897"/>
      <c r="R473" s="1897"/>
      <c r="S473" s="1897"/>
      <c r="T473" s="1897"/>
      <c r="U473" s="1897"/>
      <c r="V473" s="1897"/>
      <c r="W473" s="1897"/>
      <c r="X473" s="298"/>
    </row>
    <row r="474" spans="2:24" ht="7.5" customHeight="1">
      <c r="B474" s="1149"/>
      <c r="C474" s="296"/>
      <c r="X474" s="298"/>
    </row>
    <row r="475" spans="2:24" ht="14.95" customHeight="1">
      <c r="B475" s="1149"/>
      <c r="C475" s="296"/>
      <c r="O475" s="1704" t="s">
        <v>827</v>
      </c>
      <c r="P475" s="1704"/>
      <c r="Q475" s="1704"/>
      <c r="R475" s="1704"/>
      <c r="S475" s="1704"/>
      <c r="T475" s="1705"/>
      <c r="U475" s="1707"/>
      <c r="V475" s="1709"/>
      <c r="X475" s="298"/>
    </row>
    <row r="476" spans="2:24" ht="7.5" customHeight="1">
      <c r="B476" s="1149"/>
      <c r="C476" s="296"/>
      <c r="O476" s="44"/>
      <c r="P476" s="44"/>
      <c r="Q476" s="44"/>
      <c r="R476" s="44"/>
      <c r="S476" s="44"/>
      <c r="T476" s="44"/>
      <c r="X476" s="298"/>
    </row>
    <row r="477" spans="2:24">
      <c r="B477" s="1149"/>
      <c r="C477" s="296"/>
      <c r="D477" s="1714" t="s">
        <v>715</v>
      </c>
      <c r="E477" s="1714"/>
      <c r="F477" s="1714"/>
      <c r="G477" s="1714"/>
      <c r="H477" s="1714"/>
      <c r="I477" s="1715"/>
      <c r="J477" s="1713">
        <f ca="1">DATA!D4</f>
        <v>0</v>
      </c>
      <c r="K477" s="1914"/>
      <c r="L477" s="1915"/>
      <c r="M477" s="207"/>
      <c r="N477" s="207"/>
      <c r="O477" s="1083"/>
      <c r="P477" s="44"/>
      <c r="Q477" s="44"/>
      <c r="R477" s="44"/>
      <c r="S477" s="44"/>
      <c r="T477" s="44"/>
      <c r="X477" s="298"/>
    </row>
    <row r="478" spans="2:24" ht="7.5" customHeight="1">
      <c r="B478" s="1149"/>
      <c r="C478" s="296"/>
      <c r="D478" s="44"/>
      <c r="E478" s="44"/>
      <c r="F478" s="44"/>
      <c r="G478" s="44"/>
      <c r="H478" s="44"/>
      <c r="I478" s="44"/>
      <c r="O478" s="44"/>
      <c r="P478" s="44"/>
      <c r="Q478" s="44"/>
      <c r="R478" s="44"/>
      <c r="S478" s="44"/>
      <c r="T478" s="44"/>
      <c r="X478" s="298"/>
    </row>
    <row r="479" spans="2:24">
      <c r="B479" s="1149"/>
      <c r="C479" s="296"/>
      <c r="D479" s="1714" t="s">
        <v>716</v>
      </c>
      <c r="E479" s="1714"/>
      <c r="F479" s="1714"/>
      <c r="G479" s="1714"/>
      <c r="H479" s="1714"/>
      <c r="I479" s="1715"/>
      <c r="J479" s="1710">
        <f ca="1">DATA!F4</f>
        <v>0</v>
      </c>
      <c r="K479" s="1711"/>
      <c r="L479" s="1712"/>
      <c r="M479" s="1049"/>
      <c r="N479" s="1049"/>
      <c r="O479" s="1084"/>
      <c r="P479" s="44"/>
      <c r="Q479" s="44"/>
      <c r="R479" s="44"/>
      <c r="S479" s="44"/>
      <c r="T479" s="44"/>
      <c r="X479" s="298"/>
    </row>
    <row r="480" spans="2:24" ht="7.5" customHeight="1">
      <c r="B480" s="1149"/>
      <c r="C480" s="296"/>
      <c r="D480" s="44"/>
      <c r="E480" s="44"/>
      <c r="F480" s="44"/>
      <c r="G480" s="44"/>
      <c r="H480" s="44"/>
      <c r="I480" s="44"/>
      <c r="O480" s="44"/>
      <c r="P480" s="44"/>
      <c r="Q480" s="44"/>
      <c r="R480" s="44"/>
      <c r="S480" s="44"/>
      <c r="T480" s="44"/>
      <c r="U480" s="1049"/>
      <c r="X480" s="298"/>
    </row>
    <row r="481" spans="2:24">
      <c r="B481" s="1149"/>
      <c r="C481" s="296"/>
      <c r="D481" s="44"/>
      <c r="E481" s="44"/>
      <c r="F481" s="44"/>
      <c r="G481" s="44"/>
      <c r="H481" s="44"/>
      <c r="I481" s="365"/>
      <c r="J481" s="1049"/>
      <c r="K481" s="1050"/>
      <c r="M481" s="360"/>
      <c r="N481" s="361"/>
      <c r="O481" s="1085"/>
      <c r="P481" s="44"/>
      <c r="Q481" s="44"/>
      <c r="R481" s="44"/>
      <c r="S481" s="44"/>
      <c r="T481" s="44"/>
      <c r="X481" s="298"/>
    </row>
    <row r="482" spans="2:24" ht="7.5" customHeight="1">
      <c r="B482" s="1149"/>
      <c r="C482" s="296"/>
      <c r="D482" s="44"/>
      <c r="E482" s="44"/>
      <c r="F482" s="44"/>
      <c r="G482" s="44"/>
      <c r="H482" s="44"/>
      <c r="I482" s="44"/>
      <c r="J482" s="1049"/>
      <c r="M482" s="1049"/>
      <c r="N482" s="1049"/>
      <c r="O482" s="1084"/>
      <c r="P482" s="44"/>
      <c r="Q482" s="44"/>
      <c r="R482" s="44"/>
      <c r="S482" s="44"/>
      <c r="T482" s="44"/>
      <c r="U482" s="1049"/>
      <c r="X482" s="298"/>
    </row>
    <row r="483" spans="2:24">
      <c r="B483" s="1149"/>
      <c r="C483" s="296"/>
      <c r="D483" s="44"/>
      <c r="E483" s="44"/>
      <c r="F483" s="44"/>
      <c r="G483" s="44"/>
      <c r="H483" s="44"/>
      <c r="I483" s="44"/>
      <c r="M483" s="1049"/>
      <c r="N483" s="1049"/>
      <c r="O483" s="1084"/>
      <c r="P483" s="44"/>
      <c r="Q483" s="44"/>
      <c r="R483" s="44"/>
      <c r="S483" s="44"/>
      <c r="T483" s="44"/>
      <c r="X483" s="298"/>
    </row>
    <row r="484" spans="2:24" ht="7.5" customHeight="1">
      <c r="B484" s="1149"/>
      <c r="C484" s="296"/>
      <c r="D484" s="44"/>
      <c r="E484" s="44"/>
      <c r="F484" s="44"/>
      <c r="G484" s="44"/>
      <c r="H484" s="44"/>
      <c r="I484" s="44"/>
      <c r="J484" s="1049"/>
      <c r="M484" s="1049"/>
      <c r="N484" s="1049"/>
      <c r="O484" s="1084"/>
      <c r="P484" s="44"/>
      <c r="Q484" s="44"/>
      <c r="R484" s="44"/>
      <c r="S484" s="44"/>
      <c r="T484" s="44"/>
      <c r="U484" s="1049"/>
      <c r="X484" s="298"/>
    </row>
    <row r="485" spans="2:24">
      <c r="B485" s="1149"/>
      <c r="C485" s="296"/>
      <c r="D485" s="44"/>
      <c r="E485" s="44"/>
      <c r="F485" s="44"/>
      <c r="G485" s="44"/>
      <c r="H485" s="44"/>
      <c r="I485" s="44"/>
      <c r="M485" s="1049"/>
      <c r="N485" s="1049"/>
      <c r="O485" s="1084"/>
      <c r="P485" s="44"/>
      <c r="Q485" s="44"/>
      <c r="R485" s="44"/>
      <c r="S485" s="44"/>
      <c r="T485" s="44"/>
      <c r="X485" s="298"/>
    </row>
    <row r="486" spans="2:24" ht="7.5" customHeight="1">
      <c r="B486" s="1149"/>
      <c r="C486" s="296"/>
      <c r="D486" s="44"/>
      <c r="E486" s="44"/>
      <c r="F486" s="44"/>
      <c r="G486" s="44"/>
      <c r="H486" s="44"/>
      <c r="I486" s="44"/>
      <c r="J486" s="1049"/>
      <c r="M486" s="1049"/>
      <c r="N486" s="1049"/>
      <c r="O486" s="1084"/>
      <c r="P486" s="44"/>
      <c r="Q486" s="44"/>
      <c r="R486" s="44"/>
      <c r="S486" s="44"/>
      <c r="T486" s="44"/>
      <c r="U486" s="1049"/>
      <c r="X486" s="298"/>
    </row>
    <row r="487" spans="2:24">
      <c r="B487" s="1149"/>
      <c r="C487" s="296"/>
      <c r="D487" s="44"/>
      <c r="E487" s="44"/>
      <c r="F487" s="44"/>
      <c r="G487" s="44"/>
      <c r="H487" s="44"/>
      <c r="I487" s="44"/>
      <c r="M487" s="360"/>
      <c r="N487" s="361"/>
      <c r="O487" s="1085"/>
      <c r="P487" s="44"/>
      <c r="Q487" s="44"/>
      <c r="R487" s="44"/>
      <c r="S487" s="44"/>
      <c r="T487" s="44"/>
      <c r="X487" s="298"/>
    </row>
    <row r="488" spans="2:24" ht="7.5" customHeight="1">
      <c r="B488" s="1149"/>
      <c r="C488" s="296"/>
      <c r="D488" s="44"/>
      <c r="E488" s="44"/>
      <c r="F488" s="44"/>
      <c r="G488" s="44"/>
      <c r="H488" s="44"/>
      <c r="I488" s="44"/>
      <c r="J488" s="1049"/>
      <c r="M488" s="1049"/>
      <c r="N488" s="1049"/>
      <c r="O488" s="1084"/>
      <c r="P488" s="44"/>
      <c r="Q488" s="44"/>
      <c r="R488" s="44"/>
      <c r="S488" s="44"/>
      <c r="T488" s="44"/>
      <c r="U488" s="1049"/>
      <c r="X488" s="298"/>
    </row>
    <row r="489" spans="2:24">
      <c r="B489" s="1149"/>
      <c r="C489" s="296"/>
      <c r="D489" s="1714" t="s">
        <v>725</v>
      </c>
      <c r="E489" s="1714"/>
      <c r="F489" s="1714"/>
      <c r="G489" s="1714"/>
      <c r="H489" s="1714"/>
      <c r="I489" s="1715"/>
      <c r="J489" s="1710">
        <f ca="1">DATA!N4</f>
        <v>0</v>
      </c>
      <c r="K489" s="1711"/>
      <c r="L489" s="1712"/>
      <c r="M489" s="1049"/>
      <c r="N489" s="1049"/>
      <c r="O489" s="1714" t="s">
        <v>726</v>
      </c>
      <c r="P489" s="1714"/>
      <c r="Q489" s="1714"/>
      <c r="R489" s="1714"/>
      <c r="S489" s="1714"/>
      <c r="T489" s="1715"/>
      <c r="U489" s="1710">
        <f ca="1">DATA!O4</f>
        <v>0</v>
      </c>
      <c r="V489" s="1712"/>
      <c r="X489" s="298"/>
    </row>
    <row r="490" spans="2:24" ht="7.5" customHeight="1">
      <c r="B490" s="1149"/>
      <c r="C490" s="296"/>
      <c r="D490" s="44"/>
      <c r="E490" s="44"/>
      <c r="F490" s="44"/>
      <c r="G490" s="44"/>
      <c r="H490" s="44"/>
      <c r="I490" s="44"/>
      <c r="J490" s="1049"/>
      <c r="M490" s="1049"/>
      <c r="N490" s="1049"/>
      <c r="O490" s="1084"/>
      <c r="P490" s="44"/>
      <c r="Q490" s="44"/>
      <c r="R490" s="44"/>
      <c r="S490" s="44"/>
      <c r="T490" s="44"/>
      <c r="U490" s="1049"/>
      <c r="X490" s="298"/>
    </row>
    <row r="491" spans="2:24">
      <c r="B491" s="1149"/>
      <c r="C491" s="296"/>
      <c r="D491" s="1714" t="s">
        <v>727</v>
      </c>
      <c r="E491" s="1714"/>
      <c r="F491" s="1714"/>
      <c r="G491" s="1714"/>
      <c r="H491" s="1714"/>
      <c r="I491" s="1715"/>
      <c r="J491" s="1710" t="str">
        <f ca="1">DATA!P4</f>
        <v>WA</v>
      </c>
      <c r="K491" s="1711"/>
      <c r="L491" s="1712"/>
      <c r="M491" s="1049"/>
      <c r="N491" s="1049"/>
      <c r="O491" s="1714" t="s">
        <v>728</v>
      </c>
      <c r="P491" s="1714"/>
      <c r="Q491" s="1714"/>
      <c r="R491" s="1714"/>
      <c r="S491" s="1714"/>
      <c r="T491" s="1715"/>
      <c r="U491" s="1710">
        <f ca="1">DATA!Q4</f>
        <v>0</v>
      </c>
      <c r="V491" s="1712"/>
      <c r="X491" s="298"/>
    </row>
    <row r="492" spans="2:24" ht="7.5" customHeight="1">
      <c r="B492" s="1149"/>
      <c r="C492" s="296"/>
      <c r="J492" s="1049"/>
      <c r="M492" s="1049"/>
      <c r="N492" s="1049"/>
      <c r="O492" s="1049"/>
      <c r="U492" s="1049"/>
      <c r="X492" s="298"/>
    </row>
    <row r="493" spans="2:24">
      <c r="B493" s="1149"/>
      <c r="C493" s="296"/>
      <c r="M493" s="1049"/>
      <c r="N493" s="1049"/>
      <c r="O493" s="1049"/>
      <c r="X493" s="298"/>
    </row>
    <row r="494" spans="2:24" ht="7.5" customHeight="1">
      <c r="B494" s="1149"/>
      <c r="C494" s="297"/>
      <c r="D494" s="214"/>
      <c r="E494" s="214"/>
      <c r="F494" s="214"/>
      <c r="G494" s="214"/>
      <c r="H494" s="214"/>
      <c r="I494" s="214"/>
      <c r="J494" s="214"/>
      <c r="K494" s="214"/>
      <c r="L494" s="214"/>
      <c r="M494" s="214"/>
      <c r="N494" s="214"/>
      <c r="O494" s="214"/>
      <c r="P494" s="214"/>
      <c r="Q494" s="214"/>
      <c r="R494" s="214"/>
      <c r="S494" s="214"/>
      <c r="T494" s="214"/>
      <c r="U494" s="214"/>
      <c r="V494" s="214"/>
      <c r="W494" s="214"/>
      <c r="X494" s="299"/>
    </row>
    <row r="495" spans="2:24" ht="7.5" customHeight="1"/>
    <row r="496" spans="2:24" ht="7.5" customHeight="1">
      <c r="C496" s="701"/>
      <c r="D496" s="690"/>
      <c r="E496" s="690"/>
      <c r="F496" s="690"/>
      <c r="G496" s="690"/>
      <c r="H496" s="690"/>
      <c r="I496" s="690"/>
      <c r="J496" s="690"/>
      <c r="K496" s="690"/>
      <c r="L496" s="690"/>
      <c r="M496" s="690"/>
      <c r="N496" s="690"/>
      <c r="O496" s="690"/>
      <c r="P496" s="690"/>
      <c r="Q496" s="690"/>
      <c r="R496" s="690"/>
      <c r="S496" s="690"/>
      <c r="T496" s="690"/>
      <c r="U496" s="690"/>
      <c r="V496" s="690"/>
      <c r="W496" s="690"/>
      <c r="X496" s="702"/>
    </row>
    <row r="497" spans="3:24">
      <c r="C497" s="296"/>
      <c r="D497" s="1897" t="s">
        <v>862</v>
      </c>
      <c r="E497" s="1897"/>
      <c r="F497" s="1897"/>
      <c r="G497" s="1897"/>
      <c r="H497" s="1897"/>
      <c r="I497" s="1897"/>
      <c r="J497" s="1897"/>
      <c r="K497" s="1897"/>
      <c r="L497" s="1897"/>
      <c r="M497" s="1897"/>
      <c r="N497" s="1897"/>
      <c r="O497" s="1897"/>
      <c r="P497" s="1897"/>
      <c r="Q497" s="1897"/>
      <c r="R497" s="1897"/>
      <c r="S497" s="1897"/>
      <c r="T497" s="1897"/>
      <c r="U497" s="1897"/>
      <c r="V497" s="1897"/>
      <c r="W497" s="1897"/>
      <c r="X497" s="298"/>
    </row>
    <row r="498" spans="3:24" ht="7.5" customHeight="1">
      <c r="C498" s="296"/>
      <c r="I498" s="38"/>
      <c r="J498" s="38"/>
      <c r="K498" s="38"/>
      <c r="L498" s="38"/>
      <c r="M498" s="38"/>
      <c r="N498" s="38"/>
      <c r="O498" s="38"/>
      <c r="X498" s="298"/>
    </row>
    <row r="499" spans="3:24" ht="14.95" customHeight="1">
      <c r="C499" s="296"/>
      <c r="I499" s="38"/>
      <c r="J499" s="38"/>
      <c r="K499" s="38"/>
      <c r="L499" s="38"/>
      <c r="M499" s="38"/>
      <c r="N499" s="38"/>
      <c r="O499" s="1714" t="s">
        <v>829</v>
      </c>
      <c r="P499" s="1714"/>
      <c r="Q499" s="1714"/>
      <c r="R499" s="1714"/>
      <c r="S499" s="1714"/>
      <c r="T499" s="1758"/>
      <c r="U499" s="1707"/>
      <c r="V499" s="1709"/>
      <c r="X499" s="298"/>
    </row>
    <row r="500" spans="3:24" ht="7.5" customHeight="1">
      <c r="C500" s="296"/>
      <c r="I500" s="38"/>
      <c r="J500" s="38"/>
      <c r="K500" s="38"/>
      <c r="L500" s="38"/>
      <c r="M500" s="38"/>
      <c r="N500" s="38"/>
      <c r="O500" s="38"/>
      <c r="T500" s="44"/>
      <c r="X500" s="298"/>
    </row>
    <row r="501" spans="3:24">
      <c r="C501" s="296"/>
      <c r="D501" s="1714" t="s">
        <v>716</v>
      </c>
      <c r="E501" s="1714"/>
      <c r="F501" s="1714"/>
      <c r="G501" s="1714"/>
      <c r="H501" s="1714"/>
      <c r="I501" s="1715"/>
      <c r="J501" s="1752" t="str">
        <f ca="1">DATA!V4</f>
        <v/>
      </c>
      <c r="K501" s="1753"/>
      <c r="L501" s="1754"/>
      <c r="M501" s="38"/>
      <c r="N501" s="1049"/>
      <c r="O501" s="1049"/>
      <c r="T501" s="44"/>
      <c r="X501" s="298"/>
    </row>
    <row r="502" spans="3:24" ht="7.5" customHeight="1">
      <c r="C502" s="296"/>
      <c r="I502" s="365"/>
      <c r="J502" s="38"/>
      <c r="K502" s="1050"/>
      <c r="M502" s="38"/>
      <c r="N502" s="38"/>
      <c r="O502" s="38"/>
      <c r="T502" s="44"/>
      <c r="X502" s="298"/>
    </row>
    <row r="503" spans="3:24">
      <c r="C503" s="296"/>
      <c r="D503" s="1714" t="s">
        <v>830</v>
      </c>
      <c r="E503" s="1714"/>
      <c r="F503" s="1714"/>
      <c r="G503" s="1714"/>
      <c r="H503" s="1714"/>
      <c r="I503" s="1715"/>
      <c r="J503" s="1752" t="str">
        <f ca="1">DATA!X4</f>
        <v/>
      </c>
      <c r="K503" s="1753"/>
      <c r="L503" s="1754"/>
      <c r="M503" s="38"/>
      <c r="N503" s="1049"/>
      <c r="O503" s="1714" t="s">
        <v>831</v>
      </c>
      <c r="P503" s="1714"/>
      <c r="Q503" s="1714"/>
      <c r="R503" s="1714"/>
      <c r="S503" s="1714"/>
      <c r="T503" s="1715"/>
      <c r="U503" s="1752" t="str">
        <f ca="1">DATA!Y4</f>
        <v/>
      </c>
      <c r="V503" s="1754"/>
      <c r="X503" s="298"/>
    </row>
    <row r="504" spans="3:24" ht="7.5" customHeight="1">
      <c r="C504" s="296"/>
      <c r="I504" s="365"/>
      <c r="J504" s="38"/>
      <c r="K504" s="1050"/>
      <c r="M504" s="38"/>
      <c r="N504" s="38"/>
      <c r="O504" s="38"/>
      <c r="S504" s="1050"/>
      <c r="T504" s="44"/>
      <c r="U504" s="38"/>
      <c r="X504" s="298"/>
    </row>
    <row r="505" spans="3:24">
      <c r="C505" s="296"/>
      <c r="D505" s="1714" t="s">
        <v>832</v>
      </c>
      <c r="E505" s="1714"/>
      <c r="F505" s="1714"/>
      <c r="G505" s="1714"/>
      <c r="H505" s="1714"/>
      <c r="I505" s="1715"/>
      <c r="J505" s="1768" t="str">
        <f ca="1">DATA!Z4</f>
        <v/>
      </c>
      <c r="K505" s="1873"/>
      <c r="L505" s="1769"/>
      <c r="M505" s="38"/>
      <c r="N505" s="1049"/>
      <c r="O505" s="1714" t="s">
        <v>833</v>
      </c>
      <c r="P505" s="1714"/>
      <c r="Q505" s="1714"/>
      <c r="R505" s="1714"/>
      <c r="S505" s="1714"/>
      <c r="T505" s="1715"/>
      <c r="U505" s="1752" t="str">
        <f ca="1">DATA!AA4</f>
        <v/>
      </c>
      <c r="V505" s="1754"/>
      <c r="X505" s="298"/>
    </row>
    <row r="506" spans="3:24" ht="7.5" customHeight="1">
      <c r="C506" s="296"/>
      <c r="I506" s="365"/>
      <c r="J506" s="38"/>
      <c r="K506" s="1050"/>
      <c r="M506" s="38"/>
      <c r="N506" s="38"/>
      <c r="O506" s="38"/>
      <c r="X506" s="298"/>
    </row>
    <row r="507" spans="3:24">
      <c r="C507" s="296"/>
      <c r="D507" s="1714" t="s">
        <v>834</v>
      </c>
      <c r="E507" s="1714"/>
      <c r="F507" s="1714"/>
      <c r="G507" s="1714"/>
      <c r="H507" s="1714"/>
      <c r="I507" s="1898"/>
      <c r="J507" s="1748">
        <f>DATA!AB4</f>
        <v>0</v>
      </c>
      <c r="K507" s="1749"/>
      <c r="L507" s="1750"/>
      <c r="M507" s="360"/>
      <c r="N507" s="1049"/>
      <c r="O507" s="1049"/>
      <c r="X507" s="298"/>
    </row>
    <row r="508" spans="3:24" ht="7.5" customHeight="1">
      <c r="C508" s="297"/>
      <c r="D508" s="214"/>
      <c r="E508" s="214"/>
      <c r="F508" s="214"/>
      <c r="G508" s="214"/>
      <c r="H508" s="214"/>
      <c r="I508" s="214"/>
      <c r="J508" s="214"/>
      <c r="K508" s="214"/>
      <c r="L508" s="214"/>
      <c r="M508" s="214"/>
      <c r="N508" s="214"/>
      <c r="O508" s="214"/>
      <c r="P508" s="214"/>
      <c r="Q508" s="214"/>
      <c r="R508" s="214"/>
      <c r="S508" s="214"/>
      <c r="T508" s="214"/>
      <c r="U508" s="214"/>
      <c r="V508" s="214"/>
      <c r="W508" s="214"/>
      <c r="X508" s="299"/>
    </row>
    <row r="509" spans="3:24" ht="7.5" customHeight="1"/>
    <row r="510" spans="3:24" ht="7.5" customHeight="1">
      <c r="C510" s="701"/>
      <c r="D510" s="690"/>
      <c r="E510" s="690"/>
      <c r="F510" s="690"/>
      <c r="G510" s="690"/>
      <c r="H510" s="690"/>
      <c r="I510" s="690"/>
      <c r="J510" s="690"/>
      <c r="K510" s="690"/>
      <c r="L510" s="690"/>
      <c r="M510" s="690"/>
      <c r="N510" s="690"/>
      <c r="O510" s="690"/>
      <c r="P510" s="690"/>
      <c r="Q510" s="690"/>
      <c r="R510" s="690"/>
      <c r="S510" s="690"/>
      <c r="T510" s="690"/>
      <c r="U510" s="690"/>
      <c r="V510" s="690"/>
      <c r="W510" s="690"/>
      <c r="X510" s="702"/>
    </row>
    <row r="511" spans="3:24">
      <c r="C511" s="296"/>
      <c r="D511" s="1897" t="s">
        <v>835</v>
      </c>
      <c r="E511" s="1897"/>
      <c r="F511" s="1897"/>
      <c r="G511" s="1897"/>
      <c r="H511" s="1897"/>
      <c r="I511" s="1897"/>
      <c r="J511" s="1897"/>
      <c r="K511" s="1897"/>
      <c r="L511" s="1897"/>
      <c r="M511" s="1897"/>
      <c r="N511" s="1897"/>
      <c r="O511" s="1897"/>
      <c r="P511" s="1897"/>
      <c r="Q511" s="1897"/>
      <c r="R511" s="1897"/>
      <c r="S511" s="1897"/>
      <c r="T511" s="1897"/>
      <c r="U511" s="1897"/>
      <c r="V511" s="1897"/>
      <c r="W511" s="1897"/>
      <c r="X511" s="298"/>
    </row>
    <row r="512" spans="3:24" ht="7.5" customHeight="1">
      <c r="C512" s="296"/>
      <c r="I512" s="38"/>
      <c r="J512" s="38"/>
      <c r="K512" s="38"/>
      <c r="L512" s="38"/>
      <c r="M512" s="38"/>
      <c r="N512" s="38"/>
      <c r="O512" s="38"/>
      <c r="X512" s="298"/>
    </row>
    <row r="513" spans="3:24" ht="14.95" customHeight="1">
      <c r="C513" s="296"/>
      <c r="I513" s="38"/>
      <c r="J513" s="38"/>
      <c r="K513" s="38"/>
      <c r="L513" s="38"/>
      <c r="M513" s="38"/>
      <c r="N513" s="38"/>
      <c r="O513" s="1714" t="s">
        <v>836</v>
      </c>
      <c r="P513" s="1714"/>
      <c r="Q513" s="1714"/>
      <c r="R513" s="1714"/>
      <c r="S513" s="1714"/>
      <c r="T513" s="1758"/>
      <c r="U513" s="1707"/>
      <c r="V513" s="1709"/>
      <c r="X513" s="298"/>
    </row>
    <row r="514" spans="3:24" ht="7.5" customHeight="1">
      <c r="C514" s="296"/>
      <c r="I514" s="38"/>
      <c r="J514" s="38"/>
      <c r="K514" s="38"/>
      <c r="L514" s="38"/>
      <c r="M514" s="38"/>
      <c r="N514" s="38"/>
      <c r="O514" s="38"/>
      <c r="T514" s="44"/>
      <c r="X514" s="298"/>
    </row>
    <row r="515" spans="3:24">
      <c r="C515" s="296"/>
      <c r="I515" s="1050"/>
      <c r="J515" s="38"/>
      <c r="K515" s="38"/>
      <c r="L515" s="38"/>
      <c r="M515" s="38"/>
      <c r="N515" s="1049"/>
      <c r="O515" s="1714" t="s">
        <v>436</v>
      </c>
      <c r="P515" s="1714"/>
      <c r="Q515" s="1714"/>
      <c r="R515" s="1714"/>
      <c r="S515" s="1714"/>
      <c r="T515" s="1715"/>
      <c r="U515" s="1752" t="str">
        <f ca="1">DATA!AE4</f>
        <v/>
      </c>
      <c r="V515" s="1754"/>
      <c r="X515" s="298"/>
    </row>
    <row r="516" spans="3:24" ht="7.5" customHeight="1">
      <c r="C516" s="296"/>
      <c r="I516" s="1050"/>
      <c r="J516" s="38"/>
      <c r="K516" s="1050"/>
      <c r="M516" s="38"/>
      <c r="N516" s="38"/>
      <c r="O516" s="38"/>
      <c r="T516" s="44"/>
      <c r="X516" s="298"/>
    </row>
    <row r="517" spans="3:24">
      <c r="C517" s="296"/>
      <c r="D517" s="1714" t="s">
        <v>837</v>
      </c>
      <c r="E517" s="1714"/>
      <c r="F517" s="1714"/>
      <c r="G517" s="1714"/>
      <c r="H517" s="1714"/>
      <c r="I517" s="1898"/>
      <c r="J517" s="1748">
        <f>DATA!AF4</f>
        <v>0</v>
      </c>
      <c r="K517" s="1749"/>
      <c r="L517" s="1750"/>
      <c r="M517" s="38"/>
      <c r="N517" s="1049"/>
      <c r="O517" s="1714" t="s">
        <v>437</v>
      </c>
      <c r="P517" s="1714"/>
      <c r="Q517" s="1714"/>
      <c r="R517" s="1714"/>
      <c r="S517" s="1714"/>
      <c r="T517" s="1715"/>
      <c r="U517" s="1768" t="str">
        <f ca="1">DATA!AG4</f>
        <v/>
      </c>
      <c r="V517" s="1769"/>
      <c r="X517" s="298"/>
    </row>
    <row r="518" spans="3:24" ht="7.5" customHeight="1">
      <c r="C518" s="296"/>
      <c r="I518" s="1050"/>
      <c r="J518" s="38"/>
      <c r="K518" s="1050"/>
      <c r="M518" s="38"/>
      <c r="N518" s="38"/>
      <c r="O518" s="38"/>
      <c r="T518" s="44"/>
      <c r="X518" s="298"/>
    </row>
    <row r="519" spans="3:24">
      <c r="C519" s="296"/>
      <c r="D519" s="1714" t="s">
        <v>438</v>
      </c>
      <c r="E519" s="1714"/>
      <c r="F519" s="1714"/>
      <c r="G519" s="1714"/>
      <c r="H519" s="1714"/>
      <c r="I519" s="1715"/>
      <c r="J519" s="1752" t="str">
        <f ca="1">DATA!AH4</f>
        <v/>
      </c>
      <c r="K519" s="1753"/>
      <c r="L519" s="1754"/>
      <c r="M519" s="38"/>
      <c r="N519" s="1049"/>
      <c r="O519" s="1714" t="s">
        <v>733</v>
      </c>
      <c r="P519" s="1714"/>
      <c r="Q519" s="1714"/>
      <c r="R519" s="1714"/>
      <c r="S519" s="1714"/>
      <c r="T519" s="1715"/>
      <c r="U519" s="1752" t="str">
        <f ca="1">DATA!AI4</f>
        <v/>
      </c>
      <c r="V519" s="1754"/>
      <c r="X519" s="298"/>
    </row>
    <row r="520" spans="3:24" ht="7.5" customHeight="1">
      <c r="C520" s="296"/>
      <c r="I520" s="1050"/>
      <c r="J520" s="38"/>
      <c r="K520" s="1050"/>
      <c r="M520" s="38"/>
      <c r="N520" s="38"/>
      <c r="O520" s="38"/>
      <c r="T520" s="365"/>
      <c r="U520" s="38"/>
      <c r="X520" s="298"/>
    </row>
    <row r="521" spans="3:24">
      <c r="C521" s="296"/>
      <c r="D521" s="1714" t="s">
        <v>720</v>
      </c>
      <c r="E521" s="1714"/>
      <c r="F521" s="1714"/>
      <c r="G521" s="1714"/>
      <c r="H521" s="1714"/>
      <c r="I521" s="1898"/>
      <c r="J521" s="1748"/>
      <c r="K521" s="1749"/>
      <c r="L521" s="1750"/>
      <c r="M521" s="38"/>
      <c r="N521" s="1049"/>
      <c r="O521" s="1714" t="s">
        <v>721</v>
      </c>
      <c r="P521" s="1714"/>
      <c r="Q521" s="1714"/>
      <c r="R521" s="1714"/>
      <c r="S521" s="1714"/>
      <c r="T521" s="1715"/>
      <c r="U521" s="1752" t="str">
        <f ca="1">DATA!AK4</f>
        <v/>
      </c>
      <c r="V521" s="1754"/>
      <c r="X521" s="298"/>
    </row>
    <row r="522" spans="3:24" ht="7.5" customHeight="1">
      <c r="C522" s="296"/>
      <c r="I522" s="1050"/>
      <c r="J522" s="38"/>
      <c r="K522" s="1050"/>
      <c r="M522" s="38"/>
      <c r="N522" s="38"/>
      <c r="O522" s="38"/>
      <c r="T522" s="44"/>
      <c r="X522" s="298"/>
    </row>
    <row r="523" spans="3:24">
      <c r="C523" s="296"/>
      <c r="D523" s="1714" t="s">
        <v>722</v>
      </c>
      <c r="E523" s="1714"/>
      <c r="F523" s="1714"/>
      <c r="G523" s="1714"/>
      <c r="H523" s="1714"/>
      <c r="I523" s="1715"/>
      <c r="J523" s="1752" t="str">
        <f ca="1">DATA!AL4</f>
        <v/>
      </c>
      <c r="K523" s="1753"/>
      <c r="L523" s="1754"/>
      <c r="M523" s="360"/>
      <c r="N523" s="1049"/>
      <c r="O523" s="1714" t="s">
        <v>723</v>
      </c>
      <c r="P523" s="1714"/>
      <c r="Q523" s="1714"/>
      <c r="R523" s="1714"/>
      <c r="S523" s="1714"/>
      <c r="T523" s="1715"/>
      <c r="U523" s="1752" t="str">
        <f ca="1">DATA!AM4</f>
        <v/>
      </c>
      <c r="V523" s="1754"/>
      <c r="X523" s="298"/>
    </row>
    <row r="524" spans="3:24" ht="7.5" customHeight="1">
      <c r="C524" s="297"/>
      <c r="D524" s="214"/>
      <c r="E524" s="214"/>
      <c r="F524" s="214"/>
      <c r="G524" s="214"/>
      <c r="H524" s="214"/>
      <c r="I524" s="214"/>
      <c r="J524" s="214"/>
      <c r="K524" s="214"/>
      <c r="L524" s="214"/>
      <c r="M524" s="214"/>
      <c r="N524" s="214"/>
      <c r="O524" s="214"/>
      <c r="P524" s="214"/>
      <c r="Q524" s="214"/>
      <c r="R524" s="214"/>
      <c r="S524" s="214"/>
      <c r="T524" s="214"/>
      <c r="U524" s="214"/>
      <c r="V524" s="214"/>
      <c r="W524" s="214"/>
      <c r="X524" s="299"/>
    </row>
    <row r="525" spans="3:24" ht="7.5" customHeight="1">
      <c r="C525" s="730"/>
      <c r="D525" s="730"/>
      <c r="E525" s="730"/>
      <c r="F525" s="730"/>
      <c r="G525" s="730"/>
      <c r="H525" s="730"/>
      <c r="I525" s="730"/>
      <c r="J525" s="730"/>
      <c r="K525" s="730"/>
      <c r="L525" s="730"/>
      <c r="M525" s="730"/>
      <c r="N525" s="730"/>
      <c r="O525" s="730"/>
      <c r="P525" s="730"/>
      <c r="Q525" s="730"/>
      <c r="R525" s="730"/>
      <c r="S525" s="730"/>
      <c r="T525" s="730"/>
      <c r="U525" s="730"/>
      <c r="V525" s="730"/>
      <c r="W525" s="730"/>
      <c r="X525" s="730"/>
    </row>
    <row r="526" spans="3:24" ht="7.5" customHeight="1">
      <c r="C526" s="701"/>
      <c r="D526" s="690"/>
      <c r="E526" s="690"/>
      <c r="F526" s="690"/>
      <c r="G526" s="690"/>
      <c r="H526" s="690"/>
      <c r="I526" s="690"/>
      <c r="J526" s="690"/>
      <c r="K526" s="690"/>
      <c r="L526" s="690"/>
      <c r="M526" s="690"/>
      <c r="N526" s="690"/>
      <c r="O526" s="690"/>
      <c r="P526" s="690"/>
      <c r="Q526" s="690"/>
      <c r="R526" s="690"/>
      <c r="S526" s="690"/>
      <c r="T526" s="690"/>
      <c r="U526" s="690"/>
      <c r="V526" s="690"/>
      <c r="W526" s="690"/>
      <c r="X526" s="702"/>
    </row>
    <row r="527" spans="3:24">
      <c r="C527" s="296"/>
      <c r="D527" s="1897" t="s">
        <v>809</v>
      </c>
      <c r="E527" s="1897"/>
      <c r="F527" s="1897"/>
      <c r="G527" s="1897"/>
      <c r="H527" s="1897"/>
      <c r="I527" s="1897"/>
      <c r="J527" s="1897"/>
      <c r="K527" s="1897"/>
      <c r="L527" s="1897"/>
      <c r="M527" s="1897"/>
      <c r="N527" s="1897"/>
      <c r="O527" s="1897"/>
      <c r="P527" s="1897"/>
      <c r="Q527" s="1897"/>
      <c r="R527" s="1897"/>
      <c r="S527" s="1897"/>
      <c r="T527" s="1897"/>
      <c r="U527" s="1897"/>
      <c r="V527" s="1897"/>
      <c r="W527" s="1897"/>
      <c r="X527" s="298"/>
    </row>
    <row r="528" spans="3:24" ht="7.5" customHeight="1">
      <c r="C528" s="296"/>
      <c r="X528" s="298"/>
    </row>
    <row r="529" spans="3:24">
      <c r="C529" s="1024"/>
      <c r="D529" s="1704" t="s">
        <v>734</v>
      </c>
      <c r="E529" s="1704"/>
      <c r="F529" s="1704"/>
      <c r="G529" s="1704"/>
      <c r="H529" s="1704"/>
      <c r="I529" s="1705"/>
      <c r="J529" s="1707">
        <f>DATA!AP4</f>
        <v>0</v>
      </c>
      <c r="K529" s="1708"/>
      <c r="L529" s="1709"/>
      <c r="M529" s="453"/>
      <c r="N529" s="1026"/>
      <c r="O529" s="1026"/>
      <c r="P529" s="1027"/>
      <c r="Q529" s="1027"/>
      <c r="R529" s="1027"/>
      <c r="S529" s="1027"/>
      <c r="T529" s="1025"/>
      <c r="U529" s="1892"/>
      <c r="V529" s="1892"/>
      <c r="X529" s="298"/>
    </row>
    <row r="530" spans="3:24" ht="7.5" customHeight="1">
      <c r="C530" s="1024"/>
      <c r="D530" s="1065"/>
      <c r="E530" s="1065"/>
      <c r="F530" s="1065"/>
      <c r="G530" s="1065"/>
      <c r="H530" s="1065"/>
      <c r="I530" s="1065"/>
      <c r="L530" s="1051"/>
      <c r="M530" s="1051"/>
      <c r="N530" s="1028"/>
      <c r="O530" s="1028"/>
      <c r="P530" s="38"/>
      <c r="Q530" s="1027"/>
      <c r="R530" s="1027"/>
      <c r="S530" s="1027"/>
      <c r="T530" s="1027"/>
      <c r="U530" s="453"/>
      <c r="V530" s="447"/>
      <c r="X530" s="298"/>
    </row>
    <row r="531" spans="3:24">
      <c r="C531" s="1024"/>
      <c r="D531" s="1704" t="s">
        <v>2033</v>
      </c>
      <c r="E531" s="1704"/>
      <c r="F531" s="1704"/>
      <c r="G531" s="1704"/>
      <c r="H531" s="1704"/>
      <c r="I531" s="1706"/>
      <c r="J531" s="1779">
        <f ca="1">DATA!AR4</f>
        <v>0</v>
      </c>
      <c r="K531" s="1711"/>
      <c r="L531" s="1712"/>
      <c r="M531" s="1051"/>
      <c r="N531" s="1028"/>
      <c r="O531" s="1714" t="s">
        <v>2022</v>
      </c>
      <c r="P531" s="1714"/>
      <c r="Q531" s="1714"/>
      <c r="R531" s="1714"/>
      <c r="S531" s="1714"/>
      <c r="T531" s="1715"/>
      <c r="U531" s="1719">
        <f ca="1">DATA!AS4</f>
        <v>0</v>
      </c>
      <c r="V531" s="1721"/>
      <c r="X531" s="298"/>
    </row>
    <row r="532" spans="3:24" ht="7.5" customHeight="1">
      <c r="C532" s="1024"/>
      <c r="D532" s="1065"/>
      <c r="E532" s="1065"/>
      <c r="F532" s="1065"/>
      <c r="G532" s="1065"/>
      <c r="H532" s="1065"/>
      <c r="I532" s="1065"/>
      <c r="J532" s="1051"/>
      <c r="M532" s="1051"/>
      <c r="N532" s="1028"/>
      <c r="O532" s="1068"/>
      <c r="P532" s="44"/>
      <c r="Q532" s="44"/>
      <c r="R532" s="44"/>
      <c r="S532" s="44"/>
      <c r="T532" s="44"/>
      <c r="U532" s="1051"/>
      <c r="X532" s="298"/>
    </row>
    <row r="533" spans="3:24">
      <c r="C533" s="1024"/>
      <c r="D533" s="1770" t="s">
        <v>736</v>
      </c>
      <c r="E533" s="1770"/>
      <c r="F533" s="1770"/>
      <c r="G533" s="1770"/>
      <c r="H533" s="1770"/>
      <c r="I533" s="1770"/>
      <c r="J533" s="1710">
        <f ca="1">DATA!AT4</f>
        <v>0</v>
      </c>
      <c r="K533" s="1711"/>
      <c r="L533" s="1712"/>
      <c r="M533" s="1051"/>
      <c r="N533" s="1028"/>
      <c r="O533" s="1714" t="s">
        <v>737</v>
      </c>
      <c r="P533" s="1714"/>
      <c r="Q533" s="1714"/>
      <c r="R533" s="1714"/>
      <c r="S533" s="1714"/>
      <c r="T533" s="1715"/>
      <c r="U533" s="1719">
        <f ca="1">DATA!AU4</f>
        <v>0</v>
      </c>
      <c r="V533" s="1721"/>
      <c r="X533" s="298"/>
    </row>
    <row r="534" spans="3:24" ht="7.5" customHeight="1">
      <c r="C534" s="1024"/>
      <c r="D534" s="1770"/>
      <c r="E534" s="1770"/>
      <c r="F534" s="1770"/>
      <c r="G534" s="1770"/>
      <c r="H534" s="1770"/>
      <c r="I534" s="1770"/>
      <c r="J534" s="1051"/>
      <c r="M534" s="1051"/>
      <c r="N534" s="1028"/>
      <c r="O534" s="1896" t="s">
        <v>817</v>
      </c>
      <c r="P534" s="1896"/>
      <c r="Q534" s="1896"/>
      <c r="R534" s="1896"/>
      <c r="S534" s="1896"/>
      <c r="T534" s="1896"/>
      <c r="U534" s="1051"/>
      <c r="X534" s="298"/>
    </row>
    <row r="535" spans="3:24">
      <c r="C535" s="1024"/>
      <c r="D535" s="1728" t="s">
        <v>816</v>
      </c>
      <c r="E535" s="1728"/>
      <c r="F535" s="1728"/>
      <c r="G535" s="1728"/>
      <c r="H535" s="1728"/>
      <c r="I535" s="1728"/>
      <c r="J535" s="1710">
        <f ca="1">DATA!AV4</f>
        <v>0</v>
      </c>
      <c r="K535" s="1711"/>
      <c r="L535" s="1712"/>
      <c r="M535" s="347"/>
      <c r="N535" s="1028"/>
      <c r="O535" s="1896"/>
      <c r="P535" s="1896"/>
      <c r="Q535" s="1896"/>
      <c r="R535" s="1896"/>
      <c r="S535" s="1896"/>
      <c r="T535" s="1896"/>
      <c r="U535" s="1719">
        <f ca="1">DATA!AW4</f>
        <v>0</v>
      </c>
      <c r="V535" s="1721"/>
      <c r="X535" s="298"/>
    </row>
    <row r="536" spans="3:24" ht="7.5" customHeight="1">
      <c r="C536" s="1024"/>
      <c r="D536" s="1728"/>
      <c r="E536" s="1728"/>
      <c r="F536" s="1728"/>
      <c r="G536" s="1728"/>
      <c r="H536" s="1728"/>
      <c r="I536" s="1728"/>
      <c r="J536" s="1051"/>
      <c r="M536" s="1051"/>
      <c r="N536" s="1028"/>
      <c r="O536" s="1068"/>
      <c r="P536" s="44"/>
      <c r="Q536" s="44"/>
      <c r="R536" s="44"/>
      <c r="S536" s="44"/>
      <c r="T536" s="44"/>
      <c r="U536" s="1051"/>
      <c r="X536" s="298"/>
    </row>
    <row r="537" spans="3:24">
      <c r="C537" s="1024"/>
      <c r="D537" s="1704" t="s">
        <v>629</v>
      </c>
      <c r="E537" s="1704"/>
      <c r="F537" s="1704"/>
      <c r="G537" s="1704"/>
      <c r="H537" s="1704"/>
      <c r="I537" s="1706"/>
      <c r="J537" s="1710">
        <f ca="1">DATA!AZ4</f>
        <v>0</v>
      </c>
      <c r="K537" s="1711"/>
      <c r="L537" s="1712"/>
      <c r="M537" s="1051"/>
      <c r="N537" s="1028"/>
      <c r="O537" s="1068"/>
      <c r="P537" s="44"/>
      <c r="Q537" s="44"/>
      <c r="R537" s="44"/>
      <c r="S537" s="44"/>
      <c r="T537" s="44"/>
      <c r="X537" s="298"/>
    </row>
    <row r="538" spans="3:24" ht="7.5" customHeight="1">
      <c r="C538" s="1024"/>
      <c r="D538" s="1065"/>
      <c r="E538" s="1065"/>
      <c r="F538" s="1065"/>
      <c r="G538" s="1065"/>
      <c r="H538" s="1065"/>
      <c r="I538" s="1065"/>
      <c r="J538" s="1051"/>
      <c r="M538" s="1051"/>
      <c r="N538" s="1028"/>
      <c r="O538" s="1068"/>
      <c r="P538" s="44"/>
      <c r="Q538" s="44"/>
      <c r="R538" s="44"/>
      <c r="S538" s="44"/>
      <c r="T538" s="44"/>
      <c r="U538" s="1051"/>
      <c r="X538" s="298"/>
    </row>
    <row r="539" spans="3:24" ht="14.95" customHeight="1">
      <c r="C539" s="1024"/>
      <c r="D539" s="1704" t="s">
        <v>742</v>
      </c>
      <c r="E539" s="1704"/>
      <c r="F539" s="1704"/>
      <c r="G539" s="1704"/>
      <c r="H539" s="1704"/>
      <c r="I539" s="1706"/>
      <c r="J539" s="1710">
        <f ca="1">DATA!BB4</f>
        <v>0</v>
      </c>
      <c r="K539" s="1711"/>
      <c r="L539" s="1712"/>
      <c r="M539" s="1051"/>
      <c r="N539" s="1028"/>
      <c r="O539" s="1714" t="s">
        <v>741</v>
      </c>
      <c r="P539" s="1714"/>
      <c r="Q539" s="1714"/>
      <c r="R539" s="1714"/>
      <c r="S539" s="1714"/>
      <c r="T539" s="1715"/>
      <c r="U539" s="1719">
        <f ca="1">DATA!BA4</f>
        <v>0</v>
      </c>
      <c r="V539" s="1721"/>
      <c r="X539" s="298"/>
    </row>
    <row r="540" spans="3:24" ht="7.5" customHeight="1">
      <c r="C540" s="1024"/>
      <c r="D540" s="1065"/>
      <c r="E540" s="1065"/>
      <c r="F540" s="1065"/>
      <c r="G540" s="1065"/>
      <c r="H540" s="1065"/>
      <c r="I540" s="1065"/>
      <c r="J540" s="1051"/>
      <c r="M540" s="1051"/>
      <c r="N540" s="1028"/>
      <c r="O540" s="455"/>
      <c r="P540" s="455"/>
      <c r="Q540" s="455"/>
      <c r="R540" s="455"/>
      <c r="S540" s="455"/>
      <c r="T540" s="455"/>
      <c r="U540" s="1051"/>
      <c r="X540" s="298"/>
    </row>
    <row r="541" spans="3:24">
      <c r="C541" s="1024"/>
      <c r="D541" s="1704" t="s">
        <v>744</v>
      </c>
      <c r="E541" s="1704"/>
      <c r="F541" s="1704"/>
      <c r="G541" s="1704"/>
      <c r="H541" s="1704"/>
      <c r="I541" s="1706"/>
      <c r="J541" s="1710">
        <f ca="1">DATA!BD4</f>
        <v>0</v>
      </c>
      <c r="K541" s="1711"/>
      <c r="L541" s="1712"/>
      <c r="M541" s="1051"/>
      <c r="N541" s="1028"/>
      <c r="O541" s="1714" t="s">
        <v>743</v>
      </c>
      <c r="P541" s="1714"/>
      <c r="Q541" s="1714"/>
      <c r="R541" s="1714"/>
      <c r="S541" s="1714"/>
      <c r="T541" s="1715"/>
      <c r="U541" s="1719" t="str">
        <f ca="1">DATA!BC4</f>
        <v>WA</v>
      </c>
      <c r="V541" s="1721"/>
      <c r="X541" s="298"/>
    </row>
    <row r="542" spans="3:24" ht="7.5" customHeight="1">
      <c r="C542" s="1024"/>
      <c r="D542" s="1065"/>
      <c r="E542" s="1065"/>
      <c r="F542" s="1065"/>
      <c r="G542" s="1065"/>
      <c r="H542" s="1065"/>
      <c r="I542" s="1065"/>
      <c r="J542" s="1051"/>
      <c r="M542" s="1051"/>
      <c r="N542" s="1028"/>
      <c r="O542" s="1068"/>
      <c r="P542" s="44"/>
      <c r="Q542" s="44"/>
      <c r="R542" s="44"/>
      <c r="S542" s="44"/>
      <c r="T542" s="44"/>
      <c r="U542" s="1051"/>
      <c r="X542" s="298"/>
    </row>
    <row r="543" spans="3:24">
      <c r="C543" s="1024"/>
      <c r="D543" s="1704" t="s">
        <v>2024</v>
      </c>
      <c r="E543" s="1704"/>
      <c r="F543" s="1704"/>
      <c r="G543" s="1704"/>
      <c r="H543" s="1704"/>
      <c r="I543" s="1706"/>
      <c r="J543" s="1739">
        <f ca="1">DATA!BF4</f>
        <v>0</v>
      </c>
      <c r="K543" s="1740"/>
      <c r="L543" s="1741"/>
      <c r="M543" s="1051"/>
      <c r="N543" s="1028"/>
      <c r="O543" s="1714" t="s">
        <v>747</v>
      </c>
      <c r="P543" s="1714"/>
      <c r="Q543" s="1714"/>
      <c r="R543" s="1714"/>
      <c r="S543" s="1714"/>
      <c r="T543" s="1758"/>
      <c r="U543" s="1707"/>
      <c r="V543" s="1709"/>
      <c r="X543" s="298"/>
    </row>
    <row r="544" spans="3:24" ht="7.5" customHeight="1">
      <c r="C544" s="1024"/>
      <c r="D544" s="1065"/>
      <c r="E544" s="1065"/>
      <c r="F544" s="1065"/>
      <c r="G544" s="1065"/>
      <c r="H544" s="1065"/>
      <c r="I544" s="1065"/>
      <c r="J544" s="1742"/>
      <c r="K544" s="1902"/>
      <c r="L544" s="1744"/>
      <c r="M544" s="1051"/>
      <c r="N544" s="1028"/>
      <c r="O544" s="1068"/>
      <c r="P544" s="1069"/>
      <c r="Q544" s="44"/>
      <c r="R544" s="44"/>
      <c r="S544" s="44"/>
      <c r="T544" s="44"/>
      <c r="U544" s="1051"/>
      <c r="X544" s="298"/>
    </row>
    <row r="545" spans="3:24">
      <c r="C545" s="1024"/>
      <c r="D545" s="1065"/>
      <c r="E545" s="1065"/>
      <c r="F545" s="1065"/>
      <c r="G545" s="1065"/>
      <c r="H545" s="1065"/>
      <c r="I545" s="1065"/>
      <c r="J545" s="1742"/>
      <c r="K545" s="1902"/>
      <c r="L545" s="1744"/>
      <c r="M545" s="1051"/>
      <c r="N545" s="1028"/>
      <c r="O545" s="1068"/>
      <c r="P545" s="44"/>
      <c r="Q545" s="44"/>
      <c r="R545" s="44"/>
      <c r="S545" s="44"/>
      <c r="T545" s="44"/>
      <c r="X545" s="298"/>
    </row>
    <row r="546" spans="3:24" ht="7.5" customHeight="1">
      <c r="C546" s="1024"/>
      <c r="D546" s="1065"/>
      <c r="E546" s="1065"/>
      <c r="F546" s="1065"/>
      <c r="G546" s="1065"/>
      <c r="H546" s="1065"/>
      <c r="I546" s="1065"/>
      <c r="J546" s="1742"/>
      <c r="K546" s="1902"/>
      <c r="L546" s="1744"/>
      <c r="M546" s="1051"/>
      <c r="N546" s="1028"/>
      <c r="O546" s="1068"/>
      <c r="P546" s="44"/>
      <c r="Q546" s="44"/>
      <c r="R546" s="44"/>
      <c r="S546" s="44"/>
      <c r="T546" s="44"/>
      <c r="U546" s="1051"/>
      <c r="X546" s="298"/>
    </row>
    <row r="547" spans="3:24">
      <c r="C547" s="1024"/>
      <c r="D547" s="1755"/>
      <c r="E547" s="1755"/>
      <c r="F547" s="1755"/>
      <c r="G547" s="1755"/>
      <c r="H547" s="1755"/>
      <c r="I547" s="1755"/>
      <c r="J547" s="1745"/>
      <c r="K547" s="1746"/>
      <c r="L547" s="1747"/>
      <c r="M547" s="1051"/>
      <c r="N547" s="1028"/>
      <c r="O547" s="1714" t="s">
        <v>2023</v>
      </c>
      <c r="P547" s="1714"/>
      <c r="Q547" s="1714"/>
      <c r="R547" s="1714"/>
      <c r="S547" s="1714"/>
      <c r="T547" s="1715"/>
      <c r="U547" s="1771">
        <f ca="1">DATA!BG4</f>
        <v>0</v>
      </c>
      <c r="V547" s="1773"/>
      <c r="X547" s="298"/>
    </row>
    <row r="548" spans="3:24" ht="7.5" customHeight="1">
      <c r="C548" s="1024"/>
      <c r="D548" s="1755"/>
      <c r="E548" s="1755"/>
      <c r="F548" s="1755"/>
      <c r="G548" s="1755"/>
      <c r="H548" s="1755"/>
      <c r="I548" s="1755"/>
      <c r="J548" s="1051"/>
      <c r="M548" s="1051"/>
      <c r="N548" s="1028"/>
      <c r="O548" s="1068"/>
      <c r="P548" s="44"/>
      <c r="Q548" s="44"/>
      <c r="R548" s="44"/>
      <c r="S548" s="44"/>
      <c r="T548" s="44"/>
      <c r="U548" s="1051"/>
      <c r="X548" s="298"/>
    </row>
    <row r="549" spans="3:24">
      <c r="C549" s="1024"/>
      <c r="D549" s="1065"/>
      <c r="E549" s="1065"/>
      <c r="F549" s="1065"/>
      <c r="G549" s="1065"/>
      <c r="H549" s="1065"/>
      <c r="I549" s="1065"/>
      <c r="M549" s="370"/>
      <c r="N549" s="1028"/>
      <c r="O549" s="1068"/>
      <c r="P549" s="44"/>
      <c r="Q549" s="44"/>
      <c r="R549" s="44"/>
      <c r="S549" s="44"/>
      <c r="T549" s="365"/>
      <c r="X549" s="298"/>
    </row>
    <row r="550" spans="3:24" ht="7.5" customHeight="1">
      <c r="C550" s="1024"/>
      <c r="D550" s="1065"/>
      <c r="E550" s="1065"/>
      <c r="F550" s="1065"/>
      <c r="G550" s="1065"/>
      <c r="H550" s="1065"/>
      <c r="I550" s="1065"/>
      <c r="J550" s="1055"/>
      <c r="K550" s="1056"/>
      <c r="L550" s="1056"/>
      <c r="M550" s="1051"/>
      <c r="N550" s="1028"/>
      <c r="O550" s="1068"/>
      <c r="P550" s="44"/>
      <c r="Q550" s="44"/>
      <c r="R550" s="44"/>
      <c r="S550" s="44"/>
      <c r="T550" s="44"/>
      <c r="U550" s="1051"/>
      <c r="X550" s="298"/>
    </row>
    <row r="551" spans="3:24" ht="14.95" customHeight="1">
      <c r="C551" s="1059"/>
      <c r="D551" s="1704" t="s">
        <v>2025</v>
      </c>
      <c r="E551" s="1704"/>
      <c r="F551" s="1704"/>
      <c r="G551" s="1704"/>
      <c r="H551" s="1704"/>
      <c r="I551" s="1706"/>
      <c r="J551" s="1893">
        <f ca="1">DATA!BH4</f>
        <v>0</v>
      </c>
      <c r="K551" s="1894"/>
      <c r="L551" s="1895"/>
      <c r="M551" s="360"/>
      <c r="N551" s="1060"/>
      <c r="O551" s="1714" t="s">
        <v>2026</v>
      </c>
      <c r="P551" s="1714"/>
      <c r="Q551" s="1714"/>
      <c r="R551" s="1714"/>
      <c r="S551" s="1714"/>
      <c r="T551" s="1758"/>
      <c r="U551" s="1707">
        <f>DATA!BI4</f>
        <v>0</v>
      </c>
      <c r="V551" s="1709"/>
      <c r="X551" s="298"/>
    </row>
    <row r="552" spans="3:24" ht="7.5" customHeight="1">
      <c r="C552" s="1059"/>
      <c r="D552" s="1067"/>
      <c r="E552" s="1067"/>
      <c r="F552" s="1067"/>
      <c r="G552" s="1067"/>
      <c r="H552" s="1067"/>
      <c r="I552" s="1067"/>
      <c r="J552" s="1057"/>
      <c r="K552" s="1058"/>
      <c r="L552" s="1056"/>
      <c r="M552" s="347"/>
      <c r="N552" s="1060"/>
      <c r="O552" s="1064"/>
      <c r="P552" s="1064"/>
      <c r="Q552" s="1064"/>
      <c r="R552" s="1064"/>
      <c r="S552" s="1064"/>
      <c r="T552" s="1064"/>
      <c r="X552" s="298"/>
    </row>
    <row r="553" spans="3:24" ht="14.95" customHeight="1">
      <c r="C553" s="1059"/>
      <c r="D553" s="1704" t="s">
        <v>749</v>
      </c>
      <c r="E553" s="1704"/>
      <c r="F553" s="1704"/>
      <c r="G553" s="1704"/>
      <c r="H553" s="1704"/>
      <c r="I553" s="1706"/>
      <c r="J553" s="1710" t="str">
        <f ca="1">DATA!BJ4</f>
        <v>Multi-Family Housing</v>
      </c>
      <c r="K553" s="1711"/>
      <c r="L553" s="1712"/>
      <c r="M553" s="360"/>
      <c r="N553" s="1060"/>
      <c r="O553" s="1714" t="s">
        <v>636</v>
      </c>
      <c r="P553" s="1714"/>
      <c r="Q553" s="1714"/>
      <c r="R553" s="1714"/>
      <c r="S553" s="1714"/>
      <c r="T553" s="1715"/>
      <c r="U553" s="1719" t="str">
        <f ca="1">DATA!BK4</f>
        <v>Commercial/Industrial</v>
      </c>
      <c r="V553" s="1721"/>
      <c r="X553" s="298"/>
    </row>
    <row r="554" spans="3:24" ht="7.5" customHeight="1">
      <c r="C554" s="1059"/>
      <c r="D554" s="1060"/>
      <c r="E554" s="1060"/>
      <c r="F554" s="1060"/>
      <c r="G554" s="1060"/>
      <c r="H554" s="1060"/>
      <c r="I554" s="1060"/>
      <c r="J554" s="347"/>
      <c r="K554" s="1052"/>
      <c r="M554" s="347"/>
      <c r="N554" s="1060"/>
      <c r="O554" s="1060"/>
      <c r="P554" s="1060"/>
      <c r="Q554" s="1060"/>
      <c r="R554" s="1060"/>
      <c r="S554" s="1060"/>
      <c r="T554" s="1060"/>
      <c r="U554" s="1054"/>
      <c r="V554" s="1053"/>
      <c r="X554" s="298"/>
    </row>
    <row r="555" spans="3:24">
      <c r="C555" s="1024"/>
      <c r="D555" s="38"/>
      <c r="E555" s="38"/>
      <c r="F555" s="38"/>
      <c r="G555" s="38"/>
      <c r="H555" s="38"/>
      <c r="J555" s="259"/>
      <c r="M555" s="1051"/>
      <c r="N555" s="1026"/>
      <c r="O555" s="1026"/>
      <c r="P555" s="1027"/>
      <c r="Q555" s="1027"/>
      <c r="R555" s="1027"/>
      <c r="S555" s="1027"/>
      <c r="T555" s="1025"/>
      <c r="U555" s="1892"/>
      <c r="V555" s="1892"/>
      <c r="X555" s="298"/>
    </row>
    <row r="556" spans="3:24" ht="5.0999999999999996" customHeight="1">
      <c r="C556" s="297"/>
      <c r="D556" s="214"/>
      <c r="E556" s="214"/>
      <c r="F556" s="214"/>
      <c r="G556" s="214"/>
      <c r="H556" s="206"/>
      <c r="I556" s="206"/>
      <c r="J556" s="206"/>
      <c r="K556" s="206"/>
      <c r="L556" s="206"/>
      <c r="M556" s="206"/>
      <c r="N556" s="206"/>
      <c r="O556" s="206"/>
      <c r="P556" s="214"/>
      <c r="Q556" s="214"/>
      <c r="R556" s="214"/>
      <c r="S556" s="206"/>
      <c r="T556" s="214"/>
      <c r="U556" s="206"/>
      <c r="V556" s="206"/>
      <c r="W556" s="214"/>
      <c r="X556" s="299"/>
    </row>
    <row r="557" spans="3:24" ht="5.0999999999999996" customHeight="1"/>
    <row r="558" spans="3:24" ht="5.0999999999999996" customHeight="1">
      <c r="C558" s="701"/>
      <c r="D558" s="690"/>
      <c r="E558" s="690"/>
      <c r="F558" s="690"/>
      <c r="G558" s="690"/>
      <c r="H558" s="828"/>
      <c r="I558" s="828"/>
      <c r="J558" s="828"/>
      <c r="K558" s="828"/>
      <c r="L558" s="828"/>
      <c r="M558" s="828"/>
      <c r="N558" s="828"/>
      <c r="O558" s="828"/>
      <c r="P558" s="690"/>
      <c r="Q558" s="690"/>
      <c r="R558" s="690"/>
      <c r="S558" s="828"/>
      <c r="T558" s="690"/>
      <c r="U558" s="828"/>
      <c r="V558" s="828"/>
      <c r="W558" s="690"/>
      <c r="X558" s="702"/>
    </row>
    <row r="559" spans="3:24">
      <c r="C559" s="296"/>
      <c r="D559" s="1897" t="s">
        <v>863</v>
      </c>
      <c r="E559" s="1897"/>
      <c r="F559" s="1897"/>
      <c r="G559" s="1897"/>
      <c r="H559" s="1897"/>
      <c r="I559" s="1897"/>
      <c r="J559" s="1897"/>
      <c r="K559" s="1897"/>
      <c r="L559" s="1897"/>
      <c r="M559" s="1897"/>
      <c r="N559" s="1897"/>
      <c r="O559" s="1897"/>
      <c r="P559" s="1897"/>
      <c r="Q559" s="1897"/>
      <c r="R559" s="1897"/>
      <c r="S559" s="1897"/>
      <c r="T559" s="1897"/>
      <c r="U559" s="1897"/>
      <c r="V559" s="1897"/>
      <c r="W559" s="1897"/>
      <c r="X559" s="298"/>
    </row>
    <row r="560" spans="3:24" ht="5.0999999999999996" customHeight="1">
      <c r="C560" s="296"/>
      <c r="H560" s="38"/>
      <c r="I560" s="38"/>
      <c r="J560" s="38"/>
      <c r="K560" s="38"/>
      <c r="L560" s="38"/>
      <c r="M560" s="38"/>
      <c r="N560" s="38"/>
      <c r="O560" s="38"/>
      <c r="S560" s="38"/>
      <c r="U560" s="38"/>
      <c r="V560" s="38"/>
      <c r="X560" s="298"/>
    </row>
    <row r="561" spans="3:24">
      <c r="C561" s="296"/>
      <c r="D561" s="1704" t="s">
        <v>436</v>
      </c>
      <c r="E561" s="1704"/>
      <c r="F561" s="1704"/>
      <c r="G561" s="1704"/>
      <c r="H561" s="1704"/>
      <c r="I561" s="1706"/>
      <c r="J561" s="1710">
        <f ca="1">DATA!BN4</f>
        <v>0</v>
      </c>
      <c r="K561" s="1711"/>
      <c r="L561" s="1712"/>
      <c r="M561" s="38"/>
      <c r="N561" s="1049"/>
      <c r="O561" s="1714" t="s">
        <v>839</v>
      </c>
      <c r="P561" s="1714"/>
      <c r="Q561" s="1714"/>
      <c r="R561" s="1714"/>
      <c r="S561" s="1714"/>
      <c r="T561" s="1715"/>
      <c r="U561" s="1719" t="str">
        <f ca="1">DATA!BO4</f>
        <v/>
      </c>
      <c r="V561" s="1721"/>
      <c r="X561" s="298"/>
    </row>
    <row r="562" spans="3:24" ht="7.5" customHeight="1">
      <c r="C562" s="296"/>
      <c r="H562" s="38"/>
      <c r="I562" s="1066"/>
      <c r="J562" s="38"/>
      <c r="K562" s="1050"/>
      <c r="M562" s="38"/>
      <c r="N562" s="38"/>
      <c r="O562" s="38"/>
      <c r="S562" s="365"/>
      <c r="T562" s="44"/>
      <c r="U562" s="38"/>
      <c r="X562" s="298"/>
    </row>
    <row r="563" spans="3:24" ht="14.95" customHeight="1">
      <c r="C563" s="296"/>
      <c r="D563" s="1704" t="s">
        <v>840</v>
      </c>
      <c r="E563" s="1704"/>
      <c r="F563" s="1704"/>
      <c r="G563" s="1704"/>
      <c r="H563" s="1704"/>
      <c r="I563" s="1868"/>
      <c r="J563" s="1903"/>
      <c r="K563" s="1904"/>
      <c r="L563" s="1905"/>
      <c r="M563" s="38"/>
      <c r="N563" s="38"/>
      <c r="O563" s="38"/>
      <c r="S563" s="365"/>
      <c r="T563" s="44"/>
      <c r="X563" s="298"/>
    </row>
    <row r="564" spans="3:24" ht="7.5" customHeight="1">
      <c r="C564" s="296"/>
      <c r="H564" s="38"/>
      <c r="I564" s="1066"/>
      <c r="J564" s="1906"/>
      <c r="K564" s="1907"/>
      <c r="L564" s="1908"/>
      <c r="M564" s="38"/>
      <c r="N564" s="38"/>
      <c r="O564" s="38"/>
      <c r="S564" s="365"/>
      <c r="T564" s="44"/>
      <c r="U564" s="38"/>
      <c r="X564" s="298"/>
    </row>
    <row r="565" spans="3:24">
      <c r="C565" s="296"/>
      <c r="H565" s="38"/>
      <c r="I565" s="1065"/>
      <c r="J565" s="1909"/>
      <c r="K565" s="1910"/>
      <c r="L565" s="1911"/>
      <c r="M565" s="38"/>
      <c r="N565" s="1049"/>
      <c r="O565" s="1714" t="s">
        <v>841</v>
      </c>
      <c r="P565" s="1714"/>
      <c r="Q565" s="1714"/>
      <c r="R565" s="1714"/>
      <c r="S565" s="1714"/>
      <c r="T565" s="1715"/>
      <c r="U565" s="1719" t="str">
        <f ca="1">DATA!BQ4</f>
        <v/>
      </c>
      <c r="V565" s="1721"/>
      <c r="X565" s="298"/>
    </row>
    <row r="566" spans="3:24" ht="7.5" customHeight="1">
      <c r="C566" s="296"/>
      <c r="H566" s="38"/>
      <c r="I566" s="1066"/>
      <c r="J566" s="38"/>
      <c r="K566" s="1050"/>
      <c r="M566" s="38"/>
      <c r="N566" s="38"/>
      <c r="O566" s="38"/>
      <c r="S566" s="365"/>
      <c r="T566" s="44"/>
      <c r="U566" s="38"/>
      <c r="X566" s="298"/>
    </row>
    <row r="567" spans="3:24">
      <c r="C567" s="296"/>
      <c r="D567" s="1704" t="s">
        <v>842</v>
      </c>
      <c r="E567" s="1704"/>
      <c r="F567" s="1704"/>
      <c r="G567" s="1704"/>
      <c r="H567" s="1704"/>
      <c r="I567" s="1751"/>
      <c r="J567" s="1748"/>
      <c r="K567" s="1749"/>
      <c r="L567" s="1750"/>
      <c r="M567" s="38"/>
      <c r="N567" s="1049"/>
      <c r="O567" s="1714" t="s">
        <v>843</v>
      </c>
      <c r="P567" s="1714"/>
      <c r="Q567" s="1714"/>
      <c r="R567" s="1714"/>
      <c r="S567" s="1714"/>
      <c r="T567" s="1715"/>
      <c r="U567" s="1719" t="str">
        <f ca="1">DATA!BS4</f>
        <v/>
      </c>
      <c r="V567" s="1721"/>
      <c r="X567" s="298"/>
    </row>
    <row r="568" spans="3:24" ht="7.5" customHeight="1">
      <c r="C568" s="296"/>
      <c r="H568" s="38"/>
      <c r="I568" s="1066"/>
      <c r="J568" s="38"/>
      <c r="K568" s="1050"/>
      <c r="M568" s="38"/>
      <c r="N568" s="38"/>
      <c r="O568" s="38"/>
      <c r="S568" s="44"/>
      <c r="T568" s="44"/>
      <c r="U568" s="1050"/>
      <c r="V568" s="38"/>
      <c r="X568" s="298"/>
    </row>
    <row r="569" spans="3:24">
      <c r="C569" s="296"/>
      <c r="D569" s="1704" t="s">
        <v>844</v>
      </c>
      <c r="E569" s="1704"/>
      <c r="F569" s="1704"/>
      <c r="G569" s="1704"/>
      <c r="H569" s="1704"/>
      <c r="I569" s="1706"/>
      <c r="J569" s="1710" t="str">
        <f ca="1">DATA!BT4</f>
        <v/>
      </c>
      <c r="K569" s="1711"/>
      <c r="L569" s="1712"/>
      <c r="M569" s="38"/>
      <c r="N569" s="38"/>
      <c r="O569" s="1714" t="s">
        <v>845</v>
      </c>
      <c r="P569" s="1714"/>
      <c r="Q569" s="1714"/>
      <c r="R569" s="1714"/>
      <c r="S569" s="1714"/>
      <c r="T569" s="1715"/>
      <c r="U569" s="1779" t="str">
        <f ca="1">DATA!BU4</f>
        <v/>
      </c>
      <c r="V569" s="1899"/>
      <c r="X569" s="298"/>
    </row>
    <row r="570" spans="3:24" ht="7.5" customHeight="1">
      <c r="C570" s="296"/>
      <c r="H570" s="38"/>
      <c r="I570" s="1050"/>
      <c r="J570" s="38"/>
      <c r="K570" s="1050"/>
      <c r="M570" s="38"/>
      <c r="N570" s="38"/>
      <c r="O570" s="38"/>
      <c r="S570" s="38"/>
      <c r="U570" s="1050"/>
      <c r="V570" s="38"/>
      <c r="X570" s="298"/>
    </row>
    <row r="571" spans="3:24">
      <c r="C571" s="296"/>
      <c r="H571" s="38"/>
      <c r="I571" s="1050"/>
      <c r="J571" s="1901"/>
      <c r="K571" s="1901"/>
      <c r="L571" s="1901"/>
      <c r="M571" s="38"/>
      <c r="N571" s="1049"/>
      <c r="O571" s="1049"/>
      <c r="R571" s="1050"/>
      <c r="U571" s="447"/>
      <c r="V571" s="447"/>
      <c r="X571" s="298"/>
    </row>
    <row r="572" spans="3:24" ht="7.5" customHeight="1">
      <c r="C572" s="297"/>
      <c r="D572" s="214"/>
      <c r="E572" s="214"/>
      <c r="F572" s="214"/>
      <c r="G572" s="214"/>
      <c r="H572" s="206"/>
      <c r="I572" s="206"/>
      <c r="J572" s="206"/>
      <c r="K572" s="206"/>
      <c r="L572" s="206"/>
      <c r="M572" s="206"/>
      <c r="N572" s="206"/>
      <c r="O572" s="206"/>
      <c r="P572" s="214"/>
      <c r="Q572" s="214"/>
      <c r="R572" s="214"/>
      <c r="S572" s="206"/>
      <c r="T572" s="214"/>
      <c r="U572" s="206"/>
      <c r="V572" s="206"/>
      <c r="W572" s="214"/>
      <c r="X572" s="299"/>
    </row>
    <row r="573" spans="3:24" ht="7.5" customHeight="1"/>
    <row r="574" spans="3:24" ht="7.5" customHeight="1">
      <c r="C574" s="701"/>
      <c r="D574" s="690"/>
      <c r="E574" s="690"/>
      <c r="F574" s="690"/>
      <c r="G574" s="690"/>
      <c r="H574" s="690"/>
      <c r="I574" s="690"/>
      <c r="J574" s="690"/>
      <c r="K574" s="690"/>
      <c r="L574" s="690"/>
      <c r="M574" s="690"/>
      <c r="N574" s="690"/>
      <c r="O574" s="690"/>
      <c r="P574" s="690"/>
      <c r="Q574" s="690"/>
      <c r="R574" s="690"/>
      <c r="S574" s="690"/>
      <c r="T574" s="690"/>
      <c r="U574" s="690"/>
      <c r="V574" s="690"/>
      <c r="W574" s="690"/>
      <c r="X574" s="702"/>
    </row>
    <row r="575" spans="3:24">
      <c r="C575" s="296"/>
      <c r="D575" s="1897" t="s">
        <v>752</v>
      </c>
      <c r="E575" s="1897"/>
      <c r="F575" s="1897"/>
      <c r="G575" s="1897"/>
      <c r="H575" s="1897"/>
      <c r="I575" s="1897"/>
      <c r="J575" s="1897"/>
      <c r="K575" s="1897"/>
      <c r="L575" s="1897"/>
      <c r="M575" s="1897"/>
      <c r="N575" s="1897"/>
      <c r="O575" s="1897"/>
      <c r="P575" s="1897"/>
      <c r="Q575" s="1897"/>
      <c r="R575" s="1897"/>
      <c r="S575" s="1897"/>
      <c r="T575" s="1897"/>
      <c r="U575" s="1897"/>
      <c r="V575" s="1897"/>
      <c r="W575" s="1897"/>
      <c r="X575" s="298"/>
    </row>
    <row r="576" spans="3:24" ht="7.5" customHeight="1">
      <c r="C576" s="296"/>
      <c r="I576" s="38"/>
      <c r="J576" s="38"/>
      <c r="K576" s="38"/>
      <c r="L576" s="38"/>
      <c r="M576" s="38"/>
      <c r="N576" s="38"/>
      <c r="O576" s="38"/>
      <c r="X576" s="298"/>
    </row>
    <row r="577" spans="1:25" ht="14.95" customHeight="1">
      <c r="C577" s="296"/>
      <c r="D577" s="1714" t="s">
        <v>754</v>
      </c>
      <c r="E577" s="1714"/>
      <c r="F577" s="1714"/>
      <c r="G577" s="1714"/>
      <c r="H577" s="1714"/>
      <c r="I577" s="1715"/>
      <c r="J577" s="1752" t="str">
        <f ca="1">DATA!BX4</f>
        <v>Lighting - Custom</v>
      </c>
      <c r="K577" s="1753"/>
      <c r="L577" s="1754"/>
      <c r="M577" s="38"/>
      <c r="N577" s="38"/>
      <c r="O577" s="1714" t="s">
        <v>787</v>
      </c>
      <c r="P577" s="1714"/>
      <c r="Q577" s="1714"/>
      <c r="R577" s="1714"/>
      <c r="S577" s="1714"/>
      <c r="T577" s="1715"/>
      <c r="U577" s="1752">
        <f ca="1">DATA!BY4</f>
        <v>10059</v>
      </c>
      <c r="V577" s="1754"/>
      <c r="X577" s="298"/>
    </row>
    <row r="578" spans="1:25" ht="7.5" customHeight="1">
      <c r="C578" s="296"/>
      <c r="D578" s="44"/>
      <c r="E578" s="44"/>
      <c r="F578" s="44"/>
      <c r="G578" s="44"/>
      <c r="H578" s="44"/>
      <c r="I578" s="44"/>
      <c r="J578" s="38"/>
      <c r="K578" s="38"/>
      <c r="L578" s="38"/>
      <c r="M578" s="38"/>
      <c r="N578" s="38"/>
      <c r="O578" s="38"/>
      <c r="T578" s="44"/>
      <c r="X578" s="298"/>
    </row>
    <row r="579" spans="1:25">
      <c r="C579" s="296"/>
      <c r="D579" s="1714" t="s">
        <v>764</v>
      </c>
      <c r="E579" s="1714"/>
      <c r="F579" s="1714"/>
      <c r="G579" s="1714"/>
      <c r="H579" s="1714"/>
      <c r="I579" s="1715"/>
      <c r="J579" s="1752" t="str">
        <f>DATA!BZ4</f>
        <v>Full</v>
      </c>
      <c r="K579" s="1753"/>
      <c r="L579" s="1754"/>
      <c r="M579" s="38"/>
      <c r="N579" s="1049"/>
      <c r="O579" s="1714" t="s">
        <v>788</v>
      </c>
      <c r="P579" s="1714"/>
      <c r="Q579" s="1714"/>
      <c r="R579" s="1714"/>
      <c r="S579" s="1714"/>
      <c r="T579" s="1715"/>
      <c r="U579" s="1912" t="str">
        <f ca="1">DATA!CA4</f>
        <v>Enter on "Customer Authorization" tab</v>
      </c>
      <c r="V579" s="1913"/>
      <c r="X579" s="298"/>
    </row>
    <row r="580" spans="1:25" ht="7.5" customHeight="1">
      <c r="C580" s="296"/>
      <c r="D580" s="44"/>
      <c r="E580" s="44"/>
      <c r="F580" s="44"/>
      <c r="G580" s="44"/>
      <c r="H580" s="44"/>
      <c r="I580" s="365"/>
      <c r="J580" s="38"/>
      <c r="K580" s="1050"/>
      <c r="M580" s="38"/>
      <c r="N580" s="38"/>
      <c r="O580" s="38"/>
      <c r="T580" s="44"/>
      <c r="X580" s="298"/>
    </row>
    <row r="581" spans="1:25">
      <c r="C581" s="296"/>
      <c r="D581" s="1714" t="s">
        <v>755</v>
      </c>
      <c r="E581" s="1714"/>
      <c r="F581" s="1714"/>
      <c r="G581" s="1714"/>
      <c r="H581" s="1714"/>
      <c r="I581" s="1715"/>
      <c r="J581" s="1759">
        <f ca="1">DATA!CB4</f>
        <v>0</v>
      </c>
      <c r="K581" s="1760"/>
      <c r="L581" s="1761"/>
      <c r="M581" s="38"/>
      <c r="N581" s="1049"/>
      <c r="O581" s="1714" t="s">
        <v>925</v>
      </c>
      <c r="P581" s="1714"/>
      <c r="Q581" s="1714"/>
      <c r="R581" s="1714"/>
      <c r="S581" s="1714"/>
      <c r="T581" s="1715"/>
      <c r="U581" s="1752" t="str">
        <f>DATA!CC4</f>
        <v>Lighting</v>
      </c>
      <c r="V581" s="1754"/>
      <c r="X581" s="298"/>
    </row>
    <row r="582" spans="1:25" ht="7.5" customHeight="1">
      <c r="C582" s="296"/>
      <c r="D582" s="44"/>
      <c r="E582" s="44"/>
      <c r="F582" s="44"/>
      <c r="G582" s="44"/>
      <c r="H582" s="44"/>
      <c r="I582" s="365"/>
      <c r="J582" s="38"/>
      <c r="K582" s="1050"/>
      <c r="M582" s="38"/>
      <c r="N582" s="38"/>
      <c r="O582" s="38"/>
      <c r="T582" s="44"/>
      <c r="X582" s="298"/>
    </row>
    <row r="583" spans="1:25">
      <c r="C583" s="296"/>
      <c r="D583" s="1714" t="s">
        <v>758</v>
      </c>
      <c r="E583" s="1714"/>
      <c r="F583" s="1714"/>
      <c r="G583" s="1714"/>
      <c r="H583" s="1714"/>
      <c r="I583" s="1715"/>
      <c r="J583" s="1893">
        <f ca="1">DATA!CD4</f>
        <v>0</v>
      </c>
      <c r="K583" s="1894"/>
      <c r="L583" s="1895"/>
      <c r="M583" s="38"/>
      <c r="N583" s="1049"/>
      <c r="O583" s="1714" t="s">
        <v>2027</v>
      </c>
      <c r="P583" s="1714"/>
      <c r="Q583" s="1714"/>
      <c r="R583" s="1714"/>
      <c r="S583" s="1714"/>
      <c r="T583" s="1758"/>
      <c r="U583" s="1707"/>
      <c r="V583" s="1709"/>
      <c r="X583" s="298"/>
    </row>
    <row r="584" spans="1:25" ht="7.5" customHeight="1">
      <c r="C584" s="296"/>
      <c r="D584" s="44"/>
      <c r="E584" s="44"/>
      <c r="F584" s="44"/>
      <c r="G584" s="44"/>
      <c r="H584" s="44"/>
      <c r="I584" s="365"/>
      <c r="J584" s="38"/>
      <c r="K584" s="1050"/>
      <c r="M584" s="38"/>
      <c r="N584" s="38"/>
      <c r="O584" s="38"/>
      <c r="T584" s="365"/>
      <c r="U584" s="38"/>
      <c r="X584" s="298"/>
    </row>
    <row r="585" spans="1:25">
      <c r="C585" s="296"/>
      <c r="D585" s="1765" t="s">
        <v>790</v>
      </c>
      <c r="E585" s="1765"/>
      <c r="F585" s="1765"/>
      <c r="G585" s="1765"/>
      <c r="H585" s="1765"/>
      <c r="I585" s="1765"/>
      <c r="J585" s="1893">
        <f ca="1">DATA!CF4</f>
        <v>0</v>
      </c>
      <c r="K585" s="1894"/>
      <c r="L585" s="1895"/>
      <c r="M585" s="38"/>
      <c r="N585" s="1049"/>
      <c r="O585" s="1714" t="s">
        <v>761</v>
      </c>
      <c r="P585" s="1714"/>
      <c r="Q585" s="1714"/>
      <c r="R585" s="1714"/>
      <c r="S585" s="1714"/>
      <c r="T585" s="1715"/>
      <c r="U585" s="1771">
        <f ca="1">DATA!CG4</f>
        <v>0</v>
      </c>
      <c r="V585" s="1773"/>
      <c r="X585" s="298"/>
    </row>
    <row r="586" spans="1:25" ht="7.5" customHeight="1">
      <c r="C586" s="296"/>
      <c r="D586" s="1765"/>
      <c r="E586" s="1765"/>
      <c r="F586" s="1765"/>
      <c r="G586" s="1765"/>
      <c r="H586" s="1765"/>
      <c r="I586" s="1765"/>
      <c r="J586" s="38"/>
      <c r="K586" s="1050"/>
      <c r="M586" s="38"/>
      <c r="N586" s="38"/>
      <c r="O586" s="38"/>
      <c r="T586" s="44"/>
      <c r="X586" s="298"/>
    </row>
    <row r="587" spans="1:25">
      <c r="C587" s="296"/>
      <c r="D587" s="1714" t="s">
        <v>762</v>
      </c>
      <c r="E587" s="1714"/>
      <c r="F587" s="1714"/>
      <c r="G587" s="1714"/>
      <c r="H587" s="1714"/>
      <c r="I587" s="1715"/>
      <c r="J587" s="1893">
        <f ca="1">DATA!CH4</f>
        <v>0</v>
      </c>
      <c r="K587" s="1894"/>
      <c r="L587" s="1895"/>
      <c r="M587" s="360"/>
      <c r="N587" s="1049"/>
      <c r="O587" s="1714" t="s">
        <v>791</v>
      </c>
      <c r="P587" s="1714"/>
      <c r="Q587" s="1714"/>
      <c r="R587" s="1714"/>
      <c r="S587" s="1714"/>
      <c r="T587" s="1715"/>
      <c r="U587" s="1752">
        <f ca="1">DATA!CI4</f>
        <v>0</v>
      </c>
      <c r="V587" s="1754"/>
      <c r="X587" s="298"/>
    </row>
    <row r="588" spans="1:25" ht="7.5" customHeight="1">
      <c r="C588" s="296"/>
      <c r="D588" s="1070"/>
      <c r="E588" s="1070"/>
      <c r="F588" s="1070"/>
      <c r="G588" s="1070"/>
      <c r="H588" s="1070"/>
      <c r="I588" s="1070"/>
      <c r="J588" s="1053"/>
      <c r="K588" s="1053"/>
      <c r="L588" s="1053"/>
      <c r="M588" s="1053"/>
      <c r="N588" s="1053"/>
      <c r="O588" s="1053"/>
      <c r="P588" s="1053"/>
      <c r="Q588" s="1053"/>
      <c r="R588" s="1053"/>
      <c r="S588" s="1053"/>
      <c r="T588" s="1070"/>
      <c r="U588" s="1053"/>
      <c r="V588" s="1053"/>
      <c r="W588" s="1053"/>
      <c r="X588" s="298"/>
    </row>
    <row r="589" spans="1:25">
      <c r="A589" s="298"/>
      <c r="C589" s="1053"/>
      <c r="D589" s="1714" t="s">
        <v>792</v>
      </c>
      <c r="E589" s="1714"/>
      <c r="F589" s="1714"/>
      <c r="G589" s="1714"/>
      <c r="H589" s="1714"/>
      <c r="I589" s="1715"/>
      <c r="J589" s="1759">
        <f ca="1">DATA!CJ4</f>
        <v>0</v>
      </c>
      <c r="K589" s="1760"/>
      <c r="L589" s="1761"/>
      <c r="M589" s="1053"/>
      <c r="N589" s="1053"/>
      <c r="O589" s="1714" t="s">
        <v>707</v>
      </c>
      <c r="P589" s="1714"/>
      <c r="Q589" s="1714"/>
      <c r="R589" s="1714"/>
      <c r="S589" s="1714"/>
      <c r="T589" s="1715"/>
      <c r="U589" s="1762">
        <f ca="1">DATA!CK4</f>
        <v>2</v>
      </c>
      <c r="V589" s="1764"/>
      <c r="W589" s="1053"/>
      <c r="X589" s="1053"/>
      <c r="Y589" s="296"/>
    </row>
    <row r="590" spans="1:25" ht="7.5" customHeight="1">
      <c r="A590" s="298"/>
      <c r="C590" s="1053"/>
      <c r="D590" s="1070"/>
      <c r="E590" s="1070"/>
      <c r="F590" s="1070"/>
      <c r="G590" s="1070"/>
      <c r="H590" s="1070"/>
      <c r="I590" s="1070"/>
      <c r="J590" s="1053"/>
      <c r="K590" s="1053"/>
      <c r="L590" s="1053"/>
      <c r="M590" s="1053"/>
      <c r="N590" s="1053"/>
      <c r="O590" s="1053"/>
      <c r="P590" s="1053"/>
      <c r="Q590" s="1053"/>
      <c r="R590" s="1053"/>
      <c r="S590" s="1053"/>
      <c r="T590" s="1053"/>
      <c r="U590" s="1053"/>
      <c r="V590" s="1053"/>
      <c r="W590" s="1053"/>
      <c r="X590" s="1053"/>
      <c r="Y590" s="296"/>
    </row>
    <row r="591" spans="1:25">
      <c r="A591" s="298"/>
      <c r="C591" s="1053"/>
      <c r="D591" s="1714" t="s">
        <v>2028</v>
      </c>
      <c r="E591" s="1714"/>
      <c r="F591" s="1714"/>
      <c r="G591" s="1714"/>
      <c r="H591" s="1714"/>
      <c r="I591" s="1715"/>
      <c r="J591" s="1762">
        <f ca="1">DATA!CL4</f>
        <v>0</v>
      </c>
      <c r="K591" s="1763"/>
      <c r="L591" s="1764"/>
      <c r="M591" s="1053"/>
      <c r="N591" s="1053"/>
      <c r="O591" s="1053"/>
      <c r="P591" s="1053"/>
      <c r="Q591" s="1053"/>
      <c r="R591" s="1053"/>
      <c r="S591" s="1053"/>
      <c r="T591" s="1053"/>
      <c r="U591" s="1053"/>
      <c r="V591" s="1053"/>
      <c r="W591" s="1053"/>
      <c r="X591" s="1053"/>
      <c r="Y591" s="296"/>
    </row>
    <row r="592" spans="1:25" ht="7.5" customHeight="1">
      <c r="C592" s="297"/>
      <c r="D592" s="214"/>
      <c r="E592" s="214"/>
      <c r="F592" s="214"/>
      <c r="G592" s="214"/>
      <c r="H592" s="214"/>
      <c r="I592" s="214"/>
      <c r="J592" s="214"/>
      <c r="K592" s="214"/>
      <c r="L592" s="214"/>
      <c r="M592" s="214"/>
      <c r="N592" s="214"/>
      <c r="O592" s="214"/>
      <c r="P592" s="214"/>
      <c r="Q592" s="214"/>
      <c r="R592" s="214"/>
      <c r="S592" s="214"/>
      <c r="T592" s="214"/>
      <c r="U592" s="214"/>
      <c r="V592" s="214"/>
      <c r="W592" s="214"/>
      <c r="X592" s="299"/>
    </row>
    <row r="593" spans="3:24" ht="7.5" customHeight="1">
      <c r="U593" s="38"/>
      <c r="V593" s="38"/>
    </row>
    <row r="595" spans="3:24">
      <c r="C595" s="1"/>
      <c r="D595" s="1"/>
      <c r="E595" s="1"/>
      <c r="F595" s="1"/>
      <c r="G595" s="1"/>
      <c r="H595" s="1"/>
      <c r="I595" s="1"/>
      <c r="J595" s="1"/>
      <c r="K595" s="1"/>
      <c r="L595" s="1"/>
      <c r="M595" s="1"/>
      <c r="N595" s="1"/>
      <c r="O595" s="1"/>
      <c r="P595" s="1"/>
      <c r="Q595" s="1"/>
      <c r="R595" s="1"/>
      <c r="S595" s="1"/>
      <c r="T595" s="1"/>
      <c r="U595" s="1"/>
      <c r="V595" s="1"/>
      <c r="W595" s="1"/>
      <c r="X595" s="1"/>
    </row>
    <row r="596" spans="3:24">
      <c r="C596" s="1"/>
      <c r="D596" s="1"/>
      <c r="E596" s="1"/>
      <c r="F596" s="1"/>
      <c r="G596" s="1"/>
      <c r="H596" s="1"/>
      <c r="I596" s="1"/>
      <c r="J596" s="1"/>
      <c r="K596" s="1"/>
      <c r="L596" s="1"/>
      <c r="M596" s="1"/>
      <c r="N596" s="1"/>
      <c r="O596" s="1"/>
      <c r="P596" s="1"/>
      <c r="Q596" s="1"/>
      <c r="R596" s="1"/>
      <c r="S596" s="1"/>
      <c r="T596" s="1"/>
      <c r="U596" s="1"/>
      <c r="V596" s="1"/>
      <c r="W596" s="1"/>
      <c r="X596" s="1"/>
    </row>
    <row r="597" spans="3:24">
      <c r="C597" s="1"/>
      <c r="D597" s="1"/>
      <c r="E597" s="1"/>
      <c r="F597" s="1"/>
      <c r="G597" s="1"/>
      <c r="H597" s="1"/>
      <c r="I597" s="1"/>
      <c r="J597" s="1"/>
      <c r="K597" s="1"/>
      <c r="L597" s="1"/>
      <c r="M597" s="1"/>
      <c r="N597" s="1"/>
      <c r="O597" s="1"/>
      <c r="P597" s="1"/>
      <c r="Q597" s="1"/>
      <c r="R597" s="1"/>
      <c r="S597" s="1"/>
      <c r="T597" s="1"/>
      <c r="U597" s="1"/>
      <c r="V597" s="1"/>
      <c r="W597" s="1"/>
      <c r="X597" s="1"/>
    </row>
    <row r="598" spans="3:24">
      <c r="C598" s="1"/>
      <c r="D598" s="1"/>
      <c r="E598" s="1"/>
      <c r="F598" s="1"/>
      <c r="G598" s="1"/>
      <c r="H598" s="1"/>
      <c r="I598" s="1"/>
      <c r="J598" s="1"/>
      <c r="K598" s="1"/>
      <c r="L598" s="1"/>
      <c r="M598" s="1"/>
      <c r="N598" s="1"/>
      <c r="O598" s="1"/>
      <c r="P598" s="1"/>
      <c r="Q598" s="1"/>
      <c r="R598" s="1"/>
      <c r="S598" s="1"/>
      <c r="T598" s="1"/>
      <c r="U598" s="1"/>
      <c r="V598" s="1"/>
      <c r="W598" s="1"/>
      <c r="X598" s="1"/>
    </row>
    <row r="599" spans="3:24">
      <c r="C599" s="1"/>
      <c r="D599" s="1"/>
      <c r="E599" s="1"/>
      <c r="F599" s="1"/>
      <c r="G599" s="1"/>
      <c r="H599" s="1"/>
      <c r="I599" s="1"/>
      <c r="J599" s="1"/>
      <c r="K599" s="1"/>
      <c r="L599" s="1"/>
      <c r="M599" s="1"/>
      <c r="N599" s="1"/>
      <c r="O599" s="1"/>
      <c r="P599" s="1"/>
      <c r="Q599" s="1"/>
      <c r="R599" s="1"/>
      <c r="S599" s="1"/>
      <c r="T599" s="1"/>
      <c r="U599" s="1"/>
      <c r="V599" s="1"/>
      <c r="W599" s="1"/>
      <c r="X599" s="1"/>
    </row>
    <row r="600" spans="3:24">
      <c r="C600" s="1"/>
      <c r="D600" s="1"/>
      <c r="E600" s="1"/>
      <c r="F600" s="1"/>
      <c r="G600" s="1"/>
      <c r="H600" s="1"/>
      <c r="I600" s="1"/>
      <c r="J600" s="1"/>
      <c r="K600" s="1"/>
      <c r="L600" s="1"/>
      <c r="M600" s="1"/>
      <c r="N600" s="1"/>
      <c r="O600" s="1"/>
      <c r="P600" s="1"/>
      <c r="Q600" s="1"/>
      <c r="R600" s="1"/>
      <c r="S600" s="1"/>
      <c r="T600" s="1"/>
      <c r="U600" s="1"/>
      <c r="V600" s="1"/>
      <c r="W600" s="1"/>
      <c r="X600" s="1"/>
    </row>
    <row r="601" spans="3:24">
      <c r="C601" s="1"/>
      <c r="D601" s="1"/>
      <c r="E601" s="1"/>
      <c r="F601" s="1"/>
      <c r="G601" s="1"/>
      <c r="H601" s="1"/>
      <c r="I601" s="1"/>
      <c r="J601" s="1"/>
      <c r="K601" s="1"/>
      <c r="L601" s="1"/>
      <c r="M601" s="1"/>
      <c r="N601" s="1"/>
      <c r="O601" s="1"/>
      <c r="P601" s="1"/>
      <c r="Q601" s="1"/>
      <c r="R601" s="1"/>
      <c r="S601" s="1"/>
      <c r="T601" s="1"/>
      <c r="U601" s="1"/>
      <c r="V601" s="1"/>
      <c r="W601" s="1"/>
      <c r="X601" s="1"/>
    </row>
    <row r="602" spans="3:24">
      <c r="C602" s="1"/>
      <c r="D602" s="1"/>
      <c r="E602" s="1"/>
      <c r="F602" s="1"/>
      <c r="G602" s="1"/>
      <c r="H602" s="1"/>
      <c r="I602" s="1"/>
      <c r="J602" s="1"/>
      <c r="K602" s="1"/>
      <c r="L602" s="1"/>
      <c r="M602" s="1"/>
      <c r="N602" s="1"/>
      <c r="O602" s="1"/>
      <c r="P602" s="1"/>
      <c r="Q602" s="1"/>
      <c r="R602" s="1"/>
      <c r="S602" s="1"/>
      <c r="T602" s="1"/>
      <c r="U602" s="1"/>
      <c r="V602" s="1"/>
      <c r="W602" s="1"/>
      <c r="X602" s="1"/>
    </row>
    <row r="603" spans="3:24">
      <c r="C603" s="1"/>
      <c r="D603" s="1"/>
      <c r="E603" s="1"/>
      <c r="F603" s="1"/>
      <c r="G603" s="1"/>
      <c r="H603" s="1"/>
      <c r="I603" s="1"/>
      <c r="J603" s="1"/>
      <c r="K603" s="1"/>
      <c r="L603" s="1"/>
      <c r="M603" s="1"/>
      <c r="N603" s="1"/>
      <c r="O603" s="1"/>
      <c r="P603" s="1"/>
      <c r="Q603" s="1"/>
      <c r="R603" s="1"/>
      <c r="S603" s="1"/>
      <c r="T603" s="1"/>
      <c r="U603" s="1"/>
      <c r="V603" s="1"/>
      <c r="W603" s="1"/>
      <c r="X603" s="1"/>
    </row>
    <row r="604" spans="3:24">
      <c r="C604" s="1"/>
      <c r="D604" s="1"/>
      <c r="E604" s="1"/>
      <c r="F604" s="1"/>
      <c r="G604" s="1"/>
      <c r="H604" s="1"/>
      <c r="I604" s="1"/>
      <c r="J604" s="1"/>
      <c r="K604" s="1"/>
      <c r="L604" s="1"/>
      <c r="M604" s="1"/>
      <c r="N604" s="1"/>
      <c r="O604" s="1"/>
      <c r="P604" s="1"/>
      <c r="Q604" s="1"/>
      <c r="R604" s="1"/>
      <c r="S604" s="1"/>
      <c r="T604" s="1"/>
      <c r="U604" s="1"/>
      <c r="V604" s="1"/>
      <c r="W604" s="1"/>
      <c r="X604" s="1"/>
    </row>
    <row r="605" spans="3:24">
      <c r="C605" s="1"/>
      <c r="D605" s="1"/>
      <c r="E605" s="1"/>
      <c r="F605" s="1"/>
      <c r="G605" s="1"/>
      <c r="H605" s="1"/>
      <c r="I605" s="1"/>
      <c r="J605" s="1"/>
      <c r="K605" s="1"/>
      <c r="L605" s="1"/>
      <c r="M605" s="1"/>
      <c r="N605" s="1"/>
      <c r="O605" s="1"/>
      <c r="P605" s="1"/>
      <c r="Q605" s="1"/>
      <c r="R605" s="1"/>
      <c r="S605" s="1"/>
      <c r="T605" s="1"/>
      <c r="U605" s="1"/>
      <c r="V605" s="1"/>
      <c r="W605" s="1"/>
      <c r="X605" s="1"/>
    </row>
    <row r="606" spans="3:24">
      <c r="C606" s="1"/>
      <c r="D606" s="1"/>
      <c r="E606" s="1"/>
      <c r="F606" s="1"/>
      <c r="G606" s="1"/>
      <c r="H606" s="1"/>
      <c r="I606" s="1"/>
      <c r="J606" s="1"/>
      <c r="K606" s="1"/>
      <c r="L606" s="1"/>
      <c r="M606" s="1"/>
      <c r="N606" s="1"/>
      <c r="O606" s="1"/>
      <c r="P606" s="1"/>
      <c r="Q606" s="1"/>
      <c r="R606" s="1"/>
      <c r="S606" s="1"/>
      <c r="T606" s="1"/>
      <c r="U606" s="1"/>
      <c r="V606" s="1"/>
      <c r="W606" s="1"/>
      <c r="X606" s="1"/>
    </row>
    <row r="607" spans="3:24">
      <c r="C607" s="1"/>
      <c r="D607" s="1"/>
      <c r="E607" s="1"/>
      <c r="F607" s="1"/>
      <c r="G607" s="1"/>
      <c r="H607" s="1"/>
      <c r="I607" s="1"/>
      <c r="J607" s="1"/>
      <c r="K607" s="1"/>
      <c r="L607" s="1"/>
      <c r="M607" s="1"/>
      <c r="N607" s="1"/>
      <c r="O607" s="1"/>
      <c r="P607" s="1"/>
      <c r="Q607" s="1"/>
      <c r="R607" s="1"/>
      <c r="S607" s="1"/>
      <c r="T607" s="1"/>
      <c r="U607" s="1"/>
      <c r="V607" s="1"/>
      <c r="W607" s="1"/>
      <c r="X607" s="1"/>
    </row>
    <row r="608" spans="3:24">
      <c r="C608" s="1"/>
      <c r="D608" s="1"/>
      <c r="E608" s="1"/>
      <c r="F608" s="1"/>
      <c r="G608" s="1"/>
      <c r="H608" s="1"/>
      <c r="I608" s="1"/>
      <c r="J608" s="1"/>
      <c r="K608" s="1"/>
      <c r="L608" s="1"/>
      <c r="M608" s="1"/>
      <c r="N608" s="1"/>
      <c r="O608" s="1"/>
      <c r="P608" s="1"/>
      <c r="Q608" s="1"/>
      <c r="R608" s="1"/>
      <c r="S608" s="1"/>
      <c r="T608" s="1"/>
      <c r="U608" s="1"/>
      <c r="V608" s="1"/>
      <c r="W608" s="1"/>
      <c r="X608" s="1"/>
    </row>
    <row r="609" spans="3:24">
      <c r="C609" s="1"/>
      <c r="D609" s="1"/>
      <c r="E609" s="1"/>
      <c r="F609" s="1"/>
      <c r="G609" s="1"/>
      <c r="H609" s="1"/>
      <c r="I609" s="1"/>
      <c r="J609" s="1"/>
      <c r="K609" s="1"/>
      <c r="L609" s="1"/>
      <c r="M609" s="1"/>
      <c r="N609" s="1"/>
      <c r="O609" s="1"/>
      <c r="P609" s="1"/>
      <c r="Q609" s="1"/>
      <c r="R609" s="1"/>
      <c r="S609" s="1"/>
      <c r="T609" s="1"/>
      <c r="U609" s="1"/>
      <c r="V609" s="1"/>
      <c r="W609" s="1"/>
      <c r="X609" s="1"/>
    </row>
    <row r="610" spans="3:24">
      <c r="C610" s="1"/>
      <c r="D610" s="1"/>
      <c r="E610" s="1"/>
      <c r="F610" s="1"/>
      <c r="G610" s="1"/>
      <c r="H610" s="1"/>
      <c r="I610" s="1"/>
      <c r="J610" s="1"/>
      <c r="K610" s="1"/>
      <c r="L610" s="1"/>
      <c r="M610" s="1"/>
      <c r="N610" s="1"/>
      <c r="O610" s="1"/>
      <c r="P610" s="1"/>
      <c r="Q610" s="1"/>
      <c r="R610" s="1"/>
      <c r="S610" s="1"/>
      <c r="T610" s="1"/>
      <c r="U610" s="1"/>
      <c r="V610" s="1"/>
      <c r="W610" s="1"/>
      <c r="X610" s="1"/>
    </row>
    <row r="611" spans="3:24">
      <c r="C611" s="1"/>
      <c r="D611" s="1"/>
      <c r="E611" s="1"/>
      <c r="F611" s="1"/>
      <c r="G611" s="1"/>
      <c r="H611" s="1"/>
      <c r="I611" s="1"/>
      <c r="J611" s="1"/>
      <c r="K611" s="1"/>
      <c r="L611" s="1"/>
      <c r="M611" s="1"/>
      <c r="N611" s="1"/>
      <c r="O611" s="1"/>
      <c r="P611" s="1"/>
      <c r="Q611" s="1"/>
      <c r="R611" s="1"/>
      <c r="S611" s="1"/>
      <c r="T611" s="1"/>
      <c r="U611" s="1"/>
      <c r="V611" s="1"/>
      <c r="W611" s="1"/>
      <c r="X611" s="1"/>
    </row>
    <row r="612" spans="3:24">
      <c r="C612" s="1"/>
      <c r="D612" s="1"/>
      <c r="E612" s="1"/>
      <c r="F612" s="1"/>
      <c r="G612" s="1"/>
      <c r="H612" s="1"/>
      <c r="I612" s="1"/>
      <c r="J612" s="1"/>
      <c r="K612" s="1"/>
      <c r="L612" s="1"/>
      <c r="M612" s="1"/>
      <c r="N612" s="1"/>
      <c r="O612" s="1"/>
      <c r="P612" s="1"/>
      <c r="Q612" s="1"/>
      <c r="R612" s="1"/>
      <c r="S612" s="1"/>
      <c r="T612" s="1"/>
      <c r="U612" s="1"/>
      <c r="V612" s="1"/>
      <c r="W612" s="1"/>
      <c r="X612" s="1"/>
    </row>
    <row r="613" spans="3:24">
      <c r="C613" s="1"/>
      <c r="D613" s="1"/>
      <c r="E613" s="1"/>
      <c r="F613" s="1"/>
      <c r="G613" s="1"/>
      <c r="H613" s="1"/>
      <c r="I613" s="1"/>
      <c r="J613" s="1"/>
      <c r="K613" s="1"/>
      <c r="L613" s="1"/>
      <c r="M613" s="1"/>
      <c r="N613" s="1"/>
      <c r="O613" s="1"/>
      <c r="P613" s="1"/>
      <c r="Q613" s="1"/>
      <c r="R613" s="1"/>
      <c r="S613" s="1"/>
      <c r="T613" s="1"/>
      <c r="U613" s="1"/>
      <c r="V613" s="1"/>
      <c r="W613" s="1"/>
      <c r="X613" s="1"/>
    </row>
    <row r="614" spans="3:24">
      <c r="C614" s="1"/>
      <c r="D614" s="1"/>
      <c r="E614" s="1"/>
      <c r="F614" s="1"/>
      <c r="G614" s="1"/>
      <c r="H614" s="1"/>
      <c r="I614" s="1"/>
      <c r="J614" s="1"/>
      <c r="K614" s="1"/>
      <c r="L614" s="1"/>
      <c r="M614" s="1"/>
      <c r="N614" s="1"/>
      <c r="O614" s="1"/>
      <c r="P614" s="1"/>
      <c r="Q614" s="1"/>
      <c r="R614" s="1"/>
      <c r="S614" s="1"/>
      <c r="T614" s="1"/>
      <c r="U614" s="1"/>
      <c r="V614" s="1"/>
      <c r="W614" s="1"/>
      <c r="X614" s="1"/>
    </row>
    <row r="615" spans="3:24">
      <c r="C615" s="1"/>
      <c r="D615" s="1"/>
      <c r="E615" s="1"/>
      <c r="F615" s="1"/>
      <c r="G615" s="1"/>
      <c r="H615" s="1"/>
      <c r="I615" s="1"/>
      <c r="J615" s="1"/>
      <c r="K615" s="1"/>
      <c r="L615" s="1"/>
      <c r="M615" s="1"/>
      <c r="N615" s="1"/>
      <c r="O615" s="1"/>
      <c r="P615" s="1"/>
      <c r="Q615" s="1"/>
      <c r="R615" s="1"/>
      <c r="S615" s="1"/>
      <c r="T615" s="1"/>
      <c r="U615" s="1"/>
      <c r="V615" s="1"/>
      <c r="W615" s="1"/>
      <c r="X615" s="1"/>
    </row>
    <row r="616" spans="3:24">
      <c r="C616" s="1"/>
      <c r="D616" s="1"/>
      <c r="E616" s="1"/>
      <c r="F616" s="1"/>
      <c r="G616" s="1"/>
      <c r="H616" s="1"/>
      <c r="I616" s="1"/>
      <c r="J616" s="1"/>
      <c r="K616" s="1"/>
      <c r="L616" s="1"/>
      <c r="M616" s="1"/>
      <c r="N616" s="1"/>
      <c r="O616" s="1"/>
      <c r="P616" s="1"/>
      <c r="Q616" s="1"/>
      <c r="R616" s="1"/>
      <c r="S616" s="1"/>
      <c r="T616" s="1"/>
      <c r="U616" s="1"/>
      <c r="V616" s="1"/>
      <c r="W616" s="1"/>
      <c r="X616" s="1"/>
    </row>
    <row r="617" spans="3:24">
      <c r="C617" s="1"/>
      <c r="D617" s="1"/>
      <c r="E617" s="1"/>
      <c r="F617" s="1"/>
      <c r="G617" s="1"/>
      <c r="H617" s="1"/>
      <c r="I617" s="1"/>
      <c r="J617" s="1"/>
      <c r="K617" s="1"/>
      <c r="L617" s="1"/>
      <c r="M617" s="1"/>
      <c r="N617" s="1"/>
      <c r="O617" s="1"/>
      <c r="P617" s="1"/>
      <c r="Q617" s="1"/>
      <c r="R617" s="1"/>
      <c r="S617" s="1"/>
      <c r="T617" s="1"/>
      <c r="U617" s="1"/>
      <c r="V617" s="1"/>
      <c r="W617" s="1"/>
      <c r="X617" s="1"/>
    </row>
    <row r="618" spans="3:24">
      <c r="C618" s="1"/>
      <c r="D618" s="1"/>
      <c r="E618" s="1"/>
      <c r="F618" s="1"/>
      <c r="G618" s="1"/>
      <c r="H618" s="1"/>
      <c r="I618" s="1"/>
      <c r="J618" s="1"/>
      <c r="K618" s="1"/>
      <c r="L618" s="1"/>
      <c r="M618" s="1"/>
      <c r="N618" s="1"/>
      <c r="O618" s="1"/>
      <c r="P618" s="1"/>
      <c r="Q618" s="1"/>
      <c r="R618" s="1"/>
      <c r="S618" s="1"/>
      <c r="T618" s="1"/>
      <c r="U618" s="1"/>
      <c r="V618" s="1"/>
      <c r="W618" s="1"/>
      <c r="X618" s="1"/>
    </row>
    <row r="619" spans="3:24">
      <c r="C619" s="1"/>
      <c r="D619" s="1"/>
      <c r="E619" s="1"/>
      <c r="F619" s="1"/>
      <c r="G619" s="1"/>
      <c r="H619" s="1"/>
      <c r="I619" s="1"/>
      <c r="J619" s="1"/>
      <c r="K619" s="1"/>
      <c r="L619" s="1"/>
      <c r="M619" s="1"/>
      <c r="N619" s="1"/>
      <c r="O619" s="1"/>
      <c r="P619" s="1"/>
      <c r="Q619" s="1"/>
      <c r="R619" s="1"/>
      <c r="S619" s="1"/>
      <c r="T619" s="1"/>
      <c r="U619" s="1"/>
      <c r="V619" s="1"/>
      <c r="W619" s="1"/>
      <c r="X619" s="1"/>
    </row>
    <row r="620" spans="3:24">
      <c r="C620" s="1"/>
      <c r="D620" s="1"/>
      <c r="E620" s="1"/>
      <c r="F620" s="1"/>
      <c r="G620" s="1"/>
      <c r="H620" s="1"/>
      <c r="I620" s="1"/>
      <c r="J620" s="1"/>
      <c r="K620" s="1"/>
      <c r="L620" s="1"/>
      <c r="M620" s="1"/>
      <c r="N620" s="1"/>
      <c r="O620" s="1"/>
      <c r="P620" s="1"/>
      <c r="Q620" s="1"/>
      <c r="R620" s="1"/>
      <c r="S620" s="1"/>
      <c r="T620" s="1"/>
      <c r="U620" s="1"/>
      <c r="V620" s="1"/>
      <c r="W620" s="1"/>
      <c r="X620" s="1"/>
    </row>
    <row r="621" spans="3:24">
      <c r="C621" s="1"/>
      <c r="D621" s="1"/>
      <c r="E621" s="1"/>
      <c r="F621" s="1"/>
      <c r="G621" s="1"/>
      <c r="H621" s="1"/>
      <c r="I621" s="1"/>
      <c r="J621" s="1"/>
      <c r="K621" s="1"/>
      <c r="L621" s="1"/>
      <c r="M621" s="1"/>
      <c r="N621" s="1"/>
      <c r="O621" s="1"/>
      <c r="P621" s="1"/>
      <c r="Q621" s="1"/>
      <c r="R621" s="1"/>
      <c r="S621" s="1"/>
      <c r="T621" s="1"/>
      <c r="U621" s="1"/>
      <c r="V621" s="1"/>
      <c r="W621" s="1"/>
      <c r="X621" s="1"/>
    </row>
    <row r="622" spans="3:24">
      <c r="C622" s="1"/>
      <c r="D622" s="1"/>
      <c r="E622" s="1"/>
      <c r="F622" s="1"/>
      <c r="G622" s="1"/>
      <c r="H622" s="1"/>
      <c r="I622" s="1"/>
      <c r="J622" s="1"/>
      <c r="K622" s="1"/>
      <c r="L622" s="1"/>
      <c r="M622" s="1"/>
      <c r="N622" s="1"/>
      <c r="O622" s="1"/>
      <c r="P622" s="1"/>
      <c r="Q622" s="1"/>
      <c r="R622" s="1"/>
      <c r="S622" s="1"/>
      <c r="T622" s="1"/>
      <c r="U622" s="1"/>
      <c r="V622" s="1"/>
      <c r="W622" s="1"/>
      <c r="X622" s="1"/>
    </row>
    <row r="623" spans="3:24">
      <c r="C623" s="1"/>
      <c r="D623" s="1"/>
      <c r="E623" s="1"/>
      <c r="F623" s="1"/>
      <c r="G623" s="1"/>
      <c r="H623" s="1"/>
      <c r="I623" s="1"/>
      <c r="J623" s="1"/>
      <c r="K623" s="1"/>
      <c r="L623" s="1"/>
      <c r="M623" s="1"/>
      <c r="N623" s="1"/>
      <c r="O623" s="1"/>
      <c r="P623" s="1"/>
      <c r="Q623" s="1"/>
      <c r="R623" s="1"/>
      <c r="S623" s="1"/>
      <c r="T623" s="1"/>
      <c r="U623" s="1"/>
      <c r="V623" s="1"/>
      <c r="W623" s="1"/>
      <c r="X623" s="1"/>
    </row>
    <row r="624" spans="3:24">
      <c r="C624" s="1"/>
      <c r="D624" s="1"/>
      <c r="E624" s="1"/>
      <c r="F624" s="1"/>
      <c r="G624" s="1"/>
      <c r="H624" s="1"/>
      <c r="I624" s="1"/>
      <c r="J624" s="1"/>
      <c r="K624" s="1"/>
      <c r="L624" s="1"/>
      <c r="M624" s="1"/>
      <c r="N624" s="1"/>
      <c r="O624" s="1"/>
      <c r="P624" s="1"/>
      <c r="Q624" s="1"/>
      <c r="R624" s="1"/>
      <c r="S624" s="1"/>
      <c r="T624" s="1"/>
      <c r="U624" s="1"/>
      <c r="V624" s="1"/>
      <c r="W624" s="1"/>
      <c r="X624" s="1"/>
    </row>
    <row r="625" spans="3:24">
      <c r="C625" s="1"/>
      <c r="D625" s="1"/>
      <c r="E625" s="1"/>
      <c r="F625" s="1"/>
      <c r="G625" s="1"/>
      <c r="H625" s="1"/>
      <c r="I625" s="1"/>
      <c r="J625" s="1"/>
      <c r="K625" s="1"/>
      <c r="L625" s="1"/>
      <c r="M625" s="1"/>
      <c r="N625" s="1"/>
      <c r="O625" s="1"/>
      <c r="P625" s="1"/>
      <c r="Q625" s="1"/>
      <c r="R625" s="1"/>
      <c r="S625" s="1"/>
      <c r="T625" s="1"/>
      <c r="U625" s="1"/>
      <c r="V625" s="1"/>
      <c r="W625" s="1"/>
      <c r="X625" s="1"/>
    </row>
    <row r="626" spans="3:24">
      <c r="C626" s="1"/>
      <c r="D626" s="1"/>
      <c r="E626" s="1"/>
      <c r="F626" s="1"/>
      <c r="G626" s="1"/>
      <c r="H626" s="1"/>
      <c r="I626" s="1"/>
      <c r="J626" s="1"/>
      <c r="K626" s="1"/>
      <c r="L626" s="1"/>
      <c r="M626" s="1"/>
      <c r="N626" s="1"/>
      <c r="O626" s="1"/>
      <c r="P626" s="1"/>
      <c r="Q626" s="1"/>
      <c r="R626" s="1"/>
      <c r="S626" s="1"/>
      <c r="T626" s="1"/>
      <c r="U626" s="1"/>
      <c r="V626" s="1"/>
      <c r="W626" s="1"/>
      <c r="X626" s="1"/>
    </row>
    <row r="627" spans="3:24">
      <c r="C627" s="1"/>
      <c r="D627" s="1"/>
      <c r="E627" s="1"/>
      <c r="F627" s="1"/>
      <c r="G627" s="1"/>
      <c r="H627" s="1"/>
      <c r="I627" s="1"/>
      <c r="J627" s="1"/>
      <c r="K627" s="1"/>
      <c r="L627" s="1"/>
      <c r="M627" s="1"/>
      <c r="N627" s="1"/>
      <c r="O627" s="1"/>
      <c r="P627" s="1"/>
      <c r="Q627" s="1"/>
      <c r="R627" s="1"/>
      <c r="S627" s="1"/>
      <c r="T627" s="1"/>
      <c r="U627" s="1"/>
      <c r="V627" s="1"/>
      <c r="W627" s="1"/>
      <c r="X627" s="1"/>
    </row>
    <row r="628" spans="3:24">
      <c r="C628" s="1"/>
      <c r="D628" s="1"/>
      <c r="E628" s="1"/>
      <c r="F628" s="1"/>
      <c r="G628" s="1"/>
      <c r="H628" s="1"/>
      <c r="I628" s="1"/>
      <c r="J628" s="1"/>
      <c r="K628" s="1"/>
      <c r="L628" s="1"/>
      <c r="M628" s="1"/>
      <c r="N628" s="1"/>
      <c r="O628" s="1"/>
      <c r="P628" s="1"/>
      <c r="Q628" s="1"/>
      <c r="R628" s="1"/>
      <c r="S628" s="1"/>
      <c r="T628" s="1"/>
      <c r="U628" s="1"/>
      <c r="V628" s="1"/>
      <c r="W628" s="1"/>
      <c r="X628" s="1"/>
    </row>
    <row r="629" spans="3:24">
      <c r="C629" s="1"/>
      <c r="D629" s="1"/>
      <c r="E629" s="1"/>
      <c r="F629" s="1"/>
      <c r="G629" s="1"/>
      <c r="H629" s="1"/>
      <c r="I629" s="1"/>
      <c r="J629" s="1"/>
      <c r="K629" s="1"/>
      <c r="L629" s="1"/>
      <c r="M629" s="1"/>
      <c r="N629" s="1"/>
      <c r="O629" s="1"/>
      <c r="P629" s="1"/>
      <c r="Q629" s="1"/>
      <c r="R629" s="1"/>
      <c r="S629" s="1"/>
      <c r="T629" s="1"/>
      <c r="U629" s="1"/>
      <c r="V629" s="1"/>
      <c r="W629" s="1"/>
      <c r="X629" s="1"/>
    </row>
    <row r="630" spans="3:24">
      <c r="C630" s="1"/>
      <c r="D630" s="1"/>
      <c r="E630" s="1"/>
      <c r="F630" s="1"/>
      <c r="G630" s="1"/>
      <c r="H630" s="1"/>
      <c r="I630" s="1"/>
      <c r="J630" s="1"/>
      <c r="K630" s="1"/>
      <c r="L630" s="1"/>
      <c r="M630" s="1"/>
      <c r="N630" s="1"/>
      <c r="O630" s="1"/>
      <c r="P630" s="1"/>
      <c r="Q630" s="1"/>
      <c r="R630" s="1"/>
      <c r="S630" s="1"/>
      <c r="T630" s="1"/>
      <c r="U630" s="1"/>
      <c r="V630" s="1"/>
      <c r="W630" s="1"/>
      <c r="X630" s="1"/>
    </row>
    <row r="631" spans="3:24">
      <c r="C631" s="1"/>
      <c r="D631" s="1"/>
      <c r="E631" s="1"/>
      <c r="F631" s="1"/>
      <c r="G631" s="1"/>
      <c r="H631" s="1"/>
      <c r="I631" s="1"/>
      <c r="J631" s="1"/>
      <c r="K631" s="1"/>
      <c r="L631" s="1"/>
      <c r="M631" s="1"/>
      <c r="N631" s="1"/>
      <c r="O631" s="1"/>
      <c r="P631" s="1"/>
      <c r="Q631" s="1"/>
      <c r="R631" s="1"/>
      <c r="S631" s="1"/>
      <c r="T631" s="1"/>
      <c r="U631" s="1"/>
      <c r="V631" s="1"/>
      <c r="W631" s="1"/>
      <c r="X631" s="1"/>
    </row>
    <row r="632" spans="3:24">
      <c r="C632" s="1"/>
      <c r="D632" s="1"/>
      <c r="E632" s="1"/>
      <c r="F632" s="1"/>
      <c r="G632" s="1"/>
      <c r="H632" s="1"/>
      <c r="I632" s="1"/>
      <c r="J632" s="1"/>
      <c r="K632" s="1"/>
      <c r="L632" s="1"/>
      <c r="M632" s="1"/>
      <c r="N632" s="1"/>
      <c r="O632" s="1"/>
      <c r="P632" s="1"/>
      <c r="Q632" s="1"/>
      <c r="R632" s="1"/>
      <c r="S632" s="1"/>
      <c r="T632" s="1"/>
      <c r="U632" s="1"/>
      <c r="V632" s="1"/>
      <c r="W632" s="1"/>
      <c r="X632" s="1"/>
    </row>
    <row r="633" spans="3:24">
      <c r="C633" s="1"/>
      <c r="D633" s="1"/>
      <c r="E633" s="1"/>
      <c r="F633" s="1"/>
      <c r="G633" s="1"/>
      <c r="H633" s="1"/>
      <c r="I633" s="1"/>
      <c r="J633" s="1"/>
      <c r="K633" s="1"/>
      <c r="L633" s="1"/>
      <c r="M633" s="1"/>
      <c r="N633" s="1"/>
      <c r="O633" s="1"/>
      <c r="P633" s="1"/>
      <c r="Q633" s="1"/>
      <c r="R633" s="1"/>
      <c r="S633" s="1"/>
      <c r="T633" s="1"/>
      <c r="U633" s="1"/>
      <c r="V633" s="1"/>
      <c r="W633" s="1"/>
      <c r="X633" s="1"/>
    </row>
    <row r="634" spans="3:24">
      <c r="C634" s="1"/>
      <c r="D634" s="1"/>
      <c r="E634" s="1"/>
      <c r="F634" s="1"/>
      <c r="G634" s="1"/>
      <c r="H634" s="1"/>
      <c r="I634" s="1"/>
      <c r="J634" s="1"/>
      <c r="K634" s="1"/>
      <c r="L634" s="1"/>
      <c r="M634" s="1"/>
      <c r="N634" s="1"/>
      <c r="O634" s="1"/>
      <c r="P634" s="1"/>
      <c r="Q634" s="1"/>
      <c r="R634" s="1"/>
      <c r="S634" s="1"/>
      <c r="T634" s="1"/>
      <c r="U634" s="1"/>
      <c r="V634" s="1"/>
      <c r="W634" s="1"/>
      <c r="X634" s="1"/>
    </row>
    <row r="635" spans="3:24">
      <c r="C635" s="1"/>
      <c r="D635" s="1"/>
      <c r="E635" s="1"/>
      <c r="F635" s="1"/>
      <c r="G635" s="1"/>
      <c r="H635" s="1"/>
      <c r="I635" s="1"/>
      <c r="J635" s="1"/>
      <c r="K635" s="1"/>
      <c r="L635" s="1"/>
      <c r="M635" s="1"/>
      <c r="N635" s="1"/>
      <c r="O635" s="1"/>
      <c r="P635" s="1"/>
      <c r="Q635" s="1"/>
      <c r="R635" s="1"/>
      <c r="S635" s="1"/>
      <c r="T635" s="1"/>
      <c r="U635" s="1"/>
      <c r="V635" s="1"/>
      <c r="W635" s="1"/>
      <c r="X635" s="1"/>
    </row>
    <row r="636" spans="3:24">
      <c r="C636" s="1"/>
      <c r="D636" s="1"/>
      <c r="E636" s="1"/>
      <c r="F636" s="1"/>
      <c r="G636" s="1"/>
      <c r="H636" s="1"/>
      <c r="I636" s="1"/>
      <c r="J636" s="1"/>
      <c r="K636" s="1"/>
      <c r="L636" s="1"/>
      <c r="M636" s="1"/>
      <c r="N636" s="1"/>
      <c r="O636" s="1"/>
      <c r="P636" s="1"/>
      <c r="Q636" s="1"/>
      <c r="R636" s="1"/>
      <c r="S636" s="1"/>
      <c r="T636" s="1"/>
      <c r="U636" s="1"/>
      <c r="V636" s="1"/>
      <c r="W636" s="1"/>
      <c r="X636" s="1"/>
    </row>
    <row r="637" spans="3:24">
      <c r="C637" s="1"/>
      <c r="D637" s="1"/>
      <c r="E637" s="1"/>
      <c r="F637" s="1"/>
      <c r="G637" s="1"/>
      <c r="H637" s="1"/>
      <c r="I637" s="1"/>
      <c r="J637" s="1"/>
      <c r="K637" s="1"/>
      <c r="L637" s="1"/>
      <c r="M637" s="1"/>
      <c r="N637" s="1"/>
      <c r="O637" s="1"/>
      <c r="P637" s="1"/>
      <c r="Q637" s="1"/>
      <c r="R637" s="1"/>
      <c r="S637" s="1"/>
      <c r="T637" s="1"/>
      <c r="U637" s="1"/>
      <c r="V637" s="1"/>
      <c r="W637" s="1"/>
      <c r="X637" s="1"/>
    </row>
    <row r="638" spans="3:24">
      <c r="C638" s="1"/>
      <c r="D638" s="1"/>
      <c r="E638" s="1"/>
      <c r="F638" s="1"/>
      <c r="G638" s="1"/>
      <c r="H638" s="1"/>
      <c r="I638" s="1"/>
      <c r="J638" s="1"/>
      <c r="K638" s="1"/>
      <c r="L638" s="1"/>
      <c r="M638" s="1"/>
      <c r="N638" s="1"/>
      <c r="O638" s="1"/>
      <c r="P638" s="1"/>
      <c r="Q638" s="1"/>
      <c r="R638" s="1"/>
      <c r="S638" s="1"/>
      <c r="T638" s="1"/>
      <c r="U638" s="1"/>
      <c r="V638" s="1"/>
      <c r="W638" s="1"/>
      <c r="X638" s="1"/>
    </row>
    <row r="639" spans="3:24">
      <c r="C639" s="1"/>
      <c r="D639" s="1"/>
      <c r="E639" s="1"/>
      <c r="F639" s="1"/>
      <c r="G639" s="1"/>
      <c r="H639" s="1"/>
      <c r="I639" s="1"/>
      <c r="J639" s="1"/>
      <c r="K639" s="1"/>
      <c r="L639" s="1"/>
      <c r="M639" s="1"/>
      <c r="N639" s="1"/>
      <c r="O639" s="1"/>
      <c r="P639" s="1"/>
      <c r="Q639" s="1"/>
      <c r="R639" s="1"/>
      <c r="S639" s="1"/>
      <c r="T639" s="1"/>
      <c r="U639" s="1"/>
      <c r="V639" s="1"/>
      <c r="W639" s="1"/>
      <c r="X639" s="1"/>
    </row>
    <row r="640" spans="3:24">
      <c r="C640" s="1"/>
      <c r="D640" s="1"/>
      <c r="E640" s="1"/>
      <c r="F640" s="1"/>
      <c r="G640" s="1"/>
      <c r="H640" s="1"/>
      <c r="I640" s="1"/>
      <c r="J640" s="1"/>
      <c r="K640" s="1"/>
      <c r="L640" s="1"/>
      <c r="M640" s="1"/>
      <c r="N640" s="1"/>
      <c r="O640" s="1"/>
      <c r="P640" s="1"/>
      <c r="Q640" s="1"/>
      <c r="R640" s="1"/>
      <c r="S640" s="1"/>
      <c r="T640" s="1"/>
      <c r="U640" s="1"/>
      <c r="V640" s="1"/>
      <c r="W640" s="1"/>
      <c r="X640" s="1"/>
    </row>
    <row r="641" spans="3:24">
      <c r="C641" s="1"/>
      <c r="D641" s="1"/>
      <c r="E641" s="1"/>
      <c r="F641" s="1"/>
      <c r="G641" s="1"/>
      <c r="H641" s="1"/>
      <c r="I641" s="1"/>
      <c r="J641" s="1"/>
      <c r="K641" s="1"/>
      <c r="L641" s="1"/>
      <c r="M641" s="1"/>
      <c r="N641" s="1"/>
      <c r="O641" s="1"/>
      <c r="P641" s="1"/>
      <c r="Q641" s="1"/>
      <c r="R641" s="1"/>
      <c r="S641" s="1"/>
      <c r="T641" s="1"/>
      <c r="U641" s="1"/>
      <c r="V641" s="1"/>
      <c r="W641" s="1"/>
      <c r="X641" s="1"/>
    </row>
    <row r="642" spans="3:24">
      <c r="C642" s="1"/>
      <c r="D642" s="1"/>
      <c r="E642" s="1"/>
      <c r="F642" s="1"/>
      <c r="G642" s="1"/>
      <c r="H642" s="1"/>
      <c r="I642" s="1"/>
      <c r="J642" s="1"/>
      <c r="K642" s="1"/>
      <c r="L642" s="1"/>
      <c r="M642" s="1"/>
      <c r="N642" s="1"/>
      <c r="O642" s="1"/>
      <c r="P642" s="1"/>
      <c r="Q642" s="1"/>
      <c r="R642" s="1"/>
      <c r="S642" s="1"/>
      <c r="T642" s="1"/>
      <c r="U642" s="1"/>
      <c r="V642" s="1"/>
      <c r="W642" s="1"/>
      <c r="X642" s="1"/>
    </row>
    <row r="643" spans="3:24">
      <c r="C643" s="1"/>
      <c r="D643" s="1"/>
      <c r="E643" s="1"/>
      <c r="F643" s="1"/>
      <c r="G643" s="1"/>
      <c r="H643" s="1"/>
      <c r="I643" s="1"/>
      <c r="J643" s="1"/>
      <c r="K643" s="1"/>
      <c r="L643" s="1"/>
      <c r="M643" s="1"/>
      <c r="N643" s="1"/>
      <c r="O643" s="1"/>
      <c r="P643" s="1"/>
      <c r="Q643" s="1"/>
      <c r="R643" s="1"/>
      <c r="S643" s="1"/>
      <c r="T643" s="1"/>
      <c r="U643" s="1"/>
      <c r="V643" s="1"/>
      <c r="W643" s="1"/>
      <c r="X643" s="1"/>
    </row>
    <row r="644" spans="3:24">
      <c r="C644" s="1"/>
      <c r="D644" s="1"/>
      <c r="E644" s="1"/>
      <c r="F644" s="1"/>
      <c r="G644" s="1"/>
      <c r="H644" s="1"/>
      <c r="I644" s="1"/>
      <c r="J644" s="1"/>
      <c r="K644" s="1"/>
      <c r="L644" s="1"/>
      <c r="M644" s="1"/>
      <c r="N644" s="1"/>
      <c r="O644" s="1"/>
      <c r="P644" s="1"/>
      <c r="Q644" s="1"/>
      <c r="R644" s="1"/>
      <c r="S644" s="1"/>
      <c r="T644" s="1"/>
      <c r="U644" s="1"/>
      <c r="V644" s="1"/>
      <c r="W644" s="1"/>
      <c r="X644" s="1"/>
    </row>
    <row r="645" spans="3:24">
      <c r="C645" s="1"/>
      <c r="D645" s="1"/>
      <c r="E645" s="1"/>
      <c r="F645" s="1"/>
      <c r="G645" s="1"/>
      <c r="H645" s="1"/>
      <c r="I645" s="1"/>
      <c r="J645" s="1"/>
      <c r="K645" s="1"/>
      <c r="L645" s="1"/>
      <c r="M645" s="1"/>
      <c r="N645" s="1"/>
      <c r="O645" s="1"/>
      <c r="P645" s="1"/>
      <c r="Q645" s="1"/>
      <c r="R645" s="1"/>
      <c r="S645" s="1"/>
      <c r="T645" s="1"/>
      <c r="U645" s="1"/>
      <c r="V645" s="1"/>
      <c r="W645" s="1"/>
      <c r="X645" s="1"/>
    </row>
    <row r="646" spans="3:24">
      <c r="C646" s="1"/>
      <c r="D646" s="1"/>
      <c r="E646" s="1"/>
      <c r="F646" s="1"/>
      <c r="G646" s="1"/>
      <c r="H646" s="1"/>
      <c r="I646" s="1"/>
      <c r="J646" s="1"/>
      <c r="K646" s="1"/>
      <c r="L646" s="1"/>
      <c r="M646" s="1"/>
      <c r="N646" s="1"/>
      <c r="O646" s="1"/>
      <c r="P646" s="1"/>
      <c r="Q646" s="1"/>
      <c r="R646" s="1"/>
      <c r="S646" s="1"/>
      <c r="T646" s="1"/>
      <c r="U646" s="1"/>
      <c r="V646" s="1"/>
      <c r="W646" s="1"/>
      <c r="X646" s="1"/>
    </row>
    <row r="647" spans="3:24">
      <c r="C647" s="1"/>
      <c r="D647" s="1"/>
      <c r="E647" s="1"/>
      <c r="F647" s="1"/>
      <c r="G647" s="1"/>
      <c r="H647" s="1"/>
      <c r="I647" s="1"/>
      <c r="J647" s="1"/>
      <c r="K647" s="1"/>
      <c r="L647" s="1"/>
      <c r="M647" s="1"/>
      <c r="N647" s="1"/>
      <c r="O647" s="1"/>
      <c r="P647" s="1"/>
      <c r="Q647" s="1"/>
      <c r="R647" s="1"/>
      <c r="S647" s="1"/>
      <c r="T647" s="1"/>
      <c r="U647" s="1"/>
      <c r="V647" s="1"/>
      <c r="W647" s="1"/>
      <c r="X647" s="1"/>
    </row>
    <row r="648" spans="3:24">
      <c r="C648" s="1"/>
      <c r="D648" s="1"/>
      <c r="E648" s="1"/>
      <c r="F648" s="1"/>
      <c r="G648" s="1"/>
      <c r="H648" s="1"/>
      <c r="I648" s="1"/>
      <c r="J648" s="1"/>
      <c r="K648" s="1"/>
      <c r="L648" s="1"/>
      <c r="M648" s="1"/>
      <c r="N648" s="1"/>
      <c r="O648" s="1"/>
      <c r="P648" s="1"/>
      <c r="Q648" s="1"/>
      <c r="R648" s="1"/>
      <c r="S648" s="1"/>
      <c r="T648" s="1"/>
      <c r="U648" s="1"/>
      <c r="V648" s="1"/>
      <c r="W648" s="1"/>
      <c r="X648" s="1"/>
    </row>
    <row r="649" spans="3:24">
      <c r="C649" s="1"/>
      <c r="D649" s="1"/>
      <c r="E649" s="1"/>
      <c r="F649" s="1"/>
      <c r="G649" s="1"/>
      <c r="H649" s="1"/>
      <c r="I649" s="1"/>
      <c r="J649" s="1"/>
      <c r="K649" s="1"/>
      <c r="L649" s="1"/>
      <c r="M649" s="1"/>
      <c r="N649" s="1"/>
      <c r="O649" s="1"/>
      <c r="P649" s="1"/>
      <c r="Q649" s="1"/>
      <c r="R649" s="1"/>
      <c r="S649" s="1"/>
      <c r="T649" s="1"/>
      <c r="U649" s="1"/>
      <c r="V649" s="1"/>
      <c r="W649" s="1"/>
      <c r="X649" s="1"/>
    </row>
    <row r="650" spans="3:24">
      <c r="C650" s="1"/>
      <c r="D650" s="1"/>
      <c r="E650" s="1"/>
      <c r="F650" s="1"/>
      <c r="G650" s="1"/>
      <c r="H650" s="1"/>
      <c r="I650" s="1"/>
      <c r="J650" s="1"/>
      <c r="K650" s="1"/>
      <c r="L650" s="1"/>
      <c r="M650" s="1"/>
      <c r="N650" s="1"/>
      <c r="O650" s="1"/>
      <c r="P650" s="1"/>
      <c r="Q650" s="1"/>
      <c r="R650" s="1"/>
      <c r="S650" s="1"/>
      <c r="T650" s="1"/>
      <c r="U650" s="1"/>
      <c r="V650" s="1"/>
      <c r="W650" s="1"/>
      <c r="X650" s="1"/>
    </row>
    <row r="651" spans="3:24">
      <c r="C651" s="1"/>
      <c r="D651" s="1"/>
      <c r="E651" s="1"/>
      <c r="F651" s="1"/>
      <c r="G651" s="1"/>
      <c r="H651" s="1"/>
      <c r="I651" s="1"/>
      <c r="J651" s="1"/>
      <c r="K651" s="1"/>
      <c r="L651" s="1"/>
      <c r="M651" s="1"/>
      <c r="N651" s="1"/>
      <c r="O651" s="1"/>
      <c r="P651" s="1"/>
      <c r="Q651" s="1"/>
      <c r="R651" s="1"/>
      <c r="S651" s="1"/>
      <c r="T651" s="1"/>
      <c r="U651" s="1"/>
      <c r="V651" s="1"/>
      <c r="W651" s="1"/>
      <c r="X651" s="1"/>
    </row>
    <row r="652" spans="3:24">
      <c r="C652" s="1"/>
      <c r="D652" s="1"/>
      <c r="E652" s="1"/>
      <c r="F652" s="1"/>
      <c r="G652" s="1"/>
      <c r="H652" s="1"/>
      <c r="I652" s="1"/>
      <c r="J652" s="1"/>
      <c r="K652" s="1"/>
      <c r="L652" s="1"/>
      <c r="M652" s="1"/>
      <c r="N652" s="1"/>
      <c r="O652" s="1"/>
      <c r="P652" s="1"/>
      <c r="Q652" s="1"/>
      <c r="R652" s="1"/>
      <c r="S652" s="1"/>
      <c r="T652" s="1"/>
      <c r="U652" s="1"/>
      <c r="V652" s="1"/>
      <c r="W652" s="1"/>
      <c r="X652" s="1"/>
    </row>
    <row r="653" spans="3:24">
      <c r="C653" s="1"/>
      <c r="D653" s="1"/>
      <c r="E653" s="1"/>
      <c r="F653" s="1"/>
      <c r="G653" s="1"/>
      <c r="H653" s="1"/>
      <c r="I653" s="1"/>
      <c r="J653" s="1"/>
      <c r="K653" s="1"/>
      <c r="L653" s="1"/>
      <c r="M653" s="1"/>
      <c r="N653" s="1"/>
      <c r="O653" s="1"/>
      <c r="P653" s="1"/>
      <c r="Q653" s="1"/>
      <c r="R653" s="1"/>
      <c r="S653" s="1"/>
      <c r="T653" s="1"/>
      <c r="U653" s="1"/>
      <c r="V653" s="1"/>
      <c r="W653" s="1"/>
      <c r="X653" s="1"/>
    </row>
    <row r="654" spans="3:24">
      <c r="C654" s="1"/>
      <c r="D654" s="1"/>
      <c r="E654" s="1"/>
      <c r="F654" s="1"/>
      <c r="G654" s="1"/>
      <c r="H654" s="1"/>
      <c r="I654" s="1"/>
      <c r="J654" s="1"/>
      <c r="K654" s="1"/>
      <c r="L654" s="1"/>
      <c r="M654" s="1"/>
      <c r="N654" s="1"/>
      <c r="O654" s="1"/>
      <c r="P654" s="1"/>
      <c r="Q654" s="1"/>
      <c r="R654" s="1"/>
      <c r="S654" s="1"/>
      <c r="T654" s="1"/>
      <c r="U654" s="1"/>
      <c r="V654" s="1"/>
      <c r="W654" s="1"/>
      <c r="X654" s="1"/>
    </row>
    <row r="655" spans="3:24">
      <c r="C655" s="1"/>
      <c r="D655" s="1"/>
      <c r="E655" s="1"/>
      <c r="F655" s="1"/>
      <c r="G655" s="1"/>
      <c r="H655" s="1"/>
      <c r="I655" s="1"/>
      <c r="J655" s="1"/>
      <c r="K655" s="1"/>
      <c r="L655" s="1"/>
      <c r="M655" s="1"/>
      <c r="N655" s="1"/>
      <c r="O655" s="1"/>
      <c r="P655" s="1"/>
      <c r="Q655" s="1"/>
      <c r="R655" s="1"/>
      <c r="S655" s="1"/>
      <c r="T655" s="1"/>
      <c r="U655" s="1"/>
      <c r="V655" s="1"/>
      <c r="W655" s="1"/>
      <c r="X655" s="1"/>
    </row>
    <row r="656" spans="3:24">
      <c r="C656" s="1"/>
      <c r="D656" s="1"/>
      <c r="E656" s="1"/>
      <c r="F656" s="1"/>
      <c r="G656" s="1"/>
      <c r="H656" s="1"/>
      <c r="I656" s="1"/>
      <c r="J656" s="1"/>
      <c r="K656" s="1"/>
      <c r="L656" s="1"/>
      <c r="M656" s="1"/>
      <c r="N656" s="1"/>
      <c r="O656" s="1"/>
      <c r="P656" s="1"/>
      <c r="Q656" s="1"/>
      <c r="R656" s="1"/>
      <c r="S656" s="1"/>
      <c r="T656" s="1"/>
      <c r="U656" s="1"/>
      <c r="V656" s="1"/>
      <c r="W656" s="1"/>
      <c r="X656" s="1"/>
    </row>
    <row r="657" spans="3:24">
      <c r="C657" s="1"/>
      <c r="D657" s="1"/>
      <c r="E657" s="1"/>
      <c r="F657" s="1"/>
      <c r="G657" s="1"/>
      <c r="H657" s="1"/>
      <c r="I657" s="1"/>
      <c r="J657" s="1"/>
      <c r="K657" s="1"/>
      <c r="L657" s="1"/>
      <c r="M657" s="1"/>
      <c r="N657" s="1"/>
      <c r="O657" s="1"/>
      <c r="P657" s="1"/>
      <c r="Q657" s="1"/>
      <c r="R657" s="1"/>
      <c r="S657" s="1"/>
      <c r="T657" s="1"/>
      <c r="U657" s="1"/>
      <c r="V657" s="1"/>
      <c r="W657" s="1"/>
      <c r="X657" s="1"/>
    </row>
    <row r="658" spans="3:24">
      <c r="C658" s="1"/>
      <c r="D658" s="1"/>
      <c r="E658" s="1"/>
      <c r="F658" s="1"/>
      <c r="G658" s="1"/>
      <c r="H658" s="1"/>
      <c r="I658" s="1"/>
      <c r="J658" s="1"/>
      <c r="K658" s="1"/>
      <c r="L658" s="1"/>
      <c r="M658" s="1"/>
      <c r="N658" s="1"/>
      <c r="O658" s="1"/>
      <c r="P658" s="1"/>
      <c r="Q658" s="1"/>
      <c r="R658" s="1"/>
      <c r="S658" s="1"/>
      <c r="T658" s="1"/>
      <c r="U658" s="1"/>
      <c r="V658" s="1"/>
      <c r="W658" s="1"/>
      <c r="X658" s="1"/>
    </row>
    <row r="659" spans="3:24">
      <c r="C659" s="1"/>
      <c r="D659" s="1"/>
      <c r="E659" s="1"/>
      <c r="F659" s="1"/>
      <c r="G659" s="1"/>
      <c r="H659" s="1"/>
      <c r="I659" s="1"/>
      <c r="J659" s="1"/>
      <c r="K659" s="1"/>
      <c r="L659" s="1"/>
      <c r="M659" s="1"/>
      <c r="N659" s="1"/>
      <c r="O659" s="1"/>
      <c r="P659" s="1"/>
      <c r="Q659" s="1"/>
      <c r="R659" s="1"/>
      <c r="S659" s="1"/>
      <c r="T659" s="1"/>
      <c r="U659" s="1"/>
      <c r="V659" s="1"/>
      <c r="W659" s="1"/>
      <c r="X659" s="1"/>
    </row>
  </sheetData>
  <sheetProtection password="DC20" sheet="1" selectLockedCells="1"/>
  <mergeCells count="588">
    <mergeCell ref="U290:V292"/>
    <mergeCell ref="B462:B494"/>
    <mergeCell ref="I255:J255"/>
    <mergeCell ref="J579:L579"/>
    <mergeCell ref="J571:L571"/>
    <mergeCell ref="H464:X469"/>
    <mergeCell ref="I463:J463"/>
    <mergeCell ref="J541:L541"/>
    <mergeCell ref="J543:L547"/>
    <mergeCell ref="D535:I536"/>
    <mergeCell ref="J563:L565"/>
    <mergeCell ref="D575:W575"/>
    <mergeCell ref="U577:V577"/>
    <mergeCell ref="U579:V579"/>
    <mergeCell ref="U489:V489"/>
    <mergeCell ref="J489:L489"/>
    <mergeCell ref="J491:L491"/>
    <mergeCell ref="U491:V491"/>
    <mergeCell ref="D473:W473"/>
    <mergeCell ref="U475:V475"/>
    <mergeCell ref="J477:L477"/>
    <mergeCell ref="J479:L479"/>
    <mergeCell ref="D497:W497"/>
    <mergeCell ref="U499:V499"/>
    <mergeCell ref="U581:V581"/>
    <mergeCell ref="J583:L583"/>
    <mergeCell ref="U583:V583"/>
    <mergeCell ref="J585:L585"/>
    <mergeCell ref="U585:V585"/>
    <mergeCell ref="J587:L587"/>
    <mergeCell ref="U587:V587"/>
    <mergeCell ref="J521:L521"/>
    <mergeCell ref="U521:V521"/>
    <mergeCell ref="J523:L523"/>
    <mergeCell ref="U523:V523"/>
    <mergeCell ref="J577:L577"/>
    <mergeCell ref="D559:W559"/>
    <mergeCell ref="J561:L561"/>
    <mergeCell ref="U561:V561"/>
    <mergeCell ref="U565:V565"/>
    <mergeCell ref="J567:L567"/>
    <mergeCell ref="U567:V567"/>
    <mergeCell ref="J569:L569"/>
    <mergeCell ref="U569:V569"/>
    <mergeCell ref="U533:V533"/>
    <mergeCell ref="D561:I561"/>
    <mergeCell ref="D563:I563"/>
    <mergeCell ref="U535:V535"/>
    <mergeCell ref="U503:V503"/>
    <mergeCell ref="J505:L505"/>
    <mergeCell ref="U505:V505"/>
    <mergeCell ref="J507:L507"/>
    <mergeCell ref="D511:W511"/>
    <mergeCell ref="U513:V513"/>
    <mergeCell ref="U515:V515"/>
    <mergeCell ref="J517:L517"/>
    <mergeCell ref="U517:V517"/>
    <mergeCell ref="D517:I517"/>
    <mergeCell ref="O513:T513"/>
    <mergeCell ref="O515:T515"/>
    <mergeCell ref="O517:T517"/>
    <mergeCell ref="D505:I505"/>
    <mergeCell ref="D507:I507"/>
    <mergeCell ref="O505:T505"/>
    <mergeCell ref="J503:L503"/>
    <mergeCell ref="D503:I503"/>
    <mergeCell ref="U519:V519"/>
    <mergeCell ref="O534:T535"/>
    <mergeCell ref="J535:L535"/>
    <mergeCell ref="D527:W527"/>
    <mergeCell ref="J529:L529"/>
    <mergeCell ref="U529:V529"/>
    <mergeCell ref="J531:L531"/>
    <mergeCell ref="U531:V531"/>
    <mergeCell ref="D533:I534"/>
    <mergeCell ref="J533:L533"/>
    <mergeCell ref="O519:T519"/>
    <mergeCell ref="O521:T521"/>
    <mergeCell ref="O523:T523"/>
    <mergeCell ref="J519:L519"/>
    <mergeCell ref="D523:I523"/>
    <mergeCell ref="D519:I519"/>
    <mergeCell ref="D521:I521"/>
    <mergeCell ref="O533:T533"/>
    <mergeCell ref="U553:V553"/>
    <mergeCell ref="J537:L537"/>
    <mergeCell ref="U555:V555"/>
    <mergeCell ref="U551:V551"/>
    <mergeCell ref="J551:L551"/>
    <mergeCell ref="U547:V547"/>
    <mergeCell ref="J539:L539"/>
    <mergeCell ref="U539:V539"/>
    <mergeCell ref="U541:V541"/>
    <mergeCell ref="U543:V543"/>
    <mergeCell ref="J553:L553"/>
    <mergeCell ref="O539:T539"/>
    <mergeCell ref="O541:T541"/>
    <mergeCell ref="O543:T543"/>
    <mergeCell ref="O547:T547"/>
    <mergeCell ref="O551:T551"/>
    <mergeCell ref="O553:T553"/>
    <mergeCell ref="B255:B286"/>
    <mergeCell ref="B121:B142"/>
    <mergeCell ref="B20:B45"/>
    <mergeCell ref="B88:B110"/>
    <mergeCell ref="A18:X18"/>
    <mergeCell ref="D286:I287"/>
    <mergeCell ref="J286:L288"/>
    <mergeCell ref="U286:V288"/>
    <mergeCell ref="J268:L268"/>
    <mergeCell ref="J270:L270"/>
    <mergeCell ref="D274:W274"/>
    <mergeCell ref="D276:I277"/>
    <mergeCell ref="J276:L276"/>
    <mergeCell ref="U276:V278"/>
    <mergeCell ref="D244:W244"/>
    <mergeCell ref="J246:L246"/>
    <mergeCell ref="J248:L248"/>
    <mergeCell ref="U248:V248"/>
    <mergeCell ref="D264:W264"/>
    <mergeCell ref="J266:L266"/>
    <mergeCell ref="U266:V266"/>
    <mergeCell ref="U240:V240"/>
    <mergeCell ref="U220:V220"/>
    <mergeCell ref="J222:L222"/>
    <mergeCell ref="U417:V417"/>
    <mergeCell ref="J401:L401"/>
    <mergeCell ref="U401:V401"/>
    <mergeCell ref="J403:L403"/>
    <mergeCell ref="U403:V403"/>
    <mergeCell ref="J405:L405"/>
    <mergeCell ref="U405:V405"/>
    <mergeCell ref="U413:V413"/>
    <mergeCell ref="U407:V407"/>
    <mergeCell ref="D411:W411"/>
    <mergeCell ref="D415:I415"/>
    <mergeCell ref="D417:I417"/>
    <mergeCell ref="J381:L381"/>
    <mergeCell ref="J383:L383"/>
    <mergeCell ref="D387:W387"/>
    <mergeCell ref="J391:L391"/>
    <mergeCell ref="J367:L367"/>
    <mergeCell ref="U367:V367"/>
    <mergeCell ref="J369:L369"/>
    <mergeCell ref="U369:V369"/>
    <mergeCell ref="J375:L375"/>
    <mergeCell ref="U375:V375"/>
    <mergeCell ref="U371:V371"/>
    <mergeCell ref="U373:V373"/>
    <mergeCell ref="U389:V389"/>
    <mergeCell ref="J373:L373"/>
    <mergeCell ref="D367:I368"/>
    <mergeCell ref="C371:I372"/>
    <mergeCell ref="C373:I374"/>
    <mergeCell ref="J371:L371"/>
    <mergeCell ref="O389:T389"/>
    <mergeCell ref="O367:T367"/>
    <mergeCell ref="D381:I381"/>
    <mergeCell ref="D383:I383"/>
    <mergeCell ref="O369:T369"/>
    <mergeCell ref="O371:T372"/>
    <mergeCell ref="U393:V393"/>
    <mergeCell ref="J395:L395"/>
    <mergeCell ref="J459:L459"/>
    <mergeCell ref="U459:V459"/>
    <mergeCell ref="J447:L447"/>
    <mergeCell ref="U447:V447"/>
    <mergeCell ref="J449:L449"/>
    <mergeCell ref="U449:V449"/>
    <mergeCell ref="J451:L451"/>
    <mergeCell ref="D455:W455"/>
    <mergeCell ref="J419:L419"/>
    <mergeCell ref="U419:V419"/>
    <mergeCell ref="J421:L421"/>
    <mergeCell ref="D441:W441"/>
    <mergeCell ref="J443:L443"/>
    <mergeCell ref="U443:V443"/>
    <mergeCell ref="U395:V395"/>
    <mergeCell ref="U397:V397"/>
    <mergeCell ref="J399:L399"/>
    <mergeCell ref="U399:V399"/>
    <mergeCell ref="J457:L457"/>
    <mergeCell ref="J407:L407"/>
    <mergeCell ref="D443:I443"/>
    <mergeCell ref="D445:I445"/>
    <mergeCell ref="O373:T374"/>
    <mergeCell ref="O375:T375"/>
    <mergeCell ref="O379:T379"/>
    <mergeCell ref="U361:V361"/>
    <mergeCell ref="J363:L363"/>
    <mergeCell ref="U363:V363"/>
    <mergeCell ref="J365:L365"/>
    <mergeCell ref="U365:V365"/>
    <mergeCell ref="O361:T361"/>
    <mergeCell ref="O363:T363"/>
    <mergeCell ref="O365:T365"/>
    <mergeCell ref="U379:V379"/>
    <mergeCell ref="U353:V353"/>
    <mergeCell ref="J355:L355"/>
    <mergeCell ref="U355:V355"/>
    <mergeCell ref="J357:L357"/>
    <mergeCell ref="U357:V357"/>
    <mergeCell ref="J359:L359"/>
    <mergeCell ref="U359:V359"/>
    <mergeCell ref="O353:T353"/>
    <mergeCell ref="O355:T355"/>
    <mergeCell ref="O357:T357"/>
    <mergeCell ref="O359:T359"/>
    <mergeCell ref="U343:V343"/>
    <mergeCell ref="D347:W347"/>
    <mergeCell ref="J349:L349"/>
    <mergeCell ref="U349:V349"/>
    <mergeCell ref="J351:L351"/>
    <mergeCell ref="U351:V351"/>
    <mergeCell ref="J333:L333"/>
    <mergeCell ref="U333:V333"/>
    <mergeCell ref="J335:L335"/>
    <mergeCell ref="U335:V335"/>
    <mergeCell ref="D339:W339"/>
    <mergeCell ref="J341:L341"/>
    <mergeCell ref="U341:V341"/>
    <mergeCell ref="D343:I344"/>
    <mergeCell ref="D349:I349"/>
    <mergeCell ref="D351:I351"/>
    <mergeCell ref="O349:T349"/>
    <mergeCell ref="O351:T351"/>
    <mergeCell ref="D341:I341"/>
    <mergeCell ref="O333:T333"/>
    <mergeCell ref="O335:T335"/>
    <mergeCell ref="U322:V322"/>
    <mergeCell ref="J324:L324"/>
    <mergeCell ref="D329:W329"/>
    <mergeCell ref="J331:L331"/>
    <mergeCell ref="U331:V331"/>
    <mergeCell ref="J312:L312"/>
    <mergeCell ref="U312:V312"/>
    <mergeCell ref="J314:L314"/>
    <mergeCell ref="J316:L316"/>
    <mergeCell ref="J318:L318"/>
    <mergeCell ref="J320:L320"/>
    <mergeCell ref="U320:V320"/>
    <mergeCell ref="D316:I317"/>
    <mergeCell ref="D322:I322"/>
    <mergeCell ref="D324:I324"/>
    <mergeCell ref="O331:T331"/>
    <mergeCell ref="D270:I271"/>
    <mergeCell ref="H256:X261"/>
    <mergeCell ref="J304:L304"/>
    <mergeCell ref="J306:L306"/>
    <mergeCell ref="J308:L308"/>
    <mergeCell ref="U308:V308"/>
    <mergeCell ref="J310:L310"/>
    <mergeCell ref="U310:V310"/>
    <mergeCell ref="D294:I296"/>
    <mergeCell ref="J294:L296"/>
    <mergeCell ref="O294:T296"/>
    <mergeCell ref="U294:V296"/>
    <mergeCell ref="D300:W300"/>
    <mergeCell ref="J302:L302"/>
    <mergeCell ref="U302:V302"/>
    <mergeCell ref="D290:I291"/>
    <mergeCell ref="J290:L292"/>
    <mergeCell ref="J280:L280"/>
    <mergeCell ref="U280:V280"/>
    <mergeCell ref="D282:I284"/>
    <mergeCell ref="J282:L284"/>
    <mergeCell ref="O282:T284"/>
    <mergeCell ref="U282:V284"/>
    <mergeCell ref="O302:T302"/>
    <mergeCell ref="U156:V156"/>
    <mergeCell ref="J158:L158"/>
    <mergeCell ref="U158:V158"/>
    <mergeCell ref="D178:W178"/>
    <mergeCell ref="J180:L180"/>
    <mergeCell ref="J150:L150"/>
    <mergeCell ref="U150:V150"/>
    <mergeCell ref="J152:L152"/>
    <mergeCell ref="U152:V152"/>
    <mergeCell ref="J154:L154"/>
    <mergeCell ref="U154:V154"/>
    <mergeCell ref="D162:W162"/>
    <mergeCell ref="U164:V164"/>
    <mergeCell ref="U166:V166"/>
    <mergeCell ref="J168:L168"/>
    <mergeCell ref="U168:V168"/>
    <mergeCell ref="J170:L170"/>
    <mergeCell ref="U170:V170"/>
    <mergeCell ref="J172:L172"/>
    <mergeCell ref="U172:V172"/>
    <mergeCell ref="J174:L174"/>
    <mergeCell ref="U174:V174"/>
    <mergeCell ref="D180:I180"/>
    <mergeCell ref="D168:I168"/>
    <mergeCell ref="U146:V146"/>
    <mergeCell ref="J148:L148"/>
    <mergeCell ref="U148:V148"/>
    <mergeCell ref="D130:W130"/>
    <mergeCell ref="J132:L132"/>
    <mergeCell ref="U132:V132"/>
    <mergeCell ref="J134:L134"/>
    <mergeCell ref="D138:W138"/>
    <mergeCell ref="U140:V140"/>
    <mergeCell ref="D142:I142"/>
    <mergeCell ref="D144:I144"/>
    <mergeCell ref="D146:I146"/>
    <mergeCell ref="D148:I148"/>
    <mergeCell ref="D132:I132"/>
    <mergeCell ref="D134:I134"/>
    <mergeCell ref="O90:P90"/>
    <mergeCell ref="O92:P92"/>
    <mergeCell ref="O94:P94"/>
    <mergeCell ref="O100:P100"/>
    <mergeCell ref="O102:P102"/>
    <mergeCell ref="J142:L142"/>
    <mergeCell ref="J144:L144"/>
    <mergeCell ref="U144:V144"/>
    <mergeCell ref="O132:T132"/>
    <mergeCell ref="AA19:AA66"/>
    <mergeCell ref="M22:P22"/>
    <mergeCell ref="M24:P24"/>
    <mergeCell ref="M26:P26"/>
    <mergeCell ref="M28:P28"/>
    <mergeCell ref="M30:P30"/>
    <mergeCell ref="S49:V64"/>
    <mergeCell ref="M36:P36"/>
    <mergeCell ref="M38:P38"/>
    <mergeCell ref="M40:P40"/>
    <mergeCell ref="M42:P42"/>
    <mergeCell ref="U194:V194"/>
    <mergeCell ref="J196:L196"/>
    <mergeCell ref="M32:P32"/>
    <mergeCell ref="R40:V42"/>
    <mergeCell ref="M46:P46"/>
    <mergeCell ref="M48:P48"/>
    <mergeCell ref="M50:P50"/>
    <mergeCell ref="M52:P52"/>
    <mergeCell ref="S67:V82"/>
    <mergeCell ref="L70:M70"/>
    <mergeCell ref="L72:M72"/>
    <mergeCell ref="L74:M74"/>
    <mergeCell ref="L76:M76"/>
    <mergeCell ref="L78:M78"/>
    <mergeCell ref="L80:M80"/>
    <mergeCell ref="L82:M82"/>
    <mergeCell ref="I116:M118"/>
    <mergeCell ref="S116:V118"/>
    <mergeCell ref="I119:L119"/>
    <mergeCell ref="S119:V119"/>
    <mergeCell ref="K121:T121"/>
    <mergeCell ref="H122:X127"/>
    <mergeCell ref="L84:M84"/>
    <mergeCell ref="S85:V98"/>
    <mergeCell ref="J224:L224"/>
    <mergeCell ref="J226:L226"/>
    <mergeCell ref="J228:L228"/>
    <mergeCell ref="J230:L230"/>
    <mergeCell ref="J212:L212"/>
    <mergeCell ref="D218:W218"/>
    <mergeCell ref="C182:I183"/>
    <mergeCell ref="J188:L188"/>
    <mergeCell ref="U188:V188"/>
    <mergeCell ref="J190:L190"/>
    <mergeCell ref="U190:V190"/>
    <mergeCell ref="J192:L192"/>
    <mergeCell ref="U192:V192"/>
    <mergeCell ref="J182:L182"/>
    <mergeCell ref="U182:V182"/>
    <mergeCell ref="J184:L184"/>
    <mergeCell ref="U184:V184"/>
    <mergeCell ref="J186:L186"/>
    <mergeCell ref="U186:V186"/>
    <mergeCell ref="C184:I185"/>
    <mergeCell ref="C186:I187"/>
    <mergeCell ref="C188:I189"/>
    <mergeCell ref="N186:T187"/>
    <mergeCell ref="D190:I190"/>
    <mergeCell ref="U589:V589"/>
    <mergeCell ref="J7:U8"/>
    <mergeCell ref="J9:U10"/>
    <mergeCell ref="J11:U12"/>
    <mergeCell ref="J13:U14"/>
    <mergeCell ref="U445:V445"/>
    <mergeCell ref="J445:L445"/>
    <mergeCell ref="U457:V457"/>
    <mergeCell ref="U427:V427"/>
    <mergeCell ref="D425:W425"/>
    <mergeCell ref="J431:L431"/>
    <mergeCell ref="J433:L433"/>
    <mergeCell ref="U433:V433"/>
    <mergeCell ref="J435:L435"/>
    <mergeCell ref="U435:V435"/>
    <mergeCell ref="J437:L437"/>
    <mergeCell ref="U429:V429"/>
    <mergeCell ref="U431:V431"/>
    <mergeCell ref="U437:V437"/>
    <mergeCell ref="D357:I358"/>
    <mergeCell ref="D361:I362"/>
    <mergeCell ref="T198:T199"/>
    <mergeCell ref="J200:L200"/>
    <mergeCell ref="U200:V200"/>
    <mergeCell ref="D591:I591"/>
    <mergeCell ref="D589:I589"/>
    <mergeCell ref="D587:I587"/>
    <mergeCell ref="D583:I583"/>
    <mergeCell ref="D581:I581"/>
    <mergeCell ref="D579:I579"/>
    <mergeCell ref="D577:I577"/>
    <mergeCell ref="J589:L589"/>
    <mergeCell ref="J591:L591"/>
    <mergeCell ref="D585:I586"/>
    <mergeCell ref="J581:L581"/>
    <mergeCell ref="D567:I567"/>
    <mergeCell ref="O589:T589"/>
    <mergeCell ref="O587:T587"/>
    <mergeCell ref="O585:T585"/>
    <mergeCell ref="O583:T583"/>
    <mergeCell ref="O581:T581"/>
    <mergeCell ref="O579:T579"/>
    <mergeCell ref="O577:T577"/>
    <mergeCell ref="O499:T499"/>
    <mergeCell ref="O503:T503"/>
    <mergeCell ref="D569:I569"/>
    <mergeCell ref="O561:T561"/>
    <mergeCell ref="O565:T565"/>
    <mergeCell ref="O567:T567"/>
    <mergeCell ref="O569:T569"/>
    <mergeCell ref="D529:I529"/>
    <mergeCell ref="D531:I531"/>
    <mergeCell ref="D537:I537"/>
    <mergeCell ref="D539:I539"/>
    <mergeCell ref="D541:I541"/>
    <mergeCell ref="D543:I543"/>
    <mergeCell ref="D551:I551"/>
    <mergeCell ref="D553:I553"/>
    <mergeCell ref="O531:T531"/>
    <mergeCell ref="D547:I548"/>
    <mergeCell ref="D447:I447"/>
    <mergeCell ref="D449:I449"/>
    <mergeCell ref="D451:I451"/>
    <mergeCell ref="J501:L501"/>
    <mergeCell ref="O443:T443"/>
    <mergeCell ref="O445:T445"/>
    <mergeCell ref="O447:T447"/>
    <mergeCell ref="O449:T449"/>
    <mergeCell ref="D501:I501"/>
    <mergeCell ref="D477:I477"/>
    <mergeCell ref="D479:I479"/>
    <mergeCell ref="D489:I489"/>
    <mergeCell ref="D491:I491"/>
    <mergeCell ref="O475:T475"/>
    <mergeCell ref="O489:T489"/>
    <mergeCell ref="O491:T491"/>
    <mergeCell ref="D457:I457"/>
    <mergeCell ref="D459:I459"/>
    <mergeCell ref="O457:T457"/>
    <mergeCell ref="O459:T459"/>
    <mergeCell ref="O427:T427"/>
    <mergeCell ref="O429:T429"/>
    <mergeCell ref="O431:T431"/>
    <mergeCell ref="O433:T433"/>
    <mergeCell ref="O435:T435"/>
    <mergeCell ref="O437:T437"/>
    <mergeCell ref="D419:I419"/>
    <mergeCell ref="D421:I421"/>
    <mergeCell ref="O413:T413"/>
    <mergeCell ref="O417:T417"/>
    <mergeCell ref="O419:T419"/>
    <mergeCell ref="J415:L415"/>
    <mergeCell ref="J417:L417"/>
    <mergeCell ref="D431:I431"/>
    <mergeCell ref="D433:I433"/>
    <mergeCell ref="D435:I435"/>
    <mergeCell ref="D437:I437"/>
    <mergeCell ref="D391:I391"/>
    <mergeCell ref="D393:I393"/>
    <mergeCell ref="D395:I395"/>
    <mergeCell ref="D399:I399"/>
    <mergeCell ref="D401:I401"/>
    <mergeCell ref="D403:I403"/>
    <mergeCell ref="D405:I405"/>
    <mergeCell ref="D407:I407"/>
    <mergeCell ref="O393:T393"/>
    <mergeCell ref="O395:T395"/>
    <mergeCell ref="O397:T397"/>
    <mergeCell ref="O399:T399"/>
    <mergeCell ref="O401:T401"/>
    <mergeCell ref="O403:T403"/>
    <mergeCell ref="O405:T405"/>
    <mergeCell ref="O407:T407"/>
    <mergeCell ref="J393:L393"/>
    <mergeCell ref="D355:I355"/>
    <mergeCell ref="D359:I359"/>
    <mergeCell ref="D363:I363"/>
    <mergeCell ref="D365:I365"/>
    <mergeCell ref="D369:I369"/>
    <mergeCell ref="D375:I375"/>
    <mergeCell ref="D377:I377"/>
    <mergeCell ref="J343:L343"/>
    <mergeCell ref="J361:L361"/>
    <mergeCell ref="J377:L379"/>
    <mergeCell ref="O308:T308"/>
    <mergeCell ref="O310:T310"/>
    <mergeCell ref="O312:T312"/>
    <mergeCell ref="O320:T320"/>
    <mergeCell ref="O322:T322"/>
    <mergeCell ref="D280:I280"/>
    <mergeCell ref="O276:T276"/>
    <mergeCell ref="O280:T280"/>
    <mergeCell ref="O286:T286"/>
    <mergeCell ref="O290:T290"/>
    <mergeCell ref="D302:I302"/>
    <mergeCell ref="D304:I304"/>
    <mergeCell ref="D306:I306"/>
    <mergeCell ref="D308:I308"/>
    <mergeCell ref="D310:I310"/>
    <mergeCell ref="D312:I312"/>
    <mergeCell ref="D314:I314"/>
    <mergeCell ref="D318:I318"/>
    <mergeCell ref="D320:I320"/>
    <mergeCell ref="J322:L322"/>
    <mergeCell ref="D266:I266"/>
    <mergeCell ref="D268:I268"/>
    <mergeCell ref="O266:T266"/>
    <mergeCell ref="D246:I246"/>
    <mergeCell ref="D248:I248"/>
    <mergeCell ref="O248:T248"/>
    <mergeCell ref="O220:T220"/>
    <mergeCell ref="O240:T240"/>
    <mergeCell ref="D222:I222"/>
    <mergeCell ref="D224:I224"/>
    <mergeCell ref="D226:I226"/>
    <mergeCell ref="D228:I228"/>
    <mergeCell ref="D230:I230"/>
    <mergeCell ref="D232:I232"/>
    <mergeCell ref="D234:I234"/>
    <mergeCell ref="D238:I238"/>
    <mergeCell ref="D240:I240"/>
    <mergeCell ref="C254:X254"/>
    <mergeCell ref="J232:L232"/>
    <mergeCell ref="J234:L234"/>
    <mergeCell ref="J236:L236"/>
    <mergeCell ref="J238:L238"/>
    <mergeCell ref="J240:L240"/>
    <mergeCell ref="D236:I237"/>
    <mergeCell ref="D194:I194"/>
    <mergeCell ref="D196:I196"/>
    <mergeCell ref="D200:I200"/>
    <mergeCell ref="D204:I204"/>
    <mergeCell ref="D208:I208"/>
    <mergeCell ref="D210:I210"/>
    <mergeCell ref="D212:I212"/>
    <mergeCell ref="O182:T182"/>
    <mergeCell ref="O184:T184"/>
    <mergeCell ref="O188:T188"/>
    <mergeCell ref="O190:T190"/>
    <mergeCell ref="O192:T192"/>
    <mergeCell ref="O194:T194"/>
    <mergeCell ref="O200:T200"/>
    <mergeCell ref="J204:L204"/>
    <mergeCell ref="J208:L208"/>
    <mergeCell ref="J210:L210"/>
    <mergeCell ref="D192:I192"/>
    <mergeCell ref="J194:L194"/>
    <mergeCell ref="D170:I170"/>
    <mergeCell ref="D172:I172"/>
    <mergeCell ref="D174:I174"/>
    <mergeCell ref="O164:T164"/>
    <mergeCell ref="O166:T166"/>
    <mergeCell ref="O168:T168"/>
    <mergeCell ref="O170:T170"/>
    <mergeCell ref="O172:T172"/>
    <mergeCell ref="O174:T174"/>
    <mergeCell ref="D150:I150"/>
    <mergeCell ref="D152:I152"/>
    <mergeCell ref="D154:I154"/>
    <mergeCell ref="D156:I156"/>
    <mergeCell ref="D158:I158"/>
    <mergeCell ref="O140:T140"/>
    <mergeCell ref="O144:T144"/>
    <mergeCell ref="O146:T146"/>
    <mergeCell ref="O148:T148"/>
    <mergeCell ref="O150:T150"/>
    <mergeCell ref="O152:T152"/>
    <mergeCell ref="O154:T154"/>
    <mergeCell ref="O156:T156"/>
    <mergeCell ref="O158:T158"/>
    <mergeCell ref="J146:L146"/>
    <mergeCell ref="J156:L156"/>
  </mergeCells>
  <conditionalFormatting sqref="O72">
    <cfRule type="cellIs" dxfId="52" priority="2" stopIfTrue="1" operator="greaterThan">
      <formula>0.99</formula>
    </cfRule>
    <cfRule type="cellIs" dxfId="51" priority="3" operator="between">
      <formula>0.75</formula>
      <formula>1</formula>
    </cfRule>
  </conditionalFormatting>
  <conditionalFormatting sqref="M90:M100">
    <cfRule type="expression" dxfId="50" priority="6">
      <formula>$O$100=0</formula>
    </cfRule>
  </conditionalFormatting>
  <conditionalFormatting sqref="O90:P90 O92:P92 O94:P94 O100:P100">
    <cfRule type="expression" dxfId="49" priority="5">
      <formula>$O$100=0</formula>
    </cfRule>
  </conditionalFormatting>
  <conditionalFormatting sqref="O88">
    <cfRule type="expression" dxfId="48" priority="4">
      <formula>$O$100=0</formula>
    </cfRule>
  </conditionalFormatting>
  <conditionalFormatting sqref="M102">
    <cfRule type="expression" dxfId="47" priority="1">
      <formula>$O$100=0</formula>
    </cfRule>
  </conditionalFormatting>
  <dataValidations count="4">
    <dataValidation type="list" allowBlank="1" showInputMessage="1" showErrorMessage="1" sqref="J266 N266">
      <formula1>EME</formula1>
    </dataValidation>
    <dataValidation type="list" allowBlank="1" showInputMessage="1" showErrorMessage="1" sqref="N268 U266">
      <formula1>QC</formula1>
    </dataValidation>
    <dataValidation type="list" allowBlank="1" showInputMessage="1" showErrorMessage="1" sqref="N531 N351">
      <formula1>$F$255:$F$263</formula1>
    </dataValidation>
    <dataValidation type="list" allowBlank="1" showInputMessage="1" showErrorMessage="1" sqref="M24 M26:P26">
      <formula1>EMEs</formula1>
    </dataValidation>
  </dataValidations>
  <printOptions horizontalCentered="1"/>
  <pageMargins left="0.25" right="0.25" top="0.25" bottom="0.25" header="0.3" footer="0.3"/>
  <pageSetup scale="54" fitToHeight="0" orientation="portrait" r:id="rId1"/>
  <rowBreaks count="1" manualBreakCount="1">
    <brk id="120" min="2" max="23" man="1"/>
  </rowBreaks>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D27"/>
  <sheetViews>
    <sheetView workbookViewId="0">
      <selection activeCell="G26" sqref="G26"/>
    </sheetView>
  </sheetViews>
  <sheetFormatPr defaultRowHeight="14.3"/>
  <cols>
    <col min="1" max="1" width="2.75" customWidth="1"/>
    <col min="2" max="2" width="75.5" bestFit="1" customWidth="1"/>
    <col min="4" max="4" width="35" customWidth="1"/>
  </cols>
  <sheetData>
    <row r="1" spans="2:4" ht="23.8">
      <c r="B1" s="1107" t="s">
        <v>2058</v>
      </c>
    </row>
    <row r="2" spans="2:4">
      <c r="B2" s="1108" t="s">
        <v>2059</v>
      </c>
    </row>
    <row r="3" spans="2:4">
      <c r="B3" s="1109" t="s">
        <v>2060</v>
      </c>
    </row>
    <row r="4" spans="2:4" ht="48.1" customHeight="1">
      <c r="B4" s="1110" t="s">
        <v>2061</v>
      </c>
      <c r="D4" s="1111" t="s">
        <v>2062</v>
      </c>
    </row>
    <row r="5" spans="2:4">
      <c r="B5" s="1109" t="s">
        <v>2063</v>
      </c>
      <c r="D5" t="s">
        <v>2064</v>
      </c>
    </row>
    <row r="6" spans="2:4">
      <c r="B6" s="1916" t="s">
        <v>2065</v>
      </c>
      <c r="D6" t="s">
        <v>2066</v>
      </c>
    </row>
    <row r="7" spans="2:4">
      <c r="B7" s="1917"/>
      <c r="D7" t="s">
        <v>2067</v>
      </c>
    </row>
    <row r="8" spans="2:4">
      <c r="B8" s="1917"/>
      <c r="D8" t="s">
        <v>2068</v>
      </c>
    </row>
    <row r="9" spans="2:4">
      <c r="B9" s="1917"/>
      <c r="D9" t="s">
        <v>2069</v>
      </c>
    </row>
    <row r="10" spans="2:4" ht="30.75" customHeight="1">
      <c r="B10" s="1918"/>
      <c r="D10" s="1112" t="s">
        <v>2070</v>
      </c>
    </row>
    <row r="11" spans="2:4">
      <c r="B11" s="1109" t="s">
        <v>2071</v>
      </c>
      <c r="D11" t="s">
        <v>2072</v>
      </c>
    </row>
    <row r="12" spans="2:4">
      <c r="B12" s="1916" t="s">
        <v>2073</v>
      </c>
      <c r="D12" t="s">
        <v>2074</v>
      </c>
    </row>
    <row r="13" spans="2:4">
      <c r="B13" s="1917"/>
    </row>
    <row r="14" spans="2:4">
      <c r="B14" s="1917"/>
    </row>
    <row r="15" spans="2:4" ht="27.7" customHeight="1">
      <c r="B15" s="1918"/>
      <c r="D15" s="1111" t="s">
        <v>2075</v>
      </c>
    </row>
    <row r="16" spans="2:4">
      <c r="B16" s="1109" t="s">
        <v>2076</v>
      </c>
      <c r="D16" t="s">
        <v>2077</v>
      </c>
    </row>
    <row r="17" spans="2:4">
      <c r="B17" s="1916" t="s">
        <v>2078</v>
      </c>
      <c r="D17" t="s">
        <v>2079</v>
      </c>
    </row>
    <row r="18" spans="2:4" ht="32.950000000000003" customHeight="1">
      <c r="B18" s="1918"/>
      <c r="D18" s="1112" t="s">
        <v>2080</v>
      </c>
    </row>
    <row r="19" spans="2:4">
      <c r="B19" s="1109" t="s">
        <v>2081</v>
      </c>
      <c r="D19" t="s">
        <v>2082</v>
      </c>
    </row>
    <row r="20" spans="2:4" ht="42.8" customHeight="1">
      <c r="B20" s="1113" t="s">
        <v>2083</v>
      </c>
      <c r="D20" s="1112" t="s">
        <v>2084</v>
      </c>
    </row>
    <row r="21" spans="2:4">
      <c r="B21" s="1109" t="s">
        <v>2085</v>
      </c>
    </row>
    <row r="22" spans="2:4" ht="30.75" customHeight="1">
      <c r="B22" s="1113" t="s">
        <v>2086</v>
      </c>
    </row>
    <row r="23" spans="2:4">
      <c r="B23" s="1114" t="s">
        <v>2087</v>
      </c>
    </row>
    <row r="24" spans="2:4">
      <c r="B24" s="1109" t="s">
        <v>2088</v>
      </c>
    </row>
    <row r="25" spans="2:4">
      <c r="B25" s="1916" t="s">
        <v>2089</v>
      </c>
    </row>
    <row r="26" spans="2:4">
      <c r="B26" s="1917"/>
    </row>
    <row r="27" spans="2:4" ht="135" customHeight="1">
      <c r="B27" s="1918"/>
    </row>
  </sheetData>
  <sheetProtection password="DC20" sheet="1" objects="1" scenarios="1"/>
  <mergeCells count="4">
    <mergeCell ref="B6:B10"/>
    <mergeCell ref="B12:B15"/>
    <mergeCell ref="B17:B18"/>
    <mergeCell ref="B25:B2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70C0"/>
  </sheetPr>
  <dimension ref="A1:AH664"/>
  <sheetViews>
    <sheetView showGridLines="0" showRowColHeaders="0" zoomScale="90" zoomScaleNormal="90" workbookViewId="0">
      <pane ySplit="17" topLeftCell="A18" activePane="bottomLeft" state="frozen"/>
      <selection pane="bottomLeft" activeCell="A18" sqref="A18:X18"/>
    </sheetView>
  </sheetViews>
  <sheetFormatPr defaultColWidth="9.125" defaultRowHeight="14.3"/>
  <cols>
    <col min="1" max="1" width="4.125" customWidth="1"/>
    <col min="2" max="2" width="1.75" hidden="1" customWidth="1"/>
    <col min="3" max="8" width="2.875" customWidth="1"/>
    <col min="9" max="9" width="5.75" customWidth="1"/>
    <col min="10" max="10" width="30.75" customWidth="1"/>
    <col min="11" max="11" width="1.5" customWidth="1"/>
    <col min="12" max="12" width="20.75" customWidth="1"/>
    <col min="13" max="13" width="10.75" customWidth="1"/>
    <col min="14" max="14" width="1.25" customWidth="1"/>
    <col min="15" max="16" width="8.75" customWidth="1"/>
    <col min="17" max="17" width="4.75" customWidth="1"/>
    <col min="18" max="18" width="1.5" customWidth="1"/>
    <col min="19" max="19" width="2.875" customWidth="1"/>
    <col min="20" max="20" width="1.5" customWidth="1"/>
    <col min="21" max="21" width="27.875" customWidth="1"/>
    <col min="22" max="22" width="30.75" customWidth="1"/>
    <col min="23" max="23" width="1.5" customWidth="1"/>
    <col min="24" max="24" width="1.75" customWidth="1"/>
    <col min="27" max="27" width="122.75" customWidth="1"/>
    <col min="39" max="39" width="16.5" customWidth="1"/>
    <col min="40" max="40" width="2.75" customWidth="1"/>
    <col min="41" max="41" width="16.5" customWidth="1"/>
    <col min="42" max="42" width="2.75" customWidth="1"/>
    <col min="43" max="43" width="16.5" customWidth="1"/>
    <col min="44" max="44" width="2.75" customWidth="1"/>
    <col min="45" max="45" width="16.5" customWidth="1"/>
    <col min="46" max="46" width="2.75" customWidth="1"/>
    <col min="47" max="47" width="16.5" customWidth="1"/>
    <col min="48" max="48" width="2.75" customWidth="1"/>
    <col min="49" max="49" width="16.5" customWidth="1"/>
    <col min="50" max="50" width="6.875" customWidth="1"/>
    <col min="51" max="51" width="16.5" customWidth="1"/>
    <col min="52" max="52" width="2.75" customWidth="1"/>
    <col min="53" max="53" width="16.5" customWidth="1"/>
    <col min="54" max="54" width="2.75" customWidth="1"/>
    <col min="55" max="55" width="16.5" customWidth="1"/>
    <col min="57" max="57" width="16.5" customWidth="1"/>
  </cols>
  <sheetData>
    <row r="1" spans="10:28" ht="5.0999999999999996" customHeight="1"/>
    <row r="3" spans="10:28" ht="5.0999999999999996" customHeight="1"/>
    <row r="5" spans="10:28" ht="5.0999999999999996" customHeight="1"/>
    <row r="7" spans="10:28" ht="5.0999999999999996" customHeight="1">
      <c r="J7" s="1142" t="s">
        <v>476</v>
      </c>
      <c r="K7" s="1142"/>
      <c r="L7" s="1142"/>
      <c r="M7" s="1142"/>
      <c r="N7" s="1142"/>
      <c r="O7" s="1142"/>
      <c r="P7" s="1142"/>
      <c r="Q7" s="1142"/>
      <c r="R7" s="1142"/>
      <c r="S7" s="1142"/>
      <c r="T7" s="1142"/>
      <c r="U7" s="1142"/>
    </row>
    <row r="8" spans="10:28" ht="14.45" customHeight="1">
      <c r="J8" s="1142"/>
      <c r="K8" s="1142"/>
      <c r="L8" s="1142"/>
      <c r="M8" s="1142"/>
      <c r="N8" s="1142"/>
      <c r="O8" s="1142"/>
      <c r="P8" s="1142"/>
      <c r="Q8" s="1142"/>
      <c r="R8" s="1142"/>
      <c r="S8" s="1142"/>
      <c r="T8" s="1142"/>
      <c r="U8" s="1142"/>
      <c r="V8" s="16"/>
      <c r="W8" s="16"/>
      <c r="X8" s="16"/>
      <c r="Y8" s="16"/>
      <c r="Z8" s="16"/>
      <c r="AA8" s="16"/>
      <c r="AB8" s="16"/>
    </row>
    <row r="9" spans="10:28" ht="5.0999999999999996" customHeight="1">
      <c r="J9" s="1143" t="s">
        <v>477</v>
      </c>
      <c r="K9" s="1143"/>
      <c r="L9" s="1143"/>
      <c r="M9" s="1143"/>
      <c r="N9" s="1143"/>
      <c r="O9" s="1143"/>
      <c r="P9" s="1143"/>
      <c r="Q9" s="1143"/>
      <c r="R9" s="1143"/>
      <c r="S9" s="1143"/>
      <c r="T9" s="1143"/>
      <c r="U9" s="1143"/>
      <c r="V9" s="473"/>
      <c r="W9" s="473"/>
      <c r="X9" s="473"/>
      <c r="Y9" s="473"/>
      <c r="Z9" s="473"/>
      <c r="AA9" s="3"/>
      <c r="AB9" s="3"/>
    </row>
    <row r="10" spans="10:28" ht="14.45" customHeight="1">
      <c r="J10" s="1143"/>
      <c r="K10" s="1143"/>
      <c r="L10" s="1143"/>
      <c r="M10" s="1143"/>
      <c r="N10" s="1143"/>
      <c r="O10" s="1143"/>
      <c r="P10" s="1143"/>
      <c r="Q10" s="1143"/>
      <c r="R10" s="1143"/>
      <c r="S10" s="1143"/>
      <c r="T10" s="1143"/>
      <c r="U10" s="1143"/>
      <c r="V10" s="91"/>
      <c r="W10" s="91"/>
      <c r="X10" s="91"/>
      <c r="Y10" s="91"/>
      <c r="Z10" s="91"/>
      <c r="AA10" s="91"/>
      <c r="AB10" s="91"/>
    </row>
    <row r="11" spans="10:28" ht="5.0999999999999996" customHeight="1">
      <c r="J11" s="1155" t="s">
        <v>478</v>
      </c>
      <c r="K11" s="1155"/>
      <c r="L11" s="1155"/>
      <c r="M11" s="1155"/>
      <c r="N11" s="1155"/>
      <c r="O11" s="1155"/>
      <c r="P11" s="1155"/>
      <c r="Q11" s="1155"/>
      <c r="R11" s="1155"/>
      <c r="S11" s="1155"/>
      <c r="T11" s="1155"/>
      <c r="U11" s="1155"/>
      <c r="V11" s="91"/>
      <c r="W11" s="482"/>
      <c r="X11" s="482"/>
      <c r="Y11" s="482"/>
      <c r="Z11" s="482"/>
      <c r="AA11" s="3"/>
      <c r="AB11" s="3"/>
    </row>
    <row r="12" spans="10:28">
      <c r="J12" s="1155"/>
      <c r="K12" s="1155"/>
      <c r="L12" s="1155"/>
      <c r="M12" s="1155"/>
      <c r="N12" s="1155"/>
      <c r="O12" s="1155"/>
      <c r="P12" s="1155"/>
      <c r="Q12" s="1155"/>
      <c r="R12" s="1155"/>
      <c r="S12" s="1155"/>
      <c r="T12" s="1155"/>
      <c r="U12" s="1155"/>
      <c r="V12" s="373"/>
      <c r="W12" s="373"/>
      <c r="X12" s="373"/>
      <c r="Y12" s="373"/>
      <c r="Z12" s="373"/>
      <c r="AA12" s="373"/>
      <c r="AB12" s="373"/>
    </row>
    <row r="13" spans="10:28" ht="5.0999999999999996" customHeight="1">
      <c r="J13" s="1144" t="s">
        <v>479</v>
      </c>
      <c r="K13" s="1144"/>
      <c r="L13" s="1144"/>
      <c r="M13" s="1144"/>
      <c r="N13" s="1144"/>
      <c r="O13" s="1144"/>
      <c r="P13" s="1144"/>
      <c r="Q13" s="1144"/>
      <c r="R13" s="1144"/>
      <c r="S13" s="1144"/>
      <c r="T13" s="1144"/>
      <c r="U13" s="1144"/>
      <c r="V13" s="16"/>
      <c r="W13" s="16"/>
      <c r="X13" s="3"/>
      <c r="Y13" s="3"/>
      <c r="Z13" s="3"/>
      <c r="AA13" s="3"/>
      <c r="AB13" s="3"/>
    </row>
    <row r="14" spans="10:28" ht="14.45" customHeight="1">
      <c r="J14" s="1144"/>
      <c r="K14" s="1144"/>
      <c r="L14" s="1144"/>
      <c r="M14" s="1144"/>
      <c r="N14" s="1144"/>
      <c r="O14" s="1144"/>
      <c r="P14" s="1144"/>
      <c r="Q14" s="1144"/>
      <c r="R14" s="1144"/>
      <c r="S14" s="1144"/>
      <c r="T14" s="1144"/>
      <c r="U14" s="1144"/>
      <c r="V14" s="92"/>
      <c r="W14" s="92"/>
      <c r="X14" s="92"/>
      <c r="Y14" s="92"/>
      <c r="Z14" s="92"/>
      <c r="AA14" s="92"/>
      <c r="AB14" s="92"/>
    </row>
    <row r="15" spans="10:28" ht="5.0999999999999996" customHeight="1"/>
    <row r="18" spans="1:34" s="38" customFormat="1" ht="2.5499999999999998" customHeight="1">
      <c r="A18" s="1536"/>
      <c r="B18" s="1536"/>
      <c r="C18" s="1536"/>
      <c r="D18" s="1536"/>
      <c r="E18" s="1536"/>
      <c r="F18" s="1536"/>
      <c r="G18" s="1536"/>
      <c r="H18" s="1536"/>
      <c r="I18" s="1536"/>
      <c r="J18" s="1536"/>
      <c r="K18" s="1536"/>
      <c r="L18" s="1536"/>
      <c r="M18" s="1536"/>
      <c r="N18" s="1536"/>
      <c r="O18" s="1536"/>
      <c r="P18" s="1536"/>
      <c r="Q18" s="1536"/>
      <c r="R18" s="1536"/>
      <c r="S18" s="1536"/>
      <c r="T18" s="1536"/>
      <c r="U18" s="1536"/>
      <c r="V18" s="1536"/>
      <c r="W18" s="1536"/>
      <c r="X18" s="1536"/>
    </row>
    <row r="19" spans="1:34" ht="20.25" customHeight="1">
      <c r="B19" s="302"/>
      <c r="C19" s="302"/>
      <c r="D19" s="302"/>
      <c r="E19" s="695" t="s">
        <v>627</v>
      </c>
      <c r="F19" s="302"/>
      <c r="G19" s="302"/>
      <c r="H19" s="302"/>
      <c r="I19" s="302"/>
      <c r="J19" s="302"/>
      <c r="K19" s="302"/>
      <c r="L19" s="302"/>
      <c r="M19" s="302"/>
      <c r="N19" s="302"/>
      <c r="O19" s="302"/>
      <c r="P19" s="302"/>
      <c r="Q19" s="302"/>
      <c r="R19" s="302"/>
      <c r="S19" s="302"/>
      <c r="T19" s="302"/>
      <c r="U19" s="302"/>
      <c r="V19" s="302"/>
      <c r="W19" s="302"/>
      <c r="X19" s="302"/>
    </row>
    <row r="20" spans="1:34" ht="19.05">
      <c r="B20" s="2015"/>
      <c r="C20" s="302"/>
      <c r="D20" s="303"/>
      <c r="F20" s="821"/>
      <c r="G20" s="821"/>
      <c r="H20" s="821"/>
      <c r="I20" s="821"/>
      <c r="J20" s="821"/>
      <c r="K20" s="822"/>
      <c r="L20" s="822"/>
      <c r="M20" s="822"/>
      <c r="N20" s="823"/>
      <c r="O20" s="304"/>
      <c r="P20" s="303"/>
      <c r="Q20" s="303"/>
      <c r="R20" s="309" t="str">
        <f>'Grant QC Review'!R20</f>
        <v>"Original" or "Revised" grant?</v>
      </c>
      <c r="S20" s="304"/>
      <c r="T20" s="303"/>
      <c r="U20" s="303"/>
      <c r="V20" s="303"/>
      <c r="W20" s="303"/>
      <c r="X20" s="302"/>
    </row>
    <row r="21" spans="1:34" ht="7.5" customHeight="1">
      <c r="B21" s="2015"/>
      <c r="C21" s="191"/>
      <c r="D21" s="305"/>
      <c r="E21" s="305"/>
      <c r="F21" s="305"/>
      <c r="G21" s="305"/>
      <c r="H21" s="305"/>
      <c r="I21" s="305"/>
      <c r="J21" s="306"/>
      <c r="K21" s="303"/>
      <c r="L21" s="305"/>
      <c r="N21" s="303"/>
      <c r="O21" s="303"/>
      <c r="P21" s="303"/>
      <c r="Q21" s="303"/>
      <c r="R21" s="303"/>
      <c r="S21" s="308"/>
      <c r="T21" s="303"/>
      <c r="U21" s="311"/>
      <c r="V21" s="303"/>
      <c r="W21" s="303"/>
      <c r="X21" s="302"/>
      <c r="Z21" s="92"/>
      <c r="AA21" s="92"/>
      <c r="AB21" s="92"/>
      <c r="AC21" s="92"/>
      <c r="AD21" s="92"/>
      <c r="AE21" s="92"/>
      <c r="AF21" s="92"/>
      <c r="AG21" s="92"/>
      <c r="AH21" s="92"/>
    </row>
    <row r="22" spans="1:34" ht="14.95" customHeight="1">
      <c r="B22" s="2015"/>
      <c r="D22" s="305"/>
      <c r="I22" s="694" t="s">
        <v>629</v>
      </c>
      <c r="J22" s="489">
        <f>'Grant QC Review'!J22</f>
        <v>0</v>
      </c>
      <c r="L22" s="307" t="s">
        <v>630</v>
      </c>
      <c r="M22" s="1783">
        <f>'Grant QC Review'!M22</f>
        <v>0</v>
      </c>
      <c r="N22" s="1783"/>
      <c r="O22" s="1783"/>
      <c r="P22" s="1784"/>
      <c r="Q22" s="304"/>
      <c r="S22" s="1010" t="str">
        <f>IF('Grant QC Review'!S22="","",'Grant QC Review'!S22)</f>
        <v/>
      </c>
      <c r="T22" s="309"/>
      <c r="U22" s="313" t="s">
        <v>631</v>
      </c>
      <c r="V22" s="304"/>
      <c r="W22" s="304"/>
      <c r="X22" s="182"/>
    </row>
    <row r="23" spans="1:34" ht="7.5" customHeight="1">
      <c r="B23" s="2015"/>
      <c r="C23" s="191"/>
      <c r="D23" s="305"/>
      <c r="E23" s="305"/>
      <c r="F23" s="305"/>
      <c r="G23" s="305"/>
      <c r="H23" s="305"/>
      <c r="I23" s="305"/>
      <c r="J23" s="306"/>
      <c r="K23" s="303"/>
      <c r="L23" s="305"/>
      <c r="N23" s="303"/>
      <c r="O23" s="303"/>
      <c r="P23" s="303"/>
      <c r="Q23" s="303"/>
      <c r="R23" s="303"/>
      <c r="S23" s="308"/>
      <c r="T23" s="303"/>
      <c r="U23" s="311"/>
      <c r="V23" s="303"/>
      <c r="W23" s="303"/>
      <c r="X23" s="302"/>
      <c r="Z23" s="92"/>
      <c r="AA23" s="92"/>
      <c r="AB23" s="92"/>
      <c r="AC23" s="92"/>
      <c r="AD23" s="92"/>
      <c r="AE23" s="92"/>
      <c r="AF23" s="92"/>
      <c r="AG23" s="92"/>
      <c r="AH23" s="92"/>
    </row>
    <row r="24" spans="1:34" ht="15.8" customHeight="1">
      <c r="B24" s="2015"/>
      <c r="C24" s="191"/>
      <c r="D24" s="305"/>
      <c r="E24" s="305"/>
      <c r="F24" s="305"/>
      <c r="G24" s="305"/>
      <c r="H24" s="305"/>
      <c r="I24" s="307" t="s">
        <v>632</v>
      </c>
      <c r="J24" s="489" t="str">
        <f>'Grant QC Review'!J24</f>
        <v>Commercial/Industrial</v>
      </c>
      <c r="K24" s="308"/>
      <c r="L24" s="307" t="s">
        <v>633</v>
      </c>
      <c r="M24" s="1922">
        <f>'Grant QC Review'!M24</f>
        <v>0</v>
      </c>
      <c r="N24" s="1922"/>
      <c r="O24" s="1922"/>
      <c r="P24" s="1923"/>
      <c r="Q24" s="308"/>
      <c r="S24" s="1010" t="str">
        <f>IF('Grant QC Review'!S24="","",'Grant QC Review'!S24)</f>
        <v/>
      </c>
      <c r="T24" s="312"/>
      <c r="U24" s="313" t="s">
        <v>635</v>
      </c>
      <c r="V24" s="309"/>
      <c r="W24" s="308"/>
      <c r="Z24" s="92"/>
      <c r="AA24" s="92"/>
      <c r="AB24" s="92"/>
      <c r="AC24" s="92"/>
      <c r="AD24" s="92"/>
      <c r="AE24" s="92"/>
      <c r="AF24" s="92"/>
      <c r="AG24" s="92"/>
      <c r="AH24" s="92"/>
    </row>
    <row r="25" spans="1:34" ht="7.5" customHeight="1">
      <c r="B25" s="2015"/>
      <c r="C25" s="191"/>
      <c r="D25" s="305"/>
      <c r="E25" s="305"/>
      <c r="F25" s="305"/>
      <c r="G25" s="305"/>
      <c r="H25" s="305"/>
      <c r="I25" s="308"/>
      <c r="J25" s="310"/>
      <c r="K25" s="308"/>
      <c r="L25" s="305"/>
      <c r="M25" s="303"/>
      <c r="N25" s="303"/>
      <c r="O25" s="308"/>
      <c r="P25" s="308"/>
      <c r="Q25" s="308"/>
      <c r="R25" s="308"/>
      <c r="V25" s="308"/>
      <c r="W25" s="308"/>
    </row>
    <row r="26" spans="1:34" ht="15.8" customHeight="1">
      <c r="B26" s="2015"/>
      <c r="C26" s="191"/>
      <c r="D26" s="305"/>
      <c r="E26" s="305"/>
      <c r="F26" s="305"/>
      <c r="G26" s="305"/>
      <c r="H26" s="305"/>
      <c r="I26" s="307" t="s">
        <v>636</v>
      </c>
      <c r="J26" s="316" t="str">
        <f>'Grant QC Review'!J26</f>
        <v>RETROFIT</v>
      </c>
      <c r="K26" s="308"/>
      <c r="L26" s="307" t="s">
        <v>637</v>
      </c>
      <c r="M26" s="1922">
        <f>'Grant QC Review'!M26</f>
        <v>0</v>
      </c>
      <c r="N26" s="1922"/>
      <c r="O26" s="1922"/>
      <c r="P26" s="1923"/>
      <c r="Q26" s="308"/>
      <c r="R26" s="309" t="s">
        <v>848</v>
      </c>
      <c r="V26" s="308"/>
      <c r="W26" s="308"/>
    </row>
    <row r="27" spans="1:34" ht="7.5" customHeight="1">
      <c r="B27" s="2015"/>
      <c r="C27" s="191"/>
      <c r="D27" s="305"/>
      <c r="E27" s="305"/>
      <c r="F27" s="305"/>
      <c r="G27" s="305"/>
      <c r="H27" s="305"/>
      <c r="I27" s="308"/>
      <c r="J27" s="310"/>
      <c r="K27" s="308"/>
      <c r="L27" s="305"/>
      <c r="M27" s="303"/>
      <c r="N27" s="303"/>
      <c r="O27" s="314"/>
      <c r="P27" s="314"/>
      <c r="Q27" s="314"/>
      <c r="R27" s="308"/>
      <c r="S27" s="303"/>
      <c r="T27" s="308"/>
      <c r="U27" s="315"/>
      <c r="V27" s="308"/>
      <c r="W27" s="308"/>
    </row>
    <row r="28" spans="1:34" ht="15.8" customHeight="1">
      <c r="B28" s="2015"/>
      <c r="C28" s="191"/>
      <c r="D28" s="305"/>
      <c r="E28" s="305"/>
      <c r="F28" s="305"/>
      <c r="G28" s="305"/>
      <c r="H28" s="305"/>
      <c r="I28" s="307" t="s">
        <v>640</v>
      </c>
      <c r="J28" s="316">
        <f>'Grant QC Review'!J28</f>
        <v>0</v>
      </c>
      <c r="K28" s="317"/>
      <c r="L28" s="307" t="s">
        <v>641</v>
      </c>
      <c r="M28" s="1924">
        <f>'Grant QC Review'!M28</f>
        <v>0</v>
      </c>
      <c r="N28" s="1924"/>
      <c r="O28" s="1924"/>
      <c r="P28" s="1925"/>
      <c r="Q28" s="308"/>
      <c r="S28" s="1010" t="str">
        <f>IF('Grant QC Review'!S28="","",'Grant QC Review'!S28)</f>
        <v/>
      </c>
      <c r="T28" s="312"/>
      <c r="U28" s="313" t="s">
        <v>642</v>
      </c>
      <c r="V28" s="311"/>
      <c r="W28" s="308"/>
    </row>
    <row r="29" spans="1:34" ht="7.5" customHeight="1">
      <c r="B29" s="2015"/>
      <c r="C29" s="191"/>
      <c r="D29" s="305"/>
      <c r="E29" s="305"/>
      <c r="F29" s="305"/>
      <c r="G29" s="305"/>
      <c r="H29" s="305"/>
      <c r="I29" s="305"/>
      <c r="J29" s="314"/>
      <c r="K29" s="314"/>
      <c r="L29" s="308"/>
      <c r="M29" s="308"/>
      <c r="N29" s="308"/>
      <c r="O29" s="308"/>
      <c r="P29" s="308"/>
      <c r="Q29" s="308"/>
      <c r="R29" s="308"/>
      <c r="S29" s="303"/>
      <c r="T29" s="303"/>
      <c r="U29" s="313"/>
      <c r="V29" s="311"/>
      <c r="W29" s="308"/>
    </row>
    <row r="30" spans="1:34" ht="15.8" customHeight="1">
      <c r="B30" s="2015"/>
      <c r="C30" s="191"/>
      <c r="D30" s="305"/>
      <c r="E30" s="305"/>
      <c r="F30" s="305"/>
      <c r="G30" s="305"/>
      <c r="H30" s="305"/>
      <c r="I30" s="307" t="s">
        <v>643</v>
      </c>
      <c r="J30" s="1086">
        <f>'Grant QC Review'!J30</f>
        <v>0</v>
      </c>
      <c r="K30" s="308"/>
      <c r="L30" s="307" t="s">
        <v>644</v>
      </c>
      <c r="M30" s="1924" t="str">
        <f ca="1">'Grant QC Review'!M30</f>
        <v>Enter on "Customer Authorization" tab</v>
      </c>
      <c r="N30" s="1924"/>
      <c r="O30" s="1924"/>
      <c r="P30" s="1925"/>
      <c r="Q30" s="308"/>
      <c r="S30" s="1010" t="str">
        <f>IF('Grant QC Review'!S30="","",'Grant QC Review'!S30)</f>
        <v/>
      </c>
      <c r="T30" s="303"/>
      <c r="U30" s="313" t="s">
        <v>645</v>
      </c>
      <c r="V30" s="311"/>
      <c r="W30" s="308"/>
    </row>
    <row r="31" spans="1:34" ht="7.5" customHeight="1">
      <c r="B31" s="2015"/>
      <c r="C31" s="191"/>
      <c r="D31" s="305"/>
      <c r="E31" s="305"/>
      <c r="F31" s="305"/>
      <c r="G31" s="305"/>
      <c r="H31" s="305"/>
      <c r="I31" s="305"/>
      <c r="J31" s="310"/>
      <c r="K31" s="308"/>
      <c r="L31" s="305"/>
      <c r="M31" s="303"/>
      <c r="N31" s="303"/>
      <c r="O31" s="303"/>
      <c r="P31" s="303"/>
      <c r="Q31" s="303"/>
      <c r="R31" s="303"/>
      <c r="V31" s="303"/>
      <c r="W31" s="303"/>
      <c r="X31" s="318"/>
    </row>
    <row r="32" spans="1:34" ht="15.8" customHeight="1">
      <c r="B32" s="2015"/>
      <c r="C32" s="191"/>
      <c r="D32" s="305"/>
      <c r="E32" s="305"/>
      <c r="F32" s="305"/>
      <c r="G32" s="305"/>
      <c r="H32" s="305"/>
      <c r="I32" s="307" t="s">
        <v>646</v>
      </c>
      <c r="J32" s="489" t="str">
        <f>'Grant QC Review'!J32</f>
        <v>Multi-Family Housing</v>
      </c>
      <c r="K32" s="308"/>
      <c r="L32" s="307" t="s">
        <v>647</v>
      </c>
      <c r="M32" s="1920">
        <f>'Grant QC Review'!M32</f>
        <v>0</v>
      </c>
      <c r="N32" s="1920"/>
      <c r="O32" s="1920"/>
      <c r="P32" s="1921"/>
      <c r="Q32" s="303"/>
      <c r="R32" s="303"/>
      <c r="S32" s="1010" t="str">
        <f>IF('Grant QC Review'!S32="","",'Grant QC Review'!S32)</f>
        <v/>
      </c>
      <c r="U32" t="str">
        <f>'Grant QC Review'!U32</f>
        <v>LOA - Customer is Payee</v>
      </c>
      <c r="V32" s="311"/>
      <c r="W32" s="303"/>
      <c r="X32" s="318"/>
    </row>
    <row r="33" spans="2:24" ht="7.5" customHeight="1">
      <c r="B33" s="2015"/>
      <c r="C33" s="191"/>
      <c r="D33" s="305"/>
      <c r="E33" s="305"/>
      <c r="F33" s="305"/>
      <c r="G33" s="305"/>
      <c r="H33" s="305"/>
      <c r="I33" s="308"/>
      <c r="J33" s="308"/>
      <c r="K33" s="308"/>
      <c r="L33" s="303"/>
      <c r="M33" s="303"/>
      <c r="N33" s="303"/>
      <c r="O33" s="303"/>
      <c r="P33" s="303"/>
      <c r="Q33" s="303"/>
      <c r="R33" s="303"/>
      <c r="S33" s="303"/>
      <c r="T33" s="303"/>
      <c r="U33" s="308"/>
      <c r="V33" s="311"/>
      <c r="W33" s="303"/>
      <c r="X33" s="318"/>
    </row>
    <row r="34" spans="2:24" ht="15.8" customHeight="1">
      <c r="B34" s="2015"/>
      <c r="C34" s="191"/>
      <c r="D34" s="305"/>
      <c r="E34" s="305"/>
      <c r="F34" s="305"/>
      <c r="G34" s="305"/>
      <c r="H34" s="305"/>
      <c r="I34" s="307" t="s">
        <v>649</v>
      </c>
      <c r="J34" s="489">
        <f>'Grant QC Review'!J34</f>
        <v>0</v>
      </c>
      <c r="K34" s="308"/>
      <c r="Q34" s="303"/>
      <c r="R34" s="308"/>
      <c r="S34" s="1010" t="str">
        <f>IF('Grant QC Review'!S34="","",'Grant QC Review'!S34)</f>
        <v/>
      </c>
      <c r="U34" t="str">
        <f>'Grant QC Review'!U34</f>
        <v>LOA - Contractor is Payee</v>
      </c>
      <c r="V34" s="308"/>
      <c r="W34" s="303"/>
      <c r="X34" s="318"/>
    </row>
    <row r="35" spans="2:24" ht="7.5" customHeight="1">
      <c r="B35" s="2015"/>
      <c r="C35" s="191"/>
      <c r="D35" s="305"/>
      <c r="E35" s="305"/>
      <c r="F35" s="305"/>
      <c r="G35" s="305"/>
      <c r="H35" s="305"/>
      <c r="I35" s="308"/>
      <c r="J35" s="308"/>
      <c r="K35" s="308"/>
      <c r="L35" s="308"/>
      <c r="M35" s="308"/>
      <c r="N35" s="303"/>
      <c r="O35" s="303"/>
      <c r="P35" s="303"/>
      <c r="Q35" s="303"/>
      <c r="R35" s="303"/>
      <c r="V35" s="308"/>
      <c r="W35" s="308"/>
    </row>
    <row r="36" spans="2:24" ht="15.8" customHeight="1">
      <c r="B36" s="2015"/>
      <c r="C36" s="191"/>
      <c r="D36" s="305"/>
      <c r="E36" s="305"/>
      <c r="F36" s="305"/>
      <c r="G36" s="305"/>
      <c r="H36" s="305"/>
      <c r="I36" s="307" t="s">
        <v>651</v>
      </c>
      <c r="J36" s="489">
        <f>'Grant QC Review'!J36</f>
        <v>0</v>
      </c>
      <c r="K36" s="308"/>
      <c r="L36" s="694" t="s">
        <v>652</v>
      </c>
      <c r="M36" s="1783" t="str">
        <f>'Grant QC Review'!M36</f>
        <v/>
      </c>
      <c r="N36" s="1783"/>
      <c r="O36" s="1783"/>
      <c r="P36" s="1784"/>
      <c r="Q36" s="303"/>
      <c r="U36" s="1011" t="str">
        <f>IF('Grant QC Review'!U36="","",'Grant QC Review'!U36)</f>
        <v/>
      </c>
      <c r="V36" t="str">
        <f>'Grant QC Review'!V36</f>
        <v>LOA Date</v>
      </c>
      <c r="W36" s="319"/>
      <c r="X36" s="320"/>
    </row>
    <row r="37" spans="2:24" ht="7.5" customHeight="1">
      <c r="B37" s="2015"/>
      <c r="C37" s="191"/>
      <c r="D37" s="305"/>
      <c r="E37" s="305"/>
      <c r="F37" s="305"/>
      <c r="G37" s="305"/>
      <c r="H37" s="305"/>
      <c r="K37" s="308"/>
      <c r="L37" s="303"/>
      <c r="M37" s="303"/>
      <c r="N37" s="303"/>
      <c r="O37" s="303"/>
      <c r="P37" s="303"/>
      <c r="Q37" s="303"/>
      <c r="W37" s="319"/>
      <c r="X37" s="320"/>
    </row>
    <row r="38" spans="2:24" ht="15.8" customHeight="1">
      <c r="B38" s="2015"/>
      <c r="C38" s="191"/>
      <c r="D38" s="305"/>
      <c r="E38" s="305"/>
      <c r="F38" s="305"/>
      <c r="G38" s="305"/>
      <c r="H38" s="305"/>
      <c r="J38" s="489" t="str">
        <f>'Grant QC Review'!J38</f>
        <v xml:space="preserve">, WA </v>
      </c>
      <c r="K38" s="308"/>
      <c r="L38" s="307" t="s">
        <v>654</v>
      </c>
      <c r="M38" s="1783" t="str">
        <f>'Grant QC Review'!M38</f>
        <v/>
      </c>
      <c r="N38" s="1783"/>
      <c r="O38" s="1783"/>
      <c r="P38" s="1784"/>
      <c r="Q38" s="303"/>
      <c r="W38" s="319"/>
      <c r="X38" s="320"/>
    </row>
    <row r="39" spans="2:24" ht="7.5" customHeight="1">
      <c r="B39" s="2015"/>
      <c r="C39" s="191"/>
      <c r="D39" s="305"/>
      <c r="E39" s="305"/>
      <c r="F39" s="305"/>
      <c r="G39" s="305"/>
      <c r="H39" s="305"/>
      <c r="K39" s="308"/>
      <c r="N39" s="303"/>
      <c r="O39" s="303"/>
      <c r="P39" s="303"/>
      <c r="Q39" s="303"/>
      <c r="R39" s="303"/>
      <c r="S39" s="303"/>
      <c r="T39" s="303"/>
      <c r="U39" s="308"/>
      <c r="V39" s="308"/>
      <c r="W39" s="308"/>
    </row>
    <row r="40" spans="2:24" ht="15.8" customHeight="1">
      <c r="B40" s="2015"/>
      <c r="C40" s="191"/>
      <c r="D40" s="305"/>
      <c r="E40" s="305"/>
      <c r="F40" s="305"/>
      <c r="G40" s="305"/>
      <c r="H40" s="305"/>
      <c r="K40" s="308"/>
      <c r="L40" s="307" t="s">
        <v>655</v>
      </c>
      <c r="M40" s="1783" t="str">
        <f>'Grant QC Review'!M40</f>
        <v/>
      </c>
      <c r="N40" s="1783"/>
      <c r="O40" s="1783"/>
      <c r="P40" s="1784"/>
      <c r="Q40" s="303"/>
      <c r="R40" s="1782" t="s">
        <v>656</v>
      </c>
      <c r="S40" s="1782"/>
      <c r="T40" s="1782"/>
      <c r="U40" s="1782"/>
      <c r="V40" s="1782"/>
      <c r="W40" s="308"/>
    </row>
    <row r="41" spans="2:24" ht="7.5" customHeight="1">
      <c r="B41" s="2015"/>
      <c r="C41" s="191"/>
      <c r="D41" s="305"/>
      <c r="E41" s="305"/>
      <c r="F41" s="305"/>
      <c r="G41" s="305"/>
      <c r="H41" s="305"/>
      <c r="I41" s="308"/>
      <c r="J41" s="308"/>
      <c r="K41" s="308"/>
      <c r="L41" s="308"/>
      <c r="M41" s="308"/>
      <c r="N41" s="303"/>
      <c r="O41" s="303"/>
      <c r="P41" s="303"/>
      <c r="Q41" s="303"/>
      <c r="R41" s="1782"/>
      <c r="S41" s="1782"/>
      <c r="T41" s="1782"/>
      <c r="U41" s="1782"/>
      <c r="V41" s="1782"/>
      <c r="W41" s="308"/>
    </row>
    <row r="42" spans="2:24" ht="15.8" customHeight="1">
      <c r="B42" s="2015"/>
      <c r="C42" s="191"/>
      <c r="D42" s="305"/>
      <c r="E42" s="305"/>
      <c r="F42" s="305"/>
      <c r="G42" s="305"/>
      <c r="H42" s="305"/>
      <c r="I42" s="694" t="s">
        <v>657</v>
      </c>
      <c r="J42" s="489">
        <f>'Grant QC Review'!J42</f>
        <v>0</v>
      </c>
      <c r="K42" s="308"/>
      <c r="L42" s="324" t="s">
        <v>658</v>
      </c>
      <c r="M42" s="1785" t="str">
        <f>'Grant QC Review'!M42</f>
        <v/>
      </c>
      <c r="N42" s="1785"/>
      <c r="O42" s="1785"/>
      <c r="P42" s="1786"/>
      <c r="Q42" s="303"/>
      <c r="R42" s="1782"/>
      <c r="S42" s="1782"/>
      <c r="T42" s="1782"/>
      <c r="U42" s="1782"/>
      <c r="V42" s="1782"/>
      <c r="W42" s="308"/>
    </row>
    <row r="43" spans="2:24" ht="7.5" customHeight="1">
      <c r="B43" s="2015"/>
      <c r="C43" s="191"/>
      <c r="D43" s="305"/>
      <c r="E43" s="305"/>
      <c r="F43" s="305"/>
      <c r="G43" s="305"/>
      <c r="H43" s="305"/>
      <c r="I43" s="305"/>
      <c r="J43" s="303"/>
      <c r="K43" s="308"/>
      <c r="L43" s="322"/>
      <c r="M43" s="322"/>
      <c r="N43" s="303"/>
      <c r="O43" s="303"/>
      <c r="P43" s="303"/>
      <c r="Q43" s="303"/>
      <c r="R43" s="303"/>
      <c r="S43" s="308"/>
      <c r="T43" s="303"/>
      <c r="U43" s="308"/>
      <c r="V43" s="308"/>
      <c r="W43" s="308"/>
    </row>
    <row r="44" spans="2:24" ht="15.8" customHeight="1">
      <c r="B44" s="2015"/>
      <c r="C44" s="191"/>
      <c r="D44" s="305"/>
      <c r="E44" s="305"/>
      <c r="F44" s="305"/>
      <c r="G44" s="305"/>
      <c r="H44" s="305"/>
      <c r="I44" s="307" t="s">
        <v>659</v>
      </c>
      <c r="J44" s="489">
        <f>'Grant QC Review'!J44</f>
        <v>0</v>
      </c>
      <c r="K44" s="308"/>
      <c r="Q44" s="303"/>
      <c r="R44" s="303"/>
      <c r="S44" s="1010" t="str">
        <f>IF('Grant QC Review'!S44="","",'Grant QC Review'!S44)</f>
        <v/>
      </c>
      <c r="T44" s="303"/>
      <c r="U44" s="313" t="s">
        <v>660</v>
      </c>
      <c r="V44" s="303"/>
      <c r="W44" s="303"/>
      <c r="X44" s="318"/>
    </row>
    <row r="45" spans="2:24" ht="7.5" customHeight="1">
      <c r="B45" s="2015"/>
      <c r="C45" s="191"/>
      <c r="D45" s="305"/>
      <c r="E45" s="305"/>
      <c r="F45" s="305"/>
      <c r="G45" s="305"/>
      <c r="H45" s="305"/>
      <c r="I45" s="305"/>
      <c r="J45" s="303"/>
      <c r="K45" s="308"/>
      <c r="L45" s="323"/>
      <c r="M45" s="323"/>
      <c r="N45" s="303"/>
      <c r="O45" s="303"/>
      <c r="P45" s="303"/>
      <c r="Q45" s="303"/>
      <c r="R45" s="308"/>
      <c r="S45" s="303"/>
      <c r="T45" s="303"/>
      <c r="U45" s="306"/>
      <c r="V45" s="303"/>
      <c r="W45" s="303"/>
      <c r="X45" s="318"/>
    </row>
    <row r="46" spans="2:24" ht="16.3">
      <c r="B46" s="2015"/>
      <c r="C46" s="191"/>
      <c r="D46" s="305"/>
      <c r="E46" s="305"/>
      <c r="F46" s="305"/>
      <c r="G46" s="305"/>
      <c r="H46" s="305"/>
      <c r="I46" s="307" t="s">
        <v>661</v>
      </c>
      <c r="J46" s="489">
        <f>'Grant QC Review'!J46</f>
        <v>0</v>
      </c>
      <c r="K46" s="308"/>
      <c r="L46" s="694" t="s">
        <v>662</v>
      </c>
      <c r="M46" s="1783" t="str">
        <f>'Grant QC Review'!M46</f>
        <v/>
      </c>
      <c r="N46" s="1783"/>
      <c r="O46" s="1783"/>
      <c r="P46" s="1784"/>
      <c r="Q46" s="303"/>
      <c r="R46" s="308"/>
      <c r="S46" s="1010" t="str">
        <f>IF('Grant QC Review'!S46="","",'Grant QC Review'!S46)</f>
        <v/>
      </c>
      <c r="T46" s="303"/>
      <c r="U46" s="321" t="s">
        <v>663</v>
      </c>
      <c r="V46" s="303"/>
      <c r="W46" s="303"/>
      <c r="X46" s="318"/>
    </row>
    <row r="47" spans="2:24" ht="7.5" customHeight="1">
      <c r="B47" s="191"/>
      <c r="C47" s="191"/>
      <c r="D47" s="305"/>
      <c r="E47" s="305"/>
      <c r="F47" s="305"/>
      <c r="G47" s="305"/>
      <c r="H47" s="305"/>
      <c r="I47" s="305"/>
      <c r="J47" s="305"/>
      <c r="K47" s="308"/>
      <c r="L47" s="303"/>
      <c r="M47" s="303"/>
      <c r="N47" s="303"/>
      <c r="O47" s="303"/>
      <c r="P47" s="303"/>
      <c r="Q47" s="303"/>
      <c r="R47" s="308"/>
      <c r="S47" s="308"/>
      <c r="T47" s="303"/>
      <c r="U47" s="303"/>
      <c r="V47" s="303"/>
      <c r="W47" s="303"/>
      <c r="X47" s="318"/>
    </row>
    <row r="48" spans="2:24" ht="15.8" customHeight="1">
      <c r="B48" s="191"/>
      <c r="C48" s="191"/>
      <c r="D48" s="305"/>
      <c r="E48" s="305"/>
      <c r="F48" s="305"/>
      <c r="G48" s="305"/>
      <c r="H48" s="305"/>
      <c r="I48" s="307" t="s">
        <v>664</v>
      </c>
      <c r="J48" s="491">
        <f>'Grant QC Review'!J48</f>
        <v>0</v>
      </c>
      <c r="L48" s="307" t="s">
        <v>654</v>
      </c>
      <c r="M48" s="1783" t="str">
        <f>'Grant QC Review'!M48</f>
        <v/>
      </c>
      <c r="N48" s="1783"/>
      <c r="O48" s="1783"/>
      <c r="P48" s="1784"/>
      <c r="Q48" s="303"/>
      <c r="R48" s="308"/>
      <c r="S48" s="308" t="s">
        <v>665</v>
      </c>
      <c r="T48" s="308"/>
      <c r="U48" s="308"/>
      <c r="V48" s="308"/>
      <c r="W48" s="303"/>
      <c r="X48" s="318"/>
    </row>
    <row r="49" spans="2:24" ht="7.5" customHeight="1">
      <c r="B49" s="191"/>
      <c r="C49" s="191"/>
      <c r="D49" s="305"/>
      <c r="E49" s="305"/>
      <c r="F49" s="305"/>
      <c r="G49" s="305"/>
      <c r="H49" s="305"/>
      <c r="I49" s="305"/>
      <c r="J49" s="305"/>
      <c r="K49" s="308"/>
      <c r="N49" s="303"/>
      <c r="O49" s="303"/>
      <c r="P49" s="303"/>
      <c r="Q49" s="303"/>
      <c r="R49" s="303"/>
      <c r="S49" s="1926" t="str">
        <f>IF('Grant QC Review'!S49="","",'Grant QC Review'!S49)</f>
        <v/>
      </c>
      <c r="T49" s="1927"/>
      <c r="U49" s="1927"/>
      <c r="V49" s="1928"/>
      <c r="W49" s="303"/>
      <c r="X49" s="318"/>
    </row>
    <row r="50" spans="2:24" ht="15.8" customHeight="1">
      <c r="B50" s="191"/>
      <c r="C50" s="191"/>
      <c r="I50" s="305"/>
      <c r="K50" s="308"/>
      <c r="L50" s="307" t="s">
        <v>655</v>
      </c>
      <c r="M50" s="1783" t="str">
        <f>'Grant QC Review'!M50</f>
        <v/>
      </c>
      <c r="N50" s="1783"/>
      <c r="O50" s="1783"/>
      <c r="P50" s="1784"/>
      <c r="Q50" s="303"/>
      <c r="R50" s="303"/>
      <c r="S50" s="1929"/>
      <c r="T50" s="1930"/>
      <c r="U50" s="1930"/>
      <c r="V50" s="1931"/>
      <c r="W50" s="303"/>
      <c r="X50" s="318"/>
    </row>
    <row r="51" spans="2:24" ht="7.5" customHeight="1">
      <c r="B51" s="191"/>
      <c r="C51" s="191"/>
      <c r="D51" s="305"/>
      <c r="E51" s="305"/>
      <c r="F51" s="305"/>
      <c r="G51" s="305"/>
      <c r="H51" s="305"/>
      <c r="I51" s="305"/>
      <c r="K51" s="308"/>
      <c r="L51" s="308"/>
      <c r="M51" s="308"/>
      <c r="N51" s="303"/>
      <c r="O51" s="303"/>
      <c r="P51" s="303"/>
      <c r="Q51" s="303"/>
      <c r="R51" s="303"/>
      <c r="S51" s="1929"/>
      <c r="T51" s="1930"/>
      <c r="U51" s="1930"/>
      <c r="V51" s="1931"/>
      <c r="W51" s="303"/>
      <c r="X51" s="318"/>
    </row>
    <row r="52" spans="2:24" ht="15.8" customHeight="1">
      <c r="B52" s="191"/>
      <c r="C52" s="191"/>
      <c r="K52" s="308"/>
      <c r="L52" s="324" t="s">
        <v>658</v>
      </c>
      <c r="M52" s="1785" t="str">
        <f>'Grant QC Review'!M52</f>
        <v/>
      </c>
      <c r="N52" s="1785"/>
      <c r="O52" s="1785"/>
      <c r="P52" s="1786"/>
      <c r="Q52" s="303"/>
      <c r="R52" s="303"/>
      <c r="S52" s="1929"/>
      <c r="T52" s="1930"/>
      <c r="U52" s="1930"/>
      <c r="V52" s="1931"/>
      <c r="W52" s="303"/>
      <c r="X52" s="318"/>
    </row>
    <row r="53" spans="2:24" ht="7.5" customHeight="1">
      <c r="B53" s="191"/>
      <c r="C53" s="191"/>
      <c r="K53" s="308"/>
      <c r="Q53" s="303"/>
      <c r="R53" s="303"/>
      <c r="S53" s="1929"/>
      <c r="T53" s="1930"/>
      <c r="U53" s="1930"/>
      <c r="V53" s="1931"/>
      <c r="W53" s="303"/>
    </row>
    <row r="54" spans="2:24" ht="15.8" customHeight="1">
      <c r="B54" s="191"/>
      <c r="C54" s="191"/>
      <c r="D54" s="492" t="s">
        <v>666</v>
      </c>
      <c r="E54" s="492"/>
      <c r="F54" s="492" t="s">
        <v>667</v>
      </c>
      <c r="G54" s="492"/>
      <c r="H54" s="492" t="s">
        <v>668</v>
      </c>
      <c r="K54" s="308"/>
      <c r="Q54" s="303"/>
      <c r="R54" s="303"/>
      <c r="S54" s="1929"/>
      <c r="T54" s="1930"/>
      <c r="U54" s="1930"/>
      <c r="V54" s="1931"/>
      <c r="W54" s="303"/>
      <c r="X54" s="318"/>
    </row>
    <row r="55" spans="2:24" ht="7.5" customHeight="1">
      <c r="B55" s="191"/>
      <c r="C55" s="191"/>
      <c r="D55" s="305"/>
      <c r="E55" s="305"/>
      <c r="F55" s="305"/>
      <c r="G55" s="305"/>
      <c r="H55" s="305"/>
      <c r="I55" s="308"/>
      <c r="K55" s="308"/>
      <c r="L55" s="308"/>
      <c r="M55" s="308"/>
      <c r="N55" s="303"/>
      <c r="O55" s="303"/>
      <c r="P55" s="303"/>
      <c r="Q55" s="303"/>
      <c r="R55" s="303"/>
      <c r="S55" s="1929"/>
      <c r="T55" s="1930"/>
      <c r="U55" s="1930"/>
      <c r="V55" s="1931"/>
      <c r="W55" s="308"/>
    </row>
    <row r="56" spans="2:24" ht="15.8" customHeight="1">
      <c r="B56" s="191"/>
      <c r="C56" s="191"/>
      <c r="D56" s="826"/>
      <c r="E56" s="325"/>
      <c r="F56" s="1013"/>
      <c r="G56" s="325"/>
      <c r="H56" s="1013"/>
      <c r="I56" s="326" t="s">
        <v>669</v>
      </c>
      <c r="K56" s="308"/>
      <c r="N56" s="303"/>
      <c r="O56" s="303"/>
      <c r="P56" s="303"/>
      <c r="Q56" s="303"/>
      <c r="R56" s="303"/>
      <c r="S56" s="1929"/>
      <c r="T56" s="1930"/>
      <c r="U56" s="1930"/>
      <c r="V56" s="1931"/>
      <c r="W56" s="308"/>
    </row>
    <row r="57" spans="2:24" ht="7.5" customHeight="1">
      <c r="B57" s="191"/>
      <c r="C57" s="191"/>
      <c r="D57" s="305"/>
      <c r="E57" s="305"/>
      <c r="F57" s="305"/>
      <c r="H57" s="305"/>
      <c r="K57" s="308"/>
      <c r="L57" s="308"/>
      <c r="N57" s="303"/>
      <c r="O57" s="303"/>
      <c r="P57" s="303"/>
      <c r="Q57" s="303"/>
      <c r="R57" s="303"/>
      <c r="S57" s="1929"/>
      <c r="T57" s="1930"/>
      <c r="U57" s="1930"/>
      <c r="V57" s="1931"/>
      <c r="W57" s="308"/>
    </row>
    <row r="58" spans="2:24" ht="15.8" customHeight="1">
      <c r="B58" s="191"/>
      <c r="C58" s="191"/>
      <c r="D58" s="826"/>
      <c r="E58" s="325"/>
      <c r="F58" s="1013"/>
      <c r="G58" s="325"/>
      <c r="H58" s="1013"/>
      <c r="I58" s="326" t="s">
        <v>670</v>
      </c>
      <c r="K58" s="308"/>
      <c r="N58" s="303"/>
      <c r="O58" s="303"/>
      <c r="P58" s="303"/>
      <c r="Q58" s="303"/>
      <c r="R58" s="303"/>
      <c r="S58" s="1929"/>
      <c r="T58" s="1930"/>
      <c r="U58" s="1930"/>
      <c r="V58" s="1931"/>
      <c r="W58" s="303"/>
      <c r="X58" s="318"/>
    </row>
    <row r="59" spans="2:24" ht="7.5" customHeight="1">
      <c r="B59" s="191"/>
      <c r="C59" s="191"/>
      <c r="D59" s="325"/>
      <c r="E59" s="325"/>
      <c r="F59" s="325"/>
      <c r="G59" s="325"/>
      <c r="H59" s="325"/>
      <c r="I59" s="327"/>
      <c r="K59" s="308"/>
      <c r="L59" s="303"/>
      <c r="N59" s="303"/>
      <c r="O59" s="303"/>
      <c r="P59" s="303"/>
      <c r="Q59" s="303"/>
      <c r="R59" s="303"/>
      <c r="S59" s="1929"/>
      <c r="T59" s="1930"/>
      <c r="U59" s="1930"/>
      <c r="V59" s="1931"/>
      <c r="W59" s="303"/>
      <c r="X59" s="318"/>
    </row>
    <row r="60" spans="2:24" ht="15.8" customHeight="1">
      <c r="B60" s="191"/>
      <c r="C60" s="191"/>
      <c r="D60" s="826"/>
      <c r="E60" s="325"/>
      <c r="F60" s="1013"/>
      <c r="G60" s="325"/>
      <c r="H60" s="1013"/>
      <c r="I60" s="326" t="s">
        <v>671</v>
      </c>
      <c r="K60" s="308"/>
      <c r="N60" s="303"/>
      <c r="O60" s="303"/>
      <c r="P60" s="303"/>
      <c r="Q60" s="303"/>
      <c r="R60" s="303"/>
      <c r="S60" s="1929"/>
      <c r="T60" s="1930"/>
      <c r="U60" s="1930"/>
      <c r="V60" s="1931"/>
      <c r="W60" s="303"/>
      <c r="X60" s="318"/>
    </row>
    <row r="61" spans="2:24" ht="7.5" customHeight="1">
      <c r="B61" s="191"/>
      <c r="C61" s="191"/>
      <c r="D61" s="305"/>
      <c r="E61" s="305"/>
      <c r="F61" s="305"/>
      <c r="H61" s="305"/>
      <c r="K61" s="308"/>
      <c r="N61" s="303"/>
      <c r="O61" s="303"/>
      <c r="P61" s="303"/>
      <c r="Q61" s="303"/>
      <c r="R61" s="303"/>
      <c r="S61" s="1929"/>
      <c r="T61" s="1930"/>
      <c r="U61" s="1930"/>
      <c r="V61" s="1931"/>
      <c r="W61" s="303"/>
      <c r="X61" s="318"/>
    </row>
    <row r="62" spans="2:24" ht="15.8" customHeight="1">
      <c r="B62" s="191"/>
      <c r="C62" s="191"/>
      <c r="D62" s="826"/>
      <c r="E62" s="325"/>
      <c r="F62" s="1013"/>
      <c r="G62" s="325"/>
      <c r="H62" s="1013"/>
      <c r="I62" s="326" t="s">
        <v>672</v>
      </c>
      <c r="K62" s="308"/>
      <c r="N62" s="303"/>
      <c r="O62" s="303"/>
      <c r="P62" s="303"/>
      <c r="Q62" s="303"/>
      <c r="R62" s="303"/>
      <c r="S62" s="1929"/>
      <c r="T62" s="1930"/>
      <c r="U62" s="1930"/>
      <c r="V62" s="1931"/>
      <c r="W62" s="303"/>
      <c r="X62" s="318"/>
    </row>
    <row r="63" spans="2:24" ht="7.5" customHeight="1">
      <c r="B63" s="191"/>
      <c r="C63" s="191"/>
      <c r="J63" s="308"/>
      <c r="K63" s="308"/>
      <c r="L63" s="308"/>
      <c r="M63" s="308"/>
      <c r="N63" s="303"/>
      <c r="O63" s="303"/>
      <c r="P63" s="303"/>
      <c r="Q63" s="303"/>
      <c r="R63" s="303"/>
      <c r="S63" s="1929"/>
      <c r="T63" s="1930"/>
      <c r="U63" s="1930"/>
      <c r="V63" s="1931"/>
      <c r="W63" s="303"/>
      <c r="X63" s="318"/>
    </row>
    <row r="64" spans="2:24" ht="15.8" customHeight="1">
      <c r="B64" s="191"/>
      <c r="C64" s="191"/>
      <c r="D64" s="826"/>
      <c r="E64" s="325"/>
      <c r="F64" s="1013"/>
      <c r="G64" s="325"/>
      <c r="H64" s="1013"/>
      <c r="I64" s="326" t="s">
        <v>673</v>
      </c>
      <c r="J64" s="308"/>
      <c r="K64" s="308"/>
      <c r="L64" s="308"/>
      <c r="M64" s="308"/>
      <c r="N64" s="303"/>
      <c r="O64" s="303"/>
      <c r="P64" s="303"/>
      <c r="Q64" s="303"/>
      <c r="R64" s="303"/>
      <c r="S64" s="1932"/>
      <c r="T64" s="1933"/>
      <c r="U64" s="1933"/>
      <c r="V64" s="1934"/>
      <c r="W64" s="303"/>
      <c r="X64" s="318"/>
    </row>
    <row r="65" spans="2:24" ht="7.5" customHeight="1">
      <c r="B65" s="191"/>
      <c r="C65" s="191"/>
      <c r="J65" s="305"/>
      <c r="K65" s="308"/>
      <c r="L65" s="303"/>
      <c r="M65" s="303"/>
      <c r="N65" s="303"/>
      <c r="O65" s="303"/>
      <c r="P65" s="303"/>
      <c r="Q65" s="303"/>
      <c r="R65" s="303"/>
      <c r="S65" s="303"/>
      <c r="T65" s="303"/>
      <c r="U65" s="303"/>
      <c r="V65" s="303"/>
      <c r="W65" s="303"/>
      <c r="X65" s="318"/>
    </row>
    <row r="66" spans="2:24" ht="15.8" customHeight="1">
      <c r="D66" s="1013" t="str">
        <f ca="1">IF(INDIRECT("'Grant QC Review'!D66")="","",INDIRECT("'Grant QC Review'!D66"))</f>
        <v/>
      </c>
      <c r="E66" s="325"/>
      <c r="F66" s="1013"/>
      <c r="G66" s="325"/>
      <c r="H66" s="1013" t="str">
        <f ca="1">IF(INDIRECT("'Grant QC Review'!H66")="","",INDIRECT("'Grant QC Review'!H66"))</f>
        <v/>
      </c>
      <c r="I66" s="326" t="s">
        <v>674</v>
      </c>
      <c r="J66" s="305"/>
      <c r="K66" s="308"/>
      <c r="L66" s="303"/>
      <c r="M66" s="303"/>
      <c r="N66" s="303"/>
      <c r="O66" s="303"/>
      <c r="P66" s="303"/>
      <c r="Q66" s="303"/>
      <c r="R66" s="303"/>
      <c r="S66" s="308" t="s">
        <v>675</v>
      </c>
      <c r="T66" s="308"/>
      <c r="U66" s="308"/>
      <c r="V66" s="308"/>
      <c r="W66" s="303"/>
      <c r="X66" s="318"/>
    </row>
    <row r="67" spans="2:24" ht="7.5" customHeight="1">
      <c r="J67" s="305"/>
      <c r="K67" s="308"/>
      <c r="L67" s="303"/>
      <c r="M67" s="303"/>
      <c r="N67" s="303"/>
      <c r="O67" s="303"/>
      <c r="P67" s="303"/>
      <c r="Q67" s="303"/>
      <c r="R67" s="303"/>
      <c r="S67" s="1926">
        <f>'Grant QC Review'!S67</f>
        <v>0</v>
      </c>
      <c r="T67" s="1927"/>
      <c r="U67" s="1927"/>
      <c r="V67" s="1928"/>
      <c r="W67" s="303"/>
      <c r="X67" s="318"/>
    </row>
    <row r="68" spans="2:24" ht="15.8" customHeight="1">
      <c r="B68" s="1150"/>
      <c r="D68" s="823" t="s">
        <v>676</v>
      </c>
      <c r="E68" s="822"/>
      <c r="F68" s="822"/>
      <c r="G68" s="822"/>
      <c r="H68" s="822"/>
      <c r="I68" s="822"/>
      <c r="J68" s="822"/>
      <c r="K68" s="822"/>
      <c r="L68" s="827"/>
      <c r="M68" s="827"/>
      <c r="N68" s="827"/>
      <c r="O68" s="303"/>
      <c r="P68" s="303"/>
      <c r="Q68" s="303"/>
      <c r="R68" s="303"/>
      <c r="S68" s="1929"/>
      <c r="T68" s="1930"/>
      <c r="U68" s="1930"/>
      <c r="V68" s="1931"/>
      <c r="W68" s="303"/>
      <c r="X68" s="318"/>
    </row>
    <row r="69" spans="2:24" ht="7.5" customHeight="1">
      <c r="B69" s="1150"/>
      <c r="J69" s="327"/>
      <c r="K69" s="308"/>
      <c r="L69" s="303"/>
      <c r="M69" s="303"/>
      <c r="N69" s="303"/>
      <c r="O69" s="303"/>
      <c r="P69" s="303"/>
      <c r="Q69" s="303"/>
      <c r="R69" s="303"/>
      <c r="S69" s="1929"/>
      <c r="T69" s="1930"/>
      <c r="U69" s="1930"/>
      <c r="V69" s="1931"/>
      <c r="W69" s="303"/>
      <c r="X69" s="318"/>
    </row>
    <row r="70" spans="2:24" ht="15.8" customHeight="1">
      <c r="B70" s="1150"/>
      <c r="J70" s="322" t="s">
        <v>677</v>
      </c>
      <c r="L70" s="1796">
        <f>M32</f>
        <v>0</v>
      </c>
      <c r="M70" s="1797"/>
      <c r="N70" s="303"/>
      <c r="O70" s="303"/>
      <c r="P70" s="303"/>
      <c r="Q70" s="303"/>
      <c r="R70" s="303"/>
      <c r="S70" s="1929"/>
      <c r="T70" s="1930"/>
      <c r="U70" s="1930"/>
      <c r="V70" s="1931"/>
      <c r="W70" s="303"/>
      <c r="X70" s="318"/>
    </row>
    <row r="71" spans="2:24" ht="7.5" customHeight="1">
      <c r="B71" s="1150"/>
      <c r="D71" s="325"/>
      <c r="E71" s="325"/>
      <c r="F71" s="325"/>
      <c r="G71" s="325"/>
      <c r="H71" s="325"/>
      <c r="I71" s="327"/>
      <c r="J71" s="308"/>
      <c r="K71" s="308"/>
      <c r="L71" s="308"/>
      <c r="M71" s="308"/>
      <c r="N71" s="303"/>
      <c r="O71" s="303"/>
      <c r="P71" s="303"/>
      <c r="Q71" s="303"/>
      <c r="R71" s="303"/>
      <c r="S71" s="1929"/>
      <c r="T71" s="1930"/>
      <c r="U71" s="1930"/>
      <c r="V71" s="1931"/>
      <c r="W71" s="303"/>
      <c r="X71" s="318"/>
    </row>
    <row r="72" spans="2:24" ht="15.8" customHeight="1">
      <c r="B72" s="1150"/>
      <c r="J72" s="322" t="s">
        <v>678</v>
      </c>
      <c r="K72" s="308"/>
      <c r="L72" s="1796">
        <f>'Grant QC Review'!L72</f>
        <v>0</v>
      </c>
      <c r="M72" s="1797"/>
      <c r="N72" s="303"/>
      <c r="O72" s="328">
        <f>IFERROR(L72/M32,0)</f>
        <v>0</v>
      </c>
      <c r="P72" s="329" t="s">
        <v>679</v>
      </c>
      <c r="Q72" s="303"/>
      <c r="R72" s="303"/>
      <c r="S72" s="1929"/>
      <c r="T72" s="1930"/>
      <c r="U72" s="1930"/>
      <c r="V72" s="1931"/>
      <c r="W72" s="303"/>
      <c r="X72" s="318"/>
    </row>
    <row r="73" spans="2:24" ht="7.5" customHeight="1">
      <c r="B73" s="1150"/>
      <c r="J73" s="327"/>
      <c r="K73" s="308"/>
      <c r="L73" s="303"/>
      <c r="M73" s="303"/>
      <c r="N73" s="303"/>
      <c r="P73" s="303"/>
      <c r="Q73" s="303"/>
      <c r="R73" s="303"/>
      <c r="S73" s="1929"/>
      <c r="T73" s="1930"/>
      <c r="U73" s="1930"/>
      <c r="V73" s="1931"/>
      <c r="W73" s="303"/>
      <c r="X73" s="318"/>
    </row>
    <row r="74" spans="2:24" ht="15.8" customHeight="1">
      <c r="B74" s="1150"/>
      <c r="J74" s="330" t="s">
        <v>680</v>
      </c>
      <c r="K74" s="169"/>
      <c r="L74" s="1939">
        <f>'Grant QC Review'!L74</f>
        <v>0</v>
      </c>
      <c r="M74" s="1940"/>
      <c r="Q74" s="303"/>
      <c r="R74" s="303"/>
      <c r="S74" s="1929"/>
      <c r="T74" s="1930"/>
      <c r="U74" s="1930"/>
      <c r="V74" s="1931"/>
      <c r="W74" s="303"/>
      <c r="X74" s="318"/>
    </row>
    <row r="75" spans="2:24" ht="7.5" customHeight="1">
      <c r="B75" s="1150"/>
      <c r="J75" s="308"/>
      <c r="K75" s="308"/>
      <c r="L75" s="303"/>
      <c r="M75" s="303"/>
      <c r="Q75" s="303"/>
      <c r="R75" s="303"/>
      <c r="S75" s="1929"/>
      <c r="T75" s="1930"/>
      <c r="U75" s="1930"/>
      <c r="V75" s="1931"/>
      <c r="W75" s="303"/>
      <c r="X75" s="318"/>
    </row>
    <row r="76" spans="2:24" ht="15.8" customHeight="1">
      <c r="B76" s="1150"/>
      <c r="J76" s="330" t="s">
        <v>681</v>
      </c>
      <c r="K76" s="169"/>
      <c r="L76" s="1939">
        <f>'Grant QC Review'!L76</f>
        <v>0</v>
      </c>
      <c r="M76" s="1940"/>
      <c r="Q76" s="303"/>
      <c r="R76" s="303"/>
      <c r="S76" s="1929"/>
      <c r="T76" s="1930"/>
      <c r="U76" s="1930"/>
      <c r="V76" s="1931"/>
      <c r="W76" s="303"/>
      <c r="X76" s="318"/>
    </row>
    <row r="77" spans="2:24" ht="7.5" customHeight="1">
      <c r="B77" s="1150"/>
      <c r="Q77" s="303"/>
      <c r="R77" s="303"/>
      <c r="S77" s="1929"/>
      <c r="T77" s="1930"/>
      <c r="U77" s="1930"/>
      <c r="V77" s="1931"/>
      <c r="W77" s="303"/>
      <c r="X77" s="318"/>
    </row>
    <row r="78" spans="2:24" ht="15.8" customHeight="1">
      <c r="B78" s="1150"/>
      <c r="J78" s="330" t="s">
        <v>682</v>
      </c>
      <c r="K78" s="169"/>
      <c r="L78" s="1939">
        <f>'Grant QC Review'!L78</f>
        <v>0</v>
      </c>
      <c r="M78" s="1940"/>
      <c r="Q78" s="303"/>
      <c r="R78" s="303"/>
      <c r="S78" s="1929"/>
      <c r="T78" s="1930"/>
      <c r="U78" s="1930"/>
      <c r="V78" s="1931"/>
      <c r="W78" s="303"/>
      <c r="X78" s="318"/>
    </row>
    <row r="79" spans="2:24" ht="7.5" customHeight="1">
      <c r="B79" s="1150"/>
      <c r="D79" s="308"/>
      <c r="E79" s="308"/>
      <c r="F79" s="308"/>
      <c r="G79" s="308"/>
      <c r="H79" s="308"/>
      <c r="I79" s="308"/>
      <c r="Q79" s="303"/>
      <c r="R79" s="303"/>
      <c r="S79" s="1929"/>
      <c r="T79" s="1930"/>
      <c r="U79" s="1930"/>
      <c r="V79" s="1931"/>
      <c r="W79" s="303"/>
      <c r="X79" s="318"/>
    </row>
    <row r="80" spans="2:24" ht="15.8" customHeight="1">
      <c r="B80" s="1150"/>
      <c r="D80" s="308"/>
      <c r="E80" s="308"/>
      <c r="F80" s="308"/>
      <c r="G80" s="308"/>
      <c r="H80" s="308"/>
      <c r="I80" s="308"/>
      <c r="J80" s="322" t="s">
        <v>683</v>
      </c>
      <c r="K80" s="308"/>
      <c r="L80" s="1796">
        <f>'Grant QC Review'!L80</f>
        <v>0</v>
      </c>
      <c r="M80" s="1797"/>
      <c r="N80" s="331"/>
      <c r="O80" s="328">
        <f>IFERROR(L80/L72,0)</f>
        <v>0</v>
      </c>
      <c r="P80" s="329" t="s">
        <v>684</v>
      </c>
      <c r="Q80" s="308"/>
      <c r="R80" s="303"/>
      <c r="S80" s="1929"/>
      <c r="T80" s="1930"/>
      <c r="U80" s="1930"/>
      <c r="V80" s="1931"/>
      <c r="W80" s="303"/>
      <c r="X80" s="318"/>
    </row>
    <row r="81" spans="2:24" ht="7.5" customHeight="1">
      <c r="B81" s="1150"/>
      <c r="D81" s="308"/>
      <c r="E81" s="308"/>
      <c r="F81" s="308"/>
      <c r="G81" s="308"/>
      <c r="H81" s="308"/>
      <c r="I81" s="308"/>
      <c r="J81" s="308"/>
      <c r="K81" s="308"/>
      <c r="L81" s="303"/>
      <c r="M81" s="303"/>
      <c r="N81" s="303"/>
      <c r="O81" s="303"/>
      <c r="P81" s="303"/>
      <c r="Q81" s="308"/>
      <c r="R81" s="303"/>
      <c r="S81" s="1929"/>
      <c r="T81" s="1930"/>
      <c r="U81" s="1930"/>
      <c r="V81" s="1931"/>
      <c r="W81" s="303"/>
      <c r="X81" s="318"/>
    </row>
    <row r="82" spans="2:24" ht="15.8" customHeight="1">
      <c r="B82" s="1150"/>
      <c r="C82" s="191"/>
      <c r="J82" s="322" t="s">
        <v>849</v>
      </c>
      <c r="K82" s="308"/>
      <c r="L82" s="1796">
        <f>'Grant QC Review'!L82</f>
        <v>0</v>
      </c>
      <c r="M82" s="1797"/>
      <c r="Q82" s="303"/>
      <c r="R82" s="303"/>
      <c r="S82" s="1932"/>
      <c r="T82" s="1933"/>
      <c r="U82" s="1933"/>
      <c r="V82" s="1934"/>
      <c r="W82" s="303"/>
      <c r="X82" s="318"/>
    </row>
    <row r="83" spans="2:24" ht="7.5" customHeight="1">
      <c r="B83" s="1150"/>
      <c r="C83" s="191"/>
      <c r="D83" s="305"/>
      <c r="E83" s="305"/>
      <c r="F83" s="305"/>
      <c r="G83" s="305"/>
      <c r="H83" s="305"/>
      <c r="I83" s="308"/>
      <c r="J83" s="332"/>
      <c r="K83" s="332"/>
      <c r="L83" s="333"/>
      <c r="M83" s="333"/>
      <c r="N83" s="303"/>
      <c r="O83" s="303"/>
      <c r="P83" s="303"/>
      <c r="Q83" s="303"/>
      <c r="R83" s="303"/>
      <c r="S83" s="303"/>
      <c r="T83" s="303"/>
      <c r="U83" s="303"/>
      <c r="V83" s="303"/>
      <c r="W83" s="303"/>
      <c r="X83" s="318"/>
    </row>
    <row r="84" spans="2:24" ht="15.8" customHeight="1">
      <c r="B84" s="1150"/>
      <c r="C84" s="191"/>
      <c r="D84" s="305"/>
      <c r="E84" s="305"/>
      <c r="F84" s="305"/>
      <c r="G84" s="305"/>
      <c r="H84" s="305"/>
      <c r="J84" s="322" t="s">
        <v>686</v>
      </c>
      <c r="K84" s="308"/>
      <c r="L84" s="1816">
        <f>'Grant QC Review'!L84</f>
        <v>0</v>
      </c>
      <c r="M84" s="1817"/>
      <c r="Q84" s="303"/>
      <c r="R84" s="303"/>
      <c r="S84" s="308" t="s">
        <v>687</v>
      </c>
      <c r="T84" s="308"/>
      <c r="U84" s="308"/>
      <c r="V84" s="308"/>
      <c r="W84" s="303"/>
      <c r="X84" s="318"/>
    </row>
    <row r="85" spans="2:24" ht="7.5" customHeight="1">
      <c r="B85" s="1150"/>
      <c r="C85" s="191"/>
      <c r="D85" s="305"/>
      <c r="E85" s="305"/>
      <c r="F85" s="305"/>
      <c r="G85" s="305"/>
      <c r="H85" s="305"/>
      <c r="Q85" s="303"/>
      <c r="R85" s="303"/>
      <c r="S85" s="1926">
        <f>'Grant QC Review'!S85</f>
        <v>0</v>
      </c>
      <c r="T85" s="1927"/>
      <c r="U85" s="1927"/>
      <c r="V85" s="1928"/>
      <c r="W85" s="303"/>
      <c r="X85" s="318"/>
    </row>
    <row r="86" spans="2:24" ht="15.8" customHeight="1">
      <c r="B86" s="1150"/>
      <c r="C86" s="191"/>
      <c r="Q86" s="329"/>
      <c r="R86" s="303"/>
      <c r="S86" s="1929"/>
      <c r="T86" s="1930"/>
      <c r="U86" s="1930"/>
      <c r="V86" s="1931"/>
      <c r="W86" s="303"/>
      <c r="X86" s="318"/>
    </row>
    <row r="87" spans="2:24" ht="7.5" customHeight="1">
      <c r="B87" s="191"/>
      <c r="C87" s="191"/>
      <c r="D87" s="305"/>
      <c r="E87" s="305"/>
      <c r="F87" s="305"/>
      <c r="G87" s="305"/>
      <c r="H87" s="305"/>
      <c r="J87" s="308"/>
      <c r="K87" s="308"/>
      <c r="L87" s="322"/>
      <c r="M87" s="322"/>
      <c r="N87" s="331"/>
      <c r="O87" s="331"/>
      <c r="P87" s="331"/>
      <c r="Q87" s="303"/>
      <c r="R87" s="303"/>
      <c r="S87" s="1929"/>
      <c r="T87" s="1930"/>
      <c r="U87" s="1930"/>
      <c r="V87" s="1931"/>
      <c r="W87" s="303"/>
      <c r="X87" s="318"/>
    </row>
    <row r="88" spans="2:24" ht="15.8" customHeight="1">
      <c r="B88" s="2016"/>
      <c r="C88" s="191"/>
      <c r="D88" s="823" t="s">
        <v>688</v>
      </c>
      <c r="E88" s="822"/>
      <c r="F88" s="822"/>
      <c r="G88" s="822"/>
      <c r="H88" s="822"/>
      <c r="I88" s="822"/>
      <c r="J88" s="822"/>
      <c r="K88" s="822"/>
      <c r="L88" s="827" t="str">
        <f ca="1">'Grant QC Review'!L88</f>
        <v>Fixture/TLED/Control Grant</v>
      </c>
      <c r="M88" s="827"/>
      <c r="N88" s="827"/>
      <c r="O88" s="827" t="str">
        <f>'Grant QC Review'!O88</f>
        <v xml:space="preserve">            LLLC (performance) Grant</v>
      </c>
      <c r="P88" s="823"/>
      <c r="R88" s="303"/>
      <c r="S88" s="1929"/>
      <c r="T88" s="1930"/>
      <c r="U88" s="1930"/>
      <c r="V88" s="1931"/>
      <c r="W88" s="303"/>
      <c r="X88" s="318"/>
    </row>
    <row r="89" spans="2:24" ht="7.5" customHeight="1">
      <c r="B89" s="2016"/>
      <c r="C89" s="191"/>
      <c r="Q89" s="303"/>
      <c r="R89" s="303"/>
      <c r="S89" s="1929"/>
      <c r="T89" s="1930"/>
      <c r="U89" s="1930"/>
      <c r="V89" s="1931"/>
      <c r="W89" s="303"/>
      <c r="X89" s="318"/>
    </row>
    <row r="90" spans="2:24" ht="15.8" customHeight="1">
      <c r="B90" s="2016"/>
      <c r="C90" s="191"/>
      <c r="J90" s="322" t="s">
        <v>690</v>
      </c>
      <c r="K90" s="308"/>
      <c r="L90" s="1077">
        <f>'Grant QC Review'!L90</f>
        <v>0</v>
      </c>
      <c r="M90" s="1019" t="str">
        <f>'Grant QC Review'!M90</f>
        <v>P#:</v>
      </c>
      <c r="N90" s="308"/>
      <c r="O90" s="1935">
        <f>'Grant QC Review'!O90</f>
        <v>0</v>
      </c>
      <c r="P90" s="1936"/>
      <c r="R90" s="303"/>
      <c r="S90" s="1929"/>
      <c r="T90" s="1930"/>
      <c r="U90" s="1930"/>
      <c r="V90" s="1931"/>
      <c r="W90" s="303"/>
      <c r="X90" s="318"/>
    </row>
    <row r="91" spans="2:24" ht="7.5" customHeight="1">
      <c r="B91" s="2016"/>
      <c r="C91" s="191"/>
      <c r="D91" s="305"/>
      <c r="E91" s="305"/>
      <c r="F91" s="305"/>
      <c r="G91" s="305"/>
      <c r="H91" s="305"/>
      <c r="M91" s="1019"/>
      <c r="P91" s="303"/>
      <c r="Q91" s="303"/>
      <c r="R91" s="303"/>
      <c r="S91" s="1929"/>
      <c r="T91" s="1930"/>
      <c r="U91" s="1930"/>
      <c r="V91" s="1931"/>
      <c r="W91" s="303"/>
      <c r="X91" s="318"/>
    </row>
    <row r="92" spans="2:24" ht="15.8" customHeight="1">
      <c r="B92" s="2016"/>
      <c r="C92" s="191"/>
      <c r="D92" s="305"/>
      <c r="E92" s="305"/>
      <c r="F92" s="305"/>
      <c r="G92" s="305"/>
      <c r="H92" s="305"/>
      <c r="J92" s="322" t="s">
        <v>692</v>
      </c>
      <c r="K92" s="308"/>
      <c r="L92" s="1014">
        <f ca="1">'Grant QC Review'!L92</f>
        <v>0</v>
      </c>
      <c r="M92" s="1019" t="str">
        <f>'Grant QC Review'!M92</f>
        <v>Cost:</v>
      </c>
      <c r="N92" s="476"/>
      <c r="O92" s="1937">
        <f ca="1">'Grant QC Review'!O92</f>
        <v>0</v>
      </c>
      <c r="P92" s="1938"/>
      <c r="R92" s="303"/>
      <c r="S92" s="1929"/>
      <c r="T92" s="1930"/>
      <c r="U92" s="1930"/>
      <c r="V92" s="1931"/>
      <c r="W92" s="303"/>
      <c r="X92" s="318"/>
    </row>
    <row r="93" spans="2:24" ht="7.5" customHeight="1">
      <c r="B93" s="2016"/>
      <c r="C93" s="191"/>
      <c r="D93" s="305"/>
      <c r="E93" s="305"/>
      <c r="F93" s="305"/>
      <c r="G93" s="305"/>
      <c r="H93" s="305"/>
      <c r="M93" s="1020"/>
      <c r="Q93" s="303"/>
      <c r="R93" s="303"/>
      <c r="S93" s="1929"/>
      <c r="T93" s="1930"/>
      <c r="U93" s="1930"/>
      <c r="V93" s="1931"/>
      <c r="W93" s="303"/>
      <c r="X93" s="318"/>
    </row>
    <row r="94" spans="2:24" ht="15.8" customHeight="1">
      <c r="B94" s="2016"/>
      <c r="C94" s="191"/>
      <c r="D94" s="308"/>
      <c r="E94" s="308"/>
      <c r="F94" s="308"/>
      <c r="G94" s="308"/>
      <c r="H94" s="308"/>
      <c r="J94" s="322" t="s">
        <v>694</v>
      </c>
      <c r="K94" s="308"/>
      <c r="L94" s="1077">
        <f ca="1">'Grant QC Review'!L94</f>
        <v>0</v>
      </c>
      <c r="M94" s="1020" t="str">
        <f>'Grant QC Review'!M94</f>
        <v>Grant:</v>
      </c>
      <c r="N94" s="303"/>
      <c r="O94" s="1937">
        <f ca="1">'Grant QC Review'!O94</f>
        <v>0</v>
      </c>
      <c r="P94" s="1938"/>
      <c r="Q94" s="476"/>
      <c r="R94" s="303"/>
      <c r="S94" s="1929"/>
      <c r="T94" s="1930"/>
      <c r="U94" s="1930"/>
      <c r="V94" s="1931"/>
      <c r="W94" s="303"/>
      <c r="X94" s="318"/>
    </row>
    <row r="95" spans="2:24" ht="7.5" customHeight="1">
      <c r="B95" s="2016"/>
      <c r="C95" s="191"/>
      <c r="D95" s="308"/>
      <c r="E95" s="308"/>
      <c r="F95" s="308"/>
      <c r="G95" s="308"/>
      <c r="H95" s="308"/>
      <c r="M95" s="1020"/>
      <c r="N95" s="303"/>
      <c r="O95" s="303"/>
      <c r="P95" s="476"/>
      <c r="Q95" s="476"/>
      <c r="R95" s="303"/>
      <c r="S95" s="1929"/>
      <c r="T95" s="1930"/>
      <c r="U95" s="1930"/>
      <c r="V95" s="1931"/>
      <c r="W95" s="303"/>
      <c r="X95" s="318"/>
    </row>
    <row r="96" spans="2:24" ht="15.8" customHeight="1">
      <c r="B96" s="2016"/>
      <c r="C96" s="191"/>
      <c r="D96" s="308"/>
      <c r="E96" s="308"/>
      <c r="F96" s="308"/>
      <c r="G96" s="308"/>
      <c r="H96" s="308"/>
      <c r="J96" s="330" t="s">
        <v>696</v>
      </c>
      <c r="K96" s="169"/>
      <c r="L96" s="1017">
        <f ca="1">'Grant QC Review'!L96</f>
        <v>0</v>
      </c>
      <c r="M96" s="1020"/>
      <c r="P96" s="476"/>
      <c r="Q96" s="476"/>
      <c r="R96" s="303"/>
      <c r="S96" s="1929"/>
      <c r="T96" s="1930"/>
      <c r="U96" s="1930"/>
      <c r="V96" s="1931"/>
      <c r="W96" s="303"/>
      <c r="X96" s="318"/>
    </row>
    <row r="97" spans="2:24" ht="7.5" customHeight="1">
      <c r="B97" s="2016"/>
      <c r="C97" s="191"/>
      <c r="D97" s="308"/>
      <c r="E97" s="308"/>
      <c r="F97" s="308"/>
      <c r="G97" s="308"/>
      <c r="H97" s="308"/>
      <c r="I97" s="308"/>
      <c r="J97" s="308"/>
      <c r="K97" s="308"/>
      <c r="L97" s="303"/>
      <c r="M97" s="1020"/>
      <c r="O97" s="303"/>
      <c r="R97" s="303"/>
      <c r="S97" s="1929"/>
      <c r="T97" s="1930"/>
      <c r="U97" s="1930"/>
      <c r="V97" s="1931"/>
      <c r="W97" s="303"/>
      <c r="X97" s="318"/>
    </row>
    <row r="98" spans="2:24" ht="15.8" customHeight="1">
      <c r="B98" s="2016"/>
      <c r="C98" s="191"/>
      <c r="J98" s="330" t="s">
        <v>697</v>
      </c>
      <c r="K98" s="169"/>
      <c r="L98" s="1016">
        <f ca="1">'Grant QC Review'!L98</f>
        <v>0</v>
      </c>
      <c r="M98" s="1020"/>
      <c r="O98" s="303"/>
      <c r="P98" s="303"/>
      <c r="Q98" s="303"/>
      <c r="R98" s="303"/>
      <c r="S98" s="1932"/>
      <c r="T98" s="1933"/>
      <c r="U98" s="1933"/>
      <c r="V98" s="1934"/>
      <c r="W98" s="303"/>
      <c r="X98" s="318"/>
    </row>
    <row r="99" spans="2:24" ht="7.5" customHeight="1">
      <c r="B99" s="2016"/>
      <c r="C99" s="191"/>
      <c r="J99" s="169"/>
      <c r="K99" s="169"/>
      <c r="L99" s="169"/>
      <c r="M99" s="1020"/>
      <c r="O99" s="303"/>
      <c r="P99" s="303"/>
      <c r="Q99" s="303"/>
      <c r="R99" s="318"/>
      <c r="W99" s="318"/>
      <c r="X99" s="318"/>
    </row>
    <row r="100" spans="2:24" ht="16.3">
      <c r="B100" s="2016"/>
      <c r="C100" s="191"/>
      <c r="J100" s="322" t="s">
        <v>698</v>
      </c>
      <c r="L100" s="1015">
        <f ca="1">L80-O100</f>
        <v>0</v>
      </c>
      <c r="M100" s="1019" t="str">
        <f>'Grant QC Review'!M100</f>
        <v>Savings:</v>
      </c>
      <c r="O100" s="1943">
        <f ca="1">'Grant QC Review'!O100</f>
        <v>0</v>
      </c>
      <c r="P100" s="1944"/>
      <c r="Q100" s="303"/>
      <c r="R100" s="318"/>
      <c r="W100" s="318"/>
      <c r="X100" s="318"/>
    </row>
    <row r="101" spans="2:24" ht="7.5" customHeight="1">
      <c r="B101" s="2016"/>
      <c r="C101" s="191"/>
      <c r="M101" s="1021"/>
      <c r="N101" s="303"/>
      <c r="O101" s="303"/>
      <c r="R101" s="318"/>
      <c r="X101" s="318"/>
    </row>
    <row r="102" spans="2:24" ht="15.8" customHeight="1">
      <c r="B102" s="2016"/>
      <c r="C102" s="191"/>
      <c r="D102" s="305"/>
      <c r="E102" s="305"/>
      <c r="F102" s="305"/>
      <c r="G102" s="305"/>
      <c r="H102" s="305"/>
      <c r="J102" s="322" t="s">
        <v>699</v>
      </c>
      <c r="L102" s="1015">
        <f>L72</f>
        <v>0</v>
      </c>
      <c r="M102" s="1019" t="s">
        <v>699</v>
      </c>
      <c r="N102" s="303"/>
      <c r="O102" s="1943">
        <f>'Grant QC Review'!O102</f>
        <v>0</v>
      </c>
      <c r="P102" s="1944"/>
      <c r="R102" s="318"/>
      <c r="X102" s="318"/>
    </row>
    <row r="103" spans="2:24" ht="7.5" customHeight="1">
      <c r="B103" s="2016"/>
      <c r="C103" s="191"/>
      <c r="N103" s="303"/>
      <c r="O103" s="303"/>
      <c r="P103" s="303"/>
      <c r="Q103" s="303"/>
      <c r="R103" s="318"/>
      <c r="W103" s="318"/>
      <c r="X103" s="318"/>
    </row>
    <row r="104" spans="2:24" ht="15.8" customHeight="1">
      <c r="B104" s="2016"/>
      <c r="C104" s="191"/>
      <c r="D104" s="492" t="s">
        <v>666</v>
      </c>
      <c r="E104" s="492"/>
      <c r="F104" s="492" t="s">
        <v>667</v>
      </c>
      <c r="G104" s="492"/>
      <c r="H104" s="492" t="s">
        <v>668</v>
      </c>
      <c r="P104" s="303"/>
      <c r="Q104" s="303"/>
      <c r="R104" s="318"/>
      <c r="W104" s="318"/>
      <c r="X104" s="318"/>
    </row>
    <row r="105" spans="2:24" ht="7.5" customHeight="1">
      <c r="B105" s="2016"/>
      <c r="C105" s="191"/>
      <c r="P105" s="303"/>
      <c r="Q105" s="303"/>
      <c r="R105" s="318"/>
      <c r="W105" s="318"/>
      <c r="X105" s="318"/>
    </row>
    <row r="106" spans="2:24" ht="15.8" customHeight="1">
      <c r="B106" s="2016"/>
      <c r="C106" s="191"/>
      <c r="D106" s="826"/>
      <c r="E106" s="325"/>
      <c r="F106" s="1013" t="str">
        <f ca="1">IF(INDIRECT("'Grant QC Review'!F106")="","",INDIRECT("'Grant QC Review'!F106"))</f>
        <v/>
      </c>
      <c r="G106" s="325"/>
      <c r="H106" s="1013" t="str">
        <f ca="1">IF(INDIRECT("'Grant QC Review'!H106")="","",INDIRECT("'Grant QC Review'!H106"))</f>
        <v/>
      </c>
      <c r="I106" s="326" t="s">
        <v>700</v>
      </c>
      <c r="P106" s="303"/>
      <c r="Q106" s="303"/>
      <c r="R106" s="318"/>
      <c r="U106" s="322" t="s">
        <v>850</v>
      </c>
      <c r="V106" s="697">
        <f>'Grant QC Review'!V106</f>
        <v>0</v>
      </c>
      <c r="W106" s="318"/>
      <c r="X106" s="318"/>
    </row>
    <row r="107" spans="2:24" ht="7.5" customHeight="1">
      <c r="B107" s="2016"/>
      <c r="C107" s="191"/>
      <c r="P107" s="303"/>
      <c r="Q107" s="303"/>
      <c r="R107" s="318"/>
      <c r="X107" s="318"/>
    </row>
    <row r="108" spans="2:24" ht="15.8" customHeight="1">
      <c r="B108" s="2016"/>
      <c r="C108" s="191"/>
      <c r="D108" s="826"/>
      <c r="E108" s="325"/>
      <c r="F108" s="1013" t="str">
        <f ca="1">IF(INDIRECT("'Grant QC Review'!F108")="","",INDIRECT("'Grant QC Review'!F108"))</f>
        <v/>
      </c>
      <c r="G108" s="325"/>
      <c r="H108" s="1013" t="str">
        <f ca="1">IF(INDIRECT("'Grant QC Review'!H108")="","",INDIRECT("'Grant QC Review'!H108"))</f>
        <v/>
      </c>
      <c r="I108" s="326" t="s">
        <v>702</v>
      </c>
      <c r="P108" s="303"/>
      <c r="Q108" s="303"/>
      <c r="R108" s="318"/>
      <c r="U108" s="322" t="s">
        <v>703</v>
      </c>
      <c r="V108" s="336">
        <f>'Grant QC Review'!V108</f>
        <v>0</v>
      </c>
      <c r="X108" s="318"/>
    </row>
    <row r="109" spans="2:24" ht="7.5" customHeight="1">
      <c r="B109" s="2016"/>
      <c r="C109" s="191"/>
      <c r="N109" s="303"/>
      <c r="O109" s="303"/>
      <c r="P109" s="303"/>
      <c r="Q109" s="303"/>
      <c r="R109" s="318"/>
      <c r="X109" s="318"/>
    </row>
    <row r="110" spans="2:24" ht="15.8" customHeight="1">
      <c r="B110" s="2016"/>
      <c r="C110" s="191"/>
      <c r="D110" s="826"/>
      <c r="E110" s="325"/>
      <c r="F110" s="1013" t="str">
        <f ca="1">IF(INDIRECT("'Grant QC Review'!F110")="","",INDIRECT("'Grant QC Review'!F110"))</f>
        <v/>
      </c>
      <c r="G110" s="325"/>
      <c r="H110" s="1013" t="str">
        <f ca="1">IF(INDIRECT("'Grant QC Review'!H110")="","",INDIRECT("'Grant QC Review'!H110"))</f>
        <v/>
      </c>
      <c r="I110" s="326" t="s">
        <v>704</v>
      </c>
      <c r="K110" s="308"/>
      <c r="N110" s="303"/>
      <c r="O110" s="303"/>
      <c r="P110" s="303"/>
      <c r="Q110" s="303"/>
      <c r="R110" s="318"/>
      <c r="U110" s="322" t="s">
        <v>705</v>
      </c>
      <c r="V110" s="336">
        <v>10</v>
      </c>
      <c r="W110" s="318"/>
      <c r="X110" s="318"/>
    </row>
    <row r="111" spans="2:24" ht="7.5" customHeight="1">
      <c r="B111" s="191"/>
      <c r="C111" s="191"/>
      <c r="N111" s="308"/>
      <c r="O111" s="308"/>
      <c r="P111" s="308"/>
      <c r="Q111" s="308"/>
      <c r="R111" s="318"/>
      <c r="W111" s="318"/>
      <c r="X111" s="318"/>
    </row>
    <row r="112" spans="2:24" ht="15.8" customHeight="1">
      <c r="B112" s="191"/>
      <c r="C112" s="191"/>
      <c r="D112" s="826"/>
      <c r="E112" s="325"/>
      <c r="F112" s="1013" t="str">
        <f ca="1">IF(INDIRECT("'Grant QC Review'!F112")="","",INDIRECT("'Grant QC Review'!F112"))</f>
        <v/>
      </c>
      <c r="G112" s="325"/>
      <c r="H112" s="1013" t="str">
        <f ca="1">IF(INDIRECT("'Grant QC Review'!H112")="","",INDIRECT("'Grant QC Review'!H112"))</f>
        <v/>
      </c>
      <c r="I112" s="326" t="s">
        <v>706</v>
      </c>
      <c r="J112" s="326"/>
      <c r="N112" s="308"/>
      <c r="O112" s="308"/>
      <c r="P112" s="308"/>
      <c r="Q112" s="308"/>
      <c r="U112" s="322" t="s">
        <v>707</v>
      </c>
      <c r="V112" s="338">
        <f ca="1">IFERROR(O94/O92,0)</f>
        <v>0</v>
      </c>
    </row>
    <row r="113" spans="2:24" ht="7.5" customHeight="1">
      <c r="B113" s="191"/>
      <c r="C113" s="191"/>
      <c r="N113" s="308"/>
      <c r="O113" s="308"/>
      <c r="P113" s="308"/>
      <c r="Q113" s="308"/>
    </row>
    <row r="114" spans="2:24" ht="15.8" customHeight="1">
      <c r="B114" s="191"/>
      <c r="C114" s="191"/>
      <c r="J114" s="326"/>
      <c r="K114" s="492"/>
      <c r="L114" s="492"/>
      <c r="M114" s="492"/>
      <c r="N114" s="308"/>
      <c r="O114" s="308"/>
      <c r="P114" s="308"/>
      <c r="Q114" s="308"/>
    </row>
    <row r="115" spans="2:24" ht="7.5" customHeight="1">
      <c r="B115" s="191"/>
      <c r="C115" s="191"/>
      <c r="N115" s="308"/>
      <c r="O115" s="308"/>
      <c r="P115" s="308"/>
      <c r="Q115" s="308"/>
    </row>
    <row r="116" spans="2:24" ht="16.3">
      <c r="B116" s="191"/>
      <c r="C116" s="191"/>
      <c r="D116" s="305"/>
      <c r="E116" s="305"/>
      <c r="F116" s="305"/>
      <c r="G116" s="305"/>
      <c r="H116" s="305"/>
      <c r="I116" s="1945"/>
      <c r="J116" s="1945"/>
      <c r="K116" s="1945"/>
      <c r="L116" s="1945"/>
      <c r="M116" s="1946"/>
      <c r="N116" s="308"/>
      <c r="O116" s="308"/>
      <c r="P116" s="308"/>
      <c r="Q116" s="308"/>
      <c r="S116" s="1945"/>
      <c r="T116" s="1945"/>
      <c r="U116" s="1945"/>
      <c r="V116" s="1946"/>
    </row>
    <row r="117" spans="2:24" ht="14.95" customHeight="1">
      <c r="B117" s="191"/>
      <c r="C117" s="191"/>
      <c r="D117" s="191"/>
      <c r="E117" s="191"/>
      <c r="F117" s="191"/>
      <c r="G117" s="191"/>
      <c r="H117" s="191"/>
      <c r="I117" s="1945"/>
      <c r="J117" s="1945"/>
      <c r="K117" s="1945"/>
      <c r="L117" s="1945"/>
      <c r="M117" s="1946"/>
      <c r="S117" s="1945"/>
      <c r="T117" s="1945"/>
      <c r="U117" s="1945"/>
      <c r="V117" s="1946"/>
    </row>
    <row r="118" spans="2:24" ht="14.95" customHeight="1">
      <c r="B118" s="191"/>
      <c r="C118" s="191"/>
      <c r="D118" s="191"/>
      <c r="E118" s="191"/>
      <c r="F118" s="191"/>
      <c r="G118" s="191"/>
      <c r="H118" s="191"/>
      <c r="I118" s="1947"/>
      <c r="J118" s="1947"/>
      <c r="K118" s="1947"/>
      <c r="L118" s="1947"/>
      <c r="M118" s="1948"/>
      <c r="S118" s="1947"/>
      <c r="T118" s="1947"/>
      <c r="U118" s="1947"/>
      <c r="V118" s="1948"/>
    </row>
    <row r="119" spans="2:24" ht="14.95" customHeight="1">
      <c r="B119" s="191"/>
      <c r="C119" s="191"/>
      <c r="D119" s="191"/>
      <c r="E119" s="191"/>
      <c r="F119" s="191"/>
      <c r="G119" s="191"/>
      <c r="H119" s="191"/>
      <c r="I119" s="1804" t="str">
        <f ca="1">INDIRECT("'Grant QC Review'!I119")</f>
        <v>EME   ()   Signature/Date</v>
      </c>
      <c r="J119" s="1804"/>
      <c r="K119" s="1804"/>
      <c r="L119" s="1804"/>
      <c r="M119" s="492"/>
      <c r="S119" s="1805" t="str">
        <f ca="1">INDIRECT("'Grant QC Review'!S119")</f>
        <v>QC Reviewer  ()   Signature/Date</v>
      </c>
      <c r="T119" s="1805"/>
      <c r="U119" s="1805"/>
      <c r="V119" s="1805"/>
    </row>
    <row r="120" spans="2:24" ht="7.5" customHeight="1" thickBot="1"/>
    <row r="121" spans="2:24" ht="43.5" customHeight="1" thickTop="1" thickBot="1">
      <c r="B121" s="2017"/>
      <c r="C121" s="339"/>
      <c r="D121" s="339"/>
      <c r="E121" s="339"/>
      <c r="F121" s="339"/>
      <c r="G121" s="339"/>
      <c r="H121" s="339"/>
      <c r="I121" s="339"/>
      <c r="J121" s="340">
        <f>O90</f>
        <v>0</v>
      </c>
      <c r="K121" s="1806" t="str">
        <f>CONCATENATE(J22," (Performance)")</f>
        <v>0 (Performance)</v>
      </c>
      <c r="L121" s="1806"/>
      <c r="M121" s="1806"/>
      <c r="N121" s="1806"/>
      <c r="O121" s="1806"/>
      <c r="P121" s="1806"/>
      <c r="Q121" s="1806"/>
      <c r="R121" s="1806"/>
      <c r="S121" s="1806"/>
      <c r="T121" s="1806"/>
      <c r="U121" s="341" t="s">
        <v>851</v>
      </c>
      <c r="V121" s="341"/>
      <c r="W121" s="341"/>
      <c r="X121" s="339"/>
    </row>
    <row r="122" spans="2:24" ht="14.95" customHeight="1">
      <c r="B122" s="1149"/>
      <c r="H122" s="1807" t="str">
        <f>'Grant QC Review'!H122:X127</f>
        <v xml:space="preserve">The following is the information is from the Lighting Application formatted to look like DSM Form 3 (Grant QC Review). 
Use this to review what is reported in DSM. Information below should not be revised on this page to reflect DSMc as it is pulled from pother pages of the Application.
Check if the information in the YELLOW cells below matches what is in DSM (the YELLOW cells are the only cells that the EME can edit in DSM Form 2). DSM should match these cells except when a Customer/Partner lookup in DSMc has been performed.
</v>
      </c>
      <c r="I122" s="1808"/>
      <c r="J122" s="1808"/>
      <c r="K122" s="1808"/>
      <c r="L122" s="1808"/>
      <c r="M122" s="1808"/>
      <c r="N122" s="1808"/>
      <c r="O122" s="1808"/>
      <c r="P122" s="1808"/>
      <c r="Q122" s="1808"/>
      <c r="R122" s="1808"/>
      <c r="S122" s="1808"/>
      <c r="T122" s="1808"/>
      <c r="U122" s="1808"/>
      <c r="V122" s="1808"/>
      <c r="W122" s="1808"/>
      <c r="X122" s="1809"/>
    </row>
    <row r="123" spans="2:24" ht="14.95" customHeight="1">
      <c r="B123" s="1149"/>
      <c r="H123" s="1810"/>
      <c r="I123" s="1811"/>
      <c r="J123" s="1811"/>
      <c r="K123" s="1811"/>
      <c r="L123" s="1811"/>
      <c r="M123" s="1811"/>
      <c r="N123" s="1811"/>
      <c r="O123" s="1811"/>
      <c r="P123" s="1811"/>
      <c r="Q123" s="1811"/>
      <c r="R123" s="1811"/>
      <c r="S123" s="1811"/>
      <c r="T123" s="1811"/>
      <c r="U123" s="1811"/>
      <c r="V123" s="1811"/>
      <c r="W123" s="1811"/>
      <c r="X123" s="1812"/>
    </row>
    <row r="124" spans="2:24">
      <c r="B124" s="1149"/>
      <c r="H124" s="1810"/>
      <c r="I124" s="1811"/>
      <c r="J124" s="1811"/>
      <c r="K124" s="1811"/>
      <c r="L124" s="1811"/>
      <c r="M124" s="1811"/>
      <c r="N124" s="1811"/>
      <c r="O124" s="1811"/>
      <c r="P124" s="1811"/>
      <c r="Q124" s="1811"/>
      <c r="R124" s="1811"/>
      <c r="S124" s="1811"/>
      <c r="T124" s="1811"/>
      <c r="U124" s="1811"/>
      <c r="V124" s="1811"/>
      <c r="W124" s="1811"/>
      <c r="X124" s="1812"/>
    </row>
    <row r="125" spans="2:24">
      <c r="B125" s="1149"/>
      <c r="H125" s="1810"/>
      <c r="I125" s="1811"/>
      <c r="J125" s="1811"/>
      <c r="K125" s="1811"/>
      <c r="L125" s="1811"/>
      <c r="M125" s="1811"/>
      <c r="N125" s="1811"/>
      <c r="O125" s="1811"/>
      <c r="P125" s="1811"/>
      <c r="Q125" s="1811"/>
      <c r="R125" s="1811"/>
      <c r="S125" s="1811"/>
      <c r="T125" s="1811"/>
      <c r="U125" s="1811"/>
      <c r="V125" s="1811"/>
      <c r="W125" s="1811"/>
      <c r="X125" s="1812"/>
    </row>
    <row r="126" spans="2:24" ht="14.95" customHeight="1">
      <c r="B126" s="1149"/>
      <c r="H126" s="1810"/>
      <c r="I126" s="1811"/>
      <c r="J126" s="1811"/>
      <c r="K126" s="1811"/>
      <c r="L126" s="1811"/>
      <c r="M126" s="1811"/>
      <c r="N126" s="1811"/>
      <c r="O126" s="1811"/>
      <c r="P126" s="1811"/>
      <c r="Q126" s="1811"/>
      <c r="R126" s="1811"/>
      <c r="S126" s="1811"/>
      <c r="T126" s="1811"/>
      <c r="U126" s="1811"/>
      <c r="V126" s="1811"/>
      <c r="W126" s="1811"/>
      <c r="X126" s="1812"/>
    </row>
    <row r="127" spans="2:24" ht="14.95" thickBot="1">
      <c r="B127" s="1149"/>
      <c r="H127" s="1813"/>
      <c r="I127" s="1814"/>
      <c r="J127" s="1814"/>
      <c r="K127" s="1814"/>
      <c r="L127" s="1814"/>
      <c r="M127" s="1814"/>
      <c r="N127" s="1814"/>
      <c r="O127" s="1814"/>
      <c r="P127" s="1814"/>
      <c r="Q127" s="1814"/>
      <c r="R127" s="1814"/>
      <c r="S127" s="1814"/>
      <c r="T127" s="1814"/>
      <c r="U127" s="1814"/>
      <c r="V127" s="1814"/>
      <c r="W127" s="1814"/>
      <c r="X127" s="1815"/>
    </row>
    <row r="128" spans="2:24">
      <c r="B128" s="1149"/>
    </row>
    <row r="129" spans="2:24" ht="7.5" customHeight="1">
      <c r="B129" s="1149"/>
      <c r="C129" s="701"/>
      <c r="D129" s="690"/>
      <c r="E129" s="690"/>
      <c r="F129" s="690"/>
      <c r="G129" s="690"/>
      <c r="H129" s="690"/>
      <c r="I129" s="690"/>
      <c r="J129" s="690"/>
      <c r="K129" s="690"/>
      <c r="L129" s="690"/>
      <c r="M129" s="690"/>
      <c r="N129" s="690"/>
      <c r="O129" s="690"/>
      <c r="P129" s="690"/>
      <c r="Q129" s="690"/>
      <c r="R129" s="690"/>
      <c r="S129" s="690"/>
      <c r="T129" s="690"/>
      <c r="U129" s="690"/>
      <c r="V129" s="690"/>
      <c r="W129" s="690"/>
      <c r="X129" s="702"/>
    </row>
    <row r="130" spans="2:24">
      <c r="B130" s="1149"/>
      <c r="C130" s="296"/>
      <c r="D130" s="1941" t="s">
        <v>710</v>
      </c>
      <c r="E130" s="1941"/>
      <c r="F130" s="1941"/>
      <c r="G130" s="1941"/>
      <c r="H130" s="1941"/>
      <c r="I130" s="1941"/>
      <c r="J130" s="1941"/>
      <c r="K130" s="1941"/>
      <c r="L130" s="1941"/>
      <c r="M130" s="1941"/>
      <c r="N130" s="1941"/>
      <c r="O130" s="1941"/>
      <c r="P130" s="1941"/>
      <c r="Q130" s="1941"/>
      <c r="R130" s="1941"/>
      <c r="S130" s="1941"/>
      <c r="T130" s="1941"/>
      <c r="U130" s="1941"/>
      <c r="V130" s="1942" t="s">
        <v>852</v>
      </c>
      <c r="W130" s="1942"/>
      <c r="X130" s="298"/>
    </row>
    <row r="131" spans="2:24" ht="5.0999999999999996" customHeight="1">
      <c r="B131" s="1149"/>
      <c r="C131" s="296"/>
      <c r="X131" s="298"/>
    </row>
    <row r="132" spans="2:24">
      <c r="B132" s="1149"/>
      <c r="C132" s="296"/>
      <c r="I132" s="342" t="s">
        <v>711</v>
      </c>
      <c r="J132" s="1710">
        <f>M24</f>
        <v>0</v>
      </c>
      <c r="K132" s="1711"/>
      <c r="L132" s="1712"/>
      <c r="N132" s="10"/>
      <c r="O132" s="10"/>
      <c r="P132" s="10"/>
      <c r="Q132" s="10"/>
      <c r="R132" s="10"/>
      <c r="T132" s="342" t="s">
        <v>637</v>
      </c>
      <c r="U132" s="1710">
        <f>M26</f>
        <v>0</v>
      </c>
      <c r="V132" s="1712"/>
      <c r="X132" s="298"/>
    </row>
    <row r="133" spans="2:24" ht="5.0999999999999996" customHeight="1">
      <c r="B133" s="1149"/>
      <c r="C133" s="296"/>
      <c r="J133" s="10"/>
      <c r="K133" s="10"/>
      <c r="N133" s="10"/>
      <c r="O133" s="10"/>
      <c r="P133" s="10"/>
      <c r="Q133" s="10"/>
      <c r="R133" s="10"/>
      <c r="T133" s="343"/>
      <c r="U133" s="343"/>
      <c r="V133" s="344"/>
      <c r="X133" s="298"/>
    </row>
    <row r="134" spans="2:24">
      <c r="B134" s="1149"/>
      <c r="C134" s="296"/>
      <c r="I134" s="449" t="s">
        <v>712</v>
      </c>
      <c r="J134" s="1707"/>
      <c r="K134" s="1708"/>
      <c r="L134" s="1709"/>
      <c r="N134" s="10"/>
      <c r="O134" s="10"/>
      <c r="P134" s="10"/>
      <c r="Q134" s="10"/>
      <c r="R134" s="10"/>
      <c r="T134" s="343"/>
      <c r="U134" s="345"/>
      <c r="X134" s="298"/>
    </row>
    <row r="135" spans="2:24" ht="5.0999999999999996" customHeight="1">
      <c r="B135" s="1149"/>
      <c r="C135" s="297"/>
      <c r="D135" s="214"/>
      <c r="E135" s="214"/>
      <c r="F135" s="214"/>
      <c r="G135" s="214"/>
      <c r="H135" s="214"/>
      <c r="I135" s="214"/>
      <c r="J135" s="214"/>
      <c r="K135" s="214"/>
      <c r="L135" s="214"/>
      <c r="M135" s="214"/>
      <c r="N135" s="214"/>
      <c r="O135" s="214"/>
      <c r="P135" s="214"/>
      <c r="Q135" s="214"/>
      <c r="R135" s="214"/>
      <c r="S135" s="214"/>
      <c r="T135" s="214"/>
      <c r="U135" s="214"/>
      <c r="V135" s="214"/>
      <c r="W135" s="214"/>
      <c r="X135" s="299"/>
    </row>
    <row r="136" spans="2:24" ht="5.0999999999999996" customHeight="1">
      <c r="B136" s="1149"/>
    </row>
    <row r="137" spans="2:24" ht="5.0999999999999996" customHeight="1">
      <c r="B137" s="1149"/>
      <c r="C137" s="701"/>
      <c r="D137" s="690"/>
      <c r="E137" s="690"/>
      <c r="F137" s="690"/>
      <c r="G137" s="690"/>
      <c r="H137" s="690"/>
      <c r="I137" s="690"/>
      <c r="J137" s="690"/>
      <c r="K137" s="690"/>
      <c r="L137" s="690"/>
      <c r="M137" s="690"/>
      <c r="N137" s="690"/>
      <c r="O137" s="690"/>
      <c r="P137" s="690"/>
      <c r="Q137" s="690"/>
      <c r="R137" s="690"/>
      <c r="S137" s="690"/>
      <c r="T137" s="690"/>
      <c r="U137" s="690"/>
      <c r="V137" s="690"/>
      <c r="W137" s="690"/>
      <c r="X137" s="702"/>
    </row>
    <row r="138" spans="2:24">
      <c r="B138" s="1149"/>
      <c r="C138" s="296"/>
      <c r="D138" s="1941" t="s">
        <v>853</v>
      </c>
      <c r="E138" s="1941"/>
      <c r="F138" s="1941"/>
      <c r="G138" s="1941"/>
      <c r="H138" s="1941"/>
      <c r="I138" s="1941"/>
      <c r="J138" s="1941"/>
      <c r="K138" s="1941"/>
      <c r="L138" s="1941"/>
      <c r="M138" s="1941"/>
      <c r="N138" s="1941"/>
      <c r="O138" s="1941"/>
      <c r="P138" s="1941"/>
      <c r="Q138" s="1941"/>
      <c r="R138" s="1941"/>
      <c r="S138" s="1941"/>
      <c r="T138" s="1941"/>
      <c r="U138" s="1941"/>
      <c r="V138" s="1942" t="s">
        <v>852</v>
      </c>
      <c r="W138" s="1942"/>
      <c r="X138" s="298"/>
    </row>
    <row r="139" spans="2:24" ht="5.0999999999999996" customHeight="1">
      <c r="B139" s="1149"/>
      <c r="C139" s="296"/>
      <c r="X139" s="298"/>
    </row>
    <row r="140" spans="2:24">
      <c r="B140" s="1149"/>
      <c r="C140" s="296"/>
      <c r="S140" s="348"/>
      <c r="T140" s="345" t="s">
        <v>714</v>
      </c>
      <c r="U140" s="1949"/>
      <c r="V140" s="1950"/>
      <c r="X140" s="298"/>
    </row>
    <row r="141" spans="2:24" ht="5.0999999999999996" customHeight="1">
      <c r="B141" s="1149"/>
      <c r="C141" s="296"/>
      <c r="S141" s="348"/>
      <c r="T141" s="348"/>
      <c r="U141" s="348"/>
      <c r="V141" s="348"/>
      <c r="X141" s="298"/>
    </row>
    <row r="142" spans="2:24">
      <c r="B142" s="1149"/>
      <c r="C142" s="296"/>
      <c r="I142" s="215" t="s">
        <v>715</v>
      </c>
      <c r="J142" s="1830">
        <f ca="1">J391</f>
        <v>0</v>
      </c>
      <c r="K142" s="1831"/>
      <c r="L142" s="1832"/>
      <c r="S142" s="348"/>
      <c r="T142" s="348"/>
      <c r="U142" s="348"/>
      <c r="V142" s="348"/>
      <c r="X142" s="298"/>
    </row>
    <row r="143" spans="2:24" ht="5.0999999999999996" customHeight="1">
      <c r="B143" s="1149"/>
      <c r="C143" s="296"/>
      <c r="S143" s="348"/>
      <c r="T143" s="348"/>
      <c r="U143" s="348"/>
      <c r="V143" s="348"/>
      <c r="X143" s="298"/>
    </row>
    <row r="144" spans="2:24">
      <c r="B144" s="1149"/>
      <c r="C144" s="296"/>
      <c r="I144" s="449" t="s">
        <v>716</v>
      </c>
      <c r="J144" s="1707">
        <f ca="1">J393</f>
        <v>0</v>
      </c>
      <c r="K144" s="1708"/>
      <c r="L144" s="1709"/>
      <c r="M144" s="447"/>
      <c r="N144" s="447"/>
      <c r="O144" s="447"/>
      <c r="P144" s="447"/>
      <c r="Q144" s="447"/>
      <c r="R144" s="447"/>
      <c r="S144" s="447"/>
      <c r="T144" s="449" t="s">
        <v>717</v>
      </c>
      <c r="U144" s="1833">
        <f ca="1">U393</f>
        <v>0</v>
      </c>
      <c r="V144" s="1709"/>
      <c r="X144" s="298"/>
    </row>
    <row r="145" spans="2:24" ht="5.0999999999999996" customHeight="1">
      <c r="B145" s="1149"/>
      <c r="C145" s="296"/>
      <c r="I145" s="447"/>
      <c r="J145" s="447"/>
      <c r="K145" s="447"/>
      <c r="L145" s="447"/>
      <c r="M145" s="447"/>
      <c r="N145" s="447"/>
      <c r="O145" s="447"/>
      <c r="P145" s="447"/>
      <c r="Q145" s="447"/>
      <c r="R145" s="447"/>
      <c r="S145" s="447"/>
      <c r="T145" s="447"/>
      <c r="U145" s="448"/>
      <c r="V145" s="447"/>
      <c r="X145" s="298"/>
    </row>
    <row r="146" spans="2:24">
      <c r="B146" s="1149"/>
      <c r="C146" s="296"/>
      <c r="I146" s="449" t="s">
        <v>718</v>
      </c>
      <c r="J146" s="1707"/>
      <c r="K146" s="1708"/>
      <c r="L146" s="1709"/>
      <c r="M146" s="447"/>
      <c r="N146" s="447"/>
      <c r="O146" s="447"/>
      <c r="P146" s="447"/>
      <c r="Q146" s="447"/>
      <c r="R146" s="447"/>
      <c r="S146" s="447"/>
      <c r="T146" s="449" t="s">
        <v>719</v>
      </c>
      <c r="U146" s="1833">
        <f ca="1">U395</f>
        <v>0</v>
      </c>
      <c r="V146" s="1709"/>
      <c r="X146" s="298"/>
    </row>
    <row r="147" spans="2:24" ht="5.0999999999999996" customHeight="1">
      <c r="B147" s="298"/>
      <c r="C147" s="296"/>
      <c r="I147" s="447"/>
      <c r="J147" s="447"/>
      <c r="K147" s="447"/>
      <c r="L147" s="447"/>
      <c r="M147" s="447"/>
      <c r="N147" s="447"/>
      <c r="O147" s="447"/>
      <c r="P147" s="447"/>
      <c r="Q147" s="447"/>
      <c r="R147" s="447"/>
      <c r="S147" s="447"/>
      <c r="T147" s="447"/>
      <c r="U147" s="448"/>
      <c r="V147" s="447"/>
      <c r="X147" s="298"/>
    </row>
    <row r="148" spans="2:24">
      <c r="B148" s="298"/>
      <c r="C148" s="296"/>
      <c r="I148" s="449" t="s">
        <v>720</v>
      </c>
      <c r="J148" s="1707"/>
      <c r="K148" s="1708"/>
      <c r="L148" s="1709"/>
      <c r="M148" s="447"/>
      <c r="N148" s="447"/>
      <c r="O148" s="447"/>
      <c r="P148" s="447"/>
      <c r="Q148" s="447"/>
      <c r="R148" s="447"/>
      <c r="S148" s="447"/>
      <c r="T148" s="449" t="s">
        <v>721</v>
      </c>
      <c r="U148" s="1833">
        <f ca="1">U397</f>
        <v>0</v>
      </c>
      <c r="V148" s="1709"/>
      <c r="X148" s="298"/>
    </row>
    <row r="149" spans="2:24" ht="5.0999999999999996" customHeight="1">
      <c r="B149" s="298"/>
      <c r="C149" s="296"/>
      <c r="I149" s="447"/>
      <c r="J149" s="447"/>
      <c r="K149" s="447"/>
      <c r="L149" s="447"/>
      <c r="M149" s="447"/>
      <c r="N149" s="447"/>
      <c r="O149" s="447"/>
      <c r="P149" s="447"/>
      <c r="Q149" s="447"/>
      <c r="R149" s="447"/>
      <c r="S149" s="447"/>
      <c r="T149" s="447"/>
      <c r="U149" s="448"/>
      <c r="V149" s="447"/>
      <c r="X149" s="298"/>
    </row>
    <row r="150" spans="2:24">
      <c r="B150" s="298"/>
      <c r="C150" s="296"/>
      <c r="I150" s="449" t="s">
        <v>722</v>
      </c>
      <c r="J150" s="1833" t="str">
        <f ca="1">J399</f>
        <v>WA</v>
      </c>
      <c r="K150" s="1708"/>
      <c r="L150" s="1709"/>
      <c r="M150" s="447"/>
      <c r="N150" s="447"/>
      <c r="O150" s="447"/>
      <c r="P150" s="447"/>
      <c r="Q150" s="447"/>
      <c r="R150" s="447"/>
      <c r="S150" s="447"/>
      <c r="T150" s="449" t="s">
        <v>723</v>
      </c>
      <c r="U150" s="1833">
        <f ca="1">U399</f>
        <v>0</v>
      </c>
      <c r="V150" s="1709"/>
      <c r="X150" s="298"/>
    </row>
    <row r="151" spans="2:24" ht="5.0999999999999996" customHeight="1">
      <c r="B151" s="298"/>
      <c r="C151" s="296"/>
      <c r="I151" s="447"/>
      <c r="J151" s="447"/>
      <c r="K151" s="447"/>
      <c r="L151" s="447"/>
      <c r="M151" s="447"/>
      <c r="N151" s="447"/>
      <c r="O151" s="447"/>
      <c r="P151" s="447"/>
      <c r="Q151" s="447"/>
      <c r="R151" s="447"/>
      <c r="S151" s="447"/>
      <c r="T151" s="447"/>
      <c r="U151" s="448"/>
      <c r="V151" s="447"/>
      <c r="X151" s="298"/>
    </row>
    <row r="152" spans="2:24">
      <c r="B152" s="298"/>
      <c r="C152" s="296"/>
      <c r="I152" s="449" t="s">
        <v>724</v>
      </c>
      <c r="J152" s="1707">
        <f>J401</f>
        <v>0</v>
      </c>
      <c r="K152" s="1708"/>
      <c r="L152" s="1709"/>
      <c r="M152" s="447"/>
      <c r="N152" s="447"/>
      <c r="O152" s="447"/>
      <c r="P152" s="447"/>
      <c r="Q152" s="447"/>
      <c r="R152" s="447"/>
      <c r="S152" s="447"/>
      <c r="T152" s="449" t="s">
        <v>725</v>
      </c>
      <c r="U152" s="1707">
        <f ca="1">U401</f>
        <v>0</v>
      </c>
      <c r="V152" s="1709"/>
      <c r="X152" s="298"/>
    </row>
    <row r="153" spans="2:24" ht="5.0999999999999996" customHeight="1">
      <c r="B153" s="298"/>
      <c r="C153" s="296"/>
      <c r="I153" s="447"/>
      <c r="J153" s="447"/>
      <c r="K153" s="447"/>
      <c r="L153" s="447"/>
      <c r="M153" s="447"/>
      <c r="N153" s="447"/>
      <c r="O153" s="447"/>
      <c r="P153" s="447"/>
      <c r="Q153" s="447"/>
      <c r="R153" s="447"/>
      <c r="S153" s="447"/>
      <c r="T153" s="447"/>
      <c r="U153" s="448"/>
      <c r="V153" s="447"/>
      <c r="X153" s="298"/>
    </row>
    <row r="154" spans="2:24">
      <c r="B154" s="298"/>
      <c r="C154" s="296"/>
      <c r="I154" s="450" t="s">
        <v>726</v>
      </c>
      <c r="J154" s="1707">
        <f ca="1">J403</f>
        <v>0</v>
      </c>
      <c r="K154" s="1708"/>
      <c r="L154" s="1709"/>
      <c r="M154" s="447"/>
      <c r="N154" s="447"/>
      <c r="O154" s="447"/>
      <c r="P154" s="447"/>
      <c r="Q154" s="447"/>
      <c r="R154" s="447"/>
      <c r="S154" s="447"/>
      <c r="T154" s="449" t="s">
        <v>727</v>
      </c>
      <c r="U154" s="1707" t="str">
        <f ca="1">U403</f>
        <v>WA</v>
      </c>
      <c r="V154" s="1709"/>
      <c r="X154" s="298"/>
    </row>
    <row r="155" spans="2:24" ht="5.0999999999999996" customHeight="1">
      <c r="B155" s="298"/>
      <c r="C155" s="296"/>
      <c r="I155" s="447"/>
      <c r="J155" s="447"/>
      <c r="K155" s="447"/>
      <c r="L155" s="447"/>
      <c r="M155" s="447"/>
      <c r="N155" s="447"/>
      <c r="O155" s="447"/>
      <c r="P155" s="447"/>
      <c r="Q155" s="447"/>
      <c r="R155" s="447"/>
      <c r="S155" s="447"/>
      <c r="T155" s="447"/>
      <c r="U155" s="448"/>
      <c r="V155" s="447"/>
      <c r="X155" s="298"/>
    </row>
    <row r="156" spans="2:24">
      <c r="B156" s="298"/>
      <c r="C156" s="296"/>
      <c r="I156" s="449" t="s">
        <v>728</v>
      </c>
      <c r="J156" s="1707">
        <f ca="1">J405</f>
        <v>0</v>
      </c>
      <c r="K156" s="1708"/>
      <c r="L156" s="1709"/>
      <c r="M156" s="447"/>
      <c r="N156" s="447"/>
      <c r="O156" s="447"/>
      <c r="P156" s="447"/>
      <c r="Q156" s="447"/>
      <c r="R156" s="447"/>
      <c r="S156" s="447"/>
      <c r="T156" s="449" t="s">
        <v>437</v>
      </c>
      <c r="U156" s="1834">
        <f ca="1">U405</f>
        <v>0</v>
      </c>
      <c r="V156" s="1709"/>
      <c r="X156" s="298"/>
    </row>
    <row r="157" spans="2:24" ht="5.0999999999999996" customHeight="1">
      <c r="B157" s="298"/>
      <c r="C157" s="296"/>
      <c r="I157" s="348"/>
      <c r="J157" s="348"/>
      <c r="K157" s="348"/>
      <c r="L157" s="348"/>
      <c r="U157" s="96"/>
      <c r="X157" s="298"/>
    </row>
    <row r="158" spans="2:24">
      <c r="B158" s="298"/>
      <c r="C158" s="296"/>
      <c r="I158" s="449" t="s">
        <v>438</v>
      </c>
      <c r="J158" s="1833">
        <f ca="1">J407</f>
        <v>0</v>
      </c>
      <c r="K158" s="1708"/>
      <c r="L158" s="1709"/>
      <c r="T158" s="215" t="s">
        <v>729</v>
      </c>
      <c r="U158" s="1710">
        <f ca="1">U407</f>
        <v>0</v>
      </c>
      <c r="V158" s="1712"/>
      <c r="X158" s="298"/>
    </row>
    <row r="159" spans="2:24" ht="7.5" customHeight="1">
      <c r="B159" s="298"/>
      <c r="C159" s="297"/>
      <c r="D159" s="214"/>
      <c r="E159" s="214"/>
      <c r="F159" s="214"/>
      <c r="G159" s="214"/>
      <c r="H159" s="214"/>
      <c r="I159" s="214"/>
      <c r="J159" s="214"/>
      <c r="K159" s="214"/>
      <c r="L159" s="214"/>
      <c r="M159" s="214"/>
      <c r="N159" s="214"/>
      <c r="O159" s="214"/>
      <c r="P159" s="214"/>
      <c r="Q159" s="214"/>
      <c r="R159" s="214"/>
      <c r="S159" s="214"/>
      <c r="T159" s="214"/>
      <c r="U159" s="214"/>
      <c r="V159" s="214"/>
      <c r="W159" s="214"/>
      <c r="X159" s="299"/>
    </row>
    <row r="160" spans="2:24" ht="5.0999999999999996" customHeight="1"/>
    <row r="161" spans="3:24" ht="5.0999999999999996" customHeight="1">
      <c r="C161" s="701"/>
      <c r="D161" s="690"/>
      <c r="E161" s="690"/>
      <c r="F161" s="690"/>
      <c r="G161" s="690"/>
      <c r="H161" s="690"/>
      <c r="I161" s="690"/>
      <c r="J161" s="690"/>
      <c r="K161" s="690"/>
      <c r="L161" s="690"/>
      <c r="M161" s="690"/>
      <c r="N161" s="690"/>
      <c r="O161" s="690"/>
      <c r="P161" s="690"/>
      <c r="Q161" s="690"/>
      <c r="R161" s="690"/>
      <c r="S161" s="690"/>
      <c r="T161" s="690"/>
      <c r="U161" s="690"/>
      <c r="V161" s="690"/>
      <c r="W161" s="690"/>
      <c r="X161" s="702"/>
    </row>
    <row r="162" spans="3:24">
      <c r="C162" s="296"/>
      <c r="D162" s="456" t="s">
        <v>730</v>
      </c>
      <c r="E162" s="456"/>
      <c r="F162" s="456"/>
      <c r="G162" s="456"/>
      <c r="H162" s="456"/>
      <c r="I162" s="456"/>
      <c r="J162" s="456"/>
      <c r="K162" s="456"/>
      <c r="L162" s="456"/>
      <c r="M162" s="456"/>
      <c r="N162" s="456"/>
      <c r="O162" s="456"/>
      <c r="P162" s="456"/>
      <c r="Q162" s="456"/>
      <c r="R162" s="456"/>
      <c r="S162" s="456"/>
      <c r="T162" s="456"/>
      <c r="U162" s="456"/>
      <c r="V162" s="1942" t="s">
        <v>852</v>
      </c>
      <c r="W162" s="1942"/>
      <c r="X162" s="298"/>
    </row>
    <row r="163" spans="3:24" ht="5.0999999999999996" customHeight="1">
      <c r="C163" s="296"/>
      <c r="X163" s="298"/>
    </row>
    <row r="164" spans="3:24">
      <c r="C164" s="296"/>
      <c r="S164" s="447"/>
      <c r="T164" s="449" t="s">
        <v>731</v>
      </c>
      <c r="U164" s="1707"/>
      <c r="V164" s="1709"/>
      <c r="X164" s="298"/>
    </row>
    <row r="165" spans="3:24" ht="5.0999999999999996" customHeight="1">
      <c r="C165" s="296"/>
      <c r="S165" s="447"/>
      <c r="T165" s="447"/>
      <c r="U165" s="447"/>
      <c r="V165" s="447"/>
      <c r="X165" s="298"/>
    </row>
    <row r="166" spans="3:24">
      <c r="C166" s="296"/>
      <c r="J166" s="447"/>
      <c r="K166" s="447"/>
      <c r="L166" s="447"/>
      <c r="S166" s="447"/>
      <c r="T166" s="215" t="s">
        <v>436</v>
      </c>
      <c r="U166" s="1710" t="str">
        <f ca="1">U429</f>
        <v/>
      </c>
      <c r="V166" s="1712"/>
      <c r="X166" s="298"/>
    </row>
    <row r="167" spans="3:24" ht="5.0999999999999996" customHeight="1">
      <c r="C167" s="296"/>
      <c r="I167" s="447"/>
      <c r="J167" s="447"/>
      <c r="K167" s="447"/>
      <c r="L167" s="447"/>
      <c r="S167" s="447"/>
      <c r="T167" s="447"/>
      <c r="U167" s="448"/>
      <c r="V167" s="447"/>
      <c r="X167" s="298"/>
    </row>
    <row r="168" spans="3:24">
      <c r="C168" s="296"/>
      <c r="I168" s="449" t="s">
        <v>732</v>
      </c>
      <c r="J168" s="1707">
        <f>J431</f>
        <v>0</v>
      </c>
      <c r="K168" s="1708"/>
      <c r="L168" s="1709"/>
      <c r="S168" s="447"/>
      <c r="T168" s="215" t="s">
        <v>437</v>
      </c>
      <c r="U168" s="1776" t="str">
        <f ca="1">U431</f>
        <v/>
      </c>
      <c r="V168" s="1712"/>
      <c r="X168" s="298"/>
    </row>
    <row r="169" spans="3:24" ht="5.0999999999999996" customHeight="1">
      <c r="C169" s="296"/>
      <c r="I169" s="447"/>
      <c r="J169" s="447"/>
      <c r="K169" s="447"/>
      <c r="L169" s="447"/>
      <c r="S169" s="447"/>
      <c r="T169" s="447"/>
      <c r="U169" s="448"/>
      <c r="V169" s="447"/>
      <c r="X169" s="298"/>
    </row>
    <row r="170" spans="3:24">
      <c r="C170" s="296"/>
      <c r="I170" s="215" t="s">
        <v>438</v>
      </c>
      <c r="J170" s="1710" t="str">
        <f ca="1">J433</f>
        <v/>
      </c>
      <c r="K170" s="1711"/>
      <c r="L170" s="1712"/>
      <c r="S170" s="447"/>
      <c r="T170" s="215" t="s">
        <v>733</v>
      </c>
      <c r="U170" s="1710" t="str">
        <f ca="1">U433</f>
        <v/>
      </c>
      <c r="V170" s="1712"/>
      <c r="X170" s="298"/>
    </row>
    <row r="171" spans="3:24" ht="5.0999999999999996" customHeight="1">
      <c r="C171" s="296"/>
      <c r="I171" s="447"/>
      <c r="J171" s="447"/>
      <c r="K171" s="447"/>
      <c r="L171" s="447"/>
      <c r="S171" s="447"/>
      <c r="T171" s="447"/>
      <c r="U171" s="448"/>
      <c r="V171" s="447"/>
      <c r="X171" s="298"/>
    </row>
    <row r="172" spans="3:24">
      <c r="C172" s="296"/>
      <c r="I172" s="449" t="s">
        <v>720</v>
      </c>
      <c r="J172" s="1707">
        <f>J435</f>
        <v>0</v>
      </c>
      <c r="K172" s="1708"/>
      <c r="L172" s="1709"/>
      <c r="S172" s="447"/>
      <c r="T172" s="215" t="s">
        <v>721</v>
      </c>
      <c r="U172" s="1710" t="str">
        <f ca="1">U435</f>
        <v/>
      </c>
      <c r="V172" s="1712"/>
      <c r="X172" s="298"/>
    </row>
    <row r="173" spans="3:24" ht="5.0999999999999996" customHeight="1">
      <c r="C173" s="296"/>
      <c r="I173" s="447"/>
      <c r="J173" s="447"/>
      <c r="K173" s="447"/>
      <c r="L173" s="447"/>
      <c r="S173" s="447"/>
      <c r="T173" s="447"/>
      <c r="U173" s="448"/>
      <c r="V173" s="447"/>
      <c r="X173" s="298"/>
    </row>
    <row r="174" spans="3:24">
      <c r="C174" s="296"/>
      <c r="I174" s="215" t="s">
        <v>722</v>
      </c>
      <c r="J174" s="1710" t="str">
        <f ca="1">J437</f>
        <v/>
      </c>
      <c r="K174" s="1711"/>
      <c r="L174" s="1712"/>
      <c r="S174" s="447"/>
      <c r="T174" s="215" t="s">
        <v>723</v>
      </c>
      <c r="U174" s="1710" t="str">
        <f ca="1">U437</f>
        <v/>
      </c>
      <c r="V174" s="1712"/>
      <c r="X174" s="298"/>
    </row>
    <row r="175" spans="3:24" ht="5.0999999999999996" customHeight="1">
      <c r="C175" s="297"/>
      <c r="D175" s="214"/>
      <c r="E175" s="214"/>
      <c r="F175" s="214"/>
      <c r="G175" s="214"/>
      <c r="H175" s="214"/>
      <c r="I175" s="214"/>
      <c r="J175" s="214"/>
      <c r="K175" s="214"/>
      <c r="L175" s="214"/>
      <c r="M175" s="214"/>
      <c r="N175" s="214"/>
      <c r="O175" s="214"/>
      <c r="P175" s="214"/>
      <c r="Q175" s="214"/>
      <c r="R175" s="214"/>
      <c r="S175" s="214"/>
      <c r="T175" s="214"/>
      <c r="U175" s="214"/>
      <c r="V175" s="214"/>
      <c r="W175" s="214"/>
      <c r="X175" s="299"/>
    </row>
    <row r="176" spans="3:24" ht="5.0999999999999996" customHeight="1"/>
    <row r="177" spans="2:24" ht="5.0999999999999996" customHeight="1">
      <c r="B177" s="298"/>
      <c r="C177" s="701"/>
      <c r="D177" s="690"/>
      <c r="E177" s="690"/>
      <c r="F177" s="690"/>
      <c r="G177" s="690"/>
      <c r="H177" s="690"/>
      <c r="I177" s="690"/>
      <c r="J177" s="690"/>
      <c r="K177" s="690"/>
      <c r="L177" s="690"/>
      <c r="M177" s="690"/>
      <c r="N177" s="690"/>
      <c r="O177" s="690"/>
      <c r="P177" s="690"/>
      <c r="Q177" s="690"/>
      <c r="R177" s="690"/>
      <c r="S177" s="690"/>
      <c r="T177" s="690"/>
      <c r="U177" s="690"/>
      <c r="V177" s="690"/>
      <c r="W177" s="690"/>
      <c r="X177" s="702"/>
    </row>
    <row r="178" spans="2:24">
      <c r="B178" s="298"/>
      <c r="C178" s="296"/>
      <c r="D178" s="1941" t="s">
        <v>854</v>
      </c>
      <c r="E178" s="1941"/>
      <c r="F178" s="1941"/>
      <c r="G178" s="1941"/>
      <c r="H178" s="1941"/>
      <c r="I178" s="1941"/>
      <c r="J178" s="1941"/>
      <c r="K178" s="1941"/>
      <c r="L178" s="1941"/>
      <c r="M178" s="1941"/>
      <c r="N178" s="1941"/>
      <c r="O178" s="1941"/>
      <c r="P178" s="1941"/>
      <c r="Q178" s="1941"/>
      <c r="R178" s="1941"/>
      <c r="S178" s="1941"/>
      <c r="T178" s="1941"/>
      <c r="U178" s="1941"/>
      <c r="V178" s="1942" t="s">
        <v>852</v>
      </c>
      <c r="W178" s="1942"/>
      <c r="X178" s="298"/>
    </row>
    <row r="179" spans="2:24" ht="5.0999999999999996" customHeight="1">
      <c r="B179" s="298"/>
      <c r="C179" s="296"/>
      <c r="X179" s="298"/>
    </row>
    <row r="180" spans="2:24">
      <c r="B180" s="298"/>
      <c r="C180" s="296"/>
      <c r="I180" s="449" t="s">
        <v>734</v>
      </c>
      <c r="J180" s="1707">
        <f>J349</f>
        <v>0</v>
      </c>
      <c r="K180" s="1708"/>
      <c r="L180" s="1709"/>
      <c r="M180" s="447"/>
      <c r="N180" s="447"/>
      <c r="O180" s="447"/>
      <c r="P180" s="447"/>
      <c r="Q180" s="447"/>
      <c r="R180" s="447"/>
      <c r="S180" s="447"/>
      <c r="T180" s="449"/>
      <c r="U180" s="447"/>
      <c r="V180" s="447"/>
      <c r="X180" s="298"/>
    </row>
    <row r="181" spans="2:24" ht="5.0999999999999996" customHeight="1">
      <c r="B181" s="298"/>
      <c r="C181" s="296"/>
      <c r="V181" s="329"/>
      <c r="X181" s="298"/>
    </row>
    <row r="182" spans="2:24">
      <c r="B182" s="298"/>
      <c r="C182" s="2026" t="s">
        <v>735</v>
      </c>
      <c r="D182" s="1896"/>
      <c r="E182" s="1896"/>
      <c r="F182" s="1896"/>
      <c r="G182" s="1896"/>
      <c r="H182" s="1896"/>
      <c r="I182" s="1896"/>
      <c r="J182" s="1719">
        <f ca="1">U355</f>
        <v>0</v>
      </c>
      <c r="K182" s="1711"/>
      <c r="L182" s="1712"/>
      <c r="T182" s="215" t="s">
        <v>736</v>
      </c>
      <c r="U182" s="1710">
        <f ca="1">J357</f>
        <v>0</v>
      </c>
      <c r="V182" s="1712"/>
      <c r="X182" s="298"/>
    </row>
    <row r="183" spans="2:24" ht="7.5" customHeight="1">
      <c r="B183" s="298"/>
      <c r="C183" s="2026"/>
      <c r="D183" s="1896"/>
      <c r="E183" s="1896"/>
      <c r="F183" s="1896"/>
      <c r="G183" s="1896"/>
      <c r="H183" s="1896"/>
      <c r="I183" s="1896"/>
      <c r="U183" s="329"/>
      <c r="X183" s="298"/>
    </row>
    <row r="184" spans="2:24">
      <c r="B184" s="298"/>
      <c r="C184" s="2026" t="s">
        <v>737</v>
      </c>
      <c r="D184" s="1896"/>
      <c r="E184" s="1896"/>
      <c r="F184" s="1896"/>
      <c r="G184" s="1896"/>
      <c r="H184" s="1896"/>
      <c r="I184" s="1896"/>
      <c r="J184" s="1776">
        <f ca="1">U357</f>
        <v>0</v>
      </c>
      <c r="K184" s="1777"/>
      <c r="L184" s="1778"/>
      <c r="T184" s="215" t="s">
        <v>716</v>
      </c>
      <c r="U184" s="1779">
        <f ca="1">J359</f>
        <v>0</v>
      </c>
      <c r="V184" s="1712"/>
      <c r="X184" s="298"/>
    </row>
    <row r="185" spans="2:24" ht="7.5" customHeight="1">
      <c r="B185" s="298"/>
      <c r="C185" s="2026"/>
      <c r="D185" s="1896"/>
      <c r="E185" s="1896"/>
      <c r="F185" s="1896"/>
      <c r="G185" s="1896"/>
      <c r="H185" s="1896"/>
      <c r="I185" s="1896"/>
      <c r="U185" s="329"/>
      <c r="X185" s="298"/>
    </row>
    <row r="186" spans="2:24">
      <c r="B186" s="298"/>
      <c r="C186" s="2026" t="s">
        <v>738</v>
      </c>
      <c r="D186" s="1896"/>
      <c r="E186" s="1896"/>
      <c r="F186" s="1896"/>
      <c r="G186" s="1896"/>
      <c r="H186" s="1896"/>
      <c r="I186" s="1896"/>
      <c r="J186" s="1719">
        <f ca="1">U359</f>
        <v>0</v>
      </c>
      <c r="K186" s="1711"/>
      <c r="L186" s="1712"/>
      <c r="N186" s="1896" t="s">
        <v>739</v>
      </c>
      <c r="O186" s="1896"/>
      <c r="P186" s="1896"/>
      <c r="Q186" s="1896"/>
      <c r="R186" s="1896"/>
      <c r="S186" s="1896"/>
      <c r="T186" s="1896"/>
      <c r="U186" s="1719">
        <f ca="1">J361</f>
        <v>0</v>
      </c>
      <c r="V186" s="1712"/>
      <c r="X186" s="298"/>
    </row>
    <row r="187" spans="2:24" ht="7.5" customHeight="1">
      <c r="B187" s="298"/>
      <c r="C187" s="2026"/>
      <c r="D187" s="1896"/>
      <c r="E187" s="1896"/>
      <c r="F187" s="1896"/>
      <c r="G187" s="1896"/>
      <c r="H187" s="1896"/>
      <c r="I187" s="1896"/>
      <c r="N187" s="1896"/>
      <c r="O187" s="1896"/>
      <c r="P187" s="1896"/>
      <c r="Q187" s="1896"/>
      <c r="R187" s="1896"/>
      <c r="S187" s="1896"/>
      <c r="T187" s="1896"/>
      <c r="U187" s="329"/>
      <c r="X187" s="298"/>
    </row>
    <row r="188" spans="2:24">
      <c r="B188" s="298"/>
      <c r="C188" s="2026" t="s">
        <v>740</v>
      </c>
      <c r="D188" s="1896"/>
      <c r="E188" s="1896"/>
      <c r="F188" s="1896"/>
      <c r="G188" s="1896"/>
      <c r="H188" s="1896"/>
      <c r="I188" s="1896"/>
      <c r="J188" s="1776">
        <f ca="1">U361</f>
        <v>0</v>
      </c>
      <c r="K188" s="1777"/>
      <c r="L188" s="1778"/>
      <c r="T188" s="215" t="s">
        <v>741</v>
      </c>
      <c r="U188" s="1719">
        <f ca="1">J363</f>
        <v>0</v>
      </c>
      <c r="V188" s="1712"/>
      <c r="X188" s="298"/>
    </row>
    <row r="189" spans="2:24" ht="7.5" customHeight="1">
      <c r="B189" s="298"/>
      <c r="C189" s="2026"/>
      <c r="D189" s="1896"/>
      <c r="E189" s="1896"/>
      <c r="F189" s="1896"/>
      <c r="G189" s="1896"/>
      <c r="H189" s="1896"/>
      <c r="I189" s="1896"/>
      <c r="U189" s="329"/>
      <c r="X189" s="298"/>
    </row>
    <row r="190" spans="2:24">
      <c r="B190" s="298"/>
      <c r="C190" s="296"/>
      <c r="I190" s="215" t="s">
        <v>742</v>
      </c>
      <c r="J190" s="1710">
        <f ca="1">U363</f>
        <v>0</v>
      </c>
      <c r="K190" s="1711"/>
      <c r="L190" s="1712"/>
      <c r="T190" s="215" t="s">
        <v>743</v>
      </c>
      <c r="U190" s="1719" t="str">
        <f ca="1">J365</f>
        <v>WA</v>
      </c>
      <c r="V190" s="1712"/>
      <c r="X190" s="298"/>
    </row>
    <row r="191" spans="2:24" ht="5.0999999999999996" customHeight="1">
      <c r="B191" s="298"/>
      <c r="C191" s="296"/>
      <c r="U191" s="329"/>
      <c r="X191" s="298"/>
    </row>
    <row r="192" spans="2:24">
      <c r="B192" s="298"/>
      <c r="C192" s="296"/>
      <c r="I192" s="215" t="s">
        <v>744</v>
      </c>
      <c r="J192" s="1710">
        <f ca="1">U365</f>
        <v>0</v>
      </c>
      <c r="K192" s="1711"/>
      <c r="L192" s="1712"/>
      <c r="T192" s="215" t="s">
        <v>745</v>
      </c>
      <c r="U192" s="1710" t="str">
        <f ca="1">J367</f>
        <v/>
      </c>
      <c r="V192" s="1712"/>
      <c r="X192" s="298"/>
    </row>
    <row r="193" spans="2:24" ht="5.0999999999999996" customHeight="1">
      <c r="B193" s="298"/>
      <c r="C193" s="296"/>
      <c r="U193" s="329"/>
      <c r="X193" s="298"/>
    </row>
    <row r="194" spans="2:24">
      <c r="B194" s="298"/>
      <c r="C194" s="296"/>
      <c r="I194" s="215" t="s">
        <v>746</v>
      </c>
      <c r="J194" s="1710" t="str">
        <f ca="1">U367</f>
        <v xml:space="preserve"> </v>
      </c>
      <c r="K194" s="1711"/>
      <c r="L194" s="1712"/>
      <c r="T194" s="215" t="s">
        <v>658</v>
      </c>
      <c r="U194" s="1776" t="str">
        <f ca="1">J369</f>
        <v/>
      </c>
      <c r="V194" s="1778"/>
      <c r="X194" s="298"/>
    </row>
    <row r="195" spans="2:24" ht="5.0999999999999996" customHeight="1">
      <c r="B195" s="298"/>
      <c r="C195" s="296"/>
      <c r="U195" s="329"/>
      <c r="X195" s="298"/>
    </row>
    <row r="196" spans="2:24">
      <c r="B196" s="298"/>
      <c r="C196" s="296"/>
      <c r="I196" s="215" t="s">
        <v>655</v>
      </c>
      <c r="J196" s="1710" t="str">
        <f ca="1">U369</f>
        <v/>
      </c>
      <c r="K196" s="1711"/>
      <c r="L196" s="1712"/>
      <c r="X196" s="298"/>
    </row>
    <row r="197" spans="2:24" ht="5.0999999999999996" customHeight="1">
      <c r="B197" s="298"/>
      <c r="C197" s="296"/>
      <c r="U197" s="329"/>
      <c r="X197" s="298"/>
    </row>
    <row r="198" spans="2:24">
      <c r="B198" s="298"/>
      <c r="C198" s="296"/>
      <c r="I198" s="346"/>
      <c r="J198" s="347"/>
      <c r="K198" s="347"/>
      <c r="T198" s="1954"/>
      <c r="U198" s="347"/>
      <c r="X198" s="298"/>
    </row>
    <row r="199" spans="2:24" ht="5.0999999999999996" customHeight="1">
      <c r="B199" s="298"/>
      <c r="C199" s="296"/>
      <c r="I199" s="346"/>
      <c r="J199" s="347"/>
      <c r="K199" s="347"/>
      <c r="T199" s="1954"/>
      <c r="U199" s="347"/>
      <c r="X199" s="298"/>
    </row>
    <row r="200" spans="2:24">
      <c r="B200" s="298"/>
      <c r="C200" s="296"/>
      <c r="I200" s="215" t="s">
        <v>629</v>
      </c>
      <c r="J200" s="1710">
        <f ca="1">J375</f>
        <v>0</v>
      </c>
      <c r="K200" s="1711"/>
      <c r="L200" s="1712"/>
      <c r="T200" s="449" t="s">
        <v>747</v>
      </c>
      <c r="U200" s="1707"/>
      <c r="V200" s="1709"/>
      <c r="X200" s="298"/>
    </row>
    <row r="201" spans="2:24" ht="5.0999999999999996" customHeight="1">
      <c r="B201" s="298"/>
      <c r="C201" s="296"/>
      <c r="I201" s="346"/>
      <c r="J201" s="348"/>
      <c r="K201" s="348"/>
      <c r="U201" s="346"/>
      <c r="V201" s="347"/>
      <c r="X201" s="298"/>
    </row>
    <row r="202" spans="2:24">
      <c r="B202" s="298"/>
      <c r="C202" s="296"/>
      <c r="X202" s="298"/>
    </row>
    <row r="203" spans="2:24" ht="5.0999999999999996" customHeight="1">
      <c r="B203" s="298"/>
      <c r="C203" s="296"/>
      <c r="U203" s="215"/>
      <c r="V203" s="329"/>
      <c r="X203" s="298"/>
    </row>
    <row r="204" spans="2:24">
      <c r="B204" s="298"/>
      <c r="C204" s="296"/>
      <c r="I204" s="215" t="s">
        <v>748</v>
      </c>
      <c r="J204" s="1719" t="str">
        <f>J351</f>
        <v>NOT Specified?</v>
      </c>
      <c r="K204" s="1711"/>
      <c r="L204" s="1712"/>
      <c r="V204" s="329"/>
      <c r="X204" s="298"/>
    </row>
    <row r="205" spans="2:24" ht="5.0999999999999996" customHeight="1">
      <c r="B205" s="298"/>
      <c r="C205" s="296"/>
      <c r="U205" s="215"/>
      <c r="V205" s="349"/>
      <c r="X205" s="298"/>
    </row>
    <row r="206" spans="2:24" ht="14.95" customHeight="1">
      <c r="B206" s="298"/>
      <c r="C206" s="296"/>
      <c r="V206" s="329"/>
      <c r="X206" s="298"/>
    </row>
    <row r="207" spans="2:24" ht="5.0999999999999996" customHeight="1">
      <c r="B207" s="298"/>
      <c r="C207" s="296"/>
      <c r="V207" s="329"/>
      <c r="X207" s="298"/>
    </row>
    <row r="208" spans="2:24">
      <c r="B208" s="298"/>
      <c r="C208" s="296"/>
      <c r="I208" s="215" t="s">
        <v>749</v>
      </c>
      <c r="J208" s="1710" t="str">
        <f ca="1">U379</f>
        <v>Multi-Family Housing</v>
      </c>
      <c r="K208" s="1711"/>
      <c r="L208" s="1712"/>
      <c r="V208" s="329"/>
      <c r="X208" s="298"/>
    </row>
    <row r="209" spans="2:24" ht="5.0999999999999996" customHeight="1">
      <c r="B209" s="298"/>
      <c r="C209" s="296"/>
      <c r="J209" s="476"/>
      <c r="K209" s="476"/>
      <c r="V209" s="329"/>
      <c r="X209" s="298"/>
    </row>
    <row r="210" spans="2:24">
      <c r="B210" s="298"/>
      <c r="C210" s="296"/>
      <c r="I210" s="342" t="s">
        <v>750</v>
      </c>
      <c r="J210" s="1710">
        <f ca="1">J381</f>
        <v>0</v>
      </c>
      <c r="K210" s="1711"/>
      <c r="L210" s="1712"/>
      <c r="X210" s="298"/>
    </row>
    <row r="211" spans="2:24" ht="5.0999999999999996" customHeight="1">
      <c r="B211" s="298"/>
      <c r="C211" s="296"/>
      <c r="V211" s="329"/>
      <c r="X211" s="298"/>
    </row>
    <row r="212" spans="2:24">
      <c r="B212" s="298"/>
      <c r="C212" s="296"/>
      <c r="I212" s="342" t="s">
        <v>751</v>
      </c>
      <c r="J212" s="1710">
        <f ca="1">J383</f>
        <v>0</v>
      </c>
      <c r="K212" s="1711"/>
      <c r="L212" s="1712"/>
      <c r="X212" s="298"/>
    </row>
    <row r="213" spans="2:24" ht="5.0999999999999996" customHeight="1">
      <c r="B213" s="298"/>
      <c r="C213" s="296"/>
      <c r="V213" s="329"/>
      <c r="X213" s="298"/>
    </row>
    <row r="214" spans="2:24">
      <c r="B214" s="298"/>
      <c r="C214" s="296"/>
      <c r="I214" s="348"/>
      <c r="J214" s="348"/>
      <c r="X214" s="298"/>
    </row>
    <row r="215" spans="2:24" ht="5.0999999999999996" customHeight="1">
      <c r="B215" s="298"/>
      <c r="C215" s="297"/>
      <c r="D215" s="214"/>
      <c r="E215" s="214"/>
      <c r="F215" s="214"/>
      <c r="G215" s="214"/>
      <c r="H215" s="214"/>
      <c r="I215" s="214"/>
      <c r="J215" s="214"/>
      <c r="K215" s="214"/>
      <c r="L215" s="214"/>
      <c r="M215" s="214"/>
      <c r="N215" s="214"/>
      <c r="O215" s="214"/>
      <c r="P215" s="214"/>
      <c r="Q215" s="214"/>
      <c r="R215" s="214"/>
      <c r="S215" s="214"/>
      <c r="T215" s="214"/>
      <c r="U215" s="214"/>
      <c r="V215" s="214"/>
      <c r="W215" s="214"/>
      <c r="X215" s="299"/>
    </row>
    <row r="216" spans="2:24" ht="5.0999999999999996" customHeight="1"/>
    <row r="217" spans="2:24" ht="5.0999999999999996" customHeight="1">
      <c r="B217" s="298"/>
      <c r="C217" s="701"/>
      <c r="D217" s="690"/>
      <c r="E217" s="690"/>
      <c r="F217" s="690"/>
      <c r="G217" s="690"/>
      <c r="H217" s="690"/>
      <c r="I217" s="690"/>
      <c r="J217" s="690"/>
      <c r="K217" s="690"/>
      <c r="L217" s="690"/>
      <c r="M217" s="690"/>
      <c r="N217" s="690"/>
      <c r="O217" s="690"/>
      <c r="P217" s="690"/>
      <c r="Q217" s="690"/>
      <c r="R217" s="690"/>
      <c r="S217" s="690"/>
      <c r="T217" s="690"/>
      <c r="U217" s="690"/>
      <c r="V217" s="690"/>
      <c r="W217" s="690"/>
      <c r="X217" s="702"/>
    </row>
    <row r="218" spans="2:24">
      <c r="B218" s="298"/>
      <c r="C218" s="296"/>
      <c r="D218" s="1941" t="s">
        <v>752</v>
      </c>
      <c r="E218" s="1941"/>
      <c r="F218" s="1941"/>
      <c r="G218" s="1941"/>
      <c r="H218" s="1941"/>
      <c r="I218" s="1941"/>
      <c r="J218" s="1941"/>
      <c r="K218" s="1941"/>
      <c r="L218" s="1941"/>
      <c r="M218" s="1941"/>
      <c r="N218" s="1941"/>
      <c r="O218" s="1941"/>
      <c r="P218" s="1941"/>
      <c r="Q218" s="1941"/>
      <c r="R218" s="1941"/>
      <c r="S218" s="1941"/>
      <c r="T218" s="1941"/>
      <c r="U218" s="1941"/>
      <c r="V218" s="1942" t="s">
        <v>852</v>
      </c>
      <c r="W218" s="1942"/>
      <c r="X218" s="298"/>
    </row>
    <row r="219" spans="2:24" ht="5.0999999999999996" customHeight="1">
      <c r="B219" s="298"/>
      <c r="C219" s="296"/>
      <c r="X219" s="298"/>
    </row>
    <row r="220" spans="2:24">
      <c r="B220" s="298"/>
      <c r="C220" s="296"/>
      <c r="H220" s="447"/>
      <c r="I220" s="447"/>
      <c r="J220" s="447"/>
      <c r="K220" s="447"/>
      <c r="L220" s="447"/>
      <c r="M220" s="447"/>
      <c r="N220" s="447"/>
      <c r="O220" s="447"/>
      <c r="P220" s="447"/>
      <c r="Q220" s="447"/>
      <c r="R220" s="447"/>
      <c r="S220" s="447"/>
      <c r="T220" s="449" t="s">
        <v>753</v>
      </c>
      <c r="U220" s="1707"/>
      <c r="V220" s="1709"/>
      <c r="X220" s="298"/>
    </row>
    <row r="221" spans="2:24" ht="5.0999999999999996" customHeight="1">
      <c r="B221" s="298"/>
      <c r="C221" s="296"/>
      <c r="H221" s="447"/>
      <c r="I221" s="447"/>
      <c r="J221" s="447"/>
      <c r="K221" s="447"/>
      <c r="L221" s="448"/>
      <c r="M221" s="448"/>
      <c r="N221" s="447"/>
      <c r="O221" s="447"/>
      <c r="P221" s="447"/>
      <c r="Q221" s="447"/>
      <c r="R221" s="447"/>
      <c r="S221" s="447"/>
      <c r="T221" s="447"/>
      <c r="U221" s="447"/>
      <c r="V221" s="448"/>
      <c r="X221" s="298"/>
    </row>
    <row r="222" spans="2:24">
      <c r="B222" s="298"/>
      <c r="C222" s="296"/>
      <c r="I222" s="449" t="s">
        <v>754</v>
      </c>
      <c r="J222" s="1707" t="str">
        <f>J302</f>
        <v>Lighting - Performance - Custom</v>
      </c>
      <c r="K222" s="1708"/>
      <c r="L222" s="1709"/>
      <c r="M222" s="447"/>
      <c r="N222" s="447"/>
      <c r="O222" s="447"/>
      <c r="P222" s="447"/>
      <c r="Q222" s="447"/>
      <c r="R222" s="447"/>
      <c r="S222" s="447"/>
      <c r="T222" s="447"/>
      <c r="U222" s="447"/>
      <c r="V222" s="447"/>
      <c r="X222" s="298"/>
    </row>
    <row r="223" spans="2:24" ht="5.0999999999999996" customHeight="1">
      <c r="B223" s="298"/>
      <c r="C223" s="296"/>
      <c r="J223" s="96"/>
      <c r="K223" s="96"/>
      <c r="V223" s="96"/>
      <c r="X223" s="298"/>
    </row>
    <row r="224" spans="2:24">
      <c r="B224" s="298"/>
      <c r="C224" s="296"/>
      <c r="I224" s="215" t="s">
        <v>755</v>
      </c>
      <c r="J224" s="1982">
        <f ca="1">J308</f>
        <v>0</v>
      </c>
      <c r="K224" s="1983"/>
      <c r="L224" s="1984"/>
      <c r="X224" s="298"/>
    </row>
    <row r="225" spans="2:24" ht="5.0999999999999996" customHeight="1">
      <c r="B225" s="298"/>
      <c r="C225" s="296"/>
      <c r="J225" s="96"/>
      <c r="K225" s="96"/>
      <c r="V225" s="96"/>
      <c r="X225" s="298"/>
    </row>
    <row r="226" spans="2:24">
      <c r="B226" s="298"/>
      <c r="C226" s="296"/>
      <c r="I226" s="342" t="s">
        <v>756</v>
      </c>
      <c r="J226" s="1956" t="str">
        <f>U308</f>
        <v>Lighting</v>
      </c>
      <c r="K226" s="1952"/>
      <c r="L226" s="1953"/>
      <c r="X226" s="298"/>
    </row>
    <row r="227" spans="2:24" ht="5.0999999999999996" customHeight="1">
      <c r="B227" s="298"/>
      <c r="C227" s="296"/>
      <c r="J227" s="96"/>
      <c r="K227" s="96"/>
      <c r="V227" s="96"/>
      <c r="X227" s="298"/>
    </row>
    <row r="228" spans="2:24">
      <c r="B228" s="298"/>
      <c r="C228" s="296"/>
      <c r="I228" s="215" t="s">
        <v>758</v>
      </c>
      <c r="J228" s="1951">
        <f ca="1">J310</f>
        <v>0</v>
      </c>
      <c r="K228" s="1991"/>
      <c r="L228" s="1992"/>
      <c r="X228" s="298"/>
    </row>
    <row r="229" spans="2:24" ht="5.0999999999999996" customHeight="1">
      <c r="B229" s="298"/>
      <c r="C229" s="296"/>
      <c r="J229" s="96"/>
      <c r="K229" s="96"/>
      <c r="V229" s="96"/>
      <c r="X229" s="298"/>
    </row>
    <row r="230" spans="2:24">
      <c r="B230" s="298"/>
      <c r="C230" s="296"/>
      <c r="I230" s="215" t="s">
        <v>759</v>
      </c>
      <c r="J230" s="1951">
        <f>J312</f>
        <v>10</v>
      </c>
      <c r="K230" s="1952"/>
      <c r="L230" s="1953"/>
      <c r="X230" s="298"/>
    </row>
    <row r="231" spans="2:24" ht="5.0999999999999996" customHeight="1">
      <c r="B231" s="298"/>
      <c r="C231" s="296"/>
      <c r="V231" s="96"/>
      <c r="X231" s="298"/>
    </row>
    <row r="232" spans="2:24">
      <c r="B232" s="298"/>
      <c r="C232" s="296"/>
      <c r="I232" s="449" t="s">
        <v>760</v>
      </c>
      <c r="J232" s="1707"/>
      <c r="K232" s="1708"/>
      <c r="L232" s="1709"/>
      <c r="U232" s="215"/>
      <c r="V232" s="96"/>
      <c r="X232" s="298"/>
    </row>
    <row r="233" spans="2:24" ht="5.0999999999999996" customHeight="1">
      <c r="B233" s="298"/>
      <c r="C233" s="296"/>
      <c r="V233" s="96"/>
      <c r="X233" s="298"/>
    </row>
    <row r="234" spans="2:24">
      <c r="B234" s="298"/>
      <c r="C234" s="296"/>
      <c r="I234" s="215" t="s">
        <v>761</v>
      </c>
      <c r="J234" s="1982">
        <f ca="1">J314</f>
        <v>0</v>
      </c>
      <c r="K234" s="1983"/>
      <c r="L234" s="1984"/>
      <c r="X234" s="298"/>
    </row>
    <row r="235" spans="2:24" ht="5.0999999999999996" customHeight="1">
      <c r="B235" s="298"/>
      <c r="C235" s="296"/>
      <c r="V235" s="96"/>
      <c r="X235" s="298"/>
    </row>
    <row r="236" spans="2:24" ht="14.95" customHeight="1">
      <c r="B236" s="298"/>
      <c r="C236" s="296"/>
      <c r="D236" s="2027" t="s">
        <v>762</v>
      </c>
      <c r="E236" s="2027"/>
      <c r="F236" s="2027"/>
      <c r="G236" s="2027"/>
      <c r="H236" s="2027"/>
      <c r="I236" s="2027"/>
      <c r="J236" s="1951">
        <f ca="1">J316</f>
        <v>0</v>
      </c>
      <c r="K236" s="1991"/>
      <c r="L236" s="1992"/>
      <c r="X236" s="298"/>
    </row>
    <row r="237" spans="2:24" ht="14.95" customHeight="1">
      <c r="B237" s="298"/>
      <c r="C237" s="296"/>
      <c r="D237" s="2027"/>
      <c r="E237" s="2027"/>
      <c r="F237" s="2027"/>
      <c r="G237" s="2027"/>
      <c r="H237" s="2027"/>
      <c r="I237" s="2027"/>
      <c r="V237" s="96"/>
      <c r="X237" s="298"/>
    </row>
    <row r="238" spans="2:24">
      <c r="B238" s="298"/>
      <c r="C238" s="296"/>
      <c r="I238" s="351" t="s">
        <v>707</v>
      </c>
      <c r="J238" s="1988">
        <f ca="1">U320</f>
        <v>2</v>
      </c>
      <c r="K238" s="1990"/>
      <c r="L238" s="1989"/>
      <c r="X238" s="298"/>
    </row>
    <row r="239" spans="2:24" ht="5.0999999999999996" customHeight="1">
      <c r="B239" s="298"/>
      <c r="C239" s="296"/>
      <c r="X239" s="298"/>
    </row>
    <row r="240" spans="2:24">
      <c r="B240" s="298"/>
      <c r="C240" s="296"/>
      <c r="I240" s="215" t="s">
        <v>763</v>
      </c>
      <c r="J240" s="1979" t="str">
        <f ca="1">J306</f>
        <v>Enter on "Customer Authorization" tab</v>
      </c>
      <c r="K240" s="1980"/>
      <c r="L240" s="1981"/>
      <c r="Q240" s="447"/>
      <c r="R240" s="447"/>
      <c r="S240" s="447"/>
      <c r="T240" s="449" t="s">
        <v>764</v>
      </c>
      <c r="U240" s="1707" t="str">
        <f>J304</f>
        <v>Full</v>
      </c>
      <c r="V240" s="1709"/>
      <c r="X240" s="298"/>
    </row>
    <row r="241" spans="2:24" ht="5.0999999999999996" customHeight="1">
      <c r="B241" s="298"/>
      <c r="C241" s="297"/>
      <c r="D241" s="214"/>
      <c r="E241" s="214"/>
      <c r="F241" s="214"/>
      <c r="G241" s="214"/>
      <c r="H241" s="214"/>
      <c r="I241" s="214"/>
      <c r="J241" s="214"/>
      <c r="K241" s="214"/>
      <c r="L241" s="214"/>
      <c r="M241" s="214"/>
      <c r="N241" s="214"/>
      <c r="O241" s="214"/>
      <c r="P241" s="214"/>
      <c r="Q241" s="214"/>
      <c r="R241" s="214"/>
      <c r="S241" s="214"/>
      <c r="T241" s="214"/>
      <c r="U241" s="214"/>
      <c r="V241" s="214"/>
      <c r="W241" s="214"/>
      <c r="X241" s="299"/>
    </row>
    <row r="242" spans="2:24" ht="5.0999999999999996" customHeight="1"/>
    <row r="243" spans="2:24" ht="5.0999999999999996" customHeight="1">
      <c r="B243" s="298"/>
      <c r="C243" s="701"/>
      <c r="D243" s="690"/>
      <c r="E243" s="690"/>
      <c r="F243" s="690"/>
      <c r="G243" s="690"/>
      <c r="H243" s="690"/>
      <c r="I243" s="690"/>
      <c r="J243" s="690"/>
      <c r="K243" s="690"/>
      <c r="L243" s="690"/>
      <c r="M243" s="690"/>
      <c r="N243" s="690"/>
      <c r="O243" s="690"/>
      <c r="P243" s="690"/>
      <c r="Q243" s="690"/>
      <c r="R243" s="690"/>
      <c r="S243" s="690"/>
      <c r="T243" s="690"/>
      <c r="U243" s="690"/>
      <c r="V243" s="690"/>
      <c r="W243" s="690"/>
      <c r="X243" s="702"/>
    </row>
    <row r="244" spans="2:24">
      <c r="B244" s="298"/>
      <c r="C244" s="296"/>
      <c r="D244" s="1941" t="s">
        <v>765</v>
      </c>
      <c r="E244" s="1941"/>
      <c r="F244" s="1941"/>
      <c r="G244" s="1941"/>
      <c r="H244" s="1941"/>
      <c r="I244" s="1941"/>
      <c r="J244" s="1941"/>
      <c r="K244" s="1941"/>
      <c r="L244" s="1941"/>
      <c r="M244" s="1941"/>
      <c r="N244" s="1941"/>
      <c r="O244" s="1941"/>
      <c r="P244" s="1941"/>
      <c r="Q244" s="1941"/>
      <c r="R244" s="1941"/>
      <c r="S244" s="1941"/>
      <c r="T244" s="1941"/>
      <c r="U244" s="1941"/>
      <c r="V244" s="1942" t="s">
        <v>852</v>
      </c>
      <c r="W244" s="1942"/>
      <c r="X244" s="298"/>
    </row>
    <row r="245" spans="2:24" ht="5.0999999999999996" customHeight="1">
      <c r="B245" s="298"/>
      <c r="C245" s="296"/>
      <c r="X245" s="298"/>
    </row>
    <row r="246" spans="2:24">
      <c r="B246" s="298"/>
      <c r="C246" s="296"/>
      <c r="I246" s="215" t="s">
        <v>766</v>
      </c>
      <c r="J246" s="1951">
        <f ca="1">J457</f>
        <v>0</v>
      </c>
      <c r="K246" s="1991"/>
      <c r="L246" s="1992"/>
      <c r="X246" s="298"/>
    </row>
    <row r="247" spans="2:24" ht="5.0999999999999996" customHeight="1">
      <c r="B247" s="298"/>
      <c r="C247" s="296"/>
      <c r="J247" s="96"/>
      <c r="K247" s="96"/>
      <c r="X247" s="298"/>
    </row>
    <row r="248" spans="2:24">
      <c r="B248" s="298"/>
      <c r="C248" s="296"/>
      <c r="I248" s="215" t="s">
        <v>767</v>
      </c>
      <c r="J248" s="1982">
        <f ca="1">J459</f>
        <v>0</v>
      </c>
      <c r="K248" s="1983"/>
      <c r="L248" s="1984"/>
      <c r="T248" s="215" t="s">
        <v>768</v>
      </c>
      <c r="U248" s="2028">
        <f ca="1">U459</f>
        <v>0</v>
      </c>
      <c r="V248" s="2029"/>
      <c r="X248" s="298"/>
    </row>
    <row r="249" spans="2:24" ht="5.0999999999999996" customHeight="1">
      <c r="B249" s="298"/>
      <c r="C249" s="297"/>
      <c r="D249" s="214"/>
      <c r="E249" s="214"/>
      <c r="F249" s="214"/>
      <c r="G249" s="214"/>
      <c r="H249" s="214"/>
      <c r="I249" s="214"/>
      <c r="J249" s="214"/>
      <c r="K249" s="214"/>
      <c r="L249" s="214"/>
      <c r="M249" s="214"/>
      <c r="N249" s="214"/>
      <c r="O249" s="214"/>
      <c r="P249" s="214"/>
      <c r="Q249" s="214"/>
      <c r="R249" s="214"/>
      <c r="S249" s="214"/>
      <c r="T249" s="214"/>
      <c r="U249" s="214"/>
      <c r="V249" s="214"/>
      <c r="W249" s="214"/>
      <c r="X249" s="299"/>
    </row>
    <row r="250" spans="2:24" ht="5.0999999999999996" customHeight="1"/>
    <row r="251" spans="2:24" ht="14.95" customHeight="1">
      <c r="B251" s="191"/>
      <c r="C251" s="191"/>
      <c r="D251" s="305"/>
      <c r="E251" s="305"/>
      <c r="F251" s="305"/>
      <c r="G251" s="305"/>
      <c r="H251" s="305"/>
      <c r="N251" s="308"/>
      <c r="O251" s="308"/>
      <c r="P251" s="308"/>
      <c r="Q251" s="308"/>
    </row>
    <row r="252" spans="2:24" ht="7.5" customHeight="1"/>
    <row r="253" spans="2:24">
      <c r="B253" s="1149"/>
    </row>
    <row r="254" spans="2:24">
      <c r="B254" s="1149"/>
    </row>
    <row r="255" spans="2:24" ht="21.75" thickBot="1">
      <c r="B255" s="1149"/>
      <c r="I255" s="352">
        <f>O90</f>
        <v>0</v>
      </c>
      <c r="J255" s="352"/>
      <c r="K255" s="352"/>
      <c r="L255" s="352" t="s">
        <v>855</v>
      </c>
      <c r="M255" s="352"/>
      <c r="N255" s="352"/>
      <c r="O255" s="352"/>
      <c r="P255" s="352"/>
      <c r="Q255" s="352"/>
      <c r="R255" s="352"/>
      <c r="S255" s="352"/>
      <c r="T255" s="352"/>
      <c r="U255" s="352"/>
      <c r="V255" s="352"/>
      <c r="W255" s="352"/>
      <c r="X255" s="352"/>
    </row>
    <row r="256" spans="2:24" ht="14.95" customHeight="1">
      <c r="B256" s="1149"/>
      <c r="H256" s="1807" t="s">
        <v>709</v>
      </c>
      <c r="I256" s="1808"/>
      <c r="J256" s="1808"/>
      <c r="K256" s="1808"/>
      <c r="L256" s="1808"/>
      <c r="M256" s="1808"/>
      <c r="N256" s="1808"/>
      <c r="O256" s="1808"/>
      <c r="P256" s="1808"/>
      <c r="Q256" s="1808"/>
      <c r="R256" s="1808"/>
      <c r="S256" s="1808"/>
      <c r="T256" s="1808"/>
      <c r="U256" s="1808"/>
      <c r="V256" s="1808"/>
      <c r="W256" s="1808"/>
      <c r="X256" s="1809"/>
    </row>
    <row r="257" spans="2:24" ht="14.95" customHeight="1">
      <c r="B257" s="1149"/>
      <c r="H257" s="1810"/>
      <c r="I257" s="1811"/>
      <c r="J257" s="1811"/>
      <c r="K257" s="1811"/>
      <c r="L257" s="1811"/>
      <c r="M257" s="1811"/>
      <c r="N257" s="1811"/>
      <c r="O257" s="1811"/>
      <c r="P257" s="1811"/>
      <c r="Q257" s="1811"/>
      <c r="R257" s="1811"/>
      <c r="S257" s="1811"/>
      <c r="T257" s="1811"/>
      <c r="U257" s="1811"/>
      <c r="V257" s="1811"/>
      <c r="W257" s="1811"/>
      <c r="X257" s="1812"/>
    </row>
    <row r="258" spans="2:24">
      <c r="B258" s="1149"/>
      <c r="H258" s="1810"/>
      <c r="I258" s="1811"/>
      <c r="J258" s="1811"/>
      <c r="K258" s="1811"/>
      <c r="L258" s="1811"/>
      <c r="M258" s="1811"/>
      <c r="N258" s="1811"/>
      <c r="O258" s="1811"/>
      <c r="P258" s="1811"/>
      <c r="Q258" s="1811"/>
      <c r="R258" s="1811"/>
      <c r="S258" s="1811"/>
      <c r="T258" s="1811"/>
      <c r="U258" s="1811"/>
      <c r="V258" s="1811"/>
      <c r="W258" s="1811"/>
      <c r="X258" s="1812"/>
    </row>
    <row r="259" spans="2:24">
      <c r="B259" s="1149"/>
      <c r="H259" s="1810"/>
      <c r="I259" s="1811"/>
      <c r="J259" s="1811"/>
      <c r="K259" s="1811"/>
      <c r="L259" s="1811"/>
      <c r="M259" s="1811"/>
      <c r="N259" s="1811"/>
      <c r="O259" s="1811"/>
      <c r="P259" s="1811"/>
      <c r="Q259" s="1811"/>
      <c r="R259" s="1811"/>
      <c r="S259" s="1811"/>
      <c r="T259" s="1811"/>
      <c r="U259" s="1811"/>
      <c r="V259" s="1811"/>
      <c r="W259" s="1811"/>
      <c r="X259" s="1812"/>
    </row>
    <row r="260" spans="2:24" ht="14.95" customHeight="1">
      <c r="B260" s="1149"/>
      <c r="H260" s="1810"/>
      <c r="I260" s="1811"/>
      <c r="J260" s="1811"/>
      <c r="K260" s="1811"/>
      <c r="L260" s="1811"/>
      <c r="M260" s="1811"/>
      <c r="N260" s="1811"/>
      <c r="O260" s="1811"/>
      <c r="P260" s="1811"/>
      <c r="Q260" s="1811"/>
      <c r="R260" s="1811"/>
      <c r="S260" s="1811"/>
      <c r="T260" s="1811"/>
      <c r="U260" s="1811"/>
      <c r="V260" s="1811"/>
      <c r="W260" s="1811"/>
      <c r="X260" s="1812"/>
    </row>
    <row r="261" spans="2:24" ht="14.95" thickBot="1">
      <c r="B261" s="1149"/>
      <c r="H261" s="1813"/>
      <c r="I261" s="1814"/>
      <c r="J261" s="1814"/>
      <c r="K261" s="1814"/>
      <c r="L261" s="1814"/>
      <c r="M261" s="1814"/>
      <c r="N261" s="1814"/>
      <c r="O261" s="1814"/>
      <c r="P261" s="1814"/>
      <c r="Q261" s="1814"/>
      <c r="R261" s="1814"/>
      <c r="S261" s="1814"/>
      <c r="T261" s="1814"/>
      <c r="U261" s="1814"/>
      <c r="V261" s="1814"/>
      <c r="W261" s="1814"/>
      <c r="X261" s="1815"/>
    </row>
    <row r="262" spans="2:24">
      <c r="B262" s="1149"/>
    </row>
    <row r="263" spans="2:24" ht="5.0999999999999996" customHeight="1">
      <c r="B263" s="1149"/>
      <c r="C263" s="701"/>
      <c r="D263" s="690"/>
      <c r="E263" s="690"/>
      <c r="F263" s="690"/>
      <c r="G263" s="690"/>
      <c r="H263" s="690"/>
      <c r="I263" s="690"/>
      <c r="J263" s="690"/>
      <c r="K263" s="690"/>
      <c r="L263" s="690"/>
      <c r="M263" s="690"/>
      <c r="N263" s="690"/>
      <c r="O263" s="690"/>
      <c r="P263" s="690"/>
      <c r="Q263" s="690"/>
      <c r="R263" s="690"/>
      <c r="S263" s="690"/>
      <c r="T263" s="690"/>
      <c r="U263" s="690"/>
      <c r="V263" s="690"/>
      <c r="W263" s="690"/>
      <c r="X263" s="702"/>
    </row>
    <row r="264" spans="2:24">
      <c r="B264" s="1149"/>
      <c r="C264" s="296"/>
      <c r="D264" s="1941" t="s">
        <v>710</v>
      </c>
      <c r="E264" s="1941"/>
      <c r="F264" s="1941"/>
      <c r="G264" s="1941"/>
      <c r="H264" s="1941"/>
      <c r="I264" s="1941"/>
      <c r="J264" s="1941"/>
      <c r="K264" s="1941"/>
      <c r="L264" s="1941"/>
      <c r="M264" s="1941"/>
      <c r="N264" s="1941"/>
      <c r="O264" s="1941"/>
      <c r="P264" s="1941"/>
      <c r="Q264" s="1941"/>
      <c r="R264" s="1941"/>
      <c r="S264" s="1941"/>
      <c r="T264" s="1941"/>
      <c r="U264" s="1941"/>
      <c r="V264" s="1942" t="s">
        <v>852</v>
      </c>
      <c r="W264" s="1942"/>
      <c r="X264" s="298"/>
    </row>
    <row r="265" spans="2:24" ht="5.0999999999999996" customHeight="1">
      <c r="B265" s="1149"/>
      <c r="C265" s="296"/>
      <c r="X265" s="298"/>
    </row>
    <row r="266" spans="2:24">
      <c r="B266" s="1149"/>
      <c r="C266" s="296"/>
      <c r="I266" s="342" t="s">
        <v>711</v>
      </c>
      <c r="J266" s="1956">
        <f>M24</f>
        <v>0</v>
      </c>
      <c r="K266" s="1952"/>
      <c r="L266" s="1953"/>
      <c r="N266" s="32"/>
      <c r="O266" s="32"/>
      <c r="T266" s="342" t="s">
        <v>637</v>
      </c>
      <c r="U266" s="1956">
        <f>M26</f>
        <v>0</v>
      </c>
      <c r="V266" s="1953"/>
      <c r="X266" s="298"/>
    </row>
    <row r="267" spans="2:24" ht="5.0999999999999996" customHeight="1">
      <c r="B267" s="1149"/>
      <c r="C267" s="296"/>
      <c r="I267" s="342"/>
      <c r="J267" s="353"/>
      <c r="K267" s="353"/>
      <c r="N267" s="353"/>
      <c r="O267" s="353"/>
      <c r="P267" s="343"/>
      <c r="Q267" s="343"/>
      <c r="R267" s="344"/>
      <c r="U267" s="348"/>
      <c r="V267" s="348"/>
      <c r="X267" s="298"/>
    </row>
    <row r="268" spans="2:24">
      <c r="B268" s="1149"/>
      <c r="C268" s="296"/>
      <c r="I268" s="449" t="s">
        <v>712</v>
      </c>
      <c r="J268" s="1707"/>
      <c r="K268" s="1708"/>
      <c r="L268" s="1709"/>
      <c r="M268" s="447"/>
      <c r="N268" s="448"/>
      <c r="O268" s="448"/>
      <c r="P268" s="447"/>
      <c r="Q268" s="447"/>
      <c r="R268" s="447"/>
      <c r="S268" s="447"/>
      <c r="T268" s="447"/>
      <c r="X268" s="298"/>
    </row>
    <row r="269" spans="2:24" ht="5.0999999999999996" customHeight="1">
      <c r="B269" s="1149"/>
      <c r="C269" s="296"/>
      <c r="I269" s="10"/>
      <c r="J269" s="447"/>
      <c r="K269" s="447"/>
      <c r="L269" s="447"/>
      <c r="M269" s="447"/>
      <c r="N269" s="447"/>
      <c r="O269" s="447"/>
      <c r="P269" s="447"/>
      <c r="Q269" s="447"/>
      <c r="R269" s="447"/>
      <c r="S269" s="447"/>
      <c r="T269" s="447"/>
      <c r="X269" s="298"/>
    </row>
    <row r="270" spans="2:24" ht="14.95" customHeight="1">
      <c r="B270" s="1149"/>
      <c r="C270" s="296"/>
      <c r="D270" s="1957" t="s">
        <v>770</v>
      </c>
      <c r="E270" s="1957"/>
      <c r="F270" s="1957"/>
      <c r="G270" s="1957"/>
      <c r="H270" s="1957"/>
      <c r="I270" s="1957"/>
      <c r="J270" s="1707"/>
      <c r="K270" s="1708"/>
      <c r="L270" s="1709"/>
      <c r="M270" s="447"/>
      <c r="N270" s="457"/>
      <c r="O270" s="457"/>
      <c r="P270" s="447"/>
      <c r="Q270" s="447"/>
      <c r="R270" s="447"/>
      <c r="S270" s="447"/>
      <c r="T270" s="447"/>
      <c r="X270" s="298"/>
    </row>
    <row r="271" spans="2:24" ht="7.5" customHeight="1">
      <c r="B271" s="1149"/>
      <c r="C271" s="297"/>
      <c r="D271" s="1958"/>
      <c r="E271" s="1958"/>
      <c r="F271" s="1958"/>
      <c r="G271" s="1958"/>
      <c r="H271" s="1958"/>
      <c r="I271" s="1958"/>
      <c r="J271" s="355"/>
      <c r="K271" s="355"/>
      <c r="L271" s="356"/>
      <c r="M271" s="356"/>
      <c r="N271" s="356"/>
      <c r="O271" s="356"/>
      <c r="P271" s="214"/>
      <c r="Q271" s="214"/>
      <c r="R271" s="214"/>
      <c r="S271" s="214"/>
      <c r="T271" s="214"/>
      <c r="U271" s="214"/>
      <c r="V271" s="214"/>
      <c r="W271" s="214"/>
      <c r="X271" s="299"/>
    </row>
    <row r="272" spans="2:24" ht="5.0999999999999996" customHeight="1">
      <c r="B272" s="1149"/>
    </row>
    <row r="273" spans="2:24" ht="5.0999999999999996" customHeight="1">
      <c r="B273" s="1149"/>
      <c r="C273" s="701"/>
      <c r="D273" s="690"/>
      <c r="E273" s="690"/>
      <c r="F273" s="690"/>
      <c r="G273" s="690"/>
      <c r="H273" s="690"/>
      <c r="I273" s="690"/>
      <c r="J273" s="690"/>
      <c r="K273" s="690"/>
      <c r="L273" s="690"/>
      <c r="M273" s="690"/>
      <c r="N273" s="690"/>
      <c r="O273" s="690"/>
      <c r="P273" s="690"/>
      <c r="Q273" s="690"/>
      <c r="R273" s="690"/>
      <c r="S273" s="690"/>
      <c r="T273" s="690"/>
      <c r="U273" s="690"/>
      <c r="V273" s="690"/>
      <c r="W273" s="690"/>
      <c r="X273" s="702"/>
    </row>
    <row r="274" spans="2:24">
      <c r="B274" s="1149"/>
      <c r="C274" s="296"/>
      <c r="D274" s="1941" t="s">
        <v>771</v>
      </c>
      <c r="E274" s="1941"/>
      <c r="F274" s="1941"/>
      <c r="G274" s="1941"/>
      <c r="H274" s="1941"/>
      <c r="I274" s="1941"/>
      <c r="J274" s="1941"/>
      <c r="K274" s="1941"/>
      <c r="L274" s="1941"/>
      <c r="M274" s="1941"/>
      <c r="N274" s="1941"/>
      <c r="O274" s="1941"/>
      <c r="P274" s="1941"/>
      <c r="Q274" s="1941"/>
      <c r="R274" s="1941"/>
      <c r="S274" s="1941"/>
      <c r="T274" s="1941"/>
      <c r="U274" s="1941"/>
      <c r="V274" s="1942" t="s">
        <v>852</v>
      </c>
      <c r="W274" s="1942"/>
      <c r="X274" s="298"/>
    </row>
    <row r="275" spans="2:24" ht="5.0999999999999996" customHeight="1">
      <c r="B275" s="1149"/>
      <c r="C275" s="296"/>
      <c r="X275" s="298"/>
    </row>
    <row r="276" spans="2:24" ht="14.95" customHeight="1">
      <c r="B276" s="1149"/>
      <c r="C276" s="296"/>
      <c r="D276" s="1955" t="s">
        <v>772</v>
      </c>
      <c r="E276" s="1955"/>
      <c r="F276" s="1955"/>
      <c r="G276" s="1955"/>
      <c r="H276" s="1955"/>
      <c r="I276" s="1955"/>
      <c r="J276" s="1956" t="str">
        <f>IF(S24&lt;&gt;"","Yes","No")</f>
        <v>No</v>
      </c>
      <c r="K276" s="1952"/>
      <c r="L276" s="1953"/>
      <c r="Q276" s="447"/>
      <c r="R276" s="447"/>
      <c r="S276" s="447"/>
      <c r="T276" s="449" t="s">
        <v>773</v>
      </c>
      <c r="U276" s="1886" t="s">
        <v>774</v>
      </c>
      <c r="V276" s="1887"/>
      <c r="X276" s="298"/>
    </row>
    <row r="277" spans="2:24">
      <c r="B277" s="1149"/>
      <c r="C277" s="296"/>
      <c r="D277" s="1955"/>
      <c r="E277" s="1955"/>
      <c r="F277" s="1955"/>
      <c r="G277" s="1955"/>
      <c r="H277" s="1955"/>
      <c r="I277" s="1955"/>
      <c r="Q277" s="447"/>
      <c r="R277" s="447"/>
      <c r="S277" s="447"/>
      <c r="T277" s="447"/>
      <c r="U277" s="1888"/>
      <c r="V277" s="1889"/>
      <c r="X277" s="298"/>
    </row>
    <row r="278" spans="2:24">
      <c r="B278" s="1149"/>
      <c r="C278" s="296"/>
      <c r="N278" s="207"/>
      <c r="O278" s="207"/>
      <c r="Q278" s="447"/>
      <c r="R278" s="447"/>
      <c r="S278" s="447"/>
      <c r="T278" s="447"/>
      <c r="U278" s="1890"/>
      <c r="V278" s="1891"/>
      <c r="X278" s="298"/>
    </row>
    <row r="279" spans="2:24" ht="5.0999999999999996" customHeight="1">
      <c r="B279" s="1149"/>
      <c r="C279" s="296"/>
      <c r="X279" s="298"/>
    </row>
    <row r="280" spans="2:24">
      <c r="B280" s="1149"/>
      <c r="C280" s="296"/>
      <c r="D280" s="447"/>
      <c r="E280" s="447"/>
      <c r="F280" s="447"/>
      <c r="G280" s="447"/>
      <c r="H280" s="447"/>
      <c r="I280" s="449" t="s">
        <v>775</v>
      </c>
      <c r="J280" s="1833">
        <f ca="1">DATA!AR5</f>
        <v>0</v>
      </c>
      <c r="K280" s="1708"/>
      <c r="L280" s="1709"/>
      <c r="M280" s="447"/>
      <c r="N280" s="451"/>
      <c r="O280" s="451"/>
      <c r="P280" s="447"/>
      <c r="Q280" s="447"/>
      <c r="R280" s="447"/>
      <c r="S280" s="447"/>
      <c r="T280" s="449" t="s">
        <v>776</v>
      </c>
      <c r="U280" s="1707" t="str">
        <f ca="1">DATA!V5</f>
        <v/>
      </c>
      <c r="V280" s="1709"/>
      <c r="X280" s="298"/>
    </row>
    <row r="281" spans="2:24" ht="5.0999999999999996" customHeight="1">
      <c r="B281" s="298"/>
      <c r="C281" s="296"/>
      <c r="D281" s="447"/>
      <c r="E281" s="447"/>
      <c r="F281" s="447"/>
      <c r="G281" s="447"/>
      <c r="H281" s="447"/>
      <c r="I281" s="447"/>
      <c r="J281" s="447"/>
      <c r="K281" s="447"/>
      <c r="L281" s="447"/>
      <c r="M281" s="447"/>
      <c r="N281" s="447"/>
      <c r="O281" s="447"/>
      <c r="P281" s="447"/>
      <c r="Q281" s="447"/>
      <c r="R281" s="447"/>
      <c r="S281" s="447"/>
      <c r="T281" s="447"/>
      <c r="U281" s="447"/>
      <c r="V281" s="447"/>
      <c r="X281" s="298"/>
    </row>
    <row r="282" spans="2:24" ht="14.95" customHeight="1">
      <c r="B282" s="298"/>
      <c r="C282" s="296"/>
      <c r="D282" s="1975" t="s">
        <v>777</v>
      </c>
      <c r="E282" s="1975"/>
      <c r="F282" s="1975"/>
      <c r="G282" s="1975"/>
      <c r="H282" s="1975"/>
      <c r="I282" s="1975"/>
      <c r="J282" s="1886"/>
      <c r="K282" s="1976"/>
      <c r="L282" s="1887"/>
      <c r="M282" s="447"/>
      <c r="N282" s="495"/>
      <c r="O282" s="1975" t="s">
        <v>778</v>
      </c>
      <c r="P282" s="1975"/>
      <c r="Q282" s="1975"/>
      <c r="R282" s="1975"/>
      <c r="S282" s="1975"/>
      <c r="T282" s="1975"/>
      <c r="U282" s="1886"/>
      <c r="V282" s="1887"/>
      <c r="X282" s="298"/>
    </row>
    <row r="283" spans="2:24">
      <c r="B283" s="298"/>
      <c r="C283" s="296"/>
      <c r="D283" s="1975"/>
      <c r="E283" s="1975"/>
      <c r="F283" s="1975"/>
      <c r="G283" s="1975"/>
      <c r="H283" s="1975"/>
      <c r="I283" s="1975"/>
      <c r="J283" s="1888"/>
      <c r="K283" s="1977"/>
      <c r="L283" s="1889"/>
      <c r="M283" s="447"/>
      <c r="N283" s="495"/>
      <c r="O283" s="1975"/>
      <c r="P283" s="1975"/>
      <c r="Q283" s="1975"/>
      <c r="R283" s="1975"/>
      <c r="S283" s="1975"/>
      <c r="T283" s="1975"/>
      <c r="U283" s="1888"/>
      <c r="V283" s="1889"/>
      <c r="X283" s="298"/>
    </row>
    <row r="284" spans="2:24">
      <c r="B284" s="298"/>
      <c r="C284" s="296"/>
      <c r="D284" s="1975"/>
      <c r="E284" s="1975"/>
      <c r="F284" s="1975"/>
      <c r="G284" s="1975"/>
      <c r="H284" s="1975"/>
      <c r="I284" s="1975"/>
      <c r="J284" s="1890"/>
      <c r="K284" s="1978"/>
      <c r="L284" s="1891"/>
      <c r="M284" s="447"/>
      <c r="N284" s="495"/>
      <c r="O284" s="1975"/>
      <c r="P284" s="1975"/>
      <c r="Q284" s="1975"/>
      <c r="R284" s="1975"/>
      <c r="S284" s="1975"/>
      <c r="T284" s="1975"/>
      <c r="U284" s="1890"/>
      <c r="V284" s="1891"/>
      <c r="X284" s="298"/>
    </row>
    <row r="285" spans="2:24" ht="5.0999999999999996" customHeight="1">
      <c r="B285" s="298"/>
      <c r="C285" s="296"/>
      <c r="I285" s="350"/>
      <c r="J285" s="350"/>
      <c r="K285" s="350"/>
      <c r="L285" s="350"/>
      <c r="M285" s="350"/>
      <c r="N285" s="350"/>
      <c r="O285" s="350"/>
      <c r="U285" s="350"/>
      <c r="V285" s="350"/>
      <c r="X285" s="298"/>
    </row>
    <row r="286" spans="2:24" ht="14.95" customHeight="1">
      <c r="B286" s="298"/>
      <c r="C286" s="296"/>
      <c r="D286" s="1959" t="s">
        <v>779</v>
      </c>
      <c r="E286" s="1959"/>
      <c r="F286" s="1959"/>
      <c r="G286" s="1959"/>
      <c r="H286" s="1959"/>
      <c r="I286" s="1959"/>
      <c r="J286" s="1960" t="s">
        <v>780</v>
      </c>
      <c r="K286" s="1961"/>
      <c r="L286" s="1962"/>
      <c r="N286" s="357"/>
      <c r="O286" s="357"/>
      <c r="T286" s="342" t="s">
        <v>781</v>
      </c>
      <c r="U286" s="1969" t="s">
        <v>780</v>
      </c>
      <c r="V286" s="1970"/>
      <c r="X286" s="298"/>
    </row>
    <row r="287" spans="2:24">
      <c r="B287" s="298"/>
      <c r="C287" s="296"/>
      <c r="D287" s="1959"/>
      <c r="E287" s="1959"/>
      <c r="F287" s="1959"/>
      <c r="G287" s="1959"/>
      <c r="H287" s="1959"/>
      <c r="I287" s="1959"/>
      <c r="J287" s="1963"/>
      <c r="K287" s="1964"/>
      <c r="L287" s="1965"/>
      <c r="N287" s="357"/>
      <c r="O287" s="357"/>
      <c r="U287" s="1971"/>
      <c r="V287" s="1972"/>
      <c r="X287" s="298"/>
    </row>
    <row r="288" spans="2:24">
      <c r="B288" s="298"/>
      <c r="C288" s="296"/>
      <c r="I288" s="342"/>
      <c r="J288" s="1966"/>
      <c r="K288" s="1967"/>
      <c r="L288" s="1968"/>
      <c r="N288" s="357"/>
      <c r="O288" s="357"/>
      <c r="U288" s="1973"/>
      <c r="V288" s="1974"/>
      <c r="X288" s="298"/>
    </row>
    <row r="289" spans="2:24" ht="5.0999999999999996" customHeight="1">
      <c r="B289" s="298"/>
      <c r="C289" s="296"/>
      <c r="I289" s="350"/>
      <c r="J289" s="350"/>
      <c r="K289" s="350"/>
      <c r="N289" s="350"/>
      <c r="O289" s="350"/>
      <c r="U289" s="350"/>
      <c r="V289" s="350"/>
      <c r="X289" s="298"/>
    </row>
    <row r="290" spans="2:24">
      <c r="B290" s="298"/>
      <c r="C290" s="296"/>
      <c r="D290" s="1959" t="s">
        <v>782</v>
      </c>
      <c r="E290" s="1959"/>
      <c r="F290" s="1959"/>
      <c r="G290" s="1959"/>
      <c r="H290" s="1959"/>
      <c r="I290" s="1959"/>
      <c r="J290" s="1960" t="s">
        <v>780</v>
      </c>
      <c r="K290" s="1961"/>
      <c r="L290" s="1962"/>
      <c r="N290" s="357"/>
      <c r="O290" s="357"/>
      <c r="P290" s="447"/>
      <c r="Q290" s="447"/>
      <c r="R290" s="447"/>
      <c r="S290" s="447"/>
      <c r="T290" s="449" t="s">
        <v>783</v>
      </c>
      <c r="U290" s="1707" t="s">
        <v>784</v>
      </c>
      <c r="V290" s="1709"/>
      <c r="X290" s="298"/>
    </row>
    <row r="291" spans="2:24">
      <c r="B291" s="298"/>
      <c r="C291" s="296"/>
      <c r="D291" s="1959"/>
      <c r="E291" s="1959"/>
      <c r="F291" s="1959"/>
      <c r="G291" s="1959"/>
      <c r="H291" s="1959"/>
      <c r="I291" s="1959"/>
      <c r="J291" s="1963"/>
      <c r="K291" s="1964"/>
      <c r="L291" s="1965"/>
      <c r="N291" s="357"/>
      <c r="O291" s="357"/>
      <c r="P291" s="447"/>
      <c r="Q291" s="447"/>
      <c r="R291" s="447"/>
      <c r="S291" s="447"/>
      <c r="T291" s="447"/>
      <c r="U291" s="449"/>
      <c r="V291" s="451"/>
      <c r="X291" s="298"/>
    </row>
    <row r="292" spans="2:24">
      <c r="B292" s="298"/>
      <c r="C292" s="296"/>
      <c r="I292" s="342"/>
      <c r="J292" s="1966"/>
      <c r="K292" s="1967"/>
      <c r="L292" s="1968"/>
      <c r="N292" s="357"/>
      <c r="O292" s="357"/>
      <c r="U292" s="345"/>
      <c r="V292" s="359"/>
      <c r="X292" s="298"/>
    </row>
    <row r="293" spans="2:24" ht="5.0999999999999996" customHeight="1">
      <c r="B293" s="298"/>
      <c r="C293" s="296"/>
      <c r="X293" s="298"/>
    </row>
    <row r="294" spans="2:24" ht="14.95" customHeight="1">
      <c r="B294" s="298"/>
      <c r="C294" s="296"/>
      <c r="D294" s="1975" t="s">
        <v>785</v>
      </c>
      <c r="E294" s="1975"/>
      <c r="F294" s="1975"/>
      <c r="G294" s="1975"/>
      <c r="H294" s="1975"/>
      <c r="I294" s="1975"/>
      <c r="J294" s="1886"/>
      <c r="K294" s="1976"/>
      <c r="L294" s="1887"/>
      <c r="N294" s="358"/>
      <c r="O294" s="1975" t="s">
        <v>786</v>
      </c>
      <c r="P294" s="1975"/>
      <c r="Q294" s="1975"/>
      <c r="R294" s="1975"/>
      <c r="S294" s="1975"/>
      <c r="T294" s="1975"/>
      <c r="U294" s="1969">
        <f>S67</f>
        <v>0</v>
      </c>
      <c r="V294" s="1970"/>
      <c r="X294" s="298"/>
    </row>
    <row r="295" spans="2:24">
      <c r="B295" s="298"/>
      <c r="C295" s="296"/>
      <c r="D295" s="1975"/>
      <c r="E295" s="1975"/>
      <c r="F295" s="1975"/>
      <c r="G295" s="1975"/>
      <c r="H295" s="1975"/>
      <c r="I295" s="1975"/>
      <c r="J295" s="1888"/>
      <c r="K295" s="1977"/>
      <c r="L295" s="1889"/>
      <c r="N295" s="358"/>
      <c r="O295" s="1975"/>
      <c r="P295" s="1975"/>
      <c r="Q295" s="1975"/>
      <c r="R295" s="1975"/>
      <c r="S295" s="1975"/>
      <c r="T295" s="1975"/>
      <c r="U295" s="1971"/>
      <c r="V295" s="1972"/>
      <c r="X295" s="298"/>
    </row>
    <row r="296" spans="2:24">
      <c r="B296" s="298"/>
      <c r="C296" s="296"/>
      <c r="D296" s="1975"/>
      <c r="E296" s="1975"/>
      <c r="F296" s="1975"/>
      <c r="G296" s="1975"/>
      <c r="H296" s="1975"/>
      <c r="I296" s="1975"/>
      <c r="J296" s="1890"/>
      <c r="K296" s="1978"/>
      <c r="L296" s="1891"/>
      <c r="N296" s="358"/>
      <c r="O296" s="1975"/>
      <c r="P296" s="1975"/>
      <c r="Q296" s="1975"/>
      <c r="R296" s="1975"/>
      <c r="S296" s="1975"/>
      <c r="T296" s="1975"/>
      <c r="U296" s="1973"/>
      <c r="V296" s="1974"/>
      <c r="X296" s="298"/>
    </row>
    <row r="297" spans="2:24" ht="5.0999999999999996" customHeight="1">
      <c r="B297" s="298"/>
      <c r="C297" s="297"/>
      <c r="D297" s="214"/>
      <c r="E297" s="214"/>
      <c r="F297" s="214"/>
      <c r="G297" s="214"/>
      <c r="H297" s="214"/>
      <c r="I297" s="214"/>
      <c r="J297" s="214"/>
      <c r="K297" s="214"/>
      <c r="L297" s="214"/>
      <c r="M297" s="214"/>
      <c r="N297" s="214"/>
      <c r="O297" s="214"/>
      <c r="P297" s="214"/>
      <c r="Q297" s="214"/>
      <c r="R297" s="214"/>
      <c r="S297" s="214"/>
      <c r="T297" s="214"/>
      <c r="U297" s="214"/>
      <c r="V297" s="214"/>
      <c r="W297" s="214"/>
      <c r="X297" s="299"/>
    </row>
    <row r="298" spans="2:24" ht="5.0999999999999996" customHeight="1"/>
    <row r="299" spans="2:24" ht="7.5" customHeight="1">
      <c r="B299" s="298"/>
      <c r="C299" s="701"/>
      <c r="D299" s="690"/>
      <c r="E299" s="690"/>
      <c r="F299" s="690"/>
      <c r="G299" s="690"/>
      <c r="H299" s="690"/>
      <c r="I299" s="690"/>
      <c r="J299" s="690"/>
      <c r="K299" s="690"/>
      <c r="L299" s="690"/>
      <c r="M299" s="690"/>
      <c r="N299" s="690"/>
      <c r="O299" s="690"/>
      <c r="P299" s="690"/>
      <c r="Q299" s="690"/>
      <c r="R299" s="690"/>
      <c r="S299" s="690"/>
      <c r="T299" s="690"/>
      <c r="U299" s="690"/>
      <c r="V299" s="690"/>
      <c r="W299" s="690"/>
      <c r="X299" s="702"/>
    </row>
    <row r="300" spans="2:24">
      <c r="B300" s="298"/>
      <c r="C300" s="296"/>
      <c r="D300" s="1941" t="s">
        <v>752</v>
      </c>
      <c r="E300" s="1941"/>
      <c r="F300" s="1941"/>
      <c r="G300" s="1941"/>
      <c r="H300" s="1941"/>
      <c r="I300" s="1941"/>
      <c r="J300" s="1941"/>
      <c r="K300" s="1941"/>
      <c r="L300" s="1941"/>
      <c r="M300" s="1941"/>
      <c r="N300" s="1941"/>
      <c r="O300" s="1941"/>
      <c r="P300" s="1941"/>
      <c r="Q300" s="1941"/>
      <c r="R300" s="1941"/>
      <c r="S300" s="1941"/>
      <c r="T300" s="1941"/>
      <c r="U300" s="1941"/>
      <c r="V300" s="1942" t="s">
        <v>852</v>
      </c>
      <c r="W300" s="1942"/>
      <c r="X300" s="298"/>
    </row>
    <row r="301" spans="2:24" ht="5.0999999999999996" customHeight="1">
      <c r="B301" s="298"/>
      <c r="C301" s="296"/>
      <c r="X301" s="298"/>
    </row>
    <row r="302" spans="2:24">
      <c r="B302" s="298"/>
      <c r="C302" s="296"/>
      <c r="F302" s="447"/>
      <c r="G302" s="447"/>
      <c r="H302" s="447"/>
      <c r="I302" s="449" t="s">
        <v>754</v>
      </c>
      <c r="J302" s="1707" t="str">
        <f>J577</f>
        <v>Lighting - Performance - Custom</v>
      </c>
      <c r="K302" s="1708"/>
      <c r="L302" s="1709"/>
      <c r="M302" s="448"/>
      <c r="N302" s="448"/>
      <c r="O302" s="448"/>
      <c r="P302" s="447"/>
      <c r="Q302" s="447"/>
      <c r="R302" s="447"/>
      <c r="S302" s="447"/>
      <c r="T302" s="449" t="s">
        <v>787</v>
      </c>
      <c r="U302" s="1707">
        <f>U577</f>
        <v>12334</v>
      </c>
      <c r="V302" s="1709"/>
      <c r="X302" s="298"/>
    </row>
    <row r="303" spans="2:24" ht="5.0999999999999996" customHeight="1">
      <c r="B303" s="298"/>
      <c r="C303" s="296"/>
      <c r="F303" s="447"/>
      <c r="G303" s="447"/>
      <c r="H303" s="447"/>
      <c r="I303" s="447"/>
      <c r="J303" s="448"/>
      <c r="K303" s="447"/>
      <c r="L303" s="447"/>
      <c r="M303" s="448"/>
      <c r="N303" s="448"/>
      <c r="O303" s="448"/>
      <c r="P303" s="447"/>
      <c r="Q303" s="447"/>
      <c r="R303" s="447"/>
      <c r="S303" s="447"/>
      <c r="T303" s="447"/>
      <c r="U303" s="448"/>
      <c r="V303" s="447"/>
      <c r="X303" s="298"/>
    </row>
    <row r="304" spans="2:24">
      <c r="B304" s="298"/>
      <c r="C304" s="296"/>
      <c r="F304" s="447"/>
      <c r="G304" s="447"/>
      <c r="H304" s="447"/>
      <c r="I304" s="449" t="s">
        <v>764</v>
      </c>
      <c r="J304" s="1707" t="str">
        <f>J579</f>
        <v>Full</v>
      </c>
      <c r="K304" s="1708"/>
      <c r="L304" s="1709"/>
      <c r="M304" s="448"/>
      <c r="N304" s="448"/>
      <c r="O304" s="448"/>
      <c r="P304" s="447"/>
      <c r="Q304" s="447"/>
      <c r="R304" s="447"/>
      <c r="S304" s="447"/>
      <c r="T304" s="447"/>
      <c r="U304" s="447"/>
      <c r="V304" s="447"/>
      <c r="X304" s="298"/>
    </row>
    <row r="305" spans="2:24" ht="5.0999999999999996" customHeight="1">
      <c r="B305" s="298"/>
      <c r="C305" s="296"/>
      <c r="J305" s="96"/>
      <c r="M305" s="96"/>
      <c r="N305" s="96"/>
      <c r="O305" s="96"/>
      <c r="U305" s="96"/>
      <c r="X305" s="298"/>
    </row>
    <row r="306" spans="2:24">
      <c r="B306" s="298"/>
      <c r="C306" s="296"/>
      <c r="I306" s="215" t="s">
        <v>788</v>
      </c>
      <c r="J306" s="1979" t="str">
        <f ca="1">U579</f>
        <v>Enter on "Customer Authorization" tab</v>
      </c>
      <c r="K306" s="1980"/>
      <c r="L306" s="1981"/>
      <c r="M306" s="96"/>
      <c r="N306" s="96"/>
      <c r="O306" s="96"/>
      <c r="U306" s="96"/>
      <c r="X306" s="298"/>
    </row>
    <row r="307" spans="2:24" ht="5.0999999999999996" customHeight="1">
      <c r="B307" s="298"/>
      <c r="C307" s="296"/>
      <c r="J307" s="96"/>
      <c r="M307" s="96"/>
      <c r="N307" s="96"/>
      <c r="O307" s="96"/>
      <c r="U307" s="96"/>
      <c r="X307" s="298"/>
    </row>
    <row r="308" spans="2:24">
      <c r="B308" s="298"/>
      <c r="C308" s="296"/>
      <c r="I308" s="215" t="s">
        <v>755</v>
      </c>
      <c r="J308" s="1982">
        <f ca="1">J581</f>
        <v>0</v>
      </c>
      <c r="K308" s="1983"/>
      <c r="L308" s="1984"/>
      <c r="M308" s="362"/>
      <c r="N308" s="362"/>
      <c r="O308" s="362"/>
      <c r="T308" s="342" t="s">
        <v>756</v>
      </c>
      <c r="U308" s="1956" t="str">
        <f>U581</f>
        <v>Lighting</v>
      </c>
      <c r="V308" s="1953"/>
      <c r="X308" s="298"/>
    </row>
    <row r="309" spans="2:24" ht="5.0999999999999996" customHeight="1">
      <c r="B309" s="298"/>
      <c r="C309" s="296"/>
      <c r="J309" s="96"/>
      <c r="M309" s="96"/>
      <c r="N309" s="96"/>
      <c r="O309" s="96"/>
      <c r="T309" s="350"/>
      <c r="U309" s="361"/>
      <c r="X309" s="298"/>
    </row>
    <row r="310" spans="2:24">
      <c r="B310" s="298"/>
      <c r="C310" s="296"/>
      <c r="I310" s="215" t="s">
        <v>758</v>
      </c>
      <c r="J310" s="1951">
        <f ca="1">J583</f>
        <v>0</v>
      </c>
      <c r="K310" s="1991"/>
      <c r="L310" s="1992"/>
      <c r="M310" s="363"/>
      <c r="N310" s="363"/>
      <c r="O310" s="363"/>
      <c r="P310" s="447"/>
      <c r="Q310" s="447"/>
      <c r="R310" s="447"/>
      <c r="S310" s="447"/>
      <c r="T310" s="449" t="s">
        <v>789</v>
      </c>
      <c r="U310" s="1707">
        <f>DATA!CE5</f>
        <v>0</v>
      </c>
      <c r="V310" s="1709"/>
      <c r="X310" s="298"/>
    </row>
    <row r="311" spans="2:24" ht="5.0999999999999996" customHeight="1">
      <c r="B311" s="298"/>
      <c r="C311" s="296"/>
      <c r="J311" s="96"/>
      <c r="M311" s="96"/>
      <c r="N311" s="96"/>
      <c r="O311" s="96"/>
      <c r="P311" s="447"/>
      <c r="Q311" s="447"/>
      <c r="R311" s="447"/>
      <c r="S311" s="447"/>
      <c r="T311" s="447"/>
      <c r="U311" s="448"/>
      <c r="V311" s="447"/>
      <c r="X311" s="298"/>
    </row>
    <row r="312" spans="2:24">
      <c r="B312" s="298"/>
      <c r="C312" s="296"/>
      <c r="I312" s="259" t="s">
        <v>790</v>
      </c>
      <c r="J312" s="1951">
        <f>J585</f>
        <v>10</v>
      </c>
      <c r="K312" s="1991"/>
      <c r="L312" s="1992"/>
      <c r="M312" s="364"/>
      <c r="N312" s="96"/>
      <c r="O312" s="96"/>
      <c r="P312" s="447"/>
      <c r="Q312" s="447"/>
      <c r="R312" s="447"/>
      <c r="S312" s="447"/>
      <c r="T312" s="449" t="s">
        <v>760</v>
      </c>
      <c r="U312" s="1707"/>
      <c r="V312" s="1709"/>
      <c r="X312" s="298"/>
    </row>
    <row r="313" spans="2:24" ht="5.0999999999999996" customHeight="1">
      <c r="B313" s="298"/>
      <c r="C313" s="296"/>
      <c r="J313" s="96"/>
      <c r="M313" s="96"/>
      <c r="N313" s="96"/>
      <c r="O313" s="96"/>
      <c r="U313" s="96"/>
      <c r="X313" s="298"/>
    </row>
    <row r="314" spans="2:24">
      <c r="B314" s="298"/>
      <c r="C314" s="296"/>
      <c r="I314" s="215" t="s">
        <v>761</v>
      </c>
      <c r="J314" s="1982">
        <f ca="1">U585</f>
        <v>0</v>
      </c>
      <c r="K314" s="1983"/>
      <c r="L314" s="1984"/>
      <c r="M314" s="362"/>
      <c r="N314" s="362"/>
      <c r="O314" s="362"/>
      <c r="X314" s="298"/>
    </row>
    <row r="315" spans="2:24" ht="5.0999999999999996" customHeight="1">
      <c r="B315" s="298"/>
      <c r="C315" s="296"/>
      <c r="J315" s="96"/>
      <c r="M315" s="96"/>
      <c r="N315" s="96"/>
      <c r="O315" s="96"/>
      <c r="U315" s="96"/>
      <c r="X315" s="298"/>
    </row>
    <row r="316" spans="2:24">
      <c r="B316" s="298"/>
      <c r="C316" s="296"/>
      <c r="D316" s="1896" t="s">
        <v>762</v>
      </c>
      <c r="E316" s="1896"/>
      <c r="F316" s="1896"/>
      <c r="G316" s="1896"/>
      <c r="H316" s="1896"/>
      <c r="I316" s="1896"/>
      <c r="J316" s="1951">
        <f ca="1">J587</f>
        <v>0</v>
      </c>
      <c r="K316" s="1991"/>
      <c r="L316" s="1992"/>
      <c r="M316" s="96"/>
      <c r="N316" s="96"/>
      <c r="O316" s="96"/>
      <c r="U316" s="96"/>
      <c r="X316" s="298"/>
    </row>
    <row r="317" spans="2:24" ht="7.5" customHeight="1">
      <c r="B317" s="298"/>
      <c r="C317" s="296"/>
      <c r="D317" s="1896"/>
      <c r="E317" s="1896"/>
      <c r="F317" s="1896"/>
      <c r="G317" s="1896"/>
      <c r="H317" s="1896"/>
      <c r="I317" s="1896"/>
      <c r="J317" s="96"/>
      <c r="M317" s="96"/>
      <c r="N317" s="96"/>
      <c r="O317" s="96"/>
      <c r="U317" s="96"/>
      <c r="X317" s="298"/>
    </row>
    <row r="318" spans="2:24">
      <c r="B318" s="298"/>
      <c r="C318" s="296"/>
      <c r="I318" s="215" t="s">
        <v>791</v>
      </c>
      <c r="J318" s="1985">
        <f>U587</f>
        <v>0</v>
      </c>
      <c r="K318" s="1986"/>
      <c r="L318" s="1987"/>
      <c r="M318" s="366"/>
      <c r="N318" s="366"/>
      <c r="O318" s="366"/>
      <c r="T318" s="215"/>
      <c r="U318" s="96"/>
      <c r="X318" s="298"/>
    </row>
    <row r="319" spans="2:24" ht="5.0999999999999996" customHeight="1">
      <c r="B319" s="298"/>
      <c r="C319" s="296"/>
      <c r="J319" s="96"/>
      <c r="M319" s="96"/>
      <c r="N319" s="96"/>
      <c r="O319" s="96"/>
      <c r="U319" s="96"/>
      <c r="X319" s="298"/>
    </row>
    <row r="320" spans="2:24">
      <c r="B320" s="298"/>
      <c r="C320" s="296"/>
      <c r="I320" s="215" t="s">
        <v>792</v>
      </c>
      <c r="J320" s="1982">
        <f ca="1">J589</f>
        <v>0</v>
      </c>
      <c r="K320" s="1983"/>
      <c r="L320" s="1984"/>
      <c r="M320" s="362"/>
      <c r="N320" s="362"/>
      <c r="O320" s="362"/>
      <c r="T320" s="342" t="s">
        <v>793</v>
      </c>
      <c r="U320" s="1988">
        <f ca="1">U589</f>
        <v>2</v>
      </c>
      <c r="V320" s="1989"/>
      <c r="X320" s="298"/>
    </row>
    <row r="321" spans="2:24" ht="5.0999999999999996" customHeight="1">
      <c r="B321" s="298"/>
      <c r="C321" s="296"/>
      <c r="J321" s="96"/>
      <c r="M321" s="96"/>
      <c r="N321" s="96"/>
      <c r="O321" s="96"/>
      <c r="U321" s="96"/>
      <c r="X321" s="298"/>
    </row>
    <row r="322" spans="2:24">
      <c r="B322" s="298"/>
      <c r="C322" s="296"/>
      <c r="I322" s="342" t="s">
        <v>794</v>
      </c>
      <c r="J322" s="1988">
        <f ca="1">J591</f>
        <v>0</v>
      </c>
      <c r="K322" s="1990"/>
      <c r="L322" s="1989"/>
      <c r="M322" s="367"/>
      <c r="N322" s="368"/>
      <c r="O322" s="368"/>
      <c r="T322" s="215" t="s">
        <v>795</v>
      </c>
      <c r="U322" s="1988" t="e">
        <f ca="1">ROUND(J316/M32,4)</f>
        <v>#DIV/0!</v>
      </c>
      <c r="V322" s="1989"/>
      <c r="X322" s="298"/>
    </row>
    <row r="323" spans="2:24" ht="5.0999999999999996" customHeight="1">
      <c r="B323" s="298"/>
      <c r="C323" s="296"/>
      <c r="J323" s="96"/>
      <c r="M323" s="96"/>
      <c r="N323" s="96"/>
      <c r="O323" s="96"/>
      <c r="U323" s="96"/>
      <c r="X323" s="298"/>
    </row>
    <row r="324" spans="2:24">
      <c r="B324" s="298"/>
      <c r="C324" s="296"/>
      <c r="I324" s="365" t="s">
        <v>796</v>
      </c>
      <c r="J324" s="1988" t="e">
        <f ca="1">ROUND(O100/M32,4)</f>
        <v>#DIV/0!</v>
      </c>
      <c r="K324" s="1990"/>
      <c r="L324" s="1989"/>
      <c r="M324" s="369"/>
      <c r="N324" s="96"/>
      <c r="O324" s="96"/>
      <c r="X324" s="298"/>
    </row>
    <row r="325" spans="2:24" ht="5.0999999999999996" customHeight="1">
      <c r="B325" s="298"/>
      <c r="C325" s="296"/>
      <c r="J325" s="96"/>
      <c r="M325" s="96"/>
      <c r="N325" s="96"/>
      <c r="O325" s="96"/>
      <c r="X325" s="298"/>
    </row>
    <row r="326" spans="2:24">
      <c r="B326" s="298"/>
      <c r="C326" s="297"/>
      <c r="D326" s="214"/>
      <c r="E326" s="214"/>
      <c r="F326" s="214"/>
      <c r="G326" s="214"/>
      <c r="H326" s="214"/>
      <c r="I326" s="214"/>
      <c r="J326" s="214"/>
      <c r="K326" s="214"/>
      <c r="L326" s="214"/>
      <c r="M326" s="214"/>
      <c r="N326" s="214"/>
      <c r="O326" s="214"/>
      <c r="P326" s="214"/>
      <c r="Q326" s="214"/>
      <c r="R326" s="214"/>
      <c r="S326" s="214"/>
      <c r="T326" s="214"/>
      <c r="U326" s="214"/>
      <c r="V326" s="214"/>
      <c r="W326" s="214"/>
      <c r="X326" s="299"/>
    </row>
    <row r="327" spans="2:24" ht="5.0999999999999996" customHeight="1"/>
    <row r="328" spans="2:24" ht="5.0999999999999996" customHeight="1">
      <c r="B328" s="298"/>
      <c r="C328" s="701"/>
      <c r="D328" s="690"/>
      <c r="E328" s="690"/>
      <c r="F328" s="690"/>
      <c r="G328" s="690"/>
      <c r="H328" s="690"/>
      <c r="I328" s="690"/>
      <c r="J328" s="690"/>
      <c r="K328" s="690"/>
      <c r="L328" s="690"/>
      <c r="M328" s="690"/>
      <c r="N328" s="690"/>
      <c r="O328" s="690"/>
      <c r="P328" s="690"/>
      <c r="Q328" s="690"/>
      <c r="R328" s="690"/>
      <c r="S328" s="690"/>
      <c r="T328" s="690"/>
      <c r="U328" s="690"/>
      <c r="V328" s="690"/>
      <c r="W328" s="690"/>
      <c r="X328" s="702"/>
    </row>
    <row r="329" spans="2:24">
      <c r="B329" s="298"/>
      <c r="C329" s="296"/>
      <c r="D329" s="1941" t="s">
        <v>797</v>
      </c>
      <c r="E329" s="1941"/>
      <c r="F329" s="1941"/>
      <c r="G329" s="1941"/>
      <c r="H329" s="1941"/>
      <c r="I329" s="1941"/>
      <c r="J329" s="1941"/>
      <c r="K329" s="1941"/>
      <c r="L329" s="1941"/>
      <c r="M329" s="1941"/>
      <c r="N329" s="1941"/>
      <c r="O329" s="1941"/>
      <c r="P329" s="1941"/>
      <c r="Q329" s="1941"/>
      <c r="R329" s="1941"/>
      <c r="S329" s="1941"/>
      <c r="T329" s="1941"/>
      <c r="U329" s="1941"/>
      <c r="V329" s="1942" t="s">
        <v>852</v>
      </c>
      <c r="W329" s="1942"/>
      <c r="X329" s="298"/>
    </row>
    <row r="330" spans="2:24" ht="5.0999999999999996" customHeight="1">
      <c r="B330" s="298"/>
      <c r="C330" s="296"/>
      <c r="X330" s="298"/>
    </row>
    <row r="331" spans="2:24">
      <c r="B331" s="298"/>
      <c r="C331" s="296"/>
      <c r="I331" s="342" t="s">
        <v>798</v>
      </c>
      <c r="J331" s="1993" t="s">
        <v>856</v>
      </c>
      <c r="K331" s="1994"/>
      <c r="L331" s="1995"/>
      <c r="M331" s="360"/>
      <c r="N331" s="360"/>
      <c r="O331" s="360"/>
      <c r="P331" s="348"/>
      <c r="Q331" s="447"/>
      <c r="R331" s="447"/>
      <c r="S331" s="447"/>
      <c r="T331" s="449" t="s">
        <v>799</v>
      </c>
      <c r="U331" s="1707"/>
      <c r="V331" s="1709"/>
      <c r="X331" s="298"/>
    </row>
    <row r="332" spans="2:24" ht="5.0999999999999996" customHeight="1">
      <c r="B332" s="298"/>
      <c r="C332" s="296"/>
      <c r="I332" s="345"/>
      <c r="J332" s="345"/>
      <c r="K332" s="345"/>
      <c r="L332" s="348"/>
      <c r="M332" s="348"/>
      <c r="N332" s="348"/>
      <c r="O332" s="348"/>
      <c r="P332" s="348"/>
      <c r="Q332" s="348"/>
      <c r="R332" s="348"/>
      <c r="S332" s="348"/>
      <c r="T332" s="345"/>
      <c r="V332" s="348"/>
      <c r="X332" s="298"/>
    </row>
    <row r="333" spans="2:24">
      <c r="B333" s="298"/>
      <c r="C333" s="296"/>
      <c r="H333" s="447"/>
      <c r="I333" s="449" t="s">
        <v>800</v>
      </c>
      <c r="J333" s="1707"/>
      <c r="K333" s="1708"/>
      <c r="L333" s="1709"/>
      <c r="M333" s="448"/>
      <c r="N333" s="448"/>
      <c r="O333" s="448"/>
      <c r="P333" s="447"/>
      <c r="Q333" s="447"/>
      <c r="R333" s="447"/>
      <c r="S333" s="447"/>
      <c r="T333" s="449" t="s">
        <v>801</v>
      </c>
      <c r="U333" s="1707"/>
      <c r="V333" s="1709"/>
      <c r="X333" s="298"/>
    </row>
    <row r="334" spans="2:24" ht="5.0999999999999996" customHeight="1">
      <c r="B334" s="298"/>
      <c r="C334" s="296"/>
      <c r="H334" s="447"/>
      <c r="I334" s="449"/>
      <c r="J334" s="449"/>
      <c r="K334" s="449"/>
      <c r="L334" s="447"/>
      <c r="M334" s="447"/>
      <c r="N334" s="447"/>
      <c r="O334" s="447"/>
      <c r="P334" s="447"/>
      <c r="Q334" s="447"/>
      <c r="R334" s="447"/>
      <c r="S334" s="447"/>
      <c r="T334" s="449"/>
      <c r="U334" s="447"/>
      <c r="V334" s="447"/>
      <c r="X334" s="298"/>
    </row>
    <row r="335" spans="2:24">
      <c r="B335" s="298"/>
      <c r="C335" s="296"/>
      <c r="H335" s="447"/>
      <c r="I335" s="449" t="s">
        <v>802</v>
      </c>
      <c r="J335" s="1707"/>
      <c r="K335" s="1708"/>
      <c r="L335" s="1709"/>
      <c r="M335" s="448"/>
      <c r="N335" s="448"/>
      <c r="O335" s="448"/>
      <c r="P335" s="447"/>
      <c r="Q335" s="447"/>
      <c r="R335" s="447"/>
      <c r="S335" s="447"/>
      <c r="T335" s="449" t="s">
        <v>803</v>
      </c>
      <c r="U335" s="1707"/>
      <c r="V335" s="1709"/>
      <c r="X335" s="298"/>
    </row>
    <row r="336" spans="2:24" ht="5.0999999999999996" customHeight="1">
      <c r="B336" s="298"/>
      <c r="C336" s="297"/>
      <c r="D336" s="214"/>
      <c r="E336" s="214"/>
      <c r="F336" s="214"/>
      <c r="G336" s="214"/>
      <c r="H336" s="214"/>
      <c r="I336" s="214"/>
      <c r="J336" s="214"/>
      <c r="K336" s="214"/>
      <c r="L336" s="214"/>
      <c r="M336" s="214"/>
      <c r="N336" s="214"/>
      <c r="O336" s="214"/>
      <c r="P336" s="214"/>
      <c r="Q336" s="214"/>
      <c r="R336" s="214"/>
      <c r="S336" s="214"/>
      <c r="T336" s="214"/>
      <c r="U336" s="214"/>
      <c r="V336" s="214"/>
      <c r="W336" s="214"/>
      <c r="X336" s="299"/>
    </row>
    <row r="337" spans="2:24" ht="5.0999999999999996" customHeight="1"/>
    <row r="338" spans="2:24" ht="5.0999999999999996" customHeight="1">
      <c r="B338" s="298"/>
      <c r="C338" s="701"/>
      <c r="D338" s="690"/>
      <c r="E338" s="690"/>
      <c r="F338" s="690"/>
      <c r="G338" s="690"/>
      <c r="H338" s="690"/>
      <c r="I338" s="690"/>
      <c r="J338" s="690"/>
      <c r="K338" s="690"/>
      <c r="L338" s="690"/>
      <c r="M338" s="690"/>
      <c r="N338" s="690"/>
      <c r="O338" s="690"/>
      <c r="P338" s="690"/>
      <c r="Q338" s="690"/>
      <c r="R338" s="690"/>
      <c r="S338" s="690"/>
      <c r="T338" s="690"/>
      <c r="U338" s="690"/>
      <c r="V338" s="690"/>
      <c r="W338" s="690"/>
      <c r="X338" s="702"/>
    </row>
    <row r="339" spans="2:24">
      <c r="B339" s="298"/>
      <c r="C339" s="296"/>
      <c r="D339" s="1941" t="s">
        <v>804</v>
      </c>
      <c r="E339" s="1941"/>
      <c r="F339" s="1941"/>
      <c r="G339" s="1941"/>
      <c r="H339" s="1941"/>
      <c r="I339" s="1941"/>
      <c r="J339" s="1941"/>
      <c r="K339" s="1941"/>
      <c r="L339" s="1941"/>
      <c r="M339" s="1941"/>
      <c r="N339" s="1941"/>
      <c r="O339" s="1941"/>
      <c r="P339" s="1941"/>
      <c r="Q339" s="1941"/>
      <c r="R339" s="1941"/>
      <c r="S339" s="1941"/>
      <c r="T339" s="1941"/>
      <c r="U339" s="1941"/>
      <c r="V339" s="1942" t="s">
        <v>852</v>
      </c>
      <c r="W339" s="1942"/>
      <c r="X339" s="298"/>
    </row>
    <row r="340" spans="2:24" ht="5.0999999999999996" customHeight="1">
      <c r="B340" s="298"/>
      <c r="C340" s="296"/>
      <c r="X340" s="298"/>
    </row>
    <row r="341" spans="2:24">
      <c r="B341" s="298"/>
      <c r="C341" s="296"/>
      <c r="I341" s="449" t="s">
        <v>805</v>
      </c>
      <c r="J341" s="1707"/>
      <c r="K341" s="1708"/>
      <c r="L341" s="1709"/>
      <c r="M341" s="448"/>
      <c r="N341" s="448"/>
      <c r="O341" s="448"/>
      <c r="P341" s="447"/>
      <c r="Q341" s="447"/>
      <c r="R341" s="447"/>
      <c r="S341" s="447"/>
      <c r="T341" s="449" t="s">
        <v>806</v>
      </c>
      <c r="U341" s="1707"/>
      <c r="V341" s="1709"/>
      <c r="X341" s="298"/>
    </row>
    <row r="342" spans="2:24" ht="5.0999999999999996" customHeight="1">
      <c r="B342" s="298"/>
      <c r="C342" s="296"/>
      <c r="I342" s="449"/>
      <c r="J342" s="449"/>
      <c r="K342" s="449"/>
      <c r="L342" s="447"/>
      <c r="M342" s="447"/>
      <c r="N342" s="447"/>
      <c r="O342" s="447"/>
      <c r="P342" s="447"/>
      <c r="Q342" s="447"/>
      <c r="R342" s="447"/>
      <c r="S342" s="447"/>
      <c r="T342" s="449"/>
      <c r="U342" s="447"/>
      <c r="V342" s="447"/>
      <c r="X342" s="298"/>
    </row>
    <row r="343" spans="2:24">
      <c r="B343" s="298"/>
      <c r="C343" s="296"/>
      <c r="D343" s="2030" t="s">
        <v>807</v>
      </c>
      <c r="E343" s="2030"/>
      <c r="F343" s="2030"/>
      <c r="G343" s="2030"/>
      <c r="H343" s="2030"/>
      <c r="I343" s="2030"/>
      <c r="J343" s="1707"/>
      <c r="K343" s="1708"/>
      <c r="L343" s="1709"/>
      <c r="M343" s="448"/>
      <c r="N343" s="448"/>
      <c r="O343" s="448"/>
      <c r="P343" s="447"/>
      <c r="Q343" s="447"/>
      <c r="R343" s="447"/>
      <c r="S343" s="447"/>
      <c r="T343" s="449" t="s">
        <v>808</v>
      </c>
      <c r="U343" s="1707"/>
      <c r="V343" s="1709"/>
      <c r="X343" s="298"/>
    </row>
    <row r="344" spans="2:24" ht="5.0999999999999996" customHeight="1">
      <c r="B344" s="298"/>
      <c r="C344" s="297"/>
      <c r="D344" s="2031"/>
      <c r="E344" s="2031"/>
      <c r="F344" s="2031"/>
      <c r="G344" s="2031"/>
      <c r="H344" s="2031"/>
      <c r="I344" s="2031"/>
      <c r="J344" s="214"/>
      <c r="K344" s="214"/>
      <c r="L344" s="214"/>
      <c r="M344" s="214"/>
      <c r="N344" s="214"/>
      <c r="O344" s="214"/>
      <c r="P344" s="214"/>
      <c r="Q344" s="214"/>
      <c r="R344" s="214"/>
      <c r="S344" s="214"/>
      <c r="T344" s="214"/>
      <c r="U344" s="214"/>
      <c r="V344" s="214"/>
      <c r="W344" s="214"/>
      <c r="X344" s="299"/>
    </row>
    <row r="345" spans="2:24" ht="5.0999999999999996" customHeight="1"/>
    <row r="346" spans="2:24" ht="5.0999999999999996" customHeight="1">
      <c r="B346" s="298"/>
      <c r="C346" s="701"/>
      <c r="D346" s="690"/>
      <c r="E346" s="690"/>
      <c r="F346" s="690"/>
      <c r="G346" s="690"/>
      <c r="H346" s="690"/>
      <c r="I346" s="690"/>
      <c r="J346" s="690"/>
      <c r="K346" s="690"/>
      <c r="L346" s="690"/>
      <c r="M346" s="690"/>
      <c r="N346" s="690"/>
      <c r="O346" s="690"/>
      <c r="P346" s="690"/>
      <c r="Q346" s="690"/>
      <c r="R346" s="690"/>
      <c r="S346" s="690"/>
      <c r="T346" s="690"/>
      <c r="U346" s="690"/>
      <c r="V346" s="690"/>
      <c r="W346" s="690"/>
      <c r="X346" s="702"/>
    </row>
    <row r="347" spans="2:24">
      <c r="B347" s="298"/>
      <c r="C347" s="296"/>
      <c r="D347" s="1941" t="s">
        <v>809</v>
      </c>
      <c r="E347" s="1941"/>
      <c r="F347" s="1941"/>
      <c r="G347" s="1941"/>
      <c r="H347" s="1941"/>
      <c r="I347" s="1941"/>
      <c r="J347" s="1941"/>
      <c r="K347" s="1941"/>
      <c r="L347" s="1941"/>
      <c r="M347" s="1941"/>
      <c r="N347" s="1941"/>
      <c r="O347" s="1941"/>
      <c r="P347" s="1941"/>
      <c r="Q347" s="1941"/>
      <c r="R347" s="1941"/>
      <c r="S347" s="1941"/>
      <c r="T347" s="1941"/>
      <c r="U347" s="1941"/>
      <c r="V347" s="1942" t="s">
        <v>852</v>
      </c>
      <c r="W347" s="1942"/>
      <c r="X347" s="298"/>
    </row>
    <row r="348" spans="2:24" ht="5.0999999999999996" customHeight="1">
      <c r="B348" s="298"/>
      <c r="C348" s="296"/>
      <c r="X348" s="298"/>
    </row>
    <row r="349" spans="2:24">
      <c r="B349" s="298"/>
      <c r="C349" s="296"/>
      <c r="I349" s="449" t="s">
        <v>734</v>
      </c>
      <c r="J349" s="1949">
        <f>J529</f>
        <v>0</v>
      </c>
      <c r="K349" s="1996"/>
      <c r="L349" s="1950"/>
      <c r="M349" s="347"/>
      <c r="N349" s="453"/>
      <c r="O349" s="453"/>
      <c r="P349" s="447"/>
      <c r="Q349" s="447"/>
      <c r="R349" s="447"/>
      <c r="S349" s="447"/>
      <c r="T349" s="449" t="s">
        <v>810</v>
      </c>
      <c r="U349" s="1707"/>
      <c r="V349" s="1709"/>
      <c r="X349" s="298"/>
    </row>
    <row r="350" spans="2:24" ht="5.0999999999999996" customHeight="1">
      <c r="B350" s="298"/>
      <c r="C350" s="296"/>
      <c r="L350" s="329"/>
      <c r="M350" s="329"/>
      <c r="N350" s="329"/>
      <c r="O350" s="329"/>
      <c r="Q350" s="447"/>
      <c r="R350" s="447"/>
      <c r="S350" s="447"/>
      <c r="T350" s="447"/>
      <c r="U350" s="329"/>
      <c r="X350" s="298"/>
    </row>
    <row r="351" spans="2:24">
      <c r="B351" s="298"/>
      <c r="C351" s="296"/>
      <c r="I351" s="215" t="s">
        <v>811</v>
      </c>
      <c r="J351" s="1956" t="str">
        <f>'Grant QC Review'!J351</f>
        <v>NOT Specified?</v>
      </c>
      <c r="K351" s="1952"/>
      <c r="L351" s="1953"/>
      <c r="M351" s="329"/>
      <c r="N351" s="329"/>
      <c r="O351" s="329"/>
      <c r="T351" s="215" t="s">
        <v>812</v>
      </c>
      <c r="U351" s="1951">
        <f>M32</f>
        <v>0</v>
      </c>
      <c r="V351" s="1992"/>
      <c r="X351" s="298"/>
    </row>
    <row r="352" spans="2:24" ht="5.0999999999999996" customHeight="1">
      <c r="B352" s="298"/>
      <c r="C352" s="296"/>
      <c r="J352" s="329"/>
      <c r="M352" s="329"/>
      <c r="N352" s="329"/>
      <c r="O352" s="329"/>
      <c r="U352" s="329"/>
      <c r="X352" s="298"/>
    </row>
    <row r="353" spans="2:24">
      <c r="B353" s="298"/>
      <c r="C353" s="296"/>
      <c r="J353" s="329"/>
      <c r="M353" s="329"/>
      <c r="N353" s="329"/>
      <c r="O353" s="329"/>
      <c r="Q353" s="447"/>
      <c r="R353" s="447"/>
      <c r="S353" s="447"/>
      <c r="T353" s="449" t="s">
        <v>813</v>
      </c>
      <c r="U353" s="1707"/>
      <c r="V353" s="1709"/>
      <c r="X353" s="298"/>
    </row>
    <row r="354" spans="2:24" ht="5.0999999999999996" customHeight="1">
      <c r="B354" s="298"/>
      <c r="C354" s="296"/>
      <c r="J354" s="329"/>
      <c r="M354" s="329"/>
      <c r="N354" s="329"/>
      <c r="O354" s="329"/>
      <c r="U354" s="329"/>
      <c r="X354" s="298"/>
    </row>
    <row r="355" spans="2:24">
      <c r="B355" s="298"/>
      <c r="C355" s="296"/>
      <c r="I355" s="454" t="s">
        <v>814</v>
      </c>
      <c r="J355" s="1949"/>
      <c r="K355" s="1996"/>
      <c r="L355" s="1950"/>
      <c r="M355" s="347"/>
      <c r="N355" s="329"/>
      <c r="O355" s="329"/>
      <c r="T355" s="215" t="s">
        <v>815</v>
      </c>
      <c r="U355" s="1951">
        <f ca="1">U531</f>
        <v>0</v>
      </c>
      <c r="V355" s="1953"/>
      <c r="X355" s="298"/>
    </row>
    <row r="356" spans="2:24" ht="5.0999999999999996" customHeight="1">
      <c r="B356" s="298"/>
      <c r="C356" s="296"/>
      <c r="J356" s="329"/>
      <c r="M356" s="329"/>
      <c r="N356" s="329"/>
      <c r="O356" s="329"/>
      <c r="U356" s="329"/>
      <c r="X356" s="298"/>
    </row>
    <row r="357" spans="2:24">
      <c r="B357" s="298"/>
      <c r="C357" s="296"/>
      <c r="D357" s="1896" t="s">
        <v>736</v>
      </c>
      <c r="E357" s="1896"/>
      <c r="F357" s="1896"/>
      <c r="G357" s="1896"/>
      <c r="H357" s="1896"/>
      <c r="I357" s="1896"/>
      <c r="J357" s="1956">
        <f ca="1">J533</f>
        <v>0</v>
      </c>
      <c r="K357" s="1952"/>
      <c r="L357" s="1953"/>
      <c r="M357" s="329"/>
      <c r="N357" s="329"/>
      <c r="O357" s="329"/>
      <c r="T357" s="215" t="s">
        <v>737</v>
      </c>
      <c r="U357" s="1997">
        <f ca="1">U533</f>
        <v>0</v>
      </c>
      <c r="V357" s="1998"/>
      <c r="X357" s="298"/>
    </row>
    <row r="358" spans="2:24" ht="7.5" customHeight="1">
      <c r="B358" s="298"/>
      <c r="C358" s="296"/>
      <c r="D358" s="1896"/>
      <c r="E358" s="1896"/>
      <c r="F358" s="1896"/>
      <c r="G358" s="1896"/>
      <c r="H358" s="1896"/>
      <c r="I358" s="1896"/>
      <c r="J358" s="329"/>
      <c r="M358" s="329"/>
      <c r="N358" s="329"/>
      <c r="O358" s="329"/>
      <c r="U358" s="329"/>
      <c r="X358" s="298"/>
    </row>
    <row r="359" spans="2:24">
      <c r="B359" s="298"/>
      <c r="C359" s="296"/>
      <c r="I359" s="215" t="s">
        <v>716</v>
      </c>
      <c r="J359" s="2002">
        <f ca="1">J531</f>
        <v>0</v>
      </c>
      <c r="K359" s="1952"/>
      <c r="L359" s="1953"/>
      <c r="M359" s="329"/>
      <c r="N359" s="329"/>
      <c r="P359" s="455"/>
      <c r="Q359" s="455"/>
      <c r="R359" s="455"/>
      <c r="S359" s="455"/>
      <c r="T359" s="215" t="s">
        <v>816</v>
      </c>
      <c r="U359" s="1951">
        <f ca="1">U355</f>
        <v>0</v>
      </c>
      <c r="V359" s="1953"/>
      <c r="X359" s="298"/>
    </row>
    <row r="360" spans="2:24" ht="5.0999999999999996" customHeight="1">
      <c r="B360" s="298"/>
      <c r="C360" s="296"/>
      <c r="J360" s="329"/>
      <c r="M360" s="329"/>
      <c r="N360" s="329"/>
      <c r="O360" s="455"/>
      <c r="P360" s="455"/>
      <c r="Q360" s="455"/>
      <c r="R360" s="455"/>
      <c r="S360" s="455"/>
      <c r="T360" s="455"/>
      <c r="U360" s="329"/>
      <c r="X360" s="298"/>
    </row>
    <row r="361" spans="2:24">
      <c r="B361" s="298"/>
      <c r="C361" s="296"/>
      <c r="D361" s="1896" t="s">
        <v>817</v>
      </c>
      <c r="E361" s="1896"/>
      <c r="F361" s="1896"/>
      <c r="G361" s="1896"/>
      <c r="H361" s="1896"/>
      <c r="I361" s="1896"/>
      <c r="J361" s="1951">
        <f ca="1">U535</f>
        <v>0</v>
      </c>
      <c r="K361" s="1952"/>
      <c r="L361" s="1953"/>
      <c r="M361" s="329"/>
      <c r="N361" s="329"/>
      <c r="O361" s="329"/>
      <c r="T361" s="215" t="s">
        <v>818</v>
      </c>
      <c r="U361" s="1997">
        <f ca="1">DATA!AX5</f>
        <v>0</v>
      </c>
      <c r="V361" s="1998"/>
      <c r="X361" s="298"/>
    </row>
    <row r="362" spans="2:24" ht="7.5" customHeight="1">
      <c r="B362" s="298"/>
      <c r="C362" s="296"/>
      <c r="D362" s="1896"/>
      <c r="E362" s="1896"/>
      <c r="F362" s="1896"/>
      <c r="G362" s="1896"/>
      <c r="H362" s="1896"/>
      <c r="I362" s="1896"/>
      <c r="J362" s="329"/>
      <c r="M362" s="329"/>
      <c r="N362" s="329"/>
      <c r="O362" s="329"/>
      <c r="U362" s="329"/>
      <c r="X362" s="298"/>
    </row>
    <row r="363" spans="2:24">
      <c r="B363" s="298"/>
      <c r="C363" s="296"/>
      <c r="I363" s="259" t="s">
        <v>819</v>
      </c>
      <c r="J363" s="1951">
        <f ca="1">U539</f>
        <v>0</v>
      </c>
      <c r="K363" s="1952"/>
      <c r="L363" s="1953"/>
      <c r="M363" s="329"/>
      <c r="N363" s="329"/>
      <c r="O363" s="329"/>
      <c r="T363" s="215" t="s">
        <v>742</v>
      </c>
      <c r="U363" s="1956">
        <f ca="1">J539</f>
        <v>0</v>
      </c>
      <c r="V363" s="1953"/>
      <c r="X363" s="298"/>
    </row>
    <row r="364" spans="2:24" ht="5.0999999999999996" customHeight="1">
      <c r="B364" s="298"/>
      <c r="C364" s="296"/>
      <c r="J364" s="329"/>
      <c r="M364" s="329"/>
      <c r="N364" s="329"/>
      <c r="O364" s="329"/>
      <c r="P364" s="174"/>
      <c r="U364" s="329"/>
      <c r="X364" s="298"/>
    </row>
    <row r="365" spans="2:24">
      <c r="B365" s="298"/>
      <c r="C365" s="296"/>
      <c r="I365" s="215" t="s">
        <v>743</v>
      </c>
      <c r="J365" s="1951" t="str">
        <f ca="1">U541</f>
        <v>WA</v>
      </c>
      <c r="K365" s="1952"/>
      <c r="L365" s="1953"/>
      <c r="M365" s="329"/>
      <c r="N365" s="329"/>
      <c r="O365" s="329"/>
      <c r="T365" s="215" t="s">
        <v>744</v>
      </c>
      <c r="U365" s="1956">
        <f ca="1">J541</f>
        <v>0</v>
      </c>
      <c r="V365" s="1953"/>
      <c r="X365" s="298"/>
    </row>
    <row r="366" spans="2:24" ht="5.0999999999999996" customHeight="1">
      <c r="B366" s="298"/>
      <c r="C366" s="296"/>
      <c r="J366" s="329"/>
      <c r="M366" s="329"/>
      <c r="N366" s="329"/>
      <c r="O366" s="329"/>
      <c r="U366" s="329"/>
      <c r="X366" s="298"/>
    </row>
    <row r="367" spans="2:24">
      <c r="B367" s="298"/>
      <c r="C367" s="296"/>
      <c r="D367" s="1896" t="s">
        <v>745</v>
      </c>
      <c r="E367" s="1896"/>
      <c r="F367" s="1896"/>
      <c r="G367" s="1896"/>
      <c r="H367" s="1896"/>
      <c r="I367" s="1896"/>
      <c r="J367" s="1956" t="str">
        <f ca="1">J501</f>
        <v/>
      </c>
      <c r="K367" s="1952"/>
      <c r="L367" s="1953"/>
      <c r="M367" s="329"/>
      <c r="N367" s="329"/>
      <c r="O367" s="329"/>
      <c r="T367" s="215" t="s">
        <v>746</v>
      </c>
      <c r="U367" s="1956" t="str">
        <f ca="1">CONCATENATE(DATA!X5," ",DATA!Y5)</f>
        <v xml:space="preserve"> </v>
      </c>
      <c r="V367" s="1953"/>
      <c r="X367" s="298"/>
    </row>
    <row r="368" spans="2:24" ht="7.5" customHeight="1">
      <c r="B368" s="298"/>
      <c r="C368" s="296"/>
      <c r="D368" s="1896"/>
      <c r="E368" s="1896"/>
      <c r="F368" s="1896"/>
      <c r="G368" s="1896"/>
      <c r="H368" s="1896"/>
      <c r="I368" s="1896"/>
      <c r="J368" s="329"/>
      <c r="M368" s="329"/>
      <c r="N368" s="329"/>
      <c r="O368" s="329"/>
      <c r="U368" s="329"/>
      <c r="X368" s="298"/>
    </row>
    <row r="369" spans="2:24">
      <c r="B369" s="298"/>
      <c r="C369" s="296"/>
      <c r="I369" s="215" t="s">
        <v>658</v>
      </c>
      <c r="J369" s="1997" t="str">
        <f ca="1">J505</f>
        <v/>
      </c>
      <c r="K369" s="2033"/>
      <c r="L369" s="1998"/>
      <c r="M369" s="370"/>
      <c r="N369" s="329"/>
      <c r="O369" s="329"/>
      <c r="T369" s="215" t="s">
        <v>655</v>
      </c>
      <c r="U369" s="1956" t="str">
        <f ca="1">U505</f>
        <v/>
      </c>
      <c r="V369" s="1953"/>
      <c r="X369" s="298"/>
    </row>
    <row r="370" spans="2:24" ht="5.0999999999999996" customHeight="1">
      <c r="B370" s="298"/>
      <c r="C370" s="296"/>
      <c r="J370" s="329"/>
      <c r="M370" s="329"/>
      <c r="N370" s="329"/>
      <c r="O370" s="329"/>
      <c r="U370" s="329"/>
      <c r="X370" s="298"/>
    </row>
    <row r="371" spans="2:24" ht="14.95" customHeight="1">
      <c r="B371" s="298"/>
      <c r="C371" s="2032" t="s">
        <v>820</v>
      </c>
      <c r="D371" s="2030"/>
      <c r="E371" s="2030"/>
      <c r="F371" s="2030"/>
      <c r="G371" s="2030"/>
      <c r="H371" s="2030"/>
      <c r="I371" s="2030"/>
      <c r="J371" s="346"/>
      <c r="K371" s="346"/>
      <c r="L371" s="346"/>
      <c r="M371" s="360"/>
      <c r="N371" s="1957" t="s">
        <v>821</v>
      </c>
      <c r="O371" s="1957"/>
      <c r="P371" s="1957"/>
      <c r="Q371" s="1957"/>
      <c r="R371" s="1957"/>
      <c r="S371" s="1957"/>
      <c r="T371" s="1957"/>
      <c r="X371" s="298"/>
    </row>
    <row r="372" spans="2:24" ht="7.5" customHeight="1">
      <c r="B372" s="298"/>
      <c r="C372" s="2032"/>
      <c r="D372" s="2030"/>
      <c r="E372" s="2030"/>
      <c r="F372" s="2030"/>
      <c r="G372" s="2030"/>
      <c r="H372" s="2030"/>
      <c r="I372" s="2030"/>
      <c r="J372" s="347"/>
      <c r="K372" s="490"/>
      <c r="M372" s="347"/>
      <c r="N372" s="1957"/>
      <c r="O372" s="1957"/>
      <c r="P372" s="1957"/>
      <c r="Q372" s="1957"/>
      <c r="R372" s="1957"/>
      <c r="S372" s="1957"/>
      <c r="T372" s="1957"/>
      <c r="X372" s="298"/>
    </row>
    <row r="373" spans="2:24" ht="14.95" customHeight="1">
      <c r="B373" s="298"/>
      <c r="C373" s="2032" t="s">
        <v>822</v>
      </c>
      <c r="D373" s="2030"/>
      <c r="E373" s="2030"/>
      <c r="F373" s="2030"/>
      <c r="G373" s="2030"/>
      <c r="H373" s="2030"/>
      <c r="I373" s="2030"/>
      <c r="M373" s="360"/>
      <c r="N373" s="1957" t="s">
        <v>823</v>
      </c>
      <c r="O373" s="1957"/>
      <c r="P373" s="1957"/>
      <c r="Q373" s="1957"/>
      <c r="R373" s="1957"/>
      <c r="S373" s="1957"/>
      <c r="T373" s="1957"/>
      <c r="X373" s="298"/>
    </row>
    <row r="374" spans="2:24" ht="7.5" customHeight="1">
      <c r="B374" s="298"/>
      <c r="C374" s="2032"/>
      <c r="D374" s="2030"/>
      <c r="E374" s="2030"/>
      <c r="F374" s="2030"/>
      <c r="G374" s="2030"/>
      <c r="H374" s="2030"/>
      <c r="I374" s="2030"/>
      <c r="J374" s="347"/>
      <c r="K374" s="490"/>
      <c r="M374" s="347"/>
      <c r="N374" s="1957"/>
      <c r="O374" s="1957"/>
      <c r="P374" s="1957"/>
      <c r="Q374" s="1957"/>
      <c r="R374" s="1957"/>
      <c r="S374" s="1957"/>
      <c r="T374" s="1957"/>
      <c r="U374" s="347"/>
      <c r="X374" s="298"/>
    </row>
    <row r="375" spans="2:24">
      <c r="B375" s="298"/>
      <c r="C375" s="296"/>
      <c r="I375" s="215" t="s">
        <v>629</v>
      </c>
      <c r="J375" s="1956">
        <f ca="1">J537</f>
        <v>0</v>
      </c>
      <c r="K375" s="1952"/>
      <c r="L375" s="1953"/>
      <c r="M375" s="329"/>
      <c r="N375" s="453"/>
      <c r="O375" s="453"/>
      <c r="P375" s="447"/>
      <c r="Q375" s="447"/>
      <c r="R375" s="447"/>
      <c r="S375" s="447"/>
      <c r="T375" s="449" t="s">
        <v>747</v>
      </c>
      <c r="U375" s="1707"/>
      <c r="V375" s="1709"/>
      <c r="X375" s="298"/>
    </row>
    <row r="376" spans="2:24" ht="5.0999999999999996" customHeight="1">
      <c r="B376" s="298"/>
      <c r="C376" s="296"/>
      <c r="U376" s="329"/>
      <c r="X376" s="298"/>
    </row>
    <row r="377" spans="2:24">
      <c r="B377" s="298"/>
      <c r="C377" s="296"/>
      <c r="I377" s="259" t="s">
        <v>824</v>
      </c>
      <c r="J377" s="2003">
        <f ca="1">J543</f>
        <v>0</v>
      </c>
      <c r="K377" s="2004"/>
      <c r="L377" s="2005"/>
      <c r="M377" s="329"/>
      <c r="N377" s="329"/>
      <c r="O377" s="329"/>
      <c r="U377" s="329"/>
      <c r="X377" s="298"/>
    </row>
    <row r="378" spans="2:24">
      <c r="B378" s="298"/>
      <c r="C378" s="296"/>
      <c r="I378" s="215"/>
      <c r="J378" s="2006"/>
      <c r="K378" s="2007"/>
      <c r="L378" s="2008"/>
      <c r="M378" s="329"/>
      <c r="N378" s="329"/>
      <c r="O378" s="329"/>
      <c r="X378" s="298"/>
    </row>
    <row r="379" spans="2:24" ht="14.95" customHeight="1">
      <c r="B379" s="298"/>
      <c r="C379" s="296"/>
      <c r="I379" s="215"/>
      <c r="J379" s="2009"/>
      <c r="K379" s="2010"/>
      <c r="L379" s="2011"/>
      <c r="M379" s="329"/>
      <c r="N379" s="329"/>
      <c r="O379" s="329"/>
      <c r="T379" s="215" t="s">
        <v>749</v>
      </c>
      <c r="U379" s="1956" t="str">
        <f ca="1">J553</f>
        <v>Multi-Family Housing</v>
      </c>
      <c r="V379" s="1953"/>
      <c r="X379" s="298"/>
    </row>
    <row r="380" spans="2:24" ht="5.0999999999999996" customHeight="1">
      <c r="B380" s="298"/>
      <c r="C380" s="296"/>
      <c r="J380" s="329"/>
      <c r="M380" s="329"/>
      <c r="N380" s="329"/>
      <c r="O380" s="329"/>
      <c r="V380" s="329"/>
      <c r="X380" s="298"/>
    </row>
    <row r="381" spans="2:24">
      <c r="B381" s="298"/>
      <c r="C381" s="296"/>
      <c r="I381" s="215" t="s">
        <v>825</v>
      </c>
      <c r="J381" s="1956">
        <f ca="1">DATA!BL5</f>
        <v>0</v>
      </c>
      <c r="K381" s="1952"/>
      <c r="L381" s="1953"/>
      <c r="M381" s="371"/>
      <c r="N381" s="371"/>
      <c r="O381" s="371"/>
      <c r="U381" s="215"/>
      <c r="X381" s="298"/>
    </row>
    <row r="382" spans="2:24" ht="5.0999999999999996" customHeight="1">
      <c r="B382" s="298"/>
      <c r="C382" s="296"/>
      <c r="X382" s="298"/>
    </row>
    <row r="383" spans="2:24">
      <c r="B383" s="298"/>
      <c r="C383" s="296"/>
      <c r="I383" s="215" t="s">
        <v>751</v>
      </c>
      <c r="J383" s="1956">
        <f ca="1">DATA!B10</f>
        <v>0</v>
      </c>
      <c r="K383" s="1952"/>
      <c r="L383" s="1953"/>
      <c r="M383" s="329"/>
      <c r="N383" s="329"/>
      <c r="O383" s="329"/>
      <c r="X383" s="298"/>
    </row>
    <row r="384" spans="2:24" ht="5.0999999999999996" customHeight="1">
      <c r="B384" s="298"/>
      <c r="C384" s="297"/>
      <c r="D384" s="214"/>
      <c r="E384" s="214"/>
      <c r="F384" s="214"/>
      <c r="G384" s="214"/>
      <c r="H384" s="214"/>
      <c r="I384" s="214"/>
      <c r="J384" s="214"/>
      <c r="K384" s="214"/>
      <c r="L384" s="214"/>
      <c r="M384" s="214"/>
      <c r="N384" s="214"/>
      <c r="O384" s="214"/>
      <c r="P384" s="214"/>
      <c r="Q384" s="214"/>
      <c r="R384" s="214"/>
      <c r="S384" s="214"/>
      <c r="T384" s="214"/>
      <c r="U384" s="214"/>
      <c r="V384" s="214"/>
      <c r="W384" s="214"/>
      <c r="X384" s="299"/>
    </row>
    <row r="385" spans="2:24" ht="5.0999999999999996" customHeight="1"/>
    <row r="386" spans="2:24" ht="5.0999999999999996" customHeight="1">
      <c r="B386" s="298"/>
      <c r="C386" s="701"/>
      <c r="D386" s="690"/>
      <c r="E386" s="690"/>
      <c r="F386" s="690"/>
      <c r="G386" s="690"/>
      <c r="H386" s="690"/>
      <c r="I386" s="690"/>
      <c r="J386" s="690"/>
      <c r="K386" s="690"/>
      <c r="L386" s="690"/>
      <c r="M386" s="690"/>
      <c r="N386" s="690"/>
      <c r="O386" s="690"/>
      <c r="P386" s="690"/>
      <c r="Q386" s="690"/>
      <c r="R386" s="690"/>
      <c r="S386" s="690"/>
      <c r="T386" s="690"/>
      <c r="U386" s="690"/>
      <c r="V386" s="690"/>
      <c r="W386" s="690"/>
      <c r="X386" s="702"/>
    </row>
    <row r="387" spans="2:24">
      <c r="B387" s="298"/>
      <c r="C387" s="296"/>
      <c r="D387" s="1941" t="s">
        <v>826</v>
      </c>
      <c r="E387" s="1941"/>
      <c r="F387" s="1941"/>
      <c r="G387" s="1941"/>
      <c r="H387" s="1941"/>
      <c r="I387" s="1941"/>
      <c r="J387" s="1941"/>
      <c r="K387" s="1941"/>
      <c r="L387" s="1941"/>
      <c r="M387" s="1941"/>
      <c r="N387" s="1941"/>
      <c r="O387" s="1941"/>
      <c r="P387" s="1941"/>
      <c r="Q387" s="1941"/>
      <c r="R387" s="1941"/>
      <c r="S387" s="1941"/>
      <c r="T387" s="1941"/>
      <c r="U387" s="1941"/>
      <c r="V387" s="1942" t="s">
        <v>852</v>
      </c>
      <c r="W387" s="1942"/>
      <c r="X387" s="298"/>
    </row>
    <row r="388" spans="2:24" ht="5.0999999999999996" customHeight="1">
      <c r="B388" s="298"/>
      <c r="C388" s="296"/>
      <c r="X388" s="298"/>
    </row>
    <row r="389" spans="2:24" ht="14.95" customHeight="1">
      <c r="B389" s="298"/>
      <c r="C389" s="296"/>
      <c r="S389" s="447"/>
      <c r="T389" s="449" t="s">
        <v>827</v>
      </c>
      <c r="U389" s="1707"/>
      <c r="V389" s="1709"/>
      <c r="X389" s="298"/>
    </row>
    <row r="390" spans="2:24" ht="5.0999999999999996" customHeight="1">
      <c r="B390" s="298"/>
      <c r="C390" s="296"/>
      <c r="X390" s="298"/>
    </row>
    <row r="391" spans="2:24">
      <c r="B391" s="298"/>
      <c r="C391" s="296"/>
      <c r="I391" s="215" t="s">
        <v>715</v>
      </c>
      <c r="J391" s="1999">
        <f ca="1">J477</f>
        <v>0</v>
      </c>
      <c r="K391" s="2000"/>
      <c r="L391" s="2001"/>
      <c r="M391" s="207"/>
      <c r="N391" s="207"/>
      <c r="O391" s="207"/>
      <c r="X391" s="298"/>
    </row>
    <row r="392" spans="2:24" ht="5.0999999999999996" customHeight="1">
      <c r="B392" s="298"/>
      <c r="C392" s="296"/>
      <c r="X392" s="298"/>
    </row>
    <row r="393" spans="2:24">
      <c r="B393" s="298"/>
      <c r="C393" s="296"/>
      <c r="I393" s="215" t="s">
        <v>716</v>
      </c>
      <c r="J393" s="1956">
        <f ca="1">J479</f>
        <v>0</v>
      </c>
      <c r="K393" s="1952"/>
      <c r="L393" s="1953"/>
      <c r="M393" s="96"/>
      <c r="N393" s="96"/>
      <c r="O393" s="96"/>
      <c r="T393" s="215" t="s">
        <v>717</v>
      </c>
      <c r="U393" s="2002">
        <f ca="1">DATA!G5</f>
        <v>0</v>
      </c>
      <c r="V393" s="1953"/>
      <c r="X393" s="298"/>
    </row>
    <row r="394" spans="2:24" ht="5.0999999999999996" customHeight="1">
      <c r="B394" s="298"/>
      <c r="C394" s="296"/>
      <c r="U394" s="96"/>
      <c r="X394" s="298"/>
    </row>
    <row r="395" spans="2:24">
      <c r="B395" s="298"/>
      <c r="C395" s="296"/>
      <c r="H395" s="447"/>
      <c r="I395" s="449" t="s">
        <v>718</v>
      </c>
      <c r="J395" s="1707"/>
      <c r="K395" s="1708"/>
      <c r="L395" s="1709"/>
      <c r="M395" s="360"/>
      <c r="N395" s="361"/>
      <c r="O395" s="361"/>
      <c r="T395" s="215" t="s">
        <v>719</v>
      </c>
      <c r="U395" s="2002">
        <f ca="1">DATA!H5</f>
        <v>0</v>
      </c>
      <c r="V395" s="1953"/>
      <c r="X395" s="298"/>
    </row>
    <row r="396" spans="2:24" ht="5.0999999999999996" customHeight="1">
      <c r="B396" s="298"/>
      <c r="C396" s="296"/>
      <c r="J396" s="96"/>
      <c r="M396" s="96"/>
      <c r="N396" s="96"/>
      <c r="O396" s="96"/>
      <c r="U396" s="96"/>
      <c r="X396" s="298"/>
    </row>
    <row r="397" spans="2:24">
      <c r="B397" s="298"/>
      <c r="C397" s="296"/>
      <c r="I397" s="215"/>
      <c r="J397" s="96"/>
      <c r="K397" s="215"/>
      <c r="M397" s="96"/>
      <c r="N397" s="96"/>
      <c r="O397" s="96"/>
      <c r="T397" s="215" t="s">
        <v>721</v>
      </c>
      <c r="U397" s="2002">
        <f ca="1">DATA!J5</f>
        <v>0</v>
      </c>
      <c r="V397" s="1953"/>
      <c r="X397" s="298"/>
    </row>
    <row r="398" spans="2:24" ht="5.0999999999999996" customHeight="1">
      <c r="B398" s="298"/>
      <c r="C398" s="296"/>
      <c r="J398" s="96"/>
      <c r="M398" s="96"/>
      <c r="N398" s="96"/>
      <c r="O398" s="96"/>
      <c r="U398" s="96"/>
      <c r="X398" s="298"/>
    </row>
    <row r="399" spans="2:24">
      <c r="B399" s="298"/>
      <c r="C399" s="296"/>
      <c r="I399" s="215" t="s">
        <v>722</v>
      </c>
      <c r="J399" s="2002" t="str">
        <f ca="1">DATA!K5</f>
        <v>WA</v>
      </c>
      <c r="K399" s="1952"/>
      <c r="L399" s="1953"/>
      <c r="M399" s="96"/>
      <c r="N399" s="96"/>
      <c r="O399" s="96"/>
      <c r="T399" s="215" t="s">
        <v>723</v>
      </c>
      <c r="U399" s="2002">
        <f ca="1">DATA!L5</f>
        <v>0</v>
      </c>
      <c r="V399" s="1953"/>
      <c r="X399" s="298"/>
    </row>
    <row r="400" spans="2:24" ht="5.0999999999999996" customHeight="1">
      <c r="B400" s="298"/>
      <c r="C400" s="296"/>
      <c r="J400" s="96"/>
      <c r="M400" s="96"/>
      <c r="N400" s="96"/>
      <c r="O400" s="96"/>
      <c r="U400" s="96"/>
      <c r="X400" s="298"/>
    </row>
    <row r="401" spans="2:24">
      <c r="B401" s="298"/>
      <c r="C401" s="296"/>
      <c r="H401" s="447"/>
      <c r="I401" s="449" t="s">
        <v>724</v>
      </c>
      <c r="J401" s="1707"/>
      <c r="K401" s="1708"/>
      <c r="L401" s="1709"/>
      <c r="M401" s="360"/>
      <c r="N401" s="361"/>
      <c r="O401" s="361"/>
      <c r="T401" s="215" t="s">
        <v>725</v>
      </c>
      <c r="U401" s="1956">
        <f ca="1">J489</f>
        <v>0</v>
      </c>
      <c r="V401" s="1953"/>
      <c r="X401" s="298"/>
    </row>
    <row r="402" spans="2:24" ht="5.0999999999999996" customHeight="1">
      <c r="B402" s="298"/>
      <c r="C402" s="296"/>
      <c r="J402" s="96"/>
      <c r="M402" s="96"/>
      <c r="N402" s="96"/>
      <c r="O402" s="96"/>
      <c r="U402" s="96"/>
      <c r="X402" s="298"/>
    </row>
    <row r="403" spans="2:24">
      <c r="B403" s="298"/>
      <c r="C403" s="296"/>
      <c r="I403" s="215" t="s">
        <v>726</v>
      </c>
      <c r="J403" s="1956">
        <f ca="1">U489</f>
        <v>0</v>
      </c>
      <c r="K403" s="1952"/>
      <c r="L403" s="1953"/>
      <c r="M403" s="96"/>
      <c r="N403" s="96"/>
      <c r="O403" s="96"/>
      <c r="T403" s="215" t="s">
        <v>727</v>
      </c>
      <c r="U403" s="1956" t="str">
        <f ca="1">J491</f>
        <v>WA</v>
      </c>
      <c r="V403" s="1953"/>
      <c r="X403" s="298"/>
    </row>
    <row r="404" spans="2:24" ht="5.0999999999999996" customHeight="1">
      <c r="B404" s="298"/>
      <c r="C404" s="296"/>
      <c r="J404" s="96"/>
      <c r="M404" s="96"/>
      <c r="N404" s="96"/>
      <c r="O404" s="96"/>
      <c r="U404" s="96"/>
      <c r="X404" s="298"/>
    </row>
    <row r="405" spans="2:24">
      <c r="B405" s="298"/>
      <c r="C405" s="296"/>
      <c r="I405" s="215" t="s">
        <v>728</v>
      </c>
      <c r="J405" s="1956">
        <f ca="1">U491</f>
        <v>0</v>
      </c>
      <c r="K405" s="1952"/>
      <c r="L405" s="1953"/>
      <c r="M405" s="96"/>
      <c r="N405" s="96"/>
      <c r="O405" s="96"/>
      <c r="T405" s="215" t="s">
        <v>437</v>
      </c>
      <c r="U405" s="1997">
        <f ca="1">DATA!R5</f>
        <v>0</v>
      </c>
      <c r="V405" s="1998"/>
      <c r="X405" s="298"/>
    </row>
    <row r="406" spans="2:24" ht="5.0999999999999996" customHeight="1">
      <c r="B406" s="298"/>
      <c r="C406" s="296"/>
      <c r="J406" s="96"/>
      <c r="M406" s="96"/>
      <c r="N406" s="96"/>
      <c r="O406" s="96"/>
      <c r="U406" s="96"/>
      <c r="X406" s="298"/>
    </row>
    <row r="407" spans="2:24">
      <c r="B407" s="298"/>
      <c r="C407" s="296"/>
      <c r="I407" s="215" t="s">
        <v>438</v>
      </c>
      <c r="J407" s="2002">
        <f ca="1">DATA!S5</f>
        <v>0</v>
      </c>
      <c r="K407" s="1952"/>
      <c r="L407" s="1953"/>
      <c r="M407" s="96"/>
      <c r="N407" s="96"/>
      <c r="O407" s="96"/>
      <c r="T407" s="215" t="s">
        <v>729</v>
      </c>
      <c r="U407" s="1956">
        <f ca="1">DATA!T5</f>
        <v>0</v>
      </c>
      <c r="V407" s="1953"/>
      <c r="X407" s="298"/>
    </row>
    <row r="408" spans="2:24" ht="5.0999999999999996" customHeight="1">
      <c r="B408" s="298"/>
      <c r="C408" s="297"/>
      <c r="D408" s="214"/>
      <c r="E408" s="214"/>
      <c r="F408" s="214"/>
      <c r="G408" s="214"/>
      <c r="H408" s="214"/>
      <c r="I408" s="214"/>
      <c r="J408" s="214"/>
      <c r="K408" s="214"/>
      <c r="L408" s="214"/>
      <c r="M408" s="214"/>
      <c r="N408" s="214"/>
      <c r="O408" s="214"/>
      <c r="P408" s="214"/>
      <c r="Q408" s="214"/>
      <c r="R408" s="214"/>
      <c r="S408" s="214"/>
      <c r="T408" s="214"/>
      <c r="U408" s="214"/>
      <c r="V408" s="214"/>
      <c r="W408" s="214"/>
      <c r="X408" s="299"/>
    </row>
    <row r="409" spans="2:24" ht="5.0999999999999996" customHeight="1"/>
    <row r="410" spans="2:24" ht="5.0999999999999996" customHeight="1">
      <c r="B410" s="298"/>
      <c r="C410" s="701"/>
      <c r="D410" s="690"/>
      <c r="E410" s="690"/>
      <c r="F410" s="690"/>
      <c r="G410" s="690"/>
      <c r="H410" s="690"/>
      <c r="I410" s="690"/>
      <c r="J410" s="690"/>
      <c r="K410" s="690"/>
      <c r="L410" s="690"/>
      <c r="M410" s="690"/>
      <c r="N410" s="690"/>
      <c r="O410" s="690"/>
      <c r="P410" s="690"/>
      <c r="Q410" s="690"/>
      <c r="R410" s="690"/>
      <c r="S410" s="690"/>
      <c r="T410" s="690"/>
      <c r="U410" s="690"/>
      <c r="V410" s="690"/>
      <c r="W410" s="690"/>
      <c r="X410" s="702"/>
    </row>
    <row r="411" spans="2:24">
      <c r="B411" s="298"/>
      <c r="C411" s="296"/>
      <c r="D411" s="1941" t="s">
        <v>828</v>
      </c>
      <c r="E411" s="1941"/>
      <c r="F411" s="1941"/>
      <c r="G411" s="1941"/>
      <c r="H411" s="1941"/>
      <c r="I411" s="1941"/>
      <c r="J411" s="1941"/>
      <c r="K411" s="1941"/>
      <c r="L411" s="1941"/>
      <c r="M411" s="1941"/>
      <c r="N411" s="1941"/>
      <c r="O411" s="1941"/>
      <c r="P411" s="1941"/>
      <c r="Q411" s="1941"/>
      <c r="R411" s="1941"/>
      <c r="S411" s="1941"/>
      <c r="T411" s="1941"/>
      <c r="U411" s="1941"/>
      <c r="V411" s="1942" t="s">
        <v>852</v>
      </c>
      <c r="W411" s="1942"/>
      <c r="X411" s="298"/>
    </row>
    <row r="412" spans="2:24" ht="5.0999999999999996" customHeight="1">
      <c r="B412" s="298"/>
      <c r="C412" s="296"/>
      <c r="I412" s="38"/>
      <c r="J412" s="38"/>
      <c r="K412" s="38"/>
      <c r="L412" s="38"/>
      <c r="M412" s="38"/>
      <c r="N412" s="38"/>
      <c r="O412" s="38"/>
      <c r="X412" s="298"/>
    </row>
    <row r="413" spans="2:24" ht="14.95" customHeight="1">
      <c r="B413" s="298"/>
      <c r="C413" s="296"/>
      <c r="I413" s="38"/>
      <c r="J413" s="38"/>
      <c r="K413" s="38"/>
      <c r="L413" s="38"/>
      <c r="M413" s="38"/>
      <c r="N413" s="38"/>
      <c r="O413" s="38"/>
      <c r="T413" s="449" t="s">
        <v>829</v>
      </c>
      <c r="U413" s="1707"/>
      <c r="V413" s="1709"/>
      <c r="X413" s="298"/>
    </row>
    <row r="414" spans="2:24" ht="5.0999999999999996" customHeight="1">
      <c r="B414" s="298"/>
      <c r="C414" s="296"/>
      <c r="I414" s="38"/>
      <c r="J414" s="38"/>
      <c r="K414" s="38"/>
      <c r="L414" s="38"/>
      <c r="M414" s="38"/>
      <c r="N414" s="38"/>
      <c r="O414" s="38"/>
      <c r="X414" s="298"/>
    </row>
    <row r="415" spans="2:24">
      <c r="B415" s="298"/>
      <c r="C415" s="296"/>
      <c r="I415" s="215" t="s">
        <v>716</v>
      </c>
      <c r="J415" s="2020" t="str">
        <f ca="1">'Grant QC Review'!J415</f>
        <v/>
      </c>
      <c r="K415" s="2021"/>
      <c r="L415" s="2022"/>
      <c r="M415" s="38"/>
      <c r="N415" s="96"/>
      <c r="O415" s="96"/>
      <c r="X415" s="298"/>
    </row>
    <row r="416" spans="2:24" ht="5.0999999999999996" customHeight="1">
      <c r="B416" s="298"/>
      <c r="C416" s="296"/>
      <c r="I416" s="215"/>
      <c r="J416" s="38"/>
      <c r="K416" s="215"/>
      <c r="M416" s="38"/>
      <c r="N416" s="38"/>
      <c r="O416" s="38"/>
      <c r="X416" s="298"/>
    </row>
    <row r="417" spans="2:24">
      <c r="B417" s="298"/>
      <c r="C417" s="296"/>
      <c r="I417" s="372" t="s">
        <v>830</v>
      </c>
      <c r="J417" s="2020" t="str">
        <f ca="1">'Grant QC Review'!J417</f>
        <v/>
      </c>
      <c r="K417" s="2021"/>
      <c r="L417" s="2022"/>
      <c r="M417" s="38"/>
      <c r="N417" s="96"/>
      <c r="O417" s="96"/>
      <c r="S417" s="215" t="s">
        <v>831</v>
      </c>
      <c r="U417" s="2020" t="str">
        <f ca="1">'Grant QC Review'!U417</f>
        <v/>
      </c>
      <c r="V417" s="2022"/>
      <c r="X417" s="298"/>
    </row>
    <row r="418" spans="2:24" ht="5.0999999999999996" customHeight="1">
      <c r="B418" s="298"/>
      <c r="C418" s="296"/>
      <c r="I418" s="215"/>
      <c r="J418" s="38"/>
      <c r="K418" s="215"/>
      <c r="M418" s="38"/>
      <c r="N418" s="38"/>
      <c r="O418" s="38"/>
      <c r="S418" s="215"/>
      <c r="U418" s="38"/>
      <c r="X418" s="298"/>
    </row>
    <row r="419" spans="2:24">
      <c r="B419" s="298"/>
      <c r="C419" s="296"/>
      <c r="I419" s="259" t="s">
        <v>832</v>
      </c>
      <c r="J419" s="2023" t="str">
        <f ca="1">'Grant QC Review'!J419</f>
        <v/>
      </c>
      <c r="K419" s="2024"/>
      <c r="L419" s="2025"/>
      <c r="M419" s="38"/>
      <c r="N419" s="96"/>
      <c r="O419" s="96"/>
      <c r="S419" s="215" t="s">
        <v>833</v>
      </c>
      <c r="U419" s="2020" t="str">
        <f ca="1">'Grant QC Review'!U419</f>
        <v/>
      </c>
      <c r="V419" s="2022"/>
      <c r="X419" s="298"/>
    </row>
    <row r="420" spans="2:24" ht="5.0999999999999996" customHeight="1">
      <c r="B420" s="298"/>
      <c r="C420" s="296"/>
      <c r="I420" s="215"/>
      <c r="J420" s="38"/>
      <c r="K420" s="215"/>
      <c r="M420" s="38"/>
      <c r="N420" s="38"/>
      <c r="O420" s="38"/>
      <c r="X420" s="298"/>
    </row>
    <row r="421" spans="2:24">
      <c r="B421" s="298"/>
      <c r="C421" s="296"/>
      <c r="H421" s="447"/>
      <c r="I421" s="449" t="s">
        <v>834</v>
      </c>
      <c r="J421" s="1748"/>
      <c r="K421" s="1749"/>
      <c r="L421" s="1750"/>
      <c r="M421" s="360"/>
      <c r="N421" s="96"/>
      <c r="O421" s="96"/>
      <c r="X421" s="298"/>
    </row>
    <row r="422" spans="2:24" ht="5.0999999999999996" customHeight="1">
      <c r="B422" s="298"/>
      <c r="C422" s="297"/>
      <c r="D422" s="214"/>
      <c r="E422" s="214"/>
      <c r="F422" s="214"/>
      <c r="G422" s="214"/>
      <c r="H422" s="214"/>
      <c r="I422" s="214"/>
      <c r="J422" s="214"/>
      <c r="K422" s="214"/>
      <c r="L422" s="214"/>
      <c r="M422" s="214"/>
      <c r="N422" s="214"/>
      <c r="O422" s="214"/>
      <c r="P422" s="214"/>
      <c r="Q422" s="214"/>
      <c r="R422" s="214"/>
      <c r="S422" s="214"/>
      <c r="T422" s="214"/>
      <c r="U422" s="214"/>
      <c r="V422" s="214"/>
      <c r="W422" s="214"/>
      <c r="X422" s="299"/>
    </row>
    <row r="423" spans="2:24" ht="5.0999999999999996" customHeight="1"/>
    <row r="424" spans="2:24" ht="5.0999999999999996" customHeight="1">
      <c r="C424" s="701"/>
      <c r="D424" s="690"/>
      <c r="E424" s="690"/>
      <c r="F424" s="690"/>
      <c r="G424" s="690"/>
      <c r="H424" s="690"/>
      <c r="I424" s="690"/>
      <c r="J424" s="690"/>
      <c r="K424" s="690"/>
      <c r="L424" s="690"/>
      <c r="M424" s="690"/>
      <c r="N424" s="690"/>
      <c r="O424" s="690"/>
      <c r="P424" s="690"/>
      <c r="Q424" s="690"/>
      <c r="R424" s="690"/>
      <c r="S424" s="690"/>
      <c r="T424" s="690"/>
      <c r="U424" s="690"/>
      <c r="V424" s="690"/>
      <c r="W424" s="690"/>
      <c r="X424" s="702"/>
    </row>
    <row r="425" spans="2:24">
      <c r="C425" s="296"/>
      <c r="D425" s="1941" t="s">
        <v>835</v>
      </c>
      <c r="E425" s="1941"/>
      <c r="F425" s="1941"/>
      <c r="G425" s="1941"/>
      <c r="H425" s="1941"/>
      <c r="I425" s="1941"/>
      <c r="J425" s="1941"/>
      <c r="K425" s="1941"/>
      <c r="L425" s="1941"/>
      <c r="M425" s="1941"/>
      <c r="N425" s="1941"/>
      <c r="O425" s="1941"/>
      <c r="P425" s="1941"/>
      <c r="Q425" s="1941"/>
      <c r="R425" s="1941"/>
      <c r="S425" s="1941"/>
      <c r="T425" s="1941"/>
      <c r="U425" s="1941"/>
      <c r="V425" s="1942" t="s">
        <v>852</v>
      </c>
      <c r="W425" s="1942"/>
      <c r="X425" s="298"/>
    </row>
    <row r="426" spans="2:24" ht="5.0999999999999996" customHeight="1">
      <c r="C426" s="296"/>
      <c r="I426" s="38"/>
      <c r="J426" s="38"/>
      <c r="K426" s="38"/>
      <c r="L426" s="38"/>
      <c r="M426" s="38"/>
      <c r="N426" s="38"/>
      <c r="O426" s="38"/>
      <c r="X426" s="298"/>
    </row>
    <row r="427" spans="2:24" ht="14.95" customHeight="1">
      <c r="C427" s="296"/>
      <c r="I427" s="38"/>
      <c r="J427" s="38"/>
      <c r="K427" s="38"/>
      <c r="L427" s="38"/>
      <c r="M427" s="38"/>
      <c r="N427" s="38"/>
      <c r="O427" s="38"/>
      <c r="S427" s="447"/>
      <c r="T427" s="449" t="s">
        <v>836</v>
      </c>
      <c r="U427" s="1707"/>
      <c r="V427" s="1709"/>
      <c r="X427" s="298"/>
    </row>
    <row r="428" spans="2:24" ht="5.0999999999999996" customHeight="1">
      <c r="C428" s="296"/>
      <c r="I428" s="38"/>
      <c r="J428" s="38"/>
      <c r="K428" s="38"/>
      <c r="L428" s="38"/>
      <c r="M428" s="38"/>
      <c r="N428" s="38"/>
      <c r="O428" s="38"/>
      <c r="X428" s="298"/>
    </row>
    <row r="429" spans="2:24">
      <c r="C429" s="296"/>
      <c r="I429" s="215"/>
      <c r="J429" s="38"/>
      <c r="K429" s="38"/>
      <c r="L429" s="38"/>
      <c r="M429" s="38"/>
      <c r="N429" s="96"/>
      <c r="O429" s="96"/>
      <c r="T429" s="215" t="s">
        <v>436</v>
      </c>
      <c r="U429" s="1752" t="str">
        <f ca="1">U515</f>
        <v/>
      </c>
      <c r="V429" s="1754"/>
      <c r="X429" s="298"/>
    </row>
    <row r="430" spans="2:24" ht="5.0999999999999996" customHeight="1">
      <c r="C430" s="296"/>
      <c r="I430" s="215"/>
      <c r="J430" s="38"/>
      <c r="K430" s="215"/>
      <c r="M430" s="38"/>
      <c r="N430" s="38"/>
      <c r="O430" s="38"/>
      <c r="X430" s="298"/>
    </row>
    <row r="431" spans="2:24">
      <c r="C431" s="296"/>
      <c r="I431" s="449" t="s">
        <v>837</v>
      </c>
      <c r="J431" s="1748">
        <f>J517</f>
        <v>0</v>
      </c>
      <c r="K431" s="1749"/>
      <c r="L431" s="1750"/>
      <c r="M431" s="38"/>
      <c r="N431" s="96"/>
      <c r="O431" s="96"/>
      <c r="T431" s="215" t="s">
        <v>437</v>
      </c>
      <c r="U431" s="1768" t="str">
        <f ca="1">U517</f>
        <v/>
      </c>
      <c r="V431" s="1754"/>
      <c r="X431" s="298"/>
    </row>
    <row r="432" spans="2:24" ht="5.0999999999999996" customHeight="1">
      <c r="C432" s="296"/>
      <c r="I432" s="215"/>
      <c r="J432" s="38"/>
      <c r="K432" s="215"/>
      <c r="M432" s="38"/>
      <c r="N432" s="38"/>
      <c r="O432" s="38"/>
      <c r="X432" s="298"/>
    </row>
    <row r="433" spans="2:24">
      <c r="C433" s="296"/>
      <c r="I433" s="215" t="s">
        <v>438</v>
      </c>
      <c r="J433" s="1752" t="str">
        <f ca="1">J519</f>
        <v/>
      </c>
      <c r="K433" s="1753"/>
      <c r="L433" s="1754"/>
      <c r="M433" s="38"/>
      <c r="N433" s="96"/>
      <c r="O433" s="96"/>
      <c r="T433" s="215" t="s">
        <v>733</v>
      </c>
      <c r="U433" s="1752" t="str">
        <f ca="1">U519</f>
        <v/>
      </c>
      <c r="V433" s="1754"/>
      <c r="X433" s="298"/>
    </row>
    <row r="434" spans="2:24" ht="5.0999999999999996" customHeight="1">
      <c r="C434" s="296"/>
      <c r="I434" s="215"/>
      <c r="J434" s="38"/>
      <c r="K434" s="215"/>
      <c r="M434" s="38"/>
      <c r="N434" s="38"/>
      <c r="O434" s="38"/>
      <c r="T434" s="215"/>
      <c r="U434" s="38"/>
      <c r="X434" s="298"/>
    </row>
    <row r="435" spans="2:24">
      <c r="C435" s="296"/>
      <c r="I435" s="449" t="s">
        <v>720</v>
      </c>
      <c r="J435" s="1748">
        <f>J521</f>
        <v>0</v>
      </c>
      <c r="K435" s="1749"/>
      <c r="L435" s="1750"/>
      <c r="M435" s="38"/>
      <c r="N435" s="96"/>
      <c r="O435" s="96"/>
      <c r="T435" s="215" t="s">
        <v>721</v>
      </c>
      <c r="U435" s="1752" t="str">
        <f ca="1">U521</f>
        <v/>
      </c>
      <c r="V435" s="1754"/>
      <c r="X435" s="298"/>
    </row>
    <row r="436" spans="2:24" ht="5.0999999999999996" customHeight="1">
      <c r="C436" s="296"/>
      <c r="I436" s="215"/>
      <c r="J436" s="38"/>
      <c r="K436" s="215"/>
      <c r="M436" s="38"/>
      <c r="N436" s="38"/>
      <c r="O436" s="38"/>
      <c r="X436" s="298"/>
    </row>
    <row r="437" spans="2:24">
      <c r="C437" s="296"/>
      <c r="I437" s="215" t="s">
        <v>722</v>
      </c>
      <c r="J437" s="1752" t="str">
        <f ca="1">J523</f>
        <v/>
      </c>
      <c r="K437" s="1753"/>
      <c r="L437" s="1754"/>
      <c r="M437" s="360"/>
      <c r="N437" s="96"/>
      <c r="O437" s="96"/>
      <c r="T437" s="215" t="s">
        <v>723</v>
      </c>
      <c r="U437" s="1752" t="str">
        <f ca="1">U523</f>
        <v/>
      </c>
      <c r="V437" s="1754"/>
      <c r="X437" s="298"/>
    </row>
    <row r="438" spans="2:24" ht="5.0999999999999996" customHeight="1">
      <c r="C438" s="297"/>
      <c r="D438" s="214"/>
      <c r="E438" s="214"/>
      <c r="F438" s="214"/>
      <c r="G438" s="214"/>
      <c r="H438" s="214"/>
      <c r="I438" s="214"/>
      <c r="J438" s="214"/>
      <c r="K438" s="214"/>
      <c r="L438" s="214"/>
      <c r="M438" s="214"/>
      <c r="N438" s="214"/>
      <c r="O438" s="214"/>
      <c r="P438" s="214"/>
      <c r="Q438" s="214"/>
      <c r="R438" s="214"/>
      <c r="S438" s="214"/>
      <c r="T438" s="214"/>
      <c r="U438" s="214"/>
      <c r="V438" s="214"/>
      <c r="W438" s="214"/>
      <c r="X438" s="299"/>
    </row>
    <row r="439" spans="2:24" ht="5.0999999999999996" customHeight="1"/>
    <row r="440" spans="2:24" ht="5.0999999999999996" customHeight="1">
      <c r="B440" s="298"/>
      <c r="C440" s="701"/>
      <c r="D440" s="690"/>
      <c r="E440" s="690"/>
      <c r="F440" s="690"/>
      <c r="G440" s="690"/>
      <c r="H440" s="828"/>
      <c r="I440" s="828"/>
      <c r="J440" s="828"/>
      <c r="K440" s="828"/>
      <c r="L440" s="828"/>
      <c r="M440" s="828"/>
      <c r="N440" s="828"/>
      <c r="O440" s="828"/>
      <c r="P440" s="690"/>
      <c r="Q440" s="690"/>
      <c r="R440" s="690"/>
      <c r="S440" s="828"/>
      <c r="T440" s="690"/>
      <c r="U440" s="828"/>
      <c r="V440" s="828"/>
      <c r="W440" s="690"/>
      <c r="X440" s="702"/>
    </row>
    <row r="441" spans="2:24">
      <c r="B441" s="298"/>
      <c r="C441" s="296"/>
      <c r="D441" s="1941" t="s">
        <v>838</v>
      </c>
      <c r="E441" s="1941"/>
      <c r="F441" s="1941"/>
      <c r="G441" s="1941"/>
      <c r="H441" s="1941"/>
      <c r="I441" s="1941"/>
      <c r="J441" s="1941"/>
      <c r="K441" s="1941"/>
      <c r="L441" s="1941"/>
      <c r="M441" s="1941"/>
      <c r="N441" s="1941"/>
      <c r="O441" s="1941"/>
      <c r="P441" s="1941"/>
      <c r="Q441" s="1941"/>
      <c r="R441" s="1941"/>
      <c r="S441" s="1941"/>
      <c r="T441" s="1941"/>
      <c r="U441" s="1941"/>
      <c r="V441" s="1942" t="s">
        <v>852</v>
      </c>
      <c r="W441" s="1942"/>
      <c r="X441" s="298"/>
    </row>
    <row r="442" spans="2:24" ht="5.0999999999999996" customHeight="1">
      <c r="B442" s="298"/>
      <c r="C442" s="296"/>
      <c r="H442" s="38"/>
      <c r="I442" s="38"/>
      <c r="J442" s="38"/>
      <c r="K442" s="38"/>
      <c r="L442" s="38"/>
      <c r="M442" s="38"/>
      <c r="N442" s="38"/>
      <c r="O442" s="38"/>
      <c r="S442" s="38"/>
      <c r="U442" s="38"/>
      <c r="V442" s="38"/>
      <c r="X442" s="298"/>
    </row>
    <row r="443" spans="2:24">
      <c r="B443" s="298"/>
      <c r="C443" s="296"/>
      <c r="H443" s="38"/>
      <c r="I443" s="215" t="s">
        <v>436</v>
      </c>
      <c r="J443" s="1752">
        <f ca="1">J561</f>
        <v>0</v>
      </c>
      <c r="K443" s="1753"/>
      <c r="L443" s="1754"/>
      <c r="M443" s="38"/>
      <c r="N443" s="96"/>
      <c r="O443" s="96"/>
      <c r="S443" s="215"/>
      <c r="T443" s="215" t="s">
        <v>839</v>
      </c>
      <c r="U443" s="1766" t="str">
        <f ca="1">U561</f>
        <v/>
      </c>
      <c r="V443" s="1754"/>
      <c r="X443" s="298"/>
    </row>
    <row r="444" spans="2:24" ht="5.0999999999999996" customHeight="1">
      <c r="B444" s="298"/>
      <c r="C444" s="296"/>
      <c r="H444" s="38"/>
      <c r="I444" s="215"/>
      <c r="J444" s="38"/>
      <c r="K444" s="215"/>
      <c r="M444" s="38"/>
      <c r="N444" s="38"/>
      <c r="O444" s="38"/>
      <c r="S444" s="215"/>
      <c r="U444" s="38"/>
      <c r="X444" s="298"/>
    </row>
    <row r="445" spans="2:24">
      <c r="B445" s="298"/>
      <c r="C445" s="296"/>
      <c r="H445" s="38"/>
      <c r="I445" s="449" t="s">
        <v>840</v>
      </c>
      <c r="J445" s="1748">
        <f>J563</f>
        <v>0</v>
      </c>
      <c r="K445" s="1749"/>
      <c r="L445" s="1750"/>
      <c r="M445" s="38"/>
      <c r="N445" s="96"/>
      <c r="O445" s="96"/>
      <c r="Q445" s="447"/>
      <c r="R445" s="447"/>
      <c r="S445" s="449"/>
      <c r="T445" s="215" t="s">
        <v>841</v>
      </c>
      <c r="U445" s="1766" t="str">
        <f ca="1">U565</f>
        <v/>
      </c>
      <c r="V445" s="1754"/>
      <c r="X445" s="298"/>
    </row>
    <row r="446" spans="2:24" ht="14.95" customHeight="1">
      <c r="B446" s="298"/>
      <c r="C446" s="296"/>
      <c r="H446" s="38"/>
      <c r="I446" s="215"/>
      <c r="J446" s="38"/>
      <c r="K446" s="215"/>
      <c r="M446" s="38"/>
      <c r="N446" s="38"/>
      <c r="O446" s="38"/>
      <c r="S446" s="215"/>
      <c r="U446" s="38"/>
      <c r="X446" s="298"/>
    </row>
    <row r="447" spans="2:24">
      <c r="B447" s="298"/>
      <c r="C447" s="296"/>
      <c r="H447" s="38"/>
      <c r="I447" s="449" t="s">
        <v>842</v>
      </c>
      <c r="J447" s="1748">
        <f>J567</f>
        <v>0</v>
      </c>
      <c r="K447" s="1749"/>
      <c r="L447" s="1750"/>
      <c r="M447" s="38"/>
      <c r="N447" s="96"/>
      <c r="O447" s="96"/>
      <c r="S447" s="215"/>
      <c r="T447" s="215" t="s">
        <v>843</v>
      </c>
      <c r="U447" s="1766" t="str">
        <f ca="1">U567</f>
        <v/>
      </c>
      <c r="V447" s="1754"/>
      <c r="X447" s="298"/>
    </row>
    <row r="448" spans="2:24" ht="5.0999999999999996" customHeight="1">
      <c r="B448" s="298"/>
      <c r="C448" s="296"/>
      <c r="H448" s="38"/>
      <c r="I448" s="215"/>
      <c r="J448" s="38"/>
      <c r="K448" s="215"/>
      <c r="M448" s="38"/>
      <c r="N448" s="38"/>
      <c r="O448" s="38"/>
      <c r="S448" s="38"/>
      <c r="U448" s="215"/>
      <c r="V448" s="38"/>
      <c r="X448" s="298"/>
    </row>
    <row r="449" spans="2:24">
      <c r="B449" s="298"/>
      <c r="C449" s="296"/>
      <c r="H449" s="38"/>
      <c r="I449" s="215" t="s">
        <v>844</v>
      </c>
      <c r="J449" s="1752" t="str">
        <f ca="1">J569</f>
        <v/>
      </c>
      <c r="K449" s="1753"/>
      <c r="L449" s="1754"/>
      <c r="M449" s="38"/>
      <c r="N449" s="96"/>
      <c r="O449" s="96"/>
      <c r="S449" s="215"/>
      <c r="T449" s="215" t="s">
        <v>845</v>
      </c>
      <c r="U449" s="1872" t="str">
        <f ca="1">U569</f>
        <v/>
      </c>
      <c r="V449" s="1754"/>
      <c r="X449" s="298"/>
    </row>
    <row r="450" spans="2:24" ht="5.0999999999999996" customHeight="1">
      <c r="B450" s="298"/>
      <c r="C450" s="296"/>
      <c r="H450" s="38"/>
      <c r="I450" s="215"/>
      <c r="J450" s="38"/>
      <c r="K450" s="215"/>
      <c r="M450" s="38"/>
      <c r="N450" s="38"/>
      <c r="O450" s="38"/>
      <c r="S450" s="38"/>
      <c r="U450" s="215"/>
      <c r="V450" s="38"/>
      <c r="X450" s="298"/>
    </row>
    <row r="451" spans="2:24">
      <c r="B451" s="298"/>
      <c r="C451" s="296"/>
      <c r="H451" s="38"/>
      <c r="I451" s="215" t="s">
        <v>846</v>
      </c>
      <c r="J451" s="1752" t="str">
        <f>DATA!BV5</f>
        <v>Check Payment</v>
      </c>
      <c r="K451" s="1753"/>
      <c r="L451" s="1754"/>
      <c r="M451" s="38"/>
      <c r="N451" s="96"/>
      <c r="O451" s="96"/>
      <c r="S451" s="215"/>
      <c r="X451" s="298"/>
    </row>
    <row r="452" spans="2:24" ht="5.0999999999999996" customHeight="1">
      <c r="B452" s="298"/>
      <c r="C452" s="297"/>
      <c r="D452" s="214"/>
      <c r="E452" s="214"/>
      <c r="F452" s="214"/>
      <c r="G452" s="214"/>
      <c r="H452" s="206"/>
      <c r="I452" s="206"/>
      <c r="J452" s="206"/>
      <c r="K452" s="206"/>
      <c r="L452" s="206"/>
      <c r="M452" s="206"/>
      <c r="N452" s="206"/>
      <c r="O452" s="206"/>
      <c r="P452" s="214"/>
      <c r="Q452" s="214"/>
      <c r="R452" s="214"/>
      <c r="S452" s="206"/>
      <c r="T452" s="214"/>
      <c r="U452" s="206"/>
      <c r="V452" s="206"/>
      <c r="W452" s="214"/>
      <c r="X452" s="299"/>
    </row>
    <row r="453" spans="2:24" ht="5.0999999999999996" customHeight="1">
      <c r="U453" s="38"/>
      <c r="V453" s="38"/>
    </row>
    <row r="454" spans="2:24" ht="5.0999999999999996" customHeight="1">
      <c r="B454" s="298"/>
      <c r="C454" s="701"/>
      <c r="D454" s="690"/>
      <c r="E454" s="690"/>
      <c r="F454" s="690"/>
      <c r="G454" s="690"/>
      <c r="H454" s="690"/>
      <c r="I454" s="690"/>
      <c r="J454" s="690"/>
      <c r="K454" s="690"/>
      <c r="L454" s="690"/>
      <c r="M454" s="690"/>
      <c r="N454" s="690"/>
      <c r="O454" s="690"/>
      <c r="P454" s="690"/>
      <c r="Q454" s="690"/>
      <c r="R454" s="690"/>
      <c r="S454" s="690"/>
      <c r="T454" s="690"/>
      <c r="U454" s="690"/>
      <c r="V454" s="690"/>
      <c r="W454" s="690"/>
      <c r="X454" s="702"/>
    </row>
    <row r="455" spans="2:24">
      <c r="B455" s="298"/>
      <c r="C455" s="296"/>
      <c r="D455" s="1941" t="s">
        <v>765</v>
      </c>
      <c r="E455" s="1941"/>
      <c r="F455" s="1941"/>
      <c r="G455" s="1941"/>
      <c r="H455" s="1941"/>
      <c r="I455" s="1941"/>
      <c r="J455" s="1941"/>
      <c r="K455" s="1941"/>
      <c r="L455" s="1941"/>
      <c r="M455" s="1941"/>
      <c r="N455" s="1941"/>
      <c r="O455" s="1941"/>
      <c r="P455" s="1941"/>
      <c r="Q455" s="1941"/>
      <c r="R455" s="1941"/>
      <c r="S455" s="1941"/>
      <c r="T455" s="1941"/>
      <c r="U455" s="1941"/>
      <c r="V455" s="1942" t="s">
        <v>852</v>
      </c>
      <c r="W455" s="1942"/>
      <c r="X455" s="298"/>
    </row>
    <row r="456" spans="2:24" ht="5.0999999999999996" customHeight="1">
      <c r="B456" s="298"/>
      <c r="C456" s="296"/>
      <c r="X456" s="298"/>
    </row>
    <row r="457" spans="2:24">
      <c r="B457" s="298"/>
      <c r="C457" s="296"/>
      <c r="I457" s="215" t="s">
        <v>766</v>
      </c>
      <c r="J457" s="1766">
        <f ca="1">J583</f>
        <v>0</v>
      </c>
      <c r="K457" s="2018"/>
      <c r="L457" s="2019"/>
      <c r="M457" s="96"/>
      <c r="N457" s="363"/>
      <c r="O457" s="363"/>
      <c r="X457" s="298"/>
    </row>
    <row r="458" spans="2:24" ht="5.0999999999999996" customHeight="1">
      <c r="B458" s="298"/>
      <c r="C458" s="296"/>
      <c r="J458" s="96"/>
      <c r="M458" s="96"/>
      <c r="N458" s="96"/>
      <c r="O458" s="96"/>
      <c r="X458" s="298"/>
    </row>
    <row r="459" spans="2:24">
      <c r="B459" s="298"/>
      <c r="C459" s="296"/>
      <c r="I459" s="215" t="s">
        <v>767</v>
      </c>
      <c r="J459" s="2012">
        <f ca="1">U585</f>
        <v>0</v>
      </c>
      <c r="K459" s="2013"/>
      <c r="L459" s="2014"/>
      <c r="M459" s="96"/>
      <c r="N459" s="362"/>
      <c r="O459" s="362"/>
      <c r="S459" s="215" t="s">
        <v>792</v>
      </c>
      <c r="U459" s="2012">
        <f ca="1">J589</f>
        <v>0</v>
      </c>
      <c r="V459" s="2014"/>
      <c r="X459" s="298"/>
    </row>
    <row r="460" spans="2:24" ht="5.0999999999999996" customHeight="1">
      <c r="B460" s="298"/>
      <c r="C460" s="297"/>
      <c r="D460" s="214"/>
      <c r="E460" s="214"/>
      <c r="F460" s="214"/>
      <c r="G460" s="214"/>
      <c r="H460" s="214"/>
      <c r="I460" s="214"/>
      <c r="J460" s="214"/>
      <c r="K460" s="214"/>
      <c r="L460" s="214"/>
      <c r="M460" s="214"/>
      <c r="N460" s="214"/>
      <c r="O460" s="214"/>
      <c r="P460" s="214"/>
      <c r="Q460" s="214"/>
      <c r="R460" s="214"/>
      <c r="S460" s="214"/>
      <c r="T460" s="214"/>
      <c r="U460" s="214"/>
      <c r="V460" s="214"/>
      <c r="W460" s="214"/>
      <c r="X460" s="299"/>
    </row>
    <row r="462" spans="2:24" s="1063" customFormat="1">
      <c r="B462" s="1149"/>
    </row>
    <row r="463" spans="2:24" ht="21.75" thickBot="1">
      <c r="B463" s="1149"/>
      <c r="I463" s="1900">
        <f>O90</f>
        <v>0</v>
      </c>
      <c r="J463" s="1900"/>
      <c r="K463" s="352"/>
      <c r="L463" s="352" t="s">
        <v>2021</v>
      </c>
      <c r="M463" s="352"/>
      <c r="N463" s="352"/>
      <c r="O463" s="352"/>
      <c r="P463" s="352"/>
      <c r="Q463" s="352"/>
      <c r="R463" s="352"/>
      <c r="S463" s="352"/>
      <c r="T463" s="352"/>
      <c r="U463" s="352"/>
      <c r="V463" s="352"/>
      <c r="W463" s="352"/>
      <c r="X463" s="352"/>
    </row>
    <row r="464" spans="2:24" ht="14.95" customHeight="1">
      <c r="B464" s="1149"/>
      <c r="H464" s="1807" t="s">
        <v>709</v>
      </c>
      <c r="I464" s="1808"/>
      <c r="J464" s="1808"/>
      <c r="K464" s="1808"/>
      <c r="L464" s="1808"/>
      <c r="M464" s="1808"/>
      <c r="N464" s="1808"/>
      <c r="O464" s="1808"/>
      <c r="P464" s="1808"/>
      <c r="Q464" s="1808"/>
      <c r="R464" s="1808"/>
      <c r="S464" s="1808"/>
      <c r="T464" s="1808"/>
      <c r="U464" s="1808"/>
      <c r="V464" s="1808"/>
      <c r="W464" s="1808"/>
      <c r="X464" s="1809"/>
    </row>
    <row r="465" spans="2:24" ht="14.95" customHeight="1">
      <c r="B465" s="1149"/>
      <c r="H465" s="1810"/>
      <c r="I465" s="1811"/>
      <c r="J465" s="1811"/>
      <c r="K465" s="1811"/>
      <c r="L465" s="1811"/>
      <c r="M465" s="1811"/>
      <c r="N465" s="1811"/>
      <c r="O465" s="1811"/>
      <c r="P465" s="1811"/>
      <c r="Q465" s="1811"/>
      <c r="R465" s="1811"/>
      <c r="S465" s="1811"/>
      <c r="T465" s="1811"/>
      <c r="U465" s="1811"/>
      <c r="V465" s="1811"/>
      <c r="W465" s="1811"/>
      <c r="X465" s="1812"/>
    </row>
    <row r="466" spans="2:24">
      <c r="B466" s="1149"/>
      <c r="H466" s="1810"/>
      <c r="I466" s="1811"/>
      <c r="J466" s="1811"/>
      <c r="K466" s="1811"/>
      <c r="L466" s="1811"/>
      <c r="M466" s="1811"/>
      <c r="N466" s="1811"/>
      <c r="O466" s="1811"/>
      <c r="P466" s="1811"/>
      <c r="Q466" s="1811"/>
      <c r="R466" s="1811"/>
      <c r="S466" s="1811"/>
      <c r="T466" s="1811"/>
      <c r="U466" s="1811"/>
      <c r="V466" s="1811"/>
      <c r="W466" s="1811"/>
      <c r="X466" s="1812"/>
    </row>
    <row r="467" spans="2:24">
      <c r="B467" s="1149"/>
      <c r="H467" s="1810"/>
      <c r="I467" s="1811"/>
      <c r="J467" s="1811"/>
      <c r="K467" s="1811"/>
      <c r="L467" s="1811"/>
      <c r="M467" s="1811"/>
      <c r="N467" s="1811"/>
      <c r="O467" s="1811"/>
      <c r="P467" s="1811"/>
      <c r="Q467" s="1811"/>
      <c r="R467" s="1811"/>
      <c r="S467" s="1811"/>
      <c r="T467" s="1811"/>
      <c r="U467" s="1811"/>
      <c r="V467" s="1811"/>
      <c r="W467" s="1811"/>
      <c r="X467" s="1812"/>
    </row>
    <row r="468" spans="2:24" ht="14.95" customHeight="1">
      <c r="B468" s="1149"/>
      <c r="H468" s="1810"/>
      <c r="I468" s="1811"/>
      <c r="J468" s="1811"/>
      <c r="K468" s="1811"/>
      <c r="L468" s="1811"/>
      <c r="M468" s="1811"/>
      <c r="N468" s="1811"/>
      <c r="O468" s="1811"/>
      <c r="P468" s="1811"/>
      <c r="Q468" s="1811"/>
      <c r="R468" s="1811"/>
      <c r="S468" s="1811"/>
      <c r="T468" s="1811"/>
      <c r="U468" s="1811"/>
      <c r="V468" s="1811"/>
      <c r="W468" s="1811"/>
      <c r="X468" s="1812"/>
    </row>
    <row r="469" spans="2:24" ht="14.95" thickBot="1">
      <c r="B469" s="1149"/>
      <c r="H469" s="1813"/>
      <c r="I469" s="1814"/>
      <c r="J469" s="1814"/>
      <c r="K469" s="1814"/>
      <c r="L469" s="1814"/>
      <c r="M469" s="1814"/>
      <c r="N469" s="1814"/>
      <c r="O469" s="1814"/>
      <c r="P469" s="1814"/>
      <c r="Q469" s="1814"/>
      <c r="R469" s="1814"/>
      <c r="S469" s="1814"/>
      <c r="T469" s="1814"/>
      <c r="U469" s="1814"/>
      <c r="V469" s="1814"/>
      <c r="W469" s="1814"/>
      <c r="X469" s="1815"/>
    </row>
    <row r="470" spans="2:24">
      <c r="B470" s="1149"/>
    </row>
    <row r="471" spans="2:24" s="1063" customFormat="1">
      <c r="B471" s="1149"/>
    </row>
    <row r="472" spans="2:24" ht="7.5" customHeight="1">
      <c r="B472" s="1149"/>
      <c r="C472" s="701"/>
      <c r="D472" s="690"/>
      <c r="E472" s="690"/>
      <c r="F472" s="690"/>
      <c r="G472" s="690"/>
      <c r="H472" s="690"/>
      <c r="I472" s="690"/>
      <c r="J472" s="690"/>
      <c r="K472" s="690"/>
      <c r="L472" s="690"/>
      <c r="M472" s="690"/>
      <c r="N472" s="690"/>
      <c r="O472" s="690"/>
      <c r="P472" s="690"/>
      <c r="Q472" s="690"/>
      <c r="R472" s="690"/>
      <c r="S472" s="690"/>
      <c r="T472" s="690"/>
      <c r="U472" s="690"/>
      <c r="V472" s="690"/>
      <c r="W472" s="690"/>
      <c r="X472" s="702"/>
    </row>
    <row r="473" spans="2:24">
      <c r="B473" s="1149"/>
      <c r="C473" s="296"/>
      <c r="D473" s="1897" t="s">
        <v>861</v>
      </c>
      <c r="E473" s="1897"/>
      <c r="F473" s="1897"/>
      <c r="G473" s="1897"/>
      <c r="H473" s="1897"/>
      <c r="I473" s="1897"/>
      <c r="J473" s="1897"/>
      <c r="K473" s="1897"/>
      <c r="L473" s="1897"/>
      <c r="M473" s="1897"/>
      <c r="N473" s="1897"/>
      <c r="O473" s="1897"/>
      <c r="P473" s="1897"/>
      <c r="Q473" s="1897"/>
      <c r="R473" s="1897"/>
      <c r="S473" s="1897"/>
      <c r="T473" s="1897"/>
      <c r="U473" s="1897"/>
      <c r="V473" s="1897"/>
      <c r="W473" s="1897"/>
      <c r="X473" s="298"/>
    </row>
    <row r="474" spans="2:24" ht="7.5" customHeight="1">
      <c r="B474" s="1149"/>
      <c r="C474" s="296"/>
      <c r="X474" s="298"/>
    </row>
    <row r="475" spans="2:24" ht="14.95" customHeight="1">
      <c r="B475" s="1149"/>
      <c r="C475" s="296"/>
      <c r="O475" s="1704" t="s">
        <v>827</v>
      </c>
      <c r="P475" s="1704"/>
      <c r="Q475" s="1704"/>
      <c r="R475" s="1704"/>
      <c r="S475" s="1704"/>
      <c r="T475" s="1705"/>
      <c r="U475" s="1707"/>
      <c r="V475" s="1709"/>
      <c r="X475" s="298"/>
    </row>
    <row r="476" spans="2:24" ht="7.5" customHeight="1">
      <c r="B476" s="1149"/>
      <c r="C476" s="296"/>
      <c r="O476" s="44"/>
      <c r="P476" s="44"/>
      <c r="Q476" s="44"/>
      <c r="R476" s="44"/>
      <c r="S476" s="44"/>
      <c r="T476" s="44"/>
      <c r="X476" s="298"/>
    </row>
    <row r="477" spans="2:24">
      <c r="B477" s="1149"/>
      <c r="C477" s="296"/>
      <c r="D477" s="1714" t="s">
        <v>715</v>
      </c>
      <c r="E477" s="1714"/>
      <c r="F477" s="1714"/>
      <c r="G477" s="1714"/>
      <c r="H477" s="1714"/>
      <c r="I477" s="1715"/>
      <c r="J477" s="1713">
        <f ca="1">DATA!D5</f>
        <v>0</v>
      </c>
      <c r="K477" s="1914"/>
      <c r="L477" s="1915"/>
      <c r="M477" s="207"/>
      <c r="N477" s="207"/>
      <c r="O477" s="1083"/>
      <c r="P477" s="44"/>
      <c r="Q477" s="44"/>
      <c r="R477" s="44"/>
      <c r="S477" s="44"/>
      <c r="T477" s="44"/>
      <c r="X477" s="298"/>
    </row>
    <row r="478" spans="2:24" ht="7.5" customHeight="1">
      <c r="B478" s="1149"/>
      <c r="C478" s="296"/>
      <c r="D478" s="44"/>
      <c r="E478" s="44"/>
      <c r="F478" s="44"/>
      <c r="G478" s="44"/>
      <c r="H478" s="44"/>
      <c r="I478" s="44"/>
      <c r="O478" s="44"/>
      <c r="P478" s="44"/>
      <c r="Q478" s="44"/>
      <c r="R478" s="44"/>
      <c r="S478" s="44"/>
      <c r="T478" s="44"/>
      <c r="X478" s="298"/>
    </row>
    <row r="479" spans="2:24">
      <c r="B479" s="1149"/>
      <c r="C479" s="296"/>
      <c r="D479" s="1714" t="s">
        <v>716</v>
      </c>
      <c r="E479" s="1714"/>
      <c r="F479" s="1714"/>
      <c r="G479" s="1714"/>
      <c r="H479" s="1714"/>
      <c r="I479" s="1715"/>
      <c r="J479" s="1710">
        <f ca="1">DATA!F5</f>
        <v>0</v>
      </c>
      <c r="K479" s="1711"/>
      <c r="L479" s="1712"/>
      <c r="M479" s="1073"/>
      <c r="N479" s="1073"/>
      <c r="O479" s="1084"/>
      <c r="P479" s="44"/>
      <c r="Q479" s="44"/>
      <c r="R479" s="44"/>
      <c r="S479" s="44"/>
      <c r="T479" s="44"/>
      <c r="X479" s="298"/>
    </row>
    <row r="480" spans="2:24" ht="7.5" customHeight="1">
      <c r="B480" s="1149"/>
      <c r="C480" s="296"/>
      <c r="D480" s="44"/>
      <c r="E480" s="44"/>
      <c r="F480" s="44"/>
      <c r="G480" s="44"/>
      <c r="H480" s="44"/>
      <c r="I480" s="44"/>
      <c r="O480" s="44"/>
      <c r="P480" s="44"/>
      <c r="Q480" s="44"/>
      <c r="R480" s="44"/>
      <c r="S480" s="44"/>
      <c r="T480" s="44"/>
      <c r="U480" s="1073"/>
      <c r="X480" s="298"/>
    </row>
    <row r="481" spans="2:24">
      <c r="B481" s="1149"/>
      <c r="C481" s="296"/>
      <c r="D481" s="44"/>
      <c r="E481" s="44"/>
      <c r="F481" s="44"/>
      <c r="G481" s="44"/>
      <c r="H481" s="44"/>
      <c r="I481" s="365"/>
      <c r="J481" s="1073"/>
      <c r="K481" s="1074"/>
      <c r="M481" s="360"/>
      <c r="N481" s="361"/>
      <c r="O481" s="1085"/>
      <c r="P481" s="44"/>
      <c r="Q481" s="44"/>
      <c r="R481" s="44"/>
      <c r="S481" s="44"/>
      <c r="T481" s="44"/>
      <c r="X481" s="298"/>
    </row>
    <row r="482" spans="2:24" ht="7.5" customHeight="1">
      <c r="B482" s="1149"/>
      <c r="C482" s="296"/>
      <c r="D482" s="44"/>
      <c r="E482" s="44"/>
      <c r="F482" s="44"/>
      <c r="G482" s="44"/>
      <c r="H482" s="44"/>
      <c r="I482" s="44"/>
      <c r="J482" s="1073"/>
      <c r="M482" s="1073"/>
      <c r="N482" s="1073"/>
      <c r="O482" s="1084"/>
      <c r="P482" s="44"/>
      <c r="Q482" s="44"/>
      <c r="R482" s="44"/>
      <c r="S482" s="44"/>
      <c r="T482" s="44"/>
      <c r="U482" s="1073"/>
      <c r="X482" s="298"/>
    </row>
    <row r="483" spans="2:24">
      <c r="B483" s="1149"/>
      <c r="C483" s="296"/>
      <c r="D483" s="44"/>
      <c r="E483" s="44"/>
      <c r="F483" s="44"/>
      <c r="G483" s="44"/>
      <c r="H483" s="44"/>
      <c r="I483" s="44"/>
      <c r="M483" s="1073"/>
      <c r="N483" s="1073"/>
      <c r="O483" s="1084"/>
      <c r="P483" s="44"/>
      <c r="Q483" s="44"/>
      <c r="R483" s="44"/>
      <c r="S483" s="44"/>
      <c r="T483" s="44"/>
      <c r="X483" s="298"/>
    </row>
    <row r="484" spans="2:24" ht="7.5" customHeight="1">
      <c r="B484" s="1149"/>
      <c r="C484" s="296"/>
      <c r="D484" s="44"/>
      <c r="E484" s="44"/>
      <c r="F484" s="44"/>
      <c r="G484" s="44"/>
      <c r="H484" s="44"/>
      <c r="I484" s="44"/>
      <c r="J484" s="1073"/>
      <c r="M484" s="1073"/>
      <c r="N484" s="1073"/>
      <c r="O484" s="1084"/>
      <c r="P484" s="44"/>
      <c r="Q484" s="44"/>
      <c r="R484" s="44"/>
      <c r="S484" s="44"/>
      <c r="T484" s="44"/>
      <c r="U484" s="1073"/>
      <c r="X484" s="298"/>
    </row>
    <row r="485" spans="2:24">
      <c r="B485" s="1149"/>
      <c r="C485" s="296"/>
      <c r="D485" s="44"/>
      <c r="E485" s="44"/>
      <c r="F485" s="44"/>
      <c r="G485" s="44"/>
      <c r="H485" s="44"/>
      <c r="I485" s="44"/>
      <c r="M485" s="1073"/>
      <c r="N485" s="1073"/>
      <c r="O485" s="1084"/>
      <c r="P485" s="44"/>
      <c r="Q485" s="44"/>
      <c r="R485" s="44"/>
      <c r="S485" s="44"/>
      <c r="T485" s="44"/>
      <c r="X485" s="298"/>
    </row>
    <row r="486" spans="2:24" ht="7.5" customHeight="1">
      <c r="B486" s="1149"/>
      <c r="C486" s="296"/>
      <c r="D486" s="44"/>
      <c r="E486" s="44"/>
      <c r="F486" s="44"/>
      <c r="G486" s="44"/>
      <c r="H486" s="44"/>
      <c r="I486" s="44"/>
      <c r="J486" s="1073"/>
      <c r="M486" s="1073"/>
      <c r="N486" s="1073"/>
      <c r="O486" s="1084"/>
      <c r="P486" s="44"/>
      <c r="Q486" s="44"/>
      <c r="R486" s="44"/>
      <c r="S486" s="44"/>
      <c r="T486" s="44"/>
      <c r="U486" s="1073"/>
      <c r="X486" s="298"/>
    </row>
    <row r="487" spans="2:24">
      <c r="B487" s="1149"/>
      <c r="C487" s="296"/>
      <c r="D487" s="44"/>
      <c r="E487" s="44"/>
      <c r="F487" s="44"/>
      <c r="G487" s="44"/>
      <c r="H487" s="44"/>
      <c r="I487" s="44"/>
      <c r="M487" s="360"/>
      <c r="N487" s="361"/>
      <c r="O487" s="1085"/>
      <c r="P487" s="44"/>
      <c r="Q487" s="44"/>
      <c r="R487" s="44"/>
      <c r="S487" s="44"/>
      <c r="T487" s="44"/>
      <c r="X487" s="298"/>
    </row>
    <row r="488" spans="2:24" ht="7.5" customHeight="1">
      <c r="B488" s="1149"/>
      <c r="C488" s="296"/>
      <c r="D488" s="44"/>
      <c r="E488" s="44"/>
      <c r="F488" s="44"/>
      <c r="G488" s="44"/>
      <c r="H488" s="44"/>
      <c r="I488" s="44"/>
      <c r="J488" s="1073"/>
      <c r="M488" s="1073"/>
      <c r="N488" s="1073"/>
      <c r="O488" s="1084"/>
      <c r="P488" s="44"/>
      <c r="Q488" s="44"/>
      <c r="R488" s="44"/>
      <c r="S488" s="44"/>
      <c r="T488" s="44"/>
      <c r="U488" s="1073"/>
      <c r="X488" s="298"/>
    </row>
    <row r="489" spans="2:24">
      <c r="B489" s="1149"/>
      <c r="C489" s="296"/>
      <c r="D489" s="1714" t="s">
        <v>725</v>
      </c>
      <c r="E489" s="1714"/>
      <c r="F489" s="1714"/>
      <c r="G489" s="1714"/>
      <c r="H489" s="1714"/>
      <c r="I489" s="1715"/>
      <c r="J489" s="1710">
        <f ca="1">DATA!N5</f>
        <v>0</v>
      </c>
      <c r="K489" s="1711"/>
      <c r="L489" s="1712"/>
      <c r="M489" s="1073"/>
      <c r="N489" s="1073"/>
      <c r="O489" s="1714" t="s">
        <v>726</v>
      </c>
      <c r="P489" s="1714"/>
      <c r="Q489" s="1714"/>
      <c r="R489" s="1714"/>
      <c r="S489" s="1714"/>
      <c r="T489" s="1715"/>
      <c r="U489" s="1710">
        <f ca="1">DATA!O5</f>
        <v>0</v>
      </c>
      <c r="V489" s="1712"/>
      <c r="X489" s="298"/>
    </row>
    <row r="490" spans="2:24" ht="7.5" customHeight="1">
      <c r="B490" s="1149"/>
      <c r="C490" s="296"/>
      <c r="D490" s="44"/>
      <c r="E490" s="44"/>
      <c r="F490" s="44"/>
      <c r="G490" s="44"/>
      <c r="H490" s="44"/>
      <c r="I490" s="44"/>
      <c r="J490" s="1073"/>
      <c r="M490" s="1073"/>
      <c r="N490" s="1073"/>
      <c r="O490" s="1084"/>
      <c r="P490" s="44"/>
      <c r="Q490" s="44"/>
      <c r="R490" s="44"/>
      <c r="S490" s="44"/>
      <c r="T490" s="44"/>
      <c r="U490" s="1073"/>
      <c r="X490" s="298"/>
    </row>
    <row r="491" spans="2:24">
      <c r="B491" s="1149"/>
      <c r="C491" s="296"/>
      <c r="D491" s="1714" t="s">
        <v>727</v>
      </c>
      <c r="E491" s="1714"/>
      <c r="F491" s="1714"/>
      <c r="G491" s="1714"/>
      <c r="H491" s="1714"/>
      <c r="I491" s="1715"/>
      <c r="J491" s="1710" t="str">
        <f ca="1">DATA!P5</f>
        <v>WA</v>
      </c>
      <c r="K491" s="1711"/>
      <c r="L491" s="1712"/>
      <c r="M491" s="1073"/>
      <c r="N491" s="1073"/>
      <c r="O491" s="1714" t="s">
        <v>728</v>
      </c>
      <c r="P491" s="1714"/>
      <c r="Q491" s="1714"/>
      <c r="R491" s="1714"/>
      <c r="S491" s="1714"/>
      <c r="T491" s="1715"/>
      <c r="U491" s="1710">
        <f ca="1">DATA!Q5</f>
        <v>0</v>
      </c>
      <c r="V491" s="1712"/>
      <c r="X491" s="298"/>
    </row>
    <row r="492" spans="2:24" ht="7.5" customHeight="1">
      <c r="B492" s="1149"/>
      <c r="C492" s="296"/>
      <c r="J492" s="1073"/>
      <c r="M492" s="1073"/>
      <c r="N492" s="1073"/>
      <c r="O492" s="1073"/>
      <c r="U492" s="1073"/>
      <c r="X492" s="298"/>
    </row>
    <row r="493" spans="2:24">
      <c r="B493" s="1149"/>
      <c r="C493" s="296"/>
      <c r="M493" s="1073"/>
      <c r="N493" s="1073"/>
      <c r="O493" s="1073"/>
      <c r="X493" s="298"/>
    </row>
    <row r="494" spans="2:24" ht="7.5" customHeight="1">
      <c r="B494" s="1149"/>
      <c r="C494" s="297"/>
      <c r="D494" s="214"/>
      <c r="E494" s="214"/>
      <c r="F494" s="214"/>
      <c r="G494" s="214"/>
      <c r="H494" s="214"/>
      <c r="I494" s="214"/>
      <c r="J494" s="214"/>
      <c r="K494" s="214"/>
      <c r="L494" s="214"/>
      <c r="M494" s="214"/>
      <c r="N494" s="214"/>
      <c r="O494" s="214"/>
      <c r="P494" s="214"/>
      <c r="Q494" s="214"/>
      <c r="R494" s="214"/>
      <c r="S494" s="214"/>
      <c r="T494" s="214"/>
      <c r="U494" s="214"/>
      <c r="V494" s="214"/>
      <c r="W494" s="214"/>
      <c r="X494" s="299"/>
    </row>
    <row r="495" spans="2:24" ht="7.5" customHeight="1"/>
    <row r="496" spans="2:24" ht="7.5" customHeight="1">
      <c r="C496" s="701"/>
      <c r="D496" s="690"/>
      <c r="E496" s="690"/>
      <c r="F496" s="690"/>
      <c r="G496" s="690"/>
      <c r="H496" s="690"/>
      <c r="I496" s="690"/>
      <c r="J496" s="690"/>
      <c r="K496" s="690"/>
      <c r="L496" s="690"/>
      <c r="M496" s="690"/>
      <c r="N496" s="690"/>
      <c r="O496" s="690"/>
      <c r="P496" s="690"/>
      <c r="Q496" s="690"/>
      <c r="R496" s="690"/>
      <c r="S496" s="690"/>
      <c r="T496" s="690"/>
      <c r="U496" s="690"/>
      <c r="V496" s="690"/>
      <c r="W496" s="690"/>
      <c r="X496" s="702"/>
    </row>
    <row r="497" spans="3:24">
      <c r="C497" s="296"/>
      <c r="D497" s="1897" t="s">
        <v>862</v>
      </c>
      <c r="E497" s="1897"/>
      <c r="F497" s="1897"/>
      <c r="G497" s="1897"/>
      <c r="H497" s="1897"/>
      <c r="I497" s="1897"/>
      <c r="J497" s="1897"/>
      <c r="K497" s="1897"/>
      <c r="L497" s="1897"/>
      <c r="M497" s="1897"/>
      <c r="N497" s="1897"/>
      <c r="O497" s="1897"/>
      <c r="P497" s="1897"/>
      <c r="Q497" s="1897"/>
      <c r="R497" s="1897"/>
      <c r="S497" s="1897"/>
      <c r="T497" s="1897"/>
      <c r="U497" s="1897"/>
      <c r="V497" s="1897"/>
      <c r="W497" s="1897"/>
      <c r="X497" s="298"/>
    </row>
    <row r="498" spans="3:24" ht="7.5" customHeight="1">
      <c r="C498" s="296"/>
      <c r="I498" s="38"/>
      <c r="J498" s="38"/>
      <c r="K498" s="38"/>
      <c r="L498" s="38"/>
      <c r="M498" s="38"/>
      <c r="N498" s="38"/>
      <c r="O498" s="38"/>
      <c r="X498" s="298"/>
    </row>
    <row r="499" spans="3:24" ht="14.95" customHeight="1">
      <c r="C499" s="296"/>
      <c r="I499" s="38"/>
      <c r="J499" s="38"/>
      <c r="K499" s="38"/>
      <c r="L499" s="38"/>
      <c r="M499" s="38"/>
      <c r="N499" s="38"/>
      <c r="O499" s="1714" t="s">
        <v>829</v>
      </c>
      <c r="P499" s="1714"/>
      <c r="Q499" s="1714"/>
      <c r="R499" s="1714"/>
      <c r="S499" s="1714"/>
      <c r="T499" s="1758"/>
      <c r="U499" s="1707"/>
      <c r="V499" s="1709"/>
      <c r="X499" s="298"/>
    </row>
    <row r="500" spans="3:24" ht="7.5" customHeight="1">
      <c r="C500" s="296"/>
      <c r="I500" s="38"/>
      <c r="J500" s="38"/>
      <c r="K500" s="38"/>
      <c r="L500" s="38"/>
      <c r="M500" s="38"/>
      <c r="N500" s="38"/>
      <c r="O500" s="38"/>
      <c r="T500" s="44"/>
      <c r="X500" s="298"/>
    </row>
    <row r="501" spans="3:24">
      <c r="C501" s="296"/>
      <c r="D501" s="1714" t="s">
        <v>716</v>
      </c>
      <c r="E501" s="1714"/>
      <c r="F501" s="1714"/>
      <c r="G501" s="1714"/>
      <c r="H501" s="1714"/>
      <c r="I501" s="1715"/>
      <c r="J501" s="1752" t="str">
        <f ca="1">DATA!V5</f>
        <v/>
      </c>
      <c r="K501" s="1753"/>
      <c r="L501" s="1754"/>
      <c r="M501" s="38"/>
      <c r="N501" s="1073"/>
      <c r="O501" s="1073"/>
      <c r="T501" s="44"/>
      <c r="X501" s="298"/>
    </row>
    <row r="502" spans="3:24" ht="7.5" customHeight="1">
      <c r="C502" s="296"/>
      <c r="I502" s="365"/>
      <c r="J502" s="38"/>
      <c r="K502" s="1074"/>
      <c r="M502" s="38"/>
      <c r="N502" s="38"/>
      <c r="O502" s="38"/>
      <c r="T502" s="44"/>
      <c r="X502" s="298"/>
    </row>
    <row r="503" spans="3:24">
      <c r="C503" s="296"/>
      <c r="D503" s="1714" t="s">
        <v>830</v>
      </c>
      <c r="E503" s="1714"/>
      <c r="F503" s="1714"/>
      <c r="G503" s="1714"/>
      <c r="H503" s="1714"/>
      <c r="I503" s="1715"/>
      <c r="J503" s="1752" t="str">
        <f ca="1">DATA!X5</f>
        <v/>
      </c>
      <c r="K503" s="1753"/>
      <c r="L503" s="1754"/>
      <c r="M503" s="38"/>
      <c r="N503" s="1073"/>
      <c r="O503" s="1714" t="s">
        <v>831</v>
      </c>
      <c r="P503" s="1714"/>
      <c r="Q503" s="1714"/>
      <c r="R503" s="1714"/>
      <c r="S503" s="1714"/>
      <c r="T503" s="1715"/>
      <c r="U503" s="1752" t="str">
        <f ca="1">DATA!Y5</f>
        <v/>
      </c>
      <c r="V503" s="1754"/>
      <c r="X503" s="298"/>
    </row>
    <row r="504" spans="3:24" ht="7.5" customHeight="1">
      <c r="C504" s="296"/>
      <c r="I504" s="365"/>
      <c r="J504" s="38"/>
      <c r="K504" s="1074"/>
      <c r="M504" s="38"/>
      <c r="N504" s="38"/>
      <c r="O504" s="38"/>
      <c r="S504" s="1074"/>
      <c r="T504" s="44"/>
      <c r="U504" s="38"/>
      <c r="X504" s="298"/>
    </row>
    <row r="505" spans="3:24">
      <c r="C505" s="296"/>
      <c r="D505" s="1714" t="s">
        <v>832</v>
      </c>
      <c r="E505" s="1714"/>
      <c r="F505" s="1714"/>
      <c r="G505" s="1714"/>
      <c r="H505" s="1714"/>
      <c r="I505" s="1715"/>
      <c r="J505" s="1768" t="str">
        <f ca="1">DATA!Z5</f>
        <v/>
      </c>
      <c r="K505" s="1873"/>
      <c r="L505" s="1769"/>
      <c r="M505" s="38"/>
      <c r="N505" s="1073"/>
      <c r="O505" s="1714" t="s">
        <v>833</v>
      </c>
      <c r="P505" s="1714"/>
      <c r="Q505" s="1714"/>
      <c r="R505" s="1714"/>
      <c r="S505" s="1714"/>
      <c r="T505" s="1715"/>
      <c r="U505" s="1752" t="str">
        <f ca="1">DATA!AA5</f>
        <v/>
      </c>
      <c r="V505" s="1754"/>
      <c r="X505" s="298"/>
    </row>
    <row r="506" spans="3:24" ht="7.5" customHeight="1">
      <c r="C506" s="296"/>
      <c r="I506" s="365"/>
      <c r="J506" s="38"/>
      <c r="K506" s="1074"/>
      <c r="M506" s="38"/>
      <c r="N506" s="38"/>
      <c r="O506" s="38"/>
      <c r="X506" s="298"/>
    </row>
    <row r="507" spans="3:24">
      <c r="C507" s="296"/>
      <c r="D507" s="1714" t="s">
        <v>834</v>
      </c>
      <c r="E507" s="1714"/>
      <c r="F507" s="1714"/>
      <c r="G507" s="1714"/>
      <c r="H507" s="1714"/>
      <c r="I507" s="1898"/>
      <c r="J507" s="1748">
        <f>DATA!AB5</f>
        <v>0</v>
      </c>
      <c r="K507" s="1749"/>
      <c r="L507" s="1750"/>
      <c r="M507" s="360"/>
      <c r="N507" s="1073"/>
      <c r="O507" s="1073"/>
      <c r="X507" s="298"/>
    </row>
    <row r="508" spans="3:24" ht="7.5" customHeight="1">
      <c r="C508" s="297"/>
      <c r="D508" s="214"/>
      <c r="E508" s="214"/>
      <c r="F508" s="214"/>
      <c r="G508" s="214"/>
      <c r="H508" s="214"/>
      <c r="I508" s="214"/>
      <c r="J508" s="214"/>
      <c r="K508" s="214"/>
      <c r="L508" s="214"/>
      <c r="M508" s="214"/>
      <c r="N508" s="214"/>
      <c r="O508" s="214"/>
      <c r="P508" s="214"/>
      <c r="Q508" s="214"/>
      <c r="R508" s="214"/>
      <c r="S508" s="214"/>
      <c r="T508" s="214"/>
      <c r="U508" s="214"/>
      <c r="V508" s="214"/>
      <c r="W508" s="214"/>
      <c r="X508" s="299"/>
    </row>
    <row r="509" spans="3:24" ht="7.5" customHeight="1"/>
    <row r="510" spans="3:24" ht="7.5" customHeight="1">
      <c r="C510" s="701"/>
      <c r="D510" s="690"/>
      <c r="E510" s="690"/>
      <c r="F510" s="690"/>
      <c r="G510" s="690"/>
      <c r="H510" s="690"/>
      <c r="I510" s="690"/>
      <c r="J510" s="690"/>
      <c r="K510" s="690"/>
      <c r="L510" s="690"/>
      <c r="M510" s="690"/>
      <c r="N510" s="690"/>
      <c r="O510" s="690"/>
      <c r="P510" s="690"/>
      <c r="Q510" s="690"/>
      <c r="R510" s="690"/>
      <c r="S510" s="690"/>
      <c r="T510" s="690"/>
      <c r="U510" s="690"/>
      <c r="V510" s="690"/>
      <c r="W510" s="690"/>
      <c r="X510" s="702"/>
    </row>
    <row r="511" spans="3:24">
      <c r="C511" s="296"/>
      <c r="D511" s="1897" t="s">
        <v>835</v>
      </c>
      <c r="E511" s="1897"/>
      <c r="F511" s="1897"/>
      <c r="G511" s="1897"/>
      <c r="H511" s="1897"/>
      <c r="I511" s="1897"/>
      <c r="J511" s="1897"/>
      <c r="K511" s="1897"/>
      <c r="L511" s="1897"/>
      <c r="M511" s="1897"/>
      <c r="N511" s="1897"/>
      <c r="O511" s="1897"/>
      <c r="P511" s="1897"/>
      <c r="Q511" s="1897"/>
      <c r="R511" s="1897"/>
      <c r="S511" s="1897"/>
      <c r="T511" s="1897"/>
      <c r="U511" s="1897"/>
      <c r="V511" s="1897"/>
      <c r="W511" s="1897"/>
      <c r="X511" s="298"/>
    </row>
    <row r="512" spans="3:24" ht="7.5" customHeight="1">
      <c r="C512" s="296"/>
      <c r="I512" s="38"/>
      <c r="J512" s="38"/>
      <c r="K512" s="38"/>
      <c r="L512" s="38"/>
      <c r="M512" s="38"/>
      <c r="N512" s="38"/>
      <c r="O512" s="38"/>
      <c r="X512" s="298"/>
    </row>
    <row r="513" spans="3:24" ht="14.95" customHeight="1">
      <c r="C513" s="296"/>
      <c r="I513" s="38"/>
      <c r="J513" s="38"/>
      <c r="K513" s="38"/>
      <c r="L513" s="38"/>
      <c r="M513" s="38"/>
      <c r="N513" s="38"/>
      <c r="O513" s="1714" t="s">
        <v>836</v>
      </c>
      <c r="P513" s="1714"/>
      <c r="Q513" s="1714"/>
      <c r="R513" s="1714"/>
      <c r="S513" s="1714"/>
      <c r="T513" s="1758"/>
      <c r="U513" s="1707"/>
      <c r="V513" s="1709"/>
      <c r="X513" s="298"/>
    </row>
    <row r="514" spans="3:24" ht="7.5" customHeight="1">
      <c r="C514" s="296"/>
      <c r="I514" s="38"/>
      <c r="J514" s="38"/>
      <c r="K514" s="38"/>
      <c r="L514" s="38"/>
      <c r="M514" s="38"/>
      <c r="N514" s="38"/>
      <c r="O514" s="38"/>
      <c r="T514" s="44"/>
      <c r="X514" s="298"/>
    </row>
    <row r="515" spans="3:24">
      <c r="C515" s="296"/>
      <c r="I515" s="1074"/>
      <c r="J515" s="38"/>
      <c r="K515" s="38"/>
      <c r="L515" s="38"/>
      <c r="M515" s="38"/>
      <c r="N515" s="1073"/>
      <c r="O515" s="1714" t="s">
        <v>436</v>
      </c>
      <c r="P515" s="1714"/>
      <c r="Q515" s="1714"/>
      <c r="R515" s="1714"/>
      <c r="S515" s="1714"/>
      <c r="T515" s="1715"/>
      <c r="U515" s="1752" t="str">
        <f ca="1">DATA!AE5</f>
        <v/>
      </c>
      <c r="V515" s="1754"/>
      <c r="X515" s="298"/>
    </row>
    <row r="516" spans="3:24" ht="7.5" customHeight="1">
      <c r="C516" s="296"/>
      <c r="I516" s="1074"/>
      <c r="J516" s="38"/>
      <c r="K516" s="1074"/>
      <c r="M516" s="38"/>
      <c r="N516" s="38"/>
      <c r="O516" s="38"/>
      <c r="T516" s="44"/>
      <c r="X516" s="298"/>
    </row>
    <row r="517" spans="3:24">
      <c r="C517" s="296"/>
      <c r="D517" s="1714" t="s">
        <v>837</v>
      </c>
      <c r="E517" s="1714"/>
      <c r="F517" s="1714"/>
      <c r="G517" s="1714"/>
      <c r="H517" s="1714"/>
      <c r="I517" s="1898"/>
      <c r="J517" s="1748">
        <f>DATA!AF5</f>
        <v>0</v>
      </c>
      <c r="K517" s="1749"/>
      <c r="L517" s="1750"/>
      <c r="M517" s="38"/>
      <c r="N517" s="1073"/>
      <c r="O517" s="1714" t="s">
        <v>437</v>
      </c>
      <c r="P517" s="1714"/>
      <c r="Q517" s="1714"/>
      <c r="R517" s="1714"/>
      <c r="S517" s="1714"/>
      <c r="T517" s="1715"/>
      <c r="U517" s="1768" t="str">
        <f ca="1">DATA!AG5</f>
        <v/>
      </c>
      <c r="V517" s="1769"/>
      <c r="X517" s="298"/>
    </row>
    <row r="518" spans="3:24" ht="7.5" customHeight="1">
      <c r="C518" s="296"/>
      <c r="I518" s="1074"/>
      <c r="J518" s="38"/>
      <c r="K518" s="1074"/>
      <c r="M518" s="38"/>
      <c r="N518" s="38"/>
      <c r="O518" s="38"/>
      <c r="T518" s="44"/>
      <c r="X518" s="298"/>
    </row>
    <row r="519" spans="3:24">
      <c r="C519" s="296"/>
      <c r="D519" s="1714" t="s">
        <v>438</v>
      </c>
      <c r="E519" s="1714"/>
      <c r="F519" s="1714"/>
      <c r="G519" s="1714"/>
      <c r="H519" s="1714"/>
      <c r="I519" s="1715"/>
      <c r="J519" s="1752" t="str">
        <f ca="1">DATA!AH5</f>
        <v/>
      </c>
      <c r="K519" s="1753"/>
      <c r="L519" s="1754"/>
      <c r="M519" s="38"/>
      <c r="N519" s="1073"/>
      <c r="O519" s="1714" t="s">
        <v>733</v>
      </c>
      <c r="P519" s="1714"/>
      <c r="Q519" s="1714"/>
      <c r="R519" s="1714"/>
      <c r="S519" s="1714"/>
      <c r="T519" s="1715"/>
      <c r="U519" s="1752" t="str">
        <f ca="1">DATA!AI5</f>
        <v/>
      </c>
      <c r="V519" s="1754"/>
      <c r="X519" s="298"/>
    </row>
    <row r="520" spans="3:24" ht="7.5" customHeight="1">
      <c r="C520" s="296"/>
      <c r="I520" s="1074"/>
      <c r="J520" s="38"/>
      <c r="K520" s="1074"/>
      <c r="M520" s="38"/>
      <c r="N520" s="38"/>
      <c r="O520" s="38"/>
      <c r="T520" s="365"/>
      <c r="U520" s="38"/>
      <c r="X520" s="298"/>
    </row>
    <row r="521" spans="3:24">
      <c r="C521" s="296"/>
      <c r="D521" s="1714" t="s">
        <v>720</v>
      </c>
      <c r="E521" s="1714"/>
      <c r="F521" s="1714"/>
      <c r="G521" s="1714"/>
      <c r="H521" s="1714"/>
      <c r="I521" s="1898"/>
      <c r="J521" s="1748"/>
      <c r="K521" s="1749"/>
      <c r="L521" s="1750"/>
      <c r="M521" s="38"/>
      <c r="N521" s="1073"/>
      <c r="O521" s="1714" t="s">
        <v>721</v>
      </c>
      <c r="P521" s="1714"/>
      <c r="Q521" s="1714"/>
      <c r="R521" s="1714"/>
      <c r="S521" s="1714"/>
      <c r="T521" s="1715"/>
      <c r="U521" s="1752" t="str">
        <f ca="1">DATA!AK5</f>
        <v/>
      </c>
      <c r="V521" s="1754"/>
      <c r="X521" s="298"/>
    </row>
    <row r="522" spans="3:24" ht="7.5" customHeight="1">
      <c r="C522" s="296"/>
      <c r="I522" s="1074"/>
      <c r="J522" s="38"/>
      <c r="K522" s="1074"/>
      <c r="M522" s="38"/>
      <c r="N522" s="38"/>
      <c r="O522" s="38"/>
      <c r="T522" s="44"/>
      <c r="X522" s="298"/>
    </row>
    <row r="523" spans="3:24">
      <c r="C523" s="296"/>
      <c r="D523" s="1714" t="s">
        <v>722</v>
      </c>
      <c r="E523" s="1714"/>
      <c r="F523" s="1714"/>
      <c r="G523" s="1714"/>
      <c r="H523" s="1714"/>
      <c r="I523" s="1715"/>
      <c r="J523" s="1752" t="str">
        <f ca="1">DATA!AL5</f>
        <v/>
      </c>
      <c r="K523" s="1753"/>
      <c r="L523" s="1754"/>
      <c r="M523" s="360"/>
      <c r="N523" s="1073"/>
      <c r="O523" s="1714" t="s">
        <v>723</v>
      </c>
      <c r="P523" s="1714"/>
      <c r="Q523" s="1714"/>
      <c r="R523" s="1714"/>
      <c r="S523" s="1714"/>
      <c r="T523" s="1715"/>
      <c r="U523" s="1752" t="str">
        <f ca="1">DATA!AM5</f>
        <v/>
      </c>
      <c r="V523" s="1754"/>
      <c r="X523" s="298"/>
    </row>
    <row r="524" spans="3:24" ht="7.5" customHeight="1">
      <c r="C524" s="297"/>
      <c r="D524" s="214"/>
      <c r="E524" s="214"/>
      <c r="F524" s="214"/>
      <c r="G524" s="214"/>
      <c r="H524" s="214"/>
      <c r="I524" s="214"/>
      <c r="J524" s="214"/>
      <c r="K524" s="214"/>
      <c r="L524" s="214"/>
      <c r="M524" s="214"/>
      <c r="N524" s="214"/>
      <c r="O524" s="214"/>
      <c r="P524" s="214"/>
      <c r="Q524" s="214"/>
      <c r="R524" s="214"/>
      <c r="S524" s="214"/>
      <c r="T524" s="214"/>
      <c r="U524" s="214"/>
      <c r="V524" s="214"/>
      <c r="W524" s="214"/>
      <c r="X524" s="299"/>
    </row>
    <row r="525" spans="3:24" ht="7.5" customHeight="1">
      <c r="C525" s="730"/>
      <c r="D525" s="730"/>
      <c r="E525" s="730"/>
      <c r="F525" s="730"/>
      <c r="G525" s="730"/>
      <c r="H525" s="730"/>
      <c r="I525" s="730"/>
      <c r="J525" s="730"/>
      <c r="K525" s="730"/>
      <c r="L525" s="730"/>
      <c r="M525" s="730"/>
      <c r="N525" s="730"/>
      <c r="O525" s="730"/>
      <c r="P525" s="730"/>
      <c r="Q525" s="730"/>
      <c r="R525" s="730"/>
      <c r="S525" s="730"/>
      <c r="T525" s="730"/>
      <c r="U525" s="730"/>
      <c r="V525" s="730"/>
      <c r="W525" s="730"/>
      <c r="X525" s="730"/>
    </row>
    <row r="526" spans="3:24" ht="7.5" customHeight="1">
      <c r="C526" s="701"/>
      <c r="D526" s="690"/>
      <c r="E526" s="690"/>
      <c r="F526" s="690"/>
      <c r="G526" s="690"/>
      <c r="H526" s="690"/>
      <c r="I526" s="690"/>
      <c r="J526" s="690"/>
      <c r="K526" s="690"/>
      <c r="L526" s="690"/>
      <c r="M526" s="690"/>
      <c r="N526" s="690"/>
      <c r="O526" s="690"/>
      <c r="P526" s="690"/>
      <c r="Q526" s="690"/>
      <c r="R526" s="690"/>
      <c r="S526" s="690"/>
      <c r="T526" s="690"/>
      <c r="U526" s="690"/>
      <c r="V526" s="690"/>
      <c r="W526" s="690"/>
      <c r="X526" s="702"/>
    </row>
    <row r="527" spans="3:24">
      <c r="C527" s="296"/>
      <c r="D527" s="1897" t="s">
        <v>809</v>
      </c>
      <c r="E527" s="1897"/>
      <c r="F527" s="1897"/>
      <c r="G527" s="1897"/>
      <c r="H527" s="1897"/>
      <c r="I527" s="1897"/>
      <c r="J527" s="1897"/>
      <c r="K527" s="1897"/>
      <c r="L527" s="1897"/>
      <c r="M527" s="1897"/>
      <c r="N527" s="1897"/>
      <c r="O527" s="1897"/>
      <c r="P527" s="1897"/>
      <c r="Q527" s="1897"/>
      <c r="R527" s="1897"/>
      <c r="S527" s="1897"/>
      <c r="T527" s="1897"/>
      <c r="U527" s="1897"/>
      <c r="V527" s="1897"/>
      <c r="W527" s="1897"/>
      <c r="X527" s="298"/>
    </row>
    <row r="528" spans="3:24" ht="7.5" customHeight="1">
      <c r="C528" s="296"/>
      <c r="X528" s="298"/>
    </row>
    <row r="529" spans="3:24">
      <c r="C529" s="1024"/>
      <c r="D529" s="1704" t="s">
        <v>734</v>
      </c>
      <c r="E529" s="1704"/>
      <c r="F529" s="1704"/>
      <c r="G529" s="1704"/>
      <c r="H529" s="1704"/>
      <c r="I529" s="1705"/>
      <c r="J529" s="1707">
        <f>DATA!AP5</f>
        <v>0</v>
      </c>
      <c r="K529" s="1708"/>
      <c r="L529" s="1709"/>
      <c r="M529" s="453"/>
      <c r="N529" s="1026"/>
      <c r="O529" s="1026"/>
      <c r="P529" s="1027"/>
      <c r="Q529" s="1027"/>
      <c r="R529" s="1027"/>
      <c r="S529" s="1027"/>
      <c r="T529" s="1025"/>
      <c r="U529" s="1892"/>
      <c r="V529" s="1892"/>
      <c r="X529" s="298"/>
    </row>
    <row r="530" spans="3:24" ht="7.5" customHeight="1">
      <c r="C530" s="1024"/>
      <c r="D530" s="1065"/>
      <c r="E530" s="1065"/>
      <c r="F530" s="1065"/>
      <c r="G530" s="1065"/>
      <c r="H530" s="1065"/>
      <c r="I530" s="1065"/>
      <c r="L530" s="1075"/>
      <c r="M530" s="1075"/>
      <c r="N530" s="1028"/>
      <c r="O530" s="1028"/>
      <c r="P530" s="38"/>
      <c r="Q530" s="1027"/>
      <c r="R530" s="1027"/>
      <c r="S530" s="1027"/>
      <c r="T530" s="1027"/>
      <c r="U530" s="453"/>
      <c r="V530" s="447"/>
      <c r="X530" s="298"/>
    </row>
    <row r="531" spans="3:24">
      <c r="C531" s="1024"/>
      <c r="D531" s="1704" t="s">
        <v>2033</v>
      </c>
      <c r="E531" s="1704"/>
      <c r="F531" s="1704"/>
      <c r="G531" s="1704"/>
      <c r="H531" s="1704"/>
      <c r="I531" s="1706"/>
      <c r="J531" s="1779">
        <f ca="1">DATA!AR5</f>
        <v>0</v>
      </c>
      <c r="K531" s="1711"/>
      <c r="L531" s="1712"/>
      <c r="M531" s="1075"/>
      <c r="N531" s="1028"/>
      <c r="O531" s="1714" t="s">
        <v>2022</v>
      </c>
      <c r="P531" s="1714"/>
      <c r="Q531" s="1714"/>
      <c r="R531" s="1714"/>
      <c r="S531" s="1714"/>
      <c r="T531" s="1715"/>
      <c r="U531" s="1719">
        <f ca="1">DATA!AS5</f>
        <v>0</v>
      </c>
      <c r="V531" s="1721"/>
      <c r="X531" s="298"/>
    </row>
    <row r="532" spans="3:24" ht="7.5" customHeight="1">
      <c r="C532" s="1024"/>
      <c r="D532" s="1065"/>
      <c r="E532" s="1065"/>
      <c r="F532" s="1065"/>
      <c r="G532" s="1065"/>
      <c r="H532" s="1065"/>
      <c r="I532" s="1065"/>
      <c r="J532" s="1075"/>
      <c r="M532" s="1075"/>
      <c r="N532" s="1028"/>
      <c r="O532" s="1068"/>
      <c r="P532" s="44"/>
      <c r="Q532" s="44"/>
      <c r="R532" s="44"/>
      <c r="S532" s="44"/>
      <c r="T532" s="44"/>
      <c r="U532" s="1075"/>
      <c r="X532" s="298"/>
    </row>
    <row r="533" spans="3:24">
      <c r="C533" s="1024"/>
      <c r="D533" s="1770" t="s">
        <v>736</v>
      </c>
      <c r="E533" s="1770"/>
      <c r="F533" s="1770"/>
      <c r="G533" s="1770"/>
      <c r="H533" s="1770"/>
      <c r="I533" s="1770"/>
      <c r="J533" s="1710">
        <f ca="1">DATA!AT5</f>
        <v>0</v>
      </c>
      <c r="K533" s="1711"/>
      <c r="L533" s="1712"/>
      <c r="M533" s="1075"/>
      <c r="N533" s="1028"/>
      <c r="O533" s="1714" t="s">
        <v>737</v>
      </c>
      <c r="P533" s="1714"/>
      <c r="Q533" s="1714"/>
      <c r="R533" s="1714"/>
      <c r="S533" s="1714"/>
      <c r="T533" s="1715"/>
      <c r="U533" s="1719">
        <f ca="1">DATA!AU5</f>
        <v>0</v>
      </c>
      <c r="V533" s="1721"/>
      <c r="X533" s="298"/>
    </row>
    <row r="534" spans="3:24" ht="7.5" customHeight="1">
      <c r="C534" s="1024"/>
      <c r="D534" s="1770"/>
      <c r="E534" s="1770"/>
      <c r="F534" s="1770"/>
      <c r="G534" s="1770"/>
      <c r="H534" s="1770"/>
      <c r="I534" s="1770"/>
      <c r="J534" s="1075"/>
      <c r="M534" s="1075"/>
      <c r="N534" s="1028"/>
      <c r="O534" s="1896" t="s">
        <v>817</v>
      </c>
      <c r="P534" s="1896"/>
      <c r="Q534" s="1896"/>
      <c r="R534" s="1896"/>
      <c r="S534" s="1896"/>
      <c r="T534" s="1896"/>
      <c r="U534" s="1075"/>
      <c r="X534" s="298"/>
    </row>
    <row r="535" spans="3:24">
      <c r="C535" s="1024"/>
      <c r="D535" s="1728" t="s">
        <v>816</v>
      </c>
      <c r="E535" s="1728"/>
      <c r="F535" s="1728"/>
      <c r="G535" s="1728"/>
      <c r="H535" s="1728"/>
      <c r="I535" s="1728"/>
      <c r="J535" s="1710">
        <f ca="1">DATA!AV5</f>
        <v>0</v>
      </c>
      <c r="K535" s="1711"/>
      <c r="L535" s="1712"/>
      <c r="M535" s="347"/>
      <c r="N535" s="1028"/>
      <c r="O535" s="1896"/>
      <c r="P535" s="1896"/>
      <c r="Q535" s="1896"/>
      <c r="R535" s="1896"/>
      <c r="S535" s="1896"/>
      <c r="T535" s="1896"/>
      <c r="U535" s="1719">
        <f ca="1">DATA!AW5</f>
        <v>0</v>
      </c>
      <c r="V535" s="1721"/>
      <c r="X535" s="298"/>
    </row>
    <row r="536" spans="3:24" ht="7.5" customHeight="1">
      <c r="C536" s="1024"/>
      <c r="D536" s="1728"/>
      <c r="E536" s="1728"/>
      <c r="F536" s="1728"/>
      <c r="G536" s="1728"/>
      <c r="H536" s="1728"/>
      <c r="I536" s="1728"/>
      <c r="J536" s="1075"/>
      <c r="M536" s="1075"/>
      <c r="N536" s="1028"/>
      <c r="O536" s="1068"/>
      <c r="P536" s="44"/>
      <c r="Q536" s="44"/>
      <c r="R536" s="44"/>
      <c r="S536" s="44"/>
      <c r="T536" s="44"/>
      <c r="U536" s="1075"/>
      <c r="X536" s="298"/>
    </row>
    <row r="537" spans="3:24">
      <c r="C537" s="1024"/>
      <c r="D537" s="1704" t="s">
        <v>629</v>
      </c>
      <c r="E537" s="1704"/>
      <c r="F537" s="1704"/>
      <c r="G537" s="1704"/>
      <c r="H537" s="1704"/>
      <c r="I537" s="1706"/>
      <c r="J537" s="1710">
        <f ca="1">DATA!AZ5</f>
        <v>0</v>
      </c>
      <c r="K537" s="1711"/>
      <c r="L537" s="1712"/>
      <c r="M537" s="1075"/>
      <c r="N537" s="1028"/>
      <c r="O537" s="1068"/>
      <c r="P537" s="44"/>
      <c r="Q537" s="44"/>
      <c r="R537" s="44"/>
      <c r="S537" s="44"/>
      <c r="T537" s="44"/>
      <c r="X537" s="298"/>
    </row>
    <row r="538" spans="3:24" ht="7.5" customHeight="1">
      <c r="C538" s="1024"/>
      <c r="D538" s="1065"/>
      <c r="E538" s="1065"/>
      <c r="F538" s="1065"/>
      <c r="G538" s="1065"/>
      <c r="H538" s="1065"/>
      <c r="I538" s="1065"/>
      <c r="J538" s="1075"/>
      <c r="M538" s="1075"/>
      <c r="N538" s="1028"/>
      <c r="O538" s="1068"/>
      <c r="P538" s="44"/>
      <c r="Q538" s="44"/>
      <c r="R538" s="44"/>
      <c r="S538" s="44"/>
      <c r="T538" s="44"/>
      <c r="U538" s="1075"/>
      <c r="X538" s="298"/>
    </row>
    <row r="539" spans="3:24" ht="14.95" customHeight="1">
      <c r="C539" s="1024"/>
      <c r="D539" s="1704" t="s">
        <v>742</v>
      </c>
      <c r="E539" s="1704"/>
      <c r="F539" s="1704"/>
      <c r="G539" s="1704"/>
      <c r="H539" s="1704"/>
      <c r="I539" s="1706"/>
      <c r="J539" s="1710">
        <f ca="1">DATA!BB5</f>
        <v>0</v>
      </c>
      <c r="K539" s="1711"/>
      <c r="L539" s="1712"/>
      <c r="M539" s="1075"/>
      <c r="N539" s="1028"/>
      <c r="O539" s="1714" t="s">
        <v>741</v>
      </c>
      <c r="P539" s="1714"/>
      <c r="Q539" s="1714"/>
      <c r="R539" s="1714"/>
      <c r="S539" s="1714"/>
      <c r="T539" s="1715"/>
      <c r="U539" s="1719">
        <f ca="1">DATA!BA5</f>
        <v>0</v>
      </c>
      <c r="V539" s="1721"/>
      <c r="X539" s="298"/>
    </row>
    <row r="540" spans="3:24" ht="7.5" customHeight="1">
      <c r="C540" s="1024"/>
      <c r="D540" s="1065"/>
      <c r="E540" s="1065"/>
      <c r="F540" s="1065"/>
      <c r="G540" s="1065"/>
      <c r="H540" s="1065"/>
      <c r="I540" s="1065"/>
      <c r="J540" s="1075"/>
      <c r="M540" s="1075"/>
      <c r="N540" s="1028"/>
      <c r="O540" s="455"/>
      <c r="P540" s="455"/>
      <c r="Q540" s="455"/>
      <c r="R540" s="455"/>
      <c r="S540" s="455"/>
      <c r="T540" s="455"/>
      <c r="U540" s="1075"/>
      <c r="X540" s="298"/>
    </row>
    <row r="541" spans="3:24">
      <c r="C541" s="1024"/>
      <c r="D541" s="1704" t="s">
        <v>744</v>
      </c>
      <c r="E541" s="1704"/>
      <c r="F541" s="1704"/>
      <c r="G541" s="1704"/>
      <c r="H541" s="1704"/>
      <c r="I541" s="1706"/>
      <c r="J541" s="1710">
        <f ca="1">DATA!BD5</f>
        <v>0</v>
      </c>
      <c r="K541" s="1711"/>
      <c r="L541" s="1712"/>
      <c r="M541" s="1075"/>
      <c r="N541" s="1028"/>
      <c r="O541" s="1714" t="s">
        <v>743</v>
      </c>
      <c r="P541" s="1714"/>
      <c r="Q541" s="1714"/>
      <c r="R541" s="1714"/>
      <c r="S541" s="1714"/>
      <c r="T541" s="1715"/>
      <c r="U541" s="1719" t="str">
        <f ca="1">DATA!BC5</f>
        <v>WA</v>
      </c>
      <c r="V541" s="1721"/>
      <c r="X541" s="298"/>
    </row>
    <row r="542" spans="3:24" ht="7.5" customHeight="1">
      <c r="C542" s="1024"/>
      <c r="D542" s="1065"/>
      <c r="E542" s="1065"/>
      <c r="F542" s="1065"/>
      <c r="G542" s="1065"/>
      <c r="H542" s="1065"/>
      <c r="I542" s="1065"/>
      <c r="J542" s="1075"/>
      <c r="M542" s="1075"/>
      <c r="N542" s="1028"/>
      <c r="O542" s="1068"/>
      <c r="P542" s="44"/>
      <c r="Q542" s="44"/>
      <c r="R542" s="44"/>
      <c r="S542" s="44"/>
      <c r="T542" s="44"/>
      <c r="U542" s="1075"/>
      <c r="X542" s="298"/>
    </row>
    <row r="543" spans="3:24">
      <c r="C543" s="1919" t="s">
        <v>2024</v>
      </c>
      <c r="D543" s="1704"/>
      <c r="E543" s="1704"/>
      <c r="F543" s="1704"/>
      <c r="G543" s="1704"/>
      <c r="H543" s="1704"/>
      <c r="I543" s="1706"/>
      <c r="J543" s="1739">
        <f ca="1">DATA!BF5</f>
        <v>0</v>
      </c>
      <c r="K543" s="1740"/>
      <c r="L543" s="1741"/>
      <c r="M543" s="1075"/>
      <c r="N543" s="1028"/>
      <c r="O543" s="1714" t="s">
        <v>747</v>
      </c>
      <c r="P543" s="1714"/>
      <c r="Q543" s="1714"/>
      <c r="R543" s="1714"/>
      <c r="S543" s="1714"/>
      <c r="T543" s="1758"/>
      <c r="U543" s="1707"/>
      <c r="V543" s="1709"/>
      <c r="X543" s="298"/>
    </row>
    <row r="544" spans="3:24" ht="7.5" customHeight="1">
      <c r="C544" s="1024"/>
      <c r="D544" s="1065"/>
      <c r="E544" s="1065"/>
      <c r="F544" s="1065"/>
      <c r="G544" s="1065"/>
      <c r="H544" s="1065"/>
      <c r="I544" s="1065"/>
      <c r="J544" s="1742"/>
      <c r="K544" s="1902"/>
      <c r="L544" s="1744"/>
      <c r="M544" s="1075"/>
      <c r="N544" s="1028"/>
      <c r="O544" s="1068"/>
      <c r="P544" s="1069"/>
      <c r="Q544" s="44"/>
      <c r="R544" s="44"/>
      <c r="S544" s="44"/>
      <c r="T544" s="44"/>
      <c r="U544" s="1075"/>
      <c r="X544" s="298"/>
    </row>
    <row r="545" spans="3:24">
      <c r="C545" s="1024"/>
      <c r="D545" s="1065"/>
      <c r="E545" s="1065"/>
      <c r="F545" s="1065"/>
      <c r="G545" s="1065"/>
      <c r="H545" s="1065"/>
      <c r="I545" s="1065"/>
      <c r="J545" s="1742"/>
      <c r="K545" s="1902"/>
      <c r="L545" s="1744"/>
      <c r="M545" s="1075"/>
      <c r="N545" s="1028"/>
      <c r="O545" s="1068"/>
      <c r="P545" s="44"/>
      <c r="Q545" s="44"/>
      <c r="R545" s="44"/>
      <c r="S545" s="44"/>
      <c r="T545" s="44"/>
      <c r="X545" s="298"/>
    </row>
    <row r="546" spans="3:24" ht="7.5" customHeight="1">
      <c r="C546" s="1024"/>
      <c r="D546" s="1065"/>
      <c r="E546" s="1065"/>
      <c r="F546" s="1065"/>
      <c r="G546" s="1065"/>
      <c r="H546" s="1065"/>
      <c r="I546" s="1065"/>
      <c r="J546" s="1742"/>
      <c r="K546" s="1902"/>
      <c r="L546" s="1744"/>
      <c r="M546" s="1075"/>
      <c r="N546" s="1028"/>
      <c r="O546" s="1068"/>
      <c r="P546" s="44"/>
      <c r="Q546" s="44"/>
      <c r="R546" s="44"/>
      <c r="S546" s="44"/>
      <c r="T546" s="44"/>
      <c r="U546" s="1075"/>
      <c r="X546" s="298"/>
    </row>
    <row r="547" spans="3:24">
      <c r="C547" s="1024"/>
      <c r="D547" s="1755"/>
      <c r="E547" s="1755"/>
      <c r="F547" s="1755"/>
      <c r="G547" s="1755"/>
      <c r="H547" s="1755"/>
      <c r="I547" s="1755"/>
      <c r="J547" s="1745"/>
      <c r="K547" s="1746"/>
      <c r="L547" s="1747"/>
      <c r="M547" s="1075"/>
      <c r="N547" s="1028"/>
      <c r="O547" s="1714" t="s">
        <v>2023</v>
      </c>
      <c r="P547" s="1714"/>
      <c r="Q547" s="1714"/>
      <c r="R547" s="1714"/>
      <c r="S547" s="1714"/>
      <c r="T547" s="1715"/>
      <c r="U547" s="1771">
        <f ca="1">DATA!BG5</f>
        <v>0</v>
      </c>
      <c r="V547" s="1773"/>
      <c r="X547" s="298"/>
    </row>
    <row r="548" spans="3:24" ht="7.5" customHeight="1">
      <c r="C548" s="1024"/>
      <c r="D548" s="1755"/>
      <c r="E548" s="1755"/>
      <c r="F548" s="1755"/>
      <c r="G548" s="1755"/>
      <c r="H548" s="1755"/>
      <c r="I548" s="1755"/>
      <c r="J548" s="1075"/>
      <c r="M548" s="1075"/>
      <c r="N548" s="1028"/>
      <c r="O548" s="1068"/>
      <c r="P548" s="44"/>
      <c r="Q548" s="44"/>
      <c r="R548" s="44"/>
      <c r="S548" s="44"/>
      <c r="T548" s="44"/>
      <c r="U548" s="1075"/>
      <c r="X548" s="298"/>
    </row>
    <row r="549" spans="3:24">
      <c r="C549" s="1024"/>
      <c r="D549" s="1065"/>
      <c r="E549" s="1065"/>
      <c r="F549" s="1065"/>
      <c r="G549" s="1065"/>
      <c r="H549" s="1065"/>
      <c r="I549" s="1065"/>
      <c r="M549" s="370"/>
      <c r="N549" s="1028"/>
      <c r="O549" s="1068"/>
      <c r="P549" s="44"/>
      <c r="Q549" s="44"/>
      <c r="R549" s="44"/>
      <c r="S549" s="44"/>
      <c r="T549" s="365"/>
      <c r="X549" s="298"/>
    </row>
    <row r="550" spans="3:24" ht="7.5" customHeight="1">
      <c r="C550" s="1024"/>
      <c r="D550" s="1065"/>
      <c r="E550" s="1065"/>
      <c r="F550" s="1065"/>
      <c r="G550" s="1065"/>
      <c r="H550" s="1065"/>
      <c r="I550" s="1065"/>
      <c r="J550" s="1055"/>
      <c r="K550" s="1056"/>
      <c r="L550" s="1056"/>
      <c r="M550" s="1075"/>
      <c r="N550" s="1028"/>
      <c r="O550" s="1068"/>
      <c r="P550" s="44"/>
      <c r="Q550" s="44"/>
      <c r="R550" s="44"/>
      <c r="S550" s="44"/>
      <c r="T550" s="44"/>
      <c r="U550" s="1075"/>
      <c r="X550" s="298"/>
    </row>
    <row r="551" spans="3:24" ht="14.95" customHeight="1">
      <c r="C551" s="1919" t="s">
        <v>2025</v>
      </c>
      <c r="D551" s="1704"/>
      <c r="E551" s="1704"/>
      <c r="F551" s="1704"/>
      <c r="G551" s="1704"/>
      <c r="H551" s="1704"/>
      <c r="I551" s="1706"/>
      <c r="J551" s="1893">
        <f ca="1">DATA!BH5</f>
        <v>0</v>
      </c>
      <c r="K551" s="1894"/>
      <c r="L551" s="1895"/>
      <c r="M551" s="360"/>
      <c r="N551" s="1060"/>
      <c r="O551" s="1714" t="s">
        <v>2026</v>
      </c>
      <c r="P551" s="1714"/>
      <c r="Q551" s="1714"/>
      <c r="R551" s="1714"/>
      <c r="S551" s="1714"/>
      <c r="T551" s="1758"/>
      <c r="U551" s="1707">
        <f>DATA!BI5</f>
        <v>0</v>
      </c>
      <c r="V551" s="1709"/>
      <c r="X551" s="298"/>
    </row>
    <row r="552" spans="3:24" ht="7.5" customHeight="1">
      <c r="C552" s="1059"/>
      <c r="D552" s="1067"/>
      <c r="E552" s="1067"/>
      <c r="F552" s="1067"/>
      <c r="G552" s="1067"/>
      <c r="H552" s="1067"/>
      <c r="I552" s="1067"/>
      <c r="J552" s="1057"/>
      <c r="K552" s="1058"/>
      <c r="L552" s="1056"/>
      <c r="M552" s="347"/>
      <c r="N552" s="1060"/>
      <c r="O552" s="1064"/>
      <c r="P552" s="1064"/>
      <c r="Q552" s="1064"/>
      <c r="R552" s="1064"/>
      <c r="S552" s="1064"/>
      <c r="T552" s="1064"/>
      <c r="X552" s="298"/>
    </row>
    <row r="553" spans="3:24" ht="14.95" customHeight="1">
      <c r="C553" s="1059"/>
      <c r="D553" s="1704" t="s">
        <v>749</v>
      </c>
      <c r="E553" s="1704"/>
      <c r="F553" s="1704"/>
      <c r="G553" s="1704"/>
      <c r="H553" s="1704"/>
      <c r="I553" s="1706"/>
      <c r="J553" s="1710" t="str">
        <f ca="1">DATA!BJ5</f>
        <v>Multi-Family Housing</v>
      </c>
      <c r="K553" s="1711"/>
      <c r="L553" s="1712"/>
      <c r="M553" s="360"/>
      <c r="N553" s="1060"/>
      <c r="O553" s="1714" t="s">
        <v>636</v>
      </c>
      <c r="P553" s="1714"/>
      <c r="Q553" s="1714"/>
      <c r="R553" s="1714"/>
      <c r="S553" s="1714"/>
      <c r="T553" s="1715"/>
      <c r="U553" s="1719" t="str">
        <f ca="1">DATA!BK5</f>
        <v>Commercial/Industrial</v>
      </c>
      <c r="V553" s="1721"/>
      <c r="X553" s="298"/>
    </row>
    <row r="554" spans="3:24" ht="7.5" customHeight="1">
      <c r="C554" s="1059"/>
      <c r="D554" s="1060"/>
      <c r="E554" s="1060"/>
      <c r="F554" s="1060"/>
      <c r="G554" s="1060"/>
      <c r="H554" s="1060"/>
      <c r="I554" s="1060"/>
      <c r="J554" s="347"/>
      <c r="K554" s="1076"/>
      <c r="M554" s="347"/>
      <c r="N554" s="1060"/>
      <c r="O554" s="1060"/>
      <c r="P554" s="1060"/>
      <c r="Q554" s="1060"/>
      <c r="R554" s="1060"/>
      <c r="S554" s="1060"/>
      <c r="T554" s="1060"/>
      <c r="U554" s="1054"/>
      <c r="V554" s="1053"/>
      <c r="X554" s="298"/>
    </row>
    <row r="555" spans="3:24">
      <c r="C555" s="1024"/>
      <c r="D555" s="38"/>
      <c r="E555" s="38"/>
      <c r="F555" s="38"/>
      <c r="G555" s="38"/>
      <c r="H555" s="38"/>
      <c r="J555" s="259"/>
      <c r="M555" s="1075"/>
      <c r="N555" s="1026"/>
      <c r="O555" s="1026"/>
      <c r="P555" s="1027"/>
      <c r="Q555" s="1027"/>
      <c r="R555" s="1027"/>
      <c r="S555" s="1027"/>
      <c r="T555" s="1025"/>
      <c r="U555" s="1892"/>
      <c r="V555" s="1892"/>
      <c r="X555" s="298"/>
    </row>
    <row r="556" spans="3:24" ht="5.0999999999999996" customHeight="1">
      <c r="C556" s="297"/>
      <c r="D556" s="214"/>
      <c r="E556" s="214"/>
      <c r="F556" s="214"/>
      <c r="G556" s="214"/>
      <c r="H556" s="206"/>
      <c r="I556" s="206"/>
      <c r="J556" s="206"/>
      <c r="K556" s="206"/>
      <c r="L556" s="206"/>
      <c r="M556" s="206"/>
      <c r="N556" s="206"/>
      <c r="O556" s="206"/>
      <c r="P556" s="214"/>
      <c r="Q556" s="214"/>
      <c r="R556" s="214"/>
      <c r="S556" s="206"/>
      <c r="T556" s="214"/>
      <c r="U556" s="206"/>
      <c r="V556" s="206"/>
      <c r="W556" s="214"/>
      <c r="X556" s="299"/>
    </row>
    <row r="557" spans="3:24" ht="5.0999999999999996" customHeight="1"/>
    <row r="558" spans="3:24" ht="5.0999999999999996" customHeight="1">
      <c r="C558" s="701"/>
      <c r="D558" s="690"/>
      <c r="E558" s="690"/>
      <c r="F558" s="690"/>
      <c r="G558" s="690"/>
      <c r="H558" s="828"/>
      <c r="I558" s="828"/>
      <c r="J558" s="828"/>
      <c r="K558" s="828"/>
      <c r="L558" s="828"/>
      <c r="M558" s="828"/>
      <c r="N558" s="828"/>
      <c r="O558" s="828"/>
      <c r="P558" s="690"/>
      <c r="Q558" s="690"/>
      <c r="R558" s="690"/>
      <c r="S558" s="828"/>
      <c r="T558" s="690"/>
      <c r="U558" s="828"/>
      <c r="V558" s="828"/>
      <c r="W558" s="690"/>
      <c r="X558" s="702"/>
    </row>
    <row r="559" spans="3:24">
      <c r="C559" s="296"/>
      <c r="D559" s="1897" t="s">
        <v>863</v>
      </c>
      <c r="E559" s="1897"/>
      <c r="F559" s="1897"/>
      <c r="G559" s="1897"/>
      <c r="H559" s="1897"/>
      <c r="I559" s="1897"/>
      <c r="J559" s="1897"/>
      <c r="K559" s="1897"/>
      <c r="L559" s="1897"/>
      <c r="M559" s="1897"/>
      <c r="N559" s="1897"/>
      <c r="O559" s="1897"/>
      <c r="P559" s="1897"/>
      <c r="Q559" s="1897"/>
      <c r="R559" s="1897"/>
      <c r="S559" s="1897"/>
      <c r="T559" s="1897"/>
      <c r="U559" s="1897"/>
      <c r="V559" s="1897"/>
      <c r="W559" s="1897"/>
      <c r="X559" s="298"/>
    </row>
    <row r="560" spans="3:24" ht="5.0999999999999996" customHeight="1">
      <c r="C560" s="296"/>
      <c r="H560" s="38"/>
      <c r="I560" s="38"/>
      <c r="J560" s="38"/>
      <c r="K560" s="38"/>
      <c r="L560" s="38"/>
      <c r="M560" s="38"/>
      <c r="N560" s="38"/>
      <c r="O560" s="38"/>
      <c r="S560" s="38"/>
      <c r="U560" s="38"/>
      <c r="V560" s="38"/>
      <c r="X560" s="298"/>
    </row>
    <row r="561" spans="3:24">
      <c r="C561" s="296"/>
      <c r="D561" s="1704" t="s">
        <v>436</v>
      </c>
      <c r="E561" s="1704"/>
      <c r="F561" s="1704"/>
      <c r="G561" s="1704"/>
      <c r="H561" s="1704"/>
      <c r="I561" s="1706"/>
      <c r="J561" s="1710">
        <f ca="1">DATA!BN4</f>
        <v>0</v>
      </c>
      <c r="K561" s="1711"/>
      <c r="L561" s="1712"/>
      <c r="M561" s="38"/>
      <c r="N561" s="1073"/>
      <c r="O561" s="1714" t="s">
        <v>839</v>
      </c>
      <c r="P561" s="1714"/>
      <c r="Q561" s="1714"/>
      <c r="R561" s="1714"/>
      <c r="S561" s="1714"/>
      <c r="T561" s="1715"/>
      <c r="U561" s="1719" t="str">
        <f ca="1">DATA!BO4</f>
        <v/>
      </c>
      <c r="V561" s="1721"/>
      <c r="X561" s="298"/>
    </row>
    <row r="562" spans="3:24" ht="7.5" customHeight="1">
      <c r="C562" s="296"/>
      <c r="H562" s="38"/>
      <c r="I562" s="1066"/>
      <c r="J562" s="38"/>
      <c r="K562" s="1074"/>
      <c r="M562" s="38"/>
      <c r="N562" s="38"/>
      <c r="O562" s="38"/>
      <c r="S562" s="365"/>
      <c r="T562" s="44"/>
      <c r="U562" s="38"/>
      <c r="X562" s="298"/>
    </row>
    <row r="563" spans="3:24" ht="14.95" customHeight="1">
      <c r="C563" s="296"/>
      <c r="D563" s="1704" t="s">
        <v>840</v>
      </c>
      <c r="E563" s="1704"/>
      <c r="F563" s="1704"/>
      <c r="G563" s="1704"/>
      <c r="H563" s="1704"/>
      <c r="I563" s="1868"/>
      <c r="J563" s="1903"/>
      <c r="K563" s="1904"/>
      <c r="L563" s="1905"/>
      <c r="M563" s="38"/>
      <c r="N563" s="38"/>
      <c r="O563" s="38"/>
      <c r="S563" s="365"/>
      <c r="T563" s="44"/>
      <c r="X563" s="298"/>
    </row>
    <row r="564" spans="3:24" ht="7.5" customHeight="1">
      <c r="C564" s="296"/>
      <c r="H564" s="38"/>
      <c r="I564" s="1066"/>
      <c r="J564" s="1906"/>
      <c r="K564" s="1907"/>
      <c r="L564" s="1908"/>
      <c r="M564" s="38"/>
      <c r="N564" s="38"/>
      <c r="O564" s="38"/>
      <c r="S564" s="365"/>
      <c r="T564" s="44"/>
      <c r="U564" s="38"/>
      <c r="X564" s="298"/>
    </row>
    <row r="565" spans="3:24">
      <c r="C565" s="296"/>
      <c r="H565" s="38"/>
      <c r="I565" s="1065"/>
      <c r="J565" s="1909"/>
      <c r="K565" s="1910"/>
      <c r="L565" s="1911"/>
      <c r="M565" s="38"/>
      <c r="N565" s="1073"/>
      <c r="O565" s="1714" t="s">
        <v>841</v>
      </c>
      <c r="P565" s="1714"/>
      <c r="Q565" s="1714"/>
      <c r="R565" s="1714"/>
      <c r="S565" s="1714"/>
      <c r="T565" s="1715"/>
      <c r="U565" s="1719" t="str">
        <f ca="1">DATA!BQ4</f>
        <v/>
      </c>
      <c r="V565" s="1721"/>
      <c r="X565" s="298"/>
    </row>
    <row r="566" spans="3:24" ht="7.5" customHeight="1">
      <c r="C566" s="296"/>
      <c r="H566" s="38"/>
      <c r="I566" s="1066"/>
      <c r="J566" s="38"/>
      <c r="K566" s="1074"/>
      <c r="M566" s="38"/>
      <c r="N566" s="38"/>
      <c r="O566" s="38"/>
      <c r="S566" s="365"/>
      <c r="T566" s="44"/>
      <c r="U566" s="38"/>
      <c r="X566" s="298"/>
    </row>
    <row r="567" spans="3:24">
      <c r="C567" s="296"/>
      <c r="D567" s="1704" t="s">
        <v>842</v>
      </c>
      <c r="E567" s="1704"/>
      <c r="F567" s="1704"/>
      <c r="G567" s="1704"/>
      <c r="H567" s="1704"/>
      <c r="I567" s="1751"/>
      <c r="J567" s="1748"/>
      <c r="K567" s="1749"/>
      <c r="L567" s="1750"/>
      <c r="M567" s="38"/>
      <c r="N567" s="1073"/>
      <c r="O567" s="1714" t="s">
        <v>843</v>
      </c>
      <c r="P567" s="1714"/>
      <c r="Q567" s="1714"/>
      <c r="R567" s="1714"/>
      <c r="S567" s="1714"/>
      <c r="T567" s="1715"/>
      <c r="U567" s="1719" t="str">
        <f ca="1">DATA!BS4</f>
        <v/>
      </c>
      <c r="V567" s="1721"/>
      <c r="X567" s="298"/>
    </row>
    <row r="568" spans="3:24" ht="7.5" customHeight="1">
      <c r="C568" s="296"/>
      <c r="H568" s="38"/>
      <c r="I568" s="1066"/>
      <c r="J568" s="38"/>
      <c r="K568" s="1074"/>
      <c r="M568" s="38"/>
      <c r="N568" s="38"/>
      <c r="O568" s="38"/>
      <c r="S568" s="44"/>
      <c r="T568" s="44"/>
      <c r="U568" s="1074"/>
      <c r="V568" s="38"/>
      <c r="X568" s="298"/>
    </row>
    <row r="569" spans="3:24">
      <c r="C569" s="296"/>
      <c r="D569" s="1704" t="s">
        <v>844</v>
      </c>
      <c r="E569" s="1704"/>
      <c r="F569" s="1704"/>
      <c r="G569" s="1704"/>
      <c r="H569" s="1704"/>
      <c r="I569" s="1706"/>
      <c r="J569" s="1710" t="str">
        <f ca="1">DATA!BT4</f>
        <v/>
      </c>
      <c r="K569" s="1711"/>
      <c r="L569" s="1712"/>
      <c r="M569" s="38"/>
      <c r="N569" s="38"/>
      <c r="O569" s="1714" t="s">
        <v>845</v>
      </c>
      <c r="P569" s="1714"/>
      <c r="Q569" s="1714"/>
      <c r="R569" s="1714"/>
      <c r="S569" s="1714"/>
      <c r="T569" s="1715"/>
      <c r="U569" s="1779" t="str">
        <f ca="1">DATA!BU4</f>
        <v/>
      </c>
      <c r="V569" s="1899"/>
      <c r="X569" s="298"/>
    </row>
    <row r="570" spans="3:24" ht="7.5" customHeight="1">
      <c r="C570" s="296"/>
      <c r="H570" s="38"/>
      <c r="I570" s="1074"/>
      <c r="J570" s="38"/>
      <c r="K570" s="1074"/>
      <c r="M570" s="38"/>
      <c r="N570" s="38"/>
      <c r="O570" s="38"/>
      <c r="S570" s="38"/>
      <c r="U570" s="1074"/>
      <c r="V570" s="38"/>
      <c r="X570" s="298"/>
    </row>
    <row r="571" spans="3:24">
      <c r="C571" s="296"/>
      <c r="H571" s="38"/>
      <c r="I571" s="1074"/>
      <c r="J571" s="1901"/>
      <c r="K571" s="1901"/>
      <c r="L571" s="1901"/>
      <c r="M571" s="38"/>
      <c r="N571" s="1073"/>
      <c r="O571" s="1073"/>
      <c r="R571" s="1074"/>
      <c r="U571" s="447"/>
      <c r="V571" s="447"/>
      <c r="X571" s="298"/>
    </row>
    <row r="572" spans="3:24" ht="7.5" customHeight="1">
      <c r="C572" s="297"/>
      <c r="D572" s="214"/>
      <c r="E572" s="214"/>
      <c r="F572" s="214"/>
      <c r="G572" s="214"/>
      <c r="H572" s="206"/>
      <c r="I572" s="206"/>
      <c r="J572" s="206"/>
      <c r="K572" s="206"/>
      <c r="L572" s="206"/>
      <c r="M572" s="206"/>
      <c r="N572" s="206"/>
      <c r="O572" s="206"/>
      <c r="P572" s="214"/>
      <c r="Q572" s="214"/>
      <c r="R572" s="214"/>
      <c r="S572" s="206"/>
      <c r="T572" s="214"/>
      <c r="U572" s="206"/>
      <c r="V572" s="206"/>
      <c r="W572" s="214"/>
      <c r="X572" s="299"/>
    </row>
    <row r="573" spans="3:24" ht="7.5" customHeight="1"/>
    <row r="574" spans="3:24" ht="7.5" customHeight="1">
      <c r="C574" s="701"/>
      <c r="D574" s="690"/>
      <c r="E574" s="690"/>
      <c r="F574" s="690"/>
      <c r="G574" s="690"/>
      <c r="H574" s="690"/>
      <c r="I574" s="690"/>
      <c r="J574" s="690"/>
      <c r="K574" s="690"/>
      <c r="L574" s="690"/>
      <c r="M574" s="690"/>
      <c r="N574" s="690"/>
      <c r="O574" s="690"/>
      <c r="P574" s="690"/>
      <c r="Q574" s="690"/>
      <c r="R574" s="690"/>
      <c r="S574" s="690"/>
      <c r="T574" s="690"/>
      <c r="U574" s="690"/>
      <c r="V574" s="690"/>
      <c r="W574" s="690"/>
      <c r="X574" s="702"/>
    </row>
    <row r="575" spans="3:24">
      <c r="C575" s="296"/>
      <c r="D575" s="1897" t="s">
        <v>752</v>
      </c>
      <c r="E575" s="1897"/>
      <c r="F575" s="1897"/>
      <c r="G575" s="1897"/>
      <c r="H575" s="1897"/>
      <c r="I575" s="1897"/>
      <c r="J575" s="1897"/>
      <c r="K575" s="1897"/>
      <c r="L575" s="1897"/>
      <c r="M575" s="1897"/>
      <c r="N575" s="1897"/>
      <c r="O575" s="1897"/>
      <c r="P575" s="1897"/>
      <c r="Q575" s="1897"/>
      <c r="R575" s="1897"/>
      <c r="S575" s="1897"/>
      <c r="T575" s="1897"/>
      <c r="U575" s="1897"/>
      <c r="V575" s="1897"/>
      <c r="W575" s="1897"/>
      <c r="X575" s="298"/>
    </row>
    <row r="576" spans="3:24" ht="7.5" customHeight="1">
      <c r="C576" s="296"/>
      <c r="I576" s="38"/>
      <c r="J576" s="38"/>
      <c r="K576" s="38"/>
      <c r="L576" s="38"/>
      <c r="M576" s="38"/>
      <c r="N576" s="38"/>
      <c r="O576" s="38"/>
      <c r="X576" s="298"/>
    </row>
    <row r="577" spans="1:25" ht="14.95" customHeight="1">
      <c r="C577" s="296"/>
      <c r="D577" s="1714" t="s">
        <v>754</v>
      </c>
      <c r="E577" s="1714"/>
      <c r="F577" s="1714"/>
      <c r="G577" s="1714"/>
      <c r="H577" s="1714"/>
      <c r="I577" s="1715"/>
      <c r="J577" s="1752" t="str">
        <f>DATA!BX5</f>
        <v>Lighting - Performance - Custom</v>
      </c>
      <c r="K577" s="1753"/>
      <c r="L577" s="1754"/>
      <c r="M577" s="38"/>
      <c r="N577" s="38"/>
      <c r="O577" s="1714" t="s">
        <v>787</v>
      </c>
      <c r="P577" s="1714"/>
      <c r="Q577" s="1714"/>
      <c r="R577" s="1714"/>
      <c r="S577" s="1714"/>
      <c r="T577" s="1715"/>
      <c r="U577" s="1752">
        <f>DATA!BY5</f>
        <v>12334</v>
      </c>
      <c r="V577" s="1754"/>
      <c r="X577" s="298"/>
    </row>
    <row r="578" spans="1:25" ht="7.5" customHeight="1">
      <c r="C578" s="296"/>
      <c r="D578" s="44"/>
      <c r="E578" s="44"/>
      <c r="F578" s="44"/>
      <c r="G578" s="44"/>
      <c r="H578" s="44"/>
      <c r="I578" s="44"/>
      <c r="J578" s="38"/>
      <c r="K578" s="38"/>
      <c r="L578" s="38"/>
      <c r="M578" s="38"/>
      <c r="N578" s="38"/>
      <c r="O578" s="38"/>
      <c r="T578" s="44"/>
      <c r="X578" s="298"/>
    </row>
    <row r="579" spans="1:25">
      <c r="C579" s="296"/>
      <c r="D579" s="1714" t="s">
        <v>764</v>
      </c>
      <c r="E579" s="1714"/>
      <c r="F579" s="1714"/>
      <c r="G579" s="1714"/>
      <c r="H579" s="1714"/>
      <c r="I579" s="1715"/>
      <c r="J579" s="1752" t="str">
        <f>DATA!BZ5</f>
        <v>Full</v>
      </c>
      <c r="K579" s="1753"/>
      <c r="L579" s="1754"/>
      <c r="M579" s="38"/>
      <c r="N579" s="1073"/>
      <c r="O579" s="1714" t="s">
        <v>788</v>
      </c>
      <c r="P579" s="1714"/>
      <c r="Q579" s="1714"/>
      <c r="R579" s="1714"/>
      <c r="S579" s="1714"/>
      <c r="T579" s="1715"/>
      <c r="U579" s="1912" t="str">
        <f ca="1">DATA!CA5</f>
        <v>Enter on "Customer Authorization" tab</v>
      </c>
      <c r="V579" s="1913"/>
      <c r="X579" s="298"/>
    </row>
    <row r="580" spans="1:25" ht="7.5" customHeight="1">
      <c r="C580" s="296"/>
      <c r="D580" s="44"/>
      <c r="E580" s="44"/>
      <c r="F580" s="44"/>
      <c r="G580" s="44"/>
      <c r="H580" s="44"/>
      <c r="I580" s="365"/>
      <c r="J580" s="38"/>
      <c r="K580" s="1074"/>
      <c r="M580" s="38"/>
      <c r="N580" s="38"/>
      <c r="O580" s="38"/>
      <c r="T580" s="44"/>
      <c r="X580" s="298"/>
    </row>
    <row r="581" spans="1:25">
      <c r="C581" s="296"/>
      <c r="D581" s="1714" t="s">
        <v>755</v>
      </c>
      <c r="E581" s="1714"/>
      <c r="F581" s="1714"/>
      <c r="G581" s="1714"/>
      <c r="H581" s="1714"/>
      <c r="I581" s="1715"/>
      <c r="J581" s="1759">
        <f ca="1">DATA!CB5</f>
        <v>0</v>
      </c>
      <c r="K581" s="1760"/>
      <c r="L581" s="1761"/>
      <c r="M581" s="38"/>
      <c r="N581" s="1073"/>
      <c r="O581" s="1714" t="s">
        <v>925</v>
      </c>
      <c r="P581" s="1714"/>
      <c r="Q581" s="1714"/>
      <c r="R581" s="1714"/>
      <c r="S581" s="1714"/>
      <c r="T581" s="1715"/>
      <c r="U581" s="1752" t="str">
        <f>DATA!CC5</f>
        <v>Lighting</v>
      </c>
      <c r="V581" s="1754"/>
      <c r="X581" s="298"/>
    </row>
    <row r="582" spans="1:25" ht="7.5" customHeight="1">
      <c r="C582" s="296"/>
      <c r="D582" s="44"/>
      <c r="E582" s="44"/>
      <c r="F582" s="44"/>
      <c r="G582" s="44"/>
      <c r="H582" s="44"/>
      <c r="I582" s="365"/>
      <c r="J582" s="38"/>
      <c r="K582" s="1074"/>
      <c r="M582" s="38"/>
      <c r="N582" s="38"/>
      <c r="O582" s="38"/>
      <c r="T582" s="44"/>
      <c r="X582" s="298"/>
    </row>
    <row r="583" spans="1:25">
      <c r="C583" s="296"/>
      <c r="D583" s="1714" t="s">
        <v>758</v>
      </c>
      <c r="E583" s="1714"/>
      <c r="F583" s="1714"/>
      <c r="G583" s="1714"/>
      <c r="H583" s="1714"/>
      <c r="I583" s="1715"/>
      <c r="J583" s="1893">
        <f ca="1">DATA!CD5</f>
        <v>0</v>
      </c>
      <c r="K583" s="1894"/>
      <c r="L583" s="1895"/>
      <c r="M583" s="38"/>
      <c r="N583" s="1073"/>
      <c r="O583" s="1714" t="s">
        <v>2027</v>
      </c>
      <c r="P583" s="1714"/>
      <c r="Q583" s="1714"/>
      <c r="R583" s="1714"/>
      <c r="S583" s="1714"/>
      <c r="T583" s="1758"/>
      <c r="U583" s="1707"/>
      <c r="V583" s="1709"/>
      <c r="X583" s="298"/>
    </row>
    <row r="584" spans="1:25" ht="7.5" customHeight="1">
      <c r="C584" s="296"/>
      <c r="D584" s="44"/>
      <c r="E584" s="44"/>
      <c r="F584" s="44"/>
      <c r="G584" s="44"/>
      <c r="H584" s="44"/>
      <c r="I584" s="365"/>
      <c r="J584" s="38"/>
      <c r="K584" s="1074"/>
      <c r="M584" s="38"/>
      <c r="N584" s="38"/>
      <c r="O584" s="38"/>
      <c r="T584" s="365"/>
      <c r="U584" s="38"/>
      <c r="X584" s="298"/>
    </row>
    <row r="585" spans="1:25">
      <c r="C585" s="296"/>
      <c r="D585" s="1765" t="s">
        <v>790</v>
      </c>
      <c r="E585" s="1765"/>
      <c r="F585" s="1765"/>
      <c r="G585" s="1765"/>
      <c r="H585" s="1765"/>
      <c r="I585" s="1765"/>
      <c r="J585" s="1893">
        <f>DATA!CF5</f>
        <v>10</v>
      </c>
      <c r="K585" s="1894"/>
      <c r="L585" s="1895"/>
      <c r="M585" s="38"/>
      <c r="N585" s="1073"/>
      <c r="O585" s="1714" t="s">
        <v>761</v>
      </c>
      <c r="P585" s="1714"/>
      <c r="Q585" s="1714"/>
      <c r="R585" s="1714"/>
      <c r="S585" s="1714"/>
      <c r="T585" s="1715"/>
      <c r="U585" s="1771">
        <f ca="1">DATA!CG5</f>
        <v>0</v>
      </c>
      <c r="V585" s="1773"/>
      <c r="X585" s="298"/>
    </row>
    <row r="586" spans="1:25" ht="7.5" customHeight="1">
      <c r="C586" s="296"/>
      <c r="D586" s="1765"/>
      <c r="E586" s="1765"/>
      <c r="F586" s="1765"/>
      <c r="G586" s="1765"/>
      <c r="H586" s="1765"/>
      <c r="I586" s="1765"/>
      <c r="J586" s="38"/>
      <c r="K586" s="1074"/>
      <c r="M586" s="38"/>
      <c r="N586" s="38"/>
      <c r="O586" s="38"/>
      <c r="T586" s="44"/>
      <c r="X586" s="298"/>
    </row>
    <row r="587" spans="1:25">
      <c r="C587" s="296"/>
      <c r="D587" s="1714" t="s">
        <v>762</v>
      </c>
      <c r="E587" s="1714"/>
      <c r="F587" s="1714"/>
      <c r="G587" s="1714"/>
      <c r="H587" s="1714"/>
      <c r="I587" s="1715"/>
      <c r="J587" s="1893">
        <f ca="1">DATA!CH5</f>
        <v>0</v>
      </c>
      <c r="K587" s="1894"/>
      <c r="L587" s="1895"/>
      <c r="M587" s="360"/>
      <c r="N587" s="1073"/>
      <c r="O587" s="1714" t="s">
        <v>791</v>
      </c>
      <c r="P587" s="1714"/>
      <c r="Q587" s="1714"/>
      <c r="R587" s="1714"/>
      <c r="S587" s="1714"/>
      <c r="T587" s="1715"/>
      <c r="U587" s="1752">
        <f>DATA!CI5</f>
        <v>0</v>
      </c>
      <c r="V587" s="1754"/>
      <c r="X587" s="298"/>
    </row>
    <row r="588" spans="1:25" ht="7.5" customHeight="1">
      <c r="C588" s="296"/>
      <c r="D588" s="1070"/>
      <c r="E588" s="1070"/>
      <c r="F588" s="1070"/>
      <c r="G588" s="1070"/>
      <c r="H588" s="1070"/>
      <c r="I588" s="1070"/>
      <c r="J588" s="1053"/>
      <c r="K588" s="1053"/>
      <c r="L588" s="1053"/>
      <c r="M588" s="1053"/>
      <c r="N588" s="1053"/>
      <c r="O588" s="1053"/>
      <c r="P588" s="1053"/>
      <c r="Q588" s="1053"/>
      <c r="R588" s="1053"/>
      <c r="S588" s="1053"/>
      <c r="T588" s="1070"/>
      <c r="U588" s="1053"/>
      <c r="V588" s="1053"/>
      <c r="W588" s="1053"/>
      <c r="X588" s="298"/>
    </row>
    <row r="589" spans="1:25">
      <c r="A589" s="298"/>
      <c r="C589" s="1053"/>
      <c r="D589" s="1714" t="s">
        <v>792</v>
      </c>
      <c r="E589" s="1714"/>
      <c r="F589" s="1714"/>
      <c r="G589" s="1714"/>
      <c r="H589" s="1714"/>
      <c r="I589" s="1715"/>
      <c r="J589" s="1759">
        <f ca="1">DATA!CJ5</f>
        <v>0</v>
      </c>
      <c r="K589" s="1760"/>
      <c r="L589" s="1761"/>
      <c r="M589" s="1053"/>
      <c r="N589" s="1053"/>
      <c r="O589" s="1714" t="s">
        <v>707</v>
      </c>
      <c r="P589" s="1714"/>
      <c r="Q589" s="1714"/>
      <c r="R589" s="1714"/>
      <c r="S589" s="1714"/>
      <c r="T589" s="1715"/>
      <c r="U589" s="1762">
        <f ca="1">DATA!CK5</f>
        <v>2</v>
      </c>
      <c r="V589" s="1764"/>
      <c r="W589" s="1053"/>
      <c r="X589" s="1053"/>
      <c r="Y589" s="296"/>
    </row>
    <row r="590" spans="1:25" ht="7.5" customHeight="1">
      <c r="A590" s="298"/>
      <c r="C590" s="1053"/>
      <c r="D590" s="1070"/>
      <c r="E590" s="1070"/>
      <c r="F590" s="1070"/>
      <c r="G590" s="1070"/>
      <c r="H590" s="1070"/>
      <c r="I590" s="1070"/>
      <c r="J590" s="1053"/>
      <c r="K590" s="1053"/>
      <c r="L590" s="1053"/>
      <c r="M590" s="1053"/>
      <c r="N590" s="1053"/>
      <c r="O590" s="1053"/>
      <c r="P590" s="1053"/>
      <c r="Q590" s="1053"/>
      <c r="R590" s="1053"/>
      <c r="S590" s="1053"/>
      <c r="T590" s="1053"/>
      <c r="U590" s="1053"/>
      <c r="V590" s="1053"/>
      <c r="W590" s="1053"/>
      <c r="X590" s="1053"/>
      <c r="Y590" s="296"/>
    </row>
    <row r="591" spans="1:25">
      <c r="A591" s="298"/>
      <c r="C591" s="1053"/>
      <c r="D591" s="1714" t="s">
        <v>2028</v>
      </c>
      <c r="E591" s="1714"/>
      <c r="F591" s="1714"/>
      <c r="G591" s="1714"/>
      <c r="H591" s="1714"/>
      <c r="I591" s="1715"/>
      <c r="J591" s="1762">
        <f ca="1">DATA!CL5</f>
        <v>0</v>
      </c>
      <c r="K591" s="1763"/>
      <c r="L591" s="1764"/>
      <c r="M591" s="1053"/>
      <c r="N591" s="1053"/>
      <c r="O591" s="1053"/>
      <c r="P591" s="1053"/>
      <c r="Q591" s="1053"/>
      <c r="R591" s="1053"/>
      <c r="S591" s="1053"/>
      <c r="T591" s="1053"/>
      <c r="U591" s="1053"/>
      <c r="V591" s="1053"/>
      <c r="W591" s="1053"/>
      <c r="X591" s="1053"/>
      <c r="Y591" s="296"/>
    </row>
    <row r="592" spans="1:25" ht="7.5" customHeight="1">
      <c r="C592" s="297"/>
      <c r="D592" s="214"/>
      <c r="E592" s="214"/>
      <c r="F592" s="214"/>
      <c r="G592" s="214"/>
      <c r="H592" s="214"/>
      <c r="I592" s="214"/>
      <c r="J592" s="214"/>
      <c r="K592" s="214"/>
      <c r="L592" s="214"/>
      <c r="M592" s="214"/>
      <c r="N592" s="214"/>
      <c r="O592" s="214"/>
      <c r="P592" s="214"/>
      <c r="Q592" s="214"/>
      <c r="R592" s="214"/>
      <c r="S592" s="214"/>
      <c r="T592" s="214"/>
      <c r="U592" s="214"/>
      <c r="V592" s="214"/>
      <c r="W592" s="214"/>
      <c r="X592" s="299"/>
    </row>
    <row r="593" spans="2:34" ht="7.5" customHeight="1">
      <c r="U593" s="38"/>
      <c r="V593" s="38"/>
    </row>
    <row r="595" spans="2:34">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row>
    <row r="596" spans="2:34">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row>
    <row r="597" spans="2:34">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row>
    <row r="598" spans="2:34">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row>
    <row r="599" spans="2:34">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row>
    <row r="600" spans="2:34">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row>
    <row r="601" spans="2:34">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row>
    <row r="602" spans="2:34">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row>
    <row r="603" spans="2:34">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row>
    <row r="604" spans="2:34">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row>
    <row r="605" spans="2:34">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row>
    <row r="606" spans="2:34">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row>
    <row r="607" spans="2:34">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row>
    <row r="608" spans="2:34">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row>
    <row r="609" spans="2:34">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row>
    <row r="610" spans="2:34">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row>
    <row r="611" spans="2:34">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row>
    <row r="612" spans="2:34">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row>
    <row r="613" spans="2:34">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row>
    <row r="614" spans="2:34">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row>
    <row r="615" spans="2:34">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row>
    <row r="616" spans="2:34">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row>
    <row r="617" spans="2:34">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row>
    <row r="618" spans="2:34">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row>
    <row r="619" spans="2:34">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row>
    <row r="620" spans="2:34">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row>
    <row r="621" spans="2:34">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row>
    <row r="622" spans="2:34">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row>
    <row r="623" spans="2:34">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row>
    <row r="624" spans="2:34">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row>
    <row r="625" spans="2:34">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row>
    <row r="626" spans="2:34">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row>
    <row r="627" spans="2:34">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row>
    <row r="628" spans="2:34">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row>
    <row r="629" spans="2:34">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row>
    <row r="630" spans="2:34">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row>
    <row r="631" spans="2:34">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row>
    <row r="632" spans="2:34">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row>
    <row r="633" spans="2:34">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row>
    <row r="634" spans="2:34">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row>
    <row r="635" spans="2:34">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row>
    <row r="636" spans="2:34">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row>
    <row r="637" spans="2:34">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row>
    <row r="638" spans="2:34">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row>
    <row r="639" spans="2:34">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row>
    <row r="640" spans="2:34">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row>
    <row r="641" spans="2:34">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row>
    <row r="642" spans="2:34">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row>
    <row r="643" spans="2:34">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row>
    <row r="644" spans="2:34">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row>
    <row r="645" spans="2:34">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row>
    <row r="646" spans="2:34">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row>
    <row r="647" spans="2:34">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row>
    <row r="648" spans="2:34">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row>
    <row r="649" spans="2:34">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row>
    <row r="650" spans="2:34">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row>
    <row r="651" spans="2:34">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row>
    <row r="652" spans="2:34">
      <c r="B652" s="1"/>
      <c r="C652" s="1"/>
      <c r="D652" s="1"/>
      <c r="E652" s="1"/>
      <c r="F652" s="1"/>
      <c r="G652" s="1"/>
      <c r="H652" s="1"/>
      <c r="I652" s="1"/>
      <c r="J652" s="1"/>
      <c r="K652" s="1"/>
      <c r="L652" s="1"/>
      <c r="M652" s="1"/>
      <c r="N652" s="1"/>
      <c r="O652" s="1"/>
      <c r="P652" s="1"/>
      <c r="Q652" s="1"/>
      <c r="R652" s="1"/>
      <c r="S652" s="1"/>
      <c r="T652" s="1"/>
      <c r="U652" s="1"/>
      <c r="V652" s="1"/>
      <c r="W652" s="1"/>
      <c r="X652" s="1"/>
      <c r="Z652" s="1"/>
      <c r="AA652" s="1"/>
      <c r="AB652" s="1"/>
      <c r="AC652" s="1"/>
      <c r="AD652" s="1"/>
      <c r="AE652" s="1"/>
      <c r="AF652" s="1"/>
      <c r="AG652" s="1"/>
      <c r="AH652" s="1"/>
    </row>
    <row r="653" spans="2:34">
      <c r="B653" s="1"/>
      <c r="C653" s="1"/>
      <c r="D653" s="1"/>
      <c r="E653" s="1"/>
      <c r="F653" s="1"/>
      <c r="G653" s="1"/>
      <c r="H653" s="1"/>
      <c r="I653" s="1"/>
      <c r="J653" s="1"/>
      <c r="K653" s="1"/>
      <c r="L653" s="1"/>
      <c r="M653" s="1"/>
      <c r="N653" s="1"/>
      <c r="O653" s="1"/>
      <c r="P653" s="1"/>
      <c r="Q653" s="1"/>
      <c r="R653" s="1"/>
      <c r="S653" s="1"/>
      <c r="T653" s="1"/>
      <c r="U653" s="1"/>
      <c r="V653" s="1"/>
      <c r="W653" s="1"/>
      <c r="X653" s="1"/>
      <c r="Z653" s="1"/>
      <c r="AA653" s="1"/>
      <c r="AB653" s="1"/>
      <c r="AC653" s="1"/>
      <c r="AD653" s="1"/>
      <c r="AE653" s="1"/>
      <c r="AF653" s="1"/>
      <c r="AG653" s="1"/>
      <c r="AH653" s="1"/>
    </row>
    <row r="654" spans="2:34">
      <c r="B654" s="1"/>
      <c r="C654" s="1"/>
      <c r="D654" s="1"/>
      <c r="E654" s="1"/>
      <c r="F654" s="1"/>
      <c r="G654" s="1"/>
      <c r="H654" s="1"/>
      <c r="I654" s="1"/>
      <c r="J654" s="1"/>
      <c r="K654" s="1"/>
      <c r="L654" s="1"/>
      <c r="M654" s="1"/>
      <c r="N654" s="1"/>
      <c r="O654" s="1"/>
      <c r="P654" s="1"/>
      <c r="Q654" s="1"/>
      <c r="R654" s="1"/>
      <c r="S654" s="1"/>
      <c r="T654" s="1"/>
      <c r="U654" s="1"/>
      <c r="V654" s="1"/>
      <c r="W654" s="1"/>
      <c r="X654" s="1"/>
      <c r="Z654" s="1"/>
      <c r="AA654" s="1"/>
      <c r="AB654" s="1"/>
      <c r="AC654" s="1"/>
      <c r="AD654" s="1"/>
      <c r="AE654" s="1"/>
      <c r="AF654" s="1"/>
      <c r="AG654" s="1"/>
      <c r="AH654" s="1"/>
    </row>
    <row r="655" spans="2:34">
      <c r="B655" s="1"/>
      <c r="C655" s="1"/>
      <c r="D655" s="1"/>
      <c r="E655" s="1"/>
      <c r="F655" s="1"/>
      <c r="G655" s="1"/>
      <c r="H655" s="1"/>
      <c r="I655" s="1"/>
      <c r="J655" s="1"/>
      <c r="K655" s="1"/>
      <c r="L655" s="1"/>
      <c r="M655" s="1"/>
      <c r="N655" s="1"/>
      <c r="O655" s="1"/>
      <c r="P655" s="1"/>
      <c r="Q655" s="1"/>
      <c r="R655" s="1"/>
      <c r="S655" s="1"/>
      <c r="T655" s="1"/>
      <c r="U655" s="1"/>
      <c r="V655" s="1"/>
      <c r="W655" s="1"/>
      <c r="X655" s="1"/>
      <c r="Z655" s="1"/>
      <c r="AA655" s="1"/>
      <c r="AB655" s="1"/>
      <c r="AC655" s="1"/>
      <c r="AD655" s="1"/>
      <c r="AE655" s="1"/>
      <c r="AF655" s="1"/>
      <c r="AG655" s="1"/>
      <c r="AH655" s="1"/>
    </row>
    <row r="656" spans="2:34">
      <c r="B656" s="1"/>
      <c r="C656" s="1"/>
      <c r="D656" s="1"/>
      <c r="E656" s="1"/>
      <c r="F656" s="1"/>
      <c r="G656" s="1"/>
      <c r="H656" s="1"/>
      <c r="I656" s="1"/>
      <c r="J656" s="1"/>
      <c r="K656" s="1"/>
      <c r="L656" s="1"/>
      <c r="M656" s="1"/>
      <c r="N656" s="1"/>
      <c r="O656" s="1"/>
      <c r="P656" s="1"/>
      <c r="Q656" s="1"/>
      <c r="R656" s="1"/>
      <c r="S656" s="1"/>
      <c r="T656" s="1"/>
      <c r="U656" s="1"/>
      <c r="V656" s="1"/>
      <c r="W656" s="1"/>
      <c r="X656" s="1"/>
      <c r="Z656" s="1"/>
      <c r="AA656" s="1"/>
      <c r="AB656" s="1"/>
      <c r="AC656" s="1"/>
      <c r="AD656" s="1"/>
      <c r="AE656" s="1"/>
      <c r="AF656" s="1"/>
      <c r="AG656" s="1"/>
      <c r="AH656" s="1"/>
    </row>
    <row r="657" spans="2:34">
      <c r="B657" s="1"/>
      <c r="C657" s="1"/>
      <c r="D657" s="1"/>
      <c r="E657" s="1"/>
      <c r="F657" s="1"/>
      <c r="G657" s="1"/>
      <c r="H657" s="1"/>
      <c r="I657" s="1"/>
      <c r="J657" s="1"/>
      <c r="K657" s="1"/>
      <c r="L657" s="1"/>
      <c r="M657" s="1"/>
      <c r="N657" s="1"/>
      <c r="O657" s="1"/>
      <c r="P657" s="1"/>
      <c r="Q657" s="1"/>
      <c r="R657" s="1"/>
      <c r="S657" s="1"/>
      <c r="T657" s="1"/>
      <c r="U657" s="1"/>
      <c r="V657" s="1"/>
      <c r="W657" s="1"/>
      <c r="X657" s="1"/>
      <c r="Z657" s="1"/>
      <c r="AA657" s="1"/>
      <c r="AB657" s="1"/>
      <c r="AC657" s="1"/>
      <c r="AD657" s="1"/>
      <c r="AE657" s="1"/>
      <c r="AF657" s="1"/>
      <c r="AG657" s="1"/>
      <c r="AH657" s="1"/>
    </row>
    <row r="658" spans="2:34">
      <c r="B658" s="1"/>
      <c r="C658" s="1"/>
      <c r="D658" s="1"/>
      <c r="E658" s="1"/>
      <c r="F658" s="1"/>
      <c r="G658" s="1"/>
      <c r="H658" s="1"/>
      <c r="I658" s="1"/>
      <c r="J658" s="1"/>
      <c r="K658" s="1"/>
      <c r="L658" s="1"/>
      <c r="M658" s="1"/>
      <c r="N658" s="1"/>
      <c r="O658" s="1"/>
      <c r="P658" s="1"/>
      <c r="Q658" s="1"/>
      <c r="R658" s="1"/>
      <c r="S658" s="1"/>
      <c r="T658" s="1"/>
      <c r="U658" s="1"/>
      <c r="V658" s="1"/>
      <c r="W658" s="1"/>
      <c r="X658" s="1"/>
      <c r="Z658" s="1"/>
      <c r="AA658" s="1"/>
      <c r="AB658" s="1"/>
      <c r="AC658" s="1"/>
      <c r="AD658" s="1"/>
      <c r="AE658" s="1"/>
      <c r="AF658" s="1"/>
      <c r="AG658" s="1"/>
      <c r="AH658" s="1"/>
    </row>
    <row r="659" spans="2:34">
      <c r="B659" s="1"/>
      <c r="C659" s="1"/>
      <c r="D659" s="1"/>
      <c r="E659" s="1"/>
      <c r="F659" s="1"/>
      <c r="G659" s="1"/>
      <c r="H659" s="1"/>
      <c r="I659" s="1"/>
      <c r="J659" s="1"/>
      <c r="K659" s="1"/>
      <c r="L659" s="1"/>
      <c r="M659" s="1"/>
      <c r="N659" s="1"/>
      <c r="O659" s="1"/>
      <c r="P659" s="1"/>
      <c r="Q659" s="1"/>
      <c r="R659" s="1"/>
      <c r="S659" s="1"/>
      <c r="T659" s="1"/>
      <c r="U659" s="1"/>
      <c r="V659" s="1"/>
      <c r="W659" s="1"/>
      <c r="X659" s="1"/>
      <c r="Z659" s="1"/>
      <c r="AA659" s="1"/>
      <c r="AB659" s="1"/>
      <c r="AC659" s="1"/>
      <c r="AD659" s="1"/>
      <c r="AE659" s="1"/>
      <c r="AF659" s="1"/>
      <c r="AG659" s="1"/>
      <c r="AH659" s="1"/>
    </row>
    <row r="660" spans="2:34">
      <c r="B660" s="1"/>
      <c r="C660" s="1"/>
      <c r="D660" s="1"/>
      <c r="E660" s="1"/>
      <c r="F660" s="1"/>
      <c r="G660" s="1"/>
      <c r="H660" s="1"/>
      <c r="I660" s="1"/>
      <c r="J660" s="1"/>
      <c r="K660" s="1"/>
      <c r="L660" s="1"/>
      <c r="M660" s="1"/>
      <c r="N660" s="1"/>
      <c r="O660" s="1"/>
      <c r="P660" s="1"/>
      <c r="Q660" s="1"/>
      <c r="R660" s="1"/>
      <c r="S660" s="1"/>
      <c r="T660" s="1"/>
      <c r="U660" s="1"/>
      <c r="V660" s="1"/>
      <c r="W660" s="1"/>
      <c r="X660" s="1"/>
      <c r="Z660" s="1"/>
      <c r="AA660" s="1"/>
      <c r="AB660" s="1"/>
      <c r="AC660" s="1"/>
      <c r="AD660" s="1"/>
      <c r="AE660" s="1"/>
      <c r="AF660" s="1"/>
      <c r="AG660" s="1"/>
      <c r="AH660" s="1"/>
    </row>
    <row r="661" spans="2:34">
      <c r="B661" s="1"/>
      <c r="C661" s="1"/>
      <c r="D661" s="1"/>
      <c r="E661" s="1"/>
      <c r="F661" s="1"/>
      <c r="G661" s="1"/>
      <c r="H661" s="1"/>
      <c r="I661" s="1"/>
      <c r="J661" s="1"/>
      <c r="K661" s="1"/>
      <c r="L661" s="1"/>
      <c r="M661" s="1"/>
      <c r="N661" s="1"/>
      <c r="O661" s="1"/>
      <c r="P661" s="1"/>
      <c r="Q661" s="1"/>
      <c r="R661" s="1"/>
      <c r="S661" s="1"/>
      <c r="T661" s="1"/>
      <c r="U661" s="1"/>
      <c r="V661" s="1"/>
      <c r="W661" s="1"/>
      <c r="X661" s="1"/>
      <c r="Z661" s="1"/>
      <c r="AA661" s="1"/>
      <c r="AB661" s="1"/>
      <c r="AC661" s="1"/>
      <c r="AD661" s="1"/>
      <c r="AE661" s="1"/>
      <c r="AF661" s="1"/>
      <c r="AG661" s="1"/>
      <c r="AH661" s="1"/>
    </row>
    <row r="662" spans="2:34">
      <c r="Z662" s="1"/>
      <c r="AA662" s="1"/>
      <c r="AB662" s="1"/>
      <c r="AC662" s="1"/>
      <c r="AD662" s="1"/>
      <c r="AE662" s="1"/>
      <c r="AF662" s="1"/>
      <c r="AG662" s="1"/>
      <c r="AH662" s="1"/>
    </row>
    <row r="663" spans="2:34">
      <c r="Z663" s="1"/>
      <c r="AA663" s="1"/>
      <c r="AB663" s="1"/>
      <c r="AC663" s="1"/>
      <c r="AD663" s="1"/>
      <c r="AE663" s="1"/>
      <c r="AF663" s="1"/>
      <c r="AG663" s="1"/>
      <c r="AH663" s="1"/>
    </row>
    <row r="664" spans="2:34">
      <c r="Z664" s="1"/>
      <c r="AA664" s="1"/>
      <c r="AB664" s="1"/>
      <c r="AC664" s="1"/>
      <c r="AD664" s="1"/>
      <c r="AE664" s="1"/>
      <c r="AF664" s="1"/>
      <c r="AG664" s="1"/>
      <c r="AH664" s="1"/>
    </row>
  </sheetData>
  <sheetProtection password="DC20" sheet="1" selectLockedCells="1"/>
  <mergeCells count="435">
    <mergeCell ref="J7:U8"/>
    <mergeCell ref="J9:U10"/>
    <mergeCell ref="J11:U12"/>
    <mergeCell ref="J13:U14"/>
    <mergeCell ref="M46:P46"/>
    <mergeCell ref="M48:P48"/>
    <mergeCell ref="M50:P50"/>
    <mergeCell ref="M52:P52"/>
    <mergeCell ref="D425:U425"/>
    <mergeCell ref="D387:U387"/>
    <mergeCell ref="J365:L365"/>
    <mergeCell ref="U365:V365"/>
    <mergeCell ref="J367:L367"/>
    <mergeCell ref="U367:V367"/>
    <mergeCell ref="J369:L369"/>
    <mergeCell ref="U369:V369"/>
    <mergeCell ref="J359:L359"/>
    <mergeCell ref="U359:V359"/>
    <mergeCell ref="J361:L361"/>
    <mergeCell ref="U361:V361"/>
    <mergeCell ref="J363:L363"/>
    <mergeCell ref="U363:V363"/>
    <mergeCell ref="J351:L351"/>
    <mergeCell ref="U351:V351"/>
    <mergeCell ref="J449:L449"/>
    <mergeCell ref="U449:V449"/>
    <mergeCell ref="D316:I317"/>
    <mergeCell ref="D343:I344"/>
    <mergeCell ref="D357:I358"/>
    <mergeCell ref="D361:I362"/>
    <mergeCell ref="D367:I368"/>
    <mergeCell ref="C371:I372"/>
    <mergeCell ref="C373:I374"/>
    <mergeCell ref="N371:T372"/>
    <mergeCell ref="N373:T374"/>
    <mergeCell ref="U417:V417"/>
    <mergeCell ref="J421:L421"/>
    <mergeCell ref="J405:L405"/>
    <mergeCell ref="U405:V405"/>
    <mergeCell ref="J407:L407"/>
    <mergeCell ref="U407:V407"/>
    <mergeCell ref="D411:U411"/>
    <mergeCell ref="V411:W411"/>
    <mergeCell ref="U413:V413"/>
    <mergeCell ref="U427:V427"/>
    <mergeCell ref="U429:V429"/>
    <mergeCell ref="J431:L431"/>
    <mergeCell ref="U431:V431"/>
    <mergeCell ref="C182:I183"/>
    <mergeCell ref="C184:I185"/>
    <mergeCell ref="C186:I187"/>
    <mergeCell ref="C188:I189"/>
    <mergeCell ref="N186:T187"/>
    <mergeCell ref="D236:I237"/>
    <mergeCell ref="H256:X261"/>
    <mergeCell ref="O102:P102"/>
    <mergeCell ref="D244:U244"/>
    <mergeCell ref="V244:W244"/>
    <mergeCell ref="J246:L246"/>
    <mergeCell ref="J248:L248"/>
    <mergeCell ref="U248:V248"/>
    <mergeCell ref="J232:L232"/>
    <mergeCell ref="J234:L234"/>
    <mergeCell ref="J236:L236"/>
    <mergeCell ref="J238:L238"/>
    <mergeCell ref="J240:L240"/>
    <mergeCell ref="U240:V240"/>
    <mergeCell ref="U220:V220"/>
    <mergeCell ref="J222:L222"/>
    <mergeCell ref="J224:L224"/>
    <mergeCell ref="J226:L226"/>
    <mergeCell ref="J228:L228"/>
    <mergeCell ref="B68:B86"/>
    <mergeCell ref="B253:B280"/>
    <mergeCell ref="J459:L459"/>
    <mergeCell ref="U459:V459"/>
    <mergeCell ref="A18:X18"/>
    <mergeCell ref="B20:B46"/>
    <mergeCell ref="B88:B110"/>
    <mergeCell ref="B121:B146"/>
    <mergeCell ref="J447:L447"/>
    <mergeCell ref="U447:V447"/>
    <mergeCell ref="J451:L451"/>
    <mergeCell ref="D455:U455"/>
    <mergeCell ref="V455:W455"/>
    <mergeCell ref="J457:L457"/>
    <mergeCell ref="D441:U441"/>
    <mergeCell ref="V441:W441"/>
    <mergeCell ref="J443:L443"/>
    <mergeCell ref="U443:V443"/>
    <mergeCell ref="J445:L445"/>
    <mergeCell ref="U445:V445"/>
    <mergeCell ref="J415:L415"/>
    <mergeCell ref="J417:L417"/>
    <mergeCell ref="J419:L419"/>
    <mergeCell ref="U419:V419"/>
    <mergeCell ref="J433:L433"/>
    <mergeCell ref="U433:V433"/>
    <mergeCell ref="J435:L435"/>
    <mergeCell ref="U435:V435"/>
    <mergeCell ref="J437:L437"/>
    <mergeCell ref="U437:V437"/>
    <mergeCell ref="U397:V397"/>
    <mergeCell ref="J399:L399"/>
    <mergeCell ref="U399:V399"/>
    <mergeCell ref="J401:L401"/>
    <mergeCell ref="U401:V401"/>
    <mergeCell ref="J403:L403"/>
    <mergeCell ref="U403:V403"/>
    <mergeCell ref="V425:W425"/>
    <mergeCell ref="V387:W387"/>
    <mergeCell ref="J391:L391"/>
    <mergeCell ref="J393:L393"/>
    <mergeCell ref="U393:V393"/>
    <mergeCell ref="J395:L395"/>
    <mergeCell ref="U395:V395"/>
    <mergeCell ref="U389:V389"/>
    <mergeCell ref="J375:L375"/>
    <mergeCell ref="U375:V375"/>
    <mergeCell ref="J377:L379"/>
    <mergeCell ref="U379:V379"/>
    <mergeCell ref="J381:L381"/>
    <mergeCell ref="J383:L383"/>
    <mergeCell ref="U353:V353"/>
    <mergeCell ref="J355:L355"/>
    <mergeCell ref="U355:V355"/>
    <mergeCell ref="J357:L357"/>
    <mergeCell ref="U357:V357"/>
    <mergeCell ref="J343:L343"/>
    <mergeCell ref="U343:V343"/>
    <mergeCell ref="D347:U347"/>
    <mergeCell ref="V347:W347"/>
    <mergeCell ref="J349:L349"/>
    <mergeCell ref="U349:V349"/>
    <mergeCell ref="J335:L335"/>
    <mergeCell ref="U335:V335"/>
    <mergeCell ref="D339:U339"/>
    <mergeCell ref="V339:W339"/>
    <mergeCell ref="J341:L341"/>
    <mergeCell ref="U341:V341"/>
    <mergeCell ref="D329:U329"/>
    <mergeCell ref="V329:W329"/>
    <mergeCell ref="J331:L331"/>
    <mergeCell ref="U331:V331"/>
    <mergeCell ref="J333:L333"/>
    <mergeCell ref="U333:V333"/>
    <mergeCell ref="J318:L318"/>
    <mergeCell ref="J320:L320"/>
    <mergeCell ref="U320:V320"/>
    <mergeCell ref="J322:L322"/>
    <mergeCell ref="U322:V322"/>
    <mergeCell ref="J324:L324"/>
    <mergeCell ref="J310:L310"/>
    <mergeCell ref="U310:V310"/>
    <mergeCell ref="J312:L312"/>
    <mergeCell ref="U312:V312"/>
    <mergeCell ref="J314:L314"/>
    <mergeCell ref="J316:L316"/>
    <mergeCell ref="J302:L302"/>
    <mergeCell ref="U302:V302"/>
    <mergeCell ref="J304:L304"/>
    <mergeCell ref="J306:L306"/>
    <mergeCell ref="J308:L308"/>
    <mergeCell ref="U308:V308"/>
    <mergeCell ref="D294:I296"/>
    <mergeCell ref="J294:L296"/>
    <mergeCell ref="O294:T296"/>
    <mergeCell ref="U294:V296"/>
    <mergeCell ref="D300:U300"/>
    <mergeCell ref="V300:W300"/>
    <mergeCell ref="D286:I287"/>
    <mergeCell ref="J286:L288"/>
    <mergeCell ref="U286:V288"/>
    <mergeCell ref="D290:I291"/>
    <mergeCell ref="J290:L292"/>
    <mergeCell ref="U290:V290"/>
    <mergeCell ref="J280:L280"/>
    <mergeCell ref="U280:V280"/>
    <mergeCell ref="D282:I284"/>
    <mergeCell ref="J282:L284"/>
    <mergeCell ref="O282:T284"/>
    <mergeCell ref="U282:V284"/>
    <mergeCell ref="J268:L268"/>
    <mergeCell ref="J270:L270"/>
    <mergeCell ref="D274:U274"/>
    <mergeCell ref="V274:W274"/>
    <mergeCell ref="D276:I277"/>
    <mergeCell ref="J276:L276"/>
    <mergeCell ref="U276:V278"/>
    <mergeCell ref="D270:I271"/>
    <mergeCell ref="D264:U264"/>
    <mergeCell ref="V264:W264"/>
    <mergeCell ref="J266:L266"/>
    <mergeCell ref="U266:V266"/>
    <mergeCell ref="J230:L230"/>
    <mergeCell ref="J204:L204"/>
    <mergeCell ref="J208:L208"/>
    <mergeCell ref="J210:L210"/>
    <mergeCell ref="J212:L212"/>
    <mergeCell ref="D218:U218"/>
    <mergeCell ref="V218:W218"/>
    <mergeCell ref="J194:L194"/>
    <mergeCell ref="U194:V194"/>
    <mergeCell ref="J196:L196"/>
    <mergeCell ref="T198:T199"/>
    <mergeCell ref="J200:L200"/>
    <mergeCell ref="U200:V200"/>
    <mergeCell ref="J188:L188"/>
    <mergeCell ref="U188:V188"/>
    <mergeCell ref="J190:L190"/>
    <mergeCell ref="U190:V190"/>
    <mergeCell ref="J192:L192"/>
    <mergeCell ref="U192:V192"/>
    <mergeCell ref="J182:L182"/>
    <mergeCell ref="U182:V182"/>
    <mergeCell ref="J184:L184"/>
    <mergeCell ref="U184:V184"/>
    <mergeCell ref="J186:L186"/>
    <mergeCell ref="U186:V186"/>
    <mergeCell ref="J158:L158"/>
    <mergeCell ref="U158:V158"/>
    <mergeCell ref="D178:U178"/>
    <mergeCell ref="V178:W178"/>
    <mergeCell ref="J180:L180"/>
    <mergeCell ref="J152:L152"/>
    <mergeCell ref="U152:V152"/>
    <mergeCell ref="J154:L154"/>
    <mergeCell ref="U154:V154"/>
    <mergeCell ref="J156:L156"/>
    <mergeCell ref="U156:V156"/>
    <mergeCell ref="U164:V164"/>
    <mergeCell ref="U166:V166"/>
    <mergeCell ref="J168:L168"/>
    <mergeCell ref="U168:V168"/>
    <mergeCell ref="J170:L170"/>
    <mergeCell ref="U170:V170"/>
    <mergeCell ref="J172:L172"/>
    <mergeCell ref="U172:V172"/>
    <mergeCell ref="J174:L174"/>
    <mergeCell ref="U174:V174"/>
    <mergeCell ref="V162:W162"/>
    <mergeCell ref="J146:L146"/>
    <mergeCell ref="U146:V146"/>
    <mergeCell ref="J148:L148"/>
    <mergeCell ref="U148:V148"/>
    <mergeCell ref="J150:L150"/>
    <mergeCell ref="U150:V150"/>
    <mergeCell ref="J134:L134"/>
    <mergeCell ref="D138:U138"/>
    <mergeCell ref="V138:W138"/>
    <mergeCell ref="U140:V140"/>
    <mergeCell ref="J142:L142"/>
    <mergeCell ref="J144:L144"/>
    <mergeCell ref="U144:V144"/>
    <mergeCell ref="H122:X127"/>
    <mergeCell ref="D130:U130"/>
    <mergeCell ref="V130:W130"/>
    <mergeCell ref="J132:L132"/>
    <mergeCell ref="U132:V132"/>
    <mergeCell ref="O100:P100"/>
    <mergeCell ref="I116:M118"/>
    <mergeCell ref="S116:V118"/>
    <mergeCell ref="I119:L119"/>
    <mergeCell ref="S119:V119"/>
    <mergeCell ref="K121:T121"/>
    <mergeCell ref="L84:M84"/>
    <mergeCell ref="S85:V98"/>
    <mergeCell ref="O90:P90"/>
    <mergeCell ref="O92:P92"/>
    <mergeCell ref="O94:P94"/>
    <mergeCell ref="M42:P42"/>
    <mergeCell ref="S49:V64"/>
    <mergeCell ref="S67:V82"/>
    <mergeCell ref="L70:M70"/>
    <mergeCell ref="L72:M72"/>
    <mergeCell ref="L74:M74"/>
    <mergeCell ref="L76:M76"/>
    <mergeCell ref="L78:M78"/>
    <mergeCell ref="L80:M80"/>
    <mergeCell ref="L82:M82"/>
    <mergeCell ref="M32:P32"/>
    <mergeCell ref="R40:V42"/>
    <mergeCell ref="M36:P36"/>
    <mergeCell ref="M38:P38"/>
    <mergeCell ref="M40:P40"/>
    <mergeCell ref="M22:P22"/>
    <mergeCell ref="M24:P24"/>
    <mergeCell ref="M26:P26"/>
    <mergeCell ref="M28:P28"/>
    <mergeCell ref="M30:P30"/>
    <mergeCell ref="B462:B494"/>
    <mergeCell ref="I463:J463"/>
    <mergeCell ref="H464:X469"/>
    <mergeCell ref="D473:W473"/>
    <mergeCell ref="O475:T475"/>
    <mergeCell ref="U475:V475"/>
    <mergeCell ref="D477:I477"/>
    <mergeCell ref="J477:L477"/>
    <mergeCell ref="D479:I479"/>
    <mergeCell ref="J479:L479"/>
    <mergeCell ref="D489:I489"/>
    <mergeCell ref="J489:L489"/>
    <mergeCell ref="O489:T489"/>
    <mergeCell ref="U489:V489"/>
    <mergeCell ref="D491:I491"/>
    <mergeCell ref="J491:L491"/>
    <mergeCell ref="O491:T491"/>
    <mergeCell ref="U491:V491"/>
    <mergeCell ref="D497:W497"/>
    <mergeCell ref="O499:T499"/>
    <mergeCell ref="U499:V499"/>
    <mergeCell ref="D501:I501"/>
    <mergeCell ref="J501:L501"/>
    <mergeCell ref="D503:I503"/>
    <mergeCell ref="J503:L503"/>
    <mergeCell ref="O503:T503"/>
    <mergeCell ref="U503:V503"/>
    <mergeCell ref="D505:I505"/>
    <mergeCell ref="J505:L505"/>
    <mergeCell ref="O505:T505"/>
    <mergeCell ref="U505:V505"/>
    <mergeCell ref="D507:I507"/>
    <mergeCell ref="J507:L507"/>
    <mergeCell ref="D511:W511"/>
    <mergeCell ref="O513:T513"/>
    <mergeCell ref="U513:V513"/>
    <mergeCell ref="O515:T515"/>
    <mergeCell ref="U515:V515"/>
    <mergeCell ref="D517:I517"/>
    <mergeCell ref="J517:L517"/>
    <mergeCell ref="O517:T517"/>
    <mergeCell ref="U517:V517"/>
    <mergeCell ref="D519:I519"/>
    <mergeCell ref="J519:L519"/>
    <mergeCell ref="O519:T519"/>
    <mergeCell ref="U519:V519"/>
    <mergeCell ref="D521:I521"/>
    <mergeCell ref="J521:L521"/>
    <mergeCell ref="O521:T521"/>
    <mergeCell ref="U521:V521"/>
    <mergeCell ref="D523:I523"/>
    <mergeCell ref="J523:L523"/>
    <mergeCell ref="O523:T523"/>
    <mergeCell ref="U523:V523"/>
    <mergeCell ref="D527:W527"/>
    <mergeCell ref="D529:I529"/>
    <mergeCell ref="J529:L529"/>
    <mergeCell ref="U529:V529"/>
    <mergeCell ref="D531:I531"/>
    <mergeCell ref="J531:L531"/>
    <mergeCell ref="O531:T531"/>
    <mergeCell ref="U531:V531"/>
    <mergeCell ref="D533:I534"/>
    <mergeCell ref="J533:L533"/>
    <mergeCell ref="O533:T533"/>
    <mergeCell ref="U533:V533"/>
    <mergeCell ref="O534:T535"/>
    <mergeCell ref="D535:I536"/>
    <mergeCell ref="J535:L535"/>
    <mergeCell ref="U535:V535"/>
    <mergeCell ref="D537:I537"/>
    <mergeCell ref="J537:L537"/>
    <mergeCell ref="D539:I539"/>
    <mergeCell ref="J539:L539"/>
    <mergeCell ref="O539:T539"/>
    <mergeCell ref="U539:V539"/>
    <mergeCell ref="D541:I541"/>
    <mergeCell ref="J541:L541"/>
    <mergeCell ref="O541:T541"/>
    <mergeCell ref="U541:V541"/>
    <mergeCell ref="J543:L547"/>
    <mergeCell ref="O543:T543"/>
    <mergeCell ref="U543:V543"/>
    <mergeCell ref="D547:I548"/>
    <mergeCell ref="O547:T547"/>
    <mergeCell ref="U547:V547"/>
    <mergeCell ref="J551:L551"/>
    <mergeCell ref="O551:T551"/>
    <mergeCell ref="U551:V551"/>
    <mergeCell ref="C543:I543"/>
    <mergeCell ref="C551:I551"/>
    <mergeCell ref="D553:I553"/>
    <mergeCell ref="J553:L553"/>
    <mergeCell ref="O553:T553"/>
    <mergeCell ref="U553:V553"/>
    <mergeCell ref="U555:V555"/>
    <mergeCell ref="D559:W559"/>
    <mergeCell ref="D561:I561"/>
    <mergeCell ref="J561:L561"/>
    <mergeCell ref="O561:T561"/>
    <mergeCell ref="U561:V561"/>
    <mergeCell ref="D563:I563"/>
    <mergeCell ref="J563:L565"/>
    <mergeCell ref="O565:T565"/>
    <mergeCell ref="U565:V565"/>
    <mergeCell ref="D567:I567"/>
    <mergeCell ref="J567:L567"/>
    <mergeCell ref="O567:T567"/>
    <mergeCell ref="U567:V567"/>
    <mergeCell ref="D569:I569"/>
    <mergeCell ref="J569:L569"/>
    <mergeCell ref="O569:T569"/>
    <mergeCell ref="U569:V569"/>
    <mergeCell ref="J571:L571"/>
    <mergeCell ref="D575:W575"/>
    <mergeCell ref="D577:I577"/>
    <mergeCell ref="J577:L577"/>
    <mergeCell ref="O577:T577"/>
    <mergeCell ref="U577:V577"/>
    <mergeCell ref="D579:I579"/>
    <mergeCell ref="J579:L579"/>
    <mergeCell ref="O579:T579"/>
    <mergeCell ref="U579:V579"/>
    <mergeCell ref="D581:I581"/>
    <mergeCell ref="J581:L581"/>
    <mergeCell ref="O581:T581"/>
    <mergeCell ref="U581:V581"/>
    <mergeCell ref="D583:I583"/>
    <mergeCell ref="J583:L583"/>
    <mergeCell ref="O583:T583"/>
    <mergeCell ref="U583:V583"/>
    <mergeCell ref="D585:I586"/>
    <mergeCell ref="J585:L585"/>
    <mergeCell ref="O585:T585"/>
    <mergeCell ref="U585:V585"/>
    <mergeCell ref="D587:I587"/>
    <mergeCell ref="J587:L587"/>
    <mergeCell ref="O587:T587"/>
    <mergeCell ref="U587:V587"/>
    <mergeCell ref="D589:I589"/>
    <mergeCell ref="J589:L589"/>
    <mergeCell ref="O589:T589"/>
    <mergeCell ref="U589:V589"/>
    <mergeCell ref="D591:I591"/>
    <mergeCell ref="J591:L591"/>
  </mergeCells>
  <conditionalFormatting sqref="M90:M100">
    <cfRule type="expression" dxfId="46" priority="7">
      <formula>$O$100=0</formula>
    </cfRule>
  </conditionalFormatting>
  <conditionalFormatting sqref="O88">
    <cfRule type="expression" dxfId="45" priority="6">
      <formula>$O$100=0</formula>
    </cfRule>
  </conditionalFormatting>
  <conditionalFormatting sqref="O90:P90 O92:P92 O94:P94 O100:P100">
    <cfRule type="expression" dxfId="44" priority="5">
      <formula>$O$100=0</formula>
    </cfRule>
  </conditionalFormatting>
  <conditionalFormatting sqref="O72">
    <cfRule type="cellIs" dxfId="43" priority="3" stopIfTrue="1" operator="greaterThan">
      <formula>0.99</formula>
    </cfRule>
    <cfRule type="cellIs" dxfId="42" priority="4" operator="between">
      <formula>0.75</formula>
      <formula>1</formula>
    </cfRule>
  </conditionalFormatting>
  <conditionalFormatting sqref="M102">
    <cfRule type="expression" dxfId="41" priority="2">
      <formula>$O$100=0</formula>
    </cfRule>
  </conditionalFormatting>
  <conditionalFormatting sqref="O102:P102">
    <cfRule type="expression" dxfId="40" priority="1">
      <formula>$O$100=0</formula>
    </cfRule>
  </conditionalFormatting>
  <dataValidations count="5">
    <dataValidation type="list" allowBlank="1" showInputMessage="1" showErrorMessage="1" sqref="J266 N266">
      <formula1>EME</formula1>
    </dataValidation>
    <dataValidation type="list" allowBlank="1" showInputMessage="1" showErrorMessage="1" sqref="N268 U266">
      <formula1>QC</formula1>
    </dataValidation>
    <dataValidation type="list" allowBlank="1" showInputMessage="1" showErrorMessage="1" sqref="N351:O351 N531">
      <formula1>$F$255:$F$263</formula1>
    </dataValidation>
    <dataValidation type="list" allowBlank="1" showInputMessage="1" showErrorMessage="1" sqref="M24">
      <formula1>EMEs</formula1>
    </dataValidation>
    <dataValidation type="list" allowBlank="1" showInputMessage="1" showErrorMessage="1" sqref="M26">
      <formula1>QC_Reviewers</formula1>
    </dataValidation>
  </dataValidations>
  <printOptions horizontalCentered="1"/>
  <pageMargins left="0.25" right="0.25" top="0.25" bottom="0.25" header="0.3" footer="0.3"/>
  <pageSetup scale="54" fitToHeight="0" orientation="portrait" r:id="rId1"/>
  <headerFooter>
    <oddFooter>&amp;LPuget Sound Energy 2018
pse.com/commercial lighting&amp;R&amp;D
&amp;A</oddFooter>
  </headerFooter>
  <rowBreaks count="2" manualBreakCount="2">
    <brk id="120" min="1" max="22" man="1"/>
    <brk id="250" min="1" max="22"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70C0"/>
  </sheetPr>
  <dimension ref="A1:CS266"/>
  <sheetViews>
    <sheetView zoomScale="90" zoomScaleNormal="90" workbookViewId="0"/>
  </sheetViews>
  <sheetFormatPr defaultRowHeight="14.3"/>
  <cols>
    <col min="1" max="65" width="20.75" customWidth="1"/>
    <col min="66" max="66" width="24.875" customWidth="1"/>
    <col min="67" max="75" width="20.75" customWidth="1"/>
    <col min="76" max="76" width="40" bestFit="1" customWidth="1"/>
    <col min="77" max="83" width="20.75" customWidth="1"/>
    <col min="84" max="84" width="22.5" bestFit="1" customWidth="1"/>
    <col min="85" max="89" width="20.75" customWidth="1"/>
    <col min="90" max="90" width="20.75" bestFit="1" customWidth="1"/>
    <col min="91" max="93" width="20.75" customWidth="1"/>
    <col min="94" max="94" width="19.5" bestFit="1" customWidth="1"/>
    <col min="95" max="111" width="20.75" customWidth="1"/>
  </cols>
  <sheetData>
    <row r="1" spans="1:97">
      <c r="A1" t="s">
        <v>857</v>
      </c>
    </row>
    <row r="2" spans="1:97">
      <c r="A2" t="s">
        <v>858</v>
      </c>
      <c r="B2" t="s">
        <v>859</v>
      </c>
      <c r="C2" t="s">
        <v>860</v>
      </c>
      <c r="D2" t="s">
        <v>861</v>
      </c>
      <c r="V2" t="s">
        <v>862</v>
      </c>
      <c r="AD2" t="s">
        <v>835</v>
      </c>
      <c r="AP2" t="s">
        <v>809</v>
      </c>
      <c r="BN2" t="s">
        <v>863</v>
      </c>
      <c r="BW2" t="s">
        <v>864</v>
      </c>
      <c r="BX2" t="s">
        <v>752</v>
      </c>
      <c r="CM2" t="s">
        <v>865</v>
      </c>
      <c r="CN2" t="s">
        <v>710</v>
      </c>
      <c r="CQ2" t="s">
        <v>866</v>
      </c>
      <c r="CS2" t="s">
        <v>867</v>
      </c>
    </row>
    <row r="3" spans="1:97">
      <c r="A3" s="1071" t="s">
        <v>858</v>
      </c>
      <c r="B3" s="1071" t="s">
        <v>859</v>
      </c>
      <c r="C3" s="1071" t="s">
        <v>860</v>
      </c>
      <c r="D3" s="1071" t="s">
        <v>868</v>
      </c>
      <c r="E3" s="1071" t="s">
        <v>869</v>
      </c>
      <c r="F3" s="1071" t="s">
        <v>491</v>
      </c>
      <c r="G3" s="1071" t="s">
        <v>870</v>
      </c>
      <c r="H3" s="1071" t="s">
        <v>871</v>
      </c>
      <c r="I3" s="1071" t="s">
        <v>872</v>
      </c>
      <c r="J3" s="1071" t="s">
        <v>873</v>
      </c>
      <c r="K3" s="1071" t="s">
        <v>874</v>
      </c>
      <c r="L3" s="1071" t="s">
        <v>875</v>
      </c>
      <c r="M3" s="1071" t="s">
        <v>876</v>
      </c>
      <c r="N3" s="1071" t="s">
        <v>877</v>
      </c>
      <c r="O3" s="1071" t="s">
        <v>878</v>
      </c>
      <c r="P3" s="1071" t="s">
        <v>879</v>
      </c>
      <c r="Q3" s="1071" t="s">
        <v>880</v>
      </c>
      <c r="R3" s="1071" t="s">
        <v>881</v>
      </c>
      <c r="S3" s="1071" t="s">
        <v>77</v>
      </c>
      <c r="T3" s="1071" t="s">
        <v>882</v>
      </c>
      <c r="U3" s="1071" t="s">
        <v>883</v>
      </c>
      <c r="V3" s="1071" t="s">
        <v>491</v>
      </c>
      <c r="W3" s="1071" t="s">
        <v>884</v>
      </c>
      <c r="X3" s="1071" t="s">
        <v>885</v>
      </c>
      <c r="Y3" s="1071" t="s">
        <v>886</v>
      </c>
      <c r="Z3" s="1071" t="s">
        <v>887</v>
      </c>
      <c r="AA3" s="1071" t="s">
        <v>888</v>
      </c>
      <c r="AB3" s="1071" t="s">
        <v>889</v>
      </c>
      <c r="AC3" s="1071" t="s">
        <v>890</v>
      </c>
      <c r="AD3" s="1071" t="s">
        <v>884</v>
      </c>
      <c r="AE3" s="1071" t="s">
        <v>411</v>
      </c>
      <c r="AF3" s="1071" t="s">
        <v>2034</v>
      </c>
      <c r="AG3" s="1071" t="s">
        <v>881</v>
      </c>
      <c r="AH3" s="1071" t="s">
        <v>77</v>
      </c>
      <c r="AI3" s="1071" t="s">
        <v>2035</v>
      </c>
      <c r="AJ3" s="1071" t="s">
        <v>872</v>
      </c>
      <c r="AK3" s="1071" t="s">
        <v>873</v>
      </c>
      <c r="AL3" s="1071" t="s">
        <v>874</v>
      </c>
      <c r="AM3" s="1071" t="s">
        <v>875</v>
      </c>
      <c r="AN3" s="1071" t="s">
        <v>2036</v>
      </c>
      <c r="AO3" s="1071" t="s">
        <v>890</v>
      </c>
      <c r="AP3" s="1071" t="s">
        <v>891</v>
      </c>
      <c r="AQ3" s="1071" t="s">
        <v>892</v>
      </c>
      <c r="AR3" s="1071" t="s">
        <v>491</v>
      </c>
      <c r="AS3" s="1071" t="s">
        <v>2037</v>
      </c>
      <c r="AT3" s="1071" t="s">
        <v>2038</v>
      </c>
      <c r="AU3" s="1071" t="s">
        <v>2039</v>
      </c>
      <c r="AV3" s="1071" t="s">
        <v>2040</v>
      </c>
      <c r="AW3" s="1071" t="s">
        <v>2041</v>
      </c>
      <c r="AX3" s="1071" t="s">
        <v>2042</v>
      </c>
      <c r="AY3" s="1071" t="s">
        <v>893</v>
      </c>
      <c r="AZ3" s="1071" t="s">
        <v>439</v>
      </c>
      <c r="BA3" s="1071" t="s">
        <v>894</v>
      </c>
      <c r="BB3" s="1071" t="s">
        <v>497</v>
      </c>
      <c r="BC3" s="1071" t="s">
        <v>895</v>
      </c>
      <c r="BD3" s="1071" t="s">
        <v>499</v>
      </c>
      <c r="BE3" s="1071" t="s">
        <v>2043</v>
      </c>
      <c r="BF3" s="1071" t="s">
        <v>904</v>
      </c>
      <c r="BG3" s="1071" t="s">
        <v>905</v>
      </c>
      <c r="BH3" s="1071" t="s">
        <v>906</v>
      </c>
      <c r="BI3" s="1071" t="s">
        <v>907</v>
      </c>
      <c r="BJ3" s="1071" t="s">
        <v>2044</v>
      </c>
      <c r="BK3" s="1071" t="s">
        <v>64</v>
      </c>
      <c r="BL3" s="1071" t="s">
        <v>913</v>
      </c>
      <c r="BM3" s="1071" t="s">
        <v>914</v>
      </c>
      <c r="BN3" s="1071" t="s">
        <v>411</v>
      </c>
      <c r="BO3" s="1071" t="s">
        <v>915</v>
      </c>
      <c r="BP3" s="1071" t="s">
        <v>2045</v>
      </c>
      <c r="BQ3" s="1071" t="s">
        <v>916</v>
      </c>
      <c r="BR3" s="1071" t="s">
        <v>917</v>
      </c>
      <c r="BS3" s="1071" t="s">
        <v>88</v>
      </c>
      <c r="BT3" s="1071" t="s">
        <v>91</v>
      </c>
      <c r="BU3" s="1071" t="s">
        <v>94</v>
      </c>
      <c r="BV3" s="1071" t="s">
        <v>918</v>
      </c>
      <c r="BW3" s="1071" t="s">
        <v>919</v>
      </c>
      <c r="BX3" s="1071" t="s">
        <v>920</v>
      </c>
      <c r="BY3" s="1071" t="s">
        <v>921</v>
      </c>
      <c r="BZ3" s="1071" t="s">
        <v>922</v>
      </c>
      <c r="CA3" s="1071" t="s">
        <v>923</v>
      </c>
      <c r="CB3" s="1071" t="s">
        <v>924</v>
      </c>
      <c r="CC3" s="1071" t="s">
        <v>925</v>
      </c>
      <c r="CD3" s="1071" t="s">
        <v>926</v>
      </c>
      <c r="CE3" s="1071" t="s">
        <v>927</v>
      </c>
      <c r="CF3" s="1071" t="s">
        <v>928</v>
      </c>
      <c r="CG3" s="1071" t="s">
        <v>929</v>
      </c>
      <c r="CH3" s="1071" t="s">
        <v>930</v>
      </c>
      <c r="CI3" s="1071" t="s">
        <v>931</v>
      </c>
      <c r="CJ3" s="1071" t="s">
        <v>932</v>
      </c>
      <c r="CK3" s="1071" t="s">
        <v>933</v>
      </c>
      <c r="CL3" s="1071" t="s">
        <v>934</v>
      </c>
      <c r="CM3" s="1071" t="s">
        <v>919</v>
      </c>
      <c r="CN3" s="1071" t="s">
        <v>935</v>
      </c>
      <c r="CO3" s="1071" t="s">
        <v>936</v>
      </c>
      <c r="CP3" s="1071" t="s">
        <v>937</v>
      </c>
      <c r="CQ3" s="1071" t="s">
        <v>866</v>
      </c>
      <c r="CR3" s="1071" t="s">
        <v>938</v>
      </c>
      <c r="CS3" s="1071" t="s">
        <v>867</v>
      </c>
    </row>
    <row r="4" spans="1:97">
      <c r="C4" t="b">
        <v>1</v>
      </c>
      <c r="D4" s="408">
        <f ca="1">G10</f>
        <v>0</v>
      </c>
      <c r="F4">
        <f ca="1">F10</f>
        <v>0</v>
      </c>
      <c r="G4" s="269">
        <f ca="1">M10</f>
        <v>0</v>
      </c>
      <c r="H4" s="269">
        <f ca="1">Q10</f>
        <v>0</v>
      </c>
      <c r="J4" s="269">
        <f ca="1">R10</f>
        <v>0</v>
      </c>
      <c r="K4" s="269" t="str">
        <f t="shared" ref="K4:L4" ca="1" si="0">S10</f>
        <v>WA</v>
      </c>
      <c r="L4" s="269">
        <f t="shared" ca="1" si="0"/>
        <v>0</v>
      </c>
      <c r="N4">
        <f ca="1">I10</f>
        <v>0</v>
      </c>
      <c r="O4">
        <f ca="1">J10</f>
        <v>0</v>
      </c>
      <c r="P4" t="str">
        <f ca="1">K10</f>
        <v>WA</v>
      </c>
      <c r="Q4">
        <f ca="1">L10</f>
        <v>0</v>
      </c>
      <c r="R4" s="411">
        <f ca="1">P10</f>
        <v>0</v>
      </c>
      <c r="S4" s="269">
        <f ca="1">O10</f>
        <v>0</v>
      </c>
      <c r="T4">
        <f ca="1">H10</f>
        <v>0</v>
      </c>
      <c r="V4" t="str">
        <f ca="1">W10</f>
        <v/>
      </c>
      <c r="X4" t="str">
        <f ca="1">X11</f>
        <v/>
      </c>
      <c r="Y4" t="str">
        <f ca="1">X12</f>
        <v/>
      </c>
      <c r="Z4" t="str">
        <f ca="1">Z10</f>
        <v/>
      </c>
      <c r="AA4" t="str">
        <f ca="1">Y10</f>
        <v/>
      </c>
      <c r="AC4" t="s">
        <v>381</v>
      </c>
      <c r="AE4" t="str">
        <f ca="1">IF(AC19&gt;1,AE19,AE20)</f>
        <v/>
      </c>
      <c r="AG4" t="str">
        <f ca="1">IF(AE19&gt;1,AG19,AG20)</f>
        <v/>
      </c>
      <c r="AH4" t="str">
        <f ca="1">IF(AF19&gt;1,AH19,AH20)</f>
        <v/>
      </c>
      <c r="AI4" t="str">
        <f ca="1">IF(AG19&gt;1,AI19,AI20)</f>
        <v/>
      </c>
      <c r="AK4" t="str">
        <f ca="1">IF(AI19&gt;1,AK19,AK20)</f>
        <v/>
      </c>
      <c r="AL4" t="str">
        <f ca="1">IF(AJ19&gt;1,AL19,AL20)</f>
        <v/>
      </c>
      <c r="AM4" s="1072" t="str">
        <f ca="1">IF(AK19&gt;1,AM19,AM20)</f>
        <v/>
      </c>
      <c r="AP4">
        <f>'Grant QC Review'!M22</f>
        <v>0</v>
      </c>
      <c r="AR4" s="269">
        <f ca="1">M10</f>
        <v>0</v>
      </c>
      <c r="AS4">
        <f ca="1">N10</f>
        <v>0</v>
      </c>
      <c r="AT4">
        <f ca="1">O10</f>
        <v>0</v>
      </c>
      <c r="AU4">
        <f ca="1">P10</f>
        <v>0</v>
      </c>
      <c r="AV4">
        <f ca="1">M10</f>
        <v>0</v>
      </c>
      <c r="AW4">
        <f ca="1">O10</f>
        <v>0</v>
      </c>
      <c r="AX4">
        <f ca="1">P10</f>
        <v>0</v>
      </c>
      <c r="AZ4">
        <f ca="1">E10</f>
        <v>0</v>
      </c>
      <c r="BA4">
        <f ca="1">I10</f>
        <v>0</v>
      </c>
      <c r="BB4">
        <f ca="1">J10</f>
        <v>0</v>
      </c>
      <c r="BC4" t="str">
        <f ca="1">K10</f>
        <v>WA</v>
      </c>
      <c r="BD4">
        <f ca="1">L10</f>
        <v>0</v>
      </c>
      <c r="BF4">
        <f ca="1">V10</f>
        <v>0</v>
      </c>
      <c r="BG4" s="409">
        <f ca="1">F15-BG5</f>
        <v>0</v>
      </c>
      <c r="BH4" s="270">
        <f ca="1">J15-BH5</f>
        <v>0</v>
      </c>
      <c r="BJ4" t="str">
        <f ca="1">D10</f>
        <v>Multi-Family Housing</v>
      </c>
      <c r="BK4" t="str">
        <f ca="1">A10</f>
        <v>Commercial/Industrial</v>
      </c>
      <c r="BL4">
        <f ca="1">H10</f>
        <v>0</v>
      </c>
      <c r="BN4">
        <f t="shared" ref="BN4:BO5" ca="1" si="1">AN12</f>
        <v>0</v>
      </c>
      <c r="BO4" t="str">
        <f t="shared" ca="1" si="1"/>
        <v/>
      </c>
      <c r="BQ4" t="str">
        <f ca="1">AR12</f>
        <v/>
      </c>
      <c r="BS4" t="str">
        <f t="shared" ref="BS4:BU5" ca="1" si="2">AS12</f>
        <v/>
      </c>
      <c r="BT4" t="str">
        <f t="shared" ca="1" si="2"/>
        <v/>
      </c>
      <c r="BU4" t="str">
        <f t="shared" ca="1" si="2"/>
        <v/>
      </c>
      <c r="BV4" t="str">
        <f>IF('Customer Authorization'!E49="","Check Payment","Bill Credit")</f>
        <v>Check Payment</v>
      </c>
      <c r="BX4" t="str">
        <f ca="1">BX6</f>
        <v>Lighting - Custom</v>
      </c>
      <c r="BY4" s="96">
        <f ca="1">BY6</f>
        <v>10059</v>
      </c>
      <c r="BZ4" t="s">
        <v>939</v>
      </c>
      <c r="CA4" s="412" t="str">
        <f ca="1">AX13</f>
        <v>Enter on "Customer Authorization" tab</v>
      </c>
      <c r="CB4" s="409">
        <f ca="1">F15-CB5</f>
        <v>0</v>
      </c>
      <c r="CC4" t="s">
        <v>757</v>
      </c>
      <c r="CD4" s="270">
        <f ca="1">J15-CD5</f>
        <v>0</v>
      </c>
      <c r="CF4" s="270">
        <f ca="1">N15</f>
        <v>0</v>
      </c>
      <c r="CG4" s="409">
        <f ca="1">G15-CG5</f>
        <v>0</v>
      </c>
      <c r="CH4" s="270">
        <f ca="1">H15</f>
        <v>0</v>
      </c>
      <c r="CI4">
        <f ca="1">M15</f>
        <v>0</v>
      </c>
      <c r="CJ4" s="409">
        <f ca="1">F15-CJ5</f>
        <v>0</v>
      </c>
      <c r="CK4">
        <f ca="1">IFERROR(ROUND(CG4/CJ4,2),2)</f>
        <v>2</v>
      </c>
      <c r="CL4">
        <f ca="1">IFERROR(ROUND(CD4/CH4,2),0)</f>
        <v>0</v>
      </c>
    </row>
    <row r="5" spans="1:97">
      <c r="C5" t="b">
        <f>C4</f>
        <v>1</v>
      </c>
      <c r="D5" s="408">
        <f ca="1">G10</f>
        <v>0</v>
      </c>
      <c r="F5">
        <f ca="1">F10</f>
        <v>0</v>
      </c>
      <c r="G5" s="269">
        <f ca="1">M10</f>
        <v>0</v>
      </c>
      <c r="H5" s="269">
        <f ca="1">Q10</f>
        <v>0</v>
      </c>
      <c r="J5" s="269">
        <f ca="1">R10</f>
        <v>0</v>
      </c>
      <c r="K5" s="269" t="str">
        <f t="shared" ref="K5:L5" ca="1" si="3">S10</f>
        <v>WA</v>
      </c>
      <c r="L5" s="269">
        <f t="shared" ca="1" si="3"/>
        <v>0</v>
      </c>
      <c r="N5">
        <f ca="1">I10</f>
        <v>0</v>
      </c>
      <c r="O5">
        <f ca="1">J10</f>
        <v>0</v>
      </c>
      <c r="P5" t="str">
        <f ca="1">K10</f>
        <v>WA</v>
      </c>
      <c r="Q5">
        <f ca="1">L10</f>
        <v>0</v>
      </c>
      <c r="R5" s="411">
        <f ca="1">P10</f>
        <v>0</v>
      </c>
      <c r="S5" s="269">
        <f ca="1">O10</f>
        <v>0</v>
      </c>
      <c r="T5">
        <f ca="1">H10</f>
        <v>0</v>
      </c>
      <c r="V5" t="str">
        <f ca="1">W10</f>
        <v/>
      </c>
      <c r="X5" t="str">
        <f ca="1">X11</f>
        <v/>
      </c>
      <c r="Y5" t="str">
        <f ca="1">X12</f>
        <v/>
      </c>
      <c r="Z5" t="str">
        <f ca="1">Z10</f>
        <v/>
      </c>
      <c r="AA5" t="str">
        <f ca="1">Y10</f>
        <v/>
      </c>
      <c r="AC5" t="str">
        <f>AC4</f>
        <v>Contractor</v>
      </c>
      <c r="AE5" t="str">
        <f ca="1">AE4</f>
        <v/>
      </c>
      <c r="AG5" t="str">
        <f t="shared" ref="AG5:AM5" ca="1" si="4">AG4</f>
        <v/>
      </c>
      <c r="AH5" t="str">
        <f t="shared" ca="1" si="4"/>
        <v/>
      </c>
      <c r="AI5" t="str">
        <f t="shared" ca="1" si="4"/>
        <v/>
      </c>
      <c r="AK5" t="str">
        <f t="shared" ca="1" si="4"/>
        <v/>
      </c>
      <c r="AL5" t="str">
        <f t="shared" ca="1" si="4"/>
        <v/>
      </c>
      <c r="AM5" t="str">
        <f t="shared" ca="1" si="4"/>
        <v/>
      </c>
      <c r="AP5">
        <f>'Grant QC Review'!O90</f>
        <v>0</v>
      </c>
      <c r="AR5" s="269">
        <f ca="1">M10</f>
        <v>0</v>
      </c>
      <c r="AS5">
        <f ca="1">N10</f>
        <v>0</v>
      </c>
      <c r="AT5">
        <f ca="1">O10</f>
        <v>0</v>
      </c>
      <c r="AU5">
        <f ca="1">P10</f>
        <v>0</v>
      </c>
      <c r="AV5">
        <f ca="1">M10</f>
        <v>0</v>
      </c>
      <c r="AW5">
        <f ca="1">O10</f>
        <v>0</v>
      </c>
      <c r="AX5">
        <f ca="1">P10</f>
        <v>0</v>
      </c>
      <c r="AZ5">
        <f ca="1">E10</f>
        <v>0</v>
      </c>
      <c r="BA5">
        <f ca="1">I10</f>
        <v>0</v>
      </c>
      <c r="BB5">
        <f ca="1">J10</f>
        <v>0</v>
      </c>
      <c r="BC5" t="str">
        <f ca="1">K10</f>
        <v>WA</v>
      </c>
      <c r="BD5">
        <f ca="1">L10</f>
        <v>0</v>
      </c>
      <c r="BF5">
        <f ca="1">V10</f>
        <v>0</v>
      </c>
      <c r="BG5" s="120">
        <f ca="1">R15</f>
        <v>0</v>
      </c>
      <c r="BH5">
        <f ca="1">U15</f>
        <v>0</v>
      </c>
      <c r="BJ5" t="str">
        <f ca="1">D10</f>
        <v>Multi-Family Housing</v>
      </c>
      <c r="BK5" t="str">
        <f ca="1">A10</f>
        <v>Commercial/Industrial</v>
      </c>
      <c r="BL5">
        <f ca="1">H10</f>
        <v>0</v>
      </c>
      <c r="BN5">
        <f t="shared" ca="1" si="1"/>
        <v>0</v>
      </c>
      <c r="BO5" t="str">
        <f t="shared" ca="1" si="1"/>
        <v/>
      </c>
      <c r="BQ5" t="str">
        <f ca="1">AR13</f>
        <v/>
      </c>
      <c r="BS5" t="str">
        <f t="shared" ca="1" si="2"/>
        <v/>
      </c>
      <c r="BT5" t="str">
        <f t="shared" ca="1" si="2"/>
        <v/>
      </c>
      <c r="BU5" t="str">
        <f t="shared" ca="1" si="2"/>
        <v/>
      </c>
      <c r="BV5" t="str">
        <f>IF('Customer Authorization'!E49="","Check Payment","Bill Credit")</f>
        <v>Check Payment</v>
      </c>
      <c r="BX5" t="s">
        <v>940</v>
      </c>
      <c r="BY5" s="96">
        <f>BY13</f>
        <v>12334</v>
      </c>
      <c r="BZ5" t="s">
        <v>939</v>
      </c>
      <c r="CA5" s="412" t="str">
        <f ca="1">CA4</f>
        <v>Enter on "Customer Authorization" tab</v>
      </c>
      <c r="CB5" s="120">
        <f ca="1">BG5</f>
        <v>0</v>
      </c>
      <c r="CC5" t="s">
        <v>757</v>
      </c>
      <c r="CD5">
        <f ca="1">BH5</f>
        <v>0</v>
      </c>
      <c r="CF5">
        <v>10</v>
      </c>
      <c r="CG5" s="120">
        <f ca="1">R15</f>
        <v>0</v>
      </c>
      <c r="CH5" s="270">
        <f ca="1">V15</f>
        <v>0</v>
      </c>
      <c r="CI5">
        <v>0</v>
      </c>
      <c r="CJ5" s="120">
        <f ca="1">R15</f>
        <v>0</v>
      </c>
      <c r="CK5">
        <f ca="1">IFERROR(ROUND(CG5/CJ5,2),2)</f>
        <v>2</v>
      </c>
      <c r="CL5">
        <f ca="1">IFERROR(ROUND(CD5/CH5,2),0)</f>
        <v>0</v>
      </c>
    </row>
    <row r="6" spans="1:97">
      <c r="A6" t="s">
        <v>941</v>
      </c>
      <c r="B6" s="268" t="s">
        <v>942</v>
      </c>
      <c r="C6" t="s">
        <v>943</v>
      </c>
      <c r="AE6" s="2" t="s">
        <v>2031</v>
      </c>
      <c r="BX6" t="str">
        <f ca="1">IF(BX8="New Construction",BX16,IF(BX8="Tenant Improvement",BX14,IF(BX8="Retrofit",BX11,IF(C12="Yes",BX12,BX11))))</f>
        <v>Lighting - Custom</v>
      </c>
      <c r="BY6" s="96">
        <f ca="1">VLOOKUP(BX6,BX11:BY16,2,FALSE)</f>
        <v>10059</v>
      </c>
    </row>
    <row r="7" spans="1:97">
      <c r="A7" t="str">
        <f ca="1">INDIRECT("'Lookup'!D20")</f>
        <v>Multi-Family Lighting 2022 STANDARD Application V2-2 - Valid through 12/31/2022</v>
      </c>
      <c r="AE7">
        <f ca="1">INDIRECT("Project!R53")</f>
        <v>0</v>
      </c>
    </row>
    <row r="8" spans="1:97">
      <c r="A8" t="s">
        <v>379</v>
      </c>
      <c r="E8" s="2" t="s">
        <v>379</v>
      </c>
      <c r="M8" s="2" t="s">
        <v>2030</v>
      </c>
      <c r="U8" t="s">
        <v>381</v>
      </c>
      <c r="AE8" s="2" t="s">
        <v>944</v>
      </c>
      <c r="AM8" s="2" t="s">
        <v>945</v>
      </c>
      <c r="AY8" s="2" t="s">
        <v>946</v>
      </c>
      <c r="BC8" s="2" t="s">
        <v>947</v>
      </c>
      <c r="BX8" s="2" t="str">
        <f ca="1">A11</f>
        <v>RETROFIT</v>
      </c>
    </row>
    <row r="9" spans="1:97">
      <c r="A9" s="2" t="s">
        <v>64</v>
      </c>
      <c r="B9" s="2" t="s">
        <v>948</v>
      </c>
      <c r="C9" s="2" t="s">
        <v>84</v>
      </c>
      <c r="D9" s="2" t="s">
        <v>87</v>
      </c>
      <c r="E9" s="2" t="s">
        <v>439</v>
      </c>
      <c r="F9" s="2" t="s">
        <v>491</v>
      </c>
      <c r="G9" s="2" t="s">
        <v>949</v>
      </c>
      <c r="H9" s="2" t="s">
        <v>950</v>
      </c>
      <c r="I9" s="2" t="s">
        <v>82</v>
      </c>
      <c r="J9" s="2" t="s">
        <v>88</v>
      </c>
      <c r="K9" s="2" t="s">
        <v>91</v>
      </c>
      <c r="L9" s="2" t="s">
        <v>94</v>
      </c>
      <c r="M9" s="2" t="s">
        <v>71</v>
      </c>
      <c r="N9" s="2" t="s">
        <v>951</v>
      </c>
      <c r="O9" s="2" t="s">
        <v>77</v>
      </c>
      <c r="P9" s="2" t="s">
        <v>952</v>
      </c>
      <c r="Q9" s="2" t="s">
        <v>917</v>
      </c>
      <c r="R9" s="2" t="s">
        <v>953</v>
      </c>
      <c r="S9" s="2" t="s">
        <v>954</v>
      </c>
      <c r="T9" s="2" t="s">
        <v>955</v>
      </c>
      <c r="U9" s="2" t="s">
        <v>500</v>
      </c>
      <c r="V9" s="2" t="s">
        <v>528</v>
      </c>
      <c r="W9" s="2" t="s">
        <v>381</v>
      </c>
      <c r="X9" s="2" t="s">
        <v>337</v>
      </c>
      <c r="Y9" s="2" t="s">
        <v>77</v>
      </c>
      <c r="Z9" s="2" t="s">
        <v>952</v>
      </c>
      <c r="AA9" s="2" t="s">
        <v>86</v>
      </c>
      <c r="AB9" s="2" t="s">
        <v>88</v>
      </c>
      <c r="AC9" s="2" t="s">
        <v>91</v>
      </c>
      <c r="AD9" s="2" t="s">
        <v>94</v>
      </c>
      <c r="AE9" s="2" t="s">
        <v>944</v>
      </c>
      <c r="AF9" s="2" t="s">
        <v>337</v>
      </c>
      <c r="AG9" s="2" t="s">
        <v>77</v>
      </c>
      <c r="AH9" s="2" t="s">
        <v>952</v>
      </c>
      <c r="AI9" s="2" t="s">
        <v>86</v>
      </c>
      <c r="AJ9" s="2" t="s">
        <v>88</v>
      </c>
      <c r="AK9" s="2" t="s">
        <v>91</v>
      </c>
      <c r="AL9" s="2" t="s">
        <v>94</v>
      </c>
      <c r="AM9" s="2" t="s">
        <v>956</v>
      </c>
      <c r="AN9" s="2" t="s">
        <v>957</v>
      </c>
      <c r="AO9" s="2" t="s">
        <v>337</v>
      </c>
      <c r="AP9" s="2" t="s">
        <v>77</v>
      </c>
      <c r="AQ9" s="2" t="s">
        <v>952</v>
      </c>
      <c r="AR9" s="2" t="s">
        <v>86</v>
      </c>
      <c r="AS9" s="2" t="s">
        <v>88</v>
      </c>
      <c r="AT9" s="2" t="s">
        <v>91</v>
      </c>
      <c r="AU9" s="2" t="s">
        <v>94</v>
      </c>
      <c r="AV9" s="2" t="s">
        <v>410</v>
      </c>
      <c r="AW9" s="2" t="s">
        <v>411</v>
      </c>
      <c r="AX9" s="2" t="s">
        <v>412</v>
      </c>
      <c r="AY9" s="2" t="s">
        <v>71</v>
      </c>
      <c r="AZ9" s="2" t="s">
        <v>951</v>
      </c>
      <c r="BA9" s="2" t="s">
        <v>77</v>
      </c>
      <c r="BB9" s="2" t="s">
        <v>952</v>
      </c>
      <c r="BC9" s="2" t="s">
        <v>958</v>
      </c>
      <c r="BD9" s="2" t="s">
        <v>71</v>
      </c>
      <c r="BE9" s="2" t="s">
        <v>337</v>
      </c>
      <c r="BF9" s="2" t="s">
        <v>77</v>
      </c>
      <c r="BG9" s="2" t="s">
        <v>952</v>
      </c>
      <c r="BH9" s="2" t="s">
        <v>86</v>
      </c>
      <c r="BI9" s="2" t="s">
        <v>88</v>
      </c>
      <c r="BJ9" s="2" t="s">
        <v>91</v>
      </c>
      <c r="BK9" s="2" t="s">
        <v>94</v>
      </c>
    </row>
    <row r="10" spans="1:97">
      <c r="A10" t="str">
        <f ca="1">INDIRECT("Project!H22")</f>
        <v>Commercial/Industrial</v>
      </c>
      <c r="B10">
        <f ca="1">INDIRECT("Project!H26")</f>
        <v>0</v>
      </c>
      <c r="C10" t="str">
        <f ca="1">INDIRECT("Project!H32")</f>
        <v>Multifamily</v>
      </c>
      <c r="D10" t="str">
        <f ca="1">INDIRECT("Project!H34")</f>
        <v>Multi-Family Housing</v>
      </c>
      <c r="E10">
        <f ca="1">INDIRECT("Project!V22")</f>
        <v>0</v>
      </c>
      <c r="F10">
        <f ca="1">INDIRECT("Project!V24")</f>
        <v>0</v>
      </c>
      <c r="G10" s="410">
        <f ca="1">INDIRECT("Project!V26")</f>
        <v>0</v>
      </c>
      <c r="H10" s="269">
        <f ca="1">INDIRECT("Project!V28")</f>
        <v>0</v>
      </c>
      <c r="I10" s="269">
        <f ca="1">INDIRECT("Project!V30")</f>
        <v>0</v>
      </c>
      <c r="J10" s="269">
        <f ca="1">INDIRECT("Project!v34")</f>
        <v>0</v>
      </c>
      <c r="K10" s="269" t="str">
        <f ca="1">INDIRECT("Project!V36")</f>
        <v>WA</v>
      </c>
      <c r="L10" s="364">
        <f ca="1">INDIRECT("Project!AA36")</f>
        <v>0</v>
      </c>
      <c r="M10" s="269">
        <f ca="1">INDIRECT("Project!AK22")</f>
        <v>0</v>
      </c>
      <c r="N10" s="269">
        <f ca="1">INDIRECT("Project!AK24")</f>
        <v>0</v>
      </c>
      <c r="O10" s="269">
        <f ca="1">INDIRECT("Project!AK26")</f>
        <v>0</v>
      </c>
      <c r="P10" s="411">
        <f ca="1">INDIRECT("Project!AK28")</f>
        <v>0</v>
      </c>
      <c r="Q10" s="269">
        <f ca="1">IF(INDIRECT("Project!AK32")="",I10,INDIRECT("Project!AK32"))</f>
        <v>0</v>
      </c>
      <c r="R10" s="269">
        <f ca="1">IF(INDIRECT("Project!AK34")="",J10,INDIRECT("Project!AK34"))</f>
        <v>0</v>
      </c>
      <c r="S10" s="269" t="str">
        <f ca="1">IF(INDIRECT("Project!AK36")="",K10,INDIRECT("Project!AK36"))</f>
        <v>WA</v>
      </c>
      <c r="T10" s="364">
        <f ca="1">IF(INDIRECT("Project!AN36")="",L10,INDIRECT("Project!AN36"))</f>
        <v>0</v>
      </c>
      <c r="U10" t="str">
        <f ca="1">INDIRECT("Project!U59")</f>
        <v>- Choose Installed By -</v>
      </c>
      <c r="V10">
        <f ca="1">INDIRECT("Project!Z43")</f>
        <v>0</v>
      </c>
      <c r="W10" t="str">
        <f ca="1">INDIRECT("Project!U81")</f>
        <v/>
      </c>
      <c r="X10" t="str">
        <f ca="1">INDIRECT("Project!U83")</f>
        <v/>
      </c>
      <c r="Y10" t="str">
        <f ca="1">INDIRECT("Project!U85")</f>
        <v/>
      </c>
      <c r="Z10" t="str">
        <f ca="1">INDIRECT("Project!U87")</f>
        <v/>
      </c>
      <c r="AA10" t="str">
        <f ca="1">INDIRECT("Project!U89")</f>
        <v/>
      </c>
      <c r="AB10" t="str">
        <f ca="1">INDIRECT("Project!U91")</f>
        <v/>
      </c>
      <c r="AC10" t="str">
        <f ca="1">INDIRECT("Project!U93")</f>
        <v/>
      </c>
      <c r="AD10" s="96" t="str">
        <f ca="1">INDIRECT("Project!AA93")</f>
        <v/>
      </c>
      <c r="AE10">
        <f ca="1">INDIRECT("Project!AJ63")</f>
        <v>0</v>
      </c>
      <c r="AF10">
        <f ca="1">INDIRECT("Project!AJ65")</f>
        <v>0</v>
      </c>
      <c r="AG10">
        <f ca="1">INDIRECT("Project!AJ67")</f>
        <v>0</v>
      </c>
      <c r="AH10" s="411">
        <f ca="1">INDIRECT("Project!AJ69")</f>
        <v>0</v>
      </c>
      <c r="AI10">
        <f ca="1">INDIRECT("Project!AJ71")</f>
        <v>0</v>
      </c>
      <c r="AJ10">
        <f ca="1">INDIRECT("Project!AJ73")</f>
        <v>0</v>
      </c>
      <c r="AK10">
        <f ca="1">INDIRECT("Project!AJ75")</f>
        <v>0</v>
      </c>
      <c r="AL10">
        <f ca="1">INDIRECT("Project!AN75")</f>
        <v>0</v>
      </c>
      <c r="AV10">
        <f ca="1">INDIRECT("'Customer Authorization'!AE81")</f>
        <v>0</v>
      </c>
      <c r="AW10">
        <f ca="1">INDIRECT("'Customer Authorization'!AE83")</f>
        <v>0</v>
      </c>
      <c r="AX10" s="412">
        <f ca="1">INDIRECT("'Customer Authorization'!AE85")</f>
        <v>0</v>
      </c>
      <c r="AY10">
        <f ca="1">INDIRECT("Project!AX28")</f>
        <v>0</v>
      </c>
      <c r="AZ10">
        <f ca="1">INDIRECT("Project!AX30")</f>
        <v>0</v>
      </c>
      <c r="BA10">
        <f ca="1">INDIRECT("Project!AX32")</f>
        <v>0</v>
      </c>
      <c r="BB10">
        <f ca="1">INDIRECT("Project!AX34")</f>
        <v>0</v>
      </c>
      <c r="BC10" t="str">
        <f ca="1">INDIRECT("Project!H59")</f>
        <v>- Choose Submitted By -</v>
      </c>
      <c r="BD10" t="str">
        <f ca="1">INDIRECT("Project!H81")</f>
        <v/>
      </c>
      <c r="BE10" t="str">
        <f ca="1">INDIRECT("Project!H83")</f>
        <v/>
      </c>
      <c r="BF10" t="str">
        <f ca="1">INDIRECT("Project!H85")</f>
        <v/>
      </c>
      <c r="BG10" t="str">
        <f ca="1">INDIRECT("Project!H87")</f>
        <v/>
      </c>
      <c r="BH10" t="str">
        <f ca="1">INDIRECT("Project!H89")</f>
        <v/>
      </c>
      <c r="BI10" t="str">
        <f ca="1">INDIRECT("Project!H91")</f>
        <v/>
      </c>
      <c r="BJ10" t="str">
        <f ca="1">INDIRECT("Project!H93")</f>
        <v/>
      </c>
      <c r="BK10" s="96" t="str">
        <f ca="1">INDIRECT("Project!L93")</f>
        <v/>
      </c>
    </row>
    <row r="11" spans="1:97">
      <c r="A11" t="str">
        <f ca="1">INDIRECT("Project!H24")</f>
        <v>RETROFIT</v>
      </c>
      <c r="X11" t="str">
        <f ca="1">IFERROR(LEFT(X10,FIND(" ",X10)-1),X10)</f>
        <v/>
      </c>
      <c r="BX11" t="s">
        <v>959</v>
      </c>
      <c r="BY11" s="96">
        <v>10059</v>
      </c>
    </row>
    <row r="12" spans="1:97">
      <c r="B12" s="139" t="s">
        <v>960</v>
      </c>
      <c r="C12" t="str">
        <f ca="1">IF(U15&gt;0,"Yes","No")</f>
        <v>No</v>
      </c>
      <c r="X12" t="str">
        <f ca="1">IFERROR(RIGHT(X10,LEN(X10)-FIND(" ",X10)),"")</f>
        <v/>
      </c>
      <c r="AL12" t="s">
        <v>961</v>
      </c>
      <c r="AM12" t="str">
        <f ca="1">INDIRECT("'Customer Authorization'!V57")</f>
        <v/>
      </c>
      <c r="AN12">
        <f ca="1">INDIRECT("'Customer Authorization'!V59")</f>
        <v>0</v>
      </c>
      <c r="AO12" t="str">
        <f ca="1">INDIRECT("'Customer Authorization'!V63")</f>
        <v/>
      </c>
      <c r="AP12" t="str">
        <f ca="1">INDIRECT("'Customer Authorization'!V65")</f>
        <v/>
      </c>
      <c r="AQ12" t="str">
        <f ca="1">INDIRECT("'Customer Authorization'!V67")</f>
        <v/>
      </c>
      <c r="AR12" t="str">
        <f ca="1">INDIRECT("'Customer Authorization'!V69")</f>
        <v/>
      </c>
      <c r="AS12" t="str">
        <f ca="1">INDIRECT("'Customer Authorization'!V71")</f>
        <v/>
      </c>
      <c r="AT12" t="str">
        <f ca="1">INDIRECT("'Customer Authorization'!V73")</f>
        <v/>
      </c>
      <c r="AU12" t="str">
        <f ca="1">INDIRECT("'Customer Authorization'!Y73")</f>
        <v/>
      </c>
      <c r="AX12" s="2" t="s">
        <v>2032</v>
      </c>
      <c r="BX12" t="s">
        <v>962</v>
      </c>
      <c r="BY12" s="96">
        <v>12323</v>
      </c>
    </row>
    <row r="13" spans="1:97">
      <c r="O13" s="2" t="s">
        <v>1026</v>
      </c>
      <c r="AL13" t="s">
        <v>963</v>
      </c>
      <c r="AM13" t="str">
        <f ca="1">INDIRECT("'Customer Authorization'!AH57")</f>
        <v/>
      </c>
      <c r="AN13">
        <f ca="1">INDIRECT("'Customer Authorization'!AH59")</f>
        <v>0</v>
      </c>
      <c r="AO13" t="str">
        <f ca="1">INDIRECT("'Customer Authorization'!AH63")</f>
        <v/>
      </c>
      <c r="AP13" t="str">
        <f ca="1">INDIRECT("'Customer Authorization'!AH65")</f>
        <v/>
      </c>
      <c r="AQ13" t="str">
        <f ca="1">INDIRECT("'Customer Authorization'!AH67")</f>
        <v/>
      </c>
      <c r="AR13" t="str">
        <f ca="1">INDIRECT("'Customer Authorization'!AH69")</f>
        <v/>
      </c>
      <c r="AS13" t="str">
        <f ca="1">INDIRECT("'Customer Authorization'!AH71")</f>
        <v/>
      </c>
      <c r="AT13" t="str">
        <f ca="1">INDIRECT("'Customer Authorization'!AH73")</f>
        <v/>
      </c>
      <c r="AU13" t="str">
        <f ca="1">INDIRECT("'Customer Authorization'!AK73")</f>
        <v/>
      </c>
      <c r="AX13" s="412" t="str">
        <f ca="1">IF(INDIRECT("'Customer Authorization'!AE87")="","Enter on ""Customer Authorization"" tab",INDIRECT("'Customer Authorization'!AE87"))</f>
        <v>Enter on "Customer Authorization" tab</v>
      </c>
      <c r="BX13" t="s">
        <v>940</v>
      </c>
      <c r="BY13" s="96">
        <v>12334</v>
      </c>
    </row>
    <row r="14" spans="1:97">
      <c r="A14" t="s">
        <v>964</v>
      </c>
      <c r="B14" t="s">
        <v>384</v>
      </c>
      <c r="C14" t="s">
        <v>387</v>
      </c>
      <c r="D14" t="s">
        <v>965</v>
      </c>
      <c r="E14" t="s">
        <v>966</v>
      </c>
      <c r="F14" t="s">
        <v>236</v>
      </c>
      <c r="G14" t="s">
        <v>205</v>
      </c>
      <c r="H14" t="s">
        <v>967</v>
      </c>
      <c r="I14" t="s">
        <v>968</v>
      </c>
      <c r="J14" t="s">
        <v>233</v>
      </c>
      <c r="K14" t="s">
        <v>336</v>
      </c>
      <c r="L14" t="s">
        <v>228</v>
      </c>
      <c r="M14" t="s">
        <v>969</v>
      </c>
      <c r="N14" t="s">
        <v>143</v>
      </c>
      <c r="O14" t="s">
        <v>238</v>
      </c>
      <c r="P14" t="s">
        <v>970</v>
      </c>
      <c r="Q14" t="s">
        <v>971</v>
      </c>
      <c r="R14" t="s">
        <v>972</v>
      </c>
      <c r="S14" t="s">
        <v>973</v>
      </c>
      <c r="T14" t="s">
        <v>974</v>
      </c>
      <c r="U14" t="s">
        <v>376</v>
      </c>
      <c r="V14" t="s">
        <v>375</v>
      </c>
      <c r="X14" t="s">
        <v>641</v>
      </c>
      <c r="BG14" s="829" t="s">
        <v>975</v>
      </c>
      <c r="BH14" s="829" t="s">
        <v>976</v>
      </c>
      <c r="BI14" s="728"/>
      <c r="BK14" t="s">
        <v>975</v>
      </c>
      <c r="BL14" t="s">
        <v>977</v>
      </c>
      <c r="BM14" t="s">
        <v>978</v>
      </c>
      <c r="BX14" t="s">
        <v>979</v>
      </c>
      <c r="BY14" s="96">
        <v>13224</v>
      </c>
    </row>
    <row r="15" spans="1:97">
      <c r="B15" s="362">
        <f ca="1">INDIRECT("Installations!E28")</f>
        <v>0</v>
      </c>
      <c r="C15" s="362">
        <f ca="1">INDIRECT("Installations!E20")</f>
        <v>0</v>
      </c>
      <c r="D15" s="362">
        <f ca="1">INDIRECT("Installations!E22")</f>
        <v>0</v>
      </c>
      <c r="E15" s="369">
        <f ca="1">INDIRECT("Installations!E24")</f>
        <v>0</v>
      </c>
      <c r="F15" s="362">
        <f ca="1">INDIRECT("Installations!E32")</f>
        <v>0</v>
      </c>
      <c r="G15" s="362">
        <f ca="1">INDIRECT("Installations!T20")</f>
        <v>0</v>
      </c>
      <c r="H15" s="363">
        <f ca="1">INDIRECT("Installations!K20")</f>
        <v>0</v>
      </c>
      <c r="I15" s="363">
        <f ca="1">INDIRECT("Installations!K22")</f>
        <v>0</v>
      </c>
      <c r="J15" s="363">
        <f ca="1">INDIRECT("Installations!K24")</f>
        <v>0</v>
      </c>
      <c r="K15" s="366">
        <f ca="1">INDIRECT("Installations!K28")</f>
        <v>0</v>
      </c>
      <c r="L15" s="366">
        <f ca="1">INDIRECT("Installations!K30")</f>
        <v>0</v>
      </c>
      <c r="M15" s="366">
        <f ca="1">INDIRECT("Installations!K32")</f>
        <v>0</v>
      </c>
      <c r="N15" s="363">
        <f ca="1">IFERROR(INDIRECT("Autofund!H6"),10)</f>
        <v>0</v>
      </c>
      <c r="O15" s="366">
        <f ca="1">INDIRECT("Autofund!O3")</f>
        <v>0</v>
      </c>
      <c r="P15" s="413">
        <f ca="1">INDIRECT("Autofund!J4")</f>
        <v>0</v>
      </c>
      <c r="Q15" s="96">
        <f ca="1">INDIRECT("Autofund!G47")</f>
        <v>0</v>
      </c>
      <c r="R15" s="413">
        <f ca="1">INDIRECT("Autofund!J5")</f>
        <v>0</v>
      </c>
      <c r="S15" s="413">
        <f ca="1">INDIRECT("Autofund!J3")</f>
        <v>0</v>
      </c>
      <c r="T15" s="413">
        <f ca="1">INDIRECT("Autofund!J6")</f>
        <v>0</v>
      </c>
      <c r="U15" s="364">
        <f ca="1">INDIRECT("Autofund!T78")</f>
        <v>0</v>
      </c>
      <c r="V15" s="96">
        <f ca="1">INDIRECT("Autofund!T79")</f>
        <v>0</v>
      </c>
      <c r="X15" t="s">
        <v>644</v>
      </c>
      <c r="AK15" s="488"/>
      <c r="AL15" s="208" t="s">
        <v>418</v>
      </c>
      <c r="AM15">
        <f ca="1">INDIRECT("'Customer Authorization'!AE108")</f>
        <v>0</v>
      </c>
      <c r="BG15" s="728" t="s">
        <v>980</v>
      </c>
      <c r="BH15" s="728">
        <v>0</v>
      </c>
      <c r="BI15" s="728" t="s">
        <v>980</v>
      </c>
      <c r="BX15" t="s">
        <v>981</v>
      </c>
      <c r="BY15" s="96">
        <v>10074</v>
      </c>
    </row>
    <row r="16" spans="1:97">
      <c r="E16" s="257"/>
      <c r="S16" s="120"/>
      <c r="AK16" s="488"/>
      <c r="BG16" s="728" t="s">
        <v>982</v>
      </c>
      <c r="BH16" s="728">
        <v>0.82</v>
      </c>
      <c r="BI16" s="728" t="s">
        <v>581</v>
      </c>
      <c r="BK16" t="s">
        <v>982</v>
      </c>
      <c r="BL16">
        <v>0.64</v>
      </c>
      <c r="BM16" t="s">
        <v>581</v>
      </c>
      <c r="BX16" t="s">
        <v>983</v>
      </c>
      <c r="BY16" s="96">
        <v>10076</v>
      </c>
    </row>
    <row r="17" spans="2:68">
      <c r="B17" s="1"/>
      <c r="C17" s="1"/>
      <c r="D17" s="1"/>
      <c r="E17" s="1"/>
      <c r="F17" s="1"/>
      <c r="G17" s="1"/>
      <c r="AX17" s="1053"/>
      <c r="AY17" s="1053"/>
      <c r="AZ17" s="1053"/>
      <c r="BA17" s="1053"/>
      <c r="BB17" s="1053"/>
      <c r="BC17" s="1053"/>
      <c r="BD17" s="1053"/>
    </row>
    <row r="18" spans="2:68">
      <c r="B18" s="1"/>
      <c r="C18" s="1"/>
      <c r="D18" s="271" t="s">
        <v>986</v>
      </c>
      <c r="E18" s="272">
        <v>0</v>
      </c>
      <c r="F18" s="1"/>
      <c r="G18" s="1"/>
      <c r="AD18" s="2" t="s">
        <v>2046</v>
      </c>
      <c r="AE18" t="str">
        <f ca="1">IF(AC19&gt;1,AE19,AE20)</f>
        <v/>
      </c>
      <c r="AF18" t="str">
        <f ca="1">IF(AD19&gt;1,AF19,AF20)</f>
        <v/>
      </c>
      <c r="AG18" t="str">
        <f t="shared" ref="AG18:AM18" ca="1" si="5">IF(AE19&gt;1,AG19,AG20)</f>
        <v/>
      </c>
      <c r="AH18" t="str">
        <f t="shared" ca="1" si="5"/>
        <v/>
      </c>
      <c r="AI18" t="str">
        <f t="shared" ca="1" si="5"/>
        <v/>
      </c>
      <c r="AK18" t="str">
        <f t="shared" ca="1" si="5"/>
        <v/>
      </c>
      <c r="AL18" t="str">
        <f t="shared" ca="1" si="5"/>
        <v/>
      </c>
      <c r="AM18" s="1073" t="str">
        <f t="shared" ca="1" si="5"/>
        <v/>
      </c>
      <c r="AX18" s="1053"/>
      <c r="AY18" s="1053"/>
      <c r="AZ18" s="1053"/>
      <c r="BA18" s="1053"/>
      <c r="BB18" s="1053"/>
      <c r="BC18" s="1053"/>
      <c r="BD18" s="1053"/>
    </row>
    <row r="19" spans="2:68">
      <c r="B19" s="1"/>
      <c r="C19" s="1"/>
      <c r="D19" s="273" t="s">
        <v>988</v>
      </c>
      <c r="E19" s="830">
        <f ca="1">INDIRECT("'Grant QC Review'!M" &amp; 22+E18)</f>
        <v>0</v>
      </c>
      <c r="F19" s="1"/>
      <c r="G19" s="1"/>
      <c r="AB19" t="str">
        <f ca="1">INDIRECT("Project!H59")</f>
        <v>- Choose Submitted By -</v>
      </c>
      <c r="AC19">
        <f ca="1">INDIRECT("Project!O59")</f>
        <v>0</v>
      </c>
      <c r="AD19" s="2" t="s">
        <v>947</v>
      </c>
      <c r="AE19" t="str">
        <f ca="1">INDIRECT("Project!H81")</f>
        <v/>
      </c>
      <c r="AF19" t="str">
        <f ca="1">INDIRECT("Project!H83")</f>
        <v/>
      </c>
      <c r="AG19" t="str">
        <f ca="1">INDIRECT("Project!H87")</f>
        <v/>
      </c>
      <c r="AH19" t="str">
        <f ca="1">INDIRECT("Project!H85")</f>
        <v/>
      </c>
      <c r="AI19" t="str">
        <f ca="1">INDIRECT("Project!H89")</f>
        <v/>
      </c>
      <c r="AK19" t="str">
        <f ca="1">INDIRECT("Project!H91")</f>
        <v/>
      </c>
      <c r="AL19" t="str">
        <f ca="1">INDIRECT("Project!H93")</f>
        <v/>
      </c>
      <c r="AM19" s="1072" t="str">
        <f ca="1">INDIRECT("Project!L93")</f>
        <v/>
      </c>
      <c r="AX19" s="1053"/>
      <c r="AY19" s="1053"/>
      <c r="AZ19" s="1053"/>
      <c r="BA19" s="1053"/>
      <c r="BB19" s="1053"/>
      <c r="BC19" s="1053"/>
      <c r="BD19" s="1053"/>
    </row>
    <row r="20" spans="2:68">
      <c r="B20" s="1"/>
      <c r="C20" s="1"/>
      <c r="D20" s="273" t="s">
        <v>990</v>
      </c>
      <c r="E20" s="831">
        <f ca="1">INDIRECT("'Grant QC Review'!M"&amp;24+E18)</f>
        <v>0</v>
      </c>
      <c r="F20" s="1"/>
      <c r="G20" s="1"/>
      <c r="AB20" t="str">
        <f ca="1">INDIRECT("Project!U59")</f>
        <v>- Choose Installed By -</v>
      </c>
      <c r="AC20">
        <f ca="1">INDIRECT("Project!AD59")</f>
        <v>0</v>
      </c>
      <c r="AD20" s="2" t="s">
        <v>2049</v>
      </c>
      <c r="AE20" t="str">
        <f ca="1">INDIRECT("Project!U81")</f>
        <v/>
      </c>
      <c r="AF20" t="str">
        <f ca="1">INDIRECT("Project!U83")</f>
        <v/>
      </c>
      <c r="AG20" t="str">
        <f ca="1">INDIRECT("Project!U87")</f>
        <v/>
      </c>
      <c r="AH20" t="str">
        <f ca="1">INDIRECT("Project!U85")</f>
        <v/>
      </c>
      <c r="AI20" t="str">
        <f ca="1">INDIRECT("Project!U89")</f>
        <v/>
      </c>
      <c r="AK20" t="str">
        <f ca="1">INDIRECT("Project!U91")</f>
        <v/>
      </c>
      <c r="AL20" t="str">
        <f ca="1">INDIRECT("Project!U93")</f>
        <v/>
      </c>
      <c r="AM20" s="1072" t="str">
        <f ca="1">INDIRECT("Project!AA93")</f>
        <v/>
      </c>
      <c r="AX20" s="1053"/>
      <c r="AY20" s="1053"/>
      <c r="AZ20" s="1053"/>
      <c r="BA20" s="1053"/>
      <c r="BB20" s="1053"/>
      <c r="BC20" s="1053"/>
      <c r="BD20" s="1053"/>
    </row>
    <row r="21" spans="2:68">
      <c r="B21" s="1"/>
      <c r="C21" s="1"/>
      <c r="D21" s="273" t="s">
        <v>637</v>
      </c>
      <c r="E21" s="830">
        <f ca="1">INDIRECT("'Grant QC Review'!M" &amp; 26+E18)</f>
        <v>0</v>
      </c>
      <c r="F21" s="1"/>
      <c r="G21" s="1"/>
      <c r="AL21" s="301"/>
      <c r="AX21" s="1053"/>
      <c r="AY21" s="1053"/>
      <c r="AZ21" s="1053"/>
      <c r="BA21" s="1053"/>
      <c r="BB21" s="1053"/>
      <c r="BC21" s="1053"/>
      <c r="BD21" s="1053"/>
      <c r="BI21" s="268" t="s">
        <v>896</v>
      </c>
      <c r="BJ21" s="268" t="s">
        <v>897</v>
      </c>
      <c r="BK21" s="268" t="s">
        <v>898</v>
      </c>
      <c r="BL21" s="268" t="s">
        <v>899</v>
      </c>
      <c r="BM21" s="268" t="s">
        <v>900</v>
      </c>
      <c r="BN21" s="268" t="s">
        <v>901</v>
      </c>
      <c r="BO21" s="268" t="s">
        <v>902</v>
      </c>
      <c r="BP21" s="268" t="s">
        <v>903</v>
      </c>
    </row>
    <row r="22" spans="2:68">
      <c r="B22" s="1"/>
      <c r="C22" s="1"/>
      <c r="D22" s="273" t="s">
        <v>641</v>
      </c>
      <c r="E22" s="832">
        <f ca="1">INDIRECT("'Grant QC Review'!M" &amp; 28+E18)</f>
        <v>0</v>
      </c>
      <c r="F22" s="1"/>
      <c r="G22" s="1"/>
      <c r="AL22" s="301"/>
      <c r="AX22" s="1053"/>
      <c r="AY22" s="1053"/>
      <c r="AZ22" s="1053"/>
      <c r="BA22" s="1053"/>
      <c r="BB22" s="1053"/>
      <c r="BC22" s="1053"/>
      <c r="BD22" s="1053"/>
      <c r="BI22" t="str">
        <f ca="1">W10</f>
        <v/>
      </c>
      <c r="BJ22" t="str">
        <f ca="1">X10</f>
        <v/>
      </c>
      <c r="BK22" t="str">
        <f ca="1">Y10</f>
        <v/>
      </c>
      <c r="BL22" t="str">
        <f ca="1">Z10</f>
        <v/>
      </c>
    </row>
    <row r="23" spans="2:68">
      <c r="B23" s="1"/>
      <c r="C23" s="1"/>
      <c r="D23" s="273" t="s">
        <v>995</v>
      </c>
      <c r="E23" s="832" t="str">
        <f ca="1">INDIRECT("'Grant QC Review'!M" &amp; 30+E18)</f>
        <v>Enter on "Customer Authorization" tab</v>
      </c>
      <c r="F23" s="1"/>
      <c r="G23" s="1"/>
      <c r="AL23" s="301"/>
      <c r="AX23" s="1053"/>
      <c r="AY23" s="1053"/>
      <c r="AZ23" s="1053"/>
      <c r="BA23" s="1053"/>
      <c r="BB23" s="1053"/>
      <c r="BC23" s="1053"/>
      <c r="BD23" s="1053"/>
      <c r="BI23" t="str">
        <f ca="1">W10</f>
        <v/>
      </c>
      <c r="BJ23" t="str">
        <f ca="1">X10</f>
        <v/>
      </c>
      <c r="BK23" t="str">
        <f ca="1">Y10</f>
        <v/>
      </c>
      <c r="BL23" t="str">
        <f ca="1">Z10</f>
        <v/>
      </c>
    </row>
    <row r="24" spans="2:68">
      <c r="B24" s="1"/>
      <c r="C24" s="1"/>
      <c r="D24" s="273" t="s">
        <v>997</v>
      </c>
      <c r="E24" s="833">
        <f ca="1">INDIRECT("'Grant QC Review'!M" &amp; 32+E18)</f>
        <v>0</v>
      </c>
      <c r="F24" s="1"/>
      <c r="G24" s="1"/>
      <c r="AL24" s="301"/>
      <c r="AX24" s="1053"/>
      <c r="AY24" s="1053"/>
      <c r="AZ24" s="1053"/>
      <c r="BA24" s="1053"/>
      <c r="BB24" s="1053"/>
      <c r="BC24" s="1053"/>
      <c r="BD24" s="1053"/>
    </row>
    <row r="25" spans="2:68">
      <c r="B25" s="1"/>
      <c r="C25" s="1"/>
      <c r="D25" s="273" t="s">
        <v>631</v>
      </c>
      <c r="E25" s="830">
        <f ca="1">INDIRECT("'Grant QC Review'!S" &amp; 22+E18)</f>
        <v>0</v>
      </c>
      <c r="F25" s="1"/>
      <c r="G25" s="1"/>
      <c r="AL25" s="301"/>
      <c r="AX25" s="1053"/>
      <c r="AY25" s="1053"/>
      <c r="AZ25" s="1053"/>
      <c r="BA25" s="1053"/>
      <c r="BB25" s="1053"/>
      <c r="BC25" s="1053"/>
      <c r="BD25" s="1053"/>
    </row>
    <row r="26" spans="2:68">
      <c r="B26" s="1"/>
      <c r="C26" s="1"/>
      <c r="D26" s="273" t="s">
        <v>635</v>
      </c>
      <c r="E26" s="830">
        <f ca="1">INDIRECT("'Grant QC Review'!S" &amp; 24+E18)</f>
        <v>0</v>
      </c>
      <c r="F26" s="1"/>
      <c r="G26" s="1"/>
      <c r="AL26" s="301"/>
      <c r="AX26" s="1053"/>
      <c r="AY26" s="1053"/>
      <c r="AZ26" s="1053"/>
      <c r="BA26" s="1053"/>
      <c r="BB26" s="1053"/>
      <c r="BC26" s="1053"/>
      <c r="BD26" s="1053"/>
      <c r="BI26" s="268" t="s">
        <v>908</v>
      </c>
    </row>
    <row r="27" spans="2:68">
      <c r="B27" s="1"/>
      <c r="C27" s="1"/>
      <c r="D27" s="273" t="s">
        <v>642</v>
      </c>
      <c r="E27" s="830">
        <f ca="1">INDIRECT("'Grant QC Review'!S" &amp; 28+E18)</f>
        <v>0</v>
      </c>
      <c r="F27" s="273" t="s">
        <v>1002</v>
      </c>
      <c r="G27" s="830">
        <f ca="1">INDIRECT("'Grant QC Review'!S" &amp; 32+E18)</f>
        <v>0</v>
      </c>
      <c r="AL27" s="301"/>
      <c r="AX27" s="1053"/>
      <c r="AY27" s="1053"/>
      <c r="AZ27" s="1053"/>
      <c r="BA27" s="1053"/>
      <c r="BB27" s="1053"/>
      <c r="BC27" s="1053"/>
      <c r="BD27" s="1053"/>
    </row>
    <row r="28" spans="2:68">
      <c r="B28" s="1"/>
      <c r="C28" s="1"/>
      <c r="D28" s="273" t="s">
        <v>645</v>
      </c>
      <c r="E28" s="830">
        <f ca="1">INDIRECT("'Grant QC Review'!S" &amp; 30+E18)</f>
        <v>0</v>
      </c>
      <c r="F28" s="273" t="s">
        <v>1004</v>
      </c>
      <c r="G28" s="830">
        <f ca="1">INDIRECT("'Grant QC Review'!S" &amp; 34+E18)</f>
        <v>0</v>
      </c>
      <c r="AL28" s="301"/>
      <c r="AX28" s="1053"/>
      <c r="AY28" s="1053"/>
      <c r="AZ28" s="1053"/>
      <c r="BA28" s="1053"/>
      <c r="BB28" s="1053"/>
      <c r="BC28" s="1053"/>
      <c r="BD28" s="1053"/>
    </row>
    <row r="29" spans="2:68">
      <c r="B29" s="1"/>
      <c r="C29" s="1"/>
      <c r="D29" s="273" t="s">
        <v>660</v>
      </c>
      <c r="E29" s="830">
        <f ca="1">INDIRECT("'Grant QC Review'!S" &amp; 44+E18)</f>
        <v>0</v>
      </c>
      <c r="F29" s="273" t="s">
        <v>653</v>
      </c>
      <c r="G29" s="832">
        <f ca="1">INDIRECT("'Grant QC Review'!U" &amp; 36+E18)</f>
        <v>0</v>
      </c>
      <c r="AL29" s="301"/>
      <c r="AX29" s="1053"/>
      <c r="AY29" s="1053"/>
      <c r="AZ29" s="1053"/>
      <c r="BA29" s="1053"/>
      <c r="BB29" s="1053"/>
      <c r="BC29" s="1053"/>
      <c r="BD29" s="1053"/>
      <c r="BI29" s="268" t="s">
        <v>909</v>
      </c>
      <c r="BJ29" s="268" t="s">
        <v>910</v>
      </c>
      <c r="BK29" s="268" t="s">
        <v>911</v>
      </c>
      <c r="BL29" s="268" t="s">
        <v>912</v>
      </c>
    </row>
    <row r="30" spans="2:68">
      <c r="B30" s="1"/>
      <c r="C30" s="1"/>
      <c r="D30" s="273" t="s">
        <v>663</v>
      </c>
      <c r="E30" s="830">
        <f ca="1">INDIRECT("'Grant QC Review'!S" &amp; 46+E18)</f>
        <v>0</v>
      </c>
      <c r="F30" s="1"/>
      <c r="G30" s="1"/>
      <c r="AL30" s="301"/>
      <c r="AX30" s="1053"/>
      <c r="AY30" s="1053"/>
      <c r="AZ30" s="1053"/>
      <c r="BA30" s="1053"/>
      <c r="BB30" s="1053"/>
      <c r="BC30" s="1053"/>
      <c r="BD30" s="1053"/>
    </row>
    <row r="31" spans="2:68">
      <c r="B31" s="1"/>
      <c r="C31" s="1"/>
      <c r="D31" s="273" t="s">
        <v>665</v>
      </c>
      <c r="E31" s="830">
        <f ca="1">INDIRECT("'Grant QC Review'!S" &amp; 49+E18)</f>
        <v>0</v>
      </c>
      <c r="F31" s="1"/>
      <c r="G31" s="1"/>
      <c r="AL31" s="301"/>
      <c r="AX31" s="1053"/>
      <c r="AY31" s="1053"/>
      <c r="AZ31" s="1053"/>
      <c r="BA31" s="1053"/>
      <c r="BB31" s="1053"/>
      <c r="BC31" s="1053"/>
      <c r="BD31" s="1053"/>
    </row>
    <row r="32" spans="2:68">
      <c r="B32" s="1"/>
      <c r="C32" s="1"/>
      <c r="D32" s="273" t="s">
        <v>675</v>
      </c>
      <c r="E32" s="830">
        <f ca="1">INDIRECT("'Grant QC Review'!S" &amp; 67+E18)</f>
        <v>0</v>
      </c>
      <c r="F32" s="1"/>
      <c r="G32" s="1"/>
      <c r="AL32" s="301"/>
      <c r="AX32" s="1053"/>
      <c r="AY32" s="1053"/>
      <c r="AZ32" s="1053"/>
      <c r="BA32" s="1053"/>
      <c r="BB32" s="1053"/>
      <c r="BC32" s="1053"/>
      <c r="BD32" s="1053"/>
    </row>
    <row r="33" spans="1:56">
      <c r="B33" s="1"/>
      <c r="C33" s="1"/>
      <c r="D33" s="273" t="s">
        <v>687</v>
      </c>
      <c r="E33" s="830">
        <f ca="1">INDIRECT("'Grant QC Review'!S" &amp; 85+E18)</f>
        <v>0</v>
      </c>
      <c r="F33" s="1"/>
      <c r="G33" s="1"/>
      <c r="AL33" s="301"/>
      <c r="AX33" s="1053"/>
      <c r="AY33" s="1053"/>
      <c r="AZ33" s="1053"/>
      <c r="BA33" s="1053"/>
      <c r="BB33" s="1053"/>
      <c r="BC33" s="1053"/>
      <c r="BD33" s="1053"/>
    </row>
    <row r="34" spans="1:56">
      <c r="B34" s="1"/>
      <c r="C34" s="1"/>
      <c r="D34" s="1"/>
      <c r="E34" s="1"/>
      <c r="F34" s="1"/>
      <c r="G34" s="1"/>
      <c r="AL34" s="301"/>
      <c r="AX34" s="1053"/>
      <c r="AY34" s="1053"/>
      <c r="AZ34" s="1053"/>
      <c r="BA34" s="1053"/>
      <c r="BB34" s="1053"/>
      <c r="BC34" s="1053"/>
      <c r="BD34" s="1053"/>
    </row>
    <row r="35" spans="1:56">
      <c r="AL35" s="301"/>
      <c r="AX35" s="1053"/>
      <c r="AY35" s="1053"/>
      <c r="AZ35" s="1053"/>
      <c r="BA35" s="1053"/>
      <c r="BB35" s="1053"/>
      <c r="BC35" s="1053"/>
      <c r="BD35" s="1053"/>
    </row>
    <row r="36" spans="1:56">
      <c r="AL36" s="301"/>
      <c r="AX36" s="1053"/>
      <c r="AY36" s="1053"/>
      <c r="AZ36" s="1053"/>
      <c r="BA36" s="1053"/>
      <c r="BB36" s="1053"/>
      <c r="BC36" s="1053"/>
      <c r="BD36" s="1053"/>
    </row>
    <row r="37" spans="1:56">
      <c r="B37" s="1"/>
      <c r="C37" s="272" t="s">
        <v>101</v>
      </c>
      <c r="D37" s="272" t="s">
        <v>102</v>
      </c>
      <c r="E37" s="272" t="s">
        <v>103</v>
      </c>
      <c r="F37" s="272" t="s">
        <v>104</v>
      </c>
      <c r="G37" s="272" t="s">
        <v>105</v>
      </c>
      <c r="H37" s="272" t="s">
        <v>106</v>
      </c>
      <c r="I37" s="272" t="s">
        <v>107</v>
      </c>
      <c r="J37" s="1"/>
      <c r="AL37" s="301"/>
      <c r="AX37" s="1053"/>
      <c r="AY37" s="1053"/>
      <c r="AZ37" s="1053"/>
      <c r="BA37" s="1053"/>
      <c r="BB37" s="1053"/>
      <c r="BC37" s="1053"/>
      <c r="BD37" s="1053"/>
    </row>
    <row r="38" spans="1:56">
      <c r="B38" s="1"/>
      <c r="C38" s="1"/>
      <c r="D38" s="1"/>
      <c r="E38" s="1"/>
      <c r="F38" s="1"/>
      <c r="G38" s="1"/>
      <c r="H38" s="1"/>
      <c r="I38" s="1"/>
      <c r="J38" s="1"/>
      <c r="AL38" s="301"/>
      <c r="AX38" s="1053"/>
      <c r="AY38" s="1053"/>
      <c r="AZ38" s="1053"/>
      <c r="BA38" s="1053"/>
      <c r="BB38" s="1053"/>
      <c r="BC38" s="1053"/>
      <c r="BD38" s="1053"/>
    </row>
    <row r="39" spans="1:56">
      <c r="B39" s="275" t="s">
        <v>109</v>
      </c>
      <c r="C39" s="834">
        <f ca="1">INDIRECT("Project!E49")</f>
        <v>0</v>
      </c>
      <c r="D39" s="834">
        <f ca="1">INDIRECT("Project!F49")</f>
        <v>0</v>
      </c>
      <c r="E39" s="834">
        <f ca="1">INDIRECT("Project!G49")</f>
        <v>0</v>
      </c>
      <c r="F39" s="834">
        <f ca="1">INDIRECT("Project!H49")</f>
        <v>0</v>
      </c>
      <c r="G39" s="834">
        <f ca="1">INDIRECT("Project!I49")</f>
        <v>0</v>
      </c>
      <c r="H39" s="834">
        <f ca="1">INDIRECT("Project!K49")</f>
        <v>0</v>
      </c>
      <c r="I39" s="834">
        <f ca="1">INDIRECT("Project!L49")</f>
        <v>0</v>
      </c>
      <c r="J39" s="276" t="s">
        <v>110</v>
      </c>
      <c r="AL39" s="301"/>
      <c r="AX39" s="1053"/>
      <c r="AY39" s="1053"/>
      <c r="AZ39" s="1053"/>
      <c r="BA39" s="1053"/>
      <c r="BB39" s="1053"/>
      <c r="BC39" s="1053"/>
      <c r="BD39" s="1053"/>
    </row>
    <row r="40" spans="1:56">
      <c r="B40" s="1"/>
      <c r="C40" s="1"/>
      <c r="D40" s="1"/>
      <c r="E40" s="1"/>
      <c r="F40" s="1"/>
      <c r="G40" s="1"/>
      <c r="H40" s="1"/>
      <c r="I40" s="1"/>
      <c r="J40" s="1"/>
      <c r="AL40" s="301"/>
      <c r="AX40" s="1053"/>
      <c r="AY40" s="1053"/>
      <c r="AZ40" s="1053"/>
      <c r="BA40" s="1053"/>
      <c r="BB40" s="1053"/>
      <c r="BC40" s="1053"/>
      <c r="BD40" s="1053"/>
    </row>
    <row r="41" spans="1:56">
      <c r="B41" s="275" t="s">
        <v>111</v>
      </c>
      <c r="C41" s="834">
        <f ca="1">INDIRECT("Project!E51")</f>
        <v>0</v>
      </c>
      <c r="D41" s="834">
        <f ca="1">INDIRECT("Project!F51")</f>
        <v>0</v>
      </c>
      <c r="E41" s="834">
        <f ca="1">INDIRECT("Project!G51")</f>
        <v>0</v>
      </c>
      <c r="F41" s="834">
        <f ca="1">INDIRECT("Project!H51")</f>
        <v>0</v>
      </c>
      <c r="G41" s="834">
        <f ca="1">INDIRECT("Project!I51")</f>
        <v>0</v>
      </c>
      <c r="H41" s="834">
        <f ca="1">INDIRECT("Project!K51")</f>
        <v>0</v>
      </c>
      <c r="I41" s="834">
        <f ca="1">INDIRECT("Project!L51")</f>
        <v>0</v>
      </c>
      <c r="J41" s="276" t="s">
        <v>112</v>
      </c>
      <c r="AL41" s="301"/>
      <c r="AX41" s="1053"/>
      <c r="AY41" s="1053"/>
      <c r="AZ41" s="1053"/>
      <c r="BA41" s="1053"/>
      <c r="BB41" s="1053"/>
      <c r="BC41" s="1053"/>
      <c r="BD41" s="1053"/>
    </row>
    <row r="42" spans="1:56">
      <c r="B42" s="1"/>
      <c r="C42" s="1"/>
      <c r="D42" s="1"/>
      <c r="E42" s="1"/>
      <c r="F42" s="1"/>
      <c r="G42" s="1"/>
      <c r="H42" s="1"/>
      <c r="I42" s="1"/>
      <c r="J42" s="1"/>
      <c r="AL42" s="301"/>
      <c r="AX42" s="1053"/>
      <c r="AY42" s="1053"/>
      <c r="AZ42" s="1053"/>
      <c r="BA42" s="1053"/>
      <c r="BB42" s="1053"/>
      <c r="BC42" s="1053"/>
      <c r="BD42" s="1053"/>
    </row>
    <row r="43" spans="1:56">
      <c r="B43" s="1"/>
      <c r="C43" s="277">
        <f ca="1">INDIRECT("Project!E53")</f>
        <v>0</v>
      </c>
      <c r="D43" s="276" t="s">
        <v>113</v>
      </c>
      <c r="E43" s="1"/>
      <c r="F43" s="1"/>
      <c r="G43" s="1"/>
      <c r="H43" s="1"/>
      <c r="I43" s="834">
        <f ca="1">INDIRECT("Project!R53")</f>
        <v>0</v>
      </c>
      <c r="J43" s="276" t="s">
        <v>1020</v>
      </c>
      <c r="AL43" s="301"/>
      <c r="AX43" s="1053"/>
      <c r="AY43" s="1053"/>
      <c r="AZ43" s="1053"/>
      <c r="BA43" s="1053"/>
      <c r="BB43" s="1053"/>
      <c r="BC43" s="1053"/>
      <c r="BD43" s="1053"/>
    </row>
    <row r="44" spans="1:56">
      <c r="A44" s="96"/>
      <c r="B44" s="274"/>
      <c r="C44" s="1"/>
      <c r="D44" s="1"/>
      <c r="E44" s="1"/>
      <c r="F44" s="1"/>
      <c r="G44" s="1"/>
      <c r="H44" s="1"/>
      <c r="I44" s="1"/>
      <c r="J44" s="1"/>
      <c r="AL44" s="301"/>
      <c r="AX44" s="1053"/>
      <c r="AY44" s="1053"/>
      <c r="AZ44" s="1053"/>
      <c r="BA44" s="1053"/>
      <c r="BB44" s="1053"/>
      <c r="BC44" s="1053"/>
      <c r="BD44" s="1053"/>
    </row>
    <row r="45" spans="1:56">
      <c r="AL45" s="301"/>
      <c r="AX45" s="1053"/>
      <c r="AY45" s="1053"/>
      <c r="AZ45" s="1053"/>
      <c r="BA45" s="1053"/>
      <c r="BB45" s="1053"/>
      <c r="BC45" s="1053"/>
      <c r="BD45" s="1053"/>
    </row>
    <row r="46" spans="1:56">
      <c r="AL46" s="301"/>
      <c r="AX46" s="1053"/>
      <c r="AY46" s="1053"/>
      <c r="AZ46" s="1053"/>
      <c r="BA46" s="1053"/>
      <c r="BB46" s="1053"/>
      <c r="BC46" s="1053"/>
      <c r="BD46" s="1053"/>
    </row>
    <row r="47" spans="1:56">
      <c r="H47" s="12"/>
      <c r="J47" s="12"/>
      <c r="K47" s="12"/>
      <c r="M47" s="270"/>
      <c r="N47" s="270"/>
      <c r="Q47" s="278"/>
      <c r="R47" s="278"/>
      <c r="S47" s="270"/>
      <c r="T47" s="270"/>
      <c r="AC47" s="270"/>
      <c r="AD47" s="270"/>
      <c r="AE47" s="270"/>
      <c r="AG47" s="278"/>
      <c r="AH47" s="278"/>
      <c r="AI47" s="270"/>
      <c r="AJ47" s="270"/>
      <c r="AL47" s="301"/>
      <c r="AX47" s="1053"/>
      <c r="AY47" s="1053"/>
      <c r="AZ47" s="1053"/>
      <c r="BA47" s="1053"/>
      <c r="BB47" s="1053"/>
      <c r="BC47" s="1053"/>
      <c r="BD47" s="1053"/>
    </row>
    <row r="48" spans="1:56">
      <c r="A48" s="271" t="s">
        <v>1026</v>
      </c>
      <c r="B48" s="1"/>
      <c r="C48" s="1"/>
      <c r="D48" s="1"/>
      <c r="E48" s="1"/>
      <c r="F48" s="1"/>
      <c r="G48" s="1"/>
      <c r="H48" s="1"/>
      <c r="I48" s="1"/>
      <c r="J48" s="1"/>
      <c r="K48" s="1"/>
      <c r="L48" s="1"/>
      <c r="M48" s="1"/>
      <c r="N48" s="1"/>
      <c r="O48" s="1"/>
      <c r="P48" s="1"/>
      <c r="Q48" s="1"/>
      <c r="R48" s="1"/>
      <c r="S48" s="1"/>
      <c r="T48" s="1"/>
      <c r="U48" s="1"/>
      <c r="V48" s="1"/>
      <c r="W48" s="1"/>
      <c r="X48" s="1"/>
      <c r="AC48" s="270"/>
      <c r="AD48" s="270"/>
      <c r="AE48" s="270"/>
      <c r="AG48" s="278"/>
      <c r="AH48" s="278"/>
      <c r="AI48" s="270"/>
      <c r="AJ48" s="270"/>
      <c r="AL48" s="301"/>
      <c r="AX48" s="1053"/>
      <c r="AY48" s="1053"/>
      <c r="AZ48" s="1053"/>
      <c r="BA48" s="1053"/>
      <c r="BB48" s="1053"/>
      <c r="BC48" s="1053"/>
      <c r="BD48" s="1053"/>
    </row>
    <row r="49" spans="1:56" ht="28.55">
      <c r="A49" s="271" t="s">
        <v>1028</v>
      </c>
      <c r="B49" s="271" t="s">
        <v>1029</v>
      </c>
      <c r="C49" s="423" t="s">
        <v>1030</v>
      </c>
      <c r="D49" s="271" t="s">
        <v>1031</v>
      </c>
      <c r="E49" s="271" t="s">
        <v>1032</v>
      </c>
      <c r="F49" s="271" t="s">
        <v>1033</v>
      </c>
      <c r="G49" s="271" t="s">
        <v>1034</v>
      </c>
      <c r="H49" s="423" t="s">
        <v>1035</v>
      </c>
      <c r="I49" s="271" t="s">
        <v>1036</v>
      </c>
      <c r="J49" s="271" t="s">
        <v>1037</v>
      </c>
      <c r="K49" s="271" t="s">
        <v>1038</v>
      </c>
      <c r="L49" s="271" t="s">
        <v>1039</v>
      </c>
      <c r="M49" s="271" t="s">
        <v>1040</v>
      </c>
      <c r="N49" s="271"/>
      <c r="O49" s="271" t="s">
        <v>1041</v>
      </c>
      <c r="P49" s="271" t="s">
        <v>1042</v>
      </c>
      <c r="Q49" s="271"/>
      <c r="R49" s="271" t="s">
        <v>1043</v>
      </c>
      <c r="S49" s="680" t="s">
        <v>1044</v>
      </c>
      <c r="T49" s="680" t="s">
        <v>384</v>
      </c>
      <c r="U49" s="680" t="s">
        <v>1045</v>
      </c>
      <c r="V49" s="680" t="s">
        <v>1046</v>
      </c>
      <c r="W49" s="680" t="s">
        <v>338</v>
      </c>
      <c r="X49" s="680" t="s">
        <v>932</v>
      </c>
      <c r="Z49" s="115" t="s">
        <v>1047</v>
      </c>
      <c r="AA49" s="115" t="s">
        <v>1048</v>
      </c>
      <c r="AB49" s="115" t="s">
        <v>1049</v>
      </c>
      <c r="AC49" s="300" t="s">
        <v>1050</v>
      </c>
      <c r="AE49" s="300" t="s">
        <v>1051</v>
      </c>
      <c r="AL49" s="301"/>
      <c r="AX49" s="1053"/>
      <c r="AY49" s="1053"/>
      <c r="AZ49" s="1053"/>
      <c r="BA49" s="1053"/>
      <c r="BB49" s="1053"/>
      <c r="BC49" s="1053"/>
      <c r="BD49" s="1053"/>
    </row>
    <row r="50" spans="1:56">
      <c r="A50" s="271"/>
      <c r="B50" s="271"/>
      <c r="C50" s="271"/>
      <c r="D50" s="271"/>
      <c r="E50" s="271"/>
      <c r="F50" s="271"/>
      <c r="G50" s="271"/>
      <c r="H50" s="271"/>
      <c r="I50" s="271"/>
      <c r="J50" s="271"/>
      <c r="K50" s="271"/>
      <c r="L50" s="271"/>
      <c r="M50" s="271" t="s">
        <v>1052</v>
      </c>
      <c r="N50" s="271" t="s">
        <v>1053</v>
      </c>
      <c r="O50" s="271"/>
      <c r="P50" s="271"/>
      <c r="Q50" s="271"/>
      <c r="R50" s="271"/>
      <c r="S50" s="271"/>
      <c r="T50" s="271"/>
      <c r="U50" s="271"/>
      <c r="V50" s="271"/>
      <c r="W50" s="271"/>
      <c r="X50" s="271"/>
      <c r="AL50" s="301"/>
      <c r="AX50" s="1053"/>
      <c r="AY50" s="1053"/>
      <c r="AZ50" s="1053"/>
      <c r="BA50" s="1053"/>
      <c r="BB50" s="1053"/>
      <c r="BC50" s="1053"/>
      <c r="BD50" s="1053"/>
    </row>
    <row r="51" spans="1:56">
      <c r="A51" s="830" t="str">
        <f ca="1">INDIRECT("Autofund!B3")</f>
        <v>Fixture/Control Incentive</v>
      </c>
      <c r="B51" s="835">
        <f ca="1">INDIRECT("Autofund!C3")</f>
        <v>0</v>
      </c>
      <c r="C51" s="836">
        <f ca="1">INDIRECT("Autofund!E3")</f>
        <v>2</v>
      </c>
      <c r="D51" s="836" t="b">
        <f ca="1">INDIRECT("Autofund!F3")</f>
        <v>0</v>
      </c>
      <c r="E51" s="836">
        <f ca="1">INDIRECT("Autofund!G3")</f>
        <v>0</v>
      </c>
      <c r="F51" s="836">
        <f ca="1">INDIRECT("Autofund!H3")</f>
        <v>0</v>
      </c>
      <c r="G51" s="835">
        <f ca="1">INDIRECT("Autofund!I3")</f>
        <v>0</v>
      </c>
      <c r="H51" s="835">
        <f ca="1">INDIRECT("Autofund!J3")</f>
        <v>0</v>
      </c>
      <c r="I51" s="836">
        <f ca="1">INDIRECT("Autofund!K3")</f>
        <v>0</v>
      </c>
      <c r="J51" s="836">
        <f ca="1">INDIRECT("Autofund!L3")</f>
        <v>0</v>
      </c>
      <c r="K51" s="836" t="str">
        <f ca="1">INDIRECT("Autofund!M3")</f>
        <v/>
      </c>
      <c r="L51" s="836">
        <f ca="1">INDIRECT("Autofund!P3")</f>
        <v>0</v>
      </c>
      <c r="M51" s="836" t="str">
        <f ca="1">INDIRECT("Autofund!Q3")</f>
        <v>N/A</v>
      </c>
      <c r="N51" s="836" t="str">
        <f ca="1">INDIRECT("Autofund!R3")</f>
        <v>N/A</v>
      </c>
      <c r="O51" s="836">
        <f ca="1">INDIRECT("Autofund!N3")</f>
        <v>0</v>
      </c>
      <c r="P51" s="836">
        <f ca="1">INDIRECT("Autofund!O3")</f>
        <v>0</v>
      </c>
      <c r="Q51" s="837"/>
      <c r="R51" s="838">
        <f ca="1">IFERROR(X51/E51,0)</f>
        <v>0</v>
      </c>
      <c r="S51" s="838" t="e">
        <f ca="1">H51/E51</f>
        <v>#DIV/0!</v>
      </c>
      <c r="T51" s="838">
        <f ca="1">INDIRECT("Autofund!AC3")</f>
        <v>0</v>
      </c>
      <c r="U51" s="838">
        <f ca="1">INDIRECT("Autofund!AD3")</f>
        <v>0</v>
      </c>
      <c r="V51" s="838">
        <f ca="1">INDIRECT("Autofund!AE3")</f>
        <v>0</v>
      </c>
      <c r="W51" s="838">
        <f ca="1">INDIRECT("Autofund!AF3")</f>
        <v>0</v>
      </c>
      <c r="X51" s="838">
        <f ca="1">INDIRECT("Autofund!AG3")</f>
        <v>0</v>
      </c>
      <c r="Z51" s="835">
        <f ca="1">INDIRECT("Autofund!T3")</f>
        <v>0</v>
      </c>
      <c r="AA51" s="835">
        <f ca="1">INDIRECT("Autofund!U3")</f>
        <v>0</v>
      </c>
      <c r="AB51" s="835">
        <f ca="1">INDIRECT("Autofund!V3")</f>
        <v>0</v>
      </c>
      <c r="AC51" s="835">
        <f ca="1">INDIRECT("Autofund!W3")</f>
        <v>0</v>
      </c>
      <c r="AE51" s="835">
        <f ca="1">INDIRECT("Autofund!AA3")</f>
        <v>0</v>
      </c>
      <c r="AL51" s="301"/>
    </row>
    <row r="52" spans="1:56">
      <c r="A52" s="830" t="str">
        <f ca="1">INDIRECT("Autofund!B4")</f>
        <v>TLED Incentive</v>
      </c>
      <c r="B52" s="835">
        <f ca="1">INDIRECT("Autofund!D4")</f>
        <v>0</v>
      </c>
      <c r="C52" s="836">
        <f ca="1">INDIRECT("Autofund!E4")</f>
        <v>2</v>
      </c>
      <c r="D52" s="836" t="b">
        <f ca="1">INDIRECT("Autofund!F4")</f>
        <v>0</v>
      </c>
      <c r="E52" s="836">
        <f ca="1">INDIRECT("Autofund!G4")</f>
        <v>0</v>
      </c>
      <c r="F52" s="836">
        <f ca="1">INDIRECT("Autofund!H4")</f>
        <v>10</v>
      </c>
      <c r="G52" s="835">
        <f ca="1">INDIRECT("Autofund!I4")</f>
        <v>0</v>
      </c>
      <c r="H52" s="835">
        <f ca="1">INDIRECT("Autofund!J4")</f>
        <v>0</v>
      </c>
      <c r="I52" s="836">
        <f ca="1">INDIRECT("Autofund!K4")</f>
        <v>0</v>
      </c>
      <c r="J52" s="836">
        <f ca="1">INDIRECT("Autofund!L4")</f>
        <v>0</v>
      </c>
      <c r="K52" s="836">
        <f ca="1">INDIRECT("Autofund!m4")</f>
        <v>0</v>
      </c>
      <c r="L52" s="836">
        <f ca="1">INDIRECT("Autofund!P4")</f>
        <v>0</v>
      </c>
      <c r="M52" s="836">
        <f ca="1">INDIRECT("Autofund!Q4")</f>
        <v>0</v>
      </c>
      <c r="N52" s="836">
        <f ca="1">INDIRECT("Autofund!R4")</f>
        <v>0</v>
      </c>
      <c r="O52" s="836">
        <f ca="1">INDIRECT("Autofund!N4")</f>
        <v>0</v>
      </c>
      <c r="P52" s="836">
        <f ca="1">INDIRECT("Autofund!O4")</f>
        <v>0</v>
      </c>
      <c r="Q52" s="830"/>
      <c r="R52" s="838">
        <f ca="1">IFERROR(X52/E52,0)</f>
        <v>0</v>
      </c>
      <c r="S52" s="838" t="e">
        <f t="shared" ref="S52:S54" ca="1" si="6">H52/E52</f>
        <v>#DIV/0!</v>
      </c>
      <c r="T52" s="838">
        <f ca="1">INDIRECT("Autofund!AC4")</f>
        <v>0</v>
      </c>
      <c r="U52" s="838">
        <f ca="1">INDIRECT("Autofund!AD4")</f>
        <v>0</v>
      </c>
      <c r="V52" s="838">
        <f ca="1">INDIRECT("Autofund!AE4")</f>
        <v>0</v>
      </c>
      <c r="W52" s="838">
        <f ca="1">INDIRECT("Autofund!AF4")</f>
        <v>0</v>
      </c>
      <c r="X52" s="838">
        <f ca="1">INDIRECT("Autofund!AG4")</f>
        <v>0</v>
      </c>
      <c r="AL52" s="301"/>
    </row>
    <row r="53" spans="1:56">
      <c r="A53" s="830" t="str">
        <f ca="1">INDIRECT("Autofund!B5")</f>
        <v>LLLC Bonus</v>
      </c>
      <c r="B53" s="835">
        <f ca="1">INDIRECT("Autofund!D5")</f>
        <v>0</v>
      </c>
      <c r="C53" s="836">
        <f ca="1">INDIRECT("Autofund!E5")</f>
        <v>0</v>
      </c>
      <c r="D53" s="836" t="b">
        <f ca="1">INDIRECT("Autofund!F5")</f>
        <v>0</v>
      </c>
      <c r="E53" s="836">
        <f ca="1">INDIRECT("Autofund!G5")</f>
        <v>0</v>
      </c>
      <c r="F53" s="836">
        <f ca="1">INDIRECT("Autofund!H5")</f>
        <v>0</v>
      </c>
      <c r="G53" s="835">
        <f ca="1">INDIRECT("Autofund!I5")</f>
        <v>0</v>
      </c>
      <c r="H53" s="835">
        <f ca="1">INDIRECT("Autofund!J5")</f>
        <v>0</v>
      </c>
      <c r="I53" s="836">
        <f ca="1">INDIRECT("Autofund!K5")</f>
        <v>0</v>
      </c>
      <c r="J53" s="836">
        <f ca="1">INDIRECT("Autofund!L5")</f>
        <v>0</v>
      </c>
      <c r="K53" s="836">
        <f ca="1">INDIRECT("Autofund!M5")</f>
        <v>0</v>
      </c>
      <c r="L53" s="836">
        <f ca="1">INDIRECT("Autofund!P5")</f>
        <v>0</v>
      </c>
      <c r="M53" s="836">
        <f ca="1">INDIRECT("Autofund!Q5")</f>
        <v>0</v>
      </c>
      <c r="N53" s="836">
        <f ca="1">INDIRECT("Autofund!R5")</f>
        <v>0</v>
      </c>
      <c r="O53" s="836">
        <f ca="1">INDIRECT("Autofund!N5")</f>
        <v>0</v>
      </c>
      <c r="P53" s="836">
        <f ca="1">INDIRECT("Autofund!O5")</f>
        <v>0</v>
      </c>
      <c r="Q53" s="1"/>
      <c r="R53" s="272"/>
      <c r="S53" s="838"/>
      <c r="T53" s="838">
        <f ca="1">INDIRECT("Autofund!AC5")</f>
        <v>0</v>
      </c>
      <c r="U53" s="838">
        <f ca="1">INDIRECT("Autofund!AD5")</f>
        <v>0</v>
      </c>
      <c r="V53" s="838">
        <f ca="1">INDIRECT("Autofund!AE5")</f>
        <v>0</v>
      </c>
      <c r="W53" s="838">
        <f ca="1">INDIRECT("Autofund!AF5")</f>
        <v>0</v>
      </c>
      <c r="X53" s="838">
        <f ca="1">INDIRECT("Autofund!AG5")</f>
        <v>0</v>
      </c>
      <c r="AU53" s="301"/>
    </row>
    <row r="54" spans="1:56">
      <c r="A54" s="830" t="str">
        <f ca="1">INDIRECT("Autofund!B6")</f>
        <v>Total Incentive</v>
      </c>
      <c r="B54" s="835">
        <f ca="1">INDIRECT("Autofund!D6")</f>
        <v>0</v>
      </c>
      <c r="C54" s="836">
        <f ca="1">INDIRECT("Autofund!E6")</f>
        <v>2</v>
      </c>
      <c r="D54" s="836" t="b">
        <f ca="1">INDIRECT("Autofund!F6")</f>
        <v>0</v>
      </c>
      <c r="E54" s="836">
        <f ca="1">INDIRECT("Autofund!G6")</f>
        <v>0</v>
      </c>
      <c r="F54" s="836">
        <f ca="1">INDIRECT("Autofund!H6")</f>
        <v>0</v>
      </c>
      <c r="G54" s="835">
        <f ca="1">INDIRECT("Autofund!I6")</f>
        <v>0</v>
      </c>
      <c r="H54" s="835">
        <f ca="1">INDIRECT("Autofund!J6")</f>
        <v>0</v>
      </c>
      <c r="I54" s="836">
        <f ca="1">INDIRECT("Autofund!K6")</f>
        <v>0</v>
      </c>
      <c r="J54" s="836">
        <f ca="1">INDIRECT("Autofund!L6")</f>
        <v>0</v>
      </c>
      <c r="K54" s="836">
        <f ca="1">INDIRECT("Autofund!M6")</f>
        <v>0</v>
      </c>
      <c r="L54" s="836">
        <f ca="1">INDIRECT("Autofund!P6")</f>
        <v>0</v>
      </c>
      <c r="M54" s="836" t="str">
        <f ca="1">INDIRECT("Autofund!Q6")</f>
        <v>N/A</v>
      </c>
      <c r="N54" s="836" t="str">
        <f ca="1">INDIRECT("Autofund!R6")</f>
        <v>N/A</v>
      </c>
      <c r="O54" s="836">
        <f ca="1">INDIRECT("Autofund!N6")</f>
        <v>0</v>
      </c>
      <c r="P54" s="836">
        <f ca="1">INDIRECT("Autofund!O6")</f>
        <v>0</v>
      </c>
      <c r="Q54" s="830"/>
      <c r="R54" s="838">
        <f ca="1">IFERROR(X54/E54,0)</f>
        <v>0</v>
      </c>
      <c r="S54" s="838" t="e">
        <f t="shared" ca="1" si="6"/>
        <v>#DIV/0!</v>
      </c>
      <c r="T54" s="838">
        <f ca="1">INDIRECT("Autofund!AC6")</f>
        <v>0</v>
      </c>
      <c r="U54" s="838">
        <f ca="1">INDIRECT("Autofund!AD6")</f>
        <v>0</v>
      </c>
      <c r="V54" s="838">
        <f ca="1">INDIRECT("Autofund!AE6")</f>
        <v>0</v>
      </c>
      <c r="W54" s="838">
        <f ca="1">INDIRECT("Autofund!AF6")</f>
        <v>0</v>
      </c>
      <c r="X54" s="838">
        <f ca="1">INDIRECT("Autofund!AG6")</f>
        <v>0</v>
      </c>
    </row>
    <row r="55" spans="1:56">
      <c r="A55" s="830"/>
      <c r="B55" s="839"/>
      <c r="C55" s="830"/>
      <c r="D55" s="830"/>
      <c r="E55" s="830"/>
      <c r="F55" s="830"/>
      <c r="G55" s="830"/>
      <c r="H55" s="839"/>
      <c r="I55" s="830"/>
      <c r="J55" s="830"/>
      <c r="K55" s="830"/>
      <c r="L55" s="830"/>
      <c r="M55" s="830"/>
      <c r="N55" s="830"/>
      <c r="O55" s="830"/>
      <c r="P55" s="830"/>
      <c r="Q55" s="830"/>
      <c r="R55" s="836"/>
      <c r="S55" s="836"/>
      <c r="T55" s="830"/>
      <c r="U55" s="830"/>
      <c r="V55" s="830"/>
      <c r="W55" s="830"/>
      <c r="X55" s="830"/>
      <c r="AK55" s="270"/>
      <c r="AN55" s="269"/>
      <c r="AO55" s="269"/>
    </row>
    <row r="56" spans="1:56">
      <c r="A56" s="1"/>
      <c r="B56" s="1"/>
      <c r="C56" s="1"/>
      <c r="D56" s="1"/>
      <c r="E56" s="1"/>
      <c r="F56" s="1"/>
      <c r="G56" s="1"/>
      <c r="H56" s="1"/>
      <c r="I56" s="1"/>
      <c r="J56" s="1"/>
      <c r="K56" s="1"/>
      <c r="L56" s="1"/>
      <c r="M56" s="1"/>
      <c r="N56" s="1"/>
      <c r="O56" s="1"/>
      <c r="P56" s="1"/>
      <c r="Q56" s="1"/>
      <c r="R56" s="1"/>
      <c r="S56" s="1"/>
      <c r="T56" s="1"/>
      <c r="U56" s="1"/>
      <c r="V56" s="1"/>
      <c r="W56" s="1"/>
      <c r="X56" s="1"/>
      <c r="AK56" s="270"/>
      <c r="AN56" s="269"/>
      <c r="AO56" s="269"/>
    </row>
    <row r="57" spans="1:56">
      <c r="A57" s="840"/>
      <c r="B57" s="836" t="s">
        <v>190</v>
      </c>
      <c r="C57" s="836" t="s">
        <v>1055</v>
      </c>
      <c r="D57" s="836" t="s">
        <v>1056</v>
      </c>
      <c r="E57" s="836" t="s">
        <v>1057</v>
      </c>
      <c r="F57" s="1"/>
      <c r="G57" s="1"/>
      <c r="H57" s="1"/>
      <c r="I57" s="1"/>
      <c r="J57" s="1"/>
      <c r="K57" s="1"/>
      <c r="L57" s="1"/>
      <c r="M57" s="1"/>
      <c r="N57" s="1"/>
      <c r="O57" s="1"/>
      <c r="P57" s="1"/>
      <c r="Q57" s="1"/>
      <c r="R57" s="1"/>
      <c r="S57" s="1"/>
      <c r="T57" s="1"/>
      <c r="U57" s="1"/>
      <c r="V57" s="1"/>
      <c r="W57" s="1"/>
      <c r="X57" s="1"/>
    </row>
    <row r="58" spans="1:56">
      <c r="A58" s="840" t="e">
        <f ca="1">INDIRECT("'Elec_Grant_Calc 2'!B25")</f>
        <v>#REF!</v>
      </c>
      <c r="B58" s="836" t="e">
        <f ca="1">INDIRECT("'Elec_Grant_Calc 2'!C25")</f>
        <v>#REF!</v>
      </c>
      <c r="C58" s="838" t="e">
        <f ca="1">INDIRECT("'Elec_Grant_Calc 2'!D25")</f>
        <v>#REF!</v>
      </c>
      <c r="D58" s="836" t="e">
        <f ca="1">INDIRECT("'Elec_Grant_Calc 2'!E25")</f>
        <v>#REF!</v>
      </c>
      <c r="E58" s="836" t="e">
        <f ca="1">INDIRECT("'Elec_Grant_Calc 2'!F25")</f>
        <v>#REF!</v>
      </c>
      <c r="F58" s="1"/>
      <c r="G58" s="1"/>
      <c r="H58" s="1"/>
      <c r="I58" s="1"/>
      <c r="J58" s="1"/>
      <c r="K58" s="1"/>
      <c r="L58" s="1"/>
      <c r="M58" s="1"/>
      <c r="N58" s="1"/>
      <c r="O58" s="1"/>
      <c r="P58" s="1"/>
      <c r="Q58" s="1"/>
      <c r="R58" s="1"/>
      <c r="S58" s="1"/>
      <c r="T58" s="1"/>
      <c r="U58" s="1"/>
      <c r="V58" s="1"/>
      <c r="W58" s="1"/>
      <c r="X58" s="1"/>
    </row>
    <row r="61" spans="1:56">
      <c r="A61" s="12"/>
      <c r="B61" s="96"/>
      <c r="D61" s="96"/>
      <c r="E61" s="96"/>
      <c r="F61" s="96"/>
    </row>
    <row r="64" spans="1:56">
      <c r="B64" s="2" t="s">
        <v>1058</v>
      </c>
      <c r="J64" s="2" t="s">
        <v>1059</v>
      </c>
    </row>
    <row r="65" spans="2:20">
      <c r="D65" t="s">
        <v>1060</v>
      </c>
      <c r="E65" t="s">
        <v>1061</v>
      </c>
      <c r="F65" t="s">
        <v>445</v>
      </c>
      <c r="G65" t="s">
        <v>446</v>
      </c>
      <c r="H65" t="s">
        <v>132</v>
      </c>
      <c r="L65" t="s">
        <v>1060</v>
      </c>
      <c r="M65" t="s">
        <v>454</v>
      </c>
      <c r="N65" t="s">
        <v>1062</v>
      </c>
      <c r="O65" t="s">
        <v>456</v>
      </c>
      <c r="P65" t="s">
        <v>1063</v>
      </c>
      <c r="Q65" t="s">
        <v>1064</v>
      </c>
      <c r="R65" t="s">
        <v>143</v>
      </c>
      <c r="S65" t="s">
        <v>173</v>
      </c>
      <c r="T65" t="s">
        <v>1065</v>
      </c>
    </row>
    <row r="66" spans="2:20">
      <c r="B66" s="841" t="str">
        <f>Fixtures!BV27</f>
        <v/>
      </c>
      <c r="C66" s="841">
        <f>Fixtures!BW27</f>
        <v>1</v>
      </c>
      <c r="D66" s="841">
        <f>Fixtures!BX27</f>
        <v>0</v>
      </c>
      <c r="E66" s="841">
        <f>Fixtures!CB27</f>
        <v>0</v>
      </c>
      <c r="F66" s="841">
        <f>Fixtures!CF27</f>
        <v>0</v>
      </c>
      <c r="G66" s="841">
        <f>Fixtures!CJ27</f>
        <v>0</v>
      </c>
      <c r="H66" s="841" t="str">
        <f>Fixtures!CP27</f>
        <v/>
      </c>
      <c r="J66" s="841" t="str">
        <f>Fixtures!DN27</f>
        <v/>
      </c>
      <c r="K66" s="841">
        <f>Fixtures!DW27</f>
        <v>1</v>
      </c>
      <c r="L66" s="842">
        <f>Fixtures!DX27</f>
        <v>0</v>
      </c>
      <c r="M66" s="842">
        <f>Fixtures!EB27</f>
        <v>0</v>
      </c>
      <c r="N66" s="843">
        <f>Fixtures!EF27</f>
        <v>0</v>
      </c>
      <c r="O66" s="842">
        <f>Fixtures!EH27</f>
        <v>0</v>
      </c>
      <c r="P66" s="842">
        <f>Fixtures!EL27</f>
        <v>0</v>
      </c>
      <c r="Q66" s="843">
        <f>Fixtures!EP27</f>
        <v>0</v>
      </c>
      <c r="R66" s="843" t="str">
        <f>Fixtures!EY27</f>
        <v/>
      </c>
      <c r="S66" s="844">
        <f>Fixtures!EX27</f>
        <v>0</v>
      </c>
      <c r="T66" s="843" t="str">
        <f>Fixtures!DM27</f>
        <v>No</v>
      </c>
    </row>
    <row r="67" spans="2:20">
      <c r="B67" s="841" t="str">
        <f>Fixtures!BV28</f>
        <v/>
      </c>
      <c r="C67" s="841">
        <f>Fixtures!BW28</f>
        <v>2</v>
      </c>
      <c r="D67" s="841">
        <f>Fixtures!BX28</f>
        <v>0</v>
      </c>
      <c r="E67" s="841">
        <f>Fixtures!CB28</f>
        <v>0</v>
      </c>
      <c r="F67" s="841">
        <f>Fixtures!CF28</f>
        <v>0</v>
      </c>
      <c r="G67" s="841">
        <f>Fixtures!CJ28</f>
        <v>0</v>
      </c>
      <c r="H67" s="841" t="str">
        <f>Fixtures!CP28</f>
        <v/>
      </c>
      <c r="J67" s="841" t="str">
        <f>Fixtures!DN28</f>
        <v/>
      </c>
      <c r="K67" s="841">
        <f>Fixtures!DW28</f>
        <v>2</v>
      </c>
      <c r="L67" s="842">
        <f>Fixtures!DX28</f>
        <v>0</v>
      </c>
      <c r="M67" s="842">
        <f>Fixtures!EB28</f>
        <v>0</v>
      </c>
      <c r="N67" s="843">
        <f>Fixtures!EF28</f>
        <v>0</v>
      </c>
      <c r="O67" s="842">
        <f>Fixtures!EH28</f>
        <v>0</v>
      </c>
      <c r="P67" s="842">
        <f>Fixtures!EL28</f>
        <v>0</v>
      </c>
      <c r="Q67" s="843">
        <f>Fixtures!EP28</f>
        <v>0</v>
      </c>
      <c r="R67" s="843" t="str">
        <f>Fixtures!EY28</f>
        <v/>
      </c>
      <c r="S67" s="844">
        <f>Fixtures!EX28</f>
        <v>0</v>
      </c>
      <c r="T67" s="843" t="str">
        <f>Fixtures!DM28</f>
        <v>No</v>
      </c>
    </row>
    <row r="68" spans="2:20">
      <c r="B68" s="841" t="str">
        <f>Fixtures!BV29</f>
        <v/>
      </c>
      <c r="C68" s="841">
        <f>Fixtures!BW29</f>
        <v>3</v>
      </c>
      <c r="D68" s="841">
        <f>Fixtures!BX29</f>
        <v>0</v>
      </c>
      <c r="E68" s="841">
        <f>Fixtures!CB29</f>
        <v>0</v>
      </c>
      <c r="F68" s="841">
        <f>Fixtures!CF29</f>
        <v>0</v>
      </c>
      <c r="G68" s="841">
        <f>Fixtures!CJ29</f>
        <v>0</v>
      </c>
      <c r="H68" s="841" t="str">
        <f>Fixtures!CP29</f>
        <v/>
      </c>
      <c r="J68" s="841" t="str">
        <f>Fixtures!DN29</f>
        <v/>
      </c>
      <c r="K68" s="841">
        <f>Fixtures!DW29</f>
        <v>3</v>
      </c>
      <c r="L68" s="842">
        <f>Fixtures!DX29</f>
        <v>0</v>
      </c>
      <c r="M68" s="842">
        <f>Fixtures!EB29</f>
        <v>0</v>
      </c>
      <c r="N68" s="843">
        <f>Fixtures!EF29</f>
        <v>0</v>
      </c>
      <c r="O68" s="842">
        <f>Fixtures!EH29</f>
        <v>0</v>
      </c>
      <c r="P68" s="842">
        <f>Fixtures!EL29</f>
        <v>0</v>
      </c>
      <c r="Q68" s="843">
        <f>Fixtures!EP29</f>
        <v>0</v>
      </c>
      <c r="R68" s="843" t="str">
        <f>Fixtures!EY29</f>
        <v/>
      </c>
      <c r="S68" s="844">
        <f>Fixtures!EX29</f>
        <v>0</v>
      </c>
      <c r="T68" s="843" t="str">
        <f>Fixtures!DM29</f>
        <v>No</v>
      </c>
    </row>
    <row r="69" spans="2:20">
      <c r="B69" s="841" t="str">
        <f>Fixtures!BV30</f>
        <v/>
      </c>
      <c r="C69" s="841">
        <f>Fixtures!BW30</f>
        <v>4</v>
      </c>
      <c r="D69" s="841">
        <f>Fixtures!BX30</f>
        <v>0</v>
      </c>
      <c r="E69" s="841">
        <f>Fixtures!CB30</f>
        <v>0</v>
      </c>
      <c r="F69" s="841">
        <f>Fixtures!CF30</f>
        <v>0</v>
      </c>
      <c r="G69" s="841">
        <f>Fixtures!CJ30</f>
        <v>0</v>
      </c>
      <c r="H69" s="841" t="str">
        <f>Fixtures!CP30</f>
        <v/>
      </c>
      <c r="J69" s="841" t="str">
        <f>Fixtures!DN30</f>
        <v/>
      </c>
      <c r="K69" s="841">
        <f>Fixtures!DW30</f>
        <v>4</v>
      </c>
      <c r="L69" s="842">
        <f>Fixtures!DX30</f>
        <v>0</v>
      </c>
      <c r="M69" s="842">
        <f>Fixtures!EB30</f>
        <v>0</v>
      </c>
      <c r="N69" s="843">
        <f>Fixtures!EF30</f>
        <v>0</v>
      </c>
      <c r="O69" s="842">
        <f>Fixtures!EH30</f>
        <v>0</v>
      </c>
      <c r="P69" s="842">
        <f>Fixtures!EL30</f>
        <v>0</v>
      </c>
      <c r="Q69" s="843">
        <f>Fixtures!EP30</f>
        <v>0</v>
      </c>
      <c r="R69" s="843" t="str">
        <f>Fixtures!EY30</f>
        <v/>
      </c>
      <c r="S69" s="844">
        <f>Fixtures!EX30</f>
        <v>0</v>
      </c>
      <c r="T69" s="843" t="str">
        <f>Fixtures!DM30</f>
        <v>No</v>
      </c>
    </row>
    <row r="70" spans="2:20">
      <c r="B70" s="841" t="str">
        <f>Fixtures!BV31</f>
        <v/>
      </c>
      <c r="C70" s="841">
        <f>Fixtures!BW31</f>
        <v>5</v>
      </c>
      <c r="D70" s="841">
        <f>Fixtures!BX31</f>
        <v>0</v>
      </c>
      <c r="E70" s="841">
        <f>Fixtures!CB31</f>
        <v>0</v>
      </c>
      <c r="F70" s="841">
        <f>Fixtures!CF31</f>
        <v>0</v>
      </c>
      <c r="G70" s="841">
        <f>Fixtures!CJ31</f>
        <v>0</v>
      </c>
      <c r="H70" s="841" t="str">
        <f>Fixtures!CP31</f>
        <v/>
      </c>
      <c r="J70" s="841" t="str">
        <f>Fixtures!DN31</f>
        <v/>
      </c>
      <c r="K70" s="841">
        <f>Fixtures!DW31</f>
        <v>5</v>
      </c>
      <c r="L70" s="842">
        <f>Fixtures!DX31</f>
        <v>0</v>
      </c>
      <c r="M70" s="842">
        <f>Fixtures!EB31</f>
        <v>0</v>
      </c>
      <c r="N70" s="843">
        <f>Fixtures!EF31</f>
        <v>0</v>
      </c>
      <c r="O70" s="842">
        <f>Fixtures!EH31</f>
        <v>0</v>
      </c>
      <c r="P70" s="842">
        <f>Fixtures!EL31</f>
        <v>0</v>
      </c>
      <c r="Q70" s="843">
        <f>Fixtures!EP31</f>
        <v>0</v>
      </c>
      <c r="R70" s="843" t="str">
        <f>Fixtures!EY31</f>
        <v/>
      </c>
      <c r="S70" s="844">
        <f>Fixtures!EX31</f>
        <v>0</v>
      </c>
      <c r="T70" s="843" t="str">
        <f>Fixtures!DM31</f>
        <v>No</v>
      </c>
    </row>
    <row r="71" spans="2:20">
      <c r="B71" s="841" t="str">
        <f>Fixtures!BV32</f>
        <v/>
      </c>
      <c r="C71" s="841">
        <f>Fixtures!BW32</f>
        <v>6</v>
      </c>
      <c r="D71" s="841">
        <f>Fixtures!BX32</f>
        <v>0</v>
      </c>
      <c r="E71" s="841">
        <f>Fixtures!CB32</f>
        <v>0</v>
      </c>
      <c r="F71" s="841">
        <f>Fixtures!CF32</f>
        <v>0</v>
      </c>
      <c r="G71" s="841">
        <f>Fixtures!CJ32</f>
        <v>0</v>
      </c>
      <c r="H71" s="841" t="str">
        <f>Fixtures!CP32</f>
        <v/>
      </c>
      <c r="J71" s="841" t="str">
        <f>Fixtures!DN32</f>
        <v/>
      </c>
      <c r="K71" s="841">
        <f>Fixtures!DW32</f>
        <v>6</v>
      </c>
      <c r="L71" s="842">
        <f>Fixtures!DX32</f>
        <v>0</v>
      </c>
      <c r="M71" s="842">
        <f>Fixtures!EB32</f>
        <v>0</v>
      </c>
      <c r="N71" s="843">
        <f>Fixtures!EF32</f>
        <v>0</v>
      </c>
      <c r="O71" s="842">
        <f>Fixtures!EH32</f>
        <v>0</v>
      </c>
      <c r="P71" s="842">
        <f>Fixtures!EL32</f>
        <v>0</v>
      </c>
      <c r="Q71" s="843">
        <f>Fixtures!EP32</f>
        <v>0</v>
      </c>
      <c r="R71" s="843" t="str">
        <f>Fixtures!EY32</f>
        <v/>
      </c>
      <c r="S71" s="844">
        <f>Fixtures!EX32</f>
        <v>0</v>
      </c>
      <c r="T71" s="843" t="str">
        <f>Fixtures!DM32</f>
        <v>No</v>
      </c>
    </row>
    <row r="72" spans="2:20">
      <c r="B72" s="841" t="str">
        <f>Fixtures!BV33</f>
        <v/>
      </c>
      <c r="C72" s="841">
        <f>Fixtures!BW33</f>
        <v>7</v>
      </c>
      <c r="D72" s="841">
        <f>Fixtures!BX33</f>
        <v>0</v>
      </c>
      <c r="E72" s="841">
        <f>Fixtures!CB33</f>
        <v>0</v>
      </c>
      <c r="F72" s="841">
        <f>Fixtures!CF33</f>
        <v>0</v>
      </c>
      <c r="G72" s="841">
        <f>Fixtures!CJ33</f>
        <v>0</v>
      </c>
      <c r="H72" s="841" t="str">
        <f>Fixtures!CP33</f>
        <v/>
      </c>
      <c r="J72" s="841" t="str">
        <f>Fixtures!DN33</f>
        <v/>
      </c>
      <c r="K72" s="841">
        <f>Fixtures!DW33</f>
        <v>7</v>
      </c>
      <c r="L72" s="842">
        <f>Fixtures!DX33</f>
        <v>0</v>
      </c>
      <c r="M72" s="842">
        <f>Fixtures!EB33</f>
        <v>0</v>
      </c>
      <c r="N72" s="843">
        <f>Fixtures!EF33</f>
        <v>0</v>
      </c>
      <c r="O72" s="842">
        <f>Fixtures!EH33</f>
        <v>0</v>
      </c>
      <c r="P72" s="842">
        <f>Fixtures!EL33</f>
        <v>0</v>
      </c>
      <c r="Q72" s="843">
        <f>Fixtures!EP33</f>
        <v>0</v>
      </c>
      <c r="R72" s="843" t="str">
        <f>Fixtures!EY33</f>
        <v/>
      </c>
      <c r="S72" s="844">
        <f>Fixtures!EX33</f>
        <v>0</v>
      </c>
      <c r="T72" s="843" t="str">
        <f>Fixtures!DM33</f>
        <v>No</v>
      </c>
    </row>
    <row r="73" spans="2:20">
      <c r="B73" s="841" t="str">
        <f>Fixtures!BV34</f>
        <v/>
      </c>
      <c r="C73" s="841">
        <f>Fixtures!BW34</f>
        <v>8</v>
      </c>
      <c r="D73" s="841">
        <f>Fixtures!BX34</f>
        <v>0</v>
      </c>
      <c r="E73" s="841">
        <f>Fixtures!CB34</f>
        <v>0</v>
      </c>
      <c r="F73" s="841">
        <f>Fixtures!CF34</f>
        <v>0</v>
      </c>
      <c r="G73" s="841">
        <f>Fixtures!CJ34</f>
        <v>0</v>
      </c>
      <c r="H73" s="841" t="str">
        <f>Fixtures!CP34</f>
        <v/>
      </c>
      <c r="J73" s="841" t="str">
        <f>Fixtures!DN34</f>
        <v/>
      </c>
      <c r="K73" s="841">
        <f>Fixtures!DW34</f>
        <v>8</v>
      </c>
      <c r="L73" s="842">
        <f>Fixtures!DX34</f>
        <v>0</v>
      </c>
      <c r="M73" s="842">
        <f>Fixtures!EB34</f>
        <v>0</v>
      </c>
      <c r="N73" s="843">
        <f>Fixtures!EF34</f>
        <v>0</v>
      </c>
      <c r="O73" s="842">
        <f>Fixtures!EH34</f>
        <v>0</v>
      </c>
      <c r="P73" s="842">
        <f>Fixtures!EL34</f>
        <v>0</v>
      </c>
      <c r="Q73" s="843">
        <f>Fixtures!EP34</f>
        <v>0</v>
      </c>
      <c r="R73" s="843" t="str">
        <f>Fixtures!EY34</f>
        <v/>
      </c>
      <c r="S73" s="844">
        <f>Fixtures!EX34</f>
        <v>0</v>
      </c>
      <c r="T73" s="843" t="str">
        <f>Fixtures!DM34</f>
        <v>No</v>
      </c>
    </row>
    <row r="74" spans="2:20">
      <c r="B74" s="841" t="str">
        <f>Fixtures!BV35</f>
        <v/>
      </c>
      <c r="C74" s="841">
        <f>Fixtures!BW35</f>
        <v>9</v>
      </c>
      <c r="D74" s="841">
        <f>Fixtures!BX35</f>
        <v>0</v>
      </c>
      <c r="E74" s="841">
        <f>Fixtures!CB35</f>
        <v>0</v>
      </c>
      <c r="F74" s="841">
        <f>Fixtures!CF35</f>
        <v>0</v>
      </c>
      <c r="G74" s="841">
        <f>Fixtures!CJ35</f>
        <v>0</v>
      </c>
      <c r="H74" s="841" t="str">
        <f>Fixtures!CP35</f>
        <v/>
      </c>
      <c r="J74" s="841" t="str">
        <f>Fixtures!DN35</f>
        <v/>
      </c>
      <c r="K74" s="841">
        <f>Fixtures!DW35</f>
        <v>9</v>
      </c>
      <c r="L74" s="842">
        <f>Fixtures!DX35</f>
        <v>0</v>
      </c>
      <c r="M74" s="842">
        <f>Fixtures!EB35</f>
        <v>0</v>
      </c>
      <c r="N74" s="843">
        <f>Fixtures!EF35</f>
        <v>0</v>
      </c>
      <c r="O74" s="842">
        <f>Fixtures!EH35</f>
        <v>0</v>
      </c>
      <c r="P74" s="842">
        <f>Fixtures!EL35</f>
        <v>0</v>
      </c>
      <c r="Q74" s="843">
        <f>Fixtures!EP35</f>
        <v>0</v>
      </c>
      <c r="R74" s="843" t="str">
        <f>Fixtures!EY35</f>
        <v/>
      </c>
      <c r="S74" s="844">
        <f>Fixtures!EX35</f>
        <v>0</v>
      </c>
      <c r="T74" s="843" t="str">
        <f>Fixtures!DM35</f>
        <v>No</v>
      </c>
    </row>
    <row r="75" spans="2:20">
      <c r="B75" s="841" t="str">
        <f>Fixtures!BV36</f>
        <v/>
      </c>
      <c r="C75" s="841">
        <f>Fixtures!BW36</f>
        <v>10</v>
      </c>
      <c r="D75" s="841">
        <f>Fixtures!BX36</f>
        <v>0</v>
      </c>
      <c r="E75" s="841">
        <f>Fixtures!CB36</f>
        <v>0</v>
      </c>
      <c r="F75" s="841">
        <f>Fixtures!CF36</f>
        <v>0</v>
      </c>
      <c r="G75" s="841">
        <f>Fixtures!CJ36</f>
        <v>0</v>
      </c>
      <c r="H75" s="841" t="str">
        <f>Fixtures!CP36</f>
        <v/>
      </c>
      <c r="J75" s="841" t="str">
        <f>Fixtures!DN36</f>
        <v/>
      </c>
      <c r="K75" s="841">
        <f>Fixtures!DW36</f>
        <v>10</v>
      </c>
      <c r="L75" s="842">
        <f>Fixtures!DX36</f>
        <v>0</v>
      </c>
      <c r="M75" s="842">
        <f>Fixtures!EB36</f>
        <v>0</v>
      </c>
      <c r="N75" s="843">
        <f>Fixtures!EF36</f>
        <v>0</v>
      </c>
      <c r="O75" s="842">
        <f>Fixtures!EH36</f>
        <v>0</v>
      </c>
      <c r="P75" s="842">
        <f>Fixtures!EL36</f>
        <v>0</v>
      </c>
      <c r="Q75" s="843">
        <f>Fixtures!EP36</f>
        <v>0</v>
      </c>
      <c r="R75" s="843" t="str">
        <f>Fixtures!EY36</f>
        <v/>
      </c>
      <c r="S75" s="844">
        <f>Fixtures!EX36</f>
        <v>0</v>
      </c>
      <c r="T75" s="843" t="str">
        <f>Fixtures!DM36</f>
        <v>No</v>
      </c>
    </row>
    <row r="76" spans="2:20">
      <c r="B76" s="841" t="str">
        <f>Fixtures!BV37</f>
        <v/>
      </c>
      <c r="C76" s="841">
        <f>Fixtures!BW37</f>
        <v>11</v>
      </c>
      <c r="D76" s="841">
        <f>Fixtures!BX37</f>
        <v>0</v>
      </c>
      <c r="E76" s="841">
        <f>Fixtures!CB37</f>
        <v>0</v>
      </c>
      <c r="F76" s="841">
        <f>Fixtures!CF37</f>
        <v>0</v>
      </c>
      <c r="G76" s="841">
        <f>Fixtures!CJ37</f>
        <v>0</v>
      </c>
      <c r="H76" s="841" t="str">
        <f>Fixtures!CP37</f>
        <v/>
      </c>
      <c r="J76" s="841" t="str">
        <f>Fixtures!DN37</f>
        <v/>
      </c>
      <c r="K76" s="841">
        <f>Fixtures!DW37</f>
        <v>11</v>
      </c>
      <c r="L76" s="842">
        <f>Fixtures!DX37</f>
        <v>0</v>
      </c>
      <c r="M76" s="842">
        <f>Fixtures!EB37</f>
        <v>0</v>
      </c>
      <c r="N76" s="843">
        <f>Fixtures!EF37</f>
        <v>0</v>
      </c>
      <c r="O76" s="842">
        <f>Fixtures!EH37</f>
        <v>0</v>
      </c>
      <c r="P76" s="842">
        <f>Fixtures!EL37</f>
        <v>0</v>
      </c>
      <c r="Q76" s="843">
        <f>Fixtures!EP37</f>
        <v>0</v>
      </c>
      <c r="R76" s="843" t="str">
        <f>Fixtures!EY37</f>
        <v/>
      </c>
      <c r="S76" s="844">
        <f>Fixtures!EX37</f>
        <v>0</v>
      </c>
      <c r="T76" s="843" t="str">
        <f>Fixtures!DM37</f>
        <v>No</v>
      </c>
    </row>
    <row r="77" spans="2:20">
      <c r="B77" s="841" t="str">
        <f>Fixtures!BV38</f>
        <v/>
      </c>
      <c r="C77" s="841">
        <f>Fixtures!BW38</f>
        <v>12</v>
      </c>
      <c r="D77" s="841">
        <f>Fixtures!BX38</f>
        <v>0</v>
      </c>
      <c r="E77" s="841">
        <f>Fixtures!CB38</f>
        <v>0</v>
      </c>
      <c r="F77" s="841">
        <f>Fixtures!CF38</f>
        <v>0</v>
      </c>
      <c r="G77" s="841">
        <f>Fixtures!CJ38</f>
        <v>0</v>
      </c>
      <c r="H77" s="841" t="str">
        <f>Fixtures!CP38</f>
        <v/>
      </c>
      <c r="J77" s="841" t="str">
        <f>Fixtures!DN38</f>
        <v/>
      </c>
      <c r="K77" s="841">
        <f>Fixtures!DW38</f>
        <v>12</v>
      </c>
      <c r="L77" s="842">
        <f>Fixtures!DX38</f>
        <v>0</v>
      </c>
      <c r="M77" s="842">
        <f>Fixtures!EB38</f>
        <v>0</v>
      </c>
      <c r="N77" s="843">
        <f>Fixtures!EF38</f>
        <v>0</v>
      </c>
      <c r="O77" s="842">
        <f>Fixtures!EH38</f>
        <v>0</v>
      </c>
      <c r="P77" s="842">
        <f>Fixtures!EL38</f>
        <v>0</v>
      </c>
      <c r="Q77" s="843">
        <f>Fixtures!EP38</f>
        <v>0</v>
      </c>
      <c r="R77" s="843" t="str">
        <f>Fixtures!EY38</f>
        <v/>
      </c>
      <c r="S77" s="844">
        <f>Fixtures!EX38</f>
        <v>0</v>
      </c>
      <c r="T77" s="843" t="str">
        <f>Fixtures!DM38</f>
        <v>No</v>
      </c>
    </row>
    <row r="78" spans="2:20">
      <c r="B78" s="841" t="str">
        <f>Fixtures!BV39</f>
        <v/>
      </c>
      <c r="C78" s="841">
        <f>Fixtures!BW39</f>
        <v>13</v>
      </c>
      <c r="D78" s="841">
        <f>Fixtures!BX39</f>
        <v>0</v>
      </c>
      <c r="E78" s="841">
        <f>Fixtures!CB39</f>
        <v>0</v>
      </c>
      <c r="F78" s="841">
        <f>Fixtures!CF39</f>
        <v>0</v>
      </c>
      <c r="G78" s="841">
        <f>Fixtures!CJ39</f>
        <v>0</v>
      </c>
      <c r="H78" s="841" t="str">
        <f>Fixtures!CP39</f>
        <v/>
      </c>
      <c r="J78" s="841" t="str">
        <f>Fixtures!DN39</f>
        <v/>
      </c>
      <c r="K78" s="841">
        <f>Fixtures!DW39</f>
        <v>13</v>
      </c>
      <c r="L78" s="842">
        <f>Fixtures!DX39</f>
        <v>0</v>
      </c>
      <c r="M78" s="842">
        <f>Fixtures!EB39</f>
        <v>0</v>
      </c>
      <c r="N78" s="843">
        <f>Fixtures!EF39</f>
        <v>0</v>
      </c>
      <c r="O78" s="842">
        <f>Fixtures!EH39</f>
        <v>0</v>
      </c>
      <c r="P78" s="842">
        <f>Fixtures!EL39</f>
        <v>0</v>
      </c>
      <c r="Q78" s="843">
        <f>Fixtures!EP39</f>
        <v>0</v>
      </c>
      <c r="R78" s="843" t="str">
        <f>Fixtures!EY39</f>
        <v/>
      </c>
      <c r="S78" s="844">
        <f>Fixtures!EX39</f>
        <v>0</v>
      </c>
      <c r="T78" s="843" t="str">
        <f>Fixtures!DM39</f>
        <v>No</v>
      </c>
    </row>
    <row r="79" spans="2:20">
      <c r="B79" s="841" t="str">
        <f>Fixtures!BV40</f>
        <v/>
      </c>
      <c r="C79" s="841">
        <f>Fixtures!BW40</f>
        <v>14</v>
      </c>
      <c r="D79" s="841">
        <f>Fixtures!BX40</f>
        <v>0</v>
      </c>
      <c r="E79" s="841">
        <f>Fixtures!CB40</f>
        <v>0</v>
      </c>
      <c r="F79" s="841">
        <f>Fixtures!CF40</f>
        <v>0</v>
      </c>
      <c r="G79" s="841">
        <f>Fixtures!CJ40</f>
        <v>0</v>
      </c>
      <c r="H79" s="841" t="str">
        <f>Fixtures!CP40</f>
        <v/>
      </c>
      <c r="J79" s="841" t="str">
        <f>Fixtures!DN40</f>
        <v/>
      </c>
      <c r="K79" s="841">
        <f>Fixtures!DW40</f>
        <v>14</v>
      </c>
      <c r="L79" s="842">
        <f>Fixtures!DX40</f>
        <v>0</v>
      </c>
      <c r="M79" s="842">
        <f>Fixtures!EB40</f>
        <v>0</v>
      </c>
      <c r="N79" s="843">
        <f>Fixtures!EF40</f>
        <v>0</v>
      </c>
      <c r="O79" s="842">
        <f>Fixtures!EH40</f>
        <v>0</v>
      </c>
      <c r="P79" s="842">
        <f>Fixtures!EL40</f>
        <v>0</v>
      </c>
      <c r="Q79" s="843">
        <f>Fixtures!EP40</f>
        <v>0</v>
      </c>
      <c r="R79" s="843" t="str">
        <f>Fixtures!EY40</f>
        <v/>
      </c>
      <c r="S79" s="844">
        <f>Fixtures!EX40</f>
        <v>0</v>
      </c>
      <c r="T79" s="843" t="str">
        <f>Fixtures!DM40</f>
        <v>No</v>
      </c>
    </row>
    <row r="80" spans="2:20">
      <c r="B80" s="841" t="str">
        <f>Fixtures!BV41</f>
        <v/>
      </c>
      <c r="C80" s="841">
        <f>Fixtures!BW41</f>
        <v>15</v>
      </c>
      <c r="D80" s="841">
        <f>Fixtures!BX41</f>
        <v>0</v>
      </c>
      <c r="E80" s="841">
        <f>Fixtures!CB41</f>
        <v>0</v>
      </c>
      <c r="F80" s="841">
        <f>Fixtures!CF41</f>
        <v>0</v>
      </c>
      <c r="G80" s="841">
        <f>Fixtures!CJ41</f>
        <v>0</v>
      </c>
      <c r="H80" s="841" t="str">
        <f>Fixtures!CP41</f>
        <v/>
      </c>
      <c r="J80" s="841" t="str">
        <f>Fixtures!DN41</f>
        <v/>
      </c>
      <c r="K80" s="841">
        <f>Fixtures!DW41</f>
        <v>15</v>
      </c>
      <c r="L80" s="842">
        <f>Fixtures!DX41</f>
        <v>0</v>
      </c>
      <c r="M80" s="842">
        <f>Fixtures!EB41</f>
        <v>0</v>
      </c>
      <c r="N80" s="843">
        <f>Fixtures!EF41</f>
        <v>0</v>
      </c>
      <c r="O80" s="842">
        <f>Fixtures!EH41</f>
        <v>0</v>
      </c>
      <c r="P80" s="842">
        <f>Fixtures!EL41</f>
        <v>0</v>
      </c>
      <c r="Q80" s="843">
        <f>Fixtures!EP41</f>
        <v>0</v>
      </c>
      <c r="R80" s="843" t="str">
        <f>Fixtures!EY41</f>
        <v/>
      </c>
      <c r="S80" s="844">
        <f>Fixtures!EX41</f>
        <v>0</v>
      </c>
      <c r="T80" s="843" t="str">
        <f>Fixtures!DM41</f>
        <v>No</v>
      </c>
    </row>
    <row r="81" spans="2:20">
      <c r="B81" s="841" t="str">
        <f>Fixtures!BV42</f>
        <v/>
      </c>
      <c r="C81" s="841">
        <f>Fixtures!BW42</f>
        <v>16</v>
      </c>
      <c r="D81" s="841">
        <f>Fixtures!BX42</f>
        <v>0</v>
      </c>
      <c r="E81" s="841">
        <f>Fixtures!CB42</f>
        <v>0</v>
      </c>
      <c r="F81" s="841">
        <f>Fixtures!CF42</f>
        <v>0</v>
      </c>
      <c r="G81" s="841">
        <f>Fixtures!CJ42</f>
        <v>0</v>
      </c>
      <c r="H81" s="841" t="str">
        <f>Fixtures!CP42</f>
        <v/>
      </c>
      <c r="J81" s="841" t="str">
        <f>Fixtures!DN42</f>
        <v/>
      </c>
      <c r="K81" s="841">
        <f>Fixtures!DW42</f>
        <v>16</v>
      </c>
      <c r="L81" s="842">
        <f>Fixtures!DX42</f>
        <v>0</v>
      </c>
      <c r="M81" s="842">
        <f>Fixtures!EB42</f>
        <v>0</v>
      </c>
      <c r="N81" s="843">
        <f>Fixtures!EF42</f>
        <v>0</v>
      </c>
      <c r="O81" s="842">
        <f>Fixtures!EH42</f>
        <v>0</v>
      </c>
      <c r="P81" s="842">
        <f>Fixtures!EL42</f>
        <v>0</v>
      </c>
      <c r="Q81" s="843">
        <f>Fixtures!EP42</f>
        <v>0</v>
      </c>
      <c r="R81" s="843" t="str">
        <f>Fixtures!EY42</f>
        <v/>
      </c>
      <c r="S81" s="844">
        <f>Fixtures!EX42</f>
        <v>0</v>
      </c>
      <c r="T81" s="843" t="str">
        <f>Fixtures!DM42</f>
        <v>No</v>
      </c>
    </row>
    <row r="82" spans="2:20">
      <c r="B82" s="841" t="str">
        <f>Fixtures!BV43</f>
        <v/>
      </c>
      <c r="C82" s="841">
        <f>Fixtures!BW43</f>
        <v>17</v>
      </c>
      <c r="D82" s="841">
        <f>Fixtures!BX43</f>
        <v>0</v>
      </c>
      <c r="E82" s="841">
        <f>Fixtures!CB43</f>
        <v>0</v>
      </c>
      <c r="F82" s="841">
        <f>Fixtures!CF43</f>
        <v>0</v>
      </c>
      <c r="G82" s="841">
        <f>Fixtures!CJ43</f>
        <v>0</v>
      </c>
      <c r="H82" s="841" t="str">
        <f>Fixtures!CP43</f>
        <v/>
      </c>
      <c r="J82" s="841" t="str">
        <f>Fixtures!DN43</f>
        <v/>
      </c>
      <c r="K82" s="841">
        <f>Fixtures!DW43</f>
        <v>17</v>
      </c>
      <c r="L82" s="842">
        <f>Fixtures!DX43</f>
        <v>0</v>
      </c>
      <c r="M82" s="842">
        <f>Fixtures!EB43</f>
        <v>0</v>
      </c>
      <c r="N82" s="843">
        <f>Fixtures!EF43</f>
        <v>0</v>
      </c>
      <c r="O82" s="842">
        <f>Fixtures!EH43</f>
        <v>0</v>
      </c>
      <c r="P82" s="842">
        <f>Fixtures!EL43</f>
        <v>0</v>
      </c>
      <c r="Q82" s="843">
        <f>Fixtures!EP43</f>
        <v>0</v>
      </c>
      <c r="R82" s="843" t="str">
        <f>Fixtures!EY43</f>
        <v/>
      </c>
      <c r="S82" s="844">
        <f>Fixtures!EX43</f>
        <v>0</v>
      </c>
      <c r="T82" s="843" t="str">
        <f>Fixtures!DM43</f>
        <v>No</v>
      </c>
    </row>
    <row r="83" spans="2:20">
      <c r="B83" s="841" t="str">
        <f>Fixtures!BV44</f>
        <v/>
      </c>
      <c r="C83" s="841">
        <f>Fixtures!BW44</f>
        <v>18</v>
      </c>
      <c r="D83" s="841">
        <f>Fixtures!BX44</f>
        <v>0</v>
      </c>
      <c r="E83" s="841">
        <f>Fixtures!CB44</f>
        <v>0</v>
      </c>
      <c r="F83" s="841">
        <f>Fixtures!CF44</f>
        <v>0</v>
      </c>
      <c r="G83" s="841">
        <f>Fixtures!CJ44</f>
        <v>0</v>
      </c>
      <c r="H83" s="841" t="str">
        <f>Fixtures!CP44</f>
        <v/>
      </c>
      <c r="J83" s="841" t="str">
        <f>Fixtures!DN44</f>
        <v/>
      </c>
      <c r="K83" s="841">
        <f>Fixtures!DW44</f>
        <v>18</v>
      </c>
      <c r="L83" s="842">
        <f>Fixtures!DX44</f>
        <v>0</v>
      </c>
      <c r="M83" s="842">
        <f>Fixtures!EB44</f>
        <v>0</v>
      </c>
      <c r="N83" s="843">
        <f>Fixtures!EF44</f>
        <v>0</v>
      </c>
      <c r="O83" s="842">
        <f>Fixtures!EH44</f>
        <v>0</v>
      </c>
      <c r="P83" s="842">
        <f>Fixtures!EL44</f>
        <v>0</v>
      </c>
      <c r="Q83" s="843">
        <f>Fixtures!EP44</f>
        <v>0</v>
      </c>
      <c r="R83" s="843" t="str">
        <f>Fixtures!EY44</f>
        <v/>
      </c>
      <c r="S83" s="844">
        <f>Fixtures!EX44</f>
        <v>0</v>
      </c>
      <c r="T83" s="843" t="str">
        <f>Fixtures!DM44</f>
        <v>No</v>
      </c>
    </row>
    <row r="84" spans="2:20">
      <c r="B84" s="841" t="str">
        <f>Fixtures!BV45</f>
        <v/>
      </c>
      <c r="C84" s="841">
        <f>Fixtures!BW45</f>
        <v>19</v>
      </c>
      <c r="D84" s="841">
        <f>Fixtures!BX45</f>
        <v>0</v>
      </c>
      <c r="E84" s="841">
        <f>Fixtures!CB45</f>
        <v>0</v>
      </c>
      <c r="F84" s="841">
        <f>Fixtures!CF45</f>
        <v>0</v>
      </c>
      <c r="G84" s="841">
        <f>Fixtures!CJ45</f>
        <v>0</v>
      </c>
      <c r="H84" s="841" t="str">
        <f>Fixtures!CP45</f>
        <v/>
      </c>
      <c r="J84" s="841" t="str">
        <f>Fixtures!DN45</f>
        <v/>
      </c>
      <c r="K84" s="841">
        <f>Fixtures!DW45</f>
        <v>19</v>
      </c>
      <c r="L84" s="842">
        <f>Fixtures!DX45</f>
        <v>0</v>
      </c>
      <c r="M84" s="842">
        <f>Fixtures!EB45</f>
        <v>0</v>
      </c>
      <c r="N84" s="843">
        <f>Fixtures!EF45</f>
        <v>0</v>
      </c>
      <c r="O84" s="842">
        <f>Fixtures!EH45</f>
        <v>0</v>
      </c>
      <c r="P84" s="842">
        <f>Fixtures!EL45</f>
        <v>0</v>
      </c>
      <c r="Q84" s="843">
        <f>Fixtures!EP45</f>
        <v>0</v>
      </c>
      <c r="R84" s="843" t="str">
        <f>Fixtures!EY45</f>
        <v/>
      </c>
      <c r="S84" s="844">
        <f>Fixtures!EX45</f>
        <v>0</v>
      </c>
      <c r="T84" s="843" t="str">
        <f>Fixtures!DM45</f>
        <v>No</v>
      </c>
    </row>
    <row r="85" spans="2:20">
      <c r="B85" s="841" t="str">
        <f>Fixtures!BV46</f>
        <v/>
      </c>
      <c r="C85" s="841">
        <f>Fixtures!BW46</f>
        <v>20</v>
      </c>
      <c r="D85" s="841">
        <f>Fixtures!BX46</f>
        <v>0</v>
      </c>
      <c r="E85" s="841">
        <f>Fixtures!CB46</f>
        <v>0</v>
      </c>
      <c r="F85" s="841">
        <f>Fixtures!CF46</f>
        <v>0</v>
      </c>
      <c r="G85" s="841">
        <f>Fixtures!CJ46</f>
        <v>0</v>
      </c>
      <c r="H85" s="841" t="str">
        <f>Fixtures!CP46</f>
        <v/>
      </c>
      <c r="J85" s="841" t="str">
        <f>Fixtures!DN46</f>
        <v/>
      </c>
      <c r="K85" s="841">
        <f>Fixtures!DW46</f>
        <v>20</v>
      </c>
      <c r="L85" s="842">
        <f>Fixtures!DX46</f>
        <v>0</v>
      </c>
      <c r="M85" s="842">
        <f>Fixtures!EB46</f>
        <v>0</v>
      </c>
      <c r="N85" s="843">
        <f>Fixtures!EF46</f>
        <v>0</v>
      </c>
      <c r="O85" s="842">
        <f>Fixtures!EH46</f>
        <v>0</v>
      </c>
      <c r="P85" s="842">
        <f>Fixtures!EL46</f>
        <v>0</v>
      </c>
      <c r="Q85" s="843">
        <f>Fixtures!EP46</f>
        <v>0</v>
      </c>
      <c r="R85" s="843" t="str">
        <f>Fixtures!EY46</f>
        <v/>
      </c>
      <c r="S85" s="844">
        <f>Fixtures!EX46</f>
        <v>0</v>
      </c>
      <c r="T85" s="843" t="str">
        <f>Fixtures!DM46</f>
        <v>No</v>
      </c>
    </row>
    <row r="86" spans="2:20">
      <c r="B86" s="841" t="str">
        <f>Fixtures!BV47</f>
        <v/>
      </c>
      <c r="C86" s="841">
        <f>Fixtures!BW47</f>
        <v>21</v>
      </c>
      <c r="D86" s="841">
        <f>Fixtures!BX47</f>
        <v>0</v>
      </c>
      <c r="E86" s="841">
        <f>Fixtures!CB47</f>
        <v>0</v>
      </c>
      <c r="F86" s="841">
        <f>Fixtures!CF47</f>
        <v>0</v>
      </c>
      <c r="G86" s="841">
        <f>Fixtures!CJ47</f>
        <v>0</v>
      </c>
      <c r="H86" s="841" t="str">
        <f>Fixtures!CP47</f>
        <v/>
      </c>
      <c r="J86" s="841" t="str">
        <f>Fixtures!DN47</f>
        <v/>
      </c>
      <c r="K86" s="841">
        <f>Fixtures!DW47</f>
        <v>21</v>
      </c>
      <c r="L86" s="842">
        <f>Fixtures!DX47</f>
        <v>0</v>
      </c>
      <c r="M86" s="842">
        <f>Fixtures!EB47</f>
        <v>0</v>
      </c>
      <c r="N86" s="843">
        <f>Fixtures!EF47</f>
        <v>0</v>
      </c>
      <c r="O86" s="842">
        <f>Fixtures!EH47</f>
        <v>0</v>
      </c>
      <c r="P86" s="842">
        <f>Fixtures!EL47</f>
        <v>0</v>
      </c>
      <c r="Q86" s="843">
        <f>Fixtures!EP47</f>
        <v>0</v>
      </c>
      <c r="R86" s="843" t="str">
        <f>Fixtures!EY47</f>
        <v/>
      </c>
      <c r="S86" s="844">
        <f>Fixtures!EX47</f>
        <v>0</v>
      </c>
      <c r="T86" s="843" t="str">
        <f>Fixtures!DM47</f>
        <v>No</v>
      </c>
    </row>
    <row r="87" spans="2:20">
      <c r="B87" s="841" t="str">
        <f>Fixtures!BV48</f>
        <v/>
      </c>
      <c r="C87" s="841">
        <f>Fixtures!BW48</f>
        <v>22</v>
      </c>
      <c r="D87" s="841">
        <f>Fixtures!BX48</f>
        <v>0</v>
      </c>
      <c r="E87" s="841">
        <f>Fixtures!CB48</f>
        <v>0</v>
      </c>
      <c r="F87" s="841">
        <f>Fixtures!CF48</f>
        <v>0</v>
      </c>
      <c r="G87" s="841">
        <f>Fixtures!CJ48</f>
        <v>0</v>
      </c>
      <c r="H87" s="841" t="str">
        <f>Fixtures!CP48</f>
        <v/>
      </c>
      <c r="J87" s="841" t="str">
        <f>Fixtures!DN48</f>
        <v/>
      </c>
      <c r="K87" s="841">
        <f>Fixtures!DW48</f>
        <v>22</v>
      </c>
      <c r="L87" s="842">
        <f>Fixtures!DX48</f>
        <v>0</v>
      </c>
      <c r="M87" s="842">
        <f>Fixtures!EB48</f>
        <v>0</v>
      </c>
      <c r="N87" s="843">
        <f>Fixtures!EF48</f>
        <v>0</v>
      </c>
      <c r="O87" s="842">
        <f>Fixtures!EH48</f>
        <v>0</v>
      </c>
      <c r="P87" s="842">
        <f>Fixtures!EL48</f>
        <v>0</v>
      </c>
      <c r="Q87" s="843">
        <f>Fixtures!EP48</f>
        <v>0</v>
      </c>
      <c r="R87" s="843" t="str">
        <f>Fixtures!EY48</f>
        <v/>
      </c>
      <c r="S87" s="844">
        <f>Fixtures!EX48</f>
        <v>0</v>
      </c>
      <c r="T87" s="843" t="str">
        <f>Fixtures!DM48</f>
        <v>No</v>
      </c>
    </row>
    <row r="88" spans="2:20">
      <c r="B88" s="841" t="str">
        <f>Fixtures!BV49</f>
        <v/>
      </c>
      <c r="C88" s="841">
        <f>Fixtures!BW49</f>
        <v>23</v>
      </c>
      <c r="D88" s="841">
        <f>Fixtures!BX49</f>
        <v>0</v>
      </c>
      <c r="E88" s="841">
        <f>Fixtures!CB49</f>
        <v>0</v>
      </c>
      <c r="F88" s="841">
        <f>Fixtures!CF49</f>
        <v>0</v>
      </c>
      <c r="G88" s="841">
        <f>Fixtures!CJ49</f>
        <v>0</v>
      </c>
      <c r="H88" s="841" t="str">
        <f>Fixtures!CP49</f>
        <v/>
      </c>
      <c r="J88" s="841" t="str">
        <f>Fixtures!DN49</f>
        <v/>
      </c>
      <c r="K88" s="841">
        <f>Fixtures!DW49</f>
        <v>23</v>
      </c>
      <c r="L88" s="842">
        <f>Fixtures!DX49</f>
        <v>0</v>
      </c>
      <c r="M88" s="842">
        <f>Fixtures!EB49</f>
        <v>0</v>
      </c>
      <c r="N88" s="843">
        <f>Fixtures!EF49</f>
        <v>0</v>
      </c>
      <c r="O88" s="842">
        <f>Fixtures!EH49</f>
        <v>0</v>
      </c>
      <c r="P88" s="842">
        <f>Fixtures!EL49</f>
        <v>0</v>
      </c>
      <c r="Q88" s="843">
        <f>Fixtures!EP49</f>
        <v>0</v>
      </c>
      <c r="R88" s="843" t="str">
        <f>Fixtures!EY49</f>
        <v/>
      </c>
      <c r="S88" s="844">
        <f>Fixtures!EX49</f>
        <v>0</v>
      </c>
      <c r="T88" s="843" t="str">
        <f>Fixtures!DM49</f>
        <v>No</v>
      </c>
    </row>
    <row r="89" spans="2:20">
      <c r="B89" s="841" t="str">
        <f>Fixtures!BV50</f>
        <v/>
      </c>
      <c r="C89" s="841">
        <f>Fixtures!BW50</f>
        <v>24</v>
      </c>
      <c r="D89" s="841">
        <f>Fixtures!BX50</f>
        <v>0</v>
      </c>
      <c r="E89" s="841">
        <f>Fixtures!CB50</f>
        <v>0</v>
      </c>
      <c r="F89" s="841">
        <f>Fixtures!CF50</f>
        <v>0</v>
      </c>
      <c r="G89" s="841">
        <f>Fixtures!CJ50</f>
        <v>0</v>
      </c>
      <c r="H89" s="841" t="str">
        <f>Fixtures!CP50</f>
        <v/>
      </c>
      <c r="J89" s="841" t="str">
        <f>Fixtures!DN50</f>
        <v/>
      </c>
      <c r="K89" s="841">
        <f>Fixtures!DW50</f>
        <v>24</v>
      </c>
      <c r="L89" s="842">
        <f>Fixtures!DX50</f>
        <v>0</v>
      </c>
      <c r="M89" s="842">
        <f>Fixtures!EB50</f>
        <v>0</v>
      </c>
      <c r="N89" s="843">
        <f>Fixtures!EF50</f>
        <v>0</v>
      </c>
      <c r="O89" s="842">
        <f>Fixtures!EH50</f>
        <v>0</v>
      </c>
      <c r="P89" s="842">
        <f>Fixtures!EL50</f>
        <v>0</v>
      </c>
      <c r="Q89" s="843">
        <f>Fixtures!EP50</f>
        <v>0</v>
      </c>
      <c r="R89" s="843" t="str">
        <f>Fixtures!EY50</f>
        <v/>
      </c>
      <c r="S89" s="844">
        <f>Fixtures!EX50</f>
        <v>0</v>
      </c>
      <c r="T89" s="843" t="str">
        <f>Fixtures!DM50</f>
        <v>No</v>
      </c>
    </row>
    <row r="90" spans="2:20">
      <c r="B90" s="841" t="str">
        <f>Fixtures!BV51</f>
        <v/>
      </c>
      <c r="C90" s="841">
        <f>Fixtures!BW51</f>
        <v>25</v>
      </c>
      <c r="D90" s="841">
        <f>Fixtures!BX51</f>
        <v>0</v>
      </c>
      <c r="E90" s="841">
        <f>Fixtures!CB51</f>
        <v>0</v>
      </c>
      <c r="F90" s="841">
        <f>Fixtures!CF51</f>
        <v>0</v>
      </c>
      <c r="G90" s="841">
        <f>Fixtures!CJ51</f>
        <v>0</v>
      </c>
      <c r="H90" s="841" t="str">
        <f>Fixtures!CP51</f>
        <v/>
      </c>
      <c r="J90" s="841" t="str">
        <f>Fixtures!DN51</f>
        <v/>
      </c>
      <c r="K90" s="841">
        <f>Fixtures!DW51</f>
        <v>25</v>
      </c>
      <c r="L90" s="842">
        <f>Fixtures!DX51</f>
        <v>0</v>
      </c>
      <c r="M90" s="842">
        <f>Fixtures!EB51</f>
        <v>0</v>
      </c>
      <c r="N90" s="843">
        <f>Fixtures!EF51</f>
        <v>0</v>
      </c>
      <c r="O90" s="842">
        <f>Fixtures!EH51</f>
        <v>0</v>
      </c>
      <c r="P90" s="842">
        <f>Fixtures!EL51</f>
        <v>0</v>
      </c>
      <c r="Q90" s="843">
        <f>Fixtures!EP51</f>
        <v>0</v>
      </c>
      <c r="R90" s="843" t="str">
        <f>Fixtures!EY51</f>
        <v/>
      </c>
      <c r="S90" s="844">
        <f>Fixtures!EX51</f>
        <v>0</v>
      </c>
      <c r="T90" s="843" t="str">
        <f>Fixtures!DM51</f>
        <v>No</v>
      </c>
    </row>
    <row r="91" spans="2:20">
      <c r="B91" s="841" t="str">
        <f>Fixtures!BV52</f>
        <v/>
      </c>
      <c r="C91" s="841">
        <f>Fixtures!BW52</f>
        <v>26</v>
      </c>
      <c r="D91" s="841">
        <f>Fixtures!BX52</f>
        <v>0</v>
      </c>
      <c r="E91" s="841">
        <f>Fixtures!CB52</f>
        <v>0</v>
      </c>
      <c r="F91" s="841">
        <f>Fixtures!CF52</f>
        <v>0</v>
      </c>
      <c r="G91" s="841">
        <f>Fixtures!CJ52</f>
        <v>0</v>
      </c>
      <c r="H91" s="841" t="str">
        <f>Fixtures!CP52</f>
        <v/>
      </c>
      <c r="J91" s="841" t="str">
        <f>Fixtures!DN52</f>
        <v/>
      </c>
      <c r="K91" s="841">
        <f>Fixtures!DW52</f>
        <v>26</v>
      </c>
      <c r="L91" s="842">
        <f>Fixtures!DX52</f>
        <v>0</v>
      </c>
      <c r="M91" s="842">
        <f>Fixtures!EB52</f>
        <v>0</v>
      </c>
      <c r="N91" s="843">
        <f>Fixtures!EF52</f>
        <v>0</v>
      </c>
      <c r="O91" s="842">
        <f>Fixtures!EH52</f>
        <v>0</v>
      </c>
      <c r="P91" s="842">
        <f>Fixtures!EL52</f>
        <v>0</v>
      </c>
      <c r="Q91" s="843">
        <f>Fixtures!EP52</f>
        <v>0</v>
      </c>
      <c r="R91" s="843" t="str">
        <f>Fixtures!EY52</f>
        <v/>
      </c>
      <c r="S91" s="844">
        <f>Fixtures!EX52</f>
        <v>0</v>
      </c>
      <c r="T91" s="843" t="str">
        <f>Fixtures!DM52</f>
        <v>No</v>
      </c>
    </row>
    <row r="92" spans="2:20">
      <c r="B92" s="841" t="str">
        <f>Fixtures!BV53</f>
        <v/>
      </c>
      <c r="C92" s="841">
        <f>Fixtures!BW53</f>
        <v>27</v>
      </c>
      <c r="D92" s="841">
        <f>Fixtures!BX53</f>
        <v>0</v>
      </c>
      <c r="E92" s="841">
        <f>Fixtures!CB53</f>
        <v>0</v>
      </c>
      <c r="F92" s="841">
        <f>Fixtures!CF53</f>
        <v>0</v>
      </c>
      <c r="G92" s="841">
        <f>Fixtures!CJ53</f>
        <v>0</v>
      </c>
      <c r="H92" s="841" t="str">
        <f>Fixtures!CP53</f>
        <v/>
      </c>
      <c r="J92" s="841" t="str">
        <f>Fixtures!DN53</f>
        <v/>
      </c>
      <c r="K92" s="841">
        <f>Fixtures!DW53</f>
        <v>27</v>
      </c>
      <c r="L92" s="842">
        <f>Fixtures!DX53</f>
        <v>0</v>
      </c>
      <c r="M92" s="842">
        <f>Fixtures!EB53</f>
        <v>0</v>
      </c>
      <c r="N92" s="843">
        <f>Fixtures!EF53</f>
        <v>0</v>
      </c>
      <c r="O92" s="842">
        <f>Fixtures!EH53</f>
        <v>0</v>
      </c>
      <c r="P92" s="842">
        <f>Fixtures!EL53</f>
        <v>0</v>
      </c>
      <c r="Q92" s="843">
        <f>Fixtures!EP53</f>
        <v>0</v>
      </c>
      <c r="R92" s="843" t="str">
        <f>Fixtures!EY53</f>
        <v/>
      </c>
      <c r="S92" s="844">
        <f>Fixtures!EX53</f>
        <v>0</v>
      </c>
      <c r="T92" s="843" t="str">
        <f>Fixtures!DM53</f>
        <v>No</v>
      </c>
    </row>
    <row r="93" spans="2:20">
      <c r="B93" s="841" t="str">
        <f>Fixtures!BV54</f>
        <v/>
      </c>
      <c r="C93" s="841">
        <f>Fixtures!BW54</f>
        <v>28</v>
      </c>
      <c r="D93" s="841">
        <f>Fixtures!BX54</f>
        <v>0</v>
      </c>
      <c r="E93" s="841">
        <f>Fixtures!CB54</f>
        <v>0</v>
      </c>
      <c r="F93" s="841">
        <f>Fixtures!CF54</f>
        <v>0</v>
      </c>
      <c r="G93" s="841">
        <f>Fixtures!CJ54</f>
        <v>0</v>
      </c>
      <c r="H93" s="841" t="str">
        <f>Fixtures!CP54</f>
        <v/>
      </c>
      <c r="J93" s="841" t="str">
        <f>Fixtures!DN54</f>
        <v/>
      </c>
      <c r="K93" s="841">
        <f>Fixtures!DW54</f>
        <v>28</v>
      </c>
      <c r="L93" s="842">
        <f>Fixtures!DX54</f>
        <v>0</v>
      </c>
      <c r="M93" s="842">
        <f>Fixtures!EB54</f>
        <v>0</v>
      </c>
      <c r="N93" s="843">
        <f>Fixtures!EF54</f>
        <v>0</v>
      </c>
      <c r="O93" s="842">
        <f>Fixtures!EH54</f>
        <v>0</v>
      </c>
      <c r="P93" s="842">
        <f>Fixtures!EL54</f>
        <v>0</v>
      </c>
      <c r="Q93" s="843">
        <f>Fixtures!EP54</f>
        <v>0</v>
      </c>
      <c r="R93" s="843" t="str">
        <f>Fixtures!EY54</f>
        <v/>
      </c>
      <c r="S93" s="844">
        <f>Fixtures!EX54</f>
        <v>0</v>
      </c>
      <c r="T93" s="843" t="str">
        <f>Fixtures!DM54</f>
        <v>No</v>
      </c>
    </row>
    <row r="94" spans="2:20">
      <c r="B94" s="841" t="str">
        <f>Fixtures!BV55</f>
        <v/>
      </c>
      <c r="C94" s="841">
        <f>Fixtures!BW55</f>
        <v>29</v>
      </c>
      <c r="D94" s="841">
        <f>Fixtures!BX55</f>
        <v>0</v>
      </c>
      <c r="E94" s="841">
        <f>Fixtures!CB55</f>
        <v>0</v>
      </c>
      <c r="F94" s="841">
        <f>Fixtures!CF55</f>
        <v>0</v>
      </c>
      <c r="G94" s="841">
        <f>Fixtures!CJ55</f>
        <v>0</v>
      </c>
      <c r="H94" s="841" t="str">
        <f>Fixtures!CP55</f>
        <v/>
      </c>
      <c r="J94" s="841" t="str">
        <f>Fixtures!DN55</f>
        <v/>
      </c>
      <c r="K94" s="841">
        <f>Fixtures!DW55</f>
        <v>29</v>
      </c>
      <c r="L94" s="842">
        <f>Fixtures!DX55</f>
        <v>0</v>
      </c>
      <c r="M94" s="842">
        <f>Fixtures!EB55</f>
        <v>0</v>
      </c>
      <c r="N94" s="843">
        <f>Fixtures!EF55</f>
        <v>0</v>
      </c>
      <c r="O94" s="842">
        <f>Fixtures!EH55</f>
        <v>0</v>
      </c>
      <c r="P94" s="842">
        <f>Fixtures!EL55</f>
        <v>0</v>
      </c>
      <c r="Q94" s="843">
        <f>Fixtures!EP55</f>
        <v>0</v>
      </c>
      <c r="R94" s="843" t="str">
        <f>Fixtures!EY55</f>
        <v/>
      </c>
      <c r="S94" s="844">
        <f>Fixtures!EX55</f>
        <v>0</v>
      </c>
      <c r="T94" s="843" t="str">
        <f>Fixtures!DM55</f>
        <v>No</v>
      </c>
    </row>
    <row r="95" spans="2:20">
      <c r="B95" s="841" t="str">
        <f>Fixtures!BV56</f>
        <v/>
      </c>
      <c r="C95" s="841">
        <f>Fixtures!BW56</f>
        <v>30</v>
      </c>
      <c r="D95" s="841">
        <f>Fixtures!BX56</f>
        <v>0</v>
      </c>
      <c r="E95" s="841">
        <f>Fixtures!CB56</f>
        <v>0</v>
      </c>
      <c r="F95" s="841">
        <f>Fixtures!CF56</f>
        <v>0</v>
      </c>
      <c r="G95" s="841">
        <f>Fixtures!CJ56</f>
        <v>0</v>
      </c>
      <c r="H95" s="841" t="str">
        <f>Fixtures!CP56</f>
        <v/>
      </c>
      <c r="J95" s="841" t="str">
        <f>Fixtures!DN56</f>
        <v/>
      </c>
      <c r="K95" s="841">
        <f>Fixtures!DW56</f>
        <v>30</v>
      </c>
      <c r="L95" s="842">
        <f>Fixtures!DX56</f>
        <v>0</v>
      </c>
      <c r="M95" s="842">
        <f>Fixtures!EB56</f>
        <v>0</v>
      </c>
      <c r="N95" s="843">
        <f>Fixtures!EF56</f>
        <v>0</v>
      </c>
      <c r="O95" s="842">
        <f>Fixtures!EH56</f>
        <v>0</v>
      </c>
      <c r="P95" s="842">
        <f>Fixtures!EL56</f>
        <v>0</v>
      </c>
      <c r="Q95" s="843">
        <f>Fixtures!EP56</f>
        <v>0</v>
      </c>
      <c r="R95" s="843" t="str">
        <f>Fixtures!EY56</f>
        <v/>
      </c>
      <c r="S95" s="844">
        <f>Fixtures!EX56</f>
        <v>0</v>
      </c>
      <c r="T95" s="843" t="str">
        <f>Fixtures!DM56</f>
        <v>No</v>
      </c>
    </row>
    <row r="96" spans="2:20">
      <c r="B96" s="841" t="str">
        <f>Fixtures!BV57</f>
        <v/>
      </c>
      <c r="C96" s="841">
        <f>Fixtures!BW57</f>
        <v>31</v>
      </c>
      <c r="D96" s="841">
        <f>Fixtures!BX57</f>
        <v>0</v>
      </c>
      <c r="E96" s="841">
        <f>Fixtures!CB57</f>
        <v>0</v>
      </c>
      <c r="F96" s="841">
        <f>Fixtures!CF57</f>
        <v>0</v>
      </c>
      <c r="G96" s="841">
        <f>Fixtures!CJ57</f>
        <v>0</v>
      </c>
      <c r="H96" s="841" t="str">
        <f>Fixtures!CP57</f>
        <v/>
      </c>
      <c r="J96" s="841" t="str">
        <f>Fixtures!DN57</f>
        <v/>
      </c>
      <c r="K96" s="841">
        <f>Fixtures!DW57</f>
        <v>31</v>
      </c>
      <c r="L96" s="842">
        <f>Fixtures!DX57</f>
        <v>0</v>
      </c>
      <c r="M96" s="842">
        <f>Fixtures!EB57</f>
        <v>0</v>
      </c>
      <c r="N96" s="843">
        <f>Fixtures!EF57</f>
        <v>0</v>
      </c>
      <c r="O96" s="842">
        <f>Fixtures!EH57</f>
        <v>0</v>
      </c>
      <c r="P96" s="842">
        <f>Fixtures!EL57</f>
        <v>0</v>
      </c>
      <c r="Q96" s="843">
        <f>Fixtures!EP57</f>
        <v>0</v>
      </c>
      <c r="R96" s="843" t="str">
        <f>Fixtures!EY57</f>
        <v/>
      </c>
      <c r="S96" s="844">
        <f>Fixtures!EX57</f>
        <v>0</v>
      </c>
      <c r="T96" s="843" t="str">
        <f>Fixtures!DM57</f>
        <v>No</v>
      </c>
    </row>
    <row r="97" spans="2:20">
      <c r="B97" s="841" t="str">
        <f>Fixtures!BV58</f>
        <v/>
      </c>
      <c r="C97" s="841">
        <f>Fixtures!BW58</f>
        <v>32</v>
      </c>
      <c r="D97" s="841">
        <f>Fixtures!BX58</f>
        <v>0</v>
      </c>
      <c r="E97" s="841">
        <f>Fixtures!CB58</f>
        <v>0</v>
      </c>
      <c r="F97" s="841">
        <f>Fixtures!CF58</f>
        <v>0</v>
      </c>
      <c r="G97" s="841">
        <f>Fixtures!CJ58</f>
        <v>0</v>
      </c>
      <c r="H97" s="841" t="str">
        <f>Fixtures!CP58</f>
        <v/>
      </c>
      <c r="J97" s="841" t="str">
        <f>Fixtures!DN58</f>
        <v/>
      </c>
      <c r="K97" s="841">
        <f>Fixtures!DW58</f>
        <v>32</v>
      </c>
      <c r="L97" s="842">
        <f>Fixtures!DX58</f>
        <v>0</v>
      </c>
      <c r="M97" s="842">
        <f>Fixtures!EB58</f>
        <v>0</v>
      </c>
      <c r="N97" s="843">
        <f>Fixtures!EF58</f>
        <v>0</v>
      </c>
      <c r="O97" s="842">
        <f>Fixtures!EH58</f>
        <v>0</v>
      </c>
      <c r="P97" s="842">
        <f>Fixtures!EL58</f>
        <v>0</v>
      </c>
      <c r="Q97" s="843">
        <f>Fixtures!EP58</f>
        <v>0</v>
      </c>
      <c r="R97" s="843" t="str">
        <f>Fixtures!EY58</f>
        <v/>
      </c>
      <c r="S97" s="844">
        <f>Fixtures!EX58</f>
        <v>0</v>
      </c>
      <c r="T97" s="843" t="str">
        <f>Fixtures!DM58</f>
        <v>No</v>
      </c>
    </row>
    <row r="98" spans="2:20">
      <c r="B98" s="841" t="str">
        <f>Fixtures!BV59</f>
        <v/>
      </c>
      <c r="C98" s="841">
        <f>Fixtures!BW59</f>
        <v>33</v>
      </c>
      <c r="D98" s="841">
        <f>Fixtures!BX59</f>
        <v>0</v>
      </c>
      <c r="E98" s="841">
        <f>Fixtures!CB59</f>
        <v>0</v>
      </c>
      <c r="F98" s="841">
        <f>Fixtures!CF59</f>
        <v>0</v>
      </c>
      <c r="G98" s="841">
        <f>Fixtures!CJ59</f>
        <v>0</v>
      </c>
      <c r="H98" s="841" t="str">
        <f>Fixtures!CP59</f>
        <v/>
      </c>
      <c r="J98" s="841" t="str">
        <f>Fixtures!DN59</f>
        <v/>
      </c>
      <c r="K98" s="841">
        <f>Fixtures!DW59</f>
        <v>33</v>
      </c>
      <c r="L98" s="842">
        <f>Fixtures!DX59</f>
        <v>0</v>
      </c>
      <c r="M98" s="842">
        <f>Fixtures!EB59</f>
        <v>0</v>
      </c>
      <c r="N98" s="843">
        <f>Fixtures!EF59</f>
        <v>0</v>
      </c>
      <c r="O98" s="842">
        <f>Fixtures!EH59</f>
        <v>0</v>
      </c>
      <c r="P98" s="842">
        <f>Fixtures!EL59</f>
        <v>0</v>
      </c>
      <c r="Q98" s="843">
        <f>Fixtures!EP59</f>
        <v>0</v>
      </c>
      <c r="R98" s="843" t="str">
        <f>Fixtures!EY59</f>
        <v/>
      </c>
      <c r="S98" s="844">
        <f>Fixtures!EX59</f>
        <v>0</v>
      </c>
      <c r="T98" s="843" t="str">
        <f>Fixtures!DM59</f>
        <v>No</v>
      </c>
    </row>
    <row r="99" spans="2:20">
      <c r="B99" s="841" t="str">
        <f>Fixtures!BV60</f>
        <v/>
      </c>
      <c r="C99" s="841">
        <f>Fixtures!BW60</f>
        <v>34</v>
      </c>
      <c r="D99" s="841">
        <f>Fixtures!BX60</f>
        <v>0</v>
      </c>
      <c r="E99" s="841">
        <f>Fixtures!CB60</f>
        <v>0</v>
      </c>
      <c r="F99" s="841">
        <f>Fixtures!CF60</f>
        <v>0</v>
      </c>
      <c r="G99" s="841">
        <f>Fixtures!CJ60</f>
        <v>0</v>
      </c>
      <c r="H99" s="841" t="str">
        <f>Fixtures!CP60</f>
        <v/>
      </c>
      <c r="J99" s="841" t="str">
        <f>Fixtures!DN60</f>
        <v/>
      </c>
      <c r="K99" s="841">
        <f>Fixtures!DW60</f>
        <v>34</v>
      </c>
      <c r="L99" s="842">
        <f>Fixtures!DX60</f>
        <v>0</v>
      </c>
      <c r="M99" s="842">
        <f>Fixtures!EB60</f>
        <v>0</v>
      </c>
      <c r="N99" s="843">
        <f>Fixtures!EF60</f>
        <v>0</v>
      </c>
      <c r="O99" s="842">
        <f>Fixtures!EH60</f>
        <v>0</v>
      </c>
      <c r="P99" s="842">
        <f>Fixtures!EL60</f>
        <v>0</v>
      </c>
      <c r="Q99" s="843">
        <f>Fixtures!EP60</f>
        <v>0</v>
      </c>
      <c r="R99" s="843" t="str">
        <f>Fixtures!EY60</f>
        <v/>
      </c>
      <c r="S99" s="844">
        <f>Fixtures!EX60</f>
        <v>0</v>
      </c>
      <c r="T99" s="843" t="str">
        <f>Fixtures!DM60</f>
        <v>No</v>
      </c>
    </row>
    <row r="100" spans="2:20">
      <c r="B100" s="841" t="str">
        <f>Fixtures!BV61</f>
        <v/>
      </c>
      <c r="C100" s="841">
        <f>Fixtures!BW61</f>
        <v>35</v>
      </c>
      <c r="D100" s="841">
        <f>Fixtures!BX61</f>
        <v>0</v>
      </c>
      <c r="E100" s="841">
        <f>Fixtures!CB61</f>
        <v>0</v>
      </c>
      <c r="F100" s="841">
        <f>Fixtures!CF61</f>
        <v>0</v>
      </c>
      <c r="G100" s="841">
        <f>Fixtures!CJ61</f>
        <v>0</v>
      </c>
      <c r="H100" s="841" t="str">
        <f>Fixtures!CP61</f>
        <v/>
      </c>
      <c r="J100" s="841" t="str">
        <f>Fixtures!DN61</f>
        <v/>
      </c>
      <c r="K100" s="841">
        <f>Fixtures!DW61</f>
        <v>35</v>
      </c>
      <c r="L100" s="842">
        <f>Fixtures!DX61</f>
        <v>0</v>
      </c>
      <c r="M100" s="842">
        <f>Fixtures!EB61</f>
        <v>0</v>
      </c>
      <c r="N100" s="843">
        <f>Fixtures!EF61</f>
        <v>0</v>
      </c>
      <c r="O100" s="842">
        <f>Fixtures!EH61</f>
        <v>0</v>
      </c>
      <c r="P100" s="842">
        <f>Fixtures!EL61</f>
        <v>0</v>
      </c>
      <c r="Q100" s="843">
        <f>Fixtures!EP61</f>
        <v>0</v>
      </c>
      <c r="R100" s="843" t="str">
        <f>Fixtures!EY61</f>
        <v/>
      </c>
      <c r="S100" s="844">
        <f>Fixtures!EX61</f>
        <v>0</v>
      </c>
      <c r="T100" s="843" t="str">
        <f>Fixtures!DM61</f>
        <v>No</v>
      </c>
    </row>
    <row r="101" spans="2:20">
      <c r="B101" s="841" t="str">
        <f>Fixtures!BV62</f>
        <v/>
      </c>
      <c r="C101" s="841">
        <f>Fixtures!BW62</f>
        <v>36</v>
      </c>
      <c r="D101" s="841">
        <f>Fixtures!BX62</f>
        <v>0</v>
      </c>
      <c r="E101" s="841">
        <f>Fixtures!CB62</f>
        <v>0</v>
      </c>
      <c r="F101" s="841">
        <f>Fixtures!CF62</f>
        <v>0</v>
      </c>
      <c r="G101" s="841">
        <f>Fixtures!CJ62</f>
        <v>0</v>
      </c>
      <c r="H101" s="841" t="str">
        <f>Fixtures!CP62</f>
        <v/>
      </c>
      <c r="J101" s="841" t="str">
        <f>Fixtures!DN62</f>
        <v/>
      </c>
      <c r="K101" s="841">
        <f>Fixtures!DW62</f>
        <v>36</v>
      </c>
      <c r="L101" s="842">
        <f>Fixtures!DX62</f>
        <v>0</v>
      </c>
      <c r="M101" s="842">
        <f>Fixtures!EB62</f>
        <v>0</v>
      </c>
      <c r="N101" s="843">
        <f>Fixtures!EF62</f>
        <v>0</v>
      </c>
      <c r="O101" s="842">
        <f>Fixtures!EH62</f>
        <v>0</v>
      </c>
      <c r="P101" s="842">
        <f>Fixtures!EL62</f>
        <v>0</v>
      </c>
      <c r="Q101" s="843">
        <f>Fixtures!EP62</f>
        <v>0</v>
      </c>
      <c r="R101" s="843" t="str">
        <f>Fixtures!EY62</f>
        <v/>
      </c>
      <c r="S101" s="844">
        <f>Fixtures!EX62</f>
        <v>0</v>
      </c>
      <c r="T101" s="843" t="str">
        <f>Fixtures!DM62</f>
        <v>No</v>
      </c>
    </row>
    <row r="102" spans="2:20">
      <c r="B102" s="841" t="str">
        <f>Fixtures!BV63</f>
        <v/>
      </c>
      <c r="C102" s="841">
        <f>Fixtures!BW63</f>
        <v>37</v>
      </c>
      <c r="D102" s="841">
        <f>Fixtures!BX63</f>
        <v>0</v>
      </c>
      <c r="E102" s="841">
        <f>Fixtures!CB63</f>
        <v>0</v>
      </c>
      <c r="F102" s="841">
        <f>Fixtures!CF63</f>
        <v>0</v>
      </c>
      <c r="G102" s="841">
        <f>Fixtures!CJ63</f>
        <v>0</v>
      </c>
      <c r="H102" s="841" t="str">
        <f>Fixtures!CP63</f>
        <v/>
      </c>
      <c r="J102" s="841" t="str">
        <f>Fixtures!DN63</f>
        <v/>
      </c>
      <c r="K102" s="841">
        <f>Fixtures!DW63</f>
        <v>37</v>
      </c>
      <c r="L102" s="842">
        <f>Fixtures!DX63</f>
        <v>0</v>
      </c>
      <c r="M102" s="842">
        <f>Fixtures!EB63</f>
        <v>0</v>
      </c>
      <c r="N102" s="843">
        <f>Fixtures!EF63</f>
        <v>0</v>
      </c>
      <c r="O102" s="842">
        <f>Fixtures!EH63</f>
        <v>0</v>
      </c>
      <c r="P102" s="842">
        <f>Fixtures!EL63</f>
        <v>0</v>
      </c>
      <c r="Q102" s="843">
        <f>Fixtures!EP63</f>
        <v>0</v>
      </c>
      <c r="R102" s="843" t="str">
        <f>Fixtures!EY63</f>
        <v/>
      </c>
      <c r="S102" s="844">
        <f>Fixtures!EX63</f>
        <v>0</v>
      </c>
      <c r="T102" s="843" t="str">
        <f>Fixtures!DM63</f>
        <v>No</v>
      </c>
    </row>
    <row r="103" spans="2:20">
      <c r="B103" s="841" t="str">
        <f>Fixtures!BV64</f>
        <v/>
      </c>
      <c r="C103" s="841">
        <f>Fixtures!BW64</f>
        <v>38</v>
      </c>
      <c r="D103" s="841">
        <f>Fixtures!BX64</f>
        <v>0</v>
      </c>
      <c r="E103" s="841">
        <f>Fixtures!CB64</f>
        <v>0</v>
      </c>
      <c r="F103" s="841">
        <f>Fixtures!CF64</f>
        <v>0</v>
      </c>
      <c r="G103" s="841">
        <f>Fixtures!CJ64</f>
        <v>0</v>
      </c>
      <c r="H103" s="841" t="str">
        <f>Fixtures!CP64</f>
        <v/>
      </c>
      <c r="J103" s="841" t="str">
        <f>Fixtures!DN64</f>
        <v/>
      </c>
      <c r="K103" s="841">
        <f>Fixtures!DW64</f>
        <v>38</v>
      </c>
      <c r="L103" s="842">
        <f>Fixtures!DX64</f>
        <v>0</v>
      </c>
      <c r="M103" s="842">
        <f>Fixtures!EB64</f>
        <v>0</v>
      </c>
      <c r="N103" s="843">
        <f>Fixtures!EF64</f>
        <v>0</v>
      </c>
      <c r="O103" s="842">
        <f>Fixtures!EH64</f>
        <v>0</v>
      </c>
      <c r="P103" s="842">
        <f>Fixtures!EL64</f>
        <v>0</v>
      </c>
      <c r="Q103" s="843">
        <f>Fixtures!EP64</f>
        <v>0</v>
      </c>
      <c r="R103" s="843" t="str">
        <f>Fixtures!EY64</f>
        <v/>
      </c>
      <c r="S103" s="844">
        <f>Fixtures!EX64</f>
        <v>0</v>
      </c>
      <c r="T103" s="843" t="str">
        <f>Fixtures!DM64</f>
        <v>No</v>
      </c>
    </row>
    <row r="104" spans="2:20">
      <c r="B104" s="841" t="str">
        <f>Fixtures!BV65</f>
        <v/>
      </c>
      <c r="C104" s="841">
        <f>Fixtures!BW65</f>
        <v>39</v>
      </c>
      <c r="D104" s="841">
        <f>Fixtures!BX65</f>
        <v>0</v>
      </c>
      <c r="E104" s="841">
        <f>Fixtures!CB65</f>
        <v>0</v>
      </c>
      <c r="F104" s="841">
        <f>Fixtures!CF65</f>
        <v>0</v>
      </c>
      <c r="G104" s="841">
        <f>Fixtures!CJ65</f>
        <v>0</v>
      </c>
      <c r="H104" s="841" t="str">
        <f>Fixtures!CP65</f>
        <v/>
      </c>
      <c r="J104" s="841" t="str">
        <f>Fixtures!DN65</f>
        <v/>
      </c>
      <c r="K104" s="841">
        <f>Fixtures!DW65</f>
        <v>39</v>
      </c>
      <c r="L104" s="842">
        <f>Fixtures!DX65</f>
        <v>0</v>
      </c>
      <c r="M104" s="842">
        <f>Fixtures!EB65</f>
        <v>0</v>
      </c>
      <c r="N104" s="843">
        <f>Fixtures!EF65</f>
        <v>0</v>
      </c>
      <c r="O104" s="842">
        <f>Fixtures!EH65</f>
        <v>0</v>
      </c>
      <c r="P104" s="842">
        <f>Fixtures!EL65</f>
        <v>0</v>
      </c>
      <c r="Q104" s="843">
        <f>Fixtures!EP65</f>
        <v>0</v>
      </c>
      <c r="R104" s="843" t="str">
        <f>Fixtures!EY65</f>
        <v/>
      </c>
      <c r="S104" s="844">
        <f>Fixtures!EX65</f>
        <v>0</v>
      </c>
      <c r="T104" s="843" t="str">
        <f>Fixtures!DM65</f>
        <v>No</v>
      </c>
    </row>
    <row r="105" spans="2:20">
      <c r="B105" s="841" t="str">
        <f>Fixtures!BV66</f>
        <v/>
      </c>
      <c r="C105" s="841">
        <f>Fixtures!BW66</f>
        <v>40</v>
      </c>
      <c r="D105" s="841">
        <f>Fixtures!BX66</f>
        <v>0</v>
      </c>
      <c r="E105" s="841">
        <f>Fixtures!CB66</f>
        <v>0</v>
      </c>
      <c r="F105" s="841">
        <f>Fixtures!CF66</f>
        <v>0</v>
      </c>
      <c r="G105" s="841">
        <f>Fixtures!CJ66</f>
        <v>0</v>
      </c>
      <c r="H105" s="841" t="str">
        <f>Fixtures!CP66</f>
        <v/>
      </c>
      <c r="J105" s="841" t="str">
        <f>Fixtures!DN66</f>
        <v/>
      </c>
      <c r="K105" s="841">
        <f>Fixtures!DW66</f>
        <v>40</v>
      </c>
      <c r="L105" s="842">
        <f>Fixtures!DX66</f>
        <v>0</v>
      </c>
      <c r="M105" s="842">
        <f>Fixtures!EB66</f>
        <v>0</v>
      </c>
      <c r="N105" s="843">
        <f>Fixtures!EF66</f>
        <v>0</v>
      </c>
      <c r="O105" s="842">
        <f>Fixtures!EH66</f>
        <v>0</v>
      </c>
      <c r="P105" s="842">
        <f>Fixtures!EL66</f>
        <v>0</v>
      </c>
      <c r="Q105" s="843">
        <f>Fixtures!EP66</f>
        <v>0</v>
      </c>
      <c r="R105" s="843" t="str">
        <f>Fixtures!EY66</f>
        <v/>
      </c>
      <c r="S105" s="844">
        <f>Fixtures!EX66</f>
        <v>0</v>
      </c>
      <c r="T105" s="843" t="str">
        <f>Fixtures!DM66</f>
        <v>No</v>
      </c>
    </row>
    <row r="106" spans="2:20">
      <c r="B106" s="841" t="str">
        <f>Fixtures!BV67</f>
        <v/>
      </c>
      <c r="C106" s="841">
        <f>Fixtures!BW67</f>
        <v>41</v>
      </c>
      <c r="D106" s="841">
        <f>Fixtures!BX67</f>
        <v>0</v>
      </c>
      <c r="E106" s="841">
        <f>Fixtures!CB67</f>
        <v>0</v>
      </c>
      <c r="F106" s="841">
        <f>Fixtures!CF67</f>
        <v>0</v>
      </c>
      <c r="G106" s="841">
        <f>Fixtures!CJ67</f>
        <v>0</v>
      </c>
      <c r="H106" s="841" t="str">
        <f>Fixtures!CP67</f>
        <v/>
      </c>
      <c r="J106" s="841" t="str">
        <f>Fixtures!DN67</f>
        <v/>
      </c>
      <c r="K106" s="841">
        <f>Fixtures!DW67</f>
        <v>41</v>
      </c>
      <c r="L106" s="842">
        <f>Fixtures!DX67</f>
        <v>0</v>
      </c>
      <c r="M106" s="842">
        <f>Fixtures!EB67</f>
        <v>0</v>
      </c>
      <c r="N106" s="843">
        <f>Fixtures!EF67</f>
        <v>0</v>
      </c>
      <c r="O106" s="842">
        <f>Fixtures!EH67</f>
        <v>0</v>
      </c>
      <c r="P106" s="842">
        <f>Fixtures!EL67</f>
        <v>0</v>
      </c>
      <c r="Q106" s="843">
        <f>Fixtures!EP67</f>
        <v>0</v>
      </c>
      <c r="R106" s="843" t="str">
        <f>Fixtures!EY67</f>
        <v/>
      </c>
      <c r="S106" s="844">
        <f>Fixtures!EX67</f>
        <v>0</v>
      </c>
      <c r="T106" s="843" t="str">
        <f>Fixtures!DM67</f>
        <v>No</v>
      </c>
    </row>
    <row r="107" spans="2:20">
      <c r="B107" s="841" t="str">
        <f>Fixtures!BV68</f>
        <v/>
      </c>
      <c r="C107" s="841">
        <f>Fixtures!BW68</f>
        <v>42</v>
      </c>
      <c r="D107" s="841">
        <f>Fixtures!BX68</f>
        <v>0</v>
      </c>
      <c r="E107" s="841">
        <f>Fixtures!CB68</f>
        <v>0</v>
      </c>
      <c r="F107" s="841">
        <f>Fixtures!CF68</f>
        <v>0</v>
      </c>
      <c r="G107" s="841">
        <f>Fixtures!CJ68</f>
        <v>0</v>
      </c>
      <c r="H107" s="841" t="str">
        <f>Fixtures!CP68</f>
        <v/>
      </c>
      <c r="J107" s="841" t="str">
        <f>Fixtures!DN68</f>
        <v/>
      </c>
      <c r="K107" s="841">
        <f>Fixtures!DW68</f>
        <v>42</v>
      </c>
      <c r="L107" s="842">
        <f>Fixtures!DX68</f>
        <v>0</v>
      </c>
      <c r="M107" s="842">
        <f>Fixtures!EB68</f>
        <v>0</v>
      </c>
      <c r="N107" s="843">
        <f>Fixtures!EF68</f>
        <v>0</v>
      </c>
      <c r="O107" s="842">
        <f>Fixtures!EH68</f>
        <v>0</v>
      </c>
      <c r="P107" s="842">
        <f>Fixtures!EL68</f>
        <v>0</v>
      </c>
      <c r="Q107" s="843">
        <f>Fixtures!EP68</f>
        <v>0</v>
      </c>
      <c r="R107" s="843" t="str">
        <f>Fixtures!EY68</f>
        <v/>
      </c>
      <c r="S107" s="844">
        <f>Fixtures!EX68</f>
        <v>0</v>
      </c>
      <c r="T107" s="843" t="str">
        <f>Fixtures!DM68</f>
        <v>No</v>
      </c>
    </row>
    <row r="108" spans="2:20">
      <c r="B108" s="841" t="str">
        <f>Fixtures!BV69</f>
        <v/>
      </c>
      <c r="C108" s="841">
        <f>Fixtures!BW69</f>
        <v>43</v>
      </c>
      <c r="D108" s="841">
        <f>Fixtures!BX69</f>
        <v>0</v>
      </c>
      <c r="E108" s="841">
        <f>Fixtures!CB69</f>
        <v>0</v>
      </c>
      <c r="F108" s="841">
        <f>Fixtures!CF69</f>
        <v>0</v>
      </c>
      <c r="G108" s="841">
        <f>Fixtures!CJ69</f>
        <v>0</v>
      </c>
      <c r="H108" s="841" t="str">
        <f>Fixtures!CP69</f>
        <v/>
      </c>
      <c r="J108" s="841" t="str">
        <f>Fixtures!DN69</f>
        <v/>
      </c>
      <c r="K108" s="841">
        <f>Fixtures!DW69</f>
        <v>43</v>
      </c>
      <c r="L108" s="842">
        <f>Fixtures!DX69</f>
        <v>0</v>
      </c>
      <c r="M108" s="842">
        <f>Fixtures!EB69</f>
        <v>0</v>
      </c>
      <c r="N108" s="843">
        <f>Fixtures!EF69</f>
        <v>0</v>
      </c>
      <c r="O108" s="842">
        <f>Fixtures!EH69</f>
        <v>0</v>
      </c>
      <c r="P108" s="842">
        <f>Fixtures!EL69</f>
        <v>0</v>
      </c>
      <c r="Q108" s="843">
        <f>Fixtures!EP69</f>
        <v>0</v>
      </c>
      <c r="R108" s="843" t="str">
        <f>Fixtures!EY69</f>
        <v/>
      </c>
      <c r="S108" s="844">
        <f>Fixtures!EX69</f>
        <v>0</v>
      </c>
      <c r="T108" s="843" t="str">
        <f>Fixtures!DM69</f>
        <v>No</v>
      </c>
    </row>
    <row r="109" spans="2:20">
      <c r="B109" s="841" t="str">
        <f>Fixtures!BV70</f>
        <v/>
      </c>
      <c r="C109" s="841">
        <f>Fixtures!BW70</f>
        <v>44</v>
      </c>
      <c r="D109" s="841">
        <f>Fixtures!BX70</f>
        <v>0</v>
      </c>
      <c r="E109" s="841">
        <f>Fixtures!CB70</f>
        <v>0</v>
      </c>
      <c r="F109" s="841">
        <f>Fixtures!CF70</f>
        <v>0</v>
      </c>
      <c r="G109" s="841">
        <f>Fixtures!CJ70</f>
        <v>0</v>
      </c>
      <c r="H109" s="841" t="str">
        <f>Fixtures!CP70</f>
        <v/>
      </c>
      <c r="J109" s="841" t="str">
        <f>Fixtures!DN70</f>
        <v/>
      </c>
      <c r="K109" s="841">
        <f>Fixtures!DW70</f>
        <v>44</v>
      </c>
      <c r="L109" s="842">
        <f>Fixtures!DX70</f>
        <v>0</v>
      </c>
      <c r="M109" s="842">
        <f>Fixtures!EB70</f>
        <v>0</v>
      </c>
      <c r="N109" s="843">
        <f>Fixtures!EF70</f>
        <v>0</v>
      </c>
      <c r="O109" s="842">
        <f>Fixtures!EH70</f>
        <v>0</v>
      </c>
      <c r="P109" s="842">
        <f>Fixtures!EL70</f>
        <v>0</v>
      </c>
      <c r="Q109" s="843">
        <f>Fixtures!EP70</f>
        <v>0</v>
      </c>
      <c r="R109" s="843" t="str">
        <f>Fixtures!EY70</f>
        <v/>
      </c>
      <c r="S109" s="844">
        <f>Fixtures!EX70</f>
        <v>0</v>
      </c>
      <c r="T109" s="843" t="str">
        <f>Fixtures!DM70</f>
        <v>No</v>
      </c>
    </row>
    <row r="110" spans="2:20">
      <c r="B110" s="841" t="str">
        <f>Fixtures!BV71</f>
        <v/>
      </c>
      <c r="C110" s="841">
        <f>Fixtures!BW71</f>
        <v>45</v>
      </c>
      <c r="D110" s="841">
        <f>Fixtures!BX71</f>
        <v>0</v>
      </c>
      <c r="E110" s="841">
        <f>Fixtures!CB71</f>
        <v>0</v>
      </c>
      <c r="F110" s="841">
        <f>Fixtures!CF71</f>
        <v>0</v>
      </c>
      <c r="G110" s="841">
        <f>Fixtures!CJ71</f>
        <v>0</v>
      </c>
      <c r="H110" s="841" t="str">
        <f>Fixtures!CP71</f>
        <v/>
      </c>
      <c r="J110" s="841" t="str">
        <f>Fixtures!DN71</f>
        <v/>
      </c>
      <c r="K110" s="841">
        <f>Fixtures!DW71</f>
        <v>45</v>
      </c>
      <c r="L110" s="842">
        <f>Fixtures!DX71</f>
        <v>0</v>
      </c>
      <c r="M110" s="842">
        <f>Fixtures!EB71</f>
        <v>0</v>
      </c>
      <c r="N110" s="843">
        <f>Fixtures!EF71</f>
        <v>0</v>
      </c>
      <c r="O110" s="842">
        <f>Fixtures!EH71</f>
        <v>0</v>
      </c>
      <c r="P110" s="842">
        <f>Fixtures!EL71</f>
        <v>0</v>
      </c>
      <c r="Q110" s="843">
        <f>Fixtures!EP71</f>
        <v>0</v>
      </c>
      <c r="R110" s="843" t="str">
        <f>Fixtures!EY71</f>
        <v/>
      </c>
      <c r="S110" s="844">
        <f>Fixtures!EX71</f>
        <v>0</v>
      </c>
      <c r="T110" s="843" t="str">
        <f>Fixtures!DM71</f>
        <v>No</v>
      </c>
    </row>
    <row r="111" spans="2:20">
      <c r="B111" s="841" t="str">
        <f>Fixtures!BV72</f>
        <v/>
      </c>
      <c r="C111" s="841">
        <f>Fixtures!BW72</f>
        <v>46</v>
      </c>
      <c r="D111" s="841">
        <f>Fixtures!BX72</f>
        <v>0</v>
      </c>
      <c r="E111" s="841">
        <f>Fixtures!CB72</f>
        <v>0</v>
      </c>
      <c r="F111" s="841">
        <f>Fixtures!CF72</f>
        <v>0</v>
      </c>
      <c r="G111" s="841">
        <f>Fixtures!CJ72</f>
        <v>0</v>
      </c>
      <c r="H111" s="841" t="str">
        <f>Fixtures!CP72</f>
        <v/>
      </c>
      <c r="J111" s="841" t="str">
        <f>Fixtures!DN72</f>
        <v/>
      </c>
      <c r="K111" s="841">
        <f>Fixtures!DW72</f>
        <v>46</v>
      </c>
      <c r="L111" s="842">
        <f>Fixtures!DX72</f>
        <v>0</v>
      </c>
      <c r="M111" s="842">
        <f>Fixtures!EB72</f>
        <v>0</v>
      </c>
      <c r="N111" s="843">
        <f>Fixtures!EF72</f>
        <v>0</v>
      </c>
      <c r="O111" s="842">
        <f>Fixtures!EH72</f>
        <v>0</v>
      </c>
      <c r="P111" s="842">
        <f>Fixtures!EL72</f>
        <v>0</v>
      </c>
      <c r="Q111" s="843">
        <f>Fixtures!EP72</f>
        <v>0</v>
      </c>
      <c r="R111" s="843" t="str">
        <f>Fixtures!EY72</f>
        <v/>
      </c>
      <c r="S111" s="844">
        <f>Fixtures!EX72</f>
        <v>0</v>
      </c>
      <c r="T111" s="843" t="str">
        <f>Fixtures!DM72</f>
        <v>No</v>
      </c>
    </row>
    <row r="112" spans="2:20">
      <c r="B112" s="841" t="str">
        <f>Fixtures!BV73</f>
        <v/>
      </c>
      <c r="C112" s="841">
        <f>Fixtures!BW73</f>
        <v>47</v>
      </c>
      <c r="D112" s="841">
        <f>Fixtures!BX73</f>
        <v>0</v>
      </c>
      <c r="E112" s="841">
        <f>Fixtures!CB73</f>
        <v>0</v>
      </c>
      <c r="F112" s="841">
        <f>Fixtures!CF73</f>
        <v>0</v>
      </c>
      <c r="G112" s="841">
        <f>Fixtures!CJ73</f>
        <v>0</v>
      </c>
      <c r="H112" s="841" t="str">
        <f>Fixtures!CP73</f>
        <v/>
      </c>
      <c r="J112" s="841" t="str">
        <f>Fixtures!DN73</f>
        <v/>
      </c>
      <c r="K112" s="841">
        <f>Fixtures!DW73</f>
        <v>47</v>
      </c>
      <c r="L112" s="842">
        <f>Fixtures!DX73</f>
        <v>0</v>
      </c>
      <c r="M112" s="842">
        <f>Fixtures!EB73</f>
        <v>0</v>
      </c>
      <c r="N112" s="843">
        <f>Fixtures!EF73</f>
        <v>0</v>
      </c>
      <c r="O112" s="842">
        <f>Fixtures!EH73</f>
        <v>0</v>
      </c>
      <c r="P112" s="842">
        <f>Fixtures!EL73</f>
        <v>0</v>
      </c>
      <c r="Q112" s="843">
        <f>Fixtures!EP73</f>
        <v>0</v>
      </c>
      <c r="R112" s="843" t="str">
        <f>Fixtures!EY73</f>
        <v/>
      </c>
      <c r="S112" s="844">
        <f>Fixtures!EX73</f>
        <v>0</v>
      </c>
      <c r="T112" s="843" t="str">
        <f>Fixtures!DM73</f>
        <v>No</v>
      </c>
    </row>
    <row r="113" spans="1:45">
      <c r="B113" s="841" t="str">
        <f>Fixtures!BV74</f>
        <v/>
      </c>
      <c r="C113" s="841">
        <f>Fixtures!BW74</f>
        <v>48</v>
      </c>
      <c r="D113" s="841">
        <f>Fixtures!BX74</f>
        <v>0</v>
      </c>
      <c r="E113" s="841">
        <f>Fixtures!CB74</f>
        <v>0</v>
      </c>
      <c r="F113" s="841">
        <f>Fixtures!CF74</f>
        <v>0</v>
      </c>
      <c r="G113" s="841">
        <f>Fixtures!CJ74</f>
        <v>0</v>
      </c>
      <c r="H113" s="841" t="str">
        <f>Fixtures!CP74</f>
        <v/>
      </c>
      <c r="J113" s="841" t="str">
        <f>Fixtures!DN74</f>
        <v/>
      </c>
      <c r="K113" s="841">
        <f>Fixtures!DW74</f>
        <v>48</v>
      </c>
      <c r="L113" s="842">
        <f>Fixtures!DX74</f>
        <v>0</v>
      </c>
      <c r="M113" s="842">
        <f>Fixtures!EB74</f>
        <v>0</v>
      </c>
      <c r="N113" s="843">
        <f>Fixtures!EF74</f>
        <v>0</v>
      </c>
      <c r="O113" s="842">
        <f>Fixtures!EH74</f>
        <v>0</v>
      </c>
      <c r="P113" s="842">
        <f>Fixtures!EL74</f>
        <v>0</v>
      </c>
      <c r="Q113" s="843">
        <f>Fixtures!EP74</f>
        <v>0</v>
      </c>
      <c r="R113" s="843" t="str">
        <f>Fixtures!EY74</f>
        <v/>
      </c>
      <c r="S113" s="844">
        <f>Fixtures!EX74</f>
        <v>0</v>
      </c>
      <c r="T113" s="843" t="str">
        <f>Fixtures!DM74</f>
        <v>No</v>
      </c>
    </row>
    <row r="114" spans="1:45">
      <c r="B114" s="841" t="str">
        <f>Fixtures!BV75</f>
        <v/>
      </c>
      <c r="C114" s="841">
        <f>Fixtures!BW75</f>
        <v>49</v>
      </c>
      <c r="D114" s="841">
        <f>Fixtures!BX75</f>
        <v>0</v>
      </c>
      <c r="E114" s="841">
        <f>Fixtures!CB75</f>
        <v>0</v>
      </c>
      <c r="F114" s="841">
        <f>Fixtures!CF75</f>
        <v>0</v>
      </c>
      <c r="G114" s="841">
        <f>Fixtures!CJ75</f>
        <v>0</v>
      </c>
      <c r="H114" s="841" t="str">
        <f>Fixtures!CP75</f>
        <v/>
      </c>
      <c r="J114" s="841" t="str">
        <f>Fixtures!DN75</f>
        <v/>
      </c>
      <c r="K114" s="841">
        <f>Fixtures!DW75</f>
        <v>49</v>
      </c>
      <c r="L114" s="842">
        <f>Fixtures!DX75</f>
        <v>0</v>
      </c>
      <c r="M114" s="842">
        <f>Fixtures!EB75</f>
        <v>0</v>
      </c>
      <c r="N114" s="843">
        <f>Fixtures!EF75</f>
        <v>0</v>
      </c>
      <c r="O114" s="842">
        <f>Fixtures!EH75</f>
        <v>0</v>
      </c>
      <c r="P114" s="842">
        <f>Fixtures!EL75</f>
        <v>0</v>
      </c>
      <c r="Q114" s="843">
        <f>Fixtures!EP75</f>
        <v>0</v>
      </c>
      <c r="R114" s="843" t="str">
        <f>Fixtures!EY75</f>
        <v/>
      </c>
      <c r="S114" s="844">
        <f>Fixtures!EX75</f>
        <v>0</v>
      </c>
      <c r="T114" s="843" t="str">
        <f>Fixtures!DM75</f>
        <v>No</v>
      </c>
    </row>
    <row r="115" spans="1:45">
      <c r="B115" s="841" t="str">
        <f>Fixtures!BV76</f>
        <v/>
      </c>
      <c r="C115" s="841">
        <f>Fixtures!BW76</f>
        <v>50</v>
      </c>
      <c r="D115" s="841">
        <f>Fixtures!BX76</f>
        <v>0</v>
      </c>
      <c r="E115" s="841">
        <f>Fixtures!CB76</f>
        <v>0</v>
      </c>
      <c r="F115" s="841">
        <f>Fixtures!CF76</f>
        <v>0</v>
      </c>
      <c r="G115" s="841">
        <f>Fixtures!CJ76</f>
        <v>0</v>
      </c>
      <c r="H115" s="841" t="str">
        <f>Fixtures!CP76</f>
        <v/>
      </c>
      <c r="J115" s="841" t="str">
        <f>Fixtures!DN76</f>
        <v>08 Other Interior Fixture Removed, (1) Existing #Removed</v>
      </c>
      <c r="K115" s="841">
        <f>Fixtures!DW76</f>
        <v>50</v>
      </c>
      <c r="L115" s="842" t="str">
        <f>Fixtures!DX76</f>
        <v>08 Other Interior</v>
      </c>
      <c r="M115" s="842" t="str">
        <f>Fixtures!EB76</f>
        <v>Fixture Removed</v>
      </c>
      <c r="N115" s="843">
        <f>Fixtures!EF76</f>
        <v>1</v>
      </c>
      <c r="O115" s="842" t="str">
        <f>Fixtures!EH76</f>
        <v>Existing</v>
      </c>
      <c r="P115" s="842" t="str">
        <f>Fixtures!EL76</f>
        <v>Removed</v>
      </c>
      <c r="Q115" s="843">
        <f>Fixtures!EP76</f>
        <v>0</v>
      </c>
      <c r="R115" s="843">
        <f>Fixtures!EY76</f>
        <v>15</v>
      </c>
      <c r="S115" s="844">
        <f>Fixtures!EX76</f>
        <v>0</v>
      </c>
      <c r="T115" s="843" t="str">
        <f>Fixtures!DM76</f>
        <v>No</v>
      </c>
    </row>
    <row r="118" spans="1:45" ht="19.05">
      <c r="H118" s="79" t="s">
        <v>178</v>
      </c>
      <c r="I118" s="75"/>
      <c r="J118" s="75"/>
      <c r="K118" s="75"/>
      <c r="L118" s="75"/>
      <c r="M118" s="75"/>
      <c r="S118" s="79" t="s">
        <v>284</v>
      </c>
      <c r="T118" s="75"/>
      <c r="U118" s="75"/>
      <c r="V118" s="75"/>
      <c r="W118" s="75"/>
      <c r="X118" s="75"/>
    </row>
    <row r="119" spans="1:45" ht="19.05">
      <c r="A119" s="9"/>
      <c r="B119" s="9"/>
      <c r="C119" s="9"/>
      <c r="D119" s="80" t="s">
        <v>343</v>
      </c>
      <c r="E119" s="279"/>
      <c r="F119" s="279"/>
      <c r="G119" s="279"/>
      <c r="H119" s="79" t="s">
        <v>344</v>
      </c>
      <c r="I119" s="75"/>
      <c r="J119" s="75"/>
      <c r="K119" s="75"/>
      <c r="L119" s="75"/>
      <c r="M119" s="75"/>
      <c r="N119" s="77" t="s">
        <v>316</v>
      </c>
      <c r="O119" s="280"/>
      <c r="P119" s="280"/>
      <c r="Q119" s="280"/>
      <c r="R119" s="280" t="s">
        <v>282</v>
      </c>
      <c r="S119" s="79" t="s">
        <v>344</v>
      </c>
      <c r="T119" s="75"/>
      <c r="U119" s="75"/>
      <c r="V119" s="75"/>
      <c r="W119" s="75"/>
      <c r="X119" s="75"/>
      <c r="Y119" s="77" t="s">
        <v>316</v>
      </c>
      <c r="Z119" s="280"/>
      <c r="AA119" s="280"/>
      <c r="AB119" s="280"/>
      <c r="AC119" s="280" t="s">
        <v>282</v>
      </c>
      <c r="AD119" s="288" t="s">
        <v>345</v>
      </c>
      <c r="AE119" s="76"/>
      <c r="AF119" s="290"/>
      <c r="AG119" s="1"/>
      <c r="AI119" t="s">
        <v>1066</v>
      </c>
      <c r="AK119" t="s">
        <v>158</v>
      </c>
      <c r="AL119" t="s">
        <v>1067</v>
      </c>
      <c r="AM119" t="s">
        <v>1068</v>
      </c>
      <c r="AN119" t="s">
        <v>137</v>
      </c>
      <c r="AO119" t="s">
        <v>1069</v>
      </c>
      <c r="AP119" t="s">
        <v>143</v>
      </c>
      <c r="AQ119" s="12" t="s">
        <v>387</v>
      </c>
      <c r="AR119" s="12" t="s">
        <v>301</v>
      </c>
      <c r="AS119" s="12" t="s">
        <v>1070</v>
      </c>
    </row>
    <row r="120" spans="1:45">
      <c r="A120" s="145" t="s">
        <v>1071</v>
      </c>
      <c r="B120" s="145" t="s">
        <v>1072</v>
      </c>
      <c r="C120" s="145" t="s">
        <v>276</v>
      </c>
      <c r="D120" s="283" t="s">
        <v>1073</v>
      </c>
      <c r="E120" s="281" t="s">
        <v>1073</v>
      </c>
      <c r="F120" s="281" t="s">
        <v>1073</v>
      </c>
      <c r="G120" s="281" t="s">
        <v>1074</v>
      </c>
      <c r="H120" s="285" t="s">
        <v>1075</v>
      </c>
      <c r="I120" s="282" t="s">
        <v>1076</v>
      </c>
      <c r="J120" s="282" t="s">
        <v>1076</v>
      </c>
      <c r="K120" s="282" t="s">
        <v>1077</v>
      </c>
      <c r="L120" s="282" t="s">
        <v>360</v>
      </c>
      <c r="M120" s="282" t="s">
        <v>1078</v>
      </c>
      <c r="N120" s="286" t="s">
        <v>1079</v>
      </c>
      <c r="O120" s="280" t="s">
        <v>1080</v>
      </c>
      <c r="P120" s="280" t="s">
        <v>1080</v>
      </c>
      <c r="Q120" s="280" t="s">
        <v>1081</v>
      </c>
      <c r="R120" s="280" t="s">
        <v>1082</v>
      </c>
      <c r="S120" s="285" t="s">
        <v>1075</v>
      </c>
      <c r="T120" s="282" t="s">
        <v>1076</v>
      </c>
      <c r="U120" s="282" t="s">
        <v>1076</v>
      </c>
      <c r="V120" s="282" t="s">
        <v>1077</v>
      </c>
      <c r="W120" s="282" t="s">
        <v>360</v>
      </c>
      <c r="X120" s="282" t="s">
        <v>1078</v>
      </c>
      <c r="Y120" s="286" t="s">
        <v>1079</v>
      </c>
      <c r="Z120" s="280" t="s">
        <v>1080</v>
      </c>
      <c r="AA120" s="280" t="s">
        <v>1080</v>
      </c>
      <c r="AB120" s="280" t="s">
        <v>1081</v>
      </c>
      <c r="AC120" s="280" t="s">
        <v>1082</v>
      </c>
      <c r="AD120" s="289" t="s">
        <v>1083</v>
      </c>
      <c r="AE120" s="287" t="s">
        <v>1084</v>
      </c>
      <c r="AF120" s="291" t="s">
        <v>1085</v>
      </c>
      <c r="AG120" s="292" t="s">
        <v>1086</v>
      </c>
      <c r="AQ120" s="12" t="s">
        <v>1087</v>
      </c>
      <c r="AR120" s="12" t="s">
        <v>1073</v>
      </c>
      <c r="AS120" s="12" t="s">
        <v>1074</v>
      </c>
    </row>
    <row r="121" spans="1:45">
      <c r="A121" s="9">
        <v>39</v>
      </c>
      <c r="B121" s="145" t="s">
        <v>1088</v>
      </c>
      <c r="C121" s="144" t="str">
        <f>Installations!HW2</f>
        <v>HW</v>
      </c>
      <c r="D121" s="283" t="s">
        <v>1089</v>
      </c>
      <c r="E121" s="281" t="s">
        <v>1090</v>
      </c>
      <c r="F121" s="281" t="s">
        <v>593</v>
      </c>
      <c r="G121" s="281" t="s">
        <v>246</v>
      </c>
      <c r="H121" s="285" t="s">
        <v>190</v>
      </c>
      <c r="I121" s="282" t="s">
        <v>186</v>
      </c>
      <c r="J121" s="282" t="s">
        <v>281</v>
      </c>
      <c r="K121" s="282" t="s">
        <v>132</v>
      </c>
      <c r="L121" s="282" t="s">
        <v>282</v>
      </c>
      <c r="M121" s="282" t="s">
        <v>312</v>
      </c>
      <c r="N121" s="286" t="s">
        <v>190</v>
      </c>
      <c r="O121" s="280" t="s">
        <v>286</v>
      </c>
      <c r="P121" s="280" t="s">
        <v>281</v>
      </c>
      <c r="Q121" s="280" t="s">
        <v>313</v>
      </c>
      <c r="R121" s="280" t="s">
        <v>285</v>
      </c>
      <c r="S121" s="285" t="s">
        <v>190</v>
      </c>
      <c r="T121" s="282" t="s">
        <v>186</v>
      </c>
      <c r="U121" s="282" t="s">
        <v>281</v>
      </c>
      <c r="V121" s="282" t="s">
        <v>132</v>
      </c>
      <c r="W121" s="282" t="s">
        <v>282</v>
      </c>
      <c r="X121" s="282" t="s">
        <v>312</v>
      </c>
      <c r="Y121" s="286" t="s">
        <v>190</v>
      </c>
      <c r="Z121" s="280" t="s">
        <v>286</v>
      </c>
      <c r="AA121" s="280" t="s">
        <v>281</v>
      </c>
      <c r="AB121" s="280" t="s">
        <v>313</v>
      </c>
      <c r="AC121" s="280" t="s">
        <v>285</v>
      </c>
      <c r="AD121" s="289" t="s">
        <v>332</v>
      </c>
      <c r="AE121" s="287" t="s">
        <v>350</v>
      </c>
      <c r="AF121" s="290" t="s">
        <v>346</v>
      </c>
      <c r="AG121" s="1" t="s">
        <v>347</v>
      </c>
      <c r="AQ121" s="12"/>
    </row>
    <row r="122" spans="1:45">
      <c r="A122">
        <v>40</v>
      </c>
      <c r="B122" t="str">
        <f ca="1">INDIRECT("Installations!" &amp; B$121 &amp; $A122)</f>
        <v xml:space="preserve"> </v>
      </c>
      <c r="C122" t="b">
        <f ca="1">IF(INDIRECT("Installations!" &amp; C$121 &amp; $A122)=TRUE,TRUE,FALSE)</f>
        <v>0</v>
      </c>
      <c r="D122" s="284" t="str">
        <f t="shared" ref="D122:R129" ca="1" si="7">IF($C122=FALSE,"",INDIRECT("Installations!" &amp; D$120 &amp; $A122))</f>
        <v/>
      </c>
      <c r="E122" s="96" t="str">
        <f ca="1">IF($C122=FALSE,"",INDIRECT("Installations!" &amp; E$120 &amp; $A122+1))</f>
        <v/>
      </c>
      <c r="F122" s="96" t="str">
        <f ca="1">IF($C122=FALSE,"",INDIRECT("Installations!" &amp; F$120 &amp; $A122+2))</f>
        <v/>
      </c>
      <c r="G122" s="293" t="str">
        <f ca="1">IF($C122=FALSE,"",INDIRECT("Installations!" &amp; G$120 &amp; $A122+1))</f>
        <v/>
      </c>
      <c r="H122" s="284" t="str">
        <f ca="1">IF($C122=FALSE,"",INDIRECT("Installations!" &amp; H$120 &amp; $A122+1))</f>
        <v/>
      </c>
      <c r="I122" s="96" t="str">
        <f ca="1">IF($C122=FALSE,"",INDIRECT("Installations!" &amp; I$120 &amp; $A122+1))</f>
        <v/>
      </c>
      <c r="J122" s="96" t="str">
        <f ca="1">IF($C122=FALSE,"",INDIRECT("Installations!" &amp; J$120 &amp; $A122+3))</f>
        <v/>
      </c>
      <c r="K122" s="96" t="str">
        <f t="shared" ca="1" si="7"/>
        <v/>
      </c>
      <c r="L122" s="96" t="str">
        <f t="shared" ca="1" si="7"/>
        <v/>
      </c>
      <c r="M122" s="294" t="str">
        <f t="shared" ca="1" si="7"/>
        <v/>
      </c>
      <c r="N122" s="295" t="str">
        <f ca="1">IF($C122=FALSE,"",INDIRECT("Installations!" &amp; N$120 &amp; $A122+1))</f>
        <v/>
      </c>
      <c r="O122" s="96" t="str">
        <f ca="1">IF($C122=FALSE,"",INDIRECT("Installations!" &amp; O$120 &amp; $A122+1))</f>
        <v/>
      </c>
      <c r="P122" s="96" t="str">
        <f ca="1">IF($C122=FALSE,"",INDIRECT("Installations!" &amp; P$120 &amp; $A122+3))</f>
        <v/>
      </c>
      <c r="Q122" s="96" t="str">
        <f t="shared" ca="1" si="7"/>
        <v/>
      </c>
      <c r="R122" s="293" t="str">
        <f t="shared" ca="1" si="7"/>
        <v/>
      </c>
      <c r="S122" s="284" t="str">
        <f t="shared" ref="S122:AC133" ca="1" si="8">IF($C122=FALSE,"",INDIRECT("Installations!" &amp; S$120 &amp; $A122+2))</f>
        <v/>
      </c>
      <c r="T122" s="96" t="str">
        <f t="shared" ca="1" si="8"/>
        <v/>
      </c>
      <c r="U122" s="96" t="str">
        <f ca="1">IF($C122=FALSE,"",INDIRECT("Installations!" &amp; U$120 &amp; $A122+3))</f>
        <v/>
      </c>
      <c r="V122" s="96" t="str">
        <f t="shared" ca="1" si="8"/>
        <v/>
      </c>
      <c r="W122" s="96" t="str">
        <f t="shared" ca="1" si="8"/>
        <v/>
      </c>
      <c r="X122" s="293" t="str">
        <f t="shared" ca="1" si="8"/>
        <v/>
      </c>
      <c r="Y122" s="284" t="str">
        <f t="shared" ca="1" si="8"/>
        <v/>
      </c>
      <c r="Z122" s="96" t="str">
        <f t="shared" ca="1" si="8"/>
        <v/>
      </c>
      <c r="AA122" s="96" t="str">
        <f t="shared" ca="1" si="8"/>
        <v/>
      </c>
      <c r="AB122" s="386" t="str">
        <f t="shared" ca="1" si="8"/>
        <v/>
      </c>
      <c r="AC122" s="293" t="str">
        <f t="shared" ca="1" si="8"/>
        <v/>
      </c>
      <c r="AD122" s="284" t="str">
        <f t="shared" ref="AD122:AG137" ca="1" si="9">IF($C122=FALSE,"",INDIRECT("Installations!" &amp; AD$120 &amp; $A122))</f>
        <v/>
      </c>
      <c r="AE122" s="293" t="str">
        <f ca="1">IF($C122=FALSE,"",INDIRECT("Installations!" &amp; AE$120 &amp; $A122))</f>
        <v/>
      </c>
      <c r="AF122" s="284" t="str">
        <f t="shared" ca="1" si="9"/>
        <v/>
      </c>
      <c r="AG122" s="293" t="str">
        <f t="shared" ca="1" si="9"/>
        <v/>
      </c>
      <c r="AH122" s="96"/>
      <c r="AI122" s="96" t="str">
        <f ca="1">T122</f>
        <v/>
      </c>
      <c r="AK122" s="96">
        <f ca="1">VLOOKUP(AI122,J$66:R$115,3,FALSE)</f>
        <v>0</v>
      </c>
      <c r="AL122" s="12">
        <f ca="1">VLOOKUP($AI122,$J$66:$R$115,5,FALSE)</f>
        <v>0</v>
      </c>
      <c r="AM122" s="12">
        <f ca="1">VLOOKUP($AI122,$J$66:$R$115,8,FALSE)</f>
        <v>0</v>
      </c>
      <c r="AN122" s="12">
        <f ca="1">VLOOKUP($AI122,$J$66:$R$115,6,FALSE)</f>
        <v>0</v>
      </c>
      <c r="AO122" s="12">
        <f ca="1">VLOOKUP($AI122,$J$66:$R$115,7,FALSE)</f>
        <v>0</v>
      </c>
      <c r="AP122" s="12" t="str">
        <f ca="1">VLOOKUP($AI122,$J$66:$R$115,9,FALSE)</f>
        <v/>
      </c>
      <c r="AQ122" s="12" t="str">
        <f ca="1">IFERROR(ROUND(IF($C122=FALSE,"",INDIRECT("Installations!" &amp; AQ$120 &amp; $A122)),0),"")</f>
        <v/>
      </c>
      <c r="AR122" s="12" t="str">
        <f ca="1">IF($C122=FALSE,"",INDIRECT("Installations!" &amp; AR$120 &amp; $A122+3))</f>
        <v/>
      </c>
      <c r="AS122" s="12" t="str">
        <f ca="1">IF($C122=FALSE,"",INDIRECT("Installations!" &amp; AS$120 &amp; $A122+2))</f>
        <v/>
      </c>
    </row>
    <row r="123" spans="1:45">
      <c r="A123">
        <f>A122+5</f>
        <v>45</v>
      </c>
      <c r="B123" t="str">
        <f t="shared" ref="B123:B186" ca="1" si="10">INDIRECT("Installations!" &amp; B$121 &amp; $A123)</f>
        <v xml:space="preserve"> </v>
      </c>
      <c r="C123" t="b">
        <f t="shared" ref="C123:C186" ca="1" si="11">IF(INDIRECT("Installations!" &amp; C$121 &amp; $A123)=TRUE,TRUE,FALSE)</f>
        <v>0</v>
      </c>
      <c r="D123" s="284" t="str">
        <f t="shared" ca="1" si="7"/>
        <v/>
      </c>
      <c r="E123" s="96" t="str">
        <f t="shared" ref="E123:E186" ca="1" si="12">IF($C123=FALSE,"",INDIRECT("Installations!" &amp; E$120 &amp; $A123+1))</f>
        <v/>
      </c>
      <c r="F123" s="96" t="str">
        <f t="shared" ref="F123:F186" ca="1" si="13">IF($C123=FALSE,"",INDIRECT("Installations!" &amp; F$120 &amp; $A123+2))</f>
        <v/>
      </c>
      <c r="G123" s="293" t="str">
        <f t="shared" ref="G123:I154" ca="1" si="14">IF($C123=FALSE,"",INDIRECT("Installations!" &amp; G$120 &amp; $A123+1))</f>
        <v/>
      </c>
      <c r="H123" s="284" t="str">
        <f t="shared" ca="1" si="14"/>
        <v/>
      </c>
      <c r="I123" s="96" t="str">
        <f t="shared" ca="1" si="14"/>
        <v/>
      </c>
      <c r="J123" s="96" t="str">
        <f t="shared" ref="J123:J186" ca="1" si="15">IF($C123=FALSE,"",INDIRECT("Installations!" &amp; J$120 &amp; $A123+3))</f>
        <v/>
      </c>
      <c r="K123" s="96" t="str">
        <f t="shared" ca="1" si="7"/>
        <v/>
      </c>
      <c r="L123" s="96" t="str">
        <f t="shared" ca="1" si="7"/>
        <v/>
      </c>
      <c r="M123" s="294" t="str">
        <f t="shared" ca="1" si="7"/>
        <v/>
      </c>
      <c r="N123" s="295" t="str">
        <f t="shared" ref="N123:O154" ca="1" si="16">IF($C123=FALSE,"",INDIRECT("Installations!" &amp; N$120 &amp; $A123+1))</f>
        <v/>
      </c>
      <c r="O123" s="96" t="str">
        <f t="shared" ca="1" si="16"/>
        <v/>
      </c>
      <c r="P123" s="96" t="str">
        <f t="shared" ref="P123:P186" ca="1" si="17">IF($C123=FALSE,"",INDIRECT("Installations!" &amp; P$120 &amp; $A123+3))</f>
        <v/>
      </c>
      <c r="Q123" s="96" t="str">
        <f t="shared" ca="1" si="7"/>
        <v/>
      </c>
      <c r="R123" s="293" t="str">
        <f t="shared" ca="1" si="7"/>
        <v/>
      </c>
      <c r="S123" s="284" t="str">
        <f t="shared" ca="1" si="8"/>
        <v/>
      </c>
      <c r="T123" s="96" t="str">
        <f t="shared" ca="1" si="8"/>
        <v/>
      </c>
      <c r="U123" s="96" t="str">
        <f t="shared" ref="U123:U186" ca="1" si="18">IF($C123=FALSE,"",INDIRECT("Installations!" &amp; U$120 &amp; $A123+3))</f>
        <v/>
      </c>
      <c r="V123" s="96" t="str">
        <f t="shared" ca="1" si="8"/>
        <v/>
      </c>
      <c r="W123" s="96" t="str">
        <f t="shared" ca="1" si="8"/>
        <v/>
      </c>
      <c r="X123" s="293" t="str">
        <f t="shared" ca="1" si="8"/>
        <v/>
      </c>
      <c r="Y123" s="284" t="str">
        <f t="shared" ca="1" si="8"/>
        <v/>
      </c>
      <c r="Z123" s="96" t="str">
        <f t="shared" ca="1" si="8"/>
        <v/>
      </c>
      <c r="AA123" s="96" t="str">
        <f t="shared" ca="1" si="8"/>
        <v/>
      </c>
      <c r="AB123" s="386" t="str">
        <f t="shared" ca="1" si="8"/>
        <v/>
      </c>
      <c r="AC123" s="293" t="str">
        <f t="shared" ca="1" si="8"/>
        <v/>
      </c>
      <c r="AD123" s="284" t="str">
        <f t="shared" ca="1" si="9"/>
        <v/>
      </c>
      <c r="AE123" s="293" t="str">
        <f t="shared" ca="1" si="9"/>
        <v/>
      </c>
      <c r="AF123" s="284" t="str">
        <f t="shared" ca="1" si="9"/>
        <v/>
      </c>
      <c r="AG123" s="293" t="str">
        <f t="shared" ca="1" si="9"/>
        <v/>
      </c>
      <c r="AH123" s="96"/>
      <c r="AI123" s="96" t="str">
        <f t="shared" ref="AI123:AI186" ca="1" si="19">T123</f>
        <v/>
      </c>
      <c r="AK123" s="96">
        <f t="shared" ref="AK123:AK186" ca="1" si="20">VLOOKUP(AI123,J$66:R$115,3,FALSE)</f>
        <v>0</v>
      </c>
      <c r="AL123" s="12">
        <f t="shared" ref="AL123:AL186" ca="1" si="21">VLOOKUP($AI123,$J$66:$R$115,5,FALSE)</f>
        <v>0</v>
      </c>
      <c r="AM123" s="12">
        <f t="shared" ref="AM123:AM186" ca="1" si="22">VLOOKUP($AI123,$J$66:$R$115,8,FALSE)</f>
        <v>0</v>
      </c>
      <c r="AN123" s="12">
        <f t="shared" ref="AN123:AN186" ca="1" si="23">VLOOKUP($AI123,$J$66:$R$115,6,FALSE)</f>
        <v>0</v>
      </c>
      <c r="AO123" s="12">
        <f t="shared" ref="AO123:AO186" ca="1" si="24">VLOOKUP($AI123,$J$66:$R$115,7,FALSE)</f>
        <v>0</v>
      </c>
      <c r="AP123" s="12" t="str">
        <f t="shared" ref="AP123:AP186" ca="1" si="25">VLOOKUP($AI123,$J$66:$R$115,9,FALSE)</f>
        <v/>
      </c>
      <c r="AQ123" s="12" t="str">
        <f t="shared" ref="AQ123:AQ186" ca="1" si="26">IFERROR(ROUND(IF($C123=FALSE,"",INDIRECT("Installations!" &amp; AQ$120 &amp; $A123)),0),"")</f>
        <v/>
      </c>
      <c r="AR123" s="12" t="str">
        <f t="shared" ref="AR123:AR186" ca="1" si="27">IF($C123=FALSE,"",INDIRECT("Installations!" &amp; AR$120 &amp; $A123+3))</f>
        <v/>
      </c>
      <c r="AS123" s="12" t="str">
        <f t="shared" ref="AS123:AS186" ca="1" si="28">IF($C123=FALSE,"",INDIRECT("Installations!" &amp; AS$120 &amp; $A123+2))</f>
        <v/>
      </c>
    </row>
    <row r="124" spans="1:45">
      <c r="A124">
        <f t="shared" ref="A124:A131" si="29">A123+5</f>
        <v>50</v>
      </c>
      <c r="B124" t="str">
        <f t="shared" ca="1" si="10"/>
        <v xml:space="preserve"> </v>
      </c>
      <c r="C124" t="b">
        <f t="shared" ca="1" si="11"/>
        <v>0</v>
      </c>
      <c r="D124" s="284" t="str">
        <f t="shared" ca="1" si="7"/>
        <v/>
      </c>
      <c r="E124" s="96" t="str">
        <f t="shared" ca="1" si="12"/>
        <v/>
      </c>
      <c r="F124" s="96" t="str">
        <f t="shared" ca="1" si="13"/>
        <v/>
      </c>
      <c r="G124" s="293" t="str">
        <f t="shared" ca="1" si="14"/>
        <v/>
      </c>
      <c r="H124" s="284" t="str">
        <f t="shared" ca="1" si="14"/>
        <v/>
      </c>
      <c r="I124" s="96" t="str">
        <f t="shared" ca="1" si="14"/>
        <v/>
      </c>
      <c r="J124" s="96" t="str">
        <f t="shared" ca="1" si="15"/>
        <v/>
      </c>
      <c r="K124" s="96" t="str">
        <f t="shared" ca="1" si="7"/>
        <v/>
      </c>
      <c r="L124" s="96" t="str">
        <f t="shared" ca="1" si="7"/>
        <v/>
      </c>
      <c r="M124" s="294" t="str">
        <f t="shared" ca="1" si="7"/>
        <v/>
      </c>
      <c r="N124" s="295" t="str">
        <f t="shared" ca="1" si="16"/>
        <v/>
      </c>
      <c r="O124" s="96" t="str">
        <f t="shared" ca="1" si="16"/>
        <v/>
      </c>
      <c r="P124" s="96" t="str">
        <f t="shared" ca="1" si="17"/>
        <v/>
      </c>
      <c r="Q124" s="96" t="str">
        <f t="shared" ca="1" si="7"/>
        <v/>
      </c>
      <c r="R124" s="293" t="str">
        <f t="shared" ca="1" si="7"/>
        <v/>
      </c>
      <c r="S124" s="284" t="str">
        <f t="shared" ca="1" si="8"/>
        <v/>
      </c>
      <c r="T124" s="96" t="str">
        <f t="shared" ca="1" si="8"/>
        <v/>
      </c>
      <c r="U124" s="96" t="str">
        <f t="shared" ca="1" si="18"/>
        <v/>
      </c>
      <c r="V124" s="96" t="str">
        <f t="shared" ca="1" si="8"/>
        <v/>
      </c>
      <c r="W124" s="96" t="str">
        <f t="shared" ca="1" si="8"/>
        <v/>
      </c>
      <c r="X124" s="293" t="str">
        <f t="shared" ca="1" si="8"/>
        <v/>
      </c>
      <c r="Y124" s="284" t="str">
        <f t="shared" ca="1" si="8"/>
        <v/>
      </c>
      <c r="Z124" s="96" t="str">
        <f t="shared" ca="1" si="8"/>
        <v/>
      </c>
      <c r="AA124" s="96" t="str">
        <f t="shared" ca="1" si="8"/>
        <v/>
      </c>
      <c r="AB124" s="386" t="str">
        <f t="shared" ca="1" si="8"/>
        <v/>
      </c>
      <c r="AC124" s="293" t="str">
        <f t="shared" ca="1" si="8"/>
        <v/>
      </c>
      <c r="AD124" s="284" t="str">
        <f t="shared" ca="1" si="9"/>
        <v/>
      </c>
      <c r="AE124" s="293" t="str">
        <f t="shared" ca="1" si="9"/>
        <v/>
      </c>
      <c r="AF124" s="284" t="str">
        <f t="shared" ca="1" si="9"/>
        <v/>
      </c>
      <c r="AG124" s="293" t="str">
        <f t="shared" ca="1" si="9"/>
        <v/>
      </c>
      <c r="AH124" s="96"/>
      <c r="AI124" s="96" t="str">
        <f t="shared" ca="1" si="19"/>
        <v/>
      </c>
      <c r="AK124" s="96">
        <f t="shared" ca="1" si="20"/>
        <v>0</v>
      </c>
      <c r="AL124" s="12">
        <f t="shared" ca="1" si="21"/>
        <v>0</v>
      </c>
      <c r="AM124" s="12">
        <f t="shared" ca="1" si="22"/>
        <v>0</v>
      </c>
      <c r="AN124" s="12">
        <f t="shared" ca="1" si="23"/>
        <v>0</v>
      </c>
      <c r="AO124" s="12">
        <f t="shared" ca="1" si="24"/>
        <v>0</v>
      </c>
      <c r="AP124" s="12" t="str">
        <f t="shared" ca="1" si="25"/>
        <v/>
      </c>
      <c r="AQ124" s="12" t="str">
        <f t="shared" ca="1" si="26"/>
        <v/>
      </c>
      <c r="AR124" s="12" t="str">
        <f t="shared" ca="1" si="27"/>
        <v/>
      </c>
      <c r="AS124" s="12" t="str">
        <f t="shared" ca="1" si="28"/>
        <v/>
      </c>
    </row>
    <row r="125" spans="1:45">
      <c r="A125">
        <f t="shared" si="29"/>
        <v>55</v>
      </c>
      <c r="B125" t="str">
        <f t="shared" ca="1" si="10"/>
        <v xml:space="preserve"> </v>
      </c>
      <c r="C125" t="b">
        <f t="shared" ca="1" si="11"/>
        <v>0</v>
      </c>
      <c r="D125" s="284" t="str">
        <f t="shared" ca="1" si="7"/>
        <v/>
      </c>
      <c r="E125" s="96" t="str">
        <f t="shared" ca="1" si="12"/>
        <v/>
      </c>
      <c r="F125" s="96" t="str">
        <f t="shared" ca="1" si="13"/>
        <v/>
      </c>
      <c r="G125" s="293" t="str">
        <f t="shared" ca="1" si="14"/>
        <v/>
      </c>
      <c r="H125" s="284" t="str">
        <f t="shared" ca="1" si="14"/>
        <v/>
      </c>
      <c r="I125" s="96" t="str">
        <f t="shared" ca="1" si="14"/>
        <v/>
      </c>
      <c r="J125" s="96" t="str">
        <f t="shared" ca="1" si="15"/>
        <v/>
      </c>
      <c r="K125" s="96" t="str">
        <f t="shared" ca="1" si="7"/>
        <v/>
      </c>
      <c r="L125" s="96" t="str">
        <f t="shared" ca="1" si="7"/>
        <v/>
      </c>
      <c r="M125" s="294" t="str">
        <f t="shared" ca="1" si="7"/>
        <v/>
      </c>
      <c r="N125" s="295" t="str">
        <f t="shared" ca="1" si="16"/>
        <v/>
      </c>
      <c r="O125" s="96" t="str">
        <f t="shared" ca="1" si="16"/>
        <v/>
      </c>
      <c r="P125" s="96" t="str">
        <f t="shared" ca="1" si="17"/>
        <v/>
      </c>
      <c r="Q125" s="96" t="str">
        <f t="shared" ca="1" si="7"/>
        <v/>
      </c>
      <c r="R125" s="293" t="str">
        <f t="shared" ca="1" si="7"/>
        <v/>
      </c>
      <c r="S125" s="284" t="str">
        <f t="shared" ca="1" si="8"/>
        <v/>
      </c>
      <c r="T125" s="96" t="str">
        <f t="shared" ca="1" si="8"/>
        <v/>
      </c>
      <c r="U125" s="96" t="str">
        <f t="shared" ca="1" si="18"/>
        <v/>
      </c>
      <c r="V125" s="96" t="str">
        <f t="shared" ca="1" si="8"/>
        <v/>
      </c>
      <c r="W125" s="96" t="str">
        <f t="shared" ca="1" si="8"/>
        <v/>
      </c>
      <c r="X125" s="293" t="str">
        <f t="shared" ca="1" si="8"/>
        <v/>
      </c>
      <c r="Y125" s="284" t="str">
        <f t="shared" ca="1" si="8"/>
        <v/>
      </c>
      <c r="Z125" s="96" t="str">
        <f t="shared" ca="1" si="8"/>
        <v/>
      </c>
      <c r="AA125" s="96" t="str">
        <f t="shared" ca="1" si="8"/>
        <v/>
      </c>
      <c r="AB125" s="386" t="str">
        <f t="shared" ca="1" si="8"/>
        <v/>
      </c>
      <c r="AC125" s="293" t="str">
        <f t="shared" ca="1" si="8"/>
        <v/>
      </c>
      <c r="AD125" s="284" t="str">
        <f t="shared" ca="1" si="9"/>
        <v/>
      </c>
      <c r="AE125" s="293" t="str">
        <f t="shared" ca="1" si="9"/>
        <v/>
      </c>
      <c r="AF125" s="284" t="str">
        <f t="shared" ca="1" si="9"/>
        <v/>
      </c>
      <c r="AG125" s="293" t="str">
        <f t="shared" ca="1" si="9"/>
        <v/>
      </c>
      <c r="AH125" s="96"/>
      <c r="AI125" s="96" t="str">
        <f t="shared" ca="1" si="19"/>
        <v/>
      </c>
      <c r="AK125" s="96">
        <f t="shared" ca="1" si="20"/>
        <v>0</v>
      </c>
      <c r="AL125" s="12">
        <f t="shared" ca="1" si="21"/>
        <v>0</v>
      </c>
      <c r="AM125" s="12">
        <f t="shared" ca="1" si="22"/>
        <v>0</v>
      </c>
      <c r="AN125" s="12">
        <f t="shared" ca="1" si="23"/>
        <v>0</v>
      </c>
      <c r="AO125" s="12">
        <f t="shared" ca="1" si="24"/>
        <v>0</v>
      </c>
      <c r="AP125" s="12" t="str">
        <f t="shared" ca="1" si="25"/>
        <v/>
      </c>
      <c r="AQ125" s="12" t="str">
        <f t="shared" ca="1" si="26"/>
        <v/>
      </c>
      <c r="AR125" s="12" t="str">
        <f t="shared" ca="1" si="27"/>
        <v/>
      </c>
      <c r="AS125" s="12" t="str">
        <f t="shared" ca="1" si="28"/>
        <v/>
      </c>
    </row>
    <row r="126" spans="1:45">
      <c r="A126">
        <f t="shared" si="29"/>
        <v>60</v>
      </c>
      <c r="B126" t="str">
        <f t="shared" ca="1" si="10"/>
        <v xml:space="preserve"> </v>
      </c>
      <c r="C126" t="b">
        <f t="shared" ca="1" si="11"/>
        <v>0</v>
      </c>
      <c r="D126" s="284" t="str">
        <f t="shared" ca="1" si="7"/>
        <v/>
      </c>
      <c r="E126" s="96" t="str">
        <f t="shared" ca="1" si="12"/>
        <v/>
      </c>
      <c r="F126" s="96" t="str">
        <f t="shared" ca="1" si="13"/>
        <v/>
      </c>
      <c r="G126" s="293" t="str">
        <f t="shared" ca="1" si="14"/>
        <v/>
      </c>
      <c r="H126" s="284" t="str">
        <f t="shared" ca="1" si="14"/>
        <v/>
      </c>
      <c r="I126" s="96" t="str">
        <f t="shared" ca="1" si="14"/>
        <v/>
      </c>
      <c r="J126" s="96" t="str">
        <f t="shared" ca="1" si="15"/>
        <v/>
      </c>
      <c r="K126" s="96" t="str">
        <f t="shared" ca="1" si="7"/>
        <v/>
      </c>
      <c r="L126" s="96" t="str">
        <f t="shared" ca="1" si="7"/>
        <v/>
      </c>
      <c r="M126" s="294" t="str">
        <f t="shared" ca="1" si="7"/>
        <v/>
      </c>
      <c r="N126" s="295" t="str">
        <f t="shared" ca="1" si="16"/>
        <v/>
      </c>
      <c r="O126" s="96" t="str">
        <f t="shared" ca="1" si="16"/>
        <v/>
      </c>
      <c r="P126" s="96" t="str">
        <f t="shared" ca="1" si="17"/>
        <v/>
      </c>
      <c r="Q126" s="96" t="str">
        <f t="shared" ca="1" si="7"/>
        <v/>
      </c>
      <c r="R126" s="293" t="str">
        <f t="shared" ca="1" si="7"/>
        <v/>
      </c>
      <c r="S126" s="284" t="str">
        <f t="shared" ca="1" si="8"/>
        <v/>
      </c>
      <c r="T126" s="96" t="str">
        <f t="shared" ca="1" si="8"/>
        <v/>
      </c>
      <c r="U126" s="96" t="str">
        <f t="shared" ca="1" si="18"/>
        <v/>
      </c>
      <c r="V126" s="96" t="str">
        <f t="shared" ca="1" si="8"/>
        <v/>
      </c>
      <c r="W126" s="96" t="str">
        <f t="shared" ca="1" si="8"/>
        <v/>
      </c>
      <c r="X126" s="293" t="str">
        <f t="shared" ca="1" si="8"/>
        <v/>
      </c>
      <c r="Y126" s="284" t="str">
        <f t="shared" ca="1" si="8"/>
        <v/>
      </c>
      <c r="Z126" s="96" t="str">
        <f t="shared" ca="1" si="8"/>
        <v/>
      </c>
      <c r="AA126" s="96" t="str">
        <f t="shared" ca="1" si="8"/>
        <v/>
      </c>
      <c r="AB126" s="386" t="str">
        <f t="shared" ca="1" si="8"/>
        <v/>
      </c>
      <c r="AC126" s="293" t="str">
        <f t="shared" ca="1" si="8"/>
        <v/>
      </c>
      <c r="AD126" s="284" t="str">
        <f t="shared" ca="1" si="9"/>
        <v/>
      </c>
      <c r="AE126" s="293" t="str">
        <f t="shared" ca="1" si="9"/>
        <v/>
      </c>
      <c r="AF126" s="284" t="str">
        <f t="shared" ca="1" si="9"/>
        <v/>
      </c>
      <c r="AG126" s="293" t="str">
        <f t="shared" ca="1" si="9"/>
        <v/>
      </c>
      <c r="AH126" s="96"/>
      <c r="AI126" s="96" t="str">
        <f t="shared" ca="1" si="19"/>
        <v/>
      </c>
      <c r="AK126" s="96">
        <f t="shared" ca="1" si="20"/>
        <v>0</v>
      </c>
      <c r="AL126" s="12">
        <f t="shared" ca="1" si="21"/>
        <v>0</v>
      </c>
      <c r="AM126" s="12">
        <f t="shared" ca="1" si="22"/>
        <v>0</v>
      </c>
      <c r="AN126" s="12">
        <f t="shared" ca="1" si="23"/>
        <v>0</v>
      </c>
      <c r="AO126" s="12">
        <f t="shared" ca="1" si="24"/>
        <v>0</v>
      </c>
      <c r="AP126" s="12" t="str">
        <f t="shared" ca="1" si="25"/>
        <v/>
      </c>
      <c r="AQ126" s="12" t="str">
        <f t="shared" ca="1" si="26"/>
        <v/>
      </c>
      <c r="AR126" s="12" t="str">
        <f t="shared" ca="1" si="27"/>
        <v/>
      </c>
      <c r="AS126" s="12" t="str">
        <f t="shared" ca="1" si="28"/>
        <v/>
      </c>
    </row>
    <row r="127" spans="1:45">
      <c r="A127">
        <f t="shared" si="29"/>
        <v>65</v>
      </c>
      <c r="B127" t="str">
        <f t="shared" ca="1" si="10"/>
        <v xml:space="preserve"> </v>
      </c>
      <c r="C127" t="b">
        <f t="shared" ca="1" si="11"/>
        <v>0</v>
      </c>
      <c r="D127" s="284" t="str">
        <f t="shared" ca="1" si="7"/>
        <v/>
      </c>
      <c r="E127" s="96" t="str">
        <f t="shared" ca="1" si="12"/>
        <v/>
      </c>
      <c r="F127" s="96" t="str">
        <f t="shared" ca="1" si="13"/>
        <v/>
      </c>
      <c r="G127" s="293" t="str">
        <f t="shared" ca="1" si="14"/>
        <v/>
      </c>
      <c r="H127" s="284" t="str">
        <f t="shared" ca="1" si="14"/>
        <v/>
      </c>
      <c r="I127" s="96" t="str">
        <f t="shared" ca="1" si="14"/>
        <v/>
      </c>
      <c r="J127" s="96" t="str">
        <f t="shared" ca="1" si="15"/>
        <v/>
      </c>
      <c r="K127" s="96" t="str">
        <f t="shared" ca="1" si="7"/>
        <v/>
      </c>
      <c r="L127" s="96" t="str">
        <f t="shared" ca="1" si="7"/>
        <v/>
      </c>
      <c r="M127" s="294" t="str">
        <f t="shared" ca="1" si="7"/>
        <v/>
      </c>
      <c r="N127" s="295" t="str">
        <f t="shared" ca="1" si="16"/>
        <v/>
      </c>
      <c r="O127" s="96" t="str">
        <f t="shared" ca="1" si="16"/>
        <v/>
      </c>
      <c r="P127" s="96" t="str">
        <f t="shared" ca="1" si="17"/>
        <v/>
      </c>
      <c r="Q127" s="96" t="str">
        <f t="shared" ca="1" si="7"/>
        <v/>
      </c>
      <c r="R127" s="293" t="str">
        <f t="shared" ca="1" si="7"/>
        <v/>
      </c>
      <c r="S127" s="284" t="str">
        <f t="shared" ca="1" si="8"/>
        <v/>
      </c>
      <c r="T127" s="96" t="str">
        <f t="shared" ca="1" si="8"/>
        <v/>
      </c>
      <c r="U127" s="96" t="str">
        <f t="shared" ca="1" si="18"/>
        <v/>
      </c>
      <c r="V127" s="96" t="str">
        <f t="shared" ca="1" si="8"/>
        <v/>
      </c>
      <c r="W127" s="96" t="str">
        <f t="shared" ca="1" si="8"/>
        <v/>
      </c>
      <c r="X127" s="293" t="str">
        <f t="shared" ca="1" si="8"/>
        <v/>
      </c>
      <c r="Y127" s="284" t="str">
        <f t="shared" ca="1" si="8"/>
        <v/>
      </c>
      <c r="Z127" s="96" t="str">
        <f t="shared" ca="1" si="8"/>
        <v/>
      </c>
      <c r="AA127" s="96" t="str">
        <f t="shared" ca="1" si="8"/>
        <v/>
      </c>
      <c r="AB127" s="386" t="str">
        <f t="shared" ca="1" si="8"/>
        <v/>
      </c>
      <c r="AC127" s="293" t="str">
        <f t="shared" ca="1" si="8"/>
        <v/>
      </c>
      <c r="AD127" s="284" t="str">
        <f t="shared" ca="1" si="9"/>
        <v/>
      </c>
      <c r="AE127" s="293" t="str">
        <f t="shared" ca="1" si="9"/>
        <v/>
      </c>
      <c r="AF127" s="284" t="str">
        <f t="shared" ca="1" si="9"/>
        <v/>
      </c>
      <c r="AG127" s="293" t="str">
        <f t="shared" ca="1" si="9"/>
        <v/>
      </c>
      <c r="AH127" s="96"/>
      <c r="AI127" s="96" t="str">
        <f t="shared" ca="1" si="19"/>
        <v/>
      </c>
      <c r="AK127" s="96">
        <f t="shared" ca="1" si="20"/>
        <v>0</v>
      </c>
      <c r="AL127" s="12">
        <f t="shared" ca="1" si="21"/>
        <v>0</v>
      </c>
      <c r="AM127" s="12">
        <f t="shared" ca="1" si="22"/>
        <v>0</v>
      </c>
      <c r="AN127" s="12">
        <f t="shared" ca="1" si="23"/>
        <v>0</v>
      </c>
      <c r="AO127" s="12">
        <f t="shared" ca="1" si="24"/>
        <v>0</v>
      </c>
      <c r="AP127" s="12" t="str">
        <f t="shared" ca="1" si="25"/>
        <v/>
      </c>
      <c r="AQ127" s="12" t="str">
        <f t="shared" ca="1" si="26"/>
        <v/>
      </c>
      <c r="AR127" s="12" t="str">
        <f t="shared" ca="1" si="27"/>
        <v/>
      </c>
      <c r="AS127" s="12" t="str">
        <f t="shared" ca="1" si="28"/>
        <v/>
      </c>
    </row>
    <row r="128" spans="1:45">
      <c r="A128">
        <f t="shared" si="29"/>
        <v>70</v>
      </c>
      <c r="B128" t="str">
        <f t="shared" ca="1" si="10"/>
        <v xml:space="preserve"> </v>
      </c>
      <c r="C128" t="b">
        <f t="shared" ca="1" si="11"/>
        <v>0</v>
      </c>
      <c r="D128" s="284" t="str">
        <f t="shared" ca="1" si="7"/>
        <v/>
      </c>
      <c r="E128" s="96" t="str">
        <f t="shared" ca="1" si="12"/>
        <v/>
      </c>
      <c r="F128" s="96" t="str">
        <f t="shared" ca="1" si="13"/>
        <v/>
      </c>
      <c r="G128" s="293" t="str">
        <f t="shared" ca="1" si="14"/>
        <v/>
      </c>
      <c r="H128" s="284" t="str">
        <f t="shared" ca="1" si="14"/>
        <v/>
      </c>
      <c r="I128" s="96" t="str">
        <f t="shared" ca="1" si="14"/>
        <v/>
      </c>
      <c r="J128" s="96" t="str">
        <f t="shared" ca="1" si="15"/>
        <v/>
      </c>
      <c r="K128" s="96" t="str">
        <f t="shared" ca="1" si="7"/>
        <v/>
      </c>
      <c r="L128" s="96" t="str">
        <f t="shared" ca="1" si="7"/>
        <v/>
      </c>
      <c r="M128" s="294" t="str">
        <f t="shared" ca="1" si="7"/>
        <v/>
      </c>
      <c r="N128" s="295" t="str">
        <f t="shared" ca="1" si="16"/>
        <v/>
      </c>
      <c r="O128" s="96" t="str">
        <f t="shared" ca="1" si="16"/>
        <v/>
      </c>
      <c r="P128" s="96" t="str">
        <f t="shared" ca="1" si="17"/>
        <v/>
      </c>
      <c r="Q128" s="96" t="str">
        <f t="shared" ca="1" si="7"/>
        <v/>
      </c>
      <c r="R128" s="293" t="str">
        <f t="shared" ca="1" si="7"/>
        <v/>
      </c>
      <c r="S128" s="284" t="str">
        <f t="shared" ca="1" si="8"/>
        <v/>
      </c>
      <c r="T128" s="96" t="str">
        <f t="shared" ca="1" si="8"/>
        <v/>
      </c>
      <c r="U128" s="96" t="str">
        <f t="shared" ca="1" si="18"/>
        <v/>
      </c>
      <c r="V128" s="96" t="str">
        <f t="shared" ca="1" si="8"/>
        <v/>
      </c>
      <c r="W128" s="96" t="str">
        <f t="shared" ca="1" si="8"/>
        <v/>
      </c>
      <c r="X128" s="293" t="str">
        <f t="shared" ca="1" si="8"/>
        <v/>
      </c>
      <c r="Y128" s="284" t="str">
        <f t="shared" ca="1" si="8"/>
        <v/>
      </c>
      <c r="Z128" s="96" t="str">
        <f t="shared" ca="1" si="8"/>
        <v/>
      </c>
      <c r="AA128" s="96" t="str">
        <f t="shared" ca="1" si="8"/>
        <v/>
      </c>
      <c r="AB128" s="386" t="str">
        <f t="shared" ca="1" si="8"/>
        <v/>
      </c>
      <c r="AC128" s="293" t="str">
        <f t="shared" ca="1" si="8"/>
        <v/>
      </c>
      <c r="AD128" s="284" t="str">
        <f t="shared" ca="1" si="9"/>
        <v/>
      </c>
      <c r="AE128" s="293" t="str">
        <f t="shared" ca="1" si="9"/>
        <v/>
      </c>
      <c r="AF128" s="284" t="str">
        <f t="shared" ca="1" si="9"/>
        <v/>
      </c>
      <c r="AG128" s="293" t="str">
        <f t="shared" ca="1" si="9"/>
        <v/>
      </c>
      <c r="AH128" s="96"/>
      <c r="AI128" s="96" t="str">
        <f t="shared" ca="1" si="19"/>
        <v/>
      </c>
      <c r="AK128" s="96">
        <f t="shared" ca="1" si="20"/>
        <v>0</v>
      </c>
      <c r="AL128" s="12">
        <f t="shared" ca="1" si="21"/>
        <v>0</v>
      </c>
      <c r="AM128" s="12">
        <f t="shared" ca="1" si="22"/>
        <v>0</v>
      </c>
      <c r="AN128" s="12">
        <f t="shared" ca="1" si="23"/>
        <v>0</v>
      </c>
      <c r="AO128" s="12">
        <f t="shared" ca="1" si="24"/>
        <v>0</v>
      </c>
      <c r="AP128" s="12" t="str">
        <f t="shared" ca="1" si="25"/>
        <v/>
      </c>
      <c r="AQ128" s="12" t="str">
        <f t="shared" ca="1" si="26"/>
        <v/>
      </c>
      <c r="AR128" s="12" t="str">
        <f t="shared" ca="1" si="27"/>
        <v/>
      </c>
      <c r="AS128" s="12" t="str">
        <f t="shared" ca="1" si="28"/>
        <v/>
      </c>
    </row>
    <row r="129" spans="1:45">
      <c r="A129">
        <f t="shared" si="29"/>
        <v>75</v>
      </c>
      <c r="B129" t="str">
        <f t="shared" ca="1" si="10"/>
        <v xml:space="preserve"> </v>
      </c>
      <c r="C129" t="b">
        <f t="shared" ca="1" si="11"/>
        <v>0</v>
      </c>
      <c r="D129" s="284" t="str">
        <f t="shared" ca="1" si="7"/>
        <v/>
      </c>
      <c r="E129" s="96" t="str">
        <f t="shared" ca="1" si="12"/>
        <v/>
      </c>
      <c r="F129" s="96" t="str">
        <f t="shared" ca="1" si="13"/>
        <v/>
      </c>
      <c r="G129" s="293" t="str">
        <f t="shared" ca="1" si="14"/>
        <v/>
      </c>
      <c r="H129" s="284" t="str">
        <f t="shared" ca="1" si="14"/>
        <v/>
      </c>
      <c r="I129" s="96" t="str">
        <f t="shared" ca="1" si="14"/>
        <v/>
      </c>
      <c r="J129" s="96" t="str">
        <f t="shared" ca="1" si="15"/>
        <v/>
      </c>
      <c r="K129" s="96" t="str">
        <f t="shared" ref="D129:R171" ca="1" si="30">IF($C129=FALSE,"",INDIRECT("Installations!" &amp; K$120 &amp; $A129))</f>
        <v/>
      </c>
      <c r="L129" s="96" t="str">
        <f t="shared" ca="1" si="30"/>
        <v/>
      </c>
      <c r="M129" s="294" t="str">
        <f t="shared" ca="1" si="30"/>
        <v/>
      </c>
      <c r="N129" s="295" t="str">
        <f t="shared" ca="1" si="16"/>
        <v/>
      </c>
      <c r="O129" s="96" t="str">
        <f t="shared" ca="1" si="16"/>
        <v/>
      </c>
      <c r="P129" s="96" t="str">
        <f t="shared" ca="1" si="17"/>
        <v/>
      </c>
      <c r="Q129" s="96" t="str">
        <f t="shared" ca="1" si="30"/>
        <v/>
      </c>
      <c r="R129" s="293" t="str">
        <f t="shared" ca="1" si="30"/>
        <v/>
      </c>
      <c r="S129" s="284" t="str">
        <f t="shared" ca="1" si="8"/>
        <v/>
      </c>
      <c r="T129" s="96" t="str">
        <f t="shared" ca="1" si="8"/>
        <v/>
      </c>
      <c r="U129" s="96" t="str">
        <f t="shared" ca="1" si="18"/>
        <v/>
      </c>
      <c r="V129" s="96" t="str">
        <f t="shared" ca="1" si="8"/>
        <v/>
      </c>
      <c r="W129" s="96" t="str">
        <f t="shared" ca="1" si="8"/>
        <v/>
      </c>
      <c r="X129" s="293" t="str">
        <f t="shared" ca="1" si="8"/>
        <v/>
      </c>
      <c r="Y129" s="284" t="str">
        <f t="shared" ca="1" si="8"/>
        <v/>
      </c>
      <c r="Z129" s="96" t="str">
        <f t="shared" ca="1" si="8"/>
        <v/>
      </c>
      <c r="AA129" s="96" t="str">
        <f t="shared" ca="1" si="8"/>
        <v/>
      </c>
      <c r="AB129" s="386" t="str">
        <f t="shared" ca="1" si="8"/>
        <v/>
      </c>
      <c r="AC129" s="293" t="str">
        <f t="shared" ca="1" si="8"/>
        <v/>
      </c>
      <c r="AD129" s="284" t="str">
        <f t="shared" ca="1" si="9"/>
        <v/>
      </c>
      <c r="AE129" s="293" t="str">
        <f t="shared" ca="1" si="9"/>
        <v/>
      </c>
      <c r="AF129" s="284" t="str">
        <f t="shared" ca="1" si="9"/>
        <v/>
      </c>
      <c r="AG129" s="293" t="str">
        <f t="shared" ca="1" si="9"/>
        <v/>
      </c>
      <c r="AH129" s="96"/>
      <c r="AI129" s="96" t="str">
        <f t="shared" ca="1" si="19"/>
        <v/>
      </c>
      <c r="AK129" s="96">
        <f t="shared" ca="1" si="20"/>
        <v>0</v>
      </c>
      <c r="AL129" s="12">
        <f t="shared" ca="1" si="21"/>
        <v>0</v>
      </c>
      <c r="AM129" s="12">
        <f t="shared" ca="1" si="22"/>
        <v>0</v>
      </c>
      <c r="AN129" s="12">
        <f t="shared" ca="1" si="23"/>
        <v>0</v>
      </c>
      <c r="AO129" s="12">
        <f t="shared" ca="1" si="24"/>
        <v>0</v>
      </c>
      <c r="AP129" s="12" t="str">
        <f t="shared" ca="1" si="25"/>
        <v/>
      </c>
      <c r="AQ129" s="12" t="str">
        <f t="shared" ca="1" si="26"/>
        <v/>
      </c>
      <c r="AR129" s="12" t="str">
        <f t="shared" ca="1" si="27"/>
        <v/>
      </c>
      <c r="AS129" s="12" t="str">
        <f t="shared" ca="1" si="28"/>
        <v/>
      </c>
    </row>
    <row r="130" spans="1:45">
      <c r="A130">
        <f>A129+5</f>
        <v>80</v>
      </c>
      <c r="B130" t="str">
        <f t="shared" ca="1" si="10"/>
        <v xml:space="preserve"> </v>
      </c>
      <c r="C130" t="b">
        <f t="shared" ca="1" si="11"/>
        <v>0</v>
      </c>
      <c r="D130" s="284" t="str">
        <f t="shared" ca="1" si="30"/>
        <v/>
      </c>
      <c r="E130" s="96" t="str">
        <f t="shared" ca="1" si="12"/>
        <v/>
      </c>
      <c r="F130" s="96" t="str">
        <f t="shared" ca="1" si="13"/>
        <v/>
      </c>
      <c r="G130" s="293" t="str">
        <f t="shared" ca="1" si="14"/>
        <v/>
      </c>
      <c r="H130" s="284" t="str">
        <f t="shared" ca="1" si="14"/>
        <v/>
      </c>
      <c r="I130" s="96" t="str">
        <f t="shared" ca="1" si="14"/>
        <v/>
      </c>
      <c r="J130" s="96" t="str">
        <f t="shared" ca="1" si="15"/>
        <v/>
      </c>
      <c r="K130" s="96" t="str">
        <f t="shared" ca="1" si="30"/>
        <v/>
      </c>
      <c r="L130" s="96" t="str">
        <f t="shared" ca="1" si="30"/>
        <v/>
      </c>
      <c r="M130" s="294" t="str">
        <f t="shared" ca="1" si="30"/>
        <v/>
      </c>
      <c r="N130" s="295" t="str">
        <f t="shared" ca="1" si="16"/>
        <v/>
      </c>
      <c r="O130" s="96" t="str">
        <f t="shared" ca="1" si="16"/>
        <v/>
      </c>
      <c r="P130" s="96" t="str">
        <f t="shared" ca="1" si="17"/>
        <v/>
      </c>
      <c r="Q130" s="96" t="str">
        <f t="shared" ca="1" si="30"/>
        <v/>
      </c>
      <c r="R130" s="293" t="str">
        <f t="shared" ca="1" si="30"/>
        <v/>
      </c>
      <c r="S130" s="284" t="str">
        <f t="shared" ca="1" si="8"/>
        <v/>
      </c>
      <c r="T130" s="96" t="str">
        <f t="shared" ca="1" si="8"/>
        <v/>
      </c>
      <c r="U130" s="96" t="str">
        <f t="shared" ca="1" si="18"/>
        <v/>
      </c>
      <c r="V130" s="96" t="str">
        <f t="shared" ca="1" si="8"/>
        <v/>
      </c>
      <c r="W130" s="96" t="str">
        <f t="shared" ca="1" si="8"/>
        <v/>
      </c>
      <c r="X130" s="293" t="str">
        <f t="shared" ca="1" si="8"/>
        <v/>
      </c>
      <c r="Y130" s="284" t="str">
        <f t="shared" ca="1" si="8"/>
        <v/>
      </c>
      <c r="Z130" s="96" t="str">
        <f t="shared" ca="1" si="8"/>
        <v/>
      </c>
      <c r="AA130" s="96" t="str">
        <f t="shared" ca="1" si="8"/>
        <v/>
      </c>
      <c r="AB130" s="386" t="str">
        <f t="shared" ca="1" si="8"/>
        <v/>
      </c>
      <c r="AC130" s="293" t="str">
        <f t="shared" ca="1" si="8"/>
        <v/>
      </c>
      <c r="AD130" s="284" t="str">
        <f t="shared" ca="1" si="9"/>
        <v/>
      </c>
      <c r="AE130" s="293" t="str">
        <f t="shared" ca="1" si="9"/>
        <v/>
      </c>
      <c r="AF130" s="284" t="str">
        <f t="shared" ca="1" si="9"/>
        <v/>
      </c>
      <c r="AG130" s="293" t="str">
        <f t="shared" ca="1" si="9"/>
        <v/>
      </c>
      <c r="AH130" s="96"/>
      <c r="AI130" s="96" t="str">
        <f t="shared" ca="1" si="19"/>
        <v/>
      </c>
      <c r="AK130" s="96">
        <f t="shared" ca="1" si="20"/>
        <v>0</v>
      </c>
      <c r="AL130" s="12">
        <f t="shared" ca="1" si="21"/>
        <v>0</v>
      </c>
      <c r="AM130" s="12">
        <f t="shared" ca="1" si="22"/>
        <v>0</v>
      </c>
      <c r="AN130" s="12">
        <f t="shared" ca="1" si="23"/>
        <v>0</v>
      </c>
      <c r="AO130" s="12">
        <f t="shared" ca="1" si="24"/>
        <v>0</v>
      </c>
      <c r="AP130" s="12" t="str">
        <f t="shared" ca="1" si="25"/>
        <v/>
      </c>
      <c r="AQ130" s="12" t="str">
        <f t="shared" ca="1" si="26"/>
        <v/>
      </c>
      <c r="AR130" s="12" t="str">
        <f t="shared" ca="1" si="27"/>
        <v/>
      </c>
      <c r="AS130" s="12" t="str">
        <f t="shared" ca="1" si="28"/>
        <v/>
      </c>
    </row>
    <row r="131" spans="1:45">
      <c r="A131">
        <f t="shared" si="29"/>
        <v>85</v>
      </c>
      <c r="B131" t="str">
        <f t="shared" ca="1" si="10"/>
        <v xml:space="preserve"> </v>
      </c>
      <c r="C131" t="b">
        <f t="shared" ca="1" si="11"/>
        <v>0</v>
      </c>
      <c r="D131" s="284" t="str">
        <f t="shared" ca="1" si="30"/>
        <v/>
      </c>
      <c r="E131" s="96" t="str">
        <f t="shared" ca="1" si="12"/>
        <v/>
      </c>
      <c r="F131" s="96" t="str">
        <f t="shared" ca="1" si="13"/>
        <v/>
      </c>
      <c r="G131" s="293" t="str">
        <f t="shared" ca="1" si="14"/>
        <v/>
      </c>
      <c r="H131" s="284" t="str">
        <f t="shared" ca="1" si="14"/>
        <v/>
      </c>
      <c r="I131" s="96" t="str">
        <f t="shared" ca="1" si="14"/>
        <v/>
      </c>
      <c r="J131" s="96" t="str">
        <f t="shared" ca="1" si="15"/>
        <v/>
      </c>
      <c r="K131" s="96" t="str">
        <f t="shared" ca="1" si="30"/>
        <v/>
      </c>
      <c r="L131" s="96" t="str">
        <f t="shared" ca="1" si="30"/>
        <v/>
      </c>
      <c r="M131" s="294" t="str">
        <f t="shared" ca="1" si="30"/>
        <v/>
      </c>
      <c r="N131" s="295" t="str">
        <f t="shared" ca="1" si="16"/>
        <v/>
      </c>
      <c r="O131" s="96" t="str">
        <f t="shared" ca="1" si="16"/>
        <v/>
      </c>
      <c r="P131" s="96" t="str">
        <f t="shared" ca="1" si="17"/>
        <v/>
      </c>
      <c r="Q131" s="96" t="str">
        <f t="shared" ca="1" si="30"/>
        <v/>
      </c>
      <c r="R131" s="293" t="str">
        <f t="shared" ca="1" si="30"/>
        <v/>
      </c>
      <c r="S131" s="284" t="str">
        <f t="shared" ca="1" si="8"/>
        <v/>
      </c>
      <c r="T131" s="96" t="str">
        <f t="shared" ca="1" si="8"/>
        <v/>
      </c>
      <c r="U131" s="96" t="str">
        <f t="shared" ca="1" si="18"/>
        <v/>
      </c>
      <c r="V131" s="96" t="str">
        <f t="shared" ca="1" si="8"/>
        <v/>
      </c>
      <c r="W131" s="96" t="str">
        <f t="shared" ca="1" si="8"/>
        <v/>
      </c>
      <c r="X131" s="293" t="str">
        <f t="shared" ca="1" si="8"/>
        <v/>
      </c>
      <c r="Y131" s="284" t="str">
        <f t="shared" ca="1" si="8"/>
        <v/>
      </c>
      <c r="Z131" s="96" t="str">
        <f t="shared" ca="1" si="8"/>
        <v/>
      </c>
      <c r="AA131" s="96" t="str">
        <f t="shared" ca="1" si="8"/>
        <v/>
      </c>
      <c r="AB131" s="386" t="str">
        <f t="shared" ca="1" si="8"/>
        <v/>
      </c>
      <c r="AC131" s="293" t="str">
        <f t="shared" ca="1" si="8"/>
        <v/>
      </c>
      <c r="AD131" s="284" t="str">
        <f t="shared" ca="1" si="9"/>
        <v/>
      </c>
      <c r="AE131" s="293" t="str">
        <f t="shared" ca="1" si="9"/>
        <v/>
      </c>
      <c r="AF131" s="284" t="str">
        <f t="shared" ca="1" si="9"/>
        <v/>
      </c>
      <c r="AG131" s="293" t="str">
        <f t="shared" ca="1" si="9"/>
        <v/>
      </c>
      <c r="AH131" s="96"/>
      <c r="AI131" s="96" t="str">
        <f t="shared" ca="1" si="19"/>
        <v/>
      </c>
      <c r="AK131" s="96">
        <f t="shared" ca="1" si="20"/>
        <v>0</v>
      </c>
      <c r="AL131" s="12">
        <f t="shared" ca="1" si="21"/>
        <v>0</v>
      </c>
      <c r="AM131" s="12">
        <f t="shared" ca="1" si="22"/>
        <v>0</v>
      </c>
      <c r="AN131" s="12">
        <f t="shared" ca="1" si="23"/>
        <v>0</v>
      </c>
      <c r="AO131" s="12">
        <f t="shared" ca="1" si="24"/>
        <v>0</v>
      </c>
      <c r="AP131" s="12" t="str">
        <f t="shared" ca="1" si="25"/>
        <v/>
      </c>
      <c r="AQ131" s="12" t="str">
        <f t="shared" ca="1" si="26"/>
        <v/>
      </c>
      <c r="AR131" s="12" t="str">
        <f t="shared" ca="1" si="27"/>
        <v/>
      </c>
      <c r="AS131" s="12" t="str">
        <f t="shared" ca="1" si="28"/>
        <v/>
      </c>
    </row>
    <row r="132" spans="1:45">
      <c r="A132" s="690">
        <f>A131+8</f>
        <v>93</v>
      </c>
      <c r="B132" t="str">
        <f t="shared" ca="1" si="10"/>
        <v xml:space="preserve"> </v>
      </c>
      <c r="C132" t="b">
        <f t="shared" ca="1" si="11"/>
        <v>0</v>
      </c>
      <c r="D132" s="284" t="str">
        <f t="shared" ca="1" si="30"/>
        <v/>
      </c>
      <c r="E132" s="96" t="str">
        <f t="shared" ca="1" si="12"/>
        <v/>
      </c>
      <c r="F132" s="96" t="str">
        <f t="shared" ca="1" si="13"/>
        <v/>
      </c>
      <c r="G132" s="293" t="str">
        <f t="shared" ca="1" si="14"/>
        <v/>
      </c>
      <c r="H132" s="284" t="str">
        <f t="shared" ca="1" si="14"/>
        <v/>
      </c>
      <c r="I132" s="96" t="str">
        <f t="shared" ca="1" si="14"/>
        <v/>
      </c>
      <c r="J132" s="96" t="str">
        <f t="shared" ca="1" si="15"/>
        <v/>
      </c>
      <c r="K132" s="96" t="str">
        <f t="shared" ca="1" si="30"/>
        <v/>
      </c>
      <c r="L132" s="96" t="str">
        <f t="shared" ca="1" si="30"/>
        <v/>
      </c>
      <c r="M132" s="294" t="str">
        <f t="shared" ca="1" si="30"/>
        <v/>
      </c>
      <c r="N132" s="295" t="str">
        <f t="shared" ca="1" si="16"/>
        <v/>
      </c>
      <c r="O132" s="96" t="str">
        <f t="shared" ca="1" si="16"/>
        <v/>
      </c>
      <c r="P132" s="96" t="str">
        <f t="shared" ca="1" si="17"/>
        <v/>
      </c>
      <c r="Q132" s="96" t="str">
        <f t="shared" ca="1" si="30"/>
        <v/>
      </c>
      <c r="R132" s="293" t="str">
        <f t="shared" ca="1" si="30"/>
        <v/>
      </c>
      <c r="S132" s="284" t="str">
        <f t="shared" ca="1" si="8"/>
        <v/>
      </c>
      <c r="T132" s="96" t="str">
        <f t="shared" ca="1" si="8"/>
        <v/>
      </c>
      <c r="U132" s="96" t="str">
        <f t="shared" ca="1" si="18"/>
        <v/>
      </c>
      <c r="V132" s="96" t="str">
        <f t="shared" ca="1" si="8"/>
        <v/>
      </c>
      <c r="W132" s="96" t="str">
        <f t="shared" ca="1" si="8"/>
        <v/>
      </c>
      <c r="X132" s="293" t="str">
        <f t="shared" ca="1" si="8"/>
        <v/>
      </c>
      <c r="Y132" s="284" t="str">
        <f t="shared" ca="1" si="8"/>
        <v/>
      </c>
      <c r="Z132" s="96" t="str">
        <f t="shared" ca="1" si="8"/>
        <v/>
      </c>
      <c r="AA132" s="96" t="str">
        <f t="shared" ca="1" si="8"/>
        <v/>
      </c>
      <c r="AB132" s="386" t="str">
        <f t="shared" ca="1" si="8"/>
        <v/>
      </c>
      <c r="AC132" s="293" t="str">
        <f t="shared" ca="1" si="8"/>
        <v/>
      </c>
      <c r="AD132" s="284" t="str">
        <f t="shared" ca="1" si="9"/>
        <v/>
      </c>
      <c r="AE132" s="293" t="str">
        <f t="shared" ca="1" si="9"/>
        <v/>
      </c>
      <c r="AF132" s="284" t="str">
        <f t="shared" ca="1" si="9"/>
        <v/>
      </c>
      <c r="AG132" s="293" t="str">
        <f t="shared" ca="1" si="9"/>
        <v/>
      </c>
      <c r="AH132" s="96"/>
      <c r="AI132" s="96" t="str">
        <f t="shared" ca="1" si="19"/>
        <v/>
      </c>
      <c r="AK132" s="96">
        <f t="shared" ca="1" si="20"/>
        <v>0</v>
      </c>
      <c r="AL132" s="12">
        <f t="shared" ca="1" si="21"/>
        <v>0</v>
      </c>
      <c r="AM132" s="12">
        <f t="shared" ca="1" si="22"/>
        <v>0</v>
      </c>
      <c r="AN132" s="12">
        <f t="shared" ca="1" si="23"/>
        <v>0</v>
      </c>
      <c r="AO132" s="12">
        <f t="shared" ca="1" si="24"/>
        <v>0</v>
      </c>
      <c r="AP132" s="12" t="str">
        <f t="shared" ca="1" si="25"/>
        <v/>
      </c>
      <c r="AQ132" s="12" t="str">
        <f t="shared" ca="1" si="26"/>
        <v/>
      </c>
      <c r="AR132" s="12" t="str">
        <f t="shared" ca="1" si="27"/>
        <v/>
      </c>
      <c r="AS132" s="12" t="str">
        <f t="shared" ca="1" si="28"/>
        <v/>
      </c>
    </row>
    <row r="133" spans="1:45">
      <c r="A133">
        <f>A132+5</f>
        <v>98</v>
      </c>
      <c r="B133" t="str">
        <f t="shared" ca="1" si="10"/>
        <v xml:space="preserve"> </v>
      </c>
      <c r="C133" t="b">
        <f t="shared" ca="1" si="11"/>
        <v>0</v>
      </c>
      <c r="D133" s="284" t="str">
        <f t="shared" ca="1" si="30"/>
        <v/>
      </c>
      <c r="E133" s="96" t="str">
        <f t="shared" ca="1" si="12"/>
        <v/>
      </c>
      <c r="F133" s="96" t="str">
        <f t="shared" ca="1" si="13"/>
        <v/>
      </c>
      <c r="G133" s="293" t="str">
        <f t="shared" ca="1" si="14"/>
        <v/>
      </c>
      <c r="H133" s="284" t="str">
        <f t="shared" ca="1" si="14"/>
        <v/>
      </c>
      <c r="I133" s="96" t="str">
        <f t="shared" ca="1" si="14"/>
        <v/>
      </c>
      <c r="J133" s="96" t="str">
        <f t="shared" ca="1" si="15"/>
        <v/>
      </c>
      <c r="K133" s="96" t="str">
        <f t="shared" ca="1" si="30"/>
        <v/>
      </c>
      <c r="L133" s="96" t="str">
        <f t="shared" ca="1" si="30"/>
        <v/>
      </c>
      <c r="M133" s="294" t="str">
        <f t="shared" ca="1" si="30"/>
        <v/>
      </c>
      <c r="N133" s="295" t="str">
        <f t="shared" ca="1" si="16"/>
        <v/>
      </c>
      <c r="O133" s="96" t="str">
        <f t="shared" ca="1" si="16"/>
        <v/>
      </c>
      <c r="P133" s="96" t="str">
        <f t="shared" ca="1" si="17"/>
        <v/>
      </c>
      <c r="Q133" s="96" t="str">
        <f t="shared" ca="1" si="30"/>
        <v/>
      </c>
      <c r="R133" s="293" t="str">
        <f t="shared" ca="1" si="30"/>
        <v/>
      </c>
      <c r="S133" s="284" t="str">
        <f t="shared" ca="1" si="8"/>
        <v/>
      </c>
      <c r="T133" s="96" t="str">
        <f t="shared" ref="S133:AC158" ca="1" si="31">IF($C133=FALSE,"",INDIRECT("Installations!" &amp; T$120 &amp; $A133+2))</f>
        <v/>
      </c>
      <c r="U133" s="96" t="str">
        <f t="shared" ca="1" si="18"/>
        <v/>
      </c>
      <c r="V133" s="96" t="str">
        <f t="shared" ca="1" si="31"/>
        <v/>
      </c>
      <c r="W133" s="96" t="str">
        <f t="shared" ca="1" si="31"/>
        <v/>
      </c>
      <c r="X133" s="293" t="str">
        <f t="shared" ca="1" si="31"/>
        <v/>
      </c>
      <c r="Y133" s="284" t="str">
        <f t="shared" ca="1" si="31"/>
        <v/>
      </c>
      <c r="Z133" s="96" t="str">
        <f t="shared" ca="1" si="31"/>
        <v/>
      </c>
      <c r="AA133" s="96" t="str">
        <f t="shared" ca="1" si="31"/>
        <v/>
      </c>
      <c r="AB133" s="386" t="str">
        <f t="shared" ca="1" si="31"/>
        <v/>
      </c>
      <c r="AC133" s="293" t="str">
        <f t="shared" ca="1" si="31"/>
        <v/>
      </c>
      <c r="AD133" s="284" t="str">
        <f t="shared" ca="1" si="9"/>
        <v/>
      </c>
      <c r="AE133" s="293" t="str">
        <f t="shared" ca="1" si="9"/>
        <v/>
      </c>
      <c r="AF133" s="284" t="str">
        <f t="shared" ca="1" si="9"/>
        <v/>
      </c>
      <c r="AG133" s="293" t="str">
        <f t="shared" ca="1" si="9"/>
        <v/>
      </c>
      <c r="AH133" s="96"/>
      <c r="AI133" s="96" t="str">
        <f t="shared" ca="1" si="19"/>
        <v/>
      </c>
      <c r="AK133" s="96">
        <f t="shared" ca="1" si="20"/>
        <v>0</v>
      </c>
      <c r="AL133" s="12">
        <f t="shared" ca="1" si="21"/>
        <v>0</v>
      </c>
      <c r="AM133" s="12">
        <f t="shared" ca="1" si="22"/>
        <v>0</v>
      </c>
      <c r="AN133" s="12">
        <f t="shared" ca="1" si="23"/>
        <v>0</v>
      </c>
      <c r="AO133" s="12">
        <f t="shared" ca="1" si="24"/>
        <v>0</v>
      </c>
      <c r="AP133" s="12" t="str">
        <f t="shared" ca="1" si="25"/>
        <v/>
      </c>
      <c r="AQ133" s="12" t="str">
        <f t="shared" ca="1" si="26"/>
        <v/>
      </c>
      <c r="AR133" s="12" t="str">
        <f t="shared" ca="1" si="27"/>
        <v/>
      </c>
      <c r="AS133" s="12" t="str">
        <f t="shared" ca="1" si="28"/>
        <v/>
      </c>
    </row>
    <row r="134" spans="1:45">
      <c r="A134">
        <f t="shared" ref="A134:A197" si="32">A133+5</f>
        <v>103</v>
      </c>
      <c r="B134" t="str">
        <f t="shared" ca="1" si="10"/>
        <v xml:space="preserve"> </v>
      </c>
      <c r="C134" t="b">
        <f t="shared" ca="1" si="11"/>
        <v>0</v>
      </c>
      <c r="D134" s="284" t="str">
        <f t="shared" ca="1" si="30"/>
        <v/>
      </c>
      <c r="E134" s="96" t="str">
        <f t="shared" ca="1" si="12"/>
        <v/>
      </c>
      <c r="F134" s="96" t="str">
        <f t="shared" ca="1" si="13"/>
        <v/>
      </c>
      <c r="G134" s="293" t="str">
        <f t="shared" ca="1" si="14"/>
        <v/>
      </c>
      <c r="H134" s="284" t="str">
        <f t="shared" ca="1" si="14"/>
        <v/>
      </c>
      <c r="I134" s="96" t="str">
        <f t="shared" ca="1" si="14"/>
        <v/>
      </c>
      <c r="J134" s="96" t="str">
        <f t="shared" ca="1" si="15"/>
        <v/>
      </c>
      <c r="K134" s="96" t="str">
        <f t="shared" ca="1" si="30"/>
        <v/>
      </c>
      <c r="L134" s="96" t="str">
        <f t="shared" ca="1" si="30"/>
        <v/>
      </c>
      <c r="M134" s="294" t="str">
        <f t="shared" ca="1" si="30"/>
        <v/>
      </c>
      <c r="N134" s="295" t="str">
        <f t="shared" ca="1" si="16"/>
        <v/>
      </c>
      <c r="O134" s="96" t="str">
        <f t="shared" ca="1" si="16"/>
        <v/>
      </c>
      <c r="P134" s="96" t="str">
        <f t="shared" ca="1" si="17"/>
        <v/>
      </c>
      <c r="Q134" s="96" t="str">
        <f t="shared" ca="1" si="30"/>
        <v/>
      </c>
      <c r="R134" s="293" t="str">
        <f t="shared" ca="1" si="30"/>
        <v/>
      </c>
      <c r="S134" s="284" t="str">
        <f t="shared" ca="1" si="31"/>
        <v/>
      </c>
      <c r="T134" s="96" t="str">
        <f t="shared" ca="1" si="31"/>
        <v/>
      </c>
      <c r="U134" s="96" t="str">
        <f t="shared" ca="1" si="18"/>
        <v/>
      </c>
      <c r="V134" s="96" t="str">
        <f t="shared" ca="1" si="31"/>
        <v/>
      </c>
      <c r="W134" s="96" t="str">
        <f t="shared" ca="1" si="31"/>
        <v/>
      </c>
      <c r="X134" s="293" t="str">
        <f t="shared" ca="1" si="31"/>
        <v/>
      </c>
      <c r="Y134" s="284" t="str">
        <f t="shared" ca="1" si="31"/>
        <v/>
      </c>
      <c r="Z134" s="96" t="str">
        <f t="shared" ca="1" si="31"/>
        <v/>
      </c>
      <c r="AA134" s="96" t="str">
        <f t="shared" ca="1" si="31"/>
        <v/>
      </c>
      <c r="AB134" s="386" t="str">
        <f t="shared" ca="1" si="31"/>
        <v/>
      </c>
      <c r="AC134" s="293" t="str">
        <f t="shared" ca="1" si="31"/>
        <v/>
      </c>
      <c r="AD134" s="284" t="str">
        <f t="shared" ca="1" si="9"/>
        <v/>
      </c>
      <c r="AE134" s="293" t="str">
        <f t="shared" ca="1" si="9"/>
        <v/>
      </c>
      <c r="AF134" s="284" t="str">
        <f t="shared" ca="1" si="9"/>
        <v/>
      </c>
      <c r="AG134" s="293" t="str">
        <f t="shared" ca="1" si="9"/>
        <v/>
      </c>
      <c r="AH134" s="96"/>
      <c r="AI134" s="96" t="str">
        <f t="shared" ca="1" si="19"/>
        <v/>
      </c>
      <c r="AK134" s="96">
        <f t="shared" ca="1" si="20"/>
        <v>0</v>
      </c>
      <c r="AL134" s="12">
        <f t="shared" ca="1" si="21"/>
        <v>0</v>
      </c>
      <c r="AM134" s="12">
        <f t="shared" ca="1" si="22"/>
        <v>0</v>
      </c>
      <c r="AN134" s="12">
        <f t="shared" ca="1" si="23"/>
        <v>0</v>
      </c>
      <c r="AO134" s="12">
        <f t="shared" ca="1" si="24"/>
        <v>0</v>
      </c>
      <c r="AP134" s="12" t="str">
        <f t="shared" ca="1" si="25"/>
        <v/>
      </c>
      <c r="AQ134" s="12" t="str">
        <f t="shared" ca="1" si="26"/>
        <v/>
      </c>
      <c r="AR134" s="12" t="str">
        <f t="shared" ca="1" si="27"/>
        <v/>
      </c>
      <c r="AS134" s="12" t="str">
        <f t="shared" ca="1" si="28"/>
        <v/>
      </c>
    </row>
    <row r="135" spans="1:45">
      <c r="A135">
        <f t="shared" si="32"/>
        <v>108</v>
      </c>
      <c r="B135" t="str">
        <f t="shared" ca="1" si="10"/>
        <v xml:space="preserve"> </v>
      </c>
      <c r="C135" t="b">
        <f t="shared" ca="1" si="11"/>
        <v>0</v>
      </c>
      <c r="D135" s="284" t="str">
        <f t="shared" ca="1" si="30"/>
        <v/>
      </c>
      <c r="E135" s="96" t="str">
        <f t="shared" ca="1" si="12"/>
        <v/>
      </c>
      <c r="F135" s="96" t="str">
        <f t="shared" ca="1" si="13"/>
        <v/>
      </c>
      <c r="G135" s="293" t="str">
        <f t="shared" ca="1" si="14"/>
        <v/>
      </c>
      <c r="H135" s="284" t="str">
        <f t="shared" ca="1" si="14"/>
        <v/>
      </c>
      <c r="I135" s="96" t="str">
        <f t="shared" ca="1" si="14"/>
        <v/>
      </c>
      <c r="J135" s="96" t="str">
        <f t="shared" ca="1" si="15"/>
        <v/>
      </c>
      <c r="K135" s="96" t="str">
        <f t="shared" ca="1" si="30"/>
        <v/>
      </c>
      <c r="L135" s="96" t="str">
        <f t="shared" ca="1" si="30"/>
        <v/>
      </c>
      <c r="M135" s="294" t="str">
        <f t="shared" ca="1" si="30"/>
        <v/>
      </c>
      <c r="N135" s="295" t="str">
        <f t="shared" ca="1" si="16"/>
        <v/>
      </c>
      <c r="O135" s="96" t="str">
        <f t="shared" ca="1" si="16"/>
        <v/>
      </c>
      <c r="P135" s="96" t="str">
        <f t="shared" ca="1" si="17"/>
        <v/>
      </c>
      <c r="Q135" s="96" t="str">
        <f t="shared" ca="1" si="30"/>
        <v/>
      </c>
      <c r="R135" s="293" t="str">
        <f t="shared" ca="1" si="30"/>
        <v/>
      </c>
      <c r="S135" s="284" t="str">
        <f t="shared" ca="1" si="31"/>
        <v/>
      </c>
      <c r="T135" s="96" t="str">
        <f t="shared" ca="1" si="31"/>
        <v/>
      </c>
      <c r="U135" s="96" t="str">
        <f t="shared" ca="1" si="18"/>
        <v/>
      </c>
      <c r="V135" s="96" t="str">
        <f t="shared" ca="1" si="31"/>
        <v/>
      </c>
      <c r="W135" s="96" t="str">
        <f t="shared" ca="1" si="31"/>
        <v/>
      </c>
      <c r="X135" s="293" t="str">
        <f t="shared" ca="1" si="31"/>
        <v/>
      </c>
      <c r="Y135" s="284" t="str">
        <f t="shared" ca="1" si="31"/>
        <v/>
      </c>
      <c r="Z135" s="96" t="str">
        <f t="shared" ca="1" si="31"/>
        <v/>
      </c>
      <c r="AA135" s="96" t="str">
        <f t="shared" ca="1" si="31"/>
        <v/>
      </c>
      <c r="AB135" s="386" t="str">
        <f t="shared" ca="1" si="31"/>
        <v/>
      </c>
      <c r="AC135" s="293" t="str">
        <f t="shared" ca="1" si="31"/>
        <v/>
      </c>
      <c r="AD135" s="284" t="str">
        <f t="shared" ca="1" si="9"/>
        <v/>
      </c>
      <c r="AE135" s="293" t="str">
        <f t="shared" ca="1" si="9"/>
        <v/>
      </c>
      <c r="AF135" s="284" t="str">
        <f t="shared" ca="1" si="9"/>
        <v/>
      </c>
      <c r="AG135" s="293" t="str">
        <f t="shared" ca="1" si="9"/>
        <v/>
      </c>
      <c r="AH135" s="96"/>
      <c r="AI135" s="96" t="str">
        <f t="shared" ca="1" si="19"/>
        <v/>
      </c>
      <c r="AK135" s="96">
        <f t="shared" ca="1" si="20"/>
        <v>0</v>
      </c>
      <c r="AL135" s="12">
        <f t="shared" ca="1" si="21"/>
        <v>0</v>
      </c>
      <c r="AM135" s="12">
        <f t="shared" ca="1" si="22"/>
        <v>0</v>
      </c>
      <c r="AN135" s="12">
        <f t="shared" ca="1" si="23"/>
        <v>0</v>
      </c>
      <c r="AO135" s="12">
        <f t="shared" ca="1" si="24"/>
        <v>0</v>
      </c>
      <c r="AP135" s="12" t="str">
        <f t="shared" ca="1" si="25"/>
        <v/>
      </c>
      <c r="AQ135" s="12" t="str">
        <f t="shared" ca="1" si="26"/>
        <v/>
      </c>
      <c r="AR135" s="12" t="str">
        <f t="shared" ca="1" si="27"/>
        <v/>
      </c>
      <c r="AS135" s="12" t="str">
        <f t="shared" ca="1" si="28"/>
        <v/>
      </c>
    </row>
    <row r="136" spans="1:45">
      <c r="A136">
        <f t="shared" si="32"/>
        <v>113</v>
      </c>
      <c r="B136" t="str">
        <f t="shared" ca="1" si="10"/>
        <v xml:space="preserve"> </v>
      </c>
      <c r="C136" t="b">
        <f t="shared" ca="1" si="11"/>
        <v>0</v>
      </c>
      <c r="D136" s="284" t="str">
        <f t="shared" ca="1" si="30"/>
        <v/>
      </c>
      <c r="E136" s="96" t="str">
        <f t="shared" ca="1" si="12"/>
        <v/>
      </c>
      <c r="F136" s="96" t="str">
        <f t="shared" ca="1" si="13"/>
        <v/>
      </c>
      <c r="G136" s="293" t="str">
        <f t="shared" ca="1" si="14"/>
        <v/>
      </c>
      <c r="H136" s="284" t="str">
        <f t="shared" ca="1" si="14"/>
        <v/>
      </c>
      <c r="I136" s="96" t="str">
        <f t="shared" ca="1" si="14"/>
        <v/>
      </c>
      <c r="J136" s="96" t="str">
        <f t="shared" ca="1" si="15"/>
        <v/>
      </c>
      <c r="K136" s="96" t="str">
        <f t="shared" ca="1" si="30"/>
        <v/>
      </c>
      <c r="L136" s="96" t="str">
        <f t="shared" ca="1" si="30"/>
        <v/>
      </c>
      <c r="M136" s="294" t="str">
        <f t="shared" ca="1" si="30"/>
        <v/>
      </c>
      <c r="N136" s="295" t="str">
        <f t="shared" ca="1" si="16"/>
        <v/>
      </c>
      <c r="O136" s="96" t="str">
        <f t="shared" ca="1" si="16"/>
        <v/>
      </c>
      <c r="P136" s="96" t="str">
        <f t="shared" ca="1" si="17"/>
        <v/>
      </c>
      <c r="Q136" s="96" t="str">
        <f t="shared" ca="1" si="30"/>
        <v/>
      </c>
      <c r="R136" s="293" t="str">
        <f t="shared" ca="1" si="30"/>
        <v/>
      </c>
      <c r="S136" s="284" t="str">
        <f t="shared" ca="1" si="31"/>
        <v/>
      </c>
      <c r="T136" s="96" t="str">
        <f t="shared" ca="1" si="31"/>
        <v/>
      </c>
      <c r="U136" s="96" t="str">
        <f t="shared" ca="1" si="18"/>
        <v/>
      </c>
      <c r="V136" s="96" t="str">
        <f t="shared" ca="1" si="31"/>
        <v/>
      </c>
      <c r="W136" s="96" t="str">
        <f t="shared" ca="1" si="31"/>
        <v/>
      </c>
      <c r="X136" s="293" t="str">
        <f t="shared" ca="1" si="31"/>
        <v/>
      </c>
      <c r="Y136" s="284" t="str">
        <f t="shared" ca="1" si="31"/>
        <v/>
      </c>
      <c r="Z136" s="96" t="str">
        <f t="shared" ca="1" si="31"/>
        <v/>
      </c>
      <c r="AA136" s="96" t="str">
        <f t="shared" ca="1" si="31"/>
        <v/>
      </c>
      <c r="AB136" s="386" t="str">
        <f t="shared" ca="1" si="31"/>
        <v/>
      </c>
      <c r="AC136" s="293" t="str">
        <f t="shared" ca="1" si="31"/>
        <v/>
      </c>
      <c r="AD136" s="284" t="str">
        <f t="shared" ca="1" si="9"/>
        <v/>
      </c>
      <c r="AE136" s="293" t="str">
        <f t="shared" ca="1" si="9"/>
        <v/>
      </c>
      <c r="AF136" s="284" t="str">
        <f t="shared" ca="1" si="9"/>
        <v/>
      </c>
      <c r="AG136" s="293" t="str">
        <f t="shared" ca="1" si="9"/>
        <v/>
      </c>
      <c r="AH136" s="96"/>
      <c r="AI136" s="96" t="str">
        <f t="shared" ca="1" si="19"/>
        <v/>
      </c>
      <c r="AK136" s="96">
        <f t="shared" ca="1" si="20"/>
        <v>0</v>
      </c>
      <c r="AL136" s="12">
        <f t="shared" ca="1" si="21"/>
        <v>0</v>
      </c>
      <c r="AM136" s="12">
        <f t="shared" ca="1" si="22"/>
        <v>0</v>
      </c>
      <c r="AN136" s="12">
        <f t="shared" ca="1" si="23"/>
        <v>0</v>
      </c>
      <c r="AO136" s="12">
        <f t="shared" ca="1" si="24"/>
        <v>0</v>
      </c>
      <c r="AP136" s="12" t="str">
        <f t="shared" ca="1" si="25"/>
        <v/>
      </c>
      <c r="AQ136" s="12" t="str">
        <f t="shared" ca="1" si="26"/>
        <v/>
      </c>
      <c r="AR136" s="12" t="str">
        <f t="shared" ca="1" si="27"/>
        <v/>
      </c>
      <c r="AS136" s="12" t="str">
        <f t="shared" ca="1" si="28"/>
        <v/>
      </c>
    </row>
    <row r="137" spans="1:45">
      <c r="A137">
        <f t="shared" si="32"/>
        <v>118</v>
      </c>
      <c r="B137" t="str">
        <f t="shared" ca="1" si="10"/>
        <v xml:space="preserve"> </v>
      </c>
      <c r="C137" t="b">
        <f t="shared" ca="1" si="11"/>
        <v>0</v>
      </c>
      <c r="D137" s="284" t="str">
        <f t="shared" ca="1" si="30"/>
        <v/>
      </c>
      <c r="E137" s="96" t="str">
        <f t="shared" ca="1" si="12"/>
        <v/>
      </c>
      <c r="F137" s="96" t="str">
        <f t="shared" ca="1" si="13"/>
        <v/>
      </c>
      <c r="G137" s="293" t="str">
        <f t="shared" ca="1" si="14"/>
        <v/>
      </c>
      <c r="H137" s="284" t="str">
        <f t="shared" ca="1" si="14"/>
        <v/>
      </c>
      <c r="I137" s="96" t="str">
        <f t="shared" ca="1" si="14"/>
        <v/>
      </c>
      <c r="J137" s="96" t="str">
        <f t="shared" ca="1" si="15"/>
        <v/>
      </c>
      <c r="K137" s="96" t="str">
        <f t="shared" ca="1" si="30"/>
        <v/>
      </c>
      <c r="L137" s="96" t="str">
        <f t="shared" ca="1" si="30"/>
        <v/>
      </c>
      <c r="M137" s="294" t="str">
        <f t="shared" ca="1" si="30"/>
        <v/>
      </c>
      <c r="N137" s="295" t="str">
        <f t="shared" ca="1" si="16"/>
        <v/>
      </c>
      <c r="O137" s="96" t="str">
        <f t="shared" ca="1" si="16"/>
        <v/>
      </c>
      <c r="P137" s="96" t="str">
        <f t="shared" ca="1" si="17"/>
        <v/>
      </c>
      <c r="Q137" s="96" t="str">
        <f t="shared" ca="1" si="30"/>
        <v/>
      </c>
      <c r="R137" s="293" t="str">
        <f t="shared" ca="1" si="30"/>
        <v/>
      </c>
      <c r="S137" s="284" t="str">
        <f t="shared" ca="1" si="31"/>
        <v/>
      </c>
      <c r="T137" s="96" t="str">
        <f t="shared" ca="1" si="31"/>
        <v/>
      </c>
      <c r="U137" s="96" t="str">
        <f t="shared" ca="1" si="18"/>
        <v/>
      </c>
      <c r="V137" s="96" t="str">
        <f t="shared" ca="1" si="31"/>
        <v/>
      </c>
      <c r="W137" s="96" t="str">
        <f t="shared" ca="1" si="31"/>
        <v/>
      </c>
      <c r="X137" s="293" t="str">
        <f t="shared" ca="1" si="31"/>
        <v/>
      </c>
      <c r="Y137" s="284" t="str">
        <f t="shared" ca="1" si="31"/>
        <v/>
      </c>
      <c r="Z137" s="96" t="str">
        <f t="shared" ca="1" si="31"/>
        <v/>
      </c>
      <c r="AA137" s="96" t="str">
        <f t="shared" ca="1" si="31"/>
        <v/>
      </c>
      <c r="AB137" s="386" t="str">
        <f t="shared" ca="1" si="31"/>
        <v/>
      </c>
      <c r="AC137" s="293" t="str">
        <f t="shared" ca="1" si="31"/>
        <v/>
      </c>
      <c r="AD137" s="284" t="str">
        <f t="shared" ca="1" si="9"/>
        <v/>
      </c>
      <c r="AE137" s="293" t="str">
        <f t="shared" ca="1" si="9"/>
        <v/>
      </c>
      <c r="AF137" s="284" t="str">
        <f t="shared" ca="1" si="9"/>
        <v/>
      </c>
      <c r="AG137" s="293" t="str">
        <f t="shared" ca="1" si="9"/>
        <v/>
      </c>
      <c r="AH137" s="96"/>
      <c r="AI137" s="96" t="str">
        <f t="shared" ca="1" si="19"/>
        <v/>
      </c>
      <c r="AK137" s="96">
        <f t="shared" ca="1" si="20"/>
        <v>0</v>
      </c>
      <c r="AL137" s="12">
        <f t="shared" ca="1" si="21"/>
        <v>0</v>
      </c>
      <c r="AM137" s="12">
        <f t="shared" ca="1" si="22"/>
        <v>0</v>
      </c>
      <c r="AN137" s="12">
        <f t="shared" ca="1" si="23"/>
        <v>0</v>
      </c>
      <c r="AO137" s="12">
        <f t="shared" ca="1" si="24"/>
        <v>0</v>
      </c>
      <c r="AP137" s="12" t="str">
        <f t="shared" ca="1" si="25"/>
        <v/>
      </c>
      <c r="AQ137" s="12" t="str">
        <f t="shared" ca="1" si="26"/>
        <v/>
      </c>
      <c r="AR137" s="12" t="str">
        <f t="shared" ca="1" si="27"/>
        <v/>
      </c>
      <c r="AS137" s="12" t="str">
        <f t="shared" ca="1" si="28"/>
        <v/>
      </c>
    </row>
    <row r="138" spans="1:45">
      <c r="A138">
        <f t="shared" si="32"/>
        <v>123</v>
      </c>
      <c r="B138" t="str">
        <f t="shared" ca="1" si="10"/>
        <v xml:space="preserve"> </v>
      </c>
      <c r="C138" t="b">
        <f t="shared" ca="1" si="11"/>
        <v>0</v>
      </c>
      <c r="D138" s="284" t="str">
        <f t="shared" ca="1" si="30"/>
        <v/>
      </c>
      <c r="E138" s="96" t="str">
        <f t="shared" ca="1" si="12"/>
        <v/>
      </c>
      <c r="F138" s="96" t="str">
        <f t="shared" ca="1" si="13"/>
        <v/>
      </c>
      <c r="G138" s="293" t="str">
        <f t="shared" ca="1" si="14"/>
        <v/>
      </c>
      <c r="H138" s="284" t="str">
        <f t="shared" ca="1" si="14"/>
        <v/>
      </c>
      <c r="I138" s="96" t="str">
        <f t="shared" ca="1" si="14"/>
        <v/>
      </c>
      <c r="J138" s="96" t="str">
        <f t="shared" ca="1" si="15"/>
        <v/>
      </c>
      <c r="K138" s="96" t="str">
        <f t="shared" ca="1" si="30"/>
        <v/>
      </c>
      <c r="L138" s="96" t="str">
        <f t="shared" ca="1" si="30"/>
        <v/>
      </c>
      <c r="M138" s="294" t="str">
        <f t="shared" ca="1" si="30"/>
        <v/>
      </c>
      <c r="N138" s="295" t="str">
        <f t="shared" ca="1" si="16"/>
        <v/>
      </c>
      <c r="O138" s="96" t="str">
        <f t="shared" ca="1" si="16"/>
        <v/>
      </c>
      <c r="P138" s="96" t="str">
        <f t="shared" ca="1" si="17"/>
        <v/>
      </c>
      <c r="Q138" s="96" t="str">
        <f t="shared" ca="1" si="30"/>
        <v/>
      </c>
      <c r="R138" s="293" t="str">
        <f t="shared" ca="1" si="30"/>
        <v/>
      </c>
      <c r="S138" s="284" t="str">
        <f t="shared" ca="1" si="31"/>
        <v/>
      </c>
      <c r="T138" s="96" t="str">
        <f t="shared" ca="1" si="31"/>
        <v/>
      </c>
      <c r="U138" s="96" t="str">
        <f t="shared" ca="1" si="18"/>
        <v/>
      </c>
      <c r="V138" s="96" t="str">
        <f t="shared" ca="1" si="31"/>
        <v/>
      </c>
      <c r="W138" s="96" t="str">
        <f t="shared" ca="1" si="31"/>
        <v/>
      </c>
      <c r="X138" s="293" t="str">
        <f t="shared" ca="1" si="31"/>
        <v/>
      </c>
      <c r="Y138" s="284" t="str">
        <f t="shared" ca="1" si="31"/>
        <v/>
      </c>
      <c r="Z138" s="96" t="str">
        <f t="shared" ca="1" si="31"/>
        <v/>
      </c>
      <c r="AA138" s="96" t="str">
        <f t="shared" ca="1" si="31"/>
        <v/>
      </c>
      <c r="AB138" s="386" t="str">
        <f t="shared" ca="1" si="31"/>
        <v/>
      </c>
      <c r="AC138" s="293" t="str">
        <f t="shared" ca="1" si="31"/>
        <v/>
      </c>
      <c r="AD138" s="284" t="str">
        <f t="shared" ref="AD138:AG201" ca="1" si="33">IF($C138=FALSE,"",INDIRECT("Installations!" &amp; AD$120 &amp; $A138))</f>
        <v/>
      </c>
      <c r="AE138" s="293" t="str">
        <f t="shared" ca="1" si="33"/>
        <v/>
      </c>
      <c r="AF138" s="284" t="str">
        <f t="shared" ca="1" si="33"/>
        <v/>
      </c>
      <c r="AG138" s="293" t="str">
        <f t="shared" ca="1" si="33"/>
        <v/>
      </c>
      <c r="AH138" s="96"/>
      <c r="AI138" s="96" t="str">
        <f t="shared" ca="1" si="19"/>
        <v/>
      </c>
      <c r="AK138" s="96">
        <f t="shared" ca="1" si="20"/>
        <v>0</v>
      </c>
      <c r="AL138" s="12">
        <f t="shared" ca="1" si="21"/>
        <v>0</v>
      </c>
      <c r="AM138" s="12">
        <f t="shared" ca="1" si="22"/>
        <v>0</v>
      </c>
      <c r="AN138" s="12">
        <f t="shared" ca="1" si="23"/>
        <v>0</v>
      </c>
      <c r="AO138" s="12">
        <f t="shared" ca="1" si="24"/>
        <v>0</v>
      </c>
      <c r="AP138" s="12" t="str">
        <f t="shared" ca="1" si="25"/>
        <v/>
      </c>
      <c r="AQ138" s="12" t="str">
        <f t="shared" ca="1" si="26"/>
        <v/>
      </c>
      <c r="AR138" s="12" t="str">
        <f t="shared" ca="1" si="27"/>
        <v/>
      </c>
      <c r="AS138" s="12" t="str">
        <f t="shared" ca="1" si="28"/>
        <v/>
      </c>
    </row>
    <row r="139" spans="1:45">
      <c r="A139">
        <f t="shared" si="32"/>
        <v>128</v>
      </c>
      <c r="B139" t="str">
        <f t="shared" ca="1" si="10"/>
        <v xml:space="preserve"> </v>
      </c>
      <c r="C139" t="b">
        <f t="shared" ca="1" si="11"/>
        <v>0</v>
      </c>
      <c r="D139" s="284" t="str">
        <f t="shared" ca="1" si="30"/>
        <v/>
      </c>
      <c r="E139" s="96" t="str">
        <f t="shared" ca="1" si="12"/>
        <v/>
      </c>
      <c r="F139" s="96" t="str">
        <f t="shared" ca="1" si="13"/>
        <v/>
      </c>
      <c r="G139" s="293" t="str">
        <f t="shared" ca="1" si="14"/>
        <v/>
      </c>
      <c r="H139" s="284" t="str">
        <f t="shared" ca="1" si="14"/>
        <v/>
      </c>
      <c r="I139" s="96" t="str">
        <f t="shared" ca="1" si="14"/>
        <v/>
      </c>
      <c r="J139" s="96" t="str">
        <f t="shared" ca="1" si="15"/>
        <v/>
      </c>
      <c r="K139" s="96" t="str">
        <f t="shared" ca="1" si="30"/>
        <v/>
      </c>
      <c r="L139" s="96" t="str">
        <f t="shared" ca="1" si="30"/>
        <v/>
      </c>
      <c r="M139" s="294" t="str">
        <f t="shared" ca="1" si="30"/>
        <v/>
      </c>
      <c r="N139" s="295" t="str">
        <f t="shared" ca="1" si="16"/>
        <v/>
      </c>
      <c r="O139" s="96" t="str">
        <f t="shared" ca="1" si="16"/>
        <v/>
      </c>
      <c r="P139" s="96" t="str">
        <f t="shared" ca="1" si="17"/>
        <v/>
      </c>
      <c r="Q139" s="96" t="str">
        <f t="shared" ca="1" si="30"/>
        <v/>
      </c>
      <c r="R139" s="293" t="str">
        <f t="shared" ca="1" si="30"/>
        <v/>
      </c>
      <c r="S139" s="284" t="str">
        <f t="shared" ca="1" si="31"/>
        <v/>
      </c>
      <c r="T139" s="96" t="str">
        <f t="shared" ca="1" si="31"/>
        <v/>
      </c>
      <c r="U139" s="96" t="str">
        <f t="shared" ca="1" si="18"/>
        <v/>
      </c>
      <c r="V139" s="96" t="str">
        <f t="shared" ca="1" si="31"/>
        <v/>
      </c>
      <c r="W139" s="96" t="str">
        <f t="shared" ca="1" si="31"/>
        <v/>
      </c>
      <c r="X139" s="293" t="str">
        <f t="shared" ca="1" si="31"/>
        <v/>
      </c>
      <c r="Y139" s="284" t="str">
        <f t="shared" ca="1" si="31"/>
        <v/>
      </c>
      <c r="Z139" s="96" t="str">
        <f t="shared" ca="1" si="31"/>
        <v/>
      </c>
      <c r="AA139" s="96" t="str">
        <f t="shared" ca="1" si="31"/>
        <v/>
      </c>
      <c r="AB139" s="386" t="str">
        <f t="shared" ca="1" si="31"/>
        <v/>
      </c>
      <c r="AC139" s="293" t="str">
        <f t="shared" ca="1" si="31"/>
        <v/>
      </c>
      <c r="AD139" s="284" t="str">
        <f t="shared" ca="1" si="33"/>
        <v/>
      </c>
      <c r="AE139" s="293" t="str">
        <f t="shared" ca="1" si="33"/>
        <v/>
      </c>
      <c r="AF139" s="284" t="str">
        <f t="shared" ca="1" si="33"/>
        <v/>
      </c>
      <c r="AG139" s="293" t="str">
        <f t="shared" ca="1" si="33"/>
        <v/>
      </c>
      <c r="AH139" s="96"/>
      <c r="AI139" s="96" t="str">
        <f t="shared" ca="1" si="19"/>
        <v/>
      </c>
      <c r="AK139" s="96">
        <f t="shared" ca="1" si="20"/>
        <v>0</v>
      </c>
      <c r="AL139" s="12">
        <f t="shared" ca="1" si="21"/>
        <v>0</v>
      </c>
      <c r="AM139" s="12">
        <f t="shared" ca="1" si="22"/>
        <v>0</v>
      </c>
      <c r="AN139" s="12">
        <f t="shared" ca="1" si="23"/>
        <v>0</v>
      </c>
      <c r="AO139" s="12">
        <f t="shared" ca="1" si="24"/>
        <v>0</v>
      </c>
      <c r="AP139" s="12" t="str">
        <f t="shared" ca="1" si="25"/>
        <v/>
      </c>
      <c r="AQ139" s="12" t="str">
        <f t="shared" ca="1" si="26"/>
        <v/>
      </c>
      <c r="AR139" s="12" t="str">
        <f t="shared" ca="1" si="27"/>
        <v/>
      </c>
      <c r="AS139" s="12" t="str">
        <f t="shared" ca="1" si="28"/>
        <v/>
      </c>
    </row>
    <row r="140" spans="1:45">
      <c r="A140">
        <f t="shared" si="32"/>
        <v>133</v>
      </c>
      <c r="B140" t="str">
        <f t="shared" ca="1" si="10"/>
        <v xml:space="preserve"> </v>
      </c>
      <c r="C140" t="b">
        <f t="shared" ca="1" si="11"/>
        <v>0</v>
      </c>
      <c r="D140" s="284" t="str">
        <f t="shared" ca="1" si="30"/>
        <v/>
      </c>
      <c r="E140" s="96" t="str">
        <f t="shared" ca="1" si="12"/>
        <v/>
      </c>
      <c r="F140" s="96" t="str">
        <f t="shared" ca="1" si="13"/>
        <v/>
      </c>
      <c r="G140" s="293" t="str">
        <f t="shared" ca="1" si="14"/>
        <v/>
      </c>
      <c r="H140" s="284" t="str">
        <f t="shared" ca="1" si="14"/>
        <v/>
      </c>
      <c r="I140" s="96" t="str">
        <f t="shared" ca="1" si="14"/>
        <v/>
      </c>
      <c r="J140" s="96" t="str">
        <f t="shared" ca="1" si="15"/>
        <v/>
      </c>
      <c r="K140" s="96" t="str">
        <f t="shared" ca="1" si="30"/>
        <v/>
      </c>
      <c r="L140" s="96" t="str">
        <f t="shared" ca="1" si="30"/>
        <v/>
      </c>
      <c r="M140" s="294" t="str">
        <f t="shared" ca="1" si="30"/>
        <v/>
      </c>
      <c r="N140" s="295" t="str">
        <f t="shared" ca="1" si="16"/>
        <v/>
      </c>
      <c r="O140" s="96" t="str">
        <f t="shared" ca="1" si="16"/>
        <v/>
      </c>
      <c r="P140" s="96" t="str">
        <f t="shared" ca="1" si="17"/>
        <v/>
      </c>
      <c r="Q140" s="96" t="str">
        <f t="shared" ca="1" si="30"/>
        <v/>
      </c>
      <c r="R140" s="293" t="str">
        <f t="shared" ca="1" si="30"/>
        <v/>
      </c>
      <c r="S140" s="284" t="str">
        <f t="shared" ca="1" si="31"/>
        <v/>
      </c>
      <c r="T140" s="96" t="str">
        <f t="shared" ca="1" si="31"/>
        <v/>
      </c>
      <c r="U140" s="96" t="str">
        <f t="shared" ca="1" si="18"/>
        <v/>
      </c>
      <c r="V140" s="96" t="str">
        <f t="shared" ca="1" si="31"/>
        <v/>
      </c>
      <c r="W140" s="96" t="str">
        <f t="shared" ca="1" si="31"/>
        <v/>
      </c>
      <c r="X140" s="293" t="str">
        <f t="shared" ca="1" si="31"/>
        <v/>
      </c>
      <c r="Y140" s="284" t="str">
        <f t="shared" ca="1" si="31"/>
        <v/>
      </c>
      <c r="Z140" s="96" t="str">
        <f t="shared" ca="1" si="31"/>
        <v/>
      </c>
      <c r="AA140" s="96" t="str">
        <f t="shared" ca="1" si="31"/>
        <v/>
      </c>
      <c r="AB140" s="386" t="str">
        <f t="shared" ca="1" si="31"/>
        <v/>
      </c>
      <c r="AC140" s="293" t="str">
        <f t="shared" ca="1" si="31"/>
        <v/>
      </c>
      <c r="AD140" s="284" t="str">
        <f t="shared" ca="1" si="33"/>
        <v/>
      </c>
      <c r="AE140" s="293" t="str">
        <f t="shared" ca="1" si="33"/>
        <v/>
      </c>
      <c r="AF140" s="284" t="str">
        <f t="shared" ca="1" si="33"/>
        <v/>
      </c>
      <c r="AG140" s="293" t="str">
        <f t="shared" ca="1" si="33"/>
        <v/>
      </c>
      <c r="AH140" s="96"/>
      <c r="AI140" s="96" t="str">
        <f t="shared" ca="1" si="19"/>
        <v/>
      </c>
      <c r="AK140" s="96">
        <f t="shared" ca="1" si="20"/>
        <v>0</v>
      </c>
      <c r="AL140" s="12">
        <f t="shared" ca="1" si="21"/>
        <v>0</v>
      </c>
      <c r="AM140" s="12">
        <f t="shared" ca="1" si="22"/>
        <v>0</v>
      </c>
      <c r="AN140" s="12">
        <f t="shared" ca="1" si="23"/>
        <v>0</v>
      </c>
      <c r="AO140" s="12">
        <f t="shared" ca="1" si="24"/>
        <v>0</v>
      </c>
      <c r="AP140" s="12" t="str">
        <f t="shared" ca="1" si="25"/>
        <v/>
      </c>
      <c r="AQ140" s="12" t="str">
        <f t="shared" ca="1" si="26"/>
        <v/>
      </c>
      <c r="AR140" s="12" t="str">
        <f t="shared" ca="1" si="27"/>
        <v/>
      </c>
      <c r="AS140" s="12" t="str">
        <f t="shared" ca="1" si="28"/>
        <v/>
      </c>
    </row>
    <row r="141" spans="1:45">
      <c r="A141">
        <f t="shared" si="32"/>
        <v>138</v>
      </c>
      <c r="B141" t="str">
        <f t="shared" ca="1" si="10"/>
        <v xml:space="preserve"> </v>
      </c>
      <c r="C141" t="b">
        <f t="shared" ca="1" si="11"/>
        <v>0</v>
      </c>
      <c r="D141" s="284" t="str">
        <f t="shared" ca="1" si="30"/>
        <v/>
      </c>
      <c r="E141" s="96" t="str">
        <f t="shared" ca="1" si="12"/>
        <v/>
      </c>
      <c r="F141" s="96" t="str">
        <f t="shared" ca="1" si="13"/>
        <v/>
      </c>
      <c r="G141" s="293" t="str">
        <f t="shared" ca="1" si="14"/>
        <v/>
      </c>
      <c r="H141" s="284" t="str">
        <f t="shared" ca="1" si="14"/>
        <v/>
      </c>
      <c r="I141" s="96" t="str">
        <f t="shared" ca="1" si="14"/>
        <v/>
      </c>
      <c r="J141" s="96" t="str">
        <f t="shared" ca="1" si="15"/>
        <v/>
      </c>
      <c r="K141" s="96" t="str">
        <f t="shared" ca="1" si="30"/>
        <v/>
      </c>
      <c r="L141" s="96" t="str">
        <f t="shared" ca="1" si="30"/>
        <v/>
      </c>
      <c r="M141" s="294" t="str">
        <f t="shared" ca="1" si="30"/>
        <v/>
      </c>
      <c r="N141" s="295" t="str">
        <f t="shared" ca="1" si="16"/>
        <v/>
      </c>
      <c r="O141" s="96" t="str">
        <f t="shared" ca="1" si="16"/>
        <v/>
      </c>
      <c r="P141" s="96" t="str">
        <f t="shared" ca="1" si="17"/>
        <v/>
      </c>
      <c r="Q141" s="96" t="str">
        <f t="shared" ca="1" si="30"/>
        <v/>
      </c>
      <c r="R141" s="293" t="str">
        <f t="shared" ca="1" si="30"/>
        <v/>
      </c>
      <c r="S141" s="284" t="str">
        <f t="shared" ca="1" si="31"/>
        <v/>
      </c>
      <c r="T141" s="96" t="str">
        <f t="shared" ca="1" si="31"/>
        <v/>
      </c>
      <c r="U141" s="96" t="str">
        <f t="shared" ca="1" si="18"/>
        <v/>
      </c>
      <c r="V141" s="96" t="str">
        <f t="shared" ca="1" si="31"/>
        <v/>
      </c>
      <c r="W141" s="96" t="str">
        <f t="shared" ca="1" si="31"/>
        <v/>
      </c>
      <c r="X141" s="293" t="str">
        <f t="shared" ca="1" si="31"/>
        <v/>
      </c>
      <c r="Y141" s="284" t="str">
        <f t="shared" ca="1" si="31"/>
        <v/>
      </c>
      <c r="Z141" s="96" t="str">
        <f t="shared" ca="1" si="31"/>
        <v/>
      </c>
      <c r="AA141" s="96" t="str">
        <f t="shared" ca="1" si="31"/>
        <v/>
      </c>
      <c r="AB141" s="386" t="str">
        <f t="shared" ca="1" si="31"/>
        <v/>
      </c>
      <c r="AC141" s="293" t="str">
        <f t="shared" ca="1" si="31"/>
        <v/>
      </c>
      <c r="AD141" s="284" t="str">
        <f t="shared" ca="1" si="33"/>
        <v/>
      </c>
      <c r="AE141" s="293" t="str">
        <f t="shared" ca="1" si="33"/>
        <v/>
      </c>
      <c r="AF141" s="284" t="str">
        <f t="shared" ca="1" si="33"/>
        <v/>
      </c>
      <c r="AG141" s="293" t="str">
        <f t="shared" ca="1" si="33"/>
        <v/>
      </c>
      <c r="AH141" s="96"/>
      <c r="AI141" s="96" t="str">
        <f t="shared" ca="1" si="19"/>
        <v/>
      </c>
      <c r="AK141" s="96">
        <f t="shared" ca="1" si="20"/>
        <v>0</v>
      </c>
      <c r="AL141" s="12">
        <f t="shared" ca="1" si="21"/>
        <v>0</v>
      </c>
      <c r="AM141" s="12">
        <f t="shared" ca="1" si="22"/>
        <v>0</v>
      </c>
      <c r="AN141" s="12">
        <f t="shared" ca="1" si="23"/>
        <v>0</v>
      </c>
      <c r="AO141" s="12">
        <f t="shared" ca="1" si="24"/>
        <v>0</v>
      </c>
      <c r="AP141" s="12" t="str">
        <f t="shared" ca="1" si="25"/>
        <v/>
      </c>
      <c r="AQ141" s="12" t="str">
        <f t="shared" ca="1" si="26"/>
        <v/>
      </c>
      <c r="AR141" s="12" t="str">
        <f t="shared" ca="1" si="27"/>
        <v/>
      </c>
      <c r="AS141" s="12" t="str">
        <f t="shared" ca="1" si="28"/>
        <v/>
      </c>
    </row>
    <row r="142" spans="1:45">
      <c r="A142">
        <f t="shared" si="32"/>
        <v>143</v>
      </c>
      <c r="B142" t="str">
        <f t="shared" ca="1" si="10"/>
        <v xml:space="preserve"> </v>
      </c>
      <c r="C142" t="b">
        <f t="shared" ca="1" si="11"/>
        <v>0</v>
      </c>
      <c r="D142" s="284" t="str">
        <f t="shared" ca="1" si="30"/>
        <v/>
      </c>
      <c r="E142" s="96" t="str">
        <f t="shared" ca="1" si="12"/>
        <v/>
      </c>
      <c r="F142" s="96" t="str">
        <f t="shared" ca="1" si="13"/>
        <v/>
      </c>
      <c r="G142" s="293" t="str">
        <f t="shared" ca="1" si="14"/>
        <v/>
      </c>
      <c r="H142" s="284" t="str">
        <f t="shared" ca="1" si="14"/>
        <v/>
      </c>
      <c r="I142" s="96" t="str">
        <f t="shared" ca="1" si="14"/>
        <v/>
      </c>
      <c r="J142" s="96" t="str">
        <f t="shared" ca="1" si="15"/>
        <v/>
      </c>
      <c r="K142" s="96" t="str">
        <f t="shared" ca="1" si="30"/>
        <v/>
      </c>
      <c r="L142" s="96" t="str">
        <f t="shared" ca="1" si="30"/>
        <v/>
      </c>
      <c r="M142" s="294" t="str">
        <f t="shared" ca="1" si="30"/>
        <v/>
      </c>
      <c r="N142" s="295" t="str">
        <f t="shared" ca="1" si="16"/>
        <v/>
      </c>
      <c r="O142" s="96" t="str">
        <f t="shared" ca="1" si="16"/>
        <v/>
      </c>
      <c r="P142" s="96" t="str">
        <f t="shared" ca="1" si="17"/>
        <v/>
      </c>
      <c r="Q142" s="96" t="str">
        <f t="shared" ca="1" si="30"/>
        <v/>
      </c>
      <c r="R142" s="293" t="str">
        <f t="shared" ca="1" si="30"/>
        <v/>
      </c>
      <c r="S142" s="284" t="str">
        <f t="shared" ca="1" si="31"/>
        <v/>
      </c>
      <c r="T142" s="96" t="str">
        <f t="shared" ca="1" si="31"/>
        <v/>
      </c>
      <c r="U142" s="96" t="str">
        <f t="shared" ca="1" si="18"/>
        <v/>
      </c>
      <c r="V142" s="96" t="str">
        <f t="shared" ca="1" si="31"/>
        <v/>
      </c>
      <c r="W142" s="96" t="str">
        <f t="shared" ca="1" si="31"/>
        <v/>
      </c>
      <c r="X142" s="293" t="str">
        <f t="shared" ca="1" si="31"/>
        <v/>
      </c>
      <c r="Y142" s="284" t="str">
        <f t="shared" ca="1" si="31"/>
        <v/>
      </c>
      <c r="Z142" s="96" t="str">
        <f t="shared" ca="1" si="31"/>
        <v/>
      </c>
      <c r="AA142" s="96" t="str">
        <f t="shared" ca="1" si="31"/>
        <v/>
      </c>
      <c r="AB142" s="386" t="str">
        <f t="shared" ca="1" si="31"/>
        <v/>
      </c>
      <c r="AC142" s="293" t="str">
        <f t="shared" ca="1" si="31"/>
        <v/>
      </c>
      <c r="AD142" s="284" t="str">
        <f t="shared" ca="1" si="33"/>
        <v/>
      </c>
      <c r="AE142" s="293" t="str">
        <f t="shared" ca="1" si="33"/>
        <v/>
      </c>
      <c r="AF142" s="284" t="str">
        <f t="shared" ca="1" si="33"/>
        <v/>
      </c>
      <c r="AG142" s="293" t="str">
        <f t="shared" ca="1" si="33"/>
        <v/>
      </c>
      <c r="AH142" s="96"/>
      <c r="AI142" s="96" t="str">
        <f t="shared" ca="1" si="19"/>
        <v/>
      </c>
      <c r="AK142" s="96">
        <f t="shared" ca="1" si="20"/>
        <v>0</v>
      </c>
      <c r="AL142" s="12">
        <f t="shared" ca="1" si="21"/>
        <v>0</v>
      </c>
      <c r="AM142" s="12">
        <f t="shared" ca="1" si="22"/>
        <v>0</v>
      </c>
      <c r="AN142" s="12">
        <f t="shared" ca="1" si="23"/>
        <v>0</v>
      </c>
      <c r="AO142" s="12">
        <f t="shared" ca="1" si="24"/>
        <v>0</v>
      </c>
      <c r="AP142" s="12" t="str">
        <f t="shared" ca="1" si="25"/>
        <v/>
      </c>
      <c r="AQ142" s="12" t="str">
        <f t="shared" ca="1" si="26"/>
        <v/>
      </c>
      <c r="AR142" s="12" t="str">
        <f t="shared" ca="1" si="27"/>
        <v/>
      </c>
      <c r="AS142" s="12" t="str">
        <f t="shared" ca="1" si="28"/>
        <v/>
      </c>
    </row>
    <row r="143" spans="1:45">
      <c r="A143">
        <f t="shared" si="32"/>
        <v>148</v>
      </c>
      <c r="B143" t="str">
        <f t="shared" ca="1" si="10"/>
        <v xml:space="preserve"> </v>
      </c>
      <c r="C143" t="b">
        <f t="shared" ca="1" si="11"/>
        <v>0</v>
      </c>
      <c r="D143" s="284" t="str">
        <f t="shared" ca="1" si="30"/>
        <v/>
      </c>
      <c r="E143" s="96" t="str">
        <f t="shared" ca="1" si="12"/>
        <v/>
      </c>
      <c r="F143" s="96" t="str">
        <f t="shared" ca="1" si="13"/>
        <v/>
      </c>
      <c r="G143" s="293" t="str">
        <f t="shared" ca="1" si="14"/>
        <v/>
      </c>
      <c r="H143" s="284" t="str">
        <f t="shared" ca="1" si="14"/>
        <v/>
      </c>
      <c r="I143" s="96" t="str">
        <f t="shared" ca="1" si="14"/>
        <v/>
      </c>
      <c r="J143" s="96" t="str">
        <f t="shared" ca="1" si="15"/>
        <v/>
      </c>
      <c r="K143" s="96" t="str">
        <f t="shared" ca="1" si="30"/>
        <v/>
      </c>
      <c r="L143" s="96" t="str">
        <f t="shared" ca="1" si="30"/>
        <v/>
      </c>
      <c r="M143" s="294" t="str">
        <f t="shared" ca="1" si="30"/>
        <v/>
      </c>
      <c r="N143" s="295" t="str">
        <f t="shared" ca="1" si="16"/>
        <v/>
      </c>
      <c r="O143" s="96" t="str">
        <f t="shared" ca="1" si="16"/>
        <v/>
      </c>
      <c r="P143" s="96" t="str">
        <f t="shared" ca="1" si="17"/>
        <v/>
      </c>
      <c r="Q143" s="96" t="str">
        <f t="shared" ca="1" si="30"/>
        <v/>
      </c>
      <c r="R143" s="293" t="str">
        <f t="shared" ca="1" si="30"/>
        <v/>
      </c>
      <c r="S143" s="284" t="str">
        <f t="shared" ca="1" si="31"/>
        <v/>
      </c>
      <c r="T143" s="96" t="str">
        <f t="shared" ca="1" si="31"/>
        <v/>
      </c>
      <c r="U143" s="96" t="str">
        <f t="shared" ca="1" si="18"/>
        <v/>
      </c>
      <c r="V143" s="96" t="str">
        <f t="shared" ca="1" si="31"/>
        <v/>
      </c>
      <c r="W143" s="96" t="str">
        <f t="shared" ca="1" si="31"/>
        <v/>
      </c>
      <c r="X143" s="293" t="str">
        <f t="shared" ca="1" si="31"/>
        <v/>
      </c>
      <c r="Y143" s="284" t="str">
        <f t="shared" ca="1" si="31"/>
        <v/>
      </c>
      <c r="Z143" s="96" t="str">
        <f t="shared" ca="1" si="31"/>
        <v/>
      </c>
      <c r="AA143" s="96" t="str">
        <f t="shared" ca="1" si="31"/>
        <v/>
      </c>
      <c r="AB143" s="386" t="str">
        <f t="shared" ca="1" si="31"/>
        <v/>
      </c>
      <c r="AC143" s="293" t="str">
        <f t="shared" ca="1" si="31"/>
        <v/>
      </c>
      <c r="AD143" s="284" t="str">
        <f t="shared" ca="1" si="33"/>
        <v/>
      </c>
      <c r="AE143" s="293" t="str">
        <f t="shared" ca="1" si="33"/>
        <v/>
      </c>
      <c r="AF143" s="284" t="str">
        <f t="shared" ca="1" si="33"/>
        <v/>
      </c>
      <c r="AG143" s="293" t="str">
        <f t="shared" ca="1" si="33"/>
        <v/>
      </c>
      <c r="AH143" s="96"/>
      <c r="AI143" s="96" t="str">
        <f t="shared" ca="1" si="19"/>
        <v/>
      </c>
      <c r="AK143" s="96">
        <f t="shared" ca="1" si="20"/>
        <v>0</v>
      </c>
      <c r="AL143" s="12">
        <f t="shared" ca="1" si="21"/>
        <v>0</v>
      </c>
      <c r="AM143" s="12">
        <f t="shared" ca="1" si="22"/>
        <v>0</v>
      </c>
      <c r="AN143" s="12">
        <f t="shared" ca="1" si="23"/>
        <v>0</v>
      </c>
      <c r="AO143" s="12">
        <f t="shared" ca="1" si="24"/>
        <v>0</v>
      </c>
      <c r="AP143" s="12" t="str">
        <f t="shared" ca="1" si="25"/>
        <v/>
      </c>
      <c r="AQ143" s="12" t="str">
        <f t="shared" ca="1" si="26"/>
        <v/>
      </c>
      <c r="AR143" s="12" t="str">
        <f t="shared" ca="1" si="27"/>
        <v/>
      </c>
      <c r="AS143" s="12" t="str">
        <f t="shared" ca="1" si="28"/>
        <v/>
      </c>
    </row>
    <row r="144" spans="1:45">
      <c r="A144">
        <f t="shared" si="32"/>
        <v>153</v>
      </c>
      <c r="B144" t="str">
        <f t="shared" ca="1" si="10"/>
        <v xml:space="preserve"> </v>
      </c>
      <c r="C144" t="b">
        <f t="shared" ca="1" si="11"/>
        <v>0</v>
      </c>
      <c r="D144" s="284" t="str">
        <f t="shared" ca="1" si="30"/>
        <v/>
      </c>
      <c r="E144" s="96" t="str">
        <f t="shared" ca="1" si="12"/>
        <v/>
      </c>
      <c r="F144" s="96" t="str">
        <f t="shared" ca="1" si="13"/>
        <v/>
      </c>
      <c r="G144" s="293" t="str">
        <f t="shared" ca="1" si="14"/>
        <v/>
      </c>
      <c r="H144" s="284" t="str">
        <f t="shared" ca="1" si="14"/>
        <v/>
      </c>
      <c r="I144" s="96" t="str">
        <f t="shared" ca="1" si="14"/>
        <v/>
      </c>
      <c r="J144" s="96" t="str">
        <f t="shared" ca="1" si="15"/>
        <v/>
      </c>
      <c r="K144" s="96" t="str">
        <f t="shared" ca="1" si="30"/>
        <v/>
      </c>
      <c r="L144" s="96" t="str">
        <f t="shared" ca="1" si="30"/>
        <v/>
      </c>
      <c r="M144" s="294" t="str">
        <f t="shared" ca="1" si="30"/>
        <v/>
      </c>
      <c r="N144" s="295" t="str">
        <f t="shared" ca="1" si="16"/>
        <v/>
      </c>
      <c r="O144" s="96" t="str">
        <f t="shared" ca="1" si="16"/>
        <v/>
      </c>
      <c r="P144" s="96" t="str">
        <f t="shared" ca="1" si="17"/>
        <v/>
      </c>
      <c r="Q144" s="96" t="str">
        <f t="shared" ca="1" si="30"/>
        <v/>
      </c>
      <c r="R144" s="293" t="str">
        <f t="shared" ca="1" si="30"/>
        <v/>
      </c>
      <c r="S144" s="284" t="str">
        <f t="shared" ca="1" si="31"/>
        <v/>
      </c>
      <c r="T144" s="96" t="str">
        <f t="shared" ca="1" si="31"/>
        <v/>
      </c>
      <c r="U144" s="96" t="str">
        <f t="shared" ca="1" si="18"/>
        <v/>
      </c>
      <c r="V144" s="96" t="str">
        <f t="shared" ca="1" si="31"/>
        <v/>
      </c>
      <c r="W144" s="96" t="str">
        <f t="shared" ca="1" si="31"/>
        <v/>
      </c>
      <c r="X144" s="293" t="str">
        <f t="shared" ca="1" si="31"/>
        <v/>
      </c>
      <c r="Y144" s="284" t="str">
        <f t="shared" ca="1" si="31"/>
        <v/>
      </c>
      <c r="Z144" s="96" t="str">
        <f t="shared" ca="1" si="31"/>
        <v/>
      </c>
      <c r="AA144" s="96" t="str">
        <f t="shared" ca="1" si="31"/>
        <v/>
      </c>
      <c r="AB144" s="386" t="str">
        <f t="shared" ca="1" si="31"/>
        <v/>
      </c>
      <c r="AC144" s="293" t="str">
        <f t="shared" ca="1" si="31"/>
        <v/>
      </c>
      <c r="AD144" s="284" t="str">
        <f t="shared" ca="1" si="33"/>
        <v/>
      </c>
      <c r="AE144" s="293" t="str">
        <f t="shared" ca="1" si="33"/>
        <v/>
      </c>
      <c r="AF144" s="284" t="str">
        <f t="shared" ca="1" si="33"/>
        <v/>
      </c>
      <c r="AG144" s="293" t="str">
        <f t="shared" ca="1" si="33"/>
        <v/>
      </c>
      <c r="AH144" s="96"/>
      <c r="AI144" s="96" t="str">
        <f t="shared" ca="1" si="19"/>
        <v/>
      </c>
      <c r="AK144" s="96">
        <f t="shared" ca="1" si="20"/>
        <v>0</v>
      </c>
      <c r="AL144" s="12">
        <f t="shared" ca="1" si="21"/>
        <v>0</v>
      </c>
      <c r="AM144" s="12">
        <f t="shared" ca="1" si="22"/>
        <v>0</v>
      </c>
      <c r="AN144" s="12">
        <f t="shared" ca="1" si="23"/>
        <v>0</v>
      </c>
      <c r="AO144" s="12">
        <f t="shared" ca="1" si="24"/>
        <v>0</v>
      </c>
      <c r="AP144" s="12" t="str">
        <f t="shared" ca="1" si="25"/>
        <v/>
      </c>
      <c r="AQ144" s="12" t="str">
        <f t="shared" ca="1" si="26"/>
        <v/>
      </c>
      <c r="AR144" s="12" t="str">
        <f t="shared" ca="1" si="27"/>
        <v/>
      </c>
      <c r="AS144" s="12" t="str">
        <f t="shared" ca="1" si="28"/>
        <v/>
      </c>
    </row>
    <row r="145" spans="1:45">
      <c r="A145">
        <f t="shared" si="32"/>
        <v>158</v>
      </c>
      <c r="B145" t="str">
        <f t="shared" ca="1" si="10"/>
        <v xml:space="preserve"> </v>
      </c>
      <c r="C145" t="b">
        <f t="shared" ca="1" si="11"/>
        <v>0</v>
      </c>
      <c r="D145" s="284" t="str">
        <f t="shared" ca="1" si="30"/>
        <v/>
      </c>
      <c r="E145" s="96" t="str">
        <f t="shared" ca="1" si="12"/>
        <v/>
      </c>
      <c r="F145" s="96" t="str">
        <f t="shared" ca="1" si="13"/>
        <v/>
      </c>
      <c r="G145" s="293" t="str">
        <f t="shared" ca="1" si="14"/>
        <v/>
      </c>
      <c r="H145" s="284" t="str">
        <f t="shared" ca="1" si="14"/>
        <v/>
      </c>
      <c r="I145" s="96" t="str">
        <f t="shared" ca="1" si="14"/>
        <v/>
      </c>
      <c r="J145" s="96" t="str">
        <f t="shared" ca="1" si="15"/>
        <v/>
      </c>
      <c r="K145" s="96" t="str">
        <f t="shared" ca="1" si="30"/>
        <v/>
      </c>
      <c r="L145" s="96" t="str">
        <f t="shared" ca="1" si="30"/>
        <v/>
      </c>
      <c r="M145" s="294" t="str">
        <f t="shared" ca="1" si="30"/>
        <v/>
      </c>
      <c r="N145" s="295" t="str">
        <f t="shared" ca="1" si="16"/>
        <v/>
      </c>
      <c r="O145" s="96" t="str">
        <f t="shared" ca="1" si="16"/>
        <v/>
      </c>
      <c r="P145" s="96" t="str">
        <f t="shared" ca="1" si="17"/>
        <v/>
      </c>
      <c r="Q145" s="96" t="str">
        <f t="shared" ca="1" si="30"/>
        <v/>
      </c>
      <c r="R145" s="293" t="str">
        <f t="shared" ca="1" si="30"/>
        <v/>
      </c>
      <c r="S145" s="284" t="str">
        <f t="shared" ca="1" si="31"/>
        <v/>
      </c>
      <c r="T145" s="96" t="str">
        <f t="shared" ca="1" si="31"/>
        <v/>
      </c>
      <c r="U145" s="96" t="str">
        <f t="shared" ca="1" si="18"/>
        <v/>
      </c>
      <c r="V145" s="96" t="str">
        <f t="shared" ca="1" si="31"/>
        <v/>
      </c>
      <c r="W145" s="96" t="str">
        <f t="shared" ca="1" si="31"/>
        <v/>
      </c>
      <c r="X145" s="293" t="str">
        <f t="shared" ca="1" si="31"/>
        <v/>
      </c>
      <c r="Y145" s="284" t="str">
        <f t="shared" ca="1" si="31"/>
        <v/>
      </c>
      <c r="Z145" s="96" t="str">
        <f t="shared" ca="1" si="31"/>
        <v/>
      </c>
      <c r="AA145" s="96" t="str">
        <f t="shared" ca="1" si="31"/>
        <v/>
      </c>
      <c r="AB145" s="386" t="str">
        <f t="shared" ca="1" si="31"/>
        <v/>
      </c>
      <c r="AC145" s="293" t="str">
        <f t="shared" ca="1" si="31"/>
        <v/>
      </c>
      <c r="AD145" s="284" t="str">
        <f t="shared" ca="1" si="33"/>
        <v/>
      </c>
      <c r="AE145" s="293" t="str">
        <f t="shared" ca="1" si="33"/>
        <v/>
      </c>
      <c r="AF145" s="284" t="str">
        <f t="shared" ca="1" si="33"/>
        <v/>
      </c>
      <c r="AG145" s="293" t="str">
        <f t="shared" ca="1" si="33"/>
        <v/>
      </c>
      <c r="AH145" s="96"/>
      <c r="AI145" s="96" t="str">
        <f t="shared" ca="1" si="19"/>
        <v/>
      </c>
      <c r="AK145" s="96">
        <f t="shared" ca="1" si="20"/>
        <v>0</v>
      </c>
      <c r="AL145" s="12">
        <f t="shared" ca="1" si="21"/>
        <v>0</v>
      </c>
      <c r="AM145" s="12">
        <f t="shared" ca="1" si="22"/>
        <v>0</v>
      </c>
      <c r="AN145" s="12">
        <f t="shared" ca="1" si="23"/>
        <v>0</v>
      </c>
      <c r="AO145" s="12">
        <f t="shared" ca="1" si="24"/>
        <v>0</v>
      </c>
      <c r="AP145" s="12" t="str">
        <f t="shared" ca="1" si="25"/>
        <v/>
      </c>
      <c r="AQ145" s="12" t="str">
        <f t="shared" ca="1" si="26"/>
        <v/>
      </c>
      <c r="AR145" s="12" t="str">
        <f t="shared" ca="1" si="27"/>
        <v/>
      </c>
      <c r="AS145" s="12" t="str">
        <f t="shared" ca="1" si="28"/>
        <v/>
      </c>
    </row>
    <row r="146" spans="1:45">
      <c r="A146">
        <f t="shared" si="32"/>
        <v>163</v>
      </c>
      <c r="B146" t="str">
        <f t="shared" ca="1" si="10"/>
        <v xml:space="preserve"> </v>
      </c>
      <c r="C146" t="b">
        <f t="shared" ca="1" si="11"/>
        <v>0</v>
      </c>
      <c r="D146" s="284" t="str">
        <f t="shared" ca="1" si="30"/>
        <v/>
      </c>
      <c r="E146" s="96" t="str">
        <f t="shared" ca="1" si="12"/>
        <v/>
      </c>
      <c r="F146" s="96" t="str">
        <f t="shared" ca="1" si="13"/>
        <v/>
      </c>
      <c r="G146" s="293" t="str">
        <f t="shared" ca="1" si="14"/>
        <v/>
      </c>
      <c r="H146" s="284" t="str">
        <f t="shared" ca="1" si="14"/>
        <v/>
      </c>
      <c r="I146" s="96" t="str">
        <f t="shared" ca="1" si="14"/>
        <v/>
      </c>
      <c r="J146" s="96" t="str">
        <f t="shared" ca="1" si="15"/>
        <v/>
      </c>
      <c r="K146" s="96" t="str">
        <f t="shared" ca="1" si="30"/>
        <v/>
      </c>
      <c r="L146" s="96" t="str">
        <f t="shared" ca="1" si="30"/>
        <v/>
      </c>
      <c r="M146" s="294" t="str">
        <f t="shared" ca="1" si="30"/>
        <v/>
      </c>
      <c r="N146" s="295" t="str">
        <f t="shared" ca="1" si="16"/>
        <v/>
      </c>
      <c r="O146" s="96" t="str">
        <f t="shared" ca="1" si="16"/>
        <v/>
      </c>
      <c r="P146" s="96" t="str">
        <f t="shared" ca="1" si="17"/>
        <v/>
      </c>
      <c r="Q146" s="96" t="str">
        <f t="shared" ca="1" si="30"/>
        <v/>
      </c>
      <c r="R146" s="293" t="str">
        <f t="shared" ca="1" si="30"/>
        <v/>
      </c>
      <c r="S146" s="284" t="str">
        <f t="shared" ca="1" si="31"/>
        <v/>
      </c>
      <c r="T146" s="96" t="str">
        <f t="shared" ca="1" si="31"/>
        <v/>
      </c>
      <c r="U146" s="96" t="str">
        <f t="shared" ca="1" si="18"/>
        <v/>
      </c>
      <c r="V146" s="96" t="str">
        <f t="shared" ca="1" si="31"/>
        <v/>
      </c>
      <c r="W146" s="96" t="str">
        <f t="shared" ca="1" si="31"/>
        <v/>
      </c>
      <c r="X146" s="293" t="str">
        <f t="shared" ca="1" si="31"/>
        <v/>
      </c>
      <c r="Y146" s="284" t="str">
        <f t="shared" ca="1" si="31"/>
        <v/>
      </c>
      <c r="Z146" s="96" t="str">
        <f t="shared" ca="1" si="31"/>
        <v/>
      </c>
      <c r="AA146" s="96" t="str">
        <f t="shared" ca="1" si="31"/>
        <v/>
      </c>
      <c r="AB146" s="386" t="str">
        <f t="shared" ca="1" si="31"/>
        <v/>
      </c>
      <c r="AC146" s="293" t="str">
        <f t="shared" ca="1" si="31"/>
        <v/>
      </c>
      <c r="AD146" s="284" t="str">
        <f t="shared" ca="1" si="33"/>
        <v/>
      </c>
      <c r="AE146" s="293" t="str">
        <f t="shared" ca="1" si="33"/>
        <v/>
      </c>
      <c r="AF146" s="284" t="str">
        <f t="shared" ca="1" si="33"/>
        <v/>
      </c>
      <c r="AG146" s="293" t="str">
        <f t="shared" ca="1" si="33"/>
        <v/>
      </c>
      <c r="AH146" s="96"/>
      <c r="AI146" s="96" t="str">
        <f t="shared" ca="1" si="19"/>
        <v/>
      </c>
      <c r="AK146" s="96">
        <f t="shared" ca="1" si="20"/>
        <v>0</v>
      </c>
      <c r="AL146" s="12">
        <f t="shared" ca="1" si="21"/>
        <v>0</v>
      </c>
      <c r="AM146" s="12">
        <f t="shared" ca="1" si="22"/>
        <v>0</v>
      </c>
      <c r="AN146" s="12">
        <f t="shared" ca="1" si="23"/>
        <v>0</v>
      </c>
      <c r="AO146" s="12">
        <f t="shared" ca="1" si="24"/>
        <v>0</v>
      </c>
      <c r="AP146" s="12" t="str">
        <f t="shared" ca="1" si="25"/>
        <v/>
      </c>
      <c r="AQ146" s="12" t="str">
        <f t="shared" ca="1" si="26"/>
        <v/>
      </c>
      <c r="AR146" s="12" t="str">
        <f t="shared" ca="1" si="27"/>
        <v/>
      </c>
      <c r="AS146" s="12" t="str">
        <f t="shared" ca="1" si="28"/>
        <v/>
      </c>
    </row>
    <row r="147" spans="1:45">
      <c r="A147" s="690">
        <f>A146+8</f>
        <v>171</v>
      </c>
      <c r="B147" t="str">
        <f t="shared" ca="1" si="10"/>
        <v xml:space="preserve"> </v>
      </c>
      <c r="C147" t="b">
        <f t="shared" ca="1" si="11"/>
        <v>0</v>
      </c>
      <c r="D147" s="284" t="str">
        <f t="shared" ca="1" si="30"/>
        <v/>
      </c>
      <c r="E147" s="96" t="str">
        <f t="shared" ca="1" si="12"/>
        <v/>
      </c>
      <c r="F147" s="96" t="str">
        <f t="shared" ca="1" si="13"/>
        <v/>
      </c>
      <c r="G147" s="293" t="str">
        <f t="shared" ca="1" si="14"/>
        <v/>
      </c>
      <c r="H147" s="284" t="str">
        <f t="shared" ca="1" si="14"/>
        <v/>
      </c>
      <c r="I147" s="96" t="str">
        <f t="shared" ca="1" si="14"/>
        <v/>
      </c>
      <c r="J147" s="96" t="str">
        <f t="shared" ca="1" si="15"/>
        <v/>
      </c>
      <c r="K147" s="96" t="str">
        <f t="shared" ca="1" si="30"/>
        <v/>
      </c>
      <c r="L147" s="96" t="str">
        <f t="shared" ca="1" si="30"/>
        <v/>
      </c>
      <c r="M147" s="294" t="str">
        <f t="shared" ca="1" si="30"/>
        <v/>
      </c>
      <c r="N147" s="295" t="str">
        <f t="shared" ca="1" si="16"/>
        <v/>
      </c>
      <c r="O147" s="96" t="str">
        <f t="shared" ca="1" si="16"/>
        <v/>
      </c>
      <c r="P147" s="96" t="str">
        <f t="shared" ca="1" si="17"/>
        <v/>
      </c>
      <c r="Q147" s="96" t="str">
        <f t="shared" ca="1" si="30"/>
        <v/>
      </c>
      <c r="R147" s="293" t="str">
        <f t="shared" ca="1" si="30"/>
        <v/>
      </c>
      <c r="S147" s="284" t="str">
        <f t="shared" ca="1" si="31"/>
        <v/>
      </c>
      <c r="T147" s="96" t="str">
        <f t="shared" ca="1" si="31"/>
        <v/>
      </c>
      <c r="U147" s="96" t="str">
        <f t="shared" ca="1" si="18"/>
        <v/>
      </c>
      <c r="V147" s="96" t="str">
        <f t="shared" ca="1" si="31"/>
        <v/>
      </c>
      <c r="W147" s="96" t="str">
        <f t="shared" ca="1" si="31"/>
        <v/>
      </c>
      <c r="X147" s="293" t="str">
        <f t="shared" ca="1" si="31"/>
        <v/>
      </c>
      <c r="Y147" s="284" t="str">
        <f t="shared" ca="1" si="31"/>
        <v/>
      </c>
      <c r="Z147" s="96" t="str">
        <f t="shared" ca="1" si="31"/>
        <v/>
      </c>
      <c r="AA147" s="96" t="str">
        <f t="shared" ca="1" si="31"/>
        <v/>
      </c>
      <c r="AB147" s="386" t="str">
        <f t="shared" ca="1" si="31"/>
        <v/>
      </c>
      <c r="AC147" s="293" t="str">
        <f t="shared" ca="1" si="31"/>
        <v/>
      </c>
      <c r="AD147" s="284" t="str">
        <f t="shared" ca="1" si="33"/>
        <v/>
      </c>
      <c r="AE147" s="293" t="str">
        <f t="shared" ca="1" si="33"/>
        <v/>
      </c>
      <c r="AF147" s="284" t="str">
        <f t="shared" ca="1" si="33"/>
        <v/>
      </c>
      <c r="AG147" s="293" t="str">
        <f t="shared" ca="1" si="33"/>
        <v/>
      </c>
      <c r="AH147" s="96"/>
      <c r="AI147" s="96" t="str">
        <f t="shared" ca="1" si="19"/>
        <v/>
      </c>
      <c r="AK147" s="96">
        <f t="shared" ca="1" si="20"/>
        <v>0</v>
      </c>
      <c r="AL147" s="12">
        <f t="shared" ca="1" si="21"/>
        <v>0</v>
      </c>
      <c r="AM147" s="12">
        <f t="shared" ca="1" si="22"/>
        <v>0</v>
      </c>
      <c r="AN147" s="12">
        <f t="shared" ca="1" si="23"/>
        <v>0</v>
      </c>
      <c r="AO147" s="12">
        <f t="shared" ca="1" si="24"/>
        <v>0</v>
      </c>
      <c r="AP147" s="12" t="str">
        <f t="shared" ca="1" si="25"/>
        <v/>
      </c>
      <c r="AQ147" s="12" t="str">
        <f t="shared" ca="1" si="26"/>
        <v/>
      </c>
      <c r="AR147" s="12" t="str">
        <f t="shared" ca="1" si="27"/>
        <v/>
      </c>
      <c r="AS147" s="12" t="str">
        <f t="shared" ca="1" si="28"/>
        <v/>
      </c>
    </row>
    <row r="148" spans="1:45">
      <c r="A148">
        <f t="shared" si="32"/>
        <v>176</v>
      </c>
      <c r="B148" t="str">
        <f t="shared" ca="1" si="10"/>
        <v xml:space="preserve"> </v>
      </c>
      <c r="C148" t="b">
        <f t="shared" ca="1" si="11"/>
        <v>0</v>
      </c>
      <c r="D148" s="284" t="str">
        <f t="shared" ca="1" si="30"/>
        <v/>
      </c>
      <c r="E148" s="96" t="str">
        <f t="shared" ca="1" si="12"/>
        <v/>
      </c>
      <c r="F148" s="96" t="str">
        <f t="shared" ca="1" si="13"/>
        <v/>
      </c>
      <c r="G148" s="293" t="str">
        <f t="shared" ca="1" si="14"/>
        <v/>
      </c>
      <c r="H148" s="284" t="str">
        <f t="shared" ca="1" si="14"/>
        <v/>
      </c>
      <c r="I148" s="96" t="str">
        <f t="shared" ca="1" si="14"/>
        <v/>
      </c>
      <c r="J148" s="96" t="str">
        <f t="shared" ca="1" si="15"/>
        <v/>
      </c>
      <c r="K148" s="96" t="str">
        <f t="shared" ca="1" si="30"/>
        <v/>
      </c>
      <c r="L148" s="96" t="str">
        <f t="shared" ca="1" si="30"/>
        <v/>
      </c>
      <c r="M148" s="294" t="str">
        <f t="shared" ca="1" si="30"/>
        <v/>
      </c>
      <c r="N148" s="295" t="str">
        <f t="shared" ca="1" si="16"/>
        <v/>
      </c>
      <c r="O148" s="96" t="str">
        <f t="shared" ca="1" si="16"/>
        <v/>
      </c>
      <c r="P148" s="96" t="str">
        <f t="shared" ca="1" si="17"/>
        <v/>
      </c>
      <c r="Q148" s="96" t="str">
        <f t="shared" ca="1" si="30"/>
        <v/>
      </c>
      <c r="R148" s="293" t="str">
        <f t="shared" ca="1" si="30"/>
        <v/>
      </c>
      <c r="S148" s="284" t="str">
        <f t="shared" ca="1" si="31"/>
        <v/>
      </c>
      <c r="T148" s="96" t="str">
        <f t="shared" ca="1" si="31"/>
        <v/>
      </c>
      <c r="U148" s="96" t="str">
        <f t="shared" ca="1" si="18"/>
        <v/>
      </c>
      <c r="V148" s="96" t="str">
        <f t="shared" ca="1" si="31"/>
        <v/>
      </c>
      <c r="W148" s="96" t="str">
        <f t="shared" ca="1" si="31"/>
        <v/>
      </c>
      <c r="X148" s="293" t="str">
        <f t="shared" ca="1" si="31"/>
        <v/>
      </c>
      <c r="Y148" s="284" t="str">
        <f t="shared" ca="1" si="31"/>
        <v/>
      </c>
      <c r="Z148" s="96" t="str">
        <f t="shared" ca="1" si="31"/>
        <v/>
      </c>
      <c r="AA148" s="96" t="str">
        <f t="shared" ca="1" si="31"/>
        <v/>
      </c>
      <c r="AB148" s="386" t="str">
        <f t="shared" ca="1" si="31"/>
        <v/>
      </c>
      <c r="AC148" s="293" t="str">
        <f t="shared" ca="1" si="31"/>
        <v/>
      </c>
      <c r="AD148" s="284" t="str">
        <f t="shared" ca="1" si="33"/>
        <v/>
      </c>
      <c r="AE148" s="293" t="str">
        <f t="shared" ca="1" si="33"/>
        <v/>
      </c>
      <c r="AF148" s="284" t="str">
        <f t="shared" ca="1" si="33"/>
        <v/>
      </c>
      <c r="AG148" s="293" t="str">
        <f t="shared" ca="1" si="33"/>
        <v/>
      </c>
      <c r="AH148" s="96"/>
      <c r="AI148" s="96" t="str">
        <f t="shared" ca="1" si="19"/>
        <v/>
      </c>
      <c r="AK148" s="96">
        <f t="shared" ca="1" si="20"/>
        <v>0</v>
      </c>
      <c r="AL148" s="12">
        <f t="shared" ca="1" si="21"/>
        <v>0</v>
      </c>
      <c r="AM148" s="12">
        <f t="shared" ca="1" si="22"/>
        <v>0</v>
      </c>
      <c r="AN148" s="12">
        <f t="shared" ca="1" si="23"/>
        <v>0</v>
      </c>
      <c r="AO148" s="12">
        <f t="shared" ca="1" si="24"/>
        <v>0</v>
      </c>
      <c r="AP148" s="12" t="str">
        <f t="shared" ca="1" si="25"/>
        <v/>
      </c>
      <c r="AQ148" s="12" t="str">
        <f t="shared" ca="1" si="26"/>
        <v/>
      </c>
      <c r="AR148" s="12" t="str">
        <f t="shared" ca="1" si="27"/>
        <v/>
      </c>
      <c r="AS148" s="12" t="str">
        <f t="shared" ca="1" si="28"/>
        <v/>
      </c>
    </row>
    <row r="149" spans="1:45">
      <c r="A149">
        <f t="shared" si="32"/>
        <v>181</v>
      </c>
      <c r="B149" t="str">
        <f t="shared" ca="1" si="10"/>
        <v xml:space="preserve"> </v>
      </c>
      <c r="C149" t="b">
        <f t="shared" ca="1" si="11"/>
        <v>0</v>
      </c>
      <c r="D149" s="284" t="str">
        <f t="shared" ca="1" si="30"/>
        <v/>
      </c>
      <c r="E149" s="96" t="str">
        <f t="shared" ca="1" si="12"/>
        <v/>
      </c>
      <c r="F149" s="96" t="str">
        <f t="shared" ca="1" si="13"/>
        <v/>
      </c>
      <c r="G149" s="293" t="str">
        <f t="shared" ca="1" si="14"/>
        <v/>
      </c>
      <c r="H149" s="284" t="str">
        <f t="shared" ca="1" si="14"/>
        <v/>
      </c>
      <c r="I149" s="96" t="str">
        <f t="shared" ca="1" si="14"/>
        <v/>
      </c>
      <c r="J149" s="96" t="str">
        <f t="shared" ca="1" si="15"/>
        <v/>
      </c>
      <c r="K149" s="96" t="str">
        <f t="shared" ca="1" si="30"/>
        <v/>
      </c>
      <c r="L149" s="96" t="str">
        <f t="shared" ca="1" si="30"/>
        <v/>
      </c>
      <c r="M149" s="294" t="str">
        <f t="shared" ca="1" si="30"/>
        <v/>
      </c>
      <c r="N149" s="295" t="str">
        <f t="shared" ca="1" si="16"/>
        <v/>
      </c>
      <c r="O149" s="96" t="str">
        <f t="shared" ca="1" si="16"/>
        <v/>
      </c>
      <c r="P149" s="96" t="str">
        <f t="shared" ca="1" si="17"/>
        <v/>
      </c>
      <c r="Q149" s="96" t="str">
        <f t="shared" ca="1" si="30"/>
        <v/>
      </c>
      <c r="R149" s="293" t="str">
        <f t="shared" ca="1" si="30"/>
        <v/>
      </c>
      <c r="S149" s="284" t="str">
        <f t="shared" ca="1" si="31"/>
        <v/>
      </c>
      <c r="T149" s="96" t="str">
        <f t="shared" ca="1" si="31"/>
        <v/>
      </c>
      <c r="U149" s="96" t="str">
        <f t="shared" ca="1" si="18"/>
        <v/>
      </c>
      <c r="V149" s="96" t="str">
        <f t="shared" ca="1" si="31"/>
        <v/>
      </c>
      <c r="W149" s="96" t="str">
        <f t="shared" ca="1" si="31"/>
        <v/>
      </c>
      <c r="X149" s="293" t="str">
        <f t="shared" ca="1" si="31"/>
        <v/>
      </c>
      <c r="Y149" s="284" t="str">
        <f t="shared" ca="1" si="31"/>
        <v/>
      </c>
      <c r="Z149" s="96" t="str">
        <f t="shared" ca="1" si="31"/>
        <v/>
      </c>
      <c r="AA149" s="96" t="str">
        <f t="shared" ca="1" si="31"/>
        <v/>
      </c>
      <c r="AB149" s="386" t="str">
        <f t="shared" ca="1" si="31"/>
        <v/>
      </c>
      <c r="AC149" s="293" t="str">
        <f t="shared" ca="1" si="31"/>
        <v/>
      </c>
      <c r="AD149" s="284" t="str">
        <f t="shared" ca="1" si="33"/>
        <v/>
      </c>
      <c r="AE149" s="293" t="str">
        <f t="shared" ca="1" si="33"/>
        <v/>
      </c>
      <c r="AF149" s="284" t="str">
        <f t="shared" ca="1" si="33"/>
        <v/>
      </c>
      <c r="AG149" s="293" t="str">
        <f t="shared" ca="1" si="33"/>
        <v/>
      </c>
      <c r="AH149" s="96"/>
      <c r="AI149" s="96" t="str">
        <f t="shared" ca="1" si="19"/>
        <v/>
      </c>
      <c r="AK149" s="96">
        <f t="shared" ca="1" si="20"/>
        <v>0</v>
      </c>
      <c r="AL149" s="12">
        <f t="shared" ca="1" si="21"/>
        <v>0</v>
      </c>
      <c r="AM149" s="12">
        <f t="shared" ca="1" si="22"/>
        <v>0</v>
      </c>
      <c r="AN149" s="12">
        <f t="shared" ca="1" si="23"/>
        <v>0</v>
      </c>
      <c r="AO149" s="12">
        <f t="shared" ca="1" si="24"/>
        <v>0</v>
      </c>
      <c r="AP149" s="12" t="str">
        <f t="shared" ca="1" si="25"/>
        <v/>
      </c>
      <c r="AQ149" s="12" t="str">
        <f t="shared" ca="1" si="26"/>
        <v/>
      </c>
      <c r="AR149" s="12" t="str">
        <f t="shared" ca="1" si="27"/>
        <v/>
      </c>
      <c r="AS149" s="12" t="str">
        <f t="shared" ca="1" si="28"/>
        <v/>
      </c>
    </row>
    <row r="150" spans="1:45">
      <c r="A150">
        <f t="shared" si="32"/>
        <v>186</v>
      </c>
      <c r="B150" t="str">
        <f t="shared" ca="1" si="10"/>
        <v xml:space="preserve"> </v>
      </c>
      <c r="C150" t="b">
        <f t="shared" ca="1" si="11"/>
        <v>0</v>
      </c>
      <c r="D150" s="284" t="str">
        <f t="shared" ca="1" si="30"/>
        <v/>
      </c>
      <c r="E150" s="96" t="str">
        <f t="shared" ca="1" si="12"/>
        <v/>
      </c>
      <c r="F150" s="96" t="str">
        <f t="shared" ca="1" si="13"/>
        <v/>
      </c>
      <c r="G150" s="293" t="str">
        <f t="shared" ca="1" si="14"/>
        <v/>
      </c>
      <c r="H150" s="284" t="str">
        <f t="shared" ca="1" si="14"/>
        <v/>
      </c>
      <c r="I150" s="96" t="str">
        <f t="shared" ca="1" si="14"/>
        <v/>
      </c>
      <c r="J150" s="96" t="str">
        <f t="shared" ca="1" si="15"/>
        <v/>
      </c>
      <c r="K150" s="96" t="str">
        <f t="shared" ca="1" si="30"/>
        <v/>
      </c>
      <c r="L150" s="96" t="str">
        <f t="shared" ca="1" si="30"/>
        <v/>
      </c>
      <c r="M150" s="294" t="str">
        <f t="shared" ca="1" si="30"/>
        <v/>
      </c>
      <c r="N150" s="295" t="str">
        <f t="shared" ca="1" si="16"/>
        <v/>
      </c>
      <c r="O150" s="96" t="str">
        <f t="shared" ca="1" si="16"/>
        <v/>
      </c>
      <c r="P150" s="96" t="str">
        <f t="shared" ca="1" si="17"/>
        <v/>
      </c>
      <c r="Q150" s="96" t="str">
        <f t="shared" ca="1" si="30"/>
        <v/>
      </c>
      <c r="R150" s="293" t="str">
        <f t="shared" ca="1" si="30"/>
        <v/>
      </c>
      <c r="S150" s="284" t="str">
        <f t="shared" ca="1" si="31"/>
        <v/>
      </c>
      <c r="T150" s="96" t="str">
        <f t="shared" ca="1" si="31"/>
        <v/>
      </c>
      <c r="U150" s="96" t="str">
        <f t="shared" ca="1" si="18"/>
        <v/>
      </c>
      <c r="V150" s="96" t="str">
        <f t="shared" ca="1" si="31"/>
        <v/>
      </c>
      <c r="W150" s="96" t="str">
        <f t="shared" ca="1" si="31"/>
        <v/>
      </c>
      <c r="X150" s="293" t="str">
        <f t="shared" ca="1" si="31"/>
        <v/>
      </c>
      <c r="Y150" s="284" t="str">
        <f t="shared" ca="1" si="31"/>
        <v/>
      </c>
      <c r="Z150" s="96" t="str">
        <f t="shared" ca="1" si="31"/>
        <v/>
      </c>
      <c r="AA150" s="96" t="str">
        <f t="shared" ca="1" si="31"/>
        <v/>
      </c>
      <c r="AB150" s="386" t="str">
        <f t="shared" ca="1" si="31"/>
        <v/>
      </c>
      <c r="AC150" s="293" t="str">
        <f t="shared" ca="1" si="31"/>
        <v/>
      </c>
      <c r="AD150" s="284" t="str">
        <f t="shared" ca="1" si="33"/>
        <v/>
      </c>
      <c r="AE150" s="293" t="str">
        <f t="shared" ca="1" si="33"/>
        <v/>
      </c>
      <c r="AF150" s="284" t="str">
        <f t="shared" ca="1" si="33"/>
        <v/>
      </c>
      <c r="AG150" s="293" t="str">
        <f t="shared" ca="1" si="33"/>
        <v/>
      </c>
      <c r="AH150" s="96"/>
      <c r="AI150" s="96" t="str">
        <f t="shared" ca="1" si="19"/>
        <v/>
      </c>
      <c r="AK150" s="96">
        <f t="shared" ca="1" si="20"/>
        <v>0</v>
      </c>
      <c r="AL150" s="12">
        <f t="shared" ca="1" si="21"/>
        <v>0</v>
      </c>
      <c r="AM150" s="12">
        <f t="shared" ca="1" si="22"/>
        <v>0</v>
      </c>
      <c r="AN150" s="12">
        <f t="shared" ca="1" si="23"/>
        <v>0</v>
      </c>
      <c r="AO150" s="12">
        <f t="shared" ca="1" si="24"/>
        <v>0</v>
      </c>
      <c r="AP150" s="12" t="str">
        <f t="shared" ca="1" si="25"/>
        <v/>
      </c>
      <c r="AQ150" s="12" t="str">
        <f t="shared" ca="1" si="26"/>
        <v/>
      </c>
      <c r="AR150" s="12" t="str">
        <f t="shared" ca="1" si="27"/>
        <v/>
      </c>
      <c r="AS150" s="12" t="str">
        <f t="shared" ca="1" si="28"/>
        <v/>
      </c>
    </row>
    <row r="151" spans="1:45">
      <c r="A151">
        <f t="shared" si="32"/>
        <v>191</v>
      </c>
      <c r="B151" t="str">
        <f t="shared" ca="1" si="10"/>
        <v xml:space="preserve"> </v>
      </c>
      <c r="C151" t="b">
        <f t="shared" ca="1" si="11"/>
        <v>0</v>
      </c>
      <c r="D151" s="284" t="str">
        <f t="shared" ca="1" si="30"/>
        <v/>
      </c>
      <c r="E151" s="96" t="str">
        <f t="shared" ca="1" si="12"/>
        <v/>
      </c>
      <c r="F151" s="96" t="str">
        <f t="shared" ca="1" si="13"/>
        <v/>
      </c>
      <c r="G151" s="293" t="str">
        <f t="shared" ca="1" si="14"/>
        <v/>
      </c>
      <c r="H151" s="284" t="str">
        <f t="shared" ca="1" si="14"/>
        <v/>
      </c>
      <c r="I151" s="96" t="str">
        <f t="shared" ca="1" si="14"/>
        <v/>
      </c>
      <c r="J151" s="96" t="str">
        <f t="shared" ca="1" si="15"/>
        <v/>
      </c>
      <c r="K151" s="96" t="str">
        <f t="shared" ca="1" si="30"/>
        <v/>
      </c>
      <c r="L151" s="96" t="str">
        <f t="shared" ca="1" si="30"/>
        <v/>
      </c>
      <c r="M151" s="294" t="str">
        <f t="shared" ca="1" si="30"/>
        <v/>
      </c>
      <c r="N151" s="295" t="str">
        <f t="shared" ca="1" si="16"/>
        <v/>
      </c>
      <c r="O151" s="96" t="str">
        <f t="shared" ca="1" si="16"/>
        <v/>
      </c>
      <c r="P151" s="96" t="str">
        <f t="shared" ca="1" si="17"/>
        <v/>
      </c>
      <c r="Q151" s="96" t="str">
        <f t="shared" ca="1" si="30"/>
        <v/>
      </c>
      <c r="R151" s="293" t="str">
        <f t="shared" ca="1" si="30"/>
        <v/>
      </c>
      <c r="S151" s="284" t="str">
        <f t="shared" ca="1" si="31"/>
        <v/>
      </c>
      <c r="T151" s="96" t="str">
        <f t="shared" ca="1" si="31"/>
        <v/>
      </c>
      <c r="U151" s="96" t="str">
        <f t="shared" ca="1" si="18"/>
        <v/>
      </c>
      <c r="V151" s="96" t="str">
        <f t="shared" ca="1" si="31"/>
        <v/>
      </c>
      <c r="W151" s="96" t="str">
        <f t="shared" ca="1" si="31"/>
        <v/>
      </c>
      <c r="X151" s="293" t="str">
        <f t="shared" ca="1" si="31"/>
        <v/>
      </c>
      <c r="Y151" s="284" t="str">
        <f t="shared" ca="1" si="31"/>
        <v/>
      </c>
      <c r="Z151" s="96" t="str">
        <f t="shared" ca="1" si="31"/>
        <v/>
      </c>
      <c r="AA151" s="96" t="str">
        <f t="shared" ca="1" si="31"/>
        <v/>
      </c>
      <c r="AB151" s="386" t="str">
        <f t="shared" ca="1" si="31"/>
        <v/>
      </c>
      <c r="AC151" s="293" t="str">
        <f t="shared" ca="1" si="31"/>
        <v/>
      </c>
      <c r="AD151" s="284" t="str">
        <f t="shared" ca="1" si="33"/>
        <v/>
      </c>
      <c r="AE151" s="293" t="str">
        <f t="shared" ca="1" si="33"/>
        <v/>
      </c>
      <c r="AF151" s="284" t="str">
        <f t="shared" ca="1" si="33"/>
        <v/>
      </c>
      <c r="AG151" s="293" t="str">
        <f t="shared" ca="1" si="33"/>
        <v/>
      </c>
      <c r="AH151" s="96"/>
      <c r="AI151" s="96" t="str">
        <f t="shared" ca="1" si="19"/>
        <v/>
      </c>
      <c r="AK151" s="96">
        <f t="shared" ca="1" si="20"/>
        <v>0</v>
      </c>
      <c r="AL151" s="12">
        <f t="shared" ca="1" si="21"/>
        <v>0</v>
      </c>
      <c r="AM151" s="12">
        <f t="shared" ca="1" si="22"/>
        <v>0</v>
      </c>
      <c r="AN151" s="12">
        <f t="shared" ca="1" si="23"/>
        <v>0</v>
      </c>
      <c r="AO151" s="12">
        <f t="shared" ca="1" si="24"/>
        <v>0</v>
      </c>
      <c r="AP151" s="12" t="str">
        <f t="shared" ca="1" si="25"/>
        <v/>
      </c>
      <c r="AQ151" s="12" t="str">
        <f t="shared" ca="1" si="26"/>
        <v/>
      </c>
      <c r="AR151" s="12" t="str">
        <f t="shared" ca="1" si="27"/>
        <v/>
      </c>
      <c r="AS151" s="12" t="str">
        <f t="shared" ca="1" si="28"/>
        <v/>
      </c>
    </row>
    <row r="152" spans="1:45">
      <c r="A152">
        <f t="shared" si="32"/>
        <v>196</v>
      </c>
      <c r="B152" t="str">
        <f t="shared" ca="1" si="10"/>
        <v xml:space="preserve"> </v>
      </c>
      <c r="C152" t="b">
        <f t="shared" ca="1" si="11"/>
        <v>0</v>
      </c>
      <c r="D152" s="284" t="str">
        <f t="shared" ca="1" si="30"/>
        <v/>
      </c>
      <c r="E152" s="96" t="str">
        <f t="shared" ca="1" si="12"/>
        <v/>
      </c>
      <c r="F152" s="96" t="str">
        <f t="shared" ca="1" si="13"/>
        <v/>
      </c>
      <c r="G152" s="293" t="str">
        <f t="shared" ca="1" si="14"/>
        <v/>
      </c>
      <c r="H152" s="284" t="str">
        <f t="shared" ca="1" si="14"/>
        <v/>
      </c>
      <c r="I152" s="96" t="str">
        <f t="shared" ca="1" si="14"/>
        <v/>
      </c>
      <c r="J152" s="96" t="str">
        <f t="shared" ca="1" si="15"/>
        <v/>
      </c>
      <c r="K152" s="96" t="str">
        <f t="shared" ca="1" si="30"/>
        <v/>
      </c>
      <c r="L152" s="96" t="str">
        <f t="shared" ca="1" si="30"/>
        <v/>
      </c>
      <c r="M152" s="294" t="str">
        <f t="shared" ca="1" si="30"/>
        <v/>
      </c>
      <c r="N152" s="295" t="str">
        <f t="shared" ca="1" si="16"/>
        <v/>
      </c>
      <c r="O152" s="96" t="str">
        <f t="shared" ca="1" si="16"/>
        <v/>
      </c>
      <c r="P152" s="96" t="str">
        <f t="shared" ca="1" si="17"/>
        <v/>
      </c>
      <c r="Q152" s="96" t="str">
        <f t="shared" ca="1" si="30"/>
        <v/>
      </c>
      <c r="R152" s="293" t="str">
        <f t="shared" ca="1" si="30"/>
        <v/>
      </c>
      <c r="S152" s="284" t="str">
        <f t="shared" ca="1" si="31"/>
        <v/>
      </c>
      <c r="T152" s="96" t="str">
        <f t="shared" ca="1" si="31"/>
        <v/>
      </c>
      <c r="U152" s="96" t="str">
        <f t="shared" ca="1" si="18"/>
        <v/>
      </c>
      <c r="V152" s="96" t="str">
        <f t="shared" ca="1" si="31"/>
        <v/>
      </c>
      <c r="W152" s="96" t="str">
        <f t="shared" ca="1" si="31"/>
        <v/>
      </c>
      <c r="X152" s="293" t="str">
        <f t="shared" ca="1" si="31"/>
        <v/>
      </c>
      <c r="Y152" s="284" t="str">
        <f t="shared" ca="1" si="31"/>
        <v/>
      </c>
      <c r="Z152" s="96" t="str">
        <f t="shared" ca="1" si="31"/>
        <v/>
      </c>
      <c r="AA152" s="96" t="str">
        <f t="shared" ca="1" si="31"/>
        <v/>
      </c>
      <c r="AB152" s="386" t="str">
        <f t="shared" ca="1" si="31"/>
        <v/>
      </c>
      <c r="AC152" s="293" t="str">
        <f t="shared" ca="1" si="31"/>
        <v/>
      </c>
      <c r="AD152" s="284" t="str">
        <f t="shared" ca="1" si="33"/>
        <v/>
      </c>
      <c r="AE152" s="293" t="str">
        <f t="shared" ca="1" si="33"/>
        <v/>
      </c>
      <c r="AF152" s="284" t="str">
        <f t="shared" ca="1" si="33"/>
        <v/>
      </c>
      <c r="AG152" s="293" t="str">
        <f t="shared" ca="1" si="33"/>
        <v/>
      </c>
      <c r="AH152" s="96"/>
      <c r="AI152" s="96" t="str">
        <f t="shared" ca="1" si="19"/>
        <v/>
      </c>
      <c r="AK152" s="96">
        <f t="shared" ca="1" si="20"/>
        <v>0</v>
      </c>
      <c r="AL152" s="12">
        <f t="shared" ca="1" si="21"/>
        <v>0</v>
      </c>
      <c r="AM152" s="12">
        <f t="shared" ca="1" si="22"/>
        <v>0</v>
      </c>
      <c r="AN152" s="12">
        <f t="shared" ca="1" si="23"/>
        <v>0</v>
      </c>
      <c r="AO152" s="12">
        <f t="shared" ca="1" si="24"/>
        <v>0</v>
      </c>
      <c r="AP152" s="12" t="str">
        <f t="shared" ca="1" si="25"/>
        <v/>
      </c>
      <c r="AQ152" s="12" t="str">
        <f t="shared" ca="1" si="26"/>
        <v/>
      </c>
      <c r="AR152" s="12" t="str">
        <f t="shared" ca="1" si="27"/>
        <v/>
      </c>
      <c r="AS152" s="12" t="str">
        <f t="shared" ca="1" si="28"/>
        <v/>
      </c>
    </row>
    <row r="153" spans="1:45">
      <c r="A153">
        <f t="shared" si="32"/>
        <v>201</v>
      </c>
      <c r="B153" t="str">
        <f t="shared" ca="1" si="10"/>
        <v xml:space="preserve"> </v>
      </c>
      <c r="C153" t="b">
        <f t="shared" ca="1" si="11"/>
        <v>0</v>
      </c>
      <c r="D153" s="284" t="str">
        <f t="shared" ca="1" si="30"/>
        <v/>
      </c>
      <c r="E153" s="96" t="str">
        <f t="shared" ca="1" si="12"/>
        <v/>
      </c>
      <c r="F153" s="96" t="str">
        <f t="shared" ca="1" si="13"/>
        <v/>
      </c>
      <c r="G153" s="293" t="str">
        <f t="shared" ca="1" si="14"/>
        <v/>
      </c>
      <c r="H153" s="284" t="str">
        <f t="shared" ca="1" si="14"/>
        <v/>
      </c>
      <c r="I153" s="96" t="str">
        <f t="shared" ca="1" si="14"/>
        <v/>
      </c>
      <c r="J153" s="96" t="str">
        <f t="shared" ca="1" si="15"/>
        <v/>
      </c>
      <c r="K153" s="96" t="str">
        <f t="shared" ca="1" si="30"/>
        <v/>
      </c>
      <c r="L153" s="96" t="str">
        <f t="shared" ca="1" si="30"/>
        <v/>
      </c>
      <c r="M153" s="294" t="str">
        <f t="shared" ca="1" si="30"/>
        <v/>
      </c>
      <c r="N153" s="295" t="str">
        <f t="shared" ca="1" si="16"/>
        <v/>
      </c>
      <c r="O153" s="96" t="str">
        <f t="shared" ca="1" si="16"/>
        <v/>
      </c>
      <c r="P153" s="96" t="str">
        <f t="shared" ca="1" si="17"/>
        <v/>
      </c>
      <c r="Q153" s="96" t="str">
        <f t="shared" ca="1" si="30"/>
        <v/>
      </c>
      <c r="R153" s="293" t="str">
        <f t="shared" ca="1" si="30"/>
        <v/>
      </c>
      <c r="S153" s="284" t="str">
        <f t="shared" ca="1" si="31"/>
        <v/>
      </c>
      <c r="T153" s="96" t="str">
        <f t="shared" ca="1" si="31"/>
        <v/>
      </c>
      <c r="U153" s="96" t="str">
        <f t="shared" ca="1" si="18"/>
        <v/>
      </c>
      <c r="V153" s="96" t="str">
        <f t="shared" ca="1" si="31"/>
        <v/>
      </c>
      <c r="W153" s="96" t="str">
        <f t="shared" ca="1" si="31"/>
        <v/>
      </c>
      <c r="X153" s="293" t="str">
        <f t="shared" ca="1" si="31"/>
        <v/>
      </c>
      <c r="Y153" s="284" t="str">
        <f t="shared" ca="1" si="31"/>
        <v/>
      </c>
      <c r="Z153" s="96" t="str">
        <f t="shared" ca="1" si="31"/>
        <v/>
      </c>
      <c r="AA153" s="96" t="str">
        <f t="shared" ca="1" si="31"/>
        <v/>
      </c>
      <c r="AB153" s="386" t="str">
        <f t="shared" ca="1" si="31"/>
        <v/>
      </c>
      <c r="AC153" s="293" t="str">
        <f t="shared" ca="1" si="31"/>
        <v/>
      </c>
      <c r="AD153" s="284" t="str">
        <f t="shared" ca="1" si="33"/>
        <v/>
      </c>
      <c r="AE153" s="293" t="str">
        <f t="shared" ca="1" si="33"/>
        <v/>
      </c>
      <c r="AF153" s="284" t="str">
        <f t="shared" ca="1" si="33"/>
        <v/>
      </c>
      <c r="AG153" s="293" t="str">
        <f t="shared" ca="1" si="33"/>
        <v/>
      </c>
      <c r="AH153" s="96"/>
      <c r="AI153" s="96" t="str">
        <f t="shared" ca="1" si="19"/>
        <v/>
      </c>
      <c r="AK153" s="96">
        <f t="shared" ca="1" si="20"/>
        <v>0</v>
      </c>
      <c r="AL153" s="12">
        <f t="shared" ca="1" si="21"/>
        <v>0</v>
      </c>
      <c r="AM153" s="12">
        <f t="shared" ca="1" si="22"/>
        <v>0</v>
      </c>
      <c r="AN153" s="12">
        <f t="shared" ca="1" si="23"/>
        <v>0</v>
      </c>
      <c r="AO153" s="12">
        <f t="shared" ca="1" si="24"/>
        <v>0</v>
      </c>
      <c r="AP153" s="12" t="str">
        <f t="shared" ca="1" si="25"/>
        <v/>
      </c>
      <c r="AQ153" s="12" t="str">
        <f t="shared" ca="1" si="26"/>
        <v/>
      </c>
      <c r="AR153" s="12" t="str">
        <f t="shared" ca="1" si="27"/>
        <v/>
      </c>
      <c r="AS153" s="12" t="str">
        <f t="shared" ca="1" si="28"/>
        <v/>
      </c>
    </row>
    <row r="154" spans="1:45">
      <c r="A154">
        <f t="shared" si="32"/>
        <v>206</v>
      </c>
      <c r="B154" t="str">
        <f t="shared" ca="1" si="10"/>
        <v xml:space="preserve"> </v>
      </c>
      <c r="C154" t="b">
        <f t="shared" ca="1" si="11"/>
        <v>0</v>
      </c>
      <c r="D154" s="284" t="str">
        <f t="shared" ca="1" si="30"/>
        <v/>
      </c>
      <c r="E154" s="96" t="str">
        <f t="shared" ca="1" si="12"/>
        <v/>
      </c>
      <c r="F154" s="96" t="str">
        <f t="shared" ca="1" si="13"/>
        <v/>
      </c>
      <c r="G154" s="293" t="str">
        <f t="shared" ca="1" si="14"/>
        <v/>
      </c>
      <c r="H154" s="284" t="str">
        <f t="shared" ca="1" si="14"/>
        <v/>
      </c>
      <c r="I154" s="96" t="str">
        <f t="shared" ca="1" si="14"/>
        <v/>
      </c>
      <c r="J154" s="96" t="str">
        <f t="shared" ca="1" si="15"/>
        <v/>
      </c>
      <c r="K154" s="96" t="str">
        <f t="shared" ca="1" si="30"/>
        <v/>
      </c>
      <c r="L154" s="96" t="str">
        <f t="shared" ca="1" si="30"/>
        <v/>
      </c>
      <c r="M154" s="294" t="str">
        <f t="shared" ca="1" si="30"/>
        <v/>
      </c>
      <c r="N154" s="295" t="str">
        <f t="shared" ca="1" si="16"/>
        <v/>
      </c>
      <c r="O154" s="96" t="str">
        <f t="shared" ca="1" si="16"/>
        <v/>
      </c>
      <c r="P154" s="96" t="str">
        <f t="shared" ca="1" si="17"/>
        <v/>
      </c>
      <c r="Q154" s="96" t="str">
        <f t="shared" ca="1" si="30"/>
        <v/>
      </c>
      <c r="R154" s="293" t="str">
        <f t="shared" ca="1" si="30"/>
        <v/>
      </c>
      <c r="S154" s="284" t="str">
        <f t="shared" ca="1" si="31"/>
        <v/>
      </c>
      <c r="T154" s="96" t="str">
        <f t="shared" ca="1" si="31"/>
        <v/>
      </c>
      <c r="U154" s="96" t="str">
        <f t="shared" ca="1" si="18"/>
        <v/>
      </c>
      <c r="V154" s="96" t="str">
        <f t="shared" ca="1" si="31"/>
        <v/>
      </c>
      <c r="W154" s="96" t="str">
        <f t="shared" ca="1" si="31"/>
        <v/>
      </c>
      <c r="X154" s="293" t="str">
        <f t="shared" ca="1" si="31"/>
        <v/>
      </c>
      <c r="Y154" s="284" t="str">
        <f t="shared" ca="1" si="31"/>
        <v/>
      </c>
      <c r="Z154" s="96" t="str">
        <f t="shared" ca="1" si="31"/>
        <v/>
      </c>
      <c r="AA154" s="96" t="str">
        <f t="shared" ca="1" si="31"/>
        <v/>
      </c>
      <c r="AB154" s="386" t="str">
        <f t="shared" ca="1" si="31"/>
        <v/>
      </c>
      <c r="AC154" s="293" t="str">
        <f t="shared" ca="1" si="31"/>
        <v/>
      </c>
      <c r="AD154" s="284" t="str">
        <f t="shared" ca="1" si="33"/>
        <v/>
      </c>
      <c r="AE154" s="293" t="str">
        <f t="shared" ca="1" si="33"/>
        <v/>
      </c>
      <c r="AF154" s="284" t="str">
        <f t="shared" ca="1" si="33"/>
        <v/>
      </c>
      <c r="AG154" s="293" t="str">
        <f t="shared" ca="1" si="33"/>
        <v/>
      </c>
      <c r="AH154" s="96"/>
      <c r="AI154" s="96" t="str">
        <f t="shared" ca="1" si="19"/>
        <v/>
      </c>
      <c r="AK154" s="96">
        <f t="shared" ca="1" si="20"/>
        <v>0</v>
      </c>
      <c r="AL154" s="12">
        <f t="shared" ca="1" si="21"/>
        <v>0</v>
      </c>
      <c r="AM154" s="12">
        <f t="shared" ca="1" si="22"/>
        <v>0</v>
      </c>
      <c r="AN154" s="12">
        <f t="shared" ca="1" si="23"/>
        <v>0</v>
      </c>
      <c r="AO154" s="12">
        <f t="shared" ca="1" si="24"/>
        <v>0</v>
      </c>
      <c r="AP154" s="12" t="str">
        <f t="shared" ca="1" si="25"/>
        <v/>
      </c>
      <c r="AQ154" s="12" t="str">
        <f t="shared" ca="1" si="26"/>
        <v/>
      </c>
      <c r="AR154" s="12" t="str">
        <f t="shared" ca="1" si="27"/>
        <v/>
      </c>
      <c r="AS154" s="12" t="str">
        <f t="shared" ca="1" si="28"/>
        <v/>
      </c>
    </row>
    <row r="155" spans="1:45">
      <c r="A155">
        <f t="shared" si="32"/>
        <v>211</v>
      </c>
      <c r="B155" t="str">
        <f t="shared" ca="1" si="10"/>
        <v xml:space="preserve"> </v>
      </c>
      <c r="C155" t="b">
        <f t="shared" ca="1" si="11"/>
        <v>0</v>
      </c>
      <c r="D155" s="284" t="str">
        <f t="shared" ca="1" si="30"/>
        <v/>
      </c>
      <c r="E155" s="96" t="str">
        <f t="shared" ca="1" si="12"/>
        <v/>
      </c>
      <c r="F155" s="96" t="str">
        <f t="shared" ca="1" si="13"/>
        <v/>
      </c>
      <c r="G155" s="293" t="str">
        <f t="shared" ref="G155:I186" ca="1" si="34">IF($C155=FALSE,"",INDIRECT("Installations!" &amp; G$120 &amp; $A155+1))</f>
        <v/>
      </c>
      <c r="H155" s="284" t="str">
        <f t="shared" ca="1" si="34"/>
        <v/>
      </c>
      <c r="I155" s="96" t="str">
        <f t="shared" ca="1" si="34"/>
        <v/>
      </c>
      <c r="J155" s="96" t="str">
        <f t="shared" ca="1" si="15"/>
        <v/>
      </c>
      <c r="K155" s="96" t="str">
        <f t="shared" ca="1" si="30"/>
        <v/>
      </c>
      <c r="L155" s="96" t="str">
        <f t="shared" ca="1" si="30"/>
        <v/>
      </c>
      <c r="M155" s="294" t="str">
        <f t="shared" ca="1" si="30"/>
        <v/>
      </c>
      <c r="N155" s="295" t="str">
        <f t="shared" ref="N155:O186" ca="1" si="35">IF($C155=FALSE,"",INDIRECT("Installations!" &amp; N$120 &amp; $A155+1))</f>
        <v/>
      </c>
      <c r="O155" s="96" t="str">
        <f t="shared" ca="1" si="35"/>
        <v/>
      </c>
      <c r="P155" s="96" t="str">
        <f t="shared" ca="1" si="17"/>
        <v/>
      </c>
      <c r="Q155" s="96" t="str">
        <f t="shared" ca="1" si="30"/>
        <v/>
      </c>
      <c r="R155" s="293" t="str">
        <f t="shared" ca="1" si="30"/>
        <v/>
      </c>
      <c r="S155" s="284" t="str">
        <f t="shared" ca="1" si="31"/>
        <v/>
      </c>
      <c r="T155" s="96" t="str">
        <f t="shared" ca="1" si="31"/>
        <v/>
      </c>
      <c r="U155" s="96" t="str">
        <f t="shared" ca="1" si="18"/>
        <v/>
      </c>
      <c r="V155" s="96" t="str">
        <f t="shared" ca="1" si="31"/>
        <v/>
      </c>
      <c r="W155" s="96" t="str">
        <f t="shared" ca="1" si="31"/>
        <v/>
      </c>
      <c r="X155" s="293" t="str">
        <f t="shared" ca="1" si="31"/>
        <v/>
      </c>
      <c r="Y155" s="284" t="str">
        <f t="shared" ca="1" si="31"/>
        <v/>
      </c>
      <c r="Z155" s="96" t="str">
        <f t="shared" ca="1" si="31"/>
        <v/>
      </c>
      <c r="AA155" s="96" t="str">
        <f t="shared" ca="1" si="31"/>
        <v/>
      </c>
      <c r="AB155" s="386" t="str">
        <f t="shared" ca="1" si="31"/>
        <v/>
      </c>
      <c r="AC155" s="293" t="str">
        <f t="shared" ca="1" si="31"/>
        <v/>
      </c>
      <c r="AD155" s="284" t="str">
        <f t="shared" ca="1" si="33"/>
        <v/>
      </c>
      <c r="AE155" s="293" t="str">
        <f t="shared" ca="1" si="33"/>
        <v/>
      </c>
      <c r="AF155" s="284" t="str">
        <f t="shared" ca="1" si="33"/>
        <v/>
      </c>
      <c r="AG155" s="293" t="str">
        <f t="shared" ca="1" si="33"/>
        <v/>
      </c>
      <c r="AH155" s="96"/>
      <c r="AI155" s="96" t="str">
        <f t="shared" ca="1" si="19"/>
        <v/>
      </c>
      <c r="AK155" s="96">
        <f t="shared" ca="1" si="20"/>
        <v>0</v>
      </c>
      <c r="AL155" s="12">
        <f t="shared" ca="1" si="21"/>
        <v>0</v>
      </c>
      <c r="AM155" s="12">
        <f t="shared" ca="1" si="22"/>
        <v>0</v>
      </c>
      <c r="AN155" s="12">
        <f t="shared" ca="1" si="23"/>
        <v>0</v>
      </c>
      <c r="AO155" s="12">
        <f t="shared" ca="1" si="24"/>
        <v>0</v>
      </c>
      <c r="AP155" s="12" t="str">
        <f t="shared" ca="1" si="25"/>
        <v/>
      </c>
      <c r="AQ155" s="12" t="str">
        <f t="shared" ca="1" si="26"/>
        <v/>
      </c>
      <c r="AR155" s="12" t="str">
        <f t="shared" ca="1" si="27"/>
        <v/>
      </c>
      <c r="AS155" s="12" t="str">
        <f t="shared" ca="1" si="28"/>
        <v/>
      </c>
    </row>
    <row r="156" spans="1:45">
      <c r="A156">
        <f t="shared" si="32"/>
        <v>216</v>
      </c>
      <c r="B156" t="str">
        <f t="shared" ca="1" si="10"/>
        <v xml:space="preserve"> </v>
      </c>
      <c r="C156" t="b">
        <f t="shared" ca="1" si="11"/>
        <v>0</v>
      </c>
      <c r="D156" s="284" t="str">
        <f t="shared" ca="1" si="30"/>
        <v/>
      </c>
      <c r="E156" s="96" t="str">
        <f t="shared" ca="1" si="12"/>
        <v/>
      </c>
      <c r="F156" s="96" t="str">
        <f t="shared" ca="1" si="13"/>
        <v/>
      </c>
      <c r="G156" s="293" t="str">
        <f t="shared" ca="1" si="34"/>
        <v/>
      </c>
      <c r="H156" s="284" t="str">
        <f t="shared" ca="1" si="34"/>
        <v/>
      </c>
      <c r="I156" s="96" t="str">
        <f t="shared" ca="1" si="34"/>
        <v/>
      </c>
      <c r="J156" s="96" t="str">
        <f t="shared" ca="1" si="15"/>
        <v/>
      </c>
      <c r="K156" s="96" t="str">
        <f t="shared" ca="1" si="30"/>
        <v/>
      </c>
      <c r="L156" s="96" t="str">
        <f t="shared" ca="1" si="30"/>
        <v/>
      </c>
      <c r="M156" s="294" t="str">
        <f t="shared" ca="1" si="30"/>
        <v/>
      </c>
      <c r="N156" s="295" t="str">
        <f t="shared" ca="1" si="35"/>
        <v/>
      </c>
      <c r="O156" s="96" t="str">
        <f t="shared" ca="1" si="35"/>
        <v/>
      </c>
      <c r="P156" s="96" t="str">
        <f t="shared" ca="1" si="17"/>
        <v/>
      </c>
      <c r="Q156" s="96" t="str">
        <f t="shared" ca="1" si="30"/>
        <v/>
      </c>
      <c r="R156" s="293" t="str">
        <f t="shared" ca="1" si="30"/>
        <v/>
      </c>
      <c r="S156" s="284" t="str">
        <f t="shared" ca="1" si="31"/>
        <v/>
      </c>
      <c r="T156" s="96" t="str">
        <f t="shared" ca="1" si="31"/>
        <v/>
      </c>
      <c r="U156" s="96" t="str">
        <f t="shared" ca="1" si="18"/>
        <v/>
      </c>
      <c r="V156" s="96" t="str">
        <f t="shared" ca="1" si="31"/>
        <v/>
      </c>
      <c r="W156" s="96" t="str">
        <f t="shared" ca="1" si="31"/>
        <v/>
      </c>
      <c r="X156" s="293" t="str">
        <f t="shared" ca="1" si="31"/>
        <v/>
      </c>
      <c r="Y156" s="284" t="str">
        <f t="shared" ca="1" si="31"/>
        <v/>
      </c>
      <c r="Z156" s="96" t="str">
        <f t="shared" ca="1" si="31"/>
        <v/>
      </c>
      <c r="AA156" s="96" t="str">
        <f t="shared" ca="1" si="31"/>
        <v/>
      </c>
      <c r="AB156" s="386" t="str">
        <f t="shared" ca="1" si="31"/>
        <v/>
      </c>
      <c r="AC156" s="293" t="str">
        <f t="shared" ca="1" si="31"/>
        <v/>
      </c>
      <c r="AD156" s="284" t="str">
        <f t="shared" ca="1" si="33"/>
        <v/>
      </c>
      <c r="AE156" s="293" t="str">
        <f t="shared" ca="1" si="33"/>
        <v/>
      </c>
      <c r="AF156" s="284" t="str">
        <f t="shared" ca="1" si="33"/>
        <v/>
      </c>
      <c r="AG156" s="293" t="str">
        <f t="shared" ca="1" si="33"/>
        <v/>
      </c>
      <c r="AH156" s="96"/>
      <c r="AI156" s="96" t="str">
        <f t="shared" ca="1" si="19"/>
        <v/>
      </c>
      <c r="AK156" s="96">
        <f t="shared" ca="1" si="20"/>
        <v>0</v>
      </c>
      <c r="AL156" s="12">
        <f t="shared" ca="1" si="21"/>
        <v>0</v>
      </c>
      <c r="AM156" s="12">
        <f t="shared" ca="1" si="22"/>
        <v>0</v>
      </c>
      <c r="AN156" s="12">
        <f t="shared" ca="1" si="23"/>
        <v>0</v>
      </c>
      <c r="AO156" s="12">
        <f t="shared" ca="1" si="24"/>
        <v>0</v>
      </c>
      <c r="AP156" s="12" t="str">
        <f t="shared" ca="1" si="25"/>
        <v/>
      </c>
      <c r="AQ156" s="12" t="str">
        <f t="shared" ca="1" si="26"/>
        <v/>
      </c>
      <c r="AR156" s="12" t="str">
        <f t="shared" ca="1" si="27"/>
        <v/>
      </c>
      <c r="AS156" s="12" t="str">
        <f t="shared" ca="1" si="28"/>
        <v/>
      </c>
    </row>
    <row r="157" spans="1:45">
      <c r="A157">
        <f t="shared" si="32"/>
        <v>221</v>
      </c>
      <c r="B157" t="str">
        <f t="shared" ca="1" si="10"/>
        <v xml:space="preserve"> </v>
      </c>
      <c r="C157" t="b">
        <f t="shared" ca="1" si="11"/>
        <v>0</v>
      </c>
      <c r="D157" s="284" t="str">
        <f t="shared" ca="1" si="30"/>
        <v/>
      </c>
      <c r="E157" s="96" t="str">
        <f t="shared" ca="1" si="12"/>
        <v/>
      </c>
      <c r="F157" s="96" t="str">
        <f t="shared" ca="1" si="13"/>
        <v/>
      </c>
      <c r="G157" s="293" t="str">
        <f t="shared" ca="1" si="34"/>
        <v/>
      </c>
      <c r="H157" s="284" t="str">
        <f t="shared" ca="1" si="34"/>
        <v/>
      </c>
      <c r="I157" s="96" t="str">
        <f t="shared" ca="1" si="34"/>
        <v/>
      </c>
      <c r="J157" s="96" t="str">
        <f t="shared" ca="1" si="15"/>
        <v/>
      </c>
      <c r="K157" s="96" t="str">
        <f t="shared" ca="1" si="30"/>
        <v/>
      </c>
      <c r="L157" s="96" t="str">
        <f t="shared" ca="1" si="30"/>
        <v/>
      </c>
      <c r="M157" s="294" t="str">
        <f t="shared" ca="1" si="30"/>
        <v/>
      </c>
      <c r="N157" s="295" t="str">
        <f t="shared" ca="1" si="35"/>
        <v/>
      </c>
      <c r="O157" s="96" t="str">
        <f t="shared" ca="1" si="35"/>
        <v/>
      </c>
      <c r="P157" s="96" t="str">
        <f t="shared" ca="1" si="17"/>
        <v/>
      </c>
      <c r="Q157" s="96" t="str">
        <f t="shared" ca="1" si="30"/>
        <v/>
      </c>
      <c r="R157" s="293" t="str">
        <f t="shared" ca="1" si="30"/>
        <v/>
      </c>
      <c r="S157" s="284" t="str">
        <f t="shared" ca="1" si="31"/>
        <v/>
      </c>
      <c r="T157" s="96" t="str">
        <f t="shared" ca="1" si="31"/>
        <v/>
      </c>
      <c r="U157" s="96" t="str">
        <f t="shared" ca="1" si="18"/>
        <v/>
      </c>
      <c r="V157" s="96" t="str">
        <f t="shared" ca="1" si="31"/>
        <v/>
      </c>
      <c r="W157" s="96" t="str">
        <f t="shared" ca="1" si="31"/>
        <v/>
      </c>
      <c r="X157" s="293" t="str">
        <f t="shared" ca="1" si="31"/>
        <v/>
      </c>
      <c r="Y157" s="284" t="str">
        <f t="shared" ca="1" si="31"/>
        <v/>
      </c>
      <c r="Z157" s="96" t="str">
        <f t="shared" ca="1" si="31"/>
        <v/>
      </c>
      <c r="AA157" s="96" t="str">
        <f t="shared" ca="1" si="31"/>
        <v/>
      </c>
      <c r="AB157" s="386" t="str">
        <f t="shared" ca="1" si="31"/>
        <v/>
      </c>
      <c r="AC157" s="293" t="str">
        <f t="shared" ca="1" si="31"/>
        <v/>
      </c>
      <c r="AD157" s="284" t="str">
        <f t="shared" ca="1" si="33"/>
        <v/>
      </c>
      <c r="AE157" s="293" t="str">
        <f t="shared" ca="1" si="33"/>
        <v/>
      </c>
      <c r="AF157" s="284" t="str">
        <f t="shared" ca="1" si="33"/>
        <v/>
      </c>
      <c r="AG157" s="293" t="str">
        <f t="shared" ca="1" si="33"/>
        <v/>
      </c>
      <c r="AH157" s="96"/>
      <c r="AI157" s="96" t="str">
        <f t="shared" ca="1" si="19"/>
        <v/>
      </c>
      <c r="AK157" s="96">
        <f t="shared" ca="1" si="20"/>
        <v>0</v>
      </c>
      <c r="AL157" s="12">
        <f t="shared" ca="1" si="21"/>
        <v>0</v>
      </c>
      <c r="AM157" s="12">
        <f t="shared" ca="1" si="22"/>
        <v>0</v>
      </c>
      <c r="AN157" s="12">
        <f t="shared" ca="1" si="23"/>
        <v>0</v>
      </c>
      <c r="AO157" s="12">
        <f t="shared" ca="1" si="24"/>
        <v>0</v>
      </c>
      <c r="AP157" s="12" t="str">
        <f t="shared" ca="1" si="25"/>
        <v/>
      </c>
      <c r="AQ157" s="12" t="str">
        <f t="shared" ca="1" si="26"/>
        <v/>
      </c>
      <c r="AR157" s="12" t="str">
        <f t="shared" ca="1" si="27"/>
        <v/>
      </c>
      <c r="AS157" s="12" t="str">
        <f t="shared" ca="1" si="28"/>
        <v/>
      </c>
    </row>
    <row r="158" spans="1:45">
      <c r="A158">
        <f t="shared" si="32"/>
        <v>226</v>
      </c>
      <c r="B158" t="str">
        <f t="shared" ca="1" si="10"/>
        <v xml:space="preserve"> </v>
      </c>
      <c r="C158" t="b">
        <f t="shared" ca="1" si="11"/>
        <v>0</v>
      </c>
      <c r="D158" s="284" t="str">
        <f t="shared" ca="1" si="30"/>
        <v/>
      </c>
      <c r="E158" s="96" t="str">
        <f t="shared" ca="1" si="12"/>
        <v/>
      </c>
      <c r="F158" s="96" t="str">
        <f t="shared" ca="1" si="13"/>
        <v/>
      </c>
      <c r="G158" s="293" t="str">
        <f t="shared" ca="1" si="34"/>
        <v/>
      </c>
      <c r="H158" s="284" t="str">
        <f t="shared" ca="1" si="34"/>
        <v/>
      </c>
      <c r="I158" s="96" t="str">
        <f t="shared" ca="1" si="34"/>
        <v/>
      </c>
      <c r="J158" s="96" t="str">
        <f t="shared" ca="1" si="15"/>
        <v/>
      </c>
      <c r="K158" s="96" t="str">
        <f t="shared" ca="1" si="30"/>
        <v/>
      </c>
      <c r="L158" s="96" t="str">
        <f t="shared" ca="1" si="30"/>
        <v/>
      </c>
      <c r="M158" s="294" t="str">
        <f t="shared" ca="1" si="30"/>
        <v/>
      </c>
      <c r="N158" s="295" t="str">
        <f t="shared" ca="1" si="35"/>
        <v/>
      </c>
      <c r="O158" s="96" t="str">
        <f t="shared" ca="1" si="35"/>
        <v/>
      </c>
      <c r="P158" s="96" t="str">
        <f t="shared" ca="1" si="17"/>
        <v/>
      </c>
      <c r="Q158" s="96" t="str">
        <f t="shared" ca="1" si="30"/>
        <v/>
      </c>
      <c r="R158" s="293" t="str">
        <f t="shared" ca="1" si="30"/>
        <v/>
      </c>
      <c r="S158" s="284" t="str">
        <f t="shared" ca="1" si="31"/>
        <v/>
      </c>
      <c r="T158" s="96" t="str">
        <f t="shared" ca="1" si="31"/>
        <v/>
      </c>
      <c r="U158" s="96" t="str">
        <f t="shared" ca="1" si="18"/>
        <v/>
      </c>
      <c r="V158" s="96" t="str">
        <f t="shared" ca="1" si="31"/>
        <v/>
      </c>
      <c r="W158" s="96" t="str">
        <f t="shared" ca="1" si="31"/>
        <v/>
      </c>
      <c r="X158" s="293" t="str">
        <f t="shared" ca="1" si="31"/>
        <v/>
      </c>
      <c r="Y158" s="284" t="str">
        <f t="shared" ca="1" si="31"/>
        <v/>
      </c>
      <c r="Z158" s="96" t="str">
        <f t="shared" ref="S158:AC184" ca="1" si="36">IF($C158=FALSE,"",INDIRECT("Installations!" &amp; Z$120 &amp; $A158+2))</f>
        <v/>
      </c>
      <c r="AA158" s="96" t="str">
        <f t="shared" ca="1" si="36"/>
        <v/>
      </c>
      <c r="AB158" s="386" t="str">
        <f t="shared" ca="1" si="36"/>
        <v/>
      </c>
      <c r="AC158" s="293" t="str">
        <f t="shared" ca="1" si="36"/>
        <v/>
      </c>
      <c r="AD158" s="284" t="str">
        <f t="shared" ca="1" si="33"/>
        <v/>
      </c>
      <c r="AE158" s="293" t="str">
        <f t="shared" ca="1" si="33"/>
        <v/>
      </c>
      <c r="AF158" s="284" t="str">
        <f t="shared" ca="1" si="33"/>
        <v/>
      </c>
      <c r="AG158" s="293" t="str">
        <f t="shared" ca="1" si="33"/>
        <v/>
      </c>
      <c r="AH158" s="96"/>
      <c r="AI158" s="96" t="str">
        <f t="shared" ca="1" si="19"/>
        <v/>
      </c>
      <c r="AK158" s="96">
        <f t="shared" ca="1" si="20"/>
        <v>0</v>
      </c>
      <c r="AL158" s="12">
        <f t="shared" ca="1" si="21"/>
        <v>0</v>
      </c>
      <c r="AM158" s="12">
        <f t="shared" ca="1" si="22"/>
        <v>0</v>
      </c>
      <c r="AN158" s="12">
        <f t="shared" ca="1" si="23"/>
        <v>0</v>
      </c>
      <c r="AO158" s="12">
        <f t="shared" ca="1" si="24"/>
        <v>0</v>
      </c>
      <c r="AP158" s="12" t="str">
        <f t="shared" ca="1" si="25"/>
        <v/>
      </c>
      <c r="AQ158" s="12" t="str">
        <f t="shared" ca="1" si="26"/>
        <v/>
      </c>
      <c r="AR158" s="12" t="str">
        <f t="shared" ca="1" si="27"/>
        <v/>
      </c>
      <c r="AS158" s="12" t="str">
        <f t="shared" ca="1" si="28"/>
        <v/>
      </c>
    </row>
    <row r="159" spans="1:45">
      <c r="A159">
        <f t="shared" si="32"/>
        <v>231</v>
      </c>
      <c r="B159" t="str">
        <f t="shared" ca="1" si="10"/>
        <v xml:space="preserve"> </v>
      </c>
      <c r="C159" t="b">
        <f t="shared" ca="1" si="11"/>
        <v>0</v>
      </c>
      <c r="D159" s="284" t="str">
        <f t="shared" ca="1" si="30"/>
        <v/>
      </c>
      <c r="E159" s="96" t="str">
        <f t="shared" ca="1" si="12"/>
        <v/>
      </c>
      <c r="F159" s="96" t="str">
        <f t="shared" ca="1" si="13"/>
        <v/>
      </c>
      <c r="G159" s="293" t="str">
        <f t="shared" ca="1" si="34"/>
        <v/>
      </c>
      <c r="H159" s="284" t="str">
        <f t="shared" ca="1" si="34"/>
        <v/>
      </c>
      <c r="I159" s="96" t="str">
        <f t="shared" ca="1" si="34"/>
        <v/>
      </c>
      <c r="J159" s="96" t="str">
        <f t="shared" ca="1" si="15"/>
        <v/>
      </c>
      <c r="K159" s="96" t="str">
        <f t="shared" ca="1" si="30"/>
        <v/>
      </c>
      <c r="L159" s="96" t="str">
        <f t="shared" ca="1" si="30"/>
        <v/>
      </c>
      <c r="M159" s="294" t="str">
        <f t="shared" ca="1" si="30"/>
        <v/>
      </c>
      <c r="N159" s="295" t="str">
        <f t="shared" ca="1" si="35"/>
        <v/>
      </c>
      <c r="O159" s="96" t="str">
        <f t="shared" ca="1" si="35"/>
        <v/>
      </c>
      <c r="P159" s="96" t="str">
        <f t="shared" ca="1" si="17"/>
        <v/>
      </c>
      <c r="Q159" s="96" t="str">
        <f t="shared" ca="1" si="30"/>
        <v/>
      </c>
      <c r="R159" s="293" t="str">
        <f t="shared" ca="1" si="30"/>
        <v/>
      </c>
      <c r="S159" s="284" t="str">
        <f t="shared" ca="1" si="36"/>
        <v/>
      </c>
      <c r="T159" s="96" t="str">
        <f t="shared" ca="1" si="36"/>
        <v/>
      </c>
      <c r="U159" s="96" t="str">
        <f t="shared" ca="1" si="18"/>
        <v/>
      </c>
      <c r="V159" s="96" t="str">
        <f t="shared" ca="1" si="36"/>
        <v/>
      </c>
      <c r="W159" s="96" t="str">
        <f t="shared" ca="1" si="36"/>
        <v/>
      </c>
      <c r="X159" s="293" t="str">
        <f t="shared" ca="1" si="36"/>
        <v/>
      </c>
      <c r="Y159" s="284" t="str">
        <f t="shared" ca="1" si="36"/>
        <v/>
      </c>
      <c r="Z159" s="96" t="str">
        <f t="shared" ca="1" si="36"/>
        <v/>
      </c>
      <c r="AA159" s="96" t="str">
        <f t="shared" ca="1" si="36"/>
        <v/>
      </c>
      <c r="AB159" s="386" t="str">
        <f t="shared" ca="1" si="36"/>
        <v/>
      </c>
      <c r="AC159" s="293" t="str">
        <f t="shared" ca="1" si="36"/>
        <v/>
      </c>
      <c r="AD159" s="284" t="str">
        <f t="shared" ca="1" si="33"/>
        <v/>
      </c>
      <c r="AE159" s="293" t="str">
        <f t="shared" ca="1" si="33"/>
        <v/>
      </c>
      <c r="AF159" s="284" t="str">
        <f t="shared" ca="1" si="33"/>
        <v/>
      </c>
      <c r="AG159" s="293" t="str">
        <f t="shared" ca="1" si="33"/>
        <v/>
      </c>
      <c r="AH159" s="96"/>
      <c r="AI159" s="96" t="str">
        <f t="shared" ca="1" si="19"/>
        <v/>
      </c>
      <c r="AK159" s="96">
        <f t="shared" ca="1" si="20"/>
        <v>0</v>
      </c>
      <c r="AL159" s="12">
        <f t="shared" ca="1" si="21"/>
        <v>0</v>
      </c>
      <c r="AM159" s="12">
        <f t="shared" ca="1" si="22"/>
        <v>0</v>
      </c>
      <c r="AN159" s="12">
        <f t="shared" ca="1" si="23"/>
        <v>0</v>
      </c>
      <c r="AO159" s="12">
        <f t="shared" ca="1" si="24"/>
        <v>0</v>
      </c>
      <c r="AP159" s="12" t="str">
        <f t="shared" ca="1" si="25"/>
        <v/>
      </c>
      <c r="AQ159" s="12" t="str">
        <f t="shared" ca="1" si="26"/>
        <v/>
      </c>
      <c r="AR159" s="12" t="str">
        <f t="shared" ca="1" si="27"/>
        <v/>
      </c>
      <c r="AS159" s="12" t="str">
        <f t="shared" ca="1" si="28"/>
        <v/>
      </c>
    </row>
    <row r="160" spans="1:45">
      <c r="A160">
        <f t="shared" si="32"/>
        <v>236</v>
      </c>
      <c r="B160" t="str">
        <f t="shared" ca="1" si="10"/>
        <v xml:space="preserve"> </v>
      </c>
      <c r="C160" t="b">
        <f t="shared" ca="1" si="11"/>
        <v>0</v>
      </c>
      <c r="D160" s="284" t="str">
        <f t="shared" ca="1" si="30"/>
        <v/>
      </c>
      <c r="E160" s="96" t="str">
        <f t="shared" ca="1" si="12"/>
        <v/>
      </c>
      <c r="F160" s="96" t="str">
        <f t="shared" ca="1" si="13"/>
        <v/>
      </c>
      <c r="G160" s="293" t="str">
        <f t="shared" ca="1" si="34"/>
        <v/>
      </c>
      <c r="H160" s="284" t="str">
        <f t="shared" ca="1" si="34"/>
        <v/>
      </c>
      <c r="I160" s="96" t="str">
        <f t="shared" ca="1" si="34"/>
        <v/>
      </c>
      <c r="J160" s="96" t="str">
        <f t="shared" ca="1" si="15"/>
        <v/>
      </c>
      <c r="K160" s="96" t="str">
        <f t="shared" ca="1" si="30"/>
        <v/>
      </c>
      <c r="L160" s="96" t="str">
        <f t="shared" ca="1" si="30"/>
        <v/>
      </c>
      <c r="M160" s="294" t="str">
        <f t="shared" ca="1" si="30"/>
        <v/>
      </c>
      <c r="N160" s="295" t="str">
        <f t="shared" ca="1" si="35"/>
        <v/>
      </c>
      <c r="O160" s="96" t="str">
        <f t="shared" ca="1" si="35"/>
        <v/>
      </c>
      <c r="P160" s="96" t="str">
        <f t="shared" ca="1" si="17"/>
        <v/>
      </c>
      <c r="Q160" s="96" t="str">
        <f t="shared" ca="1" si="30"/>
        <v/>
      </c>
      <c r="R160" s="293" t="str">
        <f t="shared" ca="1" si="30"/>
        <v/>
      </c>
      <c r="S160" s="284" t="str">
        <f t="shared" ca="1" si="36"/>
        <v/>
      </c>
      <c r="T160" s="96" t="str">
        <f t="shared" ca="1" si="36"/>
        <v/>
      </c>
      <c r="U160" s="96" t="str">
        <f t="shared" ca="1" si="18"/>
        <v/>
      </c>
      <c r="V160" s="96" t="str">
        <f t="shared" ca="1" si="36"/>
        <v/>
      </c>
      <c r="W160" s="96" t="str">
        <f t="shared" ca="1" si="36"/>
        <v/>
      </c>
      <c r="X160" s="293" t="str">
        <f t="shared" ca="1" si="36"/>
        <v/>
      </c>
      <c r="Y160" s="284" t="str">
        <f t="shared" ca="1" si="36"/>
        <v/>
      </c>
      <c r="Z160" s="96" t="str">
        <f t="shared" ca="1" si="36"/>
        <v/>
      </c>
      <c r="AA160" s="96" t="str">
        <f t="shared" ca="1" si="36"/>
        <v/>
      </c>
      <c r="AB160" s="386" t="str">
        <f t="shared" ca="1" si="36"/>
        <v/>
      </c>
      <c r="AC160" s="293" t="str">
        <f t="shared" ca="1" si="36"/>
        <v/>
      </c>
      <c r="AD160" s="284" t="str">
        <f t="shared" ca="1" si="33"/>
        <v/>
      </c>
      <c r="AE160" s="293" t="str">
        <f t="shared" ca="1" si="33"/>
        <v/>
      </c>
      <c r="AF160" s="284" t="str">
        <f t="shared" ca="1" si="33"/>
        <v/>
      </c>
      <c r="AG160" s="293" t="str">
        <f t="shared" ca="1" si="33"/>
        <v/>
      </c>
      <c r="AH160" s="96"/>
      <c r="AI160" s="96" t="str">
        <f t="shared" ca="1" si="19"/>
        <v/>
      </c>
      <c r="AK160" s="96">
        <f t="shared" ca="1" si="20"/>
        <v>0</v>
      </c>
      <c r="AL160" s="12">
        <f t="shared" ca="1" si="21"/>
        <v>0</v>
      </c>
      <c r="AM160" s="12">
        <f t="shared" ca="1" si="22"/>
        <v>0</v>
      </c>
      <c r="AN160" s="12">
        <f t="shared" ca="1" si="23"/>
        <v>0</v>
      </c>
      <c r="AO160" s="12">
        <f t="shared" ca="1" si="24"/>
        <v>0</v>
      </c>
      <c r="AP160" s="12" t="str">
        <f t="shared" ca="1" si="25"/>
        <v/>
      </c>
      <c r="AQ160" s="12" t="str">
        <f t="shared" ca="1" si="26"/>
        <v/>
      </c>
      <c r="AR160" s="12" t="str">
        <f t="shared" ca="1" si="27"/>
        <v/>
      </c>
      <c r="AS160" s="12" t="str">
        <f t="shared" ca="1" si="28"/>
        <v/>
      </c>
    </row>
    <row r="161" spans="1:45">
      <c r="A161">
        <f t="shared" si="32"/>
        <v>241</v>
      </c>
      <c r="B161" t="str">
        <f t="shared" ca="1" si="10"/>
        <v xml:space="preserve"> </v>
      </c>
      <c r="C161" t="b">
        <f t="shared" ca="1" si="11"/>
        <v>0</v>
      </c>
      <c r="D161" s="284" t="str">
        <f t="shared" ca="1" si="30"/>
        <v/>
      </c>
      <c r="E161" s="96" t="str">
        <f t="shared" ca="1" si="12"/>
        <v/>
      </c>
      <c r="F161" s="96" t="str">
        <f t="shared" ca="1" si="13"/>
        <v/>
      </c>
      <c r="G161" s="293" t="str">
        <f t="shared" ca="1" si="34"/>
        <v/>
      </c>
      <c r="H161" s="284" t="str">
        <f t="shared" ca="1" si="34"/>
        <v/>
      </c>
      <c r="I161" s="96" t="str">
        <f t="shared" ca="1" si="34"/>
        <v/>
      </c>
      <c r="J161" s="96" t="str">
        <f t="shared" ca="1" si="15"/>
        <v/>
      </c>
      <c r="K161" s="96" t="str">
        <f t="shared" ca="1" si="30"/>
        <v/>
      </c>
      <c r="L161" s="96" t="str">
        <f t="shared" ca="1" si="30"/>
        <v/>
      </c>
      <c r="M161" s="294" t="str">
        <f t="shared" ca="1" si="30"/>
        <v/>
      </c>
      <c r="N161" s="295" t="str">
        <f t="shared" ca="1" si="35"/>
        <v/>
      </c>
      <c r="O161" s="96" t="str">
        <f t="shared" ca="1" si="35"/>
        <v/>
      </c>
      <c r="P161" s="96" t="str">
        <f t="shared" ca="1" si="17"/>
        <v/>
      </c>
      <c r="Q161" s="96" t="str">
        <f t="shared" ca="1" si="30"/>
        <v/>
      </c>
      <c r="R161" s="293" t="str">
        <f t="shared" ca="1" si="30"/>
        <v/>
      </c>
      <c r="S161" s="284" t="str">
        <f t="shared" ca="1" si="36"/>
        <v/>
      </c>
      <c r="T161" s="96" t="str">
        <f t="shared" ca="1" si="36"/>
        <v/>
      </c>
      <c r="U161" s="96" t="str">
        <f t="shared" ca="1" si="18"/>
        <v/>
      </c>
      <c r="V161" s="96" t="str">
        <f t="shared" ca="1" si="36"/>
        <v/>
      </c>
      <c r="W161" s="96" t="str">
        <f t="shared" ca="1" si="36"/>
        <v/>
      </c>
      <c r="X161" s="293" t="str">
        <f t="shared" ca="1" si="36"/>
        <v/>
      </c>
      <c r="Y161" s="284" t="str">
        <f t="shared" ca="1" si="36"/>
        <v/>
      </c>
      <c r="Z161" s="96" t="str">
        <f t="shared" ca="1" si="36"/>
        <v/>
      </c>
      <c r="AA161" s="96" t="str">
        <f t="shared" ca="1" si="36"/>
        <v/>
      </c>
      <c r="AB161" s="386" t="str">
        <f t="shared" ca="1" si="36"/>
        <v/>
      </c>
      <c r="AC161" s="293" t="str">
        <f t="shared" ca="1" si="36"/>
        <v/>
      </c>
      <c r="AD161" s="284" t="str">
        <f t="shared" ca="1" si="33"/>
        <v/>
      </c>
      <c r="AE161" s="293" t="str">
        <f t="shared" ca="1" si="33"/>
        <v/>
      </c>
      <c r="AF161" s="284" t="str">
        <f t="shared" ca="1" si="33"/>
        <v/>
      </c>
      <c r="AG161" s="293" t="str">
        <f t="shared" ca="1" si="33"/>
        <v/>
      </c>
      <c r="AH161" s="96"/>
      <c r="AI161" s="96" t="str">
        <f t="shared" ca="1" si="19"/>
        <v/>
      </c>
      <c r="AK161" s="96">
        <f t="shared" ca="1" si="20"/>
        <v>0</v>
      </c>
      <c r="AL161" s="12">
        <f t="shared" ca="1" si="21"/>
        <v>0</v>
      </c>
      <c r="AM161" s="12">
        <f t="shared" ca="1" si="22"/>
        <v>0</v>
      </c>
      <c r="AN161" s="12">
        <f t="shared" ca="1" si="23"/>
        <v>0</v>
      </c>
      <c r="AO161" s="12">
        <f t="shared" ca="1" si="24"/>
        <v>0</v>
      </c>
      <c r="AP161" s="12" t="str">
        <f t="shared" ca="1" si="25"/>
        <v/>
      </c>
      <c r="AQ161" s="12" t="str">
        <f t="shared" ca="1" si="26"/>
        <v/>
      </c>
      <c r="AR161" s="12" t="str">
        <f t="shared" ca="1" si="27"/>
        <v/>
      </c>
      <c r="AS161" s="12" t="str">
        <f t="shared" ca="1" si="28"/>
        <v/>
      </c>
    </row>
    <row r="162" spans="1:45">
      <c r="A162" s="690">
        <f>A161+8</f>
        <v>249</v>
      </c>
      <c r="B162" t="str">
        <f t="shared" ca="1" si="10"/>
        <v xml:space="preserve"> </v>
      </c>
      <c r="C162" t="b">
        <f t="shared" ca="1" si="11"/>
        <v>0</v>
      </c>
      <c r="D162" s="284" t="str">
        <f t="shared" ca="1" si="30"/>
        <v/>
      </c>
      <c r="E162" s="96" t="str">
        <f t="shared" ca="1" si="12"/>
        <v/>
      </c>
      <c r="F162" s="96" t="str">
        <f t="shared" ca="1" si="13"/>
        <v/>
      </c>
      <c r="G162" s="293" t="str">
        <f t="shared" ca="1" si="34"/>
        <v/>
      </c>
      <c r="H162" s="284" t="str">
        <f t="shared" ca="1" si="34"/>
        <v/>
      </c>
      <c r="I162" s="96" t="str">
        <f t="shared" ca="1" si="34"/>
        <v/>
      </c>
      <c r="J162" s="96" t="str">
        <f t="shared" ca="1" si="15"/>
        <v/>
      </c>
      <c r="K162" s="96" t="str">
        <f t="shared" ca="1" si="30"/>
        <v/>
      </c>
      <c r="L162" s="96" t="str">
        <f t="shared" ca="1" si="30"/>
        <v/>
      </c>
      <c r="M162" s="294" t="str">
        <f t="shared" ca="1" si="30"/>
        <v/>
      </c>
      <c r="N162" s="295" t="str">
        <f t="shared" ca="1" si="35"/>
        <v/>
      </c>
      <c r="O162" s="96" t="str">
        <f t="shared" ca="1" si="35"/>
        <v/>
      </c>
      <c r="P162" s="96" t="str">
        <f t="shared" ca="1" si="17"/>
        <v/>
      </c>
      <c r="Q162" s="96" t="str">
        <f t="shared" ca="1" si="30"/>
        <v/>
      </c>
      <c r="R162" s="293" t="str">
        <f t="shared" ca="1" si="30"/>
        <v/>
      </c>
      <c r="S162" s="284" t="str">
        <f t="shared" ca="1" si="36"/>
        <v/>
      </c>
      <c r="T162" s="96" t="str">
        <f t="shared" ca="1" si="36"/>
        <v/>
      </c>
      <c r="U162" s="96" t="str">
        <f t="shared" ca="1" si="18"/>
        <v/>
      </c>
      <c r="V162" s="96" t="str">
        <f t="shared" ca="1" si="36"/>
        <v/>
      </c>
      <c r="W162" s="96" t="str">
        <f t="shared" ca="1" si="36"/>
        <v/>
      </c>
      <c r="X162" s="293" t="str">
        <f t="shared" ca="1" si="36"/>
        <v/>
      </c>
      <c r="Y162" s="284" t="str">
        <f t="shared" ca="1" si="36"/>
        <v/>
      </c>
      <c r="Z162" s="96" t="str">
        <f t="shared" ca="1" si="36"/>
        <v/>
      </c>
      <c r="AA162" s="96" t="str">
        <f t="shared" ca="1" si="36"/>
        <v/>
      </c>
      <c r="AB162" s="386" t="str">
        <f t="shared" ca="1" si="36"/>
        <v/>
      </c>
      <c r="AC162" s="293" t="str">
        <f t="shared" ca="1" si="36"/>
        <v/>
      </c>
      <c r="AD162" s="284" t="str">
        <f t="shared" ca="1" si="33"/>
        <v/>
      </c>
      <c r="AE162" s="293" t="str">
        <f t="shared" ca="1" si="33"/>
        <v/>
      </c>
      <c r="AF162" s="284" t="str">
        <f t="shared" ca="1" si="33"/>
        <v/>
      </c>
      <c r="AG162" s="293" t="str">
        <f t="shared" ca="1" si="33"/>
        <v/>
      </c>
      <c r="AH162" s="96"/>
      <c r="AI162" s="96" t="str">
        <f t="shared" ca="1" si="19"/>
        <v/>
      </c>
      <c r="AK162" s="96">
        <f t="shared" ca="1" si="20"/>
        <v>0</v>
      </c>
      <c r="AL162" s="12">
        <f t="shared" ca="1" si="21"/>
        <v>0</v>
      </c>
      <c r="AM162" s="12">
        <f t="shared" ca="1" si="22"/>
        <v>0</v>
      </c>
      <c r="AN162" s="12">
        <f t="shared" ca="1" si="23"/>
        <v>0</v>
      </c>
      <c r="AO162" s="12">
        <f t="shared" ca="1" si="24"/>
        <v>0</v>
      </c>
      <c r="AP162" s="12" t="str">
        <f t="shared" ca="1" si="25"/>
        <v/>
      </c>
      <c r="AQ162" s="12" t="str">
        <f t="shared" ca="1" si="26"/>
        <v/>
      </c>
      <c r="AR162" s="12" t="str">
        <f t="shared" ca="1" si="27"/>
        <v/>
      </c>
      <c r="AS162" s="12" t="str">
        <f t="shared" ca="1" si="28"/>
        <v/>
      </c>
    </row>
    <row r="163" spans="1:45">
      <c r="A163">
        <f t="shared" si="32"/>
        <v>254</v>
      </c>
      <c r="B163" t="str">
        <f t="shared" ca="1" si="10"/>
        <v xml:space="preserve"> </v>
      </c>
      <c r="C163" t="b">
        <f t="shared" ca="1" si="11"/>
        <v>0</v>
      </c>
      <c r="D163" s="284" t="str">
        <f t="shared" ca="1" si="30"/>
        <v/>
      </c>
      <c r="E163" s="96" t="str">
        <f t="shared" ca="1" si="12"/>
        <v/>
      </c>
      <c r="F163" s="96" t="str">
        <f t="shared" ca="1" si="13"/>
        <v/>
      </c>
      <c r="G163" s="293" t="str">
        <f t="shared" ca="1" si="34"/>
        <v/>
      </c>
      <c r="H163" s="284" t="str">
        <f t="shared" ca="1" si="34"/>
        <v/>
      </c>
      <c r="I163" s="96" t="str">
        <f t="shared" ca="1" si="34"/>
        <v/>
      </c>
      <c r="J163" s="96" t="str">
        <f t="shared" ca="1" si="15"/>
        <v/>
      </c>
      <c r="K163" s="96" t="str">
        <f t="shared" ca="1" si="30"/>
        <v/>
      </c>
      <c r="L163" s="96" t="str">
        <f t="shared" ca="1" si="30"/>
        <v/>
      </c>
      <c r="M163" s="294" t="str">
        <f t="shared" ca="1" si="30"/>
        <v/>
      </c>
      <c r="N163" s="295" t="str">
        <f t="shared" ca="1" si="35"/>
        <v/>
      </c>
      <c r="O163" s="96" t="str">
        <f t="shared" ca="1" si="35"/>
        <v/>
      </c>
      <c r="P163" s="96" t="str">
        <f t="shared" ca="1" si="17"/>
        <v/>
      </c>
      <c r="Q163" s="96" t="str">
        <f t="shared" ca="1" si="30"/>
        <v/>
      </c>
      <c r="R163" s="293" t="str">
        <f t="shared" ca="1" si="30"/>
        <v/>
      </c>
      <c r="S163" s="284" t="str">
        <f t="shared" ca="1" si="36"/>
        <v/>
      </c>
      <c r="T163" s="96" t="str">
        <f t="shared" ca="1" si="36"/>
        <v/>
      </c>
      <c r="U163" s="96" t="str">
        <f t="shared" ca="1" si="18"/>
        <v/>
      </c>
      <c r="V163" s="96" t="str">
        <f t="shared" ca="1" si="36"/>
        <v/>
      </c>
      <c r="W163" s="96" t="str">
        <f t="shared" ca="1" si="36"/>
        <v/>
      </c>
      <c r="X163" s="293" t="str">
        <f t="shared" ca="1" si="36"/>
        <v/>
      </c>
      <c r="Y163" s="284" t="str">
        <f t="shared" ca="1" si="36"/>
        <v/>
      </c>
      <c r="Z163" s="96" t="str">
        <f t="shared" ca="1" si="36"/>
        <v/>
      </c>
      <c r="AA163" s="96" t="str">
        <f t="shared" ca="1" si="36"/>
        <v/>
      </c>
      <c r="AB163" s="386" t="str">
        <f t="shared" ca="1" si="36"/>
        <v/>
      </c>
      <c r="AC163" s="293" t="str">
        <f t="shared" ca="1" si="36"/>
        <v/>
      </c>
      <c r="AD163" s="284" t="str">
        <f t="shared" ca="1" si="33"/>
        <v/>
      </c>
      <c r="AE163" s="293" t="str">
        <f t="shared" ca="1" si="33"/>
        <v/>
      </c>
      <c r="AF163" s="284" t="str">
        <f t="shared" ca="1" si="33"/>
        <v/>
      </c>
      <c r="AG163" s="293" t="str">
        <f t="shared" ca="1" si="33"/>
        <v/>
      </c>
      <c r="AH163" s="96"/>
      <c r="AI163" s="96" t="str">
        <f t="shared" ca="1" si="19"/>
        <v/>
      </c>
      <c r="AK163" s="96">
        <f t="shared" ca="1" si="20"/>
        <v>0</v>
      </c>
      <c r="AL163" s="12">
        <f t="shared" ca="1" si="21"/>
        <v>0</v>
      </c>
      <c r="AM163" s="12">
        <f t="shared" ca="1" si="22"/>
        <v>0</v>
      </c>
      <c r="AN163" s="12">
        <f t="shared" ca="1" si="23"/>
        <v>0</v>
      </c>
      <c r="AO163" s="12">
        <f t="shared" ca="1" si="24"/>
        <v>0</v>
      </c>
      <c r="AP163" s="12" t="str">
        <f t="shared" ca="1" si="25"/>
        <v/>
      </c>
      <c r="AQ163" s="12" t="str">
        <f t="shared" ca="1" si="26"/>
        <v/>
      </c>
      <c r="AR163" s="12" t="str">
        <f t="shared" ca="1" si="27"/>
        <v/>
      </c>
      <c r="AS163" s="12" t="str">
        <f t="shared" ca="1" si="28"/>
        <v/>
      </c>
    </row>
    <row r="164" spans="1:45">
      <c r="A164">
        <f t="shared" si="32"/>
        <v>259</v>
      </c>
      <c r="B164" t="str">
        <f t="shared" ca="1" si="10"/>
        <v xml:space="preserve"> </v>
      </c>
      <c r="C164" t="b">
        <f t="shared" ca="1" si="11"/>
        <v>0</v>
      </c>
      <c r="D164" s="284" t="str">
        <f t="shared" ca="1" si="30"/>
        <v/>
      </c>
      <c r="E164" s="96" t="str">
        <f t="shared" ca="1" si="12"/>
        <v/>
      </c>
      <c r="F164" s="96" t="str">
        <f t="shared" ca="1" si="13"/>
        <v/>
      </c>
      <c r="G164" s="293" t="str">
        <f t="shared" ca="1" si="34"/>
        <v/>
      </c>
      <c r="H164" s="284" t="str">
        <f t="shared" ca="1" si="34"/>
        <v/>
      </c>
      <c r="I164" s="96" t="str">
        <f t="shared" ca="1" si="34"/>
        <v/>
      </c>
      <c r="J164" s="96" t="str">
        <f t="shared" ca="1" si="15"/>
        <v/>
      </c>
      <c r="K164" s="96" t="str">
        <f t="shared" ca="1" si="30"/>
        <v/>
      </c>
      <c r="L164" s="96" t="str">
        <f t="shared" ca="1" si="30"/>
        <v/>
      </c>
      <c r="M164" s="294" t="str">
        <f t="shared" ca="1" si="30"/>
        <v/>
      </c>
      <c r="N164" s="295" t="str">
        <f t="shared" ca="1" si="35"/>
        <v/>
      </c>
      <c r="O164" s="96" t="str">
        <f t="shared" ca="1" si="35"/>
        <v/>
      </c>
      <c r="P164" s="96" t="str">
        <f t="shared" ca="1" si="17"/>
        <v/>
      </c>
      <c r="Q164" s="96" t="str">
        <f t="shared" ca="1" si="30"/>
        <v/>
      </c>
      <c r="R164" s="293" t="str">
        <f t="shared" ca="1" si="30"/>
        <v/>
      </c>
      <c r="S164" s="284" t="str">
        <f t="shared" ca="1" si="36"/>
        <v/>
      </c>
      <c r="T164" s="96" t="str">
        <f t="shared" ca="1" si="36"/>
        <v/>
      </c>
      <c r="U164" s="96" t="str">
        <f t="shared" ca="1" si="18"/>
        <v/>
      </c>
      <c r="V164" s="96" t="str">
        <f t="shared" ca="1" si="36"/>
        <v/>
      </c>
      <c r="W164" s="96" t="str">
        <f t="shared" ca="1" si="36"/>
        <v/>
      </c>
      <c r="X164" s="293" t="str">
        <f t="shared" ca="1" si="36"/>
        <v/>
      </c>
      <c r="Y164" s="284" t="str">
        <f t="shared" ca="1" si="36"/>
        <v/>
      </c>
      <c r="Z164" s="96" t="str">
        <f t="shared" ca="1" si="36"/>
        <v/>
      </c>
      <c r="AA164" s="96" t="str">
        <f t="shared" ca="1" si="36"/>
        <v/>
      </c>
      <c r="AB164" s="386" t="str">
        <f t="shared" ca="1" si="36"/>
        <v/>
      </c>
      <c r="AC164" s="293" t="str">
        <f t="shared" ca="1" si="36"/>
        <v/>
      </c>
      <c r="AD164" s="284" t="str">
        <f t="shared" ca="1" si="33"/>
        <v/>
      </c>
      <c r="AE164" s="293" t="str">
        <f t="shared" ca="1" si="33"/>
        <v/>
      </c>
      <c r="AF164" s="284" t="str">
        <f t="shared" ca="1" si="33"/>
        <v/>
      </c>
      <c r="AG164" s="293" t="str">
        <f t="shared" ca="1" si="33"/>
        <v/>
      </c>
      <c r="AH164" s="96"/>
      <c r="AI164" s="96" t="str">
        <f t="shared" ca="1" si="19"/>
        <v/>
      </c>
      <c r="AK164" s="96">
        <f t="shared" ca="1" si="20"/>
        <v>0</v>
      </c>
      <c r="AL164" s="12">
        <f t="shared" ca="1" si="21"/>
        <v>0</v>
      </c>
      <c r="AM164" s="12">
        <f t="shared" ca="1" si="22"/>
        <v>0</v>
      </c>
      <c r="AN164" s="12">
        <f t="shared" ca="1" si="23"/>
        <v>0</v>
      </c>
      <c r="AO164" s="12">
        <f t="shared" ca="1" si="24"/>
        <v>0</v>
      </c>
      <c r="AP164" s="12" t="str">
        <f t="shared" ca="1" si="25"/>
        <v/>
      </c>
      <c r="AQ164" s="12" t="str">
        <f t="shared" ca="1" si="26"/>
        <v/>
      </c>
      <c r="AR164" s="12" t="str">
        <f t="shared" ca="1" si="27"/>
        <v/>
      </c>
      <c r="AS164" s="12" t="str">
        <f t="shared" ca="1" si="28"/>
        <v/>
      </c>
    </row>
    <row r="165" spans="1:45">
      <c r="A165">
        <f t="shared" si="32"/>
        <v>264</v>
      </c>
      <c r="B165" t="str">
        <f t="shared" ca="1" si="10"/>
        <v xml:space="preserve"> </v>
      </c>
      <c r="C165" t="b">
        <f t="shared" ca="1" si="11"/>
        <v>0</v>
      </c>
      <c r="D165" s="284" t="str">
        <f t="shared" ca="1" si="30"/>
        <v/>
      </c>
      <c r="E165" s="96" t="str">
        <f t="shared" ca="1" si="12"/>
        <v/>
      </c>
      <c r="F165" s="96" t="str">
        <f t="shared" ca="1" si="13"/>
        <v/>
      </c>
      <c r="G165" s="293" t="str">
        <f t="shared" ca="1" si="34"/>
        <v/>
      </c>
      <c r="H165" s="284" t="str">
        <f t="shared" ca="1" si="34"/>
        <v/>
      </c>
      <c r="I165" s="96" t="str">
        <f t="shared" ca="1" si="34"/>
        <v/>
      </c>
      <c r="J165" s="96" t="str">
        <f t="shared" ca="1" si="15"/>
        <v/>
      </c>
      <c r="K165" s="96" t="str">
        <f t="shared" ca="1" si="30"/>
        <v/>
      </c>
      <c r="L165" s="96" t="str">
        <f t="shared" ca="1" si="30"/>
        <v/>
      </c>
      <c r="M165" s="294" t="str">
        <f t="shared" ca="1" si="30"/>
        <v/>
      </c>
      <c r="N165" s="295" t="str">
        <f t="shared" ca="1" si="35"/>
        <v/>
      </c>
      <c r="O165" s="96" t="str">
        <f t="shared" ca="1" si="35"/>
        <v/>
      </c>
      <c r="P165" s="96" t="str">
        <f t="shared" ca="1" si="17"/>
        <v/>
      </c>
      <c r="Q165" s="96" t="str">
        <f t="shared" ca="1" si="30"/>
        <v/>
      </c>
      <c r="R165" s="293" t="str">
        <f t="shared" ca="1" si="30"/>
        <v/>
      </c>
      <c r="S165" s="284" t="str">
        <f t="shared" ca="1" si="36"/>
        <v/>
      </c>
      <c r="T165" s="96" t="str">
        <f t="shared" ca="1" si="36"/>
        <v/>
      </c>
      <c r="U165" s="96" t="str">
        <f t="shared" ca="1" si="18"/>
        <v/>
      </c>
      <c r="V165" s="96" t="str">
        <f t="shared" ca="1" si="36"/>
        <v/>
      </c>
      <c r="W165" s="96" t="str">
        <f t="shared" ca="1" si="36"/>
        <v/>
      </c>
      <c r="X165" s="293" t="str">
        <f t="shared" ca="1" si="36"/>
        <v/>
      </c>
      <c r="Y165" s="284" t="str">
        <f t="shared" ca="1" si="36"/>
        <v/>
      </c>
      <c r="Z165" s="96" t="str">
        <f t="shared" ca="1" si="36"/>
        <v/>
      </c>
      <c r="AA165" s="96" t="str">
        <f t="shared" ca="1" si="36"/>
        <v/>
      </c>
      <c r="AB165" s="386" t="str">
        <f t="shared" ca="1" si="36"/>
        <v/>
      </c>
      <c r="AC165" s="293" t="str">
        <f t="shared" ca="1" si="36"/>
        <v/>
      </c>
      <c r="AD165" s="284" t="str">
        <f t="shared" ca="1" si="33"/>
        <v/>
      </c>
      <c r="AE165" s="293" t="str">
        <f t="shared" ca="1" si="33"/>
        <v/>
      </c>
      <c r="AF165" s="284" t="str">
        <f t="shared" ca="1" si="33"/>
        <v/>
      </c>
      <c r="AG165" s="293" t="str">
        <f t="shared" ca="1" si="33"/>
        <v/>
      </c>
      <c r="AH165" s="96"/>
      <c r="AI165" s="96" t="str">
        <f t="shared" ca="1" si="19"/>
        <v/>
      </c>
      <c r="AK165" s="96">
        <f t="shared" ca="1" si="20"/>
        <v>0</v>
      </c>
      <c r="AL165" s="12">
        <f t="shared" ca="1" si="21"/>
        <v>0</v>
      </c>
      <c r="AM165" s="12">
        <f t="shared" ca="1" si="22"/>
        <v>0</v>
      </c>
      <c r="AN165" s="12">
        <f t="shared" ca="1" si="23"/>
        <v>0</v>
      </c>
      <c r="AO165" s="12">
        <f t="shared" ca="1" si="24"/>
        <v>0</v>
      </c>
      <c r="AP165" s="12" t="str">
        <f t="shared" ca="1" si="25"/>
        <v/>
      </c>
      <c r="AQ165" s="12" t="str">
        <f t="shared" ca="1" si="26"/>
        <v/>
      </c>
      <c r="AR165" s="12" t="str">
        <f t="shared" ca="1" si="27"/>
        <v/>
      </c>
      <c r="AS165" s="12" t="str">
        <f t="shared" ca="1" si="28"/>
        <v/>
      </c>
    </row>
    <row r="166" spans="1:45">
      <c r="A166">
        <f t="shared" si="32"/>
        <v>269</v>
      </c>
      <c r="B166" t="str">
        <f t="shared" ca="1" si="10"/>
        <v xml:space="preserve"> </v>
      </c>
      <c r="C166" t="b">
        <f t="shared" ca="1" si="11"/>
        <v>0</v>
      </c>
      <c r="D166" s="284" t="str">
        <f t="shared" ca="1" si="30"/>
        <v/>
      </c>
      <c r="E166" s="96" t="str">
        <f t="shared" ca="1" si="12"/>
        <v/>
      </c>
      <c r="F166" s="96" t="str">
        <f t="shared" ca="1" si="13"/>
        <v/>
      </c>
      <c r="G166" s="293" t="str">
        <f t="shared" ca="1" si="34"/>
        <v/>
      </c>
      <c r="H166" s="284" t="str">
        <f t="shared" ca="1" si="34"/>
        <v/>
      </c>
      <c r="I166" s="96" t="str">
        <f t="shared" ca="1" si="34"/>
        <v/>
      </c>
      <c r="J166" s="96" t="str">
        <f t="shared" ca="1" si="15"/>
        <v/>
      </c>
      <c r="K166" s="96" t="str">
        <f t="shared" ca="1" si="30"/>
        <v/>
      </c>
      <c r="L166" s="96" t="str">
        <f t="shared" ca="1" si="30"/>
        <v/>
      </c>
      <c r="M166" s="294" t="str">
        <f t="shared" ca="1" si="30"/>
        <v/>
      </c>
      <c r="N166" s="295" t="str">
        <f t="shared" ca="1" si="35"/>
        <v/>
      </c>
      <c r="O166" s="96" t="str">
        <f t="shared" ca="1" si="35"/>
        <v/>
      </c>
      <c r="P166" s="96" t="str">
        <f t="shared" ca="1" si="17"/>
        <v/>
      </c>
      <c r="Q166" s="96" t="str">
        <f t="shared" ca="1" si="30"/>
        <v/>
      </c>
      <c r="R166" s="293" t="str">
        <f t="shared" ca="1" si="30"/>
        <v/>
      </c>
      <c r="S166" s="284" t="str">
        <f t="shared" ca="1" si="36"/>
        <v/>
      </c>
      <c r="T166" s="96" t="str">
        <f t="shared" ca="1" si="36"/>
        <v/>
      </c>
      <c r="U166" s="96" t="str">
        <f t="shared" ca="1" si="18"/>
        <v/>
      </c>
      <c r="V166" s="96" t="str">
        <f t="shared" ca="1" si="36"/>
        <v/>
      </c>
      <c r="W166" s="96" t="str">
        <f t="shared" ca="1" si="36"/>
        <v/>
      </c>
      <c r="X166" s="293" t="str">
        <f t="shared" ca="1" si="36"/>
        <v/>
      </c>
      <c r="Y166" s="284" t="str">
        <f t="shared" ca="1" si="36"/>
        <v/>
      </c>
      <c r="Z166" s="96" t="str">
        <f t="shared" ca="1" si="36"/>
        <v/>
      </c>
      <c r="AA166" s="96" t="str">
        <f t="shared" ca="1" si="36"/>
        <v/>
      </c>
      <c r="AB166" s="386" t="str">
        <f t="shared" ca="1" si="36"/>
        <v/>
      </c>
      <c r="AC166" s="293" t="str">
        <f t="shared" ca="1" si="36"/>
        <v/>
      </c>
      <c r="AD166" s="284" t="str">
        <f t="shared" ca="1" si="33"/>
        <v/>
      </c>
      <c r="AE166" s="293" t="str">
        <f t="shared" ca="1" si="33"/>
        <v/>
      </c>
      <c r="AF166" s="284" t="str">
        <f t="shared" ca="1" si="33"/>
        <v/>
      </c>
      <c r="AG166" s="293" t="str">
        <f t="shared" ca="1" si="33"/>
        <v/>
      </c>
      <c r="AH166" s="96"/>
      <c r="AI166" s="96" t="str">
        <f t="shared" ca="1" si="19"/>
        <v/>
      </c>
      <c r="AK166" s="96">
        <f t="shared" ca="1" si="20"/>
        <v>0</v>
      </c>
      <c r="AL166" s="12">
        <f t="shared" ca="1" si="21"/>
        <v>0</v>
      </c>
      <c r="AM166" s="12">
        <f t="shared" ca="1" si="22"/>
        <v>0</v>
      </c>
      <c r="AN166" s="12">
        <f t="shared" ca="1" si="23"/>
        <v>0</v>
      </c>
      <c r="AO166" s="12">
        <f t="shared" ca="1" si="24"/>
        <v>0</v>
      </c>
      <c r="AP166" s="12" t="str">
        <f t="shared" ca="1" si="25"/>
        <v/>
      </c>
      <c r="AQ166" s="12" t="str">
        <f t="shared" ca="1" si="26"/>
        <v/>
      </c>
      <c r="AR166" s="12" t="str">
        <f t="shared" ca="1" si="27"/>
        <v/>
      </c>
      <c r="AS166" s="12" t="str">
        <f t="shared" ca="1" si="28"/>
        <v/>
      </c>
    </row>
    <row r="167" spans="1:45">
      <c r="A167">
        <f t="shared" si="32"/>
        <v>274</v>
      </c>
      <c r="B167" t="str">
        <f t="shared" ca="1" si="10"/>
        <v xml:space="preserve"> </v>
      </c>
      <c r="C167" t="b">
        <f t="shared" ca="1" si="11"/>
        <v>0</v>
      </c>
      <c r="D167" s="284" t="str">
        <f t="shared" ca="1" si="30"/>
        <v/>
      </c>
      <c r="E167" s="96" t="str">
        <f t="shared" ca="1" si="12"/>
        <v/>
      </c>
      <c r="F167" s="96" t="str">
        <f t="shared" ca="1" si="13"/>
        <v/>
      </c>
      <c r="G167" s="293" t="str">
        <f t="shared" ca="1" si="34"/>
        <v/>
      </c>
      <c r="H167" s="284" t="str">
        <f t="shared" ca="1" si="34"/>
        <v/>
      </c>
      <c r="I167" s="96" t="str">
        <f t="shared" ca="1" si="34"/>
        <v/>
      </c>
      <c r="J167" s="96" t="str">
        <f t="shared" ca="1" si="15"/>
        <v/>
      </c>
      <c r="K167" s="96" t="str">
        <f t="shared" ca="1" si="30"/>
        <v/>
      </c>
      <c r="L167" s="96" t="str">
        <f t="shared" ca="1" si="30"/>
        <v/>
      </c>
      <c r="M167" s="294" t="str">
        <f t="shared" ca="1" si="30"/>
        <v/>
      </c>
      <c r="N167" s="295" t="str">
        <f t="shared" ca="1" si="35"/>
        <v/>
      </c>
      <c r="O167" s="96" t="str">
        <f t="shared" ca="1" si="35"/>
        <v/>
      </c>
      <c r="P167" s="96" t="str">
        <f t="shared" ca="1" si="17"/>
        <v/>
      </c>
      <c r="Q167" s="96" t="str">
        <f t="shared" ca="1" si="30"/>
        <v/>
      </c>
      <c r="R167" s="293" t="str">
        <f t="shared" ca="1" si="30"/>
        <v/>
      </c>
      <c r="S167" s="284" t="str">
        <f t="shared" ca="1" si="36"/>
        <v/>
      </c>
      <c r="T167" s="96" t="str">
        <f t="shared" ca="1" si="36"/>
        <v/>
      </c>
      <c r="U167" s="96" t="str">
        <f t="shared" ca="1" si="18"/>
        <v/>
      </c>
      <c r="V167" s="96" t="str">
        <f t="shared" ca="1" si="36"/>
        <v/>
      </c>
      <c r="W167" s="96" t="str">
        <f t="shared" ca="1" si="36"/>
        <v/>
      </c>
      <c r="X167" s="293" t="str">
        <f t="shared" ca="1" si="36"/>
        <v/>
      </c>
      <c r="Y167" s="284" t="str">
        <f t="shared" ca="1" si="36"/>
        <v/>
      </c>
      <c r="Z167" s="96" t="str">
        <f t="shared" ca="1" si="36"/>
        <v/>
      </c>
      <c r="AA167" s="96" t="str">
        <f t="shared" ca="1" si="36"/>
        <v/>
      </c>
      <c r="AB167" s="386" t="str">
        <f t="shared" ca="1" si="36"/>
        <v/>
      </c>
      <c r="AC167" s="293" t="str">
        <f t="shared" ca="1" si="36"/>
        <v/>
      </c>
      <c r="AD167" s="284" t="str">
        <f t="shared" ca="1" si="33"/>
        <v/>
      </c>
      <c r="AE167" s="293" t="str">
        <f t="shared" ca="1" si="33"/>
        <v/>
      </c>
      <c r="AF167" s="284" t="str">
        <f t="shared" ca="1" si="33"/>
        <v/>
      </c>
      <c r="AG167" s="293" t="str">
        <f t="shared" ca="1" si="33"/>
        <v/>
      </c>
      <c r="AH167" s="96"/>
      <c r="AI167" s="96" t="str">
        <f t="shared" ca="1" si="19"/>
        <v/>
      </c>
      <c r="AK167" s="96">
        <f t="shared" ca="1" si="20"/>
        <v>0</v>
      </c>
      <c r="AL167" s="12">
        <f t="shared" ca="1" si="21"/>
        <v>0</v>
      </c>
      <c r="AM167" s="12">
        <f t="shared" ca="1" si="22"/>
        <v>0</v>
      </c>
      <c r="AN167" s="12">
        <f t="shared" ca="1" si="23"/>
        <v>0</v>
      </c>
      <c r="AO167" s="12">
        <f t="shared" ca="1" si="24"/>
        <v>0</v>
      </c>
      <c r="AP167" s="12" t="str">
        <f t="shared" ca="1" si="25"/>
        <v/>
      </c>
      <c r="AQ167" s="12" t="str">
        <f t="shared" ca="1" si="26"/>
        <v/>
      </c>
      <c r="AR167" s="12" t="str">
        <f t="shared" ca="1" si="27"/>
        <v/>
      </c>
      <c r="AS167" s="12" t="str">
        <f t="shared" ca="1" si="28"/>
        <v/>
      </c>
    </row>
    <row r="168" spans="1:45">
      <c r="A168">
        <f t="shared" si="32"/>
        <v>279</v>
      </c>
      <c r="B168" t="str">
        <f t="shared" ca="1" si="10"/>
        <v xml:space="preserve"> </v>
      </c>
      <c r="C168" t="b">
        <f t="shared" ca="1" si="11"/>
        <v>0</v>
      </c>
      <c r="D168" s="284" t="str">
        <f t="shared" ca="1" si="30"/>
        <v/>
      </c>
      <c r="E168" s="96" t="str">
        <f t="shared" ca="1" si="12"/>
        <v/>
      </c>
      <c r="F168" s="96" t="str">
        <f t="shared" ca="1" si="13"/>
        <v/>
      </c>
      <c r="G168" s="293" t="str">
        <f t="shared" ca="1" si="34"/>
        <v/>
      </c>
      <c r="H168" s="284" t="str">
        <f t="shared" ca="1" si="34"/>
        <v/>
      </c>
      <c r="I168" s="96" t="str">
        <f t="shared" ca="1" si="34"/>
        <v/>
      </c>
      <c r="J168" s="96" t="str">
        <f t="shared" ca="1" si="15"/>
        <v/>
      </c>
      <c r="K168" s="96" t="str">
        <f t="shared" ca="1" si="30"/>
        <v/>
      </c>
      <c r="L168" s="96" t="str">
        <f t="shared" ca="1" si="30"/>
        <v/>
      </c>
      <c r="M168" s="294" t="str">
        <f t="shared" ca="1" si="30"/>
        <v/>
      </c>
      <c r="N168" s="295" t="str">
        <f t="shared" ca="1" si="35"/>
        <v/>
      </c>
      <c r="O168" s="96" t="str">
        <f t="shared" ca="1" si="35"/>
        <v/>
      </c>
      <c r="P168" s="96" t="str">
        <f t="shared" ca="1" si="17"/>
        <v/>
      </c>
      <c r="Q168" s="96" t="str">
        <f t="shared" ca="1" si="30"/>
        <v/>
      </c>
      <c r="R168" s="293" t="str">
        <f t="shared" ca="1" si="30"/>
        <v/>
      </c>
      <c r="S168" s="284" t="str">
        <f t="shared" ca="1" si="36"/>
        <v/>
      </c>
      <c r="T168" s="96" t="str">
        <f t="shared" ca="1" si="36"/>
        <v/>
      </c>
      <c r="U168" s="96" t="str">
        <f t="shared" ca="1" si="18"/>
        <v/>
      </c>
      <c r="V168" s="96" t="str">
        <f t="shared" ca="1" si="36"/>
        <v/>
      </c>
      <c r="W168" s="96" t="str">
        <f t="shared" ca="1" si="36"/>
        <v/>
      </c>
      <c r="X168" s="293" t="str">
        <f t="shared" ca="1" si="36"/>
        <v/>
      </c>
      <c r="Y168" s="284" t="str">
        <f t="shared" ca="1" si="36"/>
        <v/>
      </c>
      <c r="Z168" s="96" t="str">
        <f t="shared" ca="1" si="36"/>
        <v/>
      </c>
      <c r="AA168" s="96" t="str">
        <f t="shared" ca="1" si="36"/>
        <v/>
      </c>
      <c r="AB168" s="386" t="str">
        <f t="shared" ca="1" si="36"/>
        <v/>
      </c>
      <c r="AC168" s="293" t="str">
        <f t="shared" ca="1" si="36"/>
        <v/>
      </c>
      <c r="AD168" s="284" t="str">
        <f t="shared" ca="1" si="33"/>
        <v/>
      </c>
      <c r="AE168" s="293" t="str">
        <f t="shared" ca="1" si="33"/>
        <v/>
      </c>
      <c r="AF168" s="284" t="str">
        <f t="shared" ca="1" si="33"/>
        <v/>
      </c>
      <c r="AG168" s="293" t="str">
        <f t="shared" ca="1" si="33"/>
        <v/>
      </c>
      <c r="AH168" s="96"/>
      <c r="AI168" s="96" t="str">
        <f t="shared" ca="1" si="19"/>
        <v/>
      </c>
      <c r="AK168" s="96">
        <f t="shared" ca="1" si="20"/>
        <v>0</v>
      </c>
      <c r="AL168" s="12">
        <f t="shared" ca="1" si="21"/>
        <v>0</v>
      </c>
      <c r="AM168" s="12">
        <f t="shared" ca="1" si="22"/>
        <v>0</v>
      </c>
      <c r="AN168" s="12">
        <f t="shared" ca="1" si="23"/>
        <v>0</v>
      </c>
      <c r="AO168" s="12">
        <f t="shared" ca="1" si="24"/>
        <v>0</v>
      </c>
      <c r="AP168" s="12" t="str">
        <f t="shared" ca="1" si="25"/>
        <v/>
      </c>
      <c r="AQ168" s="12" t="str">
        <f t="shared" ca="1" si="26"/>
        <v/>
      </c>
      <c r="AR168" s="12" t="str">
        <f t="shared" ca="1" si="27"/>
        <v/>
      </c>
      <c r="AS168" s="12" t="str">
        <f t="shared" ca="1" si="28"/>
        <v/>
      </c>
    </row>
    <row r="169" spans="1:45">
      <c r="A169">
        <f t="shared" si="32"/>
        <v>284</v>
      </c>
      <c r="B169" t="str">
        <f t="shared" ca="1" si="10"/>
        <v xml:space="preserve"> </v>
      </c>
      <c r="C169" t="b">
        <f t="shared" ca="1" si="11"/>
        <v>0</v>
      </c>
      <c r="D169" s="284" t="str">
        <f t="shared" ca="1" si="30"/>
        <v/>
      </c>
      <c r="E169" s="96" t="str">
        <f t="shared" ca="1" si="12"/>
        <v/>
      </c>
      <c r="F169" s="96" t="str">
        <f t="shared" ca="1" si="13"/>
        <v/>
      </c>
      <c r="G169" s="293" t="str">
        <f t="shared" ca="1" si="34"/>
        <v/>
      </c>
      <c r="H169" s="284" t="str">
        <f t="shared" ca="1" si="34"/>
        <v/>
      </c>
      <c r="I169" s="96" t="str">
        <f t="shared" ca="1" si="34"/>
        <v/>
      </c>
      <c r="J169" s="96" t="str">
        <f t="shared" ca="1" si="15"/>
        <v/>
      </c>
      <c r="K169" s="96" t="str">
        <f t="shared" ca="1" si="30"/>
        <v/>
      </c>
      <c r="L169" s="96" t="str">
        <f t="shared" ca="1" si="30"/>
        <v/>
      </c>
      <c r="M169" s="294" t="str">
        <f t="shared" ca="1" si="30"/>
        <v/>
      </c>
      <c r="N169" s="295" t="str">
        <f t="shared" ca="1" si="35"/>
        <v/>
      </c>
      <c r="O169" s="96" t="str">
        <f t="shared" ca="1" si="35"/>
        <v/>
      </c>
      <c r="P169" s="96" t="str">
        <f t="shared" ca="1" si="17"/>
        <v/>
      </c>
      <c r="Q169" s="96" t="str">
        <f t="shared" ca="1" si="30"/>
        <v/>
      </c>
      <c r="R169" s="293" t="str">
        <f t="shared" ca="1" si="30"/>
        <v/>
      </c>
      <c r="S169" s="284" t="str">
        <f t="shared" ca="1" si="36"/>
        <v/>
      </c>
      <c r="T169" s="96" t="str">
        <f t="shared" ca="1" si="36"/>
        <v/>
      </c>
      <c r="U169" s="96" t="str">
        <f t="shared" ca="1" si="18"/>
        <v/>
      </c>
      <c r="V169" s="96" t="str">
        <f t="shared" ca="1" si="36"/>
        <v/>
      </c>
      <c r="W169" s="96" t="str">
        <f t="shared" ca="1" si="36"/>
        <v/>
      </c>
      <c r="X169" s="293" t="str">
        <f t="shared" ca="1" si="36"/>
        <v/>
      </c>
      <c r="Y169" s="284" t="str">
        <f t="shared" ca="1" si="36"/>
        <v/>
      </c>
      <c r="Z169" s="96" t="str">
        <f t="shared" ca="1" si="36"/>
        <v/>
      </c>
      <c r="AA169" s="96" t="str">
        <f t="shared" ca="1" si="36"/>
        <v/>
      </c>
      <c r="AB169" s="386" t="str">
        <f t="shared" ca="1" si="36"/>
        <v/>
      </c>
      <c r="AC169" s="293" t="str">
        <f t="shared" ca="1" si="36"/>
        <v/>
      </c>
      <c r="AD169" s="284" t="str">
        <f t="shared" ca="1" si="33"/>
        <v/>
      </c>
      <c r="AE169" s="293" t="str">
        <f t="shared" ca="1" si="33"/>
        <v/>
      </c>
      <c r="AF169" s="284" t="str">
        <f t="shared" ca="1" si="33"/>
        <v/>
      </c>
      <c r="AG169" s="293" t="str">
        <f t="shared" ca="1" si="33"/>
        <v/>
      </c>
      <c r="AH169" s="96"/>
      <c r="AI169" s="96" t="str">
        <f t="shared" ca="1" si="19"/>
        <v/>
      </c>
      <c r="AK169" s="96">
        <f t="shared" ca="1" si="20"/>
        <v>0</v>
      </c>
      <c r="AL169" s="12">
        <f t="shared" ca="1" si="21"/>
        <v>0</v>
      </c>
      <c r="AM169" s="12">
        <f t="shared" ca="1" si="22"/>
        <v>0</v>
      </c>
      <c r="AN169" s="12">
        <f t="shared" ca="1" si="23"/>
        <v>0</v>
      </c>
      <c r="AO169" s="12">
        <f t="shared" ca="1" si="24"/>
        <v>0</v>
      </c>
      <c r="AP169" s="12" t="str">
        <f t="shared" ca="1" si="25"/>
        <v/>
      </c>
      <c r="AQ169" s="12" t="str">
        <f t="shared" ca="1" si="26"/>
        <v/>
      </c>
      <c r="AR169" s="12" t="str">
        <f t="shared" ca="1" si="27"/>
        <v/>
      </c>
      <c r="AS169" s="12" t="str">
        <f t="shared" ca="1" si="28"/>
        <v/>
      </c>
    </row>
    <row r="170" spans="1:45">
      <c r="A170">
        <f t="shared" si="32"/>
        <v>289</v>
      </c>
      <c r="B170" t="str">
        <f t="shared" ca="1" si="10"/>
        <v xml:space="preserve"> </v>
      </c>
      <c r="C170" t="b">
        <f t="shared" ca="1" si="11"/>
        <v>0</v>
      </c>
      <c r="D170" s="284" t="str">
        <f t="shared" ca="1" si="30"/>
        <v/>
      </c>
      <c r="E170" s="96" t="str">
        <f t="shared" ca="1" si="12"/>
        <v/>
      </c>
      <c r="F170" s="96" t="str">
        <f t="shared" ca="1" si="13"/>
        <v/>
      </c>
      <c r="G170" s="293" t="str">
        <f t="shared" ca="1" si="34"/>
        <v/>
      </c>
      <c r="H170" s="284" t="str">
        <f t="shared" ca="1" si="34"/>
        <v/>
      </c>
      <c r="I170" s="96" t="str">
        <f t="shared" ca="1" si="34"/>
        <v/>
      </c>
      <c r="J170" s="96" t="str">
        <f t="shared" ca="1" si="15"/>
        <v/>
      </c>
      <c r="K170" s="96" t="str">
        <f t="shared" ca="1" si="30"/>
        <v/>
      </c>
      <c r="L170" s="96" t="str">
        <f t="shared" ca="1" si="30"/>
        <v/>
      </c>
      <c r="M170" s="294" t="str">
        <f t="shared" ca="1" si="30"/>
        <v/>
      </c>
      <c r="N170" s="295" t="str">
        <f t="shared" ca="1" si="35"/>
        <v/>
      </c>
      <c r="O170" s="96" t="str">
        <f t="shared" ca="1" si="35"/>
        <v/>
      </c>
      <c r="P170" s="96" t="str">
        <f t="shared" ca="1" si="17"/>
        <v/>
      </c>
      <c r="Q170" s="96" t="str">
        <f t="shared" ca="1" si="30"/>
        <v/>
      </c>
      <c r="R170" s="293" t="str">
        <f t="shared" ca="1" si="30"/>
        <v/>
      </c>
      <c r="S170" s="284" t="str">
        <f t="shared" ca="1" si="36"/>
        <v/>
      </c>
      <c r="T170" s="96" t="str">
        <f t="shared" ca="1" si="36"/>
        <v/>
      </c>
      <c r="U170" s="96" t="str">
        <f t="shared" ca="1" si="18"/>
        <v/>
      </c>
      <c r="V170" s="96" t="str">
        <f t="shared" ca="1" si="36"/>
        <v/>
      </c>
      <c r="W170" s="96" t="str">
        <f t="shared" ca="1" si="36"/>
        <v/>
      </c>
      <c r="X170" s="293" t="str">
        <f t="shared" ca="1" si="36"/>
        <v/>
      </c>
      <c r="Y170" s="284" t="str">
        <f t="shared" ca="1" si="36"/>
        <v/>
      </c>
      <c r="Z170" s="96" t="str">
        <f t="shared" ca="1" si="36"/>
        <v/>
      </c>
      <c r="AA170" s="96" t="str">
        <f t="shared" ca="1" si="36"/>
        <v/>
      </c>
      <c r="AB170" s="386" t="str">
        <f t="shared" ca="1" si="36"/>
        <v/>
      </c>
      <c r="AC170" s="293" t="str">
        <f t="shared" ca="1" si="36"/>
        <v/>
      </c>
      <c r="AD170" s="284" t="str">
        <f t="shared" ca="1" si="33"/>
        <v/>
      </c>
      <c r="AE170" s="293" t="str">
        <f t="shared" ca="1" si="33"/>
        <v/>
      </c>
      <c r="AF170" s="284" t="str">
        <f t="shared" ca="1" si="33"/>
        <v/>
      </c>
      <c r="AG170" s="293" t="str">
        <f t="shared" ca="1" si="33"/>
        <v/>
      </c>
      <c r="AH170" s="96"/>
      <c r="AI170" s="96" t="str">
        <f t="shared" ca="1" si="19"/>
        <v/>
      </c>
      <c r="AK170" s="96">
        <f t="shared" ca="1" si="20"/>
        <v>0</v>
      </c>
      <c r="AL170" s="12">
        <f t="shared" ca="1" si="21"/>
        <v>0</v>
      </c>
      <c r="AM170" s="12">
        <f t="shared" ca="1" si="22"/>
        <v>0</v>
      </c>
      <c r="AN170" s="12">
        <f t="shared" ca="1" si="23"/>
        <v>0</v>
      </c>
      <c r="AO170" s="12">
        <f t="shared" ca="1" si="24"/>
        <v>0</v>
      </c>
      <c r="AP170" s="12" t="str">
        <f t="shared" ca="1" si="25"/>
        <v/>
      </c>
      <c r="AQ170" s="12" t="str">
        <f t="shared" ca="1" si="26"/>
        <v/>
      </c>
      <c r="AR170" s="12" t="str">
        <f t="shared" ca="1" si="27"/>
        <v/>
      </c>
      <c r="AS170" s="12" t="str">
        <f t="shared" ca="1" si="28"/>
        <v/>
      </c>
    </row>
    <row r="171" spans="1:45">
      <c r="A171">
        <f t="shared" si="32"/>
        <v>294</v>
      </c>
      <c r="B171" t="str">
        <f t="shared" ca="1" si="10"/>
        <v xml:space="preserve"> </v>
      </c>
      <c r="C171" t="b">
        <f t="shared" ca="1" si="11"/>
        <v>0</v>
      </c>
      <c r="D171" s="284" t="str">
        <f t="shared" ca="1" si="30"/>
        <v/>
      </c>
      <c r="E171" s="96" t="str">
        <f t="shared" ca="1" si="12"/>
        <v/>
      </c>
      <c r="F171" s="96" t="str">
        <f t="shared" ca="1" si="13"/>
        <v/>
      </c>
      <c r="G171" s="293" t="str">
        <f t="shared" ca="1" si="34"/>
        <v/>
      </c>
      <c r="H171" s="284" t="str">
        <f t="shared" ca="1" si="34"/>
        <v/>
      </c>
      <c r="I171" s="96" t="str">
        <f t="shared" ca="1" si="34"/>
        <v/>
      </c>
      <c r="J171" s="96" t="str">
        <f t="shared" ca="1" si="15"/>
        <v/>
      </c>
      <c r="K171" s="96" t="str">
        <f t="shared" ca="1" si="30"/>
        <v/>
      </c>
      <c r="L171" s="96" t="str">
        <f t="shared" ca="1" si="30"/>
        <v/>
      </c>
      <c r="M171" s="294" t="str">
        <f t="shared" ca="1" si="30"/>
        <v/>
      </c>
      <c r="N171" s="295" t="str">
        <f t="shared" ca="1" si="35"/>
        <v/>
      </c>
      <c r="O171" s="96" t="str">
        <f t="shared" ca="1" si="35"/>
        <v/>
      </c>
      <c r="P171" s="96" t="str">
        <f t="shared" ca="1" si="17"/>
        <v/>
      </c>
      <c r="Q171" s="96" t="str">
        <f t="shared" ref="D171:R214" ca="1" si="37">IF($C171=FALSE,"",INDIRECT("Installations!" &amp; Q$120 &amp; $A171))</f>
        <v/>
      </c>
      <c r="R171" s="293" t="str">
        <f t="shared" ca="1" si="37"/>
        <v/>
      </c>
      <c r="S171" s="284" t="str">
        <f t="shared" ca="1" si="36"/>
        <v/>
      </c>
      <c r="T171" s="96" t="str">
        <f t="shared" ca="1" si="36"/>
        <v/>
      </c>
      <c r="U171" s="96" t="str">
        <f t="shared" ca="1" si="18"/>
        <v/>
      </c>
      <c r="V171" s="96" t="str">
        <f t="shared" ca="1" si="36"/>
        <v/>
      </c>
      <c r="W171" s="96" t="str">
        <f t="shared" ca="1" si="36"/>
        <v/>
      </c>
      <c r="X171" s="293" t="str">
        <f t="shared" ca="1" si="36"/>
        <v/>
      </c>
      <c r="Y171" s="284" t="str">
        <f t="shared" ca="1" si="36"/>
        <v/>
      </c>
      <c r="Z171" s="96" t="str">
        <f t="shared" ca="1" si="36"/>
        <v/>
      </c>
      <c r="AA171" s="96" t="str">
        <f t="shared" ca="1" si="36"/>
        <v/>
      </c>
      <c r="AB171" s="386" t="str">
        <f t="shared" ca="1" si="36"/>
        <v/>
      </c>
      <c r="AC171" s="293" t="str">
        <f t="shared" ca="1" si="36"/>
        <v/>
      </c>
      <c r="AD171" s="284" t="str">
        <f t="shared" ca="1" si="33"/>
        <v/>
      </c>
      <c r="AE171" s="293" t="str">
        <f t="shared" ca="1" si="33"/>
        <v/>
      </c>
      <c r="AF171" s="284" t="str">
        <f t="shared" ca="1" si="33"/>
        <v/>
      </c>
      <c r="AG171" s="293" t="str">
        <f t="shared" ca="1" si="33"/>
        <v/>
      </c>
      <c r="AH171" s="96"/>
      <c r="AI171" s="96" t="str">
        <f t="shared" ca="1" si="19"/>
        <v/>
      </c>
      <c r="AK171" s="96">
        <f t="shared" ca="1" si="20"/>
        <v>0</v>
      </c>
      <c r="AL171" s="12">
        <f t="shared" ca="1" si="21"/>
        <v>0</v>
      </c>
      <c r="AM171" s="12">
        <f t="shared" ca="1" si="22"/>
        <v>0</v>
      </c>
      <c r="AN171" s="12">
        <f t="shared" ca="1" si="23"/>
        <v>0</v>
      </c>
      <c r="AO171" s="12">
        <f t="shared" ca="1" si="24"/>
        <v>0</v>
      </c>
      <c r="AP171" s="12" t="str">
        <f t="shared" ca="1" si="25"/>
        <v/>
      </c>
      <c r="AQ171" s="12" t="str">
        <f t="shared" ca="1" si="26"/>
        <v/>
      </c>
      <c r="AR171" s="12" t="str">
        <f t="shared" ca="1" si="27"/>
        <v/>
      </c>
      <c r="AS171" s="12" t="str">
        <f t="shared" ca="1" si="28"/>
        <v/>
      </c>
    </row>
    <row r="172" spans="1:45">
      <c r="A172">
        <f t="shared" si="32"/>
        <v>299</v>
      </c>
      <c r="B172" t="str">
        <f t="shared" ca="1" si="10"/>
        <v xml:space="preserve"> </v>
      </c>
      <c r="C172" t="b">
        <f t="shared" ca="1" si="11"/>
        <v>0</v>
      </c>
      <c r="D172" s="284" t="str">
        <f t="shared" ca="1" si="37"/>
        <v/>
      </c>
      <c r="E172" s="96" t="str">
        <f t="shared" ca="1" si="12"/>
        <v/>
      </c>
      <c r="F172" s="96" t="str">
        <f t="shared" ca="1" si="13"/>
        <v/>
      </c>
      <c r="G172" s="293" t="str">
        <f t="shared" ca="1" si="34"/>
        <v/>
      </c>
      <c r="H172" s="284" t="str">
        <f t="shared" ca="1" si="34"/>
        <v/>
      </c>
      <c r="I172" s="96" t="str">
        <f t="shared" ca="1" si="34"/>
        <v/>
      </c>
      <c r="J172" s="96" t="str">
        <f t="shared" ca="1" si="15"/>
        <v/>
      </c>
      <c r="K172" s="96" t="str">
        <f t="shared" ca="1" si="37"/>
        <v/>
      </c>
      <c r="L172" s="96" t="str">
        <f t="shared" ca="1" si="37"/>
        <v/>
      </c>
      <c r="M172" s="294" t="str">
        <f t="shared" ca="1" si="37"/>
        <v/>
      </c>
      <c r="N172" s="295" t="str">
        <f t="shared" ca="1" si="35"/>
        <v/>
      </c>
      <c r="O172" s="96" t="str">
        <f t="shared" ca="1" si="35"/>
        <v/>
      </c>
      <c r="P172" s="96" t="str">
        <f t="shared" ca="1" si="17"/>
        <v/>
      </c>
      <c r="Q172" s="96" t="str">
        <f t="shared" ca="1" si="37"/>
        <v/>
      </c>
      <c r="R172" s="293" t="str">
        <f t="shared" ca="1" si="37"/>
        <v/>
      </c>
      <c r="S172" s="284" t="str">
        <f t="shared" ca="1" si="36"/>
        <v/>
      </c>
      <c r="T172" s="96" t="str">
        <f t="shared" ca="1" si="36"/>
        <v/>
      </c>
      <c r="U172" s="96" t="str">
        <f t="shared" ca="1" si="18"/>
        <v/>
      </c>
      <c r="V172" s="96" t="str">
        <f t="shared" ca="1" si="36"/>
        <v/>
      </c>
      <c r="W172" s="96" t="str">
        <f t="shared" ca="1" si="36"/>
        <v/>
      </c>
      <c r="X172" s="293" t="str">
        <f t="shared" ca="1" si="36"/>
        <v/>
      </c>
      <c r="Y172" s="284" t="str">
        <f t="shared" ca="1" si="36"/>
        <v/>
      </c>
      <c r="Z172" s="96" t="str">
        <f t="shared" ca="1" si="36"/>
        <v/>
      </c>
      <c r="AA172" s="96" t="str">
        <f t="shared" ca="1" si="36"/>
        <v/>
      </c>
      <c r="AB172" s="386" t="str">
        <f t="shared" ca="1" si="36"/>
        <v/>
      </c>
      <c r="AC172" s="293" t="str">
        <f t="shared" ca="1" si="36"/>
        <v/>
      </c>
      <c r="AD172" s="284" t="str">
        <f t="shared" ca="1" si="33"/>
        <v/>
      </c>
      <c r="AE172" s="293" t="str">
        <f t="shared" ca="1" si="33"/>
        <v/>
      </c>
      <c r="AF172" s="284" t="str">
        <f t="shared" ca="1" si="33"/>
        <v/>
      </c>
      <c r="AG172" s="293" t="str">
        <f t="shared" ca="1" si="33"/>
        <v/>
      </c>
      <c r="AH172" s="96"/>
      <c r="AI172" s="96" t="str">
        <f t="shared" ca="1" si="19"/>
        <v/>
      </c>
      <c r="AK172" s="96">
        <f t="shared" ca="1" si="20"/>
        <v>0</v>
      </c>
      <c r="AL172" s="12">
        <f t="shared" ca="1" si="21"/>
        <v>0</v>
      </c>
      <c r="AM172" s="12">
        <f t="shared" ca="1" si="22"/>
        <v>0</v>
      </c>
      <c r="AN172" s="12">
        <f t="shared" ca="1" si="23"/>
        <v>0</v>
      </c>
      <c r="AO172" s="12">
        <f t="shared" ca="1" si="24"/>
        <v>0</v>
      </c>
      <c r="AP172" s="12" t="str">
        <f t="shared" ca="1" si="25"/>
        <v/>
      </c>
      <c r="AQ172" s="12" t="str">
        <f t="shared" ca="1" si="26"/>
        <v/>
      </c>
      <c r="AR172" s="12" t="str">
        <f t="shared" ca="1" si="27"/>
        <v/>
      </c>
      <c r="AS172" s="12" t="str">
        <f t="shared" ca="1" si="28"/>
        <v/>
      </c>
    </row>
    <row r="173" spans="1:45">
      <c r="A173">
        <f t="shared" si="32"/>
        <v>304</v>
      </c>
      <c r="B173" t="str">
        <f t="shared" ca="1" si="10"/>
        <v xml:space="preserve"> </v>
      </c>
      <c r="C173" t="b">
        <f t="shared" ca="1" si="11"/>
        <v>0</v>
      </c>
      <c r="D173" s="284" t="str">
        <f t="shared" ca="1" si="37"/>
        <v/>
      </c>
      <c r="E173" s="96" t="str">
        <f t="shared" ca="1" si="12"/>
        <v/>
      </c>
      <c r="F173" s="96" t="str">
        <f t="shared" ca="1" si="13"/>
        <v/>
      </c>
      <c r="G173" s="293" t="str">
        <f t="shared" ca="1" si="34"/>
        <v/>
      </c>
      <c r="H173" s="284" t="str">
        <f t="shared" ca="1" si="34"/>
        <v/>
      </c>
      <c r="I173" s="96" t="str">
        <f t="shared" ca="1" si="34"/>
        <v/>
      </c>
      <c r="J173" s="96" t="str">
        <f t="shared" ca="1" si="15"/>
        <v/>
      </c>
      <c r="K173" s="96" t="str">
        <f t="shared" ca="1" si="37"/>
        <v/>
      </c>
      <c r="L173" s="96" t="str">
        <f t="shared" ca="1" si="37"/>
        <v/>
      </c>
      <c r="M173" s="294" t="str">
        <f t="shared" ca="1" si="37"/>
        <v/>
      </c>
      <c r="N173" s="295" t="str">
        <f t="shared" ca="1" si="35"/>
        <v/>
      </c>
      <c r="O173" s="96" t="str">
        <f t="shared" ca="1" si="35"/>
        <v/>
      </c>
      <c r="P173" s="96" t="str">
        <f t="shared" ca="1" si="17"/>
        <v/>
      </c>
      <c r="Q173" s="96" t="str">
        <f t="shared" ca="1" si="37"/>
        <v/>
      </c>
      <c r="R173" s="293" t="str">
        <f t="shared" ca="1" si="37"/>
        <v/>
      </c>
      <c r="S173" s="284" t="str">
        <f t="shared" ca="1" si="36"/>
        <v/>
      </c>
      <c r="T173" s="96" t="str">
        <f t="shared" ca="1" si="36"/>
        <v/>
      </c>
      <c r="U173" s="96" t="str">
        <f t="shared" ca="1" si="18"/>
        <v/>
      </c>
      <c r="V173" s="96" t="str">
        <f t="shared" ca="1" si="36"/>
        <v/>
      </c>
      <c r="W173" s="96" t="str">
        <f t="shared" ca="1" si="36"/>
        <v/>
      </c>
      <c r="X173" s="293" t="str">
        <f t="shared" ca="1" si="36"/>
        <v/>
      </c>
      <c r="Y173" s="284" t="str">
        <f t="shared" ca="1" si="36"/>
        <v/>
      </c>
      <c r="Z173" s="96" t="str">
        <f t="shared" ca="1" si="36"/>
        <v/>
      </c>
      <c r="AA173" s="96" t="str">
        <f t="shared" ca="1" si="36"/>
        <v/>
      </c>
      <c r="AB173" s="386" t="str">
        <f t="shared" ca="1" si="36"/>
        <v/>
      </c>
      <c r="AC173" s="293" t="str">
        <f t="shared" ca="1" si="36"/>
        <v/>
      </c>
      <c r="AD173" s="284" t="str">
        <f t="shared" ca="1" si="33"/>
        <v/>
      </c>
      <c r="AE173" s="293" t="str">
        <f t="shared" ca="1" si="33"/>
        <v/>
      </c>
      <c r="AF173" s="284" t="str">
        <f t="shared" ca="1" si="33"/>
        <v/>
      </c>
      <c r="AG173" s="293" t="str">
        <f t="shared" ca="1" si="33"/>
        <v/>
      </c>
      <c r="AH173" s="96"/>
      <c r="AI173" s="96" t="str">
        <f t="shared" ca="1" si="19"/>
        <v/>
      </c>
      <c r="AK173" s="96">
        <f t="shared" ca="1" si="20"/>
        <v>0</v>
      </c>
      <c r="AL173" s="12">
        <f t="shared" ca="1" si="21"/>
        <v>0</v>
      </c>
      <c r="AM173" s="12">
        <f t="shared" ca="1" si="22"/>
        <v>0</v>
      </c>
      <c r="AN173" s="12">
        <f t="shared" ca="1" si="23"/>
        <v>0</v>
      </c>
      <c r="AO173" s="12">
        <f t="shared" ca="1" si="24"/>
        <v>0</v>
      </c>
      <c r="AP173" s="12" t="str">
        <f t="shared" ca="1" si="25"/>
        <v/>
      </c>
      <c r="AQ173" s="12" t="str">
        <f t="shared" ca="1" si="26"/>
        <v/>
      </c>
      <c r="AR173" s="12" t="str">
        <f t="shared" ca="1" si="27"/>
        <v/>
      </c>
      <c r="AS173" s="12" t="str">
        <f t="shared" ca="1" si="28"/>
        <v/>
      </c>
    </row>
    <row r="174" spans="1:45">
      <c r="A174">
        <f t="shared" si="32"/>
        <v>309</v>
      </c>
      <c r="B174" t="str">
        <f t="shared" ca="1" si="10"/>
        <v xml:space="preserve"> </v>
      </c>
      <c r="C174" t="b">
        <f t="shared" ca="1" si="11"/>
        <v>0</v>
      </c>
      <c r="D174" s="284" t="str">
        <f t="shared" ca="1" si="37"/>
        <v/>
      </c>
      <c r="E174" s="96" t="str">
        <f t="shared" ca="1" si="12"/>
        <v/>
      </c>
      <c r="F174" s="96" t="str">
        <f t="shared" ca="1" si="13"/>
        <v/>
      </c>
      <c r="G174" s="293" t="str">
        <f t="shared" ca="1" si="34"/>
        <v/>
      </c>
      <c r="H174" s="284" t="str">
        <f t="shared" ca="1" si="34"/>
        <v/>
      </c>
      <c r="I174" s="96" t="str">
        <f t="shared" ca="1" si="34"/>
        <v/>
      </c>
      <c r="J174" s="96" t="str">
        <f t="shared" ca="1" si="15"/>
        <v/>
      </c>
      <c r="K174" s="96" t="str">
        <f t="shared" ca="1" si="37"/>
        <v/>
      </c>
      <c r="L174" s="96" t="str">
        <f t="shared" ca="1" si="37"/>
        <v/>
      </c>
      <c r="M174" s="294" t="str">
        <f t="shared" ca="1" si="37"/>
        <v/>
      </c>
      <c r="N174" s="295" t="str">
        <f t="shared" ca="1" si="35"/>
        <v/>
      </c>
      <c r="O174" s="96" t="str">
        <f t="shared" ca="1" si="35"/>
        <v/>
      </c>
      <c r="P174" s="96" t="str">
        <f t="shared" ca="1" si="17"/>
        <v/>
      </c>
      <c r="Q174" s="96" t="str">
        <f t="shared" ca="1" si="37"/>
        <v/>
      </c>
      <c r="R174" s="293" t="str">
        <f t="shared" ca="1" si="37"/>
        <v/>
      </c>
      <c r="S174" s="284" t="str">
        <f t="shared" ca="1" si="36"/>
        <v/>
      </c>
      <c r="T174" s="96" t="str">
        <f t="shared" ca="1" si="36"/>
        <v/>
      </c>
      <c r="U174" s="96" t="str">
        <f t="shared" ca="1" si="18"/>
        <v/>
      </c>
      <c r="V174" s="96" t="str">
        <f t="shared" ca="1" si="36"/>
        <v/>
      </c>
      <c r="W174" s="96" t="str">
        <f t="shared" ca="1" si="36"/>
        <v/>
      </c>
      <c r="X174" s="293" t="str">
        <f t="shared" ca="1" si="36"/>
        <v/>
      </c>
      <c r="Y174" s="284" t="str">
        <f t="shared" ca="1" si="36"/>
        <v/>
      </c>
      <c r="Z174" s="96" t="str">
        <f t="shared" ca="1" si="36"/>
        <v/>
      </c>
      <c r="AA174" s="96" t="str">
        <f t="shared" ca="1" si="36"/>
        <v/>
      </c>
      <c r="AB174" s="386" t="str">
        <f t="shared" ca="1" si="36"/>
        <v/>
      </c>
      <c r="AC174" s="293" t="str">
        <f t="shared" ca="1" si="36"/>
        <v/>
      </c>
      <c r="AD174" s="284" t="str">
        <f t="shared" ca="1" si="33"/>
        <v/>
      </c>
      <c r="AE174" s="293" t="str">
        <f t="shared" ca="1" si="33"/>
        <v/>
      </c>
      <c r="AF174" s="284" t="str">
        <f t="shared" ca="1" si="33"/>
        <v/>
      </c>
      <c r="AG174" s="293" t="str">
        <f t="shared" ca="1" si="33"/>
        <v/>
      </c>
      <c r="AH174" s="96"/>
      <c r="AI174" s="96" t="str">
        <f t="shared" ca="1" si="19"/>
        <v/>
      </c>
      <c r="AK174" s="96">
        <f t="shared" ca="1" si="20"/>
        <v>0</v>
      </c>
      <c r="AL174" s="12">
        <f t="shared" ca="1" si="21"/>
        <v>0</v>
      </c>
      <c r="AM174" s="12">
        <f t="shared" ca="1" si="22"/>
        <v>0</v>
      </c>
      <c r="AN174" s="12">
        <f t="shared" ca="1" si="23"/>
        <v>0</v>
      </c>
      <c r="AO174" s="12">
        <f t="shared" ca="1" si="24"/>
        <v>0</v>
      </c>
      <c r="AP174" s="12" t="str">
        <f t="shared" ca="1" si="25"/>
        <v/>
      </c>
      <c r="AQ174" s="12" t="str">
        <f t="shared" ca="1" si="26"/>
        <v/>
      </c>
      <c r="AR174" s="12" t="str">
        <f t="shared" ca="1" si="27"/>
        <v/>
      </c>
      <c r="AS174" s="12" t="str">
        <f t="shared" ca="1" si="28"/>
        <v/>
      </c>
    </row>
    <row r="175" spans="1:45">
      <c r="A175">
        <f t="shared" si="32"/>
        <v>314</v>
      </c>
      <c r="B175" t="str">
        <f t="shared" ca="1" si="10"/>
        <v xml:space="preserve"> </v>
      </c>
      <c r="C175" t="b">
        <f t="shared" ca="1" si="11"/>
        <v>0</v>
      </c>
      <c r="D175" s="284" t="str">
        <f t="shared" ca="1" si="37"/>
        <v/>
      </c>
      <c r="E175" s="96" t="str">
        <f t="shared" ca="1" si="12"/>
        <v/>
      </c>
      <c r="F175" s="96" t="str">
        <f t="shared" ca="1" si="13"/>
        <v/>
      </c>
      <c r="G175" s="293" t="str">
        <f t="shared" ca="1" si="34"/>
        <v/>
      </c>
      <c r="H175" s="284" t="str">
        <f t="shared" ca="1" si="34"/>
        <v/>
      </c>
      <c r="I175" s="96" t="str">
        <f t="shared" ca="1" si="34"/>
        <v/>
      </c>
      <c r="J175" s="96" t="str">
        <f t="shared" ca="1" si="15"/>
        <v/>
      </c>
      <c r="K175" s="96" t="str">
        <f t="shared" ca="1" si="37"/>
        <v/>
      </c>
      <c r="L175" s="96" t="str">
        <f t="shared" ca="1" si="37"/>
        <v/>
      </c>
      <c r="M175" s="294" t="str">
        <f t="shared" ca="1" si="37"/>
        <v/>
      </c>
      <c r="N175" s="295" t="str">
        <f t="shared" ca="1" si="35"/>
        <v/>
      </c>
      <c r="O175" s="96" t="str">
        <f t="shared" ca="1" si="35"/>
        <v/>
      </c>
      <c r="P175" s="96" t="str">
        <f t="shared" ca="1" si="17"/>
        <v/>
      </c>
      <c r="Q175" s="96" t="str">
        <f t="shared" ca="1" si="37"/>
        <v/>
      </c>
      <c r="R175" s="293" t="str">
        <f t="shared" ca="1" si="37"/>
        <v/>
      </c>
      <c r="S175" s="284" t="str">
        <f t="shared" ca="1" si="36"/>
        <v/>
      </c>
      <c r="T175" s="96" t="str">
        <f t="shared" ca="1" si="36"/>
        <v/>
      </c>
      <c r="U175" s="96" t="str">
        <f t="shared" ca="1" si="18"/>
        <v/>
      </c>
      <c r="V175" s="96" t="str">
        <f t="shared" ca="1" si="36"/>
        <v/>
      </c>
      <c r="W175" s="96" t="str">
        <f t="shared" ca="1" si="36"/>
        <v/>
      </c>
      <c r="X175" s="293" t="str">
        <f t="shared" ca="1" si="36"/>
        <v/>
      </c>
      <c r="Y175" s="284" t="str">
        <f t="shared" ca="1" si="36"/>
        <v/>
      </c>
      <c r="Z175" s="96" t="str">
        <f t="shared" ca="1" si="36"/>
        <v/>
      </c>
      <c r="AA175" s="96" t="str">
        <f t="shared" ca="1" si="36"/>
        <v/>
      </c>
      <c r="AB175" s="386" t="str">
        <f t="shared" ca="1" si="36"/>
        <v/>
      </c>
      <c r="AC175" s="293" t="str">
        <f t="shared" ca="1" si="36"/>
        <v/>
      </c>
      <c r="AD175" s="284" t="str">
        <f t="shared" ca="1" si="33"/>
        <v/>
      </c>
      <c r="AE175" s="293" t="str">
        <f t="shared" ca="1" si="33"/>
        <v/>
      </c>
      <c r="AF175" s="284" t="str">
        <f t="shared" ca="1" si="33"/>
        <v/>
      </c>
      <c r="AG175" s="293" t="str">
        <f t="shared" ca="1" si="33"/>
        <v/>
      </c>
      <c r="AH175" s="96"/>
      <c r="AI175" s="96" t="str">
        <f t="shared" ca="1" si="19"/>
        <v/>
      </c>
      <c r="AK175" s="96">
        <f t="shared" ca="1" si="20"/>
        <v>0</v>
      </c>
      <c r="AL175" s="12">
        <f t="shared" ca="1" si="21"/>
        <v>0</v>
      </c>
      <c r="AM175" s="12">
        <f t="shared" ca="1" si="22"/>
        <v>0</v>
      </c>
      <c r="AN175" s="12">
        <f t="shared" ca="1" si="23"/>
        <v>0</v>
      </c>
      <c r="AO175" s="12">
        <f t="shared" ca="1" si="24"/>
        <v>0</v>
      </c>
      <c r="AP175" s="12" t="str">
        <f t="shared" ca="1" si="25"/>
        <v/>
      </c>
      <c r="AQ175" s="12" t="str">
        <f t="shared" ca="1" si="26"/>
        <v/>
      </c>
      <c r="AR175" s="12" t="str">
        <f t="shared" ca="1" si="27"/>
        <v/>
      </c>
      <c r="AS175" s="12" t="str">
        <f t="shared" ca="1" si="28"/>
        <v/>
      </c>
    </row>
    <row r="176" spans="1:45">
      <c r="A176">
        <f t="shared" si="32"/>
        <v>319</v>
      </c>
      <c r="B176" t="str">
        <f t="shared" ca="1" si="10"/>
        <v xml:space="preserve"> </v>
      </c>
      <c r="C176" t="b">
        <f t="shared" ca="1" si="11"/>
        <v>0</v>
      </c>
      <c r="D176" s="284" t="str">
        <f t="shared" ca="1" si="37"/>
        <v/>
      </c>
      <c r="E176" s="96" t="str">
        <f t="shared" ca="1" si="12"/>
        <v/>
      </c>
      <c r="F176" s="96" t="str">
        <f t="shared" ca="1" si="13"/>
        <v/>
      </c>
      <c r="G176" s="293" t="str">
        <f t="shared" ca="1" si="34"/>
        <v/>
      </c>
      <c r="H176" s="284" t="str">
        <f t="shared" ca="1" si="34"/>
        <v/>
      </c>
      <c r="I176" s="96" t="str">
        <f t="shared" ca="1" si="34"/>
        <v/>
      </c>
      <c r="J176" s="96" t="str">
        <f t="shared" ca="1" si="15"/>
        <v/>
      </c>
      <c r="K176" s="96" t="str">
        <f t="shared" ca="1" si="37"/>
        <v/>
      </c>
      <c r="L176" s="96" t="str">
        <f t="shared" ca="1" si="37"/>
        <v/>
      </c>
      <c r="M176" s="294" t="str">
        <f t="shared" ca="1" si="37"/>
        <v/>
      </c>
      <c r="N176" s="295" t="str">
        <f t="shared" ca="1" si="35"/>
        <v/>
      </c>
      <c r="O176" s="96" t="str">
        <f t="shared" ca="1" si="35"/>
        <v/>
      </c>
      <c r="P176" s="96" t="str">
        <f t="shared" ca="1" si="17"/>
        <v/>
      </c>
      <c r="Q176" s="96" t="str">
        <f t="shared" ca="1" si="37"/>
        <v/>
      </c>
      <c r="R176" s="293" t="str">
        <f t="shared" ca="1" si="37"/>
        <v/>
      </c>
      <c r="S176" s="284" t="str">
        <f t="shared" ca="1" si="36"/>
        <v/>
      </c>
      <c r="T176" s="96" t="str">
        <f t="shared" ca="1" si="36"/>
        <v/>
      </c>
      <c r="U176" s="96" t="str">
        <f t="shared" ca="1" si="18"/>
        <v/>
      </c>
      <c r="V176" s="96" t="str">
        <f t="shared" ca="1" si="36"/>
        <v/>
      </c>
      <c r="W176" s="96" t="str">
        <f t="shared" ca="1" si="36"/>
        <v/>
      </c>
      <c r="X176" s="293" t="str">
        <f t="shared" ca="1" si="36"/>
        <v/>
      </c>
      <c r="Y176" s="284" t="str">
        <f t="shared" ca="1" si="36"/>
        <v/>
      </c>
      <c r="Z176" s="96" t="str">
        <f t="shared" ca="1" si="36"/>
        <v/>
      </c>
      <c r="AA176" s="96" t="str">
        <f t="shared" ca="1" si="36"/>
        <v/>
      </c>
      <c r="AB176" s="386" t="str">
        <f t="shared" ca="1" si="36"/>
        <v/>
      </c>
      <c r="AC176" s="293" t="str">
        <f t="shared" ca="1" si="36"/>
        <v/>
      </c>
      <c r="AD176" s="284" t="str">
        <f t="shared" ca="1" si="33"/>
        <v/>
      </c>
      <c r="AE176" s="293" t="str">
        <f t="shared" ca="1" si="33"/>
        <v/>
      </c>
      <c r="AF176" s="284" t="str">
        <f t="shared" ca="1" si="33"/>
        <v/>
      </c>
      <c r="AG176" s="293" t="str">
        <f t="shared" ca="1" si="33"/>
        <v/>
      </c>
      <c r="AH176" s="96"/>
      <c r="AI176" s="96" t="str">
        <f t="shared" ca="1" si="19"/>
        <v/>
      </c>
      <c r="AK176" s="96">
        <f t="shared" ca="1" si="20"/>
        <v>0</v>
      </c>
      <c r="AL176" s="12">
        <f t="shared" ca="1" si="21"/>
        <v>0</v>
      </c>
      <c r="AM176" s="12">
        <f t="shared" ca="1" si="22"/>
        <v>0</v>
      </c>
      <c r="AN176" s="12">
        <f t="shared" ca="1" si="23"/>
        <v>0</v>
      </c>
      <c r="AO176" s="12">
        <f t="shared" ca="1" si="24"/>
        <v>0</v>
      </c>
      <c r="AP176" s="12" t="str">
        <f t="shared" ca="1" si="25"/>
        <v/>
      </c>
      <c r="AQ176" s="12" t="str">
        <f t="shared" ca="1" si="26"/>
        <v/>
      </c>
      <c r="AR176" s="12" t="str">
        <f t="shared" ca="1" si="27"/>
        <v/>
      </c>
      <c r="AS176" s="12" t="str">
        <f t="shared" ca="1" si="28"/>
        <v/>
      </c>
    </row>
    <row r="177" spans="1:45">
      <c r="A177" s="690">
        <f>A176+8</f>
        <v>327</v>
      </c>
      <c r="B177" t="str">
        <f t="shared" ca="1" si="10"/>
        <v xml:space="preserve"> </v>
      </c>
      <c r="C177" t="b">
        <f t="shared" ca="1" si="11"/>
        <v>0</v>
      </c>
      <c r="D177" s="284" t="str">
        <f t="shared" ca="1" si="37"/>
        <v/>
      </c>
      <c r="E177" s="96" t="str">
        <f t="shared" ca="1" si="12"/>
        <v/>
      </c>
      <c r="F177" s="96" t="str">
        <f t="shared" ca="1" si="13"/>
        <v/>
      </c>
      <c r="G177" s="293" t="str">
        <f t="shared" ca="1" si="34"/>
        <v/>
      </c>
      <c r="H177" s="284" t="str">
        <f t="shared" ca="1" si="34"/>
        <v/>
      </c>
      <c r="I177" s="96" t="str">
        <f t="shared" ca="1" si="34"/>
        <v/>
      </c>
      <c r="J177" s="96" t="str">
        <f t="shared" ca="1" si="15"/>
        <v/>
      </c>
      <c r="K177" s="96" t="str">
        <f t="shared" ca="1" si="37"/>
        <v/>
      </c>
      <c r="L177" s="96" t="str">
        <f t="shared" ca="1" si="37"/>
        <v/>
      </c>
      <c r="M177" s="294" t="str">
        <f t="shared" ca="1" si="37"/>
        <v/>
      </c>
      <c r="N177" s="295" t="str">
        <f t="shared" ca="1" si="35"/>
        <v/>
      </c>
      <c r="O177" s="96" t="str">
        <f t="shared" ca="1" si="35"/>
        <v/>
      </c>
      <c r="P177" s="96" t="str">
        <f t="shared" ca="1" si="17"/>
        <v/>
      </c>
      <c r="Q177" s="96" t="str">
        <f t="shared" ca="1" si="37"/>
        <v/>
      </c>
      <c r="R177" s="293" t="str">
        <f t="shared" ca="1" si="37"/>
        <v/>
      </c>
      <c r="S177" s="284" t="str">
        <f t="shared" ca="1" si="36"/>
        <v/>
      </c>
      <c r="T177" s="96" t="str">
        <f t="shared" ca="1" si="36"/>
        <v/>
      </c>
      <c r="U177" s="96" t="str">
        <f t="shared" ca="1" si="18"/>
        <v/>
      </c>
      <c r="V177" s="96" t="str">
        <f t="shared" ca="1" si="36"/>
        <v/>
      </c>
      <c r="W177" s="96" t="str">
        <f t="shared" ca="1" si="36"/>
        <v/>
      </c>
      <c r="X177" s="293" t="str">
        <f t="shared" ca="1" si="36"/>
        <v/>
      </c>
      <c r="Y177" s="284" t="str">
        <f t="shared" ca="1" si="36"/>
        <v/>
      </c>
      <c r="Z177" s="96" t="str">
        <f t="shared" ca="1" si="36"/>
        <v/>
      </c>
      <c r="AA177" s="96" t="str">
        <f t="shared" ca="1" si="36"/>
        <v/>
      </c>
      <c r="AB177" s="386" t="str">
        <f t="shared" ca="1" si="36"/>
        <v/>
      </c>
      <c r="AC177" s="293" t="str">
        <f t="shared" ca="1" si="36"/>
        <v/>
      </c>
      <c r="AD177" s="284" t="str">
        <f t="shared" ca="1" si="33"/>
        <v/>
      </c>
      <c r="AE177" s="293" t="str">
        <f t="shared" ca="1" si="33"/>
        <v/>
      </c>
      <c r="AF177" s="284" t="str">
        <f t="shared" ca="1" si="33"/>
        <v/>
      </c>
      <c r="AG177" s="293" t="str">
        <f t="shared" ca="1" si="33"/>
        <v/>
      </c>
      <c r="AH177" s="96"/>
      <c r="AI177" s="96" t="str">
        <f t="shared" ca="1" si="19"/>
        <v/>
      </c>
      <c r="AK177" s="96">
        <f t="shared" ca="1" si="20"/>
        <v>0</v>
      </c>
      <c r="AL177" s="12">
        <f t="shared" ca="1" si="21"/>
        <v>0</v>
      </c>
      <c r="AM177" s="12">
        <f t="shared" ca="1" si="22"/>
        <v>0</v>
      </c>
      <c r="AN177" s="12">
        <f t="shared" ca="1" si="23"/>
        <v>0</v>
      </c>
      <c r="AO177" s="12">
        <f t="shared" ca="1" si="24"/>
        <v>0</v>
      </c>
      <c r="AP177" s="12" t="str">
        <f t="shared" ca="1" si="25"/>
        <v/>
      </c>
      <c r="AQ177" s="12" t="str">
        <f t="shared" ca="1" si="26"/>
        <v/>
      </c>
      <c r="AR177" s="12" t="str">
        <f t="shared" ca="1" si="27"/>
        <v/>
      </c>
      <c r="AS177" s="12" t="str">
        <f t="shared" ca="1" si="28"/>
        <v/>
      </c>
    </row>
    <row r="178" spans="1:45">
      <c r="A178">
        <f t="shared" si="32"/>
        <v>332</v>
      </c>
      <c r="B178" t="str">
        <f t="shared" ca="1" si="10"/>
        <v xml:space="preserve"> </v>
      </c>
      <c r="C178" t="b">
        <f t="shared" ca="1" si="11"/>
        <v>0</v>
      </c>
      <c r="D178" s="284" t="str">
        <f t="shared" ca="1" si="37"/>
        <v/>
      </c>
      <c r="E178" s="96" t="str">
        <f t="shared" ca="1" si="12"/>
        <v/>
      </c>
      <c r="F178" s="96" t="str">
        <f t="shared" ca="1" si="13"/>
        <v/>
      </c>
      <c r="G178" s="293" t="str">
        <f t="shared" ca="1" si="34"/>
        <v/>
      </c>
      <c r="H178" s="284" t="str">
        <f t="shared" ca="1" si="34"/>
        <v/>
      </c>
      <c r="I178" s="96" t="str">
        <f t="shared" ca="1" si="34"/>
        <v/>
      </c>
      <c r="J178" s="96" t="str">
        <f t="shared" ca="1" si="15"/>
        <v/>
      </c>
      <c r="K178" s="96" t="str">
        <f t="shared" ca="1" si="37"/>
        <v/>
      </c>
      <c r="L178" s="96" t="str">
        <f t="shared" ca="1" si="37"/>
        <v/>
      </c>
      <c r="M178" s="294" t="str">
        <f t="shared" ca="1" si="37"/>
        <v/>
      </c>
      <c r="N178" s="295" t="str">
        <f t="shared" ca="1" si="35"/>
        <v/>
      </c>
      <c r="O178" s="96" t="str">
        <f t="shared" ca="1" si="35"/>
        <v/>
      </c>
      <c r="P178" s="96" t="str">
        <f t="shared" ca="1" si="17"/>
        <v/>
      </c>
      <c r="Q178" s="96" t="str">
        <f t="shared" ca="1" si="37"/>
        <v/>
      </c>
      <c r="R178" s="293" t="str">
        <f t="shared" ca="1" si="37"/>
        <v/>
      </c>
      <c r="S178" s="284" t="str">
        <f t="shared" ca="1" si="36"/>
        <v/>
      </c>
      <c r="T178" s="96" t="str">
        <f t="shared" ca="1" si="36"/>
        <v/>
      </c>
      <c r="U178" s="96" t="str">
        <f t="shared" ca="1" si="18"/>
        <v/>
      </c>
      <c r="V178" s="96" t="str">
        <f t="shared" ca="1" si="36"/>
        <v/>
      </c>
      <c r="W178" s="96" t="str">
        <f t="shared" ca="1" si="36"/>
        <v/>
      </c>
      <c r="X178" s="293" t="str">
        <f t="shared" ca="1" si="36"/>
        <v/>
      </c>
      <c r="Y178" s="284" t="str">
        <f t="shared" ca="1" si="36"/>
        <v/>
      </c>
      <c r="Z178" s="96" t="str">
        <f t="shared" ca="1" si="36"/>
        <v/>
      </c>
      <c r="AA178" s="96" t="str">
        <f t="shared" ca="1" si="36"/>
        <v/>
      </c>
      <c r="AB178" s="386" t="str">
        <f t="shared" ca="1" si="36"/>
        <v/>
      </c>
      <c r="AC178" s="293" t="str">
        <f t="shared" ca="1" si="36"/>
        <v/>
      </c>
      <c r="AD178" s="284" t="str">
        <f t="shared" ca="1" si="33"/>
        <v/>
      </c>
      <c r="AE178" s="293" t="str">
        <f t="shared" ca="1" si="33"/>
        <v/>
      </c>
      <c r="AF178" s="284" t="str">
        <f t="shared" ca="1" si="33"/>
        <v/>
      </c>
      <c r="AG178" s="293" t="str">
        <f t="shared" ca="1" si="33"/>
        <v/>
      </c>
      <c r="AH178" s="96"/>
      <c r="AI178" s="96" t="str">
        <f t="shared" ca="1" si="19"/>
        <v/>
      </c>
      <c r="AK178" s="96">
        <f t="shared" ca="1" si="20"/>
        <v>0</v>
      </c>
      <c r="AL178" s="12">
        <f t="shared" ca="1" si="21"/>
        <v>0</v>
      </c>
      <c r="AM178" s="12">
        <f t="shared" ca="1" si="22"/>
        <v>0</v>
      </c>
      <c r="AN178" s="12">
        <f t="shared" ca="1" si="23"/>
        <v>0</v>
      </c>
      <c r="AO178" s="12">
        <f t="shared" ca="1" si="24"/>
        <v>0</v>
      </c>
      <c r="AP178" s="12" t="str">
        <f t="shared" ca="1" si="25"/>
        <v/>
      </c>
      <c r="AQ178" s="12" t="str">
        <f t="shared" ca="1" si="26"/>
        <v/>
      </c>
      <c r="AR178" s="12" t="str">
        <f t="shared" ca="1" si="27"/>
        <v/>
      </c>
      <c r="AS178" s="12" t="str">
        <f t="shared" ca="1" si="28"/>
        <v/>
      </c>
    </row>
    <row r="179" spans="1:45">
      <c r="A179">
        <f t="shared" si="32"/>
        <v>337</v>
      </c>
      <c r="B179" t="str">
        <f t="shared" ca="1" si="10"/>
        <v xml:space="preserve"> </v>
      </c>
      <c r="C179" t="b">
        <f t="shared" ca="1" si="11"/>
        <v>0</v>
      </c>
      <c r="D179" s="284" t="str">
        <f t="shared" ca="1" si="37"/>
        <v/>
      </c>
      <c r="E179" s="96" t="str">
        <f t="shared" ca="1" si="12"/>
        <v/>
      </c>
      <c r="F179" s="96" t="str">
        <f t="shared" ca="1" si="13"/>
        <v/>
      </c>
      <c r="G179" s="293" t="str">
        <f t="shared" ca="1" si="34"/>
        <v/>
      </c>
      <c r="H179" s="284" t="str">
        <f t="shared" ca="1" si="34"/>
        <v/>
      </c>
      <c r="I179" s="96" t="str">
        <f t="shared" ca="1" si="34"/>
        <v/>
      </c>
      <c r="J179" s="96" t="str">
        <f t="shared" ca="1" si="15"/>
        <v/>
      </c>
      <c r="K179" s="96" t="str">
        <f t="shared" ca="1" si="37"/>
        <v/>
      </c>
      <c r="L179" s="96" t="str">
        <f t="shared" ca="1" si="37"/>
        <v/>
      </c>
      <c r="M179" s="294" t="str">
        <f t="shared" ca="1" si="37"/>
        <v/>
      </c>
      <c r="N179" s="295" t="str">
        <f t="shared" ca="1" si="35"/>
        <v/>
      </c>
      <c r="O179" s="96" t="str">
        <f t="shared" ca="1" si="35"/>
        <v/>
      </c>
      <c r="P179" s="96" t="str">
        <f t="shared" ca="1" si="17"/>
        <v/>
      </c>
      <c r="Q179" s="96" t="str">
        <f t="shared" ca="1" si="37"/>
        <v/>
      </c>
      <c r="R179" s="293" t="str">
        <f t="shared" ca="1" si="37"/>
        <v/>
      </c>
      <c r="S179" s="284" t="str">
        <f t="shared" ca="1" si="36"/>
        <v/>
      </c>
      <c r="T179" s="96" t="str">
        <f t="shared" ca="1" si="36"/>
        <v/>
      </c>
      <c r="U179" s="96" t="str">
        <f t="shared" ca="1" si="18"/>
        <v/>
      </c>
      <c r="V179" s="96" t="str">
        <f t="shared" ca="1" si="36"/>
        <v/>
      </c>
      <c r="W179" s="96" t="str">
        <f t="shared" ca="1" si="36"/>
        <v/>
      </c>
      <c r="X179" s="293" t="str">
        <f t="shared" ca="1" si="36"/>
        <v/>
      </c>
      <c r="Y179" s="284" t="str">
        <f t="shared" ca="1" si="36"/>
        <v/>
      </c>
      <c r="Z179" s="96" t="str">
        <f t="shared" ca="1" si="36"/>
        <v/>
      </c>
      <c r="AA179" s="96" t="str">
        <f t="shared" ca="1" si="36"/>
        <v/>
      </c>
      <c r="AB179" s="386" t="str">
        <f t="shared" ca="1" si="36"/>
        <v/>
      </c>
      <c r="AC179" s="293" t="str">
        <f t="shared" ca="1" si="36"/>
        <v/>
      </c>
      <c r="AD179" s="284" t="str">
        <f t="shared" ca="1" si="33"/>
        <v/>
      </c>
      <c r="AE179" s="293" t="str">
        <f t="shared" ca="1" si="33"/>
        <v/>
      </c>
      <c r="AF179" s="284" t="str">
        <f t="shared" ca="1" si="33"/>
        <v/>
      </c>
      <c r="AG179" s="293" t="str">
        <f t="shared" ca="1" si="33"/>
        <v/>
      </c>
      <c r="AH179" s="96"/>
      <c r="AI179" s="96" t="str">
        <f t="shared" ca="1" si="19"/>
        <v/>
      </c>
      <c r="AK179" s="96">
        <f t="shared" ca="1" si="20"/>
        <v>0</v>
      </c>
      <c r="AL179" s="12">
        <f t="shared" ca="1" si="21"/>
        <v>0</v>
      </c>
      <c r="AM179" s="12">
        <f t="shared" ca="1" si="22"/>
        <v>0</v>
      </c>
      <c r="AN179" s="12">
        <f t="shared" ca="1" si="23"/>
        <v>0</v>
      </c>
      <c r="AO179" s="12">
        <f t="shared" ca="1" si="24"/>
        <v>0</v>
      </c>
      <c r="AP179" s="12" t="str">
        <f t="shared" ca="1" si="25"/>
        <v/>
      </c>
      <c r="AQ179" s="12" t="str">
        <f t="shared" ca="1" si="26"/>
        <v/>
      </c>
      <c r="AR179" s="12" t="str">
        <f t="shared" ca="1" si="27"/>
        <v/>
      </c>
      <c r="AS179" s="12" t="str">
        <f t="shared" ca="1" si="28"/>
        <v/>
      </c>
    </row>
    <row r="180" spans="1:45">
      <c r="A180">
        <f t="shared" si="32"/>
        <v>342</v>
      </c>
      <c r="B180" t="str">
        <f t="shared" ca="1" si="10"/>
        <v xml:space="preserve"> </v>
      </c>
      <c r="C180" t="b">
        <f t="shared" ca="1" si="11"/>
        <v>0</v>
      </c>
      <c r="D180" s="284" t="str">
        <f t="shared" ca="1" si="37"/>
        <v/>
      </c>
      <c r="E180" s="96" t="str">
        <f t="shared" ca="1" si="12"/>
        <v/>
      </c>
      <c r="F180" s="96" t="str">
        <f t="shared" ca="1" si="13"/>
        <v/>
      </c>
      <c r="G180" s="293" t="str">
        <f t="shared" ca="1" si="34"/>
        <v/>
      </c>
      <c r="H180" s="284" t="str">
        <f t="shared" ca="1" si="34"/>
        <v/>
      </c>
      <c r="I180" s="96" t="str">
        <f t="shared" ca="1" si="34"/>
        <v/>
      </c>
      <c r="J180" s="96" t="str">
        <f t="shared" ca="1" si="15"/>
        <v/>
      </c>
      <c r="K180" s="96" t="str">
        <f t="shared" ca="1" si="37"/>
        <v/>
      </c>
      <c r="L180" s="96" t="str">
        <f t="shared" ca="1" si="37"/>
        <v/>
      </c>
      <c r="M180" s="294" t="str">
        <f t="shared" ca="1" si="37"/>
        <v/>
      </c>
      <c r="N180" s="295" t="str">
        <f t="shared" ca="1" si="35"/>
        <v/>
      </c>
      <c r="O180" s="96" t="str">
        <f t="shared" ca="1" si="35"/>
        <v/>
      </c>
      <c r="P180" s="96" t="str">
        <f t="shared" ca="1" si="17"/>
        <v/>
      </c>
      <c r="Q180" s="96" t="str">
        <f t="shared" ca="1" si="37"/>
        <v/>
      </c>
      <c r="R180" s="293" t="str">
        <f t="shared" ca="1" si="37"/>
        <v/>
      </c>
      <c r="S180" s="284" t="str">
        <f t="shared" ca="1" si="36"/>
        <v/>
      </c>
      <c r="T180" s="96" t="str">
        <f t="shared" ca="1" si="36"/>
        <v/>
      </c>
      <c r="U180" s="96" t="str">
        <f t="shared" ca="1" si="18"/>
        <v/>
      </c>
      <c r="V180" s="96" t="str">
        <f t="shared" ca="1" si="36"/>
        <v/>
      </c>
      <c r="W180" s="96" t="str">
        <f t="shared" ca="1" si="36"/>
        <v/>
      </c>
      <c r="X180" s="293" t="str">
        <f t="shared" ca="1" si="36"/>
        <v/>
      </c>
      <c r="Y180" s="284" t="str">
        <f t="shared" ca="1" si="36"/>
        <v/>
      </c>
      <c r="Z180" s="96" t="str">
        <f t="shared" ca="1" si="36"/>
        <v/>
      </c>
      <c r="AA180" s="96" t="str">
        <f t="shared" ca="1" si="36"/>
        <v/>
      </c>
      <c r="AB180" s="386" t="str">
        <f t="shared" ca="1" si="36"/>
        <v/>
      </c>
      <c r="AC180" s="293" t="str">
        <f t="shared" ca="1" si="36"/>
        <v/>
      </c>
      <c r="AD180" s="284" t="str">
        <f t="shared" ca="1" si="33"/>
        <v/>
      </c>
      <c r="AE180" s="293" t="str">
        <f t="shared" ca="1" si="33"/>
        <v/>
      </c>
      <c r="AF180" s="284" t="str">
        <f t="shared" ca="1" si="33"/>
        <v/>
      </c>
      <c r="AG180" s="293" t="str">
        <f t="shared" ca="1" si="33"/>
        <v/>
      </c>
      <c r="AH180" s="96"/>
      <c r="AI180" s="96" t="str">
        <f t="shared" ca="1" si="19"/>
        <v/>
      </c>
      <c r="AK180" s="96">
        <f t="shared" ca="1" si="20"/>
        <v>0</v>
      </c>
      <c r="AL180" s="12">
        <f t="shared" ca="1" si="21"/>
        <v>0</v>
      </c>
      <c r="AM180" s="12">
        <f t="shared" ca="1" si="22"/>
        <v>0</v>
      </c>
      <c r="AN180" s="12">
        <f t="shared" ca="1" si="23"/>
        <v>0</v>
      </c>
      <c r="AO180" s="12">
        <f t="shared" ca="1" si="24"/>
        <v>0</v>
      </c>
      <c r="AP180" s="12" t="str">
        <f t="shared" ca="1" si="25"/>
        <v/>
      </c>
      <c r="AQ180" s="12" t="str">
        <f t="shared" ca="1" si="26"/>
        <v/>
      </c>
      <c r="AR180" s="12" t="str">
        <f t="shared" ca="1" si="27"/>
        <v/>
      </c>
      <c r="AS180" s="12" t="str">
        <f t="shared" ca="1" si="28"/>
        <v/>
      </c>
    </row>
    <row r="181" spans="1:45">
      <c r="A181">
        <f t="shared" si="32"/>
        <v>347</v>
      </c>
      <c r="B181" t="str">
        <f t="shared" ca="1" si="10"/>
        <v xml:space="preserve"> </v>
      </c>
      <c r="C181" t="b">
        <f t="shared" ca="1" si="11"/>
        <v>0</v>
      </c>
      <c r="D181" s="284" t="str">
        <f t="shared" ca="1" si="37"/>
        <v/>
      </c>
      <c r="E181" s="96" t="str">
        <f t="shared" ca="1" si="12"/>
        <v/>
      </c>
      <c r="F181" s="96" t="str">
        <f t="shared" ca="1" si="13"/>
        <v/>
      </c>
      <c r="G181" s="293" t="str">
        <f t="shared" ca="1" si="34"/>
        <v/>
      </c>
      <c r="H181" s="284" t="str">
        <f t="shared" ca="1" si="34"/>
        <v/>
      </c>
      <c r="I181" s="96" t="str">
        <f t="shared" ca="1" si="34"/>
        <v/>
      </c>
      <c r="J181" s="96" t="str">
        <f t="shared" ca="1" si="15"/>
        <v/>
      </c>
      <c r="K181" s="96" t="str">
        <f t="shared" ca="1" si="37"/>
        <v/>
      </c>
      <c r="L181" s="96" t="str">
        <f t="shared" ca="1" si="37"/>
        <v/>
      </c>
      <c r="M181" s="294" t="str">
        <f t="shared" ca="1" si="37"/>
        <v/>
      </c>
      <c r="N181" s="295" t="str">
        <f t="shared" ca="1" si="35"/>
        <v/>
      </c>
      <c r="O181" s="96" t="str">
        <f t="shared" ca="1" si="35"/>
        <v/>
      </c>
      <c r="P181" s="96" t="str">
        <f t="shared" ca="1" si="17"/>
        <v/>
      </c>
      <c r="Q181" s="96" t="str">
        <f t="shared" ca="1" si="37"/>
        <v/>
      </c>
      <c r="R181" s="293" t="str">
        <f t="shared" ca="1" si="37"/>
        <v/>
      </c>
      <c r="S181" s="284" t="str">
        <f t="shared" ca="1" si="36"/>
        <v/>
      </c>
      <c r="T181" s="96" t="str">
        <f t="shared" ca="1" si="36"/>
        <v/>
      </c>
      <c r="U181" s="96" t="str">
        <f t="shared" ca="1" si="18"/>
        <v/>
      </c>
      <c r="V181" s="96" t="str">
        <f t="shared" ca="1" si="36"/>
        <v/>
      </c>
      <c r="W181" s="96" t="str">
        <f t="shared" ca="1" si="36"/>
        <v/>
      </c>
      <c r="X181" s="293" t="str">
        <f t="shared" ca="1" si="36"/>
        <v/>
      </c>
      <c r="Y181" s="284" t="str">
        <f t="shared" ca="1" si="36"/>
        <v/>
      </c>
      <c r="Z181" s="96" t="str">
        <f t="shared" ca="1" si="36"/>
        <v/>
      </c>
      <c r="AA181" s="96" t="str">
        <f t="shared" ca="1" si="36"/>
        <v/>
      </c>
      <c r="AB181" s="386" t="str">
        <f t="shared" ca="1" si="36"/>
        <v/>
      </c>
      <c r="AC181" s="293" t="str">
        <f t="shared" ca="1" si="36"/>
        <v/>
      </c>
      <c r="AD181" s="284" t="str">
        <f t="shared" ca="1" si="33"/>
        <v/>
      </c>
      <c r="AE181" s="293" t="str">
        <f t="shared" ca="1" si="33"/>
        <v/>
      </c>
      <c r="AF181" s="284" t="str">
        <f t="shared" ca="1" si="33"/>
        <v/>
      </c>
      <c r="AG181" s="293" t="str">
        <f t="shared" ca="1" si="33"/>
        <v/>
      </c>
      <c r="AH181" s="96"/>
      <c r="AI181" s="96" t="str">
        <f t="shared" ca="1" si="19"/>
        <v/>
      </c>
      <c r="AK181" s="96">
        <f t="shared" ca="1" si="20"/>
        <v>0</v>
      </c>
      <c r="AL181" s="12">
        <f t="shared" ca="1" si="21"/>
        <v>0</v>
      </c>
      <c r="AM181" s="12">
        <f t="shared" ca="1" si="22"/>
        <v>0</v>
      </c>
      <c r="AN181" s="12">
        <f t="shared" ca="1" si="23"/>
        <v>0</v>
      </c>
      <c r="AO181" s="12">
        <f t="shared" ca="1" si="24"/>
        <v>0</v>
      </c>
      <c r="AP181" s="12" t="str">
        <f t="shared" ca="1" si="25"/>
        <v/>
      </c>
      <c r="AQ181" s="12" t="str">
        <f t="shared" ca="1" si="26"/>
        <v/>
      </c>
      <c r="AR181" s="12" t="str">
        <f t="shared" ca="1" si="27"/>
        <v/>
      </c>
      <c r="AS181" s="12" t="str">
        <f t="shared" ca="1" si="28"/>
        <v/>
      </c>
    </row>
    <row r="182" spans="1:45">
      <c r="A182">
        <f t="shared" si="32"/>
        <v>352</v>
      </c>
      <c r="B182" t="str">
        <f t="shared" ca="1" si="10"/>
        <v xml:space="preserve"> </v>
      </c>
      <c r="C182" t="b">
        <f t="shared" ca="1" si="11"/>
        <v>0</v>
      </c>
      <c r="D182" s="284" t="str">
        <f t="shared" ca="1" si="37"/>
        <v/>
      </c>
      <c r="E182" s="96" t="str">
        <f t="shared" ca="1" si="12"/>
        <v/>
      </c>
      <c r="F182" s="96" t="str">
        <f t="shared" ca="1" si="13"/>
        <v/>
      </c>
      <c r="G182" s="293" t="str">
        <f t="shared" ca="1" si="34"/>
        <v/>
      </c>
      <c r="H182" s="284" t="str">
        <f t="shared" ca="1" si="34"/>
        <v/>
      </c>
      <c r="I182" s="96" t="str">
        <f t="shared" ca="1" si="34"/>
        <v/>
      </c>
      <c r="J182" s="96" t="str">
        <f t="shared" ca="1" si="15"/>
        <v/>
      </c>
      <c r="K182" s="96" t="str">
        <f t="shared" ca="1" si="37"/>
        <v/>
      </c>
      <c r="L182" s="96" t="str">
        <f t="shared" ca="1" si="37"/>
        <v/>
      </c>
      <c r="M182" s="294" t="str">
        <f t="shared" ca="1" si="37"/>
        <v/>
      </c>
      <c r="N182" s="295" t="str">
        <f t="shared" ca="1" si="35"/>
        <v/>
      </c>
      <c r="O182" s="96" t="str">
        <f t="shared" ca="1" si="35"/>
        <v/>
      </c>
      <c r="P182" s="96" t="str">
        <f t="shared" ca="1" si="17"/>
        <v/>
      </c>
      <c r="Q182" s="96" t="str">
        <f t="shared" ca="1" si="37"/>
        <v/>
      </c>
      <c r="R182" s="293" t="str">
        <f t="shared" ca="1" si="37"/>
        <v/>
      </c>
      <c r="S182" s="284" t="str">
        <f t="shared" ca="1" si="36"/>
        <v/>
      </c>
      <c r="T182" s="96" t="str">
        <f t="shared" ca="1" si="36"/>
        <v/>
      </c>
      <c r="U182" s="96" t="str">
        <f t="shared" ca="1" si="18"/>
        <v/>
      </c>
      <c r="V182" s="96" t="str">
        <f t="shared" ca="1" si="36"/>
        <v/>
      </c>
      <c r="W182" s="96" t="str">
        <f t="shared" ca="1" si="36"/>
        <v/>
      </c>
      <c r="X182" s="293" t="str">
        <f t="shared" ca="1" si="36"/>
        <v/>
      </c>
      <c r="Y182" s="284" t="str">
        <f t="shared" ca="1" si="36"/>
        <v/>
      </c>
      <c r="Z182" s="96" t="str">
        <f t="shared" ca="1" si="36"/>
        <v/>
      </c>
      <c r="AA182" s="96" t="str">
        <f t="shared" ca="1" si="36"/>
        <v/>
      </c>
      <c r="AB182" s="386" t="str">
        <f t="shared" ca="1" si="36"/>
        <v/>
      </c>
      <c r="AC182" s="293" t="str">
        <f t="shared" ca="1" si="36"/>
        <v/>
      </c>
      <c r="AD182" s="284" t="str">
        <f t="shared" ca="1" si="33"/>
        <v/>
      </c>
      <c r="AE182" s="293" t="str">
        <f t="shared" ca="1" si="33"/>
        <v/>
      </c>
      <c r="AF182" s="284" t="str">
        <f t="shared" ca="1" si="33"/>
        <v/>
      </c>
      <c r="AG182" s="293" t="str">
        <f t="shared" ca="1" si="33"/>
        <v/>
      </c>
      <c r="AH182" s="96"/>
      <c r="AI182" s="96" t="str">
        <f t="shared" ca="1" si="19"/>
        <v/>
      </c>
      <c r="AK182" s="96">
        <f t="shared" ca="1" si="20"/>
        <v>0</v>
      </c>
      <c r="AL182" s="12">
        <f t="shared" ca="1" si="21"/>
        <v>0</v>
      </c>
      <c r="AM182" s="12">
        <f t="shared" ca="1" si="22"/>
        <v>0</v>
      </c>
      <c r="AN182" s="12">
        <f t="shared" ca="1" si="23"/>
        <v>0</v>
      </c>
      <c r="AO182" s="12">
        <f t="shared" ca="1" si="24"/>
        <v>0</v>
      </c>
      <c r="AP182" s="12" t="str">
        <f t="shared" ca="1" si="25"/>
        <v/>
      </c>
      <c r="AQ182" s="12" t="str">
        <f t="shared" ca="1" si="26"/>
        <v/>
      </c>
      <c r="AR182" s="12" t="str">
        <f t="shared" ca="1" si="27"/>
        <v/>
      </c>
      <c r="AS182" s="12" t="str">
        <f t="shared" ca="1" si="28"/>
        <v/>
      </c>
    </row>
    <row r="183" spans="1:45">
      <c r="A183">
        <f t="shared" si="32"/>
        <v>357</v>
      </c>
      <c r="B183" t="str">
        <f t="shared" ca="1" si="10"/>
        <v xml:space="preserve"> </v>
      </c>
      <c r="C183" t="b">
        <f t="shared" ca="1" si="11"/>
        <v>0</v>
      </c>
      <c r="D183" s="284" t="str">
        <f t="shared" ca="1" si="37"/>
        <v/>
      </c>
      <c r="E183" s="96" t="str">
        <f t="shared" ca="1" si="12"/>
        <v/>
      </c>
      <c r="F183" s="96" t="str">
        <f t="shared" ca="1" si="13"/>
        <v/>
      </c>
      <c r="G183" s="293" t="str">
        <f t="shared" ca="1" si="34"/>
        <v/>
      </c>
      <c r="H183" s="284" t="str">
        <f t="shared" ca="1" si="34"/>
        <v/>
      </c>
      <c r="I183" s="96" t="str">
        <f t="shared" ca="1" si="34"/>
        <v/>
      </c>
      <c r="J183" s="96" t="str">
        <f t="shared" ca="1" si="15"/>
        <v/>
      </c>
      <c r="K183" s="96" t="str">
        <f t="shared" ca="1" si="37"/>
        <v/>
      </c>
      <c r="L183" s="96" t="str">
        <f t="shared" ca="1" si="37"/>
        <v/>
      </c>
      <c r="M183" s="294" t="str">
        <f t="shared" ca="1" si="37"/>
        <v/>
      </c>
      <c r="N183" s="295" t="str">
        <f t="shared" ca="1" si="35"/>
        <v/>
      </c>
      <c r="O183" s="96" t="str">
        <f t="shared" ca="1" si="35"/>
        <v/>
      </c>
      <c r="P183" s="96" t="str">
        <f t="shared" ca="1" si="17"/>
        <v/>
      </c>
      <c r="Q183" s="96" t="str">
        <f t="shared" ca="1" si="37"/>
        <v/>
      </c>
      <c r="R183" s="293" t="str">
        <f t="shared" ca="1" si="37"/>
        <v/>
      </c>
      <c r="S183" s="284" t="str">
        <f t="shared" ca="1" si="36"/>
        <v/>
      </c>
      <c r="T183" s="96" t="str">
        <f t="shared" ca="1" si="36"/>
        <v/>
      </c>
      <c r="U183" s="96" t="str">
        <f t="shared" ca="1" si="18"/>
        <v/>
      </c>
      <c r="V183" s="96" t="str">
        <f t="shared" ca="1" si="36"/>
        <v/>
      </c>
      <c r="W183" s="96" t="str">
        <f t="shared" ca="1" si="36"/>
        <v/>
      </c>
      <c r="X183" s="293" t="str">
        <f t="shared" ca="1" si="36"/>
        <v/>
      </c>
      <c r="Y183" s="284" t="str">
        <f t="shared" ca="1" si="36"/>
        <v/>
      </c>
      <c r="Z183" s="96" t="str">
        <f t="shared" ca="1" si="36"/>
        <v/>
      </c>
      <c r="AA183" s="96" t="str">
        <f t="shared" ca="1" si="36"/>
        <v/>
      </c>
      <c r="AB183" s="386" t="str">
        <f t="shared" ca="1" si="36"/>
        <v/>
      </c>
      <c r="AC183" s="293" t="str">
        <f t="shared" ca="1" si="36"/>
        <v/>
      </c>
      <c r="AD183" s="284" t="str">
        <f t="shared" ca="1" si="33"/>
        <v/>
      </c>
      <c r="AE183" s="293" t="str">
        <f t="shared" ca="1" si="33"/>
        <v/>
      </c>
      <c r="AF183" s="284" t="str">
        <f t="shared" ca="1" si="33"/>
        <v/>
      </c>
      <c r="AG183" s="293" t="str">
        <f t="shared" ca="1" si="33"/>
        <v/>
      </c>
      <c r="AH183" s="96"/>
      <c r="AI183" s="96" t="str">
        <f t="shared" ca="1" si="19"/>
        <v/>
      </c>
      <c r="AK183" s="96">
        <f t="shared" ca="1" si="20"/>
        <v>0</v>
      </c>
      <c r="AL183" s="12">
        <f t="shared" ca="1" si="21"/>
        <v>0</v>
      </c>
      <c r="AM183" s="12">
        <f t="shared" ca="1" si="22"/>
        <v>0</v>
      </c>
      <c r="AN183" s="12">
        <f t="shared" ca="1" si="23"/>
        <v>0</v>
      </c>
      <c r="AO183" s="12">
        <f t="shared" ca="1" si="24"/>
        <v>0</v>
      </c>
      <c r="AP183" s="12" t="str">
        <f t="shared" ca="1" si="25"/>
        <v/>
      </c>
      <c r="AQ183" s="12" t="str">
        <f t="shared" ca="1" si="26"/>
        <v/>
      </c>
      <c r="AR183" s="12" t="str">
        <f t="shared" ca="1" si="27"/>
        <v/>
      </c>
      <c r="AS183" s="12" t="str">
        <f t="shared" ca="1" si="28"/>
        <v/>
      </c>
    </row>
    <row r="184" spans="1:45">
      <c r="A184">
        <f t="shared" si="32"/>
        <v>362</v>
      </c>
      <c r="B184" t="str">
        <f t="shared" ca="1" si="10"/>
        <v xml:space="preserve"> </v>
      </c>
      <c r="C184" t="b">
        <f t="shared" ca="1" si="11"/>
        <v>0</v>
      </c>
      <c r="D184" s="284" t="str">
        <f t="shared" ca="1" si="37"/>
        <v/>
      </c>
      <c r="E184" s="96" t="str">
        <f t="shared" ca="1" si="12"/>
        <v/>
      </c>
      <c r="F184" s="96" t="str">
        <f t="shared" ca="1" si="13"/>
        <v/>
      </c>
      <c r="G184" s="293" t="str">
        <f t="shared" ca="1" si="34"/>
        <v/>
      </c>
      <c r="H184" s="284" t="str">
        <f t="shared" ca="1" si="34"/>
        <v/>
      </c>
      <c r="I184" s="96" t="str">
        <f t="shared" ca="1" si="34"/>
        <v/>
      </c>
      <c r="J184" s="96" t="str">
        <f t="shared" ca="1" si="15"/>
        <v/>
      </c>
      <c r="K184" s="96" t="str">
        <f t="shared" ca="1" si="37"/>
        <v/>
      </c>
      <c r="L184" s="96" t="str">
        <f t="shared" ca="1" si="37"/>
        <v/>
      </c>
      <c r="M184" s="294" t="str">
        <f t="shared" ca="1" si="37"/>
        <v/>
      </c>
      <c r="N184" s="295" t="str">
        <f t="shared" ca="1" si="35"/>
        <v/>
      </c>
      <c r="O184" s="96" t="str">
        <f t="shared" ca="1" si="35"/>
        <v/>
      </c>
      <c r="P184" s="96" t="str">
        <f t="shared" ca="1" si="17"/>
        <v/>
      </c>
      <c r="Q184" s="96" t="str">
        <f t="shared" ca="1" si="37"/>
        <v/>
      </c>
      <c r="R184" s="293" t="str">
        <f t="shared" ca="1" si="37"/>
        <v/>
      </c>
      <c r="S184" s="284" t="str">
        <f t="shared" ca="1" si="36"/>
        <v/>
      </c>
      <c r="T184" s="96" t="str">
        <f t="shared" ref="S184:AC209" ca="1" si="38">IF($C184=FALSE,"",INDIRECT("Installations!" &amp; T$120 &amp; $A184+2))</f>
        <v/>
      </c>
      <c r="U184" s="96" t="str">
        <f t="shared" ca="1" si="18"/>
        <v/>
      </c>
      <c r="V184" s="96" t="str">
        <f t="shared" ca="1" si="38"/>
        <v/>
      </c>
      <c r="W184" s="96" t="str">
        <f t="shared" ca="1" si="38"/>
        <v/>
      </c>
      <c r="X184" s="293" t="str">
        <f t="shared" ca="1" si="38"/>
        <v/>
      </c>
      <c r="Y184" s="284" t="str">
        <f t="shared" ca="1" si="38"/>
        <v/>
      </c>
      <c r="Z184" s="96" t="str">
        <f t="shared" ca="1" si="38"/>
        <v/>
      </c>
      <c r="AA184" s="96" t="str">
        <f t="shared" ca="1" si="38"/>
        <v/>
      </c>
      <c r="AB184" s="386" t="str">
        <f t="shared" ca="1" si="38"/>
        <v/>
      </c>
      <c r="AC184" s="293" t="str">
        <f t="shared" ca="1" si="38"/>
        <v/>
      </c>
      <c r="AD184" s="284" t="str">
        <f t="shared" ca="1" si="33"/>
        <v/>
      </c>
      <c r="AE184" s="293" t="str">
        <f t="shared" ca="1" si="33"/>
        <v/>
      </c>
      <c r="AF184" s="284" t="str">
        <f t="shared" ca="1" si="33"/>
        <v/>
      </c>
      <c r="AG184" s="293" t="str">
        <f t="shared" ca="1" si="33"/>
        <v/>
      </c>
      <c r="AH184" s="96"/>
      <c r="AI184" s="96" t="str">
        <f t="shared" ca="1" si="19"/>
        <v/>
      </c>
      <c r="AK184" s="96">
        <f t="shared" ca="1" si="20"/>
        <v>0</v>
      </c>
      <c r="AL184" s="12">
        <f t="shared" ca="1" si="21"/>
        <v>0</v>
      </c>
      <c r="AM184" s="12">
        <f t="shared" ca="1" si="22"/>
        <v>0</v>
      </c>
      <c r="AN184" s="12">
        <f t="shared" ca="1" si="23"/>
        <v>0</v>
      </c>
      <c r="AO184" s="12">
        <f t="shared" ca="1" si="24"/>
        <v>0</v>
      </c>
      <c r="AP184" s="12" t="str">
        <f t="shared" ca="1" si="25"/>
        <v/>
      </c>
      <c r="AQ184" s="12" t="str">
        <f t="shared" ca="1" si="26"/>
        <v/>
      </c>
      <c r="AR184" s="12" t="str">
        <f t="shared" ca="1" si="27"/>
        <v/>
      </c>
      <c r="AS184" s="12" t="str">
        <f t="shared" ca="1" si="28"/>
        <v/>
      </c>
    </row>
    <row r="185" spans="1:45">
      <c r="A185">
        <f t="shared" si="32"/>
        <v>367</v>
      </c>
      <c r="B185" t="str">
        <f t="shared" ca="1" si="10"/>
        <v xml:space="preserve"> </v>
      </c>
      <c r="C185" t="b">
        <f t="shared" ca="1" si="11"/>
        <v>0</v>
      </c>
      <c r="D185" s="284" t="str">
        <f t="shared" ca="1" si="37"/>
        <v/>
      </c>
      <c r="E185" s="96" t="str">
        <f t="shared" ca="1" si="12"/>
        <v/>
      </c>
      <c r="F185" s="96" t="str">
        <f t="shared" ca="1" si="13"/>
        <v/>
      </c>
      <c r="G185" s="293" t="str">
        <f t="shared" ca="1" si="34"/>
        <v/>
      </c>
      <c r="H185" s="284" t="str">
        <f t="shared" ca="1" si="34"/>
        <v/>
      </c>
      <c r="I185" s="96" t="str">
        <f t="shared" ca="1" si="34"/>
        <v/>
      </c>
      <c r="J185" s="96" t="str">
        <f t="shared" ca="1" si="15"/>
        <v/>
      </c>
      <c r="K185" s="96" t="str">
        <f t="shared" ca="1" si="37"/>
        <v/>
      </c>
      <c r="L185" s="96" t="str">
        <f t="shared" ca="1" si="37"/>
        <v/>
      </c>
      <c r="M185" s="294" t="str">
        <f t="shared" ca="1" si="37"/>
        <v/>
      </c>
      <c r="N185" s="295" t="str">
        <f t="shared" ca="1" si="35"/>
        <v/>
      </c>
      <c r="O185" s="96" t="str">
        <f t="shared" ca="1" si="35"/>
        <v/>
      </c>
      <c r="P185" s="96" t="str">
        <f t="shared" ca="1" si="17"/>
        <v/>
      </c>
      <c r="Q185" s="96" t="str">
        <f t="shared" ca="1" si="37"/>
        <v/>
      </c>
      <c r="R185" s="293" t="str">
        <f t="shared" ca="1" si="37"/>
        <v/>
      </c>
      <c r="S185" s="284" t="str">
        <f t="shared" ca="1" si="38"/>
        <v/>
      </c>
      <c r="T185" s="96" t="str">
        <f t="shared" ca="1" si="38"/>
        <v/>
      </c>
      <c r="U185" s="96" t="str">
        <f t="shared" ca="1" si="18"/>
        <v/>
      </c>
      <c r="V185" s="96" t="str">
        <f t="shared" ca="1" si="38"/>
        <v/>
      </c>
      <c r="W185" s="96" t="str">
        <f t="shared" ca="1" si="38"/>
        <v/>
      </c>
      <c r="X185" s="293" t="str">
        <f t="shared" ca="1" si="38"/>
        <v/>
      </c>
      <c r="Y185" s="284" t="str">
        <f t="shared" ca="1" si="38"/>
        <v/>
      </c>
      <c r="Z185" s="96" t="str">
        <f t="shared" ca="1" si="38"/>
        <v/>
      </c>
      <c r="AA185" s="96" t="str">
        <f t="shared" ca="1" si="38"/>
        <v/>
      </c>
      <c r="AB185" s="386" t="str">
        <f t="shared" ca="1" si="38"/>
        <v/>
      </c>
      <c r="AC185" s="293" t="str">
        <f t="shared" ca="1" si="38"/>
        <v/>
      </c>
      <c r="AD185" s="284" t="str">
        <f t="shared" ca="1" si="33"/>
        <v/>
      </c>
      <c r="AE185" s="293" t="str">
        <f t="shared" ca="1" si="33"/>
        <v/>
      </c>
      <c r="AF185" s="284" t="str">
        <f t="shared" ca="1" si="33"/>
        <v/>
      </c>
      <c r="AG185" s="293" t="str">
        <f t="shared" ca="1" si="33"/>
        <v/>
      </c>
      <c r="AH185" s="96"/>
      <c r="AI185" s="96" t="str">
        <f t="shared" ca="1" si="19"/>
        <v/>
      </c>
      <c r="AK185" s="96">
        <f t="shared" ca="1" si="20"/>
        <v>0</v>
      </c>
      <c r="AL185" s="12">
        <f t="shared" ca="1" si="21"/>
        <v>0</v>
      </c>
      <c r="AM185" s="12">
        <f t="shared" ca="1" si="22"/>
        <v>0</v>
      </c>
      <c r="AN185" s="12">
        <f t="shared" ca="1" si="23"/>
        <v>0</v>
      </c>
      <c r="AO185" s="12">
        <f t="shared" ca="1" si="24"/>
        <v>0</v>
      </c>
      <c r="AP185" s="12" t="str">
        <f t="shared" ca="1" si="25"/>
        <v/>
      </c>
      <c r="AQ185" s="12" t="str">
        <f t="shared" ca="1" si="26"/>
        <v/>
      </c>
      <c r="AR185" s="12" t="str">
        <f t="shared" ca="1" si="27"/>
        <v/>
      </c>
      <c r="AS185" s="12" t="str">
        <f t="shared" ca="1" si="28"/>
        <v/>
      </c>
    </row>
    <row r="186" spans="1:45">
      <c r="A186">
        <f t="shared" si="32"/>
        <v>372</v>
      </c>
      <c r="B186" t="str">
        <f t="shared" ca="1" si="10"/>
        <v xml:space="preserve"> </v>
      </c>
      <c r="C186" t="b">
        <f t="shared" ca="1" si="11"/>
        <v>0</v>
      </c>
      <c r="D186" s="284" t="str">
        <f t="shared" ca="1" si="37"/>
        <v/>
      </c>
      <c r="E186" s="96" t="str">
        <f t="shared" ca="1" si="12"/>
        <v/>
      </c>
      <c r="F186" s="96" t="str">
        <f t="shared" ca="1" si="13"/>
        <v/>
      </c>
      <c r="G186" s="293" t="str">
        <f t="shared" ca="1" si="34"/>
        <v/>
      </c>
      <c r="H186" s="284" t="str">
        <f t="shared" ca="1" si="34"/>
        <v/>
      </c>
      <c r="I186" s="96" t="str">
        <f t="shared" ca="1" si="34"/>
        <v/>
      </c>
      <c r="J186" s="96" t="str">
        <f t="shared" ca="1" si="15"/>
        <v/>
      </c>
      <c r="K186" s="96" t="str">
        <f t="shared" ca="1" si="37"/>
        <v/>
      </c>
      <c r="L186" s="96" t="str">
        <f t="shared" ca="1" si="37"/>
        <v/>
      </c>
      <c r="M186" s="294" t="str">
        <f t="shared" ca="1" si="37"/>
        <v/>
      </c>
      <c r="N186" s="295" t="str">
        <f t="shared" ca="1" si="35"/>
        <v/>
      </c>
      <c r="O186" s="96" t="str">
        <f t="shared" ca="1" si="35"/>
        <v/>
      </c>
      <c r="P186" s="96" t="str">
        <f t="shared" ca="1" si="17"/>
        <v/>
      </c>
      <c r="Q186" s="96" t="str">
        <f t="shared" ca="1" si="37"/>
        <v/>
      </c>
      <c r="R186" s="293" t="str">
        <f t="shared" ca="1" si="37"/>
        <v/>
      </c>
      <c r="S186" s="284" t="str">
        <f t="shared" ca="1" si="38"/>
        <v/>
      </c>
      <c r="T186" s="96" t="str">
        <f t="shared" ca="1" si="38"/>
        <v/>
      </c>
      <c r="U186" s="96" t="str">
        <f t="shared" ca="1" si="18"/>
        <v/>
      </c>
      <c r="V186" s="96" t="str">
        <f t="shared" ca="1" si="38"/>
        <v/>
      </c>
      <c r="W186" s="96" t="str">
        <f t="shared" ca="1" si="38"/>
        <v/>
      </c>
      <c r="X186" s="293" t="str">
        <f t="shared" ca="1" si="38"/>
        <v/>
      </c>
      <c r="Y186" s="284" t="str">
        <f t="shared" ca="1" si="38"/>
        <v/>
      </c>
      <c r="Z186" s="96" t="str">
        <f t="shared" ca="1" si="38"/>
        <v/>
      </c>
      <c r="AA186" s="96" t="str">
        <f t="shared" ca="1" si="38"/>
        <v/>
      </c>
      <c r="AB186" s="386" t="str">
        <f t="shared" ca="1" si="38"/>
        <v/>
      </c>
      <c r="AC186" s="293" t="str">
        <f t="shared" ca="1" si="38"/>
        <v/>
      </c>
      <c r="AD186" s="284" t="str">
        <f t="shared" ca="1" si="33"/>
        <v/>
      </c>
      <c r="AE186" s="293" t="str">
        <f t="shared" ca="1" si="33"/>
        <v/>
      </c>
      <c r="AF186" s="284" t="str">
        <f t="shared" ca="1" si="33"/>
        <v/>
      </c>
      <c r="AG186" s="293" t="str">
        <f t="shared" ca="1" si="33"/>
        <v/>
      </c>
      <c r="AH186" s="96"/>
      <c r="AI186" s="96" t="str">
        <f t="shared" ca="1" si="19"/>
        <v/>
      </c>
      <c r="AK186" s="96">
        <f t="shared" ca="1" si="20"/>
        <v>0</v>
      </c>
      <c r="AL186" s="12">
        <f t="shared" ca="1" si="21"/>
        <v>0</v>
      </c>
      <c r="AM186" s="12">
        <f t="shared" ca="1" si="22"/>
        <v>0</v>
      </c>
      <c r="AN186" s="12">
        <f t="shared" ca="1" si="23"/>
        <v>0</v>
      </c>
      <c r="AO186" s="12">
        <f t="shared" ca="1" si="24"/>
        <v>0</v>
      </c>
      <c r="AP186" s="12" t="str">
        <f t="shared" ca="1" si="25"/>
        <v/>
      </c>
      <c r="AQ186" s="12" t="str">
        <f t="shared" ca="1" si="26"/>
        <v/>
      </c>
      <c r="AR186" s="12" t="str">
        <f t="shared" ca="1" si="27"/>
        <v/>
      </c>
      <c r="AS186" s="12" t="str">
        <f t="shared" ca="1" si="28"/>
        <v/>
      </c>
    </row>
    <row r="187" spans="1:45">
      <c r="A187">
        <f t="shared" si="32"/>
        <v>377</v>
      </c>
      <c r="B187" t="str">
        <f t="shared" ref="B187:B250" ca="1" si="39">INDIRECT("Installations!" &amp; B$121 &amp; $A187)</f>
        <v xml:space="preserve"> </v>
      </c>
      <c r="C187" t="b">
        <f t="shared" ref="C187:C250" ca="1" si="40">IF(INDIRECT("Installations!" &amp; C$121 &amp; $A187)=TRUE,TRUE,FALSE)</f>
        <v>0</v>
      </c>
      <c r="D187" s="284" t="str">
        <f t="shared" ca="1" si="37"/>
        <v/>
      </c>
      <c r="E187" s="96" t="str">
        <f t="shared" ref="E187:E250" ca="1" si="41">IF($C187=FALSE,"",INDIRECT("Installations!" &amp; E$120 &amp; $A187+1))</f>
        <v/>
      </c>
      <c r="F187" s="96" t="str">
        <f t="shared" ref="F187:F250" ca="1" si="42">IF($C187=FALSE,"",INDIRECT("Installations!" &amp; F$120 &amp; $A187+2))</f>
        <v/>
      </c>
      <c r="G187" s="293" t="str">
        <f t="shared" ref="G187:I218" ca="1" si="43">IF($C187=FALSE,"",INDIRECT("Installations!" &amp; G$120 &amp; $A187+1))</f>
        <v/>
      </c>
      <c r="H187" s="284" t="str">
        <f t="shared" ca="1" si="43"/>
        <v/>
      </c>
      <c r="I187" s="96" t="str">
        <f t="shared" ca="1" si="43"/>
        <v/>
      </c>
      <c r="J187" s="96" t="str">
        <f t="shared" ref="J187:J250" ca="1" si="44">IF($C187=FALSE,"",INDIRECT("Installations!" &amp; J$120 &amp; $A187+3))</f>
        <v/>
      </c>
      <c r="K187" s="96" t="str">
        <f t="shared" ca="1" si="37"/>
        <v/>
      </c>
      <c r="L187" s="96" t="str">
        <f t="shared" ca="1" si="37"/>
        <v/>
      </c>
      <c r="M187" s="294" t="str">
        <f t="shared" ca="1" si="37"/>
        <v/>
      </c>
      <c r="N187" s="295" t="str">
        <f t="shared" ref="N187:O218" ca="1" si="45">IF($C187=FALSE,"",INDIRECT("Installations!" &amp; N$120 &amp; $A187+1))</f>
        <v/>
      </c>
      <c r="O187" s="96" t="str">
        <f t="shared" ca="1" si="45"/>
        <v/>
      </c>
      <c r="P187" s="96" t="str">
        <f t="shared" ref="P187:P250" ca="1" si="46">IF($C187=FALSE,"",INDIRECT("Installations!" &amp; P$120 &amp; $A187+3))</f>
        <v/>
      </c>
      <c r="Q187" s="96" t="str">
        <f t="shared" ca="1" si="37"/>
        <v/>
      </c>
      <c r="R187" s="293" t="str">
        <f t="shared" ca="1" si="37"/>
        <v/>
      </c>
      <c r="S187" s="284" t="str">
        <f t="shared" ca="1" si="38"/>
        <v/>
      </c>
      <c r="T187" s="96" t="str">
        <f t="shared" ca="1" si="38"/>
        <v/>
      </c>
      <c r="U187" s="96" t="str">
        <f t="shared" ref="U187:U250" ca="1" si="47">IF($C187=FALSE,"",INDIRECT("Installations!" &amp; U$120 &amp; $A187+3))</f>
        <v/>
      </c>
      <c r="V187" s="96" t="str">
        <f t="shared" ca="1" si="38"/>
        <v/>
      </c>
      <c r="W187" s="96" t="str">
        <f t="shared" ca="1" si="38"/>
        <v/>
      </c>
      <c r="X187" s="293" t="str">
        <f t="shared" ca="1" si="38"/>
        <v/>
      </c>
      <c r="Y187" s="284" t="str">
        <f t="shared" ca="1" si="38"/>
        <v/>
      </c>
      <c r="Z187" s="96" t="str">
        <f t="shared" ca="1" si="38"/>
        <v/>
      </c>
      <c r="AA187" s="96" t="str">
        <f t="shared" ca="1" si="38"/>
        <v/>
      </c>
      <c r="AB187" s="386" t="str">
        <f t="shared" ca="1" si="38"/>
        <v/>
      </c>
      <c r="AC187" s="293" t="str">
        <f t="shared" ca="1" si="38"/>
        <v/>
      </c>
      <c r="AD187" s="284" t="str">
        <f t="shared" ca="1" si="33"/>
        <v/>
      </c>
      <c r="AE187" s="293" t="str">
        <f t="shared" ca="1" si="33"/>
        <v/>
      </c>
      <c r="AF187" s="284" t="str">
        <f t="shared" ca="1" si="33"/>
        <v/>
      </c>
      <c r="AG187" s="293" t="str">
        <f t="shared" ca="1" si="33"/>
        <v/>
      </c>
      <c r="AH187" s="96"/>
      <c r="AI187" s="96" t="str">
        <f t="shared" ref="AI187:AI250" ca="1" si="48">T187</f>
        <v/>
      </c>
      <c r="AK187" s="96">
        <f t="shared" ref="AK187:AK250" ca="1" si="49">VLOOKUP(AI187,J$66:R$115,3,FALSE)</f>
        <v>0</v>
      </c>
      <c r="AL187" s="12">
        <f t="shared" ref="AL187:AL250" ca="1" si="50">VLOOKUP($AI187,$J$66:$R$115,5,FALSE)</f>
        <v>0</v>
      </c>
      <c r="AM187" s="12">
        <f t="shared" ref="AM187:AM250" ca="1" si="51">VLOOKUP($AI187,$J$66:$R$115,8,FALSE)</f>
        <v>0</v>
      </c>
      <c r="AN187" s="12">
        <f t="shared" ref="AN187:AN250" ca="1" si="52">VLOOKUP($AI187,$J$66:$R$115,6,FALSE)</f>
        <v>0</v>
      </c>
      <c r="AO187" s="12">
        <f t="shared" ref="AO187:AO250" ca="1" si="53">VLOOKUP($AI187,$J$66:$R$115,7,FALSE)</f>
        <v>0</v>
      </c>
      <c r="AP187" s="12" t="str">
        <f t="shared" ref="AP187:AP250" ca="1" si="54">VLOOKUP($AI187,$J$66:$R$115,9,FALSE)</f>
        <v/>
      </c>
      <c r="AQ187" s="12" t="str">
        <f t="shared" ref="AQ187:AQ250" ca="1" si="55">IFERROR(ROUND(IF($C187=FALSE,"",INDIRECT("Installations!" &amp; AQ$120 &amp; $A187)),0),"")</f>
        <v/>
      </c>
      <c r="AR187" s="12" t="str">
        <f t="shared" ref="AR187:AR250" ca="1" si="56">IF($C187=FALSE,"",INDIRECT("Installations!" &amp; AR$120 &amp; $A187+3))</f>
        <v/>
      </c>
      <c r="AS187" s="12" t="str">
        <f t="shared" ref="AS187:AS250" ca="1" si="57">IF($C187=FALSE,"",INDIRECT("Installations!" &amp; AS$120 &amp; $A187+2))</f>
        <v/>
      </c>
    </row>
    <row r="188" spans="1:45">
      <c r="A188">
        <f t="shared" si="32"/>
        <v>382</v>
      </c>
      <c r="B188" t="str">
        <f t="shared" ca="1" si="39"/>
        <v xml:space="preserve"> </v>
      </c>
      <c r="C188" t="b">
        <f t="shared" ca="1" si="40"/>
        <v>0</v>
      </c>
      <c r="D188" s="284" t="str">
        <f t="shared" ca="1" si="37"/>
        <v/>
      </c>
      <c r="E188" s="96" t="str">
        <f t="shared" ca="1" si="41"/>
        <v/>
      </c>
      <c r="F188" s="96" t="str">
        <f t="shared" ca="1" si="42"/>
        <v/>
      </c>
      <c r="G188" s="293" t="str">
        <f t="shared" ca="1" si="43"/>
        <v/>
      </c>
      <c r="H188" s="284" t="str">
        <f t="shared" ca="1" si="43"/>
        <v/>
      </c>
      <c r="I188" s="96" t="str">
        <f t="shared" ca="1" si="43"/>
        <v/>
      </c>
      <c r="J188" s="96" t="str">
        <f t="shared" ca="1" si="44"/>
        <v/>
      </c>
      <c r="K188" s="96" t="str">
        <f t="shared" ca="1" si="37"/>
        <v/>
      </c>
      <c r="L188" s="96" t="str">
        <f t="shared" ca="1" si="37"/>
        <v/>
      </c>
      <c r="M188" s="294" t="str">
        <f t="shared" ca="1" si="37"/>
        <v/>
      </c>
      <c r="N188" s="295" t="str">
        <f t="shared" ca="1" si="45"/>
        <v/>
      </c>
      <c r="O188" s="96" t="str">
        <f t="shared" ca="1" si="45"/>
        <v/>
      </c>
      <c r="P188" s="96" t="str">
        <f t="shared" ca="1" si="46"/>
        <v/>
      </c>
      <c r="Q188" s="96" t="str">
        <f t="shared" ca="1" si="37"/>
        <v/>
      </c>
      <c r="R188" s="293" t="str">
        <f t="shared" ca="1" si="37"/>
        <v/>
      </c>
      <c r="S188" s="284" t="str">
        <f t="shared" ca="1" si="38"/>
        <v/>
      </c>
      <c r="T188" s="96" t="str">
        <f t="shared" ca="1" si="38"/>
        <v/>
      </c>
      <c r="U188" s="96" t="str">
        <f t="shared" ca="1" si="47"/>
        <v/>
      </c>
      <c r="V188" s="96" t="str">
        <f t="shared" ca="1" si="38"/>
        <v/>
      </c>
      <c r="W188" s="96" t="str">
        <f t="shared" ca="1" si="38"/>
        <v/>
      </c>
      <c r="X188" s="293" t="str">
        <f t="shared" ca="1" si="38"/>
        <v/>
      </c>
      <c r="Y188" s="284" t="str">
        <f t="shared" ca="1" si="38"/>
        <v/>
      </c>
      <c r="Z188" s="96" t="str">
        <f t="shared" ca="1" si="38"/>
        <v/>
      </c>
      <c r="AA188" s="96" t="str">
        <f t="shared" ca="1" si="38"/>
        <v/>
      </c>
      <c r="AB188" s="386" t="str">
        <f t="shared" ca="1" si="38"/>
        <v/>
      </c>
      <c r="AC188" s="293" t="str">
        <f t="shared" ca="1" si="38"/>
        <v/>
      </c>
      <c r="AD188" s="284" t="str">
        <f t="shared" ca="1" si="33"/>
        <v/>
      </c>
      <c r="AE188" s="293" t="str">
        <f t="shared" ca="1" si="33"/>
        <v/>
      </c>
      <c r="AF188" s="284" t="str">
        <f t="shared" ca="1" si="33"/>
        <v/>
      </c>
      <c r="AG188" s="293" t="str">
        <f t="shared" ca="1" si="33"/>
        <v/>
      </c>
      <c r="AH188" s="96"/>
      <c r="AI188" s="96" t="str">
        <f t="shared" ca="1" si="48"/>
        <v/>
      </c>
      <c r="AK188" s="96">
        <f t="shared" ca="1" si="49"/>
        <v>0</v>
      </c>
      <c r="AL188" s="12">
        <f t="shared" ca="1" si="50"/>
        <v>0</v>
      </c>
      <c r="AM188" s="12">
        <f t="shared" ca="1" si="51"/>
        <v>0</v>
      </c>
      <c r="AN188" s="12">
        <f t="shared" ca="1" si="52"/>
        <v>0</v>
      </c>
      <c r="AO188" s="12">
        <f t="shared" ca="1" si="53"/>
        <v>0</v>
      </c>
      <c r="AP188" s="12" t="str">
        <f t="shared" ca="1" si="54"/>
        <v/>
      </c>
      <c r="AQ188" s="12" t="str">
        <f t="shared" ca="1" si="55"/>
        <v/>
      </c>
      <c r="AR188" s="12" t="str">
        <f t="shared" ca="1" si="56"/>
        <v/>
      </c>
      <c r="AS188" s="12" t="str">
        <f t="shared" ca="1" si="57"/>
        <v/>
      </c>
    </row>
    <row r="189" spans="1:45">
      <c r="A189">
        <f t="shared" si="32"/>
        <v>387</v>
      </c>
      <c r="B189" t="str">
        <f t="shared" ca="1" si="39"/>
        <v xml:space="preserve"> </v>
      </c>
      <c r="C189" t="b">
        <f t="shared" ca="1" si="40"/>
        <v>0</v>
      </c>
      <c r="D189" s="284" t="str">
        <f t="shared" ca="1" si="37"/>
        <v/>
      </c>
      <c r="E189" s="96" t="str">
        <f t="shared" ca="1" si="41"/>
        <v/>
      </c>
      <c r="F189" s="96" t="str">
        <f t="shared" ca="1" si="42"/>
        <v/>
      </c>
      <c r="G189" s="293" t="str">
        <f t="shared" ca="1" si="43"/>
        <v/>
      </c>
      <c r="H189" s="284" t="str">
        <f t="shared" ca="1" si="43"/>
        <v/>
      </c>
      <c r="I189" s="96" t="str">
        <f t="shared" ca="1" si="43"/>
        <v/>
      </c>
      <c r="J189" s="96" t="str">
        <f t="shared" ca="1" si="44"/>
        <v/>
      </c>
      <c r="K189" s="96" t="str">
        <f t="shared" ca="1" si="37"/>
        <v/>
      </c>
      <c r="L189" s="96" t="str">
        <f t="shared" ca="1" si="37"/>
        <v/>
      </c>
      <c r="M189" s="294" t="str">
        <f t="shared" ca="1" si="37"/>
        <v/>
      </c>
      <c r="N189" s="295" t="str">
        <f t="shared" ca="1" si="45"/>
        <v/>
      </c>
      <c r="O189" s="96" t="str">
        <f t="shared" ca="1" si="45"/>
        <v/>
      </c>
      <c r="P189" s="96" t="str">
        <f t="shared" ca="1" si="46"/>
        <v/>
      </c>
      <c r="Q189" s="96" t="str">
        <f t="shared" ca="1" si="37"/>
        <v/>
      </c>
      <c r="R189" s="293" t="str">
        <f t="shared" ca="1" si="37"/>
        <v/>
      </c>
      <c r="S189" s="284" t="str">
        <f t="shared" ca="1" si="38"/>
        <v/>
      </c>
      <c r="T189" s="96" t="str">
        <f t="shared" ca="1" si="38"/>
        <v/>
      </c>
      <c r="U189" s="96" t="str">
        <f t="shared" ca="1" si="47"/>
        <v/>
      </c>
      <c r="V189" s="96" t="str">
        <f t="shared" ca="1" si="38"/>
        <v/>
      </c>
      <c r="W189" s="96" t="str">
        <f t="shared" ca="1" si="38"/>
        <v/>
      </c>
      <c r="X189" s="293" t="str">
        <f t="shared" ca="1" si="38"/>
        <v/>
      </c>
      <c r="Y189" s="284" t="str">
        <f t="shared" ca="1" si="38"/>
        <v/>
      </c>
      <c r="Z189" s="96" t="str">
        <f t="shared" ca="1" si="38"/>
        <v/>
      </c>
      <c r="AA189" s="96" t="str">
        <f t="shared" ca="1" si="38"/>
        <v/>
      </c>
      <c r="AB189" s="386" t="str">
        <f t="shared" ca="1" si="38"/>
        <v/>
      </c>
      <c r="AC189" s="293" t="str">
        <f t="shared" ca="1" si="38"/>
        <v/>
      </c>
      <c r="AD189" s="284" t="str">
        <f t="shared" ca="1" si="33"/>
        <v/>
      </c>
      <c r="AE189" s="293" t="str">
        <f t="shared" ca="1" si="33"/>
        <v/>
      </c>
      <c r="AF189" s="284" t="str">
        <f t="shared" ca="1" si="33"/>
        <v/>
      </c>
      <c r="AG189" s="293" t="str">
        <f t="shared" ca="1" si="33"/>
        <v/>
      </c>
      <c r="AH189" s="96"/>
      <c r="AI189" s="96" t="str">
        <f t="shared" ca="1" si="48"/>
        <v/>
      </c>
      <c r="AK189" s="96">
        <f t="shared" ca="1" si="49"/>
        <v>0</v>
      </c>
      <c r="AL189" s="12">
        <f t="shared" ca="1" si="50"/>
        <v>0</v>
      </c>
      <c r="AM189" s="12">
        <f t="shared" ca="1" si="51"/>
        <v>0</v>
      </c>
      <c r="AN189" s="12">
        <f t="shared" ca="1" si="52"/>
        <v>0</v>
      </c>
      <c r="AO189" s="12">
        <f t="shared" ca="1" si="53"/>
        <v>0</v>
      </c>
      <c r="AP189" s="12" t="str">
        <f t="shared" ca="1" si="54"/>
        <v/>
      </c>
      <c r="AQ189" s="12" t="str">
        <f t="shared" ca="1" si="55"/>
        <v/>
      </c>
      <c r="AR189" s="12" t="str">
        <f t="shared" ca="1" si="56"/>
        <v/>
      </c>
      <c r="AS189" s="12" t="str">
        <f t="shared" ca="1" si="57"/>
        <v/>
      </c>
    </row>
    <row r="190" spans="1:45">
      <c r="A190">
        <f t="shared" si="32"/>
        <v>392</v>
      </c>
      <c r="B190" t="str">
        <f t="shared" ca="1" si="39"/>
        <v xml:space="preserve"> </v>
      </c>
      <c r="C190" t="b">
        <f t="shared" ca="1" si="40"/>
        <v>0</v>
      </c>
      <c r="D190" s="284" t="str">
        <f t="shared" ca="1" si="37"/>
        <v/>
      </c>
      <c r="E190" s="96" t="str">
        <f t="shared" ca="1" si="41"/>
        <v/>
      </c>
      <c r="F190" s="96" t="str">
        <f t="shared" ca="1" si="42"/>
        <v/>
      </c>
      <c r="G190" s="293" t="str">
        <f t="shared" ca="1" si="43"/>
        <v/>
      </c>
      <c r="H190" s="284" t="str">
        <f t="shared" ca="1" si="43"/>
        <v/>
      </c>
      <c r="I190" s="96" t="str">
        <f t="shared" ca="1" si="43"/>
        <v/>
      </c>
      <c r="J190" s="96" t="str">
        <f t="shared" ca="1" si="44"/>
        <v/>
      </c>
      <c r="K190" s="96" t="str">
        <f t="shared" ca="1" si="37"/>
        <v/>
      </c>
      <c r="L190" s="96" t="str">
        <f t="shared" ca="1" si="37"/>
        <v/>
      </c>
      <c r="M190" s="294" t="str">
        <f t="shared" ca="1" si="37"/>
        <v/>
      </c>
      <c r="N190" s="295" t="str">
        <f t="shared" ca="1" si="45"/>
        <v/>
      </c>
      <c r="O190" s="96" t="str">
        <f t="shared" ca="1" si="45"/>
        <v/>
      </c>
      <c r="P190" s="96" t="str">
        <f t="shared" ca="1" si="46"/>
        <v/>
      </c>
      <c r="Q190" s="96" t="str">
        <f t="shared" ca="1" si="37"/>
        <v/>
      </c>
      <c r="R190" s="293" t="str">
        <f t="shared" ca="1" si="37"/>
        <v/>
      </c>
      <c r="S190" s="284" t="str">
        <f t="shared" ca="1" si="38"/>
        <v/>
      </c>
      <c r="T190" s="96" t="str">
        <f t="shared" ca="1" si="38"/>
        <v/>
      </c>
      <c r="U190" s="96" t="str">
        <f t="shared" ca="1" si="47"/>
        <v/>
      </c>
      <c r="V190" s="96" t="str">
        <f t="shared" ca="1" si="38"/>
        <v/>
      </c>
      <c r="W190" s="96" t="str">
        <f t="shared" ca="1" si="38"/>
        <v/>
      </c>
      <c r="X190" s="293" t="str">
        <f t="shared" ca="1" si="38"/>
        <v/>
      </c>
      <c r="Y190" s="284" t="str">
        <f t="shared" ca="1" si="38"/>
        <v/>
      </c>
      <c r="Z190" s="96" t="str">
        <f t="shared" ca="1" si="38"/>
        <v/>
      </c>
      <c r="AA190" s="96" t="str">
        <f t="shared" ca="1" si="38"/>
        <v/>
      </c>
      <c r="AB190" s="386" t="str">
        <f t="shared" ca="1" si="38"/>
        <v/>
      </c>
      <c r="AC190" s="293" t="str">
        <f t="shared" ca="1" si="38"/>
        <v/>
      </c>
      <c r="AD190" s="284" t="str">
        <f t="shared" ca="1" si="33"/>
        <v/>
      </c>
      <c r="AE190" s="293" t="str">
        <f t="shared" ca="1" si="33"/>
        <v/>
      </c>
      <c r="AF190" s="284" t="str">
        <f t="shared" ca="1" si="33"/>
        <v/>
      </c>
      <c r="AG190" s="293" t="str">
        <f t="shared" ca="1" si="33"/>
        <v/>
      </c>
      <c r="AH190" s="96"/>
      <c r="AI190" s="96" t="str">
        <f t="shared" ca="1" si="48"/>
        <v/>
      </c>
      <c r="AK190" s="96">
        <f t="shared" ca="1" si="49"/>
        <v>0</v>
      </c>
      <c r="AL190" s="12">
        <f t="shared" ca="1" si="50"/>
        <v>0</v>
      </c>
      <c r="AM190" s="12">
        <f t="shared" ca="1" si="51"/>
        <v>0</v>
      </c>
      <c r="AN190" s="12">
        <f t="shared" ca="1" si="52"/>
        <v>0</v>
      </c>
      <c r="AO190" s="12">
        <f t="shared" ca="1" si="53"/>
        <v>0</v>
      </c>
      <c r="AP190" s="12" t="str">
        <f t="shared" ca="1" si="54"/>
        <v/>
      </c>
      <c r="AQ190" s="12" t="str">
        <f t="shared" ca="1" si="55"/>
        <v/>
      </c>
      <c r="AR190" s="12" t="str">
        <f t="shared" ca="1" si="56"/>
        <v/>
      </c>
      <c r="AS190" s="12" t="str">
        <f t="shared" ca="1" si="57"/>
        <v/>
      </c>
    </row>
    <row r="191" spans="1:45">
      <c r="A191">
        <f t="shared" si="32"/>
        <v>397</v>
      </c>
      <c r="B191" t="str">
        <f t="shared" ca="1" si="39"/>
        <v xml:space="preserve"> </v>
      </c>
      <c r="C191" t="b">
        <f t="shared" ca="1" si="40"/>
        <v>0</v>
      </c>
      <c r="D191" s="284" t="str">
        <f t="shared" ca="1" si="37"/>
        <v/>
      </c>
      <c r="E191" s="96" t="str">
        <f t="shared" ca="1" si="41"/>
        <v/>
      </c>
      <c r="F191" s="96" t="str">
        <f t="shared" ca="1" si="42"/>
        <v/>
      </c>
      <c r="G191" s="293" t="str">
        <f t="shared" ca="1" si="43"/>
        <v/>
      </c>
      <c r="H191" s="284" t="str">
        <f t="shared" ca="1" si="43"/>
        <v/>
      </c>
      <c r="I191" s="96" t="str">
        <f t="shared" ca="1" si="43"/>
        <v/>
      </c>
      <c r="J191" s="96" t="str">
        <f t="shared" ca="1" si="44"/>
        <v/>
      </c>
      <c r="K191" s="96" t="str">
        <f t="shared" ca="1" si="37"/>
        <v/>
      </c>
      <c r="L191" s="96" t="str">
        <f t="shared" ca="1" si="37"/>
        <v/>
      </c>
      <c r="M191" s="294" t="str">
        <f t="shared" ca="1" si="37"/>
        <v/>
      </c>
      <c r="N191" s="295" t="str">
        <f t="shared" ca="1" si="45"/>
        <v/>
      </c>
      <c r="O191" s="96" t="str">
        <f t="shared" ca="1" si="45"/>
        <v/>
      </c>
      <c r="P191" s="96" t="str">
        <f t="shared" ca="1" si="46"/>
        <v/>
      </c>
      <c r="Q191" s="96" t="str">
        <f t="shared" ca="1" si="37"/>
        <v/>
      </c>
      <c r="R191" s="293" t="str">
        <f t="shared" ca="1" si="37"/>
        <v/>
      </c>
      <c r="S191" s="284" t="str">
        <f t="shared" ca="1" si="38"/>
        <v/>
      </c>
      <c r="T191" s="96" t="str">
        <f t="shared" ca="1" si="38"/>
        <v/>
      </c>
      <c r="U191" s="96" t="str">
        <f t="shared" ca="1" si="47"/>
        <v/>
      </c>
      <c r="V191" s="96" t="str">
        <f t="shared" ca="1" si="38"/>
        <v/>
      </c>
      <c r="W191" s="96" t="str">
        <f t="shared" ca="1" si="38"/>
        <v/>
      </c>
      <c r="X191" s="293" t="str">
        <f t="shared" ca="1" si="38"/>
        <v/>
      </c>
      <c r="Y191" s="284" t="str">
        <f t="shared" ca="1" si="38"/>
        <v/>
      </c>
      <c r="Z191" s="96" t="str">
        <f t="shared" ca="1" si="38"/>
        <v/>
      </c>
      <c r="AA191" s="96" t="str">
        <f t="shared" ca="1" si="38"/>
        <v/>
      </c>
      <c r="AB191" s="386" t="str">
        <f t="shared" ca="1" si="38"/>
        <v/>
      </c>
      <c r="AC191" s="293" t="str">
        <f t="shared" ca="1" si="38"/>
        <v/>
      </c>
      <c r="AD191" s="284" t="str">
        <f t="shared" ca="1" si="33"/>
        <v/>
      </c>
      <c r="AE191" s="293" t="str">
        <f t="shared" ca="1" si="33"/>
        <v/>
      </c>
      <c r="AF191" s="284" t="str">
        <f t="shared" ca="1" si="33"/>
        <v/>
      </c>
      <c r="AG191" s="293" t="str">
        <f t="shared" ca="1" si="33"/>
        <v/>
      </c>
      <c r="AH191" s="96"/>
      <c r="AI191" s="96" t="str">
        <f t="shared" ca="1" si="48"/>
        <v/>
      </c>
      <c r="AK191" s="96">
        <f t="shared" ca="1" si="49"/>
        <v>0</v>
      </c>
      <c r="AL191" s="12">
        <f t="shared" ca="1" si="50"/>
        <v>0</v>
      </c>
      <c r="AM191" s="12">
        <f t="shared" ca="1" si="51"/>
        <v>0</v>
      </c>
      <c r="AN191" s="12">
        <f t="shared" ca="1" si="52"/>
        <v>0</v>
      </c>
      <c r="AO191" s="12">
        <f t="shared" ca="1" si="53"/>
        <v>0</v>
      </c>
      <c r="AP191" s="12" t="str">
        <f t="shared" ca="1" si="54"/>
        <v/>
      </c>
      <c r="AQ191" s="12" t="str">
        <f t="shared" ca="1" si="55"/>
        <v/>
      </c>
      <c r="AR191" s="12" t="str">
        <f t="shared" ca="1" si="56"/>
        <v/>
      </c>
      <c r="AS191" s="12" t="str">
        <f t="shared" ca="1" si="57"/>
        <v/>
      </c>
    </row>
    <row r="192" spans="1:45">
      <c r="A192" s="690">
        <f>A191+8</f>
        <v>405</v>
      </c>
      <c r="B192" t="str">
        <f t="shared" ca="1" si="39"/>
        <v xml:space="preserve"> </v>
      </c>
      <c r="C192" t="b">
        <f t="shared" ca="1" si="40"/>
        <v>0</v>
      </c>
      <c r="D192" s="284" t="str">
        <f t="shared" ca="1" si="37"/>
        <v/>
      </c>
      <c r="E192" s="96" t="str">
        <f t="shared" ca="1" si="41"/>
        <v/>
      </c>
      <c r="F192" s="96" t="str">
        <f t="shared" ca="1" si="42"/>
        <v/>
      </c>
      <c r="G192" s="293" t="str">
        <f t="shared" ca="1" si="43"/>
        <v/>
      </c>
      <c r="H192" s="284" t="str">
        <f t="shared" ca="1" si="43"/>
        <v/>
      </c>
      <c r="I192" s="96" t="str">
        <f t="shared" ca="1" si="43"/>
        <v/>
      </c>
      <c r="J192" s="96" t="str">
        <f t="shared" ca="1" si="44"/>
        <v/>
      </c>
      <c r="K192" s="96" t="str">
        <f t="shared" ca="1" si="37"/>
        <v/>
      </c>
      <c r="L192" s="96" t="str">
        <f t="shared" ca="1" si="37"/>
        <v/>
      </c>
      <c r="M192" s="294" t="str">
        <f t="shared" ca="1" si="37"/>
        <v/>
      </c>
      <c r="N192" s="295" t="str">
        <f t="shared" ca="1" si="45"/>
        <v/>
      </c>
      <c r="O192" s="96" t="str">
        <f t="shared" ca="1" si="45"/>
        <v/>
      </c>
      <c r="P192" s="96" t="str">
        <f t="shared" ca="1" si="46"/>
        <v/>
      </c>
      <c r="Q192" s="96" t="str">
        <f t="shared" ca="1" si="37"/>
        <v/>
      </c>
      <c r="R192" s="293" t="str">
        <f t="shared" ca="1" si="37"/>
        <v/>
      </c>
      <c r="S192" s="284" t="str">
        <f t="shared" ca="1" si="38"/>
        <v/>
      </c>
      <c r="T192" s="96" t="str">
        <f t="shared" ca="1" si="38"/>
        <v/>
      </c>
      <c r="U192" s="96" t="str">
        <f t="shared" ca="1" si="47"/>
        <v/>
      </c>
      <c r="V192" s="96" t="str">
        <f t="shared" ca="1" si="38"/>
        <v/>
      </c>
      <c r="W192" s="96" t="str">
        <f t="shared" ca="1" si="38"/>
        <v/>
      </c>
      <c r="X192" s="293" t="str">
        <f t="shared" ca="1" si="38"/>
        <v/>
      </c>
      <c r="Y192" s="284" t="str">
        <f t="shared" ca="1" si="38"/>
        <v/>
      </c>
      <c r="Z192" s="96" t="str">
        <f t="shared" ca="1" si="38"/>
        <v/>
      </c>
      <c r="AA192" s="96" t="str">
        <f t="shared" ca="1" si="38"/>
        <v/>
      </c>
      <c r="AB192" s="386" t="str">
        <f t="shared" ca="1" si="38"/>
        <v/>
      </c>
      <c r="AC192" s="293" t="str">
        <f t="shared" ca="1" si="38"/>
        <v/>
      </c>
      <c r="AD192" s="284" t="str">
        <f t="shared" ca="1" si="33"/>
        <v/>
      </c>
      <c r="AE192" s="293" t="str">
        <f t="shared" ca="1" si="33"/>
        <v/>
      </c>
      <c r="AF192" s="284" t="str">
        <f t="shared" ca="1" si="33"/>
        <v/>
      </c>
      <c r="AG192" s="293" t="str">
        <f t="shared" ca="1" si="33"/>
        <v/>
      </c>
      <c r="AH192" s="96"/>
      <c r="AI192" s="96" t="str">
        <f t="shared" ca="1" si="48"/>
        <v/>
      </c>
      <c r="AK192" s="96">
        <f t="shared" ca="1" si="49"/>
        <v>0</v>
      </c>
      <c r="AL192" s="12">
        <f t="shared" ca="1" si="50"/>
        <v>0</v>
      </c>
      <c r="AM192" s="12">
        <f t="shared" ca="1" si="51"/>
        <v>0</v>
      </c>
      <c r="AN192" s="12">
        <f t="shared" ca="1" si="52"/>
        <v>0</v>
      </c>
      <c r="AO192" s="12">
        <f t="shared" ca="1" si="53"/>
        <v>0</v>
      </c>
      <c r="AP192" s="12" t="str">
        <f t="shared" ca="1" si="54"/>
        <v/>
      </c>
      <c r="AQ192" s="12" t="str">
        <f t="shared" ca="1" si="55"/>
        <v/>
      </c>
      <c r="AR192" s="12" t="str">
        <f t="shared" ca="1" si="56"/>
        <v/>
      </c>
      <c r="AS192" s="12" t="str">
        <f t="shared" ca="1" si="57"/>
        <v/>
      </c>
    </row>
    <row r="193" spans="1:45">
      <c r="A193">
        <f t="shared" si="32"/>
        <v>410</v>
      </c>
      <c r="B193" t="str">
        <f t="shared" ca="1" si="39"/>
        <v xml:space="preserve"> </v>
      </c>
      <c r="C193" t="b">
        <f t="shared" ca="1" si="40"/>
        <v>0</v>
      </c>
      <c r="D193" s="284" t="str">
        <f t="shared" ca="1" si="37"/>
        <v/>
      </c>
      <c r="E193" s="96" t="str">
        <f t="shared" ca="1" si="41"/>
        <v/>
      </c>
      <c r="F193" s="96" t="str">
        <f t="shared" ca="1" si="42"/>
        <v/>
      </c>
      <c r="G193" s="293" t="str">
        <f t="shared" ca="1" si="43"/>
        <v/>
      </c>
      <c r="H193" s="284" t="str">
        <f t="shared" ca="1" si="43"/>
        <v/>
      </c>
      <c r="I193" s="96" t="str">
        <f t="shared" ca="1" si="43"/>
        <v/>
      </c>
      <c r="J193" s="96" t="str">
        <f t="shared" ca="1" si="44"/>
        <v/>
      </c>
      <c r="K193" s="96" t="str">
        <f t="shared" ca="1" si="37"/>
        <v/>
      </c>
      <c r="L193" s="96" t="str">
        <f t="shared" ca="1" si="37"/>
        <v/>
      </c>
      <c r="M193" s="294" t="str">
        <f t="shared" ca="1" si="37"/>
        <v/>
      </c>
      <c r="N193" s="295" t="str">
        <f t="shared" ca="1" si="45"/>
        <v/>
      </c>
      <c r="O193" s="96" t="str">
        <f t="shared" ca="1" si="45"/>
        <v/>
      </c>
      <c r="P193" s="96" t="str">
        <f t="shared" ca="1" si="46"/>
        <v/>
      </c>
      <c r="Q193" s="96" t="str">
        <f t="shared" ca="1" si="37"/>
        <v/>
      </c>
      <c r="R193" s="293" t="str">
        <f t="shared" ca="1" si="37"/>
        <v/>
      </c>
      <c r="S193" s="284" t="str">
        <f t="shared" ca="1" si="38"/>
        <v/>
      </c>
      <c r="T193" s="96" t="str">
        <f t="shared" ca="1" si="38"/>
        <v/>
      </c>
      <c r="U193" s="96" t="str">
        <f t="shared" ca="1" si="47"/>
        <v/>
      </c>
      <c r="V193" s="96" t="str">
        <f t="shared" ca="1" si="38"/>
        <v/>
      </c>
      <c r="W193" s="96" t="str">
        <f t="shared" ca="1" si="38"/>
        <v/>
      </c>
      <c r="X193" s="293" t="str">
        <f t="shared" ca="1" si="38"/>
        <v/>
      </c>
      <c r="Y193" s="284" t="str">
        <f t="shared" ca="1" si="38"/>
        <v/>
      </c>
      <c r="Z193" s="96" t="str">
        <f t="shared" ca="1" si="38"/>
        <v/>
      </c>
      <c r="AA193" s="96" t="str">
        <f t="shared" ca="1" si="38"/>
        <v/>
      </c>
      <c r="AB193" s="386" t="str">
        <f t="shared" ca="1" si="38"/>
        <v/>
      </c>
      <c r="AC193" s="293" t="str">
        <f t="shared" ca="1" si="38"/>
        <v/>
      </c>
      <c r="AD193" s="284" t="str">
        <f t="shared" ca="1" si="33"/>
        <v/>
      </c>
      <c r="AE193" s="293" t="str">
        <f t="shared" ca="1" si="33"/>
        <v/>
      </c>
      <c r="AF193" s="284" t="str">
        <f t="shared" ca="1" si="33"/>
        <v/>
      </c>
      <c r="AG193" s="293" t="str">
        <f t="shared" ca="1" si="33"/>
        <v/>
      </c>
      <c r="AH193" s="96"/>
      <c r="AI193" s="96" t="str">
        <f t="shared" ca="1" si="48"/>
        <v/>
      </c>
      <c r="AK193" s="96">
        <f t="shared" ca="1" si="49"/>
        <v>0</v>
      </c>
      <c r="AL193" s="12">
        <f t="shared" ca="1" si="50"/>
        <v>0</v>
      </c>
      <c r="AM193" s="12">
        <f t="shared" ca="1" si="51"/>
        <v>0</v>
      </c>
      <c r="AN193" s="12">
        <f t="shared" ca="1" si="52"/>
        <v>0</v>
      </c>
      <c r="AO193" s="12">
        <f t="shared" ca="1" si="53"/>
        <v>0</v>
      </c>
      <c r="AP193" s="12" t="str">
        <f t="shared" ca="1" si="54"/>
        <v/>
      </c>
      <c r="AQ193" s="12" t="str">
        <f t="shared" ca="1" si="55"/>
        <v/>
      </c>
      <c r="AR193" s="12" t="str">
        <f t="shared" ca="1" si="56"/>
        <v/>
      </c>
      <c r="AS193" s="12" t="str">
        <f t="shared" ca="1" si="57"/>
        <v/>
      </c>
    </row>
    <row r="194" spans="1:45">
      <c r="A194">
        <f t="shared" si="32"/>
        <v>415</v>
      </c>
      <c r="B194" t="str">
        <f t="shared" ca="1" si="39"/>
        <v xml:space="preserve"> </v>
      </c>
      <c r="C194" t="b">
        <f t="shared" ca="1" si="40"/>
        <v>0</v>
      </c>
      <c r="D194" s="284" t="str">
        <f t="shared" ca="1" si="37"/>
        <v/>
      </c>
      <c r="E194" s="96" t="str">
        <f t="shared" ca="1" si="41"/>
        <v/>
      </c>
      <c r="F194" s="96" t="str">
        <f t="shared" ca="1" si="42"/>
        <v/>
      </c>
      <c r="G194" s="293" t="str">
        <f t="shared" ca="1" si="43"/>
        <v/>
      </c>
      <c r="H194" s="284" t="str">
        <f t="shared" ca="1" si="43"/>
        <v/>
      </c>
      <c r="I194" s="96" t="str">
        <f t="shared" ca="1" si="43"/>
        <v/>
      </c>
      <c r="J194" s="96" t="str">
        <f t="shared" ca="1" si="44"/>
        <v/>
      </c>
      <c r="K194" s="96" t="str">
        <f t="shared" ca="1" si="37"/>
        <v/>
      </c>
      <c r="L194" s="96" t="str">
        <f t="shared" ca="1" si="37"/>
        <v/>
      </c>
      <c r="M194" s="294" t="str">
        <f t="shared" ca="1" si="37"/>
        <v/>
      </c>
      <c r="N194" s="295" t="str">
        <f t="shared" ca="1" si="45"/>
        <v/>
      </c>
      <c r="O194" s="96" t="str">
        <f t="shared" ca="1" si="45"/>
        <v/>
      </c>
      <c r="P194" s="96" t="str">
        <f t="shared" ca="1" si="46"/>
        <v/>
      </c>
      <c r="Q194" s="96" t="str">
        <f t="shared" ca="1" si="37"/>
        <v/>
      </c>
      <c r="R194" s="293" t="str">
        <f t="shared" ca="1" si="37"/>
        <v/>
      </c>
      <c r="S194" s="284" t="str">
        <f t="shared" ca="1" si="38"/>
        <v/>
      </c>
      <c r="T194" s="96" t="str">
        <f t="shared" ca="1" si="38"/>
        <v/>
      </c>
      <c r="U194" s="96" t="str">
        <f t="shared" ca="1" si="47"/>
        <v/>
      </c>
      <c r="V194" s="96" t="str">
        <f t="shared" ca="1" si="38"/>
        <v/>
      </c>
      <c r="W194" s="96" t="str">
        <f t="shared" ca="1" si="38"/>
        <v/>
      </c>
      <c r="X194" s="293" t="str">
        <f t="shared" ca="1" si="38"/>
        <v/>
      </c>
      <c r="Y194" s="284" t="str">
        <f t="shared" ca="1" si="38"/>
        <v/>
      </c>
      <c r="Z194" s="96" t="str">
        <f t="shared" ca="1" si="38"/>
        <v/>
      </c>
      <c r="AA194" s="96" t="str">
        <f t="shared" ca="1" si="38"/>
        <v/>
      </c>
      <c r="AB194" s="386" t="str">
        <f t="shared" ca="1" si="38"/>
        <v/>
      </c>
      <c r="AC194" s="293" t="str">
        <f t="shared" ca="1" si="38"/>
        <v/>
      </c>
      <c r="AD194" s="284" t="str">
        <f t="shared" ca="1" si="33"/>
        <v/>
      </c>
      <c r="AE194" s="293" t="str">
        <f t="shared" ca="1" si="33"/>
        <v/>
      </c>
      <c r="AF194" s="284" t="str">
        <f t="shared" ca="1" si="33"/>
        <v/>
      </c>
      <c r="AG194" s="293" t="str">
        <f t="shared" ca="1" si="33"/>
        <v/>
      </c>
      <c r="AH194" s="96"/>
      <c r="AI194" s="96" t="str">
        <f t="shared" ca="1" si="48"/>
        <v/>
      </c>
      <c r="AK194" s="96">
        <f t="shared" ca="1" si="49"/>
        <v>0</v>
      </c>
      <c r="AL194" s="12">
        <f t="shared" ca="1" si="50"/>
        <v>0</v>
      </c>
      <c r="AM194" s="12">
        <f t="shared" ca="1" si="51"/>
        <v>0</v>
      </c>
      <c r="AN194" s="12">
        <f t="shared" ca="1" si="52"/>
        <v>0</v>
      </c>
      <c r="AO194" s="12">
        <f t="shared" ca="1" si="53"/>
        <v>0</v>
      </c>
      <c r="AP194" s="12" t="str">
        <f t="shared" ca="1" si="54"/>
        <v/>
      </c>
      <c r="AQ194" s="12" t="str">
        <f t="shared" ca="1" si="55"/>
        <v/>
      </c>
      <c r="AR194" s="12" t="str">
        <f t="shared" ca="1" si="56"/>
        <v/>
      </c>
      <c r="AS194" s="12" t="str">
        <f t="shared" ca="1" si="57"/>
        <v/>
      </c>
    </row>
    <row r="195" spans="1:45">
      <c r="A195">
        <f t="shared" si="32"/>
        <v>420</v>
      </c>
      <c r="B195" t="str">
        <f t="shared" ca="1" si="39"/>
        <v xml:space="preserve"> </v>
      </c>
      <c r="C195" t="b">
        <f t="shared" ca="1" si="40"/>
        <v>0</v>
      </c>
      <c r="D195" s="284" t="str">
        <f t="shared" ca="1" si="37"/>
        <v/>
      </c>
      <c r="E195" s="96" t="str">
        <f t="shared" ca="1" si="41"/>
        <v/>
      </c>
      <c r="F195" s="96" t="str">
        <f t="shared" ca="1" si="42"/>
        <v/>
      </c>
      <c r="G195" s="293" t="str">
        <f t="shared" ca="1" si="43"/>
        <v/>
      </c>
      <c r="H195" s="284" t="str">
        <f t="shared" ca="1" si="43"/>
        <v/>
      </c>
      <c r="I195" s="96" t="str">
        <f t="shared" ca="1" si="43"/>
        <v/>
      </c>
      <c r="J195" s="96" t="str">
        <f t="shared" ca="1" si="44"/>
        <v/>
      </c>
      <c r="K195" s="96" t="str">
        <f t="shared" ca="1" si="37"/>
        <v/>
      </c>
      <c r="L195" s="96" t="str">
        <f t="shared" ca="1" si="37"/>
        <v/>
      </c>
      <c r="M195" s="294" t="str">
        <f t="shared" ca="1" si="37"/>
        <v/>
      </c>
      <c r="N195" s="295" t="str">
        <f t="shared" ca="1" si="45"/>
        <v/>
      </c>
      <c r="O195" s="96" t="str">
        <f t="shared" ca="1" si="45"/>
        <v/>
      </c>
      <c r="P195" s="96" t="str">
        <f t="shared" ca="1" si="46"/>
        <v/>
      </c>
      <c r="Q195" s="96" t="str">
        <f t="shared" ca="1" si="37"/>
        <v/>
      </c>
      <c r="R195" s="293" t="str">
        <f t="shared" ca="1" si="37"/>
        <v/>
      </c>
      <c r="S195" s="284" t="str">
        <f t="shared" ca="1" si="38"/>
        <v/>
      </c>
      <c r="T195" s="96" t="str">
        <f t="shared" ca="1" si="38"/>
        <v/>
      </c>
      <c r="U195" s="96" t="str">
        <f t="shared" ca="1" si="47"/>
        <v/>
      </c>
      <c r="V195" s="96" t="str">
        <f t="shared" ca="1" si="38"/>
        <v/>
      </c>
      <c r="W195" s="96" t="str">
        <f t="shared" ca="1" si="38"/>
        <v/>
      </c>
      <c r="X195" s="293" t="str">
        <f t="shared" ca="1" si="38"/>
        <v/>
      </c>
      <c r="Y195" s="284" t="str">
        <f t="shared" ca="1" si="38"/>
        <v/>
      </c>
      <c r="Z195" s="96" t="str">
        <f t="shared" ca="1" si="38"/>
        <v/>
      </c>
      <c r="AA195" s="96" t="str">
        <f t="shared" ca="1" si="38"/>
        <v/>
      </c>
      <c r="AB195" s="386" t="str">
        <f t="shared" ca="1" si="38"/>
        <v/>
      </c>
      <c r="AC195" s="293" t="str">
        <f t="shared" ca="1" si="38"/>
        <v/>
      </c>
      <c r="AD195" s="284" t="str">
        <f t="shared" ca="1" si="33"/>
        <v/>
      </c>
      <c r="AE195" s="293" t="str">
        <f t="shared" ca="1" si="33"/>
        <v/>
      </c>
      <c r="AF195" s="284" t="str">
        <f t="shared" ca="1" si="33"/>
        <v/>
      </c>
      <c r="AG195" s="293" t="str">
        <f t="shared" ca="1" si="33"/>
        <v/>
      </c>
      <c r="AH195" s="96"/>
      <c r="AI195" s="96" t="str">
        <f t="shared" ca="1" si="48"/>
        <v/>
      </c>
      <c r="AK195" s="96">
        <f t="shared" ca="1" si="49"/>
        <v>0</v>
      </c>
      <c r="AL195" s="12">
        <f t="shared" ca="1" si="50"/>
        <v>0</v>
      </c>
      <c r="AM195" s="12">
        <f t="shared" ca="1" si="51"/>
        <v>0</v>
      </c>
      <c r="AN195" s="12">
        <f t="shared" ca="1" si="52"/>
        <v>0</v>
      </c>
      <c r="AO195" s="12">
        <f t="shared" ca="1" si="53"/>
        <v>0</v>
      </c>
      <c r="AP195" s="12" t="str">
        <f t="shared" ca="1" si="54"/>
        <v/>
      </c>
      <c r="AQ195" s="12" t="str">
        <f t="shared" ca="1" si="55"/>
        <v/>
      </c>
      <c r="AR195" s="12" t="str">
        <f t="shared" ca="1" si="56"/>
        <v/>
      </c>
      <c r="AS195" s="12" t="str">
        <f t="shared" ca="1" si="57"/>
        <v/>
      </c>
    </row>
    <row r="196" spans="1:45">
      <c r="A196">
        <f t="shared" si="32"/>
        <v>425</v>
      </c>
      <c r="B196" t="str">
        <f t="shared" ca="1" si="39"/>
        <v xml:space="preserve"> </v>
      </c>
      <c r="C196" t="b">
        <f t="shared" ca="1" si="40"/>
        <v>0</v>
      </c>
      <c r="D196" s="284" t="str">
        <f t="shared" ca="1" si="37"/>
        <v/>
      </c>
      <c r="E196" s="96" t="str">
        <f t="shared" ca="1" si="41"/>
        <v/>
      </c>
      <c r="F196" s="96" t="str">
        <f t="shared" ca="1" si="42"/>
        <v/>
      </c>
      <c r="G196" s="293" t="str">
        <f t="shared" ca="1" si="43"/>
        <v/>
      </c>
      <c r="H196" s="284" t="str">
        <f t="shared" ca="1" si="43"/>
        <v/>
      </c>
      <c r="I196" s="96" t="str">
        <f t="shared" ca="1" si="43"/>
        <v/>
      </c>
      <c r="J196" s="96" t="str">
        <f t="shared" ca="1" si="44"/>
        <v/>
      </c>
      <c r="K196" s="96" t="str">
        <f t="shared" ca="1" si="37"/>
        <v/>
      </c>
      <c r="L196" s="96" t="str">
        <f t="shared" ca="1" si="37"/>
        <v/>
      </c>
      <c r="M196" s="294" t="str">
        <f t="shared" ca="1" si="37"/>
        <v/>
      </c>
      <c r="N196" s="295" t="str">
        <f t="shared" ca="1" si="45"/>
        <v/>
      </c>
      <c r="O196" s="96" t="str">
        <f t="shared" ca="1" si="45"/>
        <v/>
      </c>
      <c r="P196" s="96" t="str">
        <f t="shared" ca="1" si="46"/>
        <v/>
      </c>
      <c r="Q196" s="96" t="str">
        <f t="shared" ca="1" si="37"/>
        <v/>
      </c>
      <c r="R196" s="293" t="str">
        <f t="shared" ca="1" si="37"/>
        <v/>
      </c>
      <c r="S196" s="284" t="str">
        <f t="shared" ca="1" si="38"/>
        <v/>
      </c>
      <c r="T196" s="96" t="str">
        <f t="shared" ca="1" si="38"/>
        <v/>
      </c>
      <c r="U196" s="96" t="str">
        <f t="shared" ca="1" si="47"/>
        <v/>
      </c>
      <c r="V196" s="96" t="str">
        <f t="shared" ca="1" si="38"/>
        <v/>
      </c>
      <c r="W196" s="96" t="str">
        <f t="shared" ca="1" si="38"/>
        <v/>
      </c>
      <c r="X196" s="293" t="str">
        <f t="shared" ca="1" si="38"/>
        <v/>
      </c>
      <c r="Y196" s="284" t="str">
        <f t="shared" ca="1" si="38"/>
        <v/>
      </c>
      <c r="Z196" s="96" t="str">
        <f t="shared" ca="1" si="38"/>
        <v/>
      </c>
      <c r="AA196" s="96" t="str">
        <f t="shared" ca="1" si="38"/>
        <v/>
      </c>
      <c r="AB196" s="386" t="str">
        <f t="shared" ca="1" si="38"/>
        <v/>
      </c>
      <c r="AC196" s="293" t="str">
        <f t="shared" ca="1" si="38"/>
        <v/>
      </c>
      <c r="AD196" s="284" t="str">
        <f t="shared" ca="1" si="33"/>
        <v/>
      </c>
      <c r="AE196" s="293" t="str">
        <f t="shared" ca="1" si="33"/>
        <v/>
      </c>
      <c r="AF196" s="284" t="str">
        <f t="shared" ca="1" si="33"/>
        <v/>
      </c>
      <c r="AG196" s="293" t="str">
        <f t="shared" ca="1" si="33"/>
        <v/>
      </c>
      <c r="AH196" s="96"/>
      <c r="AI196" s="96" t="str">
        <f t="shared" ca="1" si="48"/>
        <v/>
      </c>
      <c r="AK196" s="96">
        <f t="shared" ca="1" si="49"/>
        <v>0</v>
      </c>
      <c r="AL196" s="12">
        <f t="shared" ca="1" si="50"/>
        <v>0</v>
      </c>
      <c r="AM196" s="12">
        <f t="shared" ca="1" si="51"/>
        <v>0</v>
      </c>
      <c r="AN196" s="12">
        <f t="shared" ca="1" si="52"/>
        <v>0</v>
      </c>
      <c r="AO196" s="12">
        <f t="shared" ca="1" si="53"/>
        <v>0</v>
      </c>
      <c r="AP196" s="12" t="str">
        <f t="shared" ca="1" si="54"/>
        <v/>
      </c>
      <c r="AQ196" s="12" t="str">
        <f t="shared" ca="1" si="55"/>
        <v/>
      </c>
      <c r="AR196" s="12" t="str">
        <f t="shared" ca="1" si="56"/>
        <v/>
      </c>
      <c r="AS196" s="12" t="str">
        <f t="shared" ca="1" si="57"/>
        <v/>
      </c>
    </row>
    <row r="197" spans="1:45">
      <c r="A197">
        <f t="shared" si="32"/>
        <v>430</v>
      </c>
      <c r="B197" t="str">
        <f t="shared" ca="1" si="39"/>
        <v xml:space="preserve"> </v>
      </c>
      <c r="C197" t="b">
        <f t="shared" ca="1" si="40"/>
        <v>0</v>
      </c>
      <c r="D197" s="284" t="str">
        <f t="shared" ca="1" si="37"/>
        <v/>
      </c>
      <c r="E197" s="96" t="str">
        <f t="shared" ca="1" si="41"/>
        <v/>
      </c>
      <c r="F197" s="96" t="str">
        <f t="shared" ca="1" si="42"/>
        <v/>
      </c>
      <c r="G197" s="293" t="str">
        <f t="shared" ca="1" si="43"/>
        <v/>
      </c>
      <c r="H197" s="284" t="str">
        <f t="shared" ca="1" si="43"/>
        <v/>
      </c>
      <c r="I197" s="96" t="str">
        <f t="shared" ca="1" si="43"/>
        <v/>
      </c>
      <c r="J197" s="96" t="str">
        <f t="shared" ca="1" si="44"/>
        <v/>
      </c>
      <c r="K197" s="96" t="str">
        <f t="shared" ca="1" si="37"/>
        <v/>
      </c>
      <c r="L197" s="96" t="str">
        <f t="shared" ca="1" si="37"/>
        <v/>
      </c>
      <c r="M197" s="294" t="str">
        <f t="shared" ca="1" si="37"/>
        <v/>
      </c>
      <c r="N197" s="295" t="str">
        <f t="shared" ca="1" si="45"/>
        <v/>
      </c>
      <c r="O197" s="96" t="str">
        <f t="shared" ca="1" si="45"/>
        <v/>
      </c>
      <c r="P197" s="96" t="str">
        <f t="shared" ca="1" si="46"/>
        <v/>
      </c>
      <c r="Q197" s="96" t="str">
        <f t="shared" ca="1" si="37"/>
        <v/>
      </c>
      <c r="R197" s="293" t="str">
        <f t="shared" ca="1" si="37"/>
        <v/>
      </c>
      <c r="S197" s="284" t="str">
        <f t="shared" ca="1" si="38"/>
        <v/>
      </c>
      <c r="T197" s="96" t="str">
        <f t="shared" ca="1" si="38"/>
        <v/>
      </c>
      <c r="U197" s="96" t="str">
        <f t="shared" ca="1" si="47"/>
        <v/>
      </c>
      <c r="V197" s="96" t="str">
        <f t="shared" ca="1" si="38"/>
        <v/>
      </c>
      <c r="W197" s="96" t="str">
        <f t="shared" ca="1" si="38"/>
        <v/>
      </c>
      <c r="X197" s="293" t="str">
        <f t="shared" ca="1" si="38"/>
        <v/>
      </c>
      <c r="Y197" s="284" t="str">
        <f t="shared" ca="1" si="38"/>
        <v/>
      </c>
      <c r="Z197" s="96" t="str">
        <f t="shared" ca="1" si="38"/>
        <v/>
      </c>
      <c r="AA197" s="96" t="str">
        <f t="shared" ca="1" si="38"/>
        <v/>
      </c>
      <c r="AB197" s="386" t="str">
        <f t="shared" ca="1" si="38"/>
        <v/>
      </c>
      <c r="AC197" s="293" t="str">
        <f t="shared" ca="1" si="38"/>
        <v/>
      </c>
      <c r="AD197" s="284" t="str">
        <f t="shared" ca="1" si="33"/>
        <v/>
      </c>
      <c r="AE197" s="293" t="str">
        <f t="shared" ca="1" si="33"/>
        <v/>
      </c>
      <c r="AF197" s="284" t="str">
        <f t="shared" ca="1" si="33"/>
        <v/>
      </c>
      <c r="AG197" s="293" t="str">
        <f t="shared" ca="1" si="33"/>
        <v/>
      </c>
      <c r="AH197" s="96"/>
      <c r="AI197" s="96" t="str">
        <f t="shared" ca="1" si="48"/>
        <v/>
      </c>
      <c r="AK197" s="96">
        <f t="shared" ca="1" si="49"/>
        <v>0</v>
      </c>
      <c r="AL197" s="12">
        <f t="shared" ca="1" si="50"/>
        <v>0</v>
      </c>
      <c r="AM197" s="12">
        <f t="shared" ca="1" si="51"/>
        <v>0</v>
      </c>
      <c r="AN197" s="12">
        <f t="shared" ca="1" si="52"/>
        <v>0</v>
      </c>
      <c r="AO197" s="12">
        <f t="shared" ca="1" si="53"/>
        <v>0</v>
      </c>
      <c r="AP197" s="12" t="str">
        <f t="shared" ca="1" si="54"/>
        <v/>
      </c>
      <c r="AQ197" s="12" t="str">
        <f t="shared" ca="1" si="55"/>
        <v/>
      </c>
      <c r="AR197" s="12" t="str">
        <f t="shared" ca="1" si="56"/>
        <v/>
      </c>
      <c r="AS197" s="12" t="str">
        <f t="shared" ca="1" si="57"/>
        <v/>
      </c>
    </row>
    <row r="198" spans="1:45">
      <c r="A198">
        <f t="shared" ref="A198:A261" si="58">A197+5</f>
        <v>435</v>
      </c>
      <c r="B198" t="str">
        <f t="shared" ca="1" si="39"/>
        <v xml:space="preserve"> </v>
      </c>
      <c r="C198" t="b">
        <f t="shared" ca="1" si="40"/>
        <v>0</v>
      </c>
      <c r="D198" s="284" t="str">
        <f t="shared" ca="1" si="37"/>
        <v/>
      </c>
      <c r="E198" s="96" t="str">
        <f t="shared" ca="1" si="41"/>
        <v/>
      </c>
      <c r="F198" s="96" t="str">
        <f t="shared" ca="1" si="42"/>
        <v/>
      </c>
      <c r="G198" s="293" t="str">
        <f t="shared" ca="1" si="43"/>
        <v/>
      </c>
      <c r="H198" s="284" t="str">
        <f t="shared" ca="1" si="43"/>
        <v/>
      </c>
      <c r="I198" s="96" t="str">
        <f t="shared" ca="1" si="43"/>
        <v/>
      </c>
      <c r="J198" s="96" t="str">
        <f t="shared" ca="1" si="44"/>
        <v/>
      </c>
      <c r="K198" s="96" t="str">
        <f t="shared" ca="1" si="37"/>
        <v/>
      </c>
      <c r="L198" s="96" t="str">
        <f t="shared" ca="1" si="37"/>
        <v/>
      </c>
      <c r="M198" s="294" t="str">
        <f t="shared" ca="1" si="37"/>
        <v/>
      </c>
      <c r="N198" s="295" t="str">
        <f t="shared" ca="1" si="45"/>
        <v/>
      </c>
      <c r="O198" s="96" t="str">
        <f t="shared" ca="1" si="45"/>
        <v/>
      </c>
      <c r="P198" s="96" t="str">
        <f t="shared" ca="1" si="46"/>
        <v/>
      </c>
      <c r="Q198" s="96" t="str">
        <f t="shared" ca="1" si="37"/>
        <v/>
      </c>
      <c r="R198" s="293" t="str">
        <f t="shared" ca="1" si="37"/>
        <v/>
      </c>
      <c r="S198" s="284" t="str">
        <f t="shared" ca="1" si="38"/>
        <v/>
      </c>
      <c r="T198" s="96" t="str">
        <f t="shared" ca="1" si="38"/>
        <v/>
      </c>
      <c r="U198" s="96" t="str">
        <f t="shared" ca="1" si="47"/>
        <v/>
      </c>
      <c r="V198" s="96" t="str">
        <f t="shared" ca="1" si="38"/>
        <v/>
      </c>
      <c r="W198" s="96" t="str">
        <f t="shared" ca="1" si="38"/>
        <v/>
      </c>
      <c r="X198" s="293" t="str">
        <f t="shared" ca="1" si="38"/>
        <v/>
      </c>
      <c r="Y198" s="284" t="str">
        <f t="shared" ca="1" si="38"/>
        <v/>
      </c>
      <c r="Z198" s="96" t="str">
        <f t="shared" ca="1" si="38"/>
        <v/>
      </c>
      <c r="AA198" s="96" t="str">
        <f t="shared" ca="1" si="38"/>
        <v/>
      </c>
      <c r="AB198" s="386" t="str">
        <f t="shared" ca="1" si="38"/>
        <v/>
      </c>
      <c r="AC198" s="293" t="str">
        <f t="shared" ca="1" si="38"/>
        <v/>
      </c>
      <c r="AD198" s="284" t="str">
        <f t="shared" ca="1" si="33"/>
        <v/>
      </c>
      <c r="AE198" s="293" t="str">
        <f t="shared" ca="1" si="33"/>
        <v/>
      </c>
      <c r="AF198" s="284" t="str">
        <f t="shared" ca="1" si="33"/>
        <v/>
      </c>
      <c r="AG198" s="293" t="str">
        <f t="shared" ca="1" si="33"/>
        <v/>
      </c>
      <c r="AH198" s="96"/>
      <c r="AI198" s="96" t="str">
        <f t="shared" ca="1" si="48"/>
        <v/>
      </c>
      <c r="AK198" s="96">
        <f t="shared" ca="1" si="49"/>
        <v>0</v>
      </c>
      <c r="AL198" s="12">
        <f t="shared" ca="1" si="50"/>
        <v>0</v>
      </c>
      <c r="AM198" s="12">
        <f t="shared" ca="1" si="51"/>
        <v>0</v>
      </c>
      <c r="AN198" s="12">
        <f t="shared" ca="1" si="52"/>
        <v>0</v>
      </c>
      <c r="AO198" s="12">
        <f t="shared" ca="1" si="53"/>
        <v>0</v>
      </c>
      <c r="AP198" s="12" t="str">
        <f t="shared" ca="1" si="54"/>
        <v/>
      </c>
      <c r="AQ198" s="12" t="str">
        <f t="shared" ca="1" si="55"/>
        <v/>
      </c>
      <c r="AR198" s="12" t="str">
        <f t="shared" ca="1" si="56"/>
        <v/>
      </c>
      <c r="AS198" s="12" t="str">
        <f t="shared" ca="1" si="57"/>
        <v/>
      </c>
    </row>
    <row r="199" spans="1:45">
      <c r="A199">
        <f t="shared" si="58"/>
        <v>440</v>
      </c>
      <c r="B199" t="str">
        <f t="shared" ca="1" si="39"/>
        <v xml:space="preserve"> </v>
      </c>
      <c r="C199" t="b">
        <f t="shared" ca="1" si="40"/>
        <v>0</v>
      </c>
      <c r="D199" s="284" t="str">
        <f t="shared" ca="1" si="37"/>
        <v/>
      </c>
      <c r="E199" s="96" t="str">
        <f t="shared" ca="1" si="41"/>
        <v/>
      </c>
      <c r="F199" s="96" t="str">
        <f t="shared" ca="1" si="42"/>
        <v/>
      </c>
      <c r="G199" s="293" t="str">
        <f t="shared" ca="1" si="43"/>
        <v/>
      </c>
      <c r="H199" s="284" t="str">
        <f t="shared" ca="1" si="43"/>
        <v/>
      </c>
      <c r="I199" s="96" t="str">
        <f t="shared" ca="1" si="43"/>
        <v/>
      </c>
      <c r="J199" s="96" t="str">
        <f t="shared" ca="1" si="44"/>
        <v/>
      </c>
      <c r="K199" s="96" t="str">
        <f t="shared" ca="1" si="37"/>
        <v/>
      </c>
      <c r="L199" s="96" t="str">
        <f t="shared" ca="1" si="37"/>
        <v/>
      </c>
      <c r="M199" s="294" t="str">
        <f t="shared" ca="1" si="37"/>
        <v/>
      </c>
      <c r="N199" s="295" t="str">
        <f t="shared" ca="1" si="45"/>
        <v/>
      </c>
      <c r="O199" s="96" t="str">
        <f t="shared" ca="1" si="45"/>
        <v/>
      </c>
      <c r="P199" s="96" t="str">
        <f t="shared" ca="1" si="46"/>
        <v/>
      </c>
      <c r="Q199" s="96" t="str">
        <f t="shared" ca="1" si="37"/>
        <v/>
      </c>
      <c r="R199" s="293" t="str">
        <f t="shared" ca="1" si="37"/>
        <v/>
      </c>
      <c r="S199" s="284" t="str">
        <f t="shared" ca="1" si="38"/>
        <v/>
      </c>
      <c r="T199" s="96" t="str">
        <f t="shared" ca="1" si="38"/>
        <v/>
      </c>
      <c r="U199" s="96" t="str">
        <f t="shared" ca="1" si="47"/>
        <v/>
      </c>
      <c r="V199" s="96" t="str">
        <f t="shared" ca="1" si="38"/>
        <v/>
      </c>
      <c r="W199" s="96" t="str">
        <f t="shared" ca="1" si="38"/>
        <v/>
      </c>
      <c r="X199" s="293" t="str">
        <f t="shared" ca="1" si="38"/>
        <v/>
      </c>
      <c r="Y199" s="284" t="str">
        <f t="shared" ca="1" si="38"/>
        <v/>
      </c>
      <c r="Z199" s="96" t="str">
        <f t="shared" ca="1" si="38"/>
        <v/>
      </c>
      <c r="AA199" s="96" t="str">
        <f t="shared" ca="1" si="38"/>
        <v/>
      </c>
      <c r="AB199" s="386" t="str">
        <f t="shared" ca="1" si="38"/>
        <v/>
      </c>
      <c r="AC199" s="293" t="str">
        <f t="shared" ca="1" si="38"/>
        <v/>
      </c>
      <c r="AD199" s="284" t="str">
        <f t="shared" ca="1" si="33"/>
        <v/>
      </c>
      <c r="AE199" s="293" t="str">
        <f t="shared" ca="1" si="33"/>
        <v/>
      </c>
      <c r="AF199" s="284" t="str">
        <f t="shared" ca="1" si="33"/>
        <v/>
      </c>
      <c r="AG199" s="293" t="str">
        <f t="shared" ca="1" si="33"/>
        <v/>
      </c>
      <c r="AH199" s="96"/>
      <c r="AI199" s="96" t="str">
        <f t="shared" ca="1" si="48"/>
        <v/>
      </c>
      <c r="AK199" s="96">
        <f t="shared" ca="1" si="49"/>
        <v>0</v>
      </c>
      <c r="AL199" s="12">
        <f t="shared" ca="1" si="50"/>
        <v>0</v>
      </c>
      <c r="AM199" s="12">
        <f t="shared" ca="1" si="51"/>
        <v>0</v>
      </c>
      <c r="AN199" s="12">
        <f t="shared" ca="1" si="52"/>
        <v>0</v>
      </c>
      <c r="AO199" s="12">
        <f t="shared" ca="1" si="53"/>
        <v>0</v>
      </c>
      <c r="AP199" s="12" t="str">
        <f t="shared" ca="1" si="54"/>
        <v/>
      </c>
      <c r="AQ199" s="12" t="str">
        <f t="shared" ca="1" si="55"/>
        <v/>
      </c>
      <c r="AR199" s="12" t="str">
        <f t="shared" ca="1" si="56"/>
        <v/>
      </c>
      <c r="AS199" s="12" t="str">
        <f t="shared" ca="1" si="57"/>
        <v/>
      </c>
    </row>
    <row r="200" spans="1:45">
      <c r="A200">
        <f t="shared" si="58"/>
        <v>445</v>
      </c>
      <c r="B200" t="str">
        <f t="shared" ca="1" si="39"/>
        <v xml:space="preserve"> </v>
      </c>
      <c r="C200" t="b">
        <f t="shared" ca="1" si="40"/>
        <v>0</v>
      </c>
      <c r="D200" s="284" t="str">
        <f t="shared" ca="1" si="37"/>
        <v/>
      </c>
      <c r="E200" s="96" t="str">
        <f t="shared" ca="1" si="41"/>
        <v/>
      </c>
      <c r="F200" s="96" t="str">
        <f t="shared" ca="1" si="42"/>
        <v/>
      </c>
      <c r="G200" s="293" t="str">
        <f t="shared" ca="1" si="43"/>
        <v/>
      </c>
      <c r="H200" s="284" t="str">
        <f t="shared" ca="1" si="43"/>
        <v/>
      </c>
      <c r="I200" s="96" t="str">
        <f t="shared" ca="1" si="43"/>
        <v/>
      </c>
      <c r="J200" s="96" t="str">
        <f t="shared" ca="1" si="44"/>
        <v/>
      </c>
      <c r="K200" s="96" t="str">
        <f t="shared" ca="1" si="37"/>
        <v/>
      </c>
      <c r="L200" s="96" t="str">
        <f t="shared" ca="1" si="37"/>
        <v/>
      </c>
      <c r="M200" s="294" t="str">
        <f t="shared" ca="1" si="37"/>
        <v/>
      </c>
      <c r="N200" s="295" t="str">
        <f t="shared" ca="1" si="45"/>
        <v/>
      </c>
      <c r="O200" s="96" t="str">
        <f t="shared" ca="1" si="45"/>
        <v/>
      </c>
      <c r="P200" s="96" t="str">
        <f t="shared" ca="1" si="46"/>
        <v/>
      </c>
      <c r="Q200" s="96" t="str">
        <f t="shared" ca="1" si="37"/>
        <v/>
      </c>
      <c r="R200" s="293" t="str">
        <f t="shared" ca="1" si="37"/>
        <v/>
      </c>
      <c r="S200" s="284" t="str">
        <f t="shared" ca="1" si="38"/>
        <v/>
      </c>
      <c r="T200" s="96" t="str">
        <f t="shared" ca="1" si="38"/>
        <v/>
      </c>
      <c r="U200" s="96" t="str">
        <f t="shared" ca="1" si="47"/>
        <v/>
      </c>
      <c r="V200" s="96" t="str">
        <f t="shared" ca="1" si="38"/>
        <v/>
      </c>
      <c r="W200" s="96" t="str">
        <f t="shared" ca="1" si="38"/>
        <v/>
      </c>
      <c r="X200" s="293" t="str">
        <f t="shared" ca="1" si="38"/>
        <v/>
      </c>
      <c r="Y200" s="284" t="str">
        <f t="shared" ca="1" si="38"/>
        <v/>
      </c>
      <c r="Z200" s="96" t="str">
        <f t="shared" ca="1" si="38"/>
        <v/>
      </c>
      <c r="AA200" s="96" t="str">
        <f t="shared" ca="1" si="38"/>
        <v/>
      </c>
      <c r="AB200" s="386" t="str">
        <f t="shared" ca="1" si="38"/>
        <v/>
      </c>
      <c r="AC200" s="293" t="str">
        <f t="shared" ca="1" si="38"/>
        <v/>
      </c>
      <c r="AD200" s="284" t="str">
        <f t="shared" ca="1" si="33"/>
        <v/>
      </c>
      <c r="AE200" s="293" t="str">
        <f t="shared" ca="1" si="33"/>
        <v/>
      </c>
      <c r="AF200" s="284" t="str">
        <f t="shared" ca="1" si="33"/>
        <v/>
      </c>
      <c r="AG200" s="293" t="str">
        <f t="shared" ca="1" si="33"/>
        <v/>
      </c>
      <c r="AH200" s="96"/>
      <c r="AI200" s="96" t="str">
        <f t="shared" ca="1" si="48"/>
        <v/>
      </c>
      <c r="AK200" s="96">
        <f t="shared" ca="1" si="49"/>
        <v>0</v>
      </c>
      <c r="AL200" s="12">
        <f t="shared" ca="1" si="50"/>
        <v>0</v>
      </c>
      <c r="AM200" s="12">
        <f t="shared" ca="1" si="51"/>
        <v>0</v>
      </c>
      <c r="AN200" s="12">
        <f t="shared" ca="1" si="52"/>
        <v>0</v>
      </c>
      <c r="AO200" s="12">
        <f t="shared" ca="1" si="53"/>
        <v>0</v>
      </c>
      <c r="AP200" s="12" t="str">
        <f t="shared" ca="1" si="54"/>
        <v/>
      </c>
      <c r="AQ200" s="12" t="str">
        <f t="shared" ca="1" si="55"/>
        <v/>
      </c>
      <c r="AR200" s="12" t="str">
        <f t="shared" ca="1" si="56"/>
        <v/>
      </c>
      <c r="AS200" s="12" t="str">
        <f t="shared" ca="1" si="57"/>
        <v/>
      </c>
    </row>
    <row r="201" spans="1:45">
      <c r="A201">
        <f t="shared" si="58"/>
        <v>450</v>
      </c>
      <c r="B201" t="str">
        <f t="shared" ca="1" si="39"/>
        <v xml:space="preserve"> </v>
      </c>
      <c r="C201" t="b">
        <f t="shared" ca="1" si="40"/>
        <v>0</v>
      </c>
      <c r="D201" s="284" t="str">
        <f t="shared" ca="1" si="37"/>
        <v/>
      </c>
      <c r="E201" s="96" t="str">
        <f t="shared" ca="1" si="41"/>
        <v/>
      </c>
      <c r="F201" s="96" t="str">
        <f t="shared" ca="1" si="42"/>
        <v/>
      </c>
      <c r="G201" s="293" t="str">
        <f t="shared" ca="1" si="43"/>
        <v/>
      </c>
      <c r="H201" s="284" t="str">
        <f t="shared" ca="1" si="43"/>
        <v/>
      </c>
      <c r="I201" s="96" t="str">
        <f t="shared" ca="1" si="43"/>
        <v/>
      </c>
      <c r="J201" s="96" t="str">
        <f t="shared" ca="1" si="44"/>
        <v/>
      </c>
      <c r="K201" s="96" t="str">
        <f t="shared" ca="1" si="37"/>
        <v/>
      </c>
      <c r="L201" s="96" t="str">
        <f t="shared" ca="1" si="37"/>
        <v/>
      </c>
      <c r="M201" s="294" t="str">
        <f t="shared" ca="1" si="37"/>
        <v/>
      </c>
      <c r="N201" s="295" t="str">
        <f t="shared" ca="1" si="45"/>
        <v/>
      </c>
      <c r="O201" s="96" t="str">
        <f t="shared" ca="1" si="45"/>
        <v/>
      </c>
      <c r="P201" s="96" t="str">
        <f t="shared" ca="1" si="46"/>
        <v/>
      </c>
      <c r="Q201" s="96" t="str">
        <f t="shared" ca="1" si="37"/>
        <v/>
      </c>
      <c r="R201" s="293" t="str">
        <f t="shared" ca="1" si="37"/>
        <v/>
      </c>
      <c r="S201" s="284" t="str">
        <f t="shared" ca="1" si="38"/>
        <v/>
      </c>
      <c r="T201" s="96" t="str">
        <f t="shared" ca="1" si="38"/>
        <v/>
      </c>
      <c r="U201" s="96" t="str">
        <f t="shared" ca="1" si="47"/>
        <v/>
      </c>
      <c r="V201" s="96" t="str">
        <f t="shared" ca="1" si="38"/>
        <v/>
      </c>
      <c r="W201" s="96" t="str">
        <f t="shared" ca="1" si="38"/>
        <v/>
      </c>
      <c r="X201" s="293" t="str">
        <f t="shared" ca="1" si="38"/>
        <v/>
      </c>
      <c r="Y201" s="284" t="str">
        <f t="shared" ca="1" si="38"/>
        <v/>
      </c>
      <c r="Z201" s="96" t="str">
        <f t="shared" ca="1" si="38"/>
        <v/>
      </c>
      <c r="AA201" s="96" t="str">
        <f t="shared" ca="1" si="38"/>
        <v/>
      </c>
      <c r="AB201" s="386" t="str">
        <f t="shared" ca="1" si="38"/>
        <v/>
      </c>
      <c r="AC201" s="293" t="str">
        <f t="shared" ca="1" si="38"/>
        <v/>
      </c>
      <c r="AD201" s="284" t="str">
        <f t="shared" ca="1" si="33"/>
        <v/>
      </c>
      <c r="AE201" s="293" t="str">
        <f t="shared" ca="1" si="33"/>
        <v/>
      </c>
      <c r="AF201" s="284" t="str">
        <f t="shared" ca="1" si="33"/>
        <v/>
      </c>
      <c r="AG201" s="293" t="str">
        <f t="shared" ref="AD201:AG264" ca="1" si="59">IF($C201=FALSE,"",INDIRECT("Installations!" &amp; AG$120 &amp; $A201))</f>
        <v/>
      </c>
      <c r="AH201" s="96"/>
      <c r="AI201" s="96" t="str">
        <f t="shared" ca="1" si="48"/>
        <v/>
      </c>
      <c r="AK201" s="96">
        <f t="shared" ca="1" si="49"/>
        <v>0</v>
      </c>
      <c r="AL201" s="12">
        <f t="shared" ca="1" si="50"/>
        <v>0</v>
      </c>
      <c r="AM201" s="12">
        <f t="shared" ca="1" si="51"/>
        <v>0</v>
      </c>
      <c r="AN201" s="12">
        <f t="shared" ca="1" si="52"/>
        <v>0</v>
      </c>
      <c r="AO201" s="12">
        <f t="shared" ca="1" si="53"/>
        <v>0</v>
      </c>
      <c r="AP201" s="12" t="str">
        <f t="shared" ca="1" si="54"/>
        <v/>
      </c>
      <c r="AQ201" s="12" t="str">
        <f t="shared" ca="1" si="55"/>
        <v/>
      </c>
      <c r="AR201" s="12" t="str">
        <f t="shared" ca="1" si="56"/>
        <v/>
      </c>
      <c r="AS201" s="12" t="str">
        <f t="shared" ca="1" si="57"/>
        <v/>
      </c>
    </row>
    <row r="202" spans="1:45">
      <c r="A202">
        <f t="shared" si="58"/>
        <v>455</v>
      </c>
      <c r="B202" t="str">
        <f t="shared" ca="1" si="39"/>
        <v xml:space="preserve"> </v>
      </c>
      <c r="C202" t="b">
        <f t="shared" ca="1" si="40"/>
        <v>0</v>
      </c>
      <c r="D202" s="284" t="str">
        <f t="shared" ca="1" si="37"/>
        <v/>
      </c>
      <c r="E202" s="96" t="str">
        <f t="shared" ca="1" si="41"/>
        <v/>
      </c>
      <c r="F202" s="96" t="str">
        <f t="shared" ca="1" si="42"/>
        <v/>
      </c>
      <c r="G202" s="293" t="str">
        <f t="shared" ca="1" si="43"/>
        <v/>
      </c>
      <c r="H202" s="284" t="str">
        <f t="shared" ca="1" si="43"/>
        <v/>
      </c>
      <c r="I202" s="96" t="str">
        <f t="shared" ca="1" si="43"/>
        <v/>
      </c>
      <c r="J202" s="96" t="str">
        <f t="shared" ca="1" si="44"/>
        <v/>
      </c>
      <c r="K202" s="96" t="str">
        <f t="shared" ca="1" si="37"/>
        <v/>
      </c>
      <c r="L202" s="96" t="str">
        <f t="shared" ca="1" si="37"/>
        <v/>
      </c>
      <c r="M202" s="294" t="str">
        <f t="shared" ca="1" si="37"/>
        <v/>
      </c>
      <c r="N202" s="295" t="str">
        <f t="shared" ca="1" si="45"/>
        <v/>
      </c>
      <c r="O202" s="96" t="str">
        <f t="shared" ca="1" si="45"/>
        <v/>
      </c>
      <c r="P202" s="96" t="str">
        <f t="shared" ca="1" si="46"/>
        <v/>
      </c>
      <c r="Q202" s="96" t="str">
        <f t="shared" ca="1" si="37"/>
        <v/>
      </c>
      <c r="R202" s="293" t="str">
        <f t="shared" ca="1" si="37"/>
        <v/>
      </c>
      <c r="S202" s="284" t="str">
        <f t="shared" ca="1" si="38"/>
        <v/>
      </c>
      <c r="T202" s="96" t="str">
        <f t="shared" ca="1" si="38"/>
        <v/>
      </c>
      <c r="U202" s="96" t="str">
        <f t="shared" ca="1" si="47"/>
        <v/>
      </c>
      <c r="V202" s="96" t="str">
        <f t="shared" ca="1" si="38"/>
        <v/>
      </c>
      <c r="W202" s="96" t="str">
        <f t="shared" ca="1" si="38"/>
        <v/>
      </c>
      <c r="X202" s="293" t="str">
        <f t="shared" ca="1" si="38"/>
        <v/>
      </c>
      <c r="Y202" s="284" t="str">
        <f t="shared" ca="1" si="38"/>
        <v/>
      </c>
      <c r="Z202" s="96" t="str">
        <f t="shared" ca="1" si="38"/>
        <v/>
      </c>
      <c r="AA202" s="96" t="str">
        <f t="shared" ca="1" si="38"/>
        <v/>
      </c>
      <c r="AB202" s="386" t="str">
        <f t="shared" ca="1" si="38"/>
        <v/>
      </c>
      <c r="AC202" s="293" t="str">
        <f t="shared" ca="1" si="38"/>
        <v/>
      </c>
      <c r="AD202" s="284" t="str">
        <f t="shared" ca="1" si="59"/>
        <v/>
      </c>
      <c r="AE202" s="293" t="str">
        <f t="shared" ca="1" si="59"/>
        <v/>
      </c>
      <c r="AF202" s="284" t="str">
        <f t="shared" ca="1" si="59"/>
        <v/>
      </c>
      <c r="AG202" s="293" t="str">
        <f t="shared" ca="1" si="59"/>
        <v/>
      </c>
      <c r="AH202" s="96"/>
      <c r="AI202" s="96" t="str">
        <f t="shared" ca="1" si="48"/>
        <v/>
      </c>
      <c r="AK202" s="96">
        <f t="shared" ca="1" si="49"/>
        <v>0</v>
      </c>
      <c r="AL202" s="12">
        <f t="shared" ca="1" si="50"/>
        <v>0</v>
      </c>
      <c r="AM202" s="12">
        <f t="shared" ca="1" si="51"/>
        <v>0</v>
      </c>
      <c r="AN202" s="12">
        <f t="shared" ca="1" si="52"/>
        <v>0</v>
      </c>
      <c r="AO202" s="12">
        <f t="shared" ca="1" si="53"/>
        <v>0</v>
      </c>
      <c r="AP202" s="12" t="str">
        <f t="shared" ca="1" si="54"/>
        <v/>
      </c>
      <c r="AQ202" s="12" t="str">
        <f t="shared" ca="1" si="55"/>
        <v/>
      </c>
      <c r="AR202" s="12" t="str">
        <f t="shared" ca="1" si="56"/>
        <v/>
      </c>
      <c r="AS202" s="12" t="str">
        <f t="shared" ca="1" si="57"/>
        <v/>
      </c>
    </row>
    <row r="203" spans="1:45">
      <c r="A203">
        <f t="shared" si="58"/>
        <v>460</v>
      </c>
      <c r="B203" t="str">
        <f t="shared" ca="1" si="39"/>
        <v xml:space="preserve"> </v>
      </c>
      <c r="C203" t="b">
        <f t="shared" ca="1" si="40"/>
        <v>0</v>
      </c>
      <c r="D203" s="284" t="str">
        <f t="shared" ca="1" si="37"/>
        <v/>
      </c>
      <c r="E203" s="96" t="str">
        <f t="shared" ca="1" si="41"/>
        <v/>
      </c>
      <c r="F203" s="96" t="str">
        <f t="shared" ca="1" si="42"/>
        <v/>
      </c>
      <c r="G203" s="293" t="str">
        <f t="shared" ca="1" si="43"/>
        <v/>
      </c>
      <c r="H203" s="284" t="str">
        <f t="shared" ca="1" si="43"/>
        <v/>
      </c>
      <c r="I203" s="96" t="str">
        <f t="shared" ca="1" si="43"/>
        <v/>
      </c>
      <c r="J203" s="96" t="str">
        <f t="shared" ca="1" si="44"/>
        <v/>
      </c>
      <c r="K203" s="96" t="str">
        <f t="shared" ca="1" si="37"/>
        <v/>
      </c>
      <c r="L203" s="96" t="str">
        <f t="shared" ca="1" si="37"/>
        <v/>
      </c>
      <c r="M203" s="294" t="str">
        <f t="shared" ca="1" si="37"/>
        <v/>
      </c>
      <c r="N203" s="295" t="str">
        <f t="shared" ca="1" si="45"/>
        <v/>
      </c>
      <c r="O203" s="96" t="str">
        <f t="shared" ca="1" si="45"/>
        <v/>
      </c>
      <c r="P203" s="96" t="str">
        <f t="shared" ca="1" si="46"/>
        <v/>
      </c>
      <c r="Q203" s="96" t="str">
        <f t="shared" ca="1" si="37"/>
        <v/>
      </c>
      <c r="R203" s="293" t="str">
        <f t="shared" ca="1" si="37"/>
        <v/>
      </c>
      <c r="S203" s="284" t="str">
        <f t="shared" ca="1" si="38"/>
        <v/>
      </c>
      <c r="T203" s="96" t="str">
        <f t="shared" ca="1" si="38"/>
        <v/>
      </c>
      <c r="U203" s="96" t="str">
        <f t="shared" ca="1" si="47"/>
        <v/>
      </c>
      <c r="V203" s="96" t="str">
        <f t="shared" ca="1" si="38"/>
        <v/>
      </c>
      <c r="W203" s="96" t="str">
        <f t="shared" ca="1" si="38"/>
        <v/>
      </c>
      <c r="X203" s="293" t="str">
        <f t="shared" ca="1" si="38"/>
        <v/>
      </c>
      <c r="Y203" s="284" t="str">
        <f t="shared" ca="1" si="38"/>
        <v/>
      </c>
      <c r="Z203" s="96" t="str">
        <f t="shared" ca="1" si="38"/>
        <v/>
      </c>
      <c r="AA203" s="96" t="str">
        <f t="shared" ca="1" si="38"/>
        <v/>
      </c>
      <c r="AB203" s="386" t="str">
        <f t="shared" ca="1" si="38"/>
        <v/>
      </c>
      <c r="AC203" s="293" t="str">
        <f t="shared" ca="1" si="38"/>
        <v/>
      </c>
      <c r="AD203" s="284" t="str">
        <f t="shared" ca="1" si="59"/>
        <v/>
      </c>
      <c r="AE203" s="293" t="str">
        <f t="shared" ca="1" si="59"/>
        <v/>
      </c>
      <c r="AF203" s="284" t="str">
        <f t="shared" ca="1" si="59"/>
        <v/>
      </c>
      <c r="AG203" s="293" t="str">
        <f t="shared" ca="1" si="59"/>
        <v/>
      </c>
      <c r="AH203" s="96"/>
      <c r="AI203" s="96" t="str">
        <f t="shared" ca="1" si="48"/>
        <v/>
      </c>
      <c r="AK203" s="96">
        <f t="shared" ca="1" si="49"/>
        <v>0</v>
      </c>
      <c r="AL203" s="12">
        <f t="shared" ca="1" si="50"/>
        <v>0</v>
      </c>
      <c r="AM203" s="12">
        <f t="shared" ca="1" si="51"/>
        <v>0</v>
      </c>
      <c r="AN203" s="12">
        <f t="shared" ca="1" si="52"/>
        <v>0</v>
      </c>
      <c r="AO203" s="12">
        <f t="shared" ca="1" si="53"/>
        <v>0</v>
      </c>
      <c r="AP203" s="12" t="str">
        <f t="shared" ca="1" si="54"/>
        <v/>
      </c>
      <c r="AQ203" s="12" t="str">
        <f t="shared" ca="1" si="55"/>
        <v/>
      </c>
      <c r="AR203" s="12" t="str">
        <f t="shared" ca="1" si="56"/>
        <v/>
      </c>
      <c r="AS203" s="12" t="str">
        <f t="shared" ca="1" si="57"/>
        <v/>
      </c>
    </row>
    <row r="204" spans="1:45">
      <c r="A204">
        <f t="shared" si="58"/>
        <v>465</v>
      </c>
      <c r="B204" t="str">
        <f t="shared" ca="1" si="39"/>
        <v xml:space="preserve"> </v>
      </c>
      <c r="C204" t="b">
        <f t="shared" ca="1" si="40"/>
        <v>0</v>
      </c>
      <c r="D204" s="284" t="str">
        <f t="shared" ca="1" si="37"/>
        <v/>
      </c>
      <c r="E204" s="96" t="str">
        <f t="shared" ca="1" si="41"/>
        <v/>
      </c>
      <c r="F204" s="96" t="str">
        <f t="shared" ca="1" si="42"/>
        <v/>
      </c>
      <c r="G204" s="293" t="str">
        <f t="shared" ca="1" si="43"/>
        <v/>
      </c>
      <c r="H204" s="284" t="str">
        <f t="shared" ca="1" si="43"/>
        <v/>
      </c>
      <c r="I204" s="96" t="str">
        <f t="shared" ca="1" si="43"/>
        <v/>
      </c>
      <c r="J204" s="96" t="str">
        <f t="shared" ca="1" si="44"/>
        <v/>
      </c>
      <c r="K204" s="96" t="str">
        <f t="shared" ca="1" si="37"/>
        <v/>
      </c>
      <c r="L204" s="96" t="str">
        <f t="shared" ca="1" si="37"/>
        <v/>
      </c>
      <c r="M204" s="294" t="str">
        <f t="shared" ca="1" si="37"/>
        <v/>
      </c>
      <c r="N204" s="295" t="str">
        <f t="shared" ca="1" si="45"/>
        <v/>
      </c>
      <c r="O204" s="96" t="str">
        <f t="shared" ca="1" si="45"/>
        <v/>
      </c>
      <c r="P204" s="96" t="str">
        <f t="shared" ca="1" si="46"/>
        <v/>
      </c>
      <c r="Q204" s="96" t="str">
        <f t="shared" ca="1" si="37"/>
        <v/>
      </c>
      <c r="R204" s="293" t="str">
        <f t="shared" ca="1" si="37"/>
        <v/>
      </c>
      <c r="S204" s="284" t="str">
        <f t="shared" ca="1" si="38"/>
        <v/>
      </c>
      <c r="T204" s="96" t="str">
        <f t="shared" ca="1" si="38"/>
        <v/>
      </c>
      <c r="U204" s="96" t="str">
        <f t="shared" ca="1" si="47"/>
        <v/>
      </c>
      <c r="V204" s="96" t="str">
        <f t="shared" ca="1" si="38"/>
        <v/>
      </c>
      <c r="W204" s="96" t="str">
        <f t="shared" ca="1" si="38"/>
        <v/>
      </c>
      <c r="X204" s="293" t="str">
        <f t="shared" ca="1" si="38"/>
        <v/>
      </c>
      <c r="Y204" s="284" t="str">
        <f t="shared" ca="1" si="38"/>
        <v/>
      </c>
      <c r="Z204" s="96" t="str">
        <f t="shared" ca="1" si="38"/>
        <v/>
      </c>
      <c r="AA204" s="96" t="str">
        <f t="shared" ca="1" si="38"/>
        <v/>
      </c>
      <c r="AB204" s="386" t="str">
        <f t="shared" ca="1" si="38"/>
        <v/>
      </c>
      <c r="AC204" s="293" t="str">
        <f t="shared" ca="1" si="38"/>
        <v/>
      </c>
      <c r="AD204" s="284" t="str">
        <f t="shared" ca="1" si="59"/>
        <v/>
      </c>
      <c r="AE204" s="293" t="str">
        <f t="shared" ca="1" si="59"/>
        <v/>
      </c>
      <c r="AF204" s="284" t="str">
        <f t="shared" ca="1" si="59"/>
        <v/>
      </c>
      <c r="AG204" s="293" t="str">
        <f t="shared" ca="1" si="59"/>
        <v/>
      </c>
      <c r="AH204" s="96"/>
      <c r="AI204" s="96" t="str">
        <f t="shared" ca="1" si="48"/>
        <v/>
      </c>
      <c r="AK204" s="96">
        <f t="shared" ca="1" si="49"/>
        <v>0</v>
      </c>
      <c r="AL204" s="12">
        <f t="shared" ca="1" si="50"/>
        <v>0</v>
      </c>
      <c r="AM204" s="12">
        <f t="shared" ca="1" si="51"/>
        <v>0</v>
      </c>
      <c r="AN204" s="12">
        <f t="shared" ca="1" si="52"/>
        <v>0</v>
      </c>
      <c r="AO204" s="12">
        <f t="shared" ca="1" si="53"/>
        <v>0</v>
      </c>
      <c r="AP204" s="12" t="str">
        <f t="shared" ca="1" si="54"/>
        <v/>
      </c>
      <c r="AQ204" s="12" t="str">
        <f t="shared" ca="1" si="55"/>
        <v/>
      </c>
      <c r="AR204" s="12" t="str">
        <f t="shared" ca="1" si="56"/>
        <v/>
      </c>
      <c r="AS204" s="12" t="str">
        <f t="shared" ca="1" si="57"/>
        <v/>
      </c>
    </row>
    <row r="205" spans="1:45">
      <c r="A205">
        <f t="shared" si="58"/>
        <v>470</v>
      </c>
      <c r="B205" t="str">
        <f t="shared" ca="1" si="39"/>
        <v xml:space="preserve"> </v>
      </c>
      <c r="C205" t="b">
        <f t="shared" ca="1" si="40"/>
        <v>0</v>
      </c>
      <c r="D205" s="284" t="str">
        <f t="shared" ca="1" si="37"/>
        <v/>
      </c>
      <c r="E205" s="96" t="str">
        <f t="shared" ca="1" si="41"/>
        <v/>
      </c>
      <c r="F205" s="96" t="str">
        <f t="shared" ca="1" si="42"/>
        <v/>
      </c>
      <c r="G205" s="293" t="str">
        <f t="shared" ca="1" si="43"/>
        <v/>
      </c>
      <c r="H205" s="284" t="str">
        <f t="shared" ca="1" si="43"/>
        <v/>
      </c>
      <c r="I205" s="96" t="str">
        <f t="shared" ca="1" si="43"/>
        <v/>
      </c>
      <c r="J205" s="96" t="str">
        <f t="shared" ca="1" si="44"/>
        <v/>
      </c>
      <c r="K205" s="96" t="str">
        <f t="shared" ca="1" si="37"/>
        <v/>
      </c>
      <c r="L205" s="96" t="str">
        <f t="shared" ca="1" si="37"/>
        <v/>
      </c>
      <c r="M205" s="294" t="str">
        <f t="shared" ca="1" si="37"/>
        <v/>
      </c>
      <c r="N205" s="295" t="str">
        <f t="shared" ca="1" si="45"/>
        <v/>
      </c>
      <c r="O205" s="96" t="str">
        <f t="shared" ca="1" si="45"/>
        <v/>
      </c>
      <c r="P205" s="96" t="str">
        <f t="shared" ca="1" si="46"/>
        <v/>
      </c>
      <c r="Q205" s="96" t="str">
        <f t="shared" ca="1" si="37"/>
        <v/>
      </c>
      <c r="R205" s="293" t="str">
        <f t="shared" ca="1" si="37"/>
        <v/>
      </c>
      <c r="S205" s="284" t="str">
        <f t="shared" ca="1" si="38"/>
        <v/>
      </c>
      <c r="T205" s="96" t="str">
        <f t="shared" ca="1" si="38"/>
        <v/>
      </c>
      <c r="U205" s="96" t="str">
        <f t="shared" ca="1" si="47"/>
        <v/>
      </c>
      <c r="V205" s="96" t="str">
        <f t="shared" ca="1" si="38"/>
        <v/>
      </c>
      <c r="W205" s="96" t="str">
        <f t="shared" ca="1" si="38"/>
        <v/>
      </c>
      <c r="X205" s="293" t="str">
        <f t="shared" ca="1" si="38"/>
        <v/>
      </c>
      <c r="Y205" s="284" t="str">
        <f t="shared" ca="1" si="38"/>
        <v/>
      </c>
      <c r="Z205" s="96" t="str">
        <f t="shared" ca="1" si="38"/>
        <v/>
      </c>
      <c r="AA205" s="96" t="str">
        <f t="shared" ca="1" si="38"/>
        <v/>
      </c>
      <c r="AB205" s="386" t="str">
        <f t="shared" ca="1" si="38"/>
        <v/>
      </c>
      <c r="AC205" s="293" t="str">
        <f t="shared" ca="1" si="38"/>
        <v/>
      </c>
      <c r="AD205" s="284" t="str">
        <f t="shared" ca="1" si="59"/>
        <v/>
      </c>
      <c r="AE205" s="293" t="str">
        <f t="shared" ca="1" si="59"/>
        <v/>
      </c>
      <c r="AF205" s="284" t="str">
        <f t="shared" ca="1" si="59"/>
        <v/>
      </c>
      <c r="AG205" s="293" t="str">
        <f t="shared" ca="1" si="59"/>
        <v/>
      </c>
      <c r="AH205" s="96"/>
      <c r="AI205" s="96" t="str">
        <f t="shared" ca="1" si="48"/>
        <v/>
      </c>
      <c r="AK205" s="96">
        <f t="shared" ca="1" si="49"/>
        <v>0</v>
      </c>
      <c r="AL205" s="12">
        <f t="shared" ca="1" si="50"/>
        <v>0</v>
      </c>
      <c r="AM205" s="12">
        <f t="shared" ca="1" si="51"/>
        <v>0</v>
      </c>
      <c r="AN205" s="12">
        <f t="shared" ca="1" si="52"/>
        <v>0</v>
      </c>
      <c r="AO205" s="12">
        <f t="shared" ca="1" si="53"/>
        <v>0</v>
      </c>
      <c r="AP205" s="12" t="str">
        <f t="shared" ca="1" si="54"/>
        <v/>
      </c>
      <c r="AQ205" s="12" t="str">
        <f t="shared" ca="1" si="55"/>
        <v/>
      </c>
      <c r="AR205" s="12" t="str">
        <f t="shared" ca="1" si="56"/>
        <v/>
      </c>
      <c r="AS205" s="12" t="str">
        <f t="shared" ca="1" si="57"/>
        <v/>
      </c>
    </row>
    <row r="206" spans="1:45">
      <c r="A206">
        <f t="shared" si="58"/>
        <v>475</v>
      </c>
      <c r="B206" t="str">
        <f t="shared" ca="1" si="39"/>
        <v xml:space="preserve"> </v>
      </c>
      <c r="C206" t="b">
        <f t="shared" ca="1" si="40"/>
        <v>0</v>
      </c>
      <c r="D206" s="284" t="str">
        <f t="shared" ca="1" si="37"/>
        <v/>
      </c>
      <c r="E206" s="96" t="str">
        <f t="shared" ca="1" si="41"/>
        <v/>
      </c>
      <c r="F206" s="96" t="str">
        <f t="shared" ca="1" si="42"/>
        <v/>
      </c>
      <c r="G206" s="293" t="str">
        <f t="shared" ca="1" si="43"/>
        <v/>
      </c>
      <c r="H206" s="284" t="str">
        <f t="shared" ca="1" si="43"/>
        <v/>
      </c>
      <c r="I206" s="96" t="str">
        <f t="shared" ca="1" si="43"/>
        <v/>
      </c>
      <c r="J206" s="96" t="str">
        <f t="shared" ca="1" si="44"/>
        <v/>
      </c>
      <c r="K206" s="96" t="str">
        <f t="shared" ca="1" si="37"/>
        <v/>
      </c>
      <c r="L206" s="96" t="str">
        <f t="shared" ca="1" si="37"/>
        <v/>
      </c>
      <c r="M206" s="294" t="str">
        <f t="shared" ca="1" si="37"/>
        <v/>
      </c>
      <c r="N206" s="295" t="str">
        <f t="shared" ca="1" si="45"/>
        <v/>
      </c>
      <c r="O206" s="96" t="str">
        <f t="shared" ca="1" si="45"/>
        <v/>
      </c>
      <c r="P206" s="96" t="str">
        <f t="shared" ca="1" si="46"/>
        <v/>
      </c>
      <c r="Q206" s="96" t="str">
        <f t="shared" ca="1" si="37"/>
        <v/>
      </c>
      <c r="R206" s="293" t="str">
        <f t="shared" ca="1" si="37"/>
        <v/>
      </c>
      <c r="S206" s="284" t="str">
        <f t="shared" ca="1" si="38"/>
        <v/>
      </c>
      <c r="T206" s="96" t="str">
        <f t="shared" ca="1" si="38"/>
        <v/>
      </c>
      <c r="U206" s="96" t="str">
        <f t="shared" ca="1" si="47"/>
        <v/>
      </c>
      <c r="V206" s="96" t="str">
        <f t="shared" ca="1" si="38"/>
        <v/>
      </c>
      <c r="W206" s="96" t="str">
        <f t="shared" ca="1" si="38"/>
        <v/>
      </c>
      <c r="X206" s="293" t="str">
        <f t="shared" ca="1" si="38"/>
        <v/>
      </c>
      <c r="Y206" s="284" t="str">
        <f t="shared" ca="1" si="38"/>
        <v/>
      </c>
      <c r="Z206" s="96" t="str">
        <f t="shared" ca="1" si="38"/>
        <v/>
      </c>
      <c r="AA206" s="96" t="str">
        <f t="shared" ca="1" si="38"/>
        <v/>
      </c>
      <c r="AB206" s="386" t="str">
        <f t="shared" ca="1" si="38"/>
        <v/>
      </c>
      <c r="AC206" s="293" t="str">
        <f t="shared" ca="1" si="38"/>
        <v/>
      </c>
      <c r="AD206" s="284" t="str">
        <f t="shared" ca="1" si="59"/>
        <v/>
      </c>
      <c r="AE206" s="293" t="str">
        <f t="shared" ca="1" si="59"/>
        <v/>
      </c>
      <c r="AF206" s="284" t="str">
        <f t="shared" ca="1" si="59"/>
        <v/>
      </c>
      <c r="AG206" s="293" t="str">
        <f t="shared" ca="1" si="59"/>
        <v/>
      </c>
      <c r="AH206" s="96"/>
      <c r="AI206" s="96" t="str">
        <f t="shared" ca="1" si="48"/>
        <v/>
      </c>
      <c r="AK206" s="96">
        <f t="shared" ca="1" si="49"/>
        <v>0</v>
      </c>
      <c r="AL206" s="12">
        <f t="shared" ca="1" si="50"/>
        <v>0</v>
      </c>
      <c r="AM206" s="12">
        <f t="shared" ca="1" si="51"/>
        <v>0</v>
      </c>
      <c r="AN206" s="12">
        <f t="shared" ca="1" si="52"/>
        <v>0</v>
      </c>
      <c r="AO206" s="12">
        <f t="shared" ca="1" si="53"/>
        <v>0</v>
      </c>
      <c r="AP206" s="12" t="str">
        <f t="shared" ca="1" si="54"/>
        <v/>
      </c>
      <c r="AQ206" s="12" t="str">
        <f t="shared" ca="1" si="55"/>
        <v/>
      </c>
      <c r="AR206" s="12" t="str">
        <f t="shared" ca="1" si="56"/>
        <v/>
      </c>
      <c r="AS206" s="12" t="str">
        <f t="shared" ca="1" si="57"/>
        <v/>
      </c>
    </row>
    <row r="207" spans="1:45">
      <c r="A207" s="690">
        <f>A206+8</f>
        <v>483</v>
      </c>
      <c r="B207" t="str">
        <f t="shared" ca="1" si="39"/>
        <v xml:space="preserve"> </v>
      </c>
      <c r="C207" t="b">
        <f t="shared" ca="1" si="40"/>
        <v>0</v>
      </c>
      <c r="D207" s="284" t="str">
        <f t="shared" ca="1" si="37"/>
        <v/>
      </c>
      <c r="E207" s="96" t="str">
        <f t="shared" ca="1" si="41"/>
        <v/>
      </c>
      <c r="F207" s="96" t="str">
        <f t="shared" ca="1" si="42"/>
        <v/>
      </c>
      <c r="G207" s="293" t="str">
        <f t="shared" ca="1" si="43"/>
        <v/>
      </c>
      <c r="H207" s="284" t="str">
        <f t="shared" ca="1" si="43"/>
        <v/>
      </c>
      <c r="I207" s="96" t="str">
        <f t="shared" ca="1" si="43"/>
        <v/>
      </c>
      <c r="J207" s="96" t="str">
        <f t="shared" ca="1" si="44"/>
        <v/>
      </c>
      <c r="K207" s="96" t="str">
        <f t="shared" ca="1" si="37"/>
        <v/>
      </c>
      <c r="L207" s="96" t="str">
        <f t="shared" ca="1" si="37"/>
        <v/>
      </c>
      <c r="M207" s="294" t="str">
        <f t="shared" ca="1" si="37"/>
        <v/>
      </c>
      <c r="N207" s="295" t="str">
        <f t="shared" ca="1" si="45"/>
        <v/>
      </c>
      <c r="O207" s="96" t="str">
        <f t="shared" ca="1" si="45"/>
        <v/>
      </c>
      <c r="P207" s="96" t="str">
        <f t="shared" ca="1" si="46"/>
        <v/>
      </c>
      <c r="Q207" s="96" t="str">
        <f t="shared" ca="1" si="37"/>
        <v/>
      </c>
      <c r="R207" s="293" t="str">
        <f t="shared" ca="1" si="37"/>
        <v/>
      </c>
      <c r="S207" s="284" t="str">
        <f t="shared" ca="1" si="38"/>
        <v/>
      </c>
      <c r="T207" s="96" t="str">
        <f t="shared" ca="1" si="38"/>
        <v/>
      </c>
      <c r="U207" s="96" t="str">
        <f t="shared" ca="1" si="47"/>
        <v/>
      </c>
      <c r="V207" s="96" t="str">
        <f t="shared" ca="1" si="38"/>
        <v/>
      </c>
      <c r="W207" s="96" t="str">
        <f t="shared" ca="1" si="38"/>
        <v/>
      </c>
      <c r="X207" s="293" t="str">
        <f t="shared" ca="1" si="38"/>
        <v/>
      </c>
      <c r="Y207" s="284" t="str">
        <f t="shared" ca="1" si="38"/>
        <v/>
      </c>
      <c r="Z207" s="96" t="str">
        <f t="shared" ca="1" si="38"/>
        <v/>
      </c>
      <c r="AA207" s="96" t="str">
        <f t="shared" ca="1" si="38"/>
        <v/>
      </c>
      <c r="AB207" s="386" t="str">
        <f t="shared" ca="1" si="38"/>
        <v/>
      </c>
      <c r="AC207" s="293" t="str">
        <f t="shared" ca="1" si="38"/>
        <v/>
      </c>
      <c r="AD207" s="284" t="str">
        <f t="shared" ca="1" si="59"/>
        <v/>
      </c>
      <c r="AE207" s="293" t="str">
        <f t="shared" ca="1" si="59"/>
        <v/>
      </c>
      <c r="AF207" s="284" t="str">
        <f t="shared" ca="1" si="59"/>
        <v/>
      </c>
      <c r="AG207" s="293" t="str">
        <f t="shared" ca="1" si="59"/>
        <v/>
      </c>
      <c r="AH207" s="96"/>
      <c r="AI207" s="96" t="str">
        <f t="shared" ca="1" si="48"/>
        <v/>
      </c>
      <c r="AK207" s="96">
        <f t="shared" ca="1" si="49"/>
        <v>0</v>
      </c>
      <c r="AL207" s="12">
        <f t="shared" ca="1" si="50"/>
        <v>0</v>
      </c>
      <c r="AM207" s="12">
        <f t="shared" ca="1" si="51"/>
        <v>0</v>
      </c>
      <c r="AN207" s="12">
        <f t="shared" ca="1" si="52"/>
        <v>0</v>
      </c>
      <c r="AO207" s="12">
        <f t="shared" ca="1" si="53"/>
        <v>0</v>
      </c>
      <c r="AP207" s="12" t="str">
        <f t="shared" ca="1" si="54"/>
        <v/>
      </c>
      <c r="AQ207" s="12" t="str">
        <f t="shared" ca="1" si="55"/>
        <v/>
      </c>
      <c r="AR207" s="12" t="str">
        <f t="shared" ca="1" si="56"/>
        <v/>
      </c>
      <c r="AS207" s="12" t="str">
        <f t="shared" ca="1" si="57"/>
        <v/>
      </c>
    </row>
    <row r="208" spans="1:45">
      <c r="A208">
        <f t="shared" si="58"/>
        <v>488</v>
      </c>
      <c r="B208" t="str">
        <f t="shared" ca="1" si="39"/>
        <v xml:space="preserve"> </v>
      </c>
      <c r="C208" t="b">
        <f t="shared" ca="1" si="40"/>
        <v>0</v>
      </c>
      <c r="D208" s="284" t="str">
        <f t="shared" ca="1" si="37"/>
        <v/>
      </c>
      <c r="E208" s="96" t="str">
        <f t="shared" ca="1" si="41"/>
        <v/>
      </c>
      <c r="F208" s="96" t="str">
        <f t="shared" ca="1" si="42"/>
        <v/>
      </c>
      <c r="G208" s="293" t="str">
        <f t="shared" ca="1" si="43"/>
        <v/>
      </c>
      <c r="H208" s="284" t="str">
        <f t="shared" ca="1" si="43"/>
        <v/>
      </c>
      <c r="I208" s="96" t="str">
        <f t="shared" ca="1" si="43"/>
        <v/>
      </c>
      <c r="J208" s="96" t="str">
        <f t="shared" ca="1" si="44"/>
        <v/>
      </c>
      <c r="K208" s="96" t="str">
        <f t="shared" ca="1" si="37"/>
        <v/>
      </c>
      <c r="L208" s="96" t="str">
        <f t="shared" ca="1" si="37"/>
        <v/>
      </c>
      <c r="M208" s="294" t="str">
        <f t="shared" ca="1" si="37"/>
        <v/>
      </c>
      <c r="N208" s="295" t="str">
        <f t="shared" ca="1" si="45"/>
        <v/>
      </c>
      <c r="O208" s="96" t="str">
        <f t="shared" ca="1" si="45"/>
        <v/>
      </c>
      <c r="P208" s="96" t="str">
        <f t="shared" ca="1" si="46"/>
        <v/>
      </c>
      <c r="Q208" s="96" t="str">
        <f t="shared" ca="1" si="37"/>
        <v/>
      </c>
      <c r="R208" s="293" t="str">
        <f t="shared" ca="1" si="37"/>
        <v/>
      </c>
      <c r="S208" s="284" t="str">
        <f t="shared" ca="1" si="38"/>
        <v/>
      </c>
      <c r="T208" s="96" t="str">
        <f t="shared" ca="1" si="38"/>
        <v/>
      </c>
      <c r="U208" s="96" t="str">
        <f t="shared" ca="1" si="47"/>
        <v/>
      </c>
      <c r="V208" s="96" t="str">
        <f t="shared" ca="1" si="38"/>
        <v/>
      </c>
      <c r="W208" s="96" t="str">
        <f t="shared" ca="1" si="38"/>
        <v/>
      </c>
      <c r="X208" s="293" t="str">
        <f t="shared" ca="1" si="38"/>
        <v/>
      </c>
      <c r="Y208" s="284" t="str">
        <f t="shared" ca="1" si="38"/>
        <v/>
      </c>
      <c r="Z208" s="96" t="str">
        <f t="shared" ca="1" si="38"/>
        <v/>
      </c>
      <c r="AA208" s="96" t="str">
        <f t="shared" ca="1" si="38"/>
        <v/>
      </c>
      <c r="AB208" s="386" t="str">
        <f t="shared" ca="1" si="38"/>
        <v/>
      </c>
      <c r="AC208" s="293" t="str">
        <f t="shared" ca="1" si="38"/>
        <v/>
      </c>
      <c r="AD208" s="284" t="str">
        <f t="shared" ca="1" si="59"/>
        <v/>
      </c>
      <c r="AE208" s="293" t="str">
        <f t="shared" ca="1" si="59"/>
        <v/>
      </c>
      <c r="AF208" s="284" t="str">
        <f t="shared" ca="1" si="59"/>
        <v/>
      </c>
      <c r="AG208" s="293" t="str">
        <f t="shared" ca="1" si="59"/>
        <v/>
      </c>
      <c r="AH208" s="96"/>
      <c r="AI208" s="96" t="str">
        <f t="shared" ca="1" si="48"/>
        <v/>
      </c>
      <c r="AK208" s="96">
        <f t="shared" ca="1" si="49"/>
        <v>0</v>
      </c>
      <c r="AL208" s="12">
        <f t="shared" ca="1" si="50"/>
        <v>0</v>
      </c>
      <c r="AM208" s="12">
        <f t="shared" ca="1" si="51"/>
        <v>0</v>
      </c>
      <c r="AN208" s="12">
        <f t="shared" ca="1" si="52"/>
        <v>0</v>
      </c>
      <c r="AO208" s="12">
        <f t="shared" ca="1" si="53"/>
        <v>0</v>
      </c>
      <c r="AP208" s="12" t="str">
        <f t="shared" ca="1" si="54"/>
        <v/>
      </c>
      <c r="AQ208" s="12" t="str">
        <f t="shared" ca="1" si="55"/>
        <v/>
      </c>
      <c r="AR208" s="12" t="str">
        <f t="shared" ca="1" si="56"/>
        <v/>
      </c>
      <c r="AS208" s="12" t="str">
        <f t="shared" ca="1" si="57"/>
        <v/>
      </c>
    </row>
    <row r="209" spans="1:45">
      <c r="A209">
        <f t="shared" si="58"/>
        <v>493</v>
      </c>
      <c r="B209" t="str">
        <f t="shared" ca="1" si="39"/>
        <v xml:space="preserve"> </v>
      </c>
      <c r="C209" t="b">
        <f t="shared" ca="1" si="40"/>
        <v>0</v>
      </c>
      <c r="D209" s="284" t="str">
        <f t="shared" ca="1" si="37"/>
        <v/>
      </c>
      <c r="E209" s="96" t="str">
        <f t="shared" ca="1" si="41"/>
        <v/>
      </c>
      <c r="F209" s="96" t="str">
        <f t="shared" ca="1" si="42"/>
        <v/>
      </c>
      <c r="G209" s="293" t="str">
        <f t="shared" ca="1" si="43"/>
        <v/>
      </c>
      <c r="H209" s="284" t="str">
        <f t="shared" ca="1" si="43"/>
        <v/>
      </c>
      <c r="I209" s="96" t="str">
        <f t="shared" ca="1" si="43"/>
        <v/>
      </c>
      <c r="J209" s="96" t="str">
        <f t="shared" ca="1" si="44"/>
        <v/>
      </c>
      <c r="K209" s="96" t="str">
        <f t="shared" ca="1" si="37"/>
        <v/>
      </c>
      <c r="L209" s="96" t="str">
        <f t="shared" ca="1" si="37"/>
        <v/>
      </c>
      <c r="M209" s="294" t="str">
        <f t="shared" ca="1" si="37"/>
        <v/>
      </c>
      <c r="N209" s="295" t="str">
        <f t="shared" ca="1" si="45"/>
        <v/>
      </c>
      <c r="O209" s="96" t="str">
        <f t="shared" ca="1" si="45"/>
        <v/>
      </c>
      <c r="P209" s="96" t="str">
        <f t="shared" ca="1" si="46"/>
        <v/>
      </c>
      <c r="Q209" s="96" t="str">
        <f t="shared" ca="1" si="37"/>
        <v/>
      </c>
      <c r="R209" s="293" t="str">
        <f t="shared" ca="1" si="37"/>
        <v/>
      </c>
      <c r="S209" s="284" t="str">
        <f t="shared" ca="1" si="38"/>
        <v/>
      </c>
      <c r="T209" s="96" t="str">
        <f t="shared" ca="1" si="38"/>
        <v/>
      </c>
      <c r="U209" s="96" t="str">
        <f t="shared" ca="1" si="47"/>
        <v/>
      </c>
      <c r="V209" s="96" t="str">
        <f t="shared" ca="1" si="38"/>
        <v/>
      </c>
      <c r="W209" s="96" t="str">
        <f t="shared" ca="1" si="38"/>
        <v/>
      </c>
      <c r="X209" s="293" t="str">
        <f t="shared" ca="1" si="38"/>
        <v/>
      </c>
      <c r="Y209" s="284" t="str">
        <f t="shared" ca="1" si="38"/>
        <v/>
      </c>
      <c r="Z209" s="96" t="str">
        <f t="shared" ref="S209:AC235" ca="1" si="60">IF($C209=FALSE,"",INDIRECT("Installations!" &amp; Z$120 &amp; $A209+2))</f>
        <v/>
      </c>
      <c r="AA209" s="96" t="str">
        <f t="shared" ca="1" si="60"/>
        <v/>
      </c>
      <c r="AB209" s="386" t="str">
        <f t="shared" ca="1" si="60"/>
        <v/>
      </c>
      <c r="AC209" s="293" t="str">
        <f t="shared" ca="1" si="60"/>
        <v/>
      </c>
      <c r="AD209" s="284" t="str">
        <f t="shared" ca="1" si="59"/>
        <v/>
      </c>
      <c r="AE209" s="293" t="str">
        <f t="shared" ca="1" si="59"/>
        <v/>
      </c>
      <c r="AF209" s="284" t="str">
        <f t="shared" ca="1" si="59"/>
        <v/>
      </c>
      <c r="AG209" s="293" t="str">
        <f t="shared" ca="1" si="59"/>
        <v/>
      </c>
      <c r="AH209" s="96"/>
      <c r="AI209" s="96" t="str">
        <f t="shared" ca="1" si="48"/>
        <v/>
      </c>
      <c r="AK209" s="96">
        <f t="shared" ca="1" si="49"/>
        <v>0</v>
      </c>
      <c r="AL209" s="12">
        <f t="shared" ca="1" si="50"/>
        <v>0</v>
      </c>
      <c r="AM209" s="12">
        <f t="shared" ca="1" si="51"/>
        <v>0</v>
      </c>
      <c r="AN209" s="12">
        <f t="shared" ca="1" si="52"/>
        <v>0</v>
      </c>
      <c r="AO209" s="12">
        <f t="shared" ca="1" si="53"/>
        <v>0</v>
      </c>
      <c r="AP209" s="12" t="str">
        <f t="shared" ca="1" si="54"/>
        <v/>
      </c>
      <c r="AQ209" s="12" t="str">
        <f t="shared" ca="1" si="55"/>
        <v/>
      </c>
      <c r="AR209" s="12" t="str">
        <f t="shared" ca="1" si="56"/>
        <v/>
      </c>
      <c r="AS209" s="12" t="str">
        <f t="shared" ca="1" si="57"/>
        <v/>
      </c>
    </row>
    <row r="210" spans="1:45">
      <c r="A210">
        <f t="shared" si="58"/>
        <v>498</v>
      </c>
      <c r="B210" t="str">
        <f t="shared" ca="1" si="39"/>
        <v xml:space="preserve"> </v>
      </c>
      <c r="C210" t="b">
        <f t="shared" ca="1" si="40"/>
        <v>0</v>
      </c>
      <c r="D210" s="284" t="str">
        <f t="shared" ca="1" si="37"/>
        <v/>
      </c>
      <c r="E210" s="96" t="str">
        <f t="shared" ca="1" si="41"/>
        <v/>
      </c>
      <c r="F210" s="96" t="str">
        <f t="shared" ca="1" si="42"/>
        <v/>
      </c>
      <c r="G210" s="293" t="str">
        <f t="shared" ca="1" si="43"/>
        <v/>
      </c>
      <c r="H210" s="284" t="str">
        <f t="shared" ca="1" si="43"/>
        <v/>
      </c>
      <c r="I210" s="96" t="str">
        <f t="shared" ca="1" si="43"/>
        <v/>
      </c>
      <c r="J210" s="96" t="str">
        <f t="shared" ca="1" si="44"/>
        <v/>
      </c>
      <c r="K210" s="96" t="str">
        <f t="shared" ca="1" si="37"/>
        <v/>
      </c>
      <c r="L210" s="96" t="str">
        <f t="shared" ca="1" si="37"/>
        <v/>
      </c>
      <c r="M210" s="294" t="str">
        <f t="shared" ca="1" si="37"/>
        <v/>
      </c>
      <c r="N210" s="295" t="str">
        <f t="shared" ca="1" si="45"/>
        <v/>
      </c>
      <c r="O210" s="96" t="str">
        <f t="shared" ca="1" si="45"/>
        <v/>
      </c>
      <c r="P210" s="96" t="str">
        <f t="shared" ca="1" si="46"/>
        <v/>
      </c>
      <c r="Q210" s="96" t="str">
        <f t="shared" ca="1" si="37"/>
        <v/>
      </c>
      <c r="R210" s="293" t="str">
        <f t="shared" ca="1" si="37"/>
        <v/>
      </c>
      <c r="S210" s="284" t="str">
        <f t="shared" ca="1" si="60"/>
        <v/>
      </c>
      <c r="T210" s="96" t="str">
        <f t="shared" ca="1" si="60"/>
        <v/>
      </c>
      <c r="U210" s="96" t="str">
        <f t="shared" ca="1" si="47"/>
        <v/>
      </c>
      <c r="V210" s="96" t="str">
        <f t="shared" ca="1" si="60"/>
        <v/>
      </c>
      <c r="W210" s="96" t="str">
        <f t="shared" ca="1" si="60"/>
        <v/>
      </c>
      <c r="X210" s="293" t="str">
        <f t="shared" ca="1" si="60"/>
        <v/>
      </c>
      <c r="Y210" s="284" t="str">
        <f t="shared" ca="1" si="60"/>
        <v/>
      </c>
      <c r="Z210" s="96" t="str">
        <f t="shared" ca="1" si="60"/>
        <v/>
      </c>
      <c r="AA210" s="96" t="str">
        <f t="shared" ca="1" si="60"/>
        <v/>
      </c>
      <c r="AB210" s="386" t="str">
        <f t="shared" ca="1" si="60"/>
        <v/>
      </c>
      <c r="AC210" s="293" t="str">
        <f t="shared" ca="1" si="60"/>
        <v/>
      </c>
      <c r="AD210" s="284" t="str">
        <f t="shared" ca="1" si="59"/>
        <v/>
      </c>
      <c r="AE210" s="293" t="str">
        <f t="shared" ca="1" si="59"/>
        <v/>
      </c>
      <c r="AF210" s="284" t="str">
        <f t="shared" ca="1" si="59"/>
        <v/>
      </c>
      <c r="AG210" s="293" t="str">
        <f t="shared" ca="1" si="59"/>
        <v/>
      </c>
      <c r="AH210" s="96"/>
      <c r="AI210" s="96" t="str">
        <f t="shared" ca="1" si="48"/>
        <v/>
      </c>
      <c r="AK210" s="96">
        <f t="shared" ca="1" si="49"/>
        <v>0</v>
      </c>
      <c r="AL210" s="12">
        <f t="shared" ca="1" si="50"/>
        <v>0</v>
      </c>
      <c r="AM210" s="12">
        <f t="shared" ca="1" si="51"/>
        <v>0</v>
      </c>
      <c r="AN210" s="12">
        <f t="shared" ca="1" si="52"/>
        <v>0</v>
      </c>
      <c r="AO210" s="12">
        <f t="shared" ca="1" si="53"/>
        <v>0</v>
      </c>
      <c r="AP210" s="12" t="str">
        <f t="shared" ca="1" si="54"/>
        <v/>
      </c>
      <c r="AQ210" s="12" t="str">
        <f t="shared" ca="1" si="55"/>
        <v/>
      </c>
      <c r="AR210" s="12" t="str">
        <f t="shared" ca="1" si="56"/>
        <v/>
      </c>
      <c r="AS210" s="12" t="str">
        <f t="shared" ca="1" si="57"/>
        <v/>
      </c>
    </row>
    <row r="211" spans="1:45">
      <c r="A211">
        <f t="shared" si="58"/>
        <v>503</v>
      </c>
      <c r="B211" t="str">
        <f t="shared" ca="1" si="39"/>
        <v xml:space="preserve"> </v>
      </c>
      <c r="C211" t="b">
        <f t="shared" ca="1" si="40"/>
        <v>0</v>
      </c>
      <c r="D211" s="284" t="str">
        <f t="shared" ca="1" si="37"/>
        <v/>
      </c>
      <c r="E211" s="96" t="str">
        <f t="shared" ca="1" si="41"/>
        <v/>
      </c>
      <c r="F211" s="96" t="str">
        <f t="shared" ca="1" si="42"/>
        <v/>
      </c>
      <c r="G211" s="293" t="str">
        <f t="shared" ca="1" si="43"/>
        <v/>
      </c>
      <c r="H211" s="284" t="str">
        <f t="shared" ca="1" si="43"/>
        <v/>
      </c>
      <c r="I211" s="96" t="str">
        <f t="shared" ca="1" si="43"/>
        <v/>
      </c>
      <c r="J211" s="96" t="str">
        <f t="shared" ca="1" si="44"/>
        <v/>
      </c>
      <c r="K211" s="96" t="str">
        <f t="shared" ca="1" si="37"/>
        <v/>
      </c>
      <c r="L211" s="96" t="str">
        <f t="shared" ca="1" si="37"/>
        <v/>
      </c>
      <c r="M211" s="294" t="str">
        <f t="shared" ca="1" si="37"/>
        <v/>
      </c>
      <c r="N211" s="295" t="str">
        <f t="shared" ca="1" si="45"/>
        <v/>
      </c>
      <c r="O211" s="96" t="str">
        <f t="shared" ca="1" si="45"/>
        <v/>
      </c>
      <c r="P211" s="96" t="str">
        <f t="shared" ca="1" si="46"/>
        <v/>
      </c>
      <c r="Q211" s="96" t="str">
        <f t="shared" ca="1" si="37"/>
        <v/>
      </c>
      <c r="R211" s="293" t="str">
        <f t="shared" ca="1" si="37"/>
        <v/>
      </c>
      <c r="S211" s="284" t="str">
        <f t="shared" ca="1" si="60"/>
        <v/>
      </c>
      <c r="T211" s="96" t="str">
        <f t="shared" ca="1" si="60"/>
        <v/>
      </c>
      <c r="U211" s="96" t="str">
        <f t="shared" ca="1" si="47"/>
        <v/>
      </c>
      <c r="V211" s="96" t="str">
        <f t="shared" ca="1" si="60"/>
        <v/>
      </c>
      <c r="W211" s="96" t="str">
        <f t="shared" ca="1" si="60"/>
        <v/>
      </c>
      <c r="X211" s="293" t="str">
        <f t="shared" ca="1" si="60"/>
        <v/>
      </c>
      <c r="Y211" s="284" t="str">
        <f t="shared" ca="1" si="60"/>
        <v/>
      </c>
      <c r="Z211" s="96" t="str">
        <f t="shared" ca="1" si="60"/>
        <v/>
      </c>
      <c r="AA211" s="96" t="str">
        <f t="shared" ca="1" si="60"/>
        <v/>
      </c>
      <c r="AB211" s="386" t="str">
        <f t="shared" ca="1" si="60"/>
        <v/>
      </c>
      <c r="AC211" s="293" t="str">
        <f t="shared" ca="1" si="60"/>
        <v/>
      </c>
      <c r="AD211" s="284" t="str">
        <f t="shared" ca="1" si="59"/>
        <v/>
      </c>
      <c r="AE211" s="293" t="str">
        <f t="shared" ca="1" si="59"/>
        <v/>
      </c>
      <c r="AF211" s="284" t="str">
        <f t="shared" ca="1" si="59"/>
        <v/>
      </c>
      <c r="AG211" s="293" t="str">
        <f t="shared" ca="1" si="59"/>
        <v/>
      </c>
      <c r="AH211" s="96"/>
      <c r="AI211" s="96" t="str">
        <f t="shared" ca="1" si="48"/>
        <v/>
      </c>
      <c r="AK211" s="96">
        <f t="shared" ca="1" si="49"/>
        <v>0</v>
      </c>
      <c r="AL211" s="12">
        <f t="shared" ca="1" si="50"/>
        <v>0</v>
      </c>
      <c r="AM211" s="12">
        <f t="shared" ca="1" si="51"/>
        <v>0</v>
      </c>
      <c r="AN211" s="12">
        <f t="shared" ca="1" si="52"/>
        <v>0</v>
      </c>
      <c r="AO211" s="12">
        <f t="shared" ca="1" si="53"/>
        <v>0</v>
      </c>
      <c r="AP211" s="12" t="str">
        <f t="shared" ca="1" si="54"/>
        <v/>
      </c>
      <c r="AQ211" s="12" t="str">
        <f t="shared" ca="1" si="55"/>
        <v/>
      </c>
      <c r="AR211" s="12" t="str">
        <f t="shared" ca="1" si="56"/>
        <v/>
      </c>
      <c r="AS211" s="12" t="str">
        <f t="shared" ca="1" si="57"/>
        <v/>
      </c>
    </row>
    <row r="212" spans="1:45">
      <c r="A212">
        <f t="shared" si="58"/>
        <v>508</v>
      </c>
      <c r="B212" t="str">
        <f t="shared" ca="1" si="39"/>
        <v xml:space="preserve"> </v>
      </c>
      <c r="C212" t="b">
        <f t="shared" ca="1" si="40"/>
        <v>0</v>
      </c>
      <c r="D212" s="284" t="str">
        <f t="shared" ca="1" si="37"/>
        <v/>
      </c>
      <c r="E212" s="96" t="str">
        <f t="shared" ca="1" si="41"/>
        <v/>
      </c>
      <c r="F212" s="96" t="str">
        <f t="shared" ca="1" si="42"/>
        <v/>
      </c>
      <c r="G212" s="293" t="str">
        <f t="shared" ca="1" si="43"/>
        <v/>
      </c>
      <c r="H212" s="284" t="str">
        <f t="shared" ca="1" si="43"/>
        <v/>
      </c>
      <c r="I212" s="96" t="str">
        <f t="shared" ca="1" si="43"/>
        <v/>
      </c>
      <c r="J212" s="96" t="str">
        <f t="shared" ca="1" si="44"/>
        <v/>
      </c>
      <c r="K212" s="96" t="str">
        <f t="shared" ca="1" si="37"/>
        <v/>
      </c>
      <c r="L212" s="96" t="str">
        <f t="shared" ca="1" si="37"/>
        <v/>
      </c>
      <c r="M212" s="294" t="str">
        <f t="shared" ca="1" si="37"/>
        <v/>
      </c>
      <c r="N212" s="295" t="str">
        <f t="shared" ca="1" si="45"/>
        <v/>
      </c>
      <c r="O212" s="96" t="str">
        <f t="shared" ca="1" si="45"/>
        <v/>
      </c>
      <c r="P212" s="96" t="str">
        <f t="shared" ca="1" si="46"/>
        <v/>
      </c>
      <c r="Q212" s="96" t="str">
        <f t="shared" ca="1" si="37"/>
        <v/>
      </c>
      <c r="R212" s="293" t="str">
        <f t="shared" ca="1" si="37"/>
        <v/>
      </c>
      <c r="S212" s="284" t="str">
        <f t="shared" ca="1" si="60"/>
        <v/>
      </c>
      <c r="T212" s="96" t="str">
        <f t="shared" ca="1" si="60"/>
        <v/>
      </c>
      <c r="U212" s="96" t="str">
        <f t="shared" ca="1" si="47"/>
        <v/>
      </c>
      <c r="V212" s="96" t="str">
        <f t="shared" ca="1" si="60"/>
        <v/>
      </c>
      <c r="W212" s="96" t="str">
        <f t="shared" ca="1" si="60"/>
        <v/>
      </c>
      <c r="X212" s="293" t="str">
        <f t="shared" ca="1" si="60"/>
        <v/>
      </c>
      <c r="Y212" s="284" t="str">
        <f t="shared" ca="1" si="60"/>
        <v/>
      </c>
      <c r="Z212" s="96" t="str">
        <f t="shared" ca="1" si="60"/>
        <v/>
      </c>
      <c r="AA212" s="96" t="str">
        <f t="shared" ca="1" si="60"/>
        <v/>
      </c>
      <c r="AB212" s="386" t="str">
        <f t="shared" ca="1" si="60"/>
        <v/>
      </c>
      <c r="AC212" s="293" t="str">
        <f t="shared" ca="1" si="60"/>
        <v/>
      </c>
      <c r="AD212" s="284" t="str">
        <f t="shared" ca="1" si="59"/>
        <v/>
      </c>
      <c r="AE212" s="293" t="str">
        <f t="shared" ca="1" si="59"/>
        <v/>
      </c>
      <c r="AF212" s="284" t="str">
        <f t="shared" ca="1" si="59"/>
        <v/>
      </c>
      <c r="AG212" s="293" t="str">
        <f t="shared" ca="1" si="59"/>
        <v/>
      </c>
      <c r="AH212" s="96"/>
      <c r="AI212" s="96" t="str">
        <f t="shared" ca="1" si="48"/>
        <v/>
      </c>
      <c r="AK212" s="96">
        <f t="shared" ca="1" si="49"/>
        <v>0</v>
      </c>
      <c r="AL212" s="12">
        <f t="shared" ca="1" si="50"/>
        <v>0</v>
      </c>
      <c r="AM212" s="12">
        <f t="shared" ca="1" si="51"/>
        <v>0</v>
      </c>
      <c r="AN212" s="12">
        <f t="shared" ca="1" si="52"/>
        <v>0</v>
      </c>
      <c r="AO212" s="12">
        <f t="shared" ca="1" si="53"/>
        <v>0</v>
      </c>
      <c r="AP212" s="12" t="str">
        <f t="shared" ca="1" si="54"/>
        <v/>
      </c>
      <c r="AQ212" s="12" t="str">
        <f t="shared" ca="1" si="55"/>
        <v/>
      </c>
      <c r="AR212" s="12" t="str">
        <f t="shared" ca="1" si="56"/>
        <v/>
      </c>
      <c r="AS212" s="12" t="str">
        <f t="shared" ca="1" si="57"/>
        <v/>
      </c>
    </row>
    <row r="213" spans="1:45">
      <c r="A213">
        <f t="shared" si="58"/>
        <v>513</v>
      </c>
      <c r="B213" t="str">
        <f t="shared" ca="1" si="39"/>
        <v xml:space="preserve"> </v>
      </c>
      <c r="C213" t="b">
        <f t="shared" ca="1" si="40"/>
        <v>0</v>
      </c>
      <c r="D213" s="284" t="str">
        <f t="shared" ca="1" si="37"/>
        <v/>
      </c>
      <c r="E213" s="96" t="str">
        <f t="shared" ca="1" si="41"/>
        <v/>
      </c>
      <c r="F213" s="96" t="str">
        <f t="shared" ca="1" si="42"/>
        <v/>
      </c>
      <c r="G213" s="293" t="str">
        <f t="shared" ca="1" si="43"/>
        <v/>
      </c>
      <c r="H213" s="284" t="str">
        <f t="shared" ca="1" si="43"/>
        <v/>
      </c>
      <c r="I213" s="96" t="str">
        <f t="shared" ca="1" si="43"/>
        <v/>
      </c>
      <c r="J213" s="96" t="str">
        <f t="shared" ca="1" si="44"/>
        <v/>
      </c>
      <c r="K213" s="96" t="str">
        <f t="shared" ca="1" si="37"/>
        <v/>
      </c>
      <c r="L213" s="96" t="str">
        <f t="shared" ca="1" si="37"/>
        <v/>
      </c>
      <c r="M213" s="294" t="str">
        <f t="shared" ca="1" si="37"/>
        <v/>
      </c>
      <c r="N213" s="295" t="str">
        <f t="shared" ca="1" si="45"/>
        <v/>
      </c>
      <c r="O213" s="96" t="str">
        <f t="shared" ca="1" si="45"/>
        <v/>
      </c>
      <c r="P213" s="96" t="str">
        <f t="shared" ca="1" si="46"/>
        <v/>
      </c>
      <c r="Q213" s="96" t="str">
        <f t="shared" ca="1" si="37"/>
        <v/>
      </c>
      <c r="R213" s="293" t="str">
        <f t="shared" ca="1" si="37"/>
        <v/>
      </c>
      <c r="S213" s="284" t="str">
        <f t="shared" ca="1" si="60"/>
        <v/>
      </c>
      <c r="T213" s="96" t="str">
        <f t="shared" ca="1" si="60"/>
        <v/>
      </c>
      <c r="U213" s="96" t="str">
        <f t="shared" ca="1" si="47"/>
        <v/>
      </c>
      <c r="V213" s="96" t="str">
        <f t="shared" ca="1" si="60"/>
        <v/>
      </c>
      <c r="W213" s="96" t="str">
        <f t="shared" ca="1" si="60"/>
        <v/>
      </c>
      <c r="X213" s="293" t="str">
        <f t="shared" ca="1" si="60"/>
        <v/>
      </c>
      <c r="Y213" s="284" t="str">
        <f t="shared" ca="1" si="60"/>
        <v/>
      </c>
      <c r="Z213" s="96" t="str">
        <f t="shared" ca="1" si="60"/>
        <v/>
      </c>
      <c r="AA213" s="96" t="str">
        <f t="shared" ca="1" si="60"/>
        <v/>
      </c>
      <c r="AB213" s="386" t="str">
        <f t="shared" ca="1" si="60"/>
        <v/>
      </c>
      <c r="AC213" s="293" t="str">
        <f t="shared" ca="1" si="60"/>
        <v/>
      </c>
      <c r="AD213" s="284" t="str">
        <f t="shared" ca="1" si="59"/>
        <v/>
      </c>
      <c r="AE213" s="293" t="str">
        <f t="shared" ca="1" si="59"/>
        <v/>
      </c>
      <c r="AF213" s="284" t="str">
        <f t="shared" ca="1" si="59"/>
        <v/>
      </c>
      <c r="AG213" s="293" t="str">
        <f t="shared" ca="1" si="59"/>
        <v/>
      </c>
      <c r="AH213" s="96"/>
      <c r="AI213" s="96" t="str">
        <f t="shared" ca="1" si="48"/>
        <v/>
      </c>
      <c r="AK213" s="96">
        <f t="shared" ca="1" si="49"/>
        <v>0</v>
      </c>
      <c r="AL213" s="12">
        <f t="shared" ca="1" si="50"/>
        <v>0</v>
      </c>
      <c r="AM213" s="12">
        <f t="shared" ca="1" si="51"/>
        <v>0</v>
      </c>
      <c r="AN213" s="12">
        <f t="shared" ca="1" si="52"/>
        <v>0</v>
      </c>
      <c r="AO213" s="12">
        <f t="shared" ca="1" si="53"/>
        <v>0</v>
      </c>
      <c r="AP213" s="12" t="str">
        <f t="shared" ca="1" si="54"/>
        <v/>
      </c>
      <c r="AQ213" s="12" t="str">
        <f t="shared" ca="1" si="55"/>
        <v/>
      </c>
      <c r="AR213" s="12" t="str">
        <f t="shared" ca="1" si="56"/>
        <v/>
      </c>
      <c r="AS213" s="12" t="str">
        <f t="shared" ca="1" si="57"/>
        <v/>
      </c>
    </row>
    <row r="214" spans="1:45">
      <c r="A214">
        <f t="shared" si="58"/>
        <v>518</v>
      </c>
      <c r="B214" t="str">
        <f t="shared" ca="1" si="39"/>
        <v xml:space="preserve"> </v>
      </c>
      <c r="C214" t="b">
        <f t="shared" ca="1" si="40"/>
        <v>0</v>
      </c>
      <c r="D214" s="284" t="str">
        <f t="shared" ca="1" si="37"/>
        <v/>
      </c>
      <c r="E214" s="96" t="str">
        <f t="shared" ca="1" si="41"/>
        <v/>
      </c>
      <c r="F214" s="96" t="str">
        <f t="shared" ca="1" si="42"/>
        <v/>
      </c>
      <c r="G214" s="293" t="str">
        <f t="shared" ca="1" si="43"/>
        <v/>
      </c>
      <c r="H214" s="284" t="str">
        <f t="shared" ca="1" si="43"/>
        <v/>
      </c>
      <c r="I214" s="96" t="str">
        <f t="shared" ca="1" si="43"/>
        <v/>
      </c>
      <c r="J214" s="96" t="str">
        <f t="shared" ca="1" si="44"/>
        <v/>
      </c>
      <c r="K214" s="96" t="str">
        <f t="shared" ref="D214:R256" ca="1" si="61">IF($C214=FALSE,"",INDIRECT("Installations!" &amp; K$120 &amp; $A214))</f>
        <v/>
      </c>
      <c r="L214" s="96" t="str">
        <f t="shared" ca="1" si="61"/>
        <v/>
      </c>
      <c r="M214" s="294" t="str">
        <f t="shared" ca="1" si="61"/>
        <v/>
      </c>
      <c r="N214" s="295" t="str">
        <f t="shared" ca="1" si="45"/>
        <v/>
      </c>
      <c r="O214" s="96" t="str">
        <f t="shared" ca="1" si="45"/>
        <v/>
      </c>
      <c r="P214" s="96" t="str">
        <f t="shared" ca="1" si="46"/>
        <v/>
      </c>
      <c r="Q214" s="96" t="str">
        <f t="shared" ca="1" si="61"/>
        <v/>
      </c>
      <c r="R214" s="293" t="str">
        <f t="shared" ca="1" si="61"/>
        <v/>
      </c>
      <c r="S214" s="284" t="str">
        <f t="shared" ca="1" si="60"/>
        <v/>
      </c>
      <c r="T214" s="96" t="str">
        <f t="shared" ca="1" si="60"/>
        <v/>
      </c>
      <c r="U214" s="96" t="str">
        <f t="shared" ca="1" si="47"/>
        <v/>
      </c>
      <c r="V214" s="96" t="str">
        <f t="shared" ca="1" si="60"/>
        <v/>
      </c>
      <c r="W214" s="96" t="str">
        <f t="shared" ca="1" si="60"/>
        <v/>
      </c>
      <c r="X214" s="293" t="str">
        <f t="shared" ca="1" si="60"/>
        <v/>
      </c>
      <c r="Y214" s="284" t="str">
        <f t="shared" ca="1" si="60"/>
        <v/>
      </c>
      <c r="Z214" s="96" t="str">
        <f t="shared" ca="1" si="60"/>
        <v/>
      </c>
      <c r="AA214" s="96" t="str">
        <f t="shared" ca="1" si="60"/>
        <v/>
      </c>
      <c r="AB214" s="386" t="str">
        <f t="shared" ca="1" si="60"/>
        <v/>
      </c>
      <c r="AC214" s="293" t="str">
        <f t="shared" ca="1" si="60"/>
        <v/>
      </c>
      <c r="AD214" s="284" t="str">
        <f t="shared" ca="1" si="59"/>
        <v/>
      </c>
      <c r="AE214" s="293" t="str">
        <f t="shared" ca="1" si="59"/>
        <v/>
      </c>
      <c r="AF214" s="284" t="str">
        <f t="shared" ca="1" si="59"/>
        <v/>
      </c>
      <c r="AG214" s="293" t="str">
        <f t="shared" ca="1" si="59"/>
        <v/>
      </c>
      <c r="AH214" s="96"/>
      <c r="AI214" s="96" t="str">
        <f t="shared" ca="1" si="48"/>
        <v/>
      </c>
      <c r="AK214" s="96">
        <f t="shared" ca="1" si="49"/>
        <v>0</v>
      </c>
      <c r="AL214" s="12">
        <f t="shared" ca="1" si="50"/>
        <v>0</v>
      </c>
      <c r="AM214" s="12">
        <f t="shared" ca="1" si="51"/>
        <v>0</v>
      </c>
      <c r="AN214" s="12">
        <f t="shared" ca="1" si="52"/>
        <v>0</v>
      </c>
      <c r="AO214" s="12">
        <f t="shared" ca="1" si="53"/>
        <v>0</v>
      </c>
      <c r="AP214" s="12" t="str">
        <f t="shared" ca="1" si="54"/>
        <v/>
      </c>
      <c r="AQ214" s="12" t="str">
        <f t="shared" ca="1" si="55"/>
        <v/>
      </c>
      <c r="AR214" s="12" t="str">
        <f t="shared" ca="1" si="56"/>
        <v/>
      </c>
      <c r="AS214" s="12" t="str">
        <f t="shared" ca="1" si="57"/>
        <v/>
      </c>
    </row>
    <row r="215" spans="1:45">
      <c r="A215">
        <f t="shared" si="58"/>
        <v>523</v>
      </c>
      <c r="B215" t="str">
        <f t="shared" ca="1" si="39"/>
        <v xml:space="preserve"> </v>
      </c>
      <c r="C215" t="b">
        <f t="shared" ca="1" si="40"/>
        <v>0</v>
      </c>
      <c r="D215" s="284" t="str">
        <f t="shared" ca="1" si="61"/>
        <v/>
      </c>
      <c r="E215" s="96" t="str">
        <f t="shared" ca="1" si="41"/>
        <v/>
      </c>
      <c r="F215" s="96" t="str">
        <f t="shared" ca="1" si="42"/>
        <v/>
      </c>
      <c r="G215" s="293" t="str">
        <f t="shared" ca="1" si="43"/>
        <v/>
      </c>
      <c r="H215" s="284" t="str">
        <f t="shared" ca="1" si="43"/>
        <v/>
      </c>
      <c r="I215" s="96" t="str">
        <f t="shared" ca="1" si="43"/>
        <v/>
      </c>
      <c r="J215" s="96" t="str">
        <f t="shared" ca="1" si="44"/>
        <v/>
      </c>
      <c r="K215" s="96" t="str">
        <f t="shared" ca="1" si="61"/>
        <v/>
      </c>
      <c r="L215" s="96" t="str">
        <f t="shared" ca="1" si="61"/>
        <v/>
      </c>
      <c r="M215" s="294" t="str">
        <f t="shared" ca="1" si="61"/>
        <v/>
      </c>
      <c r="N215" s="295" t="str">
        <f t="shared" ca="1" si="45"/>
        <v/>
      </c>
      <c r="O215" s="96" t="str">
        <f t="shared" ca="1" si="45"/>
        <v/>
      </c>
      <c r="P215" s="96" t="str">
        <f t="shared" ca="1" si="46"/>
        <v/>
      </c>
      <c r="Q215" s="96" t="str">
        <f t="shared" ca="1" si="61"/>
        <v/>
      </c>
      <c r="R215" s="293" t="str">
        <f t="shared" ca="1" si="61"/>
        <v/>
      </c>
      <c r="S215" s="284" t="str">
        <f t="shared" ca="1" si="60"/>
        <v/>
      </c>
      <c r="T215" s="96" t="str">
        <f t="shared" ca="1" si="60"/>
        <v/>
      </c>
      <c r="U215" s="96" t="str">
        <f t="shared" ca="1" si="47"/>
        <v/>
      </c>
      <c r="V215" s="96" t="str">
        <f t="shared" ca="1" si="60"/>
        <v/>
      </c>
      <c r="W215" s="96" t="str">
        <f t="shared" ca="1" si="60"/>
        <v/>
      </c>
      <c r="X215" s="293" t="str">
        <f t="shared" ca="1" si="60"/>
        <v/>
      </c>
      <c r="Y215" s="284" t="str">
        <f t="shared" ca="1" si="60"/>
        <v/>
      </c>
      <c r="Z215" s="96" t="str">
        <f t="shared" ca="1" si="60"/>
        <v/>
      </c>
      <c r="AA215" s="96" t="str">
        <f t="shared" ca="1" si="60"/>
        <v/>
      </c>
      <c r="AB215" s="386" t="str">
        <f t="shared" ca="1" si="60"/>
        <v/>
      </c>
      <c r="AC215" s="293" t="str">
        <f t="shared" ca="1" si="60"/>
        <v/>
      </c>
      <c r="AD215" s="284" t="str">
        <f t="shared" ca="1" si="59"/>
        <v/>
      </c>
      <c r="AE215" s="293" t="str">
        <f t="shared" ca="1" si="59"/>
        <v/>
      </c>
      <c r="AF215" s="284" t="str">
        <f t="shared" ca="1" si="59"/>
        <v/>
      </c>
      <c r="AG215" s="293" t="str">
        <f t="shared" ca="1" si="59"/>
        <v/>
      </c>
      <c r="AH215" s="96"/>
      <c r="AI215" s="96" t="str">
        <f t="shared" ca="1" si="48"/>
        <v/>
      </c>
      <c r="AK215" s="96">
        <f t="shared" ca="1" si="49"/>
        <v>0</v>
      </c>
      <c r="AL215" s="12">
        <f t="shared" ca="1" si="50"/>
        <v>0</v>
      </c>
      <c r="AM215" s="12">
        <f t="shared" ca="1" si="51"/>
        <v>0</v>
      </c>
      <c r="AN215" s="12">
        <f t="shared" ca="1" si="52"/>
        <v>0</v>
      </c>
      <c r="AO215" s="12">
        <f t="shared" ca="1" si="53"/>
        <v>0</v>
      </c>
      <c r="AP215" s="12" t="str">
        <f t="shared" ca="1" si="54"/>
        <v/>
      </c>
      <c r="AQ215" s="12" t="str">
        <f t="shared" ca="1" si="55"/>
        <v/>
      </c>
      <c r="AR215" s="12" t="str">
        <f t="shared" ca="1" si="56"/>
        <v/>
      </c>
      <c r="AS215" s="12" t="str">
        <f t="shared" ca="1" si="57"/>
        <v/>
      </c>
    </row>
    <row r="216" spans="1:45">
      <c r="A216">
        <f t="shared" si="58"/>
        <v>528</v>
      </c>
      <c r="B216" t="str">
        <f t="shared" ca="1" si="39"/>
        <v xml:space="preserve"> </v>
      </c>
      <c r="C216" t="b">
        <f t="shared" ca="1" si="40"/>
        <v>0</v>
      </c>
      <c r="D216" s="284" t="str">
        <f t="shared" ca="1" si="61"/>
        <v/>
      </c>
      <c r="E216" s="96" t="str">
        <f t="shared" ca="1" si="41"/>
        <v/>
      </c>
      <c r="F216" s="96" t="str">
        <f t="shared" ca="1" si="42"/>
        <v/>
      </c>
      <c r="G216" s="293" t="str">
        <f t="shared" ca="1" si="43"/>
        <v/>
      </c>
      <c r="H216" s="284" t="str">
        <f t="shared" ca="1" si="43"/>
        <v/>
      </c>
      <c r="I216" s="96" t="str">
        <f t="shared" ca="1" si="43"/>
        <v/>
      </c>
      <c r="J216" s="96" t="str">
        <f t="shared" ca="1" si="44"/>
        <v/>
      </c>
      <c r="K216" s="96" t="str">
        <f t="shared" ca="1" si="61"/>
        <v/>
      </c>
      <c r="L216" s="96" t="str">
        <f t="shared" ca="1" si="61"/>
        <v/>
      </c>
      <c r="M216" s="294" t="str">
        <f t="shared" ca="1" si="61"/>
        <v/>
      </c>
      <c r="N216" s="295" t="str">
        <f t="shared" ca="1" si="45"/>
        <v/>
      </c>
      <c r="O216" s="96" t="str">
        <f t="shared" ca="1" si="45"/>
        <v/>
      </c>
      <c r="P216" s="96" t="str">
        <f t="shared" ca="1" si="46"/>
        <v/>
      </c>
      <c r="Q216" s="96" t="str">
        <f t="shared" ca="1" si="61"/>
        <v/>
      </c>
      <c r="R216" s="293" t="str">
        <f t="shared" ca="1" si="61"/>
        <v/>
      </c>
      <c r="S216" s="284" t="str">
        <f t="shared" ca="1" si="60"/>
        <v/>
      </c>
      <c r="T216" s="96" t="str">
        <f t="shared" ca="1" si="60"/>
        <v/>
      </c>
      <c r="U216" s="96" t="str">
        <f t="shared" ca="1" si="47"/>
        <v/>
      </c>
      <c r="V216" s="96" t="str">
        <f t="shared" ca="1" si="60"/>
        <v/>
      </c>
      <c r="W216" s="96" t="str">
        <f t="shared" ca="1" si="60"/>
        <v/>
      </c>
      <c r="X216" s="293" t="str">
        <f t="shared" ca="1" si="60"/>
        <v/>
      </c>
      <c r="Y216" s="284" t="str">
        <f t="shared" ca="1" si="60"/>
        <v/>
      </c>
      <c r="Z216" s="96" t="str">
        <f t="shared" ca="1" si="60"/>
        <v/>
      </c>
      <c r="AA216" s="96" t="str">
        <f t="shared" ca="1" si="60"/>
        <v/>
      </c>
      <c r="AB216" s="386" t="str">
        <f t="shared" ca="1" si="60"/>
        <v/>
      </c>
      <c r="AC216" s="293" t="str">
        <f t="shared" ca="1" si="60"/>
        <v/>
      </c>
      <c r="AD216" s="284" t="str">
        <f t="shared" ca="1" si="59"/>
        <v/>
      </c>
      <c r="AE216" s="293" t="str">
        <f t="shared" ca="1" si="59"/>
        <v/>
      </c>
      <c r="AF216" s="284" t="str">
        <f t="shared" ca="1" si="59"/>
        <v/>
      </c>
      <c r="AG216" s="293" t="str">
        <f t="shared" ca="1" si="59"/>
        <v/>
      </c>
      <c r="AH216" s="96"/>
      <c r="AI216" s="96" t="str">
        <f t="shared" ca="1" si="48"/>
        <v/>
      </c>
      <c r="AK216" s="96">
        <f t="shared" ca="1" si="49"/>
        <v>0</v>
      </c>
      <c r="AL216" s="12">
        <f t="shared" ca="1" si="50"/>
        <v>0</v>
      </c>
      <c r="AM216" s="12">
        <f t="shared" ca="1" si="51"/>
        <v>0</v>
      </c>
      <c r="AN216" s="12">
        <f t="shared" ca="1" si="52"/>
        <v>0</v>
      </c>
      <c r="AO216" s="12">
        <f t="shared" ca="1" si="53"/>
        <v>0</v>
      </c>
      <c r="AP216" s="12" t="str">
        <f t="shared" ca="1" si="54"/>
        <v/>
      </c>
      <c r="AQ216" s="12" t="str">
        <f t="shared" ca="1" si="55"/>
        <v/>
      </c>
      <c r="AR216" s="12" t="str">
        <f t="shared" ca="1" si="56"/>
        <v/>
      </c>
      <c r="AS216" s="12" t="str">
        <f t="shared" ca="1" si="57"/>
        <v/>
      </c>
    </row>
    <row r="217" spans="1:45">
      <c r="A217">
        <f t="shared" si="58"/>
        <v>533</v>
      </c>
      <c r="B217" t="str">
        <f t="shared" ca="1" si="39"/>
        <v xml:space="preserve"> </v>
      </c>
      <c r="C217" t="b">
        <f t="shared" ca="1" si="40"/>
        <v>0</v>
      </c>
      <c r="D217" s="284" t="str">
        <f t="shared" ca="1" si="61"/>
        <v/>
      </c>
      <c r="E217" s="96" t="str">
        <f t="shared" ca="1" si="41"/>
        <v/>
      </c>
      <c r="F217" s="96" t="str">
        <f t="shared" ca="1" si="42"/>
        <v/>
      </c>
      <c r="G217" s="293" t="str">
        <f t="shared" ca="1" si="43"/>
        <v/>
      </c>
      <c r="H217" s="284" t="str">
        <f t="shared" ca="1" si="43"/>
        <v/>
      </c>
      <c r="I217" s="96" t="str">
        <f t="shared" ca="1" si="43"/>
        <v/>
      </c>
      <c r="J217" s="96" t="str">
        <f t="shared" ca="1" si="44"/>
        <v/>
      </c>
      <c r="K217" s="96" t="str">
        <f t="shared" ca="1" si="61"/>
        <v/>
      </c>
      <c r="L217" s="96" t="str">
        <f t="shared" ca="1" si="61"/>
        <v/>
      </c>
      <c r="M217" s="294" t="str">
        <f t="shared" ca="1" si="61"/>
        <v/>
      </c>
      <c r="N217" s="295" t="str">
        <f t="shared" ca="1" si="45"/>
        <v/>
      </c>
      <c r="O217" s="96" t="str">
        <f t="shared" ca="1" si="45"/>
        <v/>
      </c>
      <c r="P217" s="96" t="str">
        <f t="shared" ca="1" si="46"/>
        <v/>
      </c>
      <c r="Q217" s="96" t="str">
        <f t="shared" ca="1" si="61"/>
        <v/>
      </c>
      <c r="R217" s="293" t="str">
        <f t="shared" ca="1" si="61"/>
        <v/>
      </c>
      <c r="S217" s="284" t="str">
        <f t="shared" ca="1" si="60"/>
        <v/>
      </c>
      <c r="T217" s="96" t="str">
        <f t="shared" ca="1" si="60"/>
        <v/>
      </c>
      <c r="U217" s="96" t="str">
        <f t="shared" ca="1" si="47"/>
        <v/>
      </c>
      <c r="V217" s="96" t="str">
        <f t="shared" ca="1" si="60"/>
        <v/>
      </c>
      <c r="W217" s="96" t="str">
        <f t="shared" ca="1" si="60"/>
        <v/>
      </c>
      <c r="X217" s="293" t="str">
        <f t="shared" ca="1" si="60"/>
        <v/>
      </c>
      <c r="Y217" s="284" t="str">
        <f t="shared" ca="1" si="60"/>
        <v/>
      </c>
      <c r="Z217" s="96" t="str">
        <f t="shared" ca="1" si="60"/>
        <v/>
      </c>
      <c r="AA217" s="96" t="str">
        <f t="shared" ca="1" si="60"/>
        <v/>
      </c>
      <c r="AB217" s="386" t="str">
        <f t="shared" ca="1" si="60"/>
        <v/>
      </c>
      <c r="AC217" s="293" t="str">
        <f t="shared" ca="1" si="60"/>
        <v/>
      </c>
      <c r="AD217" s="284" t="str">
        <f t="shared" ca="1" si="59"/>
        <v/>
      </c>
      <c r="AE217" s="293" t="str">
        <f t="shared" ca="1" si="59"/>
        <v/>
      </c>
      <c r="AF217" s="284" t="str">
        <f t="shared" ca="1" si="59"/>
        <v/>
      </c>
      <c r="AG217" s="293" t="str">
        <f t="shared" ca="1" si="59"/>
        <v/>
      </c>
      <c r="AH217" s="96"/>
      <c r="AI217" s="96" t="str">
        <f t="shared" ca="1" si="48"/>
        <v/>
      </c>
      <c r="AK217" s="96">
        <f t="shared" ca="1" si="49"/>
        <v>0</v>
      </c>
      <c r="AL217" s="12">
        <f t="shared" ca="1" si="50"/>
        <v>0</v>
      </c>
      <c r="AM217" s="12">
        <f t="shared" ca="1" si="51"/>
        <v>0</v>
      </c>
      <c r="AN217" s="12">
        <f t="shared" ca="1" si="52"/>
        <v>0</v>
      </c>
      <c r="AO217" s="12">
        <f t="shared" ca="1" si="53"/>
        <v>0</v>
      </c>
      <c r="AP217" s="12" t="str">
        <f t="shared" ca="1" si="54"/>
        <v/>
      </c>
      <c r="AQ217" s="12" t="str">
        <f t="shared" ca="1" si="55"/>
        <v/>
      </c>
      <c r="AR217" s="12" t="str">
        <f t="shared" ca="1" si="56"/>
        <v/>
      </c>
      <c r="AS217" s="12" t="str">
        <f t="shared" ca="1" si="57"/>
        <v/>
      </c>
    </row>
    <row r="218" spans="1:45">
      <c r="A218">
        <f t="shared" si="58"/>
        <v>538</v>
      </c>
      <c r="B218" t="str">
        <f t="shared" ca="1" si="39"/>
        <v xml:space="preserve"> </v>
      </c>
      <c r="C218" t="b">
        <f t="shared" ca="1" si="40"/>
        <v>0</v>
      </c>
      <c r="D218" s="284" t="str">
        <f t="shared" ca="1" si="61"/>
        <v/>
      </c>
      <c r="E218" s="96" t="str">
        <f t="shared" ca="1" si="41"/>
        <v/>
      </c>
      <c r="F218" s="96" t="str">
        <f t="shared" ca="1" si="42"/>
        <v/>
      </c>
      <c r="G218" s="293" t="str">
        <f t="shared" ca="1" si="43"/>
        <v/>
      </c>
      <c r="H218" s="284" t="str">
        <f t="shared" ca="1" si="43"/>
        <v/>
      </c>
      <c r="I218" s="96" t="str">
        <f t="shared" ca="1" si="43"/>
        <v/>
      </c>
      <c r="J218" s="96" t="str">
        <f t="shared" ca="1" si="44"/>
        <v/>
      </c>
      <c r="K218" s="96" t="str">
        <f t="shared" ca="1" si="61"/>
        <v/>
      </c>
      <c r="L218" s="96" t="str">
        <f t="shared" ca="1" si="61"/>
        <v/>
      </c>
      <c r="M218" s="294" t="str">
        <f t="shared" ca="1" si="61"/>
        <v/>
      </c>
      <c r="N218" s="295" t="str">
        <f t="shared" ca="1" si="45"/>
        <v/>
      </c>
      <c r="O218" s="96" t="str">
        <f t="shared" ca="1" si="45"/>
        <v/>
      </c>
      <c r="P218" s="96" t="str">
        <f t="shared" ca="1" si="46"/>
        <v/>
      </c>
      <c r="Q218" s="96" t="str">
        <f t="shared" ca="1" si="61"/>
        <v/>
      </c>
      <c r="R218" s="293" t="str">
        <f t="shared" ca="1" si="61"/>
        <v/>
      </c>
      <c r="S218" s="284" t="str">
        <f t="shared" ca="1" si="60"/>
        <v/>
      </c>
      <c r="T218" s="96" t="str">
        <f t="shared" ca="1" si="60"/>
        <v/>
      </c>
      <c r="U218" s="96" t="str">
        <f t="shared" ca="1" si="47"/>
        <v/>
      </c>
      <c r="V218" s="96" t="str">
        <f t="shared" ca="1" si="60"/>
        <v/>
      </c>
      <c r="W218" s="96" t="str">
        <f t="shared" ca="1" si="60"/>
        <v/>
      </c>
      <c r="X218" s="293" t="str">
        <f t="shared" ca="1" si="60"/>
        <v/>
      </c>
      <c r="Y218" s="284" t="str">
        <f t="shared" ca="1" si="60"/>
        <v/>
      </c>
      <c r="Z218" s="96" t="str">
        <f t="shared" ca="1" si="60"/>
        <v/>
      </c>
      <c r="AA218" s="96" t="str">
        <f t="shared" ca="1" si="60"/>
        <v/>
      </c>
      <c r="AB218" s="386" t="str">
        <f t="shared" ca="1" si="60"/>
        <v/>
      </c>
      <c r="AC218" s="293" t="str">
        <f t="shared" ca="1" si="60"/>
        <v/>
      </c>
      <c r="AD218" s="284" t="str">
        <f t="shared" ca="1" si="59"/>
        <v/>
      </c>
      <c r="AE218" s="293" t="str">
        <f t="shared" ca="1" si="59"/>
        <v/>
      </c>
      <c r="AF218" s="284" t="str">
        <f t="shared" ca="1" si="59"/>
        <v/>
      </c>
      <c r="AG218" s="293" t="str">
        <f t="shared" ca="1" si="59"/>
        <v/>
      </c>
      <c r="AH218" s="96"/>
      <c r="AI218" s="96" t="str">
        <f t="shared" ca="1" si="48"/>
        <v/>
      </c>
      <c r="AK218" s="96">
        <f t="shared" ca="1" si="49"/>
        <v>0</v>
      </c>
      <c r="AL218" s="12">
        <f t="shared" ca="1" si="50"/>
        <v>0</v>
      </c>
      <c r="AM218" s="12">
        <f t="shared" ca="1" si="51"/>
        <v>0</v>
      </c>
      <c r="AN218" s="12">
        <f t="shared" ca="1" si="52"/>
        <v>0</v>
      </c>
      <c r="AO218" s="12">
        <f t="shared" ca="1" si="53"/>
        <v>0</v>
      </c>
      <c r="AP218" s="12" t="str">
        <f t="shared" ca="1" si="54"/>
        <v/>
      </c>
      <c r="AQ218" s="12" t="str">
        <f t="shared" ca="1" si="55"/>
        <v/>
      </c>
      <c r="AR218" s="12" t="str">
        <f t="shared" ca="1" si="56"/>
        <v/>
      </c>
      <c r="AS218" s="12" t="str">
        <f t="shared" ca="1" si="57"/>
        <v/>
      </c>
    </row>
    <row r="219" spans="1:45">
      <c r="A219">
        <f t="shared" si="58"/>
        <v>543</v>
      </c>
      <c r="B219" t="str">
        <f t="shared" ca="1" si="39"/>
        <v xml:space="preserve"> </v>
      </c>
      <c r="C219" t="b">
        <f t="shared" ca="1" si="40"/>
        <v>0</v>
      </c>
      <c r="D219" s="284" t="str">
        <f t="shared" ca="1" si="61"/>
        <v/>
      </c>
      <c r="E219" s="96" t="str">
        <f t="shared" ca="1" si="41"/>
        <v/>
      </c>
      <c r="F219" s="96" t="str">
        <f t="shared" ca="1" si="42"/>
        <v/>
      </c>
      <c r="G219" s="293" t="str">
        <f t="shared" ref="G219:I250" ca="1" si="62">IF($C219=FALSE,"",INDIRECT("Installations!" &amp; G$120 &amp; $A219+1))</f>
        <v/>
      </c>
      <c r="H219" s="284" t="str">
        <f t="shared" ca="1" si="62"/>
        <v/>
      </c>
      <c r="I219" s="96" t="str">
        <f t="shared" ca="1" si="62"/>
        <v/>
      </c>
      <c r="J219" s="96" t="str">
        <f t="shared" ca="1" si="44"/>
        <v/>
      </c>
      <c r="K219" s="96" t="str">
        <f t="shared" ca="1" si="61"/>
        <v/>
      </c>
      <c r="L219" s="96" t="str">
        <f t="shared" ca="1" si="61"/>
        <v/>
      </c>
      <c r="M219" s="294" t="str">
        <f t="shared" ca="1" si="61"/>
        <v/>
      </c>
      <c r="N219" s="295" t="str">
        <f t="shared" ref="N219:O250" ca="1" si="63">IF($C219=FALSE,"",INDIRECT("Installations!" &amp; N$120 &amp; $A219+1))</f>
        <v/>
      </c>
      <c r="O219" s="96" t="str">
        <f t="shared" ca="1" si="63"/>
        <v/>
      </c>
      <c r="P219" s="96" t="str">
        <f t="shared" ca="1" si="46"/>
        <v/>
      </c>
      <c r="Q219" s="96" t="str">
        <f t="shared" ca="1" si="61"/>
        <v/>
      </c>
      <c r="R219" s="293" t="str">
        <f t="shared" ca="1" si="61"/>
        <v/>
      </c>
      <c r="S219" s="284" t="str">
        <f t="shared" ca="1" si="60"/>
        <v/>
      </c>
      <c r="T219" s="96" t="str">
        <f t="shared" ca="1" si="60"/>
        <v/>
      </c>
      <c r="U219" s="96" t="str">
        <f t="shared" ca="1" si="47"/>
        <v/>
      </c>
      <c r="V219" s="96" t="str">
        <f t="shared" ca="1" si="60"/>
        <v/>
      </c>
      <c r="W219" s="96" t="str">
        <f t="shared" ca="1" si="60"/>
        <v/>
      </c>
      <c r="X219" s="293" t="str">
        <f t="shared" ca="1" si="60"/>
        <v/>
      </c>
      <c r="Y219" s="284" t="str">
        <f t="shared" ca="1" si="60"/>
        <v/>
      </c>
      <c r="Z219" s="96" t="str">
        <f t="shared" ca="1" si="60"/>
        <v/>
      </c>
      <c r="AA219" s="96" t="str">
        <f t="shared" ca="1" si="60"/>
        <v/>
      </c>
      <c r="AB219" s="386" t="str">
        <f t="shared" ca="1" si="60"/>
        <v/>
      </c>
      <c r="AC219" s="293" t="str">
        <f t="shared" ca="1" si="60"/>
        <v/>
      </c>
      <c r="AD219" s="284" t="str">
        <f t="shared" ca="1" si="59"/>
        <v/>
      </c>
      <c r="AE219" s="293" t="str">
        <f t="shared" ca="1" si="59"/>
        <v/>
      </c>
      <c r="AF219" s="284" t="str">
        <f t="shared" ca="1" si="59"/>
        <v/>
      </c>
      <c r="AG219" s="293" t="str">
        <f t="shared" ca="1" si="59"/>
        <v/>
      </c>
      <c r="AH219" s="96"/>
      <c r="AI219" s="96" t="str">
        <f t="shared" ca="1" si="48"/>
        <v/>
      </c>
      <c r="AK219" s="96">
        <f t="shared" ca="1" si="49"/>
        <v>0</v>
      </c>
      <c r="AL219" s="12">
        <f t="shared" ca="1" si="50"/>
        <v>0</v>
      </c>
      <c r="AM219" s="12">
        <f t="shared" ca="1" si="51"/>
        <v>0</v>
      </c>
      <c r="AN219" s="12">
        <f t="shared" ca="1" si="52"/>
        <v>0</v>
      </c>
      <c r="AO219" s="12">
        <f t="shared" ca="1" si="53"/>
        <v>0</v>
      </c>
      <c r="AP219" s="12" t="str">
        <f t="shared" ca="1" si="54"/>
        <v/>
      </c>
      <c r="AQ219" s="12" t="str">
        <f t="shared" ca="1" si="55"/>
        <v/>
      </c>
      <c r="AR219" s="12" t="str">
        <f t="shared" ca="1" si="56"/>
        <v/>
      </c>
      <c r="AS219" s="12" t="str">
        <f t="shared" ca="1" si="57"/>
        <v/>
      </c>
    </row>
    <row r="220" spans="1:45">
      <c r="A220">
        <f t="shared" si="58"/>
        <v>548</v>
      </c>
      <c r="B220" t="str">
        <f t="shared" ca="1" si="39"/>
        <v xml:space="preserve"> </v>
      </c>
      <c r="C220" t="b">
        <f t="shared" ca="1" si="40"/>
        <v>0</v>
      </c>
      <c r="D220" s="284" t="str">
        <f t="shared" ca="1" si="61"/>
        <v/>
      </c>
      <c r="E220" s="96" t="str">
        <f t="shared" ca="1" si="41"/>
        <v/>
      </c>
      <c r="F220" s="96" t="str">
        <f t="shared" ca="1" si="42"/>
        <v/>
      </c>
      <c r="G220" s="293" t="str">
        <f t="shared" ca="1" si="62"/>
        <v/>
      </c>
      <c r="H220" s="284" t="str">
        <f t="shared" ca="1" si="62"/>
        <v/>
      </c>
      <c r="I220" s="96" t="str">
        <f t="shared" ca="1" si="62"/>
        <v/>
      </c>
      <c r="J220" s="96" t="str">
        <f t="shared" ca="1" si="44"/>
        <v/>
      </c>
      <c r="K220" s="96" t="str">
        <f t="shared" ca="1" si="61"/>
        <v/>
      </c>
      <c r="L220" s="96" t="str">
        <f t="shared" ca="1" si="61"/>
        <v/>
      </c>
      <c r="M220" s="294" t="str">
        <f t="shared" ca="1" si="61"/>
        <v/>
      </c>
      <c r="N220" s="295" t="str">
        <f t="shared" ca="1" si="63"/>
        <v/>
      </c>
      <c r="O220" s="96" t="str">
        <f t="shared" ca="1" si="63"/>
        <v/>
      </c>
      <c r="P220" s="96" t="str">
        <f t="shared" ca="1" si="46"/>
        <v/>
      </c>
      <c r="Q220" s="96" t="str">
        <f t="shared" ca="1" si="61"/>
        <v/>
      </c>
      <c r="R220" s="293" t="str">
        <f t="shared" ca="1" si="61"/>
        <v/>
      </c>
      <c r="S220" s="284" t="str">
        <f t="shared" ca="1" si="60"/>
        <v/>
      </c>
      <c r="T220" s="96" t="str">
        <f t="shared" ca="1" si="60"/>
        <v/>
      </c>
      <c r="U220" s="96" t="str">
        <f t="shared" ca="1" si="47"/>
        <v/>
      </c>
      <c r="V220" s="96" t="str">
        <f t="shared" ca="1" si="60"/>
        <v/>
      </c>
      <c r="W220" s="96" t="str">
        <f t="shared" ca="1" si="60"/>
        <v/>
      </c>
      <c r="X220" s="293" t="str">
        <f t="shared" ca="1" si="60"/>
        <v/>
      </c>
      <c r="Y220" s="284" t="str">
        <f t="shared" ca="1" si="60"/>
        <v/>
      </c>
      <c r="Z220" s="96" t="str">
        <f t="shared" ca="1" si="60"/>
        <v/>
      </c>
      <c r="AA220" s="96" t="str">
        <f t="shared" ca="1" si="60"/>
        <v/>
      </c>
      <c r="AB220" s="386" t="str">
        <f t="shared" ca="1" si="60"/>
        <v/>
      </c>
      <c r="AC220" s="293" t="str">
        <f t="shared" ca="1" si="60"/>
        <v/>
      </c>
      <c r="AD220" s="284" t="str">
        <f t="shared" ca="1" si="59"/>
        <v/>
      </c>
      <c r="AE220" s="293" t="str">
        <f t="shared" ca="1" si="59"/>
        <v/>
      </c>
      <c r="AF220" s="284" t="str">
        <f t="shared" ca="1" si="59"/>
        <v/>
      </c>
      <c r="AG220" s="293" t="str">
        <f t="shared" ca="1" si="59"/>
        <v/>
      </c>
      <c r="AH220" s="96"/>
      <c r="AI220" s="96" t="str">
        <f t="shared" ca="1" si="48"/>
        <v/>
      </c>
      <c r="AK220" s="96">
        <f t="shared" ca="1" si="49"/>
        <v>0</v>
      </c>
      <c r="AL220" s="12">
        <f t="shared" ca="1" si="50"/>
        <v>0</v>
      </c>
      <c r="AM220" s="12">
        <f t="shared" ca="1" si="51"/>
        <v>0</v>
      </c>
      <c r="AN220" s="12">
        <f t="shared" ca="1" si="52"/>
        <v>0</v>
      </c>
      <c r="AO220" s="12">
        <f t="shared" ca="1" si="53"/>
        <v>0</v>
      </c>
      <c r="AP220" s="12" t="str">
        <f t="shared" ca="1" si="54"/>
        <v/>
      </c>
      <c r="AQ220" s="12" t="str">
        <f t="shared" ca="1" si="55"/>
        <v/>
      </c>
      <c r="AR220" s="12" t="str">
        <f t="shared" ca="1" si="56"/>
        <v/>
      </c>
      <c r="AS220" s="12" t="str">
        <f t="shared" ca="1" si="57"/>
        <v/>
      </c>
    </row>
    <row r="221" spans="1:45">
      <c r="A221">
        <f t="shared" si="58"/>
        <v>553</v>
      </c>
      <c r="B221" t="str">
        <f t="shared" ca="1" si="39"/>
        <v xml:space="preserve"> </v>
      </c>
      <c r="C221" t="b">
        <f t="shared" ca="1" si="40"/>
        <v>0</v>
      </c>
      <c r="D221" s="284" t="str">
        <f t="shared" ca="1" si="61"/>
        <v/>
      </c>
      <c r="E221" s="96" t="str">
        <f t="shared" ca="1" si="41"/>
        <v/>
      </c>
      <c r="F221" s="96" t="str">
        <f t="shared" ca="1" si="42"/>
        <v/>
      </c>
      <c r="G221" s="293" t="str">
        <f t="shared" ca="1" si="62"/>
        <v/>
      </c>
      <c r="H221" s="284" t="str">
        <f t="shared" ca="1" si="62"/>
        <v/>
      </c>
      <c r="I221" s="96" t="str">
        <f t="shared" ca="1" si="62"/>
        <v/>
      </c>
      <c r="J221" s="96" t="str">
        <f t="shared" ca="1" si="44"/>
        <v/>
      </c>
      <c r="K221" s="96" t="str">
        <f t="shared" ca="1" si="61"/>
        <v/>
      </c>
      <c r="L221" s="96" t="str">
        <f t="shared" ca="1" si="61"/>
        <v/>
      </c>
      <c r="M221" s="294" t="str">
        <f t="shared" ca="1" si="61"/>
        <v/>
      </c>
      <c r="N221" s="295" t="str">
        <f t="shared" ca="1" si="63"/>
        <v/>
      </c>
      <c r="O221" s="96" t="str">
        <f t="shared" ca="1" si="63"/>
        <v/>
      </c>
      <c r="P221" s="96" t="str">
        <f t="shared" ca="1" si="46"/>
        <v/>
      </c>
      <c r="Q221" s="96" t="str">
        <f t="shared" ca="1" si="61"/>
        <v/>
      </c>
      <c r="R221" s="293" t="str">
        <f t="shared" ca="1" si="61"/>
        <v/>
      </c>
      <c r="S221" s="284" t="str">
        <f t="shared" ca="1" si="60"/>
        <v/>
      </c>
      <c r="T221" s="96" t="str">
        <f t="shared" ca="1" si="60"/>
        <v/>
      </c>
      <c r="U221" s="96" t="str">
        <f t="shared" ca="1" si="47"/>
        <v/>
      </c>
      <c r="V221" s="96" t="str">
        <f t="shared" ca="1" si="60"/>
        <v/>
      </c>
      <c r="W221" s="96" t="str">
        <f t="shared" ca="1" si="60"/>
        <v/>
      </c>
      <c r="X221" s="293" t="str">
        <f t="shared" ca="1" si="60"/>
        <v/>
      </c>
      <c r="Y221" s="284" t="str">
        <f t="shared" ca="1" si="60"/>
        <v/>
      </c>
      <c r="Z221" s="96" t="str">
        <f t="shared" ca="1" si="60"/>
        <v/>
      </c>
      <c r="AA221" s="96" t="str">
        <f t="shared" ca="1" si="60"/>
        <v/>
      </c>
      <c r="AB221" s="386" t="str">
        <f t="shared" ca="1" si="60"/>
        <v/>
      </c>
      <c r="AC221" s="293" t="str">
        <f t="shared" ca="1" si="60"/>
        <v/>
      </c>
      <c r="AD221" s="284" t="str">
        <f t="shared" ca="1" si="59"/>
        <v/>
      </c>
      <c r="AE221" s="293" t="str">
        <f t="shared" ca="1" si="59"/>
        <v/>
      </c>
      <c r="AF221" s="284" t="str">
        <f t="shared" ca="1" si="59"/>
        <v/>
      </c>
      <c r="AG221" s="293" t="str">
        <f t="shared" ca="1" si="59"/>
        <v/>
      </c>
      <c r="AH221" s="96"/>
      <c r="AI221" s="96" t="str">
        <f t="shared" ca="1" si="48"/>
        <v/>
      </c>
      <c r="AK221" s="96">
        <f t="shared" ca="1" si="49"/>
        <v>0</v>
      </c>
      <c r="AL221" s="12">
        <f t="shared" ca="1" si="50"/>
        <v>0</v>
      </c>
      <c r="AM221" s="12">
        <f t="shared" ca="1" si="51"/>
        <v>0</v>
      </c>
      <c r="AN221" s="12">
        <f t="shared" ca="1" si="52"/>
        <v>0</v>
      </c>
      <c r="AO221" s="12">
        <f t="shared" ca="1" si="53"/>
        <v>0</v>
      </c>
      <c r="AP221" s="12" t="str">
        <f t="shared" ca="1" si="54"/>
        <v/>
      </c>
      <c r="AQ221" s="12" t="str">
        <f t="shared" ca="1" si="55"/>
        <v/>
      </c>
      <c r="AR221" s="12" t="str">
        <f t="shared" ca="1" si="56"/>
        <v/>
      </c>
      <c r="AS221" s="12" t="str">
        <f t="shared" ca="1" si="57"/>
        <v/>
      </c>
    </row>
    <row r="222" spans="1:45">
      <c r="A222" s="690">
        <f>A221+8</f>
        <v>561</v>
      </c>
      <c r="B222" t="str">
        <f t="shared" ca="1" si="39"/>
        <v xml:space="preserve"> </v>
      </c>
      <c r="C222" t="b">
        <f t="shared" ca="1" si="40"/>
        <v>0</v>
      </c>
      <c r="D222" s="284" t="str">
        <f t="shared" ca="1" si="61"/>
        <v/>
      </c>
      <c r="E222" s="96" t="str">
        <f t="shared" ca="1" si="41"/>
        <v/>
      </c>
      <c r="F222" s="96" t="str">
        <f t="shared" ca="1" si="42"/>
        <v/>
      </c>
      <c r="G222" s="293" t="str">
        <f t="shared" ca="1" si="62"/>
        <v/>
      </c>
      <c r="H222" s="284" t="str">
        <f t="shared" ca="1" si="62"/>
        <v/>
      </c>
      <c r="I222" s="96" t="str">
        <f t="shared" ca="1" si="62"/>
        <v/>
      </c>
      <c r="J222" s="96" t="str">
        <f t="shared" ca="1" si="44"/>
        <v/>
      </c>
      <c r="K222" s="96" t="str">
        <f t="shared" ca="1" si="61"/>
        <v/>
      </c>
      <c r="L222" s="96" t="str">
        <f t="shared" ca="1" si="61"/>
        <v/>
      </c>
      <c r="M222" s="294" t="str">
        <f t="shared" ca="1" si="61"/>
        <v/>
      </c>
      <c r="N222" s="295" t="str">
        <f t="shared" ca="1" si="63"/>
        <v/>
      </c>
      <c r="O222" s="96" t="str">
        <f t="shared" ca="1" si="63"/>
        <v/>
      </c>
      <c r="P222" s="96" t="str">
        <f t="shared" ca="1" si="46"/>
        <v/>
      </c>
      <c r="Q222" s="96" t="str">
        <f t="shared" ca="1" si="61"/>
        <v/>
      </c>
      <c r="R222" s="293" t="str">
        <f t="shared" ca="1" si="61"/>
        <v/>
      </c>
      <c r="S222" s="284" t="str">
        <f t="shared" ca="1" si="60"/>
        <v/>
      </c>
      <c r="T222" s="96" t="str">
        <f t="shared" ca="1" si="60"/>
        <v/>
      </c>
      <c r="U222" s="96" t="str">
        <f t="shared" ca="1" si="47"/>
        <v/>
      </c>
      <c r="V222" s="96" t="str">
        <f t="shared" ca="1" si="60"/>
        <v/>
      </c>
      <c r="W222" s="96" t="str">
        <f t="shared" ca="1" si="60"/>
        <v/>
      </c>
      <c r="X222" s="293" t="str">
        <f t="shared" ca="1" si="60"/>
        <v/>
      </c>
      <c r="Y222" s="284" t="str">
        <f t="shared" ca="1" si="60"/>
        <v/>
      </c>
      <c r="Z222" s="96" t="str">
        <f t="shared" ca="1" si="60"/>
        <v/>
      </c>
      <c r="AA222" s="96" t="str">
        <f t="shared" ca="1" si="60"/>
        <v/>
      </c>
      <c r="AB222" s="386" t="str">
        <f t="shared" ca="1" si="60"/>
        <v/>
      </c>
      <c r="AC222" s="293" t="str">
        <f t="shared" ca="1" si="60"/>
        <v/>
      </c>
      <c r="AD222" s="284" t="str">
        <f t="shared" ca="1" si="59"/>
        <v/>
      </c>
      <c r="AE222" s="293" t="str">
        <f t="shared" ca="1" si="59"/>
        <v/>
      </c>
      <c r="AF222" s="284" t="str">
        <f t="shared" ca="1" si="59"/>
        <v/>
      </c>
      <c r="AG222" s="293" t="str">
        <f t="shared" ca="1" si="59"/>
        <v/>
      </c>
      <c r="AH222" s="96"/>
      <c r="AI222" s="96" t="str">
        <f t="shared" ca="1" si="48"/>
        <v/>
      </c>
      <c r="AK222" s="96">
        <f t="shared" ca="1" si="49"/>
        <v>0</v>
      </c>
      <c r="AL222" s="12">
        <f t="shared" ca="1" si="50"/>
        <v>0</v>
      </c>
      <c r="AM222" s="12">
        <f t="shared" ca="1" si="51"/>
        <v>0</v>
      </c>
      <c r="AN222" s="12">
        <f t="shared" ca="1" si="52"/>
        <v>0</v>
      </c>
      <c r="AO222" s="12">
        <f t="shared" ca="1" si="53"/>
        <v>0</v>
      </c>
      <c r="AP222" s="12" t="str">
        <f t="shared" ca="1" si="54"/>
        <v/>
      </c>
      <c r="AQ222" s="12" t="str">
        <f t="shared" ca="1" si="55"/>
        <v/>
      </c>
      <c r="AR222" s="12" t="str">
        <f t="shared" ca="1" si="56"/>
        <v/>
      </c>
      <c r="AS222" s="12" t="str">
        <f t="shared" ca="1" si="57"/>
        <v/>
      </c>
    </row>
    <row r="223" spans="1:45">
      <c r="A223">
        <f t="shared" si="58"/>
        <v>566</v>
      </c>
      <c r="B223" t="str">
        <f t="shared" ca="1" si="39"/>
        <v xml:space="preserve"> </v>
      </c>
      <c r="C223" t="b">
        <f t="shared" ca="1" si="40"/>
        <v>0</v>
      </c>
      <c r="D223" s="284" t="str">
        <f t="shared" ca="1" si="61"/>
        <v/>
      </c>
      <c r="E223" s="96" t="str">
        <f t="shared" ca="1" si="41"/>
        <v/>
      </c>
      <c r="F223" s="96" t="str">
        <f t="shared" ca="1" si="42"/>
        <v/>
      </c>
      <c r="G223" s="293" t="str">
        <f t="shared" ca="1" si="62"/>
        <v/>
      </c>
      <c r="H223" s="284" t="str">
        <f t="shared" ca="1" si="62"/>
        <v/>
      </c>
      <c r="I223" s="96" t="str">
        <f t="shared" ca="1" si="62"/>
        <v/>
      </c>
      <c r="J223" s="96" t="str">
        <f t="shared" ca="1" si="44"/>
        <v/>
      </c>
      <c r="K223" s="96" t="str">
        <f t="shared" ca="1" si="61"/>
        <v/>
      </c>
      <c r="L223" s="96" t="str">
        <f t="shared" ca="1" si="61"/>
        <v/>
      </c>
      <c r="M223" s="294" t="str">
        <f t="shared" ca="1" si="61"/>
        <v/>
      </c>
      <c r="N223" s="295" t="str">
        <f t="shared" ca="1" si="63"/>
        <v/>
      </c>
      <c r="O223" s="96" t="str">
        <f t="shared" ca="1" si="63"/>
        <v/>
      </c>
      <c r="P223" s="96" t="str">
        <f t="shared" ca="1" si="46"/>
        <v/>
      </c>
      <c r="Q223" s="96" t="str">
        <f t="shared" ca="1" si="61"/>
        <v/>
      </c>
      <c r="R223" s="293" t="str">
        <f t="shared" ca="1" si="61"/>
        <v/>
      </c>
      <c r="S223" s="284" t="str">
        <f t="shared" ca="1" si="60"/>
        <v/>
      </c>
      <c r="T223" s="96" t="str">
        <f t="shared" ca="1" si="60"/>
        <v/>
      </c>
      <c r="U223" s="96" t="str">
        <f t="shared" ca="1" si="47"/>
        <v/>
      </c>
      <c r="V223" s="96" t="str">
        <f t="shared" ca="1" si="60"/>
        <v/>
      </c>
      <c r="W223" s="96" t="str">
        <f t="shared" ca="1" si="60"/>
        <v/>
      </c>
      <c r="X223" s="293" t="str">
        <f t="shared" ca="1" si="60"/>
        <v/>
      </c>
      <c r="Y223" s="284" t="str">
        <f t="shared" ca="1" si="60"/>
        <v/>
      </c>
      <c r="Z223" s="96" t="str">
        <f t="shared" ca="1" si="60"/>
        <v/>
      </c>
      <c r="AA223" s="96" t="str">
        <f t="shared" ca="1" si="60"/>
        <v/>
      </c>
      <c r="AB223" s="386" t="str">
        <f t="shared" ca="1" si="60"/>
        <v/>
      </c>
      <c r="AC223" s="293" t="str">
        <f t="shared" ca="1" si="60"/>
        <v/>
      </c>
      <c r="AD223" s="284" t="str">
        <f t="shared" ca="1" si="59"/>
        <v/>
      </c>
      <c r="AE223" s="293" t="str">
        <f t="shared" ca="1" si="59"/>
        <v/>
      </c>
      <c r="AF223" s="284" t="str">
        <f t="shared" ca="1" si="59"/>
        <v/>
      </c>
      <c r="AG223" s="293" t="str">
        <f t="shared" ca="1" si="59"/>
        <v/>
      </c>
      <c r="AH223" s="96"/>
      <c r="AI223" s="96" t="str">
        <f t="shared" ca="1" si="48"/>
        <v/>
      </c>
      <c r="AK223" s="96">
        <f t="shared" ca="1" si="49"/>
        <v>0</v>
      </c>
      <c r="AL223" s="12">
        <f t="shared" ca="1" si="50"/>
        <v>0</v>
      </c>
      <c r="AM223" s="12">
        <f t="shared" ca="1" si="51"/>
        <v>0</v>
      </c>
      <c r="AN223" s="12">
        <f t="shared" ca="1" si="52"/>
        <v>0</v>
      </c>
      <c r="AO223" s="12">
        <f t="shared" ca="1" si="53"/>
        <v>0</v>
      </c>
      <c r="AP223" s="12" t="str">
        <f t="shared" ca="1" si="54"/>
        <v/>
      </c>
      <c r="AQ223" s="12" t="str">
        <f t="shared" ca="1" si="55"/>
        <v/>
      </c>
      <c r="AR223" s="12" t="str">
        <f t="shared" ca="1" si="56"/>
        <v/>
      </c>
      <c r="AS223" s="12" t="str">
        <f t="shared" ca="1" si="57"/>
        <v/>
      </c>
    </row>
    <row r="224" spans="1:45">
      <c r="A224">
        <f t="shared" si="58"/>
        <v>571</v>
      </c>
      <c r="B224" t="str">
        <f t="shared" ca="1" si="39"/>
        <v xml:space="preserve"> </v>
      </c>
      <c r="C224" t="b">
        <f t="shared" ca="1" si="40"/>
        <v>0</v>
      </c>
      <c r="D224" s="284" t="str">
        <f t="shared" ca="1" si="61"/>
        <v/>
      </c>
      <c r="E224" s="96" t="str">
        <f t="shared" ca="1" si="41"/>
        <v/>
      </c>
      <c r="F224" s="96" t="str">
        <f t="shared" ca="1" si="42"/>
        <v/>
      </c>
      <c r="G224" s="293" t="str">
        <f t="shared" ca="1" si="62"/>
        <v/>
      </c>
      <c r="H224" s="284" t="str">
        <f t="shared" ca="1" si="62"/>
        <v/>
      </c>
      <c r="I224" s="96" t="str">
        <f t="shared" ca="1" si="62"/>
        <v/>
      </c>
      <c r="J224" s="96" t="str">
        <f t="shared" ca="1" si="44"/>
        <v/>
      </c>
      <c r="K224" s="96" t="str">
        <f t="shared" ca="1" si="61"/>
        <v/>
      </c>
      <c r="L224" s="96" t="str">
        <f t="shared" ca="1" si="61"/>
        <v/>
      </c>
      <c r="M224" s="294" t="str">
        <f t="shared" ca="1" si="61"/>
        <v/>
      </c>
      <c r="N224" s="295" t="str">
        <f t="shared" ca="1" si="63"/>
        <v/>
      </c>
      <c r="O224" s="96" t="str">
        <f t="shared" ca="1" si="63"/>
        <v/>
      </c>
      <c r="P224" s="96" t="str">
        <f t="shared" ca="1" si="46"/>
        <v/>
      </c>
      <c r="Q224" s="96" t="str">
        <f t="shared" ca="1" si="61"/>
        <v/>
      </c>
      <c r="R224" s="293" t="str">
        <f t="shared" ca="1" si="61"/>
        <v/>
      </c>
      <c r="S224" s="284" t="str">
        <f t="shared" ca="1" si="60"/>
        <v/>
      </c>
      <c r="T224" s="96" t="str">
        <f t="shared" ca="1" si="60"/>
        <v/>
      </c>
      <c r="U224" s="96" t="str">
        <f t="shared" ca="1" si="47"/>
        <v/>
      </c>
      <c r="V224" s="96" t="str">
        <f t="shared" ca="1" si="60"/>
        <v/>
      </c>
      <c r="W224" s="96" t="str">
        <f t="shared" ca="1" si="60"/>
        <v/>
      </c>
      <c r="X224" s="293" t="str">
        <f t="shared" ca="1" si="60"/>
        <v/>
      </c>
      <c r="Y224" s="284" t="str">
        <f t="shared" ca="1" si="60"/>
        <v/>
      </c>
      <c r="Z224" s="96" t="str">
        <f t="shared" ca="1" si="60"/>
        <v/>
      </c>
      <c r="AA224" s="96" t="str">
        <f t="shared" ca="1" si="60"/>
        <v/>
      </c>
      <c r="AB224" s="386" t="str">
        <f t="shared" ca="1" si="60"/>
        <v/>
      </c>
      <c r="AC224" s="293" t="str">
        <f t="shared" ca="1" si="60"/>
        <v/>
      </c>
      <c r="AD224" s="284" t="str">
        <f t="shared" ca="1" si="59"/>
        <v/>
      </c>
      <c r="AE224" s="293" t="str">
        <f t="shared" ca="1" si="59"/>
        <v/>
      </c>
      <c r="AF224" s="284" t="str">
        <f t="shared" ca="1" si="59"/>
        <v/>
      </c>
      <c r="AG224" s="293" t="str">
        <f t="shared" ca="1" si="59"/>
        <v/>
      </c>
      <c r="AH224" s="96"/>
      <c r="AI224" s="96" t="str">
        <f t="shared" ca="1" si="48"/>
        <v/>
      </c>
      <c r="AK224" s="96">
        <f t="shared" ca="1" si="49"/>
        <v>0</v>
      </c>
      <c r="AL224" s="12">
        <f t="shared" ca="1" si="50"/>
        <v>0</v>
      </c>
      <c r="AM224" s="12">
        <f t="shared" ca="1" si="51"/>
        <v>0</v>
      </c>
      <c r="AN224" s="12">
        <f t="shared" ca="1" si="52"/>
        <v>0</v>
      </c>
      <c r="AO224" s="12">
        <f t="shared" ca="1" si="53"/>
        <v>0</v>
      </c>
      <c r="AP224" s="12" t="str">
        <f t="shared" ca="1" si="54"/>
        <v/>
      </c>
      <c r="AQ224" s="12" t="str">
        <f t="shared" ca="1" si="55"/>
        <v/>
      </c>
      <c r="AR224" s="12" t="str">
        <f t="shared" ca="1" si="56"/>
        <v/>
      </c>
      <c r="AS224" s="12" t="str">
        <f t="shared" ca="1" si="57"/>
        <v/>
      </c>
    </row>
    <row r="225" spans="1:45">
      <c r="A225">
        <f t="shared" si="58"/>
        <v>576</v>
      </c>
      <c r="B225" t="str">
        <f t="shared" ca="1" si="39"/>
        <v xml:space="preserve"> </v>
      </c>
      <c r="C225" t="b">
        <f t="shared" ca="1" si="40"/>
        <v>0</v>
      </c>
      <c r="D225" s="284" t="str">
        <f t="shared" ca="1" si="61"/>
        <v/>
      </c>
      <c r="E225" s="96" t="str">
        <f t="shared" ca="1" si="41"/>
        <v/>
      </c>
      <c r="F225" s="96" t="str">
        <f t="shared" ca="1" si="42"/>
        <v/>
      </c>
      <c r="G225" s="293" t="str">
        <f t="shared" ca="1" si="62"/>
        <v/>
      </c>
      <c r="H225" s="284" t="str">
        <f t="shared" ca="1" si="62"/>
        <v/>
      </c>
      <c r="I225" s="96" t="str">
        <f t="shared" ca="1" si="62"/>
        <v/>
      </c>
      <c r="J225" s="96" t="str">
        <f t="shared" ca="1" si="44"/>
        <v/>
      </c>
      <c r="K225" s="96" t="str">
        <f t="shared" ca="1" si="61"/>
        <v/>
      </c>
      <c r="L225" s="96" t="str">
        <f t="shared" ca="1" si="61"/>
        <v/>
      </c>
      <c r="M225" s="294" t="str">
        <f t="shared" ca="1" si="61"/>
        <v/>
      </c>
      <c r="N225" s="295" t="str">
        <f t="shared" ca="1" si="63"/>
        <v/>
      </c>
      <c r="O225" s="96" t="str">
        <f t="shared" ca="1" si="63"/>
        <v/>
      </c>
      <c r="P225" s="96" t="str">
        <f t="shared" ca="1" si="46"/>
        <v/>
      </c>
      <c r="Q225" s="96" t="str">
        <f t="shared" ca="1" si="61"/>
        <v/>
      </c>
      <c r="R225" s="293" t="str">
        <f t="shared" ca="1" si="61"/>
        <v/>
      </c>
      <c r="S225" s="284" t="str">
        <f t="shared" ca="1" si="60"/>
        <v/>
      </c>
      <c r="T225" s="96" t="str">
        <f t="shared" ca="1" si="60"/>
        <v/>
      </c>
      <c r="U225" s="96" t="str">
        <f t="shared" ca="1" si="47"/>
        <v/>
      </c>
      <c r="V225" s="96" t="str">
        <f t="shared" ca="1" si="60"/>
        <v/>
      </c>
      <c r="W225" s="96" t="str">
        <f t="shared" ca="1" si="60"/>
        <v/>
      </c>
      <c r="X225" s="293" t="str">
        <f t="shared" ca="1" si="60"/>
        <v/>
      </c>
      <c r="Y225" s="284" t="str">
        <f t="shared" ca="1" si="60"/>
        <v/>
      </c>
      <c r="Z225" s="96" t="str">
        <f t="shared" ca="1" si="60"/>
        <v/>
      </c>
      <c r="AA225" s="96" t="str">
        <f t="shared" ca="1" si="60"/>
        <v/>
      </c>
      <c r="AB225" s="386" t="str">
        <f t="shared" ca="1" si="60"/>
        <v/>
      </c>
      <c r="AC225" s="293" t="str">
        <f t="shared" ca="1" si="60"/>
        <v/>
      </c>
      <c r="AD225" s="284" t="str">
        <f t="shared" ca="1" si="59"/>
        <v/>
      </c>
      <c r="AE225" s="293" t="str">
        <f t="shared" ca="1" si="59"/>
        <v/>
      </c>
      <c r="AF225" s="284" t="str">
        <f t="shared" ca="1" si="59"/>
        <v/>
      </c>
      <c r="AG225" s="293" t="str">
        <f t="shared" ca="1" si="59"/>
        <v/>
      </c>
      <c r="AH225" s="96"/>
      <c r="AI225" s="96" t="str">
        <f t="shared" ca="1" si="48"/>
        <v/>
      </c>
      <c r="AK225" s="96">
        <f t="shared" ca="1" si="49"/>
        <v>0</v>
      </c>
      <c r="AL225" s="12">
        <f t="shared" ca="1" si="50"/>
        <v>0</v>
      </c>
      <c r="AM225" s="12">
        <f t="shared" ca="1" si="51"/>
        <v>0</v>
      </c>
      <c r="AN225" s="12">
        <f t="shared" ca="1" si="52"/>
        <v>0</v>
      </c>
      <c r="AO225" s="12">
        <f t="shared" ca="1" si="53"/>
        <v>0</v>
      </c>
      <c r="AP225" s="12" t="str">
        <f t="shared" ca="1" si="54"/>
        <v/>
      </c>
      <c r="AQ225" s="12" t="str">
        <f t="shared" ca="1" si="55"/>
        <v/>
      </c>
      <c r="AR225" s="12" t="str">
        <f t="shared" ca="1" si="56"/>
        <v/>
      </c>
      <c r="AS225" s="12" t="str">
        <f t="shared" ca="1" si="57"/>
        <v/>
      </c>
    </row>
    <row r="226" spans="1:45">
      <c r="A226">
        <f t="shared" si="58"/>
        <v>581</v>
      </c>
      <c r="B226" t="str">
        <f t="shared" ca="1" si="39"/>
        <v xml:space="preserve"> </v>
      </c>
      <c r="C226" t="b">
        <f t="shared" ca="1" si="40"/>
        <v>0</v>
      </c>
      <c r="D226" s="284" t="str">
        <f t="shared" ca="1" si="61"/>
        <v/>
      </c>
      <c r="E226" s="96" t="str">
        <f t="shared" ca="1" si="41"/>
        <v/>
      </c>
      <c r="F226" s="96" t="str">
        <f t="shared" ca="1" si="42"/>
        <v/>
      </c>
      <c r="G226" s="293" t="str">
        <f t="shared" ca="1" si="62"/>
        <v/>
      </c>
      <c r="H226" s="284" t="str">
        <f t="shared" ca="1" si="62"/>
        <v/>
      </c>
      <c r="I226" s="96" t="str">
        <f t="shared" ca="1" si="62"/>
        <v/>
      </c>
      <c r="J226" s="96" t="str">
        <f t="shared" ca="1" si="44"/>
        <v/>
      </c>
      <c r="K226" s="96" t="str">
        <f t="shared" ca="1" si="61"/>
        <v/>
      </c>
      <c r="L226" s="96" t="str">
        <f t="shared" ca="1" si="61"/>
        <v/>
      </c>
      <c r="M226" s="294" t="str">
        <f t="shared" ca="1" si="61"/>
        <v/>
      </c>
      <c r="N226" s="295" t="str">
        <f t="shared" ca="1" si="63"/>
        <v/>
      </c>
      <c r="O226" s="96" t="str">
        <f t="shared" ca="1" si="63"/>
        <v/>
      </c>
      <c r="P226" s="96" t="str">
        <f t="shared" ca="1" si="46"/>
        <v/>
      </c>
      <c r="Q226" s="96" t="str">
        <f t="shared" ca="1" si="61"/>
        <v/>
      </c>
      <c r="R226" s="293" t="str">
        <f t="shared" ca="1" si="61"/>
        <v/>
      </c>
      <c r="S226" s="284" t="str">
        <f t="shared" ca="1" si="60"/>
        <v/>
      </c>
      <c r="T226" s="96" t="str">
        <f t="shared" ca="1" si="60"/>
        <v/>
      </c>
      <c r="U226" s="96" t="str">
        <f t="shared" ca="1" si="47"/>
        <v/>
      </c>
      <c r="V226" s="96" t="str">
        <f t="shared" ca="1" si="60"/>
        <v/>
      </c>
      <c r="W226" s="96" t="str">
        <f t="shared" ca="1" si="60"/>
        <v/>
      </c>
      <c r="X226" s="293" t="str">
        <f t="shared" ca="1" si="60"/>
        <v/>
      </c>
      <c r="Y226" s="284" t="str">
        <f t="shared" ca="1" si="60"/>
        <v/>
      </c>
      <c r="Z226" s="96" t="str">
        <f t="shared" ca="1" si="60"/>
        <v/>
      </c>
      <c r="AA226" s="96" t="str">
        <f t="shared" ca="1" si="60"/>
        <v/>
      </c>
      <c r="AB226" s="386" t="str">
        <f t="shared" ca="1" si="60"/>
        <v/>
      </c>
      <c r="AC226" s="293" t="str">
        <f t="shared" ca="1" si="60"/>
        <v/>
      </c>
      <c r="AD226" s="284" t="str">
        <f t="shared" ca="1" si="59"/>
        <v/>
      </c>
      <c r="AE226" s="293" t="str">
        <f t="shared" ca="1" si="59"/>
        <v/>
      </c>
      <c r="AF226" s="284" t="str">
        <f t="shared" ca="1" si="59"/>
        <v/>
      </c>
      <c r="AG226" s="293" t="str">
        <f t="shared" ca="1" si="59"/>
        <v/>
      </c>
      <c r="AH226" s="96"/>
      <c r="AI226" s="96" t="str">
        <f t="shared" ca="1" si="48"/>
        <v/>
      </c>
      <c r="AK226" s="96">
        <f t="shared" ca="1" si="49"/>
        <v>0</v>
      </c>
      <c r="AL226" s="12">
        <f t="shared" ca="1" si="50"/>
        <v>0</v>
      </c>
      <c r="AM226" s="12">
        <f t="shared" ca="1" si="51"/>
        <v>0</v>
      </c>
      <c r="AN226" s="12">
        <f t="shared" ca="1" si="52"/>
        <v>0</v>
      </c>
      <c r="AO226" s="12">
        <f t="shared" ca="1" si="53"/>
        <v>0</v>
      </c>
      <c r="AP226" s="12" t="str">
        <f t="shared" ca="1" si="54"/>
        <v/>
      </c>
      <c r="AQ226" s="12" t="str">
        <f t="shared" ca="1" si="55"/>
        <v/>
      </c>
      <c r="AR226" s="12" t="str">
        <f t="shared" ca="1" si="56"/>
        <v/>
      </c>
      <c r="AS226" s="12" t="str">
        <f t="shared" ca="1" si="57"/>
        <v/>
      </c>
    </row>
    <row r="227" spans="1:45">
      <c r="A227">
        <f t="shared" si="58"/>
        <v>586</v>
      </c>
      <c r="B227" t="str">
        <f t="shared" ca="1" si="39"/>
        <v xml:space="preserve"> </v>
      </c>
      <c r="C227" t="b">
        <f t="shared" ca="1" si="40"/>
        <v>0</v>
      </c>
      <c r="D227" s="284" t="str">
        <f t="shared" ca="1" si="61"/>
        <v/>
      </c>
      <c r="E227" s="96" t="str">
        <f t="shared" ca="1" si="41"/>
        <v/>
      </c>
      <c r="F227" s="96" t="str">
        <f t="shared" ca="1" si="42"/>
        <v/>
      </c>
      <c r="G227" s="293" t="str">
        <f t="shared" ca="1" si="62"/>
        <v/>
      </c>
      <c r="H227" s="284" t="str">
        <f t="shared" ca="1" si="62"/>
        <v/>
      </c>
      <c r="I227" s="96" t="str">
        <f t="shared" ca="1" si="62"/>
        <v/>
      </c>
      <c r="J227" s="96" t="str">
        <f t="shared" ca="1" si="44"/>
        <v/>
      </c>
      <c r="K227" s="96" t="str">
        <f t="shared" ca="1" si="61"/>
        <v/>
      </c>
      <c r="L227" s="96" t="str">
        <f t="shared" ca="1" si="61"/>
        <v/>
      </c>
      <c r="M227" s="294" t="str">
        <f t="shared" ca="1" si="61"/>
        <v/>
      </c>
      <c r="N227" s="295" t="str">
        <f t="shared" ca="1" si="63"/>
        <v/>
      </c>
      <c r="O227" s="96" t="str">
        <f t="shared" ca="1" si="63"/>
        <v/>
      </c>
      <c r="P227" s="96" t="str">
        <f t="shared" ca="1" si="46"/>
        <v/>
      </c>
      <c r="Q227" s="96" t="str">
        <f t="shared" ca="1" si="61"/>
        <v/>
      </c>
      <c r="R227" s="293" t="str">
        <f t="shared" ca="1" si="61"/>
        <v/>
      </c>
      <c r="S227" s="284" t="str">
        <f t="shared" ca="1" si="60"/>
        <v/>
      </c>
      <c r="T227" s="96" t="str">
        <f t="shared" ca="1" si="60"/>
        <v/>
      </c>
      <c r="U227" s="96" t="str">
        <f t="shared" ca="1" si="47"/>
        <v/>
      </c>
      <c r="V227" s="96" t="str">
        <f t="shared" ca="1" si="60"/>
        <v/>
      </c>
      <c r="W227" s="96" t="str">
        <f t="shared" ca="1" si="60"/>
        <v/>
      </c>
      <c r="X227" s="293" t="str">
        <f t="shared" ca="1" si="60"/>
        <v/>
      </c>
      <c r="Y227" s="284" t="str">
        <f t="shared" ca="1" si="60"/>
        <v/>
      </c>
      <c r="Z227" s="96" t="str">
        <f t="shared" ca="1" si="60"/>
        <v/>
      </c>
      <c r="AA227" s="96" t="str">
        <f t="shared" ca="1" si="60"/>
        <v/>
      </c>
      <c r="AB227" s="386" t="str">
        <f t="shared" ca="1" si="60"/>
        <v/>
      </c>
      <c r="AC227" s="293" t="str">
        <f t="shared" ca="1" si="60"/>
        <v/>
      </c>
      <c r="AD227" s="284" t="str">
        <f t="shared" ca="1" si="59"/>
        <v/>
      </c>
      <c r="AE227" s="293" t="str">
        <f t="shared" ca="1" si="59"/>
        <v/>
      </c>
      <c r="AF227" s="284" t="str">
        <f t="shared" ca="1" si="59"/>
        <v/>
      </c>
      <c r="AG227" s="293" t="str">
        <f t="shared" ca="1" si="59"/>
        <v/>
      </c>
      <c r="AH227" s="96"/>
      <c r="AI227" s="96" t="str">
        <f t="shared" ca="1" si="48"/>
        <v/>
      </c>
      <c r="AK227" s="96">
        <f t="shared" ca="1" si="49"/>
        <v>0</v>
      </c>
      <c r="AL227" s="12">
        <f t="shared" ca="1" si="50"/>
        <v>0</v>
      </c>
      <c r="AM227" s="12">
        <f t="shared" ca="1" si="51"/>
        <v>0</v>
      </c>
      <c r="AN227" s="12">
        <f t="shared" ca="1" si="52"/>
        <v>0</v>
      </c>
      <c r="AO227" s="12">
        <f t="shared" ca="1" si="53"/>
        <v>0</v>
      </c>
      <c r="AP227" s="12" t="str">
        <f t="shared" ca="1" si="54"/>
        <v/>
      </c>
      <c r="AQ227" s="12" t="str">
        <f t="shared" ca="1" si="55"/>
        <v/>
      </c>
      <c r="AR227" s="12" t="str">
        <f t="shared" ca="1" si="56"/>
        <v/>
      </c>
      <c r="AS227" s="12" t="str">
        <f t="shared" ca="1" si="57"/>
        <v/>
      </c>
    </row>
    <row r="228" spans="1:45">
      <c r="A228">
        <f t="shared" si="58"/>
        <v>591</v>
      </c>
      <c r="B228" t="str">
        <f t="shared" ca="1" si="39"/>
        <v xml:space="preserve"> </v>
      </c>
      <c r="C228" t="b">
        <f t="shared" ca="1" si="40"/>
        <v>0</v>
      </c>
      <c r="D228" s="284" t="str">
        <f t="shared" ca="1" si="61"/>
        <v/>
      </c>
      <c r="E228" s="96" t="str">
        <f t="shared" ca="1" si="41"/>
        <v/>
      </c>
      <c r="F228" s="96" t="str">
        <f t="shared" ca="1" si="42"/>
        <v/>
      </c>
      <c r="G228" s="293" t="str">
        <f t="shared" ca="1" si="62"/>
        <v/>
      </c>
      <c r="H228" s="284" t="str">
        <f t="shared" ca="1" si="62"/>
        <v/>
      </c>
      <c r="I228" s="96" t="str">
        <f t="shared" ca="1" si="62"/>
        <v/>
      </c>
      <c r="J228" s="96" t="str">
        <f t="shared" ca="1" si="44"/>
        <v/>
      </c>
      <c r="K228" s="96" t="str">
        <f t="shared" ca="1" si="61"/>
        <v/>
      </c>
      <c r="L228" s="96" t="str">
        <f t="shared" ca="1" si="61"/>
        <v/>
      </c>
      <c r="M228" s="294" t="str">
        <f t="shared" ca="1" si="61"/>
        <v/>
      </c>
      <c r="N228" s="295" t="str">
        <f t="shared" ca="1" si="63"/>
        <v/>
      </c>
      <c r="O228" s="96" t="str">
        <f t="shared" ca="1" si="63"/>
        <v/>
      </c>
      <c r="P228" s="96" t="str">
        <f t="shared" ca="1" si="46"/>
        <v/>
      </c>
      <c r="Q228" s="96" t="str">
        <f t="shared" ca="1" si="61"/>
        <v/>
      </c>
      <c r="R228" s="293" t="str">
        <f t="shared" ca="1" si="61"/>
        <v/>
      </c>
      <c r="S228" s="284" t="str">
        <f t="shared" ca="1" si="60"/>
        <v/>
      </c>
      <c r="T228" s="96" t="str">
        <f t="shared" ca="1" si="60"/>
        <v/>
      </c>
      <c r="U228" s="96" t="str">
        <f t="shared" ca="1" si="47"/>
        <v/>
      </c>
      <c r="V228" s="96" t="str">
        <f t="shared" ca="1" si="60"/>
        <v/>
      </c>
      <c r="W228" s="96" t="str">
        <f t="shared" ca="1" si="60"/>
        <v/>
      </c>
      <c r="X228" s="293" t="str">
        <f t="shared" ca="1" si="60"/>
        <v/>
      </c>
      <c r="Y228" s="284" t="str">
        <f t="shared" ca="1" si="60"/>
        <v/>
      </c>
      <c r="Z228" s="96" t="str">
        <f t="shared" ca="1" si="60"/>
        <v/>
      </c>
      <c r="AA228" s="96" t="str">
        <f t="shared" ca="1" si="60"/>
        <v/>
      </c>
      <c r="AB228" s="386" t="str">
        <f t="shared" ca="1" si="60"/>
        <v/>
      </c>
      <c r="AC228" s="293" t="str">
        <f t="shared" ca="1" si="60"/>
        <v/>
      </c>
      <c r="AD228" s="284" t="str">
        <f t="shared" ca="1" si="59"/>
        <v/>
      </c>
      <c r="AE228" s="293" t="str">
        <f t="shared" ca="1" si="59"/>
        <v/>
      </c>
      <c r="AF228" s="284" t="str">
        <f t="shared" ca="1" si="59"/>
        <v/>
      </c>
      <c r="AG228" s="293" t="str">
        <f t="shared" ca="1" si="59"/>
        <v/>
      </c>
      <c r="AH228" s="96"/>
      <c r="AI228" s="96" t="str">
        <f t="shared" ca="1" si="48"/>
        <v/>
      </c>
      <c r="AK228" s="96">
        <f t="shared" ca="1" si="49"/>
        <v>0</v>
      </c>
      <c r="AL228" s="12">
        <f t="shared" ca="1" si="50"/>
        <v>0</v>
      </c>
      <c r="AM228" s="12">
        <f t="shared" ca="1" si="51"/>
        <v>0</v>
      </c>
      <c r="AN228" s="12">
        <f t="shared" ca="1" si="52"/>
        <v>0</v>
      </c>
      <c r="AO228" s="12">
        <f t="shared" ca="1" si="53"/>
        <v>0</v>
      </c>
      <c r="AP228" s="12" t="str">
        <f t="shared" ca="1" si="54"/>
        <v/>
      </c>
      <c r="AQ228" s="12" t="str">
        <f t="shared" ca="1" si="55"/>
        <v/>
      </c>
      <c r="AR228" s="12" t="str">
        <f t="shared" ca="1" si="56"/>
        <v/>
      </c>
      <c r="AS228" s="12" t="str">
        <f t="shared" ca="1" si="57"/>
        <v/>
      </c>
    </row>
    <row r="229" spans="1:45">
      <c r="A229">
        <f t="shared" si="58"/>
        <v>596</v>
      </c>
      <c r="B229" t="str">
        <f t="shared" ca="1" si="39"/>
        <v xml:space="preserve"> </v>
      </c>
      <c r="C229" t="b">
        <f t="shared" ca="1" si="40"/>
        <v>0</v>
      </c>
      <c r="D229" s="284" t="str">
        <f t="shared" ca="1" si="61"/>
        <v/>
      </c>
      <c r="E229" s="96" t="str">
        <f t="shared" ca="1" si="41"/>
        <v/>
      </c>
      <c r="F229" s="96" t="str">
        <f t="shared" ca="1" si="42"/>
        <v/>
      </c>
      <c r="G229" s="293" t="str">
        <f t="shared" ca="1" si="62"/>
        <v/>
      </c>
      <c r="H229" s="284" t="str">
        <f t="shared" ca="1" si="62"/>
        <v/>
      </c>
      <c r="I229" s="96" t="str">
        <f t="shared" ca="1" si="62"/>
        <v/>
      </c>
      <c r="J229" s="96" t="str">
        <f t="shared" ca="1" si="44"/>
        <v/>
      </c>
      <c r="K229" s="96" t="str">
        <f t="shared" ca="1" si="61"/>
        <v/>
      </c>
      <c r="L229" s="96" t="str">
        <f t="shared" ca="1" si="61"/>
        <v/>
      </c>
      <c r="M229" s="294" t="str">
        <f t="shared" ca="1" si="61"/>
        <v/>
      </c>
      <c r="N229" s="295" t="str">
        <f t="shared" ca="1" si="63"/>
        <v/>
      </c>
      <c r="O229" s="96" t="str">
        <f t="shared" ca="1" si="63"/>
        <v/>
      </c>
      <c r="P229" s="96" t="str">
        <f t="shared" ca="1" si="46"/>
        <v/>
      </c>
      <c r="Q229" s="96" t="str">
        <f t="shared" ca="1" si="61"/>
        <v/>
      </c>
      <c r="R229" s="293" t="str">
        <f t="shared" ca="1" si="61"/>
        <v/>
      </c>
      <c r="S229" s="284" t="str">
        <f t="shared" ca="1" si="60"/>
        <v/>
      </c>
      <c r="T229" s="96" t="str">
        <f t="shared" ca="1" si="60"/>
        <v/>
      </c>
      <c r="U229" s="96" t="str">
        <f t="shared" ca="1" si="47"/>
        <v/>
      </c>
      <c r="V229" s="96" t="str">
        <f t="shared" ca="1" si="60"/>
        <v/>
      </c>
      <c r="W229" s="96" t="str">
        <f t="shared" ca="1" si="60"/>
        <v/>
      </c>
      <c r="X229" s="293" t="str">
        <f t="shared" ca="1" si="60"/>
        <v/>
      </c>
      <c r="Y229" s="284" t="str">
        <f t="shared" ca="1" si="60"/>
        <v/>
      </c>
      <c r="Z229" s="96" t="str">
        <f t="shared" ca="1" si="60"/>
        <v/>
      </c>
      <c r="AA229" s="96" t="str">
        <f t="shared" ca="1" si="60"/>
        <v/>
      </c>
      <c r="AB229" s="386" t="str">
        <f t="shared" ca="1" si="60"/>
        <v/>
      </c>
      <c r="AC229" s="293" t="str">
        <f t="shared" ca="1" si="60"/>
        <v/>
      </c>
      <c r="AD229" s="284" t="str">
        <f t="shared" ca="1" si="59"/>
        <v/>
      </c>
      <c r="AE229" s="293" t="str">
        <f t="shared" ca="1" si="59"/>
        <v/>
      </c>
      <c r="AF229" s="284" t="str">
        <f t="shared" ca="1" si="59"/>
        <v/>
      </c>
      <c r="AG229" s="293" t="str">
        <f t="shared" ca="1" si="59"/>
        <v/>
      </c>
      <c r="AH229" s="96"/>
      <c r="AI229" s="96" t="str">
        <f t="shared" ca="1" si="48"/>
        <v/>
      </c>
      <c r="AK229" s="96">
        <f t="shared" ca="1" si="49"/>
        <v>0</v>
      </c>
      <c r="AL229" s="12">
        <f t="shared" ca="1" si="50"/>
        <v>0</v>
      </c>
      <c r="AM229" s="12">
        <f t="shared" ca="1" si="51"/>
        <v>0</v>
      </c>
      <c r="AN229" s="12">
        <f t="shared" ca="1" si="52"/>
        <v>0</v>
      </c>
      <c r="AO229" s="12">
        <f t="shared" ca="1" si="53"/>
        <v>0</v>
      </c>
      <c r="AP229" s="12" t="str">
        <f t="shared" ca="1" si="54"/>
        <v/>
      </c>
      <c r="AQ229" s="12" t="str">
        <f t="shared" ca="1" si="55"/>
        <v/>
      </c>
      <c r="AR229" s="12" t="str">
        <f t="shared" ca="1" si="56"/>
        <v/>
      </c>
      <c r="AS229" s="12" t="str">
        <f t="shared" ca="1" si="57"/>
        <v/>
      </c>
    </row>
    <row r="230" spans="1:45">
      <c r="A230">
        <f t="shared" si="58"/>
        <v>601</v>
      </c>
      <c r="B230" t="str">
        <f t="shared" ca="1" si="39"/>
        <v xml:space="preserve"> </v>
      </c>
      <c r="C230" t="b">
        <f t="shared" ca="1" si="40"/>
        <v>0</v>
      </c>
      <c r="D230" s="284" t="str">
        <f t="shared" ca="1" si="61"/>
        <v/>
      </c>
      <c r="E230" s="96" t="str">
        <f t="shared" ca="1" si="41"/>
        <v/>
      </c>
      <c r="F230" s="96" t="str">
        <f t="shared" ca="1" si="42"/>
        <v/>
      </c>
      <c r="G230" s="293" t="str">
        <f t="shared" ca="1" si="62"/>
        <v/>
      </c>
      <c r="H230" s="284" t="str">
        <f t="shared" ca="1" si="62"/>
        <v/>
      </c>
      <c r="I230" s="96" t="str">
        <f t="shared" ca="1" si="62"/>
        <v/>
      </c>
      <c r="J230" s="96" t="str">
        <f t="shared" ca="1" si="44"/>
        <v/>
      </c>
      <c r="K230" s="96" t="str">
        <f t="shared" ca="1" si="61"/>
        <v/>
      </c>
      <c r="L230" s="96" t="str">
        <f t="shared" ca="1" si="61"/>
        <v/>
      </c>
      <c r="M230" s="294" t="str">
        <f t="shared" ca="1" si="61"/>
        <v/>
      </c>
      <c r="N230" s="295" t="str">
        <f t="shared" ca="1" si="63"/>
        <v/>
      </c>
      <c r="O230" s="96" t="str">
        <f t="shared" ca="1" si="63"/>
        <v/>
      </c>
      <c r="P230" s="96" t="str">
        <f t="shared" ca="1" si="46"/>
        <v/>
      </c>
      <c r="Q230" s="96" t="str">
        <f t="shared" ca="1" si="61"/>
        <v/>
      </c>
      <c r="R230" s="293" t="str">
        <f t="shared" ca="1" si="61"/>
        <v/>
      </c>
      <c r="S230" s="284" t="str">
        <f t="shared" ca="1" si="60"/>
        <v/>
      </c>
      <c r="T230" s="96" t="str">
        <f t="shared" ca="1" si="60"/>
        <v/>
      </c>
      <c r="U230" s="96" t="str">
        <f t="shared" ca="1" si="47"/>
        <v/>
      </c>
      <c r="V230" s="96" t="str">
        <f t="shared" ca="1" si="60"/>
        <v/>
      </c>
      <c r="W230" s="96" t="str">
        <f t="shared" ca="1" si="60"/>
        <v/>
      </c>
      <c r="X230" s="293" t="str">
        <f t="shared" ca="1" si="60"/>
        <v/>
      </c>
      <c r="Y230" s="284" t="str">
        <f t="shared" ca="1" si="60"/>
        <v/>
      </c>
      <c r="Z230" s="96" t="str">
        <f t="shared" ca="1" si="60"/>
        <v/>
      </c>
      <c r="AA230" s="96" t="str">
        <f t="shared" ca="1" si="60"/>
        <v/>
      </c>
      <c r="AB230" s="386" t="str">
        <f t="shared" ca="1" si="60"/>
        <v/>
      </c>
      <c r="AC230" s="293" t="str">
        <f t="shared" ca="1" si="60"/>
        <v/>
      </c>
      <c r="AD230" s="284" t="str">
        <f t="shared" ca="1" si="59"/>
        <v/>
      </c>
      <c r="AE230" s="293" t="str">
        <f t="shared" ca="1" si="59"/>
        <v/>
      </c>
      <c r="AF230" s="284" t="str">
        <f t="shared" ca="1" si="59"/>
        <v/>
      </c>
      <c r="AG230" s="293" t="str">
        <f t="shared" ca="1" si="59"/>
        <v/>
      </c>
      <c r="AH230" s="96"/>
      <c r="AI230" s="96" t="str">
        <f t="shared" ca="1" si="48"/>
        <v/>
      </c>
      <c r="AK230" s="96">
        <f t="shared" ca="1" si="49"/>
        <v>0</v>
      </c>
      <c r="AL230" s="12">
        <f t="shared" ca="1" si="50"/>
        <v>0</v>
      </c>
      <c r="AM230" s="12">
        <f t="shared" ca="1" si="51"/>
        <v>0</v>
      </c>
      <c r="AN230" s="12">
        <f t="shared" ca="1" si="52"/>
        <v>0</v>
      </c>
      <c r="AO230" s="12">
        <f t="shared" ca="1" si="53"/>
        <v>0</v>
      </c>
      <c r="AP230" s="12" t="str">
        <f t="shared" ca="1" si="54"/>
        <v/>
      </c>
      <c r="AQ230" s="12" t="str">
        <f t="shared" ca="1" si="55"/>
        <v/>
      </c>
      <c r="AR230" s="12" t="str">
        <f t="shared" ca="1" si="56"/>
        <v/>
      </c>
      <c r="AS230" s="12" t="str">
        <f t="shared" ca="1" si="57"/>
        <v/>
      </c>
    </row>
    <row r="231" spans="1:45">
      <c r="A231">
        <f t="shared" si="58"/>
        <v>606</v>
      </c>
      <c r="B231" t="str">
        <f t="shared" ca="1" si="39"/>
        <v xml:space="preserve"> </v>
      </c>
      <c r="C231" t="b">
        <f t="shared" ca="1" si="40"/>
        <v>0</v>
      </c>
      <c r="D231" s="284" t="str">
        <f t="shared" ca="1" si="61"/>
        <v/>
      </c>
      <c r="E231" s="96" t="str">
        <f t="shared" ca="1" si="41"/>
        <v/>
      </c>
      <c r="F231" s="96" t="str">
        <f t="shared" ca="1" si="42"/>
        <v/>
      </c>
      <c r="G231" s="293" t="str">
        <f t="shared" ca="1" si="62"/>
        <v/>
      </c>
      <c r="H231" s="284" t="str">
        <f t="shared" ca="1" si="62"/>
        <v/>
      </c>
      <c r="I231" s="96" t="str">
        <f t="shared" ca="1" si="62"/>
        <v/>
      </c>
      <c r="J231" s="96" t="str">
        <f t="shared" ca="1" si="44"/>
        <v/>
      </c>
      <c r="K231" s="96" t="str">
        <f t="shared" ca="1" si="61"/>
        <v/>
      </c>
      <c r="L231" s="96" t="str">
        <f t="shared" ca="1" si="61"/>
        <v/>
      </c>
      <c r="M231" s="294" t="str">
        <f t="shared" ca="1" si="61"/>
        <v/>
      </c>
      <c r="N231" s="295" t="str">
        <f t="shared" ca="1" si="63"/>
        <v/>
      </c>
      <c r="O231" s="96" t="str">
        <f t="shared" ca="1" si="63"/>
        <v/>
      </c>
      <c r="P231" s="96" t="str">
        <f t="shared" ca="1" si="46"/>
        <v/>
      </c>
      <c r="Q231" s="96" t="str">
        <f t="shared" ca="1" si="61"/>
        <v/>
      </c>
      <c r="R231" s="293" t="str">
        <f t="shared" ca="1" si="61"/>
        <v/>
      </c>
      <c r="S231" s="284" t="str">
        <f t="shared" ca="1" si="60"/>
        <v/>
      </c>
      <c r="T231" s="96" t="str">
        <f t="shared" ca="1" si="60"/>
        <v/>
      </c>
      <c r="U231" s="96" t="str">
        <f t="shared" ca="1" si="47"/>
        <v/>
      </c>
      <c r="V231" s="96" t="str">
        <f t="shared" ca="1" si="60"/>
        <v/>
      </c>
      <c r="W231" s="96" t="str">
        <f t="shared" ca="1" si="60"/>
        <v/>
      </c>
      <c r="X231" s="293" t="str">
        <f t="shared" ca="1" si="60"/>
        <v/>
      </c>
      <c r="Y231" s="284" t="str">
        <f t="shared" ca="1" si="60"/>
        <v/>
      </c>
      <c r="Z231" s="96" t="str">
        <f t="shared" ca="1" si="60"/>
        <v/>
      </c>
      <c r="AA231" s="96" t="str">
        <f t="shared" ca="1" si="60"/>
        <v/>
      </c>
      <c r="AB231" s="386" t="str">
        <f t="shared" ca="1" si="60"/>
        <v/>
      </c>
      <c r="AC231" s="293" t="str">
        <f t="shared" ca="1" si="60"/>
        <v/>
      </c>
      <c r="AD231" s="284" t="str">
        <f t="shared" ca="1" si="59"/>
        <v/>
      </c>
      <c r="AE231" s="293" t="str">
        <f t="shared" ca="1" si="59"/>
        <v/>
      </c>
      <c r="AF231" s="284" t="str">
        <f t="shared" ca="1" si="59"/>
        <v/>
      </c>
      <c r="AG231" s="293" t="str">
        <f t="shared" ca="1" si="59"/>
        <v/>
      </c>
      <c r="AH231" s="96"/>
      <c r="AI231" s="96" t="str">
        <f t="shared" ca="1" si="48"/>
        <v/>
      </c>
      <c r="AK231" s="96">
        <f t="shared" ca="1" si="49"/>
        <v>0</v>
      </c>
      <c r="AL231" s="12">
        <f t="shared" ca="1" si="50"/>
        <v>0</v>
      </c>
      <c r="AM231" s="12">
        <f t="shared" ca="1" si="51"/>
        <v>0</v>
      </c>
      <c r="AN231" s="12">
        <f t="shared" ca="1" si="52"/>
        <v>0</v>
      </c>
      <c r="AO231" s="12">
        <f t="shared" ca="1" si="53"/>
        <v>0</v>
      </c>
      <c r="AP231" s="12" t="str">
        <f t="shared" ca="1" si="54"/>
        <v/>
      </c>
      <c r="AQ231" s="12" t="str">
        <f t="shared" ca="1" si="55"/>
        <v/>
      </c>
      <c r="AR231" s="12" t="str">
        <f t="shared" ca="1" si="56"/>
        <v/>
      </c>
      <c r="AS231" s="12" t="str">
        <f t="shared" ca="1" si="57"/>
        <v/>
      </c>
    </row>
    <row r="232" spans="1:45">
      <c r="A232">
        <f t="shared" si="58"/>
        <v>611</v>
      </c>
      <c r="B232" t="str">
        <f t="shared" ca="1" si="39"/>
        <v xml:space="preserve"> </v>
      </c>
      <c r="C232" t="b">
        <f t="shared" ca="1" si="40"/>
        <v>0</v>
      </c>
      <c r="D232" s="284" t="str">
        <f t="shared" ca="1" si="61"/>
        <v/>
      </c>
      <c r="E232" s="96" t="str">
        <f t="shared" ca="1" si="41"/>
        <v/>
      </c>
      <c r="F232" s="96" t="str">
        <f t="shared" ca="1" si="42"/>
        <v/>
      </c>
      <c r="G232" s="293" t="str">
        <f t="shared" ca="1" si="62"/>
        <v/>
      </c>
      <c r="H232" s="284" t="str">
        <f t="shared" ca="1" si="62"/>
        <v/>
      </c>
      <c r="I232" s="96" t="str">
        <f t="shared" ca="1" si="62"/>
        <v/>
      </c>
      <c r="J232" s="96" t="str">
        <f t="shared" ca="1" si="44"/>
        <v/>
      </c>
      <c r="K232" s="96" t="str">
        <f t="shared" ca="1" si="61"/>
        <v/>
      </c>
      <c r="L232" s="96" t="str">
        <f t="shared" ca="1" si="61"/>
        <v/>
      </c>
      <c r="M232" s="294" t="str">
        <f t="shared" ca="1" si="61"/>
        <v/>
      </c>
      <c r="N232" s="295" t="str">
        <f t="shared" ca="1" si="63"/>
        <v/>
      </c>
      <c r="O232" s="96" t="str">
        <f t="shared" ca="1" si="63"/>
        <v/>
      </c>
      <c r="P232" s="96" t="str">
        <f t="shared" ca="1" si="46"/>
        <v/>
      </c>
      <c r="Q232" s="96" t="str">
        <f t="shared" ca="1" si="61"/>
        <v/>
      </c>
      <c r="R232" s="293" t="str">
        <f t="shared" ca="1" si="61"/>
        <v/>
      </c>
      <c r="S232" s="284" t="str">
        <f t="shared" ca="1" si="60"/>
        <v/>
      </c>
      <c r="T232" s="96" t="str">
        <f t="shared" ca="1" si="60"/>
        <v/>
      </c>
      <c r="U232" s="96" t="str">
        <f t="shared" ca="1" si="47"/>
        <v/>
      </c>
      <c r="V232" s="96" t="str">
        <f t="shared" ca="1" si="60"/>
        <v/>
      </c>
      <c r="W232" s="96" t="str">
        <f t="shared" ca="1" si="60"/>
        <v/>
      </c>
      <c r="X232" s="293" t="str">
        <f t="shared" ca="1" si="60"/>
        <v/>
      </c>
      <c r="Y232" s="284" t="str">
        <f t="shared" ca="1" si="60"/>
        <v/>
      </c>
      <c r="Z232" s="96" t="str">
        <f t="shared" ca="1" si="60"/>
        <v/>
      </c>
      <c r="AA232" s="96" t="str">
        <f t="shared" ca="1" si="60"/>
        <v/>
      </c>
      <c r="AB232" s="386" t="str">
        <f t="shared" ca="1" si="60"/>
        <v/>
      </c>
      <c r="AC232" s="293" t="str">
        <f t="shared" ca="1" si="60"/>
        <v/>
      </c>
      <c r="AD232" s="284" t="str">
        <f t="shared" ca="1" si="59"/>
        <v/>
      </c>
      <c r="AE232" s="293" t="str">
        <f t="shared" ca="1" si="59"/>
        <v/>
      </c>
      <c r="AF232" s="284" t="str">
        <f t="shared" ca="1" si="59"/>
        <v/>
      </c>
      <c r="AG232" s="293" t="str">
        <f t="shared" ca="1" si="59"/>
        <v/>
      </c>
      <c r="AH232" s="96"/>
      <c r="AI232" s="96" t="str">
        <f t="shared" ca="1" si="48"/>
        <v/>
      </c>
      <c r="AK232" s="96">
        <f t="shared" ca="1" si="49"/>
        <v>0</v>
      </c>
      <c r="AL232" s="12">
        <f t="shared" ca="1" si="50"/>
        <v>0</v>
      </c>
      <c r="AM232" s="12">
        <f t="shared" ca="1" si="51"/>
        <v>0</v>
      </c>
      <c r="AN232" s="12">
        <f t="shared" ca="1" si="52"/>
        <v>0</v>
      </c>
      <c r="AO232" s="12">
        <f t="shared" ca="1" si="53"/>
        <v>0</v>
      </c>
      <c r="AP232" s="12" t="str">
        <f t="shared" ca="1" si="54"/>
        <v/>
      </c>
      <c r="AQ232" s="12" t="str">
        <f t="shared" ca="1" si="55"/>
        <v/>
      </c>
      <c r="AR232" s="12" t="str">
        <f t="shared" ca="1" si="56"/>
        <v/>
      </c>
      <c r="AS232" s="12" t="str">
        <f t="shared" ca="1" si="57"/>
        <v/>
      </c>
    </row>
    <row r="233" spans="1:45">
      <c r="A233">
        <f t="shared" si="58"/>
        <v>616</v>
      </c>
      <c r="B233" t="str">
        <f t="shared" ca="1" si="39"/>
        <v xml:space="preserve"> </v>
      </c>
      <c r="C233" t="b">
        <f t="shared" ca="1" si="40"/>
        <v>0</v>
      </c>
      <c r="D233" s="284" t="str">
        <f t="shared" ca="1" si="61"/>
        <v/>
      </c>
      <c r="E233" s="96" t="str">
        <f t="shared" ca="1" si="41"/>
        <v/>
      </c>
      <c r="F233" s="96" t="str">
        <f t="shared" ca="1" si="42"/>
        <v/>
      </c>
      <c r="G233" s="293" t="str">
        <f t="shared" ca="1" si="62"/>
        <v/>
      </c>
      <c r="H233" s="284" t="str">
        <f t="shared" ca="1" si="62"/>
        <v/>
      </c>
      <c r="I233" s="96" t="str">
        <f t="shared" ca="1" si="62"/>
        <v/>
      </c>
      <c r="J233" s="96" t="str">
        <f t="shared" ca="1" si="44"/>
        <v/>
      </c>
      <c r="K233" s="96" t="str">
        <f t="shared" ca="1" si="61"/>
        <v/>
      </c>
      <c r="L233" s="96" t="str">
        <f t="shared" ca="1" si="61"/>
        <v/>
      </c>
      <c r="M233" s="294" t="str">
        <f t="shared" ca="1" si="61"/>
        <v/>
      </c>
      <c r="N233" s="295" t="str">
        <f t="shared" ca="1" si="63"/>
        <v/>
      </c>
      <c r="O233" s="96" t="str">
        <f t="shared" ca="1" si="63"/>
        <v/>
      </c>
      <c r="P233" s="96" t="str">
        <f t="shared" ca="1" si="46"/>
        <v/>
      </c>
      <c r="Q233" s="96" t="str">
        <f t="shared" ca="1" si="61"/>
        <v/>
      </c>
      <c r="R233" s="293" t="str">
        <f t="shared" ca="1" si="61"/>
        <v/>
      </c>
      <c r="S233" s="284" t="str">
        <f t="shared" ca="1" si="60"/>
        <v/>
      </c>
      <c r="T233" s="96" t="str">
        <f t="shared" ca="1" si="60"/>
        <v/>
      </c>
      <c r="U233" s="96" t="str">
        <f t="shared" ca="1" si="47"/>
        <v/>
      </c>
      <c r="V233" s="96" t="str">
        <f t="shared" ca="1" si="60"/>
        <v/>
      </c>
      <c r="W233" s="96" t="str">
        <f t="shared" ca="1" si="60"/>
        <v/>
      </c>
      <c r="X233" s="293" t="str">
        <f t="shared" ca="1" si="60"/>
        <v/>
      </c>
      <c r="Y233" s="284" t="str">
        <f t="shared" ca="1" si="60"/>
        <v/>
      </c>
      <c r="Z233" s="96" t="str">
        <f t="shared" ca="1" si="60"/>
        <v/>
      </c>
      <c r="AA233" s="96" t="str">
        <f t="shared" ca="1" si="60"/>
        <v/>
      </c>
      <c r="AB233" s="386" t="str">
        <f t="shared" ca="1" si="60"/>
        <v/>
      </c>
      <c r="AC233" s="293" t="str">
        <f t="shared" ca="1" si="60"/>
        <v/>
      </c>
      <c r="AD233" s="284" t="str">
        <f t="shared" ca="1" si="59"/>
        <v/>
      </c>
      <c r="AE233" s="293" t="str">
        <f t="shared" ca="1" si="59"/>
        <v/>
      </c>
      <c r="AF233" s="284" t="str">
        <f t="shared" ca="1" si="59"/>
        <v/>
      </c>
      <c r="AG233" s="293" t="str">
        <f t="shared" ca="1" si="59"/>
        <v/>
      </c>
      <c r="AH233" s="96"/>
      <c r="AI233" s="96" t="str">
        <f t="shared" ca="1" si="48"/>
        <v/>
      </c>
      <c r="AK233" s="96">
        <f t="shared" ca="1" si="49"/>
        <v>0</v>
      </c>
      <c r="AL233" s="12">
        <f t="shared" ca="1" si="50"/>
        <v>0</v>
      </c>
      <c r="AM233" s="12">
        <f t="shared" ca="1" si="51"/>
        <v>0</v>
      </c>
      <c r="AN233" s="12">
        <f t="shared" ca="1" si="52"/>
        <v>0</v>
      </c>
      <c r="AO233" s="12">
        <f t="shared" ca="1" si="53"/>
        <v>0</v>
      </c>
      <c r="AP233" s="12" t="str">
        <f t="shared" ca="1" si="54"/>
        <v/>
      </c>
      <c r="AQ233" s="12" t="str">
        <f t="shared" ca="1" si="55"/>
        <v/>
      </c>
      <c r="AR233" s="12" t="str">
        <f t="shared" ca="1" si="56"/>
        <v/>
      </c>
      <c r="AS233" s="12" t="str">
        <f t="shared" ca="1" si="57"/>
        <v/>
      </c>
    </row>
    <row r="234" spans="1:45">
      <c r="A234">
        <f t="shared" si="58"/>
        <v>621</v>
      </c>
      <c r="B234" t="str">
        <f t="shared" ca="1" si="39"/>
        <v xml:space="preserve"> </v>
      </c>
      <c r="C234" t="b">
        <f t="shared" ca="1" si="40"/>
        <v>0</v>
      </c>
      <c r="D234" s="284" t="str">
        <f t="shared" ca="1" si="61"/>
        <v/>
      </c>
      <c r="E234" s="96" t="str">
        <f t="shared" ca="1" si="41"/>
        <v/>
      </c>
      <c r="F234" s="96" t="str">
        <f t="shared" ca="1" si="42"/>
        <v/>
      </c>
      <c r="G234" s="293" t="str">
        <f t="shared" ca="1" si="62"/>
        <v/>
      </c>
      <c r="H234" s="284" t="str">
        <f t="shared" ca="1" si="62"/>
        <v/>
      </c>
      <c r="I234" s="96" t="str">
        <f t="shared" ca="1" si="62"/>
        <v/>
      </c>
      <c r="J234" s="96" t="str">
        <f t="shared" ca="1" si="44"/>
        <v/>
      </c>
      <c r="K234" s="96" t="str">
        <f t="shared" ca="1" si="61"/>
        <v/>
      </c>
      <c r="L234" s="96" t="str">
        <f t="shared" ca="1" si="61"/>
        <v/>
      </c>
      <c r="M234" s="294" t="str">
        <f t="shared" ca="1" si="61"/>
        <v/>
      </c>
      <c r="N234" s="295" t="str">
        <f t="shared" ca="1" si="63"/>
        <v/>
      </c>
      <c r="O234" s="96" t="str">
        <f t="shared" ca="1" si="63"/>
        <v/>
      </c>
      <c r="P234" s="96" t="str">
        <f t="shared" ca="1" si="46"/>
        <v/>
      </c>
      <c r="Q234" s="96" t="str">
        <f t="shared" ca="1" si="61"/>
        <v/>
      </c>
      <c r="R234" s="293" t="str">
        <f t="shared" ca="1" si="61"/>
        <v/>
      </c>
      <c r="S234" s="284" t="str">
        <f t="shared" ca="1" si="60"/>
        <v/>
      </c>
      <c r="T234" s="96" t="str">
        <f t="shared" ca="1" si="60"/>
        <v/>
      </c>
      <c r="U234" s="96" t="str">
        <f t="shared" ca="1" si="47"/>
        <v/>
      </c>
      <c r="V234" s="96" t="str">
        <f t="shared" ca="1" si="60"/>
        <v/>
      </c>
      <c r="W234" s="96" t="str">
        <f t="shared" ca="1" si="60"/>
        <v/>
      </c>
      <c r="X234" s="293" t="str">
        <f t="shared" ca="1" si="60"/>
        <v/>
      </c>
      <c r="Y234" s="284" t="str">
        <f t="shared" ca="1" si="60"/>
        <v/>
      </c>
      <c r="Z234" s="96" t="str">
        <f t="shared" ca="1" si="60"/>
        <v/>
      </c>
      <c r="AA234" s="96" t="str">
        <f t="shared" ca="1" si="60"/>
        <v/>
      </c>
      <c r="AB234" s="386" t="str">
        <f t="shared" ca="1" si="60"/>
        <v/>
      </c>
      <c r="AC234" s="293" t="str">
        <f t="shared" ca="1" si="60"/>
        <v/>
      </c>
      <c r="AD234" s="284" t="str">
        <f t="shared" ca="1" si="59"/>
        <v/>
      </c>
      <c r="AE234" s="293" t="str">
        <f t="shared" ca="1" si="59"/>
        <v/>
      </c>
      <c r="AF234" s="284" t="str">
        <f t="shared" ca="1" si="59"/>
        <v/>
      </c>
      <c r="AG234" s="293" t="str">
        <f t="shared" ca="1" si="59"/>
        <v/>
      </c>
      <c r="AH234" s="96"/>
      <c r="AI234" s="96" t="str">
        <f t="shared" ca="1" si="48"/>
        <v/>
      </c>
      <c r="AK234" s="96">
        <f t="shared" ca="1" si="49"/>
        <v>0</v>
      </c>
      <c r="AL234" s="12">
        <f t="shared" ca="1" si="50"/>
        <v>0</v>
      </c>
      <c r="AM234" s="12">
        <f t="shared" ca="1" si="51"/>
        <v>0</v>
      </c>
      <c r="AN234" s="12">
        <f t="shared" ca="1" si="52"/>
        <v>0</v>
      </c>
      <c r="AO234" s="12">
        <f t="shared" ca="1" si="53"/>
        <v>0</v>
      </c>
      <c r="AP234" s="12" t="str">
        <f t="shared" ca="1" si="54"/>
        <v/>
      </c>
      <c r="AQ234" s="12" t="str">
        <f t="shared" ca="1" si="55"/>
        <v/>
      </c>
      <c r="AR234" s="12" t="str">
        <f t="shared" ca="1" si="56"/>
        <v/>
      </c>
      <c r="AS234" s="12" t="str">
        <f t="shared" ca="1" si="57"/>
        <v/>
      </c>
    </row>
    <row r="235" spans="1:45">
      <c r="A235">
        <f t="shared" si="58"/>
        <v>626</v>
      </c>
      <c r="B235" t="str">
        <f t="shared" ca="1" si="39"/>
        <v xml:space="preserve"> </v>
      </c>
      <c r="C235" t="b">
        <f t="shared" ca="1" si="40"/>
        <v>0</v>
      </c>
      <c r="D235" s="284" t="str">
        <f t="shared" ca="1" si="61"/>
        <v/>
      </c>
      <c r="E235" s="96" t="str">
        <f t="shared" ca="1" si="41"/>
        <v/>
      </c>
      <c r="F235" s="96" t="str">
        <f t="shared" ca="1" si="42"/>
        <v/>
      </c>
      <c r="G235" s="293" t="str">
        <f t="shared" ca="1" si="62"/>
        <v/>
      </c>
      <c r="H235" s="284" t="str">
        <f t="shared" ca="1" si="62"/>
        <v/>
      </c>
      <c r="I235" s="96" t="str">
        <f t="shared" ca="1" si="62"/>
        <v/>
      </c>
      <c r="J235" s="96" t="str">
        <f t="shared" ca="1" si="44"/>
        <v/>
      </c>
      <c r="K235" s="96" t="str">
        <f t="shared" ca="1" si="61"/>
        <v/>
      </c>
      <c r="L235" s="96" t="str">
        <f t="shared" ca="1" si="61"/>
        <v/>
      </c>
      <c r="M235" s="294" t="str">
        <f t="shared" ca="1" si="61"/>
        <v/>
      </c>
      <c r="N235" s="295" t="str">
        <f t="shared" ca="1" si="63"/>
        <v/>
      </c>
      <c r="O235" s="96" t="str">
        <f t="shared" ca="1" si="63"/>
        <v/>
      </c>
      <c r="P235" s="96" t="str">
        <f t="shared" ca="1" si="46"/>
        <v/>
      </c>
      <c r="Q235" s="96" t="str">
        <f t="shared" ca="1" si="61"/>
        <v/>
      </c>
      <c r="R235" s="293" t="str">
        <f t="shared" ca="1" si="61"/>
        <v/>
      </c>
      <c r="S235" s="284" t="str">
        <f t="shared" ca="1" si="60"/>
        <v/>
      </c>
      <c r="T235" s="96" t="str">
        <f t="shared" ref="S235:AC260" ca="1" si="64">IF($C235=FALSE,"",INDIRECT("Installations!" &amp; T$120 &amp; $A235+2))</f>
        <v/>
      </c>
      <c r="U235" s="96" t="str">
        <f t="shared" ca="1" si="47"/>
        <v/>
      </c>
      <c r="V235" s="96" t="str">
        <f t="shared" ca="1" si="64"/>
        <v/>
      </c>
      <c r="W235" s="96" t="str">
        <f t="shared" ca="1" si="64"/>
        <v/>
      </c>
      <c r="X235" s="293" t="str">
        <f t="shared" ca="1" si="64"/>
        <v/>
      </c>
      <c r="Y235" s="284" t="str">
        <f t="shared" ca="1" si="64"/>
        <v/>
      </c>
      <c r="Z235" s="96" t="str">
        <f t="shared" ca="1" si="64"/>
        <v/>
      </c>
      <c r="AA235" s="96" t="str">
        <f t="shared" ca="1" si="64"/>
        <v/>
      </c>
      <c r="AB235" s="386" t="str">
        <f t="shared" ca="1" si="64"/>
        <v/>
      </c>
      <c r="AC235" s="293" t="str">
        <f t="shared" ca="1" si="64"/>
        <v/>
      </c>
      <c r="AD235" s="284" t="str">
        <f t="shared" ca="1" si="59"/>
        <v/>
      </c>
      <c r="AE235" s="293" t="str">
        <f t="shared" ca="1" si="59"/>
        <v/>
      </c>
      <c r="AF235" s="284" t="str">
        <f t="shared" ca="1" si="59"/>
        <v/>
      </c>
      <c r="AG235" s="293" t="str">
        <f t="shared" ca="1" si="59"/>
        <v/>
      </c>
      <c r="AH235" s="96"/>
      <c r="AI235" s="96" t="str">
        <f t="shared" ca="1" si="48"/>
        <v/>
      </c>
      <c r="AK235" s="96">
        <f t="shared" ca="1" si="49"/>
        <v>0</v>
      </c>
      <c r="AL235" s="12">
        <f t="shared" ca="1" si="50"/>
        <v>0</v>
      </c>
      <c r="AM235" s="12">
        <f t="shared" ca="1" si="51"/>
        <v>0</v>
      </c>
      <c r="AN235" s="12">
        <f t="shared" ca="1" si="52"/>
        <v>0</v>
      </c>
      <c r="AO235" s="12">
        <f t="shared" ca="1" si="53"/>
        <v>0</v>
      </c>
      <c r="AP235" s="12" t="str">
        <f t="shared" ca="1" si="54"/>
        <v/>
      </c>
      <c r="AQ235" s="12" t="str">
        <f t="shared" ca="1" si="55"/>
        <v/>
      </c>
      <c r="AR235" s="12" t="str">
        <f t="shared" ca="1" si="56"/>
        <v/>
      </c>
      <c r="AS235" s="12" t="str">
        <f t="shared" ca="1" si="57"/>
        <v/>
      </c>
    </row>
    <row r="236" spans="1:45">
      <c r="A236">
        <f t="shared" si="58"/>
        <v>631</v>
      </c>
      <c r="B236" t="str">
        <f t="shared" ca="1" si="39"/>
        <v xml:space="preserve"> </v>
      </c>
      <c r="C236" t="b">
        <f t="shared" ca="1" si="40"/>
        <v>0</v>
      </c>
      <c r="D236" s="284" t="str">
        <f t="shared" ca="1" si="61"/>
        <v/>
      </c>
      <c r="E236" s="96" t="str">
        <f t="shared" ca="1" si="41"/>
        <v/>
      </c>
      <c r="F236" s="96" t="str">
        <f t="shared" ca="1" si="42"/>
        <v/>
      </c>
      <c r="G236" s="293" t="str">
        <f t="shared" ca="1" si="62"/>
        <v/>
      </c>
      <c r="H236" s="284" t="str">
        <f t="shared" ca="1" si="62"/>
        <v/>
      </c>
      <c r="I236" s="96" t="str">
        <f t="shared" ca="1" si="62"/>
        <v/>
      </c>
      <c r="J236" s="96" t="str">
        <f t="shared" ca="1" si="44"/>
        <v/>
      </c>
      <c r="K236" s="96" t="str">
        <f t="shared" ca="1" si="61"/>
        <v/>
      </c>
      <c r="L236" s="96" t="str">
        <f t="shared" ca="1" si="61"/>
        <v/>
      </c>
      <c r="M236" s="294" t="str">
        <f t="shared" ca="1" si="61"/>
        <v/>
      </c>
      <c r="N236" s="295" t="str">
        <f t="shared" ca="1" si="63"/>
        <v/>
      </c>
      <c r="O236" s="96" t="str">
        <f t="shared" ca="1" si="63"/>
        <v/>
      </c>
      <c r="P236" s="96" t="str">
        <f t="shared" ca="1" si="46"/>
        <v/>
      </c>
      <c r="Q236" s="96" t="str">
        <f t="shared" ca="1" si="61"/>
        <v/>
      </c>
      <c r="R236" s="293" t="str">
        <f t="shared" ca="1" si="61"/>
        <v/>
      </c>
      <c r="S236" s="284" t="str">
        <f t="shared" ca="1" si="64"/>
        <v/>
      </c>
      <c r="T236" s="96" t="str">
        <f t="shared" ca="1" si="64"/>
        <v/>
      </c>
      <c r="U236" s="96" t="str">
        <f t="shared" ca="1" si="47"/>
        <v/>
      </c>
      <c r="V236" s="96" t="str">
        <f t="shared" ca="1" si="64"/>
        <v/>
      </c>
      <c r="W236" s="96" t="str">
        <f t="shared" ca="1" si="64"/>
        <v/>
      </c>
      <c r="X236" s="293" t="str">
        <f t="shared" ca="1" si="64"/>
        <v/>
      </c>
      <c r="Y236" s="284" t="str">
        <f t="shared" ca="1" si="64"/>
        <v/>
      </c>
      <c r="Z236" s="96" t="str">
        <f t="shared" ca="1" si="64"/>
        <v/>
      </c>
      <c r="AA236" s="96" t="str">
        <f t="shared" ca="1" si="64"/>
        <v/>
      </c>
      <c r="AB236" s="386" t="str">
        <f t="shared" ca="1" si="64"/>
        <v/>
      </c>
      <c r="AC236" s="293" t="str">
        <f t="shared" ca="1" si="64"/>
        <v/>
      </c>
      <c r="AD236" s="284" t="str">
        <f t="shared" ca="1" si="59"/>
        <v/>
      </c>
      <c r="AE236" s="293" t="str">
        <f t="shared" ca="1" si="59"/>
        <v/>
      </c>
      <c r="AF236" s="284" t="str">
        <f t="shared" ca="1" si="59"/>
        <v/>
      </c>
      <c r="AG236" s="293" t="str">
        <f t="shared" ca="1" si="59"/>
        <v/>
      </c>
      <c r="AH236" s="96"/>
      <c r="AI236" s="96" t="str">
        <f t="shared" ca="1" si="48"/>
        <v/>
      </c>
      <c r="AK236" s="96">
        <f t="shared" ca="1" si="49"/>
        <v>0</v>
      </c>
      <c r="AL236" s="12">
        <f t="shared" ca="1" si="50"/>
        <v>0</v>
      </c>
      <c r="AM236" s="12">
        <f t="shared" ca="1" si="51"/>
        <v>0</v>
      </c>
      <c r="AN236" s="12">
        <f t="shared" ca="1" si="52"/>
        <v>0</v>
      </c>
      <c r="AO236" s="12">
        <f t="shared" ca="1" si="53"/>
        <v>0</v>
      </c>
      <c r="AP236" s="12" t="str">
        <f t="shared" ca="1" si="54"/>
        <v/>
      </c>
      <c r="AQ236" s="12" t="str">
        <f t="shared" ca="1" si="55"/>
        <v/>
      </c>
      <c r="AR236" s="12" t="str">
        <f t="shared" ca="1" si="56"/>
        <v/>
      </c>
      <c r="AS236" s="12" t="str">
        <f t="shared" ca="1" si="57"/>
        <v/>
      </c>
    </row>
    <row r="237" spans="1:45">
      <c r="A237" s="690">
        <f>A236+8</f>
        <v>639</v>
      </c>
      <c r="B237" t="str">
        <f t="shared" ca="1" si="39"/>
        <v xml:space="preserve"> </v>
      </c>
      <c r="C237" t="b">
        <f t="shared" ca="1" si="40"/>
        <v>0</v>
      </c>
      <c r="D237" s="284" t="str">
        <f t="shared" ca="1" si="61"/>
        <v/>
      </c>
      <c r="E237" s="96" t="str">
        <f t="shared" ca="1" si="41"/>
        <v/>
      </c>
      <c r="F237" s="96" t="str">
        <f t="shared" ca="1" si="42"/>
        <v/>
      </c>
      <c r="G237" s="293" t="str">
        <f t="shared" ca="1" si="62"/>
        <v/>
      </c>
      <c r="H237" s="284" t="str">
        <f t="shared" ca="1" si="62"/>
        <v/>
      </c>
      <c r="I237" s="96" t="str">
        <f t="shared" ca="1" si="62"/>
        <v/>
      </c>
      <c r="J237" s="96" t="str">
        <f t="shared" ca="1" si="44"/>
        <v/>
      </c>
      <c r="K237" s="96" t="str">
        <f t="shared" ca="1" si="61"/>
        <v/>
      </c>
      <c r="L237" s="96" t="str">
        <f t="shared" ca="1" si="61"/>
        <v/>
      </c>
      <c r="M237" s="294" t="str">
        <f t="shared" ca="1" si="61"/>
        <v/>
      </c>
      <c r="N237" s="295" t="str">
        <f t="shared" ca="1" si="63"/>
        <v/>
      </c>
      <c r="O237" s="96" t="str">
        <f t="shared" ca="1" si="63"/>
        <v/>
      </c>
      <c r="P237" s="96" t="str">
        <f t="shared" ca="1" si="46"/>
        <v/>
      </c>
      <c r="Q237" s="96" t="str">
        <f t="shared" ca="1" si="61"/>
        <v/>
      </c>
      <c r="R237" s="293" t="str">
        <f t="shared" ca="1" si="61"/>
        <v/>
      </c>
      <c r="S237" s="284" t="str">
        <f t="shared" ca="1" si="64"/>
        <v/>
      </c>
      <c r="T237" s="96" t="str">
        <f t="shared" ca="1" si="64"/>
        <v/>
      </c>
      <c r="U237" s="96" t="str">
        <f t="shared" ca="1" si="47"/>
        <v/>
      </c>
      <c r="V237" s="96" t="str">
        <f t="shared" ca="1" si="64"/>
        <v/>
      </c>
      <c r="W237" s="96" t="str">
        <f t="shared" ca="1" si="64"/>
        <v/>
      </c>
      <c r="X237" s="293" t="str">
        <f t="shared" ca="1" si="64"/>
        <v/>
      </c>
      <c r="Y237" s="284" t="str">
        <f t="shared" ca="1" si="64"/>
        <v/>
      </c>
      <c r="Z237" s="96" t="str">
        <f t="shared" ca="1" si="64"/>
        <v/>
      </c>
      <c r="AA237" s="96" t="str">
        <f t="shared" ca="1" si="64"/>
        <v/>
      </c>
      <c r="AB237" s="386" t="str">
        <f t="shared" ca="1" si="64"/>
        <v/>
      </c>
      <c r="AC237" s="293" t="str">
        <f t="shared" ca="1" si="64"/>
        <v/>
      </c>
      <c r="AD237" s="284" t="str">
        <f t="shared" ca="1" si="59"/>
        <v/>
      </c>
      <c r="AE237" s="293" t="str">
        <f t="shared" ca="1" si="59"/>
        <v/>
      </c>
      <c r="AF237" s="284" t="str">
        <f t="shared" ca="1" si="59"/>
        <v/>
      </c>
      <c r="AG237" s="293" t="str">
        <f t="shared" ca="1" si="59"/>
        <v/>
      </c>
      <c r="AH237" s="96"/>
      <c r="AI237" s="96" t="str">
        <f t="shared" ca="1" si="48"/>
        <v/>
      </c>
      <c r="AK237" s="96">
        <f t="shared" ca="1" si="49"/>
        <v>0</v>
      </c>
      <c r="AL237" s="12">
        <f t="shared" ca="1" si="50"/>
        <v>0</v>
      </c>
      <c r="AM237" s="12">
        <f t="shared" ca="1" si="51"/>
        <v>0</v>
      </c>
      <c r="AN237" s="12">
        <f t="shared" ca="1" si="52"/>
        <v>0</v>
      </c>
      <c r="AO237" s="12">
        <f t="shared" ca="1" si="53"/>
        <v>0</v>
      </c>
      <c r="AP237" s="12" t="str">
        <f t="shared" ca="1" si="54"/>
        <v/>
      </c>
      <c r="AQ237" s="12" t="str">
        <f t="shared" ca="1" si="55"/>
        <v/>
      </c>
      <c r="AR237" s="12" t="str">
        <f t="shared" ca="1" si="56"/>
        <v/>
      </c>
      <c r="AS237" s="12" t="str">
        <f t="shared" ca="1" si="57"/>
        <v/>
      </c>
    </row>
    <row r="238" spans="1:45">
      <c r="A238">
        <f t="shared" si="58"/>
        <v>644</v>
      </c>
      <c r="B238" t="str">
        <f t="shared" ca="1" si="39"/>
        <v xml:space="preserve"> </v>
      </c>
      <c r="C238" t="b">
        <f t="shared" ca="1" si="40"/>
        <v>0</v>
      </c>
      <c r="D238" s="284" t="str">
        <f t="shared" ca="1" si="61"/>
        <v/>
      </c>
      <c r="E238" s="96" t="str">
        <f t="shared" ca="1" si="41"/>
        <v/>
      </c>
      <c r="F238" s="96" t="str">
        <f t="shared" ca="1" si="42"/>
        <v/>
      </c>
      <c r="G238" s="293" t="str">
        <f t="shared" ca="1" si="62"/>
        <v/>
      </c>
      <c r="H238" s="284" t="str">
        <f t="shared" ca="1" si="62"/>
        <v/>
      </c>
      <c r="I238" s="96" t="str">
        <f t="shared" ca="1" si="62"/>
        <v/>
      </c>
      <c r="J238" s="96" t="str">
        <f t="shared" ca="1" si="44"/>
        <v/>
      </c>
      <c r="K238" s="96" t="str">
        <f t="shared" ca="1" si="61"/>
        <v/>
      </c>
      <c r="L238" s="96" t="str">
        <f t="shared" ca="1" si="61"/>
        <v/>
      </c>
      <c r="M238" s="294" t="str">
        <f t="shared" ca="1" si="61"/>
        <v/>
      </c>
      <c r="N238" s="295" t="str">
        <f t="shared" ca="1" si="63"/>
        <v/>
      </c>
      <c r="O238" s="96" t="str">
        <f t="shared" ca="1" si="63"/>
        <v/>
      </c>
      <c r="P238" s="96" t="str">
        <f t="shared" ca="1" si="46"/>
        <v/>
      </c>
      <c r="Q238" s="96" t="str">
        <f t="shared" ca="1" si="61"/>
        <v/>
      </c>
      <c r="R238" s="293" t="str">
        <f t="shared" ca="1" si="61"/>
        <v/>
      </c>
      <c r="S238" s="284" t="str">
        <f t="shared" ca="1" si="64"/>
        <v/>
      </c>
      <c r="T238" s="96" t="str">
        <f t="shared" ca="1" si="64"/>
        <v/>
      </c>
      <c r="U238" s="96" t="str">
        <f t="shared" ca="1" si="47"/>
        <v/>
      </c>
      <c r="V238" s="96" t="str">
        <f t="shared" ca="1" si="64"/>
        <v/>
      </c>
      <c r="W238" s="96" t="str">
        <f t="shared" ca="1" si="64"/>
        <v/>
      </c>
      <c r="X238" s="293" t="str">
        <f t="shared" ca="1" si="64"/>
        <v/>
      </c>
      <c r="Y238" s="284" t="str">
        <f t="shared" ca="1" si="64"/>
        <v/>
      </c>
      <c r="Z238" s="96" t="str">
        <f t="shared" ca="1" si="64"/>
        <v/>
      </c>
      <c r="AA238" s="96" t="str">
        <f t="shared" ca="1" si="64"/>
        <v/>
      </c>
      <c r="AB238" s="386" t="str">
        <f t="shared" ca="1" si="64"/>
        <v/>
      </c>
      <c r="AC238" s="293" t="str">
        <f t="shared" ca="1" si="64"/>
        <v/>
      </c>
      <c r="AD238" s="284" t="str">
        <f t="shared" ca="1" si="59"/>
        <v/>
      </c>
      <c r="AE238" s="293" t="str">
        <f t="shared" ca="1" si="59"/>
        <v/>
      </c>
      <c r="AF238" s="284" t="str">
        <f t="shared" ca="1" si="59"/>
        <v/>
      </c>
      <c r="AG238" s="293" t="str">
        <f t="shared" ca="1" si="59"/>
        <v/>
      </c>
      <c r="AH238" s="96"/>
      <c r="AI238" s="96" t="str">
        <f t="shared" ca="1" si="48"/>
        <v/>
      </c>
      <c r="AK238" s="96">
        <f t="shared" ca="1" si="49"/>
        <v>0</v>
      </c>
      <c r="AL238" s="12">
        <f t="shared" ca="1" si="50"/>
        <v>0</v>
      </c>
      <c r="AM238" s="12">
        <f t="shared" ca="1" si="51"/>
        <v>0</v>
      </c>
      <c r="AN238" s="12">
        <f t="shared" ca="1" si="52"/>
        <v>0</v>
      </c>
      <c r="AO238" s="12">
        <f t="shared" ca="1" si="53"/>
        <v>0</v>
      </c>
      <c r="AP238" s="12" t="str">
        <f t="shared" ca="1" si="54"/>
        <v/>
      </c>
      <c r="AQ238" s="12" t="str">
        <f t="shared" ca="1" si="55"/>
        <v/>
      </c>
      <c r="AR238" s="12" t="str">
        <f t="shared" ca="1" si="56"/>
        <v/>
      </c>
      <c r="AS238" s="12" t="str">
        <f t="shared" ca="1" si="57"/>
        <v/>
      </c>
    </row>
    <row r="239" spans="1:45">
      <c r="A239">
        <f t="shared" si="58"/>
        <v>649</v>
      </c>
      <c r="B239" t="str">
        <f t="shared" ca="1" si="39"/>
        <v xml:space="preserve"> </v>
      </c>
      <c r="C239" t="b">
        <f t="shared" ca="1" si="40"/>
        <v>0</v>
      </c>
      <c r="D239" s="284" t="str">
        <f t="shared" ca="1" si="61"/>
        <v/>
      </c>
      <c r="E239" s="96" t="str">
        <f t="shared" ca="1" si="41"/>
        <v/>
      </c>
      <c r="F239" s="96" t="str">
        <f t="shared" ca="1" si="42"/>
        <v/>
      </c>
      <c r="G239" s="293" t="str">
        <f t="shared" ca="1" si="62"/>
        <v/>
      </c>
      <c r="H239" s="284" t="str">
        <f t="shared" ca="1" si="62"/>
        <v/>
      </c>
      <c r="I239" s="96" t="str">
        <f t="shared" ca="1" si="62"/>
        <v/>
      </c>
      <c r="J239" s="96" t="str">
        <f t="shared" ca="1" si="44"/>
        <v/>
      </c>
      <c r="K239" s="96" t="str">
        <f t="shared" ca="1" si="61"/>
        <v/>
      </c>
      <c r="L239" s="96" t="str">
        <f t="shared" ca="1" si="61"/>
        <v/>
      </c>
      <c r="M239" s="294" t="str">
        <f t="shared" ca="1" si="61"/>
        <v/>
      </c>
      <c r="N239" s="295" t="str">
        <f t="shared" ca="1" si="63"/>
        <v/>
      </c>
      <c r="O239" s="96" t="str">
        <f t="shared" ca="1" si="63"/>
        <v/>
      </c>
      <c r="P239" s="96" t="str">
        <f t="shared" ca="1" si="46"/>
        <v/>
      </c>
      <c r="Q239" s="96" t="str">
        <f t="shared" ca="1" si="61"/>
        <v/>
      </c>
      <c r="R239" s="293" t="str">
        <f t="shared" ca="1" si="61"/>
        <v/>
      </c>
      <c r="S239" s="284" t="str">
        <f t="shared" ca="1" si="64"/>
        <v/>
      </c>
      <c r="T239" s="96" t="str">
        <f t="shared" ca="1" si="64"/>
        <v/>
      </c>
      <c r="U239" s="96" t="str">
        <f t="shared" ca="1" si="47"/>
        <v/>
      </c>
      <c r="V239" s="96" t="str">
        <f t="shared" ca="1" si="64"/>
        <v/>
      </c>
      <c r="W239" s="96" t="str">
        <f t="shared" ca="1" si="64"/>
        <v/>
      </c>
      <c r="X239" s="293" t="str">
        <f t="shared" ca="1" si="64"/>
        <v/>
      </c>
      <c r="Y239" s="284" t="str">
        <f t="shared" ca="1" si="64"/>
        <v/>
      </c>
      <c r="Z239" s="96" t="str">
        <f t="shared" ca="1" si="64"/>
        <v/>
      </c>
      <c r="AA239" s="96" t="str">
        <f t="shared" ca="1" si="64"/>
        <v/>
      </c>
      <c r="AB239" s="386" t="str">
        <f t="shared" ca="1" si="64"/>
        <v/>
      </c>
      <c r="AC239" s="293" t="str">
        <f t="shared" ca="1" si="64"/>
        <v/>
      </c>
      <c r="AD239" s="284" t="str">
        <f t="shared" ca="1" si="59"/>
        <v/>
      </c>
      <c r="AE239" s="293" t="str">
        <f t="shared" ca="1" si="59"/>
        <v/>
      </c>
      <c r="AF239" s="284" t="str">
        <f t="shared" ca="1" si="59"/>
        <v/>
      </c>
      <c r="AG239" s="293" t="str">
        <f t="shared" ca="1" si="59"/>
        <v/>
      </c>
      <c r="AH239" s="96"/>
      <c r="AI239" s="96" t="str">
        <f t="shared" ca="1" si="48"/>
        <v/>
      </c>
      <c r="AK239" s="96">
        <f t="shared" ca="1" si="49"/>
        <v>0</v>
      </c>
      <c r="AL239" s="12">
        <f t="shared" ca="1" si="50"/>
        <v>0</v>
      </c>
      <c r="AM239" s="12">
        <f t="shared" ca="1" si="51"/>
        <v>0</v>
      </c>
      <c r="AN239" s="12">
        <f t="shared" ca="1" si="52"/>
        <v>0</v>
      </c>
      <c r="AO239" s="12">
        <f t="shared" ca="1" si="53"/>
        <v>0</v>
      </c>
      <c r="AP239" s="12" t="str">
        <f t="shared" ca="1" si="54"/>
        <v/>
      </c>
      <c r="AQ239" s="12" t="str">
        <f t="shared" ca="1" si="55"/>
        <v/>
      </c>
      <c r="AR239" s="12" t="str">
        <f t="shared" ca="1" si="56"/>
        <v/>
      </c>
      <c r="AS239" s="12" t="str">
        <f t="shared" ca="1" si="57"/>
        <v/>
      </c>
    </row>
    <row r="240" spans="1:45">
      <c r="A240">
        <f t="shared" si="58"/>
        <v>654</v>
      </c>
      <c r="B240" t="str">
        <f t="shared" ca="1" si="39"/>
        <v xml:space="preserve"> </v>
      </c>
      <c r="C240" t="b">
        <f t="shared" ca="1" si="40"/>
        <v>0</v>
      </c>
      <c r="D240" s="284" t="str">
        <f t="shared" ca="1" si="61"/>
        <v/>
      </c>
      <c r="E240" s="96" t="str">
        <f t="shared" ca="1" si="41"/>
        <v/>
      </c>
      <c r="F240" s="96" t="str">
        <f t="shared" ca="1" si="42"/>
        <v/>
      </c>
      <c r="G240" s="293" t="str">
        <f t="shared" ca="1" si="62"/>
        <v/>
      </c>
      <c r="H240" s="284" t="str">
        <f t="shared" ca="1" si="62"/>
        <v/>
      </c>
      <c r="I240" s="96" t="str">
        <f t="shared" ca="1" si="62"/>
        <v/>
      </c>
      <c r="J240" s="96" t="str">
        <f t="shared" ca="1" si="44"/>
        <v/>
      </c>
      <c r="K240" s="96" t="str">
        <f t="shared" ca="1" si="61"/>
        <v/>
      </c>
      <c r="L240" s="96" t="str">
        <f t="shared" ca="1" si="61"/>
        <v/>
      </c>
      <c r="M240" s="294" t="str">
        <f t="shared" ca="1" si="61"/>
        <v/>
      </c>
      <c r="N240" s="295" t="str">
        <f t="shared" ca="1" si="63"/>
        <v/>
      </c>
      <c r="O240" s="96" t="str">
        <f t="shared" ca="1" si="63"/>
        <v/>
      </c>
      <c r="P240" s="96" t="str">
        <f t="shared" ca="1" si="46"/>
        <v/>
      </c>
      <c r="Q240" s="96" t="str">
        <f t="shared" ca="1" si="61"/>
        <v/>
      </c>
      <c r="R240" s="293" t="str">
        <f t="shared" ca="1" si="61"/>
        <v/>
      </c>
      <c r="S240" s="284" t="str">
        <f t="shared" ca="1" si="64"/>
        <v/>
      </c>
      <c r="T240" s="96" t="str">
        <f t="shared" ca="1" si="64"/>
        <v/>
      </c>
      <c r="U240" s="96" t="str">
        <f t="shared" ca="1" si="47"/>
        <v/>
      </c>
      <c r="V240" s="96" t="str">
        <f t="shared" ca="1" si="64"/>
        <v/>
      </c>
      <c r="W240" s="96" t="str">
        <f t="shared" ca="1" si="64"/>
        <v/>
      </c>
      <c r="X240" s="293" t="str">
        <f t="shared" ca="1" si="64"/>
        <v/>
      </c>
      <c r="Y240" s="284" t="str">
        <f t="shared" ca="1" si="64"/>
        <v/>
      </c>
      <c r="Z240" s="96" t="str">
        <f t="shared" ca="1" si="64"/>
        <v/>
      </c>
      <c r="AA240" s="96" t="str">
        <f t="shared" ca="1" si="64"/>
        <v/>
      </c>
      <c r="AB240" s="386" t="str">
        <f t="shared" ca="1" si="64"/>
        <v/>
      </c>
      <c r="AC240" s="293" t="str">
        <f t="shared" ca="1" si="64"/>
        <v/>
      </c>
      <c r="AD240" s="284" t="str">
        <f t="shared" ca="1" si="59"/>
        <v/>
      </c>
      <c r="AE240" s="293" t="str">
        <f t="shared" ca="1" si="59"/>
        <v/>
      </c>
      <c r="AF240" s="284" t="str">
        <f t="shared" ca="1" si="59"/>
        <v/>
      </c>
      <c r="AG240" s="293" t="str">
        <f t="shared" ca="1" si="59"/>
        <v/>
      </c>
      <c r="AH240" s="96"/>
      <c r="AI240" s="96" t="str">
        <f t="shared" ca="1" si="48"/>
        <v/>
      </c>
      <c r="AK240" s="96">
        <f t="shared" ca="1" si="49"/>
        <v>0</v>
      </c>
      <c r="AL240" s="12">
        <f t="shared" ca="1" si="50"/>
        <v>0</v>
      </c>
      <c r="AM240" s="12">
        <f t="shared" ca="1" si="51"/>
        <v>0</v>
      </c>
      <c r="AN240" s="12">
        <f t="shared" ca="1" si="52"/>
        <v>0</v>
      </c>
      <c r="AO240" s="12">
        <f t="shared" ca="1" si="53"/>
        <v>0</v>
      </c>
      <c r="AP240" s="12" t="str">
        <f t="shared" ca="1" si="54"/>
        <v/>
      </c>
      <c r="AQ240" s="12" t="str">
        <f t="shared" ca="1" si="55"/>
        <v/>
      </c>
      <c r="AR240" s="12" t="str">
        <f t="shared" ca="1" si="56"/>
        <v/>
      </c>
      <c r="AS240" s="12" t="str">
        <f t="shared" ca="1" si="57"/>
        <v/>
      </c>
    </row>
    <row r="241" spans="1:45">
      <c r="A241">
        <f t="shared" si="58"/>
        <v>659</v>
      </c>
      <c r="B241" t="str">
        <f t="shared" ca="1" si="39"/>
        <v xml:space="preserve"> </v>
      </c>
      <c r="C241" t="b">
        <f t="shared" ca="1" si="40"/>
        <v>0</v>
      </c>
      <c r="D241" s="284" t="str">
        <f t="shared" ca="1" si="61"/>
        <v/>
      </c>
      <c r="E241" s="96" t="str">
        <f t="shared" ca="1" si="41"/>
        <v/>
      </c>
      <c r="F241" s="96" t="str">
        <f t="shared" ca="1" si="42"/>
        <v/>
      </c>
      <c r="G241" s="293" t="str">
        <f t="shared" ca="1" si="62"/>
        <v/>
      </c>
      <c r="H241" s="284" t="str">
        <f t="shared" ca="1" si="62"/>
        <v/>
      </c>
      <c r="I241" s="96" t="str">
        <f t="shared" ca="1" si="62"/>
        <v/>
      </c>
      <c r="J241" s="96" t="str">
        <f t="shared" ca="1" si="44"/>
        <v/>
      </c>
      <c r="K241" s="96" t="str">
        <f t="shared" ca="1" si="61"/>
        <v/>
      </c>
      <c r="L241" s="96" t="str">
        <f t="shared" ca="1" si="61"/>
        <v/>
      </c>
      <c r="M241" s="294" t="str">
        <f t="shared" ca="1" si="61"/>
        <v/>
      </c>
      <c r="N241" s="295" t="str">
        <f t="shared" ca="1" si="63"/>
        <v/>
      </c>
      <c r="O241" s="96" t="str">
        <f t="shared" ca="1" si="63"/>
        <v/>
      </c>
      <c r="P241" s="96" t="str">
        <f t="shared" ca="1" si="46"/>
        <v/>
      </c>
      <c r="Q241" s="96" t="str">
        <f t="shared" ca="1" si="61"/>
        <v/>
      </c>
      <c r="R241" s="293" t="str">
        <f t="shared" ca="1" si="61"/>
        <v/>
      </c>
      <c r="S241" s="284" t="str">
        <f t="shared" ca="1" si="64"/>
        <v/>
      </c>
      <c r="T241" s="96" t="str">
        <f t="shared" ca="1" si="64"/>
        <v/>
      </c>
      <c r="U241" s="96" t="str">
        <f t="shared" ca="1" si="47"/>
        <v/>
      </c>
      <c r="V241" s="96" t="str">
        <f t="shared" ca="1" si="64"/>
        <v/>
      </c>
      <c r="W241" s="96" t="str">
        <f t="shared" ca="1" si="64"/>
        <v/>
      </c>
      <c r="X241" s="293" t="str">
        <f t="shared" ca="1" si="64"/>
        <v/>
      </c>
      <c r="Y241" s="284" t="str">
        <f t="shared" ca="1" si="64"/>
        <v/>
      </c>
      <c r="Z241" s="96" t="str">
        <f t="shared" ca="1" si="64"/>
        <v/>
      </c>
      <c r="AA241" s="96" t="str">
        <f t="shared" ca="1" si="64"/>
        <v/>
      </c>
      <c r="AB241" s="386" t="str">
        <f t="shared" ca="1" si="64"/>
        <v/>
      </c>
      <c r="AC241" s="293" t="str">
        <f t="shared" ca="1" si="64"/>
        <v/>
      </c>
      <c r="AD241" s="284" t="str">
        <f t="shared" ca="1" si="59"/>
        <v/>
      </c>
      <c r="AE241" s="293" t="str">
        <f t="shared" ca="1" si="59"/>
        <v/>
      </c>
      <c r="AF241" s="284" t="str">
        <f t="shared" ca="1" si="59"/>
        <v/>
      </c>
      <c r="AG241" s="293" t="str">
        <f t="shared" ca="1" si="59"/>
        <v/>
      </c>
      <c r="AH241" s="96"/>
      <c r="AI241" s="96" t="str">
        <f t="shared" ca="1" si="48"/>
        <v/>
      </c>
      <c r="AK241" s="96">
        <f t="shared" ca="1" si="49"/>
        <v>0</v>
      </c>
      <c r="AL241" s="12">
        <f t="shared" ca="1" si="50"/>
        <v>0</v>
      </c>
      <c r="AM241" s="12">
        <f t="shared" ca="1" si="51"/>
        <v>0</v>
      </c>
      <c r="AN241" s="12">
        <f t="shared" ca="1" si="52"/>
        <v>0</v>
      </c>
      <c r="AO241" s="12">
        <f t="shared" ca="1" si="53"/>
        <v>0</v>
      </c>
      <c r="AP241" s="12" t="str">
        <f t="shared" ca="1" si="54"/>
        <v/>
      </c>
      <c r="AQ241" s="12" t="str">
        <f t="shared" ca="1" si="55"/>
        <v/>
      </c>
      <c r="AR241" s="12" t="str">
        <f t="shared" ca="1" si="56"/>
        <v/>
      </c>
      <c r="AS241" s="12" t="str">
        <f t="shared" ca="1" si="57"/>
        <v/>
      </c>
    </row>
    <row r="242" spans="1:45">
      <c r="A242">
        <f t="shared" si="58"/>
        <v>664</v>
      </c>
      <c r="B242" t="str">
        <f t="shared" ca="1" si="39"/>
        <v xml:space="preserve"> </v>
      </c>
      <c r="C242" t="b">
        <f t="shared" ca="1" si="40"/>
        <v>0</v>
      </c>
      <c r="D242" s="284" t="str">
        <f t="shared" ca="1" si="61"/>
        <v/>
      </c>
      <c r="E242" s="96" t="str">
        <f t="shared" ca="1" si="41"/>
        <v/>
      </c>
      <c r="F242" s="96" t="str">
        <f t="shared" ca="1" si="42"/>
        <v/>
      </c>
      <c r="G242" s="293" t="str">
        <f t="shared" ca="1" si="62"/>
        <v/>
      </c>
      <c r="H242" s="284" t="str">
        <f t="shared" ca="1" si="62"/>
        <v/>
      </c>
      <c r="I242" s="96" t="str">
        <f t="shared" ca="1" si="62"/>
        <v/>
      </c>
      <c r="J242" s="96" t="str">
        <f t="shared" ca="1" si="44"/>
        <v/>
      </c>
      <c r="K242" s="96" t="str">
        <f t="shared" ca="1" si="61"/>
        <v/>
      </c>
      <c r="L242" s="96" t="str">
        <f t="shared" ca="1" si="61"/>
        <v/>
      </c>
      <c r="M242" s="294" t="str">
        <f t="shared" ca="1" si="61"/>
        <v/>
      </c>
      <c r="N242" s="295" t="str">
        <f t="shared" ca="1" si="63"/>
        <v/>
      </c>
      <c r="O242" s="96" t="str">
        <f t="shared" ca="1" si="63"/>
        <v/>
      </c>
      <c r="P242" s="96" t="str">
        <f t="shared" ca="1" si="46"/>
        <v/>
      </c>
      <c r="Q242" s="96" t="str">
        <f t="shared" ca="1" si="61"/>
        <v/>
      </c>
      <c r="R242" s="293" t="str">
        <f t="shared" ca="1" si="61"/>
        <v/>
      </c>
      <c r="S242" s="284" t="str">
        <f t="shared" ca="1" si="64"/>
        <v/>
      </c>
      <c r="T242" s="96" t="str">
        <f t="shared" ca="1" si="64"/>
        <v/>
      </c>
      <c r="U242" s="96" t="str">
        <f t="shared" ca="1" si="47"/>
        <v/>
      </c>
      <c r="V242" s="96" t="str">
        <f t="shared" ca="1" si="64"/>
        <v/>
      </c>
      <c r="W242" s="96" t="str">
        <f t="shared" ca="1" si="64"/>
        <v/>
      </c>
      <c r="X242" s="293" t="str">
        <f t="shared" ca="1" si="64"/>
        <v/>
      </c>
      <c r="Y242" s="284" t="str">
        <f t="shared" ca="1" si="64"/>
        <v/>
      </c>
      <c r="Z242" s="96" t="str">
        <f t="shared" ca="1" si="64"/>
        <v/>
      </c>
      <c r="AA242" s="96" t="str">
        <f t="shared" ca="1" si="64"/>
        <v/>
      </c>
      <c r="AB242" s="386" t="str">
        <f t="shared" ca="1" si="64"/>
        <v/>
      </c>
      <c r="AC242" s="293" t="str">
        <f t="shared" ca="1" si="64"/>
        <v/>
      </c>
      <c r="AD242" s="284" t="str">
        <f t="shared" ca="1" si="59"/>
        <v/>
      </c>
      <c r="AE242" s="293" t="str">
        <f t="shared" ca="1" si="59"/>
        <v/>
      </c>
      <c r="AF242" s="284" t="str">
        <f t="shared" ca="1" si="59"/>
        <v/>
      </c>
      <c r="AG242" s="293" t="str">
        <f t="shared" ca="1" si="59"/>
        <v/>
      </c>
      <c r="AH242" s="96"/>
      <c r="AI242" s="96" t="str">
        <f t="shared" ca="1" si="48"/>
        <v/>
      </c>
      <c r="AK242" s="96">
        <f t="shared" ca="1" si="49"/>
        <v>0</v>
      </c>
      <c r="AL242" s="12">
        <f t="shared" ca="1" si="50"/>
        <v>0</v>
      </c>
      <c r="AM242" s="12">
        <f t="shared" ca="1" si="51"/>
        <v>0</v>
      </c>
      <c r="AN242" s="12">
        <f t="shared" ca="1" si="52"/>
        <v>0</v>
      </c>
      <c r="AO242" s="12">
        <f t="shared" ca="1" si="53"/>
        <v>0</v>
      </c>
      <c r="AP242" s="12" t="str">
        <f t="shared" ca="1" si="54"/>
        <v/>
      </c>
      <c r="AQ242" s="12" t="str">
        <f t="shared" ca="1" si="55"/>
        <v/>
      </c>
      <c r="AR242" s="12" t="str">
        <f t="shared" ca="1" si="56"/>
        <v/>
      </c>
      <c r="AS242" s="12" t="str">
        <f t="shared" ca="1" si="57"/>
        <v/>
      </c>
    </row>
    <row r="243" spans="1:45">
      <c r="A243">
        <f t="shared" si="58"/>
        <v>669</v>
      </c>
      <c r="B243" t="str">
        <f t="shared" ca="1" si="39"/>
        <v xml:space="preserve"> </v>
      </c>
      <c r="C243" t="b">
        <f t="shared" ca="1" si="40"/>
        <v>0</v>
      </c>
      <c r="D243" s="284" t="str">
        <f t="shared" ca="1" si="61"/>
        <v/>
      </c>
      <c r="E243" s="96" t="str">
        <f t="shared" ca="1" si="41"/>
        <v/>
      </c>
      <c r="F243" s="96" t="str">
        <f t="shared" ca="1" si="42"/>
        <v/>
      </c>
      <c r="G243" s="293" t="str">
        <f t="shared" ca="1" si="62"/>
        <v/>
      </c>
      <c r="H243" s="284" t="str">
        <f t="shared" ca="1" si="62"/>
        <v/>
      </c>
      <c r="I243" s="96" t="str">
        <f t="shared" ca="1" si="62"/>
        <v/>
      </c>
      <c r="J243" s="96" t="str">
        <f t="shared" ca="1" si="44"/>
        <v/>
      </c>
      <c r="K243" s="96" t="str">
        <f t="shared" ca="1" si="61"/>
        <v/>
      </c>
      <c r="L243" s="96" t="str">
        <f t="shared" ca="1" si="61"/>
        <v/>
      </c>
      <c r="M243" s="294" t="str">
        <f t="shared" ca="1" si="61"/>
        <v/>
      </c>
      <c r="N243" s="295" t="str">
        <f t="shared" ca="1" si="63"/>
        <v/>
      </c>
      <c r="O243" s="96" t="str">
        <f t="shared" ca="1" si="63"/>
        <v/>
      </c>
      <c r="P243" s="96" t="str">
        <f t="shared" ca="1" si="46"/>
        <v/>
      </c>
      <c r="Q243" s="96" t="str">
        <f t="shared" ca="1" si="61"/>
        <v/>
      </c>
      <c r="R243" s="293" t="str">
        <f t="shared" ca="1" si="61"/>
        <v/>
      </c>
      <c r="S243" s="284" t="str">
        <f t="shared" ca="1" si="64"/>
        <v/>
      </c>
      <c r="T243" s="96" t="str">
        <f t="shared" ca="1" si="64"/>
        <v/>
      </c>
      <c r="U243" s="96" t="str">
        <f t="shared" ca="1" si="47"/>
        <v/>
      </c>
      <c r="V243" s="96" t="str">
        <f t="shared" ca="1" si="64"/>
        <v/>
      </c>
      <c r="W243" s="96" t="str">
        <f t="shared" ca="1" si="64"/>
        <v/>
      </c>
      <c r="X243" s="293" t="str">
        <f t="shared" ca="1" si="64"/>
        <v/>
      </c>
      <c r="Y243" s="284" t="str">
        <f t="shared" ca="1" si="64"/>
        <v/>
      </c>
      <c r="Z243" s="96" t="str">
        <f t="shared" ca="1" si="64"/>
        <v/>
      </c>
      <c r="AA243" s="96" t="str">
        <f t="shared" ca="1" si="64"/>
        <v/>
      </c>
      <c r="AB243" s="386" t="str">
        <f t="shared" ca="1" si="64"/>
        <v/>
      </c>
      <c r="AC243" s="293" t="str">
        <f t="shared" ca="1" si="64"/>
        <v/>
      </c>
      <c r="AD243" s="284" t="str">
        <f t="shared" ca="1" si="59"/>
        <v/>
      </c>
      <c r="AE243" s="293" t="str">
        <f t="shared" ca="1" si="59"/>
        <v/>
      </c>
      <c r="AF243" s="284" t="str">
        <f t="shared" ca="1" si="59"/>
        <v/>
      </c>
      <c r="AG243" s="293" t="str">
        <f t="shared" ca="1" si="59"/>
        <v/>
      </c>
      <c r="AH243" s="96"/>
      <c r="AI243" s="96" t="str">
        <f t="shared" ca="1" si="48"/>
        <v/>
      </c>
      <c r="AK243" s="96">
        <f t="shared" ca="1" si="49"/>
        <v>0</v>
      </c>
      <c r="AL243" s="12">
        <f t="shared" ca="1" si="50"/>
        <v>0</v>
      </c>
      <c r="AM243" s="12">
        <f t="shared" ca="1" si="51"/>
        <v>0</v>
      </c>
      <c r="AN243" s="12">
        <f t="shared" ca="1" si="52"/>
        <v>0</v>
      </c>
      <c r="AO243" s="12">
        <f t="shared" ca="1" si="53"/>
        <v>0</v>
      </c>
      <c r="AP243" s="12" t="str">
        <f t="shared" ca="1" si="54"/>
        <v/>
      </c>
      <c r="AQ243" s="12" t="str">
        <f t="shared" ca="1" si="55"/>
        <v/>
      </c>
      <c r="AR243" s="12" t="str">
        <f t="shared" ca="1" si="56"/>
        <v/>
      </c>
      <c r="AS243" s="12" t="str">
        <f t="shared" ca="1" si="57"/>
        <v/>
      </c>
    </row>
    <row r="244" spans="1:45">
      <c r="A244">
        <f t="shared" si="58"/>
        <v>674</v>
      </c>
      <c r="B244" t="str">
        <f t="shared" ca="1" si="39"/>
        <v xml:space="preserve"> </v>
      </c>
      <c r="C244" t="b">
        <f t="shared" ca="1" si="40"/>
        <v>0</v>
      </c>
      <c r="D244" s="284" t="str">
        <f t="shared" ca="1" si="61"/>
        <v/>
      </c>
      <c r="E244" s="96" t="str">
        <f t="shared" ca="1" si="41"/>
        <v/>
      </c>
      <c r="F244" s="96" t="str">
        <f t="shared" ca="1" si="42"/>
        <v/>
      </c>
      <c r="G244" s="293" t="str">
        <f t="shared" ca="1" si="62"/>
        <v/>
      </c>
      <c r="H244" s="284" t="str">
        <f t="shared" ca="1" si="62"/>
        <v/>
      </c>
      <c r="I244" s="96" t="str">
        <f t="shared" ca="1" si="62"/>
        <v/>
      </c>
      <c r="J244" s="96" t="str">
        <f t="shared" ca="1" si="44"/>
        <v/>
      </c>
      <c r="K244" s="96" t="str">
        <f t="shared" ca="1" si="61"/>
        <v/>
      </c>
      <c r="L244" s="96" t="str">
        <f t="shared" ca="1" si="61"/>
        <v/>
      </c>
      <c r="M244" s="294" t="str">
        <f t="shared" ca="1" si="61"/>
        <v/>
      </c>
      <c r="N244" s="295" t="str">
        <f t="shared" ca="1" si="63"/>
        <v/>
      </c>
      <c r="O244" s="96" t="str">
        <f t="shared" ca="1" si="63"/>
        <v/>
      </c>
      <c r="P244" s="96" t="str">
        <f t="shared" ca="1" si="46"/>
        <v/>
      </c>
      <c r="Q244" s="96" t="str">
        <f t="shared" ca="1" si="61"/>
        <v/>
      </c>
      <c r="R244" s="293" t="str">
        <f t="shared" ca="1" si="61"/>
        <v/>
      </c>
      <c r="S244" s="284" t="str">
        <f t="shared" ca="1" si="64"/>
        <v/>
      </c>
      <c r="T244" s="96" t="str">
        <f t="shared" ca="1" si="64"/>
        <v/>
      </c>
      <c r="U244" s="96" t="str">
        <f t="shared" ca="1" si="47"/>
        <v/>
      </c>
      <c r="V244" s="96" t="str">
        <f t="shared" ca="1" si="64"/>
        <v/>
      </c>
      <c r="W244" s="96" t="str">
        <f t="shared" ca="1" si="64"/>
        <v/>
      </c>
      <c r="X244" s="293" t="str">
        <f t="shared" ca="1" si="64"/>
        <v/>
      </c>
      <c r="Y244" s="284" t="str">
        <f t="shared" ca="1" si="64"/>
        <v/>
      </c>
      <c r="Z244" s="96" t="str">
        <f t="shared" ca="1" si="64"/>
        <v/>
      </c>
      <c r="AA244" s="96" t="str">
        <f t="shared" ca="1" si="64"/>
        <v/>
      </c>
      <c r="AB244" s="386" t="str">
        <f t="shared" ca="1" si="64"/>
        <v/>
      </c>
      <c r="AC244" s="293" t="str">
        <f t="shared" ca="1" si="64"/>
        <v/>
      </c>
      <c r="AD244" s="284" t="str">
        <f t="shared" ca="1" si="59"/>
        <v/>
      </c>
      <c r="AE244" s="293" t="str">
        <f t="shared" ca="1" si="59"/>
        <v/>
      </c>
      <c r="AF244" s="284" t="str">
        <f t="shared" ca="1" si="59"/>
        <v/>
      </c>
      <c r="AG244" s="293" t="str">
        <f t="shared" ca="1" si="59"/>
        <v/>
      </c>
      <c r="AH244" s="96"/>
      <c r="AI244" s="96" t="str">
        <f t="shared" ca="1" si="48"/>
        <v/>
      </c>
      <c r="AK244" s="96">
        <f t="shared" ca="1" si="49"/>
        <v>0</v>
      </c>
      <c r="AL244" s="12">
        <f t="shared" ca="1" si="50"/>
        <v>0</v>
      </c>
      <c r="AM244" s="12">
        <f t="shared" ca="1" si="51"/>
        <v>0</v>
      </c>
      <c r="AN244" s="12">
        <f t="shared" ca="1" si="52"/>
        <v>0</v>
      </c>
      <c r="AO244" s="12">
        <f t="shared" ca="1" si="53"/>
        <v>0</v>
      </c>
      <c r="AP244" s="12" t="str">
        <f t="shared" ca="1" si="54"/>
        <v/>
      </c>
      <c r="AQ244" s="12" t="str">
        <f t="shared" ca="1" si="55"/>
        <v/>
      </c>
      <c r="AR244" s="12" t="str">
        <f t="shared" ca="1" si="56"/>
        <v/>
      </c>
      <c r="AS244" s="12" t="str">
        <f t="shared" ca="1" si="57"/>
        <v/>
      </c>
    </row>
    <row r="245" spans="1:45">
      <c r="A245">
        <f t="shared" si="58"/>
        <v>679</v>
      </c>
      <c r="B245" t="str">
        <f t="shared" ca="1" si="39"/>
        <v xml:space="preserve"> </v>
      </c>
      <c r="C245" t="b">
        <f t="shared" ca="1" si="40"/>
        <v>0</v>
      </c>
      <c r="D245" s="284" t="str">
        <f t="shared" ca="1" si="61"/>
        <v/>
      </c>
      <c r="E245" s="96" t="str">
        <f t="shared" ca="1" si="41"/>
        <v/>
      </c>
      <c r="F245" s="96" t="str">
        <f t="shared" ca="1" si="42"/>
        <v/>
      </c>
      <c r="G245" s="293" t="str">
        <f t="shared" ca="1" si="62"/>
        <v/>
      </c>
      <c r="H245" s="284" t="str">
        <f t="shared" ca="1" si="62"/>
        <v/>
      </c>
      <c r="I245" s="96" t="str">
        <f t="shared" ca="1" si="62"/>
        <v/>
      </c>
      <c r="J245" s="96" t="str">
        <f t="shared" ca="1" si="44"/>
        <v/>
      </c>
      <c r="K245" s="96" t="str">
        <f t="shared" ca="1" si="61"/>
        <v/>
      </c>
      <c r="L245" s="96" t="str">
        <f t="shared" ca="1" si="61"/>
        <v/>
      </c>
      <c r="M245" s="294" t="str">
        <f t="shared" ca="1" si="61"/>
        <v/>
      </c>
      <c r="N245" s="295" t="str">
        <f t="shared" ca="1" si="63"/>
        <v/>
      </c>
      <c r="O245" s="96" t="str">
        <f t="shared" ca="1" si="63"/>
        <v/>
      </c>
      <c r="P245" s="96" t="str">
        <f t="shared" ca="1" si="46"/>
        <v/>
      </c>
      <c r="Q245" s="96" t="str">
        <f t="shared" ca="1" si="61"/>
        <v/>
      </c>
      <c r="R245" s="293" t="str">
        <f t="shared" ca="1" si="61"/>
        <v/>
      </c>
      <c r="S245" s="284" t="str">
        <f t="shared" ca="1" si="64"/>
        <v/>
      </c>
      <c r="T245" s="96" t="str">
        <f t="shared" ca="1" si="64"/>
        <v/>
      </c>
      <c r="U245" s="96" t="str">
        <f t="shared" ca="1" si="47"/>
        <v/>
      </c>
      <c r="V245" s="96" t="str">
        <f t="shared" ca="1" si="64"/>
        <v/>
      </c>
      <c r="W245" s="96" t="str">
        <f t="shared" ca="1" si="64"/>
        <v/>
      </c>
      <c r="X245" s="293" t="str">
        <f t="shared" ca="1" si="64"/>
        <v/>
      </c>
      <c r="Y245" s="284" t="str">
        <f t="shared" ca="1" si="64"/>
        <v/>
      </c>
      <c r="Z245" s="96" t="str">
        <f t="shared" ca="1" si="64"/>
        <v/>
      </c>
      <c r="AA245" s="96" t="str">
        <f t="shared" ca="1" si="64"/>
        <v/>
      </c>
      <c r="AB245" s="386" t="str">
        <f t="shared" ca="1" si="64"/>
        <v/>
      </c>
      <c r="AC245" s="293" t="str">
        <f t="shared" ca="1" si="64"/>
        <v/>
      </c>
      <c r="AD245" s="284" t="str">
        <f t="shared" ca="1" si="59"/>
        <v/>
      </c>
      <c r="AE245" s="293" t="str">
        <f t="shared" ca="1" si="59"/>
        <v/>
      </c>
      <c r="AF245" s="284" t="str">
        <f t="shared" ca="1" si="59"/>
        <v/>
      </c>
      <c r="AG245" s="293" t="str">
        <f t="shared" ca="1" si="59"/>
        <v/>
      </c>
      <c r="AH245" s="96"/>
      <c r="AI245" s="96" t="str">
        <f t="shared" ca="1" si="48"/>
        <v/>
      </c>
      <c r="AK245" s="96">
        <f t="shared" ca="1" si="49"/>
        <v>0</v>
      </c>
      <c r="AL245" s="12">
        <f t="shared" ca="1" si="50"/>
        <v>0</v>
      </c>
      <c r="AM245" s="12">
        <f t="shared" ca="1" si="51"/>
        <v>0</v>
      </c>
      <c r="AN245" s="12">
        <f t="shared" ca="1" si="52"/>
        <v>0</v>
      </c>
      <c r="AO245" s="12">
        <f t="shared" ca="1" si="53"/>
        <v>0</v>
      </c>
      <c r="AP245" s="12" t="str">
        <f t="shared" ca="1" si="54"/>
        <v/>
      </c>
      <c r="AQ245" s="12" t="str">
        <f t="shared" ca="1" si="55"/>
        <v/>
      </c>
      <c r="AR245" s="12" t="str">
        <f t="shared" ca="1" si="56"/>
        <v/>
      </c>
      <c r="AS245" s="12" t="str">
        <f t="shared" ca="1" si="57"/>
        <v/>
      </c>
    </row>
    <row r="246" spans="1:45">
      <c r="A246">
        <f t="shared" si="58"/>
        <v>684</v>
      </c>
      <c r="B246" t="str">
        <f t="shared" ca="1" si="39"/>
        <v xml:space="preserve"> </v>
      </c>
      <c r="C246" t="b">
        <f t="shared" ca="1" si="40"/>
        <v>0</v>
      </c>
      <c r="D246" s="284" t="str">
        <f t="shared" ca="1" si="61"/>
        <v/>
      </c>
      <c r="E246" s="96" t="str">
        <f t="shared" ca="1" si="41"/>
        <v/>
      </c>
      <c r="F246" s="96" t="str">
        <f t="shared" ca="1" si="42"/>
        <v/>
      </c>
      <c r="G246" s="293" t="str">
        <f t="shared" ca="1" si="62"/>
        <v/>
      </c>
      <c r="H246" s="284" t="str">
        <f t="shared" ca="1" si="62"/>
        <v/>
      </c>
      <c r="I246" s="96" t="str">
        <f t="shared" ca="1" si="62"/>
        <v/>
      </c>
      <c r="J246" s="96" t="str">
        <f t="shared" ca="1" si="44"/>
        <v/>
      </c>
      <c r="K246" s="96" t="str">
        <f t="shared" ca="1" si="61"/>
        <v/>
      </c>
      <c r="L246" s="96" t="str">
        <f t="shared" ca="1" si="61"/>
        <v/>
      </c>
      <c r="M246" s="294" t="str">
        <f t="shared" ca="1" si="61"/>
        <v/>
      </c>
      <c r="N246" s="295" t="str">
        <f t="shared" ca="1" si="63"/>
        <v/>
      </c>
      <c r="O246" s="96" t="str">
        <f t="shared" ca="1" si="63"/>
        <v/>
      </c>
      <c r="P246" s="96" t="str">
        <f t="shared" ca="1" si="46"/>
        <v/>
      </c>
      <c r="Q246" s="96" t="str">
        <f t="shared" ca="1" si="61"/>
        <v/>
      </c>
      <c r="R246" s="293" t="str">
        <f t="shared" ca="1" si="61"/>
        <v/>
      </c>
      <c r="S246" s="284" t="str">
        <f t="shared" ca="1" si="64"/>
        <v/>
      </c>
      <c r="T246" s="96" t="str">
        <f t="shared" ca="1" si="64"/>
        <v/>
      </c>
      <c r="U246" s="96" t="str">
        <f t="shared" ca="1" si="47"/>
        <v/>
      </c>
      <c r="V246" s="96" t="str">
        <f t="shared" ca="1" si="64"/>
        <v/>
      </c>
      <c r="W246" s="96" t="str">
        <f t="shared" ca="1" si="64"/>
        <v/>
      </c>
      <c r="X246" s="293" t="str">
        <f t="shared" ca="1" si="64"/>
        <v/>
      </c>
      <c r="Y246" s="284" t="str">
        <f t="shared" ca="1" si="64"/>
        <v/>
      </c>
      <c r="Z246" s="96" t="str">
        <f t="shared" ca="1" si="64"/>
        <v/>
      </c>
      <c r="AA246" s="96" t="str">
        <f t="shared" ca="1" si="64"/>
        <v/>
      </c>
      <c r="AB246" s="386" t="str">
        <f t="shared" ca="1" si="64"/>
        <v/>
      </c>
      <c r="AC246" s="293" t="str">
        <f t="shared" ca="1" si="64"/>
        <v/>
      </c>
      <c r="AD246" s="284" t="str">
        <f t="shared" ca="1" si="59"/>
        <v/>
      </c>
      <c r="AE246" s="293" t="str">
        <f t="shared" ca="1" si="59"/>
        <v/>
      </c>
      <c r="AF246" s="284" t="str">
        <f t="shared" ca="1" si="59"/>
        <v/>
      </c>
      <c r="AG246" s="293" t="str">
        <f t="shared" ca="1" si="59"/>
        <v/>
      </c>
      <c r="AH246" s="96"/>
      <c r="AI246" s="96" t="str">
        <f t="shared" ca="1" si="48"/>
        <v/>
      </c>
      <c r="AK246" s="96">
        <f t="shared" ca="1" si="49"/>
        <v>0</v>
      </c>
      <c r="AL246" s="12">
        <f t="shared" ca="1" si="50"/>
        <v>0</v>
      </c>
      <c r="AM246" s="12">
        <f t="shared" ca="1" si="51"/>
        <v>0</v>
      </c>
      <c r="AN246" s="12">
        <f t="shared" ca="1" si="52"/>
        <v>0</v>
      </c>
      <c r="AO246" s="12">
        <f t="shared" ca="1" si="53"/>
        <v>0</v>
      </c>
      <c r="AP246" s="12" t="str">
        <f t="shared" ca="1" si="54"/>
        <v/>
      </c>
      <c r="AQ246" s="12" t="str">
        <f t="shared" ca="1" si="55"/>
        <v/>
      </c>
      <c r="AR246" s="12" t="str">
        <f t="shared" ca="1" si="56"/>
        <v/>
      </c>
      <c r="AS246" s="12" t="str">
        <f t="shared" ca="1" si="57"/>
        <v/>
      </c>
    </row>
    <row r="247" spans="1:45">
      <c r="A247">
        <f t="shared" si="58"/>
        <v>689</v>
      </c>
      <c r="B247" t="str">
        <f t="shared" ca="1" si="39"/>
        <v xml:space="preserve"> </v>
      </c>
      <c r="C247" t="b">
        <f t="shared" ca="1" si="40"/>
        <v>0</v>
      </c>
      <c r="D247" s="284" t="str">
        <f t="shared" ca="1" si="61"/>
        <v/>
      </c>
      <c r="E247" s="96" t="str">
        <f t="shared" ca="1" si="41"/>
        <v/>
      </c>
      <c r="F247" s="96" t="str">
        <f t="shared" ca="1" si="42"/>
        <v/>
      </c>
      <c r="G247" s="293" t="str">
        <f t="shared" ca="1" si="62"/>
        <v/>
      </c>
      <c r="H247" s="284" t="str">
        <f t="shared" ca="1" si="62"/>
        <v/>
      </c>
      <c r="I247" s="96" t="str">
        <f t="shared" ca="1" si="62"/>
        <v/>
      </c>
      <c r="J247" s="96" t="str">
        <f t="shared" ca="1" si="44"/>
        <v/>
      </c>
      <c r="K247" s="96" t="str">
        <f t="shared" ca="1" si="61"/>
        <v/>
      </c>
      <c r="L247" s="96" t="str">
        <f t="shared" ca="1" si="61"/>
        <v/>
      </c>
      <c r="M247" s="294" t="str">
        <f t="shared" ca="1" si="61"/>
        <v/>
      </c>
      <c r="N247" s="295" t="str">
        <f t="shared" ca="1" si="63"/>
        <v/>
      </c>
      <c r="O247" s="96" t="str">
        <f t="shared" ca="1" si="63"/>
        <v/>
      </c>
      <c r="P247" s="96" t="str">
        <f t="shared" ca="1" si="46"/>
        <v/>
      </c>
      <c r="Q247" s="96" t="str">
        <f t="shared" ca="1" si="61"/>
        <v/>
      </c>
      <c r="R247" s="293" t="str">
        <f t="shared" ca="1" si="61"/>
        <v/>
      </c>
      <c r="S247" s="284" t="str">
        <f t="shared" ca="1" si="64"/>
        <v/>
      </c>
      <c r="T247" s="96" t="str">
        <f t="shared" ca="1" si="64"/>
        <v/>
      </c>
      <c r="U247" s="96" t="str">
        <f t="shared" ca="1" si="47"/>
        <v/>
      </c>
      <c r="V247" s="96" t="str">
        <f t="shared" ca="1" si="64"/>
        <v/>
      </c>
      <c r="W247" s="96" t="str">
        <f t="shared" ca="1" si="64"/>
        <v/>
      </c>
      <c r="X247" s="293" t="str">
        <f t="shared" ca="1" si="64"/>
        <v/>
      </c>
      <c r="Y247" s="284" t="str">
        <f t="shared" ca="1" si="64"/>
        <v/>
      </c>
      <c r="Z247" s="96" t="str">
        <f t="shared" ca="1" si="64"/>
        <v/>
      </c>
      <c r="AA247" s="96" t="str">
        <f t="shared" ca="1" si="64"/>
        <v/>
      </c>
      <c r="AB247" s="386" t="str">
        <f t="shared" ca="1" si="64"/>
        <v/>
      </c>
      <c r="AC247" s="293" t="str">
        <f t="shared" ca="1" si="64"/>
        <v/>
      </c>
      <c r="AD247" s="284" t="str">
        <f t="shared" ca="1" si="59"/>
        <v/>
      </c>
      <c r="AE247" s="293" t="str">
        <f t="shared" ca="1" si="59"/>
        <v/>
      </c>
      <c r="AF247" s="284" t="str">
        <f t="shared" ca="1" si="59"/>
        <v/>
      </c>
      <c r="AG247" s="293" t="str">
        <f t="shared" ca="1" si="59"/>
        <v/>
      </c>
      <c r="AH247" s="96"/>
      <c r="AI247" s="96" t="str">
        <f t="shared" ca="1" si="48"/>
        <v/>
      </c>
      <c r="AK247" s="96">
        <f t="shared" ca="1" si="49"/>
        <v>0</v>
      </c>
      <c r="AL247" s="12">
        <f t="shared" ca="1" si="50"/>
        <v>0</v>
      </c>
      <c r="AM247" s="12">
        <f t="shared" ca="1" si="51"/>
        <v>0</v>
      </c>
      <c r="AN247" s="12">
        <f t="shared" ca="1" si="52"/>
        <v>0</v>
      </c>
      <c r="AO247" s="12">
        <f t="shared" ca="1" si="53"/>
        <v>0</v>
      </c>
      <c r="AP247" s="12" t="str">
        <f t="shared" ca="1" si="54"/>
        <v/>
      </c>
      <c r="AQ247" s="12" t="str">
        <f t="shared" ca="1" si="55"/>
        <v/>
      </c>
      <c r="AR247" s="12" t="str">
        <f t="shared" ca="1" si="56"/>
        <v/>
      </c>
      <c r="AS247" s="12" t="str">
        <f t="shared" ca="1" si="57"/>
        <v/>
      </c>
    </row>
    <row r="248" spans="1:45">
      <c r="A248">
        <f t="shared" si="58"/>
        <v>694</v>
      </c>
      <c r="B248" t="str">
        <f t="shared" ca="1" si="39"/>
        <v xml:space="preserve"> </v>
      </c>
      <c r="C248" t="b">
        <f t="shared" ca="1" si="40"/>
        <v>0</v>
      </c>
      <c r="D248" s="284" t="str">
        <f t="shared" ca="1" si="61"/>
        <v/>
      </c>
      <c r="E248" s="96" t="str">
        <f t="shared" ca="1" si="41"/>
        <v/>
      </c>
      <c r="F248" s="96" t="str">
        <f t="shared" ca="1" si="42"/>
        <v/>
      </c>
      <c r="G248" s="293" t="str">
        <f t="shared" ca="1" si="62"/>
        <v/>
      </c>
      <c r="H248" s="284" t="str">
        <f t="shared" ca="1" si="62"/>
        <v/>
      </c>
      <c r="I248" s="96" t="str">
        <f t="shared" ca="1" si="62"/>
        <v/>
      </c>
      <c r="J248" s="96" t="str">
        <f t="shared" ca="1" si="44"/>
        <v/>
      </c>
      <c r="K248" s="96" t="str">
        <f t="shared" ca="1" si="61"/>
        <v/>
      </c>
      <c r="L248" s="96" t="str">
        <f t="shared" ca="1" si="61"/>
        <v/>
      </c>
      <c r="M248" s="294" t="str">
        <f t="shared" ca="1" si="61"/>
        <v/>
      </c>
      <c r="N248" s="295" t="str">
        <f t="shared" ca="1" si="63"/>
        <v/>
      </c>
      <c r="O248" s="96" t="str">
        <f t="shared" ca="1" si="63"/>
        <v/>
      </c>
      <c r="P248" s="96" t="str">
        <f t="shared" ca="1" si="46"/>
        <v/>
      </c>
      <c r="Q248" s="96" t="str">
        <f t="shared" ca="1" si="61"/>
        <v/>
      </c>
      <c r="R248" s="293" t="str">
        <f t="shared" ca="1" si="61"/>
        <v/>
      </c>
      <c r="S248" s="284" t="str">
        <f t="shared" ca="1" si="64"/>
        <v/>
      </c>
      <c r="T248" s="96" t="str">
        <f t="shared" ca="1" si="64"/>
        <v/>
      </c>
      <c r="U248" s="96" t="str">
        <f t="shared" ca="1" si="47"/>
        <v/>
      </c>
      <c r="V248" s="96" t="str">
        <f t="shared" ca="1" si="64"/>
        <v/>
      </c>
      <c r="W248" s="96" t="str">
        <f t="shared" ca="1" si="64"/>
        <v/>
      </c>
      <c r="X248" s="293" t="str">
        <f t="shared" ca="1" si="64"/>
        <v/>
      </c>
      <c r="Y248" s="284" t="str">
        <f t="shared" ca="1" si="64"/>
        <v/>
      </c>
      <c r="Z248" s="96" t="str">
        <f t="shared" ca="1" si="64"/>
        <v/>
      </c>
      <c r="AA248" s="96" t="str">
        <f t="shared" ca="1" si="64"/>
        <v/>
      </c>
      <c r="AB248" s="386" t="str">
        <f t="shared" ca="1" si="64"/>
        <v/>
      </c>
      <c r="AC248" s="293" t="str">
        <f t="shared" ca="1" si="64"/>
        <v/>
      </c>
      <c r="AD248" s="284" t="str">
        <f t="shared" ca="1" si="59"/>
        <v/>
      </c>
      <c r="AE248" s="293" t="str">
        <f t="shared" ca="1" si="59"/>
        <v/>
      </c>
      <c r="AF248" s="284" t="str">
        <f t="shared" ca="1" si="59"/>
        <v/>
      </c>
      <c r="AG248" s="293" t="str">
        <f t="shared" ca="1" si="59"/>
        <v/>
      </c>
      <c r="AH248" s="96"/>
      <c r="AI248" s="96" t="str">
        <f t="shared" ca="1" si="48"/>
        <v/>
      </c>
      <c r="AK248" s="96">
        <f t="shared" ca="1" si="49"/>
        <v>0</v>
      </c>
      <c r="AL248" s="12">
        <f t="shared" ca="1" si="50"/>
        <v>0</v>
      </c>
      <c r="AM248" s="12">
        <f t="shared" ca="1" si="51"/>
        <v>0</v>
      </c>
      <c r="AN248" s="12">
        <f t="shared" ca="1" si="52"/>
        <v>0</v>
      </c>
      <c r="AO248" s="12">
        <f t="shared" ca="1" si="53"/>
        <v>0</v>
      </c>
      <c r="AP248" s="12" t="str">
        <f t="shared" ca="1" si="54"/>
        <v/>
      </c>
      <c r="AQ248" s="12" t="str">
        <f t="shared" ca="1" si="55"/>
        <v/>
      </c>
      <c r="AR248" s="12" t="str">
        <f t="shared" ca="1" si="56"/>
        <v/>
      </c>
      <c r="AS248" s="12" t="str">
        <f t="shared" ca="1" si="57"/>
        <v/>
      </c>
    </row>
    <row r="249" spans="1:45">
      <c r="A249">
        <f t="shared" si="58"/>
        <v>699</v>
      </c>
      <c r="B249" t="str">
        <f t="shared" ca="1" si="39"/>
        <v xml:space="preserve"> </v>
      </c>
      <c r="C249" t="b">
        <f t="shared" ca="1" si="40"/>
        <v>0</v>
      </c>
      <c r="D249" s="284" t="str">
        <f t="shared" ca="1" si="61"/>
        <v/>
      </c>
      <c r="E249" s="96" t="str">
        <f t="shared" ca="1" si="41"/>
        <v/>
      </c>
      <c r="F249" s="96" t="str">
        <f t="shared" ca="1" si="42"/>
        <v/>
      </c>
      <c r="G249" s="293" t="str">
        <f t="shared" ca="1" si="62"/>
        <v/>
      </c>
      <c r="H249" s="284" t="str">
        <f t="shared" ca="1" si="62"/>
        <v/>
      </c>
      <c r="I249" s="96" t="str">
        <f t="shared" ca="1" si="62"/>
        <v/>
      </c>
      <c r="J249" s="96" t="str">
        <f t="shared" ca="1" si="44"/>
        <v/>
      </c>
      <c r="K249" s="96" t="str">
        <f t="shared" ca="1" si="61"/>
        <v/>
      </c>
      <c r="L249" s="96" t="str">
        <f t="shared" ca="1" si="61"/>
        <v/>
      </c>
      <c r="M249" s="294" t="str">
        <f t="shared" ca="1" si="61"/>
        <v/>
      </c>
      <c r="N249" s="295" t="str">
        <f t="shared" ca="1" si="63"/>
        <v/>
      </c>
      <c r="O249" s="96" t="str">
        <f t="shared" ca="1" si="63"/>
        <v/>
      </c>
      <c r="P249" s="96" t="str">
        <f t="shared" ca="1" si="46"/>
        <v/>
      </c>
      <c r="Q249" s="96" t="str">
        <f t="shared" ca="1" si="61"/>
        <v/>
      </c>
      <c r="R249" s="293" t="str">
        <f t="shared" ca="1" si="61"/>
        <v/>
      </c>
      <c r="S249" s="284" t="str">
        <f t="shared" ca="1" si="64"/>
        <v/>
      </c>
      <c r="T249" s="96" t="str">
        <f t="shared" ca="1" si="64"/>
        <v/>
      </c>
      <c r="U249" s="96" t="str">
        <f t="shared" ca="1" si="47"/>
        <v/>
      </c>
      <c r="V249" s="96" t="str">
        <f t="shared" ca="1" si="64"/>
        <v/>
      </c>
      <c r="W249" s="96" t="str">
        <f t="shared" ca="1" si="64"/>
        <v/>
      </c>
      <c r="X249" s="293" t="str">
        <f t="shared" ca="1" si="64"/>
        <v/>
      </c>
      <c r="Y249" s="284" t="str">
        <f t="shared" ca="1" si="64"/>
        <v/>
      </c>
      <c r="Z249" s="96" t="str">
        <f t="shared" ca="1" si="64"/>
        <v/>
      </c>
      <c r="AA249" s="96" t="str">
        <f t="shared" ca="1" si="64"/>
        <v/>
      </c>
      <c r="AB249" s="386" t="str">
        <f t="shared" ca="1" si="64"/>
        <v/>
      </c>
      <c r="AC249" s="293" t="str">
        <f t="shared" ca="1" si="64"/>
        <v/>
      </c>
      <c r="AD249" s="284" t="str">
        <f t="shared" ca="1" si="59"/>
        <v/>
      </c>
      <c r="AE249" s="293" t="str">
        <f t="shared" ca="1" si="59"/>
        <v/>
      </c>
      <c r="AF249" s="284" t="str">
        <f t="shared" ca="1" si="59"/>
        <v/>
      </c>
      <c r="AG249" s="293" t="str">
        <f t="shared" ca="1" si="59"/>
        <v/>
      </c>
      <c r="AH249" s="96"/>
      <c r="AI249" s="96" t="str">
        <f t="shared" ca="1" si="48"/>
        <v/>
      </c>
      <c r="AK249" s="96">
        <f t="shared" ca="1" si="49"/>
        <v>0</v>
      </c>
      <c r="AL249" s="12">
        <f t="shared" ca="1" si="50"/>
        <v>0</v>
      </c>
      <c r="AM249" s="12">
        <f t="shared" ca="1" si="51"/>
        <v>0</v>
      </c>
      <c r="AN249" s="12">
        <f t="shared" ca="1" si="52"/>
        <v>0</v>
      </c>
      <c r="AO249" s="12">
        <f t="shared" ca="1" si="53"/>
        <v>0</v>
      </c>
      <c r="AP249" s="12" t="str">
        <f t="shared" ca="1" si="54"/>
        <v/>
      </c>
      <c r="AQ249" s="12" t="str">
        <f t="shared" ca="1" si="55"/>
        <v/>
      </c>
      <c r="AR249" s="12" t="str">
        <f t="shared" ca="1" si="56"/>
        <v/>
      </c>
      <c r="AS249" s="12" t="str">
        <f t="shared" ca="1" si="57"/>
        <v/>
      </c>
    </row>
    <row r="250" spans="1:45">
      <c r="A250">
        <f t="shared" si="58"/>
        <v>704</v>
      </c>
      <c r="B250" t="str">
        <f t="shared" ca="1" si="39"/>
        <v xml:space="preserve"> </v>
      </c>
      <c r="C250" t="b">
        <f t="shared" ca="1" si="40"/>
        <v>0</v>
      </c>
      <c r="D250" s="284" t="str">
        <f t="shared" ca="1" si="61"/>
        <v/>
      </c>
      <c r="E250" s="96" t="str">
        <f t="shared" ca="1" si="41"/>
        <v/>
      </c>
      <c r="F250" s="96" t="str">
        <f t="shared" ca="1" si="42"/>
        <v/>
      </c>
      <c r="G250" s="293" t="str">
        <f t="shared" ca="1" si="62"/>
        <v/>
      </c>
      <c r="H250" s="284" t="str">
        <f t="shared" ca="1" si="62"/>
        <v/>
      </c>
      <c r="I250" s="96" t="str">
        <f t="shared" ca="1" si="62"/>
        <v/>
      </c>
      <c r="J250" s="96" t="str">
        <f t="shared" ca="1" si="44"/>
        <v/>
      </c>
      <c r="K250" s="96" t="str">
        <f t="shared" ca="1" si="61"/>
        <v/>
      </c>
      <c r="L250" s="96" t="str">
        <f t="shared" ca="1" si="61"/>
        <v/>
      </c>
      <c r="M250" s="294" t="str">
        <f t="shared" ca="1" si="61"/>
        <v/>
      </c>
      <c r="N250" s="295" t="str">
        <f t="shared" ca="1" si="63"/>
        <v/>
      </c>
      <c r="O250" s="96" t="str">
        <f t="shared" ca="1" si="63"/>
        <v/>
      </c>
      <c r="P250" s="96" t="str">
        <f t="shared" ca="1" si="46"/>
        <v/>
      </c>
      <c r="Q250" s="96" t="str">
        <f t="shared" ca="1" si="61"/>
        <v/>
      </c>
      <c r="R250" s="293" t="str">
        <f t="shared" ca="1" si="61"/>
        <v/>
      </c>
      <c r="S250" s="284" t="str">
        <f t="shared" ca="1" si="64"/>
        <v/>
      </c>
      <c r="T250" s="96" t="str">
        <f t="shared" ca="1" si="64"/>
        <v/>
      </c>
      <c r="U250" s="96" t="str">
        <f t="shared" ca="1" si="47"/>
        <v/>
      </c>
      <c r="V250" s="96" t="str">
        <f t="shared" ca="1" si="64"/>
        <v/>
      </c>
      <c r="W250" s="96" t="str">
        <f t="shared" ca="1" si="64"/>
        <v/>
      </c>
      <c r="X250" s="293" t="str">
        <f t="shared" ca="1" si="64"/>
        <v/>
      </c>
      <c r="Y250" s="284" t="str">
        <f t="shared" ca="1" si="64"/>
        <v/>
      </c>
      <c r="Z250" s="96" t="str">
        <f t="shared" ca="1" si="64"/>
        <v/>
      </c>
      <c r="AA250" s="96" t="str">
        <f t="shared" ca="1" si="64"/>
        <v/>
      </c>
      <c r="AB250" s="386" t="str">
        <f t="shared" ca="1" si="64"/>
        <v/>
      </c>
      <c r="AC250" s="293" t="str">
        <f t="shared" ca="1" si="64"/>
        <v/>
      </c>
      <c r="AD250" s="284" t="str">
        <f t="shared" ca="1" si="59"/>
        <v/>
      </c>
      <c r="AE250" s="293" t="str">
        <f t="shared" ca="1" si="59"/>
        <v/>
      </c>
      <c r="AF250" s="284" t="str">
        <f t="shared" ca="1" si="59"/>
        <v/>
      </c>
      <c r="AG250" s="293" t="str">
        <f t="shared" ca="1" si="59"/>
        <v/>
      </c>
      <c r="AH250" s="96"/>
      <c r="AI250" s="96" t="str">
        <f t="shared" ca="1" si="48"/>
        <v/>
      </c>
      <c r="AK250" s="96">
        <f t="shared" ca="1" si="49"/>
        <v>0</v>
      </c>
      <c r="AL250" s="12">
        <f t="shared" ca="1" si="50"/>
        <v>0</v>
      </c>
      <c r="AM250" s="12">
        <f t="shared" ca="1" si="51"/>
        <v>0</v>
      </c>
      <c r="AN250" s="12">
        <f t="shared" ca="1" si="52"/>
        <v>0</v>
      </c>
      <c r="AO250" s="12">
        <f t="shared" ca="1" si="53"/>
        <v>0</v>
      </c>
      <c r="AP250" s="12" t="str">
        <f t="shared" ca="1" si="54"/>
        <v/>
      </c>
      <c r="AQ250" s="12" t="str">
        <f t="shared" ca="1" si="55"/>
        <v/>
      </c>
      <c r="AR250" s="12" t="str">
        <f t="shared" ca="1" si="56"/>
        <v/>
      </c>
      <c r="AS250" s="12" t="str">
        <f t="shared" ca="1" si="57"/>
        <v/>
      </c>
    </row>
    <row r="251" spans="1:45">
      <c r="A251">
        <f t="shared" si="58"/>
        <v>709</v>
      </c>
      <c r="B251" t="str">
        <f t="shared" ref="B251:B266" ca="1" si="65">INDIRECT("Installations!" &amp; B$121 &amp; $A251)</f>
        <v xml:space="preserve"> </v>
      </c>
      <c r="C251" t="b">
        <f t="shared" ref="C251:C266" ca="1" si="66">IF(INDIRECT("Installations!" &amp; C$121 &amp; $A251)=TRUE,TRUE,FALSE)</f>
        <v>0</v>
      </c>
      <c r="D251" s="284" t="str">
        <f t="shared" ca="1" si="61"/>
        <v/>
      </c>
      <c r="E251" s="96" t="str">
        <f t="shared" ref="E251:E266" ca="1" si="67">IF($C251=FALSE,"",INDIRECT("Installations!" &amp; E$120 &amp; $A251+1))</f>
        <v/>
      </c>
      <c r="F251" s="96" t="str">
        <f t="shared" ref="F251:F266" ca="1" si="68">IF($C251=FALSE,"",INDIRECT("Installations!" &amp; F$120 &amp; $A251+2))</f>
        <v/>
      </c>
      <c r="G251" s="293" t="str">
        <f t="shared" ref="G251:I266" ca="1" si="69">IF($C251=FALSE,"",INDIRECT("Installations!" &amp; G$120 &amp; $A251+1))</f>
        <v/>
      </c>
      <c r="H251" s="284" t="str">
        <f t="shared" ca="1" si="69"/>
        <v/>
      </c>
      <c r="I251" s="96" t="str">
        <f t="shared" ca="1" si="69"/>
        <v/>
      </c>
      <c r="J251" s="96" t="str">
        <f t="shared" ref="J251:J266" ca="1" si="70">IF($C251=FALSE,"",INDIRECT("Installations!" &amp; J$120 &amp; $A251+3))</f>
        <v/>
      </c>
      <c r="K251" s="96" t="str">
        <f t="shared" ca="1" si="61"/>
        <v/>
      </c>
      <c r="L251" s="96" t="str">
        <f t="shared" ca="1" si="61"/>
        <v/>
      </c>
      <c r="M251" s="294" t="str">
        <f t="shared" ca="1" si="61"/>
        <v/>
      </c>
      <c r="N251" s="295" t="str">
        <f t="shared" ref="N251:O266" ca="1" si="71">IF($C251=FALSE,"",INDIRECT("Installations!" &amp; N$120 &amp; $A251+1))</f>
        <v/>
      </c>
      <c r="O251" s="96" t="str">
        <f t="shared" ca="1" si="71"/>
        <v/>
      </c>
      <c r="P251" s="96" t="str">
        <f t="shared" ref="P251:P266" ca="1" si="72">IF($C251=FALSE,"",INDIRECT("Installations!" &amp; P$120 &amp; $A251+3))</f>
        <v/>
      </c>
      <c r="Q251" s="96" t="str">
        <f t="shared" ca="1" si="61"/>
        <v/>
      </c>
      <c r="R251" s="293" t="str">
        <f t="shared" ca="1" si="61"/>
        <v/>
      </c>
      <c r="S251" s="284" t="str">
        <f t="shared" ca="1" si="64"/>
        <v/>
      </c>
      <c r="T251" s="96" t="str">
        <f t="shared" ca="1" si="64"/>
        <v/>
      </c>
      <c r="U251" s="96" t="str">
        <f t="shared" ref="U251:U266" ca="1" si="73">IF($C251=FALSE,"",INDIRECT("Installations!" &amp; U$120 &amp; $A251+3))</f>
        <v/>
      </c>
      <c r="V251" s="96" t="str">
        <f t="shared" ca="1" si="64"/>
        <v/>
      </c>
      <c r="W251" s="96" t="str">
        <f t="shared" ca="1" si="64"/>
        <v/>
      </c>
      <c r="X251" s="293" t="str">
        <f t="shared" ca="1" si="64"/>
        <v/>
      </c>
      <c r="Y251" s="284" t="str">
        <f t="shared" ca="1" si="64"/>
        <v/>
      </c>
      <c r="Z251" s="96" t="str">
        <f t="shared" ca="1" si="64"/>
        <v/>
      </c>
      <c r="AA251" s="96" t="str">
        <f t="shared" ca="1" si="64"/>
        <v/>
      </c>
      <c r="AB251" s="386" t="str">
        <f t="shared" ca="1" si="64"/>
        <v/>
      </c>
      <c r="AC251" s="293" t="str">
        <f t="shared" ca="1" si="64"/>
        <v/>
      </c>
      <c r="AD251" s="284" t="str">
        <f t="shared" ca="1" si="59"/>
        <v/>
      </c>
      <c r="AE251" s="293" t="str">
        <f t="shared" ca="1" si="59"/>
        <v/>
      </c>
      <c r="AF251" s="284" t="str">
        <f t="shared" ca="1" si="59"/>
        <v/>
      </c>
      <c r="AG251" s="293" t="str">
        <f t="shared" ca="1" si="59"/>
        <v/>
      </c>
      <c r="AH251" s="96"/>
      <c r="AI251" s="96" t="str">
        <f t="shared" ref="AI251:AI266" ca="1" si="74">T251</f>
        <v/>
      </c>
      <c r="AK251" s="96">
        <f t="shared" ref="AK251:AK266" ca="1" si="75">VLOOKUP(AI251,J$66:R$115,3,FALSE)</f>
        <v>0</v>
      </c>
      <c r="AL251" s="12">
        <f t="shared" ref="AL251:AL266" ca="1" si="76">VLOOKUP($AI251,$J$66:$R$115,5,FALSE)</f>
        <v>0</v>
      </c>
      <c r="AM251" s="12">
        <f t="shared" ref="AM251:AM266" ca="1" si="77">VLOOKUP($AI251,$J$66:$R$115,8,FALSE)</f>
        <v>0</v>
      </c>
      <c r="AN251" s="12">
        <f t="shared" ref="AN251:AN266" ca="1" si="78">VLOOKUP($AI251,$J$66:$R$115,6,FALSE)</f>
        <v>0</v>
      </c>
      <c r="AO251" s="12">
        <f t="shared" ref="AO251:AO266" ca="1" si="79">VLOOKUP($AI251,$J$66:$R$115,7,FALSE)</f>
        <v>0</v>
      </c>
      <c r="AP251" s="12" t="str">
        <f t="shared" ref="AP251:AP266" ca="1" si="80">VLOOKUP($AI251,$J$66:$R$115,9,FALSE)</f>
        <v/>
      </c>
      <c r="AQ251" s="12" t="str">
        <f t="shared" ref="AQ251:AQ266" ca="1" si="81">IFERROR(ROUND(IF($C251=FALSE,"",INDIRECT("Installations!" &amp; AQ$120 &amp; $A251)),0),"")</f>
        <v/>
      </c>
      <c r="AR251" s="12" t="str">
        <f t="shared" ref="AR251:AR266" ca="1" si="82">IF($C251=FALSE,"",INDIRECT("Installations!" &amp; AR$120 &amp; $A251+3))</f>
        <v/>
      </c>
      <c r="AS251" s="12" t="str">
        <f t="shared" ref="AS251:AS266" ca="1" si="83">IF($C251=FALSE,"",INDIRECT("Installations!" &amp; AS$120 &amp; $A251+2))</f>
        <v/>
      </c>
    </row>
    <row r="252" spans="1:45">
      <c r="A252" s="690">
        <f>A251+8</f>
        <v>717</v>
      </c>
      <c r="B252" t="str">
        <f t="shared" ca="1" si="65"/>
        <v xml:space="preserve"> </v>
      </c>
      <c r="C252" t="b">
        <f t="shared" ca="1" si="66"/>
        <v>0</v>
      </c>
      <c r="D252" s="284" t="str">
        <f t="shared" ca="1" si="61"/>
        <v/>
      </c>
      <c r="E252" s="96" t="str">
        <f t="shared" ca="1" si="67"/>
        <v/>
      </c>
      <c r="F252" s="96" t="str">
        <f t="shared" ca="1" si="68"/>
        <v/>
      </c>
      <c r="G252" s="293" t="str">
        <f t="shared" ca="1" si="69"/>
        <v/>
      </c>
      <c r="H252" s="284" t="str">
        <f t="shared" ca="1" si="69"/>
        <v/>
      </c>
      <c r="I252" s="96" t="str">
        <f t="shared" ca="1" si="69"/>
        <v/>
      </c>
      <c r="J252" s="96" t="str">
        <f t="shared" ca="1" si="70"/>
        <v/>
      </c>
      <c r="K252" s="96" t="str">
        <f t="shared" ca="1" si="61"/>
        <v/>
      </c>
      <c r="L252" s="96" t="str">
        <f t="shared" ca="1" si="61"/>
        <v/>
      </c>
      <c r="M252" s="294" t="str">
        <f t="shared" ca="1" si="61"/>
        <v/>
      </c>
      <c r="N252" s="295" t="str">
        <f t="shared" ca="1" si="71"/>
        <v/>
      </c>
      <c r="O252" s="96" t="str">
        <f t="shared" ca="1" si="71"/>
        <v/>
      </c>
      <c r="P252" s="96" t="str">
        <f t="shared" ca="1" si="72"/>
        <v/>
      </c>
      <c r="Q252" s="96" t="str">
        <f t="shared" ca="1" si="61"/>
        <v/>
      </c>
      <c r="R252" s="293" t="str">
        <f t="shared" ca="1" si="61"/>
        <v/>
      </c>
      <c r="S252" s="284" t="str">
        <f t="shared" ca="1" si="64"/>
        <v/>
      </c>
      <c r="T252" s="96" t="str">
        <f t="shared" ca="1" si="64"/>
        <v/>
      </c>
      <c r="U252" s="96" t="str">
        <f t="shared" ca="1" si="73"/>
        <v/>
      </c>
      <c r="V252" s="96" t="str">
        <f t="shared" ca="1" si="64"/>
        <v/>
      </c>
      <c r="W252" s="96" t="str">
        <f t="shared" ca="1" si="64"/>
        <v/>
      </c>
      <c r="X252" s="293" t="str">
        <f t="shared" ca="1" si="64"/>
        <v/>
      </c>
      <c r="Y252" s="284" t="str">
        <f t="shared" ca="1" si="64"/>
        <v/>
      </c>
      <c r="Z252" s="96" t="str">
        <f t="shared" ca="1" si="64"/>
        <v/>
      </c>
      <c r="AA252" s="96" t="str">
        <f t="shared" ca="1" si="64"/>
        <v/>
      </c>
      <c r="AB252" s="386" t="str">
        <f t="shared" ca="1" si="64"/>
        <v/>
      </c>
      <c r="AC252" s="293" t="str">
        <f t="shared" ca="1" si="64"/>
        <v/>
      </c>
      <c r="AD252" s="284" t="str">
        <f t="shared" ca="1" si="59"/>
        <v/>
      </c>
      <c r="AE252" s="293" t="str">
        <f t="shared" ca="1" si="59"/>
        <v/>
      </c>
      <c r="AF252" s="284" t="str">
        <f t="shared" ca="1" si="59"/>
        <v/>
      </c>
      <c r="AG252" s="293" t="str">
        <f t="shared" ca="1" si="59"/>
        <v/>
      </c>
      <c r="AH252" s="96"/>
      <c r="AI252" s="96" t="str">
        <f t="shared" ca="1" si="74"/>
        <v/>
      </c>
      <c r="AK252" s="96">
        <f t="shared" ca="1" si="75"/>
        <v>0</v>
      </c>
      <c r="AL252" s="12">
        <f t="shared" ca="1" si="76"/>
        <v>0</v>
      </c>
      <c r="AM252" s="12">
        <f t="shared" ca="1" si="77"/>
        <v>0</v>
      </c>
      <c r="AN252" s="12">
        <f t="shared" ca="1" si="78"/>
        <v>0</v>
      </c>
      <c r="AO252" s="12">
        <f t="shared" ca="1" si="79"/>
        <v>0</v>
      </c>
      <c r="AP252" s="12" t="str">
        <f t="shared" ca="1" si="80"/>
        <v/>
      </c>
      <c r="AQ252" s="12" t="str">
        <f t="shared" ca="1" si="81"/>
        <v/>
      </c>
      <c r="AR252" s="12" t="str">
        <f t="shared" ca="1" si="82"/>
        <v/>
      </c>
      <c r="AS252" s="12" t="str">
        <f t="shared" ca="1" si="83"/>
        <v/>
      </c>
    </row>
    <row r="253" spans="1:45">
      <c r="A253">
        <f t="shared" si="58"/>
        <v>722</v>
      </c>
      <c r="B253" t="str">
        <f t="shared" ca="1" si="65"/>
        <v xml:space="preserve"> </v>
      </c>
      <c r="C253" t="b">
        <f t="shared" ca="1" si="66"/>
        <v>0</v>
      </c>
      <c r="D253" s="284" t="str">
        <f t="shared" ca="1" si="61"/>
        <v/>
      </c>
      <c r="E253" s="96" t="str">
        <f t="shared" ca="1" si="67"/>
        <v/>
      </c>
      <c r="F253" s="96" t="str">
        <f t="shared" ca="1" si="68"/>
        <v/>
      </c>
      <c r="G253" s="293" t="str">
        <f t="shared" ca="1" si="69"/>
        <v/>
      </c>
      <c r="H253" s="284" t="str">
        <f t="shared" ca="1" si="69"/>
        <v/>
      </c>
      <c r="I253" s="96" t="str">
        <f t="shared" ca="1" si="69"/>
        <v/>
      </c>
      <c r="J253" s="96" t="str">
        <f t="shared" ca="1" si="70"/>
        <v/>
      </c>
      <c r="K253" s="96" t="str">
        <f t="shared" ca="1" si="61"/>
        <v/>
      </c>
      <c r="L253" s="96" t="str">
        <f t="shared" ca="1" si="61"/>
        <v/>
      </c>
      <c r="M253" s="294" t="str">
        <f t="shared" ca="1" si="61"/>
        <v/>
      </c>
      <c r="N253" s="295" t="str">
        <f t="shared" ca="1" si="71"/>
        <v/>
      </c>
      <c r="O253" s="96" t="str">
        <f t="shared" ca="1" si="71"/>
        <v/>
      </c>
      <c r="P253" s="96" t="str">
        <f t="shared" ca="1" si="72"/>
        <v/>
      </c>
      <c r="Q253" s="96" t="str">
        <f t="shared" ca="1" si="61"/>
        <v/>
      </c>
      <c r="R253" s="293" t="str">
        <f t="shared" ca="1" si="61"/>
        <v/>
      </c>
      <c r="S253" s="284" t="str">
        <f t="shared" ca="1" si="64"/>
        <v/>
      </c>
      <c r="T253" s="96" t="str">
        <f t="shared" ca="1" si="64"/>
        <v/>
      </c>
      <c r="U253" s="96" t="str">
        <f t="shared" ca="1" si="73"/>
        <v/>
      </c>
      <c r="V253" s="96" t="str">
        <f t="shared" ca="1" si="64"/>
        <v/>
      </c>
      <c r="W253" s="96" t="str">
        <f t="shared" ca="1" si="64"/>
        <v/>
      </c>
      <c r="X253" s="293" t="str">
        <f t="shared" ca="1" si="64"/>
        <v/>
      </c>
      <c r="Y253" s="284" t="str">
        <f t="shared" ca="1" si="64"/>
        <v/>
      </c>
      <c r="Z253" s="96" t="str">
        <f t="shared" ca="1" si="64"/>
        <v/>
      </c>
      <c r="AA253" s="96" t="str">
        <f t="shared" ca="1" si="64"/>
        <v/>
      </c>
      <c r="AB253" s="386" t="str">
        <f t="shared" ca="1" si="64"/>
        <v/>
      </c>
      <c r="AC253" s="293" t="str">
        <f t="shared" ca="1" si="64"/>
        <v/>
      </c>
      <c r="AD253" s="284" t="str">
        <f t="shared" ca="1" si="59"/>
        <v/>
      </c>
      <c r="AE253" s="293" t="str">
        <f t="shared" ca="1" si="59"/>
        <v/>
      </c>
      <c r="AF253" s="284" t="str">
        <f t="shared" ca="1" si="59"/>
        <v/>
      </c>
      <c r="AG253" s="293" t="str">
        <f t="shared" ca="1" si="59"/>
        <v/>
      </c>
      <c r="AH253" s="96"/>
      <c r="AI253" s="96" t="str">
        <f t="shared" ca="1" si="74"/>
        <v/>
      </c>
      <c r="AK253" s="96">
        <f t="shared" ca="1" si="75"/>
        <v>0</v>
      </c>
      <c r="AL253" s="12">
        <f t="shared" ca="1" si="76"/>
        <v>0</v>
      </c>
      <c r="AM253" s="12">
        <f t="shared" ca="1" si="77"/>
        <v>0</v>
      </c>
      <c r="AN253" s="12">
        <f t="shared" ca="1" si="78"/>
        <v>0</v>
      </c>
      <c r="AO253" s="12">
        <f t="shared" ca="1" si="79"/>
        <v>0</v>
      </c>
      <c r="AP253" s="12" t="str">
        <f t="shared" ca="1" si="80"/>
        <v/>
      </c>
      <c r="AQ253" s="12" t="str">
        <f t="shared" ca="1" si="81"/>
        <v/>
      </c>
      <c r="AR253" s="12" t="str">
        <f t="shared" ca="1" si="82"/>
        <v/>
      </c>
      <c r="AS253" s="12" t="str">
        <f t="shared" ca="1" si="83"/>
        <v/>
      </c>
    </row>
    <row r="254" spans="1:45">
      <c r="A254">
        <f t="shared" si="58"/>
        <v>727</v>
      </c>
      <c r="B254" t="str">
        <f t="shared" ca="1" si="65"/>
        <v xml:space="preserve"> </v>
      </c>
      <c r="C254" t="b">
        <f t="shared" ca="1" si="66"/>
        <v>0</v>
      </c>
      <c r="D254" s="284" t="str">
        <f t="shared" ca="1" si="61"/>
        <v/>
      </c>
      <c r="E254" s="96" t="str">
        <f t="shared" ca="1" si="67"/>
        <v/>
      </c>
      <c r="F254" s="96" t="str">
        <f t="shared" ca="1" si="68"/>
        <v/>
      </c>
      <c r="G254" s="293" t="str">
        <f t="shared" ca="1" si="69"/>
        <v/>
      </c>
      <c r="H254" s="284" t="str">
        <f t="shared" ca="1" si="69"/>
        <v/>
      </c>
      <c r="I254" s="96" t="str">
        <f t="shared" ca="1" si="69"/>
        <v/>
      </c>
      <c r="J254" s="96" t="str">
        <f t="shared" ca="1" si="70"/>
        <v/>
      </c>
      <c r="K254" s="96" t="str">
        <f t="shared" ca="1" si="61"/>
        <v/>
      </c>
      <c r="L254" s="96" t="str">
        <f t="shared" ca="1" si="61"/>
        <v/>
      </c>
      <c r="M254" s="294" t="str">
        <f t="shared" ca="1" si="61"/>
        <v/>
      </c>
      <c r="N254" s="295" t="str">
        <f t="shared" ca="1" si="71"/>
        <v/>
      </c>
      <c r="O254" s="96" t="str">
        <f t="shared" ca="1" si="71"/>
        <v/>
      </c>
      <c r="P254" s="96" t="str">
        <f t="shared" ca="1" si="72"/>
        <v/>
      </c>
      <c r="Q254" s="96" t="str">
        <f t="shared" ca="1" si="61"/>
        <v/>
      </c>
      <c r="R254" s="293" t="str">
        <f t="shared" ca="1" si="61"/>
        <v/>
      </c>
      <c r="S254" s="284" t="str">
        <f t="shared" ca="1" si="64"/>
        <v/>
      </c>
      <c r="T254" s="96" t="str">
        <f t="shared" ca="1" si="64"/>
        <v/>
      </c>
      <c r="U254" s="96" t="str">
        <f t="shared" ca="1" si="73"/>
        <v/>
      </c>
      <c r="V254" s="96" t="str">
        <f t="shared" ca="1" si="64"/>
        <v/>
      </c>
      <c r="W254" s="96" t="str">
        <f t="shared" ca="1" si="64"/>
        <v/>
      </c>
      <c r="X254" s="293" t="str">
        <f t="shared" ca="1" si="64"/>
        <v/>
      </c>
      <c r="Y254" s="284" t="str">
        <f t="shared" ca="1" si="64"/>
        <v/>
      </c>
      <c r="Z254" s="96" t="str">
        <f t="shared" ca="1" si="64"/>
        <v/>
      </c>
      <c r="AA254" s="96" t="str">
        <f t="shared" ca="1" si="64"/>
        <v/>
      </c>
      <c r="AB254" s="386" t="str">
        <f t="shared" ca="1" si="64"/>
        <v/>
      </c>
      <c r="AC254" s="293" t="str">
        <f t="shared" ca="1" si="64"/>
        <v/>
      </c>
      <c r="AD254" s="284" t="str">
        <f t="shared" ca="1" si="59"/>
        <v/>
      </c>
      <c r="AE254" s="293" t="str">
        <f t="shared" ca="1" si="59"/>
        <v/>
      </c>
      <c r="AF254" s="284" t="str">
        <f t="shared" ca="1" si="59"/>
        <v/>
      </c>
      <c r="AG254" s="293" t="str">
        <f t="shared" ca="1" si="59"/>
        <v/>
      </c>
      <c r="AH254" s="96"/>
      <c r="AI254" s="96" t="str">
        <f t="shared" ca="1" si="74"/>
        <v/>
      </c>
      <c r="AK254" s="96">
        <f t="shared" ca="1" si="75"/>
        <v>0</v>
      </c>
      <c r="AL254" s="12">
        <f t="shared" ca="1" si="76"/>
        <v>0</v>
      </c>
      <c r="AM254" s="12">
        <f t="shared" ca="1" si="77"/>
        <v>0</v>
      </c>
      <c r="AN254" s="12">
        <f t="shared" ca="1" si="78"/>
        <v>0</v>
      </c>
      <c r="AO254" s="12">
        <f t="shared" ca="1" si="79"/>
        <v>0</v>
      </c>
      <c r="AP254" s="12" t="str">
        <f t="shared" ca="1" si="80"/>
        <v/>
      </c>
      <c r="AQ254" s="12" t="str">
        <f t="shared" ca="1" si="81"/>
        <v/>
      </c>
      <c r="AR254" s="12" t="str">
        <f t="shared" ca="1" si="82"/>
        <v/>
      </c>
      <c r="AS254" s="12" t="str">
        <f t="shared" ca="1" si="83"/>
        <v/>
      </c>
    </row>
    <row r="255" spans="1:45">
      <c r="A255">
        <f t="shared" si="58"/>
        <v>732</v>
      </c>
      <c r="B255" t="str">
        <f t="shared" ca="1" si="65"/>
        <v xml:space="preserve"> </v>
      </c>
      <c r="C255" t="b">
        <f t="shared" ca="1" si="66"/>
        <v>0</v>
      </c>
      <c r="D255" s="284" t="str">
        <f t="shared" ca="1" si="61"/>
        <v/>
      </c>
      <c r="E255" s="96" t="str">
        <f t="shared" ca="1" si="67"/>
        <v/>
      </c>
      <c r="F255" s="96" t="str">
        <f t="shared" ca="1" si="68"/>
        <v/>
      </c>
      <c r="G255" s="293" t="str">
        <f t="shared" ca="1" si="69"/>
        <v/>
      </c>
      <c r="H255" s="284" t="str">
        <f t="shared" ca="1" si="69"/>
        <v/>
      </c>
      <c r="I255" s="96" t="str">
        <f t="shared" ca="1" si="69"/>
        <v/>
      </c>
      <c r="J255" s="96" t="str">
        <f t="shared" ca="1" si="70"/>
        <v/>
      </c>
      <c r="K255" s="96" t="str">
        <f t="shared" ca="1" si="61"/>
        <v/>
      </c>
      <c r="L255" s="96" t="str">
        <f t="shared" ca="1" si="61"/>
        <v/>
      </c>
      <c r="M255" s="294" t="str">
        <f t="shared" ca="1" si="61"/>
        <v/>
      </c>
      <c r="N255" s="295" t="str">
        <f t="shared" ca="1" si="71"/>
        <v/>
      </c>
      <c r="O255" s="96" t="str">
        <f t="shared" ca="1" si="71"/>
        <v/>
      </c>
      <c r="P255" s="96" t="str">
        <f t="shared" ca="1" si="72"/>
        <v/>
      </c>
      <c r="Q255" s="96" t="str">
        <f t="shared" ca="1" si="61"/>
        <v/>
      </c>
      <c r="R255" s="293" t="str">
        <f t="shared" ca="1" si="61"/>
        <v/>
      </c>
      <c r="S255" s="284" t="str">
        <f t="shared" ca="1" si="64"/>
        <v/>
      </c>
      <c r="T255" s="96" t="str">
        <f t="shared" ca="1" si="64"/>
        <v/>
      </c>
      <c r="U255" s="96" t="str">
        <f t="shared" ca="1" si="73"/>
        <v/>
      </c>
      <c r="V255" s="96" t="str">
        <f t="shared" ca="1" si="64"/>
        <v/>
      </c>
      <c r="W255" s="96" t="str">
        <f t="shared" ca="1" si="64"/>
        <v/>
      </c>
      <c r="X255" s="293" t="str">
        <f t="shared" ca="1" si="64"/>
        <v/>
      </c>
      <c r="Y255" s="284" t="str">
        <f t="shared" ca="1" si="64"/>
        <v/>
      </c>
      <c r="Z255" s="96" t="str">
        <f t="shared" ca="1" si="64"/>
        <v/>
      </c>
      <c r="AA255" s="96" t="str">
        <f t="shared" ca="1" si="64"/>
        <v/>
      </c>
      <c r="AB255" s="386" t="str">
        <f t="shared" ca="1" si="64"/>
        <v/>
      </c>
      <c r="AC255" s="293" t="str">
        <f t="shared" ca="1" si="64"/>
        <v/>
      </c>
      <c r="AD255" s="284" t="str">
        <f t="shared" ca="1" si="59"/>
        <v/>
      </c>
      <c r="AE255" s="293" t="str">
        <f t="shared" ca="1" si="59"/>
        <v/>
      </c>
      <c r="AF255" s="284" t="str">
        <f t="shared" ca="1" si="59"/>
        <v/>
      </c>
      <c r="AG255" s="293" t="str">
        <f t="shared" ca="1" si="59"/>
        <v/>
      </c>
      <c r="AH255" s="96"/>
      <c r="AI255" s="96" t="str">
        <f t="shared" ca="1" si="74"/>
        <v/>
      </c>
      <c r="AK255" s="96">
        <f t="shared" ca="1" si="75"/>
        <v>0</v>
      </c>
      <c r="AL255" s="12">
        <f t="shared" ca="1" si="76"/>
        <v>0</v>
      </c>
      <c r="AM255" s="12">
        <f t="shared" ca="1" si="77"/>
        <v>0</v>
      </c>
      <c r="AN255" s="12">
        <f t="shared" ca="1" si="78"/>
        <v>0</v>
      </c>
      <c r="AO255" s="12">
        <f t="shared" ca="1" si="79"/>
        <v>0</v>
      </c>
      <c r="AP255" s="12" t="str">
        <f t="shared" ca="1" si="80"/>
        <v/>
      </c>
      <c r="AQ255" s="12" t="str">
        <f t="shared" ca="1" si="81"/>
        <v/>
      </c>
      <c r="AR255" s="12" t="str">
        <f t="shared" ca="1" si="82"/>
        <v/>
      </c>
      <c r="AS255" s="12" t="str">
        <f t="shared" ca="1" si="83"/>
        <v/>
      </c>
    </row>
    <row r="256" spans="1:45">
      <c r="A256">
        <f t="shared" si="58"/>
        <v>737</v>
      </c>
      <c r="B256" t="str">
        <f t="shared" ca="1" si="65"/>
        <v xml:space="preserve"> </v>
      </c>
      <c r="C256" t="b">
        <f t="shared" ca="1" si="66"/>
        <v>0</v>
      </c>
      <c r="D256" s="284" t="str">
        <f t="shared" ca="1" si="61"/>
        <v/>
      </c>
      <c r="E256" s="96" t="str">
        <f t="shared" ca="1" si="67"/>
        <v/>
      </c>
      <c r="F256" s="96" t="str">
        <f t="shared" ca="1" si="68"/>
        <v/>
      </c>
      <c r="G256" s="293" t="str">
        <f t="shared" ca="1" si="69"/>
        <v/>
      </c>
      <c r="H256" s="284" t="str">
        <f t="shared" ca="1" si="69"/>
        <v/>
      </c>
      <c r="I256" s="96" t="str">
        <f t="shared" ca="1" si="69"/>
        <v/>
      </c>
      <c r="J256" s="96" t="str">
        <f t="shared" ca="1" si="70"/>
        <v/>
      </c>
      <c r="K256" s="96" t="str">
        <f t="shared" ca="1" si="61"/>
        <v/>
      </c>
      <c r="L256" s="96" t="str">
        <f t="shared" ca="1" si="61"/>
        <v/>
      </c>
      <c r="M256" s="294" t="str">
        <f t="shared" ca="1" si="61"/>
        <v/>
      </c>
      <c r="N256" s="295" t="str">
        <f t="shared" ca="1" si="71"/>
        <v/>
      </c>
      <c r="O256" s="96" t="str">
        <f t="shared" ca="1" si="71"/>
        <v/>
      </c>
      <c r="P256" s="96" t="str">
        <f t="shared" ca="1" si="72"/>
        <v/>
      </c>
      <c r="Q256" s="96" t="str">
        <f t="shared" ref="D256:R266" ca="1" si="84">IF($C256=FALSE,"",INDIRECT("Installations!" &amp; Q$120 &amp; $A256))</f>
        <v/>
      </c>
      <c r="R256" s="293" t="str">
        <f t="shared" ca="1" si="84"/>
        <v/>
      </c>
      <c r="S256" s="284" t="str">
        <f t="shared" ca="1" si="64"/>
        <v/>
      </c>
      <c r="T256" s="96" t="str">
        <f t="shared" ca="1" si="64"/>
        <v/>
      </c>
      <c r="U256" s="96" t="str">
        <f t="shared" ca="1" si="73"/>
        <v/>
      </c>
      <c r="V256" s="96" t="str">
        <f t="shared" ca="1" si="64"/>
        <v/>
      </c>
      <c r="W256" s="96" t="str">
        <f t="shared" ca="1" si="64"/>
        <v/>
      </c>
      <c r="X256" s="293" t="str">
        <f t="shared" ca="1" si="64"/>
        <v/>
      </c>
      <c r="Y256" s="284" t="str">
        <f t="shared" ca="1" si="64"/>
        <v/>
      </c>
      <c r="Z256" s="96" t="str">
        <f t="shared" ca="1" si="64"/>
        <v/>
      </c>
      <c r="AA256" s="96" t="str">
        <f t="shared" ca="1" si="64"/>
        <v/>
      </c>
      <c r="AB256" s="386" t="str">
        <f t="shared" ca="1" si="64"/>
        <v/>
      </c>
      <c r="AC256" s="293" t="str">
        <f t="shared" ca="1" si="64"/>
        <v/>
      </c>
      <c r="AD256" s="284" t="str">
        <f t="shared" ca="1" si="59"/>
        <v/>
      </c>
      <c r="AE256" s="293" t="str">
        <f t="shared" ca="1" si="59"/>
        <v/>
      </c>
      <c r="AF256" s="284" t="str">
        <f t="shared" ca="1" si="59"/>
        <v/>
      </c>
      <c r="AG256" s="293" t="str">
        <f t="shared" ca="1" si="59"/>
        <v/>
      </c>
      <c r="AH256" s="96"/>
      <c r="AI256" s="96" t="str">
        <f t="shared" ca="1" si="74"/>
        <v/>
      </c>
      <c r="AK256" s="96">
        <f t="shared" ca="1" si="75"/>
        <v>0</v>
      </c>
      <c r="AL256" s="12">
        <f t="shared" ca="1" si="76"/>
        <v>0</v>
      </c>
      <c r="AM256" s="12">
        <f t="shared" ca="1" si="77"/>
        <v>0</v>
      </c>
      <c r="AN256" s="12">
        <f t="shared" ca="1" si="78"/>
        <v>0</v>
      </c>
      <c r="AO256" s="12">
        <f t="shared" ca="1" si="79"/>
        <v>0</v>
      </c>
      <c r="AP256" s="12" t="str">
        <f t="shared" ca="1" si="80"/>
        <v/>
      </c>
      <c r="AQ256" s="12" t="str">
        <f t="shared" ca="1" si="81"/>
        <v/>
      </c>
      <c r="AR256" s="12" t="str">
        <f t="shared" ca="1" si="82"/>
        <v/>
      </c>
      <c r="AS256" s="12" t="str">
        <f t="shared" ca="1" si="83"/>
        <v/>
      </c>
    </row>
    <row r="257" spans="1:45">
      <c r="A257">
        <f t="shared" si="58"/>
        <v>742</v>
      </c>
      <c r="B257" t="str">
        <f t="shared" ca="1" si="65"/>
        <v xml:space="preserve"> </v>
      </c>
      <c r="C257" t="b">
        <f t="shared" ca="1" si="66"/>
        <v>0</v>
      </c>
      <c r="D257" s="284" t="str">
        <f t="shared" ca="1" si="84"/>
        <v/>
      </c>
      <c r="E257" s="96" t="str">
        <f t="shared" ca="1" si="67"/>
        <v/>
      </c>
      <c r="F257" s="96" t="str">
        <f t="shared" ca="1" si="68"/>
        <v/>
      </c>
      <c r="G257" s="293" t="str">
        <f t="shared" ca="1" si="69"/>
        <v/>
      </c>
      <c r="H257" s="284" t="str">
        <f t="shared" ca="1" si="69"/>
        <v/>
      </c>
      <c r="I257" s="96" t="str">
        <f t="shared" ca="1" si="69"/>
        <v/>
      </c>
      <c r="J257" s="96" t="str">
        <f t="shared" ca="1" si="70"/>
        <v/>
      </c>
      <c r="K257" s="96" t="str">
        <f t="shared" ca="1" si="84"/>
        <v/>
      </c>
      <c r="L257" s="96" t="str">
        <f t="shared" ca="1" si="84"/>
        <v/>
      </c>
      <c r="M257" s="294" t="str">
        <f t="shared" ca="1" si="84"/>
        <v/>
      </c>
      <c r="N257" s="295" t="str">
        <f t="shared" ca="1" si="71"/>
        <v/>
      </c>
      <c r="O257" s="96" t="str">
        <f t="shared" ca="1" si="71"/>
        <v/>
      </c>
      <c r="P257" s="96" t="str">
        <f t="shared" ca="1" si="72"/>
        <v/>
      </c>
      <c r="Q257" s="96" t="str">
        <f t="shared" ca="1" si="84"/>
        <v/>
      </c>
      <c r="R257" s="293" t="str">
        <f t="shared" ca="1" si="84"/>
        <v/>
      </c>
      <c r="S257" s="284" t="str">
        <f t="shared" ca="1" si="64"/>
        <v/>
      </c>
      <c r="T257" s="96" t="str">
        <f t="shared" ca="1" si="64"/>
        <v/>
      </c>
      <c r="U257" s="96" t="str">
        <f t="shared" ca="1" si="73"/>
        <v/>
      </c>
      <c r="V257" s="96" t="str">
        <f t="shared" ca="1" si="64"/>
        <v/>
      </c>
      <c r="W257" s="96" t="str">
        <f t="shared" ca="1" si="64"/>
        <v/>
      </c>
      <c r="X257" s="293" t="str">
        <f t="shared" ca="1" si="64"/>
        <v/>
      </c>
      <c r="Y257" s="284" t="str">
        <f t="shared" ca="1" si="64"/>
        <v/>
      </c>
      <c r="Z257" s="96" t="str">
        <f t="shared" ca="1" si="64"/>
        <v/>
      </c>
      <c r="AA257" s="96" t="str">
        <f t="shared" ca="1" si="64"/>
        <v/>
      </c>
      <c r="AB257" s="386" t="str">
        <f t="shared" ca="1" si="64"/>
        <v/>
      </c>
      <c r="AC257" s="293" t="str">
        <f t="shared" ca="1" si="64"/>
        <v/>
      </c>
      <c r="AD257" s="284" t="str">
        <f t="shared" ca="1" si="59"/>
        <v/>
      </c>
      <c r="AE257" s="293" t="str">
        <f t="shared" ca="1" si="59"/>
        <v/>
      </c>
      <c r="AF257" s="284" t="str">
        <f t="shared" ca="1" si="59"/>
        <v/>
      </c>
      <c r="AG257" s="293" t="str">
        <f t="shared" ca="1" si="59"/>
        <v/>
      </c>
      <c r="AH257" s="96"/>
      <c r="AI257" s="96" t="str">
        <f t="shared" ca="1" si="74"/>
        <v/>
      </c>
      <c r="AK257" s="96">
        <f t="shared" ca="1" si="75"/>
        <v>0</v>
      </c>
      <c r="AL257" s="12">
        <f t="shared" ca="1" si="76"/>
        <v>0</v>
      </c>
      <c r="AM257" s="12">
        <f t="shared" ca="1" si="77"/>
        <v>0</v>
      </c>
      <c r="AN257" s="12">
        <f t="shared" ca="1" si="78"/>
        <v>0</v>
      </c>
      <c r="AO257" s="12">
        <f t="shared" ca="1" si="79"/>
        <v>0</v>
      </c>
      <c r="AP257" s="12" t="str">
        <f t="shared" ca="1" si="80"/>
        <v/>
      </c>
      <c r="AQ257" s="12" t="str">
        <f t="shared" ca="1" si="81"/>
        <v/>
      </c>
      <c r="AR257" s="12" t="str">
        <f t="shared" ca="1" si="82"/>
        <v/>
      </c>
      <c r="AS257" s="12" t="str">
        <f t="shared" ca="1" si="83"/>
        <v/>
      </c>
    </row>
    <row r="258" spans="1:45">
      <c r="A258">
        <f t="shared" si="58"/>
        <v>747</v>
      </c>
      <c r="B258" t="str">
        <f t="shared" ca="1" si="65"/>
        <v xml:space="preserve"> </v>
      </c>
      <c r="C258" t="b">
        <f t="shared" ca="1" si="66"/>
        <v>0</v>
      </c>
      <c r="D258" s="284" t="str">
        <f t="shared" ca="1" si="84"/>
        <v/>
      </c>
      <c r="E258" s="96" t="str">
        <f t="shared" ca="1" si="67"/>
        <v/>
      </c>
      <c r="F258" s="96" t="str">
        <f t="shared" ca="1" si="68"/>
        <v/>
      </c>
      <c r="G258" s="293" t="str">
        <f t="shared" ca="1" si="69"/>
        <v/>
      </c>
      <c r="H258" s="284" t="str">
        <f t="shared" ca="1" si="69"/>
        <v/>
      </c>
      <c r="I258" s="96" t="str">
        <f t="shared" ca="1" si="69"/>
        <v/>
      </c>
      <c r="J258" s="96" t="str">
        <f t="shared" ca="1" si="70"/>
        <v/>
      </c>
      <c r="K258" s="96" t="str">
        <f t="shared" ca="1" si="84"/>
        <v/>
      </c>
      <c r="L258" s="96" t="str">
        <f t="shared" ca="1" si="84"/>
        <v/>
      </c>
      <c r="M258" s="294" t="str">
        <f t="shared" ca="1" si="84"/>
        <v/>
      </c>
      <c r="N258" s="295" t="str">
        <f t="shared" ca="1" si="71"/>
        <v/>
      </c>
      <c r="O258" s="96" t="str">
        <f t="shared" ca="1" si="71"/>
        <v/>
      </c>
      <c r="P258" s="96" t="str">
        <f t="shared" ca="1" si="72"/>
        <v/>
      </c>
      <c r="Q258" s="96" t="str">
        <f t="shared" ca="1" si="84"/>
        <v/>
      </c>
      <c r="R258" s="293" t="str">
        <f t="shared" ca="1" si="84"/>
        <v/>
      </c>
      <c r="S258" s="284" t="str">
        <f t="shared" ca="1" si="64"/>
        <v/>
      </c>
      <c r="T258" s="96" t="str">
        <f t="shared" ca="1" si="64"/>
        <v/>
      </c>
      <c r="U258" s="96" t="str">
        <f t="shared" ca="1" si="73"/>
        <v/>
      </c>
      <c r="V258" s="96" t="str">
        <f t="shared" ca="1" si="64"/>
        <v/>
      </c>
      <c r="W258" s="96" t="str">
        <f t="shared" ca="1" si="64"/>
        <v/>
      </c>
      <c r="X258" s="293" t="str">
        <f t="shared" ca="1" si="64"/>
        <v/>
      </c>
      <c r="Y258" s="284" t="str">
        <f t="shared" ca="1" si="64"/>
        <v/>
      </c>
      <c r="Z258" s="96" t="str">
        <f t="shared" ca="1" si="64"/>
        <v/>
      </c>
      <c r="AA258" s="96" t="str">
        <f t="shared" ca="1" si="64"/>
        <v/>
      </c>
      <c r="AB258" s="386" t="str">
        <f t="shared" ca="1" si="64"/>
        <v/>
      </c>
      <c r="AC258" s="293" t="str">
        <f t="shared" ca="1" si="64"/>
        <v/>
      </c>
      <c r="AD258" s="284" t="str">
        <f t="shared" ca="1" si="59"/>
        <v/>
      </c>
      <c r="AE258" s="293" t="str">
        <f t="shared" ca="1" si="59"/>
        <v/>
      </c>
      <c r="AF258" s="284" t="str">
        <f t="shared" ca="1" si="59"/>
        <v/>
      </c>
      <c r="AG258" s="293" t="str">
        <f t="shared" ca="1" si="59"/>
        <v/>
      </c>
      <c r="AH258" s="96"/>
      <c r="AI258" s="96" t="str">
        <f t="shared" ca="1" si="74"/>
        <v/>
      </c>
      <c r="AK258" s="96">
        <f t="shared" ca="1" si="75"/>
        <v>0</v>
      </c>
      <c r="AL258" s="12">
        <f t="shared" ca="1" si="76"/>
        <v>0</v>
      </c>
      <c r="AM258" s="12">
        <f t="shared" ca="1" si="77"/>
        <v>0</v>
      </c>
      <c r="AN258" s="12">
        <f t="shared" ca="1" si="78"/>
        <v>0</v>
      </c>
      <c r="AO258" s="12">
        <f t="shared" ca="1" si="79"/>
        <v>0</v>
      </c>
      <c r="AP258" s="12" t="str">
        <f t="shared" ca="1" si="80"/>
        <v/>
      </c>
      <c r="AQ258" s="12" t="str">
        <f t="shared" ca="1" si="81"/>
        <v/>
      </c>
      <c r="AR258" s="12" t="str">
        <f t="shared" ca="1" si="82"/>
        <v/>
      </c>
      <c r="AS258" s="12" t="str">
        <f t="shared" ca="1" si="83"/>
        <v/>
      </c>
    </row>
    <row r="259" spans="1:45">
      <c r="A259">
        <f t="shared" si="58"/>
        <v>752</v>
      </c>
      <c r="B259" t="str">
        <f t="shared" ca="1" si="65"/>
        <v xml:space="preserve"> </v>
      </c>
      <c r="C259" t="b">
        <f t="shared" ca="1" si="66"/>
        <v>0</v>
      </c>
      <c r="D259" s="284" t="str">
        <f t="shared" ca="1" si="84"/>
        <v/>
      </c>
      <c r="E259" s="96" t="str">
        <f t="shared" ca="1" si="67"/>
        <v/>
      </c>
      <c r="F259" s="96" t="str">
        <f t="shared" ca="1" si="68"/>
        <v/>
      </c>
      <c r="G259" s="293" t="str">
        <f t="shared" ca="1" si="69"/>
        <v/>
      </c>
      <c r="H259" s="284" t="str">
        <f t="shared" ca="1" si="69"/>
        <v/>
      </c>
      <c r="I259" s="96" t="str">
        <f t="shared" ca="1" si="69"/>
        <v/>
      </c>
      <c r="J259" s="96" t="str">
        <f t="shared" ca="1" si="70"/>
        <v/>
      </c>
      <c r="K259" s="96" t="str">
        <f t="shared" ca="1" si="84"/>
        <v/>
      </c>
      <c r="L259" s="96" t="str">
        <f t="shared" ca="1" si="84"/>
        <v/>
      </c>
      <c r="M259" s="294" t="str">
        <f t="shared" ca="1" si="84"/>
        <v/>
      </c>
      <c r="N259" s="295" t="str">
        <f t="shared" ca="1" si="71"/>
        <v/>
      </c>
      <c r="O259" s="96" t="str">
        <f t="shared" ca="1" si="71"/>
        <v/>
      </c>
      <c r="P259" s="96" t="str">
        <f t="shared" ca="1" si="72"/>
        <v/>
      </c>
      <c r="Q259" s="96" t="str">
        <f t="shared" ca="1" si="84"/>
        <v/>
      </c>
      <c r="R259" s="293" t="str">
        <f t="shared" ca="1" si="84"/>
        <v/>
      </c>
      <c r="S259" s="284" t="str">
        <f t="shared" ca="1" si="64"/>
        <v/>
      </c>
      <c r="T259" s="96" t="str">
        <f t="shared" ca="1" si="64"/>
        <v/>
      </c>
      <c r="U259" s="96" t="str">
        <f t="shared" ca="1" si="73"/>
        <v/>
      </c>
      <c r="V259" s="96" t="str">
        <f t="shared" ca="1" si="64"/>
        <v/>
      </c>
      <c r="W259" s="96" t="str">
        <f t="shared" ca="1" si="64"/>
        <v/>
      </c>
      <c r="X259" s="293" t="str">
        <f t="shared" ca="1" si="64"/>
        <v/>
      </c>
      <c r="Y259" s="284" t="str">
        <f t="shared" ca="1" si="64"/>
        <v/>
      </c>
      <c r="Z259" s="96" t="str">
        <f t="shared" ca="1" si="64"/>
        <v/>
      </c>
      <c r="AA259" s="96" t="str">
        <f t="shared" ca="1" si="64"/>
        <v/>
      </c>
      <c r="AB259" s="386" t="str">
        <f t="shared" ca="1" si="64"/>
        <v/>
      </c>
      <c r="AC259" s="293" t="str">
        <f t="shared" ca="1" si="64"/>
        <v/>
      </c>
      <c r="AD259" s="284" t="str">
        <f t="shared" ca="1" si="59"/>
        <v/>
      </c>
      <c r="AE259" s="293" t="str">
        <f t="shared" ca="1" si="59"/>
        <v/>
      </c>
      <c r="AF259" s="284" t="str">
        <f t="shared" ca="1" si="59"/>
        <v/>
      </c>
      <c r="AG259" s="293" t="str">
        <f t="shared" ca="1" si="59"/>
        <v/>
      </c>
      <c r="AH259" s="96"/>
      <c r="AI259" s="96" t="str">
        <f t="shared" ca="1" si="74"/>
        <v/>
      </c>
      <c r="AK259" s="96">
        <f t="shared" ca="1" si="75"/>
        <v>0</v>
      </c>
      <c r="AL259" s="12">
        <f t="shared" ca="1" si="76"/>
        <v>0</v>
      </c>
      <c r="AM259" s="12">
        <f t="shared" ca="1" si="77"/>
        <v>0</v>
      </c>
      <c r="AN259" s="12">
        <f t="shared" ca="1" si="78"/>
        <v>0</v>
      </c>
      <c r="AO259" s="12">
        <f t="shared" ca="1" si="79"/>
        <v>0</v>
      </c>
      <c r="AP259" s="12" t="str">
        <f t="shared" ca="1" si="80"/>
        <v/>
      </c>
      <c r="AQ259" s="12" t="str">
        <f t="shared" ca="1" si="81"/>
        <v/>
      </c>
      <c r="AR259" s="12" t="str">
        <f t="shared" ca="1" si="82"/>
        <v/>
      </c>
      <c r="AS259" s="12" t="str">
        <f t="shared" ca="1" si="83"/>
        <v/>
      </c>
    </row>
    <row r="260" spans="1:45">
      <c r="A260">
        <f t="shared" si="58"/>
        <v>757</v>
      </c>
      <c r="B260" t="str">
        <f t="shared" ca="1" si="65"/>
        <v xml:space="preserve"> </v>
      </c>
      <c r="C260" t="b">
        <f t="shared" ca="1" si="66"/>
        <v>0</v>
      </c>
      <c r="D260" s="284" t="str">
        <f t="shared" ca="1" si="84"/>
        <v/>
      </c>
      <c r="E260" s="96" t="str">
        <f t="shared" ca="1" si="67"/>
        <v/>
      </c>
      <c r="F260" s="96" t="str">
        <f t="shared" ca="1" si="68"/>
        <v/>
      </c>
      <c r="G260" s="293" t="str">
        <f t="shared" ca="1" si="69"/>
        <v/>
      </c>
      <c r="H260" s="284" t="str">
        <f t="shared" ca="1" si="69"/>
        <v/>
      </c>
      <c r="I260" s="96" t="str">
        <f t="shared" ca="1" si="69"/>
        <v/>
      </c>
      <c r="J260" s="96" t="str">
        <f t="shared" ca="1" si="70"/>
        <v/>
      </c>
      <c r="K260" s="96" t="str">
        <f t="shared" ca="1" si="84"/>
        <v/>
      </c>
      <c r="L260" s="96" t="str">
        <f t="shared" ca="1" si="84"/>
        <v/>
      </c>
      <c r="M260" s="294" t="str">
        <f t="shared" ca="1" si="84"/>
        <v/>
      </c>
      <c r="N260" s="295" t="str">
        <f t="shared" ca="1" si="71"/>
        <v/>
      </c>
      <c r="O260" s="96" t="str">
        <f t="shared" ca="1" si="71"/>
        <v/>
      </c>
      <c r="P260" s="96" t="str">
        <f t="shared" ca="1" si="72"/>
        <v/>
      </c>
      <c r="Q260" s="96" t="str">
        <f t="shared" ca="1" si="84"/>
        <v/>
      </c>
      <c r="R260" s="293" t="str">
        <f t="shared" ca="1" si="84"/>
        <v/>
      </c>
      <c r="S260" s="284" t="str">
        <f t="shared" ca="1" si="64"/>
        <v/>
      </c>
      <c r="T260" s="96" t="str">
        <f t="shared" ca="1" si="64"/>
        <v/>
      </c>
      <c r="U260" s="96" t="str">
        <f t="shared" ca="1" si="73"/>
        <v/>
      </c>
      <c r="V260" s="96" t="str">
        <f t="shared" ca="1" si="64"/>
        <v/>
      </c>
      <c r="W260" s="96" t="str">
        <f t="shared" ca="1" si="64"/>
        <v/>
      </c>
      <c r="X260" s="293" t="str">
        <f t="shared" ca="1" si="64"/>
        <v/>
      </c>
      <c r="Y260" s="284" t="str">
        <f t="shared" ca="1" si="64"/>
        <v/>
      </c>
      <c r="Z260" s="96" t="str">
        <f t="shared" ref="S260:AC266" ca="1" si="85">IF($C260=FALSE,"",INDIRECT("Installations!" &amp; Z$120 &amp; $A260+2))</f>
        <v/>
      </c>
      <c r="AA260" s="96" t="str">
        <f t="shared" ca="1" si="85"/>
        <v/>
      </c>
      <c r="AB260" s="386" t="str">
        <f t="shared" ca="1" si="85"/>
        <v/>
      </c>
      <c r="AC260" s="293" t="str">
        <f t="shared" ca="1" si="85"/>
        <v/>
      </c>
      <c r="AD260" s="284" t="str">
        <f t="shared" ca="1" si="59"/>
        <v/>
      </c>
      <c r="AE260" s="293" t="str">
        <f t="shared" ca="1" si="59"/>
        <v/>
      </c>
      <c r="AF260" s="284" t="str">
        <f t="shared" ca="1" si="59"/>
        <v/>
      </c>
      <c r="AG260" s="293" t="str">
        <f t="shared" ca="1" si="59"/>
        <v/>
      </c>
      <c r="AH260" s="96"/>
      <c r="AI260" s="96" t="str">
        <f t="shared" ca="1" si="74"/>
        <v/>
      </c>
      <c r="AK260" s="96">
        <f t="shared" ca="1" si="75"/>
        <v>0</v>
      </c>
      <c r="AL260" s="12">
        <f t="shared" ca="1" si="76"/>
        <v>0</v>
      </c>
      <c r="AM260" s="12">
        <f t="shared" ca="1" si="77"/>
        <v>0</v>
      </c>
      <c r="AN260" s="12">
        <f t="shared" ca="1" si="78"/>
        <v>0</v>
      </c>
      <c r="AO260" s="12">
        <f t="shared" ca="1" si="79"/>
        <v>0</v>
      </c>
      <c r="AP260" s="12" t="str">
        <f t="shared" ca="1" si="80"/>
        <v/>
      </c>
      <c r="AQ260" s="12" t="str">
        <f t="shared" ca="1" si="81"/>
        <v/>
      </c>
      <c r="AR260" s="12" t="str">
        <f t="shared" ca="1" si="82"/>
        <v/>
      </c>
      <c r="AS260" s="12" t="str">
        <f t="shared" ca="1" si="83"/>
        <v/>
      </c>
    </row>
    <row r="261" spans="1:45">
      <c r="A261">
        <f t="shared" si="58"/>
        <v>762</v>
      </c>
      <c r="B261" t="str">
        <f t="shared" ca="1" si="65"/>
        <v xml:space="preserve"> </v>
      </c>
      <c r="C261" t="b">
        <f t="shared" ca="1" si="66"/>
        <v>0</v>
      </c>
      <c r="D261" s="284" t="str">
        <f t="shared" ca="1" si="84"/>
        <v/>
      </c>
      <c r="E261" s="96" t="str">
        <f t="shared" ca="1" si="67"/>
        <v/>
      </c>
      <c r="F261" s="96" t="str">
        <f t="shared" ca="1" si="68"/>
        <v/>
      </c>
      <c r="G261" s="293" t="str">
        <f t="shared" ca="1" si="69"/>
        <v/>
      </c>
      <c r="H261" s="284" t="str">
        <f t="shared" ca="1" si="69"/>
        <v/>
      </c>
      <c r="I261" s="96" t="str">
        <f t="shared" ca="1" si="69"/>
        <v/>
      </c>
      <c r="J261" s="96" t="str">
        <f t="shared" ca="1" si="70"/>
        <v/>
      </c>
      <c r="K261" s="96" t="str">
        <f t="shared" ca="1" si="84"/>
        <v/>
      </c>
      <c r="L261" s="96" t="str">
        <f t="shared" ca="1" si="84"/>
        <v/>
      </c>
      <c r="M261" s="294" t="str">
        <f t="shared" ca="1" si="84"/>
        <v/>
      </c>
      <c r="N261" s="295" t="str">
        <f t="shared" ca="1" si="71"/>
        <v/>
      </c>
      <c r="O261" s="96" t="str">
        <f t="shared" ca="1" si="71"/>
        <v/>
      </c>
      <c r="P261" s="96" t="str">
        <f t="shared" ca="1" si="72"/>
        <v/>
      </c>
      <c r="Q261" s="96" t="str">
        <f t="shared" ca="1" si="84"/>
        <v/>
      </c>
      <c r="R261" s="293" t="str">
        <f t="shared" ca="1" si="84"/>
        <v/>
      </c>
      <c r="S261" s="284" t="str">
        <f t="shared" ca="1" si="85"/>
        <v/>
      </c>
      <c r="T261" s="96" t="str">
        <f t="shared" ca="1" si="85"/>
        <v/>
      </c>
      <c r="U261" s="96" t="str">
        <f t="shared" ca="1" si="73"/>
        <v/>
      </c>
      <c r="V261" s="96" t="str">
        <f t="shared" ca="1" si="85"/>
        <v/>
      </c>
      <c r="W261" s="96" t="str">
        <f t="shared" ca="1" si="85"/>
        <v/>
      </c>
      <c r="X261" s="293" t="str">
        <f t="shared" ca="1" si="85"/>
        <v/>
      </c>
      <c r="Y261" s="284" t="str">
        <f t="shared" ca="1" si="85"/>
        <v/>
      </c>
      <c r="Z261" s="96" t="str">
        <f t="shared" ca="1" si="85"/>
        <v/>
      </c>
      <c r="AA261" s="96" t="str">
        <f t="shared" ca="1" si="85"/>
        <v/>
      </c>
      <c r="AB261" s="386" t="str">
        <f t="shared" ca="1" si="85"/>
        <v/>
      </c>
      <c r="AC261" s="293" t="str">
        <f t="shared" ca="1" si="85"/>
        <v/>
      </c>
      <c r="AD261" s="284" t="str">
        <f t="shared" ca="1" si="59"/>
        <v/>
      </c>
      <c r="AE261" s="293" t="str">
        <f t="shared" ca="1" si="59"/>
        <v/>
      </c>
      <c r="AF261" s="284" t="str">
        <f t="shared" ca="1" si="59"/>
        <v/>
      </c>
      <c r="AG261" s="293" t="str">
        <f t="shared" ca="1" si="59"/>
        <v/>
      </c>
      <c r="AH261" s="96"/>
      <c r="AI261" s="96" t="str">
        <f t="shared" ca="1" si="74"/>
        <v/>
      </c>
      <c r="AK261" s="96">
        <f t="shared" ca="1" si="75"/>
        <v>0</v>
      </c>
      <c r="AL261" s="12">
        <f t="shared" ca="1" si="76"/>
        <v>0</v>
      </c>
      <c r="AM261" s="12">
        <f t="shared" ca="1" si="77"/>
        <v>0</v>
      </c>
      <c r="AN261" s="12">
        <f t="shared" ca="1" si="78"/>
        <v>0</v>
      </c>
      <c r="AO261" s="12">
        <f t="shared" ca="1" si="79"/>
        <v>0</v>
      </c>
      <c r="AP261" s="12" t="str">
        <f t="shared" ca="1" si="80"/>
        <v/>
      </c>
      <c r="AQ261" s="12" t="str">
        <f t="shared" ca="1" si="81"/>
        <v/>
      </c>
      <c r="AR261" s="12" t="str">
        <f t="shared" ca="1" si="82"/>
        <v/>
      </c>
      <c r="AS261" s="12" t="str">
        <f t="shared" ca="1" si="83"/>
        <v/>
      </c>
    </row>
    <row r="262" spans="1:45">
      <c r="A262">
        <f t="shared" ref="A262:A266" si="86">A261+5</f>
        <v>767</v>
      </c>
      <c r="B262" t="str">
        <f t="shared" ca="1" si="65"/>
        <v xml:space="preserve"> </v>
      </c>
      <c r="C262" t="b">
        <f t="shared" ca="1" si="66"/>
        <v>0</v>
      </c>
      <c r="D262" s="284" t="str">
        <f t="shared" ca="1" si="84"/>
        <v/>
      </c>
      <c r="E262" s="96" t="str">
        <f t="shared" ca="1" si="67"/>
        <v/>
      </c>
      <c r="F262" s="96" t="str">
        <f t="shared" ca="1" si="68"/>
        <v/>
      </c>
      <c r="G262" s="293" t="str">
        <f t="shared" ca="1" si="69"/>
        <v/>
      </c>
      <c r="H262" s="284" t="str">
        <f t="shared" ca="1" si="69"/>
        <v/>
      </c>
      <c r="I262" s="96" t="str">
        <f t="shared" ca="1" si="69"/>
        <v/>
      </c>
      <c r="J262" s="96" t="str">
        <f t="shared" ca="1" si="70"/>
        <v/>
      </c>
      <c r="K262" s="96" t="str">
        <f t="shared" ca="1" si="84"/>
        <v/>
      </c>
      <c r="L262" s="96" t="str">
        <f t="shared" ca="1" si="84"/>
        <v/>
      </c>
      <c r="M262" s="294" t="str">
        <f t="shared" ca="1" si="84"/>
        <v/>
      </c>
      <c r="N262" s="295" t="str">
        <f t="shared" ca="1" si="71"/>
        <v/>
      </c>
      <c r="O262" s="96" t="str">
        <f t="shared" ca="1" si="71"/>
        <v/>
      </c>
      <c r="P262" s="96" t="str">
        <f t="shared" ca="1" si="72"/>
        <v/>
      </c>
      <c r="Q262" s="96" t="str">
        <f t="shared" ca="1" si="84"/>
        <v/>
      </c>
      <c r="R262" s="293" t="str">
        <f t="shared" ca="1" si="84"/>
        <v/>
      </c>
      <c r="S262" s="284" t="str">
        <f t="shared" ca="1" si="85"/>
        <v/>
      </c>
      <c r="T262" s="96" t="str">
        <f t="shared" ca="1" si="85"/>
        <v/>
      </c>
      <c r="U262" s="96" t="str">
        <f t="shared" ca="1" si="73"/>
        <v/>
      </c>
      <c r="V262" s="96" t="str">
        <f t="shared" ca="1" si="85"/>
        <v/>
      </c>
      <c r="W262" s="96" t="str">
        <f t="shared" ca="1" si="85"/>
        <v/>
      </c>
      <c r="X262" s="293" t="str">
        <f t="shared" ca="1" si="85"/>
        <v/>
      </c>
      <c r="Y262" s="284" t="str">
        <f t="shared" ca="1" si="85"/>
        <v/>
      </c>
      <c r="Z262" s="96" t="str">
        <f t="shared" ca="1" si="85"/>
        <v/>
      </c>
      <c r="AA262" s="96" t="str">
        <f t="shared" ca="1" si="85"/>
        <v/>
      </c>
      <c r="AB262" s="386" t="str">
        <f t="shared" ca="1" si="85"/>
        <v/>
      </c>
      <c r="AC262" s="293" t="str">
        <f t="shared" ca="1" si="85"/>
        <v/>
      </c>
      <c r="AD262" s="284" t="str">
        <f t="shared" ca="1" si="59"/>
        <v/>
      </c>
      <c r="AE262" s="293" t="str">
        <f t="shared" ca="1" si="59"/>
        <v/>
      </c>
      <c r="AF262" s="284" t="str">
        <f t="shared" ca="1" si="59"/>
        <v/>
      </c>
      <c r="AG262" s="293" t="str">
        <f t="shared" ca="1" si="59"/>
        <v/>
      </c>
      <c r="AH262" s="96"/>
      <c r="AI262" s="96" t="str">
        <f t="shared" ca="1" si="74"/>
        <v/>
      </c>
      <c r="AK262" s="96">
        <f t="shared" ca="1" si="75"/>
        <v>0</v>
      </c>
      <c r="AL262" s="12">
        <f t="shared" ca="1" si="76"/>
        <v>0</v>
      </c>
      <c r="AM262" s="12">
        <f t="shared" ca="1" si="77"/>
        <v>0</v>
      </c>
      <c r="AN262" s="12">
        <f t="shared" ca="1" si="78"/>
        <v>0</v>
      </c>
      <c r="AO262" s="12">
        <f t="shared" ca="1" si="79"/>
        <v>0</v>
      </c>
      <c r="AP262" s="12" t="str">
        <f t="shared" ca="1" si="80"/>
        <v/>
      </c>
      <c r="AQ262" s="12" t="str">
        <f t="shared" ca="1" si="81"/>
        <v/>
      </c>
      <c r="AR262" s="12" t="str">
        <f t="shared" ca="1" si="82"/>
        <v/>
      </c>
      <c r="AS262" s="12" t="str">
        <f t="shared" ca="1" si="83"/>
        <v/>
      </c>
    </row>
    <row r="263" spans="1:45">
      <c r="A263">
        <f t="shared" si="86"/>
        <v>772</v>
      </c>
      <c r="B263" t="str">
        <f t="shared" ca="1" si="65"/>
        <v xml:space="preserve"> </v>
      </c>
      <c r="C263" t="b">
        <f t="shared" ca="1" si="66"/>
        <v>0</v>
      </c>
      <c r="D263" s="284" t="str">
        <f t="shared" ca="1" si="84"/>
        <v/>
      </c>
      <c r="E263" s="96" t="str">
        <f t="shared" ca="1" si="67"/>
        <v/>
      </c>
      <c r="F263" s="96" t="str">
        <f t="shared" ca="1" si="68"/>
        <v/>
      </c>
      <c r="G263" s="293" t="str">
        <f t="shared" ca="1" si="69"/>
        <v/>
      </c>
      <c r="H263" s="284" t="str">
        <f t="shared" ca="1" si="69"/>
        <v/>
      </c>
      <c r="I263" s="96" t="str">
        <f t="shared" ca="1" si="69"/>
        <v/>
      </c>
      <c r="J263" s="96" t="str">
        <f t="shared" ca="1" si="70"/>
        <v/>
      </c>
      <c r="K263" s="96" t="str">
        <f t="shared" ca="1" si="84"/>
        <v/>
      </c>
      <c r="L263" s="96" t="str">
        <f t="shared" ca="1" si="84"/>
        <v/>
      </c>
      <c r="M263" s="294" t="str">
        <f t="shared" ca="1" si="84"/>
        <v/>
      </c>
      <c r="N263" s="295" t="str">
        <f t="shared" ca="1" si="71"/>
        <v/>
      </c>
      <c r="O263" s="96" t="str">
        <f t="shared" ca="1" si="71"/>
        <v/>
      </c>
      <c r="P263" s="96" t="str">
        <f t="shared" ca="1" si="72"/>
        <v/>
      </c>
      <c r="Q263" s="96" t="str">
        <f t="shared" ca="1" si="84"/>
        <v/>
      </c>
      <c r="R263" s="293" t="str">
        <f t="shared" ca="1" si="84"/>
        <v/>
      </c>
      <c r="S263" s="284" t="str">
        <f t="shared" ca="1" si="85"/>
        <v/>
      </c>
      <c r="T263" s="96" t="str">
        <f t="shared" ca="1" si="85"/>
        <v/>
      </c>
      <c r="U263" s="96" t="str">
        <f t="shared" ca="1" si="73"/>
        <v/>
      </c>
      <c r="V263" s="96" t="str">
        <f t="shared" ca="1" si="85"/>
        <v/>
      </c>
      <c r="W263" s="96" t="str">
        <f t="shared" ca="1" si="85"/>
        <v/>
      </c>
      <c r="X263" s="293" t="str">
        <f t="shared" ca="1" si="85"/>
        <v/>
      </c>
      <c r="Y263" s="284" t="str">
        <f t="shared" ca="1" si="85"/>
        <v/>
      </c>
      <c r="Z263" s="96" t="str">
        <f t="shared" ca="1" si="85"/>
        <v/>
      </c>
      <c r="AA263" s="96" t="str">
        <f t="shared" ca="1" si="85"/>
        <v/>
      </c>
      <c r="AB263" s="386" t="str">
        <f t="shared" ca="1" si="85"/>
        <v/>
      </c>
      <c r="AC263" s="293" t="str">
        <f t="shared" ca="1" si="85"/>
        <v/>
      </c>
      <c r="AD263" s="284" t="str">
        <f t="shared" ca="1" si="59"/>
        <v/>
      </c>
      <c r="AE263" s="293" t="str">
        <f t="shared" ca="1" si="59"/>
        <v/>
      </c>
      <c r="AF263" s="284" t="str">
        <f t="shared" ca="1" si="59"/>
        <v/>
      </c>
      <c r="AG263" s="293" t="str">
        <f t="shared" ca="1" si="59"/>
        <v/>
      </c>
      <c r="AH263" s="96"/>
      <c r="AI263" s="96" t="str">
        <f t="shared" ca="1" si="74"/>
        <v/>
      </c>
      <c r="AK263" s="96">
        <f t="shared" ca="1" si="75"/>
        <v>0</v>
      </c>
      <c r="AL263" s="12">
        <f t="shared" ca="1" si="76"/>
        <v>0</v>
      </c>
      <c r="AM263" s="12">
        <f t="shared" ca="1" si="77"/>
        <v>0</v>
      </c>
      <c r="AN263" s="12">
        <f t="shared" ca="1" si="78"/>
        <v>0</v>
      </c>
      <c r="AO263" s="12">
        <f t="shared" ca="1" si="79"/>
        <v>0</v>
      </c>
      <c r="AP263" s="12" t="str">
        <f t="shared" ca="1" si="80"/>
        <v/>
      </c>
      <c r="AQ263" s="12" t="str">
        <f t="shared" ca="1" si="81"/>
        <v/>
      </c>
      <c r="AR263" s="12" t="str">
        <f t="shared" ca="1" si="82"/>
        <v/>
      </c>
      <c r="AS263" s="12" t="str">
        <f t="shared" ca="1" si="83"/>
        <v/>
      </c>
    </row>
    <row r="264" spans="1:45">
      <c r="A264">
        <f t="shared" si="86"/>
        <v>777</v>
      </c>
      <c r="B264" t="str">
        <f t="shared" ca="1" si="65"/>
        <v xml:space="preserve"> </v>
      </c>
      <c r="C264" t="b">
        <f t="shared" ca="1" si="66"/>
        <v>0</v>
      </c>
      <c r="D264" s="284" t="str">
        <f t="shared" ca="1" si="84"/>
        <v/>
      </c>
      <c r="E264" s="96" t="str">
        <f t="shared" ca="1" si="67"/>
        <v/>
      </c>
      <c r="F264" s="96" t="str">
        <f t="shared" ca="1" si="68"/>
        <v/>
      </c>
      <c r="G264" s="293" t="str">
        <f t="shared" ca="1" si="69"/>
        <v/>
      </c>
      <c r="H264" s="284" t="str">
        <f t="shared" ca="1" si="69"/>
        <v/>
      </c>
      <c r="I264" s="96" t="str">
        <f t="shared" ca="1" si="69"/>
        <v/>
      </c>
      <c r="J264" s="96" t="str">
        <f t="shared" ca="1" si="70"/>
        <v/>
      </c>
      <c r="K264" s="96" t="str">
        <f t="shared" ca="1" si="84"/>
        <v/>
      </c>
      <c r="L264" s="96" t="str">
        <f t="shared" ca="1" si="84"/>
        <v/>
      </c>
      <c r="M264" s="294" t="str">
        <f t="shared" ca="1" si="84"/>
        <v/>
      </c>
      <c r="N264" s="295" t="str">
        <f t="shared" ca="1" si="71"/>
        <v/>
      </c>
      <c r="O264" s="96" t="str">
        <f t="shared" ca="1" si="71"/>
        <v/>
      </c>
      <c r="P264" s="96" t="str">
        <f t="shared" ca="1" si="72"/>
        <v/>
      </c>
      <c r="Q264" s="96" t="str">
        <f t="shared" ca="1" si="84"/>
        <v/>
      </c>
      <c r="R264" s="293" t="str">
        <f t="shared" ca="1" si="84"/>
        <v/>
      </c>
      <c r="S264" s="284" t="str">
        <f t="shared" ca="1" si="85"/>
        <v/>
      </c>
      <c r="T264" s="96" t="str">
        <f t="shared" ca="1" si="85"/>
        <v/>
      </c>
      <c r="U264" s="96" t="str">
        <f t="shared" ca="1" si="73"/>
        <v/>
      </c>
      <c r="V264" s="96" t="str">
        <f t="shared" ca="1" si="85"/>
        <v/>
      </c>
      <c r="W264" s="96" t="str">
        <f t="shared" ca="1" si="85"/>
        <v/>
      </c>
      <c r="X264" s="293" t="str">
        <f t="shared" ca="1" si="85"/>
        <v/>
      </c>
      <c r="Y264" s="284" t="str">
        <f t="shared" ca="1" si="85"/>
        <v/>
      </c>
      <c r="Z264" s="96" t="str">
        <f t="shared" ca="1" si="85"/>
        <v/>
      </c>
      <c r="AA264" s="96" t="str">
        <f t="shared" ca="1" si="85"/>
        <v/>
      </c>
      <c r="AB264" s="386" t="str">
        <f t="shared" ca="1" si="85"/>
        <v/>
      </c>
      <c r="AC264" s="293" t="str">
        <f t="shared" ca="1" si="85"/>
        <v/>
      </c>
      <c r="AD264" s="284" t="str">
        <f t="shared" ca="1" si="59"/>
        <v/>
      </c>
      <c r="AE264" s="293" t="str">
        <f t="shared" ca="1" si="59"/>
        <v/>
      </c>
      <c r="AF264" s="284" t="str">
        <f t="shared" ca="1" si="59"/>
        <v/>
      </c>
      <c r="AG264" s="293" t="str">
        <f t="shared" ca="1" si="59"/>
        <v/>
      </c>
      <c r="AH264" s="96"/>
      <c r="AI264" s="96" t="str">
        <f t="shared" ca="1" si="74"/>
        <v/>
      </c>
      <c r="AK264" s="96">
        <f t="shared" ca="1" si="75"/>
        <v>0</v>
      </c>
      <c r="AL264" s="12">
        <f t="shared" ca="1" si="76"/>
        <v>0</v>
      </c>
      <c r="AM264" s="12">
        <f t="shared" ca="1" si="77"/>
        <v>0</v>
      </c>
      <c r="AN264" s="12">
        <f t="shared" ca="1" si="78"/>
        <v>0</v>
      </c>
      <c r="AO264" s="12">
        <f t="shared" ca="1" si="79"/>
        <v>0</v>
      </c>
      <c r="AP264" s="12" t="str">
        <f t="shared" ca="1" si="80"/>
        <v/>
      </c>
      <c r="AQ264" s="12" t="str">
        <f t="shared" ca="1" si="81"/>
        <v/>
      </c>
      <c r="AR264" s="12" t="str">
        <f t="shared" ca="1" si="82"/>
        <v/>
      </c>
      <c r="AS264" s="12" t="str">
        <f t="shared" ca="1" si="83"/>
        <v/>
      </c>
    </row>
    <row r="265" spans="1:45">
      <c r="A265">
        <f t="shared" si="86"/>
        <v>782</v>
      </c>
      <c r="B265" t="str">
        <f t="shared" ca="1" si="65"/>
        <v xml:space="preserve"> </v>
      </c>
      <c r="C265" t="b">
        <f t="shared" ca="1" si="66"/>
        <v>0</v>
      </c>
      <c r="D265" s="284" t="str">
        <f t="shared" ca="1" si="84"/>
        <v/>
      </c>
      <c r="E265" s="96" t="str">
        <f t="shared" ca="1" si="67"/>
        <v/>
      </c>
      <c r="F265" s="96" t="str">
        <f t="shared" ca="1" si="68"/>
        <v/>
      </c>
      <c r="G265" s="293" t="str">
        <f t="shared" ca="1" si="69"/>
        <v/>
      </c>
      <c r="H265" s="284" t="str">
        <f t="shared" ca="1" si="69"/>
        <v/>
      </c>
      <c r="I265" s="96" t="str">
        <f t="shared" ca="1" si="69"/>
        <v/>
      </c>
      <c r="J265" s="96" t="str">
        <f t="shared" ca="1" si="70"/>
        <v/>
      </c>
      <c r="K265" s="96" t="str">
        <f t="shared" ca="1" si="84"/>
        <v/>
      </c>
      <c r="L265" s="96" t="str">
        <f t="shared" ca="1" si="84"/>
        <v/>
      </c>
      <c r="M265" s="294" t="str">
        <f t="shared" ca="1" si="84"/>
        <v/>
      </c>
      <c r="N265" s="295" t="str">
        <f t="shared" ca="1" si="71"/>
        <v/>
      </c>
      <c r="O265" s="96" t="str">
        <f t="shared" ca="1" si="71"/>
        <v/>
      </c>
      <c r="P265" s="96" t="str">
        <f t="shared" ca="1" si="72"/>
        <v/>
      </c>
      <c r="Q265" s="96" t="str">
        <f t="shared" ca="1" si="84"/>
        <v/>
      </c>
      <c r="R265" s="293" t="str">
        <f t="shared" ca="1" si="84"/>
        <v/>
      </c>
      <c r="S265" s="284" t="str">
        <f t="shared" ca="1" si="85"/>
        <v/>
      </c>
      <c r="T265" s="96" t="str">
        <f t="shared" ca="1" si="85"/>
        <v/>
      </c>
      <c r="U265" s="96" t="str">
        <f t="shared" ca="1" si="73"/>
        <v/>
      </c>
      <c r="V265" s="96" t="str">
        <f t="shared" ca="1" si="85"/>
        <v/>
      </c>
      <c r="W265" s="96" t="str">
        <f t="shared" ca="1" si="85"/>
        <v/>
      </c>
      <c r="X265" s="293" t="str">
        <f t="shared" ca="1" si="85"/>
        <v/>
      </c>
      <c r="Y265" s="284" t="str">
        <f t="shared" ca="1" si="85"/>
        <v/>
      </c>
      <c r="Z265" s="96" t="str">
        <f t="shared" ca="1" si="85"/>
        <v/>
      </c>
      <c r="AA265" s="96" t="str">
        <f t="shared" ca="1" si="85"/>
        <v/>
      </c>
      <c r="AB265" s="386" t="str">
        <f t="shared" ca="1" si="85"/>
        <v/>
      </c>
      <c r="AC265" s="293" t="str">
        <f t="shared" ca="1" si="85"/>
        <v/>
      </c>
      <c r="AD265" s="284" t="str">
        <f t="shared" ref="AD265:AG266" ca="1" si="87">IF($C265=FALSE,"",INDIRECT("Installations!" &amp; AD$120 &amp; $A265))</f>
        <v/>
      </c>
      <c r="AE265" s="293" t="str">
        <f t="shared" ca="1" si="87"/>
        <v/>
      </c>
      <c r="AF265" s="284" t="str">
        <f t="shared" ca="1" si="87"/>
        <v/>
      </c>
      <c r="AG265" s="293" t="str">
        <f t="shared" ca="1" si="87"/>
        <v/>
      </c>
      <c r="AH265" s="96"/>
      <c r="AI265" s="96" t="str">
        <f t="shared" ca="1" si="74"/>
        <v/>
      </c>
      <c r="AK265" s="96">
        <f t="shared" ca="1" si="75"/>
        <v>0</v>
      </c>
      <c r="AL265" s="12">
        <f t="shared" ca="1" si="76"/>
        <v>0</v>
      </c>
      <c r="AM265" s="12">
        <f t="shared" ca="1" si="77"/>
        <v>0</v>
      </c>
      <c r="AN265" s="12">
        <f t="shared" ca="1" si="78"/>
        <v>0</v>
      </c>
      <c r="AO265" s="12">
        <f t="shared" ca="1" si="79"/>
        <v>0</v>
      </c>
      <c r="AP265" s="12" t="str">
        <f t="shared" ca="1" si="80"/>
        <v/>
      </c>
      <c r="AQ265" s="12" t="str">
        <f t="shared" ca="1" si="81"/>
        <v/>
      </c>
      <c r="AR265" s="12" t="str">
        <f t="shared" ca="1" si="82"/>
        <v/>
      </c>
      <c r="AS265" s="12" t="str">
        <f t="shared" ca="1" si="83"/>
        <v/>
      </c>
    </row>
    <row r="266" spans="1:45">
      <c r="A266">
        <f t="shared" si="86"/>
        <v>787</v>
      </c>
      <c r="B266" t="str">
        <f t="shared" ca="1" si="65"/>
        <v xml:space="preserve"> </v>
      </c>
      <c r="C266" t="b">
        <f t="shared" ca="1" si="66"/>
        <v>0</v>
      </c>
      <c r="D266" s="284" t="str">
        <f t="shared" ca="1" si="84"/>
        <v/>
      </c>
      <c r="E266" s="96" t="str">
        <f t="shared" ca="1" si="67"/>
        <v/>
      </c>
      <c r="F266" s="96" t="str">
        <f t="shared" ca="1" si="68"/>
        <v/>
      </c>
      <c r="G266" s="293" t="str">
        <f t="shared" ca="1" si="69"/>
        <v/>
      </c>
      <c r="H266" s="284" t="str">
        <f t="shared" ca="1" si="69"/>
        <v/>
      </c>
      <c r="I266" s="96" t="str">
        <f t="shared" ca="1" si="69"/>
        <v/>
      </c>
      <c r="J266" s="96" t="str">
        <f t="shared" ca="1" si="70"/>
        <v/>
      </c>
      <c r="K266" s="96" t="str">
        <f t="shared" ca="1" si="84"/>
        <v/>
      </c>
      <c r="L266" s="96" t="str">
        <f t="shared" ca="1" si="84"/>
        <v/>
      </c>
      <c r="M266" s="294" t="str">
        <f t="shared" ca="1" si="84"/>
        <v/>
      </c>
      <c r="N266" s="295" t="str">
        <f t="shared" ca="1" si="71"/>
        <v/>
      </c>
      <c r="O266" s="96" t="str">
        <f t="shared" ca="1" si="71"/>
        <v/>
      </c>
      <c r="P266" s="96" t="str">
        <f t="shared" ca="1" si="72"/>
        <v/>
      </c>
      <c r="Q266" s="96" t="str">
        <f t="shared" ca="1" si="84"/>
        <v/>
      </c>
      <c r="R266" s="293" t="str">
        <f t="shared" ca="1" si="84"/>
        <v/>
      </c>
      <c r="S266" s="284" t="str">
        <f t="shared" ca="1" si="85"/>
        <v/>
      </c>
      <c r="T266" s="96" t="str">
        <f t="shared" ca="1" si="85"/>
        <v/>
      </c>
      <c r="U266" s="96" t="str">
        <f t="shared" ca="1" si="73"/>
        <v/>
      </c>
      <c r="V266" s="96" t="str">
        <f t="shared" ca="1" si="85"/>
        <v/>
      </c>
      <c r="W266" s="96" t="str">
        <f t="shared" ca="1" si="85"/>
        <v/>
      </c>
      <c r="X266" s="293" t="str">
        <f t="shared" ca="1" si="85"/>
        <v/>
      </c>
      <c r="Y266" s="284" t="str">
        <f t="shared" ca="1" si="85"/>
        <v/>
      </c>
      <c r="Z266" s="96" t="str">
        <f t="shared" ca="1" si="85"/>
        <v/>
      </c>
      <c r="AA266" s="96" t="str">
        <f t="shared" ca="1" si="85"/>
        <v/>
      </c>
      <c r="AB266" s="386" t="str">
        <f t="shared" ca="1" si="85"/>
        <v/>
      </c>
      <c r="AC266" s="293" t="str">
        <f t="shared" ca="1" si="85"/>
        <v/>
      </c>
      <c r="AD266" s="284" t="str">
        <f t="shared" ca="1" si="87"/>
        <v/>
      </c>
      <c r="AE266" s="293" t="str">
        <f t="shared" ca="1" si="87"/>
        <v/>
      </c>
      <c r="AF266" s="284" t="str">
        <f t="shared" ca="1" si="87"/>
        <v/>
      </c>
      <c r="AG266" s="293" t="str">
        <f t="shared" ca="1" si="87"/>
        <v/>
      </c>
      <c r="AH266" s="96"/>
      <c r="AI266" s="96" t="str">
        <f t="shared" ca="1" si="74"/>
        <v/>
      </c>
      <c r="AK266" s="96">
        <f t="shared" ca="1" si="75"/>
        <v>0</v>
      </c>
      <c r="AL266" s="12">
        <f t="shared" ca="1" si="76"/>
        <v>0</v>
      </c>
      <c r="AM266" s="12">
        <f t="shared" ca="1" si="77"/>
        <v>0</v>
      </c>
      <c r="AN266" s="12">
        <f t="shared" ca="1" si="78"/>
        <v>0</v>
      </c>
      <c r="AO266" s="12">
        <f t="shared" ca="1" si="79"/>
        <v>0</v>
      </c>
      <c r="AP266" s="12" t="str">
        <f t="shared" ca="1" si="80"/>
        <v/>
      </c>
      <c r="AQ266" s="12" t="str">
        <f t="shared" ca="1" si="81"/>
        <v/>
      </c>
      <c r="AR266" s="12" t="str">
        <f t="shared" ca="1" si="82"/>
        <v/>
      </c>
      <c r="AS266" s="12" t="str">
        <f t="shared" ca="1" si="83"/>
        <v/>
      </c>
    </row>
  </sheetData>
  <sheetProtection password="DC20" sheet="1" objects="1" scenarios="1"/>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J103"/>
  <sheetViews>
    <sheetView zoomScale="80" zoomScaleNormal="80" workbookViewId="0">
      <selection activeCell="K44" sqref="K44"/>
    </sheetView>
  </sheetViews>
  <sheetFormatPr defaultRowHeight="14.3"/>
  <cols>
    <col min="1" max="1" width="14.125" customWidth="1"/>
    <col min="2" max="2" width="27.25" customWidth="1"/>
    <col min="3" max="3" width="10.5" customWidth="1"/>
    <col min="4" max="4" width="13.125" customWidth="1"/>
    <col min="5" max="33" width="10.5" customWidth="1"/>
    <col min="34" max="36" width="10.75" customWidth="1"/>
  </cols>
  <sheetData>
    <row r="1" spans="1:33" s="560" customFormat="1" ht="19.05">
      <c r="A1" s="559">
        <f>__Retrofit_TI_NC</f>
        <v>0</v>
      </c>
      <c r="B1" s="424" t="str">
        <f>Installations!B20</f>
        <v>Retrofit - Existing lighting is baseline</v>
      </c>
      <c r="C1" s="424"/>
      <c r="E1" s="1092" t="s">
        <v>2056</v>
      </c>
      <c r="F1" s="1093" t="b">
        <f>Lookup!B15</f>
        <v>1</v>
      </c>
    </row>
    <row r="2" spans="1:33" ht="85.6">
      <c r="A2" s="384"/>
      <c r="B2" s="2" t="s">
        <v>1092</v>
      </c>
      <c r="C2" s="115" t="s">
        <v>1093</v>
      </c>
      <c r="D2" s="115" t="s">
        <v>1094</v>
      </c>
      <c r="E2" s="115" t="s">
        <v>1095</v>
      </c>
      <c r="F2" s="115" t="s">
        <v>1096</v>
      </c>
      <c r="G2" s="115" t="s">
        <v>1032</v>
      </c>
      <c r="H2" s="115" t="s">
        <v>143</v>
      </c>
      <c r="I2" s="115" t="s">
        <v>1034</v>
      </c>
      <c r="J2" s="115" t="s">
        <v>1097</v>
      </c>
      <c r="K2" s="115" t="s">
        <v>1098</v>
      </c>
      <c r="L2" s="115" t="s">
        <v>1099</v>
      </c>
      <c r="M2" s="115" t="s">
        <v>1100</v>
      </c>
      <c r="N2" s="115" t="s">
        <v>1101</v>
      </c>
      <c r="O2" s="115" t="s">
        <v>1102</v>
      </c>
      <c r="P2" s="115" t="s">
        <v>1039</v>
      </c>
      <c r="Q2" s="115" t="s">
        <v>1103</v>
      </c>
      <c r="R2" s="115" t="s">
        <v>1104</v>
      </c>
      <c r="T2" s="115" t="s">
        <v>1047</v>
      </c>
      <c r="U2" s="115" t="s">
        <v>1048</v>
      </c>
      <c r="V2" s="115" t="s">
        <v>1049</v>
      </c>
      <c r="W2" s="300" t="s">
        <v>1050</v>
      </c>
      <c r="Y2" s="115" t="s">
        <v>1097</v>
      </c>
      <c r="Z2" s="115" t="s">
        <v>966</v>
      </c>
      <c r="AA2" s="139" t="s">
        <v>1051</v>
      </c>
      <c r="AC2" s="115" t="s">
        <v>384</v>
      </c>
      <c r="AD2" s="115" t="s">
        <v>1045</v>
      </c>
      <c r="AE2" s="115" t="s">
        <v>1046</v>
      </c>
      <c r="AF2" s="115" t="s">
        <v>338</v>
      </c>
      <c r="AG2" s="115" t="s">
        <v>932</v>
      </c>
    </row>
    <row r="3" spans="1:33">
      <c r="A3" s="2034" t="s">
        <v>297</v>
      </c>
      <c r="B3" s="845" t="s">
        <v>1105</v>
      </c>
      <c r="C3" s="846">
        <f t="shared" ref="C3:I3" si="0">IF($A$1=2,C28,IF($A$1=1,C23,IF($F$1=TRUE,C18,C8)))</f>
        <v>0</v>
      </c>
      <c r="D3" s="846">
        <f t="shared" si="0"/>
        <v>0</v>
      </c>
      <c r="E3" s="847">
        <f t="shared" si="0"/>
        <v>2</v>
      </c>
      <c r="F3" s="848" t="b">
        <f t="shared" si="0"/>
        <v>0</v>
      </c>
      <c r="G3" s="847">
        <f t="shared" si="0"/>
        <v>0</v>
      </c>
      <c r="H3" s="847">
        <f t="shared" si="0"/>
        <v>0</v>
      </c>
      <c r="I3" s="846">
        <f t="shared" si="0"/>
        <v>0</v>
      </c>
      <c r="J3" s="846">
        <f t="shared" ref="J3:R3" si="1">IF($A$1=2,J28,IF($A$1=1,J23,IF($F$1=TRUE,J18,J8)))</f>
        <v>0</v>
      </c>
      <c r="K3" s="849">
        <f t="shared" si="1"/>
        <v>0</v>
      </c>
      <c r="L3" s="848">
        <f t="shared" si="1"/>
        <v>0</v>
      </c>
      <c r="M3" s="850" t="str">
        <f t="shared" si="1"/>
        <v/>
      </c>
      <c r="N3" s="846">
        <f t="shared" si="1"/>
        <v>0</v>
      </c>
      <c r="O3" s="848">
        <f t="shared" si="1"/>
        <v>0</v>
      </c>
      <c r="P3" s="846">
        <f t="shared" si="1"/>
        <v>0</v>
      </c>
      <c r="Q3" s="848" t="str">
        <f t="shared" si="1"/>
        <v>N/A</v>
      </c>
      <c r="R3" s="848" t="str">
        <f t="shared" si="1"/>
        <v>N/A</v>
      </c>
      <c r="S3" s="850"/>
      <c r="T3" s="846">
        <f>IF($A$1=2,T28,IF($A$1=1,T23,IF($F$1=TRUE,T18,T8)))</f>
        <v>0</v>
      </c>
      <c r="U3" s="846">
        <f>IF($A$1=2,U28,IF($A$1=1,U23,IF($F$1=TRUE,U18,U8)))</f>
        <v>0</v>
      </c>
      <c r="V3" s="846">
        <f>IF($A$1=2,V28,IF($A$1=1,V23,IF($F$1=TRUE,V18,V8)))</f>
        <v>0</v>
      </c>
      <c r="W3" s="846">
        <f>IF($A$1=2,W28,IF($A$1=1,W23,IF($F$1=TRUE,W18,W8)))</f>
        <v>0</v>
      </c>
      <c r="X3" s="850"/>
      <c r="Y3" s="846">
        <f>IF($A$1=2,Y28,IF($A$1=1,Y23,IF($F$1=TRUE,Y18,Y8)))</f>
        <v>0</v>
      </c>
      <c r="Z3" s="851">
        <f>IF($A$1=2,Z28,IF($A$1=1,Z23,IF($F$1=TRUE,Z18,Z8)))</f>
        <v>0</v>
      </c>
      <c r="AA3" s="846">
        <f>IF($A$1=2,AA28,IF($A$1=1,AA23,IF($F$1=TRUE,AA18,AA8)))</f>
        <v>0</v>
      </c>
      <c r="AB3" s="850"/>
      <c r="AC3" s="846">
        <f>IF($A$1=2,AC28,IF($A$1=1,AC23,IF($F$1=TRUE,AC18,AC8)))</f>
        <v>0</v>
      </c>
      <c r="AD3" s="846">
        <f>IF($A$1=2,AD28,IF($A$1=1,AD23,IF($F$1=TRUE,AD18,AD8)))</f>
        <v>0</v>
      </c>
      <c r="AE3" s="846">
        <f>IF($A$1=2,AE28,IF($A$1=1,AE23,IF($F$1=TRUE,AE18,AE8)))</f>
        <v>0</v>
      </c>
      <c r="AF3" s="846">
        <f>IF($A$1=2,AF28,IF($A$1=1,AF23,IF($F$1=TRUE,AF18,AF8)))</f>
        <v>0</v>
      </c>
      <c r="AG3" s="846">
        <f>IF($A$1=2,AG28,IF($A$1=1,AG23,IF($F$1=TRUE,AG18,AG8)))</f>
        <v>0</v>
      </c>
    </row>
    <row r="4" spans="1:33">
      <c r="A4" s="2034"/>
      <c r="B4" s="840" t="s">
        <v>970</v>
      </c>
      <c r="C4" s="835">
        <f>AF$74</f>
        <v>0</v>
      </c>
      <c r="D4" s="835">
        <f>C4*(1+Z3)</f>
        <v>0</v>
      </c>
      <c r="E4" s="836">
        <v>2</v>
      </c>
      <c r="F4" s="836" t="b">
        <f>F3</f>
        <v>0</v>
      </c>
      <c r="G4" s="852">
        <f>SUM(J$58:J$63)</f>
        <v>0</v>
      </c>
      <c r="H4" s="836">
        <v>10</v>
      </c>
      <c r="I4" s="835"/>
      <c r="J4" s="835">
        <f t="shared" ref="J4:J5" si="2">IF($A$1=2,J29,IF($A$1=1,J24,IF($F$1=TRUE,J19,J9)))</f>
        <v>0</v>
      </c>
      <c r="K4" s="853">
        <f>IFERROR(ROUND(J4/D4,2),0)</f>
        <v>0</v>
      </c>
      <c r="L4" s="838"/>
      <c r="M4" s="836"/>
      <c r="N4" s="835"/>
      <c r="O4" s="836">
        <f t="shared" ref="O4:R6" si="3">IF(OR($A$1=2,$A$1=1),O24,IF($F$1=TRUE,O19,O9))</f>
        <v>0</v>
      </c>
      <c r="P4" s="835">
        <f t="shared" si="3"/>
        <v>0</v>
      </c>
      <c r="Q4" s="836">
        <f t="shared" si="3"/>
        <v>0</v>
      </c>
      <c r="R4" s="836">
        <f t="shared" si="3"/>
        <v>0</v>
      </c>
      <c r="S4" s="836"/>
      <c r="T4" s="836"/>
      <c r="U4" s="836"/>
      <c r="V4" s="836"/>
      <c r="W4" s="836"/>
      <c r="X4" s="836"/>
      <c r="Y4" s="836"/>
      <c r="Z4" s="836"/>
      <c r="AA4" s="836"/>
      <c r="AB4" s="836"/>
      <c r="AC4" s="835">
        <f t="shared" ref="AC4:AG4" si="4">IF(OR($A$1=2,$A$1=1),AC24,IF($F$1=TRUE,AC19,AC9))</f>
        <v>0</v>
      </c>
      <c r="AD4" s="835">
        <f t="shared" si="4"/>
        <v>0</v>
      </c>
      <c r="AE4" s="835">
        <f t="shared" si="4"/>
        <v>0</v>
      </c>
      <c r="AF4" s="835">
        <f t="shared" si="4"/>
        <v>0</v>
      </c>
      <c r="AG4" s="835">
        <f t="shared" si="4"/>
        <v>0</v>
      </c>
    </row>
    <row r="5" spans="1:33">
      <c r="A5" s="2034"/>
      <c r="B5" s="854" t="s">
        <v>972</v>
      </c>
      <c r="C5" s="855"/>
      <c r="D5" s="855"/>
      <c r="E5" s="856">
        <f>IF(OR($A$1=2,$A$1=1),E25,IF($F$1=TRUE,E20,E10))</f>
        <v>0</v>
      </c>
      <c r="F5" s="856" t="b">
        <f>F3</f>
        <v>0</v>
      </c>
      <c r="G5" s="857"/>
      <c r="H5" s="856"/>
      <c r="I5" s="855"/>
      <c r="J5" s="855">
        <f t="shared" si="2"/>
        <v>0</v>
      </c>
      <c r="K5" s="858">
        <f>IFERROR(ROUND(J5/D5,2),0)</f>
        <v>0</v>
      </c>
      <c r="L5" s="859"/>
      <c r="M5" s="856"/>
      <c r="N5" s="855"/>
      <c r="O5" s="856">
        <f t="shared" si="3"/>
        <v>0</v>
      </c>
      <c r="P5" s="855">
        <f t="shared" si="3"/>
        <v>0</v>
      </c>
      <c r="Q5" s="856">
        <f t="shared" si="3"/>
        <v>0</v>
      </c>
      <c r="R5" s="856">
        <f t="shared" si="3"/>
        <v>0</v>
      </c>
      <c r="S5" s="856"/>
      <c r="T5" s="856"/>
      <c r="U5" s="856"/>
      <c r="V5" s="856"/>
      <c r="W5" s="856"/>
      <c r="X5" s="856"/>
      <c r="Y5" s="856"/>
      <c r="Z5" s="856"/>
      <c r="AA5" s="856"/>
      <c r="AB5" s="856"/>
      <c r="AC5" s="855">
        <f t="shared" ref="AC5:AG5" si="5">IF(OR($A$1=2,$A$1=1),AC25,IF($F$1=TRUE,AC20,AC10))</f>
        <v>0</v>
      </c>
      <c r="AD5" s="855">
        <f t="shared" si="5"/>
        <v>0</v>
      </c>
      <c r="AE5" s="855">
        <f t="shared" si="5"/>
        <v>0</v>
      </c>
      <c r="AF5" s="855">
        <f t="shared" si="5"/>
        <v>0</v>
      </c>
      <c r="AG5" s="855">
        <f t="shared" si="5"/>
        <v>0</v>
      </c>
    </row>
    <row r="6" spans="1:33">
      <c r="A6" s="2035"/>
      <c r="B6" s="860" t="s">
        <v>974</v>
      </c>
      <c r="C6" s="861">
        <f>C3+C4</f>
        <v>0</v>
      </c>
      <c r="D6" s="861">
        <f>D3+D4</f>
        <v>0</v>
      </c>
      <c r="E6" s="862">
        <v>2</v>
      </c>
      <c r="F6" s="862" t="b">
        <f>F3</f>
        <v>0</v>
      </c>
      <c r="G6" s="863">
        <f>G3+G4</f>
        <v>0</v>
      </c>
      <c r="H6" s="862">
        <f>IFERROR(ROUND(((G3*H3)+(G4*H4))/G6,0),0)</f>
        <v>0</v>
      </c>
      <c r="I6" s="861">
        <f>I3</f>
        <v>0</v>
      </c>
      <c r="J6" s="861">
        <f>IF(OR($A$1=2,$A$1=1),J26,IF($F$1=TRUE,J21,J11))</f>
        <v>0</v>
      </c>
      <c r="K6" s="864">
        <f>IFERROR(ROUND(J6/D6,2),0)</f>
        <v>0</v>
      </c>
      <c r="L6" s="865"/>
      <c r="M6" s="862"/>
      <c r="N6" s="861"/>
      <c r="O6" s="862">
        <f t="shared" si="3"/>
        <v>0</v>
      </c>
      <c r="P6" s="861">
        <f t="shared" si="3"/>
        <v>0</v>
      </c>
      <c r="Q6" s="862" t="str">
        <f>IF($A$1=2,Q31,IF($A$1=1,Q26,IF($F$1=TRUE,Q21,Q11)))</f>
        <v>N/A</v>
      </c>
      <c r="R6" s="862" t="str">
        <f>IF($A$1=2,R31,IF($A$1=1,R26,IF($F$1=TRUE,R21,R11)))</f>
        <v>N/A</v>
      </c>
      <c r="S6" s="862"/>
      <c r="T6" s="862"/>
      <c r="U6" s="862"/>
      <c r="V6" s="862"/>
      <c r="W6" s="862"/>
      <c r="X6" s="862"/>
      <c r="Y6" s="862"/>
      <c r="Z6" s="862"/>
      <c r="AA6" s="862"/>
      <c r="AB6" s="862"/>
      <c r="AC6" s="861">
        <f t="shared" ref="AC6:AG6" si="6">IF(OR($A$1=2,$A$1=1),AC26,IF($F$1=TRUE,AC21,AC11))</f>
        <v>0</v>
      </c>
      <c r="AD6" s="861">
        <f t="shared" si="6"/>
        <v>0</v>
      </c>
      <c r="AE6" s="861">
        <f t="shared" si="6"/>
        <v>0</v>
      </c>
      <c r="AF6" s="861">
        <f t="shared" si="6"/>
        <v>0</v>
      </c>
      <c r="AG6" s="866">
        <f t="shared" si="6"/>
        <v>0</v>
      </c>
    </row>
    <row r="7" spans="1:33">
      <c r="I7" s="217"/>
    </row>
    <row r="8" spans="1:33">
      <c r="A8" s="2039" t="s">
        <v>1106</v>
      </c>
      <c r="B8" s="867" t="s">
        <v>1105</v>
      </c>
      <c r="C8" s="868">
        <f>IFERROR(AF$72,0)</f>
        <v>0</v>
      </c>
      <c r="D8" s="868">
        <f>ROUND(C8*(1+Z8),0)</f>
        <v>0</v>
      </c>
      <c r="E8" s="869">
        <v>2</v>
      </c>
      <c r="F8" s="869" t="b">
        <f>K$47</f>
        <v>0</v>
      </c>
      <c r="G8" s="870">
        <f>AE$72</f>
        <v>0</v>
      </c>
      <c r="H8" s="871">
        <f>AJ$72</f>
        <v>0</v>
      </c>
      <c r="I8" s="868">
        <f>IF(F8=FALSE,0,ROUND(AD$72*K$48*12,0))</f>
        <v>0</v>
      </c>
      <c r="J8" s="868">
        <f>IF(Y8&lt;0,0,Y8)</f>
        <v>0</v>
      </c>
      <c r="K8" s="872">
        <f>IFERROR(ROUND(J8/D8,2),0)</f>
        <v>0</v>
      </c>
      <c r="L8" s="873">
        <f>AI$72</f>
        <v>0</v>
      </c>
      <c r="M8" s="869" t="str">
        <f>IF(G8=0,"",IF(K8=K$43,"Up",IF(OR(J8=U8,L8=0.85*N8*100/G8),"Flat","Down")))</f>
        <v/>
      </c>
      <c r="N8" s="868">
        <f>IF(H8=0,0,ROUND(G8*HLOOKUP(E8,Lookup!BG$3:BH$33,H8+1,FALSE)/100,0))</f>
        <v>0</v>
      </c>
      <c r="O8" s="874">
        <f>IF(H8=0,0,IF(C8=0,0,ROUND(N8/(((1+K$40)*C8)/(1+K$39)),2)))</f>
        <v>0</v>
      </c>
      <c r="P8" s="868">
        <f>IF(G8=0,0,ROUND((G8*F8/100)+I8,0))</f>
        <v>0</v>
      </c>
      <c r="Q8" s="869" t="str">
        <f>IF(H8="",0,IF(F8*G8&gt;0,ROUND(D8/P8,1),"N/A"))</f>
        <v>N/A</v>
      </c>
      <c r="R8" s="869" t="str">
        <f>IF(H8="",0,IF(F8*G8&gt;0,ROUND((D8-J8)/P8,1),"N/A"))</f>
        <v>N/A</v>
      </c>
      <c r="S8" s="867"/>
      <c r="T8" s="868">
        <f>IFERROR(ROUND(K$43*(D8-(T$76*Lookup!B$7)),0),0)</f>
        <v>0</v>
      </c>
      <c r="U8" s="868">
        <f>IFERROR(ROUND(L8*G8,0),0)</f>
        <v>0</v>
      </c>
      <c r="V8" s="868">
        <f>IFERROR(ROUND((K$42*C8)-(K$42*AA8),0),0)</f>
        <v>0</v>
      </c>
      <c r="W8" s="868">
        <f>ROUND(N8*0.85,0)</f>
        <v>0</v>
      </c>
      <c r="X8" s="867"/>
      <c r="Y8" s="868">
        <f>IF(F8=0,0,IF(H8="",0,IF(Q8&lt;1,0,MIN(T8:W8))))</f>
        <v>0</v>
      </c>
      <c r="Z8" s="875">
        <f>Installations!E24</f>
        <v>0</v>
      </c>
      <c r="AA8" s="868">
        <f>ROUND(IF(N8="",0,(N8/K$41)*((1+K$39)/(1+K$40))),0)</f>
        <v>0</v>
      </c>
      <c r="AB8" s="867"/>
      <c r="AC8" s="868">
        <f>M$76+K$72</f>
        <v>0</v>
      </c>
      <c r="AD8" s="868">
        <f>Q$76+R$76</f>
        <v>0</v>
      </c>
      <c r="AE8" s="868">
        <f>SUM(AC8:AD8)</f>
        <v>0</v>
      </c>
      <c r="AF8" s="876">
        <f>AE8*Z8</f>
        <v>0</v>
      </c>
      <c r="AG8" s="868">
        <f>SUM(AE8:AF8)</f>
        <v>0</v>
      </c>
    </row>
    <row r="9" spans="1:33">
      <c r="A9" s="2040"/>
      <c r="B9" s="877" t="s">
        <v>970</v>
      </c>
      <c r="C9" s="878">
        <f>AF$74</f>
        <v>0</v>
      </c>
      <c r="D9" s="879">
        <f>C9*(1+Z8)</f>
        <v>0</v>
      </c>
      <c r="E9" s="880">
        <v>2</v>
      </c>
      <c r="F9" s="880" t="b">
        <f>F8</f>
        <v>0</v>
      </c>
      <c r="G9" s="881">
        <f>SUM(J$58:J$63)</f>
        <v>0</v>
      </c>
      <c r="H9" s="880">
        <v>10</v>
      </c>
      <c r="I9" s="877"/>
      <c r="J9" s="878">
        <f>IFERROR(IF(F9=FALSE,0,G$49),0)</f>
        <v>0</v>
      </c>
      <c r="K9" s="882">
        <f>IFERROR(ROUND(J9/D9,2),0)</f>
        <v>0</v>
      </c>
      <c r="L9" s="877"/>
      <c r="M9" s="877"/>
      <c r="N9" s="877"/>
      <c r="O9" s="877"/>
      <c r="P9" s="878">
        <f>IF(G9=0,0,ROUND((G9*F9/100)+I9,0))</f>
        <v>0</v>
      </c>
      <c r="Q9" s="877"/>
      <c r="R9" s="877"/>
      <c r="S9" s="877"/>
      <c r="T9" s="877"/>
      <c r="U9" s="877"/>
      <c r="V9" s="883"/>
      <c r="W9" s="877"/>
      <c r="X9" s="877"/>
      <c r="Y9" s="877"/>
      <c r="Z9" s="877"/>
      <c r="AA9" s="877"/>
      <c r="AB9" s="877"/>
      <c r="AC9" s="878">
        <f>K$74</f>
        <v>0</v>
      </c>
      <c r="AD9" s="878">
        <f>R$74</f>
        <v>0</v>
      </c>
      <c r="AE9" s="878">
        <f>SUM(AC9:AD9)</f>
        <v>0</v>
      </c>
      <c r="AF9" s="879">
        <f>AE9*Z8</f>
        <v>0</v>
      </c>
      <c r="AG9" s="878">
        <f>SUM(AE9:AF9)</f>
        <v>0</v>
      </c>
    </row>
    <row r="10" spans="1:33">
      <c r="A10" s="2040"/>
      <c r="B10" s="867" t="s">
        <v>972</v>
      </c>
      <c r="C10" s="867"/>
      <c r="D10" s="867"/>
      <c r="E10" s="869"/>
      <c r="F10" s="869" t="b">
        <f>F8</f>
        <v>0</v>
      </c>
      <c r="G10" s="869"/>
      <c r="H10" s="867"/>
      <c r="I10" s="867"/>
      <c r="J10" s="868">
        <f>IF(J8=0,0,IF(F10=FALSE,0,T$76*Lookup!B$7))</f>
        <v>0</v>
      </c>
      <c r="K10" s="872">
        <f>IFERROR(ROUND(J10/D10,2),0)</f>
        <v>0</v>
      </c>
      <c r="L10" s="867"/>
      <c r="M10" s="867"/>
      <c r="N10" s="867"/>
      <c r="O10" s="867"/>
      <c r="P10" s="867"/>
      <c r="Q10" s="867"/>
      <c r="R10" s="867"/>
      <c r="S10" s="867"/>
      <c r="T10" s="867"/>
      <c r="U10" s="867"/>
      <c r="V10" s="884"/>
      <c r="W10" s="867"/>
      <c r="X10" s="867"/>
      <c r="Y10" s="867"/>
      <c r="Z10" s="867"/>
      <c r="AA10" s="867"/>
      <c r="AB10" s="867"/>
      <c r="AC10" s="867"/>
      <c r="AD10" s="869"/>
      <c r="AE10" s="867"/>
      <c r="AF10" s="876"/>
      <c r="AG10" s="868"/>
    </row>
    <row r="11" spans="1:33">
      <c r="A11" s="2041"/>
      <c r="B11" s="885" t="s">
        <v>974</v>
      </c>
      <c r="C11" s="886">
        <f>C8+C9</f>
        <v>0</v>
      </c>
      <c r="D11" s="886">
        <f>D8+D9</f>
        <v>0</v>
      </c>
      <c r="E11" s="887">
        <v>2</v>
      </c>
      <c r="F11" s="887" t="b">
        <f>F8</f>
        <v>0</v>
      </c>
      <c r="G11" s="888">
        <f>G8+G9</f>
        <v>0</v>
      </c>
      <c r="H11" s="887">
        <f>IFERROR(ROUND(((G8*H8)+(G9*H9))/G11,0),0)</f>
        <v>0</v>
      </c>
      <c r="I11" s="886">
        <f>I8</f>
        <v>0</v>
      </c>
      <c r="J11" s="886">
        <f>J8+J9+J10</f>
        <v>0</v>
      </c>
      <c r="K11" s="889">
        <f>IFERROR(ROUND(J11/D11,2),0)</f>
        <v>0</v>
      </c>
      <c r="L11" s="885"/>
      <c r="M11" s="885"/>
      <c r="N11" s="885"/>
      <c r="O11" s="885"/>
      <c r="P11" s="886">
        <f>IF(G11=0,0,ROUND((G11*F11/100)+I11,0))</f>
        <v>0</v>
      </c>
      <c r="Q11" s="887" t="str">
        <f>IF(H11="",0,IF(F11*G11&gt;0,ROUND(D11/P11,1),"N/A"))</f>
        <v>N/A</v>
      </c>
      <c r="R11" s="890" t="str">
        <f>IF(H11="",0,IF(F11*G11&gt;0,ROUND((D11-J11)/P11,1),"N/A"))</f>
        <v>N/A</v>
      </c>
      <c r="S11" s="885"/>
      <c r="T11" s="885"/>
      <c r="U11" s="885"/>
      <c r="V11" s="885"/>
      <c r="W11" s="885"/>
      <c r="X11" s="885"/>
      <c r="Y11" s="885"/>
      <c r="Z11" s="885"/>
      <c r="AA11" s="885"/>
      <c r="AB11" s="885"/>
      <c r="AC11" s="886">
        <f>SUM(AC8:AC10)</f>
        <v>0</v>
      </c>
      <c r="AD11" s="886">
        <f>SUM(AD8:AD10)</f>
        <v>0</v>
      </c>
      <c r="AE11" s="886">
        <f>SUM(AC11:AD11)</f>
        <v>0</v>
      </c>
      <c r="AF11" s="891">
        <f>AE11*Z$8</f>
        <v>0</v>
      </c>
      <c r="AG11" s="886">
        <f>SUM(AE11:AF11)</f>
        <v>0</v>
      </c>
    </row>
    <row r="12" spans="1:33">
      <c r="A12" s="96"/>
      <c r="C12" s="99"/>
      <c r="D12" s="99"/>
      <c r="E12" s="12"/>
      <c r="F12" s="12"/>
      <c r="G12" s="131"/>
      <c r="H12" s="12"/>
      <c r="I12" s="99"/>
      <c r="J12" s="99"/>
      <c r="K12" s="65"/>
      <c r="L12" s="108"/>
      <c r="M12" s="12"/>
      <c r="N12" s="99"/>
      <c r="O12" s="258"/>
      <c r="P12" s="99"/>
      <c r="Q12" s="12"/>
      <c r="R12" s="12"/>
      <c r="T12" s="99"/>
      <c r="U12" s="99"/>
      <c r="V12" s="99"/>
      <c r="W12" s="99"/>
      <c r="Y12" s="99"/>
      <c r="Z12" s="102"/>
      <c r="AA12" s="99"/>
      <c r="AC12" s="99"/>
      <c r="AD12" s="99"/>
      <c r="AE12" s="99"/>
      <c r="AF12" s="119"/>
      <c r="AG12" s="99"/>
    </row>
    <row r="13" spans="1:33">
      <c r="A13" s="2042" t="s">
        <v>1107</v>
      </c>
      <c r="B13" s="892" t="s">
        <v>1105</v>
      </c>
      <c r="C13" s="893">
        <f>IFERROR(AF$72,0)</f>
        <v>0</v>
      </c>
      <c r="D13" s="893">
        <f>ROUND(C13*(1+Z13),0)</f>
        <v>0</v>
      </c>
      <c r="E13" s="894">
        <f>E8</f>
        <v>2</v>
      </c>
      <c r="F13" s="894" t="b">
        <f>K$47</f>
        <v>0</v>
      </c>
      <c r="G13" s="895">
        <f>AE$72</f>
        <v>0</v>
      </c>
      <c r="H13" s="896">
        <f>AJ$72</f>
        <v>0</v>
      </c>
      <c r="I13" s="893">
        <f>IF(F13=FALSE,0,ROUND(AD$72*K$48*12,0))</f>
        <v>0</v>
      </c>
      <c r="J13" s="893">
        <f>IF(Y13&lt;0,0,Y13)</f>
        <v>0</v>
      </c>
      <c r="K13" s="897">
        <f>IFERROR(ROUND(J13/D13,2),0)</f>
        <v>0</v>
      </c>
      <c r="L13" s="898">
        <f>AI$72</f>
        <v>0</v>
      </c>
      <c r="M13" s="894" t="str">
        <f>IF(G13=0,"",IF(K13=K$43,"Up",IF(OR(J13=U13,L13=0.85*N13*100/G13),"Flat","Down")))</f>
        <v/>
      </c>
      <c r="N13" s="893">
        <f>IF(H13=0,0,ROUND(G13*HLOOKUP(E13,Lookup!BU$3:BV$33,H13+1,FALSE)/100,0))</f>
        <v>0</v>
      </c>
      <c r="O13" s="899">
        <f>IF(H13=0,0,IF(C13=0,0,ROUND(N13/(((1+K$40)*C13)/(1+K$39)),2)))</f>
        <v>0</v>
      </c>
      <c r="P13" s="893">
        <f>IF(G13=0,0,ROUND((G13*F13/100)+I13,0))</f>
        <v>0</v>
      </c>
      <c r="Q13" s="894" t="str">
        <f>IF(H13="",0,IF(F13*G13&gt;0,ROUND(D13/P13,1),"N/A"))</f>
        <v>N/A</v>
      </c>
      <c r="R13" s="894" t="str">
        <f>IF(H13="",0,IF(F13*G13&gt;0,ROUND((D13-J13)/P13,1),"N/A"))</f>
        <v>N/A</v>
      </c>
      <c r="S13" s="900"/>
      <c r="T13" s="893">
        <f>IFERROR(ROUND(K$43*(D13-(T$76*Lookup!B$7)),0),0)</f>
        <v>0</v>
      </c>
      <c r="U13" s="893">
        <f>IFERROR(ROUND(L13*G13,0),0)</f>
        <v>0</v>
      </c>
      <c r="V13" s="893">
        <f>IFERROR(ROUND((K$42*C13)-(K$42*AA13),0),0)</f>
        <v>0</v>
      </c>
      <c r="W13" s="893">
        <f>ROUND(N13*0.85,0)</f>
        <v>0</v>
      </c>
      <c r="X13" s="892"/>
      <c r="Y13" s="893">
        <f>IF(F13=0,0,IF(H13="",0,IF(Q13&lt;1,0,MIN(T13:W13))))</f>
        <v>0</v>
      </c>
      <c r="Z13" s="901">
        <f>Installations!E24</f>
        <v>0</v>
      </c>
      <c r="AA13" s="893">
        <f>ROUND(IF(N13="",0,(N13/K$41)*((1+K$39)/(1+K$40))),0)</f>
        <v>0</v>
      </c>
      <c r="AB13" s="892"/>
      <c r="AC13" s="893">
        <f>M$76+K$72</f>
        <v>0</v>
      </c>
      <c r="AD13" s="893">
        <f>Q$76+R$76</f>
        <v>0</v>
      </c>
      <c r="AE13" s="893">
        <f>SUM(AC13:AD13)</f>
        <v>0</v>
      </c>
      <c r="AF13" s="902">
        <f>AE13*Z13</f>
        <v>0</v>
      </c>
      <c r="AG13" s="893">
        <f>SUM(AE13:AF13)</f>
        <v>0</v>
      </c>
    </row>
    <row r="14" spans="1:33">
      <c r="A14" s="2043"/>
      <c r="B14" s="903" t="s">
        <v>970</v>
      </c>
      <c r="C14" s="904">
        <f>AF$74</f>
        <v>0</v>
      </c>
      <c r="D14" s="905">
        <f>C14*(1+Z13)</f>
        <v>0</v>
      </c>
      <c r="E14" s="906">
        <v>2</v>
      </c>
      <c r="F14" s="906" t="b">
        <f>F13</f>
        <v>0</v>
      </c>
      <c r="G14" s="907">
        <f>SUM(J$58:J$63)</f>
        <v>0</v>
      </c>
      <c r="H14" s="906">
        <v>10</v>
      </c>
      <c r="I14" s="903"/>
      <c r="J14" s="904">
        <f>IFERROR(IF(F14=FALSE,0,G$49),0)</f>
        <v>0</v>
      </c>
      <c r="K14" s="908">
        <f>IFERROR(ROUND(J14/D14,2),0)</f>
        <v>0</v>
      </c>
      <c r="L14" s="903"/>
      <c r="M14" s="903"/>
      <c r="N14" s="903"/>
      <c r="O14" s="903"/>
      <c r="P14" s="904">
        <f>IF(G14=0,0,ROUND((G14*F14/100)+I14,0))</f>
        <v>0</v>
      </c>
      <c r="Q14" s="903"/>
      <c r="R14" s="903"/>
      <c r="S14" s="903"/>
      <c r="T14" s="903"/>
      <c r="U14" s="903"/>
      <c r="V14" s="909"/>
      <c r="W14" s="903"/>
      <c r="X14" s="903"/>
      <c r="Y14" s="903"/>
      <c r="Z14" s="903"/>
      <c r="AA14" s="903"/>
      <c r="AB14" s="903"/>
      <c r="AC14" s="904">
        <f>K$74</f>
        <v>0</v>
      </c>
      <c r="AD14" s="904">
        <f>R$74</f>
        <v>0</v>
      </c>
      <c r="AE14" s="904">
        <f>SUM(AC14:AD14)</f>
        <v>0</v>
      </c>
      <c r="AF14" s="905">
        <f>AE14*Z13</f>
        <v>0</v>
      </c>
      <c r="AG14" s="904">
        <f>SUM(AE14:AF14)</f>
        <v>0</v>
      </c>
    </row>
    <row r="15" spans="1:33">
      <c r="A15" s="2043"/>
      <c r="B15" s="892" t="s">
        <v>972</v>
      </c>
      <c r="C15" s="892"/>
      <c r="D15" s="892"/>
      <c r="E15" s="894"/>
      <c r="F15" s="894" t="b">
        <f>F13</f>
        <v>0</v>
      </c>
      <c r="G15" s="894"/>
      <c r="H15" s="892"/>
      <c r="I15" s="892"/>
      <c r="J15" s="893">
        <f>IF(J13=0,0,IF(F15=FALSE,0,T$76*Lookup!B$7))</f>
        <v>0</v>
      </c>
      <c r="K15" s="897">
        <f>IFERROR(ROUND(J15/D15,2),0)</f>
        <v>0</v>
      </c>
      <c r="L15" s="892"/>
      <c r="M15" s="892"/>
      <c r="N15" s="892"/>
      <c r="O15" s="892"/>
      <c r="P15" s="892"/>
      <c r="Q15" s="892"/>
      <c r="R15" s="892"/>
      <c r="S15" s="892"/>
      <c r="T15" s="892"/>
      <c r="U15" s="892"/>
      <c r="V15" s="910"/>
      <c r="W15" s="892"/>
      <c r="X15" s="892"/>
      <c r="Y15" s="892"/>
      <c r="Z15" s="892"/>
      <c r="AA15" s="892"/>
      <c r="AB15" s="892"/>
      <c r="AC15" s="892"/>
      <c r="AD15" s="894"/>
      <c r="AE15" s="892"/>
      <c r="AF15" s="902"/>
      <c r="AG15" s="893"/>
    </row>
    <row r="16" spans="1:33">
      <c r="A16" s="2044"/>
      <c r="B16" s="911" t="s">
        <v>974</v>
      </c>
      <c r="C16" s="912">
        <f>C13+C14</f>
        <v>0</v>
      </c>
      <c r="D16" s="912">
        <f>D13+D14</f>
        <v>0</v>
      </c>
      <c r="E16" s="913">
        <v>2</v>
      </c>
      <c r="F16" s="913" t="b">
        <f>F13</f>
        <v>0</v>
      </c>
      <c r="G16" s="914">
        <f>G13+G14</f>
        <v>0</v>
      </c>
      <c r="H16" s="913">
        <f>IFERROR(ROUND(((G13*H13)+(G14*H14))/G16,0),0)</f>
        <v>0</v>
      </c>
      <c r="I16" s="912">
        <f>I13</f>
        <v>0</v>
      </c>
      <c r="J16" s="912">
        <f>J13+J14+J15</f>
        <v>0</v>
      </c>
      <c r="K16" s="915">
        <f>IFERROR(ROUND(J16/D16,2),0)</f>
        <v>0</v>
      </c>
      <c r="L16" s="911"/>
      <c r="M16" s="911"/>
      <c r="N16" s="911"/>
      <c r="O16" s="911"/>
      <c r="P16" s="912">
        <f>IF(G16=0,0,ROUND((G16*F16/100)+I16,0))</f>
        <v>0</v>
      </c>
      <c r="Q16" s="913" t="str">
        <f>IF(H16="",0,IF(F16*G16&gt;0,ROUND(D16/P16,1),"N/A"))</f>
        <v>N/A</v>
      </c>
      <c r="R16" s="916" t="str">
        <f>IF(H16="",0,IF(F16*G16&gt;0,ROUND((D16-J16)/P16,1),"N/A"))</f>
        <v>N/A</v>
      </c>
      <c r="S16" s="911"/>
      <c r="T16" s="911"/>
      <c r="U16" s="911"/>
      <c r="V16" s="911"/>
      <c r="W16" s="911"/>
      <c r="X16" s="911"/>
      <c r="Y16" s="911"/>
      <c r="Z16" s="911"/>
      <c r="AA16" s="911"/>
      <c r="AB16" s="911"/>
      <c r="AC16" s="912">
        <f>SUM(AC13:AC15)</f>
        <v>0</v>
      </c>
      <c r="AD16" s="912">
        <f>SUM(AD13:AD15)</f>
        <v>0</v>
      </c>
      <c r="AE16" s="912">
        <f>SUM(AC16:AD16)</f>
        <v>0</v>
      </c>
      <c r="AF16" s="917">
        <f>AE16*Z$8</f>
        <v>0</v>
      </c>
      <c r="AG16" s="912">
        <f>SUM(AE16:AF16)</f>
        <v>0</v>
      </c>
    </row>
    <row r="17" spans="1:33">
      <c r="E17" s="12"/>
      <c r="F17" s="12"/>
      <c r="G17" s="12"/>
      <c r="H17" s="475"/>
      <c r="L17" s="475"/>
      <c r="N17" s="99"/>
      <c r="AD17" s="12"/>
      <c r="AF17" s="119"/>
      <c r="AG17" s="99"/>
    </row>
    <row r="18" spans="1:33">
      <c r="A18" s="2045" t="s">
        <v>1091</v>
      </c>
      <c r="B18" s="841" t="s">
        <v>1105</v>
      </c>
      <c r="C18" s="918">
        <f>IFERROR(AF$72,0)</f>
        <v>0</v>
      </c>
      <c r="D18" s="918">
        <f>ROUND(C18*(1+Z18),0)</f>
        <v>0</v>
      </c>
      <c r="E18" s="843">
        <f>E8</f>
        <v>2</v>
      </c>
      <c r="F18" s="843" t="b">
        <f>K$47</f>
        <v>0</v>
      </c>
      <c r="G18" s="919">
        <f>AE$72</f>
        <v>0</v>
      </c>
      <c r="H18" s="920">
        <f>AJ$72</f>
        <v>0</v>
      </c>
      <c r="I18" s="918">
        <f>IF(F18=FALSE,0,ROUND(AD$72*K$48*12,0))</f>
        <v>0</v>
      </c>
      <c r="J18" s="918">
        <f>IF(Y18&lt;0,0,Y18)</f>
        <v>0</v>
      </c>
      <c r="K18" s="921">
        <f>IFERROR(ROUND(J18/D18,2),0)</f>
        <v>0</v>
      </c>
      <c r="L18" s="922">
        <f>AI$72</f>
        <v>0</v>
      </c>
      <c r="M18" s="843" t="str">
        <f>IF(G18=0,"",IF(K18=K$43,"Up",IF(OR(J18=U18,L18=0.85*N18*100/G18),"Flat","Down")))</f>
        <v/>
      </c>
      <c r="N18" s="918">
        <f>IF(H18=0,0,(ROUND(G18*HLOOKUP(E18,Lookup!BG$3:BH$33,H18+1,FALSE)/100,0)+Q44))</f>
        <v>0</v>
      </c>
      <c r="O18" s="923">
        <f>IF(H18=0,0,IF(C18=0,0,ROUND(N18/(((1+K$40)*C18)/(1+K$39)),2)))</f>
        <v>0</v>
      </c>
      <c r="P18" s="918">
        <f>IF(G18=0,0,ROUND((G18*F18/100)+I18+Q43,0))</f>
        <v>0</v>
      </c>
      <c r="Q18" s="843" t="str">
        <f>IF(H18="",0,IF(F18*G18&gt;0,ROUND(D18/P18,1),"N/A"))</f>
        <v>N/A</v>
      </c>
      <c r="R18" s="843" t="str">
        <f>IF(H18="",0,IF(F18*G18&gt;0,ROUND((D18-J18)/P18,1),"N/A"))</f>
        <v>N/A</v>
      </c>
      <c r="S18" s="918"/>
      <c r="T18" s="918">
        <f>IFERROR(ROUND(K$43*(D18-(T$76*Lookup!B$7)),0),0)</f>
        <v>0</v>
      </c>
      <c r="U18" s="918">
        <f>IFERROR(ROUND(L18*G18,0),0)</f>
        <v>0</v>
      </c>
      <c r="V18" s="918">
        <f>IFERROR(ROUND((K$42*C18)-(K$42*AA18),0),0)</f>
        <v>0</v>
      </c>
      <c r="W18" s="918">
        <f>ROUND(N18*0.85,0)</f>
        <v>0</v>
      </c>
      <c r="X18" s="918"/>
      <c r="Y18" s="918">
        <f>IF(F18=0,0,IF(H18="",0,IF(Q18&lt;1,0,MIN(T18:W18))))</f>
        <v>0</v>
      </c>
      <c r="Z18" s="924">
        <f>Installations!E24</f>
        <v>0</v>
      </c>
      <c r="AA18" s="918">
        <f>ROUND(IF(N18="",0,(N18/K$41)*((1+K$39)/(1+K$40))),0)</f>
        <v>0</v>
      </c>
      <c r="AB18" s="918"/>
      <c r="AC18" s="918">
        <f>M$76+K$72</f>
        <v>0</v>
      </c>
      <c r="AD18" s="918">
        <f>Q$76+R$76</f>
        <v>0</v>
      </c>
      <c r="AE18" s="918">
        <f>SUM(AC18:AD18)</f>
        <v>0</v>
      </c>
      <c r="AF18" s="844">
        <f>AE18*Z18</f>
        <v>0</v>
      </c>
      <c r="AG18" s="918">
        <f>SUM(AE18:AF18)</f>
        <v>0</v>
      </c>
    </row>
    <row r="19" spans="1:33">
      <c r="A19" s="2046"/>
      <c r="B19" s="925" t="s">
        <v>970</v>
      </c>
      <c r="C19" s="926">
        <f>AF$74</f>
        <v>0</v>
      </c>
      <c r="D19" s="927">
        <f>C19*(1+Z18)</f>
        <v>0</v>
      </c>
      <c r="E19" s="928">
        <v>2</v>
      </c>
      <c r="F19" s="928" t="b">
        <f>F18</f>
        <v>0</v>
      </c>
      <c r="G19" s="929">
        <f>SUM(J$58:J$63)</f>
        <v>0</v>
      </c>
      <c r="H19" s="928">
        <v>10</v>
      </c>
      <c r="I19" s="925"/>
      <c r="J19" s="926">
        <f>IFERROR(IF(F19=FALSE,0,G$49),0)</f>
        <v>0</v>
      </c>
      <c r="K19" s="930">
        <f>IFERROR(ROUND(J19/D19,2),0)</f>
        <v>0</v>
      </c>
      <c r="L19" s="925"/>
      <c r="M19" s="925"/>
      <c r="N19" s="925"/>
      <c r="O19" s="925"/>
      <c r="P19" s="926">
        <f>IF(G19=0,0,ROUND((G19*F19/100)+I19,0))</f>
        <v>0</v>
      </c>
      <c r="Q19" s="925"/>
      <c r="R19" s="925"/>
      <c r="S19" s="925"/>
      <c r="T19" s="925"/>
      <c r="U19" s="925"/>
      <c r="V19" s="931"/>
      <c r="W19" s="925"/>
      <c r="X19" s="925"/>
      <c r="Y19" s="925"/>
      <c r="Z19" s="925"/>
      <c r="AA19" s="925"/>
      <c r="AB19" s="925"/>
      <c r="AC19" s="926">
        <f>K$74</f>
        <v>0</v>
      </c>
      <c r="AD19" s="926">
        <f>R$74</f>
        <v>0</v>
      </c>
      <c r="AE19" s="926">
        <f>SUM(AC19:AD19)</f>
        <v>0</v>
      </c>
      <c r="AF19" s="927">
        <f>AE19*Z18</f>
        <v>0</v>
      </c>
      <c r="AG19" s="926">
        <f>SUM(AE19:AF19)</f>
        <v>0</v>
      </c>
    </row>
    <row r="20" spans="1:33">
      <c r="A20" s="2046"/>
      <c r="B20" s="841" t="s">
        <v>972</v>
      </c>
      <c r="C20" s="841"/>
      <c r="D20" s="841"/>
      <c r="E20" s="843"/>
      <c r="F20" s="843" t="b">
        <f>F18</f>
        <v>0</v>
      </c>
      <c r="G20" s="843"/>
      <c r="H20" s="841"/>
      <c r="I20" s="841"/>
      <c r="J20" s="918">
        <f>IF(J18=0,0,IF(F20=FALSE,0,T$76*Lookup!B$7))</f>
        <v>0</v>
      </c>
      <c r="K20" s="921">
        <f>IFERROR(ROUND(J20/D20,2),0)</f>
        <v>0</v>
      </c>
      <c r="L20" s="841"/>
      <c r="M20" s="841"/>
      <c r="N20" s="841"/>
      <c r="O20" s="841"/>
      <c r="P20" s="841"/>
      <c r="Q20" s="841"/>
      <c r="R20" s="841"/>
      <c r="S20" s="841"/>
      <c r="T20" s="841"/>
      <c r="U20" s="841"/>
      <c r="V20" s="932"/>
      <c r="W20" s="841"/>
      <c r="X20" s="841"/>
      <c r="Y20" s="841"/>
      <c r="Z20" s="841"/>
      <c r="AA20" s="841"/>
      <c r="AB20" s="841"/>
      <c r="AC20" s="841"/>
      <c r="AD20" s="843"/>
      <c r="AE20" s="841"/>
      <c r="AF20" s="844"/>
      <c r="AG20" s="918"/>
    </row>
    <row r="21" spans="1:33">
      <c r="A21" s="2047"/>
      <c r="B21" s="933" t="s">
        <v>974</v>
      </c>
      <c r="C21" s="934">
        <f>C18+C19</f>
        <v>0</v>
      </c>
      <c r="D21" s="934">
        <f>D18+D19</f>
        <v>0</v>
      </c>
      <c r="E21" s="935">
        <v>2</v>
      </c>
      <c r="F21" s="935" t="b">
        <f>F18</f>
        <v>0</v>
      </c>
      <c r="G21" s="936">
        <f>G18+G19</f>
        <v>0</v>
      </c>
      <c r="H21" s="935">
        <f>IFERROR(ROUND(((G18*H18)+(G19*H19))/G21,0),0)</f>
        <v>0</v>
      </c>
      <c r="I21" s="934">
        <f>I18</f>
        <v>0</v>
      </c>
      <c r="J21" s="934">
        <f>J18+J19+J20</f>
        <v>0</v>
      </c>
      <c r="K21" s="937">
        <f>IFERROR(ROUND(J21/D21,2),0)</f>
        <v>0</v>
      </c>
      <c r="L21" s="933"/>
      <c r="M21" s="933"/>
      <c r="N21" s="933"/>
      <c r="O21" s="933"/>
      <c r="P21" s="934">
        <f>IF(G21=0,0,ROUND((G21*F21/100)+I21+Q$43,0))</f>
        <v>0</v>
      </c>
      <c r="Q21" s="935" t="str">
        <f>IF(H21="",0,IF(F21*G21&gt;0,ROUND(D21/P21,1),"N/A"))</f>
        <v>N/A</v>
      </c>
      <c r="R21" s="938" t="str">
        <f>IF(H21="",0,IF(F21*G21&gt;0,ROUND((D21-J21)/P21,1),"N/A"))</f>
        <v>N/A</v>
      </c>
      <c r="S21" s="933"/>
      <c r="T21" s="933"/>
      <c r="U21" s="933"/>
      <c r="V21" s="933"/>
      <c r="W21" s="933"/>
      <c r="X21" s="933"/>
      <c r="Y21" s="933"/>
      <c r="Z21" s="933"/>
      <c r="AA21" s="933"/>
      <c r="AB21" s="933"/>
      <c r="AC21" s="934">
        <f>SUM(AC18:AC20)</f>
        <v>0</v>
      </c>
      <c r="AD21" s="934">
        <f>SUM(AD18:AD20)</f>
        <v>0</v>
      </c>
      <c r="AE21" s="934">
        <f>SUM(AC21:AD21)</f>
        <v>0</v>
      </c>
      <c r="AF21" s="939">
        <f>AE21*Z$8</f>
        <v>0</v>
      </c>
      <c r="AG21" s="934">
        <f>SUM(AE21:AF21)</f>
        <v>0</v>
      </c>
    </row>
    <row r="22" spans="1:33">
      <c r="E22" s="12"/>
      <c r="F22" s="12"/>
      <c r="G22" s="12"/>
      <c r="H22" s="475"/>
      <c r="L22" s="475"/>
      <c r="N22" s="99"/>
      <c r="V22" s="548"/>
      <c r="AD22" s="12"/>
      <c r="AF22" s="119"/>
      <c r="AG22" s="120"/>
    </row>
    <row r="23" spans="1:33">
      <c r="A23" s="2036" t="s">
        <v>1108</v>
      </c>
      <c r="B23" s="940" t="s">
        <v>1105</v>
      </c>
      <c r="C23" s="941">
        <f>IFERROR(AF$72,0)</f>
        <v>0</v>
      </c>
      <c r="D23" s="941">
        <f>ROUND(C23*(1+Z23),0)</f>
        <v>0</v>
      </c>
      <c r="E23" s="942">
        <f>E13</f>
        <v>2</v>
      </c>
      <c r="F23" s="942" t="b">
        <f>K$47</f>
        <v>0</v>
      </c>
      <c r="G23" s="943">
        <f>AE$72</f>
        <v>0</v>
      </c>
      <c r="H23" s="944">
        <f>AJ$72</f>
        <v>0</v>
      </c>
      <c r="I23" s="941">
        <f>IF(F23=FALSE,0,ROUND(AD$72*K$48*12,0))</f>
        <v>0</v>
      </c>
      <c r="J23" s="941">
        <f>IF(Y23&lt;0,0,Y23)</f>
        <v>0</v>
      </c>
      <c r="K23" s="945">
        <f>IFERROR(ROUND(J23/D23,2),0)</f>
        <v>0</v>
      </c>
      <c r="L23" s="946">
        <f>AI$72</f>
        <v>0</v>
      </c>
      <c r="M23" s="942" t="str">
        <f>IF(G23=0,"",IF(K23=K$43,"Up",IF(OR(J23=U23,L23=0.85*N23*100/G23),"Flat","Down")))</f>
        <v/>
      </c>
      <c r="N23" s="941">
        <f>IF(H23=0,0,(ROUND(G23*HLOOKUP(E23,Lookup!BG$3:BH$33,H23+1,FALSE)/100,0)+Q49))</f>
        <v>0</v>
      </c>
      <c r="O23" s="947">
        <f>IF(H23=0,0,IF(C23=0,0,ROUND(N23/(((1+K$40)*C23)/(1+K$39)),2)))</f>
        <v>0</v>
      </c>
      <c r="P23" s="941">
        <f>IF(G23=0,0,ROUND((G23*F23/100)+I23+Q48,0))</f>
        <v>0</v>
      </c>
      <c r="Q23" s="942" t="str">
        <f>IF(H23="",0,IF(F23*G23&gt;0,ROUND(D23/P23,1),"N/A"))</f>
        <v>N/A</v>
      </c>
      <c r="R23" s="942" t="str">
        <f>IF(H23="",0,IF(F23*G23&gt;0,ROUND((D23-J23)/P23,1),"N/A"))</f>
        <v>N/A</v>
      </c>
      <c r="S23" s="941"/>
      <c r="T23" s="941"/>
      <c r="U23" s="941">
        <f>IFERROR(ROUND(L23*G23,0),0)</f>
        <v>0</v>
      </c>
      <c r="V23" s="941"/>
      <c r="W23" s="941"/>
      <c r="X23" s="941"/>
      <c r="Y23" s="941">
        <f>U23</f>
        <v>0</v>
      </c>
      <c r="Z23" s="948">
        <f>Installations!E24</f>
        <v>0</v>
      </c>
      <c r="AA23" s="941">
        <f>ROUND(IF(N23="",0,(N23/K$41)*((1+K$39)/(1+K$40))),0)</f>
        <v>0</v>
      </c>
      <c r="AB23" s="941"/>
      <c r="AC23" s="941">
        <f>M$76+K$72</f>
        <v>0</v>
      </c>
      <c r="AD23" s="941">
        <f>Q$76+R$76</f>
        <v>0</v>
      </c>
      <c r="AE23" s="941">
        <f>SUM(AC23:AD23)</f>
        <v>0</v>
      </c>
      <c r="AF23" s="949">
        <f>AE23*Z23</f>
        <v>0</v>
      </c>
      <c r="AG23" s="941">
        <f>SUM(AE23:AF23)</f>
        <v>0</v>
      </c>
    </row>
    <row r="24" spans="1:33">
      <c r="A24" s="2037"/>
      <c r="B24" s="950" t="s">
        <v>970</v>
      </c>
      <c r="C24" s="951">
        <f>AF$74</f>
        <v>0</v>
      </c>
      <c r="D24" s="952">
        <f>C24*(1+Z23)</f>
        <v>0</v>
      </c>
      <c r="E24" s="953">
        <v>2</v>
      </c>
      <c r="F24" s="953" t="b">
        <f>F23</f>
        <v>0</v>
      </c>
      <c r="G24" s="954">
        <f>SUM(J$58:J$63)</f>
        <v>0</v>
      </c>
      <c r="H24" s="953">
        <v>10</v>
      </c>
      <c r="I24" s="950"/>
      <c r="J24" s="951">
        <f>IFERROR(IF(F24=FALSE,0,G$49),0)</f>
        <v>0</v>
      </c>
      <c r="K24" s="955">
        <f>IFERROR(ROUND(J24/D24,2),0)</f>
        <v>0</v>
      </c>
      <c r="L24" s="950"/>
      <c r="M24" s="950"/>
      <c r="N24" s="950"/>
      <c r="O24" s="950"/>
      <c r="P24" s="951">
        <f>IF(G24=0,0,ROUND((G24*F24/100)+I24,0))</f>
        <v>0</v>
      </c>
      <c r="Q24" s="950"/>
      <c r="R24" s="950"/>
      <c r="S24" s="950"/>
      <c r="T24" s="950"/>
      <c r="U24" s="950"/>
      <c r="V24" s="956"/>
      <c r="W24" s="950"/>
      <c r="X24" s="950"/>
      <c r="Y24" s="950"/>
      <c r="Z24" s="950"/>
      <c r="AA24" s="950"/>
      <c r="AB24" s="950"/>
      <c r="AC24" s="951">
        <f>K$74</f>
        <v>0</v>
      </c>
      <c r="AD24" s="951">
        <f>R$74</f>
        <v>0</v>
      </c>
      <c r="AE24" s="951">
        <f>SUM(AC24:AD24)</f>
        <v>0</v>
      </c>
      <c r="AF24" s="952">
        <f>AE24*Z23</f>
        <v>0</v>
      </c>
      <c r="AG24" s="951">
        <f>SUM(AE24:AF24)</f>
        <v>0</v>
      </c>
    </row>
    <row r="25" spans="1:33">
      <c r="A25" s="2037"/>
      <c r="B25" s="940" t="s">
        <v>972</v>
      </c>
      <c r="C25" s="940"/>
      <c r="D25" s="940"/>
      <c r="E25" s="942"/>
      <c r="F25" s="942" t="b">
        <f>F23</f>
        <v>0</v>
      </c>
      <c r="G25" s="942"/>
      <c r="H25" s="940"/>
      <c r="I25" s="940"/>
      <c r="J25" s="941">
        <f>IF(J23=0,0,IF(F25=FALSE,0,T$76*Lookup!B$7))</f>
        <v>0</v>
      </c>
      <c r="K25" s="945">
        <f>IFERROR(ROUND(J25/D25,2),0)</f>
        <v>0</v>
      </c>
      <c r="L25" s="940"/>
      <c r="M25" s="940"/>
      <c r="N25" s="940"/>
      <c r="O25" s="940"/>
      <c r="P25" s="940"/>
      <c r="Q25" s="940"/>
      <c r="R25" s="940"/>
      <c r="S25" s="940"/>
      <c r="T25" s="940"/>
      <c r="U25" s="940"/>
      <c r="V25" s="957"/>
      <c r="W25" s="940"/>
      <c r="X25" s="940"/>
      <c r="Y25" s="940"/>
      <c r="Z25" s="940"/>
      <c r="AA25" s="940"/>
      <c r="AB25" s="940"/>
      <c r="AC25" s="940"/>
      <c r="AD25" s="942"/>
      <c r="AE25" s="940"/>
      <c r="AF25" s="949"/>
      <c r="AG25" s="941"/>
    </row>
    <row r="26" spans="1:33">
      <c r="A26" s="2038"/>
      <c r="B26" s="958" t="s">
        <v>974</v>
      </c>
      <c r="C26" s="959">
        <f>C23+C24</f>
        <v>0</v>
      </c>
      <c r="D26" s="959">
        <f>D23+D24</f>
        <v>0</v>
      </c>
      <c r="E26" s="960">
        <v>2</v>
      </c>
      <c r="F26" s="960" t="b">
        <f>F23</f>
        <v>0</v>
      </c>
      <c r="G26" s="961">
        <f>G23+G24</f>
        <v>0</v>
      </c>
      <c r="H26" s="960">
        <f>IFERROR(ROUND(((G23*H23)+(G24*H24))/G26,0),0)</f>
        <v>0</v>
      </c>
      <c r="I26" s="959">
        <f>I23</f>
        <v>0</v>
      </c>
      <c r="J26" s="959">
        <f>J23+J24+J25</f>
        <v>0</v>
      </c>
      <c r="K26" s="962">
        <f>IFERROR(ROUND(J26/D26,2),0)</f>
        <v>0</v>
      </c>
      <c r="L26" s="958"/>
      <c r="M26" s="958"/>
      <c r="N26" s="958"/>
      <c r="O26" s="958"/>
      <c r="P26" s="959">
        <f>IF(G26=0,0,ROUND((G26*F26/100)+I26,0))</f>
        <v>0</v>
      </c>
      <c r="Q26" s="960" t="str">
        <f>IF(H26="",0,IF(F26*G26&gt;0,ROUND(D26/P26,1),"N/A"))</f>
        <v>N/A</v>
      </c>
      <c r="R26" s="963" t="str">
        <f>IF(H26="",0,IF(F26*G26&gt;0,ROUND((D26-J26)/P26,1),"N/A"))</f>
        <v>N/A</v>
      </c>
      <c r="S26" s="958"/>
      <c r="T26" s="958"/>
      <c r="U26" s="958"/>
      <c r="V26" s="958"/>
      <c r="W26" s="958"/>
      <c r="X26" s="958"/>
      <c r="Y26" s="958"/>
      <c r="Z26" s="958"/>
      <c r="AA26" s="958"/>
      <c r="AB26" s="958"/>
      <c r="AC26" s="959">
        <f>SUM(AC23:AC25)</f>
        <v>0</v>
      </c>
      <c r="AD26" s="959">
        <f>SUM(AD23:AD25)</f>
        <v>0</v>
      </c>
      <c r="AE26" s="959">
        <f>SUM(AC26:AD26)</f>
        <v>0</v>
      </c>
      <c r="AF26" s="964">
        <f>AE26*Z$8</f>
        <v>0</v>
      </c>
      <c r="AG26" s="959">
        <f>SUM(AE26:AF26)</f>
        <v>0</v>
      </c>
    </row>
    <row r="27" spans="1:33">
      <c r="E27" s="12"/>
      <c r="F27" s="12"/>
      <c r="G27" s="12"/>
      <c r="H27" s="475"/>
      <c r="I27" s="12"/>
      <c r="J27" s="99"/>
      <c r="L27" s="475"/>
      <c r="N27" s="99"/>
      <c r="V27" s="548"/>
      <c r="AD27" s="12"/>
      <c r="AF27" s="119"/>
      <c r="AG27" s="120"/>
    </row>
    <row r="28" spans="1:33">
      <c r="A28" s="2036" t="s">
        <v>1109</v>
      </c>
      <c r="B28" s="940" t="s">
        <v>1105</v>
      </c>
      <c r="C28" s="941">
        <f>G28*L28</f>
        <v>0</v>
      </c>
      <c r="D28" s="941">
        <f>ROUND(C28*(1+Z28),0)</f>
        <v>0</v>
      </c>
      <c r="E28" s="942">
        <f>E18</f>
        <v>2</v>
      </c>
      <c r="F28" s="942" t="b">
        <f>K$47</f>
        <v>0</v>
      </c>
      <c r="G28" s="943">
        <f>AE$72</f>
        <v>0</v>
      </c>
      <c r="H28" s="944">
        <f>AJ$72</f>
        <v>0</v>
      </c>
      <c r="I28" s="941">
        <f>IF(F28=FALSE,0,ROUND(AD$72*K$48*12,0))</f>
        <v>0</v>
      </c>
      <c r="J28" s="941">
        <f>IF(Y28&lt;0,0,Y28)</f>
        <v>0</v>
      </c>
      <c r="K28" s="945">
        <f>IFERROR(ROUND(J28/D28,2),0)</f>
        <v>0</v>
      </c>
      <c r="L28" s="946">
        <f>AI$72</f>
        <v>0</v>
      </c>
      <c r="M28" s="942" t="str">
        <f>IF(G28=0,"",IF(K28=K$43,"Up",IF(OR(J28=U28,L28=0.85*N28*100/G28),"Flat","Down")))</f>
        <v/>
      </c>
      <c r="N28" s="941">
        <f>IF(H28=0,0,(ROUND(G28*HLOOKUP(E28,Lookup!BG$3:BH$33,H28+1,FALSE)/100,0)+Q54))</f>
        <v>0</v>
      </c>
      <c r="O28" s="947">
        <f>IF(H28=0,0,IF(C28=0,0,ROUND(N28/(((1+K$40)*C28)/(1+K$39)),2)))</f>
        <v>0</v>
      </c>
      <c r="P28" s="941">
        <f>IF(G28=0,0,ROUND((G28*F28/100)+I28+Q53,0))</f>
        <v>0</v>
      </c>
      <c r="Q28" s="942" t="str">
        <f>IF(H28="",0,IF(F28*G28&gt;0,ROUND(D28/P28,1),"N/A"))</f>
        <v>N/A</v>
      </c>
      <c r="R28" s="942" t="str">
        <f>IF(H28="",0,IF(F28*G28&gt;0,ROUND((D28-J28)/P28,1),"N/A"))</f>
        <v>N/A</v>
      </c>
      <c r="S28" s="941"/>
      <c r="T28" s="941"/>
      <c r="U28" s="941">
        <f>IFERROR(ROUND(L28*G28,0),0)</f>
        <v>0</v>
      </c>
      <c r="V28" s="941"/>
      <c r="W28" s="941"/>
      <c r="X28" s="941"/>
      <c r="Y28" s="941">
        <f>U28</f>
        <v>0</v>
      </c>
      <c r="Z28" s="948">
        <f>Installations!E24</f>
        <v>0</v>
      </c>
      <c r="AA28" s="941">
        <f>ROUND(IF(N28="",0,(N28/K$41)*((1+K$39)/(1+K$40))),0)</f>
        <v>0</v>
      </c>
      <c r="AB28" s="941"/>
      <c r="AC28" s="941">
        <f>M$76+K$72</f>
        <v>0</v>
      </c>
      <c r="AD28" s="941">
        <f>Q$76+R$76</f>
        <v>0</v>
      </c>
      <c r="AE28" s="941">
        <f>SUM(AC28:AD28)</f>
        <v>0</v>
      </c>
      <c r="AF28" s="949">
        <f>AE28*Z28</f>
        <v>0</v>
      </c>
      <c r="AG28" s="941">
        <f>SUM(AE28:AF28)</f>
        <v>0</v>
      </c>
    </row>
    <row r="29" spans="1:33">
      <c r="A29" s="2037"/>
      <c r="B29" s="950" t="s">
        <v>970</v>
      </c>
      <c r="C29" s="951">
        <f>AF$74</f>
        <v>0</v>
      </c>
      <c r="D29" s="952">
        <f>C29*(1+Z28)</f>
        <v>0</v>
      </c>
      <c r="E29" s="953">
        <v>2</v>
      </c>
      <c r="F29" s="953" t="b">
        <f>F28</f>
        <v>0</v>
      </c>
      <c r="G29" s="954">
        <f>SUM(J$58:J$63)</f>
        <v>0</v>
      </c>
      <c r="H29" s="953">
        <v>10</v>
      </c>
      <c r="I29" s="950"/>
      <c r="J29" s="951">
        <v>0</v>
      </c>
      <c r="K29" s="955">
        <f>IFERROR(ROUND(J29/D29,2),0)</f>
        <v>0</v>
      </c>
      <c r="L29" s="950"/>
      <c r="M29" s="950"/>
      <c r="N29" s="950"/>
      <c r="O29" s="950"/>
      <c r="P29" s="951">
        <f>IF(G29=0,0,ROUND((G29*F29/100)+I29,0))</f>
        <v>0</v>
      </c>
      <c r="Q29" s="950"/>
      <c r="R29" s="950"/>
      <c r="S29" s="950"/>
      <c r="T29" s="950"/>
      <c r="U29" s="950"/>
      <c r="V29" s="956"/>
      <c r="W29" s="950"/>
      <c r="X29" s="950"/>
      <c r="Y29" s="950"/>
      <c r="Z29" s="950"/>
      <c r="AA29" s="950"/>
      <c r="AB29" s="950"/>
      <c r="AC29" s="951">
        <f>K$74</f>
        <v>0</v>
      </c>
      <c r="AD29" s="951">
        <f>R$74</f>
        <v>0</v>
      </c>
      <c r="AE29" s="951">
        <f>SUM(AC29:AD29)</f>
        <v>0</v>
      </c>
      <c r="AF29" s="952">
        <f>AE29*Z28</f>
        <v>0</v>
      </c>
      <c r="AG29" s="951">
        <f>SUM(AE29:AF29)</f>
        <v>0</v>
      </c>
    </row>
    <row r="30" spans="1:33">
      <c r="A30" s="2037"/>
      <c r="B30" s="940" t="s">
        <v>972</v>
      </c>
      <c r="C30" s="940"/>
      <c r="D30" s="940"/>
      <c r="E30" s="942"/>
      <c r="F30" s="942" t="b">
        <f>F28</f>
        <v>0</v>
      </c>
      <c r="G30" s="942"/>
      <c r="H30" s="940"/>
      <c r="I30" s="940"/>
      <c r="J30" s="941">
        <f>IF(J28=0,0,IF(F30=FALSE,0,T$76*Lookup!B$7))</f>
        <v>0</v>
      </c>
      <c r="K30" s="945">
        <f>IFERROR(ROUND(J30/D30,2),0)</f>
        <v>0</v>
      </c>
      <c r="L30" s="940"/>
      <c r="M30" s="940"/>
      <c r="N30" s="940"/>
      <c r="O30" s="940"/>
      <c r="P30" s="940"/>
      <c r="Q30" s="940"/>
      <c r="R30" s="940"/>
      <c r="S30" s="940"/>
      <c r="T30" s="940"/>
      <c r="U30" s="940"/>
      <c r="V30" s="957"/>
      <c r="W30" s="940"/>
      <c r="X30" s="940"/>
      <c r="Y30" s="940"/>
      <c r="Z30" s="940"/>
      <c r="AA30" s="940"/>
      <c r="AB30" s="940"/>
      <c r="AC30" s="940"/>
      <c r="AD30" s="942"/>
      <c r="AE30" s="940"/>
      <c r="AF30" s="949"/>
      <c r="AG30" s="941"/>
    </row>
    <row r="31" spans="1:33">
      <c r="A31" s="2038"/>
      <c r="B31" s="958" t="s">
        <v>974</v>
      </c>
      <c r="C31" s="959">
        <f>C28+C29</f>
        <v>0</v>
      </c>
      <c r="D31" s="959">
        <f>D28+D29</f>
        <v>0</v>
      </c>
      <c r="E31" s="960">
        <v>2</v>
      </c>
      <c r="F31" s="960" t="b">
        <f>F28</f>
        <v>0</v>
      </c>
      <c r="G31" s="961">
        <f>G28+G29</f>
        <v>0</v>
      </c>
      <c r="H31" s="960">
        <f>IFERROR(ROUND(((G28*H28)+(G29*H29))/G31,0),0)</f>
        <v>0</v>
      </c>
      <c r="I31" s="959">
        <f>I28</f>
        <v>0</v>
      </c>
      <c r="J31" s="959">
        <f>J28+J29+J30</f>
        <v>0</v>
      </c>
      <c r="K31" s="962">
        <f>IFERROR(ROUND(J31/D31,2),0)</f>
        <v>0</v>
      </c>
      <c r="L31" s="958"/>
      <c r="M31" s="958"/>
      <c r="N31" s="958"/>
      <c r="O31" s="958"/>
      <c r="P31" s="959">
        <f>IF(G31=0,0,ROUND((G31*F31/100)+I31,0))</f>
        <v>0</v>
      </c>
      <c r="Q31" s="960" t="str">
        <f>IF(H31="",0,IF(F31*G31&gt;0,ROUND(D31/P31,1),"N/A"))</f>
        <v>N/A</v>
      </c>
      <c r="R31" s="963" t="str">
        <f>IF(H31="",0,IF(F31*G31&gt;0,ROUND((D31-J31)/P31,1),"N/A"))</f>
        <v>N/A</v>
      </c>
      <c r="S31" s="958"/>
      <c r="T31" s="958"/>
      <c r="U31" s="958"/>
      <c r="V31" s="958"/>
      <c r="W31" s="958"/>
      <c r="X31" s="958"/>
      <c r="Y31" s="958"/>
      <c r="Z31" s="958"/>
      <c r="AA31" s="958"/>
      <c r="AB31" s="958"/>
      <c r="AC31" s="959">
        <f>SUM(AC28:AC30)</f>
        <v>0</v>
      </c>
      <c r="AD31" s="959">
        <f>SUM(AD28:AD30)</f>
        <v>0</v>
      </c>
      <c r="AE31" s="959">
        <f>SUM(AC31:AD31)</f>
        <v>0</v>
      </c>
      <c r="AF31" s="964">
        <f>AE31*Z$8</f>
        <v>0</v>
      </c>
      <c r="AG31" s="959">
        <f>SUM(AE31:AF31)</f>
        <v>0</v>
      </c>
    </row>
    <row r="32" spans="1:33">
      <c r="I32" s="217"/>
    </row>
    <row r="33" spans="2:27">
      <c r="G33" s="409"/>
      <c r="I33" s="217"/>
    </row>
    <row r="34" spans="2:27">
      <c r="I34" s="217"/>
    </row>
    <row r="35" spans="2:27">
      <c r="I35" s="217"/>
    </row>
    <row r="38" spans="2:27">
      <c r="B38" s="50" t="s">
        <v>1110</v>
      </c>
      <c r="AA38" t="s">
        <v>1111</v>
      </c>
    </row>
    <row r="39" spans="2:27" ht="14.95" thickBot="1">
      <c r="B39" s="965" t="str">
        <f>Lookup!AM2</f>
        <v>_Lookup_Fixture_Type</v>
      </c>
      <c r="C39" s="965" t="str">
        <f>Lookup!AO2</f>
        <v>Incentive</v>
      </c>
      <c r="J39" s="132" t="s">
        <v>1112</v>
      </c>
      <c r="K39" s="966">
        <v>6.9699999999999998E-2</v>
      </c>
      <c r="L39" s="133"/>
    </row>
    <row r="40" spans="2:27">
      <c r="B40" s="728" t="str">
        <f>Lookup!AM3</f>
        <v>New Fixture</v>
      </c>
      <c r="C40" s="967">
        <f>Lookup!AO3</f>
        <v>0.25</v>
      </c>
      <c r="J40" s="132" t="s">
        <v>1113</v>
      </c>
      <c r="K40" s="968">
        <v>0.15</v>
      </c>
      <c r="L40" s="134"/>
      <c r="O40" s="522"/>
      <c r="P40" s="523"/>
      <c r="Q40" s="523"/>
      <c r="R40" s="523"/>
      <c r="S40" s="523"/>
      <c r="T40" s="523"/>
      <c r="U40" s="523"/>
      <c r="V40" s="524"/>
      <c r="X40" s="522"/>
      <c r="Y40" s="523"/>
      <c r="Z40" s="523"/>
      <c r="AA40" s="524"/>
    </row>
    <row r="41" spans="2:27">
      <c r="B41" s="728" t="str">
        <f>Lookup!AM4</f>
        <v>Complete Retrofit Kit</v>
      </c>
      <c r="C41" s="967">
        <f>Lookup!AO4</f>
        <v>0.25</v>
      </c>
      <c r="J41" s="132" t="s">
        <v>1114</v>
      </c>
      <c r="K41" s="136">
        <v>0.5</v>
      </c>
      <c r="L41" s="135"/>
      <c r="O41" s="525"/>
      <c r="P41" s="9"/>
      <c r="Q41" s="646" t="s">
        <v>1091</v>
      </c>
      <c r="R41" s="9"/>
      <c r="S41" s="9"/>
      <c r="T41" s="9"/>
      <c r="U41" s="9"/>
      <c r="V41" s="527"/>
      <c r="X41" s="525"/>
      <c r="Y41" s="526" t="str">
        <f>Project!H24</f>
        <v>RETROFIT</v>
      </c>
      <c r="Z41" s="9"/>
      <c r="AA41" s="527"/>
    </row>
    <row r="42" spans="2:27">
      <c r="B42" s="728" t="str">
        <f>Lookup!AM5</f>
        <v>Component Retrofit Kit</v>
      </c>
      <c r="C42" s="967">
        <f>Lookup!AO5</f>
        <v>0.17</v>
      </c>
      <c r="J42" s="132" t="s">
        <v>1115</v>
      </c>
      <c r="K42" s="969">
        <v>-0.5</v>
      </c>
      <c r="L42" t="s">
        <v>1116</v>
      </c>
      <c r="O42" s="525"/>
      <c r="P42" s="555" t="s">
        <v>1117</v>
      </c>
      <c r="Q42" s="970">
        <v>3.2169999999999997E-2</v>
      </c>
      <c r="R42" s="556"/>
      <c r="S42" s="9"/>
      <c r="T42" s="9"/>
      <c r="U42" s="9"/>
      <c r="V42" s="527"/>
      <c r="X42" s="525"/>
      <c r="Y42" s="145" t="str">
        <f>F51</f>
        <v>Final Baseline</v>
      </c>
      <c r="Z42" s="528">
        <f>F76</f>
        <v>0</v>
      </c>
      <c r="AA42" s="529"/>
    </row>
    <row r="43" spans="2:27">
      <c r="B43" s="971" t="str">
        <f>Lookup!AM6</f>
        <v>TLED (Plug and Play)</v>
      </c>
      <c r="C43" s="972">
        <f>Lookup!AO6</f>
        <v>4</v>
      </c>
      <c r="E43" s="973">
        <f>C58+C59</f>
        <v>0</v>
      </c>
      <c r="F43" s="973">
        <f>C83+C84</f>
        <v>0</v>
      </c>
      <c r="J43" s="132" t="s">
        <v>1118</v>
      </c>
      <c r="K43" s="819">
        <f>IF(Installations!B12="Yes",0.9,0.7)</f>
        <v>0.7</v>
      </c>
      <c r="O43" s="525"/>
      <c r="P43" s="555" t="s">
        <v>1119</v>
      </c>
      <c r="Q43" s="974">
        <f>Q42*G18</f>
        <v>0</v>
      </c>
      <c r="R43" s="557" t="s">
        <v>1120</v>
      </c>
      <c r="S43" s="9"/>
      <c r="T43" s="9"/>
      <c r="U43" s="9"/>
      <c r="V43" s="527"/>
      <c r="X43" s="525"/>
      <c r="Y43" s="145" t="str">
        <f>G51</f>
        <v>New kWh</v>
      </c>
      <c r="Z43" s="528">
        <f>I76</f>
        <v>0</v>
      </c>
      <c r="AA43" s="529"/>
    </row>
    <row r="44" spans="2:27">
      <c r="B44" s="971" t="str">
        <f>Lookup!AM7</f>
        <v>TLED (Ballast ByPass)</v>
      </c>
      <c r="C44" s="972">
        <f>Lookup!AO7</f>
        <v>4</v>
      </c>
      <c r="E44" s="973">
        <f>C60+C61</f>
        <v>0</v>
      </c>
      <c r="F44" s="973">
        <f>C85+C86</f>
        <v>0</v>
      </c>
      <c r="O44" s="525"/>
      <c r="P44" s="555" t="s">
        <v>1121</v>
      </c>
      <c r="Q44" s="974">
        <f>PV($K$39,H18,-Q43)</f>
        <v>0</v>
      </c>
      <c r="R44" s="557" t="s">
        <v>1122</v>
      </c>
      <c r="S44" s="9"/>
      <c r="T44" s="9"/>
      <c r="U44" s="9"/>
      <c r="V44" s="527"/>
      <c r="X44" s="525"/>
      <c r="Y44" s="145" t="str">
        <f>O51</f>
        <v>Total Saved kWh</v>
      </c>
      <c r="Z44" s="528">
        <f>Z42-Z43</f>
        <v>0</v>
      </c>
      <c r="AA44" s="530" t="e">
        <f>Z44/Z42</f>
        <v>#DIV/0!</v>
      </c>
    </row>
    <row r="45" spans="2:27">
      <c r="B45" s="971" t="str">
        <f>Lookup!AM8</f>
        <v>TLED (External)</v>
      </c>
      <c r="C45" s="972">
        <f>Lookup!AO8</f>
        <v>4</v>
      </c>
      <c r="E45" s="973">
        <f>C62+C63</f>
        <v>0</v>
      </c>
      <c r="F45" s="973">
        <f>C87+C88</f>
        <v>0</v>
      </c>
      <c r="J45" s="50" t="s">
        <v>1123</v>
      </c>
      <c r="O45" s="525"/>
      <c r="P45" s="9"/>
      <c r="Q45" s="9"/>
      <c r="R45" s="9"/>
      <c r="S45" s="9"/>
      <c r="T45" s="9"/>
      <c r="U45" s="9"/>
      <c r="V45" s="527"/>
      <c r="X45" s="525"/>
      <c r="Y45" s="145" t="s">
        <v>1124</v>
      </c>
      <c r="Z45" s="9"/>
      <c r="AA45" s="531">
        <v>0.05</v>
      </c>
    </row>
    <row r="46" spans="2:27" ht="14.95" thickBot="1">
      <c r="B46" s="728" t="str">
        <f>Lookup!AM9</f>
        <v>CFL-LED Retrofit Lamp</v>
      </c>
      <c r="C46" s="967">
        <f>Lookup!AO9</f>
        <v>0.17</v>
      </c>
      <c r="E46" s="975">
        <f>Lookup!B2</f>
        <v>4</v>
      </c>
      <c r="F46" s="975">
        <f>Lookup!B11</f>
        <v>2</v>
      </c>
      <c r="J46" s="139" t="s">
        <v>1125</v>
      </c>
      <c r="K46" s="976" t="b">
        <f>IF(Project!H26=0,FALSE,Project!H26)</f>
        <v>0</v>
      </c>
      <c r="O46" s="532"/>
      <c r="P46" s="558"/>
      <c r="Q46" s="558"/>
      <c r="R46" s="558"/>
      <c r="S46" s="558"/>
      <c r="T46" s="558"/>
      <c r="U46" s="558"/>
      <c r="V46" s="535"/>
      <c r="X46" s="532"/>
      <c r="Y46" s="533" t="str">
        <f>J2</f>
        <v>Electric Grant Amount</v>
      </c>
      <c r="Z46" s="534" t="e">
        <f>IF(AND(Y41&lt;&gt;"Retrofit",AA44&gt;AA45),U8,J8)</f>
        <v>#DIV/0!</v>
      </c>
      <c r="AA46" s="535"/>
    </row>
    <row r="47" spans="2:27">
      <c r="B47" s="728" t="str">
        <f>Lookup!AM10</f>
        <v>HID-LED Retrofit lamp</v>
      </c>
      <c r="C47" s="967">
        <f>Lookup!AO10</f>
        <v>0.17</v>
      </c>
      <c r="D47" s="217" t="s">
        <v>339</v>
      </c>
      <c r="E47" s="973">
        <f>SUM(E43:E45)</f>
        <v>0</v>
      </c>
      <c r="F47" s="973">
        <f>SUM(F43:F45)</f>
        <v>0</v>
      </c>
      <c r="G47" s="715">
        <f>SUM(E47:F47)</f>
        <v>0</v>
      </c>
      <c r="J47" s="139" t="s">
        <v>1126</v>
      </c>
      <c r="K47" s="140" t="b">
        <f>IFERROR(ROUND(Project!H28,2),FALSE)</f>
        <v>0</v>
      </c>
    </row>
    <row r="48" spans="2:27">
      <c r="B48" s="728" t="str">
        <f>Lookup!AM11</f>
        <v>TLED Controls</v>
      </c>
      <c r="C48" s="967">
        <f>Lookup!AO11</f>
        <v>0.27</v>
      </c>
      <c r="D48" s="217"/>
      <c r="E48" s="973"/>
      <c r="F48" s="973"/>
      <c r="J48" s="139" t="s">
        <v>1127</v>
      </c>
      <c r="K48" s="977" t="str">
        <f>Project!H30</f>
        <v/>
      </c>
    </row>
    <row r="49" spans="1:36">
      <c r="B49" s="728" t="str">
        <f>Lookup!AM12</f>
        <v>Fixture Removed</v>
      </c>
      <c r="C49" s="967">
        <f>Lookup!AO12</f>
        <v>0.25</v>
      </c>
      <c r="D49" s="217" t="s">
        <v>205</v>
      </c>
      <c r="E49" s="975">
        <f>E46*E47</f>
        <v>0</v>
      </c>
      <c r="F49" s="975">
        <f>F47*F46</f>
        <v>0</v>
      </c>
      <c r="G49" s="975">
        <f>SUM(E49:F49)</f>
        <v>0</v>
      </c>
    </row>
    <row r="51" spans="1:36" ht="42.8">
      <c r="A51" s="965" t="str">
        <f>Installations!BF875</f>
        <v>Control Bonus</v>
      </c>
      <c r="B51" s="978" t="str">
        <f>Installations!BG875</f>
        <v>Fixture/Lamp Type</v>
      </c>
      <c r="C51" s="965" t="str">
        <f>Installations!BH875</f>
        <v>Fixture /Lamp Qty*</v>
      </c>
      <c r="D51" s="965" t="str">
        <f>Installations!BI875</f>
        <v>Original kWh</v>
      </c>
      <c r="E51" s="979" t="str">
        <f>Installations!BJ875</f>
        <v>Control Reduction</v>
      </c>
      <c r="F51" s="979" t="str">
        <f>Installations!BK875</f>
        <v>Final Baseline</v>
      </c>
      <c r="G51" s="979" t="str">
        <f>Installations!BL875</f>
        <v>New kWh</v>
      </c>
      <c r="H51" s="979" t="str">
        <f>Installations!BM875</f>
        <v>New Control Saved</v>
      </c>
      <c r="I51" s="979" t="str">
        <f>Installations!BN875</f>
        <v>New Controlled</v>
      </c>
      <c r="J51" s="965" t="str">
        <f>Installations!BO875</f>
        <v>Fixture Saved kWh</v>
      </c>
      <c r="K51" s="965" t="str">
        <f>Installations!BP875</f>
        <v>Fixture Cost</v>
      </c>
      <c r="L51" s="965" t="str">
        <f>Installations!BQ875</f>
        <v>Control Saved kWh</v>
      </c>
      <c r="M51" s="965" t="str">
        <f>Installations!BR875</f>
        <v>Control Cost</v>
      </c>
      <c r="N51" s="116"/>
      <c r="O51" s="965" t="str">
        <f>Installations!BT875</f>
        <v>Total Saved kWh</v>
      </c>
      <c r="P51" s="965" t="str">
        <f>Installations!BU875</f>
        <v>Fixture + Control Cost</v>
      </c>
      <c r="Q51" s="965" t="str">
        <f>Installations!BV875</f>
        <v>Control Est. Labor Cost</v>
      </c>
      <c r="R51" s="965" t="str">
        <f>Installations!BW875</f>
        <v>Fixture Est. Labor Cost</v>
      </c>
      <c r="S51" s="965" t="str">
        <f>Installations!BX875</f>
        <v>Labor Misc. Est. Cost</v>
      </c>
      <c r="T51" s="965" t="str">
        <f>Installations!BY875</f>
        <v>LLLC Qty</v>
      </c>
      <c r="U51" s="979" t="str">
        <f>Installations!BZ875</f>
        <v>LLLC Base kWh</v>
      </c>
      <c r="V51" s="979" t="str">
        <f>Installations!CA875</f>
        <v>LLLC Control kWh</v>
      </c>
      <c r="W51" s="117"/>
      <c r="X51" s="965" t="str">
        <f>Installations!CC875</f>
        <v>Original kW</v>
      </c>
      <c r="Y51" s="965" t="str">
        <f>Installations!CD875</f>
        <v>New kW</v>
      </c>
      <c r="Z51" s="965" t="str">
        <f>Installations!CE875</f>
        <v>Saved kW</v>
      </c>
      <c r="AB51" s="965" t="str">
        <f>Installations!CG875</f>
        <v>Measure Life</v>
      </c>
      <c r="AD51" s="965" t="s">
        <v>1128</v>
      </c>
      <c r="AE51" s="965" t="s">
        <v>1129</v>
      </c>
      <c r="AF51" s="965" t="s">
        <v>1130</v>
      </c>
      <c r="AG51" s="965" t="s">
        <v>1131</v>
      </c>
      <c r="AH51" s="965" t="s">
        <v>1132</v>
      </c>
      <c r="AI51" s="965" t="s">
        <v>205</v>
      </c>
      <c r="AJ51" s="137" t="s">
        <v>143</v>
      </c>
    </row>
    <row r="52" spans="1:36">
      <c r="A52" s="715" t="str">
        <f>Installations!BF877</f>
        <v>Yes</v>
      </c>
      <c r="B52" s="728" t="str">
        <f>Installations!BG877</f>
        <v>New Fixture</v>
      </c>
      <c r="C52" s="715">
        <f>Installations!BH877</f>
        <v>0</v>
      </c>
      <c r="D52" s="980">
        <f>Installations!BI877</f>
        <v>0</v>
      </c>
      <c r="E52" s="980">
        <f>Installations!BJ877</f>
        <v>0</v>
      </c>
      <c r="F52" s="980">
        <f>Installations!BK877</f>
        <v>0</v>
      </c>
      <c r="G52" s="980">
        <f>Installations!BL877</f>
        <v>0</v>
      </c>
      <c r="H52" s="980">
        <f>Installations!BM877</f>
        <v>0</v>
      </c>
      <c r="I52" s="980">
        <f>Installations!BN877</f>
        <v>0</v>
      </c>
      <c r="J52" s="980">
        <f>Installations!BO877</f>
        <v>0</v>
      </c>
      <c r="K52" s="981">
        <f>Installations!BP877</f>
        <v>0</v>
      </c>
      <c r="L52" s="715">
        <f>Installations!BQ877</f>
        <v>0</v>
      </c>
      <c r="M52" s="981">
        <f>Installations!BR877</f>
        <v>0</v>
      </c>
      <c r="N52" s="95"/>
      <c r="O52" s="980">
        <f>Installations!BT877</f>
        <v>0</v>
      </c>
      <c r="P52" s="981">
        <f>Installations!BU877</f>
        <v>0</v>
      </c>
      <c r="Q52" s="981">
        <f>Installations!BV877</f>
        <v>0</v>
      </c>
      <c r="R52" s="981">
        <f>Installations!BW877</f>
        <v>0</v>
      </c>
      <c r="S52" s="981">
        <f>Installations!BX877</f>
        <v>0</v>
      </c>
      <c r="T52" s="715">
        <f>Installations!BY877</f>
        <v>0</v>
      </c>
      <c r="U52" s="715">
        <f>Installations!BZ877</f>
        <v>0</v>
      </c>
      <c r="V52" s="715">
        <f>Installations!CA877</f>
        <v>0</v>
      </c>
      <c r="W52" s="118"/>
      <c r="X52" s="715">
        <f>Installations!CC877</f>
        <v>0</v>
      </c>
      <c r="Y52" s="715">
        <f>Installations!CD877</f>
        <v>0</v>
      </c>
      <c r="Z52" s="715">
        <f>Installations!CE877</f>
        <v>0</v>
      </c>
      <c r="AB52" s="715" t="str">
        <f>Installations!CG877</f>
        <v/>
      </c>
      <c r="AD52" s="715">
        <f t="shared" ref="AD52:AD57" si="7">Z52</f>
        <v>0</v>
      </c>
      <c r="AE52" s="980">
        <f t="shared" ref="AE52:AE57" si="8">O52</f>
        <v>0</v>
      </c>
      <c r="AF52" s="981">
        <f t="shared" ref="AF52:AF57" si="9">K52+M52+S52</f>
        <v>0</v>
      </c>
      <c r="AG52" s="967">
        <f>IF(LEFT(B52,4)="TLED",VLOOKUP("TLED Controls",B$40:C$48,2,FALSE)+IF(A52="Yes",Lookup!B$6,0),VLOOKUP(B52,B$40:C$48,2,FALSE)+IF(A52="Yes",Lookup!B$6,0))</f>
        <v>0.35</v>
      </c>
      <c r="AH52" s="982">
        <f t="shared" ref="AH52:AH68" si="10">IFERROR(AE52/AE$72,0)</f>
        <v>0</v>
      </c>
      <c r="AI52" s="975">
        <f>AG52*AH52</f>
        <v>0</v>
      </c>
      <c r="AJ52" s="983" t="str">
        <f>IFERROR(AB52*AH52,"")</f>
        <v/>
      </c>
    </row>
    <row r="53" spans="1:36">
      <c r="A53" s="715" t="str">
        <f>Installations!BF878</f>
        <v>No</v>
      </c>
      <c r="B53" s="728" t="str">
        <f>Installations!BG878</f>
        <v>New Fixture</v>
      </c>
      <c r="C53" s="715">
        <f>Installations!BH878</f>
        <v>0</v>
      </c>
      <c r="D53" s="980">
        <f>Installations!BI878</f>
        <v>0</v>
      </c>
      <c r="E53" s="980">
        <f>Installations!BJ878</f>
        <v>0</v>
      </c>
      <c r="F53" s="980">
        <f>Installations!BK878</f>
        <v>0</v>
      </c>
      <c r="G53" s="980">
        <f>Installations!BL878</f>
        <v>0</v>
      </c>
      <c r="H53" s="980">
        <f>Installations!BM878</f>
        <v>0</v>
      </c>
      <c r="I53" s="980">
        <f>Installations!BN878</f>
        <v>0</v>
      </c>
      <c r="J53" s="980">
        <f>Installations!BO878</f>
        <v>0</v>
      </c>
      <c r="K53" s="981">
        <f>Installations!BP878</f>
        <v>0</v>
      </c>
      <c r="L53" s="715">
        <f>Installations!BQ878</f>
        <v>0</v>
      </c>
      <c r="M53" s="981">
        <f>Installations!BR878</f>
        <v>0</v>
      </c>
      <c r="N53" s="95"/>
      <c r="O53" s="980">
        <f>Installations!BT878</f>
        <v>0</v>
      </c>
      <c r="P53" s="981">
        <f>Installations!BU878</f>
        <v>0</v>
      </c>
      <c r="Q53" s="981">
        <f>Installations!BV878</f>
        <v>0</v>
      </c>
      <c r="R53" s="981">
        <f>Installations!BW878</f>
        <v>0</v>
      </c>
      <c r="S53" s="981">
        <f>Installations!BX878</f>
        <v>0</v>
      </c>
      <c r="T53" s="715">
        <f>Installations!BY878</f>
        <v>0</v>
      </c>
      <c r="U53" s="715">
        <f>Installations!BZ878</f>
        <v>0</v>
      </c>
      <c r="V53" s="715">
        <f>Installations!CA878</f>
        <v>0</v>
      </c>
      <c r="W53" s="118"/>
      <c r="X53" s="715">
        <f>Installations!CC878</f>
        <v>0</v>
      </c>
      <c r="Y53" s="715">
        <f>Installations!CD878</f>
        <v>0</v>
      </c>
      <c r="Z53" s="715">
        <f>Installations!CE878</f>
        <v>0</v>
      </c>
      <c r="AB53" s="715" t="str">
        <f>Installations!CG878</f>
        <v/>
      </c>
      <c r="AD53" s="715">
        <f t="shared" si="7"/>
        <v>0</v>
      </c>
      <c r="AE53" s="980">
        <f t="shared" si="8"/>
        <v>0</v>
      </c>
      <c r="AF53" s="981">
        <f t="shared" si="9"/>
        <v>0</v>
      </c>
      <c r="AG53" s="967">
        <f>IF(LEFT(B53,4)="TLED",VLOOKUP("TLED Controls",B$40:C$48,2,FALSE)+IF(A53="Yes",Lookup!B$6,0),VLOOKUP(B53,B$40:C$48,2,FALSE)+IF(A53="Yes",Lookup!B$6,0))</f>
        <v>0.25</v>
      </c>
      <c r="AH53" s="982">
        <f t="shared" si="10"/>
        <v>0</v>
      </c>
      <c r="AI53" s="975">
        <f t="shared" ref="AI53:AI67" si="11">AG53*AH53</f>
        <v>0</v>
      </c>
      <c r="AJ53" s="983" t="str">
        <f t="shared" ref="AJ53:AJ67" si="12">IFERROR(AB53*AH53,"")</f>
        <v/>
      </c>
    </row>
    <row r="54" spans="1:36">
      <c r="A54" s="715" t="str">
        <f>Installations!BF879</f>
        <v>Yes</v>
      </c>
      <c r="B54" s="728" t="str">
        <f>Installations!BG879</f>
        <v>Complete Retrofit Kit</v>
      </c>
      <c r="C54" s="715">
        <f>Installations!BH879</f>
        <v>0</v>
      </c>
      <c r="D54" s="980">
        <f>Installations!BI879</f>
        <v>0</v>
      </c>
      <c r="E54" s="980">
        <f>Installations!BJ879</f>
        <v>0</v>
      </c>
      <c r="F54" s="980">
        <f>Installations!BK879</f>
        <v>0</v>
      </c>
      <c r="G54" s="980">
        <f>Installations!BL879</f>
        <v>0</v>
      </c>
      <c r="H54" s="980">
        <f>Installations!BM879</f>
        <v>0</v>
      </c>
      <c r="I54" s="980">
        <f>Installations!BN879</f>
        <v>0</v>
      </c>
      <c r="J54" s="980">
        <f>Installations!BO879</f>
        <v>0</v>
      </c>
      <c r="K54" s="981">
        <f>Installations!BP879</f>
        <v>0</v>
      </c>
      <c r="L54" s="715">
        <f>Installations!BQ879</f>
        <v>0</v>
      </c>
      <c r="M54" s="981">
        <f>Installations!BR879</f>
        <v>0</v>
      </c>
      <c r="N54" s="95"/>
      <c r="O54" s="980">
        <f>Installations!BT879</f>
        <v>0</v>
      </c>
      <c r="P54" s="981">
        <f>Installations!BU879</f>
        <v>0</v>
      </c>
      <c r="Q54" s="981">
        <f>Installations!BV879</f>
        <v>0</v>
      </c>
      <c r="R54" s="981">
        <f>Installations!BW879</f>
        <v>0</v>
      </c>
      <c r="S54" s="981">
        <f>Installations!BX879</f>
        <v>0</v>
      </c>
      <c r="T54" s="715">
        <f>Installations!BY879</f>
        <v>0</v>
      </c>
      <c r="U54" s="715">
        <f>Installations!BZ879</f>
        <v>0</v>
      </c>
      <c r="V54" s="715">
        <f>Installations!CA879</f>
        <v>0</v>
      </c>
      <c r="W54" s="118"/>
      <c r="X54" s="715">
        <f>Installations!CC879</f>
        <v>0</v>
      </c>
      <c r="Y54" s="715">
        <f>Installations!CD879</f>
        <v>0</v>
      </c>
      <c r="Z54" s="715">
        <f>Installations!CE879</f>
        <v>0</v>
      </c>
      <c r="AB54" s="980" t="str">
        <f>Installations!CG879</f>
        <v/>
      </c>
      <c r="AD54" s="715">
        <f t="shared" si="7"/>
        <v>0</v>
      </c>
      <c r="AE54" s="980">
        <f t="shared" si="8"/>
        <v>0</v>
      </c>
      <c r="AF54" s="981">
        <f t="shared" si="9"/>
        <v>0</v>
      </c>
      <c r="AG54" s="967">
        <f>IF(LEFT(B54,4)="TLED",VLOOKUP("TLED Controls",B$40:C$48,2,FALSE)+IF(A54="Yes",Lookup!B$6,0),VLOOKUP(B54,B$40:C$48,2,FALSE)+IF(A54="Yes",Lookup!B$6,0))</f>
        <v>0.35</v>
      </c>
      <c r="AH54" s="982">
        <f t="shared" si="10"/>
        <v>0</v>
      </c>
      <c r="AI54" s="975">
        <f t="shared" si="11"/>
        <v>0</v>
      </c>
      <c r="AJ54" s="983" t="str">
        <f t="shared" si="12"/>
        <v/>
      </c>
    </row>
    <row r="55" spans="1:36">
      <c r="A55" s="715" t="str">
        <f>Installations!BF880</f>
        <v>No</v>
      </c>
      <c r="B55" s="728" t="str">
        <f>Installations!BG880</f>
        <v>Complete Retrofit Kit</v>
      </c>
      <c r="C55" s="715">
        <f>Installations!BH880</f>
        <v>0</v>
      </c>
      <c r="D55" s="980">
        <f>Installations!BI880</f>
        <v>0</v>
      </c>
      <c r="E55" s="980">
        <f>Installations!BJ880</f>
        <v>0</v>
      </c>
      <c r="F55" s="980">
        <f>Installations!BK880</f>
        <v>0</v>
      </c>
      <c r="G55" s="980">
        <f>Installations!BL880</f>
        <v>0</v>
      </c>
      <c r="H55" s="980">
        <f>Installations!BM880</f>
        <v>0</v>
      </c>
      <c r="I55" s="980">
        <f>Installations!BN880</f>
        <v>0</v>
      </c>
      <c r="J55" s="980">
        <f>Installations!BO880</f>
        <v>0</v>
      </c>
      <c r="K55" s="981">
        <f>Installations!BP880</f>
        <v>0</v>
      </c>
      <c r="L55" s="715">
        <f>Installations!BQ880</f>
        <v>0</v>
      </c>
      <c r="M55" s="981">
        <f>Installations!BR880</f>
        <v>0</v>
      </c>
      <c r="N55" s="95"/>
      <c r="O55" s="980">
        <f>Installations!BT880</f>
        <v>0</v>
      </c>
      <c r="P55" s="981">
        <f>Installations!BU880</f>
        <v>0</v>
      </c>
      <c r="Q55" s="981">
        <f>Installations!BV880</f>
        <v>0</v>
      </c>
      <c r="R55" s="981">
        <f>Installations!BW880</f>
        <v>0</v>
      </c>
      <c r="S55" s="981">
        <f>Installations!BX880</f>
        <v>0</v>
      </c>
      <c r="T55" s="715">
        <f>Installations!BY880</f>
        <v>0</v>
      </c>
      <c r="U55" s="715">
        <f>Installations!BZ880</f>
        <v>0</v>
      </c>
      <c r="V55" s="715">
        <f>Installations!CA880</f>
        <v>0</v>
      </c>
      <c r="W55" s="118"/>
      <c r="X55" s="715">
        <f>Installations!CC880</f>
        <v>0</v>
      </c>
      <c r="Y55" s="715">
        <f>Installations!CD880</f>
        <v>0</v>
      </c>
      <c r="Z55" s="715">
        <f>Installations!CE880</f>
        <v>0</v>
      </c>
      <c r="AB55" s="715" t="str">
        <f>Installations!CG880</f>
        <v/>
      </c>
      <c r="AD55" s="715">
        <f t="shared" si="7"/>
        <v>0</v>
      </c>
      <c r="AE55" s="980">
        <f t="shared" si="8"/>
        <v>0</v>
      </c>
      <c r="AF55" s="981">
        <f t="shared" si="9"/>
        <v>0</v>
      </c>
      <c r="AG55" s="967">
        <f>IF(LEFT(B55,4)="TLED",VLOOKUP("TLED Controls",B$40:C$48,2,FALSE)+IF(A55="Yes",Lookup!B$6,0),VLOOKUP(B55,B$40:C$48,2,FALSE)+IF(A55="Yes",Lookup!B$6,0))</f>
        <v>0.25</v>
      </c>
      <c r="AH55" s="982">
        <f t="shared" si="10"/>
        <v>0</v>
      </c>
      <c r="AI55" s="975">
        <f t="shared" si="11"/>
        <v>0</v>
      </c>
      <c r="AJ55" s="983" t="str">
        <f t="shared" si="12"/>
        <v/>
      </c>
    </row>
    <row r="56" spans="1:36">
      <c r="A56" s="715" t="str">
        <f>Installations!BF881</f>
        <v>Yes</v>
      </c>
      <c r="B56" s="728" t="str">
        <f>Installations!BG881</f>
        <v>Component Retrofit Kit</v>
      </c>
      <c r="C56" s="715">
        <f>Installations!BH881</f>
        <v>0</v>
      </c>
      <c r="D56" s="980">
        <f>Installations!BI881</f>
        <v>0</v>
      </c>
      <c r="E56" s="980">
        <f>Installations!BJ881</f>
        <v>0</v>
      </c>
      <c r="F56" s="980">
        <f>Installations!BK881</f>
        <v>0</v>
      </c>
      <c r="G56" s="980">
        <f>Installations!BL881</f>
        <v>0</v>
      </c>
      <c r="H56" s="980">
        <f>Installations!BM881</f>
        <v>0</v>
      </c>
      <c r="I56" s="980">
        <f>Installations!BN881</f>
        <v>0</v>
      </c>
      <c r="J56" s="980">
        <f>Installations!BO881</f>
        <v>0</v>
      </c>
      <c r="K56" s="981">
        <f>Installations!BP881</f>
        <v>0</v>
      </c>
      <c r="L56" s="715">
        <f>Installations!BQ881</f>
        <v>0</v>
      </c>
      <c r="M56" s="981">
        <f>Installations!BR881</f>
        <v>0</v>
      </c>
      <c r="N56" s="95"/>
      <c r="O56" s="980">
        <f>Installations!BT881</f>
        <v>0</v>
      </c>
      <c r="P56" s="981">
        <f>Installations!BU881</f>
        <v>0</v>
      </c>
      <c r="Q56" s="981">
        <f>Installations!BV881</f>
        <v>0</v>
      </c>
      <c r="R56" s="981">
        <f>Installations!BW881</f>
        <v>0</v>
      </c>
      <c r="S56" s="981">
        <f>Installations!BX881</f>
        <v>0</v>
      </c>
      <c r="T56" s="715">
        <f>Installations!BY881</f>
        <v>0</v>
      </c>
      <c r="U56" s="715">
        <f>Installations!BZ881</f>
        <v>0</v>
      </c>
      <c r="V56" s="715">
        <f>Installations!CA881</f>
        <v>0</v>
      </c>
      <c r="W56" s="118"/>
      <c r="X56" s="715">
        <f>Installations!CC881</f>
        <v>0</v>
      </c>
      <c r="Y56" s="715">
        <f>Installations!CD881</f>
        <v>0</v>
      </c>
      <c r="Z56" s="715">
        <f>Installations!CE881</f>
        <v>0</v>
      </c>
      <c r="AB56" s="715" t="str">
        <f>Installations!CG881</f>
        <v/>
      </c>
      <c r="AD56" s="715">
        <f t="shared" si="7"/>
        <v>0</v>
      </c>
      <c r="AE56" s="980">
        <f t="shared" si="8"/>
        <v>0</v>
      </c>
      <c r="AF56" s="981">
        <f t="shared" si="9"/>
        <v>0</v>
      </c>
      <c r="AG56" s="967">
        <f>IF(LEFT(B56,4)="TLED",VLOOKUP("TLED Controls",B$40:C$48,2,FALSE)+IF(A56="Yes",Lookup!B$6,0),VLOOKUP(B56,B$40:C$48,2,FALSE)+IF(A56="Yes",Lookup!B$6,0))</f>
        <v>0.27</v>
      </c>
      <c r="AH56" s="982">
        <f t="shared" si="10"/>
        <v>0</v>
      </c>
      <c r="AI56" s="975">
        <f t="shared" si="11"/>
        <v>0</v>
      </c>
      <c r="AJ56" s="983" t="str">
        <f t="shared" si="12"/>
        <v/>
      </c>
    </row>
    <row r="57" spans="1:36">
      <c r="A57" s="715" t="str">
        <f>Installations!BF882</f>
        <v>No</v>
      </c>
      <c r="B57" s="728" t="str">
        <f>Installations!BG882</f>
        <v>Component Retrofit Kit</v>
      </c>
      <c r="C57" s="715">
        <f>Installations!BH882</f>
        <v>0</v>
      </c>
      <c r="D57" s="980">
        <f>Installations!BI882</f>
        <v>0</v>
      </c>
      <c r="E57" s="980">
        <f>Installations!BJ882</f>
        <v>0</v>
      </c>
      <c r="F57" s="980">
        <f>Installations!BK882</f>
        <v>0</v>
      </c>
      <c r="G57" s="980">
        <f>Installations!BL882</f>
        <v>0</v>
      </c>
      <c r="H57" s="980">
        <f>Installations!BM882</f>
        <v>0</v>
      </c>
      <c r="I57" s="980">
        <f>Installations!BN882</f>
        <v>0</v>
      </c>
      <c r="J57" s="980">
        <f>Installations!BO882</f>
        <v>0</v>
      </c>
      <c r="K57" s="981">
        <f>Installations!BP882</f>
        <v>0</v>
      </c>
      <c r="L57" s="715">
        <f>Installations!BQ882</f>
        <v>0</v>
      </c>
      <c r="M57" s="981">
        <f>Installations!BR882</f>
        <v>0</v>
      </c>
      <c r="N57" s="95"/>
      <c r="O57" s="980">
        <f>Installations!BT882</f>
        <v>0</v>
      </c>
      <c r="P57" s="981">
        <f>Installations!BU882</f>
        <v>0</v>
      </c>
      <c r="Q57" s="981">
        <f>Installations!BV882</f>
        <v>0</v>
      </c>
      <c r="R57" s="981">
        <f>Installations!BW882</f>
        <v>0</v>
      </c>
      <c r="S57" s="981">
        <f>Installations!BX882</f>
        <v>0</v>
      </c>
      <c r="T57" s="715">
        <f>Installations!BY882</f>
        <v>0</v>
      </c>
      <c r="U57" s="715">
        <f>Installations!BZ882</f>
        <v>0</v>
      </c>
      <c r="V57" s="715">
        <f>Installations!CA882</f>
        <v>0</v>
      </c>
      <c r="W57" s="118"/>
      <c r="X57" s="715">
        <f>Installations!CC882</f>
        <v>0</v>
      </c>
      <c r="Y57" s="715">
        <f>Installations!CD882</f>
        <v>0</v>
      </c>
      <c r="Z57" s="715">
        <f>Installations!CE882</f>
        <v>0</v>
      </c>
      <c r="AB57" s="715" t="str">
        <f>Installations!CG882</f>
        <v/>
      </c>
      <c r="AD57" s="715">
        <f t="shared" si="7"/>
        <v>0</v>
      </c>
      <c r="AE57" s="980">
        <f t="shared" si="8"/>
        <v>0</v>
      </c>
      <c r="AF57" s="981">
        <f t="shared" si="9"/>
        <v>0</v>
      </c>
      <c r="AG57" s="967">
        <f>IF(LEFT(B57,4)="TLED",VLOOKUP("TLED Controls",B$40:C$48,2,FALSE)+IF(A57="Yes",Lookup!B$6,0),VLOOKUP(B57,B$40:C$48,2,FALSE)+IF(A57="Yes",Lookup!B$6,0))</f>
        <v>0.17</v>
      </c>
      <c r="AH57" s="982">
        <f t="shared" si="10"/>
        <v>0</v>
      </c>
      <c r="AI57" s="975">
        <f t="shared" si="11"/>
        <v>0</v>
      </c>
      <c r="AJ57" s="983" t="str">
        <f t="shared" si="12"/>
        <v/>
      </c>
    </row>
    <row r="58" spans="1:36">
      <c r="A58" s="973" t="str">
        <f>Installations!BF883</f>
        <v>Yes</v>
      </c>
      <c r="B58" s="971" t="str">
        <f>Installations!BG883</f>
        <v>TLED (Plug and Play)</v>
      </c>
      <c r="C58" s="973">
        <f>Installations!BH883</f>
        <v>0</v>
      </c>
      <c r="D58" s="984">
        <f>Installations!BI883</f>
        <v>0</v>
      </c>
      <c r="E58" s="984">
        <f>Installations!BJ883</f>
        <v>0</v>
      </c>
      <c r="F58" s="984">
        <f>Installations!BK883</f>
        <v>0</v>
      </c>
      <c r="G58" s="984">
        <f>Installations!BL883</f>
        <v>0</v>
      </c>
      <c r="H58" s="984">
        <f>Installations!BM883</f>
        <v>0</v>
      </c>
      <c r="I58" s="984">
        <f>Installations!BN883</f>
        <v>0</v>
      </c>
      <c r="J58" s="984">
        <f>Installations!BO883</f>
        <v>0</v>
      </c>
      <c r="K58" s="985">
        <f>Installations!BP883</f>
        <v>0</v>
      </c>
      <c r="L58" s="973">
        <f>Installations!BQ883</f>
        <v>0</v>
      </c>
      <c r="M58" s="985">
        <f>Installations!BR883</f>
        <v>0</v>
      </c>
      <c r="N58" s="95"/>
      <c r="O58" s="980">
        <f>Installations!BT883</f>
        <v>0</v>
      </c>
      <c r="P58" s="985">
        <f>Installations!BU883</f>
        <v>0</v>
      </c>
      <c r="Q58" s="985">
        <f>Installations!BV883</f>
        <v>0</v>
      </c>
      <c r="R58" s="985">
        <f>Installations!BW883</f>
        <v>0</v>
      </c>
      <c r="S58" s="985">
        <f>Installations!BX883</f>
        <v>0</v>
      </c>
      <c r="T58" s="973">
        <f>Installations!BY883</f>
        <v>0</v>
      </c>
      <c r="U58" s="973">
        <f>Installations!BZ883</f>
        <v>0</v>
      </c>
      <c r="V58" s="973">
        <f>Installations!CA883</f>
        <v>0</v>
      </c>
      <c r="W58" s="118"/>
      <c r="X58" s="973">
        <f>Installations!CC883</f>
        <v>0</v>
      </c>
      <c r="Y58" s="973">
        <f>Installations!CD883</f>
        <v>0</v>
      </c>
      <c r="Z58" s="973">
        <f>Installations!CE883</f>
        <v>0</v>
      </c>
      <c r="AB58" s="715" t="str">
        <f>Installations!CG883</f>
        <v/>
      </c>
      <c r="AD58" s="850"/>
      <c r="AE58" s="984">
        <f t="shared" ref="AE58:AE63" si="13">L58</f>
        <v>0</v>
      </c>
      <c r="AF58" s="985">
        <f t="shared" ref="AF58:AF63" si="14">IF(LEFT(B58,4)="TLED",M58+Q58,M58)</f>
        <v>0</v>
      </c>
      <c r="AG58" s="986">
        <f>IF(LEFT(B58,4)="TLED",VLOOKUP("TLED Controls",B$40:C$48,2,FALSE)+IF(A58="Yes",Lookup!B$6,0),VLOOKUP(B58,B$40:C$48,2,FALSE)+IF(A58="Yes",Lookup!B$6,0))</f>
        <v>0.37</v>
      </c>
      <c r="AH58" s="982">
        <f t="shared" si="10"/>
        <v>0</v>
      </c>
      <c r="AI58" s="975">
        <f t="shared" si="11"/>
        <v>0</v>
      </c>
      <c r="AJ58" s="983" t="str">
        <f t="shared" si="12"/>
        <v/>
      </c>
    </row>
    <row r="59" spans="1:36">
      <c r="A59" s="973" t="str">
        <f>Installations!BF884</f>
        <v>No</v>
      </c>
      <c r="B59" s="971" t="str">
        <f>Installations!BG884</f>
        <v>TLED (Plug and Play)</v>
      </c>
      <c r="C59" s="973">
        <f>Installations!BH884</f>
        <v>0</v>
      </c>
      <c r="D59" s="984">
        <f>Installations!BI884</f>
        <v>0</v>
      </c>
      <c r="E59" s="984">
        <f>Installations!BJ884</f>
        <v>0</v>
      </c>
      <c r="F59" s="984">
        <f>Installations!BK884</f>
        <v>0</v>
      </c>
      <c r="G59" s="984">
        <f>Installations!BL884</f>
        <v>0</v>
      </c>
      <c r="H59" s="984">
        <f>Installations!BM884</f>
        <v>0</v>
      </c>
      <c r="I59" s="984">
        <f>Installations!BN884</f>
        <v>0</v>
      </c>
      <c r="J59" s="984">
        <f>Installations!BO884</f>
        <v>0</v>
      </c>
      <c r="K59" s="985">
        <f>Installations!BP884</f>
        <v>0</v>
      </c>
      <c r="L59" s="973">
        <f>Installations!BQ884</f>
        <v>0</v>
      </c>
      <c r="M59" s="985">
        <f>Installations!BR884</f>
        <v>0</v>
      </c>
      <c r="N59" s="95"/>
      <c r="O59" s="980">
        <f>Installations!BT884</f>
        <v>0</v>
      </c>
      <c r="P59" s="985">
        <f>Installations!BU884</f>
        <v>0</v>
      </c>
      <c r="Q59" s="985">
        <f>Installations!BV884</f>
        <v>0</v>
      </c>
      <c r="R59" s="985">
        <f>Installations!BW884</f>
        <v>0</v>
      </c>
      <c r="S59" s="985">
        <f>Installations!BX884</f>
        <v>0</v>
      </c>
      <c r="T59" s="973">
        <f>Installations!BY884</f>
        <v>0</v>
      </c>
      <c r="U59" s="973">
        <f>Installations!BZ884</f>
        <v>0</v>
      </c>
      <c r="V59" s="973">
        <f>Installations!CA884</f>
        <v>0</v>
      </c>
      <c r="W59" s="118"/>
      <c r="X59" s="973">
        <f>Installations!CC884</f>
        <v>0</v>
      </c>
      <c r="Y59" s="973">
        <f>Installations!CD884</f>
        <v>0</v>
      </c>
      <c r="Z59" s="973">
        <f>Installations!CE884</f>
        <v>0</v>
      </c>
      <c r="AB59" s="715" t="str">
        <f>Installations!CG884</f>
        <v/>
      </c>
      <c r="AD59" s="850"/>
      <c r="AE59" s="984">
        <f t="shared" si="13"/>
        <v>0</v>
      </c>
      <c r="AF59" s="985">
        <f t="shared" si="14"/>
        <v>0</v>
      </c>
      <c r="AG59" s="986">
        <f>IF(LEFT(B59,4)="TLED",VLOOKUP("TLED Controls",B$40:C$48,2,FALSE)+IF(A59="Yes",Lookup!B$6,0),VLOOKUP(B59,B$40:C$48,2,FALSE)+IF(A59="Yes",Lookup!B$6,0))</f>
        <v>0.27</v>
      </c>
      <c r="AH59" s="982">
        <f t="shared" si="10"/>
        <v>0</v>
      </c>
      <c r="AI59" s="975">
        <f t="shared" si="11"/>
        <v>0</v>
      </c>
      <c r="AJ59" s="983" t="str">
        <f t="shared" si="12"/>
        <v/>
      </c>
    </row>
    <row r="60" spans="1:36">
      <c r="A60" s="973" t="str">
        <f>Installations!BF885</f>
        <v>Yes</v>
      </c>
      <c r="B60" s="971" t="str">
        <f>Installations!BG885</f>
        <v>TLED (Ballast ByPass)</v>
      </c>
      <c r="C60" s="973">
        <f>Installations!BH885</f>
        <v>0</v>
      </c>
      <c r="D60" s="984">
        <f>Installations!BI885</f>
        <v>0</v>
      </c>
      <c r="E60" s="984">
        <f>Installations!BJ885</f>
        <v>0</v>
      </c>
      <c r="F60" s="984">
        <f>Installations!BK885</f>
        <v>0</v>
      </c>
      <c r="G60" s="984">
        <f>Installations!BL885</f>
        <v>0</v>
      </c>
      <c r="H60" s="984">
        <f>Installations!BM885</f>
        <v>0</v>
      </c>
      <c r="I60" s="984">
        <f>Installations!BN885</f>
        <v>0</v>
      </c>
      <c r="J60" s="984">
        <f>Installations!BO885</f>
        <v>0</v>
      </c>
      <c r="K60" s="985">
        <f>Installations!BP885</f>
        <v>0</v>
      </c>
      <c r="L60" s="973">
        <f>Installations!BQ885</f>
        <v>0</v>
      </c>
      <c r="M60" s="985">
        <f>Installations!BR885</f>
        <v>0</v>
      </c>
      <c r="N60" s="95"/>
      <c r="O60" s="980">
        <f>Installations!BT885</f>
        <v>0</v>
      </c>
      <c r="P60" s="985">
        <f>Installations!BU885</f>
        <v>0</v>
      </c>
      <c r="Q60" s="985">
        <f>Installations!BV885</f>
        <v>0</v>
      </c>
      <c r="R60" s="985">
        <f>Installations!BW885</f>
        <v>0</v>
      </c>
      <c r="S60" s="985">
        <f>Installations!BX885</f>
        <v>0</v>
      </c>
      <c r="T60" s="973">
        <f>Installations!BY885</f>
        <v>0</v>
      </c>
      <c r="U60" s="973">
        <f>Installations!BZ885</f>
        <v>0</v>
      </c>
      <c r="V60" s="973">
        <f>Installations!CA885</f>
        <v>0</v>
      </c>
      <c r="W60" s="118"/>
      <c r="X60" s="973">
        <f>Installations!CC885</f>
        <v>0</v>
      </c>
      <c r="Y60" s="973">
        <f>Installations!CD885</f>
        <v>0</v>
      </c>
      <c r="Z60" s="973">
        <f>Installations!CE885</f>
        <v>0</v>
      </c>
      <c r="AB60" s="715" t="str">
        <f>Installations!CG885</f>
        <v/>
      </c>
      <c r="AD60" s="850"/>
      <c r="AE60" s="984">
        <f t="shared" si="13"/>
        <v>0</v>
      </c>
      <c r="AF60" s="985">
        <f t="shared" si="14"/>
        <v>0</v>
      </c>
      <c r="AG60" s="986">
        <f>IF(LEFT(B60,4)="TLED",VLOOKUP("TLED Controls",B$40:C$48,2,FALSE)+IF(A60="Yes",Lookup!B$6,0),VLOOKUP(B60,B$40:C$48,2,FALSE)+IF(A60="Yes",Lookup!B$6,0))</f>
        <v>0.37</v>
      </c>
      <c r="AH60" s="982">
        <f t="shared" si="10"/>
        <v>0</v>
      </c>
      <c r="AI60" s="975">
        <f t="shared" si="11"/>
        <v>0</v>
      </c>
      <c r="AJ60" s="983" t="str">
        <f t="shared" si="12"/>
        <v/>
      </c>
    </row>
    <row r="61" spans="1:36">
      <c r="A61" s="973" t="str">
        <f>Installations!BF886</f>
        <v>No</v>
      </c>
      <c r="B61" s="971" t="str">
        <f>Installations!BG886</f>
        <v>TLED (Ballast ByPass)</v>
      </c>
      <c r="C61" s="973">
        <f>Installations!BH886</f>
        <v>0</v>
      </c>
      <c r="D61" s="984">
        <f>Installations!BI886</f>
        <v>0</v>
      </c>
      <c r="E61" s="984">
        <f>Installations!BJ886</f>
        <v>0</v>
      </c>
      <c r="F61" s="984">
        <f>Installations!BK886</f>
        <v>0</v>
      </c>
      <c r="G61" s="984">
        <f>Installations!BL886</f>
        <v>0</v>
      </c>
      <c r="H61" s="984">
        <f>Installations!BM886</f>
        <v>0</v>
      </c>
      <c r="I61" s="984">
        <f>Installations!BN886</f>
        <v>0</v>
      </c>
      <c r="J61" s="984">
        <f>Installations!BO886</f>
        <v>0</v>
      </c>
      <c r="K61" s="985">
        <f>Installations!BP886</f>
        <v>0</v>
      </c>
      <c r="L61" s="973">
        <f>Installations!BQ886</f>
        <v>0</v>
      </c>
      <c r="M61" s="985">
        <f>Installations!BR886</f>
        <v>0</v>
      </c>
      <c r="N61" s="95"/>
      <c r="O61" s="980">
        <f>Installations!BT886</f>
        <v>0</v>
      </c>
      <c r="P61" s="985">
        <f>Installations!BU886</f>
        <v>0</v>
      </c>
      <c r="Q61" s="985">
        <f>Installations!BV886</f>
        <v>0</v>
      </c>
      <c r="R61" s="985">
        <f>Installations!BW886</f>
        <v>0</v>
      </c>
      <c r="S61" s="985">
        <f>Installations!BX886</f>
        <v>0</v>
      </c>
      <c r="T61" s="973">
        <f>Installations!BY886</f>
        <v>0</v>
      </c>
      <c r="U61" s="973">
        <f>Installations!BZ886</f>
        <v>0</v>
      </c>
      <c r="V61" s="973">
        <f>Installations!CA886</f>
        <v>0</v>
      </c>
      <c r="W61" s="118"/>
      <c r="X61" s="973">
        <f>Installations!CC886</f>
        <v>0</v>
      </c>
      <c r="Y61" s="973">
        <f>Installations!CD886</f>
        <v>0</v>
      </c>
      <c r="Z61" s="973">
        <f>Installations!CE886</f>
        <v>0</v>
      </c>
      <c r="AB61" s="715" t="str">
        <f>Installations!CG886</f>
        <v/>
      </c>
      <c r="AD61" s="850"/>
      <c r="AE61" s="984">
        <f t="shared" si="13"/>
        <v>0</v>
      </c>
      <c r="AF61" s="985">
        <f t="shared" si="14"/>
        <v>0</v>
      </c>
      <c r="AG61" s="986">
        <f>IF(LEFT(B61,4)="TLED",VLOOKUP("TLED Controls",B$40:C$48,2,FALSE)+IF(A61="Yes",Lookup!B$6,0),VLOOKUP(B61,B$40:C$48,2,FALSE)+IF(A61="Yes",Lookup!B$6,0))</f>
        <v>0.27</v>
      </c>
      <c r="AH61" s="982">
        <f t="shared" si="10"/>
        <v>0</v>
      </c>
      <c r="AI61" s="975">
        <f t="shared" si="11"/>
        <v>0</v>
      </c>
      <c r="AJ61" s="983" t="str">
        <f t="shared" si="12"/>
        <v/>
      </c>
    </row>
    <row r="62" spans="1:36">
      <c r="A62" s="973" t="str">
        <f>Installations!BF887</f>
        <v>Yes</v>
      </c>
      <c r="B62" s="971" t="str">
        <f>Installations!BG887</f>
        <v>TLED (External)</v>
      </c>
      <c r="C62" s="973">
        <f>Installations!BH887</f>
        <v>0</v>
      </c>
      <c r="D62" s="984">
        <f>Installations!BI887</f>
        <v>0</v>
      </c>
      <c r="E62" s="984">
        <f>Installations!BJ887</f>
        <v>0</v>
      </c>
      <c r="F62" s="984">
        <f>Installations!BK887</f>
        <v>0</v>
      </c>
      <c r="G62" s="984">
        <f>Installations!BL887</f>
        <v>0</v>
      </c>
      <c r="H62" s="984">
        <f>Installations!BM887</f>
        <v>0</v>
      </c>
      <c r="I62" s="984">
        <f>Installations!BN887</f>
        <v>0</v>
      </c>
      <c r="J62" s="984">
        <f>Installations!BO887</f>
        <v>0</v>
      </c>
      <c r="K62" s="985">
        <f>Installations!BP887</f>
        <v>0</v>
      </c>
      <c r="L62" s="973">
        <f>Installations!BQ887</f>
        <v>0</v>
      </c>
      <c r="M62" s="985">
        <f>Installations!BR887</f>
        <v>0</v>
      </c>
      <c r="N62" s="95"/>
      <c r="O62" s="980">
        <f>Installations!BT887</f>
        <v>0</v>
      </c>
      <c r="P62" s="985">
        <f>Installations!BU887</f>
        <v>0</v>
      </c>
      <c r="Q62" s="985">
        <f>Installations!BV887</f>
        <v>0</v>
      </c>
      <c r="R62" s="985">
        <f>Installations!BW887</f>
        <v>0</v>
      </c>
      <c r="S62" s="985">
        <f>Installations!BX887</f>
        <v>0</v>
      </c>
      <c r="T62" s="973">
        <f>Installations!BY887</f>
        <v>0</v>
      </c>
      <c r="U62" s="973">
        <f>Installations!BZ887</f>
        <v>0</v>
      </c>
      <c r="V62" s="973">
        <f>Installations!CA887</f>
        <v>0</v>
      </c>
      <c r="W62" s="118"/>
      <c r="X62" s="973">
        <f>Installations!CC887</f>
        <v>0</v>
      </c>
      <c r="Y62" s="973">
        <f>Installations!CD887</f>
        <v>0</v>
      </c>
      <c r="Z62" s="973">
        <f>Installations!CE887</f>
        <v>0</v>
      </c>
      <c r="AB62" s="715" t="str">
        <f>Installations!CG887</f>
        <v/>
      </c>
      <c r="AD62" s="850"/>
      <c r="AE62" s="984">
        <f t="shared" si="13"/>
        <v>0</v>
      </c>
      <c r="AF62" s="985">
        <f t="shared" si="14"/>
        <v>0</v>
      </c>
      <c r="AG62" s="986">
        <f>IF(LEFT(B62,4)="TLED",VLOOKUP("TLED Controls",B$40:C$48,2,FALSE)+IF(A62="Yes",Lookup!B$6,0),VLOOKUP(B62,B$40:C$48,2,FALSE)+IF(A62="Yes",Lookup!B$6,0))</f>
        <v>0.37</v>
      </c>
      <c r="AH62" s="982">
        <f t="shared" si="10"/>
        <v>0</v>
      </c>
      <c r="AI62" s="975">
        <f t="shared" si="11"/>
        <v>0</v>
      </c>
      <c r="AJ62" s="983" t="str">
        <f t="shared" si="12"/>
        <v/>
      </c>
    </row>
    <row r="63" spans="1:36">
      <c r="A63" s="973" t="str">
        <f>Installations!BF888</f>
        <v>No</v>
      </c>
      <c r="B63" s="971" t="str">
        <f>Installations!BG888</f>
        <v>TLED (External)</v>
      </c>
      <c r="C63" s="973">
        <f>Installations!BH888</f>
        <v>0</v>
      </c>
      <c r="D63" s="984">
        <f>Installations!BI888</f>
        <v>0</v>
      </c>
      <c r="E63" s="984">
        <f>Installations!BJ888</f>
        <v>0</v>
      </c>
      <c r="F63" s="984">
        <f>Installations!BK888</f>
        <v>0</v>
      </c>
      <c r="G63" s="984">
        <f>Installations!BL888</f>
        <v>0</v>
      </c>
      <c r="H63" s="984">
        <f>Installations!BM888</f>
        <v>0</v>
      </c>
      <c r="I63" s="984">
        <f>Installations!BN888</f>
        <v>0</v>
      </c>
      <c r="J63" s="984">
        <f>Installations!BO888</f>
        <v>0</v>
      </c>
      <c r="K63" s="985">
        <f>Installations!BP888</f>
        <v>0</v>
      </c>
      <c r="L63" s="973">
        <f>Installations!BQ888</f>
        <v>0</v>
      </c>
      <c r="M63" s="985">
        <f>Installations!BR888</f>
        <v>0</v>
      </c>
      <c r="N63" s="95"/>
      <c r="O63" s="980">
        <f>Installations!BT888</f>
        <v>0</v>
      </c>
      <c r="P63" s="985">
        <f>Installations!BU888</f>
        <v>0</v>
      </c>
      <c r="Q63" s="985">
        <f>Installations!BV888</f>
        <v>0</v>
      </c>
      <c r="R63" s="985">
        <f>Installations!BW888</f>
        <v>0</v>
      </c>
      <c r="S63" s="985">
        <f>Installations!BX888</f>
        <v>0</v>
      </c>
      <c r="T63" s="973">
        <f>Installations!BY888</f>
        <v>0</v>
      </c>
      <c r="U63" s="973">
        <f>Installations!BZ888</f>
        <v>0</v>
      </c>
      <c r="V63" s="973">
        <f>Installations!CA888</f>
        <v>0</v>
      </c>
      <c r="W63" s="118"/>
      <c r="X63" s="973">
        <f>Installations!CC888</f>
        <v>0</v>
      </c>
      <c r="Y63" s="973">
        <f>Installations!CD888</f>
        <v>0</v>
      </c>
      <c r="Z63" s="973">
        <f>Installations!CE888</f>
        <v>0</v>
      </c>
      <c r="AB63" s="715" t="str">
        <f>Installations!CG888</f>
        <v/>
      </c>
      <c r="AD63" s="850"/>
      <c r="AE63" s="984">
        <f t="shared" si="13"/>
        <v>0</v>
      </c>
      <c r="AF63" s="985">
        <f t="shared" si="14"/>
        <v>0</v>
      </c>
      <c r="AG63" s="986">
        <f>IF(LEFT(B63,4)="TLED",VLOOKUP("TLED Controls",B$40:C$48,2,FALSE)+IF(A63="Yes",Lookup!B$6,0),VLOOKUP(B63,B$40:C$48,2,FALSE)+IF(A63="Yes",Lookup!B$6,0))</f>
        <v>0.27</v>
      </c>
      <c r="AH63" s="982">
        <f t="shared" si="10"/>
        <v>0</v>
      </c>
      <c r="AI63" s="975">
        <f t="shared" si="11"/>
        <v>0</v>
      </c>
      <c r="AJ63" s="983" t="str">
        <f t="shared" si="12"/>
        <v/>
      </c>
    </row>
    <row r="64" spans="1:36">
      <c r="A64" s="715" t="str">
        <f>Installations!BF889</f>
        <v>Yes</v>
      </c>
      <c r="B64" s="728" t="str">
        <f>Installations!BG889</f>
        <v>CFL-LED Retrofit Lamp</v>
      </c>
      <c r="C64" s="715">
        <f>Installations!BH889</f>
        <v>0</v>
      </c>
      <c r="D64" s="980">
        <f>Installations!BI889</f>
        <v>0</v>
      </c>
      <c r="E64" s="980">
        <f>Installations!BJ889</f>
        <v>0</v>
      </c>
      <c r="F64" s="980">
        <f>Installations!BK889</f>
        <v>0</v>
      </c>
      <c r="G64" s="980">
        <f>Installations!BL889</f>
        <v>0</v>
      </c>
      <c r="H64" s="980">
        <f>Installations!BM889</f>
        <v>0</v>
      </c>
      <c r="I64" s="980">
        <f>Installations!BN889</f>
        <v>0</v>
      </c>
      <c r="J64" s="980">
        <f>Installations!BO889</f>
        <v>0</v>
      </c>
      <c r="K64" s="981">
        <f>Installations!BP889</f>
        <v>0</v>
      </c>
      <c r="L64" s="715">
        <f>Installations!BQ889</f>
        <v>0</v>
      </c>
      <c r="M64" s="981">
        <f>Installations!BR889</f>
        <v>0</v>
      </c>
      <c r="N64" s="95"/>
      <c r="O64" s="980">
        <f>Installations!BT889</f>
        <v>0</v>
      </c>
      <c r="P64" s="981">
        <f>Installations!BU889</f>
        <v>0</v>
      </c>
      <c r="Q64" s="981">
        <f>Installations!BV889</f>
        <v>0</v>
      </c>
      <c r="R64" s="981">
        <f>Installations!BW889</f>
        <v>0</v>
      </c>
      <c r="S64" s="981">
        <f>Installations!BX889</f>
        <v>0</v>
      </c>
      <c r="T64" s="715">
        <f>Installations!BY889</f>
        <v>0</v>
      </c>
      <c r="U64" s="715">
        <f>Installations!BZ889</f>
        <v>0</v>
      </c>
      <c r="V64" s="715">
        <f>Installations!CA889</f>
        <v>0</v>
      </c>
      <c r="W64" s="118"/>
      <c r="X64" s="715">
        <f>Installations!CC889</f>
        <v>0</v>
      </c>
      <c r="Y64" s="715">
        <f>Installations!CD889</f>
        <v>0</v>
      </c>
      <c r="Z64" s="715">
        <f>Installations!CE889</f>
        <v>0</v>
      </c>
      <c r="AB64" s="715" t="str">
        <f>Installations!CG889</f>
        <v/>
      </c>
      <c r="AD64" s="715">
        <f t="shared" ref="AD64:AD70" si="15">Z64</f>
        <v>0</v>
      </c>
      <c r="AE64" s="980">
        <f t="shared" ref="AE64:AE70" si="16">O64</f>
        <v>0</v>
      </c>
      <c r="AF64" s="981">
        <f t="shared" ref="AF64:AF70" si="17">K64+M64+S64</f>
        <v>0</v>
      </c>
      <c r="AG64" s="967">
        <f>IF(LEFT(B64,4)="TLED",VLOOKUP("TLED Controls",B$40:C$48,2,FALSE)+IF(A64="Yes",Lookup!B$6,0),VLOOKUP(B64,B$40:C$48,2,FALSE)+IF(A64="Yes",Lookup!B$6,0))</f>
        <v>0.27</v>
      </c>
      <c r="AH64" s="982">
        <f t="shared" si="10"/>
        <v>0</v>
      </c>
      <c r="AI64" s="975">
        <f t="shared" si="11"/>
        <v>0</v>
      </c>
      <c r="AJ64" s="983" t="str">
        <f t="shared" si="12"/>
        <v/>
      </c>
    </row>
    <row r="65" spans="1:36">
      <c r="A65" s="715" t="str">
        <f>Installations!BF890</f>
        <v>No</v>
      </c>
      <c r="B65" s="728" t="str">
        <f>Installations!BG890</f>
        <v>CFL-LED Retrofit Lamp</v>
      </c>
      <c r="C65" s="715">
        <f>Installations!BH890</f>
        <v>0</v>
      </c>
      <c r="D65" s="980">
        <f>Installations!BI890</f>
        <v>0</v>
      </c>
      <c r="E65" s="980">
        <f>Installations!BJ890</f>
        <v>0</v>
      </c>
      <c r="F65" s="980">
        <f>Installations!BK890</f>
        <v>0</v>
      </c>
      <c r="G65" s="980">
        <f>Installations!BL890</f>
        <v>0</v>
      </c>
      <c r="H65" s="980">
        <f>Installations!BM890</f>
        <v>0</v>
      </c>
      <c r="I65" s="980">
        <f>Installations!BN890</f>
        <v>0</v>
      </c>
      <c r="J65" s="980">
        <f>Installations!BO890</f>
        <v>0</v>
      </c>
      <c r="K65" s="981">
        <f>Installations!BP890</f>
        <v>0</v>
      </c>
      <c r="L65" s="715">
        <f>Installations!BQ890</f>
        <v>0</v>
      </c>
      <c r="M65" s="981">
        <f>Installations!BR890</f>
        <v>0</v>
      </c>
      <c r="N65" s="95"/>
      <c r="O65" s="980">
        <f>Installations!BT890</f>
        <v>0</v>
      </c>
      <c r="P65" s="981">
        <f>Installations!BU890</f>
        <v>0</v>
      </c>
      <c r="Q65" s="981">
        <f>Installations!BV890</f>
        <v>0</v>
      </c>
      <c r="R65" s="981">
        <f>Installations!BW890</f>
        <v>0</v>
      </c>
      <c r="S65" s="981">
        <f>Installations!BX890</f>
        <v>0</v>
      </c>
      <c r="T65" s="715">
        <f>Installations!BY890</f>
        <v>0</v>
      </c>
      <c r="U65" s="715">
        <f>Installations!BZ890</f>
        <v>0</v>
      </c>
      <c r="V65" s="715">
        <f>Installations!CA890</f>
        <v>0</v>
      </c>
      <c r="W65" s="118"/>
      <c r="X65" s="715">
        <f>Installations!CC890</f>
        <v>0</v>
      </c>
      <c r="Y65" s="715">
        <f>Installations!CD890</f>
        <v>0</v>
      </c>
      <c r="Z65" s="715">
        <f>Installations!CE890</f>
        <v>0</v>
      </c>
      <c r="AB65" s="715" t="str">
        <f>Installations!CG890</f>
        <v/>
      </c>
      <c r="AD65" s="715">
        <f t="shared" si="15"/>
        <v>0</v>
      </c>
      <c r="AE65" s="980">
        <f t="shared" si="16"/>
        <v>0</v>
      </c>
      <c r="AF65" s="981">
        <f t="shared" si="17"/>
        <v>0</v>
      </c>
      <c r="AG65" s="967">
        <f>IF(LEFT(B65,4)="TLED",VLOOKUP("TLED Controls",B$40:C$48,2,FALSE)+IF(A65="Yes",Lookup!B$6,0),VLOOKUP(B65,B$40:C$48,2,FALSE)+IF(A65="Yes",Lookup!B$6,0))</f>
        <v>0.17</v>
      </c>
      <c r="AH65" s="982">
        <f t="shared" si="10"/>
        <v>0</v>
      </c>
      <c r="AI65" s="975">
        <f t="shared" si="11"/>
        <v>0</v>
      </c>
      <c r="AJ65" s="983" t="str">
        <f t="shared" si="12"/>
        <v/>
      </c>
    </row>
    <row r="66" spans="1:36">
      <c r="A66" s="715" t="str">
        <f>Installations!BF891</f>
        <v>Yes</v>
      </c>
      <c r="B66" s="728" t="str">
        <f>Installations!BG891</f>
        <v>HID-LED Retrofit lamp</v>
      </c>
      <c r="C66" s="715">
        <f>Installations!BH891</f>
        <v>0</v>
      </c>
      <c r="D66" s="980">
        <f>Installations!BI891</f>
        <v>0</v>
      </c>
      <c r="E66" s="980">
        <f>Installations!BJ891</f>
        <v>0</v>
      </c>
      <c r="F66" s="980">
        <f>Installations!BK891</f>
        <v>0</v>
      </c>
      <c r="G66" s="980">
        <f>Installations!BL891</f>
        <v>0</v>
      </c>
      <c r="H66" s="980">
        <f>Installations!BM891</f>
        <v>0</v>
      </c>
      <c r="I66" s="980">
        <f>Installations!BN891</f>
        <v>0</v>
      </c>
      <c r="J66" s="980">
        <f>Installations!BO891</f>
        <v>0</v>
      </c>
      <c r="K66" s="981">
        <f>Installations!BP891</f>
        <v>0</v>
      </c>
      <c r="L66" s="715">
        <f>Installations!BQ891</f>
        <v>0</v>
      </c>
      <c r="M66" s="981">
        <f>Installations!BR891</f>
        <v>0</v>
      </c>
      <c r="N66" s="95"/>
      <c r="O66" s="980">
        <f>Installations!BT891</f>
        <v>0</v>
      </c>
      <c r="P66" s="981">
        <f>Installations!BU891</f>
        <v>0</v>
      </c>
      <c r="Q66" s="981">
        <f>Installations!BV891</f>
        <v>0</v>
      </c>
      <c r="R66" s="981">
        <f>Installations!BW891</f>
        <v>0</v>
      </c>
      <c r="S66" s="981">
        <f>Installations!BX891</f>
        <v>0</v>
      </c>
      <c r="T66" s="715">
        <f>Installations!BY891</f>
        <v>0</v>
      </c>
      <c r="U66" s="715">
        <f>Installations!BZ891</f>
        <v>0</v>
      </c>
      <c r="V66" s="715">
        <f>Installations!CA891</f>
        <v>0</v>
      </c>
      <c r="W66" s="118"/>
      <c r="X66" s="715">
        <f>Installations!CC891</f>
        <v>0</v>
      </c>
      <c r="Y66" s="715">
        <f>Installations!CD891</f>
        <v>0</v>
      </c>
      <c r="Z66" s="715">
        <f>Installations!CE891</f>
        <v>0</v>
      </c>
      <c r="AB66" s="715" t="str">
        <f>Installations!CG891</f>
        <v/>
      </c>
      <c r="AD66" s="715">
        <f t="shared" si="15"/>
        <v>0</v>
      </c>
      <c r="AE66" s="980">
        <f t="shared" si="16"/>
        <v>0</v>
      </c>
      <c r="AF66" s="981">
        <f t="shared" si="17"/>
        <v>0</v>
      </c>
      <c r="AG66" s="967">
        <f>IF(LEFT(B66,4)="TLED",VLOOKUP("TLED Controls",B$40:C$48,2,FALSE)+IF(A66="Yes",Lookup!B$6,0),VLOOKUP(B66,B$40:C$48,2,FALSE)+IF(A66="Yes",Lookup!B$6,0))</f>
        <v>0.27</v>
      </c>
      <c r="AH66" s="982">
        <f t="shared" si="10"/>
        <v>0</v>
      </c>
      <c r="AI66" s="975">
        <f t="shared" si="11"/>
        <v>0</v>
      </c>
      <c r="AJ66" s="983" t="str">
        <f t="shared" si="12"/>
        <v/>
      </c>
    </row>
    <row r="67" spans="1:36">
      <c r="A67" s="715" t="str">
        <f>Installations!BF892</f>
        <v>No</v>
      </c>
      <c r="B67" s="728" t="str">
        <f>Installations!BG892</f>
        <v>HID-LED Retrofit lamp</v>
      </c>
      <c r="C67" s="715">
        <f>Installations!BH892</f>
        <v>0</v>
      </c>
      <c r="D67" s="980">
        <f>Installations!BI892</f>
        <v>0</v>
      </c>
      <c r="E67" s="980">
        <f>Installations!BJ892</f>
        <v>0</v>
      </c>
      <c r="F67" s="980">
        <f>Installations!BK892</f>
        <v>0</v>
      </c>
      <c r="G67" s="980">
        <f>Installations!BL892</f>
        <v>0</v>
      </c>
      <c r="H67" s="980">
        <f>Installations!BM892</f>
        <v>0</v>
      </c>
      <c r="I67" s="980">
        <f>Installations!BN892</f>
        <v>0</v>
      </c>
      <c r="J67" s="980">
        <f>Installations!BO892</f>
        <v>0</v>
      </c>
      <c r="K67" s="981">
        <f>Installations!BP892</f>
        <v>0</v>
      </c>
      <c r="L67" s="715">
        <f>Installations!BQ892</f>
        <v>0</v>
      </c>
      <c r="M67" s="981">
        <f>Installations!BR892</f>
        <v>0</v>
      </c>
      <c r="N67" s="95"/>
      <c r="O67" s="980">
        <f>Installations!BT892</f>
        <v>0</v>
      </c>
      <c r="P67" s="981">
        <f>Installations!BU892</f>
        <v>0</v>
      </c>
      <c r="Q67" s="981">
        <f>Installations!BV892</f>
        <v>0</v>
      </c>
      <c r="R67" s="981">
        <f>Installations!BW892</f>
        <v>0</v>
      </c>
      <c r="S67" s="981">
        <f>Installations!BX892</f>
        <v>0</v>
      </c>
      <c r="T67" s="715">
        <f>Installations!BY892</f>
        <v>0</v>
      </c>
      <c r="U67" s="715">
        <f>Installations!BZ892</f>
        <v>0</v>
      </c>
      <c r="V67" s="715">
        <f>Installations!CA892</f>
        <v>0</v>
      </c>
      <c r="W67" s="118"/>
      <c r="X67" s="715">
        <f>Installations!CC892</f>
        <v>0</v>
      </c>
      <c r="Y67" s="715">
        <f>Installations!CD892</f>
        <v>0</v>
      </c>
      <c r="Z67" s="715">
        <f>Installations!CE892</f>
        <v>0</v>
      </c>
      <c r="AB67" s="715" t="str">
        <f>Installations!CG892</f>
        <v/>
      </c>
      <c r="AD67" s="715">
        <f t="shared" si="15"/>
        <v>0</v>
      </c>
      <c r="AE67" s="980">
        <f t="shared" si="16"/>
        <v>0</v>
      </c>
      <c r="AF67" s="981">
        <f t="shared" si="17"/>
        <v>0</v>
      </c>
      <c r="AG67" s="967">
        <f>IF(LEFT(B67,4)="TLED",VLOOKUP("TLED Controls",B$40:C$48,2,FALSE)+IF(A67="Yes",Lookup!B$6,0),VLOOKUP(B67,B$40:C$48,2,FALSE)+IF(A67="Yes",Lookup!B$6,0))</f>
        <v>0.17</v>
      </c>
      <c r="AH67" s="982">
        <f t="shared" si="10"/>
        <v>0</v>
      </c>
      <c r="AI67" s="975">
        <f t="shared" si="11"/>
        <v>0</v>
      </c>
      <c r="AJ67" s="983" t="str">
        <f t="shared" si="12"/>
        <v/>
      </c>
    </row>
    <row r="68" spans="1:36">
      <c r="A68" s="715" t="str">
        <f>Installations!BF893</f>
        <v>No</v>
      </c>
      <c r="B68" s="728" t="str">
        <f>Installations!BG893</f>
        <v>Fixture Removed</v>
      </c>
      <c r="C68" s="715">
        <f>Installations!BH893</f>
        <v>0</v>
      </c>
      <c r="D68" s="980">
        <f>Installations!BI893</f>
        <v>0</v>
      </c>
      <c r="E68" s="980">
        <f>Installations!BJ893</f>
        <v>0</v>
      </c>
      <c r="F68" s="980">
        <f>Installations!BK893</f>
        <v>0</v>
      </c>
      <c r="G68" s="980">
        <f>Installations!BL893</f>
        <v>0</v>
      </c>
      <c r="H68" s="980">
        <f>Installations!BM893</f>
        <v>0</v>
      </c>
      <c r="I68" s="980">
        <f>Installations!BN893</f>
        <v>0</v>
      </c>
      <c r="J68" s="980">
        <f>Installations!BO893</f>
        <v>0</v>
      </c>
      <c r="K68" s="981">
        <f>Installations!BP893</f>
        <v>0</v>
      </c>
      <c r="L68" s="715">
        <f>Installations!BQ893</f>
        <v>0</v>
      </c>
      <c r="M68" s="981">
        <f>Installations!BR893</f>
        <v>0</v>
      </c>
      <c r="O68" s="980">
        <f>Installations!BT893</f>
        <v>0</v>
      </c>
      <c r="P68" s="981">
        <f>Installations!BU893</f>
        <v>0</v>
      </c>
      <c r="Q68" s="981">
        <f>Installations!BV893</f>
        <v>0</v>
      </c>
      <c r="R68" s="981">
        <f>Installations!BW893</f>
        <v>0</v>
      </c>
      <c r="S68" s="981">
        <f>Installations!BX893</f>
        <v>0</v>
      </c>
      <c r="T68" s="715">
        <f>Installations!BY893</f>
        <v>0</v>
      </c>
      <c r="U68" s="715">
        <f>Installations!BZ893</f>
        <v>0</v>
      </c>
      <c r="V68" s="715">
        <f>Installations!CA893</f>
        <v>0</v>
      </c>
      <c r="X68" s="715">
        <f>Installations!CC893</f>
        <v>0</v>
      </c>
      <c r="Y68" s="715">
        <f>Installations!CD893</f>
        <v>0</v>
      </c>
      <c r="Z68" s="715">
        <f>Installations!CE893</f>
        <v>0</v>
      </c>
      <c r="AB68" s="715" t="str">
        <f>Installations!CG893</f>
        <v/>
      </c>
      <c r="AD68" s="715">
        <f t="shared" si="15"/>
        <v>0</v>
      </c>
      <c r="AE68" s="980">
        <f t="shared" si="16"/>
        <v>0</v>
      </c>
      <c r="AF68" s="981">
        <f t="shared" si="17"/>
        <v>0</v>
      </c>
      <c r="AG68" s="967">
        <f>C49</f>
        <v>0.25</v>
      </c>
      <c r="AH68" s="982">
        <f t="shared" si="10"/>
        <v>0</v>
      </c>
      <c r="AI68" s="975">
        <f>AG68*AH68</f>
        <v>0</v>
      </c>
      <c r="AJ68" s="983" t="str">
        <f>IFERROR(AB68*AH68,"")</f>
        <v/>
      </c>
    </row>
    <row r="69" spans="1:36">
      <c r="A69" s="715" t="str">
        <f>Installations!BF894</f>
        <v>Yes</v>
      </c>
      <c r="B69" s="728" t="str">
        <f>Installations!BG894</f>
        <v>Existing</v>
      </c>
      <c r="C69" s="715">
        <f>Installations!BH894</f>
        <v>0</v>
      </c>
      <c r="D69" s="980">
        <f>Installations!BI894</f>
        <v>0</v>
      </c>
      <c r="E69" s="980">
        <f>Installations!BJ894</f>
        <v>0</v>
      </c>
      <c r="F69" s="980">
        <f>Installations!BK894</f>
        <v>0</v>
      </c>
      <c r="G69" s="980">
        <f>Installations!BL894</f>
        <v>0</v>
      </c>
      <c r="H69" s="980">
        <f>Installations!BM894</f>
        <v>0</v>
      </c>
      <c r="I69" s="980">
        <f>Installations!BN894</f>
        <v>0</v>
      </c>
      <c r="J69" s="980">
        <f>Installations!BO894</f>
        <v>0</v>
      </c>
      <c r="K69" s="981">
        <f>Installations!BP894</f>
        <v>0</v>
      </c>
      <c r="L69" s="715">
        <f>Installations!BQ894</f>
        <v>0</v>
      </c>
      <c r="M69" s="981">
        <f>Installations!BR894</f>
        <v>0</v>
      </c>
      <c r="O69" s="980">
        <f>Installations!BT894</f>
        <v>0</v>
      </c>
      <c r="P69" s="981">
        <f>Installations!BU894</f>
        <v>0</v>
      </c>
      <c r="Q69" s="981">
        <f>Installations!BV894</f>
        <v>0</v>
      </c>
      <c r="R69" s="981">
        <f>Installations!BW894</f>
        <v>0</v>
      </c>
      <c r="S69" s="981">
        <f>Installations!BX894</f>
        <v>0</v>
      </c>
      <c r="T69" s="715">
        <f>Installations!BY894</f>
        <v>0</v>
      </c>
      <c r="U69" s="715">
        <f>Installations!BZ894</f>
        <v>0</v>
      </c>
      <c r="V69" s="715">
        <f>Installations!CA894</f>
        <v>0</v>
      </c>
      <c r="X69" s="715">
        <f>Installations!CC894</f>
        <v>0</v>
      </c>
      <c r="Y69" s="715">
        <f>Installations!CD894</f>
        <v>0</v>
      </c>
      <c r="Z69" s="715">
        <f>Installations!CE894</f>
        <v>0</v>
      </c>
      <c r="AB69" s="715" t="str">
        <f>Installations!CG894</f>
        <v/>
      </c>
      <c r="AD69" s="715">
        <f t="shared" si="15"/>
        <v>0</v>
      </c>
      <c r="AE69" s="980">
        <f t="shared" si="16"/>
        <v>0</v>
      </c>
      <c r="AF69" s="981">
        <f t="shared" si="17"/>
        <v>0</v>
      </c>
      <c r="AG69" s="967">
        <v>0.22500000000000001</v>
      </c>
      <c r="AH69" s="982">
        <f>IFERROR(AE69/AE$72,0)</f>
        <v>0</v>
      </c>
      <c r="AI69" s="975">
        <f>AG69*AH69</f>
        <v>0</v>
      </c>
      <c r="AJ69" s="983" t="str">
        <f>IFERROR(AB69*AH69,"")</f>
        <v/>
      </c>
    </row>
    <row r="70" spans="1:36">
      <c r="A70" s="715" t="str">
        <f>Installations!BF895</f>
        <v>No</v>
      </c>
      <c r="B70" s="728" t="str">
        <f>Installations!BG895</f>
        <v>Existing</v>
      </c>
      <c r="C70" s="715">
        <f>Installations!BH895</f>
        <v>0</v>
      </c>
      <c r="D70" s="980">
        <f>Installations!BI895</f>
        <v>0</v>
      </c>
      <c r="E70" s="980">
        <f>Installations!BJ895</f>
        <v>0</v>
      </c>
      <c r="F70" s="980">
        <f>Installations!BK895</f>
        <v>0</v>
      </c>
      <c r="G70" s="980">
        <f>Installations!BL895</f>
        <v>0</v>
      </c>
      <c r="H70" s="980">
        <f>Installations!BM895</f>
        <v>0</v>
      </c>
      <c r="I70" s="980">
        <f>Installations!BN895</f>
        <v>0</v>
      </c>
      <c r="J70" s="980">
        <f>Installations!BO895</f>
        <v>0</v>
      </c>
      <c r="K70" s="981">
        <f>Installations!BP895</f>
        <v>0</v>
      </c>
      <c r="L70" s="715">
        <f>Installations!BQ895</f>
        <v>0</v>
      </c>
      <c r="M70" s="981">
        <f>Installations!BR895</f>
        <v>0</v>
      </c>
      <c r="O70" s="980">
        <f>Installations!BT895</f>
        <v>0</v>
      </c>
      <c r="P70" s="981">
        <f>Installations!BU895</f>
        <v>0</v>
      </c>
      <c r="Q70" s="981">
        <f>Installations!BV895</f>
        <v>0</v>
      </c>
      <c r="R70" s="981">
        <f>Installations!BW895</f>
        <v>0</v>
      </c>
      <c r="S70" s="981">
        <f>Installations!BX895</f>
        <v>0</v>
      </c>
      <c r="T70" s="715">
        <f>Installations!BY895</f>
        <v>0</v>
      </c>
      <c r="U70" s="715">
        <f>Installations!BZ895</f>
        <v>0</v>
      </c>
      <c r="V70" s="715">
        <f>Installations!CA895</f>
        <v>0</v>
      </c>
      <c r="X70" s="715">
        <f>Installations!CC895</f>
        <v>0</v>
      </c>
      <c r="Y70" s="715">
        <f>Installations!CD895</f>
        <v>0</v>
      </c>
      <c r="Z70" s="715">
        <f>Installations!CE895</f>
        <v>0</v>
      </c>
      <c r="AB70" s="715" t="str">
        <f>Installations!CG895</f>
        <v/>
      </c>
      <c r="AD70" s="715">
        <f t="shared" si="15"/>
        <v>0</v>
      </c>
      <c r="AE70" s="980">
        <f t="shared" si="16"/>
        <v>0</v>
      </c>
      <c r="AF70" s="981">
        <f t="shared" si="17"/>
        <v>0</v>
      </c>
      <c r="AG70" s="967">
        <v>0</v>
      </c>
      <c r="AH70" s="982">
        <f>IFERROR(AE70/AE$72,0)</f>
        <v>0</v>
      </c>
      <c r="AI70" s="975">
        <f>AG70*AH70</f>
        <v>0</v>
      </c>
      <c r="AJ70" s="983" t="str">
        <f>IFERROR(AB70*AH70,"")</f>
        <v/>
      </c>
    </row>
    <row r="71" spans="1:36">
      <c r="AI71" s="715"/>
      <c r="AJ71" s="715"/>
    </row>
    <row r="72" spans="1:36">
      <c r="D72" s="980">
        <f t="shared" ref="D72:M72" si="18">SUM(D52:D57)+SUM(D64:D68)</f>
        <v>0</v>
      </c>
      <c r="E72" s="980">
        <f t="shared" si="18"/>
        <v>0</v>
      </c>
      <c r="F72" s="980">
        <f t="shared" si="18"/>
        <v>0</v>
      </c>
      <c r="G72" s="980">
        <f t="shared" si="18"/>
        <v>0</v>
      </c>
      <c r="H72" s="980">
        <f t="shared" si="18"/>
        <v>0</v>
      </c>
      <c r="I72" s="980">
        <f t="shared" si="18"/>
        <v>0</v>
      </c>
      <c r="J72" s="980">
        <f t="shared" si="18"/>
        <v>0</v>
      </c>
      <c r="K72" s="981">
        <f t="shared" si="18"/>
        <v>0</v>
      </c>
      <c r="L72" s="715">
        <f t="shared" si="18"/>
        <v>0</v>
      </c>
      <c r="M72" s="981">
        <f t="shared" si="18"/>
        <v>0</v>
      </c>
      <c r="O72" s="980">
        <f t="shared" ref="O72:V72" si="19">SUM(O52:O57)+SUM(O64:O68)</f>
        <v>0</v>
      </c>
      <c r="P72" s="981">
        <f t="shared" si="19"/>
        <v>0</v>
      </c>
      <c r="Q72" s="981">
        <f t="shared" si="19"/>
        <v>0</v>
      </c>
      <c r="R72" s="981">
        <f t="shared" si="19"/>
        <v>0</v>
      </c>
      <c r="S72" s="981">
        <f t="shared" si="19"/>
        <v>0</v>
      </c>
      <c r="T72" s="715">
        <f t="shared" si="19"/>
        <v>0</v>
      </c>
      <c r="U72" s="980">
        <f t="shared" si="19"/>
        <v>0</v>
      </c>
      <c r="V72" s="980">
        <f t="shared" si="19"/>
        <v>0</v>
      </c>
      <c r="X72" s="715">
        <f>SUM(X52:X57)+SUM(X64:X68)</f>
        <v>0</v>
      </c>
      <c r="Y72" s="715">
        <f>SUM(Y52:Y57)+SUM(Y64:Y68)</f>
        <v>0</v>
      </c>
      <c r="Z72" s="715">
        <f>SUM(Z52:Z57)+SUM(Z64:Z68)</f>
        <v>0</v>
      </c>
      <c r="AB72" s="715">
        <f>AJ72</f>
        <v>0</v>
      </c>
      <c r="AD72" s="816">
        <f>SUM(AD52:AD68)</f>
        <v>0</v>
      </c>
      <c r="AE72" s="980">
        <f>SUM(AE52:AE70)</f>
        <v>0</v>
      </c>
      <c r="AF72" s="981">
        <f>SUM(AF52:AF70)</f>
        <v>0</v>
      </c>
      <c r="AH72" s="982">
        <f>SUM(AH52:AH70)</f>
        <v>0</v>
      </c>
      <c r="AI72" s="975">
        <f>ROUND(SUM(AI52:AI70),3)</f>
        <v>0</v>
      </c>
      <c r="AJ72" s="983">
        <f>ROUND(SUM(AJ52:AJ70),0)</f>
        <v>0</v>
      </c>
    </row>
    <row r="74" spans="1:36">
      <c r="B74" s="217" t="s">
        <v>170</v>
      </c>
      <c r="C74" s="973">
        <f>SUM(C58:C63)</f>
        <v>0</v>
      </c>
      <c r="D74" s="984">
        <f t="shared" ref="D74:V74" si="20">SUM(D58:D63)</f>
        <v>0</v>
      </c>
      <c r="E74" s="984">
        <f t="shared" si="20"/>
        <v>0</v>
      </c>
      <c r="F74" s="984">
        <f t="shared" si="20"/>
        <v>0</v>
      </c>
      <c r="G74" s="984">
        <f t="shared" si="20"/>
        <v>0</v>
      </c>
      <c r="H74" s="984">
        <f t="shared" si="20"/>
        <v>0</v>
      </c>
      <c r="I74" s="984">
        <f>SUM(I58:I63)</f>
        <v>0</v>
      </c>
      <c r="J74" s="984">
        <f t="shared" si="20"/>
        <v>0</v>
      </c>
      <c r="K74" s="985">
        <f t="shared" si="20"/>
        <v>0</v>
      </c>
      <c r="L74" s="973">
        <f t="shared" si="20"/>
        <v>0</v>
      </c>
      <c r="M74" s="985">
        <f t="shared" si="20"/>
        <v>0</v>
      </c>
      <c r="O74" s="984">
        <f t="shared" si="20"/>
        <v>0</v>
      </c>
      <c r="P74" s="985">
        <f t="shared" si="20"/>
        <v>0</v>
      </c>
      <c r="Q74" s="985">
        <f t="shared" si="20"/>
        <v>0</v>
      </c>
      <c r="R74" s="985">
        <f t="shared" si="20"/>
        <v>0</v>
      </c>
      <c r="S74" s="985">
        <f t="shared" si="20"/>
        <v>0</v>
      </c>
      <c r="T74" s="985">
        <f t="shared" si="20"/>
        <v>0</v>
      </c>
      <c r="U74" s="985">
        <f t="shared" si="20"/>
        <v>0</v>
      </c>
      <c r="V74" s="985">
        <f t="shared" si="20"/>
        <v>0</v>
      </c>
      <c r="X74" s="973">
        <f>SUM(X58:X63)</f>
        <v>0</v>
      </c>
      <c r="Y74" s="973">
        <f>SUM(Y58:Y63)</f>
        <v>0</v>
      </c>
      <c r="Z74" s="973">
        <f>SUM(Z58:Z63)</f>
        <v>0</v>
      </c>
      <c r="AB74" s="973">
        <v>10</v>
      </c>
      <c r="AE74" s="12" t="s">
        <v>170</v>
      </c>
      <c r="AF74" s="985">
        <f>SUM(P58:P63)+SUM(S58:S63)-SUM(Q58:Q63)-SUM(M58:M63)</f>
        <v>0</v>
      </c>
      <c r="AG74" s="985">
        <f>C43</f>
        <v>4</v>
      </c>
    </row>
    <row r="75" spans="1:36">
      <c r="P75" s="120"/>
      <c r="AE75" s="12" t="s">
        <v>339</v>
      </c>
      <c r="AF75" s="99">
        <f>AF72+AF74</f>
        <v>0</v>
      </c>
    </row>
    <row r="76" spans="1:36">
      <c r="D76" s="980">
        <f>SUM(D52:D70)</f>
        <v>0</v>
      </c>
      <c r="E76" s="980">
        <f t="shared" ref="E76:J76" si="21">SUM(E52:E70)</f>
        <v>0</v>
      </c>
      <c r="F76" s="980">
        <f t="shared" si="21"/>
        <v>0</v>
      </c>
      <c r="G76" s="980">
        <f t="shared" si="21"/>
        <v>0</v>
      </c>
      <c r="H76" s="980">
        <f t="shared" si="21"/>
        <v>0</v>
      </c>
      <c r="I76" s="980">
        <f t="shared" si="21"/>
        <v>0</v>
      </c>
      <c r="J76" s="980">
        <f t="shared" si="21"/>
        <v>0</v>
      </c>
      <c r="K76" s="981">
        <f>SUM(K52:K70)</f>
        <v>0</v>
      </c>
      <c r="L76" s="980">
        <f>SUM(L52:L70)</f>
        <v>0</v>
      </c>
      <c r="M76" s="981">
        <f>SUM(M52:M70)</f>
        <v>0</v>
      </c>
      <c r="O76" s="980">
        <f>SUM(O52:O70)</f>
        <v>0</v>
      </c>
      <c r="P76" s="981">
        <f>SUM(P52:P68)</f>
        <v>0</v>
      </c>
      <c r="Q76" s="981">
        <f>SUM(Q52:Q68)</f>
        <v>0</v>
      </c>
      <c r="R76" s="981">
        <f>SUM(R52:R68)</f>
        <v>0</v>
      </c>
      <c r="S76" s="981">
        <f>SUM(S52:S68)</f>
        <v>0</v>
      </c>
      <c r="T76" s="980">
        <f>SUM(T52:T70)</f>
        <v>0</v>
      </c>
      <c r="U76" s="980">
        <f>SUM(U52:U70)</f>
        <v>0</v>
      </c>
      <c r="V76" s="980">
        <f>SUM(V52:V70)</f>
        <v>0</v>
      </c>
      <c r="X76" s="816">
        <f>SUM(X52:X70)</f>
        <v>0</v>
      </c>
      <c r="Y76" s="816">
        <f>SUM(Y52:Y70)</f>
        <v>0</v>
      </c>
      <c r="Z76" s="816">
        <f>SUM(Z52:Z70)</f>
        <v>0</v>
      </c>
    </row>
    <row r="78" spans="1:36">
      <c r="S78" s="217" t="s">
        <v>376</v>
      </c>
      <c r="T78" s="980">
        <f>Installations!CA906</f>
        <v>0</v>
      </c>
      <c r="U78" s="131"/>
      <c r="V78" s="131"/>
    </row>
    <row r="79" spans="1:36">
      <c r="S79" s="217" t="s">
        <v>375</v>
      </c>
      <c r="T79" s="980">
        <f>Installations!BZ905</f>
        <v>0</v>
      </c>
      <c r="U79" s="131"/>
      <c r="V79" s="131"/>
    </row>
    <row r="83" spans="1:4">
      <c r="A83" s="715" t="str">
        <f>Installations!BF896</f>
        <v>Yes</v>
      </c>
      <c r="B83" s="715" t="str">
        <f>Installations!BG896</f>
        <v>TLED-TLED (Plug and Play)</v>
      </c>
      <c r="C83" s="715">
        <f>Installations!BH896</f>
        <v>0</v>
      </c>
    </row>
    <row r="84" spans="1:4">
      <c r="A84" s="715" t="str">
        <f>Installations!BF897</f>
        <v>No</v>
      </c>
      <c r="B84" s="715" t="str">
        <f>Installations!BG897</f>
        <v>TLED-TLED (Plug and Play)</v>
      </c>
      <c r="C84" s="715">
        <f>Installations!BH897</f>
        <v>0</v>
      </c>
    </row>
    <row r="85" spans="1:4">
      <c r="A85" s="715" t="str">
        <f>Installations!BF898</f>
        <v>Yes</v>
      </c>
      <c r="B85" s="715" t="str">
        <f>Installations!BG898</f>
        <v>TLED-TLED (Ballast ByPass)</v>
      </c>
      <c r="C85" s="715">
        <f>Installations!BH898</f>
        <v>0</v>
      </c>
    </row>
    <row r="86" spans="1:4">
      <c r="A86" s="715" t="str">
        <f>Installations!BF899</f>
        <v>No</v>
      </c>
      <c r="B86" s="715" t="str">
        <f>Installations!BG899</f>
        <v>TLED-TLED (Ballast ByPass)</v>
      </c>
      <c r="C86" s="715">
        <f>Installations!BH899</f>
        <v>0</v>
      </c>
    </row>
    <row r="87" spans="1:4">
      <c r="A87" s="715" t="str">
        <f>Installations!BF900</f>
        <v>Yes</v>
      </c>
      <c r="B87" s="715" t="str">
        <f>Installations!BG900</f>
        <v>TLED-TLED (External)</v>
      </c>
      <c r="C87" s="715">
        <f>Installations!BH900</f>
        <v>0</v>
      </c>
    </row>
    <row r="88" spans="1:4">
      <c r="A88" s="715" t="str">
        <f>Installations!BF901</f>
        <v>No</v>
      </c>
      <c r="B88" s="715" t="str">
        <f>Installations!BG901</f>
        <v>TLED-TLED (External)</v>
      </c>
      <c r="C88" s="715">
        <f>Installations!BH901</f>
        <v>0</v>
      </c>
    </row>
    <row r="92" spans="1:4">
      <c r="B92" s="549" t="s">
        <v>1117</v>
      </c>
      <c r="C92" s="987">
        <v>3.2169999999999997E-2</v>
      </c>
      <c r="D92" s="550"/>
    </row>
    <row r="93" spans="1:4">
      <c r="B93" s="549" t="s">
        <v>1119</v>
      </c>
      <c r="C93" s="988">
        <f>C92*G11</f>
        <v>0</v>
      </c>
      <c r="D93" s="551" t="s">
        <v>1120</v>
      </c>
    </row>
    <row r="94" spans="1:4">
      <c r="B94" s="549" t="s">
        <v>1121</v>
      </c>
      <c r="C94" s="988">
        <f>PV($K$39,H8,-C93)</f>
        <v>0</v>
      </c>
      <c r="D94" s="551" t="s">
        <v>1122</v>
      </c>
    </row>
    <row r="95" spans="1:4">
      <c r="A95" s="981">
        <f>AA8</f>
        <v>0</v>
      </c>
      <c r="B95" s="549" t="s">
        <v>1133</v>
      </c>
      <c r="C95" s="988">
        <f>(C96/K$41)*((1+K$39)/(1+K$40))</f>
        <v>0</v>
      </c>
      <c r="D95" s="552" t="s">
        <v>1134</v>
      </c>
    </row>
    <row r="96" spans="1:4">
      <c r="A96" s="981">
        <f>N8</f>
        <v>0</v>
      </c>
      <c r="B96" s="549" t="s">
        <v>1135</v>
      </c>
      <c r="C96" s="988">
        <f>C94+N8</f>
        <v>0</v>
      </c>
      <c r="D96" s="551" t="s">
        <v>1136</v>
      </c>
    </row>
    <row r="97" spans="1:4">
      <c r="A97" s="816">
        <f>O8</f>
        <v>0</v>
      </c>
      <c r="B97" s="549" t="s">
        <v>1137</v>
      </c>
      <c r="C97" s="989" t="e">
        <f>ROUND(C96/(((1+K40)*C8)/(1+K39)),2)</f>
        <v>#DIV/0!</v>
      </c>
      <c r="D97" s="551" t="s">
        <v>1138</v>
      </c>
    </row>
    <row r="98" spans="1:4">
      <c r="A98" s="981">
        <f>T8</f>
        <v>0</v>
      </c>
      <c r="B98" s="553" t="s">
        <v>1047</v>
      </c>
      <c r="C98" s="988">
        <f>D8*K43</f>
        <v>0</v>
      </c>
      <c r="D98" s="550"/>
    </row>
    <row r="99" spans="1:4">
      <c r="A99" s="981">
        <f>U8</f>
        <v>0</v>
      </c>
      <c r="B99" s="553" t="s">
        <v>1048</v>
      </c>
      <c r="C99" s="988">
        <f>G8*L8</f>
        <v>0</v>
      </c>
      <c r="D99" s="550"/>
    </row>
    <row r="100" spans="1:4">
      <c r="A100" s="981">
        <f>V8</f>
        <v>0</v>
      </c>
      <c r="B100" s="553" t="s">
        <v>1049</v>
      </c>
      <c r="C100" s="988">
        <f>(K42*C8)-(K42*C95)</f>
        <v>0</v>
      </c>
      <c r="D100" s="552" t="s">
        <v>1139</v>
      </c>
    </row>
    <row r="101" spans="1:4">
      <c r="A101" s="981">
        <f>W8</f>
        <v>0</v>
      </c>
      <c r="B101" s="549" t="s">
        <v>1140</v>
      </c>
      <c r="C101" s="988">
        <f>C96*0.85</f>
        <v>0</v>
      </c>
      <c r="D101" s="550"/>
    </row>
    <row r="103" spans="1:4">
      <c r="A103" s="554">
        <f>MIN(A98:A101)</f>
        <v>0</v>
      </c>
      <c r="C103" s="554">
        <f>MIN(C98:C101)</f>
        <v>0</v>
      </c>
    </row>
  </sheetData>
  <sheetProtection algorithmName="SHA-512" hashValue="W1TlHqk7bfc5Gk5oBj76FvWSy1BmopTSScotvZZP7t3Dw42KAqCnwfbGa1p1tm4J1gxnC9SXK3ZXNF7UYfHI8g==" saltValue="6NxgBQ/ANiPhtpDDRZeVAw==" spinCount="100000" sheet="1" objects="1" scenarios="1"/>
  <mergeCells count="6">
    <mergeCell ref="A3:A6"/>
    <mergeCell ref="A28:A31"/>
    <mergeCell ref="A8:A11"/>
    <mergeCell ref="A13:A16"/>
    <mergeCell ref="A18:A21"/>
    <mergeCell ref="A23:A26"/>
  </mergeCells>
  <conditionalFormatting sqref="Y46:Z46">
    <cfRule type="expression" dxfId="39" priority="1">
      <formula>$Y$41="Retrofit"</formula>
    </cfRule>
  </conditionalFormatting>
  <pageMargins left="0.7" right="0.7" top="0.75" bottom="0.75" header="0.3" footer="0.3"/>
  <pageSetup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L364"/>
  <sheetViews>
    <sheetView workbookViewId="0">
      <selection activeCell="C32" sqref="C32 E32"/>
    </sheetView>
  </sheetViews>
  <sheetFormatPr defaultRowHeight="14.3"/>
  <cols>
    <col min="1" max="1" width="46.5" bestFit="1" customWidth="1"/>
    <col min="2" max="2" width="46.5" customWidth="1"/>
    <col min="3" max="3" width="18.75" bestFit="1" customWidth="1"/>
    <col min="4" max="4" width="25.25" bestFit="1" customWidth="1"/>
    <col min="5" max="5" width="26.5" bestFit="1" customWidth="1"/>
    <col min="6" max="6" width="7.75" bestFit="1" customWidth="1"/>
  </cols>
  <sheetData>
    <row r="1" spans="1:12">
      <c r="C1" t="s">
        <v>1141</v>
      </c>
    </row>
    <row r="3" spans="1:12">
      <c r="E3" t="s">
        <v>180</v>
      </c>
    </row>
    <row r="4" spans="1:12">
      <c r="A4" t="str">
        <f>CONCATENATE(C4," - ",D4," ",E4)</f>
        <v>No Existing Fixture - Fixture Removed Fixture Removed</v>
      </c>
      <c r="B4" t="str">
        <f>D4</f>
        <v>Fixture Removed</v>
      </c>
      <c r="C4" t="s">
        <v>1142</v>
      </c>
      <c r="D4" t="s">
        <v>180</v>
      </c>
      <c r="E4" t="s">
        <v>180</v>
      </c>
      <c r="F4">
        <v>0</v>
      </c>
      <c r="G4" t="str">
        <f t="shared" ref="G4:G72" si="0">CONCATENATE(C4," - ",D4)</f>
        <v>No Existing Fixture - Fixture Removed</v>
      </c>
    </row>
    <row r="6" spans="1:12">
      <c r="E6" t="s">
        <v>451</v>
      </c>
    </row>
    <row r="7" spans="1:12">
      <c r="A7" t="str">
        <f>CONCATENATE(C7," - ",D7," ",E7)</f>
        <v>Exit Sign - Exit Sign Existing Exit Sign (Inc or FL)</v>
      </c>
      <c r="B7" t="str">
        <f>CONCATENATE(C7," - ",E7)</f>
        <v>Exit Sign - Existing Exit Sign (Inc or FL)</v>
      </c>
      <c r="C7" t="s">
        <v>451</v>
      </c>
      <c r="D7" t="s">
        <v>451</v>
      </c>
      <c r="E7" t="s">
        <v>1143</v>
      </c>
      <c r="F7">
        <v>20</v>
      </c>
      <c r="G7" t="str">
        <f>CONCATENATE(C7," - ",D7)</f>
        <v>Exit Sign - Exit Sign</v>
      </c>
    </row>
    <row r="8" spans="1:12">
      <c r="A8" t="str">
        <f t="shared" ref="A8:A82" si="1">CONCATENATE(C8," - ",D8," ",E8)</f>
        <v>Exit Sign - Exit Sign New LED Exit Sign</v>
      </c>
      <c r="B8" t="str">
        <f>CONCATENATE(C8," - ",E8)</f>
        <v>Exit Sign - New LED Exit Sign</v>
      </c>
      <c r="C8" t="s">
        <v>451</v>
      </c>
      <c r="D8" t="s">
        <v>451</v>
      </c>
      <c r="E8" t="s">
        <v>1144</v>
      </c>
      <c r="F8">
        <v>2.5</v>
      </c>
      <c r="G8" t="str">
        <f t="shared" si="0"/>
        <v>Exit Sign - Exit Sign</v>
      </c>
    </row>
    <row r="10" spans="1:12">
      <c r="A10" s="1" t="s">
        <v>169</v>
      </c>
      <c r="B10" s="1"/>
      <c r="C10" s="1"/>
      <c r="D10" s="1"/>
      <c r="E10" s="1"/>
      <c r="F10" s="1"/>
    </row>
    <row r="11" spans="1:12">
      <c r="A11" t="str">
        <f>CONCATENATE(C11," - ",D11)</f>
        <v>Existing TLED - TLED (Plug and Play)</v>
      </c>
      <c r="B11" t="str">
        <f>A11</f>
        <v>Existing TLED - TLED (Plug and Play)</v>
      </c>
      <c r="C11" t="s">
        <v>169</v>
      </c>
      <c r="D11" t="s">
        <v>167</v>
      </c>
      <c r="F11">
        <v>15</v>
      </c>
      <c r="G11" t="str">
        <f>CONCATENATE(C11," - ",D11)</f>
        <v>Existing TLED - TLED (Plug and Play)</v>
      </c>
    </row>
    <row r="12" spans="1:12">
      <c r="A12" t="str">
        <f>CONCATENATE(C12," - ",D12)</f>
        <v>Existing TLED - TLED (Ballast ByPass)</v>
      </c>
      <c r="B12" t="str">
        <f>A12</f>
        <v>Existing TLED - TLED (Ballast ByPass)</v>
      </c>
      <c r="C12" t="s">
        <v>169</v>
      </c>
      <c r="D12" t="s">
        <v>367</v>
      </c>
      <c r="F12">
        <v>15</v>
      </c>
      <c r="G12" t="str">
        <f>CONCATENATE(C12," - ",D12)</f>
        <v>Existing TLED - TLED (Ballast ByPass)</v>
      </c>
      <c r="L12" t="s">
        <v>1145</v>
      </c>
    </row>
    <row r="13" spans="1:12">
      <c r="A13" t="str">
        <f>CONCATENATE(C13," - ",D13)</f>
        <v>Existing TLED - TLED (External)</v>
      </c>
      <c r="B13" t="str">
        <f>A13</f>
        <v>Existing TLED - TLED (External)</v>
      </c>
      <c r="C13" t="s">
        <v>169</v>
      </c>
      <c r="D13" t="s">
        <v>368</v>
      </c>
      <c r="F13">
        <v>15</v>
      </c>
      <c r="G13" t="str">
        <f>CONCATENATE(C13," - ",D13)</f>
        <v>Existing TLED - TLED (External)</v>
      </c>
      <c r="L13" t="s">
        <v>1146</v>
      </c>
    </row>
    <row r="15" spans="1:12">
      <c r="A15" s="1" t="s">
        <v>1147</v>
      </c>
      <c r="B15" s="1"/>
      <c r="C15" s="1"/>
      <c r="D15" s="1"/>
      <c r="E15" s="1"/>
      <c r="F15" s="1"/>
    </row>
    <row r="16" spans="1:12">
      <c r="A16" t="str">
        <f t="shared" si="1"/>
        <v>Incandescent - Halogen A 25W</v>
      </c>
      <c r="B16" t="str">
        <f>CONCATENATE(C16," - ",E16)</f>
        <v>Incandescent - 25W</v>
      </c>
      <c r="C16" t="s">
        <v>1148</v>
      </c>
      <c r="D16" t="s">
        <v>1149</v>
      </c>
      <c r="E16" t="s">
        <v>1150</v>
      </c>
      <c r="F16">
        <v>25</v>
      </c>
      <c r="G16" t="str">
        <f t="shared" si="0"/>
        <v>Incandescent - Halogen A</v>
      </c>
    </row>
    <row r="17" spans="1:7">
      <c r="A17" t="str">
        <f t="shared" si="1"/>
        <v>Incandescent - Halogen A 29W</v>
      </c>
      <c r="B17" t="str">
        <f t="shared" ref="B17:B60" si="2">CONCATENATE(C17," - ",E17)</f>
        <v>Incandescent - 29W</v>
      </c>
      <c r="C17" t="s">
        <v>1148</v>
      </c>
      <c r="D17" t="s">
        <v>1149</v>
      </c>
      <c r="E17" t="s">
        <v>1151</v>
      </c>
      <c r="F17">
        <v>29</v>
      </c>
      <c r="G17" t="str">
        <f t="shared" si="0"/>
        <v>Incandescent - Halogen A</v>
      </c>
    </row>
    <row r="18" spans="1:7">
      <c r="A18" t="str">
        <f t="shared" si="1"/>
        <v>Incandescent - Halogen A 40W</v>
      </c>
      <c r="B18" t="str">
        <f t="shared" si="2"/>
        <v>Incandescent - 40W</v>
      </c>
      <c r="C18" t="s">
        <v>1148</v>
      </c>
      <c r="D18" t="s">
        <v>1149</v>
      </c>
      <c r="E18" t="s">
        <v>1152</v>
      </c>
      <c r="F18">
        <v>40</v>
      </c>
      <c r="G18" t="str">
        <f t="shared" si="0"/>
        <v>Incandescent - Halogen A</v>
      </c>
    </row>
    <row r="19" spans="1:7">
      <c r="A19" t="str">
        <f t="shared" si="1"/>
        <v>Incandescent - Halogen A 43W</v>
      </c>
      <c r="B19" t="str">
        <f t="shared" si="2"/>
        <v>Incandescent - 43W</v>
      </c>
      <c r="C19" t="s">
        <v>1148</v>
      </c>
      <c r="D19" t="s">
        <v>1149</v>
      </c>
      <c r="E19" t="s">
        <v>1153</v>
      </c>
      <c r="F19">
        <v>43</v>
      </c>
      <c r="G19" t="str">
        <f t="shared" si="0"/>
        <v>Incandescent - Halogen A</v>
      </c>
    </row>
    <row r="20" spans="1:7">
      <c r="A20" t="str">
        <f t="shared" si="1"/>
        <v>Incandescent - Halogen A 53W</v>
      </c>
      <c r="B20" t="str">
        <f t="shared" si="2"/>
        <v>Incandescent - 53W</v>
      </c>
      <c r="C20" t="s">
        <v>1148</v>
      </c>
      <c r="D20" t="s">
        <v>1149</v>
      </c>
      <c r="E20" t="s">
        <v>1154</v>
      </c>
      <c r="F20">
        <v>53</v>
      </c>
      <c r="G20" t="str">
        <f t="shared" si="0"/>
        <v>Incandescent - Halogen A</v>
      </c>
    </row>
    <row r="21" spans="1:7">
      <c r="A21" t="str">
        <f t="shared" si="1"/>
        <v>Incandescent - Halogen A 72W</v>
      </c>
      <c r="B21" t="str">
        <f t="shared" si="2"/>
        <v>Incandescent - 72W</v>
      </c>
      <c r="C21" t="s">
        <v>1148</v>
      </c>
      <c r="D21" t="s">
        <v>1149</v>
      </c>
      <c r="E21" t="s">
        <v>1155</v>
      </c>
      <c r="F21">
        <v>72</v>
      </c>
      <c r="G21" t="str">
        <f t="shared" si="0"/>
        <v>Incandescent - Halogen A</v>
      </c>
    </row>
    <row r="23" spans="1:7">
      <c r="A23" s="1" t="s">
        <v>1156</v>
      </c>
      <c r="B23" s="1"/>
      <c r="C23" s="1"/>
      <c r="D23" s="1"/>
      <c r="E23" s="1"/>
      <c r="F23" s="1"/>
    </row>
    <row r="24" spans="1:7">
      <c r="A24" t="str">
        <f t="shared" si="1"/>
        <v>Incandescent - Halogen PAR 11W</v>
      </c>
      <c r="B24" t="str">
        <f t="shared" si="2"/>
        <v>Incandescent - 11W</v>
      </c>
      <c r="C24" t="s">
        <v>1148</v>
      </c>
      <c r="D24" t="s">
        <v>1156</v>
      </c>
      <c r="E24" t="s">
        <v>1157</v>
      </c>
      <c r="F24">
        <v>11</v>
      </c>
      <c r="G24" t="str">
        <f t="shared" si="0"/>
        <v>Incandescent - Halogen PAR</v>
      </c>
    </row>
    <row r="25" spans="1:7">
      <c r="A25" t="str">
        <f t="shared" si="1"/>
        <v>Incandescent - Halogen PAR 20W</v>
      </c>
      <c r="B25" t="str">
        <f t="shared" si="2"/>
        <v>Incandescent - 20W</v>
      </c>
      <c r="C25" t="s">
        <v>1148</v>
      </c>
      <c r="D25" t="s">
        <v>1156</v>
      </c>
      <c r="E25" t="s">
        <v>1158</v>
      </c>
      <c r="F25">
        <v>20</v>
      </c>
      <c r="G25" t="str">
        <f t="shared" si="0"/>
        <v>Incandescent - Halogen PAR</v>
      </c>
    </row>
    <row r="26" spans="1:7">
      <c r="A26" t="str">
        <f t="shared" si="1"/>
        <v>Incandescent - Halogen PAR 25W</v>
      </c>
      <c r="B26" t="str">
        <f t="shared" si="2"/>
        <v>Incandescent - 25W</v>
      </c>
      <c r="C26" t="s">
        <v>1148</v>
      </c>
      <c r="D26" t="s">
        <v>1156</v>
      </c>
      <c r="E26" t="s">
        <v>1150</v>
      </c>
      <c r="F26">
        <v>25</v>
      </c>
      <c r="G26" t="str">
        <f t="shared" si="0"/>
        <v>Incandescent - Halogen PAR</v>
      </c>
    </row>
    <row r="27" spans="1:7">
      <c r="A27" t="str">
        <f t="shared" si="1"/>
        <v>Incandescent - Halogen PAR 36W</v>
      </c>
      <c r="B27" t="str">
        <f t="shared" si="2"/>
        <v>Incandescent - 36W</v>
      </c>
      <c r="C27" t="s">
        <v>1148</v>
      </c>
      <c r="D27" t="s">
        <v>1156</v>
      </c>
      <c r="E27" t="s">
        <v>1159</v>
      </c>
      <c r="F27">
        <v>36</v>
      </c>
      <c r="G27" t="str">
        <f t="shared" si="0"/>
        <v>Incandescent - Halogen PAR</v>
      </c>
    </row>
    <row r="28" spans="1:7">
      <c r="A28" t="str">
        <f t="shared" si="1"/>
        <v>Incandescent - Halogen PAR 39W</v>
      </c>
      <c r="B28" t="str">
        <f t="shared" si="2"/>
        <v>Incandescent - 39W</v>
      </c>
      <c r="C28" t="s">
        <v>1148</v>
      </c>
      <c r="D28" t="s">
        <v>1156</v>
      </c>
      <c r="E28" t="s">
        <v>1160</v>
      </c>
      <c r="F28">
        <v>39</v>
      </c>
      <c r="G28" t="str">
        <f t="shared" si="0"/>
        <v>Incandescent - Halogen PAR</v>
      </c>
    </row>
    <row r="29" spans="1:7">
      <c r="A29" t="str">
        <f t="shared" si="1"/>
        <v>Incandescent - Halogen PAR 45W</v>
      </c>
      <c r="B29" t="str">
        <f t="shared" si="2"/>
        <v>Incandescent - 45W</v>
      </c>
      <c r="C29" t="s">
        <v>1148</v>
      </c>
      <c r="D29" t="s">
        <v>1156</v>
      </c>
      <c r="E29" t="s">
        <v>1161</v>
      </c>
      <c r="F29">
        <v>45</v>
      </c>
      <c r="G29" t="str">
        <f t="shared" si="0"/>
        <v>Incandescent - Halogen PAR</v>
      </c>
    </row>
    <row r="30" spans="1:7">
      <c r="A30" t="str">
        <f t="shared" si="1"/>
        <v>Incandescent - Halogen PAR 50W</v>
      </c>
      <c r="B30" t="str">
        <f t="shared" si="2"/>
        <v>Incandescent - 50W</v>
      </c>
      <c r="C30" t="s">
        <v>1148</v>
      </c>
      <c r="D30" t="s">
        <v>1156</v>
      </c>
      <c r="E30" t="s">
        <v>1162</v>
      </c>
      <c r="F30">
        <v>50</v>
      </c>
      <c r="G30" t="str">
        <f t="shared" si="0"/>
        <v>Incandescent - Halogen PAR</v>
      </c>
    </row>
    <row r="31" spans="1:7">
      <c r="A31" t="str">
        <f t="shared" si="1"/>
        <v>Incandescent - Halogen PAR 55W</v>
      </c>
      <c r="B31" t="str">
        <f t="shared" si="2"/>
        <v>Incandescent - 55W</v>
      </c>
      <c r="C31" t="s">
        <v>1148</v>
      </c>
      <c r="D31" t="s">
        <v>1156</v>
      </c>
      <c r="E31" t="s">
        <v>1163</v>
      </c>
      <c r="F31">
        <v>55</v>
      </c>
      <c r="G31" t="str">
        <f t="shared" si="0"/>
        <v>Incandescent - Halogen PAR</v>
      </c>
    </row>
    <row r="32" spans="1:7">
      <c r="A32" t="str">
        <f t="shared" si="1"/>
        <v>Incandescent - Halogen PAR 60W</v>
      </c>
      <c r="B32" t="str">
        <f t="shared" si="2"/>
        <v>Incandescent - 60W</v>
      </c>
      <c r="C32" t="s">
        <v>1148</v>
      </c>
      <c r="D32" t="s">
        <v>1156</v>
      </c>
      <c r="E32" t="s">
        <v>1164</v>
      </c>
      <c r="F32">
        <v>60</v>
      </c>
      <c r="G32" t="str">
        <f t="shared" si="0"/>
        <v>Incandescent - Halogen PAR</v>
      </c>
    </row>
    <row r="33" spans="1:7">
      <c r="A33" t="str">
        <f t="shared" si="1"/>
        <v>Incandescent - Halogen PAR 70W</v>
      </c>
      <c r="B33" t="str">
        <f t="shared" si="2"/>
        <v>Incandescent - 70W</v>
      </c>
      <c r="C33" t="s">
        <v>1148</v>
      </c>
      <c r="D33" t="s">
        <v>1156</v>
      </c>
      <c r="E33" t="s">
        <v>1165</v>
      </c>
      <c r="F33">
        <v>70</v>
      </c>
      <c r="G33" t="str">
        <f t="shared" si="0"/>
        <v>Incandescent - Halogen PAR</v>
      </c>
    </row>
    <row r="34" spans="1:7">
      <c r="A34" t="str">
        <f t="shared" si="1"/>
        <v>Incandescent - Halogen PAR 83W</v>
      </c>
      <c r="B34" t="str">
        <f t="shared" si="2"/>
        <v>Incandescent - 83W</v>
      </c>
      <c r="C34" t="s">
        <v>1148</v>
      </c>
      <c r="D34" t="s">
        <v>1156</v>
      </c>
      <c r="E34" t="s">
        <v>1166</v>
      </c>
      <c r="F34">
        <v>83</v>
      </c>
      <c r="G34" t="str">
        <f t="shared" si="0"/>
        <v>Incandescent - Halogen PAR</v>
      </c>
    </row>
    <row r="35" spans="1:7">
      <c r="A35" t="str">
        <f t="shared" si="1"/>
        <v>Incandescent - Halogen PAR 100W</v>
      </c>
      <c r="B35" t="str">
        <f t="shared" si="2"/>
        <v>Incandescent - 100W</v>
      </c>
      <c r="C35" t="s">
        <v>1148</v>
      </c>
      <c r="D35" t="s">
        <v>1156</v>
      </c>
      <c r="E35" t="s">
        <v>1167</v>
      </c>
      <c r="F35">
        <v>100</v>
      </c>
      <c r="G35" t="str">
        <f t="shared" si="0"/>
        <v>Incandescent - Halogen PAR</v>
      </c>
    </row>
    <row r="37" spans="1:7">
      <c r="A37" s="1" t="s">
        <v>1168</v>
      </c>
      <c r="B37" s="1"/>
      <c r="C37" s="1"/>
      <c r="D37" s="1"/>
      <c r="E37" s="1"/>
      <c r="F37" s="1"/>
    </row>
    <row r="38" spans="1:7">
      <c r="A38" t="str">
        <f t="shared" si="1"/>
        <v>Incandescent - Halogen MR &amp; AR111 10W</v>
      </c>
      <c r="B38" t="str">
        <f t="shared" si="2"/>
        <v>Incandescent - 10W</v>
      </c>
      <c r="C38" t="s">
        <v>1148</v>
      </c>
      <c r="D38" t="s">
        <v>1168</v>
      </c>
      <c r="E38" t="s">
        <v>1169</v>
      </c>
      <c r="F38">
        <v>10</v>
      </c>
      <c r="G38" t="str">
        <f t="shared" si="0"/>
        <v>Incandescent - Halogen MR &amp; AR111</v>
      </c>
    </row>
    <row r="39" spans="1:7">
      <c r="A39" t="str">
        <f t="shared" si="1"/>
        <v>Incandescent - Halogen MR &amp; AR111 20W</v>
      </c>
      <c r="B39" t="str">
        <f t="shared" si="2"/>
        <v>Incandescent - 20W</v>
      </c>
      <c r="C39" t="s">
        <v>1148</v>
      </c>
      <c r="D39" t="s">
        <v>1168</v>
      </c>
      <c r="E39" t="s">
        <v>1158</v>
      </c>
      <c r="F39">
        <v>20</v>
      </c>
      <c r="G39" t="str">
        <f t="shared" si="0"/>
        <v>Incandescent - Halogen MR &amp; AR111</v>
      </c>
    </row>
    <row r="40" spans="1:7">
      <c r="A40" t="str">
        <f t="shared" si="1"/>
        <v>Incandescent - Halogen MR &amp; AR111 25W</v>
      </c>
      <c r="B40" t="str">
        <f t="shared" si="2"/>
        <v>Incandescent - 25W</v>
      </c>
      <c r="C40" t="s">
        <v>1148</v>
      </c>
      <c r="D40" t="s">
        <v>1168</v>
      </c>
      <c r="E40" t="s">
        <v>1150</v>
      </c>
      <c r="F40">
        <v>25</v>
      </c>
      <c r="G40" t="str">
        <f t="shared" si="0"/>
        <v>Incandescent - Halogen MR &amp; AR111</v>
      </c>
    </row>
    <row r="41" spans="1:7">
      <c r="A41" t="str">
        <f t="shared" si="1"/>
        <v>Incandescent - Halogen MR &amp; AR111 30W</v>
      </c>
      <c r="B41" t="str">
        <f t="shared" si="2"/>
        <v>Incandescent - 30W</v>
      </c>
      <c r="C41" t="s">
        <v>1148</v>
      </c>
      <c r="D41" t="s">
        <v>1168</v>
      </c>
      <c r="E41" t="s">
        <v>1170</v>
      </c>
      <c r="F41">
        <v>30</v>
      </c>
      <c r="G41" t="str">
        <f t="shared" si="0"/>
        <v>Incandescent - Halogen MR &amp; AR111</v>
      </c>
    </row>
    <row r="42" spans="1:7">
      <c r="A42" t="str">
        <f t="shared" si="1"/>
        <v>Incandescent - Halogen MR &amp; AR111 35W</v>
      </c>
      <c r="B42" t="str">
        <f t="shared" si="2"/>
        <v>Incandescent - 35W</v>
      </c>
      <c r="C42" t="s">
        <v>1148</v>
      </c>
      <c r="D42" t="s">
        <v>1168</v>
      </c>
      <c r="E42" t="s">
        <v>1171</v>
      </c>
      <c r="F42">
        <v>35</v>
      </c>
      <c r="G42" t="str">
        <f t="shared" si="0"/>
        <v>Incandescent - Halogen MR &amp; AR111</v>
      </c>
    </row>
    <row r="43" spans="1:7">
      <c r="A43" t="str">
        <f t="shared" si="1"/>
        <v>Incandescent - Halogen MR &amp; AR111 45W</v>
      </c>
      <c r="B43" t="str">
        <f t="shared" si="2"/>
        <v>Incandescent - 45W</v>
      </c>
      <c r="C43" t="s">
        <v>1148</v>
      </c>
      <c r="D43" t="s">
        <v>1168</v>
      </c>
      <c r="E43" t="s">
        <v>1161</v>
      </c>
      <c r="F43">
        <v>45</v>
      </c>
      <c r="G43" t="str">
        <f t="shared" si="0"/>
        <v>Incandescent - Halogen MR &amp; AR111</v>
      </c>
    </row>
    <row r="44" spans="1:7">
      <c r="A44" t="str">
        <f t="shared" si="1"/>
        <v>Incandescent - Halogen MR &amp; AR111 50W</v>
      </c>
      <c r="B44" t="str">
        <f t="shared" si="2"/>
        <v>Incandescent - 50W</v>
      </c>
      <c r="C44" t="s">
        <v>1148</v>
      </c>
      <c r="D44" t="s">
        <v>1168</v>
      </c>
      <c r="E44" t="s">
        <v>1162</v>
      </c>
      <c r="F44">
        <v>50</v>
      </c>
      <c r="G44" t="str">
        <f t="shared" si="0"/>
        <v>Incandescent - Halogen MR &amp; AR111</v>
      </c>
    </row>
    <row r="45" spans="1:7">
      <c r="A45" t="str">
        <f t="shared" si="1"/>
        <v>Incandescent - Halogen MR &amp; AR111 75W</v>
      </c>
      <c r="B45" t="str">
        <f t="shared" si="2"/>
        <v>Incandescent - 75W</v>
      </c>
      <c r="C45" t="s">
        <v>1148</v>
      </c>
      <c r="D45" t="s">
        <v>1168</v>
      </c>
      <c r="E45" t="s">
        <v>1172</v>
      </c>
      <c r="F45">
        <v>75</v>
      </c>
      <c r="G45" t="str">
        <f t="shared" si="0"/>
        <v>Incandescent - Halogen MR &amp; AR111</v>
      </c>
    </row>
    <row r="47" spans="1:7">
      <c r="A47" s="1" t="s">
        <v>1148</v>
      </c>
      <c r="B47" s="1"/>
      <c r="C47" s="1"/>
      <c r="D47" s="1"/>
      <c r="E47" s="1"/>
      <c r="F47" s="1"/>
    </row>
    <row r="48" spans="1:7">
      <c r="A48" t="str">
        <f t="shared" si="1"/>
        <v>Incandescent - Incandescent 15W</v>
      </c>
      <c r="B48" t="str">
        <f t="shared" si="2"/>
        <v>Incandescent - 15W</v>
      </c>
      <c r="C48" t="s">
        <v>1148</v>
      </c>
      <c r="D48" t="s">
        <v>1148</v>
      </c>
      <c r="E48" t="s">
        <v>1173</v>
      </c>
      <c r="F48">
        <v>15</v>
      </c>
      <c r="G48" t="str">
        <f t="shared" si="0"/>
        <v>Incandescent - Incandescent</v>
      </c>
    </row>
    <row r="49" spans="1:7">
      <c r="A49" t="str">
        <f t="shared" si="1"/>
        <v>Incandescent - Incandescent 25W</v>
      </c>
      <c r="B49" t="str">
        <f t="shared" si="2"/>
        <v>Incandescent - 25W</v>
      </c>
      <c r="C49" t="s">
        <v>1148</v>
      </c>
      <c r="D49" t="s">
        <v>1148</v>
      </c>
      <c r="E49" t="s">
        <v>1150</v>
      </c>
      <c r="F49">
        <v>25</v>
      </c>
      <c r="G49" t="str">
        <f t="shared" si="0"/>
        <v>Incandescent - Incandescent</v>
      </c>
    </row>
    <row r="50" spans="1:7">
      <c r="A50" t="str">
        <f t="shared" si="1"/>
        <v>Incandescent - Incandescent 40W</v>
      </c>
      <c r="B50" t="str">
        <f t="shared" si="2"/>
        <v>Incandescent - 40W</v>
      </c>
      <c r="C50" t="s">
        <v>1148</v>
      </c>
      <c r="D50" t="s">
        <v>1148</v>
      </c>
      <c r="E50" t="s">
        <v>1152</v>
      </c>
      <c r="F50">
        <v>40</v>
      </c>
      <c r="G50" t="str">
        <f t="shared" si="0"/>
        <v>Incandescent - Incandescent</v>
      </c>
    </row>
    <row r="51" spans="1:7">
      <c r="A51" t="str">
        <f t="shared" si="1"/>
        <v>Incandescent - Incandescent 50W</v>
      </c>
      <c r="B51" t="str">
        <f t="shared" si="2"/>
        <v>Incandescent - 50W</v>
      </c>
      <c r="C51" t="s">
        <v>1148</v>
      </c>
      <c r="D51" t="s">
        <v>1148</v>
      </c>
      <c r="E51" t="s">
        <v>1162</v>
      </c>
      <c r="F51">
        <v>50</v>
      </c>
      <c r="G51" t="str">
        <f t="shared" si="0"/>
        <v>Incandescent - Incandescent</v>
      </c>
    </row>
    <row r="52" spans="1:7">
      <c r="A52" t="str">
        <f t="shared" si="1"/>
        <v>Incandescent - Incandescent 60W</v>
      </c>
      <c r="B52" t="str">
        <f t="shared" si="2"/>
        <v>Incandescent - 60W</v>
      </c>
      <c r="C52" t="s">
        <v>1148</v>
      </c>
      <c r="D52" t="s">
        <v>1148</v>
      </c>
      <c r="E52" t="s">
        <v>1164</v>
      </c>
      <c r="F52">
        <v>60</v>
      </c>
      <c r="G52" t="str">
        <f t="shared" si="0"/>
        <v>Incandescent - Incandescent</v>
      </c>
    </row>
    <row r="53" spans="1:7">
      <c r="A53" t="str">
        <f t="shared" si="1"/>
        <v>Incandescent - Incandescent 75W</v>
      </c>
      <c r="B53" t="str">
        <f t="shared" si="2"/>
        <v>Incandescent - 75W</v>
      </c>
      <c r="C53" t="s">
        <v>1148</v>
      </c>
      <c r="D53" t="s">
        <v>1148</v>
      </c>
      <c r="E53" t="s">
        <v>1172</v>
      </c>
      <c r="F53">
        <v>75</v>
      </c>
      <c r="G53" t="str">
        <f t="shared" si="0"/>
        <v>Incandescent - Incandescent</v>
      </c>
    </row>
    <row r="54" spans="1:7">
      <c r="A54" t="str">
        <f t="shared" si="1"/>
        <v>Incandescent - Incandescent 100W</v>
      </c>
      <c r="B54" t="str">
        <f t="shared" si="2"/>
        <v>Incandescent - 100W</v>
      </c>
      <c r="C54" t="s">
        <v>1148</v>
      </c>
      <c r="D54" t="s">
        <v>1148</v>
      </c>
      <c r="E54" t="s">
        <v>1167</v>
      </c>
      <c r="F54">
        <v>100</v>
      </c>
      <c r="G54" t="str">
        <f t="shared" si="0"/>
        <v>Incandescent - Incandescent</v>
      </c>
    </row>
    <row r="55" spans="1:7">
      <c r="A55" t="str">
        <f t="shared" si="1"/>
        <v>Incandescent - Incandescent 120W</v>
      </c>
      <c r="B55" t="str">
        <f t="shared" si="2"/>
        <v>Incandescent - 120W</v>
      </c>
      <c r="C55" t="s">
        <v>1148</v>
      </c>
      <c r="D55" t="s">
        <v>1148</v>
      </c>
      <c r="E55" t="s">
        <v>1174</v>
      </c>
      <c r="F55">
        <v>120</v>
      </c>
      <c r="G55" t="str">
        <f t="shared" si="0"/>
        <v>Incandescent - Incandescent</v>
      </c>
    </row>
    <row r="56" spans="1:7">
      <c r="A56" t="str">
        <f t="shared" si="1"/>
        <v>Incandescent - Incandescent 150W</v>
      </c>
      <c r="B56" t="str">
        <f t="shared" si="2"/>
        <v>Incandescent - 150W</v>
      </c>
      <c r="C56" t="s">
        <v>1148</v>
      </c>
      <c r="D56" t="s">
        <v>1148</v>
      </c>
      <c r="E56" t="s">
        <v>1175</v>
      </c>
      <c r="F56">
        <v>150</v>
      </c>
      <c r="G56" t="str">
        <f t="shared" si="0"/>
        <v>Incandescent - Incandescent</v>
      </c>
    </row>
    <row r="57" spans="1:7">
      <c r="A57" t="str">
        <f t="shared" si="1"/>
        <v>Incandescent - Incandescent 200W</v>
      </c>
      <c r="B57" t="str">
        <f t="shared" si="2"/>
        <v>Incandescent - 200W</v>
      </c>
      <c r="C57" t="s">
        <v>1148</v>
      </c>
      <c r="D57" t="s">
        <v>1148</v>
      </c>
      <c r="E57" t="s">
        <v>1176</v>
      </c>
      <c r="F57">
        <v>200</v>
      </c>
      <c r="G57" t="str">
        <f t="shared" si="0"/>
        <v>Incandescent - Incandescent</v>
      </c>
    </row>
    <row r="58" spans="1:7">
      <c r="A58" t="str">
        <f>CONCATENATE(C58," - ",D58," ",E58)</f>
        <v>Incandescent - Incandescent 250W</v>
      </c>
      <c r="B58" t="str">
        <f t="shared" si="2"/>
        <v>Incandescent - 250W</v>
      </c>
      <c r="C58" t="s">
        <v>1148</v>
      </c>
      <c r="D58" t="s">
        <v>1148</v>
      </c>
      <c r="E58" t="s">
        <v>1177</v>
      </c>
      <c r="F58">
        <v>250</v>
      </c>
      <c r="G58" t="str">
        <f t="shared" si="0"/>
        <v>Incandescent - Incandescent</v>
      </c>
    </row>
    <row r="59" spans="1:7">
      <c r="A59" t="str">
        <f>CONCATENATE(C59," - ",D59," ",E59)</f>
        <v>Incandescent - Incandescent 300W</v>
      </c>
      <c r="B59" t="str">
        <f t="shared" si="2"/>
        <v>Incandescent - 300W</v>
      </c>
      <c r="C59" t="s">
        <v>1148</v>
      </c>
      <c r="D59" t="s">
        <v>1148</v>
      </c>
      <c r="E59" t="s">
        <v>1178</v>
      </c>
      <c r="F59">
        <v>300</v>
      </c>
      <c r="G59" t="str">
        <f t="shared" si="0"/>
        <v>Incandescent - Incandescent</v>
      </c>
    </row>
    <row r="60" spans="1:7">
      <c r="A60" t="str">
        <f>CONCATENATE(C60," - ",D60," ",E60)</f>
        <v>Incandescent - Incandescent 500W</v>
      </c>
      <c r="B60" t="str">
        <f t="shared" si="2"/>
        <v>Incandescent - 500W</v>
      </c>
      <c r="C60" t="s">
        <v>1148</v>
      </c>
      <c r="D60" t="s">
        <v>1148</v>
      </c>
      <c r="E60" t="s">
        <v>1179</v>
      </c>
      <c r="F60">
        <v>500</v>
      </c>
      <c r="G60" t="str">
        <f t="shared" si="0"/>
        <v>Incandescent - Incandescent</v>
      </c>
    </row>
    <row r="62" spans="1:7">
      <c r="A62" s="1" t="s">
        <v>1180</v>
      </c>
      <c r="B62" s="1"/>
      <c r="C62" s="1"/>
      <c r="D62" s="1"/>
      <c r="E62" s="1"/>
      <c r="F62" s="1"/>
    </row>
    <row r="63" spans="1:7">
      <c r="A63" t="str">
        <f t="shared" ref="A63:A71" si="3">CONCATENATE(C63," - ",D63," ",E63)</f>
        <v>Fluorescent - T12 4-foot 1-Lamp</v>
      </c>
      <c r="B63" t="str">
        <f t="shared" ref="B63:B72" si="4">CONCATENATE(C63," - ",D63," ",E63)</f>
        <v>Fluorescent - T12 4-foot 1-Lamp</v>
      </c>
      <c r="C63" t="s">
        <v>154</v>
      </c>
      <c r="D63" t="s">
        <v>1181</v>
      </c>
      <c r="E63" t="s">
        <v>1182</v>
      </c>
      <c r="F63">
        <v>37</v>
      </c>
      <c r="G63" t="str">
        <f t="shared" si="0"/>
        <v>Fluorescent - T12</v>
      </c>
    </row>
    <row r="64" spans="1:7">
      <c r="A64" t="str">
        <f t="shared" si="3"/>
        <v>Fluorescent - T12 4-foot 2-Lamp</v>
      </c>
      <c r="B64" t="str">
        <f t="shared" si="4"/>
        <v>Fluorescent - T12 4-foot 2-Lamp</v>
      </c>
      <c r="C64" t="s">
        <v>154</v>
      </c>
      <c r="D64" t="s">
        <v>1181</v>
      </c>
      <c r="E64" t="s">
        <v>1183</v>
      </c>
      <c r="F64">
        <v>75</v>
      </c>
      <c r="G64" t="str">
        <f t="shared" si="0"/>
        <v>Fluorescent - T12</v>
      </c>
    </row>
    <row r="65" spans="1:7">
      <c r="A65" t="str">
        <f t="shared" si="3"/>
        <v>Fluorescent - T12 4-foot 3-Lamp</v>
      </c>
      <c r="B65" t="str">
        <f t="shared" si="4"/>
        <v>Fluorescent - T12 4-foot 3-Lamp</v>
      </c>
      <c r="C65" t="s">
        <v>154</v>
      </c>
      <c r="D65" t="s">
        <v>1181</v>
      </c>
      <c r="E65" t="s">
        <v>1184</v>
      </c>
      <c r="F65">
        <v>112</v>
      </c>
      <c r="G65" t="str">
        <f t="shared" si="0"/>
        <v>Fluorescent - T12</v>
      </c>
    </row>
    <row r="66" spans="1:7">
      <c r="A66" t="str">
        <f t="shared" si="3"/>
        <v>Fluorescent - T12 4-foot 4-Lamp</v>
      </c>
      <c r="B66" t="str">
        <f t="shared" si="4"/>
        <v>Fluorescent - T12 4-foot 4-Lamp</v>
      </c>
      <c r="C66" t="s">
        <v>154</v>
      </c>
      <c r="D66" t="s">
        <v>1181</v>
      </c>
      <c r="E66" t="s">
        <v>1185</v>
      </c>
      <c r="F66">
        <v>150</v>
      </c>
      <c r="G66" t="str">
        <f t="shared" si="0"/>
        <v>Fluorescent - T12</v>
      </c>
    </row>
    <row r="67" spans="1:7">
      <c r="A67" t="str">
        <f t="shared" si="3"/>
        <v>Fluorescent - T12 4-foot 6-Lamp</v>
      </c>
      <c r="B67" t="str">
        <f t="shared" si="4"/>
        <v>Fluorescent - T12 4-foot 6-Lamp</v>
      </c>
      <c r="C67" t="s">
        <v>154</v>
      </c>
      <c r="D67" t="s">
        <v>1181</v>
      </c>
      <c r="E67" t="s">
        <v>1186</v>
      </c>
      <c r="F67">
        <v>225</v>
      </c>
      <c r="G67" t="str">
        <f t="shared" si="0"/>
        <v>Fluorescent - T12</v>
      </c>
    </row>
    <row r="68" spans="1:7">
      <c r="A68" t="str">
        <f t="shared" si="3"/>
        <v>Fluorescent - T12 3-foot 1-Lamp</v>
      </c>
      <c r="B68" t="str">
        <f t="shared" si="4"/>
        <v>Fluorescent - T12 3-foot 1-Lamp</v>
      </c>
      <c r="C68" t="s">
        <v>154</v>
      </c>
      <c r="D68" t="s">
        <v>1181</v>
      </c>
      <c r="E68" t="s">
        <v>1187</v>
      </c>
      <c r="F68">
        <v>41</v>
      </c>
      <c r="G68" t="str">
        <f t="shared" si="0"/>
        <v>Fluorescent - T12</v>
      </c>
    </row>
    <row r="69" spans="1:7">
      <c r="A69" t="str">
        <f t="shared" si="3"/>
        <v>Fluorescent - T12 3-foot 2-Lamp</v>
      </c>
      <c r="B69" t="str">
        <f t="shared" si="4"/>
        <v>Fluorescent - T12 3-foot 2-Lamp</v>
      </c>
      <c r="C69" t="s">
        <v>154</v>
      </c>
      <c r="D69" t="s">
        <v>1181</v>
      </c>
      <c r="E69" t="s">
        <v>1188</v>
      </c>
      <c r="F69">
        <v>83</v>
      </c>
      <c r="G69" t="str">
        <f t="shared" si="0"/>
        <v>Fluorescent - T12</v>
      </c>
    </row>
    <row r="70" spans="1:7">
      <c r="A70" t="str">
        <f t="shared" si="3"/>
        <v>Fluorescent - T12 3-foot 3-Lamp</v>
      </c>
      <c r="B70" t="str">
        <f t="shared" si="4"/>
        <v>Fluorescent - T12 3-foot 3-Lamp</v>
      </c>
      <c r="C70" t="s">
        <v>154</v>
      </c>
      <c r="D70" t="s">
        <v>1181</v>
      </c>
      <c r="E70" t="s">
        <v>1189</v>
      </c>
      <c r="F70">
        <v>124</v>
      </c>
      <c r="G70" t="str">
        <f t="shared" si="0"/>
        <v>Fluorescent - T12</v>
      </c>
    </row>
    <row r="71" spans="1:7">
      <c r="A71" t="str">
        <f t="shared" si="3"/>
        <v>Fluorescent - T12 3-foot 4-Lamp</v>
      </c>
      <c r="B71" t="str">
        <f t="shared" si="4"/>
        <v>Fluorescent - T12 3-foot 4-Lamp</v>
      </c>
      <c r="C71" t="s">
        <v>154</v>
      </c>
      <c r="D71" t="s">
        <v>1181</v>
      </c>
      <c r="E71" t="s">
        <v>1190</v>
      </c>
      <c r="F71">
        <v>166</v>
      </c>
      <c r="G71" t="str">
        <f t="shared" si="0"/>
        <v>Fluorescent - T12</v>
      </c>
    </row>
    <row r="72" spans="1:7">
      <c r="A72" t="str">
        <f t="shared" si="1"/>
        <v>Fluorescent - T12 2-foot 1-Lamp</v>
      </c>
      <c r="B72" t="str">
        <f t="shared" si="4"/>
        <v>Fluorescent - T12 2-foot 1-Lamp</v>
      </c>
      <c r="C72" t="s">
        <v>154</v>
      </c>
      <c r="D72" t="s">
        <v>1181</v>
      </c>
      <c r="E72" t="s">
        <v>1191</v>
      </c>
      <c r="F72">
        <v>25</v>
      </c>
      <c r="G72" t="str">
        <f t="shared" si="0"/>
        <v>Fluorescent - T12</v>
      </c>
    </row>
    <row r="73" spans="1:7">
      <c r="A73" t="str">
        <f t="shared" si="1"/>
        <v>Fluorescent - T12 2-foot 2-Lamp</v>
      </c>
      <c r="B73" t="str">
        <f t="shared" ref="B73:B119" si="5">CONCATENATE(C73," - ",D73," ",E73)</f>
        <v>Fluorescent - T12 2-foot 2-Lamp</v>
      </c>
      <c r="C73" t="s">
        <v>154</v>
      </c>
      <c r="D73" t="s">
        <v>1181</v>
      </c>
      <c r="E73" t="s">
        <v>1192</v>
      </c>
      <c r="F73">
        <v>50</v>
      </c>
      <c r="G73" t="str">
        <f t="shared" ref="G73:G136" si="6">CONCATENATE(C73," - ",D73)</f>
        <v>Fluorescent - T12</v>
      </c>
    </row>
    <row r="74" spans="1:7">
      <c r="A74" t="str">
        <f t="shared" si="1"/>
        <v>Fluorescent - T12 2-foot 3-Lamp</v>
      </c>
      <c r="B74" t="str">
        <f t="shared" si="5"/>
        <v>Fluorescent - T12 2-foot 3-Lamp</v>
      </c>
      <c r="C74" t="s">
        <v>154</v>
      </c>
      <c r="D74" t="s">
        <v>1181</v>
      </c>
      <c r="E74" t="s">
        <v>1193</v>
      </c>
      <c r="F74">
        <v>75</v>
      </c>
      <c r="G74" t="str">
        <f t="shared" si="6"/>
        <v>Fluorescent - T12</v>
      </c>
    </row>
    <row r="75" spans="1:7">
      <c r="A75" t="str">
        <f t="shared" si="1"/>
        <v>Fluorescent - T12 2-foot 4-Lamp</v>
      </c>
      <c r="B75" t="str">
        <f t="shared" si="5"/>
        <v>Fluorescent - T12 2-foot 4-Lamp</v>
      </c>
      <c r="C75" t="s">
        <v>154</v>
      </c>
      <c r="D75" t="s">
        <v>1181</v>
      </c>
      <c r="E75" t="s">
        <v>1194</v>
      </c>
      <c r="F75">
        <v>100</v>
      </c>
      <c r="G75" t="str">
        <f t="shared" si="6"/>
        <v>Fluorescent - T12</v>
      </c>
    </row>
    <row r="77" spans="1:7">
      <c r="A77" s="1" t="s">
        <v>1195</v>
      </c>
      <c r="B77" s="1"/>
      <c r="C77" s="1"/>
      <c r="D77" s="1"/>
      <c r="E77" s="1"/>
      <c r="F77" s="1"/>
    </row>
    <row r="78" spans="1:7">
      <c r="A78" t="str">
        <f>CONCATENATE(C78," - ",D78," ",E78)</f>
        <v>Fluorescent - T12 Slimline 8-foot 1-Lamp</v>
      </c>
      <c r="B78" t="str">
        <f>CONCATENATE(C78," - ",D78," ",E78)</f>
        <v>Fluorescent - T12 Slimline 8-foot 1-Lamp</v>
      </c>
      <c r="C78" t="s">
        <v>154</v>
      </c>
      <c r="D78" t="s">
        <v>1196</v>
      </c>
      <c r="E78" t="s">
        <v>1197</v>
      </c>
      <c r="F78">
        <v>74</v>
      </c>
      <c r="G78" t="str">
        <f t="shared" si="6"/>
        <v>Fluorescent - T12 Slimline</v>
      </c>
    </row>
    <row r="79" spans="1:7">
      <c r="A79" t="str">
        <f>CONCATENATE(C79," - ",D79," ",E79)</f>
        <v>Fluorescent - T12 Slimline 8-foot 2-Lamp</v>
      </c>
      <c r="B79" t="str">
        <f>CONCATENATE(C79," - ",D79," ",E79)</f>
        <v>Fluorescent - T12 Slimline 8-foot 2-Lamp</v>
      </c>
      <c r="C79" t="s">
        <v>154</v>
      </c>
      <c r="D79" t="s">
        <v>1196</v>
      </c>
      <c r="E79" t="s">
        <v>1198</v>
      </c>
      <c r="F79">
        <v>148</v>
      </c>
      <c r="G79" t="str">
        <f t="shared" si="6"/>
        <v>Fluorescent - T12 Slimline</v>
      </c>
    </row>
    <row r="80" spans="1:7">
      <c r="A80" t="str">
        <f>CONCATENATE(C80," - ",D80," ",E80)</f>
        <v>Fluorescent - T12 Slimline 8-foot 3-Lamp</v>
      </c>
      <c r="B80" t="str">
        <f>CONCATENATE(C80," - ",D80," ",E80)</f>
        <v>Fluorescent - T12 Slimline 8-foot 3-Lamp</v>
      </c>
      <c r="C80" t="s">
        <v>154</v>
      </c>
      <c r="D80" t="s">
        <v>1196</v>
      </c>
      <c r="E80" t="s">
        <v>1199</v>
      </c>
      <c r="F80">
        <v>222</v>
      </c>
      <c r="G80" t="str">
        <f t="shared" si="6"/>
        <v>Fluorescent - T12 Slimline</v>
      </c>
    </row>
    <row r="81" spans="1:7">
      <c r="A81" t="str">
        <f>CONCATENATE(C81," - ",D81," ",E81)</f>
        <v>Fluorescent - T12 Slimline 8-foot 4-Lamp</v>
      </c>
      <c r="B81" t="str">
        <f>CONCATENATE(C81," - ",D81," ",E81)</f>
        <v>Fluorescent - T12 Slimline 8-foot 4-Lamp</v>
      </c>
      <c r="C81" t="s">
        <v>154</v>
      </c>
      <c r="D81" t="s">
        <v>1196</v>
      </c>
      <c r="E81" t="s">
        <v>1200</v>
      </c>
      <c r="F81">
        <v>296</v>
      </c>
      <c r="G81" t="str">
        <f t="shared" si="6"/>
        <v>Fluorescent - T12 Slimline</v>
      </c>
    </row>
    <row r="82" spans="1:7">
      <c r="A82" t="str">
        <f t="shared" si="1"/>
        <v>Fluorescent - T12 Slimline 6-foot 1-Lamp</v>
      </c>
      <c r="B82" t="str">
        <f t="shared" si="5"/>
        <v>Fluorescent - T12 Slimline 6-foot 1-Lamp</v>
      </c>
      <c r="C82" t="s">
        <v>154</v>
      </c>
      <c r="D82" t="s">
        <v>1196</v>
      </c>
      <c r="E82" t="s">
        <v>1201</v>
      </c>
      <c r="F82">
        <v>80</v>
      </c>
      <c r="G82" t="str">
        <f t="shared" si="6"/>
        <v>Fluorescent - T12 Slimline</v>
      </c>
    </row>
    <row r="83" spans="1:7">
      <c r="A83" t="str">
        <f t="shared" ref="A83:A113" si="7">CONCATENATE(C83," - ",D83," ",E83)</f>
        <v>Fluorescent - T12 Slimline 6-foot 2-Lamp</v>
      </c>
      <c r="B83" t="str">
        <f t="shared" si="5"/>
        <v>Fluorescent - T12 Slimline 6-foot 2-Lamp</v>
      </c>
      <c r="C83" t="s">
        <v>154</v>
      </c>
      <c r="D83" t="s">
        <v>1196</v>
      </c>
      <c r="E83" t="s">
        <v>1202</v>
      </c>
      <c r="F83">
        <v>160</v>
      </c>
      <c r="G83" t="str">
        <f t="shared" si="6"/>
        <v>Fluorescent - T12 Slimline</v>
      </c>
    </row>
    <row r="84" spans="1:7">
      <c r="A84" t="str">
        <f t="shared" si="7"/>
        <v>Fluorescent - T12 Slimline 6-foot 3-Lamp</v>
      </c>
      <c r="B84" t="str">
        <f t="shared" si="5"/>
        <v>Fluorescent - T12 Slimline 6-foot 3-Lamp</v>
      </c>
      <c r="C84" t="s">
        <v>154</v>
      </c>
      <c r="D84" t="s">
        <v>1196</v>
      </c>
      <c r="E84" t="s">
        <v>1203</v>
      </c>
      <c r="F84">
        <v>240</v>
      </c>
      <c r="G84" t="str">
        <f t="shared" si="6"/>
        <v>Fluorescent - T12 Slimline</v>
      </c>
    </row>
    <row r="85" spans="1:7">
      <c r="A85" t="str">
        <f t="shared" si="7"/>
        <v>Fluorescent - T12 Slimline 6-foot 4-Lamp</v>
      </c>
      <c r="B85" t="str">
        <f t="shared" si="5"/>
        <v>Fluorescent - T12 Slimline 6-foot 4-Lamp</v>
      </c>
      <c r="C85" t="s">
        <v>154</v>
      </c>
      <c r="D85" t="s">
        <v>1196</v>
      </c>
      <c r="E85" t="s">
        <v>1204</v>
      </c>
      <c r="F85">
        <v>320</v>
      </c>
      <c r="G85" t="str">
        <f t="shared" si="6"/>
        <v>Fluorescent - T12 Slimline</v>
      </c>
    </row>
    <row r="87" spans="1:7">
      <c r="A87" s="1" t="s">
        <v>1205</v>
      </c>
      <c r="B87" s="1"/>
      <c r="C87" s="1"/>
      <c r="D87" s="1"/>
      <c r="E87" s="1"/>
      <c r="F87" s="1"/>
    </row>
    <row r="88" spans="1:7">
      <c r="A88" t="str">
        <f>CONCATENATE(C88," - ",D88," ",E88)</f>
        <v>Fluorescent - T12 HO 8-foot 1-Lamp</v>
      </c>
      <c r="B88" t="str">
        <f>CONCATENATE(C88," - ",D88," ",E88)</f>
        <v>Fluorescent - T12 HO 8-foot 1-Lamp</v>
      </c>
      <c r="C88" t="s">
        <v>154</v>
      </c>
      <c r="D88" t="s">
        <v>1205</v>
      </c>
      <c r="E88" t="s">
        <v>1197</v>
      </c>
      <c r="F88">
        <v>105</v>
      </c>
      <c r="G88" t="str">
        <f t="shared" si="6"/>
        <v>Fluorescent - T12 HO</v>
      </c>
    </row>
    <row r="89" spans="1:7">
      <c r="A89" t="str">
        <f>CONCATENATE(C89," - ",D89," ",E89)</f>
        <v>Fluorescent - T12 HO 8-foot 2-Lamp</v>
      </c>
      <c r="B89" t="str">
        <f>CONCATENATE(C89," - ",D89," ",E89)</f>
        <v>Fluorescent - T12 HO 8-foot 2-Lamp</v>
      </c>
      <c r="C89" t="s">
        <v>154</v>
      </c>
      <c r="D89" t="s">
        <v>1205</v>
      </c>
      <c r="E89" t="s">
        <v>1198</v>
      </c>
      <c r="F89">
        <v>209</v>
      </c>
      <c r="G89" t="str">
        <f t="shared" si="6"/>
        <v>Fluorescent - T12 HO</v>
      </c>
    </row>
    <row r="90" spans="1:7">
      <c r="A90" t="str">
        <f>CONCATENATE(C90," - ",D90," ",E90)</f>
        <v>Fluorescent - T12 HO 8-foot 3-Lamp</v>
      </c>
      <c r="B90" t="str">
        <f>CONCATENATE(C90," - ",D90," ",E90)</f>
        <v>Fluorescent - T12 HO 8-foot 3-Lamp</v>
      </c>
      <c r="C90" t="s">
        <v>154</v>
      </c>
      <c r="D90" t="s">
        <v>1205</v>
      </c>
      <c r="E90" t="s">
        <v>1199</v>
      </c>
      <c r="F90">
        <v>314</v>
      </c>
      <c r="G90" t="str">
        <f t="shared" si="6"/>
        <v>Fluorescent - T12 HO</v>
      </c>
    </row>
    <row r="91" spans="1:7">
      <c r="A91" t="str">
        <f>CONCATENATE(C91," - ",D91," ",E91)</f>
        <v>Fluorescent - T12 HO 8-foot 4-Lamp</v>
      </c>
      <c r="B91" t="str">
        <f>CONCATENATE(C91," - ",D91," ",E91)</f>
        <v>Fluorescent - T12 HO 8-foot 4-Lamp</v>
      </c>
      <c r="C91" t="s">
        <v>154</v>
      </c>
      <c r="D91" t="s">
        <v>1205</v>
      </c>
      <c r="E91" t="s">
        <v>1200</v>
      </c>
      <c r="F91">
        <v>418</v>
      </c>
      <c r="G91" t="str">
        <f t="shared" si="6"/>
        <v>Fluorescent - T12 HO</v>
      </c>
    </row>
    <row r="92" spans="1:7">
      <c r="A92" t="str">
        <f t="shared" si="7"/>
        <v>Fluorescent - T12 HO 4-foot 1-Lamp</v>
      </c>
      <c r="B92" t="str">
        <f t="shared" si="5"/>
        <v>Fluorescent - T12 HO 4-foot 1-Lamp</v>
      </c>
      <c r="C92" t="s">
        <v>154</v>
      </c>
      <c r="D92" t="s">
        <v>1205</v>
      </c>
      <c r="E92" t="s">
        <v>1182</v>
      </c>
      <c r="F92">
        <v>72</v>
      </c>
      <c r="G92" t="str">
        <f t="shared" si="6"/>
        <v>Fluorescent - T12 HO</v>
      </c>
    </row>
    <row r="93" spans="1:7">
      <c r="A93" t="str">
        <f t="shared" si="7"/>
        <v>Fluorescent - T12 HO 4-foot 2-Lamp</v>
      </c>
      <c r="B93" t="str">
        <f t="shared" si="5"/>
        <v>Fluorescent - T12 HO 4-foot 2-Lamp</v>
      </c>
      <c r="C93" t="s">
        <v>154</v>
      </c>
      <c r="D93" t="s">
        <v>1205</v>
      </c>
      <c r="E93" t="s">
        <v>1183</v>
      </c>
      <c r="F93">
        <v>144</v>
      </c>
      <c r="G93" t="str">
        <f t="shared" si="6"/>
        <v>Fluorescent - T12 HO</v>
      </c>
    </row>
    <row r="94" spans="1:7">
      <c r="A94" t="str">
        <f t="shared" si="7"/>
        <v>Fluorescent - T12 HO 4-foot 3-Lamp</v>
      </c>
      <c r="B94" t="str">
        <f t="shared" si="5"/>
        <v>Fluorescent - T12 HO 4-foot 3-Lamp</v>
      </c>
      <c r="C94" t="s">
        <v>154</v>
      </c>
      <c r="D94" t="s">
        <v>1205</v>
      </c>
      <c r="E94" t="s">
        <v>1184</v>
      </c>
      <c r="F94">
        <v>144</v>
      </c>
      <c r="G94" t="str">
        <f t="shared" si="6"/>
        <v>Fluorescent - T12 HO</v>
      </c>
    </row>
    <row r="95" spans="1:7">
      <c r="A95" t="str">
        <f t="shared" si="7"/>
        <v>Fluorescent - T12 HO 4-foot 4-Lamp</v>
      </c>
      <c r="B95" t="str">
        <f t="shared" si="5"/>
        <v>Fluorescent - T12 HO 4-foot 4-Lamp</v>
      </c>
      <c r="C95" t="s">
        <v>154</v>
      </c>
      <c r="D95" t="s">
        <v>1205</v>
      </c>
      <c r="E95" t="s">
        <v>1185</v>
      </c>
      <c r="F95">
        <v>144</v>
      </c>
      <c r="G95" t="str">
        <f t="shared" si="6"/>
        <v>Fluorescent - T12 HO</v>
      </c>
    </row>
    <row r="97" spans="1:7">
      <c r="E97" t="s">
        <v>1206</v>
      </c>
    </row>
    <row r="98" spans="1:7">
      <c r="A98" t="str">
        <f t="shared" si="7"/>
        <v>Fluorescent - T8 2-foot 1-Lamp</v>
      </c>
      <c r="B98" t="str">
        <f t="shared" si="5"/>
        <v>Fluorescent - T8 2-foot 1-Lamp</v>
      </c>
      <c r="C98" t="s">
        <v>154</v>
      </c>
      <c r="D98" t="s">
        <v>1206</v>
      </c>
      <c r="E98" t="s">
        <v>1207</v>
      </c>
      <c r="F98">
        <v>17</v>
      </c>
      <c r="G98" t="str">
        <f t="shared" si="6"/>
        <v>Fluorescent - T8 2-foot</v>
      </c>
    </row>
    <row r="99" spans="1:7">
      <c r="A99" t="str">
        <f t="shared" si="7"/>
        <v>Fluorescent - T8 2-foot 2-Lamp</v>
      </c>
      <c r="B99" t="str">
        <f t="shared" si="5"/>
        <v>Fluorescent - T8 2-foot 2-Lamp</v>
      </c>
      <c r="C99" t="s">
        <v>154</v>
      </c>
      <c r="D99" t="s">
        <v>1206</v>
      </c>
      <c r="E99" t="s">
        <v>174</v>
      </c>
      <c r="F99">
        <v>31</v>
      </c>
      <c r="G99" t="str">
        <f t="shared" si="6"/>
        <v>Fluorescent - T8 2-foot</v>
      </c>
    </row>
    <row r="100" spans="1:7">
      <c r="A100" t="str">
        <f t="shared" si="7"/>
        <v>Fluorescent - T8 2-foot 3-Lamp</v>
      </c>
      <c r="B100" t="str">
        <f t="shared" si="5"/>
        <v>Fluorescent - T8 2-foot 3-Lamp</v>
      </c>
      <c r="C100" t="s">
        <v>154</v>
      </c>
      <c r="D100" t="s">
        <v>1206</v>
      </c>
      <c r="E100" t="s">
        <v>201</v>
      </c>
      <c r="F100">
        <v>48</v>
      </c>
      <c r="G100" t="str">
        <f t="shared" si="6"/>
        <v>Fluorescent - T8 2-foot</v>
      </c>
    </row>
    <row r="101" spans="1:7">
      <c r="A101" t="str">
        <f t="shared" si="7"/>
        <v>Fluorescent - T8 2-foot 4-Lamp</v>
      </c>
      <c r="B101" t="str">
        <f t="shared" si="5"/>
        <v>Fluorescent - T8 2-foot 4-Lamp</v>
      </c>
      <c r="C101" t="s">
        <v>154</v>
      </c>
      <c r="D101" t="s">
        <v>1206</v>
      </c>
      <c r="E101" t="s">
        <v>156</v>
      </c>
      <c r="F101">
        <v>64</v>
      </c>
      <c r="G101" t="str">
        <f t="shared" si="6"/>
        <v>Fluorescent - T8 2-foot</v>
      </c>
    </row>
    <row r="103" spans="1:7">
      <c r="E103" t="s">
        <v>1208</v>
      </c>
    </row>
    <row r="104" spans="1:7">
      <c r="A104" t="str">
        <f t="shared" si="7"/>
        <v>Fluorescent - T8 3-foot 1-Lamp</v>
      </c>
      <c r="B104" t="str">
        <f t="shared" si="5"/>
        <v>Fluorescent - T8 3-foot 1-Lamp</v>
      </c>
      <c r="C104" t="s">
        <v>154</v>
      </c>
      <c r="D104" t="s">
        <v>1208</v>
      </c>
      <c r="E104" t="s">
        <v>1207</v>
      </c>
      <c r="F104">
        <v>26</v>
      </c>
      <c r="G104" t="str">
        <f t="shared" si="6"/>
        <v>Fluorescent - T8 3-foot</v>
      </c>
    </row>
    <row r="105" spans="1:7">
      <c r="A105" t="str">
        <f t="shared" si="7"/>
        <v>Fluorescent - T8 3-foot 2-Lamp</v>
      </c>
      <c r="B105" t="str">
        <f t="shared" si="5"/>
        <v>Fluorescent - T8 3-foot 2-Lamp</v>
      </c>
      <c r="C105" t="s">
        <v>154</v>
      </c>
      <c r="D105" t="s">
        <v>1208</v>
      </c>
      <c r="E105" t="s">
        <v>174</v>
      </c>
      <c r="F105">
        <v>44</v>
      </c>
      <c r="G105" t="str">
        <f t="shared" si="6"/>
        <v>Fluorescent - T8 3-foot</v>
      </c>
    </row>
    <row r="106" spans="1:7">
      <c r="A106" t="str">
        <f t="shared" si="7"/>
        <v>Fluorescent - T8 3-foot 3-Lamp</v>
      </c>
      <c r="B106" t="str">
        <f t="shared" si="5"/>
        <v>Fluorescent - T8 3-foot 3-Lamp</v>
      </c>
      <c r="C106" t="s">
        <v>154</v>
      </c>
      <c r="D106" t="s">
        <v>1208</v>
      </c>
      <c r="E106" t="s">
        <v>201</v>
      </c>
      <c r="F106">
        <v>67</v>
      </c>
      <c r="G106" t="str">
        <f t="shared" si="6"/>
        <v>Fluorescent - T8 3-foot</v>
      </c>
    </row>
    <row r="107" spans="1:7">
      <c r="A107" t="str">
        <f t="shared" si="7"/>
        <v>Fluorescent - T8 3-foot 4-Lamp</v>
      </c>
      <c r="B107" t="str">
        <f t="shared" si="5"/>
        <v>Fluorescent - T8 3-foot 4-Lamp</v>
      </c>
      <c r="C107" t="s">
        <v>154</v>
      </c>
      <c r="D107" t="s">
        <v>1208</v>
      </c>
      <c r="E107" t="s">
        <v>156</v>
      </c>
      <c r="F107">
        <v>89</v>
      </c>
      <c r="G107" t="str">
        <f t="shared" si="6"/>
        <v>Fluorescent - T8 3-foot</v>
      </c>
    </row>
    <row r="108" spans="1:7">
      <c r="B108" t="str">
        <f t="shared" si="5"/>
        <v xml:space="preserve"> -  </v>
      </c>
    </row>
    <row r="109" spans="1:7">
      <c r="B109" t="str">
        <f t="shared" si="5"/>
        <v xml:space="preserve"> -  T8 4-foot (Magnetic)</v>
      </c>
      <c r="E109" t="s">
        <v>1209</v>
      </c>
    </row>
    <row r="110" spans="1:7">
      <c r="A110" t="str">
        <f t="shared" si="7"/>
        <v>Fluorescent - T8 4-foot (Magnetic NOT COMMON) 1-Lamp</v>
      </c>
      <c r="B110" t="str">
        <f t="shared" si="5"/>
        <v>Fluorescent - T8 4-foot (Magnetic NOT COMMON) 1-Lamp</v>
      </c>
      <c r="C110" t="s">
        <v>154</v>
      </c>
      <c r="D110" t="s">
        <v>1210</v>
      </c>
      <c r="E110" t="s">
        <v>1207</v>
      </c>
      <c r="F110">
        <v>35</v>
      </c>
      <c r="G110" t="str">
        <f t="shared" si="6"/>
        <v>Fluorescent - T8 4-foot (Magnetic NOT COMMON)</v>
      </c>
    </row>
    <row r="111" spans="1:7">
      <c r="A111" t="str">
        <f t="shared" si="7"/>
        <v>Fluorescent - T8 4-foot (Magnetic NOT COMMON) 2-Lamp</v>
      </c>
      <c r="B111" t="str">
        <f t="shared" si="5"/>
        <v>Fluorescent - T8 4-foot (Magnetic NOT COMMON) 2-Lamp</v>
      </c>
      <c r="C111" t="s">
        <v>154</v>
      </c>
      <c r="D111" t="s">
        <v>1210</v>
      </c>
      <c r="E111" t="s">
        <v>174</v>
      </c>
      <c r="F111">
        <v>71</v>
      </c>
      <c r="G111" t="str">
        <f t="shared" si="6"/>
        <v>Fluorescent - T8 4-foot (Magnetic NOT COMMON)</v>
      </c>
    </row>
    <row r="112" spans="1:7">
      <c r="A112" t="str">
        <f t="shared" si="7"/>
        <v>Fluorescent - T8 4-foot (Magnetic NOT COMMON) 3-Lamp</v>
      </c>
      <c r="B112" t="str">
        <f t="shared" si="5"/>
        <v>Fluorescent - T8 4-foot (Magnetic NOT COMMON) 3-Lamp</v>
      </c>
      <c r="C112" t="s">
        <v>154</v>
      </c>
      <c r="D112" t="s">
        <v>1210</v>
      </c>
      <c r="E112" t="s">
        <v>201</v>
      </c>
      <c r="F112">
        <v>106</v>
      </c>
      <c r="G112" t="str">
        <f t="shared" si="6"/>
        <v>Fluorescent - T8 4-foot (Magnetic NOT COMMON)</v>
      </c>
    </row>
    <row r="113" spans="1:7">
      <c r="A113" t="str">
        <f t="shared" si="7"/>
        <v>Fluorescent - T8 4-foot (Magnetic NOT COMMON) 4-Lamp</v>
      </c>
      <c r="B113" t="str">
        <f t="shared" si="5"/>
        <v>Fluorescent - T8 4-foot (Magnetic NOT COMMON) 4-Lamp</v>
      </c>
      <c r="C113" t="s">
        <v>154</v>
      </c>
      <c r="D113" t="s">
        <v>1210</v>
      </c>
      <c r="E113" t="s">
        <v>156</v>
      </c>
      <c r="F113">
        <v>142</v>
      </c>
      <c r="G113" t="str">
        <f t="shared" si="6"/>
        <v>Fluorescent - T8 4-foot (Magnetic NOT COMMON)</v>
      </c>
    </row>
    <row r="115" spans="1:7">
      <c r="A115" s="1" t="s">
        <v>155</v>
      </c>
      <c r="B115" s="1"/>
      <c r="C115" s="1"/>
      <c r="D115" s="1"/>
      <c r="E115" s="1"/>
      <c r="F115" s="1"/>
    </row>
    <row r="116" spans="1:7">
      <c r="A116" t="str">
        <f t="shared" ref="A116:A121" si="8">CONCATENATE(C116," - ",D116," ",E116)</f>
        <v>Fluorescent - T8 4-foot (Electronic) 1-Lamp</v>
      </c>
      <c r="B116" t="str">
        <f t="shared" si="5"/>
        <v>Fluorescent - T8 4-foot (Electronic) 1-Lamp</v>
      </c>
      <c r="C116" t="s">
        <v>154</v>
      </c>
      <c r="D116" t="s">
        <v>155</v>
      </c>
      <c r="E116" t="s">
        <v>1207</v>
      </c>
      <c r="F116">
        <v>31</v>
      </c>
      <c r="G116" t="str">
        <f t="shared" si="6"/>
        <v>Fluorescent - T8 4-foot (Electronic)</v>
      </c>
    </row>
    <row r="117" spans="1:7">
      <c r="A117" t="str">
        <f t="shared" si="8"/>
        <v>Fluorescent - T8 4-foot (Electronic) 2-Lamp</v>
      </c>
      <c r="B117" t="str">
        <f t="shared" si="5"/>
        <v>Fluorescent - T8 4-foot (Electronic) 2-Lamp</v>
      </c>
      <c r="C117" t="s">
        <v>154</v>
      </c>
      <c r="D117" t="s">
        <v>155</v>
      </c>
      <c r="E117" t="s">
        <v>174</v>
      </c>
      <c r="F117">
        <v>59</v>
      </c>
      <c r="G117" t="str">
        <f t="shared" si="6"/>
        <v>Fluorescent - T8 4-foot (Electronic)</v>
      </c>
    </row>
    <row r="118" spans="1:7">
      <c r="A118" t="str">
        <f t="shared" si="8"/>
        <v>Fluorescent - T8 4-foot (Electronic) 3-Lamp</v>
      </c>
      <c r="B118" t="str">
        <f t="shared" si="5"/>
        <v>Fluorescent - T8 4-foot (Electronic) 3-Lamp</v>
      </c>
      <c r="C118" t="s">
        <v>154</v>
      </c>
      <c r="D118" t="s">
        <v>155</v>
      </c>
      <c r="E118" t="s">
        <v>201</v>
      </c>
      <c r="F118">
        <v>90</v>
      </c>
      <c r="G118" t="str">
        <f t="shared" si="6"/>
        <v>Fluorescent - T8 4-foot (Electronic)</v>
      </c>
    </row>
    <row r="119" spans="1:7">
      <c r="A119" t="str">
        <f t="shared" si="8"/>
        <v>Fluorescent - T8 4-foot (Electronic) 4-Lamp</v>
      </c>
      <c r="B119" t="str">
        <f t="shared" si="5"/>
        <v>Fluorescent - T8 4-foot (Electronic) 4-Lamp</v>
      </c>
      <c r="C119" t="s">
        <v>154</v>
      </c>
      <c r="D119" t="s">
        <v>155</v>
      </c>
      <c r="E119" t="s">
        <v>156</v>
      </c>
      <c r="F119">
        <v>114</v>
      </c>
      <c r="G119" t="str">
        <f t="shared" si="6"/>
        <v>Fluorescent - T8 4-foot (Electronic)</v>
      </c>
    </row>
    <row r="120" spans="1:7">
      <c r="A120" t="str">
        <f t="shared" si="8"/>
        <v>Fluorescent - T8 4-foot (Electronic) 5-Lamp</v>
      </c>
      <c r="B120" t="str">
        <f t="shared" ref="B120:B178" si="9">CONCATENATE(C120," - ",D120," ",E120)</f>
        <v>Fluorescent - T8 4-foot (Electronic) 5-Lamp</v>
      </c>
      <c r="C120" t="s">
        <v>154</v>
      </c>
      <c r="D120" t="s">
        <v>155</v>
      </c>
      <c r="E120" t="s">
        <v>1211</v>
      </c>
      <c r="F120">
        <v>149</v>
      </c>
      <c r="G120" t="str">
        <f t="shared" si="6"/>
        <v>Fluorescent - T8 4-foot (Electronic)</v>
      </c>
    </row>
    <row r="121" spans="1:7">
      <c r="A121" t="str">
        <f t="shared" si="8"/>
        <v>Fluorescent - T8 4-foot (Electronic) 6-Lamp</v>
      </c>
      <c r="B121" t="str">
        <f t="shared" si="9"/>
        <v>Fluorescent - T8 4-foot (Electronic) 6-Lamp</v>
      </c>
      <c r="C121" t="s">
        <v>154</v>
      </c>
      <c r="D121" t="s">
        <v>155</v>
      </c>
      <c r="E121" t="s">
        <v>1212</v>
      </c>
      <c r="F121">
        <v>180</v>
      </c>
      <c r="G121" t="str">
        <f t="shared" si="6"/>
        <v>Fluorescent - T8 4-foot (Electronic)</v>
      </c>
    </row>
    <row r="122" spans="1:7">
      <c r="A122" t="str">
        <f t="shared" ref="A122:A187" si="10">CONCATENATE(C122," - ",D122," ",E122)</f>
        <v>Fluorescent - T8 4-foot (Electronic) 8-Lamp</v>
      </c>
      <c r="B122" t="str">
        <f t="shared" si="9"/>
        <v>Fluorescent - T8 4-foot (Electronic) 8-Lamp</v>
      </c>
      <c r="C122" t="s">
        <v>154</v>
      </c>
      <c r="D122" t="s">
        <v>155</v>
      </c>
      <c r="E122" t="s">
        <v>1213</v>
      </c>
      <c r="F122">
        <v>228</v>
      </c>
      <c r="G122" t="str">
        <f t="shared" si="6"/>
        <v>Fluorescent - T8 4-foot (Electronic)</v>
      </c>
    </row>
    <row r="124" spans="1:7">
      <c r="E124" t="s">
        <v>1214</v>
      </c>
    </row>
    <row r="125" spans="1:7">
      <c r="A125" t="str">
        <f t="shared" si="10"/>
        <v>Fluorescent - T8 5-foot 1-Lamp</v>
      </c>
      <c r="B125" t="str">
        <f t="shared" si="9"/>
        <v>Fluorescent - T8 5-foot 1-Lamp</v>
      </c>
      <c r="C125" t="s">
        <v>154</v>
      </c>
      <c r="D125" t="s">
        <v>1214</v>
      </c>
      <c r="E125" t="s">
        <v>1207</v>
      </c>
      <c r="F125">
        <v>42</v>
      </c>
      <c r="G125" t="str">
        <f t="shared" si="6"/>
        <v>Fluorescent - T8 5-foot</v>
      </c>
    </row>
    <row r="126" spans="1:7">
      <c r="A126" t="str">
        <f t="shared" si="10"/>
        <v>Fluorescent - T8 5-foot 2-Lamp</v>
      </c>
      <c r="B126" t="str">
        <f t="shared" si="9"/>
        <v>Fluorescent - T8 5-foot 2-Lamp</v>
      </c>
      <c r="C126" t="s">
        <v>154</v>
      </c>
      <c r="D126" t="s">
        <v>1214</v>
      </c>
      <c r="E126" t="s">
        <v>174</v>
      </c>
      <c r="F126">
        <v>77</v>
      </c>
      <c r="G126" t="str">
        <f t="shared" si="6"/>
        <v>Fluorescent - T8 5-foot</v>
      </c>
    </row>
    <row r="127" spans="1:7">
      <c r="A127" t="str">
        <f t="shared" si="10"/>
        <v>Fluorescent - T8 5-foot 3-Lamp</v>
      </c>
      <c r="B127" t="str">
        <f t="shared" si="9"/>
        <v>Fluorescent - T8 5-foot 3-Lamp</v>
      </c>
      <c r="C127" t="s">
        <v>154</v>
      </c>
      <c r="D127" t="s">
        <v>1214</v>
      </c>
      <c r="E127" t="s">
        <v>201</v>
      </c>
      <c r="F127">
        <v>112</v>
      </c>
      <c r="G127" t="str">
        <f t="shared" si="6"/>
        <v>Fluorescent - T8 5-foot</v>
      </c>
    </row>
    <row r="128" spans="1:7">
      <c r="A128" t="str">
        <f t="shared" si="10"/>
        <v>Fluorescent - T8 5-foot 4-Lamp</v>
      </c>
      <c r="B128" t="str">
        <f t="shared" si="9"/>
        <v>Fluorescent - T8 5-foot 4-Lamp</v>
      </c>
      <c r="C128" t="s">
        <v>154</v>
      </c>
      <c r="D128" t="s">
        <v>1214</v>
      </c>
      <c r="E128" t="s">
        <v>156</v>
      </c>
      <c r="F128">
        <v>144</v>
      </c>
      <c r="G128" t="str">
        <f t="shared" si="6"/>
        <v>Fluorescent - T8 5-foot</v>
      </c>
    </row>
    <row r="129" spans="1:7">
      <c r="A129" t="str">
        <f t="shared" si="10"/>
        <v>Fluorescent - T8 5-foot 6-Lamp</v>
      </c>
      <c r="B129" t="str">
        <f t="shared" si="9"/>
        <v>Fluorescent - T8 5-foot 6-Lamp</v>
      </c>
      <c r="C129" t="s">
        <v>154</v>
      </c>
      <c r="D129" t="s">
        <v>1214</v>
      </c>
      <c r="E129" t="s">
        <v>1212</v>
      </c>
      <c r="F129">
        <v>224</v>
      </c>
      <c r="G129" t="str">
        <f t="shared" si="6"/>
        <v>Fluorescent - T8 5-foot</v>
      </c>
    </row>
    <row r="131" spans="1:7">
      <c r="E131" t="s">
        <v>1215</v>
      </c>
    </row>
    <row r="132" spans="1:7">
      <c r="A132" t="str">
        <f t="shared" si="10"/>
        <v>Fluorescent - T8 Slimline 8-foot 1-Lamp</v>
      </c>
      <c r="B132" t="str">
        <f t="shared" si="9"/>
        <v>Fluorescent - T8 Slimline 8-foot 1-Lamp</v>
      </c>
      <c r="C132" t="s">
        <v>154</v>
      </c>
      <c r="D132" t="s">
        <v>1216</v>
      </c>
      <c r="E132" t="s">
        <v>1197</v>
      </c>
      <c r="F132">
        <v>67</v>
      </c>
      <c r="G132" t="str">
        <f t="shared" si="6"/>
        <v>Fluorescent - T8 Slimline</v>
      </c>
    </row>
    <row r="133" spans="1:7">
      <c r="A133" t="str">
        <f t="shared" si="10"/>
        <v>Fluorescent - T8 Slimline 8-foot 2-Lamp</v>
      </c>
      <c r="B133" t="str">
        <f t="shared" si="9"/>
        <v>Fluorescent - T8 Slimline 8-foot 2-Lamp</v>
      </c>
      <c r="C133" t="s">
        <v>154</v>
      </c>
      <c r="D133" t="s">
        <v>1216</v>
      </c>
      <c r="E133" t="s">
        <v>1198</v>
      </c>
      <c r="F133">
        <v>107</v>
      </c>
      <c r="G133" t="str">
        <f t="shared" si="6"/>
        <v>Fluorescent - T8 Slimline</v>
      </c>
    </row>
    <row r="134" spans="1:7">
      <c r="A134" t="str">
        <f t="shared" si="10"/>
        <v>Fluorescent - T8 Slimline 8-foot 3-Lamp</v>
      </c>
      <c r="B134" t="str">
        <f t="shared" si="9"/>
        <v>Fluorescent - T8 Slimline 8-foot 3-Lamp</v>
      </c>
      <c r="C134" t="s">
        <v>154</v>
      </c>
      <c r="D134" t="s">
        <v>1216</v>
      </c>
      <c r="E134" t="s">
        <v>1199</v>
      </c>
      <c r="F134">
        <v>174</v>
      </c>
      <c r="G134" t="str">
        <f t="shared" si="6"/>
        <v>Fluorescent - T8 Slimline</v>
      </c>
    </row>
    <row r="135" spans="1:7">
      <c r="A135" t="str">
        <f t="shared" si="10"/>
        <v>Fluorescent - T8 Slimline 8-foot 4-Lamp</v>
      </c>
      <c r="B135" t="str">
        <f t="shared" si="9"/>
        <v>Fluorescent - T8 Slimline 8-foot 4-Lamp</v>
      </c>
      <c r="C135" t="s">
        <v>154</v>
      </c>
      <c r="D135" t="s">
        <v>1216</v>
      </c>
      <c r="E135" t="s">
        <v>1200</v>
      </c>
      <c r="F135">
        <v>214</v>
      </c>
      <c r="G135" t="str">
        <f t="shared" si="6"/>
        <v>Fluorescent - T8 Slimline</v>
      </c>
    </row>
    <row r="136" spans="1:7">
      <c r="A136" t="str">
        <f t="shared" ref="A136:A143" si="11">CONCATENATE(C136," - ",D136," ",E136)</f>
        <v>Fluorescent - T8 Slimline 8-foot 1-Lamp/ES</v>
      </c>
      <c r="B136" t="str">
        <f t="shared" ref="B136:B143" si="12">CONCATENATE(C136," - ",D136," ",E136)</f>
        <v>Fluorescent - T8 Slimline 8-foot 1-Lamp/ES</v>
      </c>
      <c r="C136" t="s">
        <v>154</v>
      </c>
      <c r="D136" t="s">
        <v>1216</v>
      </c>
      <c r="E136" t="s">
        <v>1217</v>
      </c>
      <c r="F136">
        <v>64</v>
      </c>
      <c r="G136" t="str">
        <f t="shared" si="6"/>
        <v>Fluorescent - T8 Slimline</v>
      </c>
    </row>
    <row r="137" spans="1:7">
      <c r="A137" t="str">
        <f t="shared" si="11"/>
        <v>Fluorescent - T8 Slimline 8-foot 2-Lamp/ES</v>
      </c>
      <c r="B137" t="str">
        <f t="shared" si="12"/>
        <v>Fluorescent - T8 Slimline 8-foot 2-Lamp/ES</v>
      </c>
      <c r="C137" t="s">
        <v>154</v>
      </c>
      <c r="D137" t="s">
        <v>1216</v>
      </c>
      <c r="E137" t="s">
        <v>1218</v>
      </c>
      <c r="F137">
        <v>103</v>
      </c>
      <c r="G137" t="str">
        <f t="shared" ref="G137:G200" si="13">CONCATENATE(C137," - ",D137)</f>
        <v>Fluorescent - T8 Slimline</v>
      </c>
    </row>
    <row r="138" spans="1:7">
      <c r="A138" t="str">
        <f t="shared" si="11"/>
        <v>Fluorescent - T8 Slimline 8-foot 3-Lamp/ES</v>
      </c>
      <c r="B138" t="str">
        <f t="shared" si="12"/>
        <v>Fluorescent - T8 Slimline 8-foot 3-Lamp/ES</v>
      </c>
      <c r="C138" t="s">
        <v>154</v>
      </c>
      <c r="D138" t="s">
        <v>1216</v>
      </c>
      <c r="E138" t="s">
        <v>1219</v>
      </c>
      <c r="F138">
        <v>167</v>
      </c>
      <c r="G138" t="str">
        <f t="shared" si="13"/>
        <v>Fluorescent - T8 Slimline</v>
      </c>
    </row>
    <row r="139" spans="1:7">
      <c r="A139" t="str">
        <f t="shared" si="11"/>
        <v>Fluorescent - T8 Slimline 8-foot 4-Lamp/ES</v>
      </c>
      <c r="B139" t="str">
        <f t="shared" si="12"/>
        <v>Fluorescent - T8 Slimline 8-foot 4-Lamp/ES</v>
      </c>
      <c r="C139" t="s">
        <v>154</v>
      </c>
      <c r="D139" t="s">
        <v>1216</v>
      </c>
      <c r="E139" t="s">
        <v>1220</v>
      </c>
      <c r="F139">
        <v>206</v>
      </c>
      <c r="G139" t="str">
        <f t="shared" si="13"/>
        <v>Fluorescent - T8 Slimline</v>
      </c>
    </row>
    <row r="140" spans="1:7">
      <c r="A140" t="str">
        <f t="shared" si="11"/>
        <v>Fluorescent - T8 Slimline 6-foot 1-Lamp</v>
      </c>
      <c r="B140" t="str">
        <f t="shared" si="12"/>
        <v>Fluorescent - T8 Slimline 6-foot 1-Lamp</v>
      </c>
      <c r="C140" t="s">
        <v>154</v>
      </c>
      <c r="D140" t="s">
        <v>1216</v>
      </c>
      <c r="E140" t="s">
        <v>1201</v>
      </c>
      <c r="F140">
        <v>54</v>
      </c>
      <c r="G140" t="str">
        <f t="shared" si="13"/>
        <v>Fluorescent - T8 Slimline</v>
      </c>
    </row>
    <row r="141" spans="1:7">
      <c r="A141" t="str">
        <f t="shared" si="11"/>
        <v>Fluorescent - T8 Slimline 6-foot 2-Lamp</v>
      </c>
      <c r="B141" t="str">
        <f t="shared" si="12"/>
        <v>Fluorescent - T8 Slimline 6-foot 2-Lamp</v>
      </c>
      <c r="C141" t="s">
        <v>154</v>
      </c>
      <c r="D141" t="s">
        <v>1216</v>
      </c>
      <c r="E141" t="s">
        <v>1202</v>
      </c>
      <c r="F141">
        <v>88</v>
      </c>
      <c r="G141" t="str">
        <f t="shared" si="13"/>
        <v>Fluorescent - T8 Slimline</v>
      </c>
    </row>
    <row r="142" spans="1:7">
      <c r="A142" t="str">
        <f t="shared" si="11"/>
        <v>Fluorescent - T8 Slimline 6-foot 3-Lamp</v>
      </c>
      <c r="B142" t="str">
        <f t="shared" si="12"/>
        <v>Fluorescent - T8 Slimline 6-foot 3-Lamp</v>
      </c>
      <c r="C142" t="s">
        <v>154</v>
      </c>
      <c r="D142" t="s">
        <v>1216</v>
      </c>
      <c r="E142" t="s">
        <v>1203</v>
      </c>
      <c r="F142">
        <v>142</v>
      </c>
      <c r="G142" t="str">
        <f t="shared" si="13"/>
        <v>Fluorescent - T8 Slimline</v>
      </c>
    </row>
    <row r="143" spans="1:7">
      <c r="A143" t="str">
        <f t="shared" si="11"/>
        <v>Fluorescent - T8 Slimline 6-foot 4-Lamp</v>
      </c>
      <c r="B143" t="str">
        <f t="shared" si="12"/>
        <v>Fluorescent - T8 Slimline 6-foot 4-Lamp</v>
      </c>
      <c r="C143" t="s">
        <v>154</v>
      </c>
      <c r="D143" t="s">
        <v>1216</v>
      </c>
      <c r="E143" t="s">
        <v>1204</v>
      </c>
      <c r="F143">
        <v>176</v>
      </c>
      <c r="G143" t="str">
        <f t="shared" si="13"/>
        <v>Fluorescent - T8 Slimline</v>
      </c>
    </row>
    <row r="145" spans="1:7">
      <c r="E145" t="s">
        <v>1221</v>
      </c>
    </row>
    <row r="146" spans="1:7">
      <c r="A146" t="str">
        <f t="shared" si="10"/>
        <v>Fluorescent - T8 HO 4-foot 1-Lamp</v>
      </c>
      <c r="B146" t="str">
        <f t="shared" si="9"/>
        <v>Fluorescent - T8 HO 4-foot 1-Lamp</v>
      </c>
      <c r="C146" t="s">
        <v>154</v>
      </c>
      <c r="D146" t="s">
        <v>1222</v>
      </c>
      <c r="E146" t="s">
        <v>1182</v>
      </c>
      <c r="F146">
        <v>59</v>
      </c>
      <c r="G146" t="str">
        <f t="shared" si="13"/>
        <v>Fluorescent - T8 HO</v>
      </c>
    </row>
    <row r="147" spans="1:7">
      <c r="A147" t="str">
        <f t="shared" si="10"/>
        <v>Fluorescent - T8 HO 4-foot 2-Lamp</v>
      </c>
      <c r="B147" t="str">
        <f t="shared" si="9"/>
        <v>Fluorescent - T8 HO 4-foot 2-Lamp</v>
      </c>
      <c r="C147" t="s">
        <v>154</v>
      </c>
      <c r="D147" t="s">
        <v>1222</v>
      </c>
      <c r="E147" t="s">
        <v>1183</v>
      </c>
      <c r="F147">
        <v>98</v>
      </c>
      <c r="G147" t="str">
        <f t="shared" si="13"/>
        <v>Fluorescent - T8 HO</v>
      </c>
    </row>
    <row r="148" spans="1:7">
      <c r="A148" t="str">
        <f t="shared" si="10"/>
        <v>Fluorescent - T8 HO 4-foot 3-Lamp</v>
      </c>
      <c r="B148" t="str">
        <f t="shared" si="9"/>
        <v>Fluorescent - T8 HO 4-foot 3-Lamp</v>
      </c>
      <c r="C148" t="s">
        <v>154</v>
      </c>
      <c r="D148" t="s">
        <v>1222</v>
      </c>
      <c r="E148" t="s">
        <v>1184</v>
      </c>
      <c r="F148">
        <v>157</v>
      </c>
      <c r="G148" t="str">
        <f t="shared" si="13"/>
        <v>Fluorescent - T8 HO</v>
      </c>
    </row>
    <row r="149" spans="1:7">
      <c r="A149" t="str">
        <f t="shared" si="10"/>
        <v>Fluorescent - T8 HO 4-foot 4-Lamp</v>
      </c>
      <c r="B149" t="str">
        <f t="shared" si="9"/>
        <v>Fluorescent - T8 HO 4-foot 4-Lamp</v>
      </c>
      <c r="C149" t="s">
        <v>154</v>
      </c>
      <c r="D149" t="s">
        <v>1222</v>
      </c>
      <c r="E149" t="s">
        <v>1185</v>
      </c>
      <c r="F149">
        <v>196</v>
      </c>
      <c r="G149" t="str">
        <f t="shared" si="13"/>
        <v>Fluorescent - T8 HO</v>
      </c>
    </row>
    <row r="150" spans="1:7">
      <c r="A150" t="str">
        <f t="shared" si="10"/>
        <v>Fluorescent - T8 HO 8-foot 1-Lamp</v>
      </c>
      <c r="B150" t="str">
        <f t="shared" si="9"/>
        <v>Fluorescent - T8 HO 8-foot 1-Lamp</v>
      </c>
      <c r="C150" t="s">
        <v>154</v>
      </c>
      <c r="D150" t="s">
        <v>1222</v>
      </c>
      <c r="E150" t="s">
        <v>1197</v>
      </c>
      <c r="F150">
        <v>100</v>
      </c>
      <c r="G150" t="str">
        <f t="shared" si="13"/>
        <v>Fluorescent - T8 HO</v>
      </c>
    </row>
    <row r="151" spans="1:7">
      <c r="A151" t="str">
        <f t="shared" si="10"/>
        <v>Fluorescent - T8 HO 8-foot 2-Lamp</v>
      </c>
      <c r="B151" t="str">
        <f t="shared" si="9"/>
        <v>Fluorescent - T8 HO 8-foot 2-Lamp</v>
      </c>
      <c r="C151" t="s">
        <v>154</v>
      </c>
      <c r="D151" t="s">
        <v>1222</v>
      </c>
      <c r="E151" t="s">
        <v>1198</v>
      </c>
      <c r="F151">
        <v>185</v>
      </c>
      <c r="G151" t="str">
        <f t="shared" si="13"/>
        <v>Fluorescent - T8 HO</v>
      </c>
    </row>
    <row r="152" spans="1:7">
      <c r="A152" t="str">
        <f t="shared" si="10"/>
        <v>Fluorescent - T8 HO 8-foot 3-Lamp</v>
      </c>
      <c r="B152" t="str">
        <f t="shared" si="9"/>
        <v>Fluorescent - T8 HO 8-foot 3-Lamp</v>
      </c>
      <c r="C152" t="s">
        <v>154</v>
      </c>
      <c r="D152" t="s">
        <v>1222</v>
      </c>
      <c r="E152" t="s">
        <v>1199</v>
      </c>
      <c r="F152">
        <v>285</v>
      </c>
      <c r="G152" t="str">
        <f t="shared" si="13"/>
        <v>Fluorescent - T8 HO</v>
      </c>
    </row>
    <row r="153" spans="1:7">
      <c r="A153" t="str">
        <f t="shared" si="10"/>
        <v>Fluorescent - T8 HO 8-foot 4-Lamp</v>
      </c>
      <c r="B153" t="str">
        <f t="shared" si="9"/>
        <v>Fluorescent - T8 HO 8-foot 4-Lamp</v>
      </c>
      <c r="C153" t="s">
        <v>154</v>
      </c>
      <c r="D153" t="s">
        <v>1222</v>
      </c>
      <c r="E153" t="s">
        <v>1200</v>
      </c>
      <c r="F153">
        <v>370</v>
      </c>
      <c r="G153" t="str">
        <f t="shared" si="13"/>
        <v>Fluorescent - T8 HO</v>
      </c>
    </row>
    <row r="155" spans="1:7">
      <c r="E155" t="s">
        <v>1223</v>
      </c>
    </row>
    <row r="156" spans="1:7">
      <c r="A156" t="str">
        <f t="shared" si="10"/>
        <v>Fluorescent - T8 4-foot (32W High Perf) 1-Lamp/LBF</v>
      </c>
      <c r="B156" t="str">
        <f t="shared" si="9"/>
        <v>Fluorescent - T8 4-foot (32W High Perf) 1-Lamp/LBF</v>
      </c>
      <c r="C156" t="s">
        <v>154</v>
      </c>
      <c r="D156" t="s">
        <v>1223</v>
      </c>
      <c r="E156" t="s">
        <v>1224</v>
      </c>
      <c r="F156">
        <v>24</v>
      </c>
      <c r="G156" t="str">
        <f t="shared" si="13"/>
        <v>Fluorescent - T8 4-foot (32W High Perf)</v>
      </c>
    </row>
    <row r="157" spans="1:7">
      <c r="A157" t="str">
        <f t="shared" si="10"/>
        <v>Fluorescent - T8 4-foot (32W High Perf) 1-Lamp/NBF</v>
      </c>
      <c r="B157" t="str">
        <f t="shared" si="9"/>
        <v>Fluorescent - T8 4-foot (32W High Perf) 1-Lamp/NBF</v>
      </c>
      <c r="C157" t="s">
        <v>154</v>
      </c>
      <c r="D157" t="s">
        <v>1223</v>
      </c>
      <c r="E157" t="s">
        <v>1225</v>
      </c>
      <c r="F157">
        <v>28</v>
      </c>
      <c r="G157" t="str">
        <f t="shared" si="13"/>
        <v>Fluorescent - T8 4-foot (32W High Perf)</v>
      </c>
    </row>
    <row r="158" spans="1:7">
      <c r="A158" t="str">
        <f t="shared" si="10"/>
        <v>Fluorescent - T8 4-foot (32W High Perf) 1-Lamp/HBF</v>
      </c>
      <c r="B158" t="str">
        <f t="shared" si="9"/>
        <v>Fluorescent - T8 4-foot (32W High Perf) 1-Lamp/HBF</v>
      </c>
      <c r="C158" t="s">
        <v>154</v>
      </c>
      <c r="D158" t="s">
        <v>1223</v>
      </c>
      <c r="E158" t="s">
        <v>1226</v>
      </c>
      <c r="F158">
        <v>36</v>
      </c>
      <c r="G158" t="str">
        <f t="shared" si="13"/>
        <v>Fluorescent - T8 4-foot (32W High Perf)</v>
      </c>
    </row>
    <row r="160" spans="1:7">
      <c r="A160" t="str">
        <f t="shared" si="10"/>
        <v>Fluorescent - T8 4-foot (32W High Perf) 2-Lamp/LBF</v>
      </c>
      <c r="B160" t="str">
        <f t="shared" si="9"/>
        <v>Fluorescent - T8 4-foot (32W High Perf) 2-Lamp/LBF</v>
      </c>
      <c r="C160" t="s">
        <v>154</v>
      </c>
      <c r="D160" t="s">
        <v>1223</v>
      </c>
      <c r="E160" t="s">
        <v>1227</v>
      </c>
      <c r="F160">
        <v>48</v>
      </c>
      <c r="G160" t="str">
        <f t="shared" si="13"/>
        <v>Fluorescent - T8 4-foot (32W High Perf)</v>
      </c>
    </row>
    <row r="161" spans="1:7">
      <c r="A161" t="str">
        <f t="shared" si="10"/>
        <v>Fluorescent - T8 4-foot (32W High Perf) 2-Lamp/NBF</v>
      </c>
      <c r="B161" t="str">
        <f t="shared" si="9"/>
        <v>Fluorescent - T8 4-foot (32W High Perf) 2-Lamp/NBF</v>
      </c>
      <c r="C161" t="s">
        <v>154</v>
      </c>
      <c r="D161" t="s">
        <v>1223</v>
      </c>
      <c r="E161" t="s">
        <v>1228</v>
      </c>
      <c r="F161">
        <v>55</v>
      </c>
      <c r="G161" t="str">
        <f t="shared" si="13"/>
        <v>Fluorescent - T8 4-foot (32W High Perf)</v>
      </c>
    </row>
    <row r="162" spans="1:7">
      <c r="A162" t="str">
        <f t="shared" si="10"/>
        <v>Fluorescent - T8 4-foot (32W High Perf) 2-Lamp/HBF</v>
      </c>
      <c r="B162" t="str">
        <f t="shared" si="9"/>
        <v>Fluorescent - T8 4-foot (32W High Perf) 2-Lamp/HBF</v>
      </c>
      <c r="C162" t="s">
        <v>154</v>
      </c>
      <c r="D162" t="s">
        <v>1223</v>
      </c>
      <c r="E162" t="s">
        <v>1229</v>
      </c>
      <c r="F162">
        <v>73</v>
      </c>
      <c r="G162" t="str">
        <f t="shared" si="13"/>
        <v>Fluorescent - T8 4-foot (32W High Perf)</v>
      </c>
    </row>
    <row r="164" spans="1:7">
      <c r="A164" t="str">
        <f t="shared" si="10"/>
        <v>Fluorescent - T8 4-foot (32W High Perf) 3-Lamp/LBF</v>
      </c>
      <c r="B164" t="str">
        <f t="shared" si="9"/>
        <v>Fluorescent - T8 4-foot (32W High Perf) 3-Lamp/LBF</v>
      </c>
      <c r="C164" t="s">
        <v>154</v>
      </c>
      <c r="D164" t="s">
        <v>1223</v>
      </c>
      <c r="E164" t="s">
        <v>1230</v>
      </c>
      <c r="F164">
        <v>72</v>
      </c>
      <c r="G164" t="str">
        <f t="shared" si="13"/>
        <v>Fluorescent - T8 4-foot (32W High Perf)</v>
      </c>
    </row>
    <row r="165" spans="1:7">
      <c r="A165" t="str">
        <f t="shared" si="10"/>
        <v>Fluorescent - T8 4-foot (32W High Perf) 3-Lamp/NBF</v>
      </c>
      <c r="B165" t="str">
        <f t="shared" si="9"/>
        <v>Fluorescent - T8 4-foot (32W High Perf) 3-Lamp/NBF</v>
      </c>
      <c r="C165" t="s">
        <v>154</v>
      </c>
      <c r="D165" t="s">
        <v>1223</v>
      </c>
      <c r="E165" t="s">
        <v>1231</v>
      </c>
      <c r="F165">
        <v>83</v>
      </c>
      <c r="G165" t="str">
        <f t="shared" si="13"/>
        <v>Fluorescent - T8 4-foot (32W High Perf)</v>
      </c>
    </row>
    <row r="166" spans="1:7">
      <c r="A166" t="str">
        <f t="shared" si="10"/>
        <v>Fluorescent - T8 4-foot (32W High Perf) 3-Lamp/HBF</v>
      </c>
      <c r="B166" t="str">
        <f t="shared" si="9"/>
        <v>Fluorescent - T8 4-foot (32W High Perf) 3-Lamp/HBF</v>
      </c>
      <c r="C166" t="s">
        <v>154</v>
      </c>
      <c r="D166" t="s">
        <v>1223</v>
      </c>
      <c r="E166" t="s">
        <v>1232</v>
      </c>
      <c r="F166">
        <v>109</v>
      </c>
      <c r="G166" t="str">
        <f t="shared" si="13"/>
        <v>Fluorescent - T8 4-foot (32W High Perf)</v>
      </c>
    </row>
    <row r="168" spans="1:7">
      <c r="A168" t="str">
        <f t="shared" si="10"/>
        <v>Fluorescent - T8 4-foot (32W High Perf) 4-Lamp/LBF</v>
      </c>
      <c r="B168" t="str">
        <f t="shared" si="9"/>
        <v>Fluorescent - T8 4-foot (32W High Perf) 4-Lamp/LBF</v>
      </c>
      <c r="C168" t="s">
        <v>154</v>
      </c>
      <c r="D168" t="s">
        <v>1223</v>
      </c>
      <c r="E168" t="s">
        <v>1233</v>
      </c>
      <c r="F168">
        <v>96</v>
      </c>
      <c r="G168" t="str">
        <f t="shared" si="13"/>
        <v>Fluorescent - T8 4-foot (32W High Perf)</v>
      </c>
    </row>
    <row r="169" spans="1:7">
      <c r="A169" t="str">
        <f t="shared" si="10"/>
        <v>Fluorescent - T8 4-foot (32W High Perf) 4-Lamp/NBF</v>
      </c>
      <c r="B169" t="str">
        <f t="shared" si="9"/>
        <v>Fluorescent - T8 4-foot (32W High Perf) 4-Lamp/NBF</v>
      </c>
      <c r="C169" t="s">
        <v>154</v>
      </c>
      <c r="D169" t="s">
        <v>1223</v>
      </c>
      <c r="E169" t="s">
        <v>1234</v>
      </c>
      <c r="F169">
        <v>110</v>
      </c>
      <c r="G169" t="str">
        <f t="shared" si="13"/>
        <v>Fluorescent - T8 4-foot (32W High Perf)</v>
      </c>
    </row>
    <row r="170" spans="1:7">
      <c r="A170" t="str">
        <f t="shared" si="10"/>
        <v>Fluorescent - T8 4-foot (32W High Perf) 4-Lamp/HBF</v>
      </c>
      <c r="B170" t="str">
        <f t="shared" si="9"/>
        <v>Fluorescent - T8 4-foot (32W High Perf) 4-Lamp/HBF</v>
      </c>
      <c r="C170" t="s">
        <v>154</v>
      </c>
      <c r="D170" t="s">
        <v>1223</v>
      </c>
      <c r="E170" t="s">
        <v>1235</v>
      </c>
      <c r="F170">
        <v>146</v>
      </c>
      <c r="G170" t="str">
        <f t="shared" si="13"/>
        <v>Fluorescent - T8 4-foot (32W High Perf)</v>
      </c>
    </row>
    <row r="172" spans="1:7">
      <c r="A172" t="str">
        <f t="shared" si="10"/>
        <v>Fluorescent - T8 4-foot (32W High Perf) 6-Lamp/LBF</v>
      </c>
      <c r="B172" t="str">
        <f t="shared" si="9"/>
        <v>Fluorescent - T8 4-foot (32W High Perf) 6-Lamp/LBF</v>
      </c>
      <c r="C172" t="s">
        <v>154</v>
      </c>
      <c r="D172" t="s">
        <v>1223</v>
      </c>
      <c r="E172" t="s">
        <v>1236</v>
      </c>
      <c r="F172">
        <v>144</v>
      </c>
      <c r="G172" t="str">
        <f t="shared" si="13"/>
        <v>Fluorescent - T8 4-foot (32W High Perf)</v>
      </c>
    </row>
    <row r="173" spans="1:7">
      <c r="A173" t="str">
        <f t="shared" si="10"/>
        <v>Fluorescent - T8 4-foot (32W High Perf) 6-Lamp/NBF</v>
      </c>
      <c r="B173" t="str">
        <f t="shared" si="9"/>
        <v>Fluorescent - T8 4-foot (32W High Perf) 6-Lamp/NBF</v>
      </c>
      <c r="C173" t="s">
        <v>154</v>
      </c>
      <c r="D173" t="s">
        <v>1223</v>
      </c>
      <c r="E173" t="s">
        <v>1237</v>
      </c>
      <c r="F173">
        <v>165</v>
      </c>
      <c r="G173" t="str">
        <f t="shared" si="13"/>
        <v>Fluorescent - T8 4-foot (32W High Perf)</v>
      </c>
    </row>
    <row r="174" spans="1:7">
      <c r="A174" t="str">
        <f t="shared" si="10"/>
        <v>Fluorescent - T8 4-foot (32W High Perf) 6-Lamp/HBF</v>
      </c>
      <c r="B174" t="str">
        <f t="shared" si="9"/>
        <v>Fluorescent - T8 4-foot (32W High Perf) 6-Lamp/HBF</v>
      </c>
      <c r="C174" t="s">
        <v>154</v>
      </c>
      <c r="D174" t="s">
        <v>1223</v>
      </c>
      <c r="E174" t="s">
        <v>1238</v>
      </c>
      <c r="F174">
        <v>219</v>
      </c>
      <c r="G174" t="str">
        <f t="shared" si="13"/>
        <v>Fluorescent - T8 4-foot (32W High Perf)</v>
      </c>
    </row>
    <row r="176" spans="1:7">
      <c r="E176" t="s">
        <v>1239</v>
      </c>
    </row>
    <row r="177" spans="1:7">
      <c r="A177" t="str">
        <f t="shared" si="10"/>
        <v>Fluorescent - T8 (4-foot 28W) 1-Lamp/LBF</v>
      </c>
      <c r="B177" t="str">
        <f t="shared" si="9"/>
        <v>Fluorescent - T8 (4-foot 28W) 1-Lamp/LBF</v>
      </c>
      <c r="C177" t="s">
        <v>154</v>
      </c>
      <c r="D177" t="s">
        <v>1240</v>
      </c>
      <c r="E177" t="s">
        <v>1224</v>
      </c>
      <c r="F177">
        <v>22</v>
      </c>
      <c r="G177" t="str">
        <f t="shared" si="13"/>
        <v>Fluorescent - T8 (4-foot 28W)</v>
      </c>
    </row>
    <row r="178" spans="1:7">
      <c r="A178" t="str">
        <f t="shared" si="10"/>
        <v>Fluorescent - T8 (4-foot 28W) 1-Lamp/NBF</v>
      </c>
      <c r="B178" t="str">
        <f t="shared" si="9"/>
        <v>Fluorescent - T8 (4-foot 28W) 1-Lamp/NBF</v>
      </c>
      <c r="C178" t="s">
        <v>154</v>
      </c>
      <c r="D178" t="s">
        <v>1240</v>
      </c>
      <c r="E178" t="s">
        <v>1225</v>
      </c>
      <c r="F178">
        <v>25</v>
      </c>
      <c r="G178" t="str">
        <f t="shared" si="13"/>
        <v>Fluorescent - T8 (4-foot 28W)</v>
      </c>
    </row>
    <row r="179" spans="1:7">
      <c r="A179" t="str">
        <f t="shared" si="10"/>
        <v>Fluorescent - T8 (4-foot 28W) 1-Lamp/HBF</v>
      </c>
      <c r="B179" t="str">
        <f t="shared" ref="B179:B244" si="14">CONCATENATE(C179," - ",D179," ",E179)</f>
        <v>Fluorescent - T8 (4-foot 28W) 1-Lamp/HBF</v>
      </c>
      <c r="C179" t="s">
        <v>154</v>
      </c>
      <c r="D179" t="s">
        <v>1240</v>
      </c>
      <c r="E179" t="s">
        <v>1226</v>
      </c>
      <c r="F179">
        <v>33</v>
      </c>
      <c r="G179" t="str">
        <f t="shared" si="13"/>
        <v>Fluorescent - T8 (4-foot 28W)</v>
      </c>
    </row>
    <row r="181" spans="1:7">
      <c r="A181" t="str">
        <f t="shared" si="10"/>
        <v>Fluorescent - T8 (4-foot 28W) 2-Lamp/LBF</v>
      </c>
      <c r="B181" t="str">
        <f t="shared" si="14"/>
        <v>Fluorescent - T8 (4-foot 28W) 2-Lamp/LBF</v>
      </c>
      <c r="C181" t="s">
        <v>154</v>
      </c>
      <c r="D181" t="s">
        <v>1240</v>
      </c>
      <c r="E181" t="s">
        <v>1227</v>
      </c>
      <c r="F181">
        <v>42</v>
      </c>
      <c r="G181" t="str">
        <f t="shared" si="13"/>
        <v>Fluorescent - T8 (4-foot 28W)</v>
      </c>
    </row>
    <row r="182" spans="1:7">
      <c r="A182" t="str">
        <f t="shared" si="10"/>
        <v>Fluorescent - T8 (4-foot 28W) 2-Lamp/NBF</v>
      </c>
      <c r="B182" t="str">
        <f t="shared" si="14"/>
        <v>Fluorescent - T8 (4-foot 28W) 2-Lamp/NBF</v>
      </c>
      <c r="C182" t="s">
        <v>154</v>
      </c>
      <c r="D182" t="s">
        <v>1240</v>
      </c>
      <c r="E182" t="s">
        <v>1228</v>
      </c>
      <c r="F182">
        <v>48</v>
      </c>
      <c r="G182" t="str">
        <f t="shared" si="13"/>
        <v>Fluorescent - T8 (4-foot 28W)</v>
      </c>
    </row>
    <row r="183" spans="1:7">
      <c r="A183" t="str">
        <f t="shared" si="10"/>
        <v>Fluorescent - T8 (4-foot 28W) 2-Lamp/HBF</v>
      </c>
      <c r="B183" t="str">
        <f t="shared" si="14"/>
        <v>Fluorescent - T8 (4-foot 28W) 2-Lamp/HBF</v>
      </c>
      <c r="C183" t="s">
        <v>154</v>
      </c>
      <c r="D183" t="s">
        <v>1240</v>
      </c>
      <c r="E183" t="s">
        <v>1229</v>
      </c>
      <c r="F183">
        <v>65</v>
      </c>
      <c r="G183" t="str">
        <f t="shared" si="13"/>
        <v>Fluorescent - T8 (4-foot 28W)</v>
      </c>
    </row>
    <row r="185" spans="1:7">
      <c r="A185" t="str">
        <f t="shared" si="10"/>
        <v>Fluorescent - T8 (4-foot 28W) 3-Lamp/LBF</v>
      </c>
      <c r="B185" t="str">
        <f t="shared" si="14"/>
        <v>Fluorescent - T8 (4-foot 28W) 3-Lamp/LBF</v>
      </c>
      <c r="C185" t="s">
        <v>154</v>
      </c>
      <c r="D185" t="s">
        <v>1240</v>
      </c>
      <c r="E185" t="s">
        <v>1230</v>
      </c>
      <c r="F185">
        <v>64</v>
      </c>
      <c r="G185" t="str">
        <f t="shared" si="13"/>
        <v>Fluorescent - T8 (4-foot 28W)</v>
      </c>
    </row>
    <row r="186" spans="1:7">
      <c r="A186" t="str">
        <f t="shared" si="10"/>
        <v>Fluorescent - T8 (4-foot 28W) 3-Lamp/NBF</v>
      </c>
      <c r="B186" t="str">
        <f t="shared" si="14"/>
        <v>Fluorescent - T8 (4-foot 28W) 3-Lamp/NBF</v>
      </c>
      <c r="C186" t="s">
        <v>154</v>
      </c>
      <c r="D186" t="s">
        <v>1240</v>
      </c>
      <c r="E186" t="s">
        <v>1231</v>
      </c>
      <c r="F186">
        <v>72</v>
      </c>
      <c r="G186" t="str">
        <f t="shared" si="13"/>
        <v>Fluorescent - T8 (4-foot 28W)</v>
      </c>
    </row>
    <row r="187" spans="1:7">
      <c r="A187" t="str">
        <f t="shared" si="10"/>
        <v>Fluorescent - T8 (4-foot 28W) 3-Lamp/HBF</v>
      </c>
      <c r="B187" t="str">
        <f t="shared" si="14"/>
        <v>Fluorescent - T8 (4-foot 28W) 3-Lamp/HBF</v>
      </c>
      <c r="C187" t="s">
        <v>154</v>
      </c>
      <c r="D187" t="s">
        <v>1240</v>
      </c>
      <c r="E187" t="s">
        <v>1232</v>
      </c>
      <c r="F187">
        <v>99</v>
      </c>
      <c r="G187" t="str">
        <f t="shared" si="13"/>
        <v>Fluorescent - T8 (4-foot 28W)</v>
      </c>
    </row>
    <row r="189" spans="1:7">
      <c r="A189" t="str">
        <f t="shared" ref="A189:A195" si="15">CONCATENATE(C189," - ",D189," ",E189)</f>
        <v>Fluorescent - T8 (4-foot 28W) 4-Lamp/LBF</v>
      </c>
      <c r="B189" t="str">
        <f t="shared" si="14"/>
        <v>Fluorescent - T8 (4-foot 28W) 4-Lamp/LBF</v>
      </c>
      <c r="C189" t="s">
        <v>154</v>
      </c>
      <c r="D189" t="s">
        <v>1240</v>
      </c>
      <c r="E189" t="s">
        <v>1233</v>
      </c>
      <c r="F189">
        <v>84</v>
      </c>
      <c r="G189" t="str">
        <f t="shared" si="13"/>
        <v>Fluorescent - T8 (4-foot 28W)</v>
      </c>
    </row>
    <row r="190" spans="1:7">
      <c r="A190" t="str">
        <f t="shared" si="15"/>
        <v>Fluorescent - T8 (4-foot 28W) 4-Lamp/NBF</v>
      </c>
      <c r="B190" t="str">
        <f t="shared" si="14"/>
        <v>Fluorescent - T8 (4-foot 28W) 4-Lamp/NBF</v>
      </c>
      <c r="C190" t="s">
        <v>154</v>
      </c>
      <c r="D190" t="s">
        <v>1240</v>
      </c>
      <c r="E190" t="s">
        <v>1234</v>
      </c>
      <c r="F190">
        <v>96</v>
      </c>
      <c r="G190" t="str">
        <f t="shared" si="13"/>
        <v>Fluorescent - T8 (4-foot 28W)</v>
      </c>
    </row>
    <row r="191" spans="1:7">
      <c r="A191" t="str">
        <f t="shared" si="15"/>
        <v>Fluorescent - T8 (4-foot 28W) 4-Lamp/HBF</v>
      </c>
      <c r="B191" t="str">
        <f t="shared" si="14"/>
        <v>Fluorescent - T8 (4-foot 28W) 4-Lamp/HBF</v>
      </c>
      <c r="C191" t="s">
        <v>154</v>
      </c>
      <c r="D191" t="s">
        <v>1240</v>
      </c>
      <c r="E191" t="s">
        <v>1235</v>
      </c>
      <c r="F191">
        <v>130</v>
      </c>
      <c r="G191" t="str">
        <f t="shared" si="13"/>
        <v>Fluorescent - T8 (4-foot 28W)</v>
      </c>
    </row>
    <row r="192" spans="1:7">
      <c r="A192" t="str">
        <f t="shared" si="15"/>
        <v xml:space="preserve"> -  </v>
      </c>
    </row>
    <row r="193" spans="1:7">
      <c r="A193" t="str">
        <f t="shared" si="15"/>
        <v>Fluorescent - T8 (4-foot 28W) 6-Lamp/LBF</v>
      </c>
      <c r="B193" t="str">
        <f t="shared" si="14"/>
        <v>Fluorescent - T8 (4-foot 28W) 6-Lamp/LBF</v>
      </c>
      <c r="C193" t="s">
        <v>154</v>
      </c>
      <c r="D193" t="s">
        <v>1240</v>
      </c>
      <c r="E193" t="s">
        <v>1236</v>
      </c>
      <c r="F193">
        <v>128</v>
      </c>
      <c r="G193" t="str">
        <f t="shared" si="13"/>
        <v>Fluorescent - T8 (4-foot 28W)</v>
      </c>
    </row>
    <row r="194" spans="1:7">
      <c r="A194" t="str">
        <f t="shared" si="15"/>
        <v>Fluorescent - T8 (4-foot 28W) 6-Lamp/NBF</v>
      </c>
      <c r="B194" t="str">
        <f t="shared" si="14"/>
        <v>Fluorescent - T8 (4-foot 28W) 6-Lamp/NBF</v>
      </c>
      <c r="C194" t="s">
        <v>154</v>
      </c>
      <c r="D194" t="s">
        <v>1240</v>
      </c>
      <c r="E194" t="s">
        <v>1237</v>
      </c>
      <c r="F194">
        <v>144</v>
      </c>
      <c r="G194" t="str">
        <f t="shared" si="13"/>
        <v>Fluorescent - T8 (4-foot 28W)</v>
      </c>
    </row>
    <row r="195" spans="1:7">
      <c r="A195" t="str">
        <f t="shared" si="15"/>
        <v>Fluorescent - T8 (4-foot 28W) 6-Lamp/HBF</v>
      </c>
      <c r="B195" t="str">
        <f t="shared" si="14"/>
        <v>Fluorescent - T8 (4-foot 28W) 6-Lamp/HBF</v>
      </c>
      <c r="C195" t="s">
        <v>154</v>
      </c>
      <c r="D195" t="s">
        <v>1240</v>
      </c>
      <c r="E195" t="s">
        <v>1238</v>
      </c>
      <c r="F195">
        <v>198</v>
      </c>
      <c r="G195" t="str">
        <f t="shared" si="13"/>
        <v>Fluorescent - T8 (4-foot 28W)</v>
      </c>
    </row>
    <row r="197" spans="1:7">
      <c r="E197" t="s">
        <v>1241</v>
      </c>
    </row>
    <row r="198" spans="1:7">
      <c r="A198" t="str">
        <f>CONCATENATE(C198," - ",D198," ",E198)</f>
        <v>Fluorescent - T8 (4-foot 25W) 1-Lamp/LBF</v>
      </c>
      <c r="B198" t="str">
        <f t="shared" si="14"/>
        <v>Fluorescent - T8 (4-foot 25W) 1-Lamp/LBF</v>
      </c>
      <c r="C198" t="s">
        <v>154</v>
      </c>
      <c r="D198" t="s">
        <v>1241</v>
      </c>
      <c r="E198" t="s">
        <v>1224</v>
      </c>
      <c r="F198">
        <v>21</v>
      </c>
      <c r="G198" t="str">
        <f t="shared" si="13"/>
        <v>Fluorescent - T8 (4-foot 25W)</v>
      </c>
    </row>
    <row r="199" spans="1:7">
      <c r="A199" t="str">
        <f>CONCATENATE(C199," - ",D199," ",E199)</f>
        <v>Fluorescent - T8 (4-foot 25W) 1-Lamp/NBF</v>
      </c>
      <c r="B199" t="str">
        <f t="shared" si="14"/>
        <v>Fluorescent - T8 (4-foot 25W) 1-Lamp/NBF</v>
      </c>
      <c r="C199" t="s">
        <v>154</v>
      </c>
      <c r="D199" t="s">
        <v>1241</v>
      </c>
      <c r="E199" t="s">
        <v>1225</v>
      </c>
      <c r="F199">
        <v>23</v>
      </c>
      <c r="G199" t="str">
        <f t="shared" si="13"/>
        <v>Fluorescent - T8 (4-foot 25W)</v>
      </c>
    </row>
    <row r="200" spans="1:7">
      <c r="A200" t="str">
        <f>CONCATENATE(C200," - ",D200," ",E200)</f>
        <v>Fluorescent - T8 (4-foot 25W) 1-Lamp/HBF</v>
      </c>
      <c r="B200" t="str">
        <f t="shared" si="14"/>
        <v>Fluorescent - T8 (4-foot 25W) 1-Lamp/HBF</v>
      </c>
      <c r="C200" t="s">
        <v>154</v>
      </c>
      <c r="D200" t="s">
        <v>1241</v>
      </c>
      <c r="E200" t="s">
        <v>1226</v>
      </c>
      <c r="F200">
        <v>32</v>
      </c>
      <c r="G200" t="str">
        <f t="shared" si="13"/>
        <v>Fluorescent - T8 (4-foot 25W)</v>
      </c>
    </row>
    <row r="202" spans="1:7">
      <c r="A202" t="str">
        <f>CONCATENATE(C202," - ",D202," ",E202)</f>
        <v>Fluorescent - T8 (4-foot 25W) 2-Lamp/LBF</v>
      </c>
      <c r="B202" t="str">
        <f t="shared" si="14"/>
        <v>Fluorescent - T8 (4-foot 25W) 2-Lamp/LBF</v>
      </c>
      <c r="C202" t="s">
        <v>154</v>
      </c>
      <c r="D202" t="s">
        <v>1241</v>
      </c>
      <c r="E202" t="s">
        <v>1227</v>
      </c>
      <c r="F202">
        <v>38</v>
      </c>
      <c r="G202" t="str">
        <f t="shared" ref="G202:G215" si="16">CONCATENATE(C202," - ",D202)</f>
        <v>Fluorescent - T8 (4-foot 25W)</v>
      </c>
    </row>
    <row r="203" spans="1:7">
      <c r="A203" t="str">
        <f>CONCATENATE(C203," - ",D203," ",E203)</f>
        <v>Fluorescent - T8 (4-foot 25W) 2-Lamp/NBF</v>
      </c>
      <c r="B203" t="str">
        <f t="shared" si="14"/>
        <v>Fluorescent - T8 (4-foot 25W) 2-Lamp/NBF</v>
      </c>
      <c r="C203" t="s">
        <v>154</v>
      </c>
      <c r="D203" t="s">
        <v>1241</v>
      </c>
      <c r="E203" t="s">
        <v>1228</v>
      </c>
      <c r="F203">
        <v>44</v>
      </c>
      <c r="G203" t="str">
        <f t="shared" si="16"/>
        <v>Fluorescent - T8 (4-foot 25W)</v>
      </c>
    </row>
    <row r="204" spans="1:7">
      <c r="A204" t="str">
        <f>CONCATENATE(C204," - ",D204," ",E204)</f>
        <v>Fluorescent - T8 (4-foot 25W) 2-Lamp/HBF</v>
      </c>
      <c r="B204" t="str">
        <f t="shared" si="14"/>
        <v>Fluorescent - T8 (4-foot 25W) 2-Lamp/HBF</v>
      </c>
      <c r="C204" t="s">
        <v>154</v>
      </c>
      <c r="D204" t="s">
        <v>1241</v>
      </c>
      <c r="E204" t="s">
        <v>1229</v>
      </c>
      <c r="F204">
        <v>60</v>
      </c>
      <c r="G204" t="str">
        <f t="shared" si="16"/>
        <v>Fluorescent - T8 (4-foot 25W)</v>
      </c>
    </row>
    <row r="206" spans="1:7">
      <c r="A206" t="str">
        <f>CONCATENATE(C206," - ",D206," ",E206)</f>
        <v>Fluorescent - T8 (4-foot 25W) 3-Lamp/LBF</v>
      </c>
      <c r="B206" t="str">
        <f t="shared" si="14"/>
        <v>Fluorescent - T8 (4-foot 25W) 3-Lamp/LBF</v>
      </c>
      <c r="C206" t="s">
        <v>154</v>
      </c>
      <c r="D206" t="s">
        <v>1241</v>
      </c>
      <c r="E206" t="s">
        <v>1230</v>
      </c>
      <c r="F206">
        <v>58</v>
      </c>
      <c r="G206" t="str">
        <f t="shared" si="16"/>
        <v>Fluorescent - T8 (4-foot 25W)</v>
      </c>
    </row>
    <row r="207" spans="1:7">
      <c r="A207" t="str">
        <f>CONCATENATE(C207," - ",D207," ",E207)</f>
        <v>Fluorescent - T8 (4-foot 25W) 3-Lamp/NBF</v>
      </c>
      <c r="B207" t="str">
        <f t="shared" si="14"/>
        <v>Fluorescent - T8 (4-foot 25W) 3-Lamp/NBF</v>
      </c>
      <c r="C207" t="s">
        <v>154</v>
      </c>
      <c r="D207" t="s">
        <v>1241</v>
      </c>
      <c r="E207" t="s">
        <v>1231</v>
      </c>
      <c r="F207">
        <v>65</v>
      </c>
      <c r="G207" t="str">
        <f t="shared" si="16"/>
        <v>Fluorescent - T8 (4-foot 25W)</v>
      </c>
    </row>
    <row r="208" spans="1:7">
      <c r="A208" t="str">
        <f>CONCATENATE(C208," - ",D208," ",E208)</f>
        <v>Fluorescent - T8 (4-foot 25W) 3-Lamp/HBF</v>
      </c>
      <c r="B208" t="str">
        <f t="shared" si="14"/>
        <v>Fluorescent - T8 (4-foot 25W) 3-Lamp/HBF</v>
      </c>
      <c r="C208" t="s">
        <v>154</v>
      </c>
      <c r="D208" t="s">
        <v>1241</v>
      </c>
      <c r="E208" t="s">
        <v>1232</v>
      </c>
      <c r="F208">
        <v>95</v>
      </c>
      <c r="G208" t="str">
        <f t="shared" si="16"/>
        <v>Fluorescent - T8 (4-foot 25W)</v>
      </c>
    </row>
    <row r="210" spans="1:7">
      <c r="A210" t="str">
        <f>CONCATENATE(C210," - ",D210," ",E210)</f>
        <v>Fluorescent - T8 (4-foot 25W) 4-Lamp/LBF</v>
      </c>
      <c r="B210" t="str">
        <f t="shared" si="14"/>
        <v>Fluorescent - T8 (4-foot 25W) 4-Lamp/LBF</v>
      </c>
      <c r="C210" t="s">
        <v>154</v>
      </c>
      <c r="D210" t="s">
        <v>1241</v>
      </c>
      <c r="E210" t="s">
        <v>1233</v>
      </c>
      <c r="F210">
        <v>77</v>
      </c>
      <c r="G210" t="str">
        <f t="shared" si="16"/>
        <v>Fluorescent - T8 (4-foot 25W)</v>
      </c>
    </row>
    <row r="211" spans="1:7">
      <c r="A211" t="str">
        <f>CONCATENATE(C211," - ",D211," ",E211)</f>
        <v>Fluorescent - T8 (4-foot 25W) 4-Lamp/NBF</v>
      </c>
      <c r="B211" t="str">
        <f t="shared" si="14"/>
        <v>Fluorescent - T8 (4-foot 25W) 4-Lamp/NBF</v>
      </c>
      <c r="C211" t="s">
        <v>154</v>
      </c>
      <c r="D211" t="s">
        <v>1241</v>
      </c>
      <c r="E211" t="s">
        <v>1234</v>
      </c>
      <c r="F211">
        <v>87</v>
      </c>
      <c r="G211" t="str">
        <f t="shared" si="16"/>
        <v>Fluorescent - T8 (4-foot 25W)</v>
      </c>
    </row>
    <row r="212" spans="1:7">
      <c r="A212" t="str">
        <f>CONCATENATE(C212," - ",D212," ",E212)</f>
        <v>Fluorescent - T8 (4-foot 25W) 4-Lamp/HBF</v>
      </c>
      <c r="B212" t="str">
        <f t="shared" si="14"/>
        <v>Fluorescent - T8 (4-foot 25W) 4-Lamp/HBF</v>
      </c>
      <c r="C212" t="s">
        <v>154</v>
      </c>
      <c r="D212" t="s">
        <v>1241</v>
      </c>
      <c r="E212" t="s">
        <v>1235</v>
      </c>
      <c r="F212">
        <v>124</v>
      </c>
      <c r="G212" t="str">
        <f t="shared" si="16"/>
        <v>Fluorescent - T8 (4-foot 25W)</v>
      </c>
    </row>
    <row r="214" spans="1:7">
      <c r="A214" t="str">
        <f>CONCATENATE(C214," - ",D214," ",E214)</f>
        <v>Fluorescent - T8 (4-foot 25W) 6-Lamp/LBF</v>
      </c>
      <c r="B214" t="str">
        <f t="shared" si="14"/>
        <v>Fluorescent - T8 (4-foot 25W) 6-Lamp/LBF</v>
      </c>
      <c r="C214" t="s">
        <v>154</v>
      </c>
      <c r="D214" t="s">
        <v>1241</v>
      </c>
      <c r="E214" t="s">
        <v>1236</v>
      </c>
      <c r="F214">
        <v>116</v>
      </c>
      <c r="G214" t="str">
        <f t="shared" si="16"/>
        <v>Fluorescent - T8 (4-foot 25W)</v>
      </c>
    </row>
    <row r="215" spans="1:7">
      <c r="A215" t="str">
        <f>CONCATENATE(C215," - ",D215," ",E215)</f>
        <v>Fluorescent - T8 (4-foot 25W) 6-Lamp/NBF</v>
      </c>
      <c r="B215" t="str">
        <f t="shared" si="14"/>
        <v>Fluorescent - T8 (4-foot 25W) 6-Lamp/NBF</v>
      </c>
      <c r="C215" t="s">
        <v>154</v>
      </c>
      <c r="D215" t="s">
        <v>1241</v>
      </c>
      <c r="E215" t="s">
        <v>1237</v>
      </c>
      <c r="F215">
        <v>130</v>
      </c>
      <c r="G215" t="str">
        <f t="shared" si="16"/>
        <v>Fluorescent - T8 (4-foot 25W)</v>
      </c>
    </row>
    <row r="216" spans="1:7">
      <c r="A216" t="str">
        <f>CONCATENATE(C216," - ",D216," ",E216)</f>
        <v>Fluorescent - T8 (4-foot 25W) 6-Lamp/HBF</v>
      </c>
      <c r="B216" t="str">
        <f t="shared" si="14"/>
        <v>Fluorescent - T8 (4-foot 25W) 6-Lamp/HBF</v>
      </c>
      <c r="C216" t="s">
        <v>154</v>
      </c>
      <c r="D216" t="s">
        <v>1241</v>
      </c>
      <c r="E216" t="s">
        <v>1238</v>
      </c>
      <c r="F216">
        <v>190</v>
      </c>
      <c r="G216" t="str">
        <f>CONCATENATE(C216," - ",D216)</f>
        <v>Fluorescent - T8 (4-foot 25W)</v>
      </c>
    </row>
    <row r="218" spans="1:7">
      <c r="A218" s="1" t="s">
        <v>1242</v>
      </c>
      <c r="B218" s="1"/>
      <c r="C218" s="1"/>
      <c r="D218" s="1"/>
      <c r="E218" s="1"/>
      <c r="F218" s="1"/>
    </row>
    <row r="219" spans="1:7">
      <c r="A219" t="str">
        <f t="shared" ref="A219:A226" si="17">CONCATENATE(C219," - ",D219," ",E219)</f>
        <v>Fluorescent - T5 2-foot 1-Lamp</v>
      </c>
      <c r="B219" t="str">
        <f t="shared" si="14"/>
        <v>Fluorescent - T5 2-foot 1-Lamp</v>
      </c>
      <c r="C219" t="s">
        <v>154</v>
      </c>
      <c r="D219" t="s">
        <v>1242</v>
      </c>
      <c r="E219" t="s">
        <v>1191</v>
      </c>
      <c r="F219">
        <v>19</v>
      </c>
      <c r="G219" t="str">
        <f t="shared" ref="G219:G225" si="18">CONCATENATE(C219," - ",D219)</f>
        <v>Fluorescent - T5</v>
      </c>
    </row>
    <row r="220" spans="1:7">
      <c r="A220" t="str">
        <f t="shared" si="17"/>
        <v>Fluorescent - T5 2-foot 2-Lamp</v>
      </c>
      <c r="B220" t="str">
        <f t="shared" si="14"/>
        <v>Fluorescent - T5 2-foot 2-Lamp</v>
      </c>
      <c r="C220" t="s">
        <v>154</v>
      </c>
      <c r="D220" t="s">
        <v>1242</v>
      </c>
      <c r="E220" t="s">
        <v>1192</v>
      </c>
      <c r="F220">
        <v>34</v>
      </c>
      <c r="G220" t="str">
        <f t="shared" si="18"/>
        <v>Fluorescent - T5</v>
      </c>
    </row>
    <row r="221" spans="1:7">
      <c r="A221" t="str">
        <f t="shared" si="17"/>
        <v>Fluorescent - T5 3-foot 1-Lamp</v>
      </c>
      <c r="B221" t="str">
        <f t="shared" si="14"/>
        <v>Fluorescent - T5 3-foot 1-Lamp</v>
      </c>
      <c r="C221" t="s">
        <v>154</v>
      </c>
      <c r="D221" t="s">
        <v>1242</v>
      </c>
      <c r="E221" t="s">
        <v>1187</v>
      </c>
      <c r="F221">
        <v>26</v>
      </c>
      <c r="G221" t="str">
        <f t="shared" si="18"/>
        <v>Fluorescent - T5</v>
      </c>
    </row>
    <row r="222" spans="1:7">
      <c r="A222" t="str">
        <f t="shared" si="17"/>
        <v>Fluorescent - T5 3-foot 2-Lamp</v>
      </c>
      <c r="B222" t="str">
        <f t="shared" si="14"/>
        <v>Fluorescent - T5 3-foot 2-Lamp</v>
      </c>
      <c r="C222" t="s">
        <v>154</v>
      </c>
      <c r="D222" t="s">
        <v>1242</v>
      </c>
      <c r="E222" t="s">
        <v>1188</v>
      </c>
      <c r="F222">
        <v>48</v>
      </c>
      <c r="G222" t="str">
        <f t="shared" si="18"/>
        <v>Fluorescent - T5</v>
      </c>
    </row>
    <row r="223" spans="1:7">
      <c r="A223" t="str">
        <f t="shared" si="17"/>
        <v>Fluorescent - T5 4-foot 25W 1-Lamp</v>
      </c>
      <c r="B223" t="str">
        <f t="shared" si="14"/>
        <v>Fluorescent - T5 4-foot 25W 1-Lamp</v>
      </c>
      <c r="C223" t="s">
        <v>154</v>
      </c>
      <c r="D223" t="s">
        <v>1242</v>
      </c>
      <c r="E223" t="s">
        <v>1243</v>
      </c>
      <c r="F223">
        <v>30</v>
      </c>
      <c r="G223" t="str">
        <f t="shared" si="18"/>
        <v>Fluorescent - T5</v>
      </c>
    </row>
    <row r="224" spans="1:7">
      <c r="A224" t="str">
        <f t="shared" si="17"/>
        <v>Fluorescent - T5 4-foot 25W 2-Lamp</v>
      </c>
      <c r="B224" t="str">
        <f t="shared" si="14"/>
        <v>Fluorescent - T5 4-foot 25W 2-Lamp</v>
      </c>
      <c r="C224" t="s">
        <v>154</v>
      </c>
      <c r="D224" t="s">
        <v>1242</v>
      </c>
      <c r="E224" t="s">
        <v>1244</v>
      </c>
      <c r="F224">
        <v>33</v>
      </c>
      <c r="G224" t="str">
        <f t="shared" si="18"/>
        <v>Fluorescent - T5</v>
      </c>
    </row>
    <row r="225" spans="1:7">
      <c r="A225" t="str">
        <f t="shared" si="17"/>
        <v>Fluorescent - T5 4-foot 28W 1-Lamp</v>
      </c>
      <c r="B225" t="str">
        <f t="shared" si="14"/>
        <v>Fluorescent - T5 4-foot 28W 1-Lamp</v>
      </c>
      <c r="C225" t="s">
        <v>154</v>
      </c>
      <c r="D225" t="s">
        <v>1242</v>
      </c>
      <c r="E225" t="s">
        <v>1245</v>
      </c>
      <c r="F225">
        <v>58</v>
      </c>
      <c r="G225" t="str">
        <f t="shared" si="18"/>
        <v>Fluorescent - T5</v>
      </c>
    </row>
    <row r="226" spans="1:7">
      <c r="A226" t="str">
        <f t="shared" si="17"/>
        <v>Fluorescent - T5 4-foot 28W 2-Lamp</v>
      </c>
      <c r="B226" t="str">
        <f t="shared" si="14"/>
        <v>Fluorescent - T5 4-foot 28W 2-Lamp</v>
      </c>
      <c r="C226" t="s">
        <v>154</v>
      </c>
      <c r="D226" t="s">
        <v>1242</v>
      </c>
      <c r="E226" t="s">
        <v>1246</v>
      </c>
      <c r="F226">
        <v>64</v>
      </c>
      <c r="G226" t="str">
        <f>CONCATENATE(C226," - ",D226)</f>
        <v>Fluorescent - T5</v>
      </c>
    </row>
    <row r="228" spans="1:7">
      <c r="A228" s="1" t="s">
        <v>1247</v>
      </c>
      <c r="B228" s="1"/>
      <c r="C228" s="1"/>
      <c r="D228" s="1"/>
      <c r="E228" s="1"/>
      <c r="F228" s="1"/>
    </row>
    <row r="229" spans="1:7">
      <c r="A229" t="str">
        <f t="shared" ref="A229:A244" si="19">CONCATENATE(C229," - ",D229," ",E229)</f>
        <v>Fluorescent - T5HO 4-foot 54W 1-Lamp</v>
      </c>
      <c r="B229" t="str">
        <f t="shared" ref="B229:B236" si="20">CONCATENATE(C229," - ",D229," ",E229)</f>
        <v>Fluorescent - T5HO 4-foot 54W 1-Lamp</v>
      </c>
      <c r="C229" t="s">
        <v>154</v>
      </c>
      <c r="D229" t="s">
        <v>1247</v>
      </c>
      <c r="E229" t="s">
        <v>1248</v>
      </c>
      <c r="F229">
        <v>60</v>
      </c>
      <c r="G229" t="str">
        <f t="shared" ref="G229:G243" si="21">CONCATENATE(C229," - ",D229)</f>
        <v>Fluorescent - T5HO</v>
      </c>
    </row>
    <row r="230" spans="1:7">
      <c r="A230" t="str">
        <f t="shared" si="19"/>
        <v>Fluorescent - T5HO 4-foot 54W 2-Lamp</v>
      </c>
      <c r="B230" t="str">
        <f t="shared" si="20"/>
        <v>Fluorescent - T5HO 4-foot 54W 2-Lamp</v>
      </c>
      <c r="C230" t="s">
        <v>154</v>
      </c>
      <c r="D230" t="s">
        <v>1247</v>
      </c>
      <c r="E230" t="s">
        <v>1249</v>
      </c>
      <c r="F230">
        <v>117</v>
      </c>
      <c r="G230" t="str">
        <f t="shared" si="21"/>
        <v>Fluorescent - T5HO</v>
      </c>
    </row>
    <row r="231" spans="1:7">
      <c r="A231" t="str">
        <f t="shared" si="19"/>
        <v>Fluorescent - T5HO 4-foot 54W 3-Lamp</v>
      </c>
      <c r="B231" t="str">
        <f t="shared" si="20"/>
        <v>Fluorescent - T5HO 4-foot 54W 3-Lamp</v>
      </c>
      <c r="C231" t="s">
        <v>154</v>
      </c>
      <c r="D231" t="s">
        <v>1247</v>
      </c>
      <c r="E231" t="s">
        <v>1250</v>
      </c>
      <c r="F231">
        <v>176</v>
      </c>
      <c r="G231" t="str">
        <f t="shared" si="21"/>
        <v>Fluorescent - T5HO</v>
      </c>
    </row>
    <row r="232" spans="1:7">
      <c r="A232" t="str">
        <f t="shared" si="19"/>
        <v>Fluorescent - T5HO 4-foot 54W 4-Lamp</v>
      </c>
      <c r="B232" t="str">
        <f t="shared" si="20"/>
        <v>Fluorescent - T5HO 4-foot 54W 4-Lamp</v>
      </c>
      <c r="C232" t="s">
        <v>154</v>
      </c>
      <c r="D232" t="s">
        <v>1247</v>
      </c>
      <c r="E232" t="s">
        <v>1251</v>
      </c>
      <c r="F232">
        <v>235</v>
      </c>
      <c r="G232" t="str">
        <f t="shared" si="21"/>
        <v>Fluorescent - T5HO</v>
      </c>
    </row>
    <row r="233" spans="1:7">
      <c r="A233" t="str">
        <f t="shared" si="19"/>
        <v>Fluorescent - T5HO 4-foot 54W 5-Lamp</v>
      </c>
      <c r="B233" t="str">
        <f t="shared" si="20"/>
        <v>Fluorescent - T5HO 4-foot 54W 5-Lamp</v>
      </c>
      <c r="C233" t="s">
        <v>154</v>
      </c>
      <c r="D233" t="s">
        <v>1247</v>
      </c>
      <c r="E233" t="s">
        <v>1252</v>
      </c>
      <c r="F233">
        <v>293</v>
      </c>
      <c r="G233" t="str">
        <f t="shared" si="21"/>
        <v>Fluorescent - T5HO</v>
      </c>
    </row>
    <row r="234" spans="1:7">
      <c r="A234" t="str">
        <f t="shared" si="19"/>
        <v>Fluorescent - T5HO 4-foot 54W 6-Lamp</v>
      </c>
      <c r="B234" t="str">
        <f t="shared" si="20"/>
        <v>Fluorescent - T5HO 4-foot 54W 6-Lamp</v>
      </c>
      <c r="C234" t="s">
        <v>154</v>
      </c>
      <c r="D234" t="s">
        <v>1247</v>
      </c>
      <c r="E234" t="s">
        <v>1253</v>
      </c>
      <c r="F234">
        <v>352</v>
      </c>
      <c r="G234" t="str">
        <f t="shared" si="21"/>
        <v>Fluorescent - T5HO</v>
      </c>
    </row>
    <row r="235" spans="1:7">
      <c r="A235" t="str">
        <f t="shared" si="19"/>
        <v>Fluorescent - T5HO 4-foot 49W 1-Lamp</v>
      </c>
      <c r="B235" t="str">
        <f t="shared" si="20"/>
        <v>Fluorescent - T5HO 4-foot 49W 1-Lamp</v>
      </c>
      <c r="C235" t="s">
        <v>154</v>
      </c>
      <c r="D235" t="s">
        <v>1247</v>
      </c>
      <c r="E235" t="s">
        <v>1254</v>
      </c>
      <c r="F235">
        <v>57</v>
      </c>
      <c r="G235" t="str">
        <f t="shared" si="21"/>
        <v>Fluorescent - T5HO</v>
      </c>
    </row>
    <row r="236" spans="1:7">
      <c r="A236" t="str">
        <f t="shared" si="19"/>
        <v>Fluorescent - T5HO 4-foot 49W 2-Lamp</v>
      </c>
      <c r="B236" t="str">
        <f t="shared" si="20"/>
        <v>Fluorescent - T5HO 4-foot 49W 2-Lamp</v>
      </c>
      <c r="C236" t="s">
        <v>154</v>
      </c>
      <c r="D236" t="s">
        <v>1247</v>
      </c>
      <c r="E236" t="s">
        <v>1255</v>
      </c>
      <c r="F236">
        <v>109</v>
      </c>
      <c r="G236" t="str">
        <f t="shared" si="21"/>
        <v>Fluorescent - T5HO</v>
      </c>
    </row>
    <row r="237" spans="1:7">
      <c r="A237" t="str">
        <f t="shared" si="19"/>
        <v>Fluorescent - T5HO 4-foot 49W 3-Lamp</v>
      </c>
      <c r="B237" t="str">
        <f>CONCATENATE(C237," - ",D237," ",E237)</f>
        <v>Fluorescent - T5HO 4-foot 49W 3-Lamp</v>
      </c>
      <c r="C237" t="s">
        <v>154</v>
      </c>
      <c r="D237" t="s">
        <v>1247</v>
      </c>
      <c r="E237" t="s">
        <v>1256</v>
      </c>
      <c r="F237">
        <v>162</v>
      </c>
      <c r="G237" t="str">
        <f t="shared" si="21"/>
        <v>Fluorescent - T5HO</v>
      </c>
    </row>
    <row r="238" spans="1:7">
      <c r="A238" t="str">
        <f t="shared" si="19"/>
        <v>Fluorescent - T5HO 4-foot 49W 4-Lamp</v>
      </c>
      <c r="B238" t="str">
        <f>CONCATENATE(C238," - ",D238," ",E238)</f>
        <v>Fluorescent - T5HO 4-foot 49W 4-Lamp</v>
      </c>
      <c r="C238" t="s">
        <v>154</v>
      </c>
      <c r="D238" t="s">
        <v>1247</v>
      </c>
      <c r="E238" t="s">
        <v>1257</v>
      </c>
      <c r="F238">
        <v>224</v>
      </c>
      <c r="G238" t="str">
        <f t="shared" si="21"/>
        <v>Fluorescent - T5HO</v>
      </c>
    </row>
    <row r="239" spans="1:7">
      <c r="A239" t="str">
        <f t="shared" si="19"/>
        <v>Fluorescent - T5HO 4-foot 49W 5-Lamp</v>
      </c>
      <c r="B239" t="str">
        <f>CONCATENATE(C239," - ",D239," ",E239)</f>
        <v>Fluorescent - T5HO 4-foot 49W 5-Lamp</v>
      </c>
      <c r="C239" t="s">
        <v>154</v>
      </c>
      <c r="D239" t="s">
        <v>1247</v>
      </c>
      <c r="E239" t="s">
        <v>1258</v>
      </c>
      <c r="F239">
        <v>271</v>
      </c>
      <c r="G239" t="str">
        <f t="shared" si="21"/>
        <v>Fluorescent - T5HO</v>
      </c>
    </row>
    <row r="240" spans="1:7">
      <c r="A240" t="str">
        <f t="shared" si="19"/>
        <v>Fluorescent - T5HO 4-foot 49W 6-Lamp</v>
      </c>
      <c r="B240" t="str">
        <f>CONCATENATE(C240," - ",D240," ",E240)</f>
        <v>Fluorescent - T5HO 4-foot 49W 6-Lamp</v>
      </c>
      <c r="C240" t="s">
        <v>154</v>
      </c>
      <c r="D240" t="s">
        <v>1247</v>
      </c>
      <c r="E240" t="s">
        <v>1259</v>
      </c>
      <c r="F240">
        <v>333</v>
      </c>
      <c r="G240" t="str">
        <f t="shared" si="21"/>
        <v>Fluorescent - T5HO</v>
      </c>
    </row>
    <row r="241" spans="1:7">
      <c r="A241" t="str">
        <f t="shared" si="19"/>
        <v>Fluorescent - T5HO 2-foot 1-Lamp</v>
      </c>
      <c r="B241" t="str">
        <f t="shared" si="14"/>
        <v>Fluorescent - T5HO 2-foot 1-Lamp</v>
      </c>
      <c r="C241" t="s">
        <v>154</v>
      </c>
      <c r="D241" t="s">
        <v>1247</v>
      </c>
      <c r="E241" t="s">
        <v>1191</v>
      </c>
      <c r="F241">
        <v>29</v>
      </c>
      <c r="G241" t="str">
        <f t="shared" si="21"/>
        <v>Fluorescent - T5HO</v>
      </c>
    </row>
    <row r="242" spans="1:7">
      <c r="A242" t="str">
        <f t="shared" si="19"/>
        <v>Fluorescent - T5HO 2-foot 2-Lamp</v>
      </c>
      <c r="B242" t="str">
        <f t="shared" si="14"/>
        <v>Fluorescent - T5HO 2-foot 2-Lamp</v>
      </c>
      <c r="C242" t="s">
        <v>154</v>
      </c>
      <c r="D242" t="s">
        <v>1247</v>
      </c>
      <c r="E242" t="s">
        <v>1192</v>
      </c>
      <c r="F242">
        <v>52</v>
      </c>
      <c r="G242" t="str">
        <f t="shared" si="21"/>
        <v>Fluorescent - T5HO</v>
      </c>
    </row>
    <row r="243" spans="1:7">
      <c r="A243" t="str">
        <f t="shared" si="19"/>
        <v>Fluorescent - T5HO 3-foot 1-Lamp</v>
      </c>
      <c r="B243" t="str">
        <f t="shared" si="14"/>
        <v>Fluorescent - T5HO 3-foot 1-Lamp</v>
      </c>
      <c r="C243" t="s">
        <v>154</v>
      </c>
      <c r="D243" t="s">
        <v>1247</v>
      </c>
      <c r="E243" t="s">
        <v>1187</v>
      </c>
      <c r="F243">
        <v>43</v>
      </c>
      <c r="G243" t="str">
        <f t="shared" si="21"/>
        <v>Fluorescent - T5HO</v>
      </c>
    </row>
    <row r="244" spans="1:7">
      <c r="A244" t="str">
        <f t="shared" si="19"/>
        <v>Fluorescent - T5HO 3-foot 2-Lamp</v>
      </c>
      <c r="B244" t="str">
        <f t="shared" si="14"/>
        <v>Fluorescent - T5HO 3-foot 2-Lamp</v>
      </c>
      <c r="C244" t="s">
        <v>154</v>
      </c>
      <c r="D244" t="s">
        <v>1247</v>
      </c>
      <c r="E244" t="s">
        <v>1188</v>
      </c>
      <c r="F244">
        <v>87</v>
      </c>
      <c r="G244" t="str">
        <f>CONCATENATE(C244," - ",D244)</f>
        <v>Fluorescent - T5HO</v>
      </c>
    </row>
    <row r="246" spans="1:7">
      <c r="E246" t="s">
        <v>1260</v>
      </c>
    </row>
    <row r="247" spans="1:7">
      <c r="A247" t="str">
        <f>CONCATENATE(C247," - ",D247," ",E247)</f>
        <v>Induction - Induction 40W</v>
      </c>
      <c r="B247" t="str">
        <f>CONCATENATE(C247," - ",E247)</f>
        <v>Induction - 40W</v>
      </c>
      <c r="C247" t="s">
        <v>1260</v>
      </c>
      <c r="D247" t="s">
        <v>1260</v>
      </c>
      <c r="E247" t="s">
        <v>1152</v>
      </c>
      <c r="F247">
        <v>41</v>
      </c>
      <c r="G247" t="str">
        <f t="shared" ref="G247:G255" si="22">CONCATENATE(C247," - ",D247)</f>
        <v>Induction - Induction</v>
      </c>
    </row>
    <row r="248" spans="1:7">
      <c r="A248" t="str">
        <f t="shared" ref="A248:A256" si="23">CONCATENATE(C248," - ",D248," ",E248)</f>
        <v>Induction - Induction 55W</v>
      </c>
      <c r="B248" t="str">
        <f>CONCATENATE(C248," - ",E248)</f>
        <v>Induction - 55W</v>
      </c>
      <c r="C248" t="s">
        <v>1260</v>
      </c>
      <c r="D248" t="s">
        <v>1260</v>
      </c>
      <c r="E248" t="s">
        <v>1163</v>
      </c>
      <c r="F248">
        <v>55</v>
      </c>
      <c r="G248" t="str">
        <f t="shared" si="22"/>
        <v>Induction - Induction</v>
      </c>
    </row>
    <row r="249" spans="1:7">
      <c r="A249" t="str">
        <f t="shared" si="23"/>
        <v>Induction - Induction 80W</v>
      </c>
      <c r="B249" t="str">
        <f>CONCATENATE(C249," - ",E249)</f>
        <v>Induction - 80W</v>
      </c>
      <c r="C249" t="s">
        <v>1260</v>
      </c>
      <c r="D249" t="s">
        <v>1260</v>
      </c>
      <c r="E249" t="s">
        <v>1261</v>
      </c>
      <c r="F249">
        <v>82</v>
      </c>
      <c r="G249" t="str">
        <f t="shared" si="22"/>
        <v>Induction - Induction</v>
      </c>
    </row>
    <row r="250" spans="1:7">
      <c r="A250" t="str">
        <f t="shared" si="23"/>
        <v>Induction - Induction 85W</v>
      </c>
      <c r="B250" t="str">
        <f t="shared" ref="B250:B303" si="24">CONCATENATE(C250," - ",E250)</f>
        <v>Induction - 85W</v>
      </c>
      <c r="C250" t="s">
        <v>1260</v>
      </c>
      <c r="D250" t="s">
        <v>1260</v>
      </c>
      <c r="E250" t="s">
        <v>1262</v>
      </c>
      <c r="F250">
        <v>85</v>
      </c>
      <c r="G250" t="str">
        <f t="shared" si="22"/>
        <v>Induction - Induction</v>
      </c>
    </row>
    <row r="251" spans="1:7">
      <c r="A251" t="str">
        <f t="shared" si="23"/>
        <v>Induction - Induction 100W</v>
      </c>
      <c r="B251" t="str">
        <f t="shared" si="24"/>
        <v>Induction - 100W</v>
      </c>
      <c r="C251" t="s">
        <v>1260</v>
      </c>
      <c r="D251" t="s">
        <v>1260</v>
      </c>
      <c r="E251" t="s">
        <v>1167</v>
      </c>
      <c r="F251">
        <v>102</v>
      </c>
      <c r="G251" t="str">
        <f t="shared" si="22"/>
        <v>Induction - Induction</v>
      </c>
    </row>
    <row r="252" spans="1:7">
      <c r="A252" t="str">
        <f t="shared" si="23"/>
        <v>Induction - Induction 120W</v>
      </c>
      <c r="B252" t="str">
        <f t="shared" si="24"/>
        <v>Induction - 120W</v>
      </c>
      <c r="C252" t="s">
        <v>1260</v>
      </c>
      <c r="D252" t="s">
        <v>1260</v>
      </c>
      <c r="E252" t="s">
        <v>1174</v>
      </c>
      <c r="F252">
        <v>122</v>
      </c>
      <c r="G252" t="str">
        <f t="shared" si="22"/>
        <v>Induction - Induction</v>
      </c>
    </row>
    <row r="253" spans="1:7">
      <c r="A253" t="str">
        <f t="shared" si="23"/>
        <v>Induction - Induction 165W</v>
      </c>
      <c r="B253" t="str">
        <f t="shared" si="24"/>
        <v>Induction - 165W</v>
      </c>
      <c r="C253" t="s">
        <v>1260</v>
      </c>
      <c r="D253" t="s">
        <v>1260</v>
      </c>
      <c r="E253" t="s">
        <v>1263</v>
      </c>
      <c r="F253">
        <v>165</v>
      </c>
      <c r="G253" t="str">
        <f t="shared" si="22"/>
        <v>Induction - Induction</v>
      </c>
    </row>
    <row r="254" spans="1:7">
      <c r="A254" t="str">
        <f t="shared" si="23"/>
        <v>Induction - Induction 200W</v>
      </c>
      <c r="B254" t="str">
        <f t="shared" si="24"/>
        <v>Induction - 200W</v>
      </c>
      <c r="C254" t="s">
        <v>1260</v>
      </c>
      <c r="D254" t="s">
        <v>1260</v>
      </c>
      <c r="E254" t="s">
        <v>1176</v>
      </c>
      <c r="F254">
        <v>204</v>
      </c>
      <c r="G254" t="str">
        <f t="shared" si="22"/>
        <v>Induction - Induction</v>
      </c>
    </row>
    <row r="255" spans="1:7">
      <c r="A255" t="str">
        <f t="shared" si="23"/>
        <v>Induction - Induction 300W</v>
      </c>
      <c r="B255" t="str">
        <f t="shared" si="24"/>
        <v>Induction - 300W</v>
      </c>
      <c r="C255" t="s">
        <v>1260</v>
      </c>
      <c r="D255" t="s">
        <v>1260</v>
      </c>
      <c r="E255" t="s">
        <v>1178</v>
      </c>
      <c r="F255">
        <v>306</v>
      </c>
      <c r="G255" t="str">
        <f t="shared" si="22"/>
        <v>Induction - Induction</v>
      </c>
    </row>
    <row r="256" spans="1:7">
      <c r="A256" t="str">
        <f t="shared" si="23"/>
        <v>Induction - Induction 400W</v>
      </c>
      <c r="B256" t="str">
        <f t="shared" si="24"/>
        <v>Induction - 400W</v>
      </c>
      <c r="C256" t="s">
        <v>1260</v>
      </c>
      <c r="D256" t="s">
        <v>1260</v>
      </c>
      <c r="E256" t="s">
        <v>1264</v>
      </c>
      <c r="F256">
        <v>408</v>
      </c>
      <c r="G256" t="str">
        <f>CONCATENATE(C256," - ",D256)</f>
        <v>Induction - Induction</v>
      </c>
    </row>
    <row r="259" spans="1:7">
      <c r="A259" t="str">
        <f t="shared" ref="A259:A268" si="25">CONCATENATE(C259," - ",D259," ",E259)</f>
        <v>HID - High Pressure Sodium HPS 35W</v>
      </c>
      <c r="B259" t="str">
        <f t="shared" si="24"/>
        <v>HID - HPS 35W</v>
      </c>
      <c r="C259" t="s">
        <v>163</v>
      </c>
      <c r="D259" t="s">
        <v>448</v>
      </c>
      <c r="E259" t="s">
        <v>1265</v>
      </c>
      <c r="F259">
        <v>45</v>
      </c>
      <c r="G259" t="str">
        <f>CONCATENATE(C259," - ",D259)</f>
        <v>HID - High Pressure Sodium</v>
      </c>
    </row>
    <row r="260" spans="1:7">
      <c r="A260" t="str">
        <f t="shared" si="25"/>
        <v>HID - High Pressure Sodium HPS 50W</v>
      </c>
      <c r="B260" t="str">
        <f t="shared" si="24"/>
        <v>HID - HPS 50W</v>
      </c>
      <c r="C260" t="s">
        <v>163</v>
      </c>
      <c r="D260" t="s">
        <v>448</v>
      </c>
      <c r="E260" t="s">
        <v>1266</v>
      </c>
      <c r="F260">
        <v>68</v>
      </c>
      <c r="G260" t="str">
        <f t="shared" ref="G260:G268" si="26">CONCATENATE(C260," - ",D260)</f>
        <v>HID - High Pressure Sodium</v>
      </c>
    </row>
    <row r="261" spans="1:7">
      <c r="A261" t="str">
        <f t="shared" si="25"/>
        <v>HID - High Pressure Sodium HPS 70W</v>
      </c>
      <c r="B261" t="str">
        <f t="shared" si="24"/>
        <v>HID - HPS 70W</v>
      </c>
      <c r="C261" t="s">
        <v>163</v>
      </c>
      <c r="D261" t="s">
        <v>448</v>
      </c>
      <c r="E261" t="s">
        <v>1267</v>
      </c>
      <c r="F261">
        <v>86</v>
      </c>
      <c r="G261" t="str">
        <f t="shared" si="26"/>
        <v>HID - High Pressure Sodium</v>
      </c>
    </row>
    <row r="262" spans="1:7">
      <c r="A262" t="str">
        <f t="shared" si="25"/>
        <v>HID - High Pressure Sodium HPS 100W</v>
      </c>
      <c r="B262" t="str">
        <f t="shared" si="24"/>
        <v>HID - HPS 100W</v>
      </c>
      <c r="C262" t="s">
        <v>163</v>
      </c>
      <c r="D262" t="s">
        <v>448</v>
      </c>
      <c r="E262" t="s">
        <v>1268</v>
      </c>
      <c r="F262">
        <v>120</v>
      </c>
      <c r="G262" t="str">
        <f t="shared" si="26"/>
        <v>HID - High Pressure Sodium</v>
      </c>
    </row>
    <row r="263" spans="1:7">
      <c r="A263" t="str">
        <f t="shared" si="25"/>
        <v>HID - High Pressure Sodium HPS 150W</v>
      </c>
      <c r="B263" t="str">
        <f t="shared" si="24"/>
        <v>HID - HPS 150W</v>
      </c>
      <c r="C263" t="s">
        <v>163</v>
      </c>
      <c r="D263" t="s">
        <v>448</v>
      </c>
      <c r="E263" t="s">
        <v>449</v>
      </c>
      <c r="F263">
        <v>170</v>
      </c>
      <c r="G263" t="str">
        <f t="shared" si="26"/>
        <v>HID - High Pressure Sodium</v>
      </c>
    </row>
    <row r="264" spans="1:7">
      <c r="A264" t="str">
        <f t="shared" si="25"/>
        <v>HID - High Pressure Sodium HPS 200W</v>
      </c>
      <c r="B264" t="str">
        <f t="shared" si="24"/>
        <v>HID - HPS 200W</v>
      </c>
      <c r="C264" t="s">
        <v>163</v>
      </c>
      <c r="D264" t="s">
        <v>448</v>
      </c>
      <c r="E264" t="s">
        <v>1269</v>
      </c>
      <c r="F264">
        <v>245</v>
      </c>
      <c r="G264" t="str">
        <f t="shared" si="26"/>
        <v>HID - High Pressure Sodium</v>
      </c>
    </row>
    <row r="265" spans="1:7">
      <c r="A265" t="str">
        <f t="shared" si="25"/>
        <v>HID - High Pressure Sodium HPS 250W</v>
      </c>
      <c r="B265" t="str">
        <f t="shared" si="24"/>
        <v>HID - HPS 250W</v>
      </c>
      <c r="C265" t="s">
        <v>163</v>
      </c>
      <c r="D265" t="s">
        <v>448</v>
      </c>
      <c r="E265" t="s">
        <v>1270</v>
      </c>
      <c r="F265">
        <v>295</v>
      </c>
      <c r="G265" t="str">
        <f t="shared" si="26"/>
        <v>HID - High Pressure Sodium</v>
      </c>
    </row>
    <row r="266" spans="1:7">
      <c r="A266" t="str">
        <f t="shared" si="25"/>
        <v>HID - High Pressure Sodium HPS 310W</v>
      </c>
      <c r="B266" t="str">
        <f t="shared" si="24"/>
        <v>HID - HPS 310W</v>
      </c>
      <c r="C266" t="s">
        <v>163</v>
      </c>
      <c r="D266" t="s">
        <v>448</v>
      </c>
      <c r="E266" t="s">
        <v>1271</v>
      </c>
      <c r="F266">
        <v>365</v>
      </c>
      <c r="G266" t="str">
        <f t="shared" si="26"/>
        <v>HID - High Pressure Sodium</v>
      </c>
    </row>
    <row r="267" spans="1:7">
      <c r="A267" t="str">
        <f t="shared" si="25"/>
        <v>HID - High Pressure Sodium HPS 400W</v>
      </c>
      <c r="B267" t="str">
        <f t="shared" si="24"/>
        <v>HID - HPS 400W</v>
      </c>
      <c r="C267" t="s">
        <v>163</v>
      </c>
      <c r="D267" t="s">
        <v>448</v>
      </c>
      <c r="E267" t="s">
        <v>1272</v>
      </c>
      <c r="F267">
        <v>457</v>
      </c>
      <c r="G267" t="str">
        <f t="shared" si="26"/>
        <v>HID - High Pressure Sodium</v>
      </c>
    </row>
    <row r="268" spans="1:7">
      <c r="A268" t="str">
        <f t="shared" si="25"/>
        <v>HID - High Pressure Sodium HPS 1000W</v>
      </c>
      <c r="B268" t="str">
        <f t="shared" si="24"/>
        <v>HID - HPS 1000W</v>
      </c>
      <c r="C268" t="s">
        <v>163</v>
      </c>
      <c r="D268" t="s">
        <v>448</v>
      </c>
      <c r="E268" t="s">
        <v>1273</v>
      </c>
      <c r="F268">
        <v>1100</v>
      </c>
      <c r="G268" t="str">
        <f t="shared" si="26"/>
        <v>HID - High Pressure Sodium</v>
      </c>
    </row>
    <row r="269" spans="1:7">
      <c r="B269" t="str">
        <f t="shared" si="24"/>
        <v xml:space="preserve"> - </v>
      </c>
    </row>
    <row r="270" spans="1:7">
      <c r="B270" t="str">
        <f t="shared" si="24"/>
        <v xml:space="preserve"> - Metal Halide</v>
      </c>
      <c r="E270" t="s">
        <v>164</v>
      </c>
    </row>
    <row r="271" spans="1:7">
      <c r="A271" t="str">
        <f t="shared" ref="A271:A336" si="27">CONCATENATE(C271," - ",D271," ",E271)</f>
        <v>HID - Metal Halide CMH 20W</v>
      </c>
      <c r="B271" t="str">
        <f t="shared" si="24"/>
        <v>HID - CMH 20W</v>
      </c>
      <c r="C271" t="s">
        <v>163</v>
      </c>
      <c r="D271" t="s">
        <v>164</v>
      </c>
      <c r="E271" t="s">
        <v>1274</v>
      </c>
      <c r="F271">
        <v>28</v>
      </c>
      <c r="G271" t="str">
        <f t="shared" ref="G271:G296" si="28">CONCATENATE(C271," - ",D271)</f>
        <v>HID - Metal Halide</v>
      </c>
    </row>
    <row r="272" spans="1:7">
      <c r="A272" t="str">
        <f t="shared" si="27"/>
        <v>HID - Metal Halide CMH 39W</v>
      </c>
      <c r="B272" t="str">
        <f t="shared" si="24"/>
        <v>HID - CMH 39W</v>
      </c>
      <c r="C272" t="s">
        <v>163</v>
      </c>
      <c r="D272" t="s">
        <v>164</v>
      </c>
      <c r="E272" t="s">
        <v>1275</v>
      </c>
      <c r="F272">
        <v>45</v>
      </c>
      <c r="G272" t="str">
        <f t="shared" si="28"/>
        <v>HID - Metal Halide</v>
      </c>
    </row>
    <row r="273" spans="1:7">
      <c r="A273" t="str">
        <f t="shared" si="27"/>
        <v>HID - Metal Halide MH 35/39W</v>
      </c>
      <c r="B273" t="str">
        <f t="shared" si="24"/>
        <v>HID - MH 35/39W</v>
      </c>
      <c r="C273" t="s">
        <v>163</v>
      </c>
      <c r="D273" t="s">
        <v>164</v>
      </c>
      <c r="E273" t="s">
        <v>1276</v>
      </c>
      <c r="F273">
        <v>56</v>
      </c>
      <c r="G273" t="str">
        <f t="shared" si="28"/>
        <v>HID - Metal Halide</v>
      </c>
    </row>
    <row r="274" spans="1:7">
      <c r="A274" t="str">
        <f t="shared" si="27"/>
        <v>HID - Metal Halide CMH 50W</v>
      </c>
      <c r="B274" t="str">
        <f t="shared" si="24"/>
        <v>HID - CMH 50W</v>
      </c>
      <c r="C274" t="s">
        <v>163</v>
      </c>
      <c r="D274" t="s">
        <v>164</v>
      </c>
      <c r="E274" t="s">
        <v>1277</v>
      </c>
      <c r="F274">
        <v>55</v>
      </c>
      <c r="G274" t="str">
        <f t="shared" si="28"/>
        <v>HID - Metal Halide</v>
      </c>
    </row>
    <row r="275" spans="1:7">
      <c r="A275" t="str">
        <f t="shared" si="27"/>
        <v>HID - Metal Halide MH 50W</v>
      </c>
      <c r="B275" t="str">
        <f t="shared" si="24"/>
        <v>HID - MH 50W</v>
      </c>
      <c r="C275" t="s">
        <v>163</v>
      </c>
      <c r="D275" t="s">
        <v>164</v>
      </c>
      <c r="E275" t="s">
        <v>1278</v>
      </c>
      <c r="F275">
        <v>62</v>
      </c>
      <c r="G275" t="str">
        <f t="shared" si="28"/>
        <v>HID - Metal Halide</v>
      </c>
    </row>
    <row r="276" spans="1:7">
      <c r="A276" t="str">
        <f t="shared" si="27"/>
        <v>HID - Metal Halide CMH 70W</v>
      </c>
      <c r="B276" t="str">
        <f t="shared" si="24"/>
        <v>HID - CMH 70W</v>
      </c>
      <c r="C276" t="s">
        <v>163</v>
      </c>
      <c r="D276" t="s">
        <v>164</v>
      </c>
      <c r="E276" t="s">
        <v>1279</v>
      </c>
      <c r="F276">
        <v>80</v>
      </c>
      <c r="G276" t="str">
        <f t="shared" si="28"/>
        <v>HID - Metal Halide</v>
      </c>
    </row>
    <row r="277" spans="1:7">
      <c r="A277" t="str">
        <f t="shared" si="27"/>
        <v>HID - Metal Halide MH 70W</v>
      </c>
      <c r="B277" t="str">
        <f t="shared" si="24"/>
        <v>HID - MH 70W</v>
      </c>
      <c r="C277" t="s">
        <v>163</v>
      </c>
      <c r="D277" t="s">
        <v>164</v>
      </c>
      <c r="E277" t="s">
        <v>1280</v>
      </c>
      <c r="F277">
        <v>90</v>
      </c>
      <c r="G277" t="str">
        <f t="shared" si="28"/>
        <v>HID - Metal Halide</v>
      </c>
    </row>
    <row r="278" spans="1:7">
      <c r="A278" t="str">
        <f t="shared" si="27"/>
        <v>HID - Metal Halide MH 100W</v>
      </c>
      <c r="B278" t="str">
        <f t="shared" si="24"/>
        <v>HID - MH 100W</v>
      </c>
      <c r="C278" t="s">
        <v>163</v>
      </c>
      <c r="D278" t="s">
        <v>164</v>
      </c>
      <c r="E278" t="s">
        <v>1281</v>
      </c>
      <c r="F278">
        <v>129</v>
      </c>
      <c r="G278" t="str">
        <f t="shared" si="28"/>
        <v>HID - Metal Halide</v>
      </c>
    </row>
    <row r="279" spans="1:7">
      <c r="A279" t="str">
        <f t="shared" si="27"/>
        <v>HID - Metal Halide CMH 150W</v>
      </c>
      <c r="B279" t="str">
        <f t="shared" si="24"/>
        <v>HID - CMH 150W</v>
      </c>
      <c r="C279" t="s">
        <v>163</v>
      </c>
      <c r="D279" t="s">
        <v>164</v>
      </c>
      <c r="E279" t="s">
        <v>1282</v>
      </c>
      <c r="F279">
        <v>168</v>
      </c>
      <c r="G279" t="str">
        <f t="shared" si="28"/>
        <v>HID - Metal Halide</v>
      </c>
    </row>
    <row r="280" spans="1:7">
      <c r="A280" t="str">
        <f t="shared" si="27"/>
        <v>HID - Metal Halide MH 150W</v>
      </c>
      <c r="B280" t="str">
        <f t="shared" si="24"/>
        <v>HID - MH 150W</v>
      </c>
      <c r="C280" t="s">
        <v>163</v>
      </c>
      <c r="D280" t="s">
        <v>164</v>
      </c>
      <c r="E280" t="s">
        <v>1283</v>
      </c>
      <c r="F280">
        <v>185</v>
      </c>
      <c r="G280" t="str">
        <f t="shared" si="28"/>
        <v>HID - Metal Halide</v>
      </c>
    </row>
    <row r="281" spans="1:7">
      <c r="A281" t="str">
        <f t="shared" si="27"/>
        <v>HID - Metal Halide MH 175W</v>
      </c>
      <c r="B281" t="str">
        <f t="shared" si="24"/>
        <v>HID - MH 175W</v>
      </c>
      <c r="C281" t="s">
        <v>163</v>
      </c>
      <c r="D281" t="s">
        <v>164</v>
      </c>
      <c r="E281" t="s">
        <v>1284</v>
      </c>
      <c r="F281">
        <v>210</v>
      </c>
      <c r="G281" t="str">
        <f t="shared" si="28"/>
        <v>HID - Metal Halide</v>
      </c>
    </row>
    <row r="282" spans="1:7">
      <c r="A282" t="str">
        <f t="shared" si="27"/>
        <v>HID - Metal Halide MH PS 200W</v>
      </c>
      <c r="B282" t="str">
        <f t="shared" si="24"/>
        <v>HID - MH PS 200W</v>
      </c>
      <c r="C282" t="s">
        <v>163</v>
      </c>
      <c r="D282" t="s">
        <v>164</v>
      </c>
      <c r="E282" t="s">
        <v>1285</v>
      </c>
      <c r="F282">
        <v>232</v>
      </c>
      <c r="G282" t="str">
        <f t="shared" si="28"/>
        <v>HID - Metal Halide</v>
      </c>
    </row>
    <row r="283" spans="1:7">
      <c r="A283" t="str">
        <f t="shared" si="27"/>
        <v>HID - Metal Halide MH 250W</v>
      </c>
      <c r="B283" t="str">
        <f t="shared" si="24"/>
        <v>HID - MH 250W</v>
      </c>
      <c r="C283" t="s">
        <v>163</v>
      </c>
      <c r="D283" t="s">
        <v>164</v>
      </c>
      <c r="E283" t="s">
        <v>165</v>
      </c>
      <c r="F283">
        <v>291</v>
      </c>
      <c r="G283" t="str">
        <f t="shared" si="28"/>
        <v>HID - Metal Halide</v>
      </c>
    </row>
    <row r="284" spans="1:7">
      <c r="A284" t="str">
        <f t="shared" si="27"/>
        <v>HID - Metal Halide MH PS 250W</v>
      </c>
      <c r="B284" t="str">
        <f t="shared" si="24"/>
        <v>HID - MH PS 250W</v>
      </c>
      <c r="C284" t="s">
        <v>163</v>
      </c>
      <c r="D284" t="s">
        <v>164</v>
      </c>
      <c r="E284" t="s">
        <v>1286</v>
      </c>
      <c r="F284">
        <v>291</v>
      </c>
      <c r="G284" t="str">
        <f t="shared" si="28"/>
        <v>HID - Metal Halide</v>
      </c>
    </row>
    <row r="285" spans="1:7">
      <c r="A285" t="str">
        <f t="shared" si="27"/>
        <v>HID - Metal Halide MH 300W</v>
      </c>
      <c r="B285" t="str">
        <f t="shared" si="24"/>
        <v>HID - MH 300W</v>
      </c>
      <c r="C285" t="s">
        <v>163</v>
      </c>
      <c r="D285" t="s">
        <v>164</v>
      </c>
      <c r="E285" t="s">
        <v>1287</v>
      </c>
      <c r="F285">
        <v>342</v>
      </c>
      <c r="G285" t="str">
        <f t="shared" si="28"/>
        <v>HID - Metal Halide</v>
      </c>
    </row>
    <row r="286" spans="1:7">
      <c r="A286" t="str">
        <f t="shared" si="27"/>
        <v>HID - Metal Halide MH PS 300W</v>
      </c>
      <c r="B286" t="str">
        <f t="shared" si="24"/>
        <v>HID - MH PS 300W</v>
      </c>
      <c r="C286" t="s">
        <v>163</v>
      </c>
      <c r="D286" t="s">
        <v>164</v>
      </c>
      <c r="E286" t="s">
        <v>1288</v>
      </c>
      <c r="F286">
        <v>342</v>
      </c>
      <c r="G286" t="str">
        <f t="shared" si="28"/>
        <v>HID - Metal Halide</v>
      </c>
    </row>
    <row r="287" spans="1:7">
      <c r="A287" t="str">
        <f t="shared" si="27"/>
        <v>HID - Metal Halide MH PS 320W</v>
      </c>
      <c r="B287" t="str">
        <f t="shared" si="24"/>
        <v>HID - MH PS 320W</v>
      </c>
      <c r="C287" t="s">
        <v>163</v>
      </c>
      <c r="D287" t="s">
        <v>164</v>
      </c>
      <c r="E287" t="s">
        <v>1289</v>
      </c>
      <c r="F287">
        <v>368</v>
      </c>
      <c r="G287" t="str">
        <f t="shared" si="28"/>
        <v>HID - Metal Halide</v>
      </c>
    </row>
    <row r="288" spans="1:7">
      <c r="A288" t="str">
        <f t="shared" si="27"/>
        <v>HID - Metal Halide MH PS 350W</v>
      </c>
      <c r="B288" t="str">
        <f t="shared" si="24"/>
        <v>HID - MH PS 350W</v>
      </c>
      <c r="C288" t="s">
        <v>163</v>
      </c>
      <c r="D288" t="s">
        <v>164</v>
      </c>
      <c r="E288" t="s">
        <v>1290</v>
      </c>
      <c r="F288">
        <v>397</v>
      </c>
      <c r="G288" t="str">
        <f t="shared" si="28"/>
        <v>HID - Metal Halide</v>
      </c>
    </row>
    <row r="289" spans="1:7">
      <c r="A289" t="str">
        <f t="shared" si="27"/>
        <v>HID - Metal Halide MH 400W Magnetic ballast</v>
      </c>
      <c r="B289" t="str">
        <f t="shared" si="24"/>
        <v>HID - MH 400W Magnetic ballast</v>
      </c>
      <c r="C289" t="s">
        <v>163</v>
      </c>
      <c r="D289" t="s">
        <v>164</v>
      </c>
      <c r="E289" t="s">
        <v>1291</v>
      </c>
      <c r="F289">
        <v>458</v>
      </c>
      <c r="G289" t="str">
        <f t="shared" si="28"/>
        <v>HID - Metal Halide</v>
      </c>
    </row>
    <row r="290" spans="1:7">
      <c r="A290" t="str">
        <f t="shared" si="27"/>
        <v>HID - Metal Halide MH 400W Electronic ballast</v>
      </c>
      <c r="B290" t="str">
        <f t="shared" si="24"/>
        <v>HID - MH 400W Electronic ballast</v>
      </c>
      <c r="C290" t="s">
        <v>163</v>
      </c>
      <c r="D290" t="s">
        <v>164</v>
      </c>
      <c r="E290" t="s">
        <v>1292</v>
      </c>
      <c r="F290">
        <v>428</v>
      </c>
      <c r="G290" t="str">
        <f t="shared" si="28"/>
        <v>HID - Metal Halide</v>
      </c>
    </row>
    <row r="291" spans="1:7">
      <c r="A291" t="str">
        <f t="shared" si="27"/>
        <v>HID - Metal Halide MH PS 400W</v>
      </c>
      <c r="B291" t="str">
        <f t="shared" si="24"/>
        <v>HID - MH PS 400W</v>
      </c>
      <c r="C291" t="s">
        <v>163</v>
      </c>
      <c r="D291" t="s">
        <v>164</v>
      </c>
      <c r="E291" t="s">
        <v>1293</v>
      </c>
      <c r="F291">
        <v>452</v>
      </c>
      <c r="G291" t="str">
        <f t="shared" si="28"/>
        <v>HID - Metal Halide</v>
      </c>
    </row>
    <row r="292" spans="1:7">
      <c r="A292" t="str">
        <f t="shared" si="27"/>
        <v>HID - Metal Halide MH PS 450W</v>
      </c>
      <c r="B292" t="str">
        <f t="shared" si="24"/>
        <v>HID - MH PS 450W</v>
      </c>
      <c r="C292" t="s">
        <v>163</v>
      </c>
      <c r="D292" t="s">
        <v>164</v>
      </c>
      <c r="E292" t="s">
        <v>1294</v>
      </c>
      <c r="F292">
        <v>508</v>
      </c>
      <c r="G292" t="str">
        <f t="shared" si="28"/>
        <v>HID - Metal Halide</v>
      </c>
    </row>
    <row r="293" spans="1:7">
      <c r="A293" t="str">
        <f t="shared" si="27"/>
        <v>HID - Metal Halide MH PS 750W</v>
      </c>
      <c r="B293" t="str">
        <f t="shared" si="24"/>
        <v>HID - MH PS 750W</v>
      </c>
      <c r="C293" t="s">
        <v>163</v>
      </c>
      <c r="D293" t="s">
        <v>164</v>
      </c>
      <c r="E293" t="s">
        <v>1295</v>
      </c>
      <c r="F293">
        <v>818</v>
      </c>
      <c r="G293" t="str">
        <f t="shared" si="28"/>
        <v>HID - Metal Halide</v>
      </c>
    </row>
    <row r="294" spans="1:7">
      <c r="A294" t="str">
        <f t="shared" si="27"/>
        <v>HID - Metal Halide MH PS 875W</v>
      </c>
      <c r="B294" t="str">
        <f t="shared" si="24"/>
        <v>HID - MH PS 875W</v>
      </c>
      <c r="C294" t="s">
        <v>163</v>
      </c>
      <c r="D294" t="s">
        <v>164</v>
      </c>
      <c r="E294" t="s">
        <v>1296</v>
      </c>
      <c r="F294">
        <v>940</v>
      </c>
      <c r="G294" t="str">
        <f t="shared" si="28"/>
        <v>HID - Metal Halide</v>
      </c>
    </row>
    <row r="295" spans="1:7">
      <c r="A295" t="str">
        <f t="shared" si="27"/>
        <v>HID - Metal Halide MH 1000W</v>
      </c>
      <c r="B295" t="str">
        <f t="shared" si="24"/>
        <v>HID - MH 1000W</v>
      </c>
      <c r="C295" t="s">
        <v>163</v>
      </c>
      <c r="D295" t="s">
        <v>164</v>
      </c>
      <c r="E295" t="s">
        <v>1297</v>
      </c>
      <c r="F295">
        <v>1080</v>
      </c>
      <c r="G295" t="str">
        <f t="shared" si="28"/>
        <v>HID - Metal Halide</v>
      </c>
    </row>
    <row r="296" spans="1:7">
      <c r="A296" t="str">
        <f t="shared" si="27"/>
        <v>HID - Metal Halide MH 1500W</v>
      </c>
      <c r="B296" t="str">
        <f t="shared" si="24"/>
        <v>HID - MH 1500W</v>
      </c>
      <c r="C296" t="s">
        <v>163</v>
      </c>
      <c r="D296" t="s">
        <v>164</v>
      </c>
      <c r="E296" t="s">
        <v>1298</v>
      </c>
      <c r="F296">
        <v>1610</v>
      </c>
      <c r="G296" t="str">
        <f t="shared" si="28"/>
        <v>HID - Metal Halide</v>
      </c>
    </row>
    <row r="298" spans="1:7">
      <c r="E298" t="s">
        <v>1299</v>
      </c>
    </row>
    <row r="299" spans="1:7">
      <c r="A299" t="str">
        <f t="shared" si="27"/>
        <v>HID - Mercury Vapor MV, 100 Watt Lamp</v>
      </c>
      <c r="B299" t="str">
        <f t="shared" si="24"/>
        <v>HID - MV, 100 Watt Lamp</v>
      </c>
      <c r="C299" t="s">
        <v>163</v>
      </c>
      <c r="D299" t="s">
        <v>1299</v>
      </c>
      <c r="E299" t="s">
        <v>1300</v>
      </c>
      <c r="F299">
        <v>125</v>
      </c>
      <c r="G299" t="str">
        <f>CONCATENATE(C299," - ",D299)</f>
        <v>HID - Mercury Vapor</v>
      </c>
    </row>
    <row r="300" spans="1:7">
      <c r="A300" t="str">
        <f t="shared" si="27"/>
        <v>HID - Mercury Vapor MV, 175 Watt Lamp</v>
      </c>
      <c r="B300" t="str">
        <f t="shared" si="24"/>
        <v>HID - MV, 175 Watt Lamp</v>
      </c>
      <c r="C300" t="s">
        <v>163</v>
      </c>
      <c r="D300" t="s">
        <v>1299</v>
      </c>
      <c r="E300" t="s">
        <v>1301</v>
      </c>
      <c r="F300">
        <v>205</v>
      </c>
      <c r="G300" t="str">
        <f>CONCATENATE(C300," - ",D300)</f>
        <v>HID - Mercury Vapor</v>
      </c>
    </row>
    <row r="301" spans="1:7">
      <c r="A301" t="str">
        <f t="shared" si="27"/>
        <v>HID - Mercury Vapor MV, 250 Watt Lamp</v>
      </c>
      <c r="B301" t="str">
        <f t="shared" si="24"/>
        <v>HID - MV, 250 Watt Lamp</v>
      </c>
      <c r="C301" t="s">
        <v>163</v>
      </c>
      <c r="D301" t="s">
        <v>1299</v>
      </c>
      <c r="E301" t="s">
        <v>1302</v>
      </c>
      <c r="F301">
        <v>285</v>
      </c>
      <c r="G301" t="str">
        <f>CONCATENATE(C301," - ",D301)</f>
        <v>HID - Mercury Vapor</v>
      </c>
    </row>
    <row r="302" spans="1:7">
      <c r="A302" t="str">
        <f t="shared" si="27"/>
        <v>HID - Mercury Vapor MV, 400 Watt Lamp</v>
      </c>
      <c r="B302" t="str">
        <f t="shared" si="24"/>
        <v>HID - MV, 400 Watt Lamp</v>
      </c>
      <c r="C302" t="s">
        <v>163</v>
      </c>
      <c r="D302" t="s">
        <v>1299</v>
      </c>
      <c r="E302" t="s">
        <v>1303</v>
      </c>
      <c r="F302">
        <v>454</v>
      </c>
      <c r="G302" t="str">
        <f>CONCATENATE(C302," - ",D302)</f>
        <v>HID - Mercury Vapor</v>
      </c>
    </row>
    <row r="303" spans="1:7">
      <c r="A303" t="str">
        <f t="shared" si="27"/>
        <v>HID - Mercury Vapor MV, 1000 Watt Lamp</v>
      </c>
      <c r="B303" t="str">
        <f t="shared" si="24"/>
        <v>HID - MV, 1000 Watt Lamp</v>
      </c>
      <c r="C303" t="s">
        <v>163</v>
      </c>
      <c r="D303" t="s">
        <v>1299</v>
      </c>
      <c r="E303" t="s">
        <v>1304</v>
      </c>
      <c r="F303">
        <v>1080</v>
      </c>
      <c r="G303" t="str">
        <f>CONCATENATE(C303," - ",D303)</f>
        <v>HID - Mercury Vapor</v>
      </c>
    </row>
    <row r="305" spans="1:7">
      <c r="E305" t="s">
        <v>1305</v>
      </c>
    </row>
    <row r="306" spans="1:7">
      <c r="A306" t="str">
        <f t="shared" si="27"/>
        <v>Fluorescent - CFL - Pin Base 5W, 1-lamp Magnetic</v>
      </c>
      <c r="B306" t="str">
        <f>CONCATENATE(C306," - ",D306," ",E306)</f>
        <v>Fluorescent - CFL - Pin Base 5W, 1-lamp Magnetic</v>
      </c>
      <c r="C306" t="s">
        <v>154</v>
      </c>
      <c r="D306" t="s">
        <v>1306</v>
      </c>
      <c r="E306" t="s">
        <v>1307</v>
      </c>
      <c r="F306">
        <v>9</v>
      </c>
      <c r="G306" t="str">
        <f t="shared" ref="G306:G327" si="29">CONCATENATE(C306," - ",D306)</f>
        <v>Fluorescent - CFL - Pin Base</v>
      </c>
    </row>
    <row r="307" spans="1:7">
      <c r="A307" t="str">
        <f t="shared" si="27"/>
        <v>Fluorescent - CFL - Pin Base 5W, 2-lamp Magnetic</v>
      </c>
      <c r="B307" t="str">
        <f t="shared" ref="B307:B327" si="30">CONCATENATE(C307," - ",D307," ",E307)</f>
        <v>Fluorescent - CFL - Pin Base 5W, 2-lamp Magnetic</v>
      </c>
      <c r="C307" t="s">
        <v>154</v>
      </c>
      <c r="D307" t="s">
        <v>1306</v>
      </c>
      <c r="E307" t="s">
        <v>1308</v>
      </c>
      <c r="F307">
        <v>18</v>
      </c>
      <c r="G307" t="str">
        <f t="shared" si="29"/>
        <v>Fluorescent - CFL - Pin Base</v>
      </c>
    </row>
    <row r="308" spans="1:7">
      <c r="A308" t="str">
        <f t="shared" si="27"/>
        <v>Fluorescent - CFL - Pin Base 7W, 1-lamp Magnetic</v>
      </c>
      <c r="B308" t="str">
        <f t="shared" si="30"/>
        <v>Fluorescent - CFL - Pin Base 7W, 1-lamp Magnetic</v>
      </c>
      <c r="C308" t="s">
        <v>154</v>
      </c>
      <c r="D308" t="s">
        <v>1306</v>
      </c>
      <c r="E308" t="s">
        <v>1309</v>
      </c>
      <c r="F308">
        <v>9</v>
      </c>
      <c r="G308" t="str">
        <f t="shared" si="29"/>
        <v>Fluorescent - CFL - Pin Base</v>
      </c>
    </row>
    <row r="309" spans="1:7">
      <c r="A309" t="str">
        <f t="shared" si="27"/>
        <v>Fluorescent - CFL - Pin Base 7W, 2-lamp Magnetic</v>
      </c>
      <c r="B309" t="str">
        <f t="shared" si="30"/>
        <v>Fluorescent - CFL - Pin Base 7W, 2-lamp Magnetic</v>
      </c>
      <c r="C309" t="s">
        <v>154</v>
      </c>
      <c r="D309" t="s">
        <v>1306</v>
      </c>
      <c r="E309" t="s">
        <v>1310</v>
      </c>
      <c r="F309">
        <v>18</v>
      </c>
      <c r="G309" t="str">
        <f t="shared" si="29"/>
        <v>Fluorescent - CFL - Pin Base</v>
      </c>
    </row>
    <row r="310" spans="1:7">
      <c r="A310" t="str">
        <f t="shared" si="27"/>
        <v>Fluorescent - CFL - Pin Base 9W, 1-lamp Magnetic</v>
      </c>
      <c r="B310" t="str">
        <f t="shared" si="30"/>
        <v>Fluorescent - CFL - Pin Base 9W, 1-lamp Magnetic</v>
      </c>
      <c r="C310" t="s">
        <v>154</v>
      </c>
      <c r="D310" t="s">
        <v>1306</v>
      </c>
      <c r="E310" t="s">
        <v>1311</v>
      </c>
      <c r="F310">
        <v>10</v>
      </c>
      <c r="G310" t="str">
        <f t="shared" si="29"/>
        <v>Fluorescent - CFL - Pin Base</v>
      </c>
    </row>
    <row r="311" spans="1:7">
      <c r="A311" t="str">
        <f t="shared" si="27"/>
        <v>Fluorescent - CFL - Pin Base 9,W, 2-lamp Magnetic</v>
      </c>
      <c r="B311" t="str">
        <f t="shared" si="30"/>
        <v>Fluorescent - CFL - Pin Base 9,W, 2-lamp Magnetic</v>
      </c>
      <c r="C311" t="s">
        <v>154</v>
      </c>
      <c r="D311" t="s">
        <v>1306</v>
      </c>
      <c r="E311" t="s">
        <v>1312</v>
      </c>
      <c r="F311">
        <v>20</v>
      </c>
      <c r="G311" t="str">
        <f t="shared" si="29"/>
        <v>Fluorescent - CFL - Pin Base</v>
      </c>
    </row>
    <row r="312" spans="1:7">
      <c r="A312" t="str">
        <f t="shared" si="27"/>
        <v>Fluorescent - CFL - Pin Base 13W, 1-lamp Magnetic</v>
      </c>
      <c r="B312" t="str">
        <f t="shared" si="30"/>
        <v>Fluorescent - CFL - Pin Base 13W, 1-lamp Magnetic</v>
      </c>
      <c r="C312" t="s">
        <v>154</v>
      </c>
      <c r="D312" t="s">
        <v>1306</v>
      </c>
      <c r="E312" t="s">
        <v>1313</v>
      </c>
      <c r="F312">
        <v>16</v>
      </c>
      <c r="G312" t="str">
        <f t="shared" si="29"/>
        <v>Fluorescent - CFL - Pin Base</v>
      </c>
    </row>
    <row r="313" spans="1:7">
      <c r="A313" t="str">
        <f t="shared" si="27"/>
        <v>Fluorescent - CFL - Pin Base 13W, 2-lamp Magnetic</v>
      </c>
      <c r="B313" t="str">
        <f t="shared" si="30"/>
        <v>Fluorescent - CFL - Pin Base 13W, 2-lamp Magnetic</v>
      </c>
      <c r="C313" t="s">
        <v>154</v>
      </c>
      <c r="D313" t="s">
        <v>1306</v>
      </c>
      <c r="E313" t="s">
        <v>1314</v>
      </c>
      <c r="F313">
        <v>32</v>
      </c>
      <c r="G313" t="str">
        <f t="shared" si="29"/>
        <v>Fluorescent - CFL - Pin Base</v>
      </c>
    </row>
    <row r="314" spans="1:7">
      <c r="A314" t="str">
        <f t="shared" si="27"/>
        <v>Fluorescent - CFL - Pin Base 18W, 1-lamp Magnetic</v>
      </c>
      <c r="B314" t="str">
        <f t="shared" si="30"/>
        <v>Fluorescent - CFL - Pin Base 18W, 1-lamp Magnetic</v>
      </c>
      <c r="C314" t="s">
        <v>154</v>
      </c>
      <c r="D314" t="s">
        <v>1306</v>
      </c>
      <c r="E314" t="s">
        <v>1315</v>
      </c>
      <c r="F314">
        <v>19</v>
      </c>
      <c r="G314" t="str">
        <f t="shared" si="29"/>
        <v>Fluorescent - CFL - Pin Base</v>
      </c>
    </row>
    <row r="315" spans="1:7">
      <c r="A315" t="str">
        <f t="shared" si="27"/>
        <v>Fluorescent - CFL - Pin Base 18W, 2-lamp Magnetic</v>
      </c>
      <c r="B315" t="str">
        <f t="shared" si="30"/>
        <v>Fluorescent - CFL - Pin Base 18W, 2-lamp Magnetic</v>
      </c>
      <c r="C315" t="s">
        <v>154</v>
      </c>
      <c r="D315" t="s">
        <v>1306</v>
      </c>
      <c r="E315" t="s">
        <v>1316</v>
      </c>
      <c r="F315">
        <v>38</v>
      </c>
      <c r="G315" t="str">
        <f t="shared" si="29"/>
        <v>Fluorescent - CFL - Pin Base</v>
      </c>
    </row>
    <row r="316" spans="1:7">
      <c r="A316" t="str">
        <f t="shared" si="27"/>
        <v>Fluorescent - CFL - Pin Base 26W, 1-lamp Magnetic</v>
      </c>
      <c r="B316" t="str">
        <f t="shared" si="30"/>
        <v>Fluorescent - CFL - Pin Base 26W, 1-lamp Magnetic</v>
      </c>
      <c r="C316" t="s">
        <v>154</v>
      </c>
      <c r="D316" t="s">
        <v>1306</v>
      </c>
      <c r="E316" t="s">
        <v>1317</v>
      </c>
      <c r="F316">
        <v>27</v>
      </c>
      <c r="G316" t="str">
        <f t="shared" si="29"/>
        <v>Fluorescent - CFL - Pin Base</v>
      </c>
    </row>
    <row r="317" spans="1:7">
      <c r="A317" t="str">
        <f t="shared" si="27"/>
        <v>Fluorescent - CFL - Pin Base 26W, 2-lamp Magnetic</v>
      </c>
      <c r="B317" t="str">
        <f t="shared" si="30"/>
        <v>Fluorescent - CFL - Pin Base 26W, 2-lamp Magnetic</v>
      </c>
      <c r="C317" t="s">
        <v>154</v>
      </c>
      <c r="D317" t="s">
        <v>1306</v>
      </c>
      <c r="E317" t="s">
        <v>1318</v>
      </c>
      <c r="F317">
        <v>54</v>
      </c>
      <c r="G317" t="str">
        <f t="shared" si="29"/>
        <v>Fluorescent - CFL - Pin Base</v>
      </c>
    </row>
    <row r="318" spans="1:7">
      <c r="A318" t="str">
        <f t="shared" si="27"/>
        <v>Fluorescent - CFL - Pin Base 13W, 1-lamp Electronic</v>
      </c>
      <c r="B318" t="str">
        <f t="shared" si="30"/>
        <v>Fluorescent - CFL - Pin Base 13W, 1-lamp Electronic</v>
      </c>
      <c r="C318" t="s">
        <v>154</v>
      </c>
      <c r="D318" t="s">
        <v>1306</v>
      </c>
      <c r="E318" t="s">
        <v>1319</v>
      </c>
      <c r="F318">
        <v>13</v>
      </c>
      <c r="G318" t="str">
        <f t="shared" si="29"/>
        <v>Fluorescent - CFL - Pin Base</v>
      </c>
    </row>
    <row r="319" spans="1:7">
      <c r="A319" t="str">
        <f t="shared" si="27"/>
        <v>Fluorescent - CFL - Pin Base 13W, 2-lamp Electronic</v>
      </c>
      <c r="B319" t="str">
        <f t="shared" si="30"/>
        <v>Fluorescent - CFL - Pin Base 13W, 2-lamp Electronic</v>
      </c>
      <c r="C319" t="s">
        <v>154</v>
      </c>
      <c r="D319" t="s">
        <v>1306</v>
      </c>
      <c r="E319" t="s">
        <v>1320</v>
      </c>
      <c r="F319">
        <v>26</v>
      </c>
      <c r="G319" t="str">
        <f t="shared" si="29"/>
        <v>Fluorescent - CFL - Pin Base</v>
      </c>
    </row>
    <row r="320" spans="1:7">
      <c r="A320" t="str">
        <f t="shared" si="27"/>
        <v>Fluorescent - CFL - Pin Base 18W, 1-lamp Electronic</v>
      </c>
      <c r="B320" t="str">
        <f t="shared" si="30"/>
        <v>Fluorescent - CFL - Pin Base 18W, 1-lamp Electronic</v>
      </c>
      <c r="C320" t="s">
        <v>154</v>
      </c>
      <c r="D320" t="s">
        <v>1306</v>
      </c>
      <c r="E320" t="s">
        <v>1321</v>
      </c>
      <c r="F320">
        <v>18</v>
      </c>
      <c r="G320" t="str">
        <f t="shared" si="29"/>
        <v>Fluorescent - CFL - Pin Base</v>
      </c>
    </row>
    <row r="321" spans="1:7">
      <c r="A321" t="str">
        <f t="shared" si="27"/>
        <v>Fluorescent - CFL - Pin Base 18W, 2-lamp Electronic</v>
      </c>
      <c r="B321" t="str">
        <f t="shared" si="30"/>
        <v>Fluorescent - CFL - Pin Base 18W, 2-lamp Electronic</v>
      </c>
      <c r="C321" t="s">
        <v>154</v>
      </c>
      <c r="D321" t="s">
        <v>1306</v>
      </c>
      <c r="E321" t="s">
        <v>1322</v>
      </c>
      <c r="F321">
        <v>36</v>
      </c>
      <c r="G321" t="str">
        <f t="shared" si="29"/>
        <v>Fluorescent - CFL - Pin Base</v>
      </c>
    </row>
    <row r="322" spans="1:7">
      <c r="A322" t="str">
        <f t="shared" si="27"/>
        <v>Fluorescent - CFL - Pin Base 26W, 1-lamp Electronic</v>
      </c>
      <c r="B322" t="str">
        <f t="shared" si="30"/>
        <v>Fluorescent - CFL - Pin Base 26W, 1-lamp Electronic</v>
      </c>
      <c r="C322" t="s">
        <v>154</v>
      </c>
      <c r="D322" t="s">
        <v>1306</v>
      </c>
      <c r="E322" t="s">
        <v>1323</v>
      </c>
      <c r="F322">
        <v>26</v>
      </c>
      <c r="G322" t="str">
        <f t="shared" si="29"/>
        <v>Fluorescent - CFL - Pin Base</v>
      </c>
    </row>
    <row r="323" spans="1:7">
      <c r="A323" t="str">
        <f t="shared" si="27"/>
        <v>Fluorescent - CFL - Pin Base 26W, 2-lamp Electronic</v>
      </c>
      <c r="B323" t="str">
        <f t="shared" si="30"/>
        <v>Fluorescent - CFL - Pin Base 26W, 2-lamp Electronic</v>
      </c>
      <c r="C323" t="s">
        <v>154</v>
      </c>
      <c r="D323" t="s">
        <v>1306</v>
      </c>
      <c r="E323" t="s">
        <v>1324</v>
      </c>
      <c r="F323">
        <v>52</v>
      </c>
      <c r="G323" t="str">
        <f t="shared" si="29"/>
        <v>Fluorescent - CFL - Pin Base</v>
      </c>
    </row>
    <row r="324" spans="1:7">
      <c r="A324" t="str">
        <f t="shared" si="27"/>
        <v>Fluorescent - CFL - Pin Base 32W, 1-lamp Electronic</v>
      </c>
      <c r="B324" t="str">
        <f t="shared" si="30"/>
        <v>Fluorescent - CFL - Pin Base 32W, 1-lamp Electronic</v>
      </c>
      <c r="C324" t="s">
        <v>154</v>
      </c>
      <c r="D324" t="s">
        <v>1306</v>
      </c>
      <c r="E324" t="s">
        <v>1325</v>
      </c>
      <c r="F324">
        <v>32</v>
      </c>
      <c r="G324" t="str">
        <f t="shared" si="29"/>
        <v>Fluorescent - CFL - Pin Base</v>
      </c>
    </row>
    <row r="325" spans="1:7">
      <c r="A325" t="str">
        <f t="shared" si="27"/>
        <v>Fluorescent - CFL - Pin Base 32W, 2-lamp Electronic</v>
      </c>
      <c r="B325" t="str">
        <f t="shared" si="30"/>
        <v>Fluorescent - CFL - Pin Base 32W, 2-lamp Electronic</v>
      </c>
      <c r="C325" t="s">
        <v>154</v>
      </c>
      <c r="D325" t="s">
        <v>1306</v>
      </c>
      <c r="E325" t="s">
        <v>1326</v>
      </c>
      <c r="F325">
        <v>64</v>
      </c>
      <c r="G325" t="str">
        <f t="shared" si="29"/>
        <v>Fluorescent - CFL - Pin Base</v>
      </c>
    </row>
    <row r="326" spans="1:7">
      <c r="A326" t="str">
        <f t="shared" si="27"/>
        <v>Fluorescent - CFL - Pin Base 42W, 1-lamp Electronic</v>
      </c>
      <c r="B326" t="str">
        <f t="shared" si="30"/>
        <v>Fluorescent - CFL - Pin Base 42W, 1-lamp Electronic</v>
      </c>
      <c r="C326" t="s">
        <v>154</v>
      </c>
      <c r="D326" t="s">
        <v>1306</v>
      </c>
      <c r="E326" t="s">
        <v>1327</v>
      </c>
      <c r="F326">
        <v>42</v>
      </c>
      <c r="G326" t="str">
        <f t="shared" si="29"/>
        <v>Fluorescent - CFL - Pin Base</v>
      </c>
    </row>
    <row r="327" spans="1:7">
      <c r="A327" t="str">
        <f t="shared" si="27"/>
        <v>Fluorescent - CFL - Pin Base 42W, 2-lamp Electronic</v>
      </c>
      <c r="B327" t="str">
        <f t="shared" si="30"/>
        <v>Fluorescent - CFL - Pin Base 42W, 2-lamp Electronic</v>
      </c>
      <c r="C327" t="s">
        <v>154</v>
      </c>
      <c r="D327" t="s">
        <v>1306</v>
      </c>
      <c r="E327" t="s">
        <v>1328</v>
      </c>
      <c r="F327">
        <v>84</v>
      </c>
      <c r="G327" t="str">
        <f t="shared" si="29"/>
        <v>Fluorescent - CFL - Pin Base</v>
      </c>
    </row>
    <row r="329" spans="1:7">
      <c r="A329" t="str">
        <f t="shared" si="27"/>
        <v xml:space="preserve"> -  Street Lighting (Pole Services)</v>
      </c>
      <c r="B329" t="str">
        <f t="shared" ref="B329:B349" si="31">CONCATENATE(C329," - ",E329)</f>
        <v xml:space="preserve"> - Street Lighting (Pole Services)</v>
      </c>
      <c r="E329" t="s">
        <v>1329</v>
      </c>
    </row>
    <row r="330" spans="1:7">
      <c r="A330" t="str">
        <f t="shared" si="27"/>
        <v xml:space="preserve"> -  Street Light (43W)</v>
      </c>
      <c r="B330" t="str">
        <f t="shared" si="31"/>
        <v xml:space="preserve"> - Street Light (43W)</v>
      </c>
      <c r="E330" t="s">
        <v>1330</v>
      </c>
      <c r="F330">
        <v>43</v>
      </c>
    </row>
    <row r="331" spans="1:7">
      <c r="A331" t="str">
        <f t="shared" si="27"/>
        <v xml:space="preserve"> -  Street Light (51W)</v>
      </c>
      <c r="B331" t="str">
        <f t="shared" si="31"/>
        <v xml:space="preserve"> - Street Light (51W)</v>
      </c>
      <c r="E331" t="s">
        <v>1331</v>
      </c>
      <c r="F331">
        <v>51</v>
      </c>
    </row>
    <row r="332" spans="1:7">
      <c r="A332" t="str">
        <f t="shared" si="27"/>
        <v xml:space="preserve"> -  Street Light (52W)</v>
      </c>
      <c r="B332" t="str">
        <f t="shared" si="31"/>
        <v xml:space="preserve"> - Street Light (52W)</v>
      </c>
      <c r="E332" t="s">
        <v>1332</v>
      </c>
      <c r="F332">
        <v>52</v>
      </c>
    </row>
    <row r="333" spans="1:7">
      <c r="A333" t="str">
        <f t="shared" si="27"/>
        <v xml:space="preserve"> -  Street Light (53W)</v>
      </c>
      <c r="B333" t="str">
        <f t="shared" si="31"/>
        <v xml:space="preserve"> - Street Light (53W)</v>
      </c>
      <c r="E333" t="s">
        <v>1333</v>
      </c>
      <c r="F333">
        <v>53</v>
      </c>
    </row>
    <row r="334" spans="1:7">
      <c r="A334" t="str">
        <f t="shared" si="27"/>
        <v xml:space="preserve"> -  Street Light (60W)</v>
      </c>
      <c r="B334" t="str">
        <f t="shared" si="31"/>
        <v xml:space="preserve"> - Street Light (60W)</v>
      </c>
      <c r="E334" t="s">
        <v>1334</v>
      </c>
      <c r="F334">
        <v>60</v>
      </c>
    </row>
    <row r="335" spans="1:7">
      <c r="A335" t="str">
        <f t="shared" si="27"/>
        <v xml:space="preserve"> -  Street Light (70W)</v>
      </c>
      <c r="B335" t="str">
        <f t="shared" si="31"/>
        <v xml:space="preserve"> - Street Light (70W)</v>
      </c>
      <c r="E335" t="s">
        <v>1335</v>
      </c>
      <c r="F335">
        <v>70</v>
      </c>
    </row>
    <row r="336" spans="1:7">
      <c r="A336" t="str">
        <f t="shared" si="27"/>
        <v xml:space="preserve"> -  Street Light (73W)</v>
      </c>
      <c r="B336" t="str">
        <f t="shared" si="31"/>
        <v xml:space="preserve"> - Street Light (73W)</v>
      </c>
      <c r="E336" t="s">
        <v>1336</v>
      </c>
      <c r="F336">
        <v>73</v>
      </c>
    </row>
    <row r="337" spans="1:6">
      <c r="A337" t="str">
        <f t="shared" ref="A337:A349" si="32">CONCATENATE(C337," - ",D337," ",E337)</f>
        <v xml:space="preserve"> -  Street Light (75W)</v>
      </c>
      <c r="B337" t="str">
        <f t="shared" si="31"/>
        <v xml:space="preserve"> - Street Light (75W)</v>
      </c>
      <c r="E337" t="s">
        <v>1337</v>
      </c>
      <c r="F337">
        <v>75</v>
      </c>
    </row>
    <row r="338" spans="1:6">
      <c r="A338" t="str">
        <f t="shared" si="32"/>
        <v xml:space="preserve"> -  Street Light (99W)</v>
      </c>
      <c r="B338" t="str">
        <f t="shared" si="31"/>
        <v xml:space="preserve"> - Street Light (99W)</v>
      </c>
      <c r="E338" t="s">
        <v>1338</v>
      </c>
      <c r="F338">
        <v>99</v>
      </c>
    </row>
    <row r="339" spans="1:6">
      <c r="A339" t="str">
        <f t="shared" si="32"/>
        <v xml:space="preserve"> -  Street Light (100W)</v>
      </c>
      <c r="B339" t="str">
        <f t="shared" si="31"/>
        <v xml:space="preserve"> - Street Light (100W)</v>
      </c>
      <c r="E339" t="s">
        <v>1339</v>
      </c>
      <c r="F339">
        <v>100</v>
      </c>
    </row>
    <row r="340" spans="1:6">
      <c r="A340" t="str">
        <f t="shared" si="32"/>
        <v xml:space="preserve"> -  Street Light (102W)</v>
      </c>
      <c r="B340" t="str">
        <f t="shared" si="31"/>
        <v xml:space="preserve"> - Street Light (102W)</v>
      </c>
      <c r="E340" t="s">
        <v>1340</v>
      </c>
      <c r="F340">
        <v>102</v>
      </c>
    </row>
    <row r="341" spans="1:6">
      <c r="A341" t="str">
        <f t="shared" si="32"/>
        <v xml:space="preserve"> -  Street Light (107W)</v>
      </c>
      <c r="B341" t="str">
        <f t="shared" si="31"/>
        <v xml:space="preserve"> - Street Light (107W)</v>
      </c>
      <c r="E341" t="s">
        <v>1341</v>
      </c>
      <c r="F341">
        <v>107</v>
      </c>
    </row>
    <row r="342" spans="1:6">
      <c r="A342" t="str">
        <f t="shared" si="32"/>
        <v xml:space="preserve"> -  Street Light (133W)</v>
      </c>
      <c r="B342" t="str">
        <f t="shared" si="31"/>
        <v xml:space="preserve"> - Street Light (133W)</v>
      </c>
      <c r="E342" t="s">
        <v>1342</v>
      </c>
      <c r="F342">
        <v>133</v>
      </c>
    </row>
    <row r="343" spans="1:6">
      <c r="A343" t="str">
        <f t="shared" si="32"/>
        <v xml:space="preserve"> -  Street Light (138W)</v>
      </c>
      <c r="B343" t="str">
        <f t="shared" si="31"/>
        <v xml:space="preserve"> - Street Light (138W)</v>
      </c>
      <c r="E343" t="s">
        <v>1343</v>
      </c>
      <c r="F343">
        <v>138</v>
      </c>
    </row>
    <row r="344" spans="1:6">
      <c r="A344" t="str">
        <f t="shared" si="32"/>
        <v xml:space="preserve"> -  Street Light (151W)</v>
      </c>
      <c r="B344" t="str">
        <f t="shared" si="31"/>
        <v xml:space="preserve"> - Street Light (151W)</v>
      </c>
      <c r="E344" t="s">
        <v>1344</v>
      </c>
      <c r="F344">
        <v>151</v>
      </c>
    </row>
    <row r="345" spans="1:6">
      <c r="A345" t="str">
        <f t="shared" si="32"/>
        <v xml:space="preserve"> -  Street Light (197W)</v>
      </c>
      <c r="B345" t="str">
        <f t="shared" si="31"/>
        <v xml:space="preserve"> - Street Light (197W)</v>
      </c>
      <c r="E345" t="s">
        <v>1345</v>
      </c>
      <c r="F345">
        <v>197</v>
      </c>
    </row>
    <row r="346" spans="1:6">
      <c r="A346" t="str">
        <f t="shared" si="32"/>
        <v xml:space="preserve"> -  Street Light (198W)</v>
      </c>
      <c r="B346" t="str">
        <f t="shared" si="31"/>
        <v xml:space="preserve"> - Street Light (198W)</v>
      </c>
      <c r="E346" t="s">
        <v>1346</v>
      </c>
      <c r="F346">
        <v>198</v>
      </c>
    </row>
    <row r="347" spans="1:6">
      <c r="A347" t="str">
        <f t="shared" si="32"/>
        <v xml:space="preserve"> -  Street Light (213W)</v>
      </c>
      <c r="B347" t="str">
        <f t="shared" si="31"/>
        <v xml:space="preserve"> - Street Light (213W)</v>
      </c>
      <c r="E347" t="s">
        <v>1347</v>
      </c>
      <c r="F347">
        <v>213</v>
      </c>
    </row>
    <row r="348" spans="1:6">
      <c r="A348" t="str">
        <f t="shared" si="32"/>
        <v xml:space="preserve"> -  Street Light (260W)</v>
      </c>
      <c r="B348" t="str">
        <f t="shared" si="31"/>
        <v xml:space="preserve"> - Street Light (260W)</v>
      </c>
      <c r="E348" t="s">
        <v>1348</v>
      </c>
      <c r="F348">
        <v>260</v>
      </c>
    </row>
    <row r="349" spans="1:6">
      <c r="A349" t="str">
        <f t="shared" si="32"/>
        <v xml:space="preserve"> -  Street Light (285W)</v>
      </c>
      <c r="B349" t="str">
        <f t="shared" si="31"/>
        <v xml:space="preserve"> - Street Light (285W)</v>
      </c>
      <c r="E349" t="s">
        <v>1349</v>
      </c>
      <c r="F349">
        <v>285</v>
      </c>
    </row>
    <row r="357" spans="5:6">
      <c r="E357" t="s">
        <v>1350</v>
      </c>
    </row>
    <row r="358" spans="5:6">
      <c r="E358" t="s">
        <v>1351</v>
      </c>
      <c r="F358">
        <v>150</v>
      </c>
    </row>
    <row r="359" spans="5:6">
      <c r="E359" t="s">
        <v>1352</v>
      </c>
    </row>
    <row r="363" spans="5:6">
      <c r="E363" t="s">
        <v>1142</v>
      </c>
    </row>
    <row r="364" spans="5:6">
      <c r="E364" t="s">
        <v>1353</v>
      </c>
      <c r="F364">
        <v>0</v>
      </c>
    </row>
  </sheetData>
  <sheetProtection password="DC20" sheet="1" objects="1" scenarios="1"/>
  <phoneticPr fontId="22" type="noConversion"/>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0000"/>
  </sheetPr>
  <dimension ref="A1:CN102"/>
  <sheetViews>
    <sheetView workbookViewId="0"/>
  </sheetViews>
  <sheetFormatPr defaultRowHeight="14.3"/>
  <cols>
    <col min="1" max="1" width="13.5" bestFit="1" customWidth="1"/>
    <col min="13" max="13" width="32.25" bestFit="1" customWidth="1"/>
    <col min="14" max="14" width="23.25" customWidth="1"/>
    <col min="16" max="16" width="22.75" bestFit="1" customWidth="1"/>
    <col min="19" max="19" width="20.25" customWidth="1"/>
    <col min="20" max="20" width="21.125" bestFit="1" customWidth="1"/>
    <col min="21" max="21" width="18.75" customWidth="1"/>
    <col min="22" max="22" width="17.75" customWidth="1"/>
    <col min="23" max="23" width="21.875" bestFit="1" customWidth="1"/>
    <col min="24" max="24" width="7.875" customWidth="1"/>
    <col min="26" max="26" width="23.75" bestFit="1" customWidth="1"/>
    <col min="27" max="27" width="27.125" bestFit="1" customWidth="1"/>
    <col min="28" max="28" width="19.125" bestFit="1" customWidth="1"/>
    <col min="29" max="29" width="6.25" bestFit="1" customWidth="1"/>
    <col min="30" max="30" width="22" bestFit="1" customWidth="1"/>
    <col min="31" max="31" width="4.75" bestFit="1" customWidth="1"/>
    <col min="32" max="32" width="6" bestFit="1" customWidth="1"/>
    <col min="33" max="33" width="6" customWidth="1"/>
    <col min="35" max="35" width="35" bestFit="1" customWidth="1"/>
    <col min="36" max="36" width="5.5" customWidth="1"/>
    <col min="37" max="37" width="20.5" bestFit="1" customWidth="1"/>
    <col min="39" max="39" width="26.75" bestFit="1" customWidth="1"/>
    <col min="40" max="40" width="5.25" bestFit="1" customWidth="1"/>
    <col min="41" max="41" width="9.25" bestFit="1" customWidth="1"/>
    <col min="42" max="42" width="9.25" customWidth="1"/>
    <col min="44" max="44" width="24.25" bestFit="1" customWidth="1"/>
    <col min="45" max="45" width="13.875" bestFit="1" customWidth="1"/>
    <col min="47" max="47" width="24.25" bestFit="1" customWidth="1"/>
    <col min="48" max="48" width="11" customWidth="1"/>
    <col min="49" max="49" width="22" bestFit="1" customWidth="1"/>
    <col min="50" max="50" width="22.25" bestFit="1" customWidth="1"/>
    <col min="52" max="52" width="9.5" bestFit="1" customWidth="1"/>
    <col min="53" max="53" width="63" bestFit="1" customWidth="1"/>
    <col min="55" max="55" width="22" bestFit="1" customWidth="1"/>
    <col min="56" max="56" width="13.25" bestFit="1" customWidth="1"/>
    <col min="57" max="57" width="16.5" bestFit="1" customWidth="1"/>
    <col min="59" max="60" width="12.5" customWidth="1"/>
    <col min="62" max="62" width="22.5" bestFit="1" customWidth="1"/>
    <col min="65" max="65" width="24" bestFit="1" customWidth="1"/>
    <col min="69" max="69" width="22.25" customWidth="1"/>
    <col min="89" max="89" width="64.5" bestFit="1" customWidth="1"/>
    <col min="90" max="90" width="19" bestFit="1" customWidth="1"/>
    <col min="91" max="91" width="9" bestFit="1" customWidth="1"/>
    <col min="92" max="92" width="28.5" customWidth="1"/>
  </cols>
  <sheetData>
    <row r="1" spans="1:92" ht="28.55">
      <c r="B1" s="12">
        <v>2</v>
      </c>
      <c r="K1" s="12" t="s">
        <v>1354</v>
      </c>
      <c r="S1" t="s">
        <v>1355</v>
      </c>
      <c r="Z1">
        <v>1</v>
      </c>
      <c r="AA1">
        <v>2</v>
      </c>
      <c r="AB1">
        <v>3</v>
      </c>
      <c r="AC1">
        <v>4</v>
      </c>
      <c r="AD1">
        <v>5</v>
      </c>
      <c r="AE1">
        <v>6</v>
      </c>
      <c r="AF1">
        <v>7</v>
      </c>
      <c r="AG1">
        <v>8</v>
      </c>
      <c r="AI1" t="s">
        <v>1356</v>
      </c>
      <c r="AJ1" s="12"/>
      <c r="AR1" s="50" t="s">
        <v>1357</v>
      </c>
      <c r="AU1" s="50" t="s">
        <v>1358</v>
      </c>
      <c r="BC1" s="121" t="s">
        <v>1359</v>
      </c>
      <c r="BD1" s="487"/>
      <c r="BE1" s="487"/>
      <c r="BT1" s="2048" t="s">
        <v>1360</v>
      </c>
      <c r="BU1" s="2049"/>
      <c r="BV1" s="2050"/>
      <c r="BY1" t="s">
        <v>1361</v>
      </c>
      <c r="CB1" t="s">
        <v>1361</v>
      </c>
      <c r="CE1" t="s">
        <v>1361</v>
      </c>
      <c r="CK1" s="459" t="s">
        <v>84</v>
      </c>
      <c r="CL1" s="460" t="s">
        <v>1362</v>
      </c>
      <c r="CM1" s="461" t="s">
        <v>1363</v>
      </c>
      <c r="CN1" s="462" t="s">
        <v>1364</v>
      </c>
    </row>
    <row r="2" spans="1:92">
      <c r="A2" t="s">
        <v>170</v>
      </c>
      <c r="B2" s="972">
        <v>4</v>
      </c>
      <c r="D2" s="2052" t="s">
        <v>1474</v>
      </c>
      <c r="E2" s="2053"/>
      <c r="K2" s="972">
        <v>2</v>
      </c>
      <c r="M2" s="20" t="s">
        <v>1366</v>
      </c>
      <c r="N2" s="21" t="s">
        <v>1367</v>
      </c>
      <c r="P2" s="20" t="s">
        <v>172</v>
      </c>
      <c r="Q2" s="36" t="s">
        <v>319</v>
      </c>
      <c r="S2" s="20" t="s">
        <v>1368</v>
      </c>
      <c r="T2" s="28" t="s">
        <v>1369</v>
      </c>
      <c r="U2" s="28" t="s">
        <v>1370</v>
      </c>
      <c r="V2" s="28" t="s">
        <v>1371</v>
      </c>
      <c r="W2" s="28" t="s">
        <v>1372</v>
      </c>
      <c r="X2" s="21" t="s">
        <v>1373</v>
      </c>
      <c r="Z2" s="20" t="s">
        <v>292</v>
      </c>
      <c r="AA2" s="20" t="s">
        <v>1374</v>
      </c>
      <c r="AB2" s="20" t="s">
        <v>286</v>
      </c>
      <c r="AC2" s="28" t="s">
        <v>314</v>
      </c>
      <c r="AD2" s="28" t="s">
        <v>170</v>
      </c>
      <c r="AE2" s="28" t="s">
        <v>314</v>
      </c>
      <c r="AF2" s="21" t="s">
        <v>977</v>
      </c>
      <c r="AG2" s="106"/>
      <c r="AI2" t="s">
        <v>1375</v>
      </c>
      <c r="AJ2" s="12"/>
      <c r="AM2" s="20" t="s">
        <v>1376</v>
      </c>
      <c r="AN2" s="106" t="s">
        <v>172</v>
      </c>
      <c r="AO2" s="106" t="s">
        <v>205</v>
      </c>
      <c r="AP2" s="106"/>
      <c r="AR2" s="20" t="s">
        <v>1377</v>
      </c>
      <c r="AS2" s="20" t="s">
        <v>1377</v>
      </c>
      <c r="AU2" s="510" t="s">
        <v>1378</v>
      </c>
      <c r="AV2" s="510" t="s">
        <v>324</v>
      </c>
      <c r="AW2" s="511" t="s">
        <v>1106</v>
      </c>
      <c r="AX2" s="510" t="s">
        <v>314</v>
      </c>
      <c r="AZ2" s="20" t="s">
        <v>324</v>
      </c>
      <c r="BA2" s="21" t="s">
        <v>325</v>
      </c>
      <c r="BC2" s="20" t="s">
        <v>1379</v>
      </c>
      <c r="BD2" s="74" t="s">
        <v>1380</v>
      </c>
      <c r="BE2" s="36" t="s">
        <v>1381</v>
      </c>
      <c r="BG2" s="2051" t="s">
        <v>1382</v>
      </c>
      <c r="BH2" s="2051"/>
      <c r="BJ2" s="167" t="s">
        <v>1383</v>
      </c>
      <c r="BM2" s="50" t="s">
        <v>1384</v>
      </c>
      <c r="BN2" s="12"/>
      <c r="BQ2" s="990" t="s">
        <v>1385</v>
      </c>
      <c r="BT2" s="2048" t="s">
        <v>1386</v>
      </c>
      <c r="BU2" s="2049"/>
      <c r="BV2" s="2050"/>
      <c r="BY2" s="1150" t="s">
        <v>1387</v>
      </c>
      <c r="BZ2" s="1150"/>
      <c r="CB2">
        <v>2020</v>
      </c>
      <c r="CE2" t="s">
        <v>1388</v>
      </c>
      <c r="CF2">
        <v>110</v>
      </c>
      <c r="CH2">
        <v>2019</v>
      </c>
      <c r="CI2" t="s">
        <v>1389</v>
      </c>
      <c r="CK2" s="991" t="s">
        <v>554</v>
      </c>
      <c r="CL2" s="992" t="s">
        <v>1390</v>
      </c>
      <c r="CM2" s="993">
        <v>132</v>
      </c>
      <c r="CN2" s="994">
        <v>2700</v>
      </c>
    </row>
    <row r="3" spans="1:92">
      <c r="A3" t="s">
        <v>1391</v>
      </c>
      <c r="B3" s="972">
        <v>0.17</v>
      </c>
      <c r="C3" s="409"/>
      <c r="K3" s="986">
        <v>0.125</v>
      </c>
      <c r="M3" s="22" t="s">
        <v>1392</v>
      </c>
      <c r="N3" s="23" t="s">
        <v>1393</v>
      </c>
      <c r="P3" s="22" t="s">
        <v>153</v>
      </c>
      <c r="Q3" s="33">
        <v>15</v>
      </c>
      <c r="S3" s="22" t="s">
        <v>1394</v>
      </c>
      <c r="T3" s="33" t="s">
        <v>351</v>
      </c>
      <c r="U3" s="39">
        <v>1.04</v>
      </c>
      <c r="V3" s="33" t="s">
        <v>237</v>
      </c>
      <c r="W3" s="22" t="s">
        <v>1395</v>
      </c>
      <c r="X3" s="33">
        <v>1</v>
      </c>
      <c r="Z3" s="25" t="s">
        <v>1396</v>
      </c>
      <c r="AA3" s="25" t="str">
        <f>CONCATENATE("Interior ",Z3)</f>
        <v>Interior - Choose Interior Area -</v>
      </c>
      <c r="AB3" s="25" t="str">
        <f>IF(AC3="No","Controls_Interior_Basic", "Controls_Interior_LLLC")</f>
        <v>Controls_Interior_Basic</v>
      </c>
      <c r="AC3" s="83" t="s">
        <v>166</v>
      </c>
      <c r="AD3" s="83" t="s">
        <v>1397</v>
      </c>
      <c r="AE3" s="83" t="s">
        <v>166</v>
      </c>
      <c r="AF3" s="34"/>
      <c r="AG3" s="107" t="s">
        <v>1074</v>
      </c>
      <c r="AI3" t="s">
        <v>1398</v>
      </c>
      <c r="AJ3" s="12"/>
      <c r="AM3" s="22" t="s">
        <v>158</v>
      </c>
      <c r="AN3" s="12">
        <v>1</v>
      </c>
      <c r="AO3" s="108">
        <f>B5</f>
        <v>0.25</v>
      </c>
      <c r="AP3" s="112">
        <v>20</v>
      </c>
      <c r="AR3" s="25" t="s">
        <v>1397</v>
      </c>
      <c r="AS3" s="40">
        <v>1</v>
      </c>
      <c r="AU3" s="584" t="s">
        <v>359</v>
      </c>
      <c r="AV3" s="585">
        <v>2</v>
      </c>
      <c r="AW3" s="586" t="s">
        <v>1397</v>
      </c>
      <c r="AX3" s="585" t="s">
        <v>1399</v>
      </c>
      <c r="AZ3" s="40">
        <v>0</v>
      </c>
      <c r="BA3" s="26" t="s">
        <v>1400</v>
      </c>
      <c r="BC3" s="125" t="s">
        <v>1401</v>
      </c>
      <c r="BD3" s="126">
        <v>8.9414999999999996</v>
      </c>
      <c r="BE3" s="127">
        <v>0</v>
      </c>
      <c r="BG3" s="123" t="s">
        <v>757</v>
      </c>
      <c r="BH3" s="124">
        <v>2</v>
      </c>
      <c r="BJ3" s="627" t="s">
        <v>1402</v>
      </c>
      <c r="BK3" s="12">
        <v>0</v>
      </c>
      <c r="BM3" s="248" t="s">
        <v>1403</v>
      </c>
      <c r="BN3" s="249" t="s">
        <v>612</v>
      </c>
      <c r="BP3">
        <v>1</v>
      </c>
      <c r="BQ3" s="995" t="s">
        <v>1404</v>
      </c>
      <c r="BT3" s="996"/>
      <c r="BU3" s="123" t="s">
        <v>757</v>
      </c>
      <c r="BV3" s="124">
        <v>2</v>
      </c>
      <c r="CK3" s="997" t="s">
        <v>1405</v>
      </c>
      <c r="CL3" s="998" t="s">
        <v>1390</v>
      </c>
      <c r="CM3" s="999">
        <v>11</v>
      </c>
      <c r="CN3" s="1000">
        <v>3100</v>
      </c>
    </row>
    <row r="4" spans="1:92">
      <c r="A4" t="s">
        <v>1406</v>
      </c>
      <c r="B4" s="972">
        <f>IF(B$17="Yes",0.3,0.25)</f>
        <v>0.25</v>
      </c>
      <c r="C4" s="409"/>
      <c r="D4" s="2063" t="s">
        <v>2098</v>
      </c>
      <c r="E4" s="2063"/>
      <c r="F4" s="14" t="s">
        <v>1407</v>
      </c>
      <c r="K4" s="986">
        <v>0.17499999999999999</v>
      </c>
      <c r="M4" s="25" t="s">
        <v>1408</v>
      </c>
      <c r="N4" s="26" t="s">
        <v>1409</v>
      </c>
      <c r="P4" s="25" t="s">
        <v>1410</v>
      </c>
      <c r="Q4" s="34">
        <v>15</v>
      </c>
      <c r="S4" s="25" t="s">
        <v>1411</v>
      </c>
      <c r="T4" s="34" t="s">
        <v>1412</v>
      </c>
      <c r="U4" s="40">
        <v>0.8</v>
      </c>
      <c r="V4" s="34" t="s">
        <v>237</v>
      </c>
      <c r="W4" s="25" t="s">
        <v>1395</v>
      </c>
      <c r="X4" s="34">
        <v>2</v>
      </c>
      <c r="Z4" s="22" t="s">
        <v>554</v>
      </c>
      <c r="AA4" s="22" t="str">
        <f>CONCATENATE("Interior ",Z4)</f>
        <v>Interior Assembly</v>
      </c>
      <c r="AB4" s="22" t="str">
        <f t="shared" ref="AB4:AB30" si="0">IF(AC4="No","Controls_Interior_Basic", "Controls_Interior_LLLC")</f>
        <v>Controls_Interior_Basic</v>
      </c>
      <c r="AC4" s="84" t="s">
        <v>166</v>
      </c>
      <c r="AD4" s="84" t="s">
        <v>1397</v>
      </c>
      <c r="AE4" s="84" t="s">
        <v>166</v>
      </c>
      <c r="AF4" s="33">
        <v>0.61</v>
      </c>
      <c r="AG4" s="107" t="s">
        <v>1074</v>
      </c>
      <c r="AI4" s="20" t="s">
        <v>975</v>
      </c>
      <c r="AJ4" s="36" t="s">
        <v>977</v>
      </c>
      <c r="AK4" s="36" t="s">
        <v>978</v>
      </c>
      <c r="AM4" s="30" t="s">
        <v>175</v>
      </c>
      <c r="AN4" s="107">
        <v>2</v>
      </c>
      <c r="AO4" s="109">
        <f>B4</f>
        <v>0.25</v>
      </c>
      <c r="AP4" s="113">
        <v>10</v>
      </c>
      <c r="AR4" s="22" t="s">
        <v>1399</v>
      </c>
      <c r="AS4" s="39">
        <v>2</v>
      </c>
      <c r="AU4" s="584" t="s">
        <v>547</v>
      </c>
      <c r="AV4" s="585">
        <v>3</v>
      </c>
      <c r="AW4" s="586" t="s">
        <v>1397</v>
      </c>
      <c r="AX4" s="585" t="s">
        <v>1399</v>
      </c>
      <c r="AZ4" s="12">
        <v>1</v>
      </c>
      <c r="BA4" t="s">
        <v>1413</v>
      </c>
      <c r="BC4" s="122" t="s">
        <v>1414</v>
      </c>
      <c r="BD4" s="123">
        <v>8.6790000000000003</v>
      </c>
      <c r="BE4" s="124">
        <v>7.52</v>
      </c>
      <c r="BG4" s="126">
        <v>1</v>
      </c>
      <c r="BH4" s="127">
        <f>ROUND(BZ4,2)</f>
        <v>8.7799999999999994</v>
      </c>
      <c r="BJ4" t="s">
        <v>1415</v>
      </c>
      <c r="BK4" s="12">
        <v>1</v>
      </c>
      <c r="BM4" s="722" t="s">
        <v>1416</v>
      </c>
      <c r="BN4" s="1001">
        <v>0</v>
      </c>
      <c r="BP4">
        <v>2</v>
      </c>
      <c r="BQ4" s="1002" t="s">
        <v>1417</v>
      </c>
      <c r="BT4" s="729">
        <f>CE4</f>
        <v>9.6386380307816655E-2</v>
      </c>
      <c r="BU4" s="1003">
        <v>1</v>
      </c>
      <c r="BV4" s="1004">
        <f>BT4*100</f>
        <v>9.6386380307816655</v>
      </c>
      <c r="BY4">
        <v>8.7849756394338507E-2</v>
      </c>
      <c r="BZ4">
        <f>BY4*100</f>
        <v>8.784975639433851</v>
      </c>
      <c r="CB4">
        <v>8.9787924305943914E-2</v>
      </c>
      <c r="CC4">
        <f>CB4*100</f>
        <v>8.9787924305943907</v>
      </c>
      <c r="CE4">
        <v>9.6386380307816655E-2</v>
      </c>
      <c r="CF4">
        <f>CE4*CF$2</f>
        <v>10.602501833859833</v>
      </c>
      <c r="CH4">
        <v>4.7310958709957207</v>
      </c>
      <c r="CI4">
        <v>5.964967103795761</v>
      </c>
      <c r="CK4" s="991" t="s">
        <v>1418</v>
      </c>
      <c r="CL4" s="992" t="s">
        <v>1419</v>
      </c>
      <c r="CM4" s="993">
        <v>4</v>
      </c>
      <c r="CN4" s="994">
        <v>2100</v>
      </c>
    </row>
    <row r="5" spans="1:92">
      <c r="A5" t="s">
        <v>186</v>
      </c>
      <c r="B5" s="972">
        <f>IF(B$17="Yes",0.3,0.25)</f>
        <v>0.25</v>
      </c>
      <c r="C5" s="409"/>
      <c r="D5" s="2064">
        <v>44926</v>
      </c>
      <c r="E5" s="2064"/>
      <c r="F5" s="14" t="s">
        <v>1420</v>
      </c>
      <c r="K5" s="986">
        <v>0.17499999999999999</v>
      </c>
      <c r="M5" s="22" t="s">
        <v>167</v>
      </c>
      <c r="N5" s="23" t="s">
        <v>1421</v>
      </c>
      <c r="P5" s="22" t="s">
        <v>1422</v>
      </c>
      <c r="Q5" s="33">
        <v>15</v>
      </c>
      <c r="S5" s="22" t="s">
        <v>1423</v>
      </c>
      <c r="T5" s="33" t="s">
        <v>1424</v>
      </c>
      <c r="U5" s="39">
        <v>1</v>
      </c>
      <c r="V5" s="33" t="s">
        <v>237</v>
      </c>
      <c r="W5" s="22" t="s">
        <v>1395</v>
      </c>
      <c r="X5" s="33">
        <v>3</v>
      </c>
      <c r="Z5" s="25" t="s">
        <v>555</v>
      </c>
      <c r="AA5" s="25" t="str">
        <f>CONCATENATE("Interior ",Z5)</f>
        <v>Interior Break Room</v>
      </c>
      <c r="AB5" s="25" t="str">
        <f t="shared" si="0"/>
        <v>Controls_Interior_Basic</v>
      </c>
      <c r="AC5" s="83" t="s">
        <v>166</v>
      </c>
      <c r="AD5" s="83" t="s">
        <v>1397</v>
      </c>
      <c r="AE5" s="83" t="s">
        <v>166</v>
      </c>
      <c r="AF5" s="34">
        <v>0.59</v>
      </c>
      <c r="AG5" s="107" t="s">
        <v>1074</v>
      </c>
      <c r="AI5" s="25" t="s">
        <v>982</v>
      </c>
      <c r="AJ5" s="41">
        <v>0.64</v>
      </c>
      <c r="AK5" s="25" t="s">
        <v>581</v>
      </c>
      <c r="AM5" s="22" t="s">
        <v>176</v>
      </c>
      <c r="AN5" s="12">
        <v>3</v>
      </c>
      <c r="AO5" s="108">
        <f>B3</f>
        <v>0.17</v>
      </c>
      <c r="AP5" s="112">
        <v>4</v>
      </c>
      <c r="AR5" s="25" t="s">
        <v>1425</v>
      </c>
      <c r="AS5" s="40">
        <v>3</v>
      </c>
      <c r="AU5" s="584" t="s">
        <v>353</v>
      </c>
      <c r="AV5" s="585">
        <v>4</v>
      </c>
      <c r="AW5" s="586" t="s">
        <v>1397</v>
      </c>
      <c r="AX5" s="585" t="s">
        <v>1399</v>
      </c>
      <c r="AZ5" s="40">
        <v>2</v>
      </c>
      <c r="BA5" s="26" t="s">
        <v>1426</v>
      </c>
      <c r="BC5" s="125" t="s">
        <v>1427</v>
      </c>
      <c r="BD5" s="126">
        <v>6.5063000000000004</v>
      </c>
      <c r="BE5" s="127">
        <v>7.52</v>
      </c>
      <c r="BG5" s="123">
        <v>2</v>
      </c>
      <c r="BH5" s="127">
        <f t="shared" ref="BH5:BH33" si="1">ROUND(BZ5,2)</f>
        <v>17.22</v>
      </c>
      <c r="BJ5" s="168" t="s">
        <v>2048</v>
      </c>
      <c r="BK5" s="12">
        <v>2</v>
      </c>
      <c r="BM5" s="722" t="s">
        <v>1428</v>
      </c>
      <c r="BN5" s="1001">
        <v>1893</v>
      </c>
      <c r="BP5">
        <v>3</v>
      </c>
      <c r="BQ5" s="995" t="s">
        <v>634</v>
      </c>
      <c r="BT5" s="1005">
        <f t="shared" ref="BT5:BT33" si="2">CE5</f>
        <v>0.18639869776678264</v>
      </c>
      <c r="BU5" s="1006">
        <v>2</v>
      </c>
      <c r="BV5" s="1007">
        <f t="shared" ref="BV5:BV33" si="3">BT5*100</f>
        <v>18.639869776678264</v>
      </c>
      <c r="BY5">
        <v>0.17215311895389834</v>
      </c>
      <c r="BZ5">
        <f t="shared" ref="BZ5:BZ33" si="4">BY5*100</f>
        <v>17.215311895389835</v>
      </c>
      <c r="CB5">
        <v>0.17324288569789564</v>
      </c>
      <c r="CC5">
        <f t="shared" ref="CC5:CC48" si="5">CB5*100</f>
        <v>17.324288569789566</v>
      </c>
      <c r="CE5">
        <v>0.18639869776678264</v>
      </c>
      <c r="CF5">
        <f t="shared" ref="CF5:CF48" si="6">CE5*CF$2</f>
        <v>20.503856754346089</v>
      </c>
      <c r="CH5">
        <v>9.1318623667852794</v>
      </c>
      <c r="CI5">
        <v>11.631582250413972</v>
      </c>
      <c r="CK5" s="997" t="s">
        <v>1429</v>
      </c>
      <c r="CL5" s="998" t="s">
        <v>1430</v>
      </c>
      <c r="CM5" s="999" t="s">
        <v>919</v>
      </c>
      <c r="CN5" s="1000">
        <v>8766</v>
      </c>
    </row>
    <row r="6" spans="1:92">
      <c r="A6" t="s">
        <v>206</v>
      </c>
      <c r="B6" s="972">
        <v>0.1</v>
      </c>
      <c r="C6" s="409"/>
      <c r="D6" s="2060">
        <f>'Customer Authorization'!AE85</f>
        <v>0</v>
      </c>
      <c r="E6" s="1696"/>
      <c r="F6" s="14" t="s">
        <v>1431</v>
      </c>
      <c r="G6" s="269"/>
      <c r="K6" s="972">
        <v>0.05</v>
      </c>
      <c r="M6" s="25" t="s">
        <v>367</v>
      </c>
      <c r="N6" s="26" t="s">
        <v>1421</v>
      </c>
      <c r="P6" s="25" t="s">
        <v>1432</v>
      </c>
      <c r="Q6" s="34">
        <v>15</v>
      </c>
      <c r="S6" s="25" t="s">
        <v>1433</v>
      </c>
      <c r="T6" s="34" t="s">
        <v>1434</v>
      </c>
      <c r="U6" s="40">
        <v>1.2</v>
      </c>
      <c r="V6" s="34" t="s">
        <v>237</v>
      </c>
      <c r="W6" s="25" t="s">
        <v>1395</v>
      </c>
      <c r="X6" s="34">
        <v>5</v>
      </c>
      <c r="Z6" s="22" t="s">
        <v>354</v>
      </c>
      <c r="AA6" s="22" t="str">
        <f>CONCATENATE("Interior ",Z6)</f>
        <v>Interior Classroom</v>
      </c>
      <c r="AB6" s="22" t="str">
        <f t="shared" si="0"/>
        <v>Controls_Interior_LLLC</v>
      </c>
      <c r="AC6" s="84" t="s">
        <v>157</v>
      </c>
      <c r="AD6" s="84" t="s">
        <v>1397</v>
      </c>
      <c r="AE6" s="84" t="s">
        <v>166</v>
      </c>
      <c r="AF6" s="85">
        <v>0.71</v>
      </c>
      <c r="AG6" s="107" t="s">
        <v>1074</v>
      </c>
      <c r="AI6" s="22" t="s">
        <v>984</v>
      </c>
      <c r="AJ6" s="42">
        <v>0.81</v>
      </c>
      <c r="AK6" s="22" t="s">
        <v>985</v>
      </c>
      <c r="AM6" s="30" t="s">
        <v>167</v>
      </c>
      <c r="AN6" s="107">
        <v>4</v>
      </c>
      <c r="AO6" s="109">
        <f>B2</f>
        <v>4</v>
      </c>
      <c r="AP6" s="113">
        <v>1</v>
      </c>
      <c r="AR6" t="s">
        <v>1435</v>
      </c>
      <c r="AS6" s="12">
        <v>4</v>
      </c>
      <c r="AU6" s="584" t="s">
        <v>556</v>
      </c>
      <c r="AV6" s="585">
        <v>5</v>
      </c>
      <c r="AW6" s="586" t="s">
        <v>1397</v>
      </c>
      <c r="AX6" s="585" t="s">
        <v>1399</v>
      </c>
      <c r="AZ6" s="39">
        <v>3</v>
      </c>
      <c r="BA6" s="23" t="s">
        <v>1436</v>
      </c>
      <c r="BC6" s="122" t="s">
        <v>1437</v>
      </c>
      <c r="BD6" s="123">
        <v>4.9535</v>
      </c>
      <c r="BE6" s="124">
        <v>10.94</v>
      </c>
      <c r="BG6" s="126">
        <v>3</v>
      </c>
      <c r="BH6" s="127">
        <f t="shared" si="1"/>
        <v>25.29</v>
      </c>
      <c r="BJ6" t="s">
        <v>119</v>
      </c>
      <c r="BK6" s="12">
        <v>3</v>
      </c>
      <c r="BM6" s="722" t="s">
        <v>1438</v>
      </c>
      <c r="BN6" s="1001">
        <v>5460</v>
      </c>
      <c r="BP6">
        <v>4</v>
      </c>
      <c r="BQ6" s="1002" t="s">
        <v>1439</v>
      </c>
      <c r="BT6" s="729">
        <f t="shared" si="2"/>
        <v>0.27043316550288776</v>
      </c>
      <c r="BU6" s="1003">
        <v>3</v>
      </c>
      <c r="BV6" s="1004">
        <f t="shared" si="3"/>
        <v>27.043316550288775</v>
      </c>
      <c r="BY6">
        <v>0.25294873524816364</v>
      </c>
      <c r="BZ6">
        <f t="shared" si="4"/>
        <v>25.294873524816364</v>
      </c>
      <c r="CB6">
        <v>0.2507723655920801</v>
      </c>
      <c r="CC6">
        <f t="shared" si="5"/>
        <v>25.077236559208011</v>
      </c>
      <c r="CE6">
        <v>0.27043316550288776</v>
      </c>
      <c r="CF6">
        <f t="shared" si="6"/>
        <v>29.747648205317653</v>
      </c>
      <c r="CH6">
        <v>13.309593881881316</v>
      </c>
      <c r="CI6">
        <v>17.042115347794372</v>
      </c>
      <c r="CK6" s="991" t="s">
        <v>1001</v>
      </c>
      <c r="CL6" s="992" t="s">
        <v>1419</v>
      </c>
      <c r="CM6" s="993">
        <v>1</v>
      </c>
      <c r="CN6" s="994">
        <v>4200</v>
      </c>
    </row>
    <row r="7" spans="1:92">
      <c r="A7" t="s">
        <v>972</v>
      </c>
      <c r="B7" s="972">
        <v>75</v>
      </c>
      <c r="D7" s="2060">
        <f ca="1">TODAY()</f>
        <v>44802</v>
      </c>
      <c r="E7" s="1696"/>
      <c r="F7" s="14" t="s">
        <v>1440</v>
      </c>
      <c r="K7" s="972">
        <v>75</v>
      </c>
      <c r="M7" s="27" t="s">
        <v>368</v>
      </c>
      <c r="N7" s="24" t="s">
        <v>1421</v>
      </c>
      <c r="P7" s="22" t="s">
        <v>1441</v>
      </c>
      <c r="Q7" s="33">
        <v>15</v>
      </c>
      <c r="S7" s="22" t="s">
        <v>277</v>
      </c>
      <c r="T7" s="33" t="s">
        <v>277</v>
      </c>
      <c r="U7" s="39">
        <v>1</v>
      </c>
      <c r="V7" s="33" t="s">
        <v>277</v>
      </c>
      <c r="W7" s="22" t="s">
        <v>1442</v>
      </c>
      <c r="X7" s="33">
        <v>2</v>
      </c>
      <c r="Z7" s="25" t="s">
        <v>1443</v>
      </c>
      <c r="AA7" s="25" t="str">
        <f t="shared" ref="AA7:AA31" si="7">CONCATENATE("Interior ",Z7)</f>
        <v>Interior Computer Rooms</v>
      </c>
      <c r="AB7" s="25" t="str">
        <f t="shared" si="0"/>
        <v>Controls_Interior_Basic</v>
      </c>
      <c r="AC7" s="83" t="s">
        <v>166</v>
      </c>
      <c r="AD7" s="83" t="s">
        <v>1397</v>
      </c>
      <c r="AE7" s="83" t="s">
        <v>166</v>
      </c>
      <c r="AF7" s="34">
        <v>0.94</v>
      </c>
      <c r="AG7" s="107" t="s">
        <v>1074</v>
      </c>
      <c r="AI7" s="25" t="s">
        <v>987</v>
      </c>
      <c r="AJ7" s="41">
        <v>0.81</v>
      </c>
      <c r="AK7" s="25" t="s">
        <v>985</v>
      </c>
      <c r="AM7" s="22" t="s">
        <v>367</v>
      </c>
      <c r="AN7" s="12">
        <v>5</v>
      </c>
      <c r="AO7" s="108">
        <f>B2</f>
        <v>4</v>
      </c>
      <c r="AP7" s="112">
        <v>2</v>
      </c>
      <c r="AR7" s="25" t="s">
        <v>1444</v>
      </c>
      <c r="AS7" s="40">
        <v>5</v>
      </c>
      <c r="AU7" s="584" t="s">
        <v>557</v>
      </c>
      <c r="AV7" s="585">
        <v>6</v>
      </c>
      <c r="AW7" s="586" t="s">
        <v>1397</v>
      </c>
      <c r="AX7" s="585" t="s">
        <v>1399</v>
      </c>
      <c r="AZ7" s="40">
        <v>4</v>
      </c>
      <c r="BA7" s="26" t="s">
        <v>1445</v>
      </c>
      <c r="BC7" s="125" t="s">
        <v>1446</v>
      </c>
      <c r="BD7" s="126">
        <v>5.1492000000000004</v>
      </c>
      <c r="BE7" s="127">
        <v>11.29</v>
      </c>
      <c r="BG7" s="123">
        <v>4</v>
      </c>
      <c r="BH7" s="127">
        <f t="shared" si="1"/>
        <v>33.1</v>
      </c>
      <c r="BK7" s="12"/>
      <c r="BM7" s="722" t="s">
        <v>1001</v>
      </c>
      <c r="BN7" s="1001">
        <v>6344</v>
      </c>
      <c r="BP7">
        <v>5</v>
      </c>
      <c r="BQ7" s="995" t="s">
        <v>1447</v>
      </c>
      <c r="BT7" s="1005">
        <f t="shared" si="2"/>
        <v>0.34940514143570067</v>
      </c>
      <c r="BU7" s="1006">
        <v>4</v>
      </c>
      <c r="BV7" s="1007">
        <f t="shared" si="3"/>
        <v>34.94051414357007</v>
      </c>
      <c r="BY7">
        <v>0.33097197146891177</v>
      </c>
      <c r="BZ7">
        <f t="shared" si="4"/>
        <v>33.097197146891176</v>
      </c>
      <c r="CB7">
        <v>0.32335608947722877</v>
      </c>
      <c r="CC7">
        <f t="shared" si="5"/>
        <v>32.335608947722875</v>
      </c>
      <c r="CE7">
        <v>0.34940514143570067</v>
      </c>
      <c r="CF7">
        <f t="shared" si="6"/>
        <v>38.434565557927073</v>
      </c>
      <c r="CH7">
        <v>17.301000804039774</v>
      </c>
      <c r="CI7">
        <v>22.833477693387017</v>
      </c>
      <c r="CK7" s="997" t="s">
        <v>1448</v>
      </c>
      <c r="CL7" s="998" t="s">
        <v>1449</v>
      </c>
      <c r="CM7" s="999">
        <v>17</v>
      </c>
      <c r="CN7" s="1000">
        <v>5500</v>
      </c>
    </row>
    <row r="8" spans="1:92">
      <c r="A8" t="s">
        <v>1450</v>
      </c>
      <c r="B8" s="972">
        <v>0.17</v>
      </c>
      <c r="C8" s="409"/>
      <c r="K8" s="986">
        <v>0.125</v>
      </c>
      <c r="M8" s="25" t="s">
        <v>1451</v>
      </c>
      <c r="N8" s="26" t="s">
        <v>1452</v>
      </c>
      <c r="P8" s="25" t="s">
        <v>179</v>
      </c>
      <c r="Q8" s="34">
        <v>15</v>
      </c>
      <c r="S8" s="25" t="s">
        <v>1453</v>
      </c>
      <c r="T8" s="34" t="s">
        <v>1454</v>
      </c>
      <c r="U8" s="40">
        <v>1</v>
      </c>
      <c r="V8" s="34" t="s">
        <v>277</v>
      </c>
      <c r="W8" s="25" t="s">
        <v>1455</v>
      </c>
      <c r="X8" s="34">
        <v>6</v>
      </c>
      <c r="Z8" s="22" t="s">
        <v>560</v>
      </c>
      <c r="AA8" s="22" t="str">
        <f t="shared" si="7"/>
        <v>Interior Conference Room</v>
      </c>
      <c r="AB8" s="22" t="str">
        <f t="shared" si="0"/>
        <v>Controls_Interior_LLLC</v>
      </c>
      <c r="AC8" s="84" t="s">
        <v>157</v>
      </c>
      <c r="AD8" s="84" t="s">
        <v>1397</v>
      </c>
      <c r="AE8" s="84" t="s">
        <v>166</v>
      </c>
      <c r="AF8" s="33">
        <v>0.97</v>
      </c>
      <c r="AG8" s="107" t="s">
        <v>1074</v>
      </c>
      <c r="AI8" s="22" t="s">
        <v>85</v>
      </c>
      <c r="AJ8" s="42">
        <v>0.79</v>
      </c>
      <c r="AK8" s="22" t="s">
        <v>989</v>
      </c>
      <c r="AM8" s="30" t="s">
        <v>368</v>
      </c>
      <c r="AN8" s="107">
        <v>6</v>
      </c>
      <c r="AO8" s="109">
        <f>B2</f>
        <v>4</v>
      </c>
      <c r="AP8" s="113">
        <v>2</v>
      </c>
      <c r="AU8" s="584" t="s">
        <v>356</v>
      </c>
      <c r="AV8" s="585">
        <v>7</v>
      </c>
      <c r="AW8" s="586" t="s">
        <v>1399</v>
      </c>
      <c r="AX8" s="585" t="s">
        <v>1399</v>
      </c>
      <c r="AZ8" s="39">
        <v>5</v>
      </c>
      <c r="BA8" s="23" t="s">
        <v>1456</v>
      </c>
      <c r="BC8" s="122" t="s">
        <v>1457</v>
      </c>
      <c r="BD8" s="123">
        <v>9.6821000000000002</v>
      </c>
      <c r="BE8" s="124">
        <v>0</v>
      </c>
      <c r="BG8" s="126">
        <v>5</v>
      </c>
      <c r="BH8" s="127">
        <f t="shared" si="1"/>
        <v>40.619999999999997</v>
      </c>
      <c r="BK8" s="12"/>
      <c r="BM8" s="722" t="s">
        <v>1005</v>
      </c>
      <c r="BN8" s="1001">
        <v>8518</v>
      </c>
      <c r="BP8">
        <v>6</v>
      </c>
      <c r="BQ8" s="1002" t="s">
        <v>1458</v>
      </c>
      <c r="BT8" s="729">
        <f t="shared" si="2"/>
        <v>0.43734324744353625</v>
      </c>
      <c r="BU8" s="1003">
        <v>5</v>
      </c>
      <c r="BV8" s="1004">
        <f t="shared" si="3"/>
        <v>43.734324744353628</v>
      </c>
      <c r="BY8">
        <v>0.4061534918263025</v>
      </c>
      <c r="BZ8">
        <f t="shared" si="4"/>
        <v>40.615349182630247</v>
      </c>
      <c r="CB8">
        <v>0.40639950848654982</v>
      </c>
      <c r="CC8">
        <f t="shared" si="5"/>
        <v>40.639950848654983</v>
      </c>
      <c r="CE8">
        <v>0.43734324744353625</v>
      </c>
      <c r="CF8">
        <f t="shared" si="6"/>
        <v>48.10775721878899</v>
      </c>
      <c r="CH8">
        <v>21.694676703972107</v>
      </c>
      <c r="CI8">
        <v>28.459642766193827</v>
      </c>
      <c r="CK8" s="991" t="s">
        <v>1459</v>
      </c>
      <c r="CL8" s="992" t="s">
        <v>1419</v>
      </c>
      <c r="CM8" s="993">
        <v>12</v>
      </c>
      <c r="CN8" s="994">
        <v>7000</v>
      </c>
    </row>
    <row r="9" spans="1:92">
      <c r="A9" t="s">
        <v>1460</v>
      </c>
      <c r="B9" s="972">
        <v>0.17</v>
      </c>
      <c r="C9" s="409"/>
      <c r="D9" s="1696">
        <f ca="1">D5-D7</f>
        <v>124</v>
      </c>
      <c r="E9" s="1696"/>
      <c r="F9" s="14" t="str">
        <f>CONCATENATE("Days (",F5," - ",F7,")")</f>
        <v>Days (Expires - Today)</v>
      </c>
      <c r="K9" s="986">
        <v>0.125</v>
      </c>
      <c r="M9" s="22" t="s">
        <v>180</v>
      </c>
      <c r="N9" s="23" t="s">
        <v>1461</v>
      </c>
      <c r="P9" s="22" t="s">
        <v>162</v>
      </c>
      <c r="Q9" s="33">
        <v>20</v>
      </c>
      <c r="S9" s="22" t="s">
        <v>1462</v>
      </c>
      <c r="T9" s="33" t="s">
        <v>1462</v>
      </c>
      <c r="U9" s="39">
        <v>1.1000000000000001</v>
      </c>
      <c r="V9" s="33" t="s">
        <v>237</v>
      </c>
      <c r="W9" s="22" t="s">
        <v>1395</v>
      </c>
      <c r="X9" s="33">
        <v>7</v>
      </c>
      <c r="Z9" s="25" t="s">
        <v>562</v>
      </c>
      <c r="AA9" s="25" t="str">
        <f t="shared" si="7"/>
        <v>Interior Dining</v>
      </c>
      <c r="AB9" s="25" t="str">
        <f t="shared" si="0"/>
        <v>Controls_Interior_Basic</v>
      </c>
      <c r="AC9" s="83" t="s">
        <v>166</v>
      </c>
      <c r="AD9" s="83" t="s">
        <v>1397</v>
      </c>
      <c r="AE9" s="83" t="s">
        <v>166</v>
      </c>
      <c r="AF9" s="34">
        <v>0.6</v>
      </c>
      <c r="AG9" s="107" t="s">
        <v>1074</v>
      </c>
      <c r="AI9" s="25" t="s">
        <v>991</v>
      </c>
      <c r="AJ9" s="41">
        <v>0.72</v>
      </c>
      <c r="AK9" s="25" t="s">
        <v>989</v>
      </c>
      <c r="AM9" s="22" t="s">
        <v>369</v>
      </c>
      <c r="AN9" s="12">
        <v>7</v>
      </c>
      <c r="AO9" s="108">
        <f>B8</f>
        <v>0.17</v>
      </c>
      <c r="AP9" s="112">
        <v>1.5</v>
      </c>
      <c r="AR9" s="50" t="s">
        <v>1397</v>
      </c>
      <c r="AU9" s="584" t="s">
        <v>559</v>
      </c>
      <c r="AV9" s="585">
        <v>2</v>
      </c>
      <c r="AW9" s="586" t="s">
        <v>1435</v>
      </c>
      <c r="AX9" s="585" t="s">
        <v>1435</v>
      </c>
      <c r="AZ9" s="40">
        <v>6</v>
      </c>
      <c r="BA9" s="26" t="s">
        <v>1463</v>
      </c>
      <c r="BC9" s="125" t="s">
        <v>75</v>
      </c>
      <c r="BD9" s="126">
        <v>9.4196000000000009</v>
      </c>
      <c r="BE9" s="127">
        <v>7.52</v>
      </c>
      <c r="BG9" s="123">
        <v>6</v>
      </c>
      <c r="BH9" s="127">
        <f t="shared" si="1"/>
        <v>48.06</v>
      </c>
      <c r="BJ9" s="167" t="s">
        <v>1464</v>
      </c>
      <c r="BK9" s="12"/>
      <c r="BM9" s="722" t="s">
        <v>1465</v>
      </c>
      <c r="BN9" s="1001">
        <v>1374</v>
      </c>
      <c r="BP9">
        <v>7</v>
      </c>
      <c r="BQ9" s="995" t="s">
        <v>1466</v>
      </c>
      <c r="BT9" s="1005">
        <f t="shared" si="2"/>
        <v>0.522895425181925</v>
      </c>
      <c r="BU9" s="1006">
        <v>6</v>
      </c>
      <c r="BV9" s="1007">
        <f t="shared" si="3"/>
        <v>52.289542518192498</v>
      </c>
      <c r="BY9">
        <v>0.4806440958545708</v>
      </c>
      <c r="BZ9">
        <f t="shared" si="4"/>
        <v>48.064409585457078</v>
      </c>
      <c r="CB9">
        <v>0.487390413357214</v>
      </c>
      <c r="CC9">
        <f t="shared" si="5"/>
        <v>48.739041335721403</v>
      </c>
      <c r="CE9">
        <v>0.522895425181925</v>
      </c>
      <c r="CF9">
        <f t="shared" si="6"/>
        <v>57.518496770011751</v>
      </c>
      <c r="CH9">
        <v>25.981674042316588</v>
      </c>
      <c r="CI9">
        <v>33.856500923971858</v>
      </c>
      <c r="CK9" s="997" t="s">
        <v>1467</v>
      </c>
      <c r="CL9" s="998" t="s">
        <v>1449</v>
      </c>
      <c r="CM9" s="999">
        <v>17</v>
      </c>
      <c r="CN9" s="1000">
        <v>5500</v>
      </c>
    </row>
    <row r="10" spans="1:92">
      <c r="A10" t="s">
        <v>1468</v>
      </c>
      <c r="B10" s="972">
        <v>0.27</v>
      </c>
      <c r="C10" s="409"/>
      <c r="D10" s="1696">
        <f>D5-D6</f>
        <v>44926</v>
      </c>
      <c r="E10" s="1696"/>
      <c r="F10" s="14" t="str">
        <f>CONCATENATE("Days (",F5," - ",F6,")")</f>
        <v>Days (Expires - Signed)</v>
      </c>
      <c r="K10" s="986">
        <v>0.17499999999999999</v>
      </c>
      <c r="M10" s="25" t="s">
        <v>1353</v>
      </c>
      <c r="N10" s="26" t="s">
        <v>1469</v>
      </c>
      <c r="P10" s="25" t="s">
        <v>1470</v>
      </c>
      <c r="Q10" s="34">
        <v>15</v>
      </c>
      <c r="Z10" s="22" t="s">
        <v>361</v>
      </c>
      <c r="AA10" s="22" t="str">
        <f t="shared" si="7"/>
        <v>Interior Gymnasium</v>
      </c>
      <c r="AB10" s="22" t="str">
        <f t="shared" si="0"/>
        <v>Controls_Interior_Basic</v>
      </c>
      <c r="AC10" s="84" t="s">
        <v>166</v>
      </c>
      <c r="AD10" s="84" t="s">
        <v>1397</v>
      </c>
      <c r="AE10" s="84" t="s">
        <v>166</v>
      </c>
      <c r="AF10" s="33">
        <v>0.85</v>
      </c>
      <c r="AG10" s="107" t="s">
        <v>1074</v>
      </c>
      <c r="AI10" s="22" t="s">
        <v>992</v>
      </c>
      <c r="AJ10" s="42">
        <v>0.71</v>
      </c>
      <c r="AK10" s="22" t="s">
        <v>989</v>
      </c>
      <c r="AM10" s="30" t="s">
        <v>370</v>
      </c>
      <c r="AN10" s="107">
        <v>8</v>
      </c>
      <c r="AO10" s="109">
        <f>B9</f>
        <v>0.17</v>
      </c>
      <c r="AP10" s="113">
        <v>1.5</v>
      </c>
      <c r="AR10" s="20" t="s">
        <v>237</v>
      </c>
      <c r="AU10" s="584" t="s">
        <v>561</v>
      </c>
      <c r="AV10" s="585">
        <v>3</v>
      </c>
      <c r="AW10" s="586" t="s">
        <v>1435</v>
      </c>
      <c r="AX10" s="585" t="s">
        <v>1435</v>
      </c>
      <c r="AZ10" s="39">
        <v>7</v>
      </c>
      <c r="BA10" s="23" t="s">
        <v>1471</v>
      </c>
      <c r="BC10" s="122" t="s">
        <v>1472</v>
      </c>
      <c r="BD10" s="123">
        <v>7.2469000000000001</v>
      </c>
      <c r="BE10" s="124">
        <v>7.52</v>
      </c>
      <c r="BG10" s="126">
        <v>7</v>
      </c>
      <c r="BH10" s="127">
        <f t="shared" si="1"/>
        <v>55.28</v>
      </c>
      <c r="BJ10" s="621" t="s">
        <v>1473</v>
      </c>
      <c r="BK10" s="12">
        <v>0</v>
      </c>
      <c r="BM10" s="722" t="s">
        <v>1474</v>
      </c>
      <c r="BN10" s="1001">
        <v>4368</v>
      </c>
      <c r="BP10">
        <v>8</v>
      </c>
      <c r="BQ10" s="1002" t="s">
        <v>1475</v>
      </c>
      <c r="BT10" s="729">
        <f t="shared" si="2"/>
        <v>0.60595783429134276</v>
      </c>
      <c r="BU10" s="1003">
        <v>7</v>
      </c>
      <c r="BV10" s="1004">
        <f t="shared" si="3"/>
        <v>60.595783429134272</v>
      </c>
      <c r="BY10">
        <v>0.55277358241959351</v>
      </c>
      <c r="BZ10">
        <f t="shared" si="4"/>
        <v>55.277358241959348</v>
      </c>
      <c r="CB10">
        <v>0.566190677000456</v>
      </c>
      <c r="CC10">
        <f t="shared" si="5"/>
        <v>56.619067700045598</v>
      </c>
      <c r="CE10">
        <v>0.60595783429134276</v>
      </c>
      <c r="CF10">
        <f t="shared" si="6"/>
        <v>66.655361772047698</v>
      </c>
      <c r="CH10">
        <v>30.100321426910416</v>
      </c>
      <c r="CI10">
        <v>39.124836196677016</v>
      </c>
      <c r="CK10" s="991" t="s">
        <v>571</v>
      </c>
      <c r="CL10" s="992" t="s">
        <v>1390</v>
      </c>
      <c r="CM10" s="993">
        <v>6</v>
      </c>
      <c r="CN10" s="994">
        <v>3000</v>
      </c>
    </row>
    <row r="11" spans="1:92">
      <c r="A11" t="s">
        <v>1476</v>
      </c>
      <c r="B11" s="972">
        <v>2</v>
      </c>
      <c r="F11" s="14"/>
      <c r="M11" s="22" t="s">
        <v>1223</v>
      </c>
      <c r="N11" s="23" t="s">
        <v>1477</v>
      </c>
      <c r="P11" s="22" t="s">
        <v>202</v>
      </c>
      <c r="Q11" s="33">
        <v>15</v>
      </c>
      <c r="Z11" s="22" t="s">
        <v>567</v>
      </c>
      <c r="AA11" s="22" t="str">
        <f t="shared" si="7"/>
        <v>Interior Hallway</v>
      </c>
      <c r="AB11" s="22" t="str">
        <f t="shared" si="0"/>
        <v>Controls_Interior_Basic</v>
      </c>
      <c r="AC11" s="84" t="s">
        <v>166</v>
      </c>
      <c r="AD11" s="84" t="s">
        <v>1397</v>
      </c>
      <c r="AE11" s="84" t="s">
        <v>166</v>
      </c>
      <c r="AF11" s="33">
        <v>0.41</v>
      </c>
      <c r="AG11" s="107" t="s">
        <v>1074</v>
      </c>
      <c r="AI11" s="25" t="s">
        <v>993</v>
      </c>
      <c r="AJ11" s="41">
        <v>0.46</v>
      </c>
      <c r="AK11" s="25" t="s">
        <v>994</v>
      </c>
      <c r="AM11" s="22" t="s">
        <v>1478</v>
      </c>
      <c r="AN11" s="12">
        <v>9</v>
      </c>
      <c r="AO11" s="108">
        <f>B10</f>
        <v>0.27</v>
      </c>
      <c r="AP11" s="112">
        <v>1.5</v>
      </c>
      <c r="AR11" s="22" t="s">
        <v>359</v>
      </c>
      <c r="AS11" s="12">
        <v>1</v>
      </c>
      <c r="AU11" s="584" t="s">
        <v>1479</v>
      </c>
      <c r="AV11" s="585">
        <v>4</v>
      </c>
      <c r="AW11" s="586" t="s">
        <v>1435</v>
      </c>
      <c r="AX11" s="585" t="s">
        <v>1435</v>
      </c>
      <c r="AZ11" s="40">
        <v>8</v>
      </c>
      <c r="BA11" s="26" t="s">
        <v>1480</v>
      </c>
      <c r="BC11" s="125" t="s">
        <v>1481</v>
      </c>
      <c r="BD11" s="126">
        <v>5.6940999999999997</v>
      </c>
      <c r="BE11" s="127">
        <v>10.94</v>
      </c>
      <c r="BG11" s="123">
        <v>8</v>
      </c>
      <c r="BH11" s="127">
        <f t="shared" si="1"/>
        <v>62.22</v>
      </c>
      <c r="BJ11" t="s">
        <v>380</v>
      </c>
      <c r="BK11" s="12">
        <v>1</v>
      </c>
      <c r="BM11" s="722" t="s">
        <v>1013</v>
      </c>
      <c r="BN11" s="1001">
        <v>3120</v>
      </c>
      <c r="BP11">
        <v>10</v>
      </c>
      <c r="BQ11" s="995" t="s">
        <v>1482</v>
      </c>
      <c r="BT11" s="1005">
        <f t="shared" si="2"/>
        <v>0.6861054820185819</v>
      </c>
      <c r="BU11" s="1006">
        <v>8</v>
      </c>
      <c r="BV11" s="1007">
        <f t="shared" si="3"/>
        <v>68.610548201858194</v>
      </c>
      <c r="BY11">
        <v>0.6222242647030064</v>
      </c>
      <c r="BZ11">
        <f t="shared" si="4"/>
        <v>62.22242647030064</v>
      </c>
      <c r="CB11">
        <v>0.6423099035262716</v>
      </c>
      <c r="CC11">
        <f t="shared" si="5"/>
        <v>64.23099035262716</v>
      </c>
      <c r="CE11">
        <v>0.6861054820185819</v>
      </c>
      <c r="CF11">
        <f t="shared" si="6"/>
        <v>75.471603022044008</v>
      </c>
      <c r="CH11">
        <v>34.142052564285244</v>
      </c>
      <c r="CI11">
        <v>44.2453546600346</v>
      </c>
      <c r="CK11" s="997" t="s">
        <v>1483</v>
      </c>
      <c r="CL11" s="998" t="s">
        <v>1390</v>
      </c>
      <c r="CM11" s="999">
        <v>117</v>
      </c>
      <c r="CN11" s="1000">
        <v>3500</v>
      </c>
    </row>
    <row r="12" spans="1:92">
      <c r="A12" t="s">
        <v>2018</v>
      </c>
      <c r="B12" s="972">
        <v>75</v>
      </c>
      <c r="C12" t="s">
        <v>1484</v>
      </c>
      <c r="D12" s="1696" t="str">
        <f ca="1">IF(D9&lt;0,"Expired","Active")</f>
        <v>Active</v>
      </c>
      <c r="E12" s="1696"/>
      <c r="F12" s="14" t="s">
        <v>1485</v>
      </c>
      <c r="M12" s="25" t="s">
        <v>1240</v>
      </c>
      <c r="N12" s="26" t="s">
        <v>1486</v>
      </c>
      <c r="P12" s="25" t="s">
        <v>447</v>
      </c>
      <c r="Q12" s="34">
        <v>15</v>
      </c>
      <c r="Z12" s="25" t="s">
        <v>568</v>
      </c>
      <c r="AA12" s="25" t="str">
        <f t="shared" si="7"/>
        <v>Interior Hospital Room</v>
      </c>
      <c r="AB12" s="25" t="str">
        <f t="shared" si="0"/>
        <v>Controls_Interior_Basic</v>
      </c>
      <c r="AC12" s="83" t="s">
        <v>166</v>
      </c>
      <c r="AD12" s="83" t="s">
        <v>1397</v>
      </c>
      <c r="AE12" s="83" t="s">
        <v>166</v>
      </c>
      <c r="AF12" s="34">
        <v>0.68</v>
      </c>
      <c r="AG12" s="107" t="s">
        <v>1074</v>
      </c>
      <c r="AI12" s="22" t="s">
        <v>996</v>
      </c>
      <c r="AJ12" s="42">
        <v>0.67</v>
      </c>
      <c r="AK12" s="22" t="s">
        <v>575</v>
      </c>
      <c r="AM12" s="30" t="s">
        <v>180</v>
      </c>
      <c r="AN12" s="107">
        <v>10</v>
      </c>
      <c r="AO12" s="109">
        <f>B5</f>
        <v>0.25</v>
      </c>
      <c r="AP12" s="113">
        <v>4</v>
      </c>
      <c r="AR12" s="25" t="s">
        <v>547</v>
      </c>
      <c r="AS12" s="12">
        <v>2</v>
      </c>
      <c r="AU12" s="584" t="s">
        <v>563</v>
      </c>
      <c r="AV12" s="585">
        <v>5</v>
      </c>
      <c r="AW12" s="586" t="s">
        <v>1435</v>
      </c>
      <c r="AX12" s="585" t="s">
        <v>1435</v>
      </c>
      <c r="AZ12" s="39">
        <v>9</v>
      </c>
      <c r="BA12" s="23" t="s">
        <v>1487</v>
      </c>
      <c r="BC12" s="122" t="s">
        <v>1488</v>
      </c>
      <c r="BD12" s="123">
        <v>5.8898000000000001</v>
      </c>
      <c r="BE12" s="124">
        <v>11.29</v>
      </c>
      <c r="BG12" s="126">
        <v>9</v>
      </c>
      <c r="BH12" s="127">
        <f t="shared" si="1"/>
        <v>70.069999999999993</v>
      </c>
      <c r="BJ12" s="168" t="s">
        <v>2048</v>
      </c>
      <c r="BK12" s="12">
        <v>2</v>
      </c>
      <c r="BM12" s="722" t="s">
        <v>575</v>
      </c>
      <c r="BN12" s="1001">
        <v>2340</v>
      </c>
      <c r="BP12">
        <v>11</v>
      </c>
      <c r="BQ12" s="1002" t="s">
        <v>1489</v>
      </c>
      <c r="BT12" s="729">
        <f t="shared" si="2"/>
        <v>0.76749293946187724</v>
      </c>
      <c r="BU12" s="1003">
        <v>9</v>
      </c>
      <c r="BV12" s="1004">
        <f t="shared" si="3"/>
        <v>76.74929394618772</v>
      </c>
      <c r="BY12">
        <v>0.70071950224615076</v>
      </c>
      <c r="BZ12">
        <f t="shared" si="4"/>
        <v>70.07195022461508</v>
      </c>
      <c r="CB12">
        <v>0.72029617437445459</v>
      </c>
      <c r="CC12">
        <f t="shared" si="5"/>
        <v>72.029617437445452</v>
      </c>
      <c r="CE12">
        <v>0.76749293946187724</v>
      </c>
      <c r="CF12">
        <f t="shared" si="6"/>
        <v>84.424223340806492</v>
      </c>
      <c r="CH12">
        <v>38.08697612223974</v>
      </c>
      <c r="CI12">
        <v>49.203977647498775</v>
      </c>
      <c r="CK12" s="991" t="s">
        <v>1490</v>
      </c>
      <c r="CL12" s="992" t="s">
        <v>1449</v>
      </c>
      <c r="CM12" s="993">
        <v>17</v>
      </c>
      <c r="CN12" s="994">
        <v>5500</v>
      </c>
    </row>
    <row r="13" spans="1:92">
      <c r="A13" t="s">
        <v>2019</v>
      </c>
      <c r="B13" s="972">
        <v>50</v>
      </c>
      <c r="C13" t="s">
        <v>1491</v>
      </c>
      <c r="D13" s="2060" t="str">
        <f>IF(D6=0,"Not Signed","Active")</f>
        <v>Not Signed</v>
      </c>
      <c r="E13" s="2060"/>
      <c r="F13" s="14" t="s">
        <v>1492</v>
      </c>
      <c r="M13" s="22" t="s">
        <v>1241</v>
      </c>
      <c r="N13" s="23" t="s">
        <v>1493</v>
      </c>
      <c r="P13" s="22" t="s">
        <v>464</v>
      </c>
      <c r="Q13" s="33">
        <v>15</v>
      </c>
      <c r="S13" s="25" t="s">
        <v>1453</v>
      </c>
      <c r="T13" s="34" t="s">
        <v>1454</v>
      </c>
      <c r="U13" s="40">
        <v>1</v>
      </c>
      <c r="V13" s="34" t="s">
        <v>277</v>
      </c>
      <c r="W13" s="25" t="s">
        <v>1455</v>
      </c>
      <c r="X13" s="34">
        <v>6</v>
      </c>
      <c r="Z13" s="22" t="s">
        <v>569</v>
      </c>
      <c r="AA13" s="22" t="str">
        <f t="shared" si="7"/>
        <v>Interior Industrial</v>
      </c>
      <c r="AB13" s="22" t="str">
        <f t="shared" si="0"/>
        <v>Controls_Interior_Basic</v>
      </c>
      <c r="AC13" s="84" t="s">
        <v>166</v>
      </c>
      <c r="AD13" s="84" t="s">
        <v>1397</v>
      </c>
      <c r="AE13" s="84" t="s">
        <v>166</v>
      </c>
      <c r="AF13" s="33">
        <v>0.8</v>
      </c>
      <c r="AG13" s="107" t="s">
        <v>1074</v>
      </c>
      <c r="AI13" s="25" t="s">
        <v>998</v>
      </c>
      <c r="AJ13" s="41">
        <v>0.54</v>
      </c>
      <c r="AK13" s="25" t="s">
        <v>575</v>
      </c>
      <c r="AM13" s="22" t="s">
        <v>178</v>
      </c>
      <c r="AN13" s="12">
        <v>11</v>
      </c>
      <c r="AO13" s="108">
        <f>B5</f>
        <v>0.25</v>
      </c>
      <c r="AP13" s="112">
        <v>1</v>
      </c>
      <c r="AR13" s="22" t="s">
        <v>353</v>
      </c>
      <c r="AS13" s="12">
        <v>1</v>
      </c>
      <c r="AU13" s="584" t="s">
        <v>1494</v>
      </c>
      <c r="AV13" s="1008">
        <v>7</v>
      </c>
      <c r="AW13" s="1009" t="s">
        <v>1435</v>
      </c>
      <c r="AX13" s="1008" t="s">
        <v>1435</v>
      </c>
      <c r="AZ13" s="40">
        <v>10</v>
      </c>
      <c r="BA13" s="26" t="s">
        <v>1495</v>
      </c>
      <c r="BC13" s="125" t="s">
        <v>1496</v>
      </c>
      <c r="BD13" s="126">
        <v>7.7076000000000002</v>
      </c>
      <c r="BE13" s="127">
        <v>6.59</v>
      </c>
      <c r="BG13" s="123">
        <v>10</v>
      </c>
      <c r="BH13" s="127">
        <f t="shared" si="1"/>
        <v>77.459999999999994</v>
      </c>
      <c r="BJ13" t="s">
        <v>119</v>
      </c>
      <c r="BK13" s="12">
        <v>3</v>
      </c>
      <c r="BM13" s="722" t="s">
        <v>1497</v>
      </c>
      <c r="BN13" s="1001">
        <v>4576</v>
      </c>
      <c r="BP13">
        <v>12</v>
      </c>
      <c r="BQ13" s="995" t="s">
        <v>1498</v>
      </c>
      <c r="BT13" s="1005">
        <f t="shared" si="2"/>
        <v>0.8506031334335975</v>
      </c>
      <c r="BU13" s="1006">
        <v>10</v>
      </c>
      <c r="BV13" s="1007">
        <f t="shared" si="3"/>
        <v>85.060313343359752</v>
      </c>
      <c r="BY13">
        <v>0.77460416073684046</v>
      </c>
      <c r="BZ13">
        <f t="shared" si="4"/>
        <v>77.460416073684044</v>
      </c>
      <c r="CB13">
        <v>0.80065967936910365</v>
      </c>
      <c r="CC13">
        <f t="shared" si="5"/>
        <v>80.065967936910369</v>
      </c>
      <c r="CE13">
        <v>0.8506031334335975</v>
      </c>
      <c r="CF13">
        <f t="shared" si="6"/>
        <v>93.566344677695724</v>
      </c>
      <c r="CH13">
        <v>41.920131341091491</v>
      </c>
      <c r="CI13">
        <v>54.06481507555285</v>
      </c>
      <c r="CK13" s="997" t="s">
        <v>1499</v>
      </c>
      <c r="CL13" s="998" t="s">
        <v>1390</v>
      </c>
      <c r="CM13" s="999">
        <v>67</v>
      </c>
      <c r="CN13" s="1000">
        <v>2600</v>
      </c>
    </row>
    <row r="14" spans="1:92">
      <c r="B14" s="972">
        <v>50</v>
      </c>
      <c r="C14" t="s">
        <v>1500</v>
      </c>
      <c r="D14" t="s">
        <v>239</v>
      </c>
      <c r="M14" s="25" t="s">
        <v>155</v>
      </c>
      <c r="N14" s="26" t="s">
        <v>1421</v>
      </c>
      <c r="P14" s="25" t="s">
        <v>1501</v>
      </c>
      <c r="Q14" s="34">
        <v>20</v>
      </c>
      <c r="Z14" s="25" t="s">
        <v>570</v>
      </c>
      <c r="AA14" s="25" t="str">
        <f t="shared" si="7"/>
        <v>Interior Kitchen</v>
      </c>
      <c r="AB14" s="25" t="str">
        <f t="shared" si="0"/>
        <v>Controls_Interior_Basic</v>
      </c>
      <c r="AC14" s="83" t="s">
        <v>166</v>
      </c>
      <c r="AD14" s="83" t="s">
        <v>1397</v>
      </c>
      <c r="AE14" s="83" t="s">
        <v>166</v>
      </c>
      <c r="AF14" s="34">
        <v>1.0900000000000001</v>
      </c>
      <c r="AG14" s="107" t="s">
        <v>1074</v>
      </c>
      <c r="AI14" s="22" t="s">
        <v>361</v>
      </c>
      <c r="AJ14" s="42">
        <v>0.75</v>
      </c>
      <c r="AK14" s="22" t="s">
        <v>575</v>
      </c>
      <c r="AM14" s="421" t="s">
        <v>169</v>
      </c>
      <c r="AN14" s="107">
        <v>12</v>
      </c>
      <c r="AO14" s="109">
        <f>B$11</f>
        <v>2</v>
      </c>
      <c r="AP14" s="113">
        <v>1</v>
      </c>
      <c r="AR14" s="25" t="s">
        <v>556</v>
      </c>
      <c r="AS14" s="12">
        <v>2</v>
      </c>
      <c r="AU14" s="584" t="s">
        <v>1502</v>
      </c>
      <c r="AV14" s="1008">
        <v>7</v>
      </c>
      <c r="AW14" s="1009" t="s">
        <v>1435</v>
      </c>
      <c r="AX14" s="1008" t="s">
        <v>1435</v>
      </c>
      <c r="AZ14" s="39">
        <v>11</v>
      </c>
      <c r="BA14" s="23" t="s">
        <v>1445</v>
      </c>
      <c r="BC14" s="122" t="s">
        <v>1503</v>
      </c>
      <c r="BD14" s="123">
        <v>6.1639999999999997</v>
      </c>
      <c r="BE14" s="124">
        <v>6.59</v>
      </c>
      <c r="BG14" s="126">
        <v>11</v>
      </c>
      <c r="BH14" s="127">
        <f t="shared" si="1"/>
        <v>84.46</v>
      </c>
      <c r="BJ14" s="168" t="s">
        <v>944</v>
      </c>
      <c r="BK14" s="12">
        <v>4</v>
      </c>
      <c r="BM14" s="722" t="s">
        <v>1504</v>
      </c>
      <c r="BN14" s="1001">
        <v>3744</v>
      </c>
      <c r="BP14">
        <v>13</v>
      </c>
      <c r="BQ14" s="1002" t="s">
        <v>1505</v>
      </c>
      <c r="BT14" s="729">
        <f t="shared" si="2"/>
        <v>0.93118131801142878</v>
      </c>
      <c r="BU14" s="1003">
        <v>11</v>
      </c>
      <c r="BV14" s="1004">
        <f t="shared" si="3"/>
        <v>93.11813180114288</v>
      </c>
      <c r="BY14">
        <v>0.84461586394517141</v>
      </c>
      <c r="BZ14">
        <f t="shared" si="4"/>
        <v>84.461586394517141</v>
      </c>
      <c r="CB14">
        <v>0.87870004710173655</v>
      </c>
      <c r="CC14">
        <f t="shared" si="5"/>
        <v>87.87000471017366</v>
      </c>
      <c r="CE14">
        <v>0.93118131801142878</v>
      </c>
      <c r="CF14">
        <f t="shared" si="6"/>
        <v>102.42994498125717</v>
      </c>
      <c r="CH14">
        <v>45.699196089617359</v>
      </c>
      <c r="CI14">
        <v>58.747086685159069</v>
      </c>
      <c r="CK14" s="991" t="s">
        <v>1506</v>
      </c>
      <c r="CL14" s="992" t="s">
        <v>1507</v>
      </c>
      <c r="CM14" s="993">
        <v>74</v>
      </c>
      <c r="CN14" s="994">
        <v>3300</v>
      </c>
    </row>
    <row r="15" spans="1:92">
      <c r="A15" t="s">
        <v>1091</v>
      </c>
      <c r="B15" s="971" t="b">
        <v>1</v>
      </c>
      <c r="D15" s="1697" t="s">
        <v>239</v>
      </c>
      <c r="E15" s="1697"/>
      <c r="F15" t="s">
        <v>1508</v>
      </c>
      <c r="M15" s="27" t="s">
        <v>1210</v>
      </c>
      <c r="N15" s="24" t="s">
        <v>1509</v>
      </c>
      <c r="P15" s="22" t="s">
        <v>450</v>
      </c>
      <c r="Q15" s="33">
        <v>15</v>
      </c>
      <c r="Z15" s="22" t="s">
        <v>571</v>
      </c>
      <c r="AA15" s="22" t="str">
        <f t="shared" si="7"/>
        <v>Interior Library</v>
      </c>
      <c r="AB15" s="22" t="str">
        <f t="shared" si="0"/>
        <v>Controls_Interior_Basic</v>
      </c>
      <c r="AC15" s="84" t="s">
        <v>166</v>
      </c>
      <c r="AD15" s="84" t="s">
        <v>1397</v>
      </c>
      <c r="AE15" s="84" t="s">
        <v>166</v>
      </c>
      <c r="AF15" s="33">
        <v>0.94</v>
      </c>
      <c r="AG15" s="107" t="s">
        <v>1074</v>
      </c>
      <c r="AI15" s="25" t="s">
        <v>999</v>
      </c>
      <c r="AJ15" s="41">
        <v>0.7</v>
      </c>
      <c r="AK15" s="25" t="s">
        <v>1000</v>
      </c>
      <c r="AM15" s="22" t="s">
        <v>169</v>
      </c>
      <c r="AN15" s="12">
        <v>13</v>
      </c>
      <c r="AO15" s="108">
        <f>B$11</f>
        <v>2</v>
      </c>
      <c r="AP15" s="112">
        <v>2</v>
      </c>
      <c r="AR15" s="22" t="s">
        <v>557</v>
      </c>
      <c r="AS15" s="12">
        <v>3</v>
      </c>
      <c r="AU15" s="84" t="s">
        <v>181</v>
      </c>
      <c r="AV15" s="33">
        <v>0</v>
      </c>
      <c r="AW15" s="22" t="s">
        <v>1444</v>
      </c>
      <c r="AX15" s="33" t="s">
        <v>1444</v>
      </c>
      <c r="AZ15" s="40">
        <v>15</v>
      </c>
      <c r="BA15" s="267" t="s">
        <v>1510</v>
      </c>
      <c r="BC15" s="125" t="s">
        <v>1511</v>
      </c>
      <c r="BD15" s="126">
        <v>5.6632999999999996</v>
      </c>
      <c r="BE15" s="127">
        <v>10.94</v>
      </c>
      <c r="BG15" s="123">
        <v>12</v>
      </c>
      <c r="BH15" s="127">
        <f t="shared" si="1"/>
        <v>91.13</v>
      </c>
      <c r="BK15" s="12">
        <v>5</v>
      </c>
      <c r="BM15" s="722" t="s">
        <v>581</v>
      </c>
      <c r="BN15" s="1001">
        <v>3432</v>
      </c>
      <c r="BP15">
        <v>14</v>
      </c>
      <c r="BQ15" s="995" t="s">
        <v>1512</v>
      </c>
      <c r="BT15" s="1005">
        <f t="shared" si="2"/>
        <v>1.0080964633325746</v>
      </c>
      <c r="BU15" s="1006">
        <v>12</v>
      </c>
      <c r="BV15" s="1007">
        <f t="shared" si="3"/>
        <v>100.80964633325746</v>
      </c>
      <c r="BY15">
        <v>0.91128284670075355</v>
      </c>
      <c r="BZ15">
        <f t="shared" si="4"/>
        <v>91.128284670075359</v>
      </c>
      <c r="CB15">
        <v>0.95315383588314884</v>
      </c>
      <c r="CC15">
        <f t="shared" si="5"/>
        <v>95.315383588314887</v>
      </c>
      <c r="CE15">
        <v>1.0080964633325746</v>
      </c>
      <c r="CF15">
        <f t="shared" si="6"/>
        <v>110.89061096658321</v>
      </c>
      <c r="CH15">
        <v>49.347487763076927</v>
      </c>
      <c r="CI15">
        <v>63.226079404673975</v>
      </c>
      <c r="CK15" s="997" t="s">
        <v>1513</v>
      </c>
      <c r="CL15" s="998" t="s">
        <v>1507</v>
      </c>
      <c r="CM15" s="999">
        <v>74</v>
      </c>
      <c r="CN15" s="1000">
        <v>3300</v>
      </c>
    </row>
    <row r="16" spans="1:92">
      <c r="D16" s="2061" t="str">
        <f>Project!H24</f>
        <v>RETROFIT</v>
      </c>
      <c r="E16" s="2062"/>
      <c r="M16" s="25" t="s">
        <v>451</v>
      </c>
      <c r="N16" s="26" t="s">
        <v>1514</v>
      </c>
      <c r="P16" s="30" t="s">
        <v>1515</v>
      </c>
      <c r="Q16" s="35">
        <v>15</v>
      </c>
      <c r="Z16" s="25" t="s">
        <v>572</v>
      </c>
      <c r="AA16" s="25" t="str">
        <f t="shared" si="7"/>
        <v>Interior Lobby</v>
      </c>
      <c r="AB16" s="25" t="str">
        <f t="shared" si="0"/>
        <v>Controls_Interior_Basic</v>
      </c>
      <c r="AC16" s="83" t="s">
        <v>166</v>
      </c>
      <c r="AD16" s="83" t="s">
        <v>1397</v>
      </c>
      <c r="AE16" s="83" t="s">
        <v>166</v>
      </c>
      <c r="AF16" s="34">
        <v>0.84</v>
      </c>
      <c r="AG16" s="107" t="s">
        <v>1074</v>
      </c>
      <c r="AI16" s="22" t="s">
        <v>1001</v>
      </c>
      <c r="AJ16" s="42">
        <v>0.84</v>
      </c>
      <c r="AK16" s="22" t="s">
        <v>1001</v>
      </c>
      <c r="AM16" s="421" t="s">
        <v>169</v>
      </c>
      <c r="AN16" s="107">
        <v>14</v>
      </c>
      <c r="AO16" s="109">
        <f>B$11</f>
        <v>2</v>
      </c>
      <c r="AP16" s="113">
        <v>3</v>
      </c>
      <c r="AS16" s="12"/>
      <c r="BC16" s="122" t="s">
        <v>1516</v>
      </c>
      <c r="BD16" s="123">
        <v>5.4413</v>
      </c>
      <c r="BE16" s="124">
        <v>4.0199999999999996</v>
      </c>
      <c r="BG16" s="126">
        <v>13</v>
      </c>
      <c r="BH16" s="127">
        <f t="shared" si="1"/>
        <v>97.45</v>
      </c>
      <c r="BJ16" s="168"/>
      <c r="BK16" s="12">
        <v>6</v>
      </c>
      <c r="BM16" s="722" t="s">
        <v>1517</v>
      </c>
      <c r="BN16" s="1001">
        <v>2382</v>
      </c>
      <c r="BP16">
        <v>15</v>
      </c>
      <c r="BQ16" s="1002" t="s">
        <v>1518</v>
      </c>
      <c r="BT16" s="729">
        <f t="shared" si="2"/>
        <v>1.0820815628757172</v>
      </c>
      <c r="BU16" s="1003">
        <v>13</v>
      </c>
      <c r="BV16" s="1004">
        <f t="shared" si="3"/>
        <v>108.20815628757173</v>
      </c>
      <c r="BY16">
        <v>0.9745097192212081</v>
      </c>
      <c r="BZ16">
        <f t="shared" si="4"/>
        <v>97.450971922120814</v>
      </c>
      <c r="CB16">
        <v>1.024808836566317</v>
      </c>
      <c r="CC16">
        <f t="shared" si="5"/>
        <v>102.4808836566317</v>
      </c>
      <c r="CE16">
        <v>1.0820815628757172</v>
      </c>
      <c r="CF16">
        <f t="shared" si="6"/>
        <v>119.0289719163289</v>
      </c>
      <c r="CH16">
        <v>52.8404283130224</v>
      </c>
      <c r="CI16">
        <v>67.560554936350272</v>
      </c>
      <c r="CK16" s="991" t="s">
        <v>1519</v>
      </c>
      <c r="CL16" s="992" t="s">
        <v>1390</v>
      </c>
      <c r="CM16" s="993">
        <v>109</v>
      </c>
      <c r="CN16" s="994">
        <v>4300</v>
      </c>
    </row>
    <row r="17" spans="1:92">
      <c r="A17" s="44" t="s">
        <v>2096</v>
      </c>
      <c r="B17" s="973" t="str">
        <f>Installations!B12</f>
        <v>No</v>
      </c>
      <c r="M17" s="22" t="s">
        <v>1206</v>
      </c>
      <c r="N17" s="23" t="s">
        <v>1520</v>
      </c>
      <c r="P17" s="25" t="s">
        <v>177</v>
      </c>
      <c r="Q17" s="34">
        <v>15</v>
      </c>
      <c r="Z17" s="22" t="s">
        <v>573</v>
      </c>
      <c r="AA17" s="22" t="str">
        <f t="shared" si="7"/>
        <v>Interior Lodging (Guest Rooms)</v>
      </c>
      <c r="AB17" s="22" t="str">
        <f t="shared" si="0"/>
        <v>Controls_Interior_Basic</v>
      </c>
      <c r="AC17" s="84" t="s">
        <v>166</v>
      </c>
      <c r="AD17" s="84" t="s">
        <v>1397</v>
      </c>
      <c r="AE17" s="84" t="s">
        <v>166</v>
      </c>
      <c r="AF17" s="33">
        <v>0.41</v>
      </c>
      <c r="AG17" s="107" t="s">
        <v>1074</v>
      </c>
      <c r="AI17" s="22" t="s">
        <v>1462</v>
      </c>
      <c r="AJ17" s="42"/>
      <c r="AK17" s="22" t="s">
        <v>1462</v>
      </c>
      <c r="AR17" s="50" t="s">
        <v>1399</v>
      </c>
      <c r="AS17" s="12"/>
      <c r="BA17" s="23"/>
      <c r="BC17" s="125" t="s">
        <v>1521</v>
      </c>
      <c r="BD17" s="126">
        <v>5.5190999999999999</v>
      </c>
      <c r="BE17" s="127">
        <v>4.1100000000000003</v>
      </c>
      <c r="BG17" s="123">
        <v>14</v>
      </c>
      <c r="BH17" s="127">
        <f t="shared" si="1"/>
        <v>103.44</v>
      </c>
      <c r="BM17" s="722" t="s">
        <v>994</v>
      </c>
      <c r="BN17" s="1001">
        <v>6396</v>
      </c>
      <c r="BP17">
        <v>16</v>
      </c>
      <c r="BQ17" s="995" t="s">
        <v>1522</v>
      </c>
      <c r="BT17" s="1005">
        <f t="shared" si="2"/>
        <v>1.1531730499356763</v>
      </c>
      <c r="BU17" s="1006">
        <v>14</v>
      </c>
      <c r="BV17" s="1007">
        <f t="shared" si="3"/>
        <v>115.31730499356763</v>
      </c>
      <c r="BY17">
        <v>1.0344437420326877</v>
      </c>
      <c r="BZ17">
        <f t="shared" si="4"/>
        <v>103.44437420326878</v>
      </c>
      <c r="CB17">
        <v>1.0936873969516554</v>
      </c>
      <c r="CC17">
        <f t="shared" si="5"/>
        <v>109.36873969516554</v>
      </c>
      <c r="CE17">
        <v>1.1531730499356763</v>
      </c>
      <c r="CF17">
        <f t="shared" si="6"/>
        <v>126.84903549292439</v>
      </c>
      <c r="CH17">
        <v>56.23097224517538</v>
      </c>
      <c r="CI17">
        <v>71.795032315975021</v>
      </c>
      <c r="CK17" s="997" t="s">
        <v>576</v>
      </c>
      <c r="CL17" s="998" t="s">
        <v>1523</v>
      </c>
      <c r="CM17" s="999">
        <v>58</v>
      </c>
      <c r="CN17" s="1000">
        <v>6300</v>
      </c>
    </row>
    <row r="18" spans="1:92">
      <c r="M18" s="25" t="s">
        <v>1208</v>
      </c>
      <c r="N18" s="26" t="s">
        <v>1524</v>
      </c>
      <c r="P18" s="22" t="s">
        <v>1525</v>
      </c>
      <c r="Q18" s="33">
        <v>10</v>
      </c>
      <c r="Z18" s="25" t="s">
        <v>574</v>
      </c>
      <c r="AA18" s="25" t="str">
        <f t="shared" si="7"/>
        <v>Interior Open Office</v>
      </c>
      <c r="AB18" s="25" t="str">
        <f t="shared" si="0"/>
        <v>Controls_Interior_LLLC</v>
      </c>
      <c r="AC18" s="83" t="s">
        <v>157</v>
      </c>
      <c r="AD18" s="83" t="s">
        <v>1397</v>
      </c>
      <c r="AE18" s="83" t="s">
        <v>166</v>
      </c>
      <c r="AF18" s="34">
        <v>0.61</v>
      </c>
      <c r="AG18" s="107" t="s">
        <v>1074</v>
      </c>
      <c r="AI18" s="25" t="s">
        <v>1003</v>
      </c>
      <c r="AJ18" s="41">
        <v>0.7</v>
      </c>
      <c r="AK18" s="25" t="s">
        <v>1005</v>
      </c>
      <c r="AR18" s="20" t="s">
        <v>1526</v>
      </c>
      <c r="AS18" s="12"/>
      <c r="AU18" s="50" t="s">
        <v>1357</v>
      </c>
      <c r="BC18" s="122" t="s">
        <v>1527</v>
      </c>
      <c r="BD18" s="123">
        <v>5.6638000000000002</v>
      </c>
      <c r="BE18" s="124">
        <v>4.2</v>
      </c>
      <c r="BG18" s="126">
        <v>15</v>
      </c>
      <c r="BH18" s="127">
        <f t="shared" si="1"/>
        <v>109.15</v>
      </c>
      <c r="BM18" s="702" t="s">
        <v>586</v>
      </c>
      <c r="BN18" s="813">
        <v>2470</v>
      </c>
      <c r="BP18">
        <v>17</v>
      </c>
      <c r="BQ18" s="1002" t="s">
        <v>638</v>
      </c>
      <c r="BT18" s="729">
        <f t="shared" si="2"/>
        <v>1.221622756541064</v>
      </c>
      <c r="BU18" s="1003">
        <v>15</v>
      </c>
      <c r="BV18" s="1004">
        <f t="shared" si="3"/>
        <v>122.16227565410639</v>
      </c>
      <c r="BY18">
        <v>1.0914944041149737</v>
      </c>
      <c r="BZ18">
        <f t="shared" si="4"/>
        <v>109.14944041149737</v>
      </c>
      <c r="CB18">
        <v>1.1600495442885062</v>
      </c>
      <c r="CC18">
        <f t="shared" si="5"/>
        <v>116.00495442885061</v>
      </c>
      <c r="CE18">
        <v>1.221622756541064</v>
      </c>
      <c r="CF18">
        <f t="shared" si="6"/>
        <v>134.37850321951703</v>
      </c>
      <c r="CH18">
        <v>59.558931002308945</v>
      </c>
      <c r="CI18">
        <v>75.885268172401396</v>
      </c>
      <c r="CK18" s="991" t="s">
        <v>1528</v>
      </c>
      <c r="CL18" s="992" t="s">
        <v>1390</v>
      </c>
      <c r="CM18" s="993">
        <v>159</v>
      </c>
      <c r="CN18" s="994">
        <v>4900</v>
      </c>
    </row>
    <row r="19" spans="1:92">
      <c r="D19" t="str">
        <f>IF($D$2="Business Lighting",D37,D51)</f>
        <v>MULTI-FAMILY LIGHTING INCENTIVE PROGRAM</v>
      </c>
      <c r="M19" s="22" t="s">
        <v>1214</v>
      </c>
      <c r="N19" s="23" t="s">
        <v>1529</v>
      </c>
      <c r="P19" s="25" t="s">
        <v>1530</v>
      </c>
      <c r="Q19" s="34">
        <v>12</v>
      </c>
      <c r="S19" s="500" t="s">
        <v>1368</v>
      </c>
      <c r="T19" s="500" t="s">
        <v>1531</v>
      </c>
      <c r="U19" s="500" t="s">
        <v>1370</v>
      </c>
      <c r="V19" s="500" t="s">
        <v>1371</v>
      </c>
      <c r="W19" s="500" t="s">
        <v>1532</v>
      </c>
      <c r="X19" s="500" t="s">
        <v>1373</v>
      </c>
      <c r="Z19" s="22" t="s">
        <v>575</v>
      </c>
      <c r="AA19" s="22" t="str">
        <f t="shared" si="7"/>
        <v>Interior Other</v>
      </c>
      <c r="AB19" s="22" t="str">
        <f t="shared" si="0"/>
        <v>Controls_Interior_Basic</v>
      </c>
      <c r="AC19" s="84" t="s">
        <v>166</v>
      </c>
      <c r="AD19" s="84" t="s">
        <v>1397</v>
      </c>
      <c r="AE19" s="84" t="s">
        <v>166</v>
      </c>
      <c r="AF19" s="33">
        <v>0.79</v>
      </c>
      <c r="AG19" s="107" t="s">
        <v>1074</v>
      </c>
      <c r="AI19" s="22" t="s">
        <v>571</v>
      </c>
      <c r="AJ19" s="42">
        <v>0.94</v>
      </c>
      <c r="AK19" s="22" t="s">
        <v>985</v>
      </c>
      <c r="AM19" s="22"/>
      <c r="AN19" s="12"/>
      <c r="AO19" s="108"/>
      <c r="AP19" s="112"/>
      <c r="AR19" s="22" t="s">
        <v>359</v>
      </c>
      <c r="AS19" s="12">
        <v>1</v>
      </c>
      <c r="AU19" s="250" t="s">
        <v>1377</v>
      </c>
      <c r="BC19" s="125" t="s">
        <v>1533</v>
      </c>
      <c r="BD19" s="126">
        <v>6.5084</v>
      </c>
      <c r="BE19" s="127">
        <v>4.9800000000000004</v>
      </c>
      <c r="BG19" s="123">
        <v>16</v>
      </c>
      <c r="BH19" s="127">
        <f t="shared" si="1"/>
        <v>115.39</v>
      </c>
      <c r="BN19" s="12"/>
      <c r="BP19">
        <v>18</v>
      </c>
      <c r="BQ19" s="995" t="s">
        <v>1534</v>
      </c>
      <c r="BT19" s="1005">
        <f t="shared" si="2"/>
        <v>1.2874145033464228</v>
      </c>
      <c r="BU19" s="1006">
        <v>16</v>
      </c>
      <c r="BV19" s="1007">
        <f t="shared" si="3"/>
        <v>128.74145033464228</v>
      </c>
      <c r="BY19">
        <v>1.153913943507979</v>
      </c>
      <c r="BZ19">
        <f t="shared" si="4"/>
        <v>115.39139435079791</v>
      </c>
      <c r="CB19">
        <v>1.2238612031986296</v>
      </c>
      <c r="CC19">
        <f t="shared" si="5"/>
        <v>122.38612031986295</v>
      </c>
      <c r="CE19">
        <v>1.2874145033464228</v>
      </c>
      <c r="CF19">
        <f t="shared" si="6"/>
        <v>141.61559536810651</v>
      </c>
      <c r="CH19">
        <v>62.781822683413544</v>
      </c>
      <c r="CI19">
        <v>79.791046461691977</v>
      </c>
      <c r="CK19" s="997" t="s">
        <v>1535</v>
      </c>
      <c r="CL19" s="998" t="s">
        <v>1536</v>
      </c>
      <c r="CM19" s="999">
        <v>68</v>
      </c>
      <c r="CN19" s="1000">
        <v>3900</v>
      </c>
    </row>
    <row r="20" spans="1:92">
      <c r="D20" t="str">
        <f>CONCATENATE(D22," ",D4," - Valid through ",TEXT(D5,"mm/dd/yyyy"))</f>
        <v>Multi-Family Lighting 2022 STANDARD Application V2-2 - Valid through 12/31/2022</v>
      </c>
      <c r="M20" s="25" t="s">
        <v>1216</v>
      </c>
      <c r="N20" s="26" t="s">
        <v>1537</v>
      </c>
      <c r="P20" s="22" t="s">
        <v>369</v>
      </c>
      <c r="Q20" s="33">
        <v>10</v>
      </c>
      <c r="S20" s="84" t="s">
        <v>1394</v>
      </c>
      <c r="T20" s="33" t="s">
        <v>351</v>
      </c>
      <c r="U20" s="39">
        <v>1.04</v>
      </c>
      <c r="V20" s="33" t="s">
        <v>237</v>
      </c>
      <c r="W20" s="22" t="s">
        <v>1395</v>
      </c>
      <c r="X20" s="501">
        <v>1</v>
      </c>
      <c r="Z20" s="25" t="s">
        <v>576</v>
      </c>
      <c r="AA20" s="25" t="str">
        <f t="shared" si="7"/>
        <v>Interior Parking Garage</v>
      </c>
      <c r="AB20" s="25" t="str">
        <f t="shared" si="0"/>
        <v>Controls_Interior_Basic</v>
      </c>
      <c r="AC20" s="83" t="s">
        <v>166</v>
      </c>
      <c r="AD20" s="83" t="s">
        <v>1397</v>
      </c>
      <c r="AE20" s="83" t="s">
        <v>166</v>
      </c>
      <c r="AF20" s="34">
        <v>0.15</v>
      </c>
      <c r="AG20" s="107" t="s">
        <v>1074</v>
      </c>
      <c r="AI20" s="25" t="s">
        <v>1006</v>
      </c>
      <c r="AJ20" s="41">
        <v>0.89</v>
      </c>
      <c r="AK20" s="25" t="s">
        <v>1007</v>
      </c>
      <c r="AR20" s="25" t="s">
        <v>547</v>
      </c>
      <c r="AS20" s="12">
        <v>2</v>
      </c>
      <c r="AU20" t="s">
        <v>1397</v>
      </c>
      <c r="AV20" s="12">
        <v>1</v>
      </c>
      <c r="BC20" s="122" t="s">
        <v>1538</v>
      </c>
      <c r="BD20" s="123">
        <v>6.0827999999999998</v>
      </c>
      <c r="BE20" s="124">
        <v>2.09</v>
      </c>
      <c r="BG20" s="126">
        <v>17</v>
      </c>
      <c r="BH20" s="127">
        <f t="shared" si="1"/>
        <v>121.27</v>
      </c>
      <c r="BP20">
        <v>19</v>
      </c>
      <c r="BQ20" s="1002" t="s">
        <v>1539</v>
      </c>
      <c r="BT20" s="729">
        <f t="shared" si="2"/>
        <v>1.349777838461659</v>
      </c>
      <c r="BU20" s="1003">
        <v>17</v>
      </c>
      <c r="BV20" s="1004">
        <f t="shared" si="3"/>
        <v>134.97778384616589</v>
      </c>
      <c r="BY20">
        <v>1.212666668110173</v>
      </c>
      <c r="BZ20">
        <f t="shared" si="4"/>
        <v>121.2666668110173</v>
      </c>
      <c r="CB20">
        <v>1.2842592787243652</v>
      </c>
      <c r="CC20">
        <f t="shared" si="5"/>
        <v>128.42592787243652</v>
      </c>
      <c r="CE20">
        <v>1.349777838461659</v>
      </c>
      <c r="CF20">
        <f t="shared" si="6"/>
        <v>148.47556223078249</v>
      </c>
      <c r="CH20">
        <v>65.860968699691853</v>
      </c>
      <c r="CI20">
        <v>83.50771718419989</v>
      </c>
      <c r="CK20" s="991" t="s">
        <v>1540</v>
      </c>
      <c r="CL20" s="992" t="s">
        <v>1390</v>
      </c>
      <c r="CM20" s="993">
        <v>13</v>
      </c>
      <c r="CN20" s="994">
        <v>4400</v>
      </c>
    </row>
    <row r="21" spans="1:92">
      <c r="D21" t="str">
        <f ca="1">IF(D12="Expired","APPLICATION EXPIRED",IF(D13="Not Signed","Application Signature not dated. Application not valid.",CONCATENATE("Application expires in ",D9," days")))</f>
        <v>Application Signature not dated. Application not valid.</v>
      </c>
      <c r="M21" s="22" t="s">
        <v>1222</v>
      </c>
      <c r="N21" s="23" t="s">
        <v>1541</v>
      </c>
      <c r="P21" s="25" t="s">
        <v>370</v>
      </c>
      <c r="Q21" s="34">
        <v>10</v>
      </c>
      <c r="S21" s="84" t="s">
        <v>1411</v>
      </c>
      <c r="T21" s="33" t="s">
        <v>1412</v>
      </c>
      <c r="U21" s="39">
        <v>0.8</v>
      </c>
      <c r="V21" s="33" t="s">
        <v>237</v>
      </c>
      <c r="W21" s="22" t="s">
        <v>1395</v>
      </c>
      <c r="X21" s="501">
        <v>2</v>
      </c>
      <c r="Z21" s="22" t="s">
        <v>577</v>
      </c>
      <c r="AA21" s="22" t="str">
        <f t="shared" si="7"/>
        <v>Interior Private Office</v>
      </c>
      <c r="AB21" s="22" t="str">
        <f t="shared" si="0"/>
        <v>Controls_Interior_LLLC</v>
      </c>
      <c r="AC21" s="84" t="s">
        <v>157</v>
      </c>
      <c r="AD21" s="84" t="s">
        <v>1397</v>
      </c>
      <c r="AE21" s="84" t="s">
        <v>166</v>
      </c>
      <c r="AF21" s="33">
        <v>0.74</v>
      </c>
      <c r="AG21" s="107" t="s">
        <v>1074</v>
      </c>
      <c r="AI21" s="22" t="s">
        <v>1008</v>
      </c>
      <c r="AJ21" s="42">
        <v>0.7</v>
      </c>
      <c r="AK21" s="22" t="s">
        <v>1005</v>
      </c>
      <c r="AR21" s="22" t="s">
        <v>353</v>
      </c>
      <c r="AS21" s="12">
        <v>1</v>
      </c>
      <c r="AU21" t="s">
        <v>1399</v>
      </c>
      <c r="AV21" s="12">
        <v>2</v>
      </c>
      <c r="BC21" s="125" t="s">
        <v>1542</v>
      </c>
      <c r="BD21" s="126">
        <v>6.1963999999999997</v>
      </c>
      <c r="BE21" s="127">
        <v>3.7</v>
      </c>
      <c r="BG21" s="123">
        <v>18</v>
      </c>
      <c r="BH21" s="127">
        <f t="shared" si="1"/>
        <v>126.8</v>
      </c>
      <c r="BP21">
        <v>20</v>
      </c>
      <c r="BQ21" s="995" t="s">
        <v>1543</v>
      </c>
      <c r="BT21" s="1005">
        <f t="shared" si="2"/>
        <v>1.4099495984667922</v>
      </c>
      <c r="BU21" s="1006">
        <v>18</v>
      </c>
      <c r="BV21" s="1007">
        <f t="shared" si="3"/>
        <v>140.99495984667922</v>
      </c>
      <c r="BY21">
        <v>1.2679623363826162</v>
      </c>
      <c r="BZ21">
        <f t="shared" si="4"/>
        <v>126.79623363826163</v>
      </c>
      <c r="CB21">
        <v>1.3425893450202335</v>
      </c>
      <c r="CC21">
        <f t="shared" si="5"/>
        <v>134.25893450202335</v>
      </c>
      <c r="CE21">
        <v>1.4099495984667922</v>
      </c>
      <c r="CF21">
        <f t="shared" si="6"/>
        <v>155.09445583134715</v>
      </c>
      <c r="CH21">
        <v>68.790755621695382</v>
      </c>
      <c r="CI21">
        <v>87.046335826996142</v>
      </c>
      <c r="CK21" s="997" t="s">
        <v>1544</v>
      </c>
      <c r="CL21" s="998" t="s">
        <v>1536</v>
      </c>
      <c r="CM21" s="999">
        <v>9</v>
      </c>
      <c r="CN21" s="1000">
        <v>6000</v>
      </c>
    </row>
    <row r="22" spans="1:92">
      <c r="D22" t="str">
        <f>IF($D$2="Business Lighting",D38,D52)</f>
        <v>Multi-Family Lighting</v>
      </c>
      <c r="M22" s="25" t="s">
        <v>1242</v>
      </c>
      <c r="N22" s="26" t="s">
        <v>1545</v>
      </c>
      <c r="P22" s="22" t="s">
        <v>167</v>
      </c>
      <c r="Q22" s="33">
        <v>10</v>
      </c>
      <c r="S22" s="84" t="s">
        <v>1423</v>
      </c>
      <c r="T22" s="33" t="s">
        <v>1424</v>
      </c>
      <c r="U22" s="39">
        <v>1</v>
      </c>
      <c r="V22" s="33" t="s">
        <v>237</v>
      </c>
      <c r="W22" s="22" t="s">
        <v>1395</v>
      </c>
      <c r="X22" s="501">
        <v>3</v>
      </c>
      <c r="Z22" s="25" t="s">
        <v>578</v>
      </c>
      <c r="AA22" s="25" t="str">
        <f t="shared" si="7"/>
        <v>Interior Process</v>
      </c>
      <c r="AB22" s="25" t="str">
        <f t="shared" si="0"/>
        <v>Controls_Interior_Basic</v>
      </c>
      <c r="AC22" s="83" t="s">
        <v>166</v>
      </c>
      <c r="AD22" s="83" t="s">
        <v>1397</v>
      </c>
      <c r="AE22" s="83" t="s">
        <v>166</v>
      </c>
      <c r="AF22" s="34">
        <v>0.8</v>
      </c>
      <c r="AG22" s="107" t="s">
        <v>1074</v>
      </c>
      <c r="AI22" s="25" t="s">
        <v>1009</v>
      </c>
      <c r="AJ22" s="41">
        <v>0.61</v>
      </c>
      <c r="AK22" s="25" t="s">
        <v>985</v>
      </c>
      <c r="AR22" s="25" t="s">
        <v>556</v>
      </c>
      <c r="AS22" s="12">
        <v>2</v>
      </c>
      <c r="AU22" t="s">
        <v>1425</v>
      </c>
      <c r="AV22" s="12">
        <v>3</v>
      </c>
      <c r="BC22" s="128" t="s">
        <v>1546</v>
      </c>
      <c r="BD22" s="129">
        <v>10</v>
      </c>
      <c r="BE22" s="130">
        <v>0</v>
      </c>
      <c r="BG22" s="126">
        <v>19</v>
      </c>
      <c r="BH22" s="127">
        <f t="shared" si="1"/>
        <v>132.01</v>
      </c>
      <c r="BP22">
        <v>21</v>
      </c>
      <c r="BQ22" s="1002" t="s">
        <v>73</v>
      </c>
      <c r="BT22" s="729">
        <f t="shared" si="2"/>
        <v>1.4675040881666219</v>
      </c>
      <c r="BU22" s="1003">
        <v>19</v>
      </c>
      <c r="BV22" s="1004">
        <f t="shared" si="3"/>
        <v>146.7504088166622</v>
      </c>
      <c r="BY22">
        <v>1.3201485780830118</v>
      </c>
      <c r="BZ22">
        <f t="shared" si="4"/>
        <v>132.01485780830117</v>
      </c>
      <c r="CB22">
        <v>1.3983688158462371</v>
      </c>
      <c r="CC22">
        <f t="shared" si="5"/>
        <v>139.83688158462371</v>
      </c>
      <c r="CE22">
        <v>1.4675040881666219</v>
      </c>
      <c r="CF22">
        <f t="shared" si="6"/>
        <v>161.42544969832841</v>
      </c>
      <c r="CH22">
        <v>71.570348311709367</v>
      </c>
      <c r="CI22">
        <v>90.421438399832539</v>
      </c>
      <c r="CK22" s="991" t="s">
        <v>1547</v>
      </c>
      <c r="CL22" s="992" t="s">
        <v>1390</v>
      </c>
      <c r="CM22" s="993">
        <v>42</v>
      </c>
      <c r="CN22" s="994">
        <v>2500</v>
      </c>
    </row>
    <row r="23" spans="1:92">
      <c r="D23" t="str">
        <f>IF($D$2="Business Lighting",D39,D53)</f>
        <v>Muli-Family lighting projects</v>
      </c>
      <c r="M23" s="27" t="s">
        <v>1247</v>
      </c>
      <c r="N23" s="24" t="s">
        <v>1548</v>
      </c>
      <c r="P23" s="30" t="s">
        <v>367</v>
      </c>
      <c r="Q23" s="35">
        <v>10</v>
      </c>
      <c r="S23" s="84" t="s">
        <v>1433</v>
      </c>
      <c r="T23" s="33" t="s">
        <v>1434</v>
      </c>
      <c r="U23" s="39">
        <v>1.2</v>
      </c>
      <c r="V23" s="33" t="s">
        <v>237</v>
      </c>
      <c r="W23" s="22" t="s">
        <v>1395</v>
      </c>
      <c r="X23" s="501">
        <v>5</v>
      </c>
      <c r="Z23" s="22" t="s">
        <v>579</v>
      </c>
      <c r="AA23" s="22" t="str">
        <f t="shared" si="7"/>
        <v>Interior Public Assembly</v>
      </c>
      <c r="AB23" s="22" t="str">
        <f t="shared" si="0"/>
        <v>Controls_Interior_Basic</v>
      </c>
      <c r="AC23" s="84" t="s">
        <v>166</v>
      </c>
      <c r="AD23" s="84" t="s">
        <v>1397</v>
      </c>
      <c r="AE23" s="84" t="s">
        <v>166</v>
      </c>
      <c r="AF23" s="33">
        <v>0.61</v>
      </c>
      <c r="AG23" s="107" t="s">
        <v>1074</v>
      </c>
      <c r="AI23" s="22" t="s">
        <v>1010</v>
      </c>
      <c r="AJ23" s="42">
        <v>0.41</v>
      </c>
      <c r="AK23" s="22" t="s">
        <v>1011</v>
      </c>
      <c r="AR23" s="22" t="s">
        <v>557</v>
      </c>
      <c r="AS23" s="12">
        <v>3</v>
      </c>
      <c r="AU23" t="s">
        <v>1444</v>
      </c>
      <c r="AV23" s="12">
        <v>4</v>
      </c>
      <c r="BG23" s="129">
        <v>20</v>
      </c>
      <c r="BH23" s="127">
        <f t="shared" si="1"/>
        <v>136.96</v>
      </c>
      <c r="BP23">
        <v>22</v>
      </c>
      <c r="BQ23" s="995" t="s">
        <v>1549</v>
      </c>
      <c r="BT23" s="1005">
        <f t="shared" si="2"/>
        <v>1.5220722979356722</v>
      </c>
      <c r="BU23" s="1006">
        <v>20</v>
      </c>
      <c r="BV23" s="1007">
        <f t="shared" si="3"/>
        <v>152.20722979356722</v>
      </c>
      <c r="BY23">
        <v>1.3695735240203228</v>
      </c>
      <c r="BZ23">
        <f t="shared" si="4"/>
        <v>136.95735240203228</v>
      </c>
      <c r="CB23">
        <v>1.4511780575486246</v>
      </c>
      <c r="CC23">
        <f t="shared" si="5"/>
        <v>145.11780575486247</v>
      </c>
      <c r="CE23">
        <v>1.5220722979356722</v>
      </c>
      <c r="CF23">
        <f t="shared" si="6"/>
        <v>167.42795277292396</v>
      </c>
      <c r="CH23">
        <v>74.207590710783052</v>
      </c>
      <c r="CI23">
        <v>93.62553336223192</v>
      </c>
      <c r="CK23" s="997" t="s">
        <v>1550</v>
      </c>
      <c r="CL23" s="998" t="s">
        <v>1390</v>
      </c>
      <c r="CM23" s="999">
        <v>73</v>
      </c>
      <c r="CN23" s="1000">
        <v>7200</v>
      </c>
    </row>
    <row r="24" spans="1:92">
      <c r="D24" t="str">
        <f>IF($D$2="Business Lighting",D40,D54)</f>
        <v>multifamilyretrofit@pse.com</v>
      </c>
      <c r="M24" s="25" t="s">
        <v>1181</v>
      </c>
      <c r="N24" s="26" t="s">
        <v>1551</v>
      </c>
      <c r="P24" s="22" t="s">
        <v>368</v>
      </c>
      <c r="Q24" s="33">
        <v>10</v>
      </c>
      <c r="S24" s="84" t="s">
        <v>1462</v>
      </c>
      <c r="T24" s="33" t="s">
        <v>1462</v>
      </c>
      <c r="U24" s="39">
        <v>1.1000000000000001</v>
      </c>
      <c r="V24" s="33" t="s">
        <v>237</v>
      </c>
      <c r="W24" s="22" t="s">
        <v>1395</v>
      </c>
      <c r="X24" s="501">
        <v>7</v>
      </c>
      <c r="Z24" s="25" t="s">
        <v>580</v>
      </c>
      <c r="AA24" s="25" t="str">
        <f t="shared" si="7"/>
        <v>Interior Restroom</v>
      </c>
      <c r="AB24" s="25" t="str">
        <f t="shared" si="0"/>
        <v>Controls_Interior_Basic</v>
      </c>
      <c r="AC24" s="83" t="s">
        <v>166</v>
      </c>
      <c r="AD24" s="83" t="s">
        <v>1397</v>
      </c>
      <c r="AE24" s="83" t="s">
        <v>166</v>
      </c>
      <c r="AF24" s="34">
        <v>0.63</v>
      </c>
      <c r="AG24" s="107" t="s">
        <v>1074</v>
      </c>
      <c r="AI24" s="25" t="s">
        <v>1012</v>
      </c>
      <c r="AJ24" s="41">
        <v>0.8</v>
      </c>
      <c r="AK24" s="25" t="s">
        <v>985</v>
      </c>
      <c r="AR24" s="25" t="s">
        <v>356</v>
      </c>
      <c r="AS24" s="12">
        <v>3</v>
      </c>
      <c r="BG24" s="126">
        <v>21</v>
      </c>
      <c r="BH24" s="127">
        <f t="shared" si="1"/>
        <v>141.62</v>
      </c>
      <c r="BP24">
        <v>23</v>
      </c>
      <c r="BQ24" s="1002" t="s">
        <v>1552</v>
      </c>
      <c r="BT24" s="729">
        <f t="shared" si="2"/>
        <v>1.5737563311731189</v>
      </c>
      <c r="BU24" s="1003">
        <v>21</v>
      </c>
      <c r="BV24" s="1004">
        <f t="shared" si="3"/>
        <v>157.37563311731188</v>
      </c>
      <c r="BY24">
        <v>1.4162268266715443</v>
      </c>
      <c r="BZ24">
        <f t="shared" si="4"/>
        <v>141.62268266715444</v>
      </c>
      <c r="CB24">
        <v>1.5011162342522326</v>
      </c>
      <c r="CC24">
        <f t="shared" si="5"/>
        <v>150.11162342522326</v>
      </c>
      <c r="CE24">
        <v>1.5737563311731189</v>
      </c>
      <c r="CF24">
        <f t="shared" si="6"/>
        <v>173.11319642904309</v>
      </c>
      <c r="CH24">
        <v>76.709907183707813</v>
      </c>
      <c r="CI24">
        <v>96.667413026111817</v>
      </c>
      <c r="CK24" s="991" t="s">
        <v>1553</v>
      </c>
      <c r="CL24" s="992" t="s">
        <v>1390</v>
      </c>
      <c r="CM24" s="993">
        <v>70</v>
      </c>
      <c r="CN24" s="994">
        <v>6800</v>
      </c>
    </row>
    <row r="25" spans="1:92">
      <c r="D25" t="str">
        <f>CONCATENATE("Submit all of the below in one email to ",D24)</f>
        <v>Submit all of the below in one email to multifamilyretrofit@pse.com</v>
      </c>
      <c r="M25" s="22" t="s">
        <v>1196</v>
      </c>
      <c r="N25" s="23" t="s">
        <v>1554</v>
      </c>
      <c r="P25" s="421" t="s">
        <v>178</v>
      </c>
      <c r="Q25" s="422">
        <v>10</v>
      </c>
      <c r="S25" s="84" t="s">
        <v>1555</v>
      </c>
      <c r="T25" s="33" t="s">
        <v>1556</v>
      </c>
      <c r="U25" s="39">
        <v>1.04</v>
      </c>
      <c r="V25" s="33" t="s">
        <v>237</v>
      </c>
      <c r="W25" s="22" t="s">
        <v>1557</v>
      </c>
      <c r="X25" s="501">
        <v>11</v>
      </c>
      <c r="Z25" s="22" t="s">
        <v>581</v>
      </c>
      <c r="AA25" s="22" t="str">
        <f t="shared" si="7"/>
        <v>Interior Retail</v>
      </c>
      <c r="AB25" s="22" t="str">
        <f t="shared" si="0"/>
        <v>Controls_Interior_Basic</v>
      </c>
      <c r="AC25" s="84" t="s">
        <v>166</v>
      </c>
      <c r="AD25" s="84" t="s">
        <v>1397</v>
      </c>
      <c r="AE25" s="84" t="s">
        <v>166</v>
      </c>
      <c r="AF25" s="33">
        <v>1.05</v>
      </c>
      <c r="AG25" s="107" t="s">
        <v>1074</v>
      </c>
      <c r="AI25" s="22" t="s">
        <v>1013</v>
      </c>
      <c r="AJ25" s="42">
        <v>0.66</v>
      </c>
      <c r="AK25" s="22" t="s">
        <v>1013</v>
      </c>
      <c r="AS25" s="12"/>
      <c r="AU25" s="582" t="s">
        <v>248</v>
      </c>
      <c r="AV25" s="12" t="s">
        <v>273</v>
      </c>
      <c r="BG25" s="123">
        <v>22</v>
      </c>
      <c r="BH25" s="127">
        <f t="shared" si="1"/>
        <v>146.02000000000001</v>
      </c>
      <c r="BP25">
        <v>24</v>
      </c>
      <c r="BQ25" s="995" t="s">
        <v>1558</v>
      </c>
      <c r="BT25" s="1005">
        <f t="shared" si="2"/>
        <v>1.6226958476911184</v>
      </c>
      <c r="BU25" s="1006">
        <v>22</v>
      </c>
      <c r="BV25" s="1007">
        <f t="shared" si="3"/>
        <v>162.26958476911184</v>
      </c>
      <c r="BY25">
        <v>1.460245888881019</v>
      </c>
      <c r="BZ25">
        <f t="shared" si="4"/>
        <v>146.0245888881019</v>
      </c>
      <c r="CB25">
        <v>1.5483243716245909</v>
      </c>
      <c r="CC25">
        <f t="shared" si="5"/>
        <v>154.83243716245909</v>
      </c>
      <c r="CE25">
        <v>1.6226958476911184</v>
      </c>
      <c r="CF25">
        <f t="shared" si="6"/>
        <v>178.49654324602304</v>
      </c>
      <c r="CH25">
        <v>79.084325632303759</v>
      </c>
      <c r="CI25">
        <v>99.555408755878176</v>
      </c>
      <c r="CK25" s="997" t="s">
        <v>1559</v>
      </c>
      <c r="CL25" s="998" t="s">
        <v>1390</v>
      </c>
      <c r="CM25" s="999">
        <v>122</v>
      </c>
      <c r="CN25" s="1000">
        <v>2500</v>
      </c>
    </row>
    <row r="26" spans="1:92">
      <c r="D26" t="str">
        <f>IF($D$2="Business Lighting",D42,D56)</f>
        <v xml:space="preserve">Qualifying Electric Customers: Qualifying customers for the Multi-Family Lighting Incentive Program include any PSE customer, owner or tenant with appropriate owner consent, of a qualifying Multi-Family structure. Qualifying structures include, but are not limited to: apartments, condominium residences, senior living residences, dormitories or similar structures with five or more attached dwelling units. Services are also available in qualifying Multi-Family campuses.  </v>
      </c>
      <c r="M26" s="25" t="s">
        <v>1205</v>
      </c>
      <c r="N26" s="26" t="s">
        <v>1560</v>
      </c>
      <c r="S26" s="502" t="s">
        <v>1561</v>
      </c>
      <c r="T26" s="33" t="s">
        <v>1561</v>
      </c>
      <c r="U26" s="39">
        <v>0.8</v>
      </c>
      <c r="V26" s="33" t="s">
        <v>237</v>
      </c>
      <c r="W26" s="22" t="s">
        <v>1557</v>
      </c>
      <c r="X26" s="501">
        <v>12</v>
      </c>
      <c r="Z26" s="25" t="s">
        <v>582</v>
      </c>
      <c r="AA26" s="25" t="str">
        <f t="shared" si="7"/>
        <v>Interior Stairs</v>
      </c>
      <c r="AB26" s="25" t="str">
        <f t="shared" si="0"/>
        <v>Controls_Interior_Basic</v>
      </c>
      <c r="AC26" s="83" t="s">
        <v>166</v>
      </c>
      <c r="AD26" s="83" t="s">
        <v>1397</v>
      </c>
      <c r="AE26" s="83" t="s">
        <v>166</v>
      </c>
      <c r="AF26" s="34">
        <v>0.49</v>
      </c>
      <c r="AG26" s="107" t="s">
        <v>1074</v>
      </c>
      <c r="AI26" s="25" t="s">
        <v>1014</v>
      </c>
      <c r="AJ26" s="41">
        <v>0.16</v>
      </c>
      <c r="AK26" s="25" t="s">
        <v>575</v>
      </c>
      <c r="AR26" s="50" t="s">
        <v>1425</v>
      </c>
      <c r="AS26" s="12"/>
      <c r="AU26" t="s">
        <v>362</v>
      </c>
      <c r="AV26" s="12">
        <v>0</v>
      </c>
      <c r="BG26" s="126">
        <v>23</v>
      </c>
      <c r="BH26" s="127">
        <f t="shared" si="1"/>
        <v>150.18</v>
      </c>
      <c r="BP26">
        <v>25</v>
      </c>
      <c r="BQ26" s="1002" t="s">
        <v>1562</v>
      </c>
      <c r="BT26" s="729">
        <f t="shared" si="2"/>
        <v>1.6690243288338564</v>
      </c>
      <c r="BU26" s="1003">
        <v>23</v>
      </c>
      <c r="BV26" s="1004">
        <f t="shared" si="3"/>
        <v>166.90243288338564</v>
      </c>
      <c r="BY26">
        <v>1.5017620243571768</v>
      </c>
      <c r="BZ26">
        <f t="shared" si="4"/>
        <v>150.17620243571767</v>
      </c>
      <c r="CB26">
        <v>1.5929372255451746</v>
      </c>
      <c r="CC26">
        <f t="shared" si="5"/>
        <v>159.29372255451744</v>
      </c>
      <c r="CE26">
        <v>1.6690243288338564</v>
      </c>
      <c r="CF26">
        <f t="shared" si="6"/>
        <v>183.59267617172421</v>
      </c>
      <c r="CH26">
        <v>81.337499291302748</v>
      </c>
      <c r="CI26">
        <v>102.2974157439703</v>
      </c>
      <c r="CK26" s="991" t="s">
        <v>1563</v>
      </c>
      <c r="CL26" s="992" t="s">
        <v>1564</v>
      </c>
      <c r="CM26" s="993" t="s">
        <v>919</v>
      </c>
      <c r="CN26" s="994">
        <v>4383</v>
      </c>
    </row>
    <row r="27" spans="1:92">
      <c r="D27">
        <f>IF($D$2="Business Lighting",D41,D55)</f>
        <v>0</v>
      </c>
      <c r="M27" s="22" t="s">
        <v>164</v>
      </c>
      <c r="N27" s="23" t="s">
        <v>1565</v>
      </c>
      <c r="S27" s="502" t="s">
        <v>1566</v>
      </c>
      <c r="T27" s="33" t="s">
        <v>1566</v>
      </c>
      <c r="U27" s="39">
        <v>1</v>
      </c>
      <c r="V27" s="33" t="s">
        <v>237</v>
      </c>
      <c r="W27" s="22" t="s">
        <v>1557</v>
      </c>
      <c r="X27" s="501">
        <v>13</v>
      </c>
      <c r="Z27" s="22" t="s">
        <v>583</v>
      </c>
      <c r="AA27" s="22" t="str">
        <f t="shared" si="7"/>
        <v>Interior Storage</v>
      </c>
      <c r="AB27" s="22" t="str">
        <f t="shared" si="0"/>
        <v>Controls_Interior_Basic</v>
      </c>
      <c r="AC27" s="84" t="s">
        <v>166</v>
      </c>
      <c r="AD27" s="84" t="s">
        <v>1397</v>
      </c>
      <c r="AE27" s="84" t="s">
        <v>166</v>
      </c>
      <c r="AF27" s="33">
        <v>0.51</v>
      </c>
      <c r="AG27" s="107" t="s">
        <v>1074</v>
      </c>
      <c r="AI27" s="22" t="s">
        <v>575</v>
      </c>
      <c r="AJ27" s="42"/>
      <c r="AK27" s="22" t="s">
        <v>575</v>
      </c>
      <c r="AR27" s="20" t="s">
        <v>277</v>
      </c>
      <c r="AS27" s="12"/>
      <c r="AU27" t="s">
        <v>358</v>
      </c>
      <c r="AV27" s="12">
        <v>1</v>
      </c>
      <c r="AY27" s="12">
        <f>HLOOKUP(AZ27,Installations!$GJ$8:$HW$16,9,FALSE)</f>
        <v>0</v>
      </c>
      <c r="AZ27" t="str">
        <f>Installations!HW8</f>
        <v>Calculate</v>
      </c>
      <c r="BA27" t="s">
        <v>1400</v>
      </c>
      <c r="BB27" t="s">
        <v>1567</v>
      </c>
      <c r="BG27" s="129">
        <v>24</v>
      </c>
      <c r="BH27" s="127">
        <f t="shared" si="1"/>
        <v>154.09</v>
      </c>
      <c r="BP27">
        <v>26</v>
      </c>
      <c r="BQ27" s="995" t="s">
        <v>1568</v>
      </c>
      <c r="BT27" s="1005">
        <f t="shared" si="2"/>
        <v>1.7128693129317663</v>
      </c>
      <c r="BU27" s="1006">
        <v>24</v>
      </c>
      <c r="BV27" s="1007">
        <f t="shared" si="3"/>
        <v>171.28693129317662</v>
      </c>
      <c r="BY27">
        <v>1.5409006836590042</v>
      </c>
      <c r="BZ27">
        <f t="shared" si="4"/>
        <v>154.09006836590044</v>
      </c>
      <c r="CB27">
        <v>1.635083519102853</v>
      </c>
      <c r="CC27">
        <f t="shared" si="5"/>
        <v>163.50835191028528</v>
      </c>
      <c r="CE27">
        <v>1.7128693129317663</v>
      </c>
      <c r="CF27">
        <f t="shared" si="6"/>
        <v>188.41562442249429</v>
      </c>
      <c r="CH27">
        <v>83.475727284742746</v>
      </c>
      <c r="CI27">
        <v>104.90091641373087</v>
      </c>
      <c r="CK27" s="997" t="s">
        <v>586</v>
      </c>
      <c r="CL27" s="998" t="s">
        <v>1390</v>
      </c>
      <c r="CM27" s="999">
        <v>105</v>
      </c>
      <c r="CN27" s="1000">
        <v>2600</v>
      </c>
    </row>
    <row r="28" spans="1:92" ht="14.95" thickBot="1">
      <c r="D28" t="str">
        <f>IF($D$2="Business Lighting",D43,D57)</f>
        <v>MF</v>
      </c>
      <c r="M28" s="25" t="s">
        <v>448</v>
      </c>
      <c r="N28" s="26" t="s">
        <v>1569</v>
      </c>
      <c r="S28" s="502" t="s">
        <v>1570</v>
      </c>
      <c r="T28" s="33" t="s">
        <v>1570</v>
      </c>
      <c r="U28" s="39">
        <v>1.2</v>
      </c>
      <c r="V28" s="33" t="s">
        <v>237</v>
      </c>
      <c r="W28" s="22" t="s">
        <v>1557</v>
      </c>
      <c r="X28" s="501">
        <v>14</v>
      </c>
      <c r="Z28" s="25" t="s">
        <v>584</v>
      </c>
      <c r="AA28" s="25" t="str">
        <f t="shared" si="7"/>
        <v>Interior Technical Area</v>
      </c>
      <c r="AB28" s="25" t="str">
        <f t="shared" si="0"/>
        <v>Controls_Interior_Basic</v>
      </c>
      <c r="AC28" s="83" t="s">
        <v>166</v>
      </c>
      <c r="AD28" s="83" t="s">
        <v>1397</v>
      </c>
      <c r="AE28" s="83" t="s">
        <v>166</v>
      </c>
      <c r="AF28" s="34">
        <v>0.8</v>
      </c>
      <c r="AG28" s="107" t="s">
        <v>1074</v>
      </c>
      <c r="AI28" s="25" t="s">
        <v>1015</v>
      </c>
      <c r="AJ28" s="41">
        <v>0.65</v>
      </c>
      <c r="AK28" s="25" t="s">
        <v>575</v>
      </c>
      <c r="AR28" s="22" t="s">
        <v>559</v>
      </c>
      <c r="AS28" s="12">
        <v>1</v>
      </c>
      <c r="AU28" t="s">
        <v>1571</v>
      </c>
      <c r="AV28" s="12">
        <v>2</v>
      </c>
      <c r="AY28" s="12">
        <f>HLOOKUP(AZ28,Installations!$GJ$8:$HW$16,9,FALSE)</f>
        <v>1</v>
      </c>
      <c r="AZ28" t="str">
        <f>Installations!HU8</f>
        <v>Wattage Reduction</v>
      </c>
      <c r="BA28" t="s">
        <v>1436</v>
      </c>
      <c r="BB28" t="s">
        <v>1572</v>
      </c>
      <c r="BG28" s="126">
        <v>25</v>
      </c>
      <c r="BH28" s="127">
        <f t="shared" si="1"/>
        <v>157.77000000000001</v>
      </c>
      <c r="BP28">
        <v>27</v>
      </c>
      <c r="BQ28" s="1002" t="s">
        <v>1573</v>
      </c>
      <c r="BT28" s="729">
        <f t="shared" si="2"/>
        <v>1.7543526248913954</v>
      </c>
      <c r="BU28" s="1003">
        <v>25</v>
      </c>
      <c r="BV28" s="1004">
        <f t="shared" si="3"/>
        <v>175.43526248913955</v>
      </c>
      <c r="BY28">
        <v>1.5777312520000875</v>
      </c>
      <c r="BZ28">
        <f t="shared" si="4"/>
        <v>157.77312520000874</v>
      </c>
      <c r="CB28">
        <v>1.6748861740619665</v>
      </c>
      <c r="CC28">
        <f t="shared" si="5"/>
        <v>167.48861740619665</v>
      </c>
      <c r="CE28">
        <v>1.7543526248913954</v>
      </c>
      <c r="CF28">
        <f t="shared" si="6"/>
        <v>192.97878873805351</v>
      </c>
      <c r="CH28">
        <v>85.504974016006159</v>
      </c>
      <c r="CI28">
        <v>107.3730025283437</v>
      </c>
      <c r="CK28" s="991" t="s">
        <v>575</v>
      </c>
      <c r="CL28" s="992" t="s">
        <v>575</v>
      </c>
      <c r="CM28" s="993">
        <v>101</v>
      </c>
      <c r="CN28" s="994">
        <v>3800</v>
      </c>
    </row>
    <row r="29" spans="1:92">
      <c r="M29" s="22" t="s">
        <v>1299</v>
      </c>
      <c r="N29" s="23" t="s">
        <v>1574</v>
      </c>
      <c r="S29" s="84" t="s">
        <v>1575</v>
      </c>
      <c r="T29" s="33" t="s">
        <v>1575</v>
      </c>
      <c r="U29" s="39">
        <v>1.1000000000000001</v>
      </c>
      <c r="V29" s="33" t="s">
        <v>237</v>
      </c>
      <c r="W29" s="22" t="s">
        <v>1557</v>
      </c>
      <c r="X29" s="501">
        <v>15</v>
      </c>
      <c r="Z29" s="22" t="s">
        <v>586</v>
      </c>
      <c r="AA29" s="22" t="str">
        <f t="shared" si="7"/>
        <v>Interior Warehouse</v>
      </c>
      <c r="AB29" s="22" t="str">
        <f t="shared" si="0"/>
        <v>Controls_Interior_Basic</v>
      </c>
      <c r="AC29" s="84" t="s">
        <v>166</v>
      </c>
      <c r="AD29" s="84" t="s">
        <v>1397</v>
      </c>
      <c r="AE29" s="84" t="s">
        <v>166</v>
      </c>
      <c r="AF29" s="33">
        <v>0.4</v>
      </c>
      <c r="AG29" s="107" t="s">
        <v>1074</v>
      </c>
      <c r="AI29" s="22" t="s">
        <v>1016</v>
      </c>
      <c r="AJ29" s="42">
        <v>1</v>
      </c>
      <c r="AK29" s="22" t="s">
        <v>985</v>
      </c>
      <c r="AR29" s="25" t="s">
        <v>561</v>
      </c>
      <c r="AS29" s="12">
        <v>1</v>
      </c>
      <c r="AU29" t="s">
        <v>1576</v>
      </c>
      <c r="AV29" s="12">
        <v>3</v>
      </c>
      <c r="AY29" s="12">
        <f>HLOOKUP(AZ29,Installations!$GJ$8:$HW$16,9,FALSE)</f>
        <v>2</v>
      </c>
      <c r="AZ29" t="str">
        <f>Installations!HT$8</f>
        <v>Exterior Hrs are 4200</v>
      </c>
      <c r="BA29" t="s">
        <v>1577</v>
      </c>
      <c r="BB29" t="s">
        <v>1572</v>
      </c>
      <c r="BG29" s="123">
        <v>26</v>
      </c>
      <c r="BH29" s="127">
        <f t="shared" si="1"/>
        <v>161.24</v>
      </c>
      <c r="BP29">
        <v>28</v>
      </c>
      <c r="BQ29" s="995" t="s">
        <v>1578</v>
      </c>
      <c r="BT29" s="1005">
        <f t="shared" si="2"/>
        <v>1.7935905997570964</v>
      </c>
      <c r="BU29" s="1006">
        <v>26</v>
      </c>
      <c r="BV29" s="1007">
        <f t="shared" si="3"/>
        <v>179.35905997570964</v>
      </c>
      <c r="BY29">
        <v>1.61239328292955</v>
      </c>
      <c r="BZ29">
        <f t="shared" si="4"/>
        <v>161.23932829295501</v>
      </c>
      <c r="CB29">
        <v>1.712462536578405</v>
      </c>
      <c r="CC29">
        <f t="shared" si="5"/>
        <v>171.2462536578405</v>
      </c>
      <c r="CE29">
        <v>1.7935905997570964</v>
      </c>
      <c r="CF29">
        <f t="shared" si="6"/>
        <v>197.2949659732806</v>
      </c>
      <c r="CH29">
        <v>87.430887460154452</v>
      </c>
      <c r="CI29">
        <v>109.72039607989292</v>
      </c>
      <c r="CK29" s="463" t="s">
        <v>1579</v>
      </c>
      <c r="CL29" s="464"/>
      <c r="CM29" s="464"/>
      <c r="CN29" s="465"/>
    </row>
    <row r="30" spans="1:92">
      <c r="M30" s="25" t="s">
        <v>1149</v>
      </c>
      <c r="N30" s="26" t="s">
        <v>1580</v>
      </c>
      <c r="S30" s="84" t="s">
        <v>1581</v>
      </c>
      <c r="T30" s="33" t="s">
        <v>1582</v>
      </c>
      <c r="U30" s="39">
        <v>1.04</v>
      </c>
      <c r="V30" s="33" t="s">
        <v>237</v>
      </c>
      <c r="W30" s="22" t="s">
        <v>1557</v>
      </c>
      <c r="X30" s="501">
        <v>21</v>
      </c>
      <c r="Z30" s="25" t="s">
        <v>588</v>
      </c>
      <c r="AA30" s="25" t="str">
        <f t="shared" si="7"/>
        <v>Interior Warehouse (Top Lighted)</v>
      </c>
      <c r="AB30" s="25" t="str">
        <f t="shared" si="0"/>
        <v>Controls_Interior_LLLC</v>
      </c>
      <c r="AC30" s="83" t="s">
        <v>157</v>
      </c>
      <c r="AD30" s="83" t="s">
        <v>1397</v>
      </c>
      <c r="AE30" s="83" t="s">
        <v>166</v>
      </c>
      <c r="AF30" s="34">
        <v>0.4</v>
      </c>
      <c r="AG30" s="107" t="s">
        <v>1074</v>
      </c>
      <c r="AI30" s="25" t="s">
        <v>1017</v>
      </c>
      <c r="AJ30" s="41">
        <v>0.7</v>
      </c>
      <c r="AK30" s="25" t="s">
        <v>985</v>
      </c>
      <c r="AR30" s="22" t="s">
        <v>1479</v>
      </c>
      <c r="AS30" s="12">
        <v>2</v>
      </c>
      <c r="AU30" t="s">
        <v>1583</v>
      </c>
      <c r="AV30" s="12">
        <v>4</v>
      </c>
      <c r="AY30" s="12">
        <f>HLOOKUP(AZ30,Installations!$GJ$8:$HW$16,9,FALSE)</f>
        <v>3</v>
      </c>
      <c r="AZ30" t="str">
        <f>Installations!HS8</f>
        <v>Code</v>
      </c>
      <c r="BA30" t="s">
        <v>1584</v>
      </c>
      <c r="BB30" t="s">
        <v>1572</v>
      </c>
      <c r="BG30" s="126">
        <v>27</v>
      </c>
      <c r="BH30" s="127">
        <f t="shared" si="1"/>
        <v>164.5</v>
      </c>
      <c r="BP30">
        <v>29</v>
      </c>
      <c r="BQ30" s="1002" t="s">
        <v>1585</v>
      </c>
      <c r="BT30" s="729">
        <f t="shared" si="2"/>
        <v>1.8306701899801188</v>
      </c>
      <c r="BU30" s="1003">
        <v>27</v>
      </c>
      <c r="BV30" s="1004">
        <f t="shared" si="3"/>
        <v>183.06701899801189</v>
      </c>
      <c r="BY30">
        <v>1.645017742647686</v>
      </c>
      <c r="BZ30">
        <f t="shared" si="4"/>
        <v>164.50177426476858</v>
      </c>
      <c r="CB30">
        <v>1.7478980758380056</v>
      </c>
      <c r="CC30">
        <f t="shared" si="5"/>
        <v>174.78980758380055</v>
      </c>
      <c r="CE30">
        <v>1.8306701899801188</v>
      </c>
      <c r="CF30">
        <f t="shared" si="6"/>
        <v>201.37372089781306</v>
      </c>
      <c r="CH30">
        <v>89.258816423018402</v>
      </c>
      <c r="CI30">
        <v>111.94946902819969</v>
      </c>
      <c r="CK30" s="466" t="s">
        <v>1586</v>
      </c>
      <c r="CL30" s="467"/>
      <c r="CM30" s="467"/>
      <c r="CN30" s="468"/>
    </row>
    <row r="31" spans="1:92">
      <c r="D31" t="s">
        <v>1587</v>
      </c>
      <c r="M31" s="22" t="s">
        <v>1156</v>
      </c>
      <c r="N31" s="23" t="s">
        <v>1588</v>
      </c>
      <c r="S31" s="503" t="s">
        <v>1589</v>
      </c>
      <c r="T31" s="33" t="s">
        <v>1589</v>
      </c>
      <c r="U31" s="39">
        <v>0.8</v>
      </c>
      <c r="V31" s="33" t="s">
        <v>237</v>
      </c>
      <c r="W31" s="22" t="s">
        <v>1557</v>
      </c>
      <c r="X31" s="501">
        <v>22</v>
      </c>
      <c r="Z31" s="22" t="s">
        <v>180</v>
      </c>
      <c r="AA31" s="22" t="str">
        <f t="shared" si="7"/>
        <v>Interior Fixture Removed</v>
      </c>
      <c r="AB31" s="22" t="s">
        <v>1444</v>
      </c>
      <c r="AC31" s="84" t="s">
        <v>166</v>
      </c>
      <c r="AD31" s="84" t="s">
        <v>1444</v>
      </c>
      <c r="AE31" s="84" t="s">
        <v>166</v>
      </c>
      <c r="AF31" s="33"/>
      <c r="AG31" s="107" t="s">
        <v>1074</v>
      </c>
      <c r="AI31" s="22" t="s">
        <v>1018</v>
      </c>
      <c r="AJ31" s="42">
        <v>0.7</v>
      </c>
      <c r="AK31" s="22" t="s">
        <v>1013</v>
      </c>
      <c r="AR31" s="25" t="s">
        <v>563</v>
      </c>
      <c r="AS31" s="12">
        <v>2</v>
      </c>
      <c r="AY31" s="12">
        <f>HLOOKUP(AZ31,Installations!$GJ$8:$HW$16,9,FALSE)</f>
        <v>4</v>
      </c>
      <c r="AZ31" t="str">
        <f>Installations!HR$8</f>
        <v>Exterior Code</v>
      </c>
      <c r="BA31" t="s">
        <v>1590</v>
      </c>
      <c r="BB31" t="s">
        <v>1591</v>
      </c>
      <c r="BG31" s="129">
        <v>28</v>
      </c>
      <c r="BH31" s="127">
        <f t="shared" si="1"/>
        <v>167.57</v>
      </c>
      <c r="BP31">
        <v>30</v>
      </c>
      <c r="BQ31" s="995" t="s">
        <v>1592</v>
      </c>
      <c r="BT31" s="1005">
        <f t="shared" si="2"/>
        <v>1.8657157675932969</v>
      </c>
      <c r="BU31" s="1006">
        <v>28</v>
      </c>
      <c r="BV31" s="1007">
        <f t="shared" si="3"/>
        <v>186.5715767593297</v>
      </c>
      <c r="BY31">
        <v>1.6757275447645208</v>
      </c>
      <c r="BZ31">
        <f t="shared" si="4"/>
        <v>167.57275447645208</v>
      </c>
      <c r="CB31">
        <v>1.7813198479000152</v>
      </c>
      <c r="CC31">
        <f t="shared" si="5"/>
        <v>178.13198479000152</v>
      </c>
      <c r="CE31">
        <v>1.8657157675932969</v>
      </c>
      <c r="CF31">
        <f t="shared" si="6"/>
        <v>205.22873443526265</v>
      </c>
      <c r="CH31">
        <v>90.993826827572349</v>
      </c>
      <c r="CI31">
        <v>114.06793854654977</v>
      </c>
      <c r="CK31" s="466" t="s">
        <v>1593</v>
      </c>
      <c r="CL31" s="467"/>
      <c r="CM31" s="467"/>
      <c r="CN31" s="468"/>
    </row>
    <row r="32" spans="1:92">
      <c r="M32" s="25" t="s">
        <v>1594</v>
      </c>
      <c r="N32" s="26" t="s">
        <v>1595</v>
      </c>
      <c r="S32" s="503" t="s">
        <v>1596</v>
      </c>
      <c r="T32" s="33" t="s">
        <v>1596</v>
      </c>
      <c r="U32" s="39">
        <v>1</v>
      </c>
      <c r="V32" s="33" t="s">
        <v>237</v>
      </c>
      <c r="W32" s="22" t="s">
        <v>1557</v>
      </c>
      <c r="X32" s="501">
        <v>23</v>
      </c>
      <c r="Z32" s="25" t="s">
        <v>1597</v>
      </c>
      <c r="AA32" s="25" t="str">
        <f>CONCATENATE("Exterior ",Z32)</f>
        <v>Exterior - Choose Exterior Area -</v>
      </c>
      <c r="AB32" s="25" t="s">
        <v>1425</v>
      </c>
      <c r="AC32" s="83" t="s">
        <v>166</v>
      </c>
      <c r="AD32" s="83" t="s">
        <v>1425</v>
      </c>
      <c r="AE32" s="83" t="s">
        <v>166</v>
      </c>
      <c r="AF32" s="34"/>
      <c r="AG32" s="107" t="s">
        <v>1074</v>
      </c>
      <c r="AI32" s="25" t="s">
        <v>1019</v>
      </c>
      <c r="AJ32" s="41">
        <v>0.8</v>
      </c>
      <c r="AK32" s="25" t="s">
        <v>985</v>
      </c>
      <c r="AR32" t="s">
        <v>1494</v>
      </c>
      <c r="AY32" s="12">
        <f>HLOOKUP(AZ32,Installations!$GJ$8:$HW$16,9,FALSE)</f>
        <v>5</v>
      </c>
      <c r="AZ32" t="str">
        <f>Installations!HQ$8</f>
        <v>Interior Code</v>
      </c>
      <c r="BA32" t="s">
        <v>1598</v>
      </c>
      <c r="BB32" t="s">
        <v>1591</v>
      </c>
      <c r="BG32" s="126">
        <v>29</v>
      </c>
      <c r="BH32" s="127">
        <f t="shared" si="1"/>
        <v>170.46</v>
      </c>
      <c r="BP32">
        <v>32</v>
      </c>
      <c r="BQ32" s="1002" t="s">
        <v>1599</v>
      </c>
      <c r="BT32" s="729">
        <f t="shared" si="2"/>
        <v>1.898830427528799</v>
      </c>
      <c r="BU32" s="1003">
        <v>29</v>
      </c>
      <c r="BV32" s="1004">
        <f t="shared" si="3"/>
        <v>189.8830427528799</v>
      </c>
      <c r="BY32">
        <v>1.7046380514932848</v>
      </c>
      <c r="BZ32">
        <f t="shared" si="4"/>
        <v>170.46380514932849</v>
      </c>
      <c r="CB32">
        <v>1.8128319115730156</v>
      </c>
      <c r="CC32">
        <f t="shared" si="5"/>
        <v>181.28319115730156</v>
      </c>
      <c r="CE32">
        <v>1.898830427528799</v>
      </c>
      <c r="CF32">
        <f t="shared" si="6"/>
        <v>208.87134702816789</v>
      </c>
      <c r="CH32">
        <v>92.642393676026714</v>
      </c>
      <c r="CI32">
        <v>116.08128971186902</v>
      </c>
      <c r="CK32" s="2054" t="s">
        <v>1600</v>
      </c>
      <c r="CL32" s="2055"/>
      <c r="CM32" s="2055"/>
      <c r="CN32" s="2056"/>
    </row>
    <row r="33" spans="4:92">
      <c r="M33" s="22" t="s">
        <v>1148</v>
      </c>
      <c r="N33" s="23" t="s">
        <v>1601</v>
      </c>
      <c r="S33" s="503" t="s">
        <v>1570</v>
      </c>
      <c r="T33" s="33" t="s">
        <v>1602</v>
      </c>
      <c r="U33" s="39">
        <v>1.2</v>
      </c>
      <c r="V33" s="33" t="s">
        <v>237</v>
      </c>
      <c r="W33" s="22" t="s">
        <v>1557</v>
      </c>
      <c r="X33" s="501">
        <v>24</v>
      </c>
      <c r="Z33" s="22" t="s">
        <v>595</v>
      </c>
      <c r="AA33" s="22" t="str">
        <f t="shared" ref="AA33:AA42" si="8">CONCATENATE("Exterior ",Z33)</f>
        <v>Exterior Parking and drives</v>
      </c>
      <c r="AB33" s="22" t="s">
        <v>1425</v>
      </c>
      <c r="AC33" s="84" t="s">
        <v>166</v>
      </c>
      <c r="AD33" s="84" t="s">
        <v>1425</v>
      </c>
      <c r="AE33" s="84" t="s">
        <v>166</v>
      </c>
      <c r="AF33" s="33"/>
      <c r="AG33" s="107" t="s">
        <v>1074</v>
      </c>
      <c r="AI33" s="22" t="s">
        <v>581</v>
      </c>
      <c r="AJ33" s="42">
        <v>1.01</v>
      </c>
      <c r="AK33" s="22" t="s">
        <v>581</v>
      </c>
      <c r="AR33" s="267" t="s">
        <v>1502</v>
      </c>
      <c r="AU33" t="s">
        <v>1603</v>
      </c>
      <c r="AY33" s="12">
        <f>HLOOKUP(AZ33,Installations!$GJ$8:$HW$16,9,FALSE)</f>
        <v>6</v>
      </c>
      <c r="AZ33" t="str">
        <f>Installations!HP$8</f>
        <v>TI Code Control match</v>
      </c>
      <c r="BA33" t="s">
        <v>1604</v>
      </c>
      <c r="BB33" t="s">
        <v>1591</v>
      </c>
      <c r="BG33" s="129">
        <v>30</v>
      </c>
      <c r="BH33" s="127">
        <f t="shared" si="1"/>
        <v>173.19</v>
      </c>
      <c r="BP33">
        <v>33</v>
      </c>
      <c r="BQ33" s="995"/>
      <c r="BT33" s="1005">
        <f t="shared" si="2"/>
        <v>1.9301252512392706</v>
      </c>
      <c r="BU33" s="1006">
        <v>30</v>
      </c>
      <c r="BV33" s="1007">
        <f t="shared" si="3"/>
        <v>193.01252512392705</v>
      </c>
      <c r="BY33">
        <v>1.7318575433964383</v>
      </c>
      <c r="BZ33">
        <f t="shared" si="4"/>
        <v>173.18575433964384</v>
      </c>
      <c r="CB33">
        <v>1.8425475013673012</v>
      </c>
      <c r="CC33">
        <f t="shared" si="5"/>
        <v>184.25475013673011</v>
      </c>
      <c r="CE33">
        <v>1.9301252512392706</v>
      </c>
      <c r="CF33">
        <f t="shared" si="6"/>
        <v>212.31377763631977</v>
      </c>
      <c r="CH33">
        <v>94.208820616939207</v>
      </c>
      <c r="CI33">
        <v>117.99329311656103</v>
      </c>
      <c r="CK33" s="2054"/>
      <c r="CL33" s="2055"/>
      <c r="CM33" s="2055"/>
      <c r="CN33" s="2056"/>
    </row>
    <row r="34" spans="4:92" ht="14.95" thickBot="1">
      <c r="M34" s="25" t="s">
        <v>1306</v>
      </c>
      <c r="N34" s="26" t="s">
        <v>1605</v>
      </c>
      <c r="S34" s="84" t="s">
        <v>1575</v>
      </c>
      <c r="T34" s="33" t="s">
        <v>1606</v>
      </c>
      <c r="U34" s="39">
        <v>1.1000000000000001</v>
      </c>
      <c r="V34" s="33" t="s">
        <v>237</v>
      </c>
      <c r="W34" s="22" t="s">
        <v>1557</v>
      </c>
      <c r="X34" s="501">
        <v>25</v>
      </c>
      <c r="Z34" s="25" t="s">
        <v>596</v>
      </c>
      <c r="AA34" s="25" t="str">
        <f t="shared" si="8"/>
        <v>Exterior Walkways and Plaza</v>
      </c>
      <c r="AB34" s="25" t="s">
        <v>1425</v>
      </c>
      <c r="AC34" s="83" t="s">
        <v>166</v>
      </c>
      <c r="AD34" s="83" t="s">
        <v>1425</v>
      </c>
      <c r="AE34" s="83" t="s">
        <v>166</v>
      </c>
      <c r="AF34" s="34"/>
      <c r="AG34" s="107" t="s">
        <v>1074</v>
      </c>
      <c r="AI34" s="25" t="s">
        <v>1021</v>
      </c>
      <c r="AJ34" s="41">
        <v>0.7</v>
      </c>
      <c r="AK34" s="25" t="s">
        <v>1022</v>
      </c>
      <c r="AU34" t="s">
        <v>1607</v>
      </c>
      <c r="AW34" t="s">
        <v>1607</v>
      </c>
      <c r="AY34" s="12">
        <f>HLOOKUP(AZ34,Installations!$GJ$8:$HW$16,9,FALSE)</f>
        <v>7</v>
      </c>
      <c r="AZ34" t="str">
        <f>Installations!HO$8</f>
        <v>ADV Ext Control Qty</v>
      </c>
      <c r="BA34" t="s">
        <v>1608</v>
      </c>
      <c r="BB34" t="s">
        <v>1591</v>
      </c>
      <c r="BP34">
        <v>34</v>
      </c>
      <c r="BQ34" s="1002"/>
      <c r="CB34">
        <v>1.8886111889014836</v>
      </c>
      <c r="CC34">
        <f t="shared" si="5"/>
        <v>188.86111889014836</v>
      </c>
      <c r="CE34">
        <v>1.9783783825202523</v>
      </c>
      <c r="CF34">
        <f t="shared" si="6"/>
        <v>217.62162207722776</v>
      </c>
      <c r="CK34" s="2057"/>
      <c r="CL34" s="2058"/>
      <c r="CM34" s="2058"/>
      <c r="CN34" s="2059"/>
    </row>
    <row r="35" spans="4:92">
      <c r="M35" s="27" t="s">
        <v>1260</v>
      </c>
      <c r="N35" s="24" t="s">
        <v>1609</v>
      </c>
      <c r="S35" s="84" t="s">
        <v>277</v>
      </c>
      <c r="T35" s="33" t="s">
        <v>277</v>
      </c>
      <c r="U35" s="39">
        <v>1</v>
      </c>
      <c r="V35" s="33" t="s">
        <v>277</v>
      </c>
      <c r="W35" s="22" t="s">
        <v>1442</v>
      </c>
      <c r="X35" s="501">
        <v>2</v>
      </c>
      <c r="Z35" s="22" t="s">
        <v>597</v>
      </c>
      <c r="AA35" s="22" t="str">
        <f t="shared" si="8"/>
        <v>Exterior Stairways</v>
      </c>
      <c r="AB35" s="22" t="s">
        <v>1425</v>
      </c>
      <c r="AC35" s="84" t="s">
        <v>166</v>
      </c>
      <c r="AD35" s="84" t="s">
        <v>1425</v>
      </c>
      <c r="AE35" s="84" t="s">
        <v>166</v>
      </c>
      <c r="AF35" s="33"/>
      <c r="AG35" s="107" t="s">
        <v>1074</v>
      </c>
      <c r="AI35" s="22" t="s">
        <v>994</v>
      </c>
      <c r="AJ35" s="42">
        <v>0.7</v>
      </c>
      <c r="AK35" s="22" t="s">
        <v>994</v>
      </c>
      <c r="AR35" s="50" t="s">
        <v>1444</v>
      </c>
      <c r="AU35" t="s">
        <v>1610</v>
      </c>
      <c r="AY35" s="12">
        <f>HLOOKUP(AZ35,Installations!$GJ$8:$HW$16,9,FALSE)</f>
        <v>8</v>
      </c>
      <c r="AZ35" t="str">
        <f>Installations!HN8</f>
        <v>LLLC Qty</v>
      </c>
      <c r="BA35" t="s">
        <v>1463</v>
      </c>
      <c r="BB35" t="s">
        <v>1591</v>
      </c>
      <c r="BP35">
        <v>35</v>
      </c>
      <c r="BQ35" s="995"/>
      <c r="CB35">
        <v>1.935826468624021</v>
      </c>
      <c r="CC35">
        <f t="shared" si="5"/>
        <v>193.5826468624021</v>
      </c>
      <c r="CE35">
        <v>2.0278378420832586</v>
      </c>
      <c r="CF35">
        <f t="shared" si="6"/>
        <v>223.06216262915845</v>
      </c>
      <c r="CK35" s="467" t="s">
        <v>1611</v>
      </c>
    </row>
    <row r="36" spans="4:92">
      <c r="M36" s="25" t="s">
        <v>1612</v>
      </c>
      <c r="N36" s="26" t="s">
        <v>1612</v>
      </c>
      <c r="S36" s="84" t="s">
        <v>1613</v>
      </c>
      <c r="T36" s="501" t="s">
        <v>1613</v>
      </c>
      <c r="U36" s="39">
        <v>1</v>
      </c>
      <c r="V36" s="33" t="s">
        <v>277</v>
      </c>
      <c r="W36" s="22" t="s">
        <v>1614</v>
      </c>
      <c r="X36" s="501"/>
      <c r="Z36" s="25" t="s">
        <v>598</v>
      </c>
      <c r="AA36" s="25" t="str">
        <f t="shared" si="8"/>
        <v>Exterior Pedestrian tunnels</v>
      </c>
      <c r="AB36" s="25" t="s">
        <v>1425</v>
      </c>
      <c r="AC36" s="83" t="s">
        <v>166</v>
      </c>
      <c r="AD36" s="83" t="s">
        <v>1425</v>
      </c>
      <c r="AE36" s="83" t="s">
        <v>166</v>
      </c>
      <c r="AF36" s="34"/>
      <c r="AG36" s="107" t="s">
        <v>1074</v>
      </c>
      <c r="AI36" s="25" t="s">
        <v>1023</v>
      </c>
      <c r="AJ36" s="41">
        <v>0.62</v>
      </c>
      <c r="AK36" s="25" t="s">
        <v>985</v>
      </c>
      <c r="AR36" s="20" t="s">
        <v>1615</v>
      </c>
      <c r="AU36" t="s">
        <v>1616</v>
      </c>
      <c r="AY36" s="12">
        <f>HLOOKUP(AZ36,Installations!$GJ$8:$HW$16,9,FALSE)</f>
        <v>9</v>
      </c>
      <c r="AZ36" t="str">
        <f>Installations!HM8</f>
        <v>TLED &amp; LLLC</v>
      </c>
      <c r="BA36" t="s">
        <v>1456</v>
      </c>
      <c r="BB36" t="s">
        <v>1591</v>
      </c>
      <c r="BQ36" s="1002"/>
      <c r="CB36">
        <v>1.9842221303396215</v>
      </c>
      <c r="CC36">
        <f t="shared" si="5"/>
        <v>198.42221303396215</v>
      </c>
      <c r="CE36">
        <v>2.0785337881353398</v>
      </c>
      <c r="CF36">
        <f t="shared" si="6"/>
        <v>228.63871669488739</v>
      </c>
    </row>
    <row r="37" spans="4:92">
      <c r="D37" t="s">
        <v>476</v>
      </c>
      <c r="S37" s="84" t="s">
        <v>1617</v>
      </c>
      <c r="T37" s="501" t="s">
        <v>1617</v>
      </c>
      <c r="U37" s="39">
        <v>1</v>
      </c>
      <c r="V37" s="33" t="s">
        <v>277</v>
      </c>
      <c r="W37" s="22" t="s">
        <v>1614</v>
      </c>
      <c r="X37" s="501"/>
      <c r="Z37" s="22" t="s">
        <v>1982</v>
      </c>
      <c r="AA37" s="22" t="str">
        <f t="shared" si="8"/>
        <v>Exterior Entry canopy</v>
      </c>
      <c r="AB37" s="22" t="s">
        <v>1425</v>
      </c>
      <c r="AC37" s="84" t="s">
        <v>166</v>
      </c>
      <c r="AD37" s="84" t="s">
        <v>1425</v>
      </c>
      <c r="AE37" s="84" t="s">
        <v>166</v>
      </c>
      <c r="AF37" s="33"/>
      <c r="AG37" s="107" t="s">
        <v>1074</v>
      </c>
      <c r="AI37" s="25" t="s">
        <v>1024</v>
      </c>
      <c r="AJ37" s="41"/>
      <c r="AK37" s="25" t="s">
        <v>575</v>
      </c>
      <c r="AR37" s="25" t="s">
        <v>181</v>
      </c>
      <c r="AU37" t="s">
        <v>1618</v>
      </c>
      <c r="AY37" s="12">
        <f>HLOOKUP(AZ37,Installations!$GJ$8:$HW$16,9,FALSE)</f>
        <v>10</v>
      </c>
      <c r="AZ37" t="str">
        <f>Installations!HL8</f>
        <v>Retrofit and Daylight Controls</v>
      </c>
      <c r="BA37" t="s">
        <v>1619</v>
      </c>
      <c r="BB37" t="s">
        <v>1591</v>
      </c>
      <c r="CB37">
        <v>2.0338276835981119</v>
      </c>
      <c r="CC37">
        <f t="shared" si="5"/>
        <v>203.38276835981119</v>
      </c>
      <c r="CE37">
        <v>2.1304971328387232</v>
      </c>
      <c r="CF37">
        <f t="shared" si="6"/>
        <v>234.35468461225955</v>
      </c>
    </row>
    <row r="38" spans="4:92">
      <c r="D38" t="s">
        <v>1365</v>
      </c>
      <c r="S38" s="84" t="s">
        <v>1453</v>
      </c>
      <c r="T38" s="33" t="s">
        <v>1454</v>
      </c>
      <c r="U38" s="39">
        <v>1</v>
      </c>
      <c r="V38" s="33" t="s">
        <v>277</v>
      </c>
      <c r="W38" s="22" t="s">
        <v>1455</v>
      </c>
      <c r="X38" s="501">
        <v>6</v>
      </c>
      <c r="Z38" s="25" t="s">
        <v>600</v>
      </c>
      <c r="AA38" s="25" t="str">
        <f t="shared" si="8"/>
        <v>Exterior Sales Canopies</v>
      </c>
      <c r="AB38" s="25" t="s">
        <v>1425</v>
      </c>
      <c r="AC38" s="83" t="s">
        <v>166</v>
      </c>
      <c r="AD38" s="83" t="s">
        <v>1425</v>
      </c>
      <c r="AE38" s="83" t="s">
        <v>166</v>
      </c>
      <c r="AF38" s="34"/>
      <c r="AG38" s="107" t="s">
        <v>1074</v>
      </c>
      <c r="AI38" s="22" t="s">
        <v>1025</v>
      </c>
      <c r="AJ38" s="42">
        <v>0.71</v>
      </c>
      <c r="AK38" s="22" t="s">
        <v>985</v>
      </c>
      <c r="AU38" t="s">
        <v>1620</v>
      </c>
      <c r="AY38" s="12">
        <f>HLOOKUP(AZ38,Installations!$GJ$8:$HW$16,9,FALSE)</f>
        <v>11</v>
      </c>
      <c r="AZ38" t="str">
        <f>Installations!HK8</f>
        <v>New Control Incorrect</v>
      </c>
      <c r="BA38" t="s">
        <v>1621</v>
      </c>
      <c r="BB38" t="s">
        <v>1591</v>
      </c>
      <c r="CB38">
        <v>2.0846733756880647</v>
      </c>
      <c r="CC38">
        <f t="shared" si="5"/>
        <v>208.46733756880647</v>
      </c>
      <c r="CE38">
        <v>2.1837595611596914</v>
      </c>
      <c r="CF38">
        <f t="shared" si="6"/>
        <v>240.21355172756606</v>
      </c>
    </row>
    <row r="39" spans="4:92">
      <c r="D39" t="s">
        <v>1983</v>
      </c>
      <c r="M39" s="20" t="s">
        <v>1622</v>
      </c>
      <c r="N39" s="21" t="s">
        <v>1623</v>
      </c>
      <c r="Z39" s="22" t="s">
        <v>601</v>
      </c>
      <c r="AA39" s="22" t="str">
        <f t="shared" si="8"/>
        <v>Exterior Outdoor Sales</v>
      </c>
      <c r="AB39" s="22" t="s">
        <v>1425</v>
      </c>
      <c r="AC39" s="84" t="s">
        <v>166</v>
      </c>
      <c r="AD39" s="84" t="s">
        <v>1425</v>
      </c>
      <c r="AE39" s="84" t="s">
        <v>166</v>
      </c>
      <c r="AF39" s="33"/>
      <c r="AG39" s="107" t="s">
        <v>1074</v>
      </c>
      <c r="AI39" s="25" t="s">
        <v>1027</v>
      </c>
      <c r="AJ39" s="41">
        <v>0.56000000000000005</v>
      </c>
      <c r="AK39" s="25" t="s">
        <v>575</v>
      </c>
      <c r="AR39" s="50" t="s">
        <v>1624</v>
      </c>
      <c r="AU39" t="s">
        <v>1625</v>
      </c>
      <c r="AY39" s="12">
        <f>HLOOKUP(AZ39,Installations!$GJ$8:$HW$16,9,FALSE)</f>
        <v>12</v>
      </c>
      <c r="AZ39" t="str">
        <f>Installations!HJ8</f>
        <v>Exist Control/Space Incorrect</v>
      </c>
      <c r="BA39" t="s">
        <v>1621</v>
      </c>
      <c r="BB39" t="s">
        <v>1591</v>
      </c>
      <c r="CB39">
        <v>2.1367902100802665</v>
      </c>
      <c r="CC39">
        <f t="shared" si="5"/>
        <v>213.67902100802664</v>
      </c>
      <c r="CE39">
        <v>2.2383535501886835</v>
      </c>
      <c r="CF39">
        <f t="shared" si="6"/>
        <v>246.2188905207552</v>
      </c>
    </row>
    <row r="40" spans="4:92">
      <c r="D40" t="s">
        <v>1626</v>
      </c>
      <c r="M40" s="22" t="s">
        <v>154</v>
      </c>
      <c r="N40" s="23" t="s">
        <v>1627</v>
      </c>
      <c r="Z40" s="25" t="s">
        <v>1628</v>
      </c>
      <c r="AA40" s="25" t="str">
        <f t="shared" si="8"/>
        <v>Exterior Façade</v>
      </c>
      <c r="AB40" s="25" t="s">
        <v>1425</v>
      </c>
      <c r="AC40" s="83" t="s">
        <v>166</v>
      </c>
      <c r="AD40" s="25" t="s">
        <v>1425</v>
      </c>
      <c r="AE40" s="83" t="s">
        <v>166</v>
      </c>
      <c r="AF40" s="34"/>
      <c r="AG40" s="107" t="s">
        <v>1074</v>
      </c>
      <c r="AI40" s="22" t="s">
        <v>586</v>
      </c>
      <c r="AJ40" s="42">
        <v>0.4</v>
      </c>
      <c r="AK40" s="22" t="s">
        <v>586</v>
      </c>
      <c r="AR40" s="20" t="s">
        <v>237</v>
      </c>
      <c r="AU40" t="s">
        <v>1629</v>
      </c>
      <c r="AY40" s="12">
        <f>HLOOKUP(AZ40,Installations!$GJ$8:$HW$16,9,FALSE)</f>
        <v>14</v>
      </c>
      <c r="AZ40" t="str">
        <f>Installations!HH8</f>
        <v>TLED to TLED watts</v>
      </c>
      <c r="BA40" t="s">
        <v>1510</v>
      </c>
      <c r="BB40" t="s">
        <v>1591</v>
      </c>
      <c r="CB40">
        <v>2.1902099653322731</v>
      </c>
      <c r="CC40">
        <f t="shared" si="5"/>
        <v>219.0209965332273</v>
      </c>
      <c r="CE40">
        <v>2.2943123889434007</v>
      </c>
      <c r="CF40">
        <f t="shared" si="6"/>
        <v>252.37436278377407</v>
      </c>
    </row>
    <row r="41" spans="4:92">
      <c r="M41" s="25" t="s">
        <v>163</v>
      </c>
      <c r="N41" s="26" t="s">
        <v>1630</v>
      </c>
      <c r="Z41" s="22" t="s">
        <v>603</v>
      </c>
      <c r="AA41" s="22" t="str">
        <f t="shared" si="8"/>
        <v>Exterior Other Exterior Area</v>
      </c>
      <c r="AB41" s="22" t="s">
        <v>1425</v>
      </c>
      <c r="AC41" s="84" t="s">
        <v>166</v>
      </c>
      <c r="AD41" s="22" t="s">
        <v>1425</v>
      </c>
      <c r="AE41" s="84" t="s">
        <v>166</v>
      </c>
      <c r="AF41" s="33"/>
      <c r="AG41" s="107" t="s">
        <v>1074</v>
      </c>
      <c r="AI41" s="25" t="s">
        <v>1054</v>
      </c>
      <c r="AJ41" s="41">
        <v>0.95</v>
      </c>
      <c r="AK41" s="25" t="s">
        <v>575</v>
      </c>
      <c r="AR41" s="22" t="s">
        <v>359</v>
      </c>
      <c r="AU41" t="s">
        <v>1631</v>
      </c>
      <c r="AY41" s="12">
        <f>HLOOKUP(AZ41,Installations!$GJ$8:$HW$16,9,FALSE)</f>
        <v>16</v>
      </c>
      <c r="AZ41" t="str">
        <f>Installations!HF8</f>
        <v>New Fixture Changed</v>
      </c>
      <c r="BA41" t="s">
        <v>1632</v>
      </c>
      <c r="BB41" t="s">
        <v>1591</v>
      </c>
      <c r="CB41">
        <v>2.2449652144655801</v>
      </c>
      <c r="CC41">
        <f t="shared" si="5"/>
        <v>224.49652144655801</v>
      </c>
      <c r="CE41">
        <v>2.3516701986669859</v>
      </c>
      <c r="CF41">
        <f t="shared" si="6"/>
        <v>258.68372185336847</v>
      </c>
    </row>
    <row r="42" spans="4:92">
      <c r="D42" t="s">
        <v>1633</v>
      </c>
      <c r="M42" s="22" t="s">
        <v>1148</v>
      </c>
      <c r="N42" s="23" t="s">
        <v>1634</v>
      </c>
      <c r="Z42" s="25" t="s">
        <v>604</v>
      </c>
      <c r="AA42" s="25" t="str">
        <f t="shared" si="8"/>
        <v>Exterior Street</v>
      </c>
      <c r="AB42" s="25" t="s">
        <v>1425</v>
      </c>
      <c r="AC42" s="83" t="s">
        <v>166</v>
      </c>
      <c r="AD42" s="25" t="s">
        <v>1425</v>
      </c>
      <c r="AE42" s="83" t="s">
        <v>166</v>
      </c>
      <c r="AF42" s="34"/>
      <c r="AG42" s="107" t="s">
        <v>1074</v>
      </c>
      <c r="AR42" s="25" t="s">
        <v>547</v>
      </c>
      <c r="AU42" t="s">
        <v>1635</v>
      </c>
      <c r="AY42" s="12">
        <f>HLOOKUP(AZ42,Installations!$GJ$8:$HW$16,9,FALSE)</f>
        <v>17</v>
      </c>
      <c r="AZ42" t="str">
        <f>Installations!HE8</f>
        <v>Existing Fixture Changed</v>
      </c>
      <c r="BA42" t="s">
        <v>1636</v>
      </c>
      <c r="BB42" t="s">
        <v>1591</v>
      </c>
      <c r="CB42">
        <v>2.3010893448272194</v>
      </c>
      <c r="CC42">
        <f t="shared" si="5"/>
        <v>230.10893448272193</v>
      </c>
      <c r="CE42">
        <v>2.4104619536336607</v>
      </c>
      <c r="CF42">
        <f t="shared" si="6"/>
        <v>265.15081489970265</v>
      </c>
    </row>
    <row r="43" spans="4:92">
      <c r="M43" s="25" t="s">
        <v>1260</v>
      </c>
      <c r="N43" s="26" t="s">
        <v>1637</v>
      </c>
      <c r="Z43" s="27" t="s">
        <v>180</v>
      </c>
      <c r="AA43" s="27" t="str">
        <f>CONCATENATE("Exterior ",Z43)</f>
        <v>Exterior Fixture Removed</v>
      </c>
      <c r="AB43" s="27" t="s">
        <v>1444</v>
      </c>
      <c r="AC43" s="27" t="s">
        <v>166</v>
      </c>
      <c r="AD43" s="27" t="s">
        <v>1444</v>
      </c>
      <c r="AE43" s="84" t="s">
        <v>166</v>
      </c>
      <c r="AF43" s="86"/>
      <c r="AG43" s="107" t="s">
        <v>1074</v>
      </c>
      <c r="AR43" s="22" t="s">
        <v>353</v>
      </c>
      <c r="AU43" t="s">
        <v>1638</v>
      </c>
      <c r="AY43" s="12">
        <f>HLOOKUP(AZ43,Installations!$GJ$8:$HW$16,9,FALSE)</f>
        <v>18</v>
      </c>
      <c r="AZ43" t="str">
        <f>Installations!HD8</f>
        <v>Heat Type Change?</v>
      </c>
      <c r="BA43" t="s">
        <v>1487</v>
      </c>
      <c r="BB43" t="s">
        <v>1591</v>
      </c>
      <c r="CB43">
        <v>2.3586165784478998</v>
      </c>
      <c r="CC43">
        <f t="shared" si="5"/>
        <v>235.86165784478999</v>
      </c>
      <c r="CE43">
        <v>2.470723502474502</v>
      </c>
      <c r="CF43">
        <f t="shared" si="6"/>
        <v>271.77958527219522</v>
      </c>
    </row>
    <row r="44" spans="4:92">
      <c r="D44" t="s">
        <v>1639</v>
      </c>
      <c r="M44" s="22" t="s">
        <v>451</v>
      </c>
      <c r="N44" s="23" t="s">
        <v>1640</v>
      </c>
      <c r="AU44" t="s">
        <v>1641</v>
      </c>
      <c r="AY44" s="12">
        <f>HLOOKUP(AZ44,Installations!$GJ$8:$HW$16,9,FALSE)</f>
        <v>19</v>
      </c>
      <c r="AZ44" t="str">
        <f>Installations!HC8</f>
        <v>Retrofit / TI / NC Change?</v>
      </c>
      <c r="BA44" t="s">
        <v>1642</v>
      </c>
      <c r="BB44" t="s">
        <v>1591</v>
      </c>
      <c r="CB44">
        <v>2.4175819929090974</v>
      </c>
      <c r="CC44">
        <f t="shared" si="5"/>
        <v>241.75819929090974</v>
      </c>
      <c r="CE44">
        <v>2.5324915900363645</v>
      </c>
      <c r="CF44">
        <f t="shared" si="6"/>
        <v>278.5740749040001</v>
      </c>
    </row>
    <row r="45" spans="4:92">
      <c r="M45" s="25" t="s">
        <v>169</v>
      </c>
      <c r="N45" s="26" t="s">
        <v>1643</v>
      </c>
      <c r="AU45" t="s">
        <v>1644</v>
      </c>
      <c r="AY45" s="12">
        <f>HLOOKUP(AZ45,Installations!$GJ$8:$HW$16,9,FALSE)</f>
        <v>35</v>
      </c>
      <c r="AZ45" t="str">
        <f>Installations!GM8</f>
        <v>Cells Complete</v>
      </c>
      <c r="BA45" t="s">
        <v>1495</v>
      </c>
      <c r="BB45" t="s">
        <v>1572</v>
      </c>
      <c r="CB45">
        <v>2.4780215427318248</v>
      </c>
      <c r="CC45">
        <f t="shared" si="5"/>
        <v>247.80215427318248</v>
      </c>
      <c r="CE45">
        <v>2.5958038797872738</v>
      </c>
      <c r="CF45">
        <f t="shared" si="6"/>
        <v>285.53842677660009</v>
      </c>
    </row>
    <row r="46" spans="4:92">
      <c r="M46" s="22" t="s">
        <v>1645</v>
      </c>
      <c r="N46" s="23" t="s">
        <v>1646</v>
      </c>
      <c r="AU46" t="s">
        <v>1647</v>
      </c>
      <c r="AY46" s="12">
        <f>HLOOKUP(AZ46,Installations!$GJ$8:$HW$16,9,FALSE)</f>
        <v>36</v>
      </c>
      <c r="AZ46" t="str">
        <f>Installations!GL8</f>
        <v>Location:</v>
      </c>
      <c r="BA46" t="s">
        <v>239</v>
      </c>
      <c r="BB46" t="s">
        <v>1648</v>
      </c>
      <c r="CB46">
        <v>2.5399720813001201</v>
      </c>
      <c r="CC46">
        <f t="shared" si="5"/>
        <v>253.99720813001201</v>
      </c>
      <c r="CE46">
        <v>2.6606989767819558</v>
      </c>
      <c r="CF46">
        <f t="shared" si="6"/>
        <v>292.67688744601514</v>
      </c>
    </row>
    <row r="47" spans="4:92">
      <c r="Z47">
        <f>MATCH(Z37,Lookup_Exterior_Areas,0)</f>
        <v>5</v>
      </c>
      <c r="AU47" t="s">
        <v>1649</v>
      </c>
      <c r="AY47" s="12">
        <f>HLOOKUP(AZ47,Installations!$GJ$8:$HW$16,9,FALSE)</f>
        <v>38</v>
      </c>
      <c r="AZ47" t="str">
        <f>Installations!GJ8</f>
        <v>Include</v>
      </c>
      <c r="BA47" t="s">
        <v>1445</v>
      </c>
      <c r="BB47" t="s">
        <v>1648</v>
      </c>
      <c r="CB47">
        <v>2.6034713833326228</v>
      </c>
      <c r="CC47">
        <f t="shared" si="5"/>
        <v>260.34713833326231</v>
      </c>
      <c r="CE47">
        <v>2.7272164512015045</v>
      </c>
      <c r="CF47">
        <f t="shared" si="6"/>
        <v>299.99380963216549</v>
      </c>
    </row>
    <row r="48" spans="4:92">
      <c r="M48" s="20" t="s">
        <v>1650</v>
      </c>
      <c r="N48" s="21" t="s">
        <v>1651</v>
      </c>
      <c r="AY48" s="12" t="e">
        <f>HLOOKUP(AZ48,Installations!$GJ$8:$HW$16,9,FALSE)</f>
        <v>#N/A</v>
      </c>
      <c r="BA48" t="s">
        <v>1413</v>
      </c>
      <c r="CB48">
        <v>2.6685581679159385</v>
      </c>
      <c r="CC48">
        <f t="shared" si="5"/>
        <v>266.85581679159384</v>
      </c>
      <c r="CE48">
        <v>2.795396862481542</v>
      </c>
      <c r="CF48">
        <f t="shared" si="6"/>
        <v>307.49365487296961</v>
      </c>
    </row>
    <row r="49" spans="4:59">
      <c r="M49" s="22" t="s">
        <v>1652</v>
      </c>
      <c r="N49" s="23" t="s">
        <v>1653</v>
      </c>
      <c r="AY49" s="12">
        <f>HLOOKUP(AZ49,Installations!$GJ$8:$HW$16,9,FALSE)</f>
        <v>13</v>
      </c>
      <c r="AZ49" t="str">
        <f>Installations!HI8</f>
        <v>Exist Control Incorrect</v>
      </c>
      <c r="BA49" t="s">
        <v>1654</v>
      </c>
      <c r="BB49" t="s">
        <v>1591</v>
      </c>
    </row>
    <row r="50" spans="4:59">
      <c r="M50" s="25" t="s">
        <v>180</v>
      </c>
      <c r="N50" s="26" t="s">
        <v>1655</v>
      </c>
      <c r="AY50" s="12">
        <f>HLOOKUP(AZ50,Installations!$GJ$8:$HW$16,9,FALSE)</f>
        <v>15</v>
      </c>
      <c r="AZ50" t="str">
        <f>Installations!HG8</f>
        <v>TLED not Allowed</v>
      </c>
      <c r="BA50" t="s">
        <v>1656</v>
      </c>
      <c r="BB50" t="s">
        <v>1591</v>
      </c>
    </row>
    <row r="51" spans="4:59">
      <c r="D51" t="s">
        <v>1657</v>
      </c>
      <c r="M51" s="27" t="s">
        <v>451</v>
      </c>
      <c r="N51" s="24" t="s">
        <v>1658</v>
      </c>
      <c r="AY51" s="12" t="e">
        <f>HLOOKUP(AZ51,Installations!$GJ$8:$HW$16,9,FALSE)</f>
        <v>#N/A</v>
      </c>
      <c r="BA51" t="s">
        <v>1659</v>
      </c>
    </row>
    <row r="52" spans="4:59">
      <c r="D52" t="s">
        <v>1660</v>
      </c>
    </row>
    <row r="53" spans="4:59">
      <c r="D53" t="s">
        <v>1661</v>
      </c>
      <c r="M53" s="20" t="s">
        <v>1653</v>
      </c>
      <c r="N53" s="28" t="s">
        <v>1662</v>
      </c>
      <c r="BE53" s="505"/>
    </row>
    <row r="54" spans="4:59">
      <c r="D54" t="s">
        <v>1663</v>
      </c>
      <c r="M54" s="22" t="s">
        <v>1392</v>
      </c>
      <c r="N54" s="24" t="s">
        <v>1664</v>
      </c>
      <c r="BE54" s="505"/>
      <c r="BF54" s="505"/>
      <c r="BG54" s="505"/>
    </row>
    <row r="55" spans="4:59">
      <c r="M55" s="30" t="s">
        <v>1408</v>
      </c>
      <c r="N55" s="29" t="s">
        <v>1409</v>
      </c>
      <c r="BE55" s="505"/>
      <c r="BF55" s="505"/>
      <c r="BG55" s="505"/>
    </row>
    <row r="56" spans="4:59">
      <c r="D56" t="s">
        <v>1665</v>
      </c>
      <c r="M56" s="22" t="s">
        <v>1451</v>
      </c>
      <c r="N56" s="24" t="s">
        <v>1666</v>
      </c>
      <c r="BD56" s="505"/>
      <c r="BE56" s="505"/>
      <c r="BF56" s="505"/>
      <c r="BG56" s="505"/>
    </row>
    <row r="57" spans="4:59">
      <c r="D57" t="s">
        <v>1667</v>
      </c>
      <c r="BC57" s="508"/>
      <c r="BD57" s="505"/>
      <c r="BE57" s="506"/>
      <c r="BF57" s="506"/>
      <c r="BG57" s="506"/>
    </row>
    <row r="58" spans="4:59">
      <c r="M58" s="20" t="s">
        <v>1655</v>
      </c>
      <c r="N58" s="21" t="s">
        <v>1662</v>
      </c>
      <c r="BC58" s="508"/>
      <c r="BD58" s="505"/>
      <c r="BE58" s="506"/>
      <c r="BF58" s="506"/>
      <c r="BG58" s="506"/>
    </row>
    <row r="59" spans="4:59">
      <c r="M59" s="30" t="s">
        <v>180</v>
      </c>
      <c r="N59" s="30" t="s">
        <v>1461</v>
      </c>
      <c r="BD59" s="505"/>
      <c r="BE59" s="505"/>
      <c r="BF59" s="505"/>
      <c r="BG59" s="505"/>
    </row>
    <row r="60" spans="4:59">
      <c r="BD60" s="506"/>
      <c r="BE60" s="505"/>
      <c r="BF60" s="505"/>
      <c r="BG60" s="505"/>
    </row>
    <row r="61" spans="4:59">
      <c r="M61" s="20" t="s">
        <v>1658</v>
      </c>
      <c r="N61" s="21" t="s">
        <v>1662</v>
      </c>
      <c r="BE61" s="505"/>
      <c r="BF61" s="505"/>
      <c r="BG61" s="505"/>
    </row>
    <row r="62" spans="4:59">
      <c r="M62" s="30" t="s">
        <v>451</v>
      </c>
      <c r="N62" s="30" t="s">
        <v>1658</v>
      </c>
      <c r="BC62" s="507"/>
      <c r="BD62" s="506"/>
      <c r="BE62" s="505"/>
      <c r="BF62" s="505"/>
      <c r="BG62" s="505"/>
    </row>
    <row r="63" spans="4:59">
      <c r="BC63" s="508"/>
      <c r="BD63" s="505"/>
      <c r="BE63" s="505"/>
      <c r="BF63" s="505"/>
      <c r="BG63" s="505"/>
    </row>
    <row r="64" spans="4:59">
      <c r="M64" s="20" t="s">
        <v>1627</v>
      </c>
      <c r="N64" s="21" t="s">
        <v>1668</v>
      </c>
      <c r="AZ64" s="12"/>
      <c r="BB64" s="12"/>
      <c r="BD64" s="505"/>
      <c r="BE64" s="505"/>
      <c r="BF64" s="505"/>
      <c r="BG64" s="505"/>
    </row>
    <row r="65" spans="13:59">
      <c r="M65" s="22" t="s">
        <v>155</v>
      </c>
      <c r="N65" s="23" t="s">
        <v>1421</v>
      </c>
      <c r="AZ65" s="12"/>
      <c r="BB65" s="12"/>
      <c r="BC65" s="508"/>
      <c r="BD65" s="505"/>
      <c r="BE65" s="505"/>
      <c r="BF65" s="505"/>
      <c r="BG65" s="505"/>
    </row>
    <row r="66" spans="13:59">
      <c r="M66" s="25" t="s">
        <v>1223</v>
      </c>
      <c r="N66" s="26" t="s">
        <v>1669</v>
      </c>
      <c r="AZ66" s="12"/>
      <c r="BB66" s="12"/>
      <c r="BC66" s="508"/>
      <c r="BD66" s="505"/>
      <c r="BE66" s="505"/>
      <c r="BF66" s="505"/>
      <c r="BG66" s="505"/>
    </row>
    <row r="67" spans="13:59">
      <c r="M67" s="22" t="s">
        <v>1240</v>
      </c>
      <c r="N67" s="23" t="s">
        <v>1670</v>
      </c>
      <c r="AZ67" s="12"/>
      <c r="BB67" s="12"/>
      <c r="BD67" s="505"/>
      <c r="BE67" s="505"/>
      <c r="BF67" s="505"/>
      <c r="BG67" s="505"/>
    </row>
    <row r="68" spans="13:59">
      <c r="M68" s="25" t="s">
        <v>1241</v>
      </c>
      <c r="N68" s="26" t="s">
        <v>1671</v>
      </c>
      <c r="AZ68" s="12"/>
      <c r="BC68" s="508"/>
      <c r="BD68" s="505"/>
      <c r="BE68" s="505"/>
      <c r="BF68" s="505"/>
      <c r="BG68" s="505"/>
    </row>
    <row r="69" spans="13:59">
      <c r="M69" s="22" t="s">
        <v>1210</v>
      </c>
      <c r="N69" s="23" t="s">
        <v>1509</v>
      </c>
      <c r="AZ69" s="12"/>
      <c r="BC69" s="508"/>
      <c r="BD69" s="505"/>
      <c r="BE69" s="505"/>
      <c r="BF69" s="505"/>
      <c r="BG69" s="505"/>
    </row>
    <row r="70" spans="13:59">
      <c r="M70" s="25" t="s">
        <v>1242</v>
      </c>
      <c r="N70" s="26" t="s">
        <v>1672</v>
      </c>
      <c r="AZ70" s="12"/>
      <c r="BB70" s="12"/>
      <c r="BC70" s="508"/>
      <c r="BD70" s="505"/>
      <c r="BE70" s="505"/>
      <c r="BF70" s="505"/>
      <c r="BG70" s="505"/>
    </row>
    <row r="71" spans="13:59">
      <c r="M71" s="22" t="s">
        <v>1247</v>
      </c>
      <c r="N71" s="23" t="s">
        <v>1673</v>
      </c>
      <c r="AZ71" s="12"/>
      <c r="BB71" s="12"/>
      <c r="BC71" s="508"/>
      <c r="BD71" s="505"/>
    </row>
    <row r="72" spans="13:59">
      <c r="M72" s="30" t="s">
        <v>1306</v>
      </c>
      <c r="N72" s="29" t="s">
        <v>1674</v>
      </c>
      <c r="AZ72" s="12"/>
      <c r="BB72" s="12"/>
      <c r="BC72" s="508"/>
      <c r="BD72" s="505"/>
    </row>
    <row r="73" spans="13:59">
      <c r="M73" s="22" t="s">
        <v>1181</v>
      </c>
      <c r="N73" s="23" t="s">
        <v>1181</v>
      </c>
      <c r="AZ73" s="12"/>
      <c r="BB73" s="12"/>
      <c r="BC73" s="508"/>
      <c r="BD73" s="505"/>
    </row>
    <row r="74" spans="13:59">
      <c r="M74" s="25" t="s">
        <v>1206</v>
      </c>
      <c r="N74" s="26" t="s">
        <v>1675</v>
      </c>
      <c r="AZ74" s="12"/>
      <c r="BB74" s="12"/>
      <c r="BC74" s="508"/>
      <c r="BD74" s="505"/>
    </row>
    <row r="75" spans="13:59">
      <c r="M75" s="22" t="s">
        <v>1208</v>
      </c>
      <c r="N75" s="23" t="s">
        <v>1676</v>
      </c>
      <c r="AZ75" s="12"/>
      <c r="BB75" s="12"/>
      <c r="BC75" s="508"/>
      <c r="BD75" s="505"/>
    </row>
    <row r="76" spans="13:59">
      <c r="M76" s="25" t="s">
        <v>1214</v>
      </c>
      <c r="N76" s="26" t="s">
        <v>1677</v>
      </c>
      <c r="AZ76" s="12"/>
      <c r="BB76" s="12"/>
      <c r="BD76" s="505"/>
    </row>
    <row r="77" spans="13:59">
      <c r="M77" s="22" t="s">
        <v>1216</v>
      </c>
      <c r="N77" s="23" t="s">
        <v>1678</v>
      </c>
      <c r="AZ77" s="12"/>
      <c r="BB77" s="12"/>
      <c r="BD77" s="505"/>
    </row>
    <row r="78" spans="13:59">
      <c r="M78" s="25" t="s">
        <v>1222</v>
      </c>
      <c r="N78" s="26" t="s">
        <v>1679</v>
      </c>
      <c r="AZ78" s="12"/>
      <c r="BB78" s="12"/>
      <c r="BD78" s="505"/>
    </row>
    <row r="79" spans="13:59">
      <c r="M79" s="22" t="s">
        <v>1196</v>
      </c>
      <c r="N79" s="23" t="s">
        <v>1680</v>
      </c>
      <c r="AZ79" s="12"/>
      <c r="BB79" s="12"/>
    </row>
    <row r="80" spans="13:59">
      <c r="M80" s="25" t="s">
        <v>1205</v>
      </c>
      <c r="N80" s="26" t="s">
        <v>1681</v>
      </c>
      <c r="AZ80" s="12"/>
      <c r="BB80" s="12"/>
    </row>
    <row r="81" spans="13:54">
      <c r="AZ81" s="12"/>
      <c r="BB81" s="12"/>
    </row>
    <row r="82" spans="13:54">
      <c r="M82" s="20" t="s">
        <v>1630</v>
      </c>
      <c r="N82" s="21" t="s">
        <v>1662</v>
      </c>
      <c r="AZ82" s="12"/>
      <c r="BB82" s="12"/>
    </row>
    <row r="83" spans="13:54">
      <c r="M83" s="22" t="s">
        <v>164</v>
      </c>
      <c r="N83" s="23" t="s">
        <v>1682</v>
      </c>
      <c r="AZ83" s="12"/>
      <c r="BB83" s="12"/>
    </row>
    <row r="84" spans="13:54">
      <c r="M84" s="25" t="s">
        <v>448</v>
      </c>
      <c r="N84" s="26" t="s">
        <v>1683</v>
      </c>
      <c r="AZ84" s="12"/>
      <c r="BB84" s="12"/>
    </row>
    <row r="85" spans="13:54">
      <c r="M85" s="27" t="s">
        <v>1299</v>
      </c>
      <c r="N85" s="24" t="s">
        <v>1684</v>
      </c>
      <c r="AZ85" s="12"/>
      <c r="BB85" s="12"/>
    </row>
    <row r="86" spans="13:54">
      <c r="AZ86" s="12"/>
      <c r="BB86" s="12"/>
    </row>
    <row r="87" spans="13:54">
      <c r="M87" s="20" t="s">
        <v>1685</v>
      </c>
      <c r="N87" s="21" t="s">
        <v>1662</v>
      </c>
    </row>
    <row r="88" spans="13:54">
      <c r="M88" s="22" t="s">
        <v>1149</v>
      </c>
      <c r="N88" s="23" t="s">
        <v>1686</v>
      </c>
    </row>
    <row r="89" spans="13:54">
      <c r="M89" s="25" t="s">
        <v>1156</v>
      </c>
      <c r="N89" s="26" t="s">
        <v>1687</v>
      </c>
    </row>
    <row r="90" spans="13:54">
      <c r="M90" s="22" t="s">
        <v>1594</v>
      </c>
      <c r="N90" s="23" t="s">
        <v>1688</v>
      </c>
    </row>
    <row r="91" spans="13:54">
      <c r="M91" s="30" t="s">
        <v>1148</v>
      </c>
      <c r="N91" s="29" t="s">
        <v>1689</v>
      </c>
    </row>
    <row r="93" spans="13:54">
      <c r="M93" s="20" t="s">
        <v>1690</v>
      </c>
      <c r="N93" s="21" t="s">
        <v>1662</v>
      </c>
    </row>
    <row r="94" spans="13:54">
      <c r="M94" s="30" t="s">
        <v>1260</v>
      </c>
      <c r="N94" s="29" t="s">
        <v>1260</v>
      </c>
    </row>
    <row r="96" spans="13:54">
      <c r="M96" s="20" t="s">
        <v>1645</v>
      </c>
      <c r="N96" s="21" t="s">
        <v>1662</v>
      </c>
    </row>
    <row r="97" spans="13:15">
      <c r="M97" t="s">
        <v>1353</v>
      </c>
      <c r="N97" t="s">
        <v>1353</v>
      </c>
    </row>
    <row r="99" spans="13:15">
      <c r="M99" s="20" t="s">
        <v>169</v>
      </c>
      <c r="N99" s="21" t="s">
        <v>1662</v>
      </c>
    </row>
    <row r="100" spans="13:15">
      <c r="M100" s="25" t="s">
        <v>167</v>
      </c>
      <c r="N100" s="26" t="s">
        <v>167</v>
      </c>
      <c r="O100">
        <v>1</v>
      </c>
    </row>
    <row r="101" spans="13:15">
      <c r="M101" s="22" t="s">
        <v>367</v>
      </c>
      <c r="N101" s="23" t="s">
        <v>367</v>
      </c>
      <c r="O101">
        <v>2</v>
      </c>
    </row>
    <row r="102" spans="13:15">
      <c r="M102" s="25" t="s">
        <v>368</v>
      </c>
      <c r="N102" s="26" t="s">
        <v>368</v>
      </c>
      <c r="O102">
        <v>3</v>
      </c>
    </row>
  </sheetData>
  <sheetProtection algorithmName="SHA-512" hashValue="T9kdyReC5KEpcpr10AP1KGMe+OolZQIQz0W8dFN3rQNiyajBPIP/OzvCrntZEKpv7gZAWMStf7qPIzdD0gowuA==" saltValue="NZvAJnx8Aryl537YFatx7A==" spinCount="100000" sheet="1" objects="1" scenarios="1"/>
  <sortState ref="AY27:BB51">
    <sortCondition ref="AY27:AY51"/>
  </sortState>
  <mergeCells count="16">
    <mergeCell ref="D4:E4"/>
    <mergeCell ref="D5:E5"/>
    <mergeCell ref="D9:E9"/>
    <mergeCell ref="D12:E12"/>
    <mergeCell ref="D15:E15"/>
    <mergeCell ref="D6:E6"/>
    <mergeCell ref="CK32:CN34"/>
    <mergeCell ref="D10:E10"/>
    <mergeCell ref="D13:E13"/>
    <mergeCell ref="D7:E7"/>
    <mergeCell ref="D16:E16"/>
    <mergeCell ref="BY2:BZ2"/>
    <mergeCell ref="BT1:BV1"/>
    <mergeCell ref="BT2:BV2"/>
    <mergeCell ref="BG2:BH2"/>
    <mergeCell ref="D2:E2"/>
  </mergeCells>
  <dataValidations count="2">
    <dataValidation type="list" allowBlank="1" showInputMessage="1" showErrorMessage="1" sqref="D2">
      <formula1>"Business Lighting,Multi-Family"</formula1>
    </dataValidation>
    <dataValidation type="list" allowBlank="1" showInputMessage="1" showErrorMessage="1" sqref="B15">
      <formula1>"True,False"</formula1>
    </dataValidation>
  </dataValidations>
  <pageMargins left="0.7" right="0.7" top="0.75" bottom="0.75" header="0.3" footer="0.3"/>
  <pageSetup orientation="portrait" r:id="rId1"/>
  <legacyDrawing r:id="rId2"/>
  <tableParts count="5">
    <tablePart r:id="rId3"/>
    <tablePart r:id="rId4"/>
    <tablePart r:id="rId5"/>
    <tablePart r:id="rId6"/>
    <tablePart r:id="rId7"/>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B1:AG156"/>
  <sheetViews>
    <sheetView workbookViewId="0"/>
  </sheetViews>
  <sheetFormatPr defaultRowHeight="14.3"/>
  <cols>
    <col min="1" max="1" width="2.75" customWidth="1"/>
    <col min="2" max="2" width="56.125" bestFit="1" customWidth="1"/>
    <col min="3" max="4" width="13.5" bestFit="1" customWidth="1"/>
    <col min="5" max="5" width="15.75" bestFit="1" customWidth="1"/>
    <col min="6" max="6" width="61" bestFit="1" customWidth="1"/>
    <col min="7" max="7" width="14.25" bestFit="1" customWidth="1"/>
    <col min="8" max="8" width="12.5" bestFit="1" customWidth="1"/>
    <col min="9" max="10" width="24.25" bestFit="1" customWidth="1"/>
    <col min="11" max="11" width="25.5" bestFit="1" customWidth="1"/>
    <col min="13" max="13" width="20" bestFit="1" customWidth="1"/>
    <col min="15" max="15" width="23.75" bestFit="1" customWidth="1"/>
    <col min="16" max="16" width="31.125" bestFit="1" customWidth="1"/>
    <col min="17" max="17" width="22" bestFit="1" customWidth="1"/>
    <col min="18" max="18" width="4.75" bestFit="1" customWidth="1"/>
    <col min="19" max="19" width="22" bestFit="1" customWidth="1"/>
    <col min="20" max="20" width="4.75" bestFit="1" customWidth="1"/>
    <col min="21" max="21" width="5" bestFit="1" customWidth="1"/>
    <col min="24" max="24" width="23.125" bestFit="1" customWidth="1"/>
    <col min="26" max="26" width="25" bestFit="1" customWidth="1"/>
    <col min="29" max="29" width="26" bestFit="1" customWidth="1"/>
    <col min="31" max="31" width="26" bestFit="1" customWidth="1"/>
    <col min="32" max="32" width="6.25" bestFit="1" customWidth="1"/>
  </cols>
  <sheetData>
    <row r="1" spans="2:32">
      <c r="B1">
        <v>1</v>
      </c>
      <c r="C1">
        <v>2</v>
      </c>
      <c r="D1">
        <v>3</v>
      </c>
      <c r="E1">
        <v>4</v>
      </c>
      <c r="F1">
        <v>5</v>
      </c>
      <c r="G1">
        <v>6</v>
      </c>
      <c r="H1">
        <v>7</v>
      </c>
      <c r="I1">
        <v>8</v>
      </c>
      <c r="J1">
        <v>9</v>
      </c>
      <c r="K1">
        <v>10</v>
      </c>
      <c r="L1">
        <v>11</v>
      </c>
    </row>
    <row r="2" spans="2:32">
      <c r="B2" t="s">
        <v>1691</v>
      </c>
      <c r="C2" s="12" t="s">
        <v>1692</v>
      </c>
      <c r="D2" s="12" t="s">
        <v>1693</v>
      </c>
      <c r="E2" s="12" t="s">
        <v>1694</v>
      </c>
      <c r="F2" s="12" t="s">
        <v>1695</v>
      </c>
      <c r="G2" s="12" t="s">
        <v>314</v>
      </c>
      <c r="H2" s="12" t="s">
        <v>1696</v>
      </c>
      <c r="I2" s="12" t="s">
        <v>1374</v>
      </c>
      <c r="J2" s="12" t="s">
        <v>170</v>
      </c>
      <c r="K2" s="12" t="s">
        <v>1697</v>
      </c>
      <c r="L2" s="12" t="s">
        <v>1698</v>
      </c>
      <c r="M2" s="12" t="s">
        <v>286</v>
      </c>
      <c r="O2">
        <v>1</v>
      </c>
      <c r="P2">
        <v>2</v>
      </c>
      <c r="Q2">
        <v>3</v>
      </c>
      <c r="R2">
        <v>4</v>
      </c>
      <c r="S2">
        <v>5</v>
      </c>
      <c r="T2">
        <v>6</v>
      </c>
      <c r="U2">
        <v>7</v>
      </c>
      <c r="AA2" s="1150" t="s">
        <v>1699</v>
      </c>
      <c r="AB2" s="1150"/>
    </row>
    <row r="3" spans="2:32">
      <c r="B3" t="s">
        <v>1700</v>
      </c>
      <c r="C3" s="12">
        <v>0.02</v>
      </c>
      <c r="D3" s="12">
        <v>0.48</v>
      </c>
      <c r="E3" s="12"/>
      <c r="F3" s="12" t="str">
        <f>CONCATENATE("Interior ",Table_LPA_SxS[[#This Row],[Space-by-Space areas]])</f>
        <v>Interior Atrium: 20 to 40 ft in height</v>
      </c>
      <c r="G3" s="12" t="s">
        <v>166</v>
      </c>
      <c r="H3" s="12">
        <v>2</v>
      </c>
      <c r="I3" s="12" t="str">
        <f t="shared" ref="I3:I32" si="0">IF(G3="No","Controls_Interior_Basic", "Controls_Interior_LLLC")</f>
        <v>Controls_Interior_Basic</v>
      </c>
      <c r="J3" s="12" t="s">
        <v>1397</v>
      </c>
      <c r="K3" s="12" t="s">
        <v>572</v>
      </c>
      <c r="L3" s="12" t="s">
        <v>1108</v>
      </c>
      <c r="M3" s="12" t="s">
        <v>359</v>
      </c>
      <c r="O3" s="20" t="s">
        <v>292</v>
      </c>
      <c r="P3" s="20" t="s">
        <v>1374</v>
      </c>
      <c r="Q3" s="20" t="s">
        <v>286</v>
      </c>
      <c r="R3" s="28" t="s">
        <v>314</v>
      </c>
      <c r="S3" s="28" t="s">
        <v>170</v>
      </c>
      <c r="T3" s="28" t="s">
        <v>314</v>
      </c>
      <c r="U3" s="21" t="s">
        <v>977</v>
      </c>
      <c r="Z3" t="s">
        <v>975</v>
      </c>
      <c r="AA3" s="12" t="s">
        <v>1692</v>
      </c>
      <c r="AB3" s="12" t="s">
        <v>1693</v>
      </c>
      <c r="AC3" t="s">
        <v>1701</v>
      </c>
    </row>
    <row r="4" spans="2:32">
      <c r="B4" t="s">
        <v>1702</v>
      </c>
      <c r="C4" s="12" t="s">
        <v>1703</v>
      </c>
      <c r="D4" s="12">
        <v>0.6</v>
      </c>
      <c r="E4" s="12"/>
      <c r="F4" s="12" t="str">
        <f>CONCATENATE("Interior ",Table_LPA_SxS[[#This Row],[Space-by-Space areas]])</f>
        <v>Interior Atrium: above 40 ft in height</v>
      </c>
      <c r="G4" s="12" t="s">
        <v>166</v>
      </c>
      <c r="H4" s="12">
        <v>3</v>
      </c>
      <c r="I4" s="12" t="str">
        <f t="shared" si="0"/>
        <v>Controls_Interior_Basic</v>
      </c>
      <c r="J4" s="12" t="s">
        <v>1397</v>
      </c>
      <c r="K4" s="12" t="s">
        <v>572</v>
      </c>
      <c r="L4" s="12" t="s">
        <v>1108</v>
      </c>
      <c r="M4" s="12" t="s">
        <v>359</v>
      </c>
      <c r="O4" s="25" t="s">
        <v>1396</v>
      </c>
      <c r="P4" s="25" t="str">
        <f>CONCATENATE("Interior ",O4)</f>
        <v>Interior - Choose Interior Area -</v>
      </c>
      <c r="Q4" s="25" t="str">
        <f>IF(R4="No","Controls_Interior_Basic", "Controls_Interior_LLLC")</f>
        <v>Controls_Interior_Basic</v>
      </c>
      <c r="R4" s="83" t="s">
        <v>166</v>
      </c>
      <c r="S4" s="83" t="s">
        <v>1397</v>
      </c>
      <c r="T4" s="83" t="s">
        <v>166</v>
      </c>
      <c r="U4" s="34"/>
      <c r="Z4" t="s">
        <v>982</v>
      </c>
      <c r="AA4" s="258">
        <v>0.64</v>
      </c>
      <c r="AB4" s="258">
        <v>0.64</v>
      </c>
      <c r="AC4" t="s">
        <v>581</v>
      </c>
      <c r="AE4" t="s">
        <v>982</v>
      </c>
      <c r="AF4">
        <v>0.64</v>
      </c>
    </row>
    <row r="5" spans="2:32">
      <c r="B5" t="s">
        <v>1704</v>
      </c>
      <c r="C5" s="12">
        <v>0.02</v>
      </c>
      <c r="D5" s="12">
        <v>0.39</v>
      </c>
      <c r="E5" s="12"/>
      <c r="F5" s="12" t="str">
        <f>CONCATENATE("Interior ",Table_LPA_SxS[[#This Row],[Space-by-Space areas]])</f>
        <v>Interior Atrium: less than 20 ft in height</v>
      </c>
      <c r="G5" s="12" t="s">
        <v>166</v>
      </c>
      <c r="H5" s="12">
        <v>1</v>
      </c>
      <c r="I5" s="12" t="str">
        <f t="shared" si="0"/>
        <v>Controls_Interior_Basic</v>
      </c>
      <c r="J5" s="12" t="s">
        <v>1397</v>
      </c>
      <c r="K5" s="12" t="s">
        <v>572</v>
      </c>
      <c r="L5" s="12" t="s">
        <v>1108</v>
      </c>
      <c r="M5" s="12" t="s">
        <v>359</v>
      </c>
      <c r="O5" s="22" t="s">
        <v>554</v>
      </c>
      <c r="P5" s="22" t="str">
        <f>CONCATENATE("Interior ",O5)</f>
        <v>Interior Assembly</v>
      </c>
      <c r="Q5" s="22" t="str">
        <f t="shared" ref="Q5:Q31" si="1">IF(R5="No","Controls_Interior_Basic", "Controls_Interior_LLLC")</f>
        <v>Controls_Interior_Basic</v>
      </c>
      <c r="R5" s="84" t="s">
        <v>166</v>
      </c>
      <c r="S5" s="84" t="s">
        <v>1397</v>
      </c>
      <c r="T5" s="84" t="s">
        <v>166</v>
      </c>
      <c r="U5" s="33"/>
      <c r="Z5" t="s">
        <v>984</v>
      </c>
      <c r="AA5" s="258">
        <v>0.81</v>
      </c>
      <c r="AB5" s="258">
        <v>0.64</v>
      </c>
      <c r="AC5" t="s">
        <v>985</v>
      </c>
      <c r="AE5" t="s">
        <v>984</v>
      </c>
      <c r="AF5">
        <v>0.81</v>
      </c>
    </row>
    <row r="6" spans="2:32">
      <c r="B6" t="s">
        <v>1705</v>
      </c>
      <c r="C6" s="12">
        <v>0.5</v>
      </c>
      <c r="D6" s="12">
        <v>0.61</v>
      </c>
      <c r="E6" s="12">
        <v>20</v>
      </c>
      <c r="F6" s="12" t="str">
        <f>CONCATENATE("Interior ",Table_LPA_SxS[[#This Row],[Space-by-Space areas]])</f>
        <v>Interior Audience/seating area: auditorium</v>
      </c>
      <c r="G6" s="12" t="s">
        <v>166</v>
      </c>
      <c r="H6" s="12">
        <v>4</v>
      </c>
      <c r="I6" s="12" t="str">
        <f t="shared" si="0"/>
        <v>Controls_Interior_Basic</v>
      </c>
      <c r="J6" s="12" t="s">
        <v>1397</v>
      </c>
      <c r="K6" s="12" t="s">
        <v>554</v>
      </c>
      <c r="L6" s="12" t="s">
        <v>1108</v>
      </c>
      <c r="M6" s="12" t="s">
        <v>359</v>
      </c>
      <c r="O6" s="25" t="s">
        <v>555</v>
      </c>
      <c r="P6" s="25" t="str">
        <f>CONCATENATE("Interior ",O6)</f>
        <v>Interior Break Room</v>
      </c>
      <c r="Q6" s="25" t="str">
        <f t="shared" si="1"/>
        <v>Controls_Interior_Basic</v>
      </c>
      <c r="R6" s="83" t="s">
        <v>166</v>
      </c>
      <c r="S6" s="83" t="s">
        <v>1397</v>
      </c>
      <c r="T6" s="83" t="s">
        <v>166</v>
      </c>
      <c r="U6" s="34">
        <v>0.57999999999999996</v>
      </c>
      <c r="Z6" t="s">
        <v>987</v>
      </c>
      <c r="AA6" s="258">
        <v>0.81</v>
      </c>
      <c r="AB6" s="258">
        <v>0.79</v>
      </c>
      <c r="AC6" t="s">
        <v>985</v>
      </c>
      <c r="AE6" t="s">
        <v>987</v>
      </c>
      <c r="AF6">
        <v>0.81</v>
      </c>
    </row>
    <row r="7" spans="2:32">
      <c r="B7" t="s">
        <v>1706</v>
      </c>
      <c r="C7" s="12">
        <v>0.66</v>
      </c>
      <c r="D7" s="12">
        <v>0.23</v>
      </c>
      <c r="E7" s="12">
        <v>20</v>
      </c>
      <c r="F7" s="12" t="str">
        <f>CONCATENATE("Interior ",Table_LPA_SxS[[#This Row],[Space-by-Space areas]])</f>
        <v>Interior Audience/seating area: convention center</v>
      </c>
      <c r="G7" s="12" t="s">
        <v>166</v>
      </c>
      <c r="H7" s="12">
        <v>5</v>
      </c>
      <c r="I7" s="12" t="str">
        <f t="shared" si="0"/>
        <v>Controls_Interior_Basic</v>
      </c>
      <c r="J7" s="12" t="s">
        <v>1397</v>
      </c>
      <c r="K7" s="12" t="s">
        <v>554</v>
      </c>
      <c r="L7" s="12" t="s">
        <v>1108</v>
      </c>
      <c r="M7" s="12" t="s">
        <v>359</v>
      </c>
      <c r="O7" s="22" t="s">
        <v>354</v>
      </c>
      <c r="P7" s="22" t="str">
        <f>CONCATENATE("Interior ",O7)</f>
        <v>Interior Classroom</v>
      </c>
      <c r="Q7" s="22" t="str">
        <f t="shared" si="1"/>
        <v>Controls_Interior_LLLC</v>
      </c>
      <c r="R7" s="84" t="s">
        <v>157</v>
      </c>
      <c r="S7" s="84" t="s">
        <v>1397</v>
      </c>
      <c r="T7" s="84" t="s">
        <v>166</v>
      </c>
      <c r="U7" s="85">
        <v>1</v>
      </c>
      <c r="Z7" t="s">
        <v>85</v>
      </c>
      <c r="AA7" s="258">
        <v>0.79</v>
      </c>
      <c r="AB7" s="258">
        <v>0.79</v>
      </c>
      <c r="AC7" t="s">
        <v>989</v>
      </c>
      <c r="AE7" t="s">
        <v>85</v>
      </c>
      <c r="AF7">
        <v>0.79</v>
      </c>
    </row>
    <row r="8" spans="2:32">
      <c r="B8" t="s">
        <v>1707</v>
      </c>
      <c r="C8" s="12">
        <v>0.34</v>
      </c>
      <c r="D8" s="12">
        <v>0.23</v>
      </c>
      <c r="E8" s="12">
        <v>20</v>
      </c>
      <c r="F8" s="12" t="str">
        <f>CONCATENATE("Interior ",Table_LPA_SxS[[#This Row],[Space-by-Space areas]])</f>
        <v>Interior Audience/seating area: gymnasium</v>
      </c>
      <c r="G8" s="12" t="s">
        <v>166</v>
      </c>
      <c r="H8" s="12">
        <v>6</v>
      </c>
      <c r="I8" s="12" t="str">
        <f t="shared" si="0"/>
        <v>Controls_Interior_Basic</v>
      </c>
      <c r="J8" s="12" t="s">
        <v>1397</v>
      </c>
      <c r="K8" s="12" t="s">
        <v>554</v>
      </c>
      <c r="L8" s="12" t="s">
        <v>1108</v>
      </c>
      <c r="M8" s="12" t="s">
        <v>359</v>
      </c>
      <c r="O8" s="25" t="s">
        <v>558</v>
      </c>
      <c r="P8" s="25" t="str">
        <f t="shared" ref="P8:P32" si="2">CONCATENATE("Interior ",O8)</f>
        <v>Interior Computer Room</v>
      </c>
      <c r="Q8" s="25" t="str">
        <f t="shared" si="1"/>
        <v>Controls_Interior_Basic</v>
      </c>
      <c r="R8" s="83" t="s">
        <v>166</v>
      </c>
      <c r="S8" s="83" t="s">
        <v>1397</v>
      </c>
      <c r="T8" s="83" t="s">
        <v>166</v>
      </c>
      <c r="U8" s="34">
        <v>1.37</v>
      </c>
      <c r="Z8" t="s">
        <v>991</v>
      </c>
      <c r="AA8" s="258">
        <v>0.72</v>
      </c>
      <c r="AB8" s="258">
        <v>0.72</v>
      </c>
      <c r="AC8" t="s">
        <v>989</v>
      </c>
      <c r="AE8" t="s">
        <v>991</v>
      </c>
      <c r="AF8">
        <v>0.72</v>
      </c>
    </row>
    <row r="9" spans="2:32">
      <c r="B9" t="s">
        <v>1708</v>
      </c>
      <c r="C9" s="12">
        <v>0.91</v>
      </c>
      <c r="D9" s="12">
        <v>0.27</v>
      </c>
      <c r="E9" s="12">
        <v>20</v>
      </c>
      <c r="F9" s="12" t="str">
        <f>CONCATENATE("Interior ",Table_LPA_SxS[[#This Row],[Space-by-Space areas]])</f>
        <v>Interior Audience/seating area: motion picture theater</v>
      </c>
      <c r="G9" s="12" t="s">
        <v>166</v>
      </c>
      <c r="H9" s="12">
        <v>7</v>
      </c>
      <c r="I9" s="12" t="str">
        <f t="shared" si="0"/>
        <v>Controls_Interior_Basic</v>
      </c>
      <c r="J9" s="12" t="s">
        <v>1397</v>
      </c>
      <c r="K9" s="12" t="s">
        <v>554</v>
      </c>
      <c r="L9" s="12" t="s">
        <v>1108</v>
      </c>
      <c r="M9" s="12" t="s">
        <v>359</v>
      </c>
      <c r="O9" s="22" t="s">
        <v>560</v>
      </c>
      <c r="P9" s="22" t="str">
        <f t="shared" si="2"/>
        <v>Interior Conference Room</v>
      </c>
      <c r="Q9" s="22" t="str">
        <f t="shared" si="1"/>
        <v>Controls_Interior_LLLC</v>
      </c>
      <c r="R9" s="84" t="s">
        <v>157</v>
      </c>
      <c r="S9" s="84" t="s">
        <v>1397</v>
      </c>
      <c r="T9" s="84" t="s">
        <v>166</v>
      </c>
      <c r="U9" s="33">
        <v>0.98</v>
      </c>
      <c r="Z9" t="s">
        <v>992</v>
      </c>
      <c r="AA9" s="258">
        <v>0.71</v>
      </c>
      <c r="AB9" s="258">
        <v>0.71</v>
      </c>
      <c r="AC9" t="s">
        <v>989</v>
      </c>
      <c r="AE9" t="s">
        <v>992</v>
      </c>
      <c r="AF9">
        <v>0.71</v>
      </c>
    </row>
    <row r="10" spans="2:32">
      <c r="B10" t="s">
        <v>1709</v>
      </c>
      <c r="C10" s="12">
        <v>0.34</v>
      </c>
      <c r="D10" s="12">
        <v>0.23</v>
      </c>
      <c r="E10" s="12">
        <v>20</v>
      </c>
      <c r="F10" s="12" t="str">
        <f>CONCATENATE("Interior ",Table_LPA_SxS[[#This Row],[Space-by-Space areas]])</f>
        <v>Interior Audience/seating area: other</v>
      </c>
      <c r="G10" s="12" t="s">
        <v>166</v>
      </c>
      <c r="H10" s="12">
        <v>12</v>
      </c>
      <c r="I10" s="12" t="str">
        <f t="shared" si="0"/>
        <v>Controls_Interior_Basic</v>
      </c>
      <c r="J10" s="12" t="s">
        <v>1397</v>
      </c>
      <c r="K10" s="12" t="s">
        <v>554</v>
      </c>
      <c r="L10" s="12" t="s">
        <v>1108</v>
      </c>
      <c r="M10" s="12" t="s">
        <v>359</v>
      </c>
      <c r="O10" s="25" t="s">
        <v>562</v>
      </c>
      <c r="P10" s="25" t="str">
        <f t="shared" si="2"/>
        <v>Interior Dining</v>
      </c>
      <c r="Q10" s="25" t="str">
        <f t="shared" si="1"/>
        <v>Controls_Interior_Basic</v>
      </c>
      <c r="R10" s="83" t="s">
        <v>166</v>
      </c>
      <c r="S10" s="83" t="s">
        <v>1397</v>
      </c>
      <c r="T10" s="83" t="s">
        <v>166</v>
      </c>
      <c r="U10" s="34"/>
      <c r="Z10" t="s">
        <v>993</v>
      </c>
      <c r="AA10" s="258">
        <v>0.46</v>
      </c>
      <c r="AB10" s="258">
        <v>0.46</v>
      </c>
      <c r="AC10" t="s">
        <v>994</v>
      </c>
      <c r="AE10" t="s">
        <v>993</v>
      </c>
      <c r="AF10">
        <v>0.46</v>
      </c>
    </row>
    <row r="11" spans="2:32">
      <c r="B11" t="s">
        <v>1710</v>
      </c>
      <c r="C11" s="12">
        <v>0.22</v>
      </c>
      <c r="D11" s="12">
        <v>0.67</v>
      </c>
      <c r="E11" s="12">
        <v>20</v>
      </c>
      <c r="F11" s="12" t="str">
        <f>CONCATENATE("Interior ",Table_LPA_SxS[[#This Row],[Space-by-Space areas]])</f>
        <v>Interior Audience/seating area: penitentiary</v>
      </c>
      <c r="G11" s="12" t="s">
        <v>166</v>
      </c>
      <c r="H11" s="12">
        <v>8</v>
      </c>
      <c r="I11" s="12" t="str">
        <f t="shared" si="0"/>
        <v>Controls_Interior_Basic</v>
      </c>
      <c r="J11" s="12" t="s">
        <v>1397</v>
      </c>
      <c r="K11" s="12" t="s">
        <v>554</v>
      </c>
      <c r="L11" s="12" t="s">
        <v>1108</v>
      </c>
      <c r="M11" s="12" t="s">
        <v>359</v>
      </c>
      <c r="O11" s="22" t="s">
        <v>361</v>
      </c>
      <c r="P11" s="22" t="str">
        <f t="shared" si="2"/>
        <v>Interior Gymnasium</v>
      </c>
      <c r="Q11" s="22" t="str">
        <f t="shared" si="1"/>
        <v>Controls_Interior_Basic</v>
      </c>
      <c r="R11" s="84" t="s">
        <v>166</v>
      </c>
      <c r="S11" s="84" t="s">
        <v>1397</v>
      </c>
      <c r="T11" s="84" t="s">
        <v>166</v>
      </c>
      <c r="U11" s="33"/>
      <c r="Z11" t="s">
        <v>996</v>
      </c>
      <c r="AA11" s="258">
        <v>0.67</v>
      </c>
      <c r="AB11" s="258">
        <v>0.67</v>
      </c>
      <c r="AC11" t="s">
        <v>575</v>
      </c>
      <c r="AE11" t="s">
        <v>996</v>
      </c>
      <c r="AF11">
        <v>0.67</v>
      </c>
    </row>
    <row r="12" spans="2:32">
      <c r="B12" t="s">
        <v>1711</v>
      </c>
      <c r="C12" s="12">
        <v>1.94</v>
      </c>
      <c r="D12" s="12">
        <v>1.1599999999999999</v>
      </c>
      <c r="E12" s="12">
        <v>20</v>
      </c>
      <c r="F12" s="12" t="str">
        <f>CONCATENATE("Interior ",Table_LPA_SxS[[#This Row],[Space-by-Space areas]])</f>
        <v>Interior Audience/seating area: performing arts theater</v>
      </c>
      <c r="G12" s="12" t="s">
        <v>166</v>
      </c>
      <c r="H12" s="12">
        <v>9</v>
      </c>
      <c r="I12" s="12" t="str">
        <f t="shared" si="0"/>
        <v>Controls_Interior_Basic</v>
      </c>
      <c r="J12" s="12" t="s">
        <v>1397</v>
      </c>
      <c r="K12" s="12" t="s">
        <v>554</v>
      </c>
      <c r="L12" s="12" t="s">
        <v>1108</v>
      </c>
      <c r="M12" s="12" t="s">
        <v>359</v>
      </c>
      <c r="O12" s="22" t="s">
        <v>567</v>
      </c>
      <c r="P12" s="22" t="str">
        <f t="shared" si="2"/>
        <v>Interior Hallway</v>
      </c>
      <c r="Q12" s="22" t="str">
        <f t="shared" si="1"/>
        <v>Controls_Interior_Basic</v>
      </c>
      <c r="R12" s="84" t="s">
        <v>166</v>
      </c>
      <c r="S12" s="84" t="s">
        <v>1397</v>
      </c>
      <c r="T12" s="84" t="s">
        <v>166</v>
      </c>
      <c r="U12" s="33"/>
      <c r="Z12" t="s">
        <v>998</v>
      </c>
      <c r="AA12" s="258">
        <v>0.54</v>
      </c>
      <c r="AB12" s="258">
        <v>0.54</v>
      </c>
      <c r="AC12" t="s">
        <v>575</v>
      </c>
      <c r="AE12" t="s">
        <v>998</v>
      </c>
      <c r="AF12">
        <v>0.54</v>
      </c>
    </row>
    <row r="13" spans="2:32">
      <c r="B13" t="s">
        <v>1712</v>
      </c>
      <c r="C13" s="12">
        <v>1.22</v>
      </c>
      <c r="D13" s="12">
        <v>0.72</v>
      </c>
      <c r="E13" s="12">
        <v>20</v>
      </c>
      <c r="F13" s="12" t="str">
        <f>CONCATENATE("Interior ",Table_LPA_SxS[[#This Row],[Space-by-Space areas]])</f>
        <v>Interior Audience/seating area: religious building</v>
      </c>
      <c r="G13" s="12" t="s">
        <v>166</v>
      </c>
      <c r="H13" s="12">
        <v>10</v>
      </c>
      <c r="I13" s="12" t="str">
        <f t="shared" si="0"/>
        <v>Controls_Interior_Basic</v>
      </c>
      <c r="J13" s="12" t="s">
        <v>1397</v>
      </c>
      <c r="K13" s="12" t="s">
        <v>554</v>
      </c>
      <c r="L13" s="12" t="s">
        <v>1108</v>
      </c>
      <c r="M13" s="12" t="s">
        <v>359</v>
      </c>
      <c r="O13" s="25" t="s">
        <v>568</v>
      </c>
      <c r="P13" s="25" t="str">
        <f t="shared" si="2"/>
        <v>Interior Hospital Room</v>
      </c>
      <c r="Q13" s="25" t="str">
        <f t="shared" si="1"/>
        <v>Controls_Interior_Basic</v>
      </c>
      <c r="R13" s="83" t="s">
        <v>166</v>
      </c>
      <c r="S13" s="83" t="s">
        <v>1397</v>
      </c>
      <c r="T13" s="83" t="s">
        <v>166</v>
      </c>
      <c r="U13" s="34"/>
      <c r="Z13" t="s">
        <v>361</v>
      </c>
      <c r="AA13" s="258">
        <v>0.75</v>
      </c>
      <c r="AB13" s="258">
        <v>0.75</v>
      </c>
      <c r="AC13" t="s">
        <v>575</v>
      </c>
      <c r="AE13" t="s">
        <v>361</v>
      </c>
      <c r="AF13">
        <v>0.75</v>
      </c>
    </row>
    <row r="14" spans="2:32">
      <c r="B14" t="s">
        <v>1713</v>
      </c>
      <c r="C14" s="12">
        <v>0.34</v>
      </c>
      <c r="D14" s="12">
        <v>0.33</v>
      </c>
      <c r="E14" s="12">
        <v>20</v>
      </c>
      <c r="F14" s="12" t="str">
        <f>CONCATENATE("Interior ",Table_LPA_SxS[[#This Row],[Space-by-Space areas]])</f>
        <v>Interior Audience/seating area: sports arena</v>
      </c>
      <c r="G14" s="12" t="s">
        <v>166</v>
      </c>
      <c r="H14" s="12">
        <v>11</v>
      </c>
      <c r="I14" s="12" t="str">
        <f t="shared" si="0"/>
        <v>Controls_Interior_Basic</v>
      </c>
      <c r="J14" s="12" t="s">
        <v>1397</v>
      </c>
      <c r="K14" s="12" t="s">
        <v>554</v>
      </c>
      <c r="L14" s="12" t="s">
        <v>1108</v>
      </c>
      <c r="M14" s="12" t="s">
        <v>359</v>
      </c>
      <c r="O14" s="22" t="s">
        <v>569</v>
      </c>
      <c r="P14" s="22" t="str">
        <f t="shared" si="2"/>
        <v>Interior Industrial</v>
      </c>
      <c r="Q14" s="22" t="str">
        <f t="shared" si="1"/>
        <v>Controls_Interior_Basic</v>
      </c>
      <c r="R14" s="84" t="s">
        <v>166</v>
      </c>
      <c r="S14" s="84" t="s">
        <v>1397</v>
      </c>
      <c r="T14" s="84" t="s">
        <v>166</v>
      </c>
      <c r="U14" s="33"/>
      <c r="Z14" t="s">
        <v>999</v>
      </c>
      <c r="AA14" s="258">
        <v>0.7</v>
      </c>
      <c r="AB14" s="258">
        <v>0.7</v>
      </c>
      <c r="AC14" t="s">
        <v>1000</v>
      </c>
      <c r="AE14" t="s">
        <v>999</v>
      </c>
      <c r="AF14">
        <v>0.7</v>
      </c>
    </row>
    <row r="15" spans="2:32">
      <c r="B15" t="s">
        <v>1714</v>
      </c>
      <c r="C15" s="12">
        <v>0.81</v>
      </c>
      <c r="D15" s="12">
        <v>0.61</v>
      </c>
      <c r="E15" s="12">
        <v>20</v>
      </c>
      <c r="F15" s="12" t="str">
        <f>CONCATENATE("Interior ",Table_LPA_SxS[[#This Row],[Space-by-Space areas]])</f>
        <v>Interior Banking activity area</v>
      </c>
      <c r="G15" s="12" t="s">
        <v>166</v>
      </c>
      <c r="H15" s="12">
        <v>13</v>
      </c>
      <c r="I15" s="12" t="str">
        <f t="shared" si="0"/>
        <v>Controls_Interior_Basic</v>
      </c>
      <c r="J15" s="12" t="s">
        <v>1397</v>
      </c>
      <c r="K15" s="12" t="s">
        <v>581</v>
      </c>
      <c r="L15" s="12" t="s">
        <v>1108</v>
      </c>
      <c r="M15" s="12" t="s">
        <v>359</v>
      </c>
      <c r="O15" s="25" t="s">
        <v>570</v>
      </c>
      <c r="P15" s="25" t="str">
        <f t="shared" si="2"/>
        <v>Interior Kitchen</v>
      </c>
      <c r="Q15" s="25" t="str">
        <f t="shared" si="1"/>
        <v>Controls_Interior_Basic</v>
      </c>
      <c r="R15" s="83" t="s">
        <v>166</v>
      </c>
      <c r="S15" s="83" t="s">
        <v>1397</v>
      </c>
      <c r="T15" s="83" t="s">
        <v>166</v>
      </c>
      <c r="U15" s="34"/>
      <c r="Z15" t="s">
        <v>1001</v>
      </c>
      <c r="AA15" s="258">
        <v>0.84</v>
      </c>
      <c r="AB15" s="258">
        <v>0.84</v>
      </c>
      <c r="AC15" t="s">
        <v>1001</v>
      </c>
      <c r="AE15" t="s">
        <v>1001</v>
      </c>
      <c r="AF15">
        <v>0.84</v>
      </c>
    </row>
    <row r="16" spans="2:32">
      <c r="B16" t="s">
        <v>1715</v>
      </c>
      <c r="C16" s="12">
        <v>1</v>
      </c>
      <c r="D16" s="12">
        <v>0.71</v>
      </c>
      <c r="E16" s="12">
        <v>20</v>
      </c>
      <c r="F16" s="12" t="str">
        <f>CONCATENATE("Interior ",Table_LPA_SxS[[#This Row],[Space-by-Space areas]])</f>
        <v>Interior Classroom/lecture/training</v>
      </c>
      <c r="G16" s="12" t="s">
        <v>166</v>
      </c>
      <c r="H16" s="12">
        <v>14</v>
      </c>
      <c r="I16" s="12" t="str">
        <f t="shared" si="0"/>
        <v>Controls_Interior_Basic</v>
      </c>
      <c r="J16" s="12" t="s">
        <v>1397</v>
      </c>
      <c r="K16" s="12" t="s">
        <v>354</v>
      </c>
      <c r="L16" s="12" t="s">
        <v>1108</v>
      </c>
      <c r="M16" s="12" t="s">
        <v>353</v>
      </c>
      <c r="O16" s="22" t="s">
        <v>571</v>
      </c>
      <c r="P16" s="22" t="str">
        <f t="shared" si="2"/>
        <v>Interior Library</v>
      </c>
      <c r="Q16" s="22" t="str">
        <f t="shared" si="1"/>
        <v>Controls_Interior_Basic</v>
      </c>
      <c r="R16" s="84" t="s">
        <v>166</v>
      </c>
      <c r="S16" s="84" t="s">
        <v>1397</v>
      </c>
      <c r="T16" s="84" t="s">
        <v>166</v>
      </c>
      <c r="U16" s="33"/>
      <c r="Z16" t="s">
        <v>1003</v>
      </c>
      <c r="AA16" s="258">
        <v>0.7</v>
      </c>
      <c r="AB16" s="258">
        <v>0.56000000000000005</v>
      </c>
      <c r="AC16" t="s">
        <v>1005</v>
      </c>
    </row>
    <row r="17" spans="2:33">
      <c r="B17" t="s">
        <v>1716</v>
      </c>
      <c r="C17" s="12">
        <v>1.07</v>
      </c>
      <c r="D17" s="12">
        <v>0.89</v>
      </c>
      <c r="E17" s="12">
        <v>20</v>
      </c>
      <c r="F17" s="12" t="str">
        <f>CONCATENATE("Interior ",Table_LPA_SxS[[#This Row],[Space-by-Space areas]])</f>
        <v>Interior Classroom/lecture/training: penitentiary</v>
      </c>
      <c r="G17" s="12" t="s">
        <v>166</v>
      </c>
      <c r="H17" s="12">
        <v>15</v>
      </c>
      <c r="I17" s="12" t="str">
        <f t="shared" si="0"/>
        <v>Controls_Interior_Basic</v>
      </c>
      <c r="J17" s="12" t="s">
        <v>1397</v>
      </c>
      <c r="K17" s="12" t="s">
        <v>354</v>
      </c>
      <c r="L17" s="12" t="s">
        <v>1108</v>
      </c>
      <c r="M17" s="12" t="s">
        <v>353</v>
      </c>
      <c r="O17" s="25" t="s">
        <v>572</v>
      </c>
      <c r="P17" s="25" t="str">
        <f t="shared" si="2"/>
        <v>Interior Lobby</v>
      </c>
      <c r="Q17" s="25" t="str">
        <f t="shared" si="1"/>
        <v>Controls_Interior_Basic</v>
      </c>
      <c r="R17" s="83" t="s">
        <v>166</v>
      </c>
      <c r="S17" s="83" t="s">
        <v>1397</v>
      </c>
      <c r="T17" s="83" t="s">
        <v>166</v>
      </c>
      <c r="U17" s="34"/>
      <c r="Z17" t="s">
        <v>571</v>
      </c>
      <c r="AA17" s="258">
        <v>0.94</v>
      </c>
      <c r="AB17" s="258">
        <v>0.83</v>
      </c>
      <c r="AC17" t="s">
        <v>985</v>
      </c>
      <c r="AE17" t="s">
        <v>1003</v>
      </c>
      <c r="AF17">
        <v>0.7</v>
      </c>
    </row>
    <row r="18" spans="2:33">
      <c r="B18" t="s">
        <v>1717</v>
      </c>
      <c r="C18" s="12">
        <v>1.37</v>
      </c>
      <c r="D18" s="12">
        <v>0.94</v>
      </c>
      <c r="E18" s="12">
        <v>20</v>
      </c>
      <c r="F18" s="12" t="str">
        <f>CONCATENATE("Interior ",Table_LPA_SxS[[#This Row],[Space-by-Space areas]])</f>
        <v>Interior Computer room</v>
      </c>
      <c r="G18" s="12" t="s">
        <v>166</v>
      </c>
      <c r="H18" s="12">
        <v>23</v>
      </c>
      <c r="I18" s="12" t="str">
        <f t="shared" si="0"/>
        <v>Controls_Interior_Basic</v>
      </c>
      <c r="J18" s="12" t="s">
        <v>1397</v>
      </c>
      <c r="K18" s="12" t="s">
        <v>558</v>
      </c>
      <c r="L18" s="12" t="s">
        <v>1108</v>
      </c>
      <c r="M18" s="12" t="s">
        <v>359</v>
      </c>
      <c r="O18" s="22" t="s">
        <v>573</v>
      </c>
      <c r="P18" s="22" t="str">
        <f t="shared" si="2"/>
        <v>Interior Lodging (Guest Rooms)</v>
      </c>
      <c r="Q18" s="22" t="str">
        <f t="shared" si="1"/>
        <v>Controls_Interior_Basic</v>
      </c>
      <c r="R18" s="84" t="s">
        <v>166</v>
      </c>
      <c r="S18" s="84" t="s">
        <v>1397</v>
      </c>
      <c r="T18" s="84" t="s">
        <v>166</v>
      </c>
      <c r="U18" s="33"/>
      <c r="Z18" t="s">
        <v>1006</v>
      </c>
      <c r="AA18" s="258">
        <v>0.89</v>
      </c>
      <c r="AB18" s="258">
        <v>0.82</v>
      </c>
      <c r="AC18" t="s">
        <v>1007</v>
      </c>
      <c r="AE18" t="s">
        <v>571</v>
      </c>
      <c r="AF18">
        <v>0.94</v>
      </c>
    </row>
    <row r="19" spans="2:33">
      <c r="B19" t="s">
        <v>1718</v>
      </c>
      <c r="C19" s="12">
        <v>0.98</v>
      </c>
      <c r="D19" s="12">
        <v>0.97</v>
      </c>
      <c r="E19" s="12">
        <v>20</v>
      </c>
      <c r="F19" s="12" t="str">
        <f>CONCATENATE("Interior ",Table_LPA_SxS[[#This Row],[Space-by-Space areas]])</f>
        <v>Interior Conference/meeting/multipurpose</v>
      </c>
      <c r="G19" s="12" t="s">
        <v>166</v>
      </c>
      <c r="H19" s="12">
        <v>16</v>
      </c>
      <c r="I19" s="12" t="str">
        <f t="shared" si="0"/>
        <v>Controls_Interior_Basic</v>
      </c>
      <c r="J19" s="12" t="s">
        <v>1397</v>
      </c>
      <c r="K19" s="12" t="s">
        <v>560</v>
      </c>
      <c r="L19" s="12" t="s">
        <v>1108</v>
      </c>
      <c r="M19" s="12" t="s">
        <v>353</v>
      </c>
      <c r="O19" s="25" t="s">
        <v>574</v>
      </c>
      <c r="P19" s="25" t="str">
        <f t="shared" si="2"/>
        <v>Interior Open Office</v>
      </c>
      <c r="Q19" s="25" t="str">
        <f t="shared" si="1"/>
        <v>Controls_Interior_LLLC</v>
      </c>
      <c r="R19" s="83" t="s">
        <v>157</v>
      </c>
      <c r="S19" s="83" t="s">
        <v>1397</v>
      </c>
      <c r="T19" s="83" t="s">
        <v>166</v>
      </c>
      <c r="U19" s="34"/>
      <c r="Z19" t="s">
        <v>1009</v>
      </c>
      <c r="AA19" s="258">
        <v>0.61</v>
      </c>
      <c r="AB19" s="258">
        <v>0.44</v>
      </c>
      <c r="AC19" t="s">
        <v>985</v>
      </c>
      <c r="AE19" t="s">
        <v>1006</v>
      </c>
      <c r="AF19">
        <v>0.89</v>
      </c>
    </row>
    <row r="20" spans="2:33">
      <c r="B20" t="s">
        <v>1719</v>
      </c>
      <c r="C20" s="12">
        <v>1.1599999999999999</v>
      </c>
      <c r="D20" s="12">
        <v>0.61</v>
      </c>
      <c r="E20" s="12">
        <v>20</v>
      </c>
      <c r="F20" s="12" t="str">
        <f>CONCATENATE("Interior ",Table_LPA_SxS[[#This Row],[Space-by-Space areas]])</f>
        <v>Interior Convention center: Exhibit space</v>
      </c>
      <c r="G20" s="12" t="s">
        <v>166</v>
      </c>
      <c r="H20" s="12">
        <v>58</v>
      </c>
      <c r="I20" s="12" t="str">
        <f t="shared" si="0"/>
        <v>Controls_Interior_Basic</v>
      </c>
      <c r="J20" s="12" t="s">
        <v>1397</v>
      </c>
      <c r="K20" s="12" t="s">
        <v>554</v>
      </c>
      <c r="L20" s="12" t="s">
        <v>1108</v>
      </c>
      <c r="M20" s="12" t="s">
        <v>353</v>
      </c>
      <c r="O20" s="22" t="s">
        <v>575</v>
      </c>
      <c r="P20" s="22" t="str">
        <f t="shared" si="2"/>
        <v>Interior Other</v>
      </c>
      <c r="Q20" s="22" t="str">
        <f t="shared" si="1"/>
        <v>Controls_Interior_Basic</v>
      </c>
      <c r="R20" s="84" t="s">
        <v>166</v>
      </c>
      <c r="S20" s="84" t="s">
        <v>1397</v>
      </c>
      <c r="T20" s="84" t="s">
        <v>166</v>
      </c>
      <c r="U20" s="33"/>
      <c r="Z20" t="s">
        <v>1010</v>
      </c>
      <c r="AA20" s="258">
        <v>0.41</v>
      </c>
      <c r="AB20" s="258">
        <v>0.41</v>
      </c>
      <c r="AC20" t="s">
        <v>1011</v>
      </c>
      <c r="AE20" t="s">
        <v>1008</v>
      </c>
      <c r="AF20">
        <v>0.7</v>
      </c>
      <c r="AG20" t="s">
        <v>1005</v>
      </c>
    </row>
    <row r="21" spans="2:33">
      <c r="B21" t="s">
        <v>1720</v>
      </c>
      <c r="C21" s="12">
        <v>0.57999999999999996</v>
      </c>
      <c r="D21" s="12">
        <v>0.31</v>
      </c>
      <c r="E21" s="12">
        <v>20</v>
      </c>
      <c r="F21" s="12" t="str">
        <f>CONCATENATE("Interior ",Table_LPA_SxS[[#This Row],[Space-by-Space areas]])</f>
        <v>Interior Copy/print room</v>
      </c>
      <c r="G21" s="12" t="s">
        <v>166</v>
      </c>
      <c r="H21" s="12">
        <v>17</v>
      </c>
      <c r="I21" s="12" t="str">
        <f t="shared" si="0"/>
        <v>Controls_Interior_Basic</v>
      </c>
      <c r="J21" s="12" t="s">
        <v>1397</v>
      </c>
      <c r="K21" s="12" t="s">
        <v>575</v>
      </c>
      <c r="L21" s="12" t="s">
        <v>1108</v>
      </c>
      <c r="M21" s="12" t="s">
        <v>353</v>
      </c>
      <c r="O21" s="25" t="s">
        <v>576</v>
      </c>
      <c r="P21" s="25" t="str">
        <f t="shared" si="2"/>
        <v>Interior Parking Garage</v>
      </c>
      <c r="Q21" s="25" t="str">
        <f t="shared" si="1"/>
        <v>Controls_Interior_Basic</v>
      </c>
      <c r="R21" s="83" t="s">
        <v>166</v>
      </c>
      <c r="S21" s="83" t="s">
        <v>1397</v>
      </c>
      <c r="T21" s="83" t="s">
        <v>166</v>
      </c>
      <c r="U21" s="34"/>
      <c r="Z21" t="s">
        <v>1012</v>
      </c>
      <c r="AA21" s="258">
        <v>0.8</v>
      </c>
      <c r="AB21" s="258">
        <v>0.55000000000000004</v>
      </c>
      <c r="AC21" t="s">
        <v>985</v>
      </c>
      <c r="AE21" t="s">
        <v>1009</v>
      </c>
      <c r="AF21">
        <v>0.61</v>
      </c>
    </row>
    <row r="22" spans="2:33">
      <c r="B22" t="s">
        <v>1721</v>
      </c>
      <c r="C22" s="12">
        <v>0.53</v>
      </c>
      <c r="D22" s="12">
        <v>0.41</v>
      </c>
      <c r="E22" s="12">
        <v>20</v>
      </c>
      <c r="F22" s="12" t="str">
        <f>CONCATENATE("Interior ",Table_LPA_SxS[[#This Row],[Space-by-Space areas]])</f>
        <v>Interior Corridor: all other</v>
      </c>
      <c r="G22" s="12" t="s">
        <v>166</v>
      </c>
      <c r="H22" s="12">
        <v>21</v>
      </c>
      <c r="I22" s="12" t="str">
        <f t="shared" si="0"/>
        <v>Controls_Interior_Basic</v>
      </c>
      <c r="J22" s="12" t="s">
        <v>1397</v>
      </c>
      <c r="K22" s="12" t="s">
        <v>1722</v>
      </c>
      <c r="L22" s="12" t="s">
        <v>1108</v>
      </c>
      <c r="M22" s="12" t="s">
        <v>353</v>
      </c>
      <c r="O22" s="22" t="s">
        <v>577</v>
      </c>
      <c r="P22" s="22" t="str">
        <f t="shared" si="2"/>
        <v>Interior Private Office</v>
      </c>
      <c r="Q22" s="22" t="str">
        <f t="shared" si="1"/>
        <v>Controls_Interior_LLLC</v>
      </c>
      <c r="R22" s="84" t="s">
        <v>157</v>
      </c>
      <c r="S22" s="84" t="s">
        <v>1397</v>
      </c>
      <c r="T22" s="84" t="s">
        <v>166</v>
      </c>
      <c r="U22" s="33"/>
      <c r="Z22" t="s">
        <v>1013</v>
      </c>
      <c r="AA22" s="258">
        <v>0.66</v>
      </c>
      <c r="AB22" s="258">
        <v>0.64</v>
      </c>
      <c r="AC22" t="s">
        <v>1013</v>
      </c>
      <c r="AE22" t="s">
        <v>1010</v>
      </c>
      <c r="AF22">
        <v>0.41</v>
      </c>
    </row>
    <row r="23" spans="2:33">
      <c r="B23" t="s">
        <v>1723</v>
      </c>
      <c r="C23" s="12">
        <v>0.74</v>
      </c>
      <c r="D23" s="12">
        <v>0.71</v>
      </c>
      <c r="E23" s="12">
        <v>20</v>
      </c>
      <c r="F23" s="12" t="str">
        <f>CONCATENATE("Interior ",Table_LPA_SxS[[#This Row],[Space-by-Space areas]])</f>
        <v>Interior Corridor: facility for the visually impaired</v>
      </c>
      <c r="G23" s="12" t="s">
        <v>166</v>
      </c>
      <c r="H23" s="12">
        <v>18</v>
      </c>
      <c r="I23" s="12" t="str">
        <f t="shared" si="0"/>
        <v>Controls_Interior_Basic</v>
      </c>
      <c r="J23" s="12" t="s">
        <v>1397</v>
      </c>
      <c r="K23" s="12" t="s">
        <v>1722</v>
      </c>
      <c r="L23" s="12" t="s">
        <v>1108</v>
      </c>
      <c r="M23" s="12" t="s">
        <v>353</v>
      </c>
      <c r="O23" s="25" t="s">
        <v>578</v>
      </c>
      <c r="P23" s="25" t="str">
        <f t="shared" si="2"/>
        <v>Interior Process</v>
      </c>
      <c r="Q23" s="25" t="str">
        <f t="shared" si="1"/>
        <v>Controls_Interior_Basic</v>
      </c>
      <c r="R23" s="83" t="s">
        <v>166</v>
      </c>
      <c r="S23" s="83" t="s">
        <v>1397</v>
      </c>
      <c r="T23" s="83" t="s">
        <v>166</v>
      </c>
      <c r="U23" s="34"/>
      <c r="Z23" t="s">
        <v>1014</v>
      </c>
      <c r="AA23" s="258">
        <v>0.16</v>
      </c>
      <c r="AB23" s="258">
        <v>0.14000000000000001</v>
      </c>
      <c r="AC23" t="s">
        <v>575</v>
      </c>
      <c r="AE23" t="s">
        <v>1012</v>
      </c>
      <c r="AF23">
        <v>0.8</v>
      </c>
    </row>
    <row r="24" spans="2:33">
      <c r="B24" t="s">
        <v>1724</v>
      </c>
      <c r="C24" s="12">
        <v>0.63</v>
      </c>
      <c r="D24" s="12">
        <v>0.71</v>
      </c>
      <c r="E24" s="12">
        <v>20</v>
      </c>
      <c r="F24" s="12" t="str">
        <f>CONCATENATE("Interior ",Table_LPA_SxS[[#This Row],[Space-by-Space areas]])</f>
        <v>Interior Corridor: hospital</v>
      </c>
      <c r="G24" s="12" t="s">
        <v>166</v>
      </c>
      <c r="H24" s="12">
        <v>19</v>
      </c>
      <c r="I24" s="12" t="str">
        <f t="shared" si="0"/>
        <v>Controls_Interior_Basic</v>
      </c>
      <c r="J24" s="12" t="s">
        <v>1397</v>
      </c>
      <c r="K24" s="12" t="s">
        <v>1722</v>
      </c>
      <c r="L24" s="12" t="s">
        <v>1108</v>
      </c>
      <c r="M24" s="12" t="s">
        <v>353</v>
      </c>
      <c r="O24" s="22" t="s">
        <v>579</v>
      </c>
      <c r="P24" s="22" t="str">
        <f t="shared" si="2"/>
        <v>Interior Public Assembly</v>
      </c>
      <c r="Q24" s="22" t="str">
        <f t="shared" si="1"/>
        <v>Controls_Interior_Basic</v>
      </c>
      <c r="R24" s="84" t="s">
        <v>166</v>
      </c>
      <c r="S24" s="84" t="s">
        <v>1397</v>
      </c>
      <c r="T24" s="84" t="s">
        <v>166</v>
      </c>
      <c r="U24" s="33"/>
      <c r="Z24" t="s">
        <v>1015</v>
      </c>
      <c r="AA24" s="258">
        <v>0.65</v>
      </c>
      <c r="AB24" s="258">
        <v>0.65</v>
      </c>
      <c r="AC24" t="s">
        <v>575</v>
      </c>
      <c r="AE24" t="s">
        <v>1013</v>
      </c>
      <c r="AF24">
        <v>0.66</v>
      </c>
    </row>
    <row r="25" spans="2:33">
      <c r="B25" t="s">
        <v>1725</v>
      </c>
      <c r="C25" s="12">
        <v>0.33</v>
      </c>
      <c r="D25" s="12">
        <v>0.41</v>
      </c>
      <c r="E25" s="12">
        <v>20</v>
      </c>
      <c r="F25" s="12" t="str">
        <f>CONCATENATE("Interior ",Table_LPA_SxS[[#This Row],[Space-by-Space areas]])</f>
        <v>Interior Corridor: manufacturing</v>
      </c>
      <c r="G25" s="12" t="s">
        <v>166</v>
      </c>
      <c r="H25" s="12">
        <v>20</v>
      </c>
      <c r="I25" s="12" t="str">
        <f t="shared" si="0"/>
        <v>Controls_Interior_Basic</v>
      </c>
      <c r="J25" s="12" t="s">
        <v>1397</v>
      </c>
      <c r="K25" s="12" t="s">
        <v>1722</v>
      </c>
      <c r="L25" s="12" t="s">
        <v>1108</v>
      </c>
      <c r="M25" s="12" t="s">
        <v>359</v>
      </c>
      <c r="O25" s="25" t="s">
        <v>580</v>
      </c>
      <c r="P25" s="25" t="str">
        <f t="shared" si="2"/>
        <v>Interior Restroom</v>
      </c>
      <c r="Q25" s="25" t="str">
        <f t="shared" si="1"/>
        <v>Controls_Interior_Basic</v>
      </c>
      <c r="R25" s="83" t="s">
        <v>166</v>
      </c>
      <c r="S25" s="83" t="s">
        <v>1397</v>
      </c>
      <c r="T25" s="83" t="s">
        <v>166</v>
      </c>
      <c r="U25" s="34"/>
      <c r="Z25" t="s">
        <v>1016</v>
      </c>
      <c r="AA25" s="258">
        <v>1</v>
      </c>
      <c r="AB25" s="258">
        <v>0.84</v>
      </c>
      <c r="AC25" t="s">
        <v>985</v>
      </c>
      <c r="AE25" t="s">
        <v>1014</v>
      </c>
      <c r="AF25">
        <v>0.16</v>
      </c>
    </row>
    <row r="26" spans="2:33">
      <c r="B26" t="s">
        <v>1726</v>
      </c>
      <c r="C26" s="12">
        <v>1.38</v>
      </c>
      <c r="D26" s="12">
        <v>1.2</v>
      </c>
      <c r="E26" s="12">
        <v>20</v>
      </c>
      <c r="F26" s="12" t="str">
        <f>CONCATENATE("Interior ",Table_LPA_SxS[[#This Row],[Space-by-Space areas]])</f>
        <v>Interior Courtroom</v>
      </c>
      <c r="G26" s="12" t="s">
        <v>166</v>
      </c>
      <c r="H26" s="12">
        <v>22</v>
      </c>
      <c r="I26" s="12" t="str">
        <f t="shared" si="0"/>
        <v>Controls_Interior_Basic</v>
      </c>
      <c r="J26" s="12" t="s">
        <v>1397</v>
      </c>
      <c r="K26" s="12" t="s">
        <v>575</v>
      </c>
      <c r="L26" s="12" t="s">
        <v>1108</v>
      </c>
      <c r="M26" s="12" t="s">
        <v>359</v>
      </c>
      <c r="O26" s="22" t="s">
        <v>581</v>
      </c>
      <c r="P26" s="22" t="str">
        <f t="shared" si="2"/>
        <v>Interior Retail</v>
      </c>
      <c r="Q26" s="22" t="str">
        <f t="shared" si="1"/>
        <v>Controls_Interior_Basic</v>
      </c>
      <c r="R26" s="84" t="s">
        <v>166</v>
      </c>
      <c r="S26" s="84" t="s">
        <v>1397</v>
      </c>
      <c r="T26" s="84" t="s">
        <v>166</v>
      </c>
      <c r="U26" s="33"/>
      <c r="Z26" t="s">
        <v>1017</v>
      </c>
      <c r="AA26" s="258">
        <v>0.7</v>
      </c>
      <c r="AB26" s="258">
        <v>0.66</v>
      </c>
      <c r="AC26" t="s">
        <v>985</v>
      </c>
      <c r="AE26" t="s">
        <v>575</v>
      </c>
      <c r="AG26" t="s">
        <v>575</v>
      </c>
    </row>
    <row r="27" spans="2:33">
      <c r="B27" t="s">
        <v>1727</v>
      </c>
      <c r="C27" s="12">
        <v>0.52</v>
      </c>
      <c r="D27" s="12">
        <v>0.43</v>
      </c>
      <c r="E27" s="12">
        <v>20</v>
      </c>
      <c r="F27" s="12" t="str">
        <f>CONCATENATE("Interior ",Table_LPA_SxS[[#This Row],[Space-by-Space areas]])</f>
        <v>Interior Dining area: all other</v>
      </c>
      <c r="G27" s="12" t="s">
        <v>166</v>
      </c>
      <c r="H27" s="12">
        <v>28</v>
      </c>
      <c r="I27" s="12" t="str">
        <f t="shared" si="0"/>
        <v>Controls_Interior_Basic</v>
      </c>
      <c r="J27" s="12" t="s">
        <v>1397</v>
      </c>
      <c r="K27" s="12" t="s">
        <v>562</v>
      </c>
      <c r="L27" s="12" t="s">
        <v>1108</v>
      </c>
      <c r="M27" s="12" t="s">
        <v>359</v>
      </c>
      <c r="O27" s="25" t="s">
        <v>582</v>
      </c>
      <c r="P27" s="25" t="str">
        <f t="shared" si="2"/>
        <v>Interior Stairs</v>
      </c>
      <c r="Q27" s="25" t="str">
        <f t="shared" si="1"/>
        <v>Controls_Interior_Basic</v>
      </c>
      <c r="R27" s="83" t="s">
        <v>166</v>
      </c>
      <c r="S27" s="83" t="s">
        <v>1397</v>
      </c>
      <c r="T27" s="83" t="s">
        <v>166</v>
      </c>
      <c r="U27" s="34"/>
      <c r="Z27" t="s">
        <v>1018</v>
      </c>
      <c r="AA27" s="258">
        <v>0.7</v>
      </c>
      <c r="AB27" s="258">
        <v>0.65</v>
      </c>
      <c r="AC27" t="s">
        <v>1013</v>
      </c>
      <c r="AE27" t="s">
        <v>1015</v>
      </c>
      <c r="AF27">
        <v>0.65</v>
      </c>
    </row>
    <row r="28" spans="2:33">
      <c r="B28" t="s">
        <v>1728</v>
      </c>
      <c r="C28" s="12">
        <v>0.86</v>
      </c>
      <c r="D28" s="12">
        <v>0.86</v>
      </c>
      <c r="E28" s="12">
        <v>20</v>
      </c>
      <c r="F28" s="12" t="str">
        <f>CONCATENATE("Interior ",Table_LPA_SxS[[#This Row],[Space-by-Space areas]])</f>
        <v>Interior Dining area: Bar/lounge/leisure dining</v>
      </c>
      <c r="G28" s="12" t="s">
        <v>166</v>
      </c>
      <c r="H28" s="12">
        <v>26</v>
      </c>
      <c r="I28" s="12" t="str">
        <f t="shared" si="0"/>
        <v>Controls_Interior_Basic</v>
      </c>
      <c r="J28" s="12" t="s">
        <v>1397</v>
      </c>
      <c r="K28" s="12" t="s">
        <v>562</v>
      </c>
      <c r="L28" s="12" t="s">
        <v>1108</v>
      </c>
      <c r="M28" s="12" t="s">
        <v>359</v>
      </c>
      <c r="O28" s="22" t="s">
        <v>583</v>
      </c>
      <c r="P28" s="22" t="str">
        <f t="shared" si="2"/>
        <v>Interior Storage</v>
      </c>
      <c r="Q28" s="22" t="str">
        <f t="shared" si="1"/>
        <v>Controls_Interior_Basic</v>
      </c>
      <c r="R28" s="84" t="s">
        <v>166</v>
      </c>
      <c r="S28" s="84" t="s">
        <v>1397</v>
      </c>
      <c r="T28" s="84" t="s">
        <v>166</v>
      </c>
      <c r="U28" s="33"/>
      <c r="Z28" t="s">
        <v>1019</v>
      </c>
      <c r="AA28" s="258">
        <v>0.8</v>
      </c>
      <c r="AB28" s="258">
        <v>0.67</v>
      </c>
      <c r="AC28" t="s">
        <v>985</v>
      </c>
      <c r="AE28" t="s">
        <v>1016</v>
      </c>
      <c r="AF28">
        <v>1</v>
      </c>
    </row>
    <row r="29" spans="2:33">
      <c r="B29" t="s">
        <v>1729</v>
      </c>
      <c r="C29" s="12">
        <v>1.52</v>
      </c>
      <c r="D29" s="12">
        <v>1.27</v>
      </c>
      <c r="E29" s="12">
        <v>20</v>
      </c>
      <c r="F29" s="12" t="str">
        <f>CONCATENATE("Interior ",Table_LPA_SxS[[#This Row],[Space-by-Space areas]])</f>
        <v>Interior Dining area: facility for the visually impaired</v>
      </c>
      <c r="G29" s="12" t="s">
        <v>166</v>
      </c>
      <c r="H29" s="12">
        <v>25</v>
      </c>
      <c r="I29" s="12" t="str">
        <f t="shared" si="0"/>
        <v>Controls_Interior_Basic</v>
      </c>
      <c r="J29" s="12" t="s">
        <v>1397</v>
      </c>
      <c r="K29" s="12" t="s">
        <v>562</v>
      </c>
      <c r="L29" s="12" t="s">
        <v>1108</v>
      </c>
      <c r="M29" s="12" t="s">
        <v>359</v>
      </c>
      <c r="O29" s="25" t="s">
        <v>584</v>
      </c>
      <c r="P29" s="25" t="str">
        <f t="shared" si="2"/>
        <v>Interior Technical Area</v>
      </c>
      <c r="Q29" s="25" t="str">
        <f t="shared" si="1"/>
        <v>Controls_Interior_Basic</v>
      </c>
      <c r="R29" s="83" t="s">
        <v>166</v>
      </c>
      <c r="S29" s="83" t="s">
        <v>1397</v>
      </c>
      <c r="T29" s="83" t="s">
        <v>166</v>
      </c>
      <c r="U29" s="34"/>
      <c r="Z29" t="s">
        <v>581</v>
      </c>
      <c r="AA29" s="258">
        <v>1.01</v>
      </c>
      <c r="AB29" s="258">
        <v>0.84</v>
      </c>
      <c r="AC29" t="s">
        <v>581</v>
      </c>
      <c r="AE29" t="s">
        <v>1017</v>
      </c>
      <c r="AF29">
        <v>0.7</v>
      </c>
    </row>
    <row r="30" spans="2:33">
      <c r="B30" t="s">
        <v>1730</v>
      </c>
      <c r="C30" s="12">
        <v>0.71</v>
      </c>
      <c r="D30" s="12">
        <v>0.6</v>
      </c>
      <c r="E30" s="12">
        <v>20</v>
      </c>
      <c r="F30" s="12" t="str">
        <f>CONCATENATE("Interior ",Table_LPA_SxS[[#This Row],[Space-by-Space areas]])</f>
        <v>Interior Dining area: Family dining area</v>
      </c>
      <c r="G30" s="12" t="s">
        <v>166</v>
      </c>
      <c r="H30" s="12">
        <v>27</v>
      </c>
      <c r="I30" s="12" t="str">
        <f t="shared" si="0"/>
        <v>Controls_Interior_Basic</v>
      </c>
      <c r="J30" s="12" t="s">
        <v>1397</v>
      </c>
      <c r="K30" s="12" t="s">
        <v>562</v>
      </c>
      <c r="L30" s="12" t="s">
        <v>1108</v>
      </c>
      <c r="M30" s="12" t="s">
        <v>359</v>
      </c>
      <c r="O30" s="22" t="s">
        <v>586</v>
      </c>
      <c r="P30" s="22" t="str">
        <f t="shared" si="2"/>
        <v>Interior Warehouse</v>
      </c>
      <c r="Q30" s="22" t="str">
        <f t="shared" si="1"/>
        <v>Controls_Interior_Basic</v>
      </c>
      <c r="R30" s="84" t="s">
        <v>166</v>
      </c>
      <c r="S30" s="84" t="s">
        <v>1397</v>
      </c>
      <c r="T30" s="84" t="s">
        <v>166</v>
      </c>
      <c r="U30" s="33"/>
      <c r="Z30" t="s">
        <v>1021</v>
      </c>
      <c r="AA30" s="258">
        <v>0.7</v>
      </c>
      <c r="AB30" s="258">
        <v>0.7</v>
      </c>
      <c r="AC30" t="s">
        <v>1022</v>
      </c>
      <c r="AE30" t="s">
        <v>1018</v>
      </c>
      <c r="AF30">
        <v>0.7</v>
      </c>
    </row>
    <row r="31" spans="2:33">
      <c r="B31" t="s">
        <v>1731</v>
      </c>
      <c r="C31" s="12">
        <v>0.77</v>
      </c>
      <c r="D31" s="12">
        <v>0.42</v>
      </c>
      <c r="E31" s="12">
        <v>20</v>
      </c>
      <c r="F31" s="12" t="str">
        <f>CONCATENATE("Interior ",Table_LPA_SxS[[#This Row],[Space-by-Space areas]])</f>
        <v>Interior Dining area: penitentiary</v>
      </c>
      <c r="G31" s="12" t="s">
        <v>166</v>
      </c>
      <c r="H31" s="12">
        <v>24</v>
      </c>
      <c r="I31" s="12" t="str">
        <f t="shared" si="0"/>
        <v>Controls_Interior_Basic</v>
      </c>
      <c r="J31" s="12" t="s">
        <v>1397</v>
      </c>
      <c r="K31" s="12" t="s">
        <v>562</v>
      </c>
      <c r="L31" s="12" t="s">
        <v>1108</v>
      </c>
      <c r="M31" s="12" t="s">
        <v>359</v>
      </c>
      <c r="O31" s="25" t="s">
        <v>588</v>
      </c>
      <c r="P31" s="25" t="str">
        <f t="shared" si="2"/>
        <v>Interior Warehouse (Top Lighted)</v>
      </c>
      <c r="Q31" s="25" t="str">
        <f t="shared" si="1"/>
        <v>Controls_Interior_LLLC</v>
      </c>
      <c r="R31" s="83" t="s">
        <v>157</v>
      </c>
      <c r="S31" s="83" t="s">
        <v>1397</v>
      </c>
      <c r="T31" s="83" t="s">
        <v>166</v>
      </c>
      <c r="U31" s="34"/>
      <c r="Z31" t="s">
        <v>994</v>
      </c>
      <c r="AA31" s="258">
        <v>0.7</v>
      </c>
      <c r="AB31" s="258">
        <v>0.7</v>
      </c>
      <c r="AC31" t="s">
        <v>994</v>
      </c>
      <c r="AE31" t="s">
        <v>1019</v>
      </c>
      <c r="AF31">
        <v>0.8</v>
      </c>
    </row>
    <row r="32" spans="2:33">
      <c r="B32" t="s">
        <v>1732</v>
      </c>
      <c r="C32" s="12">
        <v>0.3</v>
      </c>
      <c r="D32" s="12">
        <v>0.5</v>
      </c>
      <c r="E32" s="12">
        <v>20</v>
      </c>
      <c r="F32" s="12" t="str">
        <f>CONCATENATE("Interior ",Table_LPA_SxS[[#This Row],[Space-by-Space areas]])</f>
        <v>Interior Dormitory living quarters</v>
      </c>
      <c r="G32" s="12" t="s">
        <v>166</v>
      </c>
      <c r="H32" s="12">
        <v>59</v>
      </c>
      <c r="I32" s="12" t="str">
        <f t="shared" si="0"/>
        <v>Controls_Interior_Basic</v>
      </c>
      <c r="J32" s="12" t="s">
        <v>1397</v>
      </c>
      <c r="K32" s="12" t="s">
        <v>575</v>
      </c>
      <c r="L32" s="12" t="s">
        <v>1108</v>
      </c>
      <c r="M32" s="12" t="s">
        <v>359</v>
      </c>
      <c r="O32" s="22" t="s">
        <v>180</v>
      </c>
      <c r="P32" s="22" t="str">
        <f t="shared" si="2"/>
        <v>Interior Fixture Removed</v>
      </c>
      <c r="Q32" s="22" t="s">
        <v>1444</v>
      </c>
      <c r="R32" s="84" t="s">
        <v>166</v>
      </c>
      <c r="S32" s="84" t="s">
        <v>1444</v>
      </c>
      <c r="T32" s="84" t="s">
        <v>166</v>
      </c>
      <c r="U32" s="33"/>
      <c r="Z32" t="s">
        <v>1023</v>
      </c>
      <c r="AA32" s="258">
        <v>0.62</v>
      </c>
      <c r="AB32" s="258">
        <v>0.62</v>
      </c>
      <c r="AC32" t="s">
        <v>985</v>
      </c>
      <c r="AE32" t="s">
        <v>581</v>
      </c>
      <c r="AF32">
        <v>1.01</v>
      </c>
    </row>
    <row r="33" spans="2:32">
      <c r="B33" t="s">
        <v>1733</v>
      </c>
      <c r="C33" s="12">
        <v>0.76</v>
      </c>
      <c r="D33" s="12">
        <v>0.43</v>
      </c>
      <c r="E33" s="12">
        <v>20</v>
      </c>
      <c r="F33" s="12" t="str">
        <f>CONCATENATE("Interior ",Table_LPA_SxS[[#This Row],[Space-by-Space areas]])</f>
        <v>Interior Electrical/mechanical</v>
      </c>
      <c r="G33" s="12" t="s">
        <v>166</v>
      </c>
      <c r="H33" s="12">
        <v>29</v>
      </c>
      <c r="I33" s="12" t="str">
        <f t="shared" ref="I33:I64" si="3">IF(G33="No","Controls_Interior_Basic", "Controls_Interior_LLLC")</f>
        <v>Controls_Interior_Basic</v>
      </c>
      <c r="J33" s="12" t="s">
        <v>1397</v>
      </c>
      <c r="K33" s="12" t="s">
        <v>575</v>
      </c>
      <c r="L33" s="12" t="s">
        <v>1108</v>
      </c>
      <c r="M33" s="12" t="s">
        <v>359</v>
      </c>
      <c r="O33" s="25" t="s">
        <v>1597</v>
      </c>
      <c r="P33" s="25" t="str">
        <f>CONCATENATE("Exterior ",O33)</f>
        <v>Exterior - Choose Exterior Area -</v>
      </c>
      <c r="Q33" s="25" t="s">
        <v>1425</v>
      </c>
      <c r="R33" s="83" t="s">
        <v>166</v>
      </c>
      <c r="S33" s="83" t="s">
        <v>1425</v>
      </c>
      <c r="T33" s="83" t="s">
        <v>166</v>
      </c>
      <c r="U33" s="34"/>
      <c r="Z33" t="s">
        <v>1025</v>
      </c>
      <c r="AA33" s="258">
        <v>0.71</v>
      </c>
      <c r="AB33" s="258">
        <v>0.69</v>
      </c>
      <c r="AC33" t="s">
        <v>985</v>
      </c>
      <c r="AE33" t="s">
        <v>1021</v>
      </c>
      <c r="AF33">
        <v>0.7</v>
      </c>
    </row>
    <row r="34" spans="2:32">
      <c r="B34" t="s">
        <v>1734</v>
      </c>
      <c r="C34" s="12">
        <v>0.45</v>
      </c>
      <c r="D34" s="12">
        <v>0.52</v>
      </c>
      <c r="E34" s="12">
        <v>20</v>
      </c>
      <c r="F34" s="12" t="str">
        <f>CONCATENATE("Interior ",Table_LPA_SxS[[#This Row],[Space-by-Space areas]])</f>
        <v>Interior Emergency vehicle garage</v>
      </c>
      <c r="G34" s="12" t="s">
        <v>166</v>
      </c>
      <c r="H34" s="12">
        <v>30</v>
      </c>
      <c r="I34" s="12" t="str">
        <f t="shared" si="3"/>
        <v>Controls_Interior_Basic</v>
      </c>
      <c r="J34" s="12" t="s">
        <v>1397</v>
      </c>
      <c r="K34" s="12" t="s">
        <v>576</v>
      </c>
      <c r="L34" s="12" t="s">
        <v>1108</v>
      </c>
      <c r="M34" s="12" t="s">
        <v>359</v>
      </c>
      <c r="O34" s="22" t="s">
        <v>595</v>
      </c>
      <c r="P34" s="22" t="str">
        <f t="shared" ref="P34:P43" si="4">CONCATENATE("Exterior ",O34)</f>
        <v>Exterior Parking and drives</v>
      </c>
      <c r="Q34" s="22" t="s">
        <v>1425</v>
      </c>
      <c r="R34" s="84" t="s">
        <v>166</v>
      </c>
      <c r="S34" s="84" t="s">
        <v>1425</v>
      </c>
      <c r="T34" s="84" t="s">
        <v>166</v>
      </c>
      <c r="U34" s="33"/>
      <c r="Z34" t="s">
        <v>1027</v>
      </c>
      <c r="AA34" s="258">
        <v>0.56000000000000005</v>
      </c>
      <c r="AB34" s="258">
        <v>0.5</v>
      </c>
      <c r="AC34" t="s">
        <v>575</v>
      </c>
      <c r="AE34" t="s">
        <v>994</v>
      </c>
      <c r="AF34">
        <v>0.7</v>
      </c>
    </row>
    <row r="35" spans="2:32">
      <c r="B35" t="s">
        <v>1735</v>
      </c>
      <c r="C35" s="12">
        <v>1.77</v>
      </c>
      <c r="D35" s="12">
        <v>0.7</v>
      </c>
      <c r="E35" s="12">
        <v>20</v>
      </c>
      <c r="F35" s="12" t="str">
        <f>CONCATENATE("Interior ",Table_LPA_SxS[[#This Row],[Space-by-Space areas]])</f>
        <v>Interior Facility for the visually impaired: Chapel</v>
      </c>
      <c r="G35" s="12" t="s">
        <v>166</v>
      </c>
      <c r="H35" s="12">
        <v>60</v>
      </c>
      <c r="I35" s="12" t="str">
        <f t="shared" si="3"/>
        <v>Controls_Interior_Basic</v>
      </c>
      <c r="J35" s="12" t="s">
        <v>1397</v>
      </c>
      <c r="K35" s="12" t="s">
        <v>575</v>
      </c>
      <c r="L35" s="12" t="s">
        <v>1108</v>
      </c>
      <c r="M35" s="12" t="s">
        <v>359</v>
      </c>
      <c r="O35" s="25" t="s">
        <v>596</v>
      </c>
      <c r="P35" s="25" t="str">
        <f t="shared" si="4"/>
        <v>Exterior Walkways and Plaza</v>
      </c>
      <c r="Q35" s="25" t="s">
        <v>1425</v>
      </c>
      <c r="R35" s="83" t="s">
        <v>166</v>
      </c>
      <c r="S35" s="83" t="s">
        <v>1425</v>
      </c>
      <c r="T35" s="83" t="s">
        <v>166</v>
      </c>
      <c r="U35" s="34"/>
      <c r="Z35" t="s">
        <v>586</v>
      </c>
      <c r="AA35" s="258">
        <v>0.4</v>
      </c>
      <c r="AB35" s="258">
        <v>0.4</v>
      </c>
      <c r="AC35" t="s">
        <v>586</v>
      </c>
      <c r="AE35" t="s">
        <v>1023</v>
      </c>
      <c r="AF35">
        <v>0.62</v>
      </c>
    </row>
    <row r="36" spans="2:32">
      <c r="B36" t="s">
        <v>1736</v>
      </c>
      <c r="C36" s="12">
        <v>1.93</v>
      </c>
      <c r="D36" s="12">
        <v>1.77</v>
      </c>
      <c r="E36" s="12">
        <v>20</v>
      </c>
      <c r="F36" s="12" t="str">
        <f>CONCATENATE("Interior ",Table_LPA_SxS[[#This Row],[Space-by-Space areas]])</f>
        <v>Interior Facility for the visually impaired: Recreation room</v>
      </c>
      <c r="G36" s="12" t="s">
        <v>166</v>
      </c>
      <c r="H36" s="12">
        <v>61</v>
      </c>
      <c r="I36" s="12" t="str">
        <f t="shared" si="3"/>
        <v>Controls_Interior_Basic</v>
      </c>
      <c r="J36" s="12" t="s">
        <v>1397</v>
      </c>
      <c r="K36" s="12" t="s">
        <v>575</v>
      </c>
      <c r="L36" s="12" t="s">
        <v>1108</v>
      </c>
      <c r="M36" s="12" t="s">
        <v>359</v>
      </c>
      <c r="O36" s="22" t="s">
        <v>597</v>
      </c>
      <c r="P36" s="22" t="str">
        <f t="shared" si="4"/>
        <v>Exterior Stairways</v>
      </c>
      <c r="Q36" s="22" t="s">
        <v>1425</v>
      </c>
      <c r="R36" s="84" t="s">
        <v>166</v>
      </c>
      <c r="S36" s="84" t="s">
        <v>1425</v>
      </c>
      <c r="T36" s="84" t="s">
        <v>166</v>
      </c>
      <c r="U36" s="33"/>
      <c r="Z36" t="s">
        <v>1054</v>
      </c>
      <c r="AA36" s="258">
        <v>0.95</v>
      </c>
      <c r="AB36" s="258">
        <v>0.91</v>
      </c>
      <c r="AC36" t="s">
        <v>575</v>
      </c>
    </row>
    <row r="37" spans="2:32">
      <c r="B37" t="s">
        <v>1737</v>
      </c>
      <c r="C37" s="12">
        <v>0.45</v>
      </c>
      <c r="D37" s="12">
        <v>0.45</v>
      </c>
      <c r="E37" s="12">
        <v>20</v>
      </c>
      <c r="F37" s="12" t="str">
        <f>CONCATENATE("Interior ",Table_LPA_SxS[[#This Row],[Space-by-Space areas]])</f>
        <v>Interior Fire stations: Engine rooms</v>
      </c>
      <c r="G37" s="12" t="s">
        <v>166</v>
      </c>
      <c r="H37" s="12">
        <v>62</v>
      </c>
      <c r="I37" s="12" t="str">
        <f t="shared" si="3"/>
        <v>Controls_Interior_Basic</v>
      </c>
      <c r="J37" s="12" t="s">
        <v>1397</v>
      </c>
      <c r="K37" s="12" t="s">
        <v>575</v>
      </c>
      <c r="L37" s="12" t="s">
        <v>1108</v>
      </c>
      <c r="M37" s="12" t="s">
        <v>359</v>
      </c>
      <c r="O37" s="25" t="s">
        <v>598</v>
      </c>
      <c r="P37" s="25" t="str">
        <f t="shared" si="4"/>
        <v>Exterior Pedestrian tunnels</v>
      </c>
      <c r="Q37" s="25" t="s">
        <v>1425</v>
      </c>
      <c r="R37" s="83" t="s">
        <v>166</v>
      </c>
      <c r="S37" s="83" t="s">
        <v>1425</v>
      </c>
      <c r="T37" s="83" t="s">
        <v>166</v>
      </c>
      <c r="U37" s="34"/>
      <c r="Z37" t="s">
        <v>1462</v>
      </c>
      <c r="AA37" s="258"/>
      <c r="AB37" s="258"/>
      <c r="AC37" s="497" t="s">
        <v>1462</v>
      </c>
      <c r="AE37" t="s">
        <v>1025</v>
      </c>
      <c r="AF37">
        <v>0.71</v>
      </c>
    </row>
    <row r="38" spans="2:32">
      <c r="B38" t="s">
        <v>1738</v>
      </c>
      <c r="C38" s="12">
        <v>0.18</v>
      </c>
      <c r="D38" s="12">
        <v>0.23</v>
      </c>
      <c r="E38" s="12">
        <v>20</v>
      </c>
      <c r="F38" s="12" t="str">
        <f>CONCATENATE("Interior ",Table_LPA_SxS[[#This Row],[Space-by-Space areas]])</f>
        <v>Interior Fire stations: Sleeping quarters</v>
      </c>
      <c r="G38" s="12" t="s">
        <v>166</v>
      </c>
      <c r="H38" s="12">
        <v>63</v>
      </c>
      <c r="I38" s="12" t="str">
        <f t="shared" si="3"/>
        <v>Controls_Interior_Basic</v>
      </c>
      <c r="J38" s="12" t="s">
        <v>1397</v>
      </c>
      <c r="K38" s="12" t="s">
        <v>575</v>
      </c>
      <c r="L38" s="12" t="s">
        <v>1108</v>
      </c>
      <c r="M38" s="12" t="s">
        <v>359</v>
      </c>
      <c r="O38" s="22" t="s">
        <v>599</v>
      </c>
      <c r="P38" s="22" t="str">
        <f t="shared" si="4"/>
        <v>Exterior Entry canopies</v>
      </c>
      <c r="Q38" s="22" t="s">
        <v>1425</v>
      </c>
      <c r="R38" s="84" t="s">
        <v>166</v>
      </c>
      <c r="S38" s="84" t="s">
        <v>1425</v>
      </c>
      <c r="T38" s="84" t="s">
        <v>166</v>
      </c>
      <c r="U38" s="33"/>
      <c r="Z38" t="s">
        <v>1024</v>
      </c>
      <c r="AA38" s="258"/>
      <c r="AB38" s="258"/>
      <c r="AC38" s="497" t="s">
        <v>575</v>
      </c>
      <c r="AE38" t="s">
        <v>1027</v>
      </c>
      <c r="AF38">
        <v>0.56000000000000005</v>
      </c>
    </row>
    <row r="39" spans="2:32">
      <c r="B39" t="s">
        <v>1739</v>
      </c>
      <c r="C39" s="12">
        <v>0.79</v>
      </c>
      <c r="D39" s="12">
        <v>1.0900000000000001</v>
      </c>
      <c r="E39" s="12">
        <v>20</v>
      </c>
      <c r="F39" s="12" t="str">
        <f>CONCATENATE("Interior ",Table_LPA_SxS[[#This Row],[Space-by-Space areas]])</f>
        <v>Interior Food preparation</v>
      </c>
      <c r="G39" s="12" t="s">
        <v>166</v>
      </c>
      <c r="H39" s="12">
        <v>31</v>
      </c>
      <c r="I39" s="12" t="str">
        <f t="shared" si="3"/>
        <v>Controls_Interior_Basic</v>
      </c>
      <c r="J39" s="12" t="s">
        <v>1397</v>
      </c>
      <c r="K39" s="12" t="s">
        <v>570</v>
      </c>
      <c r="L39" s="12" t="s">
        <v>1108</v>
      </c>
      <c r="M39" s="12" t="s">
        <v>359</v>
      </c>
      <c r="O39" s="25" t="s">
        <v>600</v>
      </c>
      <c r="P39" s="25" t="str">
        <f t="shared" si="4"/>
        <v>Exterior Sales Canopies</v>
      </c>
      <c r="Q39" s="25" t="s">
        <v>1425</v>
      </c>
      <c r="R39" s="83" t="s">
        <v>166</v>
      </c>
      <c r="S39" s="83" t="s">
        <v>1425</v>
      </c>
      <c r="T39" s="83" t="s">
        <v>166</v>
      </c>
      <c r="U39" s="34"/>
      <c r="AE39" t="s">
        <v>586</v>
      </c>
      <c r="AF39">
        <v>0.4</v>
      </c>
    </row>
    <row r="40" spans="2:32">
      <c r="B40" t="s">
        <v>1740</v>
      </c>
      <c r="C40" s="12">
        <v>0.38</v>
      </c>
      <c r="D40" s="12">
        <v>0.41</v>
      </c>
      <c r="E40" s="12">
        <v>20</v>
      </c>
      <c r="F40" s="12" t="str">
        <f>CONCATENATE("Interior ",Table_LPA_SxS[[#This Row],[Space-by-Space areas]])</f>
        <v>Interior Guest room</v>
      </c>
      <c r="G40" s="12" t="s">
        <v>166</v>
      </c>
      <c r="H40" s="12">
        <v>32</v>
      </c>
      <c r="I40" s="12" t="str">
        <f t="shared" si="3"/>
        <v>Controls_Interior_Basic</v>
      </c>
      <c r="J40" s="12" t="s">
        <v>1397</v>
      </c>
      <c r="K40" s="39" t="s">
        <v>573</v>
      </c>
      <c r="L40" s="12" t="s">
        <v>1108</v>
      </c>
      <c r="M40" s="12" t="s">
        <v>359</v>
      </c>
      <c r="O40" s="22" t="s">
        <v>601</v>
      </c>
      <c r="P40" s="22" t="str">
        <f t="shared" si="4"/>
        <v>Exterior Outdoor Sales</v>
      </c>
      <c r="Q40" s="22" t="s">
        <v>1425</v>
      </c>
      <c r="R40" s="84" t="s">
        <v>166</v>
      </c>
      <c r="S40" s="84" t="s">
        <v>1425</v>
      </c>
      <c r="T40" s="84" t="s">
        <v>166</v>
      </c>
      <c r="U40" s="33"/>
      <c r="AE40" t="s">
        <v>1054</v>
      </c>
      <c r="AF40">
        <v>0.95</v>
      </c>
    </row>
    <row r="41" spans="2:32">
      <c r="B41" t="s">
        <v>1741</v>
      </c>
      <c r="C41" s="12">
        <v>0.57999999999999996</v>
      </c>
      <c r="D41" s="12">
        <v>0.9</v>
      </c>
      <c r="E41" s="12">
        <v>20</v>
      </c>
      <c r="F41" s="12" t="str">
        <f>CONCATENATE("Interior ",Table_LPA_SxS[[#This Row],[Space-by-Space areas]])</f>
        <v>Interior Gymnasium/fitness center: Exercise area</v>
      </c>
      <c r="G41" s="12" t="s">
        <v>166</v>
      </c>
      <c r="H41" s="12">
        <v>64</v>
      </c>
      <c r="I41" s="12" t="str">
        <f t="shared" si="3"/>
        <v>Controls_Interior_Basic</v>
      </c>
      <c r="J41" s="12" t="s">
        <v>1397</v>
      </c>
      <c r="K41" s="12" t="s">
        <v>361</v>
      </c>
      <c r="L41" s="12" t="s">
        <v>1108</v>
      </c>
      <c r="M41" s="12" t="s">
        <v>359</v>
      </c>
      <c r="O41" s="25" t="s">
        <v>602</v>
      </c>
      <c r="P41" s="25" t="str">
        <f t="shared" si="4"/>
        <v>Exterior Building facades</v>
      </c>
      <c r="Q41" s="25" t="s">
        <v>1425</v>
      </c>
      <c r="R41" s="83" t="s">
        <v>166</v>
      </c>
      <c r="S41" s="25" t="s">
        <v>1425</v>
      </c>
      <c r="T41" s="83" t="s">
        <v>166</v>
      </c>
      <c r="U41" s="34"/>
    </row>
    <row r="42" spans="2:32">
      <c r="B42" t="s">
        <v>1742</v>
      </c>
      <c r="C42" s="12">
        <v>0.57999999999999996</v>
      </c>
      <c r="D42" s="12">
        <v>0.9</v>
      </c>
      <c r="E42" s="12">
        <v>20</v>
      </c>
      <c r="F42" s="12" t="str">
        <f>CONCATENATE("Interior ",Table_LPA_SxS[[#This Row],[Space-by-Space areas]])</f>
        <v>Interior Gymnasium/fitness center: Exercise area (Top Lighted)</v>
      </c>
      <c r="G42" s="12" t="s">
        <v>157</v>
      </c>
      <c r="H42" s="12">
        <v>64</v>
      </c>
      <c r="I42" s="12" t="str">
        <f t="shared" si="3"/>
        <v>Controls_Interior_LLLC</v>
      </c>
      <c r="J42" s="12" t="s">
        <v>1397</v>
      </c>
      <c r="K42" s="12" t="s">
        <v>361</v>
      </c>
      <c r="L42" s="12" t="s">
        <v>1108</v>
      </c>
      <c r="M42" s="12" t="s">
        <v>359</v>
      </c>
      <c r="O42" s="22" t="s">
        <v>603</v>
      </c>
      <c r="P42" s="22" t="str">
        <f t="shared" si="4"/>
        <v>Exterior Other Exterior Area</v>
      </c>
      <c r="Q42" s="22" t="s">
        <v>1425</v>
      </c>
      <c r="R42" s="84" t="s">
        <v>166</v>
      </c>
      <c r="S42" s="22" t="s">
        <v>1425</v>
      </c>
      <c r="T42" s="84" t="s">
        <v>166</v>
      </c>
      <c r="U42" s="33"/>
    </row>
    <row r="43" spans="2:32">
      <c r="B43" t="s">
        <v>1743</v>
      </c>
      <c r="C43" s="12">
        <v>0.96</v>
      </c>
      <c r="D43" s="12">
        <v>0.85</v>
      </c>
      <c r="E43" s="12">
        <v>20</v>
      </c>
      <c r="F43" s="12" t="str">
        <f>CONCATENATE("Interior ",Table_LPA_SxS[[#This Row],[Space-by-Space areas]])</f>
        <v>Interior Gymnasium/fitness center: Playing area</v>
      </c>
      <c r="G43" s="12" t="s">
        <v>166</v>
      </c>
      <c r="H43" s="12">
        <v>65</v>
      </c>
      <c r="I43" s="12" t="str">
        <f t="shared" si="3"/>
        <v>Controls_Interior_Basic</v>
      </c>
      <c r="J43" s="12" t="s">
        <v>1397</v>
      </c>
      <c r="K43" s="12" t="s">
        <v>361</v>
      </c>
      <c r="L43" s="12" t="s">
        <v>1108</v>
      </c>
      <c r="M43" s="12" t="s">
        <v>359</v>
      </c>
      <c r="O43" s="25" t="s">
        <v>604</v>
      </c>
      <c r="P43" s="25" t="str">
        <f t="shared" si="4"/>
        <v>Exterior Street</v>
      </c>
      <c r="Q43" s="25" t="s">
        <v>1425</v>
      </c>
      <c r="R43" s="83" t="s">
        <v>166</v>
      </c>
      <c r="S43" s="25" t="s">
        <v>1425</v>
      </c>
      <c r="T43" s="83" t="s">
        <v>166</v>
      </c>
      <c r="U43" s="34"/>
    </row>
    <row r="44" spans="2:32">
      <c r="B44" t="s">
        <v>1744</v>
      </c>
      <c r="C44" s="12">
        <v>0.96</v>
      </c>
      <c r="D44" s="12">
        <v>0.85</v>
      </c>
      <c r="E44" s="12">
        <v>20</v>
      </c>
      <c r="F44" s="12" t="str">
        <f>CONCATENATE("Interior ",Table_LPA_SxS[[#This Row],[Space-by-Space areas]])</f>
        <v>Interior Gymnasium/fitness center: Playing area (Top Lighted)</v>
      </c>
      <c r="G44" s="12" t="s">
        <v>157</v>
      </c>
      <c r="H44" s="12">
        <v>65</v>
      </c>
      <c r="I44" s="12" t="str">
        <f t="shared" si="3"/>
        <v>Controls_Interior_LLLC</v>
      </c>
      <c r="J44" s="12" t="s">
        <v>1397</v>
      </c>
      <c r="K44" s="12" t="s">
        <v>361</v>
      </c>
      <c r="L44" s="12" t="s">
        <v>1108</v>
      </c>
      <c r="M44" s="12" t="s">
        <v>359</v>
      </c>
      <c r="O44" s="27" t="s">
        <v>180</v>
      </c>
      <c r="P44" s="27" t="str">
        <f>CONCATENATE("Exterior ",O44)</f>
        <v>Exterior Fixture Removed</v>
      </c>
      <c r="Q44" s="27" t="s">
        <v>1444</v>
      </c>
      <c r="R44" s="27" t="s">
        <v>166</v>
      </c>
      <c r="S44" s="27" t="s">
        <v>1444</v>
      </c>
      <c r="T44" s="84" t="s">
        <v>166</v>
      </c>
      <c r="U44" s="86"/>
    </row>
    <row r="45" spans="2:32">
      <c r="B45" t="s">
        <v>1745</v>
      </c>
      <c r="C45" s="12">
        <v>1.33</v>
      </c>
      <c r="D45" s="12">
        <v>1.4</v>
      </c>
      <c r="E45" s="12">
        <v>20</v>
      </c>
      <c r="F45" s="12" t="str">
        <f>CONCATENATE("Interior ",Table_LPA_SxS[[#This Row],[Space-by-Space areas]])</f>
        <v>Interior Health care facility: Exam/treatment</v>
      </c>
      <c r="G45" s="12" t="s">
        <v>166</v>
      </c>
      <c r="H45" s="12">
        <v>66</v>
      </c>
      <c r="I45" s="12" t="str">
        <f t="shared" si="3"/>
        <v>Controls_Interior_Basic</v>
      </c>
      <c r="J45" s="12" t="s">
        <v>1397</v>
      </c>
      <c r="K45" s="12" t="s">
        <v>575</v>
      </c>
      <c r="L45" s="12" t="s">
        <v>1108</v>
      </c>
      <c r="M45" s="12" t="s">
        <v>359</v>
      </c>
    </row>
    <row r="46" spans="2:32">
      <c r="B46" t="s">
        <v>1746</v>
      </c>
      <c r="C46" s="12">
        <v>1.06</v>
      </c>
      <c r="D46" s="12">
        <v>0.94</v>
      </c>
      <c r="E46" s="12">
        <v>20</v>
      </c>
      <c r="F46" s="12" t="str">
        <f>CONCATENATE("Interior ",Table_LPA_SxS[[#This Row],[Space-by-Space areas]])</f>
        <v>Interior Health care facility: Imaging room</v>
      </c>
      <c r="G46" s="12" t="s">
        <v>166</v>
      </c>
      <c r="H46" s="12">
        <v>67</v>
      </c>
      <c r="I46" s="12" t="str">
        <f t="shared" si="3"/>
        <v>Controls_Interior_Basic</v>
      </c>
      <c r="J46" s="12" t="s">
        <v>1397</v>
      </c>
      <c r="K46" s="12" t="s">
        <v>575</v>
      </c>
      <c r="L46" s="12" t="s">
        <v>1108</v>
      </c>
      <c r="M46" s="12" t="s">
        <v>359</v>
      </c>
    </row>
    <row r="47" spans="2:32">
      <c r="B47" t="s">
        <v>1747</v>
      </c>
      <c r="C47" s="12">
        <v>0.59</v>
      </c>
      <c r="D47" s="12">
        <v>0.62</v>
      </c>
      <c r="E47" s="12">
        <v>20</v>
      </c>
      <c r="F47" s="12" t="str">
        <f>CONCATENATE("Interior ",Table_LPA_SxS[[#This Row],[Space-by-Space areas]])</f>
        <v>Interior Health care facility: Medical supplies</v>
      </c>
      <c r="G47" s="12" t="s">
        <v>166</v>
      </c>
      <c r="H47" s="12">
        <v>68</v>
      </c>
      <c r="I47" s="12" t="str">
        <f t="shared" si="3"/>
        <v>Controls_Interior_Basic</v>
      </c>
      <c r="J47" s="12" t="s">
        <v>1397</v>
      </c>
      <c r="K47" s="12" t="s">
        <v>575</v>
      </c>
      <c r="L47" s="12" t="s">
        <v>1108</v>
      </c>
      <c r="M47" s="12" t="s">
        <v>353</v>
      </c>
    </row>
    <row r="48" spans="2:32">
      <c r="B48" t="s">
        <v>1748</v>
      </c>
      <c r="C48" s="12">
        <v>0.56999999999999995</v>
      </c>
      <c r="D48" s="12">
        <v>1.17</v>
      </c>
      <c r="E48" s="12">
        <v>20</v>
      </c>
      <c r="F48" s="12" t="str">
        <f>CONCATENATE("Interior ",Table_LPA_SxS[[#This Row],[Space-by-Space areas]])</f>
        <v>Interior Health care facility: Nurse station</v>
      </c>
      <c r="G48" s="12" t="s">
        <v>166</v>
      </c>
      <c r="H48" s="12">
        <v>70</v>
      </c>
      <c r="I48" s="12" t="str">
        <f t="shared" si="3"/>
        <v>Controls_Interior_Basic</v>
      </c>
      <c r="J48" s="12" t="s">
        <v>1397</v>
      </c>
      <c r="K48" s="12" t="s">
        <v>575</v>
      </c>
      <c r="L48" s="12" t="s">
        <v>1108</v>
      </c>
      <c r="M48" s="12" t="s">
        <v>359</v>
      </c>
    </row>
    <row r="49" spans="2:13">
      <c r="B49" t="s">
        <v>1749</v>
      </c>
      <c r="C49" s="12">
        <v>0.7</v>
      </c>
      <c r="D49" s="12">
        <v>0.92</v>
      </c>
      <c r="E49" s="12">
        <v>20</v>
      </c>
      <c r="F49" s="12" t="str">
        <f>CONCATENATE("Interior ",Table_LPA_SxS[[#This Row],[Space-by-Space areas]])</f>
        <v>Interior Health care facility: Nursery</v>
      </c>
      <c r="G49" s="12" t="s">
        <v>166</v>
      </c>
      <c r="H49" s="12">
        <v>69</v>
      </c>
      <c r="I49" s="12" t="str">
        <f t="shared" si="3"/>
        <v>Controls_Interior_Basic</v>
      </c>
      <c r="J49" s="12" t="s">
        <v>1397</v>
      </c>
      <c r="K49" s="12" t="s">
        <v>575</v>
      </c>
      <c r="L49" s="12" t="s">
        <v>1108</v>
      </c>
      <c r="M49" s="12" t="s">
        <v>359</v>
      </c>
    </row>
    <row r="50" spans="2:13">
      <c r="B50" t="s">
        <v>1750</v>
      </c>
      <c r="C50" s="12">
        <v>1.51</v>
      </c>
      <c r="D50" s="12">
        <v>2.2599999999999998</v>
      </c>
      <c r="E50" s="12">
        <v>20</v>
      </c>
      <c r="F50" s="12" t="str">
        <f>CONCATENATE("Interior ",Table_LPA_SxS[[#This Row],[Space-by-Space areas]])</f>
        <v>Interior Health care facility: Operating room</v>
      </c>
      <c r="G50" s="12" t="s">
        <v>166</v>
      </c>
      <c r="H50" s="12">
        <v>71</v>
      </c>
      <c r="I50" s="12" t="str">
        <f t="shared" si="3"/>
        <v>Controls_Interior_Basic</v>
      </c>
      <c r="J50" s="12" t="s">
        <v>1397</v>
      </c>
      <c r="K50" s="12" t="s">
        <v>575</v>
      </c>
      <c r="L50" s="12" t="s">
        <v>1108</v>
      </c>
      <c r="M50" s="12" t="s">
        <v>359</v>
      </c>
    </row>
    <row r="51" spans="2:13">
      <c r="B51" t="s">
        <v>1751</v>
      </c>
      <c r="C51" s="12">
        <v>0.5</v>
      </c>
      <c r="D51" s="12">
        <v>0.68</v>
      </c>
      <c r="E51" s="12">
        <v>20</v>
      </c>
      <c r="F51" s="12" t="str">
        <f>CONCATENATE("Interior ",Table_LPA_SxS[[#This Row],[Space-by-Space areas]])</f>
        <v>Interior Health care facility: Patient room</v>
      </c>
      <c r="G51" s="12" t="s">
        <v>166</v>
      </c>
      <c r="H51" s="12">
        <v>72</v>
      </c>
      <c r="I51" s="12" t="str">
        <f t="shared" si="3"/>
        <v>Controls_Interior_Basic</v>
      </c>
      <c r="J51" s="12" t="s">
        <v>1397</v>
      </c>
      <c r="K51" s="39" t="s">
        <v>568</v>
      </c>
      <c r="L51" s="12" t="s">
        <v>1108</v>
      </c>
      <c r="M51" s="12" t="s">
        <v>359</v>
      </c>
    </row>
    <row r="52" spans="2:13">
      <c r="B52" t="s">
        <v>1752</v>
      </c>
      <c r="C52" s="12">
        <v>0.73</v>
      </c>
      <c r="D52" s="12">
        <v>0.91</v>
      </c>
      <c r="E52" s="12">
        <v>20</v>
      </c>
      <c r="F52" s="12" t="str">
        <f>CONCATENATE("Interior ",Table_LPA_SxS[[#This Row],[Space-by-Space areas]])</f>
        <v>Interior Health care facility: Physical therapy</v>
      </c>
      <c r="G52" s="12" t="s">
        <v>166</v>
      </c>
      <c r="H52" s="12">
        <v>73</v>
      </c>
      <c r="I52" s="12" t="str">
        <f t="shared" si="3"/>
        <v>Controls_Interior_Basic</v>
      </c>
      <c r="J52" s="12" t="s">
        <v>1397</v>
      </c>
      <c r="K52" s="12" t="s">
        <v>575</v>
      </c>
      <c r="L52" s="12" t="s">
        <v>1108</v>
      </c>
      <c r="M52" s="12" t="s">
        <v>359</v>
      </c>
    </row>
    <row r="53" spans="2:13">
      <c r="B53" t="s">
        <v>1753</v>
      </c>
      <c r="C53" s="12">
        <v>0.92</v>
      </c>
      <c r="D53" s="12">
        <v>1.25</v>
      </c>
      <c r="E53" s="12">
        <v>20</v>
      </c>
      <c r="F53" s="12" t="str">
        <f>CONCATENATE("Interior ",Table_LPA_SxS[[#This Row],[Space-by-Space areas]])</f>
        <v>Interior Health care facility: Recovery</v>
      </c>
      <c r="G53" s="12" t="s">
        <v>166</v>
      </c>
      <c r="H53" s="12">
        <v>74</v>
      </c>
      <c r="I53" s="12" t="str">
        <f t="shared" si="3"/>
        <v>Controls_Interior_Basic</v>
      </c>
      <c r="J53" s="12" t="s">
        <v>1397</v>
      </c>
      <c r="K53" s="12" t="s">
        <v>575</v>
      </c>
      <c r="L53" s="12" t="s">
        <v>1108</v>
      </c>
      <c r="M53" s="12" t="s">
        <v>359</v>
      </c>
    </row>
    <row r="54" spans="2:13">
      <c r="B54" t="s">
        <v>1754</v>
      </c>
      <c r="C54" s="12">
        <v>1.02</v>
      </c>
      <c r="D54" s="12">
        <v>1.1100000000000001</v>
      </c>
      <c r="E54" s="12">
        <v>20</v>
      </c>
      <c r="F54" s="12" t="str">
        <f>CONCATENATE("Interior ",Table_LPA_SxS[[#This Row],[Space-by-Space areas]])</f>
        <v>Interior Laboratory for classrooms</v>
      </c>
      <c r="G54" s="12" t="s">
        <v>166</v>
      </c>
      <c r="H54" s="12">
        <v>33</v>
      </c>
      <c r="I54" s="12" t="str">
        <f t="shared" si="3"/>
        <v>Controls_Interior_Basic</v>
      </c>
      <c r="J54" s="12" t="s">
        <v>1397</v>
      </c>
      <c r="K54" s="12" t="s">
        <v>354</v>
      </c>
      <c r="L54" s="12" t="s">
        <v>1108</v>
      </c>
      <c r="M54" s="12" t="s">
        <v>359</v>
      </c>
    </row>
    <row r="55" spans="2:13">
      <c r="B55" t="s">
        <v>1755</v>
      </c>
      <c r="C55" s="12">
        <v>1.45</v>
      </c>
      <c r="D55" s="12">
        <v>1.33</v>
      </c>
      <c r="E55" s="12">
        <v>20</v>
      </c>
      <c r="F55" s="12" t="str">
        <f>CONCATENATE("Interior ",Table_LPA_SxS[[#This Row],[Space-by-Space areas]])</f>
        <v>Interior Laboratory for medical/industrial/research</v>
      </c>
      <c r="G55" s="12" t="s">
        <v>166</v>
      </c>
      <c r="H55" s="12">
        <v>34</v>
      </c>
      <c r="I55" s="12" t="str">
        <f t="shared" si="3"/>
        <v>Controls_Interior_Basic</v>
      </c>
      <c r="J55" s="12" t="s">
        <v>1397</v>
      </c>
      <c r="K55" s="12" t="s">
        <v>575</v>
      </c>
      <c r="L55" s="12" t="s">
        <v>1108</v>
      </c>
      <c r="M55" s="12" t="s">
        <v>359</v>
      </c>
    </row>
    <row r="56" spans="2:13">
      <c r="B56" t="s">
        <v>1756</v>
      </c>
      <c r="C56" s="12">
        <v>0.48</v>
      </c>
      <c r="D56" s="12">
        <v>0.53</v>
      </c>
      <c r="E56" s="12">
        <v>20</v>
      </c>
      <c r="F56" s="12" t="str">
        <f>CONCATENATE("Interior ",Table_LPA_SxS[[#This Row],[Space-by-Space areas]])</f>
        <v>Interior Laundry/washing area</v>
      </c>
      <c r="G56" s="12" t="s">
        <v>166</v>
      </c>
      <c r="H56" s="12">
        <v>35</v>
      </c>
      <c r="I56" s="12" t="str">
        <f t="shared" si="3"/>
        <v>Controls_Interior_Basic</v>
      </c>
      <c r="J56" s="12" t="s">
        <v>1397</v>
      </c>
      <c r="K56" s="12" t="s">
        <v>575</v>
      </c>
      <c r="L56" s="12" t="s">
        <v>1108</v>
      </c>
      <c r="M56" s="12" t="s">
        <v>359</v>
      </c>
    </row>
    <row r="57" spans="2:13">
      <c r="B57" t="s">
        <v>1757</v>
      </c>
      <c r="C57" s="12">
        <v>0.74</v>
      </c>
      <c r="D57" s="12">
        <v>0.31</v>
      </c>
      <c r="E57" s="12">
        <v>9</v>
      </c>
      <c r="F57" s="12" t="str">
        <f>CONCATENATE("Interior ",Table_LPA_SxS[[#This Row],[Space-by-Space areas]])</f>
        <v>Interior Library: Reading area</v>
      </c>
      <c r="G57" s="12" t="s">
        <v>166</v>
      </c>
      <c r="H57" s="12">
        <v>75</v>
      </c>
      <c r="I57" s="12" t="str">
        <f t="shared" si="3"/>
        <v>Controls_Interior_Basic</v>
      </c>
      <c r="J57" s="12" t="s">
        <v>1397</v>
      </c>
      <c r="K57" s="12" t="s">
        <v>571</v>
      </c>
      <c r="L57" s="12" t="s">
        <v>1108</v>
      </c>
      <c r="M57" s="12" t="s">
        <v>359</v>
      </c>
    </row>
    <row r="58" spans="2:13">
      <c r="B58" t="s">
        <v>1758</v>
      </c>
      <c r="C58" s="12">
        <v>1.37</v>
      </c>
      <c r="D58" s="12">
        <v>1.1000000000000001</v>
      </c>
      <c r="E58" s="12">
        <v>9</v>
      </c>
      <c r="F58" s="12" t="str">
        <f>CONCATENATE("Interior ",Table_LPA_SxS[[#This Row],[Space-by-Space areas]])</f>
        <v>Interior Library: Stacks</v>
      </c>
      <c r="G58" s="12" t="s">
        <v>166</v>
      </c>
      <c r="H58" s="12">
        <v>76</v>
      </c>
      <c r="I58" s="12" t="str">
        <f t="shared" si="3"/>
        <v>Controls_Interior_Basic</v>
      </c>
      <c r="J58" s="12" t="s">
        <v>1397</v>
      </c>
      <c r="K58" s="12" t="s">
        <v>571</v>
      </c>
      <c r="L58" s="12" t="s">
        <v>1108</v>
      </c>
      <c r="M58" s="12" t="s">
        <v>353</v>
      </c>
    </row>
    <row r="59" spans="2:13">
      <c r="B59" t="s">
        <v>1759</v>
      </c>
      <c r="C59" s="12">
        <v>0.38</v>
      </c>
      <c r="D59" s="12">
        <v>0.88</v>
      </c>
      <c r="E59" s="12">
        <v>20</v>
      </c>
      <c r="F59" s="12" t="str">
        <f>CONCATENATE("Interior ",Table_LPA_SxS[[#This Row],[Space-by-Space areas]])</f>
        <v>Interior Loading dock, interior</v>
      </c>
      <c r="G59" s="12" t="s">
        <v>166</v>
      </c>
      <c r="H59" s="12">
        <v>36</v>
      </c>
      <c r="I59" s="12" t="str">
        <f t="shared" si="3"/>
        <v>Controls_Interior_Basic</v>
      </c>
      <c r="J59" s="12" t="s">
        <v>1397</v>
      </c>
      <c r="K59" s="12" t="s">
        <v>575</v>
      </c>
      <c r="L59" s="12" t="s">
        <v>1108</v>
      </c>
      <c r="M59" s="12" t="s">
        <v>359</v>
      </c>
    </row>
    <row r="60" spans="2:13">
      <c r="B60" t="s">
        <v>1760</v>
      </c>
      <c r="C60" s="12">
        <v>0.72</v>
      </c>
      <c r="D60" s="12">
        <v>0.84</v>
      </c>
      <c r="E60" s="12">
        <v>20</v>
      </c>
      <c r="F60" s="12" t="str">
        <f>CONCATENATE("Interior ",Table_LPA_SxS[[#This Row],[Space-by-Space areas]])</f>
        <v>Interior Lobby: all other</v>
      </c>
      <c r="G60" s="12" t="s">
        <v>166</v>
      </c>
      <c r="H60" s="12">
        <v>42</v>
      </c>
      <c r="I60" s="12" t="str">
        <f t="shared" si="3"/>
        <v>Controls_Interior_Basic</v>
      </c>
      <c r="J60" s="12" t="s">
        <v>1397</v>
      </c>
      <c r="K60" s="12" t="s">
        <v>572</v>
      </c>
      <c r="L60" s="12" t="s">
        <v>1108</v>
      </c>
      <c r="M60" s="12" t="s">
        <v>359</v>
      </c>
    </row>
    <row r="61" spans="2:13">
      <c r="B61" t="s">
        <v>1761</v>
      </c>
      <c r="C61" s="12">
        <v>0.51</v>
      </c>
      <c r="D61" s="12">
        <v>0.65</v>
      </c>
      <c r="E61" s="12">
        <v>20</v>
      </c>
      <c r="F61" s="12" t="str">
        <f>CONCATENATE("Interior ",Table_LPA_SxS[[#This Row],[Space-by-Space areas]])</f>
        <v>Interior Lobby: elevator</v>
      </c>
      <c r="G61" s="12" t="s">
        <v>166</v>
      </c>
      <c r="H61" s="12">
        <v>38</v>
      </c>
      <c r="I61" s="12" t="str">
        <f t="shared" si="3"/>
        <v>Controls_Interior_Basic</v>
      </c>
      <c r="J61" s="12" t="s">
        <v>1397</v>
      </c>
      <c r="K61" s="12" t="s">
        <v>572</v>
      </c>
      <c r="L61" s="12" t="s">
        <v>1108</v>
      </c>
      <c r="M61" s="12" t="s">
        <v>359</v>
      </c>
    </row>
    <row r="62" spans="2:13">
      <c r="B62" t="s">
        <v>1762</v>
      </c>
      <c r="C62" s="12">
        <v>1.44</v>
      </c>
      <c r="D62" s="12">
        <v>1.69</v>
      </c>
      <c r="E62" s="12">
        <v>20</v>
      </c>
      <c r="F62" s="12" t="str">
        <f>CONCATENATE("Interior ",Table_LPA_SxS[[#This Row],[Space-by-Space areas]])</f>
        <v>Interior Lobby: facility for the visually impaired</v>
      </c>
      <c r="G62" s="12" t="s">
        <v>166</v>
      </c>
      <c r="H62" s="12">
        <v>37</v>
      </c>
      <c r="I62" s="12" t="str">
        <f t="shared" si="3"/>
        <v>Controls_Interior_Basic</v>
      </c>
      <c r="J62" s="12" t="s">
        <v>1397</v>
      </c>
      <c r="K62" s="12" t="s">
        <v>572</v>
      </c>
      <c r="L62" s="12" t="s">
        <v>1108</v>
      </c>
      <c r="M62" s="12" t="s">
        <v>359</v>
      </c>
    </row>
    <row r="63" spans="2:13">
      <c r="B63" t="s">
        <v>1763</v>
      </c>
      <c r="C63" s="12">
        <v>0.85</v>
      </c>
      <c r="D63" s="12">
        <v>0.51</v>
      </c>
      <c r="E63" s="12">
        <v>20</v>
      </c>
      <c r="F63" s="12" t="str">
        <f>CONCATENATE("Interior ",Table_LPA_SxS[[#This Row],[Space-by-Space areas]])</f>
        <v>Interior Lobby: hotel</v>
      </c>
      <c r="G63" s="12" t="s">
        <v>166</v>
      </c>
      <c r="H63" s="12">
        <v>39</v>
      </c>
      <c r="I63" s="12" t="str">
        <f t="shared" si="3"/>
        <v>Controls_Interior_Basic</v>
      </c>
      <c r="J63" s="12" t="s">
        <v>1397</v>
      </c>
      <c r="K63" s="12" t="s">
        <v>572</v>
      </c>
      <c r="L63" s="12" t="s">
        <v>1108</v>
      </c>
      <c r="M63" s="12" t="s">
        <v>359</v>
      </c>
    </row>
    <row r="64" spans="2:13">
      <c r="B64" t="s">
        <v>1764</v>
      </c>
      <c r="C64" s="12">
        <v>0.42</v>
      </c>
      <c r="D64" s="12">
        <v>0.23</v>
      </c>
      <c r="E64" s="12">
        <v>20</v>
      </c>
      <c r="F64" s="12" t="str">
        <f>CONCATENATE("Interior ",Table_LPA_SxS[[#This Row],[Space-by-Space areas]])</f>
        <v>Interior Lobby: motion picture theater</v>
      </c>
      <c r="G64" s="12" t="s">
        <v>166</v>
      </c>
      <c r="H64" s="12">
        <v>40</v>
      </c>
      <c r="I64" s="12" t="str">
        <f t="shared" si="3"/>
        <v>Controls_Interior_Basic</v>
      </c>
      <c r="J64" s="12" t="s">
        <v>1397</v>
      </c>
      <c r="K64" s="12" t="s">
        <v>572</v>
      </c>
      <c r="L64" s="12" t="s">
        <v>1108</v>
      </c>
      <c r="M64" s="12" t="s">
        <v>359</v>
      </c>
    </row>
    <row r="65" spans="2:13">
      <c r="B65" t="s">
        <v>1765</v>
      </c>
      <c r="C65" s="12">
        <v>1.6</v>
      </c>
      <c r="D65" s="12">
        <v>1.25</v>
      </c>
      <c r="E65" s="12">
        <v>20</v>
      </c>
      <c r="F65" s="12" t="str">
        <f>CONCATENATE("Interior ",Table_LPA_SxS[[#This Row],[Space-by-Space areas]])</f>
        <v>Interior Lobby: performing arts theater</v>
      </c>
      <c r="G65" s="12" t="s">
        <v>166</v>
      </c>
      <c r="H65" s="12">
        <v>41</v>
      </c>
      <c r="I65" s="12" t="str">
        <f t="shared" ref="I65:I93" si="5">IF(G65="No","Controls_Interior_Basic", "Controls_Interior_LLLC")</f>
        <v>Controls_Interior_Basic</v>
      </c>
      <c r="J65" s="12" t="s">
        <v>1397</v>
      </c>
      <c r="K65" s="12" t="s">
        <v>572</v>
      </c>
      <c r="L65" s="12" t="s">
        <v>1108</v>
      </c>
      <c r="M65" s="12" t="s">
        <v>359</v>
      </c>
    </row>
    <row r="66" spans="2:13">
      <c r="B66" t="s">
        <v>1766</v>
      </c>
      <c r="C66" s="12">
        <v>0.6</v>
      </c>
      <c r="D66" s="12">
        <v>0.52</v>
      </c>
      <c r="E66" s="12">
        <v>20</v>
      </c>
      <c r="F66" s="12" t="str">
        <f>CONCATENATE("Interior ",Table_LPA_SxS[[#This Row],[Space-by-Space areas]])</f>
        <v>Interior Locker room</v>
      </c>
      <c r="G66" s="12" t="s">
        <v>166</v>
      </c>
      <c r="H66" s="12">
        <v>43</v>
      </c>
      <c r="I66" s="12" t="str">
        <f t="shared" si="5"/>
        <v>Controls_Interior_Basic</v>
      </c>
      <c r="J66" s="12" t="s">
        <v>1397</v>
      </c>
      <c r="K66" s="12" t="s">
        <v>575</v>
      </c>
      <c r="L66" s="12" t="s">
        <v>1108</v>
      </c>
      <c r="M66" s="12" t="s">
        <v>353</v>
      </c>
    </row>
    <row r="67" spans="2:13">
      <c r="B67" t="s">
        <v>1767</v>
      </c>
      <c r="C67" s="12">
        <v>0.57999999999999996</v>
      </c>
      <c r="D67" s="12">
        <v>0.59</v>
      </c>
      <c r="E67" s="12">
        <v>20</v>
      </c>
      <c r="F67" s="12" t="str">
        <f>CONCATENATE("Interior ",Table_LPA_SxS[[#This Row],[Space-by-Space areas]])</f>
        <v>Interior Lounge/breakroom: all other</v>
      </c>
      <c r="G67" s="12" t="s">
        <v>166</v>
      </c>
      <c r="H67" s="12">
        <v>45</v>
      </c>
      <c r="I67" s="12" t="str">
        <f t="shared" si="5"/>
        <v>Controls_Interior_Basic</v>
      </c>
      <c r="J67" s="12" t="s">
        <v>1397</v>
      </c>
      <c r="K67" s="12" t="s">
        <v>1768</v>
      </c>
      <c r="L67" s="12" t="s">
        <v>1108</v>
      </c>
      <c r="M67" s="12" t="s">
        <v>353</v>
      </c>
    </row>
    <row r="68" spans="2:13">
      <c r="B68" t="s">
        <v>1769</v>
      </c>
      <c r="C68" s="12">
        <v>0.74</v>
      </c>
      <c r="D68" s="12">
        <v>0.42</v>
      </c>
      <c r="E68" s="12">
        <v>20</v>
      </c>
      <c r="F68" s="12" t="str">
        <f>CONCATENATE("Interior ",Table_LPA_SxS[[#This Row],[Space-by-Space areas]])</f>
        <v>Interior Lounge/breakroom: health care facility</v>
      </c>
      <c r="G68" s="12" t="s">
        <v>166</v>
      </c>
      <c r="H68" s="12">
        <v>44</v>
      </c>
      <c r="I68" s="12" t="str">
        <f t="shared" si="5"/>
        <v>Controls_Interior_Basic</v>
      </c>
      <c r="J68" s="12" t="s">
        <v>1397</v>
      </c>
      <c r="K68" s="12" t="s">
        <v>1768</v>
      </c>
      <c r="L68" s="12" t="s">
        <v>1108</v>
      </c>
      <c r="M68" s="12" t="s">
        <v>353</v>
      </c>
    </row>
    <row r="69" spans="2:13">
      <c r="B69" t="s">
        <v>1770</v>
      </c>
      <c r="C69" s="12">
        <v>1.03</v>
      </c>
      <c r="D69" s="12">
        <v>0.8</v>
      </c>
      <c r="E69" s="12">
        <v>20</v>
      </c>
      <c r="F69" s="12" t="str">
        <f>CONCATENATE("Interior ",Table_LPA_SxS[[#This Row],[Space-by-Space areas]])</f>
        <v>Interior Manufacturing: Detailed manufacturing</v>
      </c>
      <c r="G69" s="12" t="s">
        <v>166</v>
      </c>
      <c r="H69" s="12">
        <v>77</v>
      </c>
      <c r="I69" s="12" t="str">
        <f t="shared" si="5"/>
        <v>Controls_Interior_Basic</v>
      </c>
      <c r="J69" s="12" t="s">
        <v>1397</v>
      </c>
      <c r="K69" s="39" t="s">
        <v>578</v>
      </c>
      <c r="L69" s="12" t="s">
        <v>1108</v>
      </c>
      <c r="M69" s="12" t="s">
        <v>359</v>
      </c>
    </row>
    <row r="70" spans="2:13">
      <c r="B70" t="s">
        <v>1771</v>
      </c>
      <c r="C70" s="12">
        <v>0.59</v>
      </c>
      <c r="D70" s="12">
        <v>0.76</v>
      </c>
      <c r="E70" s="12">
        <v>20</v>
      </c>
      <c r="F70" s="12" t="str">
        <f>CONCATENATE("Interior ",Table_LPA_SxS[[#This Row],[Space-by-Space areas]])</f>
        <v>Interior Manufacturing: Equipment room</v>
      </c>
      <c r="G70" s="12" t="s">
        <v>166</v>
      </c>
      <c r="H70" s="12">
        <v>78</v>
      </c>
      <c r="I70" s="12" t="str">
        <f t="shared" si="5"/>
        <v>Controls_Interior_Basic</v>
      </c>
      <c r="J70" s="12" t="s">
        <v>1397</v>
      </c>
      <c r="K70" s="39" t="s">
        <v>578</v>
      </c>
      <c r="L70" s="12" t="s">
        <v>1108</v>
      </c>
      <c r="M70" s="12" t="s">
        <v>359</v>
      </c>
    </row>
    <row r="71" spans="2:13">
      <c r="B71" t="s">
        <v>1772</v>
      </c>
      <c r="C71" s="12">
        <v>0.84</v>
      </c>
      <c r="D71" s="12">
        <v>1.42</v>
      </c>
      <c r="E71" s="12">
        <v>20</v>
      </c>
      <c r="F71" s="12" t="str">
        <f>CONCATENATE("Interior ",Table_LPA_SxS[[#This Row],[Space-by-Space areas]])</f>
        <v>Interior Manufacturing: Extra high bay (&gt; 50 ft floor-ceiling ht.)</v>
      </c>
      <c r="G71" s="12" t="s">
        <v>166</v>
      </c>
      <c r="H71" s="12">
        <v>79</v>
      </c>
      <c r="I71" s="12" t="str">
        <f t="shared" si="5"/>
        <v>Controls_Interior_Basic</v>
      </c>
      <c r="J71" s="12" t="s">
        <v>1397</v>
      </c>
      <c r="K71" s="39" t="s">
        <v>578</v>
      </c>
      <c r="L71" s="12" t="s">
        <v>1108</v>
      </c>
      <c r="M71" s="12" t="s">
        <v>359</v>
      </c>
    </row>
    <row r="72" spans="2:13">
      <c r="B72" t="s">
        <v>1773</v>
      </c>
      <c r="C72" s="12">
        <v>0.84</v>
      </c>
      <c r="D72" s="12">
        <v>1.42</v>
      </c>
      <c r="E72" s="12">
        <v>20</v>
      </c>
      <c r="F72" s="12" t="str">
        <f>CONCATENATE("Interior ",Table_LPA_SxS[[#This Row],[Space-by-Space areas]])</f>
        <v>Interior Manufacturing: Extra high bay (Top Lighted)</v>
      </c>
      <c r="G72" s="12" t="s">
        <v>157</v>
      </c>
      <c r="H72" s="12">
        <v>79</v>
      </c>
      <c r="I72" s="12" t="str">
        <f t="shared" si="5"/>
        <v>Controls_Interior_LLLC</v>
      </c>
      <c r="J72" s="12" t="s">
        <v>1397</v>
      </c>
      <c r="K72" s="39" t="s">
        <v>578</v>
      </c>
      <c r="L72" s="12" t="s">
        <v>1108</v>
      </c>
      <c r="M72" s="12" t="s">
        <v>359</v>
      </c>
    </row>
    <row r="73" spans="2:13">
      <c r="B73" t="s">
        <v>1774</v>
      </c>
      <c r="C73" s="12">
        <v>0.98</v>
      </c>
      <c r="D73" s="12">
        <v>1.24</v>
      </c>
      <c r="E73" s="12">
        <v>20</v>
      </c>
      <c r="F73" s="12" t="str">
        <f>CONCATENATE("Interior ",Table_LPA_SxS[[#This Row],[Space-by-Space areas]])</f>
        <v>Interior Manufacturing: High bay (25 ‑ 50 ft floor-ceiling ht.)</v>
      </c>
      <c r="G73" s="12" t="s">
        <v>166</v>
      </c>
      <c r="H73" s="12">
        <v>80</v>
      </c>
      <c r="I73" s="12" t="str">
        <f t="shared" si="5"/>
        <v>Controls_Interior_Basic</v>
      </c>
      <c r="J73" s="12" t="s">
        <v>1397</v>
      </c>
      <c r="K73" s="39" t="s">
        <v>578</v>
      </c>
      <c r="L73" s="12" t="s">
        <v>1108</v>
      </c>
      <c r="M73" s="12" t="s">
        <v>359</v>
      </c>
    </row>
    <row r="74" spans="2:13">
      <c r="B74" t="s">
        <v>1775</v>
      </c>
      <c r="C74" s="12">
        <v>0.98</v>
      </c>
      <c r="D74" s="12">
        <v>1.24</v>
      </c>
      <c r="E74" s="12">
        <v>20</v>
      </c>
      <c r="F74" s="12" t="str">
        <f>CONCATENATE("Interior ",Table_LPA_SxS[[#This Row],[Space-by-Space areas]])</f>
        <v>Interior Manufacturing: High bay (Top Lighted)</v>
      </c>
      <c r="G74" s="12" t="s">
        <v>157</v>
      </c>
      <c r="H74" s="12">
        <v>80</v>
      </c>
      <c r="I74" s="12" t="str">
        <f t="shared" si="5"/>
        <v>Controls_Interior_LLLC</v>
      </c>
      <c r="J74" s="12" t="s">
        <v>1397</v>
      </c>
      <c r="K74" s="39" t="s">
        <v>578</v>
      </c>
      <c r="L74" s="12" t="s">
        <v>1108</v>
      </c>
      <c r="M74" s="12" t="s">
        <v>359</v>
      </c>
    </row>
    <row r="75" spans="2:13">
      <c r="B75" t="s">
        <v>1776</v>
      </c>
      <c r="C75" s="12">
        <v>0.95</v>
      </c>
      <c r="D75" s="12">
        <v>0.86</v>
      </c>
      <c r="E75" s="12">
        <v>20</v>
      </c>
      <c r="F75" s="12" t="str">
        <f>CONCATENATE("Interior ",Table_LPA_SxS[[#This Row],[Space-by-Space areas]])</f>
        <v>Interior Manufacturing: Low bay (&lt; 25 ft floor-ceiling ht.)</v>
      </c>
      <c r="G75" s="12" t="s">
        <v>166</v>
      </c>
      <c r="H75" s="12">
        <v>81</v>
      </c>
      <c r="I75" s="12" t="str">
        <f t="shared" si="5"/>
        <v>Controls_Interior_Basic</v>
      </c>
      <c r="J75" s="12" t="s">
        <v>1397</v>
      </c>
      <c r="K75" s="39" t="s">
        <v>578</v>
      </c>
      <c r="L75" s="12" t="s">
        <v>1108</v>
      </c>
      <c r="M75" s="12" t="s">
        <v>359</v>
      </c>
    </row>
    <row r="76" spans="2:13">
      <c r="B76" t="s">
        <v>1777</v>
      </c>
      <c r="C76" s="12">
        <v>0.95</v>
      </c>
      <c r="D76" s="12">
        <v>0.86</v>
      </c>
      <c r="E76" s="12">
        <v>20</v>
      </c>
      <c r="F76" s="12" t="str">
        <f>CONCATENATE("Interior ",Table_LPA_SxS[[#This Row],[Space-by-Space areas]])</f>
        <v>Interior Manufacturing: Low bay (Top Lighted)</v>
      </c>
      <c r="G76" s="12" t="s">
        <v>157</v>
      </c>
      <c r="H76" s="12">
        <v>81</v>
      </c>
      <c r="I76" s="12" t="str">
        <f t="shared" si="5"/>
        <v>Controls_Interior_LLLC</v>
      </c>
      <c r="J76" s="12" t="s">
        <v>1397</v>
      </c>
      <c r="K76" s="39" t="s">
        <v>578</v>
      </c>
      <c r="L76" s="12" t="s">
        <v>1108</v>
      </c>
      <c r="M76" s="12" t="s">
        <v>359</v>
      </c>
    </row>
    <row r="77" spans="2:13">
      <c r="B77" t="s">
        <v>1778</v>
      </c>
      <c r="C77" s="12">
        <v>0.84</v>
      </c>
      <c r="D77" s="12">
        <v>0.31</v>
      </c>
      <c r="E77" s="12">
        <v>20</v>
      </c>
      <c r="F77" s="12" t="str">
        <f>CONCATENATE("Interior ",Table_LPA_SxS[[#This Row],[Space-by-Space areas]])</f>
        <v>Interior Museum: General exhibition</v>
      </c>
      <c r="G77" s="12" t="s">
        <v>166</v>
      </c>
      <c r="H77" s="12">
        <v>82</v>
      </c>
      <c r="I77" s="12" t="str">
        <f t="shared" si="5"/>
        <v>Controls_Interior_Basic</v>
      </c>
      <c r="J77" s="12" t="s">
        <v>1397</v>
      </c>
      <c r="K77" s="39" t="s">
        <v>579</v>
      </c>
      <c r="L77" s="12" t="s">
        <v>1108</v>
      </c>
      <c r="M77" s="12" t="s">
        <v>359</v>
      </c>
    </row>
    <row r="78" spans="2:13">
      <c r="B78" t="s">
        <v>1779</v>
      </c>
      <c r="C78" s="12">
        <v>0.82</v>
      </c>
      <c r="D78" s="12">
        <v>1.1000000000000001</v>
      </c>
      <c r="E78" s="12">
        <v>20</v>
      </c>
      <c r="F78" s="12" t="str">
        <f>CONCATENATE("Interior ",Table_LPA_SxS[[#This Row],[Space-by-Space areas]])</f>
        <v>Interior Museum: Restoration</v>
      </c>
      <c r="G78" s="12" t="s">
        <v>166</v>
      </c>
      <c r="H78" s="12">
        <v>83</v>
      </c>
      <c r="I78" s="12" t="str">
        <f t="shared" si="5"/>
        <v>Controls_Interior_Basic</v>
      </c>
      <c r="J78" s="12" t="s">
        <v>1397</v>
      </c>
      <c r="K78" s="12" t="s">
        <v>575</v>
      </c>
      <c r="L78" s="12" t="s">
        <v>1108</v>
      </c>
      <c r="M78" s="12" t="s">
        <v>359</v>
      </c>
    </row>
    <row r="79" spans="2:13">
      <c r="B79" t="s">
        <v>1780</v>
      </c>
      <c r="C79" s="12">
        <v>0.89</v>
      </c>
      <c r="D79" s="12">
        <v>0.74</v>
      </c>
      <c r="E79" s="12">
        <v>9</v>
      </c>
      <c r="F79" s="12" t="str">
        <f>CONCATENATE("Interior ",Table_LPA_SxS[[#This Row],[Space-by-Space areas]])</f>
        <v>Interior Office: Enclosed</v>
      </c>
      <c r="G79" s="12" t="s">
        <v>166</v>
      </c>
      <c r="H79" s="12">
        <v>46</v>
      </c>
      <c r="I79" s="12" t="str">
        <f t="shared" si="5"/>
        <v>Controls_Interior_Basic</v>
      </c>
      <c r="J79" s="12" t="s">
        <v>1397</v>
      </c>
      <c r="K79" s="39" t="s">
        <v>577</v>
      </c>
      <c r="L79" s="12" t="s">
        <v>1108</v>
      </c>
      <c r="M79" s="12" t="s">
        <v>353</v>
      </c>
    </row>
    <row r="80" spans="2:13">
      <c r="B80" t="s">
        <v>1781</v>
      </c>
      <c r="C80" s="12">
        <v>0.78</v>
      </c>
      <c r="D80" s="12">
        <v>0.61</v>
      </c>
      <c r="E80" s="12">
        <v>9</v>
      </c>
      <c r="F80" s="12" t="str">
        <f>CONCATENATE("Interior ",Table_LPA_SxS[[#This Row],[Space-by-Space areas]])</f>
        <v>Interior Office: Open plan</v>
      </c>
      <c r="G80" s="12" t="s">
        <v>166</v>
      </c>
      <c r="H80" s="12">
        <v>47</v>
      </c>
      <c r="I80" s="12" t="str">
        <f t="shared" si="5"/>
        <v>Controls_Interior_Basic</v>
      </c>
      <c r="J80" s="12" t="s">
        <v>1397</v>
      </c>
      <c r="K80" s="12" t="s">
        <v>574</v>
      </c>
      <c r="L80" s="12" t="s">
        <v>1108</v>
      </c>
      <c r="M80" s="12" t="s">
        <v>353</v>
      </c>
    </row>
    <row r="81" spans="2:13">
      <c r="B81" t="s">
        <v>1782</v>
      </c>
      <c r="C81" s="12">
        <v>0.15</v>
      </c>
      <c r="D81" s="12">
        <v>0.15</v>
      </c>
      <c r="E81" s="12">
        <v>20</v>
      </c>
      <c r="F81" s="12" t="str">
        <f>CONCATENATE("Interior ",Table_LPA_SxS[[#This Row],[Space-by-Space areas]])</f>
        <v>Interior Parking area, interior</v>
      </c>
      <c r="G81" s="12" t="s">
        <v>166</v>
      </c>
      <c r="H81" s="12">
        <v>48</v>
      </c>
      <c r="I81" s="12" t="str">
        <f t="shared" si="5"/>
        <v>Controls_Interior_Basic</v>
      </c>
      <c r="J81" s="12" t="s">
        <v>1397</v>
      </c>
      <c r="K81" s="39" t="s">
        <v>576</v>
      </c>
      <c r="L81" s="12" t="s">
        <v>1108</v>
      </c>
      <c r="M81" s="12" t="s">
        <v>353</v>
      </c>
    </row>
    <row r="82" spans="2:13">
      <c r="B82" t="s">
        <v>1783</v>
      </c>
      <c r="C82" s="12">
        <v>0.32</v>
      </c>
      <c r="D82" s="12">
        <v>0.41</v>
      </c>
      <c r="E82" s="12">
        <v>20</v>
      </c>
      <c r="F82" s="12" t="str">
        <f>CONCATENATE("Interior ",Table_LPA_SxS[[#This Row],[Space-by-Space areas]])</f>
        <v xml:space="preserve">Interior Performing arts theater: Dressing/fitting room </v>
      </c>
      <c r="G82" s="12" t="s">
        <v>166</v>
      </c>
      <c r="H82" s="12">
        <v>84</v>
      </c>
      <c r="I82" s="12" t="str">
        <f t="shared" si="5"/>
        <v>Controls_Interior_Basic</v>
      </c>
      <c r="J82" s="12" t="s">
        <v>1397</v>
      </c>
      <c r="K82" s="12" t="s">
        <v>575</v>
      </c>
      <c r="L82" s="12" t="s">
        <v>1108</v>
      </c>
      <c r="M82" s="12" t="s">
        <v>359</v>
      </c>
    </row>
    <row r="83" spans="2:13">
      <c r="B83" t="s">
        <v>1784</v>
      </c>
      <c r="C83" s="12">
        <v>0.91</v>
      </c>
      <c r="D83" s="12">
        <v>1.66</v>
      </c>
      <c r="E83" s="12">
        <v>20</v>
      </c>
      <c r="F83" s="12" t="str">
        <f>CONCATENATE("Interior ",Table_LPA_SxS[[#This Row],[Space-by-Space areas]])</f>
        <v>Interior Pharmacy area</v>
      </c>
      <c r="G83" s="12" t="s">
        <v>166</v>
      </c>
      <c r="H83" s="12">
        <v>49</v>
      </c>
      <c r="I83" s="12" t="str">
        <f t="shared" si="5"/>
        <v>Controls_Interior_Basic</v>
      </c>
      <c r="J83" s="12" t="s">
        <v>1397</v>
      </c>
      <c r="K83" s="12" t="s">
        <v>575</v>
      </c>
      <c r="L83" s="12" t="s">
        <v>1108</v>
      </c>
      <c r="M83" s="12" t="s">
        <v>359</v>
      </c>
    </row>
    <row r="84" spans="2:13">
      <c r="B84" t="s">
        <v>1785</v>
      </c>
      <c r="C84" s="12">
        <v>0.75</v>
      </c>
      <c r="D84" s="12">
        <v>0.71</v>
      </c>
      <c r="E84" s="12">
        <v>20</v>
      </c>
      <c r="F84" s="12" t="str">
        <f>CONCATENATE("Interior ",Table_LPA_SxS[[#This Row],[Space-by-Space areas]])</f>
        <v>Interior Post office: Sorting area</v>
      </c>
      <c r="G84" s="12" t="s">
        <v>166</v>
      </c>
      <c r="H84" s="12">
        <v>85</v>
      </c>
      <c r="I84" s="12" t="str">
        <f t="shared" si="5"/>
        <v>Controls_Interior_Basic</v>
      </c>
      <c r="J84" s="12" t="s">
        <v>1397</v>
      </c>
      <c r="K84" s="12" t="s">
        <v>575</v>
      </c>
      <c r="L84" s="12" t="s">
        <v>1108</v>
      </c>
      <c r="M84" s="12" t="s">
        <v>359</v>
      </c>
    </row>
    <row r="85" spans="2:13">
      <c r="B85" t="s">
        <v>1786</v>
      </c>
      <c r="C85" s="12">
        <v>0.51</v>
      </c>
      <c r="D85" s="12">
        <v>0.54</v>
      </c>
      <c r="E85" s="12">
        <v>20</v>
      </c>
      <c r="F85" s="12" t="str">
        <f>CONCATENATE("Interior ",Table_LPA_SxS[[#This Row],[Space-by-Space areas]])</f>
        <v>Interior Religious building: Fellowship hall</v>
      </c>
      <c r="G85" s="12" t="s">
        <v>166</v>
      </c>
      <c r="H85" s="12">
        <v>86</v>
      </c>
      <c r="I85" s="12" t="str">
        <f t="shared" si="5"/>
        <v>Controls_Interior_Basic</v>
      </c>
      <c r="J85" s="12" t="s">
        <v>1397</v>
      </c>
      <c r="K85" s="12" t="s">
        <v>554</v>
      </c>
      <c r="L85" s="12" t="s">
        <v>1108</v>
      </c>
      <c r="M85" s="12" t="s">
        <v>359</v>
      </c>
    </row>
    <row r="86" spans="2:13">
      <c r="B86" t="s">
        <v>1787</v>
      </c>
      <c r="C86" s="12">
        <v>1.22</v>
      </c>
      <c r="D86" s="12">
        <v>0.85</v>
      </c>
      <c r="E86" s="12">
        <v>20</v>
      </c>
      <c r="F86" s="12" t="str">
        <f>CONCATENATE("Interior ",Table_LPA_SxS[[#This Row],[Space-by-Space areas]])</f>
        <v>Interior Religious building: Worship pulpit/choir</v>
      </c>
      <c r="G86" s="12" t="s">
        <v>166</v>
      </c>
      <c r="H86" s="12">
        <v>87</v>
      </c>
      <c r="I86" s="12" t="str">
        <f t="shared" si="5"/>
        <v>Controls_Interior_Basic</v>
      </c>
      <c r="J86" s="12" t="s">
        <v>1397</v>
      </c>
      <c r="K86" s="12" t="s">
        <v>554</v>
      </c>
      <c r="L86" s="12" t="s">
        <v>1108</v>
      </c>
      <c r="M86" s="12" t="s">
        <v>359</v>
      </c>
    </row>
    <row r="87" spans="2:13">
      <c r="B87" t="s">
        <v>1788</v>
      </c>
      <c r="C87" s="12">
        <v>0.78</v>
      </c>
      <c r="D87" s="12">
        <v>0.63</v>
      </c>
      <c r="E87" s="12">
        <v>20</v>
      </c>
      <c r="F87" s="12" t="str">
        <f>CONCATENATE("Interior ",Table_LPA_SxS[[#This Row],[Space-by-Space areas]])</f>
        <v>Interior Restroom: all other</v>
      </c>
      <c r="G87" s="12" t="s">
        <v>166</v>
      </c>
      <c r="H87" s="12">
        <v>51</v>
      </c>
      <c r="I87" s="12" t="str">
        <f t="shared" si="5"/>
        <v>Controls_Interior_Basic</v>
      </c>
      <c r="J87" s="12" t="s">
        <v>1397</v>
      </c>
      <c r="K87" s="12" t="s">
        <v>580</v>
      </c>
      <c r="L87" s="12" t="s">
        <v>1108</v>
      </c>
      <c r="M87" s="12" t="s">
        <v>353</v>
      </c>
    </row>
    <row r="88" spans="2:13">
      <c r="B88" t="s">
        <v>1789</v>
      </c>
      <c r="C88" s="12">
        <v>0.97</v>
      </c>
      <c r="D88" s="12">
        <v>1.26</v>
      </c>
      <c r="E88" s="12">
        <v>20</v>
      </c>
      <c r="F88" s="12" t="str">
        <f>CONCATENATE("Interior ",Table_LPA_SxS[[#This Row],[Space-by-Space areas]])</f>
        <v>Interior Restroom: facility for the visually impaired</v>
      </c>
      <c r="G88" s="12" t="s">
        <v>166</v>
      </c>
      <c r="H88" s="12">
        <v>50</v>
      </c>
      <c r="I88" s="12" t="str">
        <f t="shared" si="5"/>
        <v>Controls_Interior_Basic</v>
      </c>
      <c r="J88" s="12" t="s">
        <v>1397</v>
      </c>
      <c r="K88" s="12" t="s">
        <v>580</v>
      </c>
      <c r="L88" s="12" t="s">
        <v>1108</v>
      </c>
      <c r="M88" s="12" t="s">
        <v>353</v>
      </c>
    </row>
    <row r="89" spans="2:13">
      <c r="B89" t="s">
        <v>1790</v>
      </c>
      <c r="C89" s="12">
        <v>0.56999999999999995</v>
      </c>
      <c r="D89" s="12">
        <v>0.51</v>
      </c>
      <c r="E89" s="12">
        <v>20</v>
      </c>
      <c r="F89" s="12" t="str">
        <f>CONCATENATE("Interior ",Table_LPA_SxS[[#This Row],[Space-by-Space areas]])</f>
        <v>Interior Retail: Dressing/fitting area</v>
      </c>
      <c r="G89" s="12" t="s">
        <v>166</v>
      </c>
      <c r="H89" s="12">
        <v>88</v>
      </c>
      <c r="I89" s="12" t="str">
        <f t="shared" si="5"/>
        <v>Controls_Interior_Basic</v>
      </c>
      <c r="J89" s="12" t="s">
        <v>1397</v>
      </c>
      <c r="K89" s="12" t="s">
        <v>575</v>
      </c>
      <c r="L89" s="12" t="s">
        <v>1108</v>
      </c>
      <c r="M89" s="12" t="s">
        <v>359</v>
      </c>
    </row>
    <row r="90" spans="2:13">
      <c r="B90" t="s">
        <v>1791</v>
      </c>
      <c r="C90" s="12">
        <v>0.88</v>
      </c>
      <c r="D90" s="12">
        <v>0.82</v>
      </c>
      <c r="E90" s="12">
        <v>20</v>
      </c>
      <c r="F90" s="12" t="str">
        <f>CONCATENATE("Interior ",Table_LPA_SxS[[#This Row],[Space-by-Space areas]])</f>
        <v>Interior Retail: Mall concourse</v>
      </c>
      <c r="G90" s="12" t="s">
        <v>166</v>
      </c>
      <c r="H90" s="12">
        <v>89</v>
      </c>
      <c r="I90" s="12" t="str">
        <f t="shared" si="5"/>
        <v>Controls_Interior_Basic</v>
      </c>
      <c r="J90" s="12" t="s">
        <v>1397</v>
      </c>
      <c r="K90" s="12" t="s">
        <v>579</v>
      </c>
      <c r="L90" s="12" t="s">
        <v>1108</v>
      </c>
      <c r="M90" s="12" t="s">
        <v>359</v>
      </c>
    </row>
    <row r="91" spans="2:13">
      <c r="B91" t="s">
        <v>1792</v>
      </c>
      <c r="C91" s="12">
        <v>1.27</v>
      </c>
      <c r="D91" s="12">
        <v>1.05</v>
      </c>
      <c r="E91" s="12">
        <v>20</v>
      </c>
      <c r="F91" s="12" t="str">
        <f>CONCATENATE("Interior ",Table_LPA_SxS[[#This Row],[Space-by-Space areas]])</f>
        <v>Interior Sales area</v>
      </c>
      <c r="G91" s="12" t="s">
        <v>166</v>
      </c>
      <c r="H91" s="12">
        <v>52</v>
      </c>
      <c r="I91" s="12" t="str">
        <f t="shared" si="5"/>
        <v>Controls_Interior_Basic</v>
      </c>
      <c r="J91" s="12" t="s">
        <v>1397</v>
      </c>
      <c r="K91" s="12" t="s">
        <v>581</v>
      </c>
      <c r="L91" s="12" t="s">
        <v>1108</v>
      </c>
      <c r="M91" s="12" t="s">
        <v>359</v>
      </c>
    </row>
    <row r="92" spans="2:13">
      <c r="B92" t="s">
        <v>1793</v>
      </c>
      <c r="C92" s="12">
        <v>1.27</v>
      </c>
      <c r="D92" s="12">
        <v>1.05</v>
      </c>
      <c r="E92" s="12">
        <v>20</v>
      </c>
      <c r="F92" s="12" t="str">
        <f>CONCATENATE("Interior ",Table_LPA_SxS[[#This Row],[Space-by-Space areas]])</f>
        <v>Interior Sales area (Top Lighted)</v>
      </c>
      <c r="G92" s="12" t="s">
        <v>157</v>
      </c>
      <c r="H92" s="12">
        <v>52</v>
      </c>
      <c r="I92" s="12" t="str">
        <f t="shared" si="5"/>
        <v>Controls_Interior_LLLC</v>
      </c>
      <c r="J92" s="12" t="s">
        <v>1397</v>
      </c>
      <c r="K92" s="12" t="s">
        <v>581</v>
      </c>
      <c r="L92" s="12" t="s">
        <v>1108</v>
      </c>
      <c r="M92" s="12" t="s">
        <v>359</v>
      </c>
    </row>
    <row r="93" spans="2:13">
      <c r="B93" t="s">
        <v>1794</v>
      </c>
      <c r="C93" s="12">
        <v>0.43</v>
      </c>
      <c r="D93" s="12">
        <v>0.23</v>
      </c>
      <c r="E93" s="12">
        <v>20</v>
      </c>
      <c r="F93" s="12" t="str">
        <f>CONCATENATE("Interior ",Table_LPA_SxS[[#This Row],[Space-by-Space areas]])</f>
        <v>Interior Seating area, general</v>
      </c>
      <c r="G93" s="12" t="s">
        <v>166</v>
      </c>
      <c r="H93" s="12">
        <v>53</v>
      </c>
      <c r="I93" s="12" t="str">
        <f t="shared" si="5"/>
        <v>Controls_Interior_Basic</v>
      </c>
      <c r="J93" s="12" t="s">
        <v>1397</v>
      </c>
      <c r="K93" s="12" t="s">
        <v>554</v>
      </c>
      <c r="L93" s="12" t="s">
        <v>1108</v>
      </c>
      <c r="M93" s="12" t="s">
        <v>359</v>
      </c>
    </row>
    <row r="94" spans="2:13">
      <c r="B94" t="s">
        <v>1795</v>
      </c>
      <c r="C94" s="12">
        <v>2.41</v>
      </c>
      <c r="D94" s="12">
        <v>2.94</v>
      </c>
      <c r="E94" s="12">
        <v>20</v>
      </c>
      <c r="F94" s="12" t="str">
        <f>CONCATENATE("Interior ",Table_LPA_SxS[[#This Row],[Space-by-Space areas]])</f>
        <v>Interior Sports arena: Court sports area ‑ Class 1</v>
      </c>
      <c r="G94" s="12" t="s">
        <v>166</v>
      </c>
      <c r="H94" s="12">
        <v>90</v>
      </c>
      <c r="I94" s="12" t="str">
        <f t="shared" ref="I94:I108" si="6">IF(G94="No","Controls_Interior_Basic", "Controls_Interior_LLLC")</f>
        <v>Controls_Interior_Basic</v>
      </c>
      <c r="J94" s="12" t="s">
        <v>1397</v>
      </c>
      <c r="K94" s="12" t="s">
        <v>361</v>
      </c>
      <c r="L94" s="12" t="s">
        <v>1108</v>
      </c>
      <c r="M94" s="12" t="s">
        <v>359</v>
      </c>
    </row>
    <row r="95" spans="2:13">
      <c r="B95" t="s">
        <v>1796</v>
      </c>
      <c r="C95" s="12">
        <v>1.54</v>
      </c>
      <c r="D95" s="12">
        <v>2.0099999999999998</v>
      </c>
      <c r="E95" s="12">
        <v>20</v>
      </c>
      <c r="F95" s="12" t="str">
        <f>CONCATENATE("Interior ",Table_LPA_SxS[[#This Row],[Space-by-Space areas]])</f>
        <v>Interior Sports arena: Court sports area ‑ Class 2</v>
      </c>
      <c r="G95" s="12" t="s">
        <v>166</v>
      </c>
      <c r="H95" s="12">
        <v>91</v>
      </c>
      <c r="I95" s="12" t="str">
        <f t="shared" si="6"/>
        <v>Controls_Interior_Basic</v>
      </c>
      <c r="J95" s="12" t="s">
        <v>1397</v>
      </c>
      <c r="K95" s="12" t="s">
        <v>361</v>
      </c>
      <c r="L95" s="12" t="s">
        <v>1108</v>
      </c>
      <c r="M95" s="12" t="s">
        <v>359</v>
      </c>
    </row>
    <row r="96" spans="2:13">
      <c r="B96" t="s">
        <v>1797</v>
      </c>
      <c r="C96" s="12">
        <v>0.96</v>
      </c>
      <c r="D96" s="12">
        <v>1.3</v>
      </c>
      <c r="E96" s="12">
        <v>20</v>
      </c>
      <c r="F96" s="12" t="str">
        <f>CONCATENATE("Interior ",Table_LPA_SxS[[#This Row],[Space-by-Space areas]])</f>
        <v>Interior Sports arena: Court sports area ‑ Class 3</v>
      </c>
      <c r="G96" s="12" t="s">
        <v>166</v>
      </c>
      <c r="H96" s="12">
        <v>92</v>
      </c>
      <c r="I96" s="12" t="str">
        <f t="shared" si="6"/>
        <v>Controls_Interior_Basic</v>
      </c>
      <c r="J96" s="12" t="s">
        <v>1397</v>
      </c>
      <c r="K96" s="12" t="s">
        <v>361</v>
      </c>
      <c r="L96" s="12" t="s">
        <v>1108</v>
      </c>
      <c r="M96" s="12" t="s">
        <v>359</v>
      </c>
    </row>
    <row r="97" spans="2:13">
      <c r="B97" t="s">
        <v>1798</v>
      </c>
      <c r="C97" s="12">
        <v>0.57999999999999996</v>
      </c>
      <c r="D97" s="12">
        <v>0.86</v>
      </c>
      <c r="E97" s="12">
        <v>20</v>
      </c>
      <c r="F97" s="12" t="str">
        <f>CONCATENATE("Interior ",Table_LPA_SxS[[#This Row],[Space-by-Space areas]])</f>
        <v>Interior Sports arena: Court sports area ‑ Class 4</v>
      </c>
      <c r="G97" s="12" t="s">
        <v>166</v>
      </c>
      <c r="H97" s="12">
        <v>93</v>
      </c>
      <c r="I97" s="12" t="str">
        <f t="shared" si="6"/>
        <v>Controls_Interior_Basic</v>
      </c>
      <c r="J97" s="12" t="s">
        <v>1397</v>
      </c>
      <c r="K97" s="12" t="s">
        <v>361</v>
      </c>
      <c r="L97" s="12" t="s">
        <v>1108</v>
      </c>
      <c r="M97" s="12" t="s">
        <v>359</v>
      </c>
    </row>
    <row r="98" spans="2:13">
      <c r="B98" t="s">
        <v>1799</v>
      </c>
      <c r="C98" s="12">
        <v>0.55000000000000004</v>
      </c>
      <c r="D98" s="12">
        <v>0.49</v>
      </c>
      <c r="E98" s="12">
        <v>20</v>
      </c>
      <c r="F98" s="12" t="str">
        <f>CONCATENATE("Interior ",Table_LPA_SxS[[#This Row],[Space-by-Space areas]])</f>
        <v>Interior Stairwell</v>
      </c>
      <c r="G98" s="12" t="s">
        <v>166</v>
      </c>
      <c r="H98" s="12">
        <v>54</v>
      </c>
      <c r="I98" s="12" t="str">
        <f t="shared" si="6"/>
        <v>Controls_Interior_Basic</v>
      </c>
      <c r="J98" s="12" t="s">
        <v>1397</v>
      </c>
      <c r="K98" s="12" t="s">
        <v>575</v>
      </c>
      <c r="L98" s="12" t="s">
        <v>1108</v>
      </c>
      <c r="M98" s="12" t="s">
        <v>353</v>
      </c>
    </row>
    <row r="99" spans="2:13">
      <c r="B99" t="s">
        <v>1800</v>
      </c>
      <c r="C99" s="12">
        <v>0.5</v>
      </c>
      <c r="D99" s="12">
        <v>0.51</v>
      </c>
      <c r="E99" s="12">
        <v>20</v>
      </c>
      <c r="F99" s="12" t="str">
        <f>CONCATENATE("Interior ",Table_LPA_SxS[[#This Row],[Space-by-Space areas]])</f>
        <v>Interior Storage room</v>
      </c>
      <c r="G99" s="12" t="s">
        <v>166</v>
      </c>
      <c r="H99" s="12">
        <v>55</v>
      </c>
      <c r="I99" s="12" t="str">
        <f t="shared" si="6"/>
        <v>Controls_Interior_Basic</v>
      </c>
      <c r="J99" s="12" t="s">
        <v>1397</v>
      </c>
      <c r="K99" s="12" t="s">
        <v>583</v>
      </c>
      <c r="L99" s="12" t="s">
        <v>1108</v>
      </c>
      <c r="M99" s="12" t="s">
        <v>353</v>
      </c>
    </row>
    <row r="100" spans="2:13">
      <c r="B100" t="s">
        <v>1801</v>
      </c>
      <c r="C100" s="12">
        <v>0.28999999999999998</v>
      </c>
      <c r="D100" s="12">
        <v>0.25</v>
      </c>
      <c r="E100" s="12">
        <v>20</v>
      </c>
      <c r="F100" s="12" t="str">
        <f>CONCATENATE("Interior ",Table_LPA_SxS[[#This Row],[Space-by-Space areas]])</f>
        <v>Interior Transportation: Airport concourse</v>
      </c>
      <c r="G100" s="12" t="s">
        <v>166</v>
      </c>
      <c r="H100" s="12">
        <v>95</v>
      </c>
      <c r="I100" s="12" t="str">
        <f t="shared" si="6"/>
        <v>Controls_Interior_Basic</v>
      </c>
      <c r="J100" s="12" t="s">
        <v>1397</v>
      </c>
      <c r="K100" s="12" t="s">
        <v>579</v>
      </c>
      <c r="L100" s="12" t="s">
        <v>1108</v>
      </c>
      <c r="M100" s="12" t="s">
        <v>359</v>
      </c>
    </row>
    <row r="101" spans="2:13">
      <c r="B101" t="s">
        <v>1802</v>
      </c>
      <c r="C101" s="12">
        <v>0.42</v>
      </c>
      <c r="D101" s="12">
        <v>0.39</v>
      </c>
      <c r="E101" s="12">
        <v>20</v>
      </c>
      <c r="F101" s="12" t="str">
        <f>CONCATENATE("Interior ",Table_LPA_SxS[[#This Row],[Space-by-Space areas]])</f>
        <v>Interior Transportation: Baggage/carousel area</v>
      </c>
      <c r="G101" s="12" t="s">
        <v>166</v>
      </c>
      <c r="H101" s="12">
        <v>94</v>
      </c>
      <c r="I101" s="12" t="str">
        <f t="shared" si="6"/>
        <v>Controls_Interior_Basic</v>
      </c>
      <c r="J101" s="12" t="s">
        <v>1397</v>
      </c>
      <c r="K101" s="12" t="s">
        <v>579</v>
      </c>
      <c r="L101" s="12" t="s">
        <v>1108</v>
      </c>
      <c r="M101" s="12" t="s">
        <v>359</v>
      </c>
    </row>
    <row r="102" spans="2:13">
      <c r="B102" t="s">
        <v>1803</v>
      </c>
      <c r="C102" s="12">
        <v>0.64</v>
      </c>
      <c r="D102" s="12">
        <v>0.51</v>
      </c>
      <c r="E102" s="12">
        <v>20</v>
      </c>
      <c r="F102" s="12" t="str">
        <f>CONCATENATE("Interior ",Table_LPA_SxS[[#This Row],[Space-by-Space areas]])</f>
        <v>Interior Transportation: Terminal ‑ Ticket counter</v>
      </c>
      <c r="G102" s="12" t="s">
        <v>166</v>
      </c>
      <c r="H102" s="12">
        <v>96</v>
      </c>
      <c r="I102" s="12" t="str">
        <f t="shared" si="6"/>
        <v>Controls_Interior_Basic</v>
      </c>
      <c r="J102" s="12" t="s">
        <v>1397</v>
      </c>
      <c r="K102" s="12" t="s">
        <v>579</v>
      </c>
      <c r="L102" s="12" t="s">
        <v>1108</v>
      </c>
      <c r="M102" s="12" t="s">
        <v>359</v>
      </c>
    </row>
    <row r="103" spans="2:13">
      <c r="B103" t="s">
        <v>1804</v>
      </c>
      <c r="C103" s="12">
        <v>0.54</v>
      </c>
      <c r="D103" s="12">
        <v>0.6</v>
      </c>
      <c r="E103" s="12">
        <v>20</v>
      </c>
      <c r="F103" s="12" t="str">
        <f>CONCATENATE("Interior ",Table_LPA_SxS[[#This Row],[Space-by-Space areas]])</f>
        <v>Interior Vehicular maintenance</v>
      </c>
      <c r="G103" s="12" t="s">
        <v>166</v>
      </c>
      <c r="H103" s="12">
        <v>56</v>
      </c>
      <c r="I103" s="12" t="str">
        <f t="shared" si="6"/>
        <v>Controls_Interior_Basic</v>
      </c>
      <c r="J103" s="12" t="s">
        <v>1397</v>
      </c>
      <c r="K103" s="12" t="s">
        <v>575</v>
      </c>
      <c r="L103" s="12" t="s">
        <v>1108</v>
      </c>
      <c r="M103" s="12" t="s">
        <v>359</v>
      </c>
    </row>
    <row r="104" spans="2:13">
      <c r="B104" t="s">
        <v>1805</v>
      </c>
      <c r="C104" s="12">
        <v>0.46</v>
      </c>
      <c r="D104" s="12">
        <v>0.33</v>
      </c>
      <c r="E104" s="12">
        <v>20</v>
      </c>
      <c r="F104" s="12" t="str">
        <f>CONCATENATE("Interior ",Table_LPA_SxS[[#This Row],[Space-by-Space areas]])</f>
        <v>Interior Warehouse: Medium/bulky palletized items</v>
      </c>
      <c r="G104" s="12" t="s">
        <v>166</v>
      </c>
      <c r="H104" s="12">
        <v>97</v>
      </c>
      <c r="I104" s="12" t="str">
        <f t="shared" si="6"/>
        <v>Controls_Interior_Basic</v>
      </c>
      <c r="J104" s="12" t="s">
        <v>1397</v>
      </c>
      <c r="K104" s="12" t="s">
        <v>586</v>
      </c>
      <c r="L104" s="12" t="s">
        <v>1108</v>
      </c>
      <c r="M104" s="12" t="s">
        <v>353</v>
      </c>
    </row>
    <row r="105" spans="2:13">
      <c r="B105" t="s">
        <v>1806</v>
      </c>
      <c r="C105" s="12">
        <v>0.46</v>
      </c>
      <c r="D105" s="12">
        <v>0.33</v>
      </c>
      <c r="E105" s="12">
        <v>20</v>
      </c>
      <c r="F105" s="12" t="str">
        <f>CONCATENATE("Interior ",Table_LPA_SxS[[#This Row],[Space-by-Space areas]])</f>
        <v>Interior Warehouse: Medium/bulky palletized items (Top Lighted)</v>
      </c>
      <c r="G105" s="12" t="s">
        <v>157</v>
      </c>
      <c r="H105" s="12">
        <v>97</v>
      </c>
      <c r="I105" s="12" t="str">
        <f t="shared" si="6"/>
        <v>Controls_Interior_LLLC</v>
      </c>
      <c r="J105" s="12" t="s">
        <v>1397</v>
      </c>
      <c r="K105" s="39" t="s">
        <v>588</v>
      </c>
      <c r="L105" s="12" t="s">
        <v>1108</v>
      </c>
      <c r="M105" s="12" t="s">
        <v>353</v>
      </c>
    </row>
    <row r="106" spans="2:13">
      <c r="B106" t="s">
        <v>1807</v>
      </c>
      <c r="C106" s="12">
        <v>0.76</v>
      </c>
      <c r="D106" s="12">
        <v>0.69</v>
      </c>
      <c r="E106" s="12">
        <v>20</v>
      </c>
      <c r="F106" s="12" t="str">
        <f>CONCATENATE("Interior ",Table_LPA_SxS[[#This Row],[Space-by-Space areas]])</f>
        <v>Interior Warehouse: Smaller, hand carried items</v>
      </c>
      <c r="G106" s="12" t="s">
        <v>166</v>
      </c>
      <c r="H106" s="12">
        <v>98</v>
      </c>
      <c r="I106" s="12" t="str">
        <f t="shared" si="6"/>
        <v>Controls_Interior_Basic</v>
      </c>
      <c r="J106" s="12" t="s">
        <v>1397</v>
      </c>
      <c r="K106" s="12" t="s">
        <v>586</v>
      </c>
      <c r="L106" s="12" t="s">
        <v>1108</v>
      </c>
      <c r="M106" s="12" t="s">
        <v>353</v>
      </c>
    </row>
    <row r="107" spans="2:13">
      <c r="B107" t="s">
        <v>1808</v>
      </c>
      <c r="C107" s="12">
        <v>0.76</v>
      </c>
      <c r="D107" s="12">
        <v>0.69</v>
      </c>
      <c r="E107" s="12">
        <v>20</v>
      </c>
      <c r="F107" s="12" t="str">
        <f>CONCATENATE("Interior ",Table_LPA_SxS[[#This Row],[Space-by-Space areas]])</f>
        <v>Interior Warehouse: Smaller, hand carried items (Top Lighted)</v>
      </c>
      <c r="G107" s="12" t="s">
        <v>157</v>
      </c>
      <c r="H107" s="12">
        <v>98</v>
      </c>
      <c r="I107" s="12" t="str">
        <f t="shared" si="6"/>
        <v>Controls_Interior_LLLC</v>
      </c>
      <c r="J107" s="12" t="s">
        <v>1397</v>
      </c>
      <c r="K107" s="39" t="s">
        <v>588</v>
      </c>
      <c r="L107" s="12" t="s">
        <v>1108</v>
      </c>
      <c r="M107" s="12" t="s">
        <v>353</v>
      </c>
    </row>
    <row r="108" spans="2:13">
      <c r="B108" t="s">
        <v>1054</v>
      </c>
      <c r="C108" s="12">
        <v>1.27</v>
      </c>
      <c r="D108" s="12">
        <v>1.26</v>
      </c>
      <c r="E108" s="12">
        <v>20</v>
      </c>
      <c r="F108" s="12" t="str">
        <f>CONCATENATE("Interior ",Table_LPA_SxS[[#This Row],[Space-by-Space areas]])</f>
        <v>Interior Workshop</v>
      </c>
      <c r="G108" s="12" t="s">
        <v>166</v>
      </c>
      <c r="H108" s="12">
        <v>57</v>
      </c>
      <c r="I108" s="12" t="str">
        <f t="shared" si="6"/>
        <v>Controls_Interior_Basic</v>
      </c>
      <c r="J108" s="12" t="s">
        <v>1397</v>
      </c>
      <c r="K108" s="39" t="s">
        <v>578</v>
      </c>
      <c r="L108" s="12" t="s">
        <v>1074</v>
      </c>
      <c r="M108" s="12"/>
    </row>
    <row r="109" spans="2:13">
      <c r="B109" s="22" t="s">
        <v>554</v>
      </c>
      <c r="C109" s="12"/>
      <c r="D109" s="12"/>
      <c r="E109" s="12"/>
      <c r="F109" s="12" t="str">
        <f>CONCATENATE("Interior ",Table_LPA_SxS[[#This Row],[Space-by-Space areas]])</f>
        <v>Interior Assembly</v>
      </c>
      <c r="G109" s="12" t="s">
        <v>166</v>
      </c>
      <c r="H109" s="12"/>
      <c r="I109" s="12" t="str">
        <f t="shared" ref="I109:I134" si="7">IF(G109="No","Controls_Interior_Basic", "Controls_Interior_LLLC")</f>
        <v>Controls_Interior_Basic</v>
      </c>
      <c r="J109" s="12" t="s">
        <v>1397</v>
      </c>
      <c r="K109" s="12" t="s">
        <v>554</v>
      </c>
      <c r="L109" s="12" t="s">
        <v>1074</v>
      </c>
      <c r="M109" s="12"/>
    </row>
    <row r="110" spans="2:13">
      <c r="B110" s="22" t="s">
        <v>555</v>
      </c>
      <c r="C110" s="12"/>
      <c r="D110" s="12"/>
      <c r="E110" s="12"/>
      <c r="F110" s="12" t="str">
        <f>CONCATENATE("Interior ",Table_LPA_SxS[[#This Row],[Space-by-Space areas]])</f>
        <v>Interior Break Room</v>
      </c>
      <c r="G110" s="12" t="s">
        <v>166</v>
      </c>
      <c r="H110" s="12"/>
      <c r="I110" s="12" t="str">
        <f t="shared" si="7"/>
        <v>Controls_Interior_Basic</v>
      </c>
      <c r="J110" s="12" t="s">
        <v>1397</v>
      </c>
      <c r="K110" s="12" t="s">
        <v>555</v>
      </c>
      <c r="L110" s="12" t="s">
        <v>1074</v>
      </c>
      <c r="M110" s="12"/>
    </row>
    <row r="111" spans="2:13">
      <c r="B111" s="22" t="s">
        <v>354</v>
      </c>
      <c r="C111" s="12"/>
      <c r="D111" s="12"/>
      <c r="E111" s="12"/>
      <c r="F111" s="12" t="str">
        <f>CONCATENATE("Interior ",Table_LPA_SxS[[#This Row],[Space-by-Space areas]])</f>
        <v>Interior Classroom</v>
      </c>
      <c r="G111" s="12" t="s">
        <v>157</v>
      </c>
      <c r="H111" s="12"/>
      <c r="I111" s="12" t="str">
        <f t="shared" si="7"/>
        <v>Controls_Interior_LLLC</v>
      </c>
      <c r="J111" s="12" t="s">
        <v>1397</v>
      </c>
      <c r="K111" s="12" t="s">
        <v>354</v>
      </c>
      <c r="L111" s="12" t="s">
        <v>1074</v>
      </c>
      <c r="M111" s="12"/>
    </row>
    <row r="112" spans="2:13">
      <c r="B112" s="22" t="s">
        <v>1443</v>
      </c>
      <c r="C112" s="12"/>
      <c r="D112" s="12"/>
      <c r="E112" s="12"/>
      <c r="F112" s="12" t="str">
        <f>CONCATENATE("Interior ",Table_LPA_SxS[[#This Row],[Space-by-Space areas]])</f>
        <v>Interior Computer Rooms</v>
      </c>
      <c r="G112" s="12" t="s">
        <v>166</v>
      </c>
      <c r="H112" s="12"/>
      <c r="I112" s="12" t="str">
        <f t="shared" si="7"/>
        <v>Controls_Interior_Basic</v>
      </c>
      <c r="J112" s="12" t="s">
        <v>1397</v>
      </c>
      <c r="K112" s="12" t="s">
        <v>558</v>
      </c>
      <c r="L112" s="12" t="s">
        <v>1074</v>
      </c>
      <c r="M112" s="12"/>
    </row>
    <row r="113" spans="2:13">
      <c r="B113" s="22" t="s">
        <v>560</v>
      </c>
      <c r="C113" s="12"/>
      <c r="D113" s="12"/>
      <c r="E113" s="12"/>
      <c r="F113" s="12" t="str">
        <f>CONCATENATE("Interior ",Table_LPA_SxS[[#This Row],[Space-by-Space areas]])</f>
        <v>Interior Conference Room</v>
      </c>
      <c r="G113" s="12" t="s">
        <v>157</v>
      </c>
      <c r="H113" s="12"/>
      <c r="I113" s="12" t="str">
        <f t="shared" si="7"/>
        <v>Controls_Interior_LLLC</v>
      </c>
      <c r="J113" s="12" t="s">
        <v>1397</v>
      </c>
      <c r="K113" s="12" t="s">
        <v>560</v>
      </c>
      <c r="L113" s="12" t="s">
        <v>1074</v>
      </c>
      <c r="M113" s="12"/>
    </row>
    <row r="114" spans="2:13">
      <c r="B114" s="22" t="s">
        <v>562</v>
      </c>
      <c r="C114" s="12"/>
      <c r="D114" s="12"/>
      <c r="E114" s="12"/>
      <c r="F114" s="12" t="str">
        <f>CONCATENATE("Interior ",Table_LPA_SxS[[#This Row],[Space-by-Space areas]])</f>
        <v>Interior Dining</v>
      </c>
      <c r="G114" s="12" t="s">
        <v>166</v>
      </c>
      <c r="H114" s="12"/>
      <c r="I114" s="12" t="str">
        <f t="shared" si="7"/>
        <v>Controls_Interior_Basic</v>
      </c>
      <c r="J114" s="12" t="s">
        <v>1397</v>
      </c>
      <c r="K114" s="12" t="s">
        <v>562</v>
      </c>
      <c r="L114" s="12" t="s">
        <v>1074</v>
      </c>
      <c r="M114" s="12"/>
    </row>
    <row r="115" spans="2:13">
      <c r="B115" s="22" t="s">
        <v>361</v>
      </c>
      <c r="C115" s="12"/>
      <c r="D115" s="12"/>
      <c r="E115" s="12"/>
      <c r="F115" s="12" t="str">
        <f>CONCATENATE("Interior ",Table_LPA_SxS[[#This Row],[Space-by-Space areas]])</f>
        <v>Interior Gymnasium</v>
      </c>
      <c r="G115" s="12" t="s">
        <v>166</v>
      </c>
      <c r="H115" s="12"/>
      <c r="I115" s="12" t="str">
        <f t="shared" si="7"/>
        <v>Controls_Interior_Basic</v>
      </c>
      <c r="J115" s="12" t="s">
        <v>1397</v>
      </c>
      <c r="K115" s="12" t="s">
        <v>361</v>
      </c>
      <c r="L115" s="12" t="s">
        <v>1074</v>
      </c>
      <c r="M115" s="12"/>
    </row>
    <row r="116" spans="2:13">
      <c r="B116" s="22" t="s">
        <v>567</v>
      </c>
      <c r="C116" s="12"/>
      <c r="D116" s="12"/>
      <c r="E116" s="12"/>
      <c r="F116" s="12" t="str">
        <f>CONCATENATE("Interior ",Table_LPA_SxS[[#This Row],[Space-by-Space areas]])</f>
        <v>Interior Hallway</v>
      </c>
      <c r="G116" s="12" t="s">
        <v>166</v>
      </c>
      <c r="H116" s="12"/>
      <c r="I116" s="12" t="str">
        <f t="shared" si="7"/>
        <v>Controls_Interior_Basic</v>
      </c>
      <c r="J116" s="12" t="s">
        <v>1397</v>
      </c>
      <c r="K116" s="12" t="s">
        <v>567</v>
      </c>
      <c r="L116" s="12" t="s">
        <v>1074</v>
      </c>
      <c r="M116" s="12"/>
    </row>
    <row r="117" spans="2:13">
      <c r="B117" s="22" t="s">
        <v>568</v>
      </c>
      <c r="C117" s="12"/>
      <c r="D117" s="12"/>
      <c r="E117" s="12"/>
      <c r="F117" s="12" t="str">
        <f>CONCATENATE("Interior ",Table_LPA_SxS[[#This Row],[Space-by-Space areas]])</f>
        <v>Interior Hospital Room</v>
      </c>
      <c r="G117" s="12" t="s">
        <v>166</v>
      </c>
      <c r="H117" s="12"/>
      <c r="I117" s="12" t="str">
        <f t="shared" si="7"/>
        <v>Controls_Interior_Basic</v>
      </c>
      <c r="J117" s="12" t="s">
        <v>1397</v>
      </c>
      <c r="K117" s="12" t="s">
        <v>568</v>
      </c>
      <c r="L117" s="12" t="s">
        <v>1074</v>
      </c>
      <c r="M117" s="12"/>
    </row>
    <row r="118" spans="2:13">
      <c r="B118" s="22" t="s">
        <v>569</v>
      </c>
      <c r="C118" s="12"/>
      <c r="D118" s="12"/>
      <c r="E118" s="12"/>
      <c r="F118" s="12" t="str">
        <f>CONCATENATE("Interior ",Table_LPA_SxS[[#This Row],[Space-by-Space areas]])</f>
        <v>Interior Industrial</v>
      </c>
      <c r="G118" s="12" t="s">
        <v>166</v>
      </c>
      <c r="H118" s="12"/>
      <c r="I118" s="12" t="str">
        <f t="shared" si="7"/>
        <v>Controls_Interior_Basic</v>
      </c>
      <c r="J118" s="12" t="s">
        <v>1397</v>
      </c>
      <c r="K118" s="12" t="s">
        <v>569</v>
      </c>
      <c r="L118" s="12" t="s">
        <v>1074</v>
      </c>
      <c r="M118" s="12"/>
    </row>
    <row r="119" spans="2:13">
      <c r="B119" s="22" t="s">
        <v>570</v>
      </c>
      <c r="C119" s="12"/>
      <c r="D119" s="12"/>
      <c r="E119" s="12"/>
      <c r="F119" s="12" t="str">
        <f>CONCATENATE("Interior ",Table_LPA_SxS[[#This Row],[Space-by-Space areas]])</f>
        <v>Interior Kitchen</v>
      </c>
      <c r="G119" s="12" t="s">
        <v>166</v>
      </c>
      <c r="H119" s="12"/>
      <c r="I119" s="12" t="str">
        <f t="shared" si="7"/>
        <v>Controls_Interior_Basic</v>
      </c>
      <c r="J119" s="12" t="s">
        <v>1397</v>
      </c>
      <c r="K119" s="12" t="s">
        <v>570</v>
      </c>
      <c r="L119" s="12" t="s">
        <v>1074</v>
      </c>
      <c r="M119" s="12"/>
    </row>
    <row r="120" spans="2:13">
      <c r="B120" s="22" t="s">
        <v>571</v>
      </c>
      <c r="C120" s="12"/>
      <c r="D120" s="12"/>
      <c r="E120" s="12"/>
      <c r="F120" s="12" t="str">
        <f>CONCATENATE("Interior ",Table_LPA_SxS[[#This Row],[Space-by-Space areas]])</f>
        <v>Interior Library</v>
      </c>
      <c r="G120" s="12" t="s">
        <v>166</v>
      </c>
      <c r="H120" s="12"/>
      <c r="I120" s="12" t="str">
        <f t="shared" si="7"/>
        <v>Controls_Interior_Basic</v>
      </c>
      <c r="J120" s="12" t="s">
        <v>1397</v>
      </c>
      <c r="K120" s="12" t="s">
        <v>571</v>
      </c>
      <c r="L120" s="12" t="s">
        <v>1074</v>
      </c>
      <c r="M120" s="12"/>
    </row>
    <row r="121" spans="2:13">
      <c r="B121" s="22" t="s">
        <v>572</v>
      </c>
      <c r="C121" s="12"/>
      <c r="D121" s="12"/>
      <c r="E121" s="12"/>
      <c r="F121" s="12" t="str">
        <f>CONCATENATE("Interior ",Table_LPA_SxS[[#This Row],[Space-by-Space areas]])</f>
        <v>Interior Lobby</v>
      </c>
      <c r="G121" s="12" t="s">
        <v>166</v>
      </c>
      <c r="H121" s="12"/>
      <c r="I121" s="12" t="str">
        <f t="shared" si="7"/>
        <v>Controls_Interior_Basic</v>
      </c>
      <c r="J121" s="12" t="s">
        <v>1397</v>
      </c>
      <c r="K121" s="12" t="s">
        <v>572</v>
      </c>
      <c r="L121" s="12" t="s">
        <v>1074</v>
      </c>
      <c r="M121" s="12"/>
    </row>
    <row r="122" spans="2:13">
      <c r="B122" s="22" t="s">
        <v>573</v>
      </c>
      <c r="C122" s="12"/>
      <c r="D122" s="12"/>
      <c r="E122" s="12"/>
      <c r="F122" s="12" t="str">
        <f>CONCATENATE("Interior ",Table_LPA_SxS[[#This Row],[Space-by-Space areas]])</f>
        <v>Interior Lodging (Guest Rooms)</v>
      </c>
      <c r="G122" s="12" t="s">
        <v>166</v>
      </c>
      <c r="H122" s="12"/>
      <c r="I122" s="12" t="str">
        <f t="shared" si="7"/>
        <v>Controls_Interior_Basic</v>
      </c>
      <c r="J122" s="12" t="s">
        <v>1397</v>
      </c>
      <c r="K122" s="12" t="s">
        <v>573</v>
      </c>
      <c r="L122" s="12" t="s">
        <v>1074</v>
      </c>
      <c r="M122" s="12"/>
    </row>
    <row r="123" spans="2:13">
      <c r="B123" s="22" t="s">
        <v>574</v>
      </c>
      <c r="C123" s="12"/>
      <c r="D123" s="12"/>
      <c r="E123" s="12"/>
      <c r="F123" s="12" t="str">
        <f>CONCATENATE("Interior ",Table_LPA_SxS[[#This Row],[Space-by-Space areas]])</f>
        <v>Interior Open Office</v>
      </c>
      <c r="G123" s="12" t="s">
        <v>157</v>
      </c>
      <c r="H123" s="12"/>
      <c r="I123" s="12" t="str">
        <f t="shared" si="7"/>
        <v>Controls_Interior_LLLC</v>
      </c>
      <c r="J123" s="12" t="s">
        <v>1397</v>
      </c>
      <c r="K123" s="12" t="s">
        <v>574</v>
      </c>
      <c r="L123" s="12" t="s">
        <v>1074</v>
      </c>
      <c r="M123" s="12"/>
    </row>
    <row r="124" spans="2:13">
      <c r="B124" s="22" t="s">
        <v>575</v>
      </c>
      <c r="C124" s="12"/>
      <c r="D124" s="12"/>
      <c r="E124" s="12"/>
      <c r="F124" s="12" t="str">
        <f>CONCATENATE("Interior ",Table_LPA_SxS[[#This Row],[Space-by-Space areas]])</f>
        <v>Interior Other</v>
      </c>
      <c r="G124" s="12" t="s">
        <v>166</v>
      </c>
      <c r="H124" s="12"/>
      <c r="I124" s="12" t="str">
        <f t="shared" si="7"/>
        <v>Controls_Interior_Basic</v>
      </c>
      <c r="J124" s="12" t="s">
        <v>1397</v>
      </c>
      <c r="K124" s="12" t="s">
        <v>575</v>
      </c>
      <c r="L124" s="12" t="s">
        <v>1074</v>
      </c>
      <c r="M124" s="12"/>
    </row>
    <row r="125" spans="2:13">
      <c r="B125" s="22" t="s">
        <v>576</v>
      </c>
      <c r="C125" s="12"/>
      <c r="D125" s="12"/>
      <c r="E125" s="12"/>
      <c r="F125" s="12" t="str">
        <f>CONCATENATE("Interior ",Table_LPA_SxS[[#This Row],[Space-by-Space areas]])</f>
        <v>Interior Parking Garage</v>
      </c>
      <c r="G125" s="12" t="s">
        <v>166</v>
      </c>
      <c r="H125" s="12"/>
      <c r="I125" s="12" t="str">
        <f t="shared" si="7"/>
        <v>Controls_Interior_Basic</v>
      </c>
      <c r="J125" s="12" t="s">
        <v>1397</v>
      </c>
      <c r="K125" s="12" t="s">
        <v>576</v>
      </c>
      <c r="L125" s="12" t="s">
        <v>1074</v>
      </c>
      <c r="M125" s="12"/>
    </row>
    <row r="126" spans="2:13">
      <c r="B126" s="22" t="s">
        <v>577</v>
      </c>
      <c r="C126" s="12"/>
      <c r="D126" s="12"/>
      <c r="E126" s="12"/>
      <c r="F126" s="12" t="str">
        <f>CONCATENATE("Interior ",Table_LPA_SxS[[#This Row],[Space-by-Space areas]])</f>
        <v>Interior Private Office</v>
      </c>
      <c r="G126" s="12" t="s">
        <v>157</v>
      </c>
      <c r="H126" s="12"/>
      <c r="I126" s="12" t="str">
        <f t="shared" si="7"/>
        <v>Controls_Interior_LLLC</v>
      </c>
      <c r="J126" s="12" t="s">
        <v>1397</v>
      </c>
      <c r="K126" s="12" t="s">
        <v>577</v>
      </c>
      <c r="L126" s="12" t="s">
        <v>1074</v>
      </c>
      <c r="M126" s="12"/>
    </row>
    <row r="127" spans="2:13">
      <c r="B127" s="22" t="s">
        <v>578</v>
      </c>
      <c r="C127" s="12"/>
      <c r="D127" s="12"/>
      <c r="E127" s="12"/>
      <c r="F127" s="12" t="str">
        <f>CONCATENATE("Interior ",Table_LPA_SxS[[#This Row],[Space-by-Space areas]])</f>
        <v>Interior Process</v>
      </c>
      <c r="G127" s="12" t="s">
        <v>166</v>
      </c>
      <c r="H127" s="12"/>
      <c r="I127" s="12" t="str">
        <f t="shared" si="7"/>
        <v>Controls_Interior_Basic</v>
      </c>
      <c r="J127" s="12" t="s">
        <v>1397</v>
      </c>
      <c r="K127" s="12" t="s">
        <v>578</v>
      </c>
      <c r="L127" s="12" t="s">
        <v>1074</v>
      </c>
      <c r="M127" s="12"/>
    </row>
    <row r="128" spans="2:13">
      <c r="B128" s="22" t="s">
        <v>579</v>
      </c>
      <c r="C128" s="12"/>
      <c r="D128" s="12"/>
      <c r="E128" s="12"/>
      <c r="F128" s="12" t="str">
        <f>CONCATENATE("Interior ",Table_LPA_SxS[[#This Row],[Space-by-Space areas]])</f>
        <v>Interior Public Assembly</v>
      </c>
      <c r="G128" s="12" t="s">
        <v>166</v>
      </c>
      <c r="H128" s="12"/>
      <c r="I128" s="12" t="str">
        <f t="shared" si="7"/>
        <v>Controls_Interior_Basic</v>
      </c>
      <c r="J128" s="12" t="s">
        <v>1397</v>
      </c>
      <c r="K128" s="12" t="s">
        <v>579</v>
      </c>
      <c r="L128" s="12" t="s">
        <v>1074</v>
      </c>
      <c r="M128" s="12"/>
    </row>
    <row r="129" spans="2:13">
      <c r="B129" s="22" t="s">
        <v>580</v>
      </c>
      <c r="C129" s="12"/>
      <c r="D129" s="12"/>
      <c r="E129" s="12"/>
      <c r="F129" s="12" t="str">
        <f>CONCATENATE("Interior ",Table_LPA_SxS[[#This Row],[Space-by-Space areas]])</f>
        <v>Interior Restroom</v>
      </c>
      <c r="G129" s="12" t="s">
        <v>166</v>
      </c>
      <c r="H129" s="12"/>
      <c r="I129" s="12" t="str">
        <f t="shared" si="7"/>
        <v>Controls_Interior_Basic</v>
      </c>
      <c r="J129" s="12" t="s">
        <v>1397</v>
      </c>
      <c r="K129" s="12" t="s">
        <v>580</v>
      </c>
      <c r="L129" s="12" t="s">
        <v>1074</v>
      </c>
      <c r="M129" s="12"/>
    </row>
    <row r="130" spans="2:13">
      <c r="B130" s="22" t="s">
        <v>581</v>
      </c>
      <c r="C130" s="12"/>
      <c r="D130" s="12"/>
      <c r="E130" s="12"/>
      <c r="F130" s="12" t="str">
        <f>CONCATENATE("Interior ",Table_LPA_SxS[[#This Row],[Space-by-Space areas]])</f>
        <v>Interior Retail</v>
      </c>
      <c r="G130" s="12" t="s">
        <v>166</v>
      </c>
      <c r="H130" s="12"/>
      <c r="I130" s="12" t="str">
        <f t="shared" si="7"/>
        <v>Controls_Interior_Basic</v>
      </c>
      <c r="J130" s="12" t="s">
        <v>1397</v>
      </c>
      <c r="K130" s="12" t="s">
        <v>581</v>
      </c>
      <c r="L130" s="12" t="s">
        <v>1074</v>
      </c>
      <c r="M130" s="12"/>
    </row>
    <row r="131" spans="2:13">
      <c r="B131" s="22" t="s">
        <v>582</v>
      </c>
      <c r="C131" s="12"/>
      <c r="D131" s="12"/>
      <c r="E131" s="12"/>
      <c r="F131" s="12" t="str">
        <f>CONCATENATE("Interior ",Table_LPA_SxS[[#This Row],[Space-by-Space areas]])</f>
        <v>Interior Stairs</v>
      </c>
      <c r="G131" s="12" t="s">
        <v>166</v>
      </c>
      <c r="H131" s="12"/>
      <c r="I131" s="12" t="str">
        <f t="shared" si="7"/>
        <v>Controls_Interior_Basic</v>
      </c>
      <c r="J131" s="12" t="s">
        <v>1397</v>
      </c>
      <c r="K131" s="12" t="s">
        <v>582</v>
      </c>
      <c r="L131" s="12" t="s">
        <v>1074</v>
      </c>
      <c r="M131" s="12"/>
    </row>
    <row r="132" spans="2:13">
      <c r="B132" s="22" t="s">
        <v>583</v>
      </c>
      <c r="C132" s="12"/>
      <c r="D132" s="12"/>
      <c r="E132" s="12"/>
      <c r="F132" s="12" t="str">
        <f>CONCATENATE("Interior ",Table_LPA_SxS[[#This Row],[Space-by-Space areas]])</f>
        <v>Interior Storage</v>
      </c>
      <c r="G132" s="12" t="s">
        <v>166</v>
      </c>
      <c r="H132" s="12"/>
      <c r="I132" s="12" t="str">
        <f t="shared" si="7"/>
        <v>Controls_Interior_Basic</v>
      </c>
      <c r="J132" s="12" t="s">
        <v>1397</v>
      </c>
      <c r="K132" s="12" t="s">
        <v>583</v>
      </c>
      <c r="L132" s="12" t="s">
        <v>1074</v>
      </c>
      <c r="M132" s="12"/>
    </row>
    <row r="133" spans="2:13">
      <c r="B133" s="22" t="s">
        <v>584</v>
      </c>
      <c r="C133" s="12"/>
      <c r="D133" s="12"/>
      <c r="E133" s="12"/>
      <c r="F133" s="12" t="str">
        <f>CONCATENATE("Interior ",Table_LPA_SxS[[#This Row],[Space-by-Space areas]])</f>
        <v>Interior Technical Area</v>
      </c>
      <c r="G133" s="12" t="s">
        <v>166</v>
      </c>
      <c r="H133" s="12"/>
      <c r="I133" s="12" t="str">
        <f t="shared" si="7"/>
        <v>Controls_Interior_Basic</v>
      </c>
      <c r="J133" s="12" t="s">
        <v>1397</v>
      </c>
      <c r="K133" s="12" t="s">
        <v>584</v>
      </c>
      <c r="L133" s="12" t="s">
        <v>1074</v>
      </c>
      <c r="M133" s="12"/>
    </row>
    <row r="134" spans="2:13">
      <c r="B134" s="22" t="s">
        <v>586</v>
      </c>
      <c r="C134" s="12"/>
      <c r="D134" s="12"/>
      <c r="E134" s="12"/>
      <c r="F134" s="12" t="str">
        <f>CONCATENATE("Interior ",Table_LPA_SxS[[#This Row],[Space-by-Space areas]])</f>
        <v>Interior Warehouse</v>
      </c>
      <c r="G134" s="12" t="s">
        <v>166</v>
      </c>
      <c r="H134" s="12"/>
      <c r="I134" s="12" t="str">
        <f t="shared" si="7"/>
        <v>Controls_Interior_Basic</v>
      </c>
      <c r="J134" s="12" t="s">
        <v>1397</v>
      </c>
      <c r="K134" s="12" t="s">
        <v>586</v>
      </c>
      <c r="L134" s="12" t="s">
        <v>1074</v>
      </c>
      <c r="M134" s="12"/>
    </row>
    <row r="135" spans="2:13">
      <c r="B135" s="22" t="s">
        <v>588</v>
      </c>
      <c r="C135" s="12"/>
      <c r="D135" s="12"/>
      <c r="E135" s="12"/>
      <c r="F135" s="12" t="str">
        <f>CONCATENATE("Interior ",Table_LPA_SxS[[#This Row],[Space-by-Space areas]])</f>
        <v>Interior Warehouse (Top Lighted)</v>
      </c>
      <c r="G135" s="12" t="s">
        <v>157</v>
      </c>
      <c r="H135" s="12"/>
      <c r="I135" s="12"/>
      <c r="J135" s="12" t="s">
        <v>1397</v>
      </c>
      <c r="K135" s="12" t="s">
        <v>588</v>
      </c>
      <c r="L135" s="12" t="s">
        <v>1074</v>
      </c>
      <c r="M135" s="12"/>
    </row>
    <row r="137" spans="2:13">
      <c r="B137">
        <v>1</v>
      </c>
      <c r="C137">
        <v>2</v>
      </c>
      <c r="D137">
        <v>3</v>
      </c>
      <c r="E137">
        <v>4</v>
      </c>
      <c r="F137">
        <v>5</v>
      </c>
      <c r="G137">
        <v>6</v>
      </c>
      <c r="H137">
        <v>7</v>
      </c>
      <c r="I137">
        <v>8</v>
      </c>
      <c r="J137">
        <v>9</v>
      </c>
      <c r="K137">
        <v>10</v>
      </c>
      <c r="L137">
        <v>11</v>
      </c>
    </row>
    <row r="138" spans="2:13">
      <c r="B138" s="20" t="s">
        <v>1691</v>
      </c>
      <c r="C138" s="74" t="s">
        <v>1692</v>
      </c>
      <c r="D138" s="74" t="s">
        <v>1693</v>
      </c>
      <c r="E138" s="74" t="s">
        <v>1694</v>
      </c>
      <c r="F138" s="74" t="s">
        <v>1695</v>
      </c>
      <c r="G138" s="74" t="s">
        <v>314</v>
      </c>
      <c r="H138" s="74" t="s">
        <v>1696</v>
      </c>
      <c r="I138" s="74" t="s">
        <v>1374</v>
      </c>
      <c r="J138" s="74" t="s">
        <v>170</v>
      </c>
      <c r="K138" s="74" t="s">
        <v>1697</v>
      </c>
      <c r="L138" s="1094" t="s">
        <v>1698</v>
      </c>
      <c r="M138" s="36" t="s">
        <v>1809</v>
      </c>
    </row>
    <row r="139" spans="2:13">
      <c r="B139" s="1095" t="s">
        <v>1810</v>
      </c>
      <c r="C139" s="1096">
        <v>750</v>
      </c>
      <c r="D139" s="1096">
        <v>500</v>
      </c>
      <c r="E139" s="1096"/>
      <c r="F139" s="1097" t="str">
        <f>CONCATENATE("Exterior ",WSEC!$B139)</f>
        <v>Exterior Base Site Allowance</v>
      </c>
      <c r="G139" s="1097" t="s">
        <v>166</v>
      </c>
      <c r="H139" s="1096"/>
      <c r="I139" s="1097" t="str">
        <f t="shared" ref="I139:I152" si="8">IF(G139="No","Controls_Exterior_Basic", "Controls_Exterior_LLLC")</f>
        <v>Controls_Exterior_Basic</v>
      </c>
      <c r="J139" s="1096" t="s">
        <v>1435</v>
      </c>
      <c r="K139" s="1096"/>
      <c r="L139" s="1097" t="s">
        <v>1108</v>
      </c>
      <c r="M139" s="1098" t="s">
        <v>559</v>
      </c>
    </row>
    <row r="140" spans="2:13">
      <c r="B140" s="1099" t="s">
        <v>1811</v>
      </c>
      <c r="C140" s="1100">
        <v>0.08</v>
      </c>
      <c r="D140" s="1100">
        <v>0.06</v>
      </c>
      <c r="E140" s="1100"/>
      <c r="F140" s="1101" t="str">
        <f>CONCATENATE("Exterior ",WSEC!$B140)</f>
        <v>Exterior Parking areas and drives</v>
      </c>
      <c r="G140" s="1101" t="s">
        <v>166</v>
      </c>
      <c r="H140" s="1100"/>
      <c r="I140" s="1101" t="str">
        <f t="shared" si="8"/>
        <v>Controls_Exterior_Basic</v>
      </c>
      <c r="J140" s="1100" t="s">
        <v>1435</v>
      </c>
      <c r="K140" s="1100" t="s">
        <v>595</v>
      </c>
      <c r="L140" s="1101" t="s">
        <v>1108</v>
      </c>
      <c r="M140" s="1102" t="s">
        <v>559</v>
      </c>
    </row>
    <row r="141" spans="2:13">
      <c r="B141" s="1095" t="s">
        <v>1812</v>
      </c>
      <c r="C141" s="1096">
        <v>0.8</v>
      </c>
      <c r="D141" s="1096">
        <v>0.6</v>
      </c>
      <c r="E141" s="1096"/>
      <c r="F141" s="1097" t="str">
        <f>CONCATENATE("Exterior ",WSEC!$B141)</f>
        <v>Exterior Walkways and ramps less than 10 feet wide</v>
      </c>
      <c r="G141" s="1097" t="s">
        <v>166</v>
      </c>
      <c r="H141" s="1096"/>
      <c r="I141" s="1097" t="str">
        <f t="shared" si="8"/>
        <v>Controls_Exterior_Basic</v>
      </c>
      <c r="J141" s="1096" t="s">
        <v>1435</v>
      </c>
      <c r="K141" s="1096" t="s">
        <v>596</v>
      </c>
      <c r="L141" s="1097" t="s">
        <v>1108</v>
      </c>
      <c r="M141" s="1098" t="s">
        <v>559</v>
      </c>
    </row>
    <row r="142" spans="2:13">
      <c r="B142" s="1099" t="s">
        <v>1813</v>
      </c>
      <c r="C142" s="1100">
        <v>0.16</v>
      </c>
      <c r="D142" s="1100">
        <v>0.11</v>
      </c>
      <c r="E142" s="1100"/>
      <c r="F142" s="1101" t="str">
        <f>CONCATENATE("Exterior ",WSEC!$B142)</f>
        <v>Exterior Walkways and ramps 10 feet wide or greater, plaza areas special feature areas</v>
      </c>
      <c r="G142" s="1101" t="s">
        <v>166</v>
      </c>
      <c r="H142" s="1100"/>
      <c r="I142" s="1101" t="str">
        <f t="shared" si="8"/>
        <v>Controls_Exterior_Basic</v>
      </c>
      <c r="J142" s="1100" t="s">
        <v>1435</v>
      </c>
      <c r="K142" s="1100" t="s">
        <v>596</v>
      </c>
      <c r="L142" s="1101" t="s">
        <v>1108</v>
      </c>
      <c r="M142" s="1102" t="s">
        <v>559</v>
      </c>
    </row>
    <row r="143" spans="2:13">
      <c r="B143" s="1095" t="s">
        <v>1814</v>
      </c>
      <c r="C143" s="1096"/>
      <c r="D143" s="1096">
        <v>0.75</v>
      </c>
      <c r="E143" s="1096"/>
      <c r="F143" s="1097" t="str">
        <f>CONCATENATE("Exterior ",WSEC!$B143)</f>
        <v>Exterior Dining areas</v>
      </c>
      <c r="G143" s="1097" t="s">
        <v>166</v>
      </c>
      <c r="H143" s="1096"/>
      <c r="I143" s="1097" t="str">
        <f t="shared" si="8"/>
        <v>Controls_Exterior_Basic</v>
      </c>
      <c r="J143" s="1096" t="s">
        <v>1435</v>
      </c>
      <c r="K143" s="1096"/>
      <c r="L143" s="1097" t="s">
        <v>1108</v>
      </c>
      <c r="M143" s="1098" t="s">
        <v>559</v>
      </c>
    </row>
    <row r="144" spans="2:13">
      <c r="B144" s="1099" t="s">
        <v>597</v>
      </c>
      <c r="C144" s="1100">
        <v>1</v>
      </c>
      <c r="D144" s="1100">
        <v>0.7</v>
      </c>
      <c r="E144" s="1100"/>
      <c r="F144" s="1101" t="str">
        <f>CONCATENATE("Exterior ",WSEC!$B144)</f>
        <v>Exterior Stairways</v>
      </c>
      <c r="G144" s="1101" t="s">
        <v>166</v>
      </c>
      <c r="H144" s="1100"/>
      <c r="I144" s="1101" t="str">
        <f t="shared" si="8"/>
        <v>Controls_Exterior_Basic</v>
      </c>
      <c r="J144" s="1100" t="s">
        <v>1435</v>
      </c>
      <c r="K144" s="1100" t="s">
        <v>597</v>
      </c>
      <c r="L144" s="1101" t="s">
        <v>1108</v>
      </c>
      <c r="M144" s="1102" t="s">
        <v>559</v>
      </c>
    </row>
    <row r="145" spans="2:13">
      <c r="B145" s="1095" t="s">
        <v>598</v>
      </c>
      <c r="C145" s="1096">
        <v>0.2</v>
      </c>
      <c r="D145" s="1096">
        <v>0.14000000000000001</v>
      </c>
      <c r="E145" s="1096"/>
      <c r="F145" s="1097" t="str">
        <f>CONCATENATE("Exterior ",WSEC!$B145)</f>
        <v>Exterior Pedestrian tunnels</v>
      </c>
      <c r="G145" s="1097" t="s">
        <v>166</v>
      </c>
      <c r="H145" s="1096"/>
      <c r="I145" s="1097" t="str">
        <f t="shared" si="8"/>
        <v>Controls_Exterior_Basic</v>
      </c>
      <c r="J145" s="1096" t="s">
        <v>1435</v>
      </c>
      <c r="K145" s="1096" t="s">
        <v>598</v>
      </c>
      <c r="L145" s="1097" t="s">
        <v>1108</v>
      </c>
      <c r="M145" s="1098" t="s">
        <v>559</v>
      </c>
    </row>
    <row r="146" spans="2:13">
      <c r="B146" s="1099" t="s">
        <v>1815</v>
      </c>
      <c r="C146" s="1100"/>
      <c r="D146" s="1100">
        <v>0.04</v>
      </c>
      <c r="E146" s="1100"/>
      <c r="F146" s="1101" t="str">
        <f>CONCATENATE("Exterior ",WSEC!$B146)</f>
        <v>Exterior Landscaping</v>
      </c>
      <c r="G146" s="1101" t="s">
        <v>166</v>
      </c>
      <c r="H146" s="1100"/>
      <c r="I146" s="1101" t="str">
        <f t="shared" si="8"/>
        <v>Controls_Exterior_Basic</v>
      </c>
      <c r="J146" s="1100" t="s">
        <v>1435</v>
      </c>
      <c r="K146" s="1100"/>
      <c r="L146" s="1101" t="s">
        <v>1108</v>
      </c>
      <c r="M146" s="1102" t="s">
        <v>559</v>
      </c>
    </row>
    <row r="147" spans="2:13">
      <c r="B147" s="1095" t="s">
        <v>1816</v>
      </c>
      <c r="C147" s="1096">
        <v>30</v>
      </c>
      <c r="D147" s="1096">
        <v>21</v>
      </c>
      <c r="E147" s="1096"/>
      <c r="F147" s="1097" t="str">
        <f>CONCATENATE("Exterior ",WSEC!$B147)</f>
        <v>Exterior Pedestrian and vehicular entrances and exists</v>
      </c>
      <c r="G147" s="1097" t="s">
        <v>166</v>
      </c>
      <c r="H147" s="1096"/>
      <c r="I147" s="1097" t="str">
        <f t="shared" si="8"/>
        <v>Controls_Exterior_Basic</v>
      </c>
      <c r="J147" s="1096" t="s">
        <v>1435</v>
      </c>
      <c r="K147" s="1096" t="s">
        <v>599</v>
      </c>
      <c r="L147" s="1097" t="s">
        <v>1108</v>
      </c>
      <c r="M147" s="1098" t="s">
        <v>559</v>
      </c>
    </row>
    <row r="148" spans="2:13">
      <c r="B148" s="1099" t="s">
        <v>599</v>
      </c>
      <c r="C148" s="1100">
        <v>0.4</v>
      </c>
      <c r="D148" s="1100">
        <v>0.4</v>
      </c>
      <c r="E148" s="1100"/>
      <c r="F148" s="1101" t="str">
        <f>CONCATENATE("Exterior ",WSEC!$B148)</f>
        <v>Exterior Entry canopies</v>
      </c>
      <c r="G148" s="1101" t="s">
        <v>166</v>
      </c>
      <c r="H148" s="1100"/>
      <c r="I148" s="1101" t="str">
        <f t="shared" si="8"/>
        <v>Controls_Exterior_Basic</v>
      </c>
      <c r="J148" s="1100" t="s">
        <v>1435</v>
      </c>
      <c r="K148" s="1100"/>
      <c r="L148" s="1101" t="s">
        <v>1108</v>
      </c>
      <c r="M148" s="1102" t="s">
        <v>559</v>
      </c>
    </row>
    <row r="149" spans="2:13">
      <c r="B149" s="1095" t="s">
        <v>1817</v>
      </c>
      <c r="C149" s="1096"/>
      <c r="D149" s="1096">
        <v>0.35</v>
      </c>
      <c r="E149" s="1096"/>
      <c r="F149" s="1097" t="str">
        <f>CONCATENATE("Exterior ",WSEC!$B149)</f>
        <v>Exterior Loading docks</v>
      </c>
      <c r="G149" s="1097" t="s">
        <v>166</v>
      </c>
      <c r="H149" s="1096"/>
      <c r="I149" s="1097" t="str">
        <f t="shared" si="8"/>
        <v>Controls_Exterior_Basic</v>
      </c>
      <c r="J149" s="1096" t="s">
        <v>1435</v>
      </c>
      <c r="K149" s="1096"/>
      <c r="L149" s="1097" t="s">
        <v>1108</v>
      </c>
      <c r="M149" s="1098" t="s">
        <v>559</v>
      </c>
    </row>
    <row r="150" spans="2:13">
      <c r="B150" s="1099" t="s">
        <v>1818</v>
      </c>
      <c r="C150" s="1100">
        <v>0.8</v>
      </c>
      <c r="D150" s="1100">
        <v>0.6</v>
      </c>
      <c r="E150" s="1100"/>
      <c r="F150" s="1101" t="str">
        <f>CONCATENATE("Exterior ",WSEC!$B150)</f>
        <v>Exterior Sales Canopies - Free-standing and attached</v>
      </c>
      <c r="G150" s="1101" t="s">
        <v>166</v>
      </c>
      <c r="H150" s="1100"/>
      <c r="I150" s="1101" t="str">
        <f t="shared" si="8"/>
        <v>Controls_Exterior_Basic</v>
      </c>
      <c r="J150" s="1100" t="s">
        <v>1435</v>
      </c>
      <c r="K150" s="1100" t="s">
        <v>600</v>
      </c>
      <c r="L150" s="1101" t="s">
        <v>1108</v>
      </c>
      <c r="M150" s="1102" t="s">
        <v>559</v>
      </c>
    </row>
    <row r="151" spans="2:13">
      <c r="B151" s="1095" t="s">
        <v>1819</v>
      </c>
      <c r="C151" s="1096">
        <v>0.5</v>
      </c>
      <c r="D151" s="1096">
        <v>0.35</v>
      </c>
      <c r="E151" s="1096"/>
      <c r="F151" s="1097" t="str">
        <f>CONCATENATE("Exterior ",WSEC!$B151)</f>
        <v>Exterior Outdoor Sales - Open areas (including vehicle sales lots)</v>
      </c>
      <c r="G151" s="1097" t="s">
        <v>166</v>
      </c>
      <c r="H151" s="1096"/>
      <c r="I151" s="1097" t="str">
        <f t="shared" si="8"/>
        <v>Controls_Exterior_Basic</v>
      </c>
      <c r="J151" s="1096" t="s">
        <v>1435</v>
      </c>
      <c r="K151" s="1096" t="s">
        <v>601</v>
      </c>
      <c r="L151" s="1097" t="s">
        <v>1108</v>
      </c>
      <c r="M151" s="1098" t="s">
        <v>559</v>
      </c>
    </row>
    <row r="152" spans="2:13">
      <c r="B152" s="1089" t="s">
        <v>1820</v>
      </c>
      <c r="C152" s="1090">
        <v>10</v>
      </c>
      <c r="D152" s="1090">
        <v>7</v>
      </c>
      <c r="E152" s="1090"/>
      <c r="F152" s="1090" t="str">
        <f>CONCATENATE("Exterior ",WSEC!$B152)</f>
        <v>Exterior Outdoor Sales - Street frontage for vehicle sales</v>
      </c>
      <c r="G152" s="1103" t="s">
        <v>166</v>
      </c>
      <c r="H152" s="1090"/>
      <c r="I152" s="1103" t="str">
        <f t="shared" si="8"/>
        <v>Controls_Exterior_Basic</v>
      </c>
      <c r="J152" s="1090" t="s">
        <v>1435</v>
      </c>
      <c r="K152" s="1090"/>
      <c r="L152" s="1103" t="s">
        <v>1108</v>
      </c>
      <c r="M152" s="1091" t="s">
        <v>559</v>
      </c>
    </row>
    <row r="154" spans="2:13">
      <c r="K154" t="s">
        <v>602</v>
      </c>
    </row>
    <row r="155" spans="2:13">
      <c r="K155" t="s">
        <v>603</v>
      </c>
    </row>
    <row r="156" spans="2:13">
      <c r="K156" t="s">
        <v>604</v>
      </c>
    </row>
  </sheetData>
  <sheetProtection password="DC20" sheet="1" objects="1" scenarios="1"/>
  <mergeCells count="1">
    <mergeCell ref="AA2:AB2"/>
  </mergeCells>
  <phoneticPr fontId="22" type="noConversion"/>
  <pageMargins left="0.7" right="0.7" top="0.75" bottom="0.75" header="0.3" footer="0.3"/>
  <pageSetup orientation="portrait" r:id="rId1"/>
  <tableParts count="2">
    <tablePart r:id="rId2"/>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B1:L160"/>
  <sheetViews>
    <sheetView zoomScale="84" zoomScaleNormal="84" workbookViewId="0">
      <selection activeCell="D66" sqref="D66"/>
    </sheetView>
  </sheetViews>
  <sheetFormatPr defaultRowHeight="14.3"/>
  <cols>
    <col min="1" max="1" width="2.75" customWidth="1"/>
    <col min="2" max="2" width="68.25" bestFit="1" customWidth="1"/>
    <col min="3" max="3" width="9" bestFit="1" customWidth="1"/>
    <col min="4" max="4" width="10.25" style="12" bestFit="1" customWidth="1"/>
    <col min="5" max="5" width="10.125" bestFit="1" customWidth="1"/>
    <col min="6" max="6" width="8.125" bestFit="1" customWidth="1"/>
    <col min="7" max="7" width="75.5" bestFit="1" customWidth="1"/>
    <col min="8" max="8" width="6.875" bestFit="1" customWidth="1"/>
    <col min="9" max="9" width="24.25" bestFit="1" customWidth="1"/>
    <col min="10" max="10" width="23.75" bestFit="1" customWidth="1"/>
    <col min="11" max="11" width="14.5" bestFit="1" customWidth="1"/>
    <col min="12" max="12" width="22" bestFit="1" customWidth="1"/>
  </cols>
  <sheetData>
    <row r="1" spans="2:12">
      <c r="B1">
        <v>1</v>
      </c>
      <c r="C1">
        <v>2</v>
      </c>
      <c r="D1">
        <v>3</v>
      </c>
      <c r="E1">
        <v>4</v>
      </c>
      <c r="F1">
        <v>5</v>
      </c>
      <c r="G1">
        <v>6</v>
      </c>
      <c r="H1">
        <v>7</v>
      </c>
      <c r="I1">
        <v>8</v>
      </c>
      <c r="J1">
        <v>9</v>
      </c>
      <c r="K1">
        <v>10</v>
      </c>
      <c r="L1">
        <v>11</v>
      </c>
    </row>
    <row r="2" spans="2:12">
      <c r="B2" s="20" t="s">
        <v>1821</v>
      </c>
      <c r="C2" s="28" t="s">
        <v>1822</v>
      </c>
      <c r="D2" s="74" t="s">
        <v>284</v>
      </c>
      <c r="E2" s="28" t="s">
        <v>1692</v>
      </c>
      <c r="F2" s="28" t="s">
        <v>1693</v>
      </c>
      <c r="G2" s="28" t="s">
        <v>1823</v>
      </c>
      <c r="H2" s="28" t="s">
        <v>314</v>
      </c>
      <c r="I2" s="28" t="s">
        <v>1824</v>
      </c>
      <c r="J2" s="28" t="s">
        <v>1825</v>
      </c>
      <c r="K2" s="74" t="s">
        <v>1374</v>
      </c>
      <c r="L2" s="21" t="s">
        <v>286</v>
      </c>
    </row>
    <row r="3" spans="2:12">
      <c r="B3" s="1095" t="s">
        <v>1700</v>
      </c>
      <c r="C3" s="1096" t="s">
        <v>237</v>
      </c>
      <c r="D3" s="1097">
        <v>1</v>
      </c>
      <c r="E3" s="1097">
        <v>0.02</v>
      </c>
      <c r="F3" s="1097">
        <v>0.48</v>
      </c>
      <c r="G3" s="1096" t="s">
        <v>1826</v>
      </c>
      <c r="H3" s="1097" t="s">
        <v>166</v>
      </c>
      <c r="I3" s="1096" t="s">
        <v>1397</v>
      </c>
      <c r="J3" s="1096" t="s">
        <v>572</v>
      </c>
      <c r="K3" s="1097" t="s">
        <v>1108</v>
      </c>
      <c r="L3" s="1098" t="s">
        <v>359</v>
      </c>
    </row>
    <row r="4" spans="2:12">
      <c r="B4" s="1099" t="s">
        <v>1702</v>
      </c>
      <c r="C4" s="1100" t="s">
        <v>237</v>
      </c>
      <c r="D4" s="1101">
        <v>1</v>
      </c>
      <c r="E4" s="1101" t="s">
        <v>1703</v>
      </c>
      <c r="F4" s="1101">
        <v>0.6</v>
      </c>
      <c r="G4" s="1100" t="s">
        <v>1827</v>
      </c>
      <c r="H4" s="1101" t="s">
        <v>166</v>
      </c>
      <c r="I4" s="1100" t="s">
        <v>1397</v>
      </c>
      <c r="J4" s="1100" t="s">
        <v>572</v>
      </c>
      <c r="K4" s="1101" t="s">
        <v>1108</v>
      </c>
      <c r="L4" s="1102" t="s">
        <v>359</v>
      </c>
    </row>
    <row r="5" spans="2:12">
      <c r="B5" s="1095" t="s">
        <v>1704</v>
      </c>
      <c r="C5" s="1096" t="s">
        <v>237</v>
      </c>
      <c r="D5" s="1097">
        <v>1</v>
      </c>
      <c r="E5" s="1097">
        <v>0.02</v>
      </c>
      <c r="F5" s="1097">
        <v>0.39</v>
      </c>
      <c r="G5" s="1096" t="s">
        <v>1828</v>
      </c>
      <c r="H5" s="1097" t="s">
        <v>166</v>
      </c>
      <c r="I5" s="1096" t="s">
        <v>1397</v>
      </c>
      <c r="J5" s="1096" t="s">
        <v>572</v>
      </c>
      <c r="K5" s="1097" t="s">
        <v>1108</v>
      </c>
      <c r="L5" s="1098" t="s">
        <v>359</v>
      </c>
    </row>
    <row r="6" spans="2:12">
      <c r="B6" s="1099" t="s">
        <v>1705</v>
      </c>
      <c r="C6" s="1100" t="s">
        <v>237</v>
      </c>
      <c r="D6" s="1101">
        <v>1</v>
      </c>
      <c r="E6" s="1101">
        <v>0.5</v>
      </c>
      <c r="F6" s="1101">
        <v>0.61</v>
      </c>
      <c r="G6" s="1100" t="s">
        <v>1829</v>
      </c>
      <c r="H6" s="1101" t="s">
        <v>166</v>
      </c>
      <c r="I6" s="1100" t="s">
        <v>1397</v>
      </c>
      <c r="J6" s="1100" t="s">
        <v>554</v>
      </c>
      <c r="K6" s="1101" t="s">
        <v>1108</v>
      </c>
      <c r="L6" s="1102" t="s">
        <v>359</v>
      </c>
    </row>
    <row r="7" spans="2:12">
      <c r="B7" s="1095" t="s">
        <v>1706</v>
      </c>
      <c r="C7" s="1096" t="s">
        <v>237</v>
      </c>
      <c r="D7" s="1097">
        <v>1</v>
      </c>
      <c r="E7" s="1097">
        <v>0.66</v>
      </c>
      <c r="F7" s="1097">
        <v>0.23</v>
      </c>
      <c r="G7" s="1096" t="s">
        <v>1830</v>
      </c>
      <c r="H7" s="1097" t="s">
        <v>166</v>
      </c>
      <c r="I7" s="1096" t="s">
        <v>1397</v>
      </c>
      <c r="J7" s="1096" t="s">
        <v>554</v>
      </c>
      <c r="K7" s="1097" t="s">
        <v>1108</v>
      </c>
      <c r="L7" s="1098" t="s">
        <v>359</v>
      </c>
    </row>
    <row r="8" spans="2:12">
      <c r="B8" s="1099" t="s">
        <v>1707</v>
      </c>
      <c r="C8" s="1100" t="s">
        <v>237</v>
      </c>
      <c r="D8" s="1101">
        <v>1</v>
      </c>
      <c r="E8" s="1101">
        <v>0.34</v>
      </c>
      <c r="F8" s="1101">
        <v>0.23</v>
      </c>
      <c r="G8" s="1100" t="s">
        <v>1831</v>
      </c>
      <c r="H8" s="1101" t="s">
        <v>166</v>
      </c>
      <c r="I8" s="1100" t="s">
        <v>1397</v>
      </c>
      <c r="J8" s="1100" t="s">
        <v>554</v>
      </c>
      <c r="K8" s="1101" t="s">
        <v>1108</v>
      </c>
      <c r="L8" s="1102" t="s">
        <v>359</v>
      </c>
    </row>
    <row r="9" spans="2:12">
      <c r="B9" s="1095" t="s">
        <v>1708</v>
      </c>
      <c r="C9" s="1096" t="s">
        <v>237</v>
      </c>
      <c r="D9" s="1097">
        <v>1</v>
      </c>
      <c r="E9" s="1097">
        <v>0.91</v>
      </c>
      <c r="F9" s="1097">
        <v>0.27</v>
      </c>
      <c r="G9" s="1096" t="s">
        <v>1832</v>
      </c>
      <c r="H9" s="1097" t="s">
        <v>166</v>
      </c>
      <c r="I9" s="1096" t="s">
        <v>1397</v>
      </c>
      <c r="J9" s="1096" t="s">
        <v>554</v>
      </c>
      <c r="K9" s="1097" t="s">
        <v>1108</v>
      </c>
      <c r="L9" s="1098" t="s">
        <v>359</v>
      </c>
    </row>
    <row r="10" spans="2:12">
      <c r="B10" s="1099" t="s">
        <v>1709</v>
      </c>
      <c r="C10" s="1100" t="s">
        <v>237</v>
      </c>
      <c r="D10" s="1101">
        <v>1</v>
      </c>
      <c r="E10" s="1101">
        <v>0.34</v>
      </c>
      <c r="F10" s="1101">
        <v>0.23</v>
      </c>
      <c r="G10" s="1100" t="s">
        <v>1833</v>
      </c>
      <c r="H10" s="1101" t="s">
        <v>166</v>
      </c>
      <c r="I10" s="1100" t="s">
        <v>1397</v>
      </c>
      <c r="J10" s="1100" t="s">
        <v>554</v>
      </c>
      <c r="K10" s="1101" t="s">
        <v>1108</v>
      </c>
      <c r="L10" s="1102" t="s">
        <v>359</v>
      </c>
    </row>
    <row r="11" spans="2:12">
      <c r="B11" s="1095" t="s">
        <v>1710</v>
      </c>
      <c r="C11" s="1096" t="s">
        <v>237</v>
      </c>
      <c r="D11" s="1097">
        <v>1</v>
      </c>
      <c r="E11" s="1097">
        <v>0.22</v>
      </c>
      <c r="F11" s="1097">
        <v>0.67</v>
      </c>
      <c r="G11" s="1096" t="s">
        <v>1834</v>
      </c>
      <c r="H11" s="1097" t="s">
        <v>166</v>
      </c>
      <c r="I11" s="1096" t="s">
        <v>1397</v>
      </c>
      <c r="J11" s="1096" t="s">
        <v>554</v>
      </c>
      <c r="K11" s="1097" t="s">
        <v>1108</v>
      </c>
      <c r="L11" s="1098" t="s">
        <v>359</v>
      </c>
    </row>
    <row r="12" spans="2:12">
      <c r="B12" s="1099" t="s">
        <v>1711</v>
      </c>
      <c r="C12" s="1100" t="s">
        <v>237</v>
      </c>
      <c r="D12" s="1101">
        <v>1</v>
      </c>
      <c r="E12" s="1101">
        <v>1.94</v>
      </c>
      <c r="F12" s="1101">
        <v>1.1599999999999999</v>
      </c>
      <c r="G12" s="1100" t="s">
        <v>1835</v>
      </c>
      <c r="H12" s="1101" t="s">
        <v>166</v>
      </c>
      <c r="I12" s="1100" t="s">
        <v>1397</v>
      </c>
      <c r="J12" s="1100" t="s">
        <v>554</v>
      </c>
      <c r="K12" s="1101" t="s">
        <v>1108</v>
      </c>
      <c r="L12" s="1102" t="s">
        <v>359</v>
      </c>
    </row>
    <row r="13" spans="2:12">
      <c r="B13" s="1095" t="s">
        <v>1712</v>
      </c>
      <c r="C13" s="1096" t="s">
        <v>237</v>
      </c>
      <c r="D13" s="1097">
        <v>1</v>
      </c>
      <c r="E13" s="1097">
        <v>1.22</v>
      </c>
      <c r="F13" s="1097">
        <v>0.72</v>
      </c>
      <c r="G13" s="1096" t="s">
        <v>1836</v>
      </c>
      <c r="H13" s="1097" t="s">
        <v>166</v>
      </c>
      <c r="I13" s="1096" t="s">
        <v>1397</v>
      </c>
      <c r="J13" s="1096" t="s">
        <v>554</v>
      </c>
      <c r="K13" s="1097" t="s">
        <v>1108</v>
      </c>
      <c r="L13" s="1098" t="s">
        <v>359</v>
      </c>
    </row>
    <row r="14" spans="2:12">
      <c r="B14" s="1099" t="s">
        <v>1713</v>
      </c>
      <c r="C14" s="1100" t="s">
        <v>237</v>
      </c>
      <c r="D14" s="1101">
        <v>1</v>
      </c>
      <c r="E14" s="1101">
        <v>0.34</v>
      </c>
      <c r="F14" s="1101">
        <v>0.33</v>
      </c>
      <c r="G14" s="1100" t="s">
        <v>1837</v>
      </c>
      <c r="H14" s="1101" t="s">
        <v>166</v>
      </c>
      <c r="I14" s="1100" t="s">
        <v>1397</v>
      </c>
      <c r="J14" s="1100" t="s">
        <v>554</v>
      </c>
      <c r="K14" s="1101" t="s">
        <v>1108</v>
      </c>
      <c r="L14" s="1102" t="s">
        <v>359</v>
      </c>
    </row>
    <row r="15" spans="2:12">
      <c r="B15" s="1095" t="s">
        <v>1714</v>
      </c>
      <c r="C15" s="1096" t="s">
        <v>237</v>
      </c>
      <c r="D15" s="1097">
        <v>1</v>
      </c>
      <c r="E15" s="1097">
        <v>0.81</v>
      </c>
      <c r="F15" s="1097">
        <v>0.61</v>
      </c>
      <c r="G15" s="1096" t="s">
        <v>1838</v>
      </c>
      <c r="H15" s="1097" t="s">
        <v>166</v>
      </c>
      <c r="I15" s="1096" t="s">
        <v>1397</v>
      </c>
      <c r="J15" s="1096" t="s">
        <v>581</v>
      </c>
      <c r="K15" s="1097" t="s">
        <v>1108</v>
      </c>
      <c r="L15" s="1098" t="s">
        <v>359</v>
      </c>
    </row>
    <row r="16" spans="2:12">
      <c r="B16" s="1099" t="s">
        <v>1715</v>
      </c>
      <c r="C16" s="1100" t="s">
        <v>237</v>
      </c>
      <c r="D16" s="1101">
        <v>1</v>
      </c>
      <c r="E16" s="1101">
        <v>1</v>
      </c>
      <c r="F16" s="1101">
        <v>0.71</v>
      </c>
      <c r="G16" s="1100" t="s">
        <v>1839</v>
      </c>
      <c r="H16" s="1101" t="s">
        <v>166</v>
      </c>
      <c r="I16" s="1100" t="s">
        <v>1397</v>
      </c>
      <c r="J16" s="1100" t="s">
        <v>354</v>
      </c>
      <c r="K16" s="1101" t="s">
        <v>1108</v>
      </c>
      <c r="L16" s="1102" t="s">
        <v>353</v>
      </c>
    </row>
    <row r="17" spans="2:12">
      <c r="B17" s="1095" t="s">
        <v>1716</v>
      </c>
      <c r="C17" s="1096" t="s">
        <v>237</v>
      </c>
      <c r="D17" s="1097">
        <v>1</v>
      </c>
      <c r="E17" s="1097">
        <v>1.07</v>
      </c>
      <c r="F17" s="1097">
        <v>0.89</v>
      </c>
      <c r="G17" s="1096" t="s">
        <v>1840</v>
      </c>
      <c r="H17" s="1097" t="s">
        <v>166</v>
      </c>
      <c r="I17" s="1096" t="s">
        <v>1397</v>
      </c>
      <c r="J17" s="1096" t="s">
        <v>354</v>
      </c>
      <c r="K17" s="1097" t="s">
        <v>1108</v>
      </c>
      <c r="L17" s="1098" t="s">
        <v>353</v>
      </c>
    </row>
    <row r="18" spans="2:12">
      <c r="B18" s="1099" t="s">
        <v>1717</v>
      </c>
      <c r="C18" s="1100" t="s">
        <v>237</v>
      </c>
      <c r="D18" s="1101">
        <v>1</v>
      </c>
      <c r="E18" s="1101">
        <v>1.37</v>
      </c>
      <c r="F18" s="1101">
        <v>0.94</v>
      </c>
      <c r="G18" s="1100" t="s">
        <v>1841</v>
      </c>
      <c r="H18" s="1101" t="s">
        <v>166</v>
      </c>
      <c r="I18" s="1100" t="s">
        <v>1397</v>
      </c>
      <c r="J18" s="1100" t="s">
        <v>558</v>
      </c>
      <c r="K18" s="1101" t="s">
        <v>1108</v>
      </c>
      <c r="L18" s="1102" t="s">
        <v>359</v>
      </c>
    </row>
    <row r="19" spans="2:12">
      <c r="B19" s="1095" t="s">
        <v>1718</v>
      </c>
      <c r="C19" s="1096" t="s">
        <v>237</v>
      </c>
      <c r="D19" s="1097">
        <v>1</v>
      </c>
      <c r="E19" s="1097">
        <v>0.98</v>
      </c>
      <c r="F19" s="1097">
        <v>0.97</v>
      </c>
      <c r="G19" s="1096" t="s">
        <v>1842</v>
      </c>
      <c r="H19" s="1097" t="s">
        <v>166</v>
      </c>
      <c r="I19" s="1096" t="s">
        <v>1397</v>
      </c>
      <c r="J19" s="1096" t="s">
        <v>560</v>
      </c>
      <c r="K19" s="1097" t="s">
        <v>1108</v>
      </c>
      <c r="L19" s="1098" t="s">
        <v>353</v>
      </c>
    </row>
    <row r="20" spans="2:12">
      <c r="B20" s="1099" t="s">
        <v>1719</v>
      </c>
      <c r="C20" s="1100" t="s">
        <v>237</v>
      </c>
      <c r="D20" s="1101">
        <v>1</v>
      </c>
      <c r="E20" s="1101">
        <v>1.1599999999999999</v>
      </c>
      <c r="F20" s="1101">
        <v>0.61</v>
      </c>
      <c r="G20" s="1100" t="s">
        <v>1843</v>
      </c>
      <c r="H20" s="1101" t="s">
        <v>166</v>
      </c>
      <c r="I20" s="1100" t="s">
        <v>1397</v>
      </c>
      <c r="J20" s="1100" t="s">
        <v>554</v>
      </c>
      <c r="K20" s="1101" t="s">
        <v>1108</v>
      </c>
      <c r="L20" s="1102" t="s">
        <v>353</v>
      </c>
    </row>
    <row r="21" spans="2:12">
      <c r="B21" s="1095" t="s">
        <v>1720</v>
      </c>
      <c r="C21" s="1096" t="s">
        <v>237</v>
      </c>
      <c r="D21" s="1097">
        <v>1</v>
      </c>
      <c r="E21" s="1097">
        <v>0.57999999999999996</v>
      </c>
      <c r="F21" s="1097">
        <v>0.31</v>
      </c>
      <c r="G21" s="1096" t="s">
        <v>1844</v>
      </c>
      <c r="H21" s="1097" t="s">
        <v>166</v>
      </c>
      <c r="I21" s="1096" t="s">
        <v>1397</v>
      </c>
      <c r="J21" s="1096" t="s">
        <v>575</v>
      </c>
      <c r="K21" s="1097" t="s">
        <v>1108</v>
      </c>
      <c r="L21" s="1098" t="s">
        <v>353</v>
      </c>
    </row>
    <row r="22" spans="2:12">
      <c r="B22" s="1099" t="s">
        <v>1721</v>
      </c>
      <c r="C22" s="1100" t="s">
        <v>237</v>
      </c>
      <c r="D22" s="1101">
        <v>1</v>
      </c>
      <c r="E22" s="1101">
        <v>0.53</v>
      </c>
      <c r="F22" s="1101">
        <v>0.41</v>
      </c>
      <c r="G22" s="1100" t="s">
        <v>1845</v>
      </c>
      <c r="H22" s="1101" t="s">
        <v>166</v>
      </c>
      <c r="I22" s="1100" t="s">
        <v>1397</v>
      </c>
      <c r="J22" s="1100" t="s">
        <v>1722</v>
      </c>
      <c r="K22" s="1101" t="s">
        <v>1108</v>
      </c>
      <c r="L22" s="1102" t="s">
        <v>353</v>
      </c>
    </row>
    <row r="23" spans="2:12">
      <c r="B23" s="1095" t="s">
        <v>1723</v>
      </c>
      <c r="C23" s="1096" t="s">
        <v>237</v>
      </c>
      <c r="D23" s="1097">
        <v>1</v>
      </c>
      <c r="E23" s="1097">
        <v>0.74</v>
      </c>
      <c r="F23" s="1097">
        <v>0.71</v>
      </c>
      <c r="G23" s="1096" t="s">
        <v>1846</v>
      </c>
      <c r="H23" s="1097" t="s">
        <v>166</v>
      </c>
      <c r="I23" s="1096" t="s">
        <v>1397</v>
      </c>
      <c r="J23" s="1096" t="s">
        <v>1722</v>
      </c>
      <c r="K23" s="1097" t="s">
        <v>1108</v>
      </c>
      <c r="L23" s="1098" t="s">
        <v>353</v>
      </c>
    </row>
    <row r="24" spans="2:12">
      <c r="B24" s="1099" t="s">
        <v>1724</v>
      </c>
      <c r="C24" s="1100" t="s">
        <v>237</v>
      </c>
      <c r="D24" s="1101">
        <v>1</v>
      </c>
      <c r="E24" s="1101">
        <v>0.63</v>
      </c>
      <c r="F24" s="1101">
        <v>0.71</v>
      </c>
      <c r="G24" s="1100" t="s">
        <v>1847</v>
      </c>
      <c r="H24" s="1101" t="s">
        <v>166</v>
      </c>
      <c r="I24" s="1100" t="s">
        <v>1397</v>
      </c>
      <c r="J24" s="1100" t="s">
        <v>1722</v>
      </c>
      <c r="K24" s="1101" t="s">
        <v>1108</v>
      </c>
      <c r="L24" s="1102" t="s">
        <v>353</v>
      </c>
    </row>
    <row r="25" spans="2:12">
      <c r="B25" s="1095" t="s">
        <v>1725</v>
      </c>
      <c r="C25" s="1096" t="s">
        <v>237</v>
      </c>
      <c r="D25" s="1097">
        <v>1</v>
      </c>
      <c r="E25" s="1097">
        <v>0.33</v>
      </c>
      <c r="F25" s="1097">
        <v>0.41</v>
      </c>
      <c r="G25" s="1096" t="s">
        <v>1848</v>
      </c>
      <c r="H25" s="1097" t="s">
        <v>166</v>
      </c>
      <c r="I25" s="1096" t="s">
        <v>1397</v>
      </c>
      <c r="J25" s="1096" t="s">
        <v>1722</v>
      </c>
      <c r="K25" s="1097" t="s">
        <v>1108</v>
      </c>
      <c r="L25" s="1098" t="s">
        <v>359</v>
      </c>
    </row>
    <row r="26" spans="2:12">
      <c r="B26" s="1099" t="s">
        <v>1726</v>
      </c>
      <c r="C26" s="1100" t="s">
        <v>237</v>
      </c>
      <c r="D26" s="1101">
        <v>1</v>
      </c>
      <c r="E26" s="1101">
        <v>1.38</v>
      </c>
      <c r="F26" s="1101">
        <v>1.2</v>
      </c>
      <c r="G26" s="1100" t="s">
        <v>1849</v>
      </c>
      <c r="H26" s="1101" t="s">
        <v>166</v>
      </c>
      <c r="I26" s="1100" t="s">
        <v>1397</v>
      </c>
      <c r="J26" s="1100" t="s">
        <v>575</v>
      </c>
      <c r="K26" s="1101" t="s">
        <v>1108</v>
      </c>
      <c r="L26" s="1102" t="s">
        <v>359</v>
      </c>
    </row>
    <row r="27" spans="2:12">
      <c r="B27" s="1095" t="s">
        <v>1727</v>
      </c>
      <c r="C27" s="1096" t="s">
        <v>237</v>
      </c>
      <c r="D27" s="1097">
        <v>1</v>
      </c>
      <c r="E27" s="1097">
        <v>0.52</v>
      </c>
      <c r="F27" s="1097">
        <v>0.43</v>
      </c>
      <c r="G27" s="1096" t="s">
        <v>1850</v>
      </c>
      <c r="H27" s="1097" t="s">
        <v>166</v>
      </c>
      <c r="I27" s="1096" t="s">
        <v>1397</v>
      </c>
      <c r="J27" s="1096" t="s">
        <v>562</v>
      </c>
      <c r="K27" s="1097" t="s">
        <v>1108</v>
      </c>
      <c r="L27" s="1098" t="s">
        <v>359</v>
      </c>
    </row>
    <row r="28" spans="2:12">
      <c r="B28" s="1099" t="s">
        <v>1728</v>
      </c>
      <c r="C28" s="1100" t="s">
        <v>237</v>
      </c>
      <c r="D28" s="1101">
        <v>1</v>
      </c>
      <c r="E28" s="1101">
        <v>0.86</v>
      </c>
      <c r="F28" s="1101">
        <v>0.86</v>
      </c>
      <c r="G28" s="1100" t="s">
        <v>1851</v>
      </c>
      <c r="H28" s="1101" t="s">
        <v>166</v>
      </c>
      <c r="I28" s="1100" t="s">
        <v>1397</v>
      </c>
      <c r="J28" s="1100" t="s">
        <v>562</v>
      </c>
      <c r="K28" s="1101" t="s">
        <v>1108</v>
      </c>
      <c r="L28" s="1102" t="s">
        <v>359</v>
      </c>
    </row>
    <row r="29" spans="2:12">
      <c r="B29" s="1095" t="s">
        <v>1729</v>
      </c>
      <c r="C29" s="1096" t="s">
        <v>237</v>
      </c>
      <c r="D29" s="1097">
        <v>1</v>
      </c>
      <c r="E29" s="1097">
        <v>1.52</v>
      </c>
      <c r="F29" s="1097">
        <v>1.27</v>
      </c>
      <c r="G29" s="1096" t="s">
        <v>1852</v>
      </c>
      <c r="H29" s="1097" t="s">
        <v>166</v>
      </c>
      <c r="I29" s="1096" t="s">
        <v>1397</v>
      </c>
      <c r="J29" s="1096" t="s">
        <v>562</v>
      </c>
      <c r="K29" s="1097" t="s">
        <v>1108</v>
      </c>
      <c r="L29" s="1098" t="s">
        <v>359</v>
      </c>
    </row>
    <row r="30" spans="2:12">
      <c r="B30" s="1099" t="s">
        <v>1730</v>
      </c>
      <c r="C30" s="1100" t="s">
        <v>237</v>
      </c>
      <c r="D30" s="1101">
        <v>1</v>
      </c>
      <c r="E30" s="1101">
        <v>0.71</v>
      </c>
      <c r="F30" s="1101">
        <v>0.6</v>
      </c>
      <c r="G30" s="1100" t="s">
        <v>1853</v>
      </c>
      <c r="H30" s="1101" t="s">
        <v>166</v>
      </c>
      <c r="I30" s="1100" t="s">
        <v>1397</v>
      </c>
      <c r="J30" s="1100" t="s">
        <v>562</v>
      </c>
      <c r="K30" s="1101" t="s">
        <v>1108</v>
      </c>
      <c r="L30" s="1102" t="s">
        <v>359</v>
      </c>
    </row>
    <row r="31" spans="2:12">
      <c r="B31" s="1095" t="s">
        <v>1731</v>
      </c>
      <c r="C31" s="1096" t="s">
        <v>237</v>
      </c>
      <c r="D31" s="1097">
        <v>1</v>
      </c>
      <c r="E31" s="1097">
        <v>0.77</v>
      </c>
      <c r="F31" s="1097">
        <v>0.42</v>
      </c>
      <c r="G31" s="1096" t="s">
        <v>1854</v>
      </c>
      <c r="H31" s="1097" t="s">
        <v>166</v>
      </c>
      <c r="I31" s="1096" t="s">
        <v>1397</v>
      </c>
      <c r="J31" s="1096" t="s">
        <v>562</v>
      </c>
      <c r="K31" s="1097" t="s">
        <v>1108</v>
      </c>
      <c r="L31" s="1098" t="s">
        <v>359</v>
      </c>
    </row>
    <row r="32" spans="2:12">
      <c r="B32" s="1099" t="s">
        <v>1732</v>
      </c>
      <c r="C32" s="1100" t="s">
        <v>237</v>
      </c>
      <c r="D32" s="1101">
        <v>1</v>
      </c>
      <c r="E32" s="1101">
        <v>0.3</v>
      </c>
      <c r="F32" s="1101">
        <v>0.5</v>
      </c>
      <c r="G32" s="1100" t="s">
        <v>1855</v>
      </c>
      <c r="H32" s="1101" t="s">
        <v>166</v>
      </c>
      <c r="I32" s="1100" t="s">
        <v>1397</v>
      </c>
      <c r="J32" s="1100" t="s">
        <v>575</v>
      </c>
      <c r="K32" s="1101" t="s">
        <v>1108</v>
      </c>
      <c r="L32" s="1102" t="s">
        <v>359</v>
      </c>
    </row>
    <row r="33" spans="2:12">
      <c r="B33" s="1095" t="s">
        <v>1733</v>
      </c>
      <c r="C33" s="1096" t="s">
        <v>237</v>
      </c>
      <c r="D33" s="1097">
        <v>1</v>
      </c>
      <c r="E33" s="1097">
        <v>0.76</v>
      </c>
      <c r="F33" s="1097">
        <v>0.43</v>
      </c>
      <c r="G33" s="1096" t="s">
        <v>1856</v>
      </c>
      <c r="H33" s="1097" t="s">
        <v>166</v>
      </c>
      <c r="I33" s="1096" t="s">
        <v>1397</v>
      </c>
      <c r="J33" s="1096" t="s">
        <v>575</v>
      </c>
      <c r="K33" s="1097" t="s">
        <v>1108</v>
      </c>
      <c r="L33" s="1098" t="s">
        <v>359</v>
      </c>
    </row>
    <row r="34" spans="2:12">
      <c r="B34" s="1099" t="s">
        <v>1734</v>
      </c>
      <c r="C34" s="1100" t="s">
        <v>237</v>
      </c>
      <c r="D34" s="1101">
        <v>1</v>
      </c>
      <c r="E34" s="1101">
        <v>0.45</v>
      </c>
      <c r="F34" s="1101">
        <v>0.52</v>
      </c>
      <c r="G34" s="1100" t="s">
        <v>1857</v>
      </c>
      <c r="H34" s="1101" t="s">
        <v>166</v>
      </c>
      <c r="I34" s="1100" t="s">
        <v>1397</v>
      </c>
      <c r="J34" s="1100" t="s">
        <v>576</v>
      </c>
      <c r="K34" s="1101" t="s">
        <v>1108</v>
      </c>
      <c r="L34" s="1102" t="s">
        <v>359</v>
      </c>
    </row>
    <row r="35" spans="2:12">
      <c r="B35" s="1095" t="s">
        <v>1735</v>
      </c>
      <c r="C35" s="1096" t="s">
        <v>237</v>
      </c>
      <c r="D35" s="1097">
        <v>1</v>
      </c>
      <c r="E35" s="1097">
        <v>1.77</v>
      </c>
      <c r="F35" s="1097">
        <v>0.7</v>
      </c>
      <c r="G35" s="1096" t="s">
        <v>1858</v>
      </c>
      <c r="H35" s="1097" t="s">
        <v>166</v>
      </c>
      <c r="I35" s="1096" t="s">
        <v>1397</v>
      </c>
      <c r="J35" s="1096" t="s">
        <v>575</v>
      </c>
      <c r="K35" s="1097" t="s">
        <v>1108</v>
      </c>
      <c r="L35" s="1098" t="s">
        <v>359</v>
      </c>
    </row>
    <row r="36" spans="2:12">
      <c r="B36" s="1099" t="s">
        <v>1736</v>
      </c>
      <c r="C36" s="1100" t="s">
        <v>237</v>
      </c>
      <c r="D36" s="1101">
        <v>1</v>
      </c>
      <c r="E36" s="1101">
        <v>1.93</v>
      </c>
      <c r="F36" s="1101">
        <v>1.77</v>
      </c>
      <c r="G36" s="1100" t="s">
        <v>1859</v>
      </c>
      <c r="H36" s="1101" t="s">
        <v>166</v>
      </c>
      <c r="I36" s="1100" t="s">
        <v>1397</v>
      </c>
      <c r="J36" s="1100" t="s">
        <v>575</v>
      </c>
      <c r="K36" s="1101" t="s">
        <v>1108</v>
      </c>
      <c r="L36" s="1102" t="s">
        <v>359</v>
      </c>
    </row>
    <row r="37" spans="2:12">
      <c r="B37" s="1095" t="s">
        <v>1737</v>
      </c>
      <c r="C37" s="1096" t="s">
        <v>237</v>
      </c>
      <c r="D37" s="1097">
        <v>1</v>
      </c>
      <c r="E37" s="1097">
        <v>0.45</v>
      </c>
      <c r="F37" s="1097">
        <v>0.45</v>
      </c>
      <c r="G37" s="1096" t="s">
        <v>1860</v>
      </c>
      <c r="H37" s="1097" t="s">
        <v>166</v>
      </c>
      <c r="I37" s="1096" t="s">
        <v>1397</v>
      </c>
      <c r="J37" s="1096" t="s">
        <v>575</v>
      </c>
      <c r="K37" s="1097" t="s">
        <v>1108</v>
      </c>
      <c r="L37" s="1098" t="s">
        <v>359</v>
      </c>
    </row>
    <row r="38" spans="2:12">
      <c r="B38" s="1099" t="s">
        <v>1738</v>
      </c>
      <c r="C38" s="1100" t="s">
        <v>237</v>
      </c>
      <c r="D38" s="1101">
        <v>1</v>
      </c>
      <c r="E38" s="1101">
        <v>0.18</v>
      </c>
      <c r="F38" s="1101">
        <v>0.23</v>
      </c>
      <c r="G38" s="1100" t="s">
        <v>1861</v>
      </c>
      <c r="H38" s="1101" t="s">
        <v>166</v>
      </c>
      <c r="I38" s="1100" t="s">
        <v>1397</v>
      </c>
      <c r="J38" s="1100" t="s">
        <v>575</v>
      </c>
      <c r="K38" s="1101" t="s">
        <v>1108</v>
      </c>
      <c r="L38" s="1102" t="s">
        <v>359</v>
      </c>
    </row>
    <row r="39" spans="2:12">
      <c r="B39" s="1095" t="s">
        <v>1739</v>
      </c>
      <c r="C39" s="1096" t="s">
        <v>237</v>
      </c>
      <c r="D39" s="1097">
        <v>1</v>
      </c>
      <c r="E39" s="1097">
        <v>0.79</v>
      </c>
      <c r="F39" s="1097">
        <v>1.0900000000000001</v>
      </c>
      <c r="G39" s="1096" t="s">
        <v>1862</v>
      </c>
      <c r="H39" s="1097" t="s">
        <v>166</v>
      </c>
      <c r="I39" s="1096" t="s">
        <v>1397</v>
      </c>
      <c r="J39" s="1096" t="s">
        <v>570</v>
      </c>
      <c r="K39" s="1097" t="s">
        <v>1108</v>
      </c>
      <c r="L39" s="1098" t="s">
        <v>359</v>
      </c>
    </row>
    <row r="40" spans="2:12">
      <c r="B40" s="1099" t="s">
        <v>1740</v>
      </c>
      <c r="C40" s="1100" t="s">
        <v>237</v>
      </c>
      <c r="D40" s="1101">
        <v>1</v>
      </c>
      <c r="E40" s="1101">
        <v>0.38</v>
      </c>
      <c r="F40" s="1101">
        <v>0.41</v>
      </c>
      <c r="G40" s="1100" t="s">
        <v>1863</v>
      </c>
      <c r="H40" s="1101" t="s">
        <v>166</v>
      </c>
      <c r="I40" s="1100" t="s">
        <v>1397</v>
      </c>
      <c r="J40" s="1100" t="s">
        <v>573</v>
      </c>
      <c r="K40" s="1101" t="s">
        <v>1108</v>
      </c>
      <c r="L40" s="1102" t="s">
        <v>359</v>
      </c>
    </row>
    <row r="41" spans="2:12">
      <c r="B41" s="1095" t="s">
        <v>1741</v>
      </c>
      <c r="C41" s="1096" t="s">
        <v>237</v>
      </c>
      <c r="D41" s="1097">
        <v>1</v>
      </c>
      <c r="E41" s="1097">
        <v>0.57999999999999996</v>
      </c>
      <c r="F41" s="1097">
        <v>0.9</v>
      </c>
      <c r="G41" s="1096" t="s">
        <v>1864</v>
      </c>
      <c r="H41" s="1097" t="s">
        <v>166</v>
      </c>
      <c r="I41" s="1096" t="s">
        <v>1397</v>
      </c>
      <c r="J41" s="1096" t="s">
        <v>361</v>
      </c>
      <c r="K41" s="1097" t="s">
        <v>1108</v>
      </c>
      <c r="L41" s="1098" t="s">
        <v>359</v>
      </c>
    </row>
    <row r="42" spans="2:12">
      <c r="B42" s="1099" t="s">
        <v>1742</v>
      </c>
      <c r="C42" s="1100" t="s">
        <v>237</v>
      </c>
      <c r="D42" s="1101">
        <v>1</v>
      </c>
      <c r="E42" s="1101">
        <v>0.57999999999999996</v>
      </c>
      <c r="F42" s="1101">
        <v>0.9</v>
      </c>
      <c r="G42" s="1100" t="s">
        <v>1865</v>
      </c>
      <c r="H42" s="1101" t="s">
        <v>157</v>
      </c>
      <c r="I42" s="1100" t="s">
        <v>1399</v>
      </c>
      <c r="J42" s="1100" t="s">
        <v>361</v>
      </c>
      <c r="K42" s="1101" t="s">
        <v>1108</v>
      </c>
      <c r="L42" s="1102" t="s">
        <v>359</v>
      </c>
    </row>
    <row r="43" spans="2:12">
      <c r="B43" s="1095" t="s">
        <v>1743</v>
      </c>
      <c r="C43" s="1096" t="s">
        <v>237</v>
      </c>
      <c r="D43" s="1097">
        <v>1</v>
      </c>
      <c r="E43" s="1097">
        <v>0.96</v>
      </c>
      <c r="F43" s="1097">
        <v>0.85</v>
      </c>
      <c r="G43" s="1096" t="s">
        <v>1866</v>
      </c>
      <c r="H43" s="1097" t="s">
        <v>166</v>
      </c>
      <c r="I43" s="1096" t="s">
        <v>1397</v>
      </c>
      <c r="J43" s="1096" t="s">
        <v>361</v>
      </c>
      <c r="K43" s="1097" t="s">
        <v>1108</v>
      </c>
      <c r="L43" s="1098" t="s">
        <v>359</v>
      </c>
    </row>
    <row r="44" spans="2:12">
      <c r="B44" s="1099" t="s">
        <v>1744</v>
      </c>
      <c r="C44" s="1100" t="s">
        <v>237</v>
      </c>
      <c r="D44" s="1101">
        <v>1</v>
      </c>
      <c r="E44" s="1101">
        <v>0.96</v>
      </c>
      <c r="F44" s="1101">
        <v>0.85</v>
      </c>
      <c r="G44" s="1100" t="s">
        <v>1867</v>
      </c>
      <c r="H44" s="1101" t="s">
        <v>157</v>
      </c>
      <c r="I44" s="1100" t="s">
        <v>1399</v>
      </c>
      <c r="J44" s="1100" t="s">
        <v>361</v>
      </c>
      <c r="K44" s="1101" t="s">
        <v>1108</v>
      </c>
      <c r="L44" s="1102" t="s">
        <v>359</v>
      </c>
    </row>
    <row r="45" spans="2:12">
      <c r="B45" s="1095" t="s">
        <v>1745</v>
      </c>
      <c r="C45" s="1096" t="s">
        <v>237</v>
      </c>
      <c r="D45" s="1097">
        <v>1</v>
      </c>
      <c r="E45" s="1097">
        <v>1.33</v>
      </c>
      <c r="F45" s="1097">
        <v>1.4</v>
      </c>
      <c r="G45" s="1096" t="s">
        <v>1868</v>
      </c>
      <c r="H45" s="1097" t="s">
        <v>166</v>
      </c>
      <c r="I45" s="1096" t="s">
        <v>1397</v>
      </c>
      <c r="J45" s="1096" t="s">
        <v>575</v>
      </c>
      <c r="K45" s="1097" t="s">
        <v>1108</v>
      </c>
      <c r="L45" s="1098" t="s">
        <v>359</v>
      </c>
    </row>
    <row r="46" spans="2:12">
      <c r="B46" s="1099" t="s">
        <v>1746</v>
      </c>
      <c r="C46" s="1100" t="s">
        <v>237</v>
      </c>
      <c r="D46" s="1101">
        <v>1</v>
      </c>
      <c r="E46" s="1101">
        <v>1.06</v>
      </c>
      <c r="F46" s="1101">
        <v>0.94</v>
      </c>
      <c r="G46" s="1100" t="s">
        <v>1869</v>
      </c>
      <c r="H46" s="1101" t="s">
        <v>166</v>
      </c>
      <c r="I46" s="1100" t="s">
        <v>1397</v>
      </c>
      <c r="J46" s="1100" t="s">
        <v>575</v>
      </c>
      <c r="K46" s="1101" t="s">
        <v>1108</v>
      </c>
      <c r="L46" s="1102" t="s">
        <v>359</v>
      </c>
    </row>
    <row r="47" spans="2:12">
      <c r="B47" s="1095" t="s">
        <v>1747</v>
      </c>
      <c r="C47" s="1096" t="s">
        <v>237</v>
      </c>
      <c r="D47" s="1097">
        <v>1</v>
      </c>
      <c r="E47" s="1097">
        <v>0.59</v>
      </c>
      <c r="F47" s="1097">
        <v>0.62</v>
      </c>
      <c r="G47" s="1096" t="s">
        <v>1870</v>
      </c>
      <c r="H47" s="1097" t="s">
        <v>166</v>
      </c>
      <c r="I47" s="1096" t="s">
        <v>1397</v>
      </c>
      <c r="J47" s="1096" t="s">
        <v>575</v>
      </c>
      <c r="K47" s="1097" t="s">
        <v>1108</v>
      </c>
      <c r="L47" s="1098" t="s">
        <v>353</v>
      </c>
    </row>
    <row r="48" spans="2:12">
      <c r="B48" s="1099" t="s">
        <v>1748</v>
      </c>
      <c r="C48" s="1100" t="s">
        <v>237</v>
      </c>
      <c r="D48" s="1101">
        <v>1</v>
      </c>
      <c r="E48" s="1101">
        <v>0.56999999999999995</v>
      </c>
      <c r="F48" s="1101">
        <v>1.17</v>
      </c>
      <c r="G48" s="1100" t="s">
        <v>1871</v>
      </c>
      <c r="H48" s="1101" t="s">
        <v>166</v>
      </c>
      <c r="I48" s="1100" t="s">
        <v>1397</v>
      </c>
      <c r="J48" s="1100" t="s">
        <v>575</v>
      </c>
      <c r="K48" s="1101" t="s">
        <v>1108</v>
      </c>
      <c r="L48" s="1102" t="s">
        <v>359</v>
      </c>
    </row>
    <row r="49" spans="2:12">
      <c r="B49" s="1095" t="s">
        <v>1749</v>
      </c>
      <c r="C49" s="1096" t="s">
        <v>237</v>
      </c>
      <c r="D49" s="1097">
        <v>1</v>
      </c>
      <c r="E49" s="1097">
        <v>0.7</v>
      </c>
      <c r="F49" s="1097">
        <v>0.92</v>
      </c>
      <c r="G49" s="1096" t="s">
        <v>1872</v>
      </c>
      <c r="H49" s="1097" t="s">
        <v>166</v>
      </c>
      <c r="I49" s="1096" t="s">
        <v>1397</v>
      </c>
      <c r="J49" s="1096" t="s">
        <v>575</v>
      </c>
      <c r="K49" s="1097" t="s">
        <v>1108</v>
      </c>
      <c r="L49" s="1098" t="s">
        <v>359</v>
      </c>
    </row>
    <row r="50" spans="2:12">
      <c r="B50" s="1099" t="s">
        <v>1750</v>
      </c>
      <c r="C50" s="1100" t="s">
        <v>237</v>
      </c>
      <c r="D50" s="1101">
        <v>1</v>
      </c>
      <c r="E50" s="1101">
        <v>1.51</v>
      </c>
      <c r="F50" s="1101">
        <v>2.2599999999999998</v>
      </c>
      <c r="G50" s="1100" t="s">
        <v>1873</v>
      </c>
      <c r="H50" s="1101" t="s">
        <v>166</v>
      </c>
      <c r="I50" s="1100" t="s">
        <v>1397</v>
      </c>
      <c r="J50" s="1100" t="s">
        <v>575</v>
      </c>
      <c r="K50" s="1101" t="s">
        <v>1108</v>
      </c>
      <c r="L50" s="1102" t="s">
        <v>359</v>
      </c>
    </row>
    <row r="51" spans="2:12">
      <c r="B51" s="1095" t="s">
        <v>1751</v>
      </c>
      <c r="C51" s="1096" t="s">
        <v>237</v>
      </c>
      <c r="D51" s="1097">
        <v>1</v>
      </c>
      <c r="E51" s="1097">
        <v>0.5</v>
      </c>
      <c r="F51" s="1097">
        <v>0.68</v>
      </c>
      <c r="G51" s="1096" t="s">
        <v>1874</v>
      </c>
      <c r="H51" s="1097" t="s">
        <v>166</v>
      </c>
      <c r="I51" s="1096" t="s">
        <v>1397</v>
      </c>
      <c r="J51" s="1096" t="s">
        <v>568</v>
      </c>
      <c r="K51" s="1097" t="s">
        <v>1108</v>
      </c>
      <c r="L51" s="1098" t="s">
        <v>359</v>
      </c>
    </row>
    <row r="52" spans="2:12">
      <c r="B52" s="1099" t="s">
        <v>1752</v>
      </c>
      <c r="C52" s="1100" t="s">
        <v>237</v>
      </c>
      <c r="D52" s="1101">
        <v>1</v>
      </c>
      <c r="E52" s="1101">
        <v>0.73</v>
      </c>
      <c r="F52" s="1101">
        <v>0.91</v>
      </c>
      <c r="G52" s="1100" t="s">
        <v>1875</v>
      </c>
      <c r="H52" s="1101" t="s">
        <v>166</v>
      </c>
      <c r="I52" s="1100" t="s">
        <v>1397</v>
      </c>
      <c r="J52" s="1100" t="s">
        <v>575</v>
      </c>
      <c r="K52" s="1101" t="s">
        <v>1108</v>
      </c>
      <c r="L52" s="1102" t="s">
        <v>359</v>
      </c>
    </row>
    <row r="53" spans="2:12">
      <c r="B53" s="1095" t="s">
        <v>1753</v>
      </c>
      <c r="C53" s="1096" t="s">
        <v>237</v>
      </c>
      <c r="D53" s="1097">
        <v>1</v>
      </c>
      <c r="E53" s="1097">
        <v>0.92</v>
      </c>
      <c r="F53" s="1097">
        <v>1.25</v>
      </c>
      <c r="G53" s="1096" t="s">
        <v>1876</v>
      </c>
      <c r="H53" s="1097" t="s">
        <v>166</v>
      </c>
      <c r="I53" s="1096" t="s">
        <v>1397</v>
      </c>
      <c r="J53" s="1096" t="s">
        <v>575</v>
      </c>
      <c r="K53" s="1097" t="s">
        <v>1108</v>
      </c>
      <c r="L53" s="1098" t="s">
        <v>359</v>
      </c>
    </row>
    <row r="54" spans="2:12">
      <c r="B54" s="1099" t="s">
        <v>1754</v>
      </c>
      <c r="C54" s="1100" t="s">
        <v>237</v>
      </c>
      <c r="D54" s="1101">
        <v>1</v>
      </c>
      <c r="E54" s="1101">
        <v>1.02</v>
      </c>
      <c r="F54" s="1101">
        <v>1.1100000000000001</v>
      </c>
      <c r="G54" s="1100" t="s">
        <v>1877</v>
      </c>
      <c r="H54" s="1101" t="s">
        <v>166</v>
      </c>
      <c r="I54" s="1100" t="s">
        <v>1397</v>
      </c>
      <c r="J54" s="1100" t="s">
        <v>354</v>
      </c>
      <c r="K54" s="1101" t="s">
        <v>1108</v>
      </c>
      <c r="L54" s="1102" t="s">
        <v>359</v>
      </c>
    </row>
    <row r="55" spans="2:12">
      <c r="B55" s="1095" t="s">
        <v>1755</v>
      </c>
      <c r="C55" s="1096" t="s">
        <v>237</v>
      </c>
      <c r="D55" s="1097">
        <v>1</v>
      </c>
      <c r="E55" s="1097">
        <v>1.45</v>
      </c>
      <c r="F55" s="1097">
        <v>1.33</v>
      </c>
      <c r="G55" s="1096" t="s">
        <v>1878</v>
      </c>
      <c r="H55" s="1097" t="s">
        <v>166</v>
      </c>
      <c r="I55" s="1096" t="s">
        <v>1397</v>
      </c>
      <c r="J55" s="1096" t="s">
        <v>575</v>
      </c>
      <c r="K55" s="1097" t="s">
        <v>1108</v>
      </c>
      <c r="L55" s="1098" t="s">
        <v>359</v>
      </c>
    </row>
    <row r="56" spans="2:12">
      <c r="B56" s="1099" t="s">
        <v>1756</v>
      </c>
      <c r="C56" s="1100" t="s">
        <v>237</v>
      </c>
      <c r="D56" s="1101">
        <v>1</v>
      </c>
      <c r="E56" s="1101">
        <v>0.48</v>
      </c>
      <c r="F56" s="1101">
        <v>0.53</v>
      </c>
      <c r="G56" s="1100" t="s">
        <v>1879</v>
      </c>
      <c r="H56" s="1101" t="s">
        <v>166</v>
      </c>
      <c r="I56" s="1100" t="s">
        <v>1397</v>
      </c>
      <c r="J56" s="1100" t="s">
        <v>575</v>
      </c>
      <c r="K56" s="1101" t="s">
        <v>1108</v>
      </c>
      <c r="L56" s="1102" t="s">
        <v>359</v>
      </c>
    </row>
    <row r="57" spans="2:12">
      <c r="B57" s="1095" t="s">
        <v>1757</v>
      </c>
      <c r="C57" s="1096" t="s">
        <v>237</v>
      </c>
      <c r="D57" s="1097">
        <v>1</v>
      </c>
      <c r="E57" s="1097">
        <v>0.74</v>
      </c>
      <c r="F57" s="1097">
        <v>0.31</v>
      </c>
      <c r="G57" s="1096" t="s">
        <v>1880</v>
      </c>
      <c r="H57" s="1097" t="s">
        <v>166</v>
      </c>
      <c r="I57" s="1096" t="s">
        <v>1397</v>
      </c>
      <c r="J57" s="1096" t="s">
        <v>571</v>
      </c>
      <c r="K57" s="1097" t="s">
        <v>1108</v>
      </c>
      <c r="L57" s="1098" t="s">
        <v>359</v>
      </c>
    </row>
    <row r="58" spans="2:12">
      <c r="B58" s="1099" t="s">
        <v>1758</v>
      </c>
      <c r="C58" s="1100" t="s">
        <v>237</v>
      </c>
      <c r="D58" s="1101">
        <v>1</v>
      </c>
      <c r="E58" s="1101">
        <v>1.37</v>
      </c>
      <c r="F58" s="1101">
        <v>1.1000000000000001</v>
      </c>
      <c r="G58" s="1100" t="s">
        <v>1881</v>
      </c>
      <c r="H58" s="1101" t="s">
        <v>166</v>
      </c>
      <c r="I58" s="1100" t="s">
        <v>1397</v>
      </c>
      <c r="J58" s="1100" t="s">
        <v>571</v>
      </c>
      <c r="K58" s="1101" t="s">
        <v>1108</v>
      </c>
      <c r="L58" s="1102" t="s">
        <v>353</v>
      </c>
    </row>
    <row r="59" spans="2:12">
      <c r="B59" s="1095" t="s">
        <v>1759</v>
      </c>
      <c r="C59" s="1096" t="s">
        <v>237</v>
      </c>
      <c r="D59" s="1097">
        <v>1</v>
      </c>
      <c r="E59" s="1097">
        <v>0.38</v>
      </c>
      <c r="F59" s="1097">
        <v>0.88</v>
      </c>
      <c r="G59" s="1096" t="s">
        <v>1882</v>
      </c>
      <c r="H59" s="1097" t="s">
        <v>166</v>
      </c>
      <c r="I59" s="1096" t="s">
        <v>1397</v>
      </c>
      <c r="J59" s="1096" t="s">
        <v>575</v>
      </c>
      <c r="K59" s="1097" t="s">
        <v>1108</v>
      </c>
      <c r="L59" s="1098" t="s">
        <v>359</v>
      </c>
    </row>
    <row r="60" spans="2:12">
      <c r="B60" s="1099" t="s">
        <v>1760</v>
      </c>
      <c r="C60" s="1100" t="s">
        <v>237</v>
      </c>
      <c r="D60" s="1101">
        <v>1</v>
      </c>
      <c r="E60" s="1101">
        <v>0.72</v>
      </c>
      <c r="F60" s="1101">
        <v>0.84</v>
      </c>
      <c r="G60" s="1100" t="s">
        <v>1883</v>
      </c>
      <c r="H60" s="1101" t="s">
        <v>166</v>
      </c>
      <c r="I60" s="1100" t="s">
        <v>1397</v>
      </c>
      <c r="J60" s="1100" t="s">
        <v>572</v>
      </c>
      <c r="K60" s="1101" t="s">
        <v>1108</v>
      </c>
      <c r="L60" s="1102" t="s">
        <v>359</v>
      </c>
    </row>
    <row r="61" spans="2:12">
      <c r="B61" s="1095" t="s">
        <v>1761</v>
      </c>
      <c r="C61" s="1096" t="s">
        <v>237</v>
      </c>
      <c r="D61" s="1097">
        <v>1</v>
      </c>
      <c r="E61" s="1097">
        <v>0.51</v>
      </c>
      <c r="F61" s="1097">
        <v>0.65</v>
      </c>
      <c r="G61" s="1096" t="s">
        <v>1884</v>
      </c>
      <c r="H61" s="1097" t="s">
        <v>166</v>
      </c>
      <c r="I61" s="1096" t="s">
        <v>1397</v>
      </c>
      <c r="J61" s="1096" t="s">
        <v>572</v>
      </c>
      <c r="K61" s="1097" t="s">
        <v>1108</v>
      </c>
      <c r="L61" s="1098" t="s">
        <v>359</v>
      </c>
    </row>
    <row r="62" spans="2:12">
      <c r="B62" s="1099" t="s">
        <v>1762</v>
      </c>
      <c r="C62" s="1100" t="s">
        <v>237</v>
      </c>
      <c r="D62" s="1101">
        <v>1</v>
      </c>
      <c r="E62" s="1101">
        <v>1.44</v>
      </c>
      <c r="F62" s="1101">
        <v>1.69</v>
      </c>
      <c r="G62" s="1100" t="s">
        <v>1885</v>
      </c>
      <c r="H62" s="1101" t="s">
        <v>166</v>
      </c>
      <c r="I62" s="1100" t="s">
        <v>1397</v>
      </c>
      <c r="J62" s="1100" t="s">
        <v>572</v>
      </c>
      <c r="K62" s="1101" t="s">
        <v>1108</v>
      </c>
      <c r="L62" s="1102" t="s">
        <v>359</v>
      </c>
    </row>
    <row r="63" spans="2:12">
      <c r="B63" s="1095" t="s">
        <v>1763</v>
      </c>
      <c r="C63" s="1096" t="s">
        <v>237</v>
      </c>
      <c r="D63" s="1097">
        <v>1</v>
      </c>
      <c r="E63" s="1097">
        <v>0.85</v>
      </c>
      <c r="F63" s="1097">
        <v>0.51</v>
      </c>
      <c r="G63" s="1096" t="s">
        <v>1886</v>
      </c>
      <c r="H63" s="1097" t="s">
        <v>166</v>
      </c>
      <c r="I63" s="1096" t="s">
        <v>1397</v>
      </c>
      <c r="J63" s="1096" t="s">
        <v>572</v>
      </c>
      <c r="K63" s="1097" t="s">
        <v>1108</v>
      </c>
      <c r="L63" s="1098" t="s">
        <v>359</v>
      </c>
    </row>
    <row r="64" spans="2:12">
      <c r="B64" s="1099" t="s">
        <v>1764</v>
      </c>
      <c r="C64" s="1100" t="s">
        <v>237</v>
      </c>
      <c r="D64" s="1101">
        <v>1</v>
      </c>
      <c r="E64" s="1101">
        <v>0.42</v>
      </c>
      <c r="F64" s="1101">
        <v>0.23</v>
      </c>
      <c r="G64" s="1100" t="s">
        <v>1887</v>
      </c>
      <c r="H64" s="1101" t="s">
        <v>166</v>
      </c>
      <c r="I64" s="1100" t="s">
        <v>1397</v>
      </c>
      <c r="J64" s="1100" t="s">
        <v>572</v>
      </c>
      <c r="K64" s="1101" t="s">
        <v>1108</v>
      </c>
      <c r="L64" s="1102" t="s">
        <v>359</v>
      </c>
    </row>
    <row r="65" spans="2:12">
      <c r="B65" s="1095" t="s">
        <v>1765</v>
      </c>
      <c r="C65" s="1096" t="s">
        <v>237</v>
      </c>
      <c r="D65" s="1097">
        <v>1</v>
      </c>
      <c r="E65" s="1097">
        <v>1.6</v>
      </c>
      <c r="F65" s="1097">
        <v>1.25</v>
      </c>
      <c r="G65" s="1096" t="s">
        <v>1888</v>
      </c>
      <c r="H65" s="1097" t="s">
        <v>166</v>
      </c>
      <c r="I65" s="1096" t="s">
        <v>1397</v>
      </c>
      <c r="J65" s="1096" t="s">
        <v>572</v>
      </c>
      <c r="K65" s="1097" t="s">
        <v>1108</v>
      </c>
      <c r="L65" s="1098" t="s">
        <v>359</v>
      </c>
    </row>
    <row r="66" spans="2:12">
      <c r="B66" s="1099" t="s">
        <v>1766</v>
      </c>
      <c r="C66" s="1100" t="s">
        <v>237</v>
      </c>
      <c r="D66" s="1101">
        <v>1</v>
      </c>
      <c r="E66" s="1101">
        <v>0.6</v>
      </c>
      <c r="F66" s="1101">
        <v>0.52</v>
      </c>
      <c r="G66" s="1100" t="s">
        <v>1889</v>
      </c>
      <c r="H66" s="1101" t="s">
        <v>166</v>
      </c>
      <c r="I66" s="1100" t="s">
        <v>1397</v>
      </c>
      <c r="J66" s="1100" t="s">
        <v>575</v>
      </c>
      <c r="K66" s="1101" t="s">
        <v>1108</v>
      </c>
      <c r="L66" s="1102" t="s">
        <v>353</v>
      </c>
    </row>
    <row r="67" spans="2:12">
      <c r="B67" s="1095" t="s">
        <v>1767</v>
      </c>
      <c r="C67" s="1096" t="s">
        <v>237</v>
      </c>
      <c r="D67" s="1097">
        <v>1</v>
      </c>
      <c r="E67" s="1097">
        <v>0.57999999999999996</v>
      </c>
      <c r="F67" s="1097">
        <v>0.59</v>
      </c>
      <c r="G67" s="1096" t="s">
        <v>1890</v>
      </c>
      <c r="H67" s="1097" t="s">
        <v>166</v>
      </c>
      <c r="I67" s="1096" t="s">
        <v>1397</v>
      </c>
      <c r="J67" s="1096" t="s">
        <v>1768</v>
      </c>
      <c r="K67" s="1097" t="s">
        <v>1108</v>
      </c>
      <c r="L67" s="1098" t="s">
        <v>353</v>
      </c>
    </row>
    <row r="68" spans="2:12">
      <c r="B68" s="1099" t="s">
        <v>1769</v>
      </c>
      <c r="C68" s="1100" t="s">
        <v>237</v>
      </c>
      <c r="D68" s="1101">
        <v>1</v>
      </c>
      <c r="E68" s="1101">
        <v>0.74</v>
      </c>
      <c r="F68" s="1101">
        <v>0.42</v>
      </c>
      <c r="G68" s="1100" t="s">
        <v>1891</v>
      </c>
      <c r="H68" s="1101" t="s">
        <v>166</v>
      </c>
      <c r="I68" s="1100" t="s">
        <v>1397</v>
      </c>
      <c r="J68" s="1100" t="s">
        <v>1768</v>
      </c>
      <c r="K68" s="1101" t="s">
        <v>1108</v>
      </c>
      <c r="L68" s="1102" t="s">
        <v>353</v>
      </c>
    </row>
    <row r="69" spans="2:12">
      <c r="B69" s="1095" t="s">
        <v>1770</v>
      </c>
      <c r="C69" s="1096" t="s">
        <v>237</v>
      </c>
      <c r="D69" s="1097">
        <v>1</v>
      </c>
      <c r="E69" s="1097">
        <v>1.03</v>
      </c>
      <c r="F69" s="1097">
        <v>0.8</v>
      </c>
      <c r="G69" s="1096" t="s">
        <v>1892</v>
      </c>
      <c r="H69" s="1097" t="s">
        <v>166</v>
      </c>
      <c r="I69" s="1096" t="s">
        <v>1397</v>
      </c>
      <c r="J69" s="1096" t="s">
        <v>578</v>
      </c>
      <c r="K69" s="1097" t="s">
        <v>1108</v>
      </c>
      <c r="L69" s="1098" t="s">
        <v>359</v>
      </c>
    </row>
    <row r="70" spans="2:12">
      <c r="B70" s="1099" t="s">
        <v>1771</v>
      </c>
      <c r="C70" s="1100" t="s">
        <v>237</v>
      </c>
      <c r="D70" s="1101">
        <v>1</v>
      </c>
      <c r="E70" s="1101">
        <v>0.59</v>
      </c>
      <c r="F70" s="1101">
        <v>0.76</v>
      </c>
      <c r="G70" s="1100" t="s">
        <v>1893</v>
      </c>
      <c r="H70" s="1101" t="s">
        <v>166</v>
      </c>
      <c r="I70" s="1100" t="s">
        <v>1397</v>
      </c>
      <c r="J70" s="1100" t="s">
        <v>578</v>
      </c>
      <c r="K70" s="1101" t="s">
        <v>1108</v>
      </c>
      <c r="L70" s="1102" t="s">
        <v>359</v>
      </c>
    </row>
    <row r="71" spans="2:12">
      <c r="B71" s="1095" t="s">
        <v>1772</v>
      </c>
      <c r="C71" s="1096" t="s">
        <v>237</v>
      </c>
      <c r="D71" s="1097">
        <v>1</v>
      </c>
      <c r="E71" s="1097">
        <v>0.84</v>
      </c>
      <c r="F71" s="1097">
        <v>1.42</v>
      </c>
      <c r="G71" s="1096" t="s">
        <v>1894</v>
      </c>
      <c r="H71" s="1097" t="s">
        <v>166</v>
      </c>
      <c r="I71" s="1096" t="s">
        <v>1397</v>
      </c>
      <c r="J71" s="1096" t="s">
        <v>578</v>
      </c>
      <c r="K71" s="1097" t="s">
        <v>1108</v>
      </c>
      <c r="L71" s="1098" t="s">
        <v>359</v>
      </c>
    </row>
    <row r="72" spans="2:12">
      <c r="B72" s="1099" t="s">
        <v>1773</v>
      </c>
      <c r="C72" s="1100" t="s">
        <v>237</v>
      </c>
      <c r="D72" s="1101">
        <v>1</v>
      </c>
      <c r="E72" s="1101">
        <v>0.84</v>
      </c>
      <c r="F72" s="1101">
        <v>1.42</v>
      </c>
      <c r="G72" s="1100" t="s">
        <v>1895</v>
      </c>
      <c r="H72" s="1101" t="s">
        <v>157</v>
      </c>
      <c r="I72" s="1100" t="s">
        <v>1399</v>
      </c>
      <c r="J72" s="1100" t="s">
        <v>578</v>
      </c>
      <c r="K72" s="1101" t="s">
        <v>1108</v>
      </c>
      <c r="L72" s="1102" t="s">
        <v>359</v>
      </c>
    </row>
    <row r="73" spans="2:12">
      <c r="B73" s="1095" t="s">
        <v>1774</v>
      </c>
      <c r="C73" s="1096" t="s">
        <v>237</v>
      </c>
      <c r="D73" s="1097">
        <v>1</v>
      </c>
      <c r="E73" s="1097">
        <v>0.98</v>
      </c>
      <c r="F73" s="1097">
        <v>1.24</v>
      </c>
      <c r="G73" s="1096" t="s">
        <v>1896</v>
      </c>
      <c r="H73" s="1097" t="s">
        <v>166</v>
      </c>
      <c r="I73" s="1096" t="s">
        <v>1397</v>
      </c>
      <c r="J73" s="1096" t="s">
        <v>578</v>
      </c>
      <c r="K73" s="1097" t="s">
        <v>1108</v>
      </c>
      <c r="L73" s="1098" t="s">
        <v>359</v>
      </c>
    </row>
    <row r="74" spans="2:12">
      <c r="B74" s="1099" t="s">
        <v>1775</v>
      </c>
      <c r="C74" s="1100" t="s">
        <v>237</v>
      </c>
      <c r="D74" s="1101">
        <v>1</v>
      </c>
      <c r="E74" s="1101">
        <v>0.98</v>
      </c>
      <c r="F74" s="1101">
        <v>1.24</v>
      </c>
      <c r="G74" s="1100" t="s">
        <v>1897</v>
      </c>
      <c r="H74" s="1101" t="s">
        <v>157</v>
      </c>
      <c r="I74" s="1100" t="s">
        <v>1399</v>
      </c>
      <c r="J74" s="1100" t="s">
        <v>578</v>
      </c>
      <c r="K74" s="1101" t="s">
        <v>1108</v>
      </c>
      <c r="L74" s="1102" t="s">
        <v>359</v>
      </c>
    </row>
    <row r="75" spans="2:12">
      <c r="B75" s="1095" t="s">
        <v>1776</v>
      </c>
      <c r="C75" s="1096" t="s">
        <v>237</v>
      </c>
      <c r="D75" s="1097">
        <v>1</v>
      </c>
      <c r="E75" s="1097">
        <v>0.95</v>
      </c>
      <c r="F75" s="1097">
        <v>0.86</v>
      </c>
      <c r="G75" s="1096" t="s">
        <v>1898</v>
      </c>
      <c r="H75" s="1097" t="s">
        <v>166</v>
      </c>
      <c r="I75" s="1096" t="s">
        <v>1397</v>
      </c>
      <c r="J75" s="1096" t="s">
        <v>578</v>
      </c>
      <c r="K75" s="1097" t="s">
        <v>1108</v>
      </c>
      <c r="L75" s="1098" t="s">
        <v>359</v>
      </c>
    </row>
    <row r="76" spans="2:12">
      <c r="B76" s="1099" t="s">
        <v>1777</v>
      </c>
      <c r="C76" s="1100" t="s">
        <v>237</v>
      </c>
      <c r="D76" s="1101">
        <v>1</v>
      </c>
      <c r="E76" s="1101">
        <v>0.95</v>
      </c>
      <c r="F76" s="1101">
        <v>0.86</v>
      </c>
      <c r="G76" s="1100" t="s">
        <v>1899</v>
      </c>
      <c r="H76" s="1101" t="s">
        <v>157</v>
      </c>
      <c r="I76" s="1100" t="s">
        <v>1399</v>
      </c>
      <c r="J76" s="1100" t="s">
        <v>578</v>
      </c>
      <c r="K76" s="1101" t="s">
        <v>1108</v>
      </c>
      <c r="L76" s="1102" t="s">
        <v>359</v>
      </c>
    </row>
    <row r="77" spans="2:12">
      <c r="B77" s="1095" t="s">
        <v>1778</v>
      </c>
      <c r="C77" s="1096" t="s">
        <v>237</v>
      </c>
      <c r="D77" s="1097">
        <v>1</v>
      </c>
      <c r="E77" s="1097">
        <v>0.84</v>
      </c>
      <c r="F77" s="1097">
        <v>0.31</v>
      </c>
      <c r="G77" s="1096" t="s">
        <v>1900</v>
      </c>
      <c r="H77" s="1097" t="s">
        <v>166</v>
      </c>
      <c r="I77" s="1096" t="s">
        <v>1397</v>
      </c>
      <c r="J77" s="1096" t="s">
        <v>579</v>
      </c>
      <c r="K77" s="1097" t="s">
        <v>1108</v>
      </c>
      <c r="L77" s="1098" t="s">
        <v>359</v>
      </c>
    </row>
    <row r="78" spans="2:12">
      <c r="B78" s="1099" t="s">
        <v>1779</v>
      </c>
      <c r="C78" s="1100" t="s">
        <v>237</v>
      </c>
      <c r="D78" s="1101">
        <v>1</v>
      </c>
      <c r="E78" s="1101">
        <v>0.82</v>
      </c>
      <c r="F78" s="1101">
        <v>1.1000000000000001</v>
      </c>
      <c r="G78" s="1100" t="s">
        <v>1901</v>
      </c>
      <c r="H78" s="1101" t="s">
        <v>166</v>
      </c>
      <c r="I78" s="1100" t="s">
        <v>1397</v>
      </c>
      <c r="J78" s="1100" t="s">
        <v>575</v>
      </c>
      <c r="K78" s="1101" t="s">
        <v>1108</v>
      </c>
      <c r="L78" s="1102" t="s">
        <v>359</v>
      </c>
    </row>
    <row r="79" spans="2:12">
      <c r="B79" s="1095" t="s">
        <v>1780</v>
      </c>
      <c r="C79" s="1096" t="s">
        <v>237</v>
      </c>
      <c r="D79" s="1097">
        <v>1</v>
      </c>
      <c r="E79" s="1097">
        <v>0.89</v>
      </c>
      <c r="F79" s="1097">
        <v>0.74</v>
      </c>
      <c r="G79" s="1096" t="s">
        <v>1902</v>
      </c>
      <c r="H79" s="1097" t="s">
        <v>166</v>
      </c>
      <c r="I79" s="1096" t="s">
        <v>1397</v>
      </c>
      <c r="J79" s="1096" t="s">
        <v>577</v>
      </c>
      <c r="K79" s="1097" t="s">
        <v>1108</v>
      </c>
      <c r="L79" s="1098" t="s">
        <v>353</v>
      </c>
    </row>
    <row r="80" spans="2:12">
      <c r="B80" s="1099" t="s">
        <v>1781</v>
      </c>
      <c r="C80" s="1100" t="s">
        <v>237</v>
      </c>
      <c r="D80" s="1101">
        <v>1</v>
      </c>
      <c r="E80" s="1101">
        <v>0.78</v>
      </c>
      <c r="F80" s="1101">
        <v>0.61</v>
      </c>
      <c r="G80" s="1100" t="s">
        <v>1903</v>
      </c>
      <c r="H80" s="1101" t="s">
        <v>166</v>
      </c>
      <c r="I80" s="1100" t="s">
        <v>1397</v>
      </c>
      <c r="J80" s="1100" t="s">
        <v>574</v>
      </c>
      <c r="K80" s="1101" t="s">
        <v>1108</v>
      </c>
      <c r="L80" s="1102" t="s">
        <v>353</v>
      </c>
    </row>
    <row r="81" spans="2:12">
      <c r="B81" s="1095" t="s">
        <v>1782</v>
      </c>
      <c r="C81" s="1096" t="s">
        <v>237</v>
      </c>
      <c r="D81" s="1097">
        <v>1</v>
      </c>
      <c r="E81" s="1097">
        <v>0.15</v>
      </c>
      <c r="F81" s="1097">
        <v>0.15</v>
      </c>
      <c r="G81" s="1096" t="s">
        <v>1904</v>
      </c>
      <c r="H81" s="1097" t="s">
        <v>166</v>
      </c>
      <c r="I81" s="1096" t="s">
        <v>1397</v>
      </c>
      <c r="J81" s="1096" t="s">
        <v>576</v>
      </c>
      <c r="K81" s="1097" t="s">
        <v>1108</v>
      </c>
      <c r="L81" s="1098" t="s">
        <v>353</v>
      </c>
    </row>
    <row r="82" spans="2:12">
      <c r="B82" s="1099" t="s">
        <v>1783</v>
      </c>
      <c r="C82" s="1100" t="s">
        <v>237</v>
      </c>
      <c r="D82" s="1101">
        <v>1</v>
      </c>
      <c r="E82" s="1101">
        <v>0.32</v>
      </c>
      <c r="F82" s="1101">
        <v>0.41</v>
      </c>
      <c r="G82" s="1100" t="s">
        <v>1905</v>
      </c>
      <c r="H82" s="1101" t="s">
        <v>166</v>
      </c>
      <c r="I82" s="1100" t="s">
        <v>1397</v>
      </c>
      <c r="J82" s="1100" t="s">
        <v>575</v>
      </c>
      <c r="K82" s="1101" t="s">
        <v>1108</v>
      </c>
      <c r="L82" s="1102" t="s">
        <v>359</v>
      </c>
    </row>
    <row r="83" spans="2:12">
      <c r="B83" s="1095" t="s">
        <v>1784</v>
      </c>
      <c r="C83" s="1096" t="s">
        <v>237</v>
      </c>
      <c r="D83" s="1097">
        <v>1</v>
      </c>
      <c r="E83" s="1097">
        <v>0.91</v>
      </c>
      <c r="F83" s="1097">
        <v>1.66</v>
      </c>
      <c r="G83" s="1096" t="s">
        <v>1906</v>
      </c>
      <c r="H83" s="1097" t="s">
        <v>166</v>
      </c>
      <c r="I83" s="1096" t="s">
        <v>1397</v>
      </c>
      <c r="J83" s="1096" t="s">
        <v>575</v>
      </c>
      <c r="K83" s="1097" t="s">
        <v>1108</v>
      </c>
      <c r="L83" s="1098" t="s">
        <v>359</v>
      </c>
    </row>
    <row r="84" spans="2:12">
      <c r="B84" s="1099" t="s">
        <v>1785</v>
      </c>
      <c r="C84" s="1100" t="s">
        <v>237</v>
      </c>
      <c r="D84" s="1101">
        <v>1</v>
      </c>
      <c r="E84" s="1101">
        <v>0.75</v>
      </c>
      <c r="F84" s="1101">
        <v>0.71</v>
      </c>
      <c r="G84" s="1100" t="s">
        <v>1907</v>
      </c>
      <c r="H84" s="1101" t="s">
        <v>166</v>
      </c>
      <c r="I84" s="1100" t="s">
        <v>1397</v>
      </c>
      <c r="J84" s="1100" t="s">
        <v>575</v>
      </c>
      <c r="K84" s="1101" t="s">
        <v>1108</v>
      </c>
      <c r="L84" s="1102" t="s">
        <v>359</v>
      </c>
    </row>
    <row r="85" spans="2:12">
      <c r="B85" s="1095" t="s">
        <v>1786</v>
      </c>
      <c r="C85" s="1096" t="s">
        <v>237</v>
      </c>
      <c r="D85" s="1097">
        <v>1</v>
      </c>
      <c r="E85" s="1097">
        <v>0.51</v>
      </c>
      <c r="F85" s="1097">
        <v>0.54</v>
      </c>
      <c r="G85" s="1096" t="s">
        <v>1908</v>
      </c>
      <c r="H85" s="1097" t="s">
        <v>166</v>
      </c>
      <c r="I85" s="1096" t="s">
        <v>1397</v>
      </c>
      <c r="J85" s="1096" t="s">
        <v>554</v>
      </c>
      <c r="K85" s="1097" t="s">
        <v>1108</v>
      </c>
      <c r="L85" s="1098" t="s">
        <v>359</v>
      </c>
    </row>
    <row r="86" spans="2:12">
      <c r="B86" s="1099" t="s">
        <v>1787</v>
      </c>
      <c r="C86" s="1100" t="s">
        <v>237</v>
      </c>
      <c r="D86" s="1101">
        <v>1</v>
      </c>
      <c r="E86" s="1101">
        <v>1.22</v>
      </c>
      <c r="F86" s="1101">
        <v>0.85</v>
      </c>
      <c r="G86" s="1100" t="s">
        <v>1909</v>
      </c>
      <c r="H86" s="1101" t="s">
        <v>166</v>
      </c>
      <c r="I86" s="1100" t="s">
        <v>1397</v>
      </c>
      <c r="J86" s="1100" t="s">
        <v>554</v>
      </c>
      <c r="K86" s="1101" t="s">
        <v>1108</v>
      </c>
      <c r="L86" s="1102" t="s">
        <v>359</v>
      </c>
    </row>
    <row r="87" spans="2:12">
      <c r="B87" s="1095" t="s">
        <v>1788</v>
      </c>
      <c r="C87" s="1096" t="s">
        <v>237</v>
      </c>
      <c r="D87" s="1097">
        <v>1</v>
      </c>
      <c r="E87" s="1097">
        <v>0.78</v>
      </c>
      <c r="F87" s="1097">
        <v>0.63</v>
      </c>
      <c r="G87" s="1096" t="s">
        <v>1910</v>
      </c>
      <c r="H87" s="1097" t="s">
        <v>166</v>
      </c>
      <c r="I87" s="1096" t="s">
        <v>1397</v>
      </c>
      <c r="J87" s="1096" t="s">
        <v>580</v>
      </c>
      <c r="K87" s="1097" t="s">
        <v>1108</v>
      </c>
      <c r="L87" s="1098" t="s">
        <v>353</v>
      </c>
    </row>
    <row r="88" spans="2:12">
      <c r="B88" s="1099" t="s">
        <v>1789</v>
      </c>
      <c r="C88" s="1100" t="s">
        <v>237</v>
      </c>
      <c r="D88" s="1101">
        <v>1</v>
      </c>
      <c r="E88" s="1101">
        <v>0.97</v>
      </c>
      <c r="F88" s="1101">
        <v>1.26</v>
      </c>
      <c r="G88" s="1100" t="s">
        <v>1911</v>
      </c>
      <c r="H88" s="1101" t="s">
        <v>166</v>
      </c>
      <c r="I88" s="1100" t="s">
        <v>1397</v>
      </c>
      <c r="J88" s="1100" t="s">
        <v>580</v>
      </c>
      <c r="K88" s="1101" t="s">
        <v>1108</v>
      </c>
      <c r="L88" s="1102" t="s">
        <v>353</v>
      </c>
    </row>
    <row r="89" spans="2:12">
      <c r="B89" s="1095" t="s">
        <v>1790</v>
      </c>
      <c r="C89" s="1096" t="s">
        <v>237</v>
      </c>
      <c r="D89" s="1097">
        <v>1</v>
      </c>
      <c r="E89" s="1097">
        <v>0.56999999999999995</v>
      </c>
      <c r="F89" s="1097">
        <v>0.51</v>
      </c>
      <c r="G89" s="1096" t="s">
        <v>1912</v>
      </c>
      <c r="H89" s="1097" t="s">
        <v>166</v>
      </c>
      <c r="I89" s="1096" t="s">
        <v>1397</v>
      </c>
      <c r="J89" s="1096" t="s">
        <v>575</v>
      </c>
      <c r="K89" s="1097" t="s">
        <v>1108</v>
      </c>
      <c r="L89" s="1098" t="s">
        <v>359</v>
      </c>
    </row>
    <row r="90" spans="2:12">
      <c r="B90" s="1099" t="s">
        <v>1791</v>
      </c>
      <c r="C90" s="1100" t="s">
        <v>237</v>
      </c>
      <c r="D90" s="1101">
        <v>1</v>
      </c>
      <c r="E90" s="1101">
        <v>0.88</v>
      </c>
      <c r="F90" s="1101">
        <v>0.82</v>
      </c>
      <c r="G90" s="1100" t="s">
        <v>1913</v>
      </c>
      <c r="H90" s="1101" t="s">
        <v>166</v>
      </c>
      <c r="I90" s="1100" t="s">
        <v>1397</v>
      </c>
      <c r="J90" s="1100" t="s">
        <v>579</v>
      </c>
      <c r="K90" s="1101" t="s">
        <v>1108</v>
      </c>
      <c r="L90" s="1102" t="s">
        <v>359</v>
      </c>
    </row>
    <row r="91" spans="2:12">
      <c r="B91" s="1095" t="s">
        <v>1792</v>
      </c>
      <c r="C91" s="1096" t="s">
        <v>237</v>
      </c>
      <c r="D91" s="1097">
        <v>1</v>
      </c>
      <c r="E91" s="1097">
        <v>1.27</v>
      </c>
      <c r="F91" s="1097">
        <v>1.05</v>
      </c>
      <c r="G91" s="1096" t="s">
        <v>1914</v>
      </c>
      <c r="H91" s="1097" t="s">
        <v>166</v>
      </c>
      <c r="I91" s="1096" t="s">
        <v>1397</v>
      </c>
      <c r="J91" s="1096" t="s">
        <v>581</v>
      </c>
      <c r="K91" s="1097" t="s">
        <v>1108</v>
      </c>
      <c r="L91" s="1098" t="s">
        <v>359</v>
      </c>
    </row>
    <row r="92" spans="2:12">
      <c r="B92" s="1099" t="s">
        <v>1793</v>
      </c>
      <c r="C92" s="1100" t="s">
        <v>237</v>
      </c>
      <c r="D92" s="1101">
        <v>1</v>
      </c>
      <c r="E92" s="1101">
        <v>1.27</v>
      </c>
      <c r="F92" s="1101">
        <v>1.05</v>
      </c>
      <c r="G92" s="1100" t="s">
        <v>1915</v>
      </c>
      <c r="H92" s="1101" t="s">
        <v>157</v>
      </c>
      <c r="I92" s="1100" t="s">
        <v>1399</v>
      </c>
      <c r="J92" s="1100" t="s">
        <v>581</v>
      </c>
      <c r="K92" s="1101" t="s">
        <v>1108</v>
      </c>
      <c r="L92" s="1102" t="s">
        <v>359</v>
      </c>
    </row>
    <row r="93" spans="2:12">
      <c r="B93" s="1095" t="s">
        <v>1794</v>
      </c>
      <c r="C93" s="1096" t="s">
        <v>237</v>
      </c>
      <c r="D93" s="1097">
        <v>1</v>
      </c>
      <c r="E93" s="1097">
        <v>0.43</v>
      </c>
      <c r="F93" s="1097">
        <v>0.23</v>
      </c>
      <c r="G93" s="1096" t="s">
        <v>1916</v>
      </c>
      <c r="H93" s="1097" t="s">
        <v>166</v>
      </c>
      <c r="I93" s="1096" t="s">
        <v>1397</v>
      </c>
      <c r="J93" s="1096" t="s">
        <v>554</v>
      </c>
      <c r="K93" s="1097" t="s">
        <v>1108</v>
      </c>
      <c r="L93" s="1098" t="s">
        <v>359</v>
      </c>
    </row>
    <row r="94" spans="2:12">
      <c r="B94" s="1099" t="s">
        <v>1795</v>
      </c>
      <c r="C94" s="1100" t="s">
        <v>237</v>
      </c>
      <c r="D94" s="1101">
        <v>1</v>
      </c>
      <c r="E94" s="1101">
        <v>2.41</v>
      </c>
      <c r="F94" s="1101">
        <v>2.94</v>
      </c>
      <c r="G94" s="1100" t="s">
        <v>1917</v>
      </c>
      <c r="H94" s="1101" t="s">
        <v>166</v>
      </c>
      <c r="I94" s="1100" t="s">
        <v>1397</v>
      </c>
      <c r="J94" s="1100" t="s">
        <v>361</v>
      </c>
      <c r="K94" s="1101" t="s">
        <v>1108</v>
      </c>
      <c r="L94" s="1102" t="s">
        <v>359</v>
      </c>
    </row>
    <row r="95" spans="2:12">
      <c r="B95" s="1095" t="s">
        <v>1796</v>
      </c>
      <c r="C95" s="1096" t="s">
        <v>237</v>
      </c>
      <c r="D95" s="1097">
        <v>1</v>
      </c>
      <c r="E95" s="1097">
        <v>1.54</v>
      </c>
      <c r="F95" s="1097">
        <v>2.0099999999999998</v>
      </c>
      <c r="G95" s="1096" t="s">
        <v>1918</v>
      </c>
      <c r="H95" s="1097" t="s">
        <v>166</v>
      </c>
      <c r="I95" s="1096" t="s">
        <v>1397</v>
      </c>
      <c r="J95" s="1096" t="s">
        <v>361</v>
      </c>
      <c r="K95" s="1097" t="s">
        <v>1108</v>
      </c>
      <c r="L95" s="1098" t="s">
        <v>359</v>
      </c>
    </row>
    <row r="96" spans="2:12">
      <c r="B96" s="1099" t="s">
        <v>1797</v>
      </c>
      <c r="C96" s="1100" t="s">
        <v>237</v>
      </c>
      <c r="D96" s="1101">
        <v>1</v>
      </c>
      <c r="E96" s="1101">
        <v>0.96</v>
      </c>
      <c r="F96" s="1101">
        <v>1.3</v>
      </c>
      <c r="G96" s="1100" t="s">
        <v>1919</v>
      </c>
      <c r="H96" s="1101" t="s">
        <v>166</v>
      </c>
      <c r="I96" s="1100" t="s">
        <v>1397</v>
      </c>
      <c r="J96" s="1100" t="s">
        <v>361</v>
      </c>
      <c r="K96" s="1101" t="s">
        <v>1108</v>
      </c>
      <c r="L96" s="1102" t="s">
        <v>359</v>
      </c>
    </row>
    <row r="97" spans="2:12">
      <c r="B97" s="1095" t="s">
        <v>1798</v>
      </c>
      <c r="C97" s="1096" t="s">
        <v>237</v>
      </c>
      <c r="D97" s="1097">
        <v>1</v>
      </c>
      <c r="E97" s="1097">
        <v>0.57999999999999996</v>
      </c>
      <c r="F97" s="1097">
        <v>0.86</v>
      </c>
      <c r="G97" s="1096" t="s">
        <v>1920</v>
      </c>
      <c r="H97" s="1097" t="s">
        <v>166</v>
      </c>
      <c r="I97" s="1096" t="s">
        <v>1397</v>
      </c>
      <c r="J97" s="1096" t="s">
        <v>361</v>
      </c>
      <c r="K97" s="1097" t="s">
        <v>1108</v>
      </c>
      <c r="L97" s="1098" t="s">
        <v>359</v>
      </c>
    </row>
    <row r="98" spans="2:12">
      <c r="B98" s="1099" t="s">
        <v>1799</v>
      </c>
      <c r="C98" s="1100" t="s">
        <v>237</v>
      </c>
      <c r="D98" s="1101">
        <v>1</v>
      </c>
      <c r="E98" s="1101">
        <v>0.55000000000000004</v>
      </c>
      <c r="F98" s="1101">
        <v>0.49</v>
      </c>
      <c r="G98" s="1100" t="s">
        <v>1921</v>
      </c>
      <c r="H98" s="1101" t="s">
        <v>166</v>
      </c>
      <c r="I98" s="1100" t="s">
        <v>1397</v>
      </c>
      <c r="J98" s="1100" t="s">
        <v>575</v>
      </c>
      <c r="K98" s="1101" t="s">
        <v>1108</v>
      </c>
      <c r="L98" s="1102" t="s">
        <v>353</v>
      </c>
    </row>
    <row r="99" spans="2:12">
      <c r="B99" s="1095" t="s">
        <v>1800</v>
      </c>
      <c r="C99" s="1096" t="s">
        <v>237</v>
      </c>
      <c r="D99" s="1097">
        <v>1</v>
      </c>
      <c r="E99" s="1097">
        <v>0.5</v>
      </c>
      <c r="F99" s="1097">
        <v>0.51</v>
      </c>
      <c r="G99" s="1096" t="s">
        <v>1922</v>
      </c>
      <c r="H99" s="1097" t="s">
        <v>166</v>
      </c>
      <c r="I99" s="1096" t="s">
        <v>1397</v>
      </c>
      <c r="J99" s="1096" t="s">
        <v>583</v>
      </c>
      <c r="K99" s="1097" t="s">
        <v>1108</v>
      </c>
      <c r="L99" s="1098" t="s">
        <v>353</v>
      </c>
    </row>
    <row r="100" spans="2:12">
      <c r="B100" s="1099" t="s">
        <v>1801</v>
      </c>
      <c r="C100" s="1100" t="s">
        <v>237</v>
      </c>
      <c r="D100" s="1101">
        <v>1</v>
      </c>
      <c r="E100" s="1101">
        <v>0.28999999999999998</v>
      </c>
      <c r="F100" s="1101">
        <v>0.25</v>
      </c>
      <c r="G100" s="1100" t="s">
        <v>1923</v>
      </c>
      <c r="H100" s="1101" t="s">
        <v>166</v>
      </c>
      <c r="I100" s="1100" t="s">
        <v>1397</v>
      </c>
      <c r="J100" s="1100" t="s">
        <v>579</v>
      </c>
      <c r="K100" s="1101" t="s">
        <v>1108</v>
      </c>
      <c r="L100" s="1102" t="s">
        <v>359</v>
      </c>
    </row>
    <row r="101" spans="2:12">
      <c r="B101" s="1095" t="s">
        <v>1802</v>
      </c>
      <c r="C101" s="1096" t="s">
        <v>237</v>
      </c>
      <c r="D101" s="1097">
        <v>1</v>
      </c>
      <c r="E101" s="1097">
        <v>0.42</v>
      </c>
      <c r="F101" s="1097">
        <v>0.39</v>
      </c>
      <c r="G101" s="1096" t="s">
        <v>1924</v>
      </c>
      <c r="H101" s="1097" t="s">
        <v>166</v>
      </c>
      <c r="I101" s="1096" t="s">
        <v>1397</v>
      </c>
      <c r="J101" s="1096" t="s">
        <v>579</v>
      </c>
      <c r="K101" s="1097" t="s">
        <v>1108</v>
      </c>
      <c r="L101" s="1098" t="s">
        <v>359</v>
      </c>
    </row>
    <row r="102" spans="2:12">
      <c r="B102" s="1099" t="s">
        <v>1803</v>
      </c>
      <c r="C102" s="1100" t="s">
        <v>237</v>
      </c>
      <c r="D102" s="1101">
        <v>1</v>
      </c>
      <c r="E102" s="1101">
        <v>0.64</v>
      </c>
      <c r="F102" s="1101">
        <v>0.51</v>
      </c>
      <c r="G102" s="1100" t="s">
        <v>1925</v>
      </c>
      <c r="H102" s="1101" t="s">
        <v>166</v>
      </c>
      <c r="I102" s="1100" t="s">
        <v>1397</v>
      </c>
      <c r="J102" s="1100" t="s">
        <v>579</v>
      </c>
      <c r="K102" s="1101" t="s">
        <v>1108</v>
      </c>
      <c r="L102" s="1102" t="s">
        <v>359</v>
      </c>
    </row>
    <row r="103" spans="2:12">
      <c r="B103" s="1095" t="s">
        <v>1804</v>
      </c>
      <c r="C103" s="1096" t="s">
        <v>237</v>
      </c>
      <c r="D103" s="1097">
        <v>1</v>
      </c>
      <c r="E103" s="1097">
        <v>0.54</v>
      </c>
      <c r="F103" s="1097">
        <v>0.6</v>
      </c>
      <c r="G103" s="1096" t="s">
        <v>1926</v>
      </c>
      <c r="H103" s="1097" t="s">
        <v>166</v>
      </c>
      <c r="I103" s="1096" t="s">
        <v>1397</v>
      </c>
      <c r="J103" s="1096" t="s">
        <v>575</v>
      </c>
      <c r="K103" s="1097" t="s">
        <v>1108</v>
      </c>
      <c r="L103" s="1098" t="s">
        <v>359</v>
      </c>
    </row>
    <row r="104" spans="2:12">
      <c r="B104" s="1099" t="s">
        <v>1805</v>
      </c>
      <c r="C104" s="1100" t="s">
        <v>237</v>
      </c>
      <c r="D104" s="1101">
        <v>1</v>
      </c>
      <c r="E104" s="1101">
        <v>0.46</v>
      </c>
      <c r="F104" s="1101">
        <v>0.33</v>
      </c>
      <c r="G104" s="1100" t="s">
        <v>1927</v>
      </c>
      <c r="H104" s="1101" t="s">
        <v>166</v>
      </c>
      <c r="I104" s="1100" t="s">
        <v>1397</v>
      </c>
      <c r="J104" s="1100" t="s">
        <v>586</v>
      </c>
      <c r="K104" s="1101" t="s">
        <v>1108</v>
      </c>
      <c r="L104" s="1102" t="s">
        <v>353</v>
      </c>
    </row>
    <row r="105" spans="2:12">
      <c r="B105" s="1095" t="s">
        <v>1806</v>
      </c>
      <c r="C105" s="1096" t="s">
        <v>237</v>
      </c>
      <c r="D105" s="1097">
        <v>1</v>
      </c>
      <c r="E105" s="1097">
        <v>0.46</v>
      </c>
      <c r="F105" s="1097">
        <v>0.33</v>
      </c>
      <c r="G105" s="1096" t="s">
        <v>1928</v>
      </c>
      <c r="H105" s="1097" t="s">
        <v>157</v>
      </c>
      <c r="I105" s="1096" t="s">
        <v>1399</v>
      </c>
      <c r="J105" s="1096" t="s">
        <v>588</v>
      </c>
      <c r="K105" s="1097" t="s">
        <v>1108</v>
      </c>
      <c r="L105" s="1098" t="s">
        <v>353</v>
      </c>
    </row>
    <row r="106" spans="2:12">
      <c r="B106" s="1099" t="s">
        <v>1807</v>
      </c>
      <c r="C106" s="1100" t="s">
        <v>237</v>
      </c>
      <c r="D106" s="1101">
        <v>1</v>
      </c>
      <c r="E106" s="1101">
        <v>0.76</v>
      </c>
      <c r="F106" s="1101">
        <v>0.69</v>
      </c>
      <c r="G106" s="1100" t="s">
        <v>1929</v>
      </c>
      <c r="H106" s="1101" t="s">
        <v>166</v>
      </c>
      <c r="I106" s="1100" t="s">
        <v>1397</v>
      </c>
      <c r="J106" s="1100" t="s">
        <v>586</v>
      </c>
      <c r="K106" s="1101" t="s">
        <v>1108</v>
      </c>
      <c r="L106" s="1102" t="s">
        <v>353</v>
      </c>
    </row>
    <row r="107" spans="2:12">
      <c r="B107" s="1095" t="s">
        <v>1808</v>
      </c>
      <c r="C107" s="1096" t="s">
        <v>237</v>
      </c>
      <c r="D107" s="1097">
        <v>1</v>
      </c>
      <c r="E107" s="1097">
        <v>0.76</v>
      </c>
      <c r="F107" s="1097">
        <v>0.69</v>
      </c>
      <c r="G107" s="1096" t="s">
        <v>1930</v>
      </c>
      <c r="H107" s="1097" t="s">
        <v>157</v>
      </c>
      <c r="I107" s="1096" t="s">
        <v>1399</v>
      </c>
      <c r="J107" s="1096" t="s">
        <v>588</v>
      </c>
      <c r="K107" s="1097" t="s">
        <v>1108</v>
      </c>
      <c r="L107" s="1098" t="s">
        <v>353</v>
      </c>
    </row>
    <row r="108" spans="2:12">
      <c r="B108" s="1099" t="s">
        <v>1054</v>
      </c>
      <c r="C108" s="1100" t="s">
        <v>237</v>
      </c>
      <c r="D108" s="1101">
        <v>1</v>
      </c>
      <c r="E108" s="1101">
        <v>1.27</v>
      </c>
      <c r="F108" s="1101">
        <v>1.26</v>
      </c>
      <c r="G108" s="1100" t="s">
        <v>1931</v>
      </c>
      <c r="H108" s="1101" t="s">
        <v>166</v>
      </c>
      <c r="I108" s="1100" t="s">
        <v>1397</v>
      </c>
      <c r="J108" s="1100" t="s">
        <v>578</v>
      </c>
      <c r="K108" s="1101" t="s">
        <v>1074</v>
      </c>
      <c r="L108" s="1102">
        <v>0</v>
      </c>
    </row>
    <row r="109" spans="2:12">
      <c r="B109" s="1095" t="s">
        <v>554</v>
      </c>
      <c r="C109" s="1096" t="s">
        <v>237</v>
      </c>
      <c r="D109" s="1097">
        <v>0</v>
      </c>
      <c r="E109" s="1097">
        <v>0</v>
      </c>
      <c r="F109" s="1097">
        <v>0.61</v>
      </c>
      <c r="G109" s="1096" t="s">
        <v>1932</v>
      </c>
      <c r="H109" s="1097" t="s">
        <v>166</v>
      </c>
      <c r="I109" s="1096" t="s">
        <v>1397</v>
      </c>
      <c r="J109" s="1096" t="s">
        <v>554</v>
      </c>
      <c r="K109" s="1097" t="s">
        <v>1074</v>
      </c>
      <c r="L109" s="1098">
        <v>0</v>
      </c>
    </row>
    <row r="110" spans="2:12">
      <c r="B110" s="1099" t="s">
        <v>555</v>
      </c>
      <c r="C110" s="1100" t="s">
        <v>237</v>
      </c>
      <c r="D110" s="1101">
        <v>0</v>
      </c>
      <c r="E110" s="1101">
        <v>0</v>
      </c>
      <c r="F110" s="1101">
        <v>0.59</v>
      </c>
      <c r="G110" s="1100" t="s">
        <v>1933</v>
      </c>
      <c r="H110" s="1101" t="s">
        <v>166</v>
      </c>
      <c r="I110" s="1100" t="s">
        <v>1397</v>
      </c>
      <c r="J110" s="1100" t="s">
        <v>555</v>
      </c>
      <c r="K110" s="1101" t="s">
        <v>1074</v>
      </c>
      <c r="L110" s="1102">
        <v>0</v>
      </c>
    </row>
    <row r="111" spans="2:12">
      <c r="B111" s="1095" t="s">
        <v>354</v>
      </c>
      <c r="C111" s="1096" t="s">
        <v>237</v>
      </c>
      <c r="D111" s="1097">
        <v>0</v>
      </c>
      <c r="E111" s="1097">
        <v>0</v>
      </c>
      <c r="F111" s="1097">
        <v>0.71</v>
      </c>
      <c r="G111" s="1096" t="s">
        <v>1934</v>
      </c>
      <c r="H111" s="1097" t="s">
        <v>157</v>
      </c>
      <c r="I111" s="1096" t="s">
        <v>1399</v>
      </c>
      <c r="J111" s="1096" t="s">
        <v>354</v>
      </c>
      <c r="K111" s="1097" t="s">
        <v>1074</v>
      </c>
      <c r="L111" s="1098">
        <v>0</v>
      </c>
    </row>
    <row r="112" spans="2:12">
      <c r="B112" s="1099" t="s">
        <v>1443</v>
      </c>
      <c r="C112" s="1100" t="s">
        <v>237</v>
      </c>
      <c r="D112" s="1101">
        <v>0</v>
      </c>
      <c r="E112" s="1101">
        <v>0</v>
      </c>
      <c r="F112" s="1101">
        <v>0.94</v>
      </c>
      <c r="G112" s="1100" t="s">
        <v>1935</v>
      </c>
      <c r="H112" s="1101" t="s">
        <v>166</v>
      </c>
      <c r="I112" s="1100" t="s">
        <v>1397</v>
      </c>
      <c r="J112" s="1100" t="s">
        <v>558</v>
      </c>
      <c r="K112" s="1101" t="s">
        <v>1074</v>
      </c>
      <c r="L112" s="1102">
        <v>0</v>
      </c>
    </row>
    <row r="113" spans="2:12">
      <c r="B113" s="1095" t="s">
        <v>560</v>
      </c>
      <c r="C113" s="1096" t="s">
        <v>237</v>
      </c>
      <c r="D113" s="1097">
        <v>0</v>
      </c>
      <c r="E113" s="1097">
        <v>0</v>
      </c>
      <c r="F113" s="1097">
        <v>0.97</v>
      </c>
      <c r="G113" s="1096" t="s">
        <v>1936</v>
      </c>
      <c r="H113" s="1097" t="s">
        <v>157</v>
      </c>
      <c r="I113" s="1096" t="s">
        <v>1399</v>
      </c>
      <c r="J113" s="1096" t="s">
        <v>560</v>
      </c>
      <c r="K113" s="1097" t="s">
        <v>1074</v>
      </c>
      <c r="L113" s="1098">
        <v>0</v>
      </c>
    </row>
    <row r="114" spans="2:12">
      <c r="B114" s="1099" t="s">
        <v>562</v>
      </c>
      <c r="C114" s="1100" t="s">
        <v>237</v>
      </c>
      <c r="D114" s="1101">
        <v>0</v>
      </c>
      <c r="E114" s="1101">
        <v>0</v>
      </c>
      <c r="F114" s="1101">
        <v>0.6</v>
      </c>
      <c r="G114" s="1100" t="s">
        <v>1937</v>
      </c>
      <c r="H114" s="1101" t="s">
        <v>166</v>
      </c>
      <c r="I114" s="1100" t="s">
        <v>1397</v>
      </c>
      <c r="J114" s="1100" t="s">
        <v>562</v>
      </c>
      <c r="K114" s="1101" t="s">
        <v>1074</v>
      </c>
      <c r="L114" s="1102">
        <v>0</v>
      </c>
    </row>
    <row r="115" spans="2:12">
      <c r="B115" s="1095" t="s">
        <v>361</v>
      </c>
      <c r="C115" s="1096" t="s">
        <v>237</v>
      </c>
      <c r="D115" s="1097">
        <v>0</v>
      </c>
      <c r="E115" s="1097">
        <v>0</v>
      </c>
      <c r="F115" s="1097">
        <v>0.85</v>
      </c>
      <c r="G115" s="1096" t="s">
        <v>1938</v>
      </c>
      <c r="H115" s="1097" t="s">
        <v>166</v>
      </c>
      <c r="I115" s="1096" t="s">
        <v>1397</v>
      </c>
      <c r="J115" s="1096" t="s">
        <v>361</v>
      </c>
      <c r="K115" s="1097" t="s">
        <v>1074</v>
      </c>
      <c r="L115" s="1098">
        <v>0</v>
      </c>
    </row>
    <row r="116" spans="2:12">
      <c r="B116" s="1099" t="s">
        <v>567</v>
      </c>
      <c r="C116" s="1100" t="s">
        <v>237</v>
      </c>
      <c r="D116" s="1101">
        <v>0</v>
      </c>
      <c r="E116" s="1101">
        <v>0</v>
      </c>
      <c r="F116" s="1101">
        <v>0.41</v>
      </c>
      <c r="G116" s="1100" t="s">
        <v>1939</v>
      </c>
      <c r="H116" s="1101" t="s">
        <v>166</v>
      </c>
      <c r="I116" s="1100" t="s">
        <v>1397</v>
      </c>
      <c r="J116" s="1100" t="s">
        <v>567</v>
      </c>
      <c r="K116" s="1101" t="s">
        <v>1074</v>
      </c>
      <c r="L116" s="1102">
        <v>0</v>
      </c>
    </row>
    <row r="117" spans="2:12">
      <c r="B117" s="1095" t="s">
        <v>568</v>
      </c>
      <c r="C117" s="1096" t="s">
        <v>237</v>
      </c>
      <c r="D117" s="1097">
        <v>0</v>
      </c>
      <c r="E117" s="1097">
        <v>0</v>
      </c>
      <c r="F117" s="1097">
        <v>0.68</v>
      </c>
      <c r="G117" s="1096" t="s">
        <v>1940</v>
      </c>
      <c r="H117" s="1097" t="s">
        <v>166</v>
      </c>
      <c r="I117" s="1096" t="s">
        <v>1397</v>
      </c>
      <c r="J117" s="1096" t="s">
        <v>568</v>
      </c>
      <c r="K117" s="1097" t="s">
        <v>1074</v>
      </c>
      <c r="L117" s="1098">
        <v>0</v>
      </c>
    </row>
    <row r="118" spans="2:12">
      <c r="B118" s="1099" t="s">
        <v>569</v>
      </c>
      <c r="C118" s="1100" t="s">
        <v>237</v>
      </c>
      <c r="D118" s="1101">
        <v>0</v>
      </c>
      <c r="E118" s="1101">
        <v>0</v>
      </c>
      <c r="F118" s="1101">
        <v>0.8</v>
      </c>
      <c r="G118" s="1100" t="s">
        <v>1941</v>
      </c>
      <c r="H118" s="1101" t="s">
        <v>166</v>
      </c>
      <c r="I118" s="1100" t="s">
        <v>1397</v>
      </c>
      <c r="J118" s="1100" t="s">
        <v>569</v>
      </c>
      <c r="K118" s="1101" t="s">
        <v>1074</v>
      </c>
      <c r="L118" s="1102">
        <v>0</v>
      </c>
    </row>
    <row r="119" spans="2:12">
      <c r="B119" s="1095" t="s">
        <v>570</v>
      </c>
      <c r="C119" s="1096" t="s">
        <v>237</v>
      </c>
      <c r="D119" s="1097">
        <v>0</v>
      </c>
      <c r="E119" s="1097">
        <v>0</v>
      </c>
      <c r="F119" s="1097">
        <v>1.0900000000000001</v>
      </c>
      <c r="G119" s="1096" t="s">
        <v>1942</v>
      </c>
      <c r="H119" s="1097" t="s">
        <v>166</v>
      </c>
      <c r="I119" s="1096" t="s">
        <v>1397</v>
      </c>
      <c r="J119" s="1096" t="s">
        <v>570</v>
      </c>
      <c r="K119" s="1097" t="s">
        <v>1074</v>
      </c>
      <c r="L119" s="1098">
        <v>0</v>
      </c>
    </row>
    <row r="120" spans="2:12">
      <c r="B120" s="1099" t="s">
        <v>571</v>
      </c>
      <c r="C120" s="1100" t="s">
        <v>237</v>
      </c>
      <c r="D120" s="1101">
        <v>0</v>
      </c>
      <c r="E120" s="1101">
        <v>0</v>
      </c>
      <c r="F120" s="1101">
        <v>0.94</v>
      </c>
      <c r="G120" s="1100" t="s">
        <v>1943</v>
      </c>
      <c r="H120" s="1101" t="s">
        <v>166</v>
      </c>
      <c r="I120" s="1100" t="s">
        <v>1397</v>
      </c>
      <c r="J120" s="1100" t="s">
        <v>571</v>
      </c>
      <c r="K120" s="1101" t="s">
        <v>1074</v>
      </c>
      <c r="L120" s="1102">
        <v>0</v>
      </c>
    </row>
    <row r="121" spans="2:12">
      <c r="B121" s="1095" t="s">
        <v>572</v>
      </c>
      <c r="C121" s="1096" t="s">
        <v>237</v>
      </c>
      <c r="D121" s="1097">
        <v>0</v>
      </c>
      <c r="E121" s="1097">
        <v>0</v>
      </c>
      <c r="F121" s="1097">
        <v>0.84</v>
      </c>
      <c r="G121" s="1096" t="s">
        <v>1944</v>
      </c>
      <c r="H121" s="1097" t="s">
        <v>166</v>
      </c>
      <c r="I121" s="1096" t="s">
        <v>1397</v>
      </c>
      <c r="J121" s="1096" t="s">
        <v>572</v>
      </c>
      <c r="K121" s="1097" t="s">
        <v>1074</v>
      </c>
      <c r="L121" s="1098">
        <v>0</v>
      </c>
    </row>
    <row r="122" spans="2:12">
      <c r="B122" s="1099" t="s">
        <v>573</v>
      </c>
      <c r="C122" s="1100" t="s">
        <v>237</v>
      </c>
      <c r="D122" s="1101">
        <v>0</v>
      </c>
      <c r="E122" s="1101">
        <v>0</v>
      </c>
      <c r="F122" s="1101">
        <v>0.41</v>
      </c>
      <c r="G122" s="1100" t="s">
        <v>1945</v>
      </c>
      <c r="H122" s="1101" t="s">
        <v>166</v>
      </c>
      <c r="I122" s="1100" t="s">
        <v>1397</v>
      </c>
      <c r="J122" s="1100" t="s">
        <v>573</v>
      </c>
      <c r="K122" s="1101" t="s">
        <v>1074</v>
      </c>
      <c r="L122" s="1102">
        <v>0</v>
      </c>
    </row>
    <row r="123" spans="2:12">
      <c r="B123" s="1095" t="s">
        <v>574</v>
      </c>
      <c r="C123" s="1096" t="s">
        <v>237</v>
      </c>
      <c r="D123" s="1097">
        <v>0</v>
      </c>
      <c r="E123" s="1097">
        <v>0</v>
      </c>
      <c r="F123" s="1097">
        <v>0.61</v>
      </c>
      <c r="G123" s="1096" t="s">
        <v>1946</v>
      </c>
      <c r="H123" s="1097" t="s">
        <v>157</v>
      </c>
      <c r="I123" s="1096" t="s">
        <v>1399</v>
      </c>
      <c r="J123" s="1096" t="s">
        <v>574</v>
      </c>
      <c r="K123" s="1097" t="s">
        <v>1074</v>
      </c>
      <c r="L123" s="1098">
        <v>0</v>
      </c>
    </row>
    <row r="124" spans="2:12">
      <c r="B124" s="1099" t="s">
        <v>575</v>
      </c>
      <c r="C124" s="1100" t="s">
        <v>237</v>
      </c>
      <c r="D124" s="1101">
        <v>0</v>
      </c>
      <c r="E124" s="1101">
        <v>0</v>
      </c>
      <c r="F124" s="1101">
        <v>0.79</v>
      </c>
      <c r="G124" s="1100" t="s">
        <v>1947</v>
      </c>
      <c r="H124" s="1101" t="s">
        <v>166</v>
      </c>
      <c r="I124" s="1100" t="s">
        <v>1397</v>
      </c>
      <c r="J124" s="1100" t="s">
        <v>575</v>
      </c>
      <c r="K124" s="1101" t="s">
        <v>1074</v>
      </c>
      <c r="L124" s="1102">
        <v>0</v>
      </c>
    </row>
    <row r="125" spans="2:12">
      <c r="B125" s="1095" t="s">
        <v>576</v>
      </c>
      <c r="C125" s="1096" t="s">
        <v>237</v>
      </c>
      <c r="D125" s="1097">
        <v>0</v>
      </c>
      <c r="E125" s="1097">
        <v>0</v>
      </c>
      <c r="F125" s="1097">
        <v>0.15</v>
      </c>
      <c r="G125" s="1096" t="s">
        <v>1948</v>
      </c>
      <c r="H125" s="1097" t="s">
        <v>166</v>
      </c>
      <c r="I125" s="1096" t="s">
        <v>1397</v>
      </c>
      <c r="J125" s="1096" t="s">
        <v>576</v>
      </c>
      <c r="K125" s="1097" t="s">
        <v>1074</v>
      </c>
      <c r="L125" s="1098">
        <v>0</v>
      </c>
    </row>
    <row r="126" spans="2:12">
      <c r="B126" s="1099" t="s">
        <v>577</v>
      </c>
      <c r="C126" s="1100" t="s">
        <v>237</v>
      </c>
      <c r="D126" s="1101">
        <v>0</v>
      </c>
      <c r="E126" s="1101">
        <v>0</v>
      </c>
      <c r="F126" s="1101">
        <v>0.74</v>
      </c>
      <c r="G126" s="1100" t="s">
        <v>1949</v>
      </c>
      <c r="H126" s="1101" t="s">
        <v>157</v>
      </c>
      <c r="I126" s="1100" t="s">
        <v>1399</v>
      </c>
      <c r="J126" s="1100" t="s">
        <v>577</v>
      </c>
      <c r="K126" s="1101" t="s">
        <v>1074</v>
      </c>
      <c r="L126" s="1102">
        <v>0</v>
      </c>
    </row>
    <row r="127" spans="2:12">
      <c r="B127" s="1095" t="s">
        <v>578</v>
      </c>
      <c r="C127" s="1096" t="s">
        <v>237</v>
      </c>
      <c r="D127" s="1097">
        <v>0</v>
      </c>
      <c r="E127" s="1097">
        <v>0</v>
      </c>
      <c r="F127" s="1097">
        <v>0.8</v>
      </c>
      <c r="G127" s="1096" t="s">
        <v>1950</v>
      </c>
      <c r="H127" s="1097" t="s">
        <v>166</v>
      </c>
      <c r="I127" s="1096" t="s">
        <v>1397</v>
      </c>
      <c r="J127" s="1096" t="s">
        <v>578</v>
      </c>
      <c r="K127" s="1097" t="s">
        <v>1074</v>
      </c>
      <c r="L127" s="1098">
        <v>0</v>
      </c>
    </row>
    <row r="128" spans="2:12">
      <c r="B128" s="1099" t="s">
        <v>579</v>
      </c>
      <c r="C128" s="1100" t="s">
        <v>237</v>
      </c>
      <c r="D128" s="1101">
        <v>0</v>
      </c>
      <c r="E128" s="1101">
        <v>0</v>
      </c>
      <c r="F128" s="1101">
        <v>0.61</v>
      </c>
      <c r="G128" s="1100" t="s">
        <v>1951</v>
      </c>
      <c r="H128" s="1101" t="s">
        <v>166</v>
      </c>
      <c r="I128" s="1100" t="s">
        <v>1397</v>
      </c>
      <c r="J128" s="1100" t="s">
        <v>579</v>
      </c>
      <c r="K128" s="1101" t="s">
        <v>1074</v>
      </c>
      <c r="L128" s="1102">
        <v>0</v>
      </c>
    </row>
    <row r="129" spans="2:12">
      <c r="B129" s="1095" t="s">
        <v>580</v>
      </c>
      <c r="C129" s="1096" t="s">
        <v>237</v>
      </c>
      <c r="D129" s="1097">
        <v>0</v>
      </c>
      <c r="E129" s="1097">
        <v>0</v>
      </c>
      <c r="F129" s="1097">
        <v>0.63</v>
      </c>
      <c r="G129" s="1096" t="s">
        <v>1952</v>
      </c>
      <c r="H129" s="1097" t="s">
        <v>166</v>
      </c>
      <c r="I129" s="1096" t="s">
        <v>1397</v>
      </c>
      <c r="J129" s="1096" t="s">
        <v>580</v>
      </c>
      <c r="K129" s="1097" t="s">
        <v>1074</v>
      </c>
      <c r="L129" s="1098">
        <v>0</v>
      </c>
    </row>
    <row r="130" spans="2:12">
      <c r="B130" s="1099" t="s">
        <v>581</v>
      </c>
      <c r="C130" s="1100" t="s">
        <v>237</v>
      </c>
      <c r="D130" s="1101">
        <v>0</v>
      </c>
      <c r="E130" s="1101">
        <v>0</v>
      </c>
      <c r="F130" s="1101">
        <v>1.05</v>
      </c>
      <c r="G130" s="1100" t="s">
        <v>1953</v>
      </c>
      <c r="H130" s="1101" t="s">
        <v>166</v>
      </c>
      <c r="I130" s="1100" t="s">
        <v>1397</v>
      </c>
      <c r="J130" s="1100" t="s">
        <v>581</v>
      </c>
      <c r="K130" s="1101" t="s">
        <v>1074</v>
      </c>
      <c r="L130" s="1102">
        <v>0</v>
      </c>
    </row>
    <row r="131" spans="2:12">
      <c r="B131" s="1095" t="s">
        <v>582</v>
      </c>
      <c r="C131" s="1096" t="s">
        <v>237</v>
      </c>
      <c r="D131" s="1097">
        <v>0</v>
      </c>
      <c r="E131" s="1097">
        <v>0</v>
      </c>
      <c r="F131" s="1097">
        <v>0.49</v>
      </c>
      <c r="G131" s="1096" t="s">
        <v>1954</v>
      </c>
      <c r="H131" s="1097" t="s">
        <v>166</v>
      </c>
      <c r="I131" s="1096" t="s">
        <v>1397</v>
      </c>
      <c r="J131" s="1096" t="s">
        <v>582</v>
      </c>
      <c r="K131" s="1097" t="s">
        <v>1074</v>
      </c>
      <c r="L131" s="1098">
        <v>0</v>
      </c>
    </row>
    <row r="132" spans="2:12">
      <c r="B132" s="1099" t="s">
        <v>583</v>
      </c>
      <c r="C132" s="1100" t="s">
        <v>237</v>
      </c>
      <c r="D132" s="1101">
        <v>0</v>
      </c>
      <c r="E132" s="1101">
        <v>0</v>
      </c>
      <c r="F132" s="1101">
        <v>0.51</v>
      </c>
      <c r="G132" s="1100" t="s">
        <v>1955</v>
      </c>
      <c r="H132" s="1101" t="s">
        <v>166</v>
      </c>
      <c r="I132" s="1100" t="s">
        <v>1397</v>
      </c>
      <c r="J132" s="1100" t="s">
        <v>583</v>
      </c>
      <c r="K132" s="1101" t="s">
        <v>1074</v>
      </c>
      <c r="L132" s="1102">
        <v>0</v>
      </c>
    </row>
    <row r="133" spans="2:12">
      <c r="B133" s="1095" t="s">
        <v>584</v>
      </c>
      <c r="C133" s="1096" t="s">
        <v>237</v>
      </c>
      <c r="D133" s="1097">
        <v>0</v>
      </c>
      <c r="E133" s="1097">
        <v>0</v>
      </c>
      <c r="F133" s="1097">
        <v>0.8</v>
      </c>
      <c r="G133" s="1096" t="s">
        <v>1956</v>
      </c>
      <c r="H133" s="1097" t="s">
        <v>166</v>
      </c>
      <c r="I133" s="1096" t="s">
        <v>1397</v>
      </c>
      <c r="J133" s="1096" t="s">
        <v>584</v>
      </c>
      <c r="K133" s="1097" t="s">
        <v>1074</v>
      </c>
      <c r="L133" s="1098">
        <v>0</v>
      </c>
    </row>
    <row r="134" spans="2:12">
      <c r="B134" s="1099" t="s">
        <v>586</v>
      </c>
      <c r="C134" s="1100" t="s">
        <v>237</v>
      </c>
      <c r="D134" s="1101">
        <v>0</v>
      </c>
      <c r="E134" s="1101">
        <v>0</v>
      </c>
      <c r="F134" s="1101">
        <v>0.4</v>
      </c>
      <c r="G134" s="1100" t="s">
        <v>1957</v>
      </c>
      <c r="H134" s="1101" t="s">
        <v>166</v>
      </c>
      <c r="I134" s="1100" t="s">
        <v>1397</v>
      </c>
      <c r="J134" s="1100" t="s">
        <v>586</v>
      </c>
      <c r="K134" s="1101" t="s">
        <v>1074</v>
      </c>
      <c r="L134" s="1102">
        <v>0</v>
      </c>
    </row>
    <row r="135" spans="2:12">
      <c r="B135" s="1095" t="s">
        <v>588</v>
      </c>
      <c r="C135" s="1096" t="s">
        <v>237</v>
      </c>
      <c r="D135" s="1097">
        <v>0</v>
      </c>
      <c r="E135" s="1097">
        <v>0</v>
      </c>
      <c r="F135" s="1097">
        <v>0.4</v>
      </c>
      <c r="G135" s="1096" t="s">
        <v>1958</v>
      </c>
      <c r="H135" s="1097" t="s">
        <v>157</v>
      </c>
      <c r="I135" s="1096" t="s">
        <v>1399</v>
      </c>
      <c r="J135" s="1096" t="s">
        <v>588</v>
      </c>
      <c r="K135" s="1097" t="s">
        <v>1074</v>
      </c>
      <c r="L135" s="1098">
        <v>0</v>
      </c>
    </row>
    <row r="136" spans="2:12">
      <c r="B136" s="1099" t="s">
        <v>1810</v>
      </c>
      <c r="C136" s="1100" t="s">
        <v>277</v>
      </c>
      <c r="D136" s="1101">
        <v>1</v>
      </c>
      <c r="E136" s="1101">
        <v>750</v>
      </c>
      <c r="F136" s="1101">
        <v>500</v>
      </c>
      <c r="G136" s="1100" t="s">
        <v>1959</v>
      </c>
      <c r="H136" s="1101" t="s">
        <v>166</v>
      </c>
      <c r="I136" s="1101" t="s">
        <v>1435</v>
      </c>
      <c r="J136" s="1101">
        <v>0</v>
      </c>
      <c r="K136" s="1101" t="s">
        <v>1108</v>
      </c>
      <c r="L136" s="1104" t="s">
        <v>559</v>
      </c>
    </row>
    <row r="137" spans="2:12">
      <c r="B137" s="1095" t="s">
        <v>1811</v>
      </c>
      <c r="C137" s="1096" t="s">
        <v>277</v>
      </c>
      <c r="D137" s="1097">
        <v>1</v>
      </c>
      <c r="E137" s="1097">
        <v>0.08</v>
      </c>
      <c r="F137" s="1097">
        <v>0.06</v>
      </c>
      <c r="G137" s="1096" t="s">
        <v>1960</v>
      </c>
      <c r="H137" s="1097" t="s">
        <v>166</v>
      </c>
      <c r="I137" s="1097" t="s">
        <v>1435</v>
      </c>
      <c r="J137" s="1097" t="s">
        <v>595</v>
      </c>
      <c r="K137" s="1097" t="s">
        <v>1108</v>
      </c>
      <c r="L137" s="1105" t="s">
        <v>559</v>
      </c>
    </row>
    <row r="138" spans="2:12">
      <c r="B138" s="1099" t="s">
        <v>1812</v>
      </c>
      <c r="C138" s="1100" t="s">
        <v>277</v>
      </c>
      <c r="D138" s="1101">
        <v>1</v>
      </c>
      <c r="E138" s="1101">
        <v>0.8</v>
      </c>
      <c r="F138" s="1101">
        <v>0.6</v>
      </c>
      <c r="G138" s="1100" t="s">
        <v>1961</v>
      </c>
      <c r="H138" s="1101" t="s">
        <v>166</v>
      </c>
      <c r="I138" s="1101" t="s">
        <v>1435</v>
      </c>
      <c r="J138" s="1101" t="s">
        <v>596</v>
      </c>
      <c r="K138" s="1101" t="s">
        <v>1108</v>
      </c>
      <c r="L138" s="1104" t="s">
        <v>559</v>
      </c>
    </row>
    <row r="139" spans="2:12">
      <c r="B139" s="1095" t="s">
        <v>1813</v>
      </c>
      <c r="C139" s="1096" t="s">
        <v>277</v>
      </c>
      <c r="D139" s="1097">
        <v>1</v>
      </c>
      <c r="E139" s="1097">
        <v>0.16</v>
      </c>
      <c r="F139" s="1097">
        <v>0.11</v>
      </c>
      <c r="G139" s="1096" t="s">
        <v>1962</v>
      </c>
      <c r="H139" s="1097" t="s">
        <v>166</v>
      </c>
      <c r="I139" s="1097" t="s">
        <v>1435</v>
      </c>
      <c r="J139" s="1097" t="s">
        <v>596</v>
      </c>
      <c r="K139" s="1097" t="s">
        <v>1108</v>
      </c>
      <c r="L139" s="1105" t="s">
        <v>559</v>
      </c>
    </row>
    <row r="140" spans="2:12">
      <c r="B140" s="1099" t="s">
        <v>1963</v>
      </c>
      <c r="C140" s="1100" t="s">
        <v>277</v>
      </c>
      <c r="D140" s="1101">
        <v>1</v>
      </c>
      <c r="E140" s="1101">
        <f>'Space Table'!$F140</f>
        <v>0.75</v>
      </c>
      <c r="F140" s="1101">
        <v>0.75</v>
      </c>
      <c r="G140" s="1100" t="s">
        <v>1963</v>
      </c>
      <c r="H140" s="1101" t="s">
        <v>166</v>
      </c>
      <c r="I140" s="1101" t="s">
        <v>1435</v>
      </c>
      <c r="J140" s="1101" t="s">
        <v>1963</v>
      </c>
      <c r="K140" s="1101" t="s">
        <v>1108</v>
      </c>
      <c r="L140" s="1104" t="s">
        <v>559</v>
      </c>
    </row>
    <row r="141" spans="2:12">
      <c r="B141" s="1095" t="s">
        <v>597</v>
      </c>
      <c r="C141" s="1096" t="s">
        <v>277</v>
      </c>
      <c r="D141" s="1097">
        <v>1</v>
      </c>
      <c r="E141" s="1097">
        <v>1</v>
      </c>
      <c r="F141" s="1097">
        <v>0.7</v>
      </c>
      <c r="G141" s="1096" t="s">
        <v>1964</v>
      </c>
      <c r="H141" s="1097" t="s">
        <v>166</v>
      </c>
      <c r="I141" s="1097" t="s">
        <v>1435</v>
      </c>
      <c r="J141" s="1097" t="s">
        <v>597</v>
      </c>
      <c r="K141" s="1097" t="s">
        <v>1108</v>
      </c>
      <c r="L141" s="1105" t="s">
        <v>559</v>
      </c>
    </row>
    <row r="142" spans="2:12">
      <c r="B142" s="1099" t="s">
        <v>598</v>
      </c>
      <c r="C142" s="1100" t="s">
        <v>277</v>
      </c>
      <c r="D142" s="1101">
        <v>1</v>
      </c>
      <c r="E142" s="1101">
        <v>0.2</v>
      </c>
      <c r="F142" s="1101">
        <v>0.14000000000000001</v>
      </c>
      <c r="G142" s="1100" t="s">
        <v>1965</v>
      </c>
      <c r="H142" s="1101" t="s">
        <v>166</v>
      </c>
      <c r="I142" s="1101" t="s">
        <v>1435</v>
      </c>
      <c r="J142" s="1101" t="s">
        <v>598</v>
      </c>
      <c r="K142" s="1101" t="s">
        <v>1108</v>
      </c>
      <c r="L142" s="1104" t="s">
        <v>559</v>
      </c>
    </row>
    <row r="143" spans="2:12">
      <c r="B143" s="1095" t="s">
        <v>1815</v>
      </c>
      <c r="C143" s="1096" t="s">
        <v>277</v>
      </c>
      <c r="D143" s="1097">
        <v>1</v>
      </c>
      <c r="E143" s="1097">
        <f>'Space Table'!$F143</f>
        <v>0.04</v>
      </c>
      <c r="F143" s="1097">
        <v>0.04</v>
      </c>
      <c r="G143" s="1096" t="s">
        <v>1966</v>
      </c>
      <c r="H143" s="1097" t="s">
        <v>166</v>
      </c>
      <c r="I143" s="1097" t="s">
        <v>1435</v>
      </c>
      <c r="J143" s="1097" t="s">
        <v>1815</v>
      </c>
      <c r="K143" s="1097" t="s">
        <v>1108</v>
      </c>
      <c r="L143" s="1105" t="s">
        <v>559</v>
      </c>
    </row>
    <row r="144" spans="2:12">
      <c r="B144" s="1099" t="s">
        <v>1816</v>
      </c>
      <c r="C144" s="1100" t="s">
        <v>277</v>
      </c>
      <c r="D144" s="1101">
        <v>1</v>
      </c>
      <c r="E144" s="1101">
        <v>30</v>
      </c>
      <c r="F144" s="1101">
        <v>21</v>
      </c>
      <c r="G144" s="1100" t="s">
        <v>1967</v>
      </c>
      <c r="H144" s="1101" t="s">
        <v>166</v>
      </c>
      <c r="I144" s="1101" t="s">
        <v>1435</v>
      </c>
      <c r="J144" s="1101" t="s">
        <v>599</v>
      </c>
      <c r="K144" s="1101" t="s">
        <v>1108</v>
      </c>
      <c r="L144" s="1104" t="s">
        <v>559</v>
      </c>
    </row>
    <row r="145" spans="2:12">
      <c r="B145" s="1095" t="s">
        <v>599</v>
      </c>
      <c r="C145" s="1096" t="s">
        <v>277</v>
      </c>
      <c r="D145" s="1097">
        <v>1</v>
      </c>
      <c r="E145" s="1097">
        <v>0.4</v>
      </c>
      <c r="F145" s="1097">
        <v>0.4</v>
      </c>
      <c r="G145" s="1096" t="s">
        <v>1968</v>
      </c>
      <c r="H145" s="1097" t="s">
        <v>166</v>
      </c>
      <c r="I145" s="1097" t="s">
        <v>1435</v>
      </c>
      <c r="J145" s="1097" t="s">
        <v>599</v>
      </c>
      <c r="K145" s="1097" t="s">
        <v>1108</v>
      </c>
      <c r="L145" s="1105" t="s">
        <v>559</v>
      </c>
    </row>
    <row r="146" spans="2:12">
      <c r="B146" s="1099" t="s">
        <v>1817</v>
      </c>
      <c r="C146" s="1100" t="s">
        <v>277</v>
      </c>
      <c r="D146" s="1101">
        <v>1</v>
      </c>
      <c r="E146" s="1101">
        <f>'Space Table'!$F146</f>
        <v>0.35</v>
      </c>
      <c r="F146" s="1101">
        <v>0.35</v>
      </c>
      <c r="G146" s="1100" t="s">
        <v>1969</v>
      </c>
      <c r="H146" s="1101" t="s">
        <v>166</v>
      </c>
      <c r="I146" s="1101" t="s">
        <v>1435</v>
      </c>
      <c r="J146" s="1101" t="s">
        <v>1817</v>
      </c>
      <c r="K146" s="1101" t="s">
        <v>1108</v>
      </c>
      <c r="L146" s="1104" t="s">
        <v>559</v>
      </c>
    </row>
    <row r="147" spans="2:12">
      <c r="B147" s="1095" t="s">
        <v>1818</v>
      </c>
      <c r="C147" s="1096" t="s">
        <v>277</v>
      </c>
      <c r="D147" s="1097">
        <v>1</v>
      </c>
      <c r="E147" s="1097">
        <v>0.8</v>
      </c>
      <c r="F147" s="1097">
        <v>0.6</v>
      </c>
      <c r="G147" s="1096" t="s">
        <v>1970</v>
      </c>
      <c r="H147" s="1097" t="s">
        <v>166</v>
      </c>
      <c r="I147" s="1097" t="s">
        <v>1435</v>
      </c>
      <c r="J147" s="1097" t="s">
        <v>600</v>
      </c>
      <c r="K147" s="1097" t="s">
        <v>1108</v>
      </c>
      <c r="L147" s="1105" t="s">
        <v>559</v>
      </c>
    </row>
    <row r="148" spans="2:12">
      <c r="B148" s="1099" t="s">
        <v>1819</v>
      </c>
      <c r="C148" s="1100" t="s">
        <v>277</v>
      </c>
      <c r="D148" s="1101">
        <v>1</v>
      </c>
      <c r="E148" s="1101">
        <v>0.5</v>
      </c>
      <c r="F148" s="1101">
        <v>0.35</v>
      </c>
      <c r="G148" s="1100" t="s">
        <v>1971</v>
      </c>
      <c r="H148" s="1101" t="s">
        <v>166</v>
      </c>
      <c r="I148" s="1101" t="s">
        <v>1435</v>
      </c>
      <c r="J148" s="1101" t="s">
        <v>601</v>
      </c>
      <c r="K148" s="1101" t="s">
        <v>1108</v>
      </c>
      <c r="L148" s="1104" t="s">
        <v>559</v>
      </c>
    </row>
    <row r="149" spans="2:12">
      <c r="B149" s="1095" t="s">
        <v>1820</v>
      </c>
      <c r="C149" s="1096" t="s">
        <v>277</v>
      </c>
      <c r="D149" s="1097">
        <v>1</v>
      </c>
      <c r="E149" s="1097">
        <v>10</v>
      </c>
      <c r="F149" s="1097">
        <v>7</v>
      </c>
      <c r="G149" s="1096" t="s">
        <v>1972</v>
      </c>
      <c r="H149" s="1097" t="s">
        <v>166</v>
      </c>
      <c r="I149" s="1097" t="s">
        <v>1435</v>
      </c>
      <c r="J149" s="1097" t="s">
        <v>1973</v>
      </c>
      <c r="K149" s="1097" t="s">
        <v>1108</v>
      </c>
      <c r="L149" s="1105" t="s">
        <v>559</v>
      </c>
    </row>
    <row r="150" spans="2:12">
      <c r="B150" s="1099" t="s">
        <v>602</v>
      </c>
      <c r="C150" s="1100" t="s">
        <v>277</v>
      </c>
      <c r="D150" s="1101">
        <v>1</v>
      </c>
      <c r="E150" s="1101">
        <v>0.113</v>
      </c>
      <c r="F150" s="1101">
        <v>0.113</v>
      </c>
      <c r="G150" s="1100" t="s">
        <v>1974</v>
      </c>
      <c r="H150" s="1101" t="s">
        <v>166</v>
      </c>
      <c r="I150" s="1101" t="s">
        <v>1435</v>
      </c>
      <c r="J150" s="1101" t="s">
        <v>1628</v>
      </c>
      <c r="K150" s="1101" t="s">
        <v>1108</v>
      </c>
      <c r="L150" s="1104" t="s">
        <v>559</v>
      </c>
    </row>
    <row r="151" spans="2:12">
      <c r="B151" s="1095" t="s">
        <v>595</v>
      </c>
      <c r="C151" s="1096" t="s">
        <v>277</v>
      </c>
      <c r="D151" s="1097">
        <v>0</v>
      </c>
      <c r="E151" s="1097">
        <v>0.08</v>
      </c>
      <c r="F151" s="1097">
        <v>0.06</v>
      </c>
      <c r="G151" s="1096" t="s">
        <v>1975</v>
      </c>
      <c r="H151" s="1097" t="s">
        <v>166</v>
      </c>
      <c r="I151" s="1097" t="s">
        <v>1435</v>
      </c>
      <c r="J151" s="1097" t="s">
        <v>595</v>
      </c>
      <c r="K151" s="1097" t="s">
        <v>1074</v>
      </c>
      <c r="L151" s="1105" t="s">
        <v>559</v>
      </c>
    </row>
    <row r="152" spans="2:12">
      <c r="B152" s="1099" t="s">
        <v>596</v>
      </c>
      <c r="C152" s="1100" t="s">
        <v>277</v>
      </c>
      <c r="D152" s="1101">
        <v>0</v>
      </c>
      <c r="E152" s="1101">
        <v>0.16</v>
      </c>
      <c r="F152" s="1101">
        <v>0.11</v>
      </c>
      <c r="G152" s="1100" t="s">
        <v>1976</v>
      </c>
      <c r="H152" s="1101" t="s">
        <v>166</v>
      </c>
      <c r="I152" s="1101" t="s">
        <v>1435</v>
      </c>
      <c r="J152" s="1101" t="s">
        <v>596</v>
      </c>
      <c r="K152" s="1101" t="s">
        <v>1074</v>
      </c>
      <c r="L152" s="1104" t="s">
        <v>559</v>
      </c>
    </row>
    <row r="153" spans="2:12">
      <c r="B153" s="1095" t="s">
        <v>597</v>
      </c>
      <c r="C153" s="1096" t="s">
        <v>277</v>
      </c>
      <c r="D153" s="1097">
        <v>0</v>
      </c>
      <c r="E153" s="1097">
        <v>1</v>
      </c>
      <c r="F153" s="1097">
        <v>0.7</v>
      </c>
      <c r="G153" s="1096" t="s">
        <v>1964</v>
      </c>
      <c r="H153" s="1097" t="s">
        <v>166</v>
      </c>
      <c r="I153" s="1097" t="s">
        <v>1435</v>
      </c>
      <c r="J153" s="1097" t="s">
        <v>597</v>
      </c>
      <c r="K153" s="1097" t="s">
        <v>1074</v>
      </c>
      <c r="L153" s="1105" t="s">
        <v>559</v>
      </c>
    </row>
    <row r="154" spans="2:12">
      <c r="B154" s="1099" t="s">
        <v>598</v>
      </c>
      <c r="C154" s="1100" t="s">
        <v>277</v>
      </c>
      <c r="D154" s="1101">
        <v>0</v>
      </c>
      <c r="E154" s="1101">
        <v>0.2</v>
      </c>
      <c r="F154" s="1101">
        <v>0.14000000000000001</v>
      </c>
      <c r="G154" s="1100" t="s">
        <v>1965</v>
      </c>
      <c r="H154" s="1101" t="s">
        <v>166</v>
      </c>
      <c r="I154" s="1101" t="s">
        <v>1435</v>
      </c>
      <c r="J154" s="1101" t="s">
        <v>598</v>
      </c>
      <c r="K154" s="1101" t="s">
        <v>1074</v>
      </c>
      <c r="L154" s="1104" t="s">
        <v>559</v>
      </c>
    </row>
    <row r="155" spans="2:12">
      <c r="B155" s="1095" t="s">
        <v>1982</v>
      </c>
      <c r="C155" s="1096" t="s">
        <v>277</v>
      </c>
      <c r="D155" s="1097">
        <v>0</v>
      </c>
      <c r="E155" s="1097">
        <v>0.4</v>
      </c>
      <c r="F155" s="1097">
        <v>0.4</v>
      </c>
      <c r="G155" s="1096" t="s">
        <v>1968</v>
      </c>
      <c r="H155" s="1097" t="s">
        <v>166</v>
      </c>
      <c r="I155" s="1097" t="s">
        <v>1435</v>
      </c>
      <c r="J155" s="1097" t="s">
        <v>599</v>
      </c>
      <c r="K155" s="1097" t="s">
        <v>1074</v>
      </c>
      <c r="L155" s="1105" t="s">
        <v>559</v>
      </c>
    </row>
    <row r="156" spans="2:12">
      <c r="B156" s="1099" t="s">
        <v>600</v>
      </c>
      <c r="C156" s="1100" t="s">
        <v>277</v>
      </c>
      <c r="D156" s="1101">
        <v>0</v>
      </c>
      <c r="E156" s="1101">
        <v>0.8</v>
      </c>
      <c r="F156" s="1101">
        <v>0.6</v>
      </c>
      <c r="G156" s="1100" t="s">
        <v>1977</v>
      </c>
      <c r="H156" s="1101" t="s">
        <v>166</v>
      </c>
      <c r="I156" s="1101" t="s">
        <v>1435</v>
      </c>
      <c r="J156" s="1101" t="s">
        <v>600</v>
      </c>
      <c r="K156" s="1101" t="s">
        <v>1074</v>
      </c>
      <c r="L156" s="1104" t="s">
        <v>559</v>
      </c>
    </row>
    <row r="157" spans="2:12">
      <c r="B157" s="1095" t="s">
        <v>601</v>
      </c>
      <c r="C157" s="1096" t="s">
        <v>277</v>
      </c>
      <c r="D157" s="1097">
        <v>0</v>
      </c>
      <c r="E157" s="1097">
        <v>0.5</v>
      </c>
      <c r="F157" s="1097">
        <v>0.35</v>
      </c>
      <c r="G157" s="1096" t="s">
        <v>1978</v>
      </c>
      <c r="H157" s="1097" t="s">
        <v>166</v>
      </c>
      <c r="I157" s="1097" t="s">
        <v>1435</v>
      </c>
      <c r="J157" s="1097" t="s">
        <v>601</v>
      </c>
      <c r="K157" s="1097" t="s">
        <v>1074</v>
      </c>
      <c r="L157" s="1105" t="s">
        <v>559</v>
      </c>
    </row>
    <row r="158" spans="2:12">
      <c r="B158" s="1099" t="s">
        <v>1628</v>
      </c>
      <c r="C158" s="1100" t="s">
        <v>277</v>
      </c>
      <c r="D158" s="1101">
        <v>0</v>
      </c>
      <c r="E158" s="1101">
        <v>0.113</v>
      </c>
      <c r="F158" s="1101">
        <v>0.113</v>
      </c>
      <c r="G158" s="1100" t="s">
        <v>1974</v>
      </c>
      <c r="H158" s="1101" t="s">
        <v>166</v>
      </c>
      <c r="I158" s="1101" t="s">
        <v>1435</v>
      </c>
      <c r="J158" s="1101" t="s">
        <v>602</v>
      </c>
      <c r="K158" s="1101" t="s">
        <v>1074</v>
      </c>
      <c r="L158" s="1104" t="s">
        <v>559</v>
      </c>
    </row>
    <row r="159" spans="2:12">
      <c r="B159" s="1095" t="s">
        <v>603</v>
      </c>
      <c r="C159" s="1096" t="s">
        <v>277</v>
      </c>
      <c r="D159" s="1097">
        <v>0</v>
      </c>
      <c r="E159" s="1097">
        <v>0</v>
      </c>
      <c r="F159" s="1097">
        <v>0</v>
      </c>
      <c r="G159" s="1096" t="s">
        <v>1979</v>
      </c>
      <c r="H159" s="1097" t="s">
        <v>166</v>
      </c>
      <c r="I159" s="1097" t="s">
        <v>1435</v>
      </c>
      <c r="J159" s="1097" t="s">
        <v>603</v>
      </c>
      <c r="K159" s="1097" t="s">
        <v>1074</v>
      </c>
      <c r="L159" s="1105" t="s">
        <v>559</v>
      </c>
    </row>
    <row r="160" spans="2:12">
      <c r="B160" s="1089" t="s">
        <v>604</v>
      </c>
      <c r="C160" s="1090" t="s">
        <v>277</v>
      </c>
      <c r="D160" s="1103">
        <v>0</v>
      </c>
      <c r="E160" s="1103">
        <v>0</v>
      </c>
      <c r="F160" s="1103">
        <v>0</v>
      </c>
      <c r="G160" s="1090" t="s">
        <v>1980</v>
      </c>
      <c r="H160" s="1103" t="s">
        <v>166</v>
      </c>
      <c r="I160" s="1103" t="s">
        <v>1435</v>
      </c>
      <c r="J160" s="1103" t="s">
        <v>604</v>
      </c>
      <c r="K160" s="1103" t="s">
        <v>1074</v>
      </c>
      <c r="L160" s="1106" t="s">
        <v>559</v>
      </c>
    </row>
  </sheetData>
  <sheetProtection password="DC20" sheet="1" objects="1" scenarios="1"/>
  <phoneticPr fontId="22"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fitToPage="1"/>
  </sheetPr>
  <dimension ref="A1:BG96"/>
  <sheetViews>
    <sheetView showGridLines="0" showRowColHeaders="0" zoomScale="90" zoomScaleNormal="90" workbookViewId="0">
      <pane ySplit="17" topLeftCell="A18" activePane="bottomLeft" state="frozen"/>
      <selection pane="bottomLeft" activeCell="H26" sqref="H26:M26"/>
    </sheetView>
  </sheetViews>
  <sheetFormatPr defaultRowHeight="14.3"/>
  <cols>
    <col min="1" max="1" width="5.75" customWidth="1"/>
    <col min="2" max="2" width="0.5" hidden="1" customWidth="1"/>
    <col min="3" max="3" width="0.875" customWidth="1"/>
    <col min="4" max="8" width="5.5" customWidth="1"/>
    <col min="9" max="9" width="0.875" customWidth="1"/>
    <col min="10" max="10" width="5.25" customWidth="1"/>
    <col min="11" max="13" width="5.5" customWidth="1"/>
    <col min="14" max="14" width="1.5" customWidth="1"/>
    <col min="15" max="15" width="2.5" customWidth="1"/>
    <col min="16" max="16" width="0.5" hidden="1" customWidth="1"/>
    <col min="17" max="17" width="1.5" customWidth="1"/>
    <col min="18" max="22" width="5.5" customWidth="1"/>
    <col min="23" max="24" width="5.5" hidden="1" customWidth="1"/>
    <col min="25" max="25" width="1.5" customWidth="1"/>
    <col min="26" max="28" width="5.5" customWidth="1"/>
    <col min="29" max="29" width="1.5" customWidth="1"/>
    <col min="30" max="30" width="2.5" customWidth="1"/>
    <col min="31" max="31" width="0.5" hidden="1" customWidth="1"/>
    <col min="32" max="32" width="1.5" customWidth="1"/>
    <col min="33" max="37" width="5.5" customWidth="1"/>
    <col min="38" max="38" width="0.875" customWidth="1"/>
    <col min="39" max="41" width="5.5" customWidth="1"/>
    <col min="42" max="42" width="1.75" customWidth="1"/>
    <col min="43" max="43" width="2.75" customWidth="1"/>
    <col min="44" max="44" width="1.75" customWidth="1"/>
    <col min="45" max="45" width="5" customWidth="1"/>
    <col min="46" max="46" width="0.875" customWidth="1"/>
    <col min="47" max="54" width="5.5" customWidth="1"/>
    <col min="55" max="55" width="1.75" customWidth="1"/>
  </cols>
  <sheetData>
    <row r="1" spans="3:46" ht="5.0999999999999996" customHeight="1"/>
    <row r="2" spans="3:46" ht="14.95" customHeight="1">
      <c r="C2" s="3"/>
      <c r="D2" s="1145"/>
      <c r="E2" s="1146"/>
      <c r="F2" s="1146"/>
      <c r="G2" s="1146"/>
      <c r="H2" s="1146"/>
      <c r="I2" s="3"/>
      <c r="AL2" s="3"/>
      <c r="AM2" s="1145"/>
      <c r="AN2" s="1146"/>
      <c r="AO2" s="1146"/>
      <c r="AP2" s="1146"/>
      <c r="AQ2" s="1146"/>
      <c r="AR2" s="3"/>
    </row>
    <row r="3" spans="3:46" ht="5.0999999999999996" customHeight="1">
      <c r="C3" s="3"/>
      <c r="D3" s="3"/>
      <c r="E3" s="3"/>
      <c r="F3" s="3"/>
      <c r="G3" s="3"/>
      <c r="H3" s="3"/>
      <c r="I3" s="3"/>
      <c r="AL3" s="3"/>
      <c r="AM3" s="3"/>
      <c r="AN3" s="3"/>
      <c r="AO3" s="3"/>
      <c r="AP3" s="3"/>
      <c r="AQ3" s="3"/>
      <c r="AR3" s="3"/>
    </row>
    <row r="4" spans="3:46" ht="14.95" customHeight="1">
      <c r="C4" s="3"/>
      <c r="D4" s="1147"/>
      <c r="E4" s="1147"/>
      <c r="F4" s="1147"/>
      <c r="G4" s="1147"/>
      <c r="H4" s="1147"/>
      <c r="I4" s="3"/>
      <c r="AL4" s="3"/>
      <c r="AM4" s="1150"/>
      <c r="AN4" s="1150"/>
      <c r="AO4" s="1150"/>
      <c r="AP4" s="1150"/>
      <c r="AQ4" s="1150"/>
      <c r="AR4" s="1150"/>
      <c r="AS4" s="1150"/>
    </row>
    <row r="5" spans="3:46" ht="5.0999999999999996" customHeight="1">
      <c r="C5" s="3"/>
      <c r="D5" s="3"/>
      <c r="E5" s="3"/>
      <c r="F5" s="3"/>
      <c r="G5" s="3"/>
      <c r="H5" s="3"/>
      <c r="I5" s="3"/>
      <c r="AL5" s="3"/>
      <c r="AM5" s="3"/>
      <c r="AN5" s="3"/>
      <c r="AO5" s="3"/>
      <c r="AP5" s="3"/>
      <c r="AQ5" s="3"/>
      <c r="AR5" s="3"/>
    </row>
    <row r="6" spans="3:46" ht="14.95" customHeight="1">
      <c r="C6" s="3"/>
      <c r="D6" s="1148"/>
      <c r="E6" s="1148"/>
      <c r="F6" s="1148"/>
      <c r="G6" s="1148"/>
      <c r="H6" s="1148"/>
      <c r="I6" s="3"/>
      <c r="AL6" s="3"/>
      <c r="AM6" s="1150"/>
      <c r="AN6" s="1150"/>
      <c r="AO6" s="1150"/>
      <c r="AP6" s="1150"/>
      <c r="AQ6" s="1150"/>
      <c r="AR6" s="1150"/>
      <c r="AS6" s="1150"/>
    </row>
    <row r="7" spans="3:46" ht="5.0999999999999996" customHeight="1">
      <c r="C7" s="3"/>
      <c r="D7" s="3"/>
      <c r="E7" s="3"/>
      <c r="F7" s="3"/>
      <c r="G7" s="3"/>
      <c r="H7" s="3"/>
      <c r="I7" s="3"/>
      <c r="K7" s="1142" t="str">
        <f>Lookup!$D$19</f>
        <v>MULTI-FAMILY LIGHTING INCENTIVE PROGRAM</v>
      </c>
      <c r="L7" s="1142"/>
      <c r="M7" s="1142"/>
      <c r="N7" s="1142"/>
      <c r="O7" s="1142"/>
      <c r="P7" s="1142"/>
      <c r="Q7" s="1142"/>
      <c r="R7" s="1142"/>
      <c r="S7" s="1142"/>
      <c r="T7" s="1142"/>
      <c r="U7" s="1142"/>
      <c r="V7" s="1142"/>
      <c r="W7" s="1142"/>
      <c r="X7" s="1142"/>
      <c r="Y7" s="1142"/>
      <c r="Z7" s="1142"/>
      <c r="AA7" s="1142"/>
      <c r="AB7" s="1142"/>
      <c r="AC7" s="1142"/>
      <c r="AD7" s="1142"/>
      <c r="AE7" s="1142"/>
      <c r="AF7" s="1142"/>
      <c r="AG7" s="1142"/>
      <c r="AH7" s="1142"/>
      <c r="AI7" s="1142"/>
      <c r="AJ7" s="1142"/>
      <c r="AL7" s="3"/>
      <c r="AM7" s="3"/>
      <c r="AN7" s="3"/>
      <c r="AO7" s="3"/>
      <c r="AP7" s="3"/>
      <c r="AQ7" s="3"/>
      <c r="AR7" s="3"/>
    </row>
    <row r="8" spans="3:46" ht="14.95" customHeight="1">
      <c r="C8" s="3"/>
      <c r="D8" s="1148"/>
      <c r="E8" s="1148"/>
      <c r="F8" s="1148"/>
      <c r="G8" s="1148"/>
      <c r="H8" s="1148"/>
      <c r="I8" s="3"/>
      <c r="K8" s="1142"/>
      <c r="L8" s="1142"/>
      <c r="M8" s="1142"/>
      <c r="N8" s="1142"/>
      <c r="O8" s="1142"/>
      <c r="P8" s="1142"/>
      <c r="Q8" s="1142"/>
      <c r="R8" s="1142"/>
      <c r="S8" s="1142"/>
      <c r="T8" s="1142"/>
      <c r="U8" s="1142"/>
      <c r="V8" s="1142"/>
      <c r="W8" s="1142"/>
      <c r="X8" s="1142"/>
      <c r="Y8" s="1142"/>
      <c r="Z8" s="1142"/>
      <c r="AA8" s="1142"/>
      <c r="AB8" s="1142"/>
      <c r="AC8" s="1142"/>
      <c r="AD8" s="1142"/>
      <c r="AE8" s="1142"/>
      <c r="AF8" s="1142"/>
      <c r="AG8" s="1142"/>
      <c r="AH8" s="1142"/>
      <c r="AI8" s="1142"/>
      <c r="AJ8" s="1142"/>
      <c r="AK8" s="473"/>
      <c r="AL8" s="3"/>
      <c r="AM8" s="1150"/>
      <c r="AN8" s="1150"/>
      <c r="AO8" s="1150"/>
      <c r="AP8" s="1150"/>
      <c r="AQ8" s="1150"/>
      <c r="AR8" s="1150"/>
      <c r="AS8" s="1150"/>
      <c r="AT8" s="16"/>
    </row>
    <row r="9" spans="3:46" ht="5.0999999999999996" customHeight="1">
      <c r="C9" s="3"/>
      <c r="D9" s="3"/>
      <c r="E9" s="3"/>
      <c r="F9" s="3"/>
      <c r="G9" s="3"/>
      <c r="H9" s="473"/>
      <c r="I9" s="473"/>
      <c r="K9" s="1143" t="str">
        <f>Lookup!$D$20</f>
        <v>Multi-Family Lighting 2022 STANDARD Application V2-2 - Valid through 12/31/2022</v>
      </c>
      <c r="L9" s="1143"/>
      <c r="M9" s="1143"/>
      <c r="N9" s="1143"/>
      <c r="O9" s="1143"/>
      <c r="P9" s="1143"/>
      <c r="Q9" s="1143"/>
      <c r="R9" s="1143"/>
      <c r="S9" s="1143"/>
      <c r="T9" s="1143"/>
      <c r="U9" s="1143"/>
      <c r="V9" s="1143"/>
      <c r="W9" s="1143"/>
      <c r="X9" s="1143"/>
      <c r="Y9" s="1143"/>
      <c r="Z9" s="1143"/>
      <c r="AA9" s="1143"/>
      <c r="AB9" s="1143"/>
      <c r="AC9" s="1143"/>
      <c r="AD9" s="1143"/>
      <c r="AE9" s="1143"/>
      <c r="AF9" s="1143"/>
      <c r="AG9" s="1143"/>
      <c r="AH9" s="1143"/>
      <c r="AI9" s="1143"/>
      <c r="AJ9" s="1143"/>
      <c r="AK9" s="473"/>
      <c r="AL9" s="3"/>
      <c r="AM9" s="3"/>
      <c r="AN9" s="3"/>
      <c r="AO9" s="3"/>
      <c r="AP9" s="3"/>
      <c r="AQ9" s="473"/>
      <c r="AR9" s="473"/>
    </row>
    <row r="10" spans="3:46" ht="14.95" customHeight="1">
      <c r="C10" s="3"/>
      <c r="D10" s="1148"/>
      <c r="E10" s="1148"/>
      <c r="F10" s="1148"/>
      <c r="G10" s="1148"/>
      <c r="H10" s="1148"/>
      <c r="I10" s="3"/>
      <c r="K10" s="1143"/>
      <c r="L10" s="1143"/>
      <c r="M10" s="1143"/>
      <c r="N10" s="1143"/>
      <c r="O10" s="1143"/>
      <c r="P10" s="1143"/>
      <c r="Q10" s="1143"/>
      <c r="R10" s="1143"/>
      <c r="S10" s="1143"/>
      <c r="T10" s="1143"/>
      <c r="U10" s="1143"/>
      <c r="V10" s="1143"/>
      <c r="W10" s="1143"/>
      <c r="X10" s="1143"/>
      <c r="Y10" s="1143"/>
      <c r="Z10" s="1143"/>
      <c r="AA10" s="1143"/>
      <c r="AB10" s="1143"/>
      <c r="AC10" s="1143"/>
      <c r="AD10" s="1143"/>
      <c r="AE10" s="1143"/>
      <c r="AF10" s="1143"/>
      <c r="AG10" s="1143"/>
      <c r="AH10" s="1143"/>
      <c r="AI10" s="1143"/>
      <c r="AJ10" s="1143"/>
      <c r="AK10" s="543"/>
      <c r="AL10" s="3"/>
      <c r="AM10" s="1150"/>
      <c r="AN10" s="1150"/>
      <c r="AO10" s="1150"/>
      <c r="AP10" s="1150"/>
      <c r="AQ10" s="1150"/>
      <c r="AR10" s="1150"/>
      <c r="AS10" s="1150"/>
      <c r="AT10" s="91"/>
    </row>
    <row r="11" spans="3:46" ht="5.0999999999999996" customHeight="1">
      <c r="C11" s="3"/>
      <c r="D11" s="3"/>
      <c r="E11" s="3"/>
      <c r="F11" s="3"/>
      <c r="G11" s="3"/>
      <c r="H11" s="482"/>
      <c r="I11" s="482"/>
      <c r="K11" s="1155" t="str">
        <f>CONCATENATE("This is a ",Lookup!D16," lighting project")</f>
        <v>This is a RETROFIT lighting project</v>
      </c>
      <c r="L11" s="1155"/>
      <c r="M11" s="1155"/>
      <c r="N11" s="1155"/>
      <c r="O11" s="1155"/>
      <c r="P11" s="1155"/>
      <c r="Q11" s="1155"/>
      <c r="R11" s="1155"/>
      <c r="S11" s="1155"/>
      <c r="T11" s="1155"/>
      <c r="U11" s="1155"/>
      <c r="V11" s="1155"/>
      <c r="W11" s="1155"/>
      <c r="X11" s="1155"/>
      <c r="Y11" s="1155"/>
      <c r="Z11" s="1155"/>
      <c r="AA11" s="1155"/>
      <c r="AB11" s="1155"/>
      <c r="AC11" s="1155"/>
      <c r="AD11" s="1155"/>
      <c r="AE11" s="1155"/>
      <c r="AF11" s="1155"/>
      <c r="AG11" s="1155"/>
      <c r="AH11" s="1155"/>
      <c r="AI11" s="1155"/>
      <c r="AJ11" s="1155"/>
      <c r="AK11" s="543"/>
      <c r="AL11" s="3"/>
      <c r="AM11" s="3"/>
      <c r="AN11" s="3"/>
      <c r="AO11" s="3"/>
      <c r="AP11" s="3"/>
      <c r="AQ11" s="482"/>
      <c r="AR11" s="482"/>
    </row>
    <row r="12" spans="3:46" ht="14.95" customHeight="1">
      <c r="C12" s="3"/>
      <c r="D12" s="1148"/>
      <c r="E12" s="1148"/>
      <c r="F12" s="1148"/>
      <c r="G12" s="1148"/>
      <c r="H12" s="1148"/>
      <c r="I12" s="16"/>
      <c r="K12" s="1155"/>
      <c r="L12" s="1155"/>
      <c r="M12" s="1155"/>
      <c r="N12" s="1155"/>
      <c r="O12" s="1155"/>
      <c r="P12" s="1155"/>
      <c r="Q12" s="1155"/>
      <c r="R12" s="1155"/>
      <c r="S12" s="1155"/>
      <c r="T12" s="1155"/>
      <c r="U12" s="1155"/>
      <c r="V12" s="1155"/>
      <c r="W12" s="1155"/>
      <c r="X12" s="1155"/>
      <c r="Y12" s="1155"/>
      <c r="Z12" s="1155"/>
      <c r="AA12" s="1155"/>
      <c r="AB12" s="1155"/>
      <c r="AC12" s="1155"/>
      <c r="AD12" s="1155"/>
      <c r="AE12" s="1155"/>
      <c r="AF12" s="1155"/>
      <c r="AG12" s="1155"/>
      <c r="AH12" s="1155"/>
      <c r="AI12" s="1155"/>
      <c r="AJ12" s="1155"/>
      <c r="AK12" s="544"/>
      <c r="AL12" s="3"/>
      <c r="AM12" s="1150"/>
      <c r="AN12" s="1150"/>
      <c r="AO12" s="1150"/>
      <c r="AP12" s="1150"/>
      <c r="AQ12" s="1150"/>
      <c r="AR12" s="1150"/>
      <c r="AS12" s="1150"/>
    </row>
    <row r="13" spans="3:46" ht="5.0999999999999996" customHeight="1">
      <c r="C13" s="3"/>
      <c r="D13" s="3"/>
      <c r="E13" s="3"/>
      <c r="F13" s="3"/>
      <c r="G13" s="3"/>
      <c r="H13" s="16"/>
      <c r="I13" s="16"/>
      <c r="K13" s="1144" t="str">
        <f>IF(_Project_2_Type="Retrofit","PSE Approval is required before the retrofit is started!","Drawings showing each space and the square footage of each space are required at submission!")</f>
        <v>PSE Approval is required before the retrofit is started!</v>
      </c>
      <c r="L13" s="1144"/>
      <c r="M13" s="1144"/>
      <c r="N13" s="1144"/>
      <c r="O13" s="1144"/>
      <c r="P13" s="1144"/>
      <c r="Q13" s="1144"/>
      <c r="R13" s="1144"/>
      <c r="S13" s="1144"/>
      <c r="T13" s="1144"/>
      <c r="U13" s="1144"/>
      <c r="V13" s="1144"/>
      <c r="W13" s="1144"/>
      <c r="X13" s="1144"/>
      <c r="Y13" s="1144"/>
      <c r="Z13" s="1144"/>
      <c r="AA13" s="1144"/>
      <c r="AB13" s="1144"/>
      <c r="AC13" s="1144"/>
      <c r="AD13" s="1144"/>
      <c r="AE13" s="1144"/>
      <c r="AF13" s="1144"/>
      <c r="AG13" s="1144"/>
      <c r="AH13" s="1144"/>
      <c r="AI13" s="1144"/>
      <c r="AJ13" s="1144"/>
      <c r="AK13" s="3"/>
      <c r="AL13" s="3"/>
      <c r="AM13" s="3"/>
      <c r="AN13" s="3"/>
      <c r="AO13" s="3"/>
      <c r="AP13" s="3"/>
      <c r="AQ13" s="16"/>
      <c r="AR13" s="16"/>
    </row>
    <row r="14" spans="3:46" ht="14.95" customHeight="1">
      <c r="C14" s="3"/>
      <c r="D14" s="1148"/>
      <c r="E14" s="1148"/>
      <c r="F14" s="1148"/>
      <c r="G14" s="1148"/>
      <c r="H14" s="1148"/>
      <c r="I14" s="3"/>
      <c r="K14" s="1144"/>
      <c r="L14" s="1144"/>
      <c r="M14" s="1144"/>
      <c r="N14" s="1144"/>
      <c r="O14" s="1144"/>
      <c r="P14" s="1144"/>
      <c r="Q14" s="1144"/>
      <c r="R14" s="1144"/>
      <c r="S14" s="1144"/>
      <c r="T14" s="1144"/>
      <c r="U14" s="1144"/>
      <c r="V14" s="1144"/>
      <c r="W14" s="1144"/>
      <c r="X14" s="1144"/>
      <c r="Y14" s="1144"/>
      <c r="Z14" s="1144"/>
      <c r="AA14" s="1144"/>
      <c r="AB14" s="1144"/>
      <c r="AC14" s="1144"/>
      <c r="AD14" s="1144"/>
      <c r="AE14" s="1144"/>
      <c r="AF14" s="1144"/>
      <c r="AG14" s="1144"/>
      <c r="AH14" s="1144"/>
      <c r="AI14" s="1144"/>
      <c r="AJ14" s="1144"/>
      <c r="AK14" s="474"/>
      <c r="AL14" s="3"/>
      <c r="AM14" s="1150"/>
      <c r="AN14" s="1150"/>
      <c r="AO14" s="1150"/>
      <c r="AP14" s="1150"/>
      <c r="AQ14" s="1150"/>
      <c r="AR14" s="1150"/>
      <c r="AS14" s="1150"/>
      <c r="AT14" s="92"/>
    </row>
    <row r="15" spans="3:46" ht="5.0999999999999996" customHeight="1">
      <c r="C15" s="3"/>
      <c r="D15" s="3"/>
      <c r="E15" s="3"/>
      <c r="F15" s="3"/>
      <c r="G15" s="3"/>
      <c r="H15" s="3"/>
      <c r="I15" s="3"/>
      <c r="AK15" s="474"/>
      <c r="AL15" s="3"/>
      <c r="AM15" s="3"/>
      <c r="AN15" s="3"/>
      <c r="AO15" s="3"/>
      <c r="AP15" s="3"/>
      <c r="AQ15" s="3"/>
      <c r="AR15" s="3"/>
    </row>
    <row r="16" spans="3:46" ht="14.95" customHeight="1">
      <c r="C16" s="3"/>
      <c r="D16" s="1148"/>
      <c r="E16" s="1148"/>
      <c r="F16" s="1148"/>
      <c r="G16" s="1148"/>
      <c r="H16" s="1148"/>
      <c r="I16" s="3"/>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475"/>
      <c r="AL16" s="3"/>
      <c r="AM16" s="1150"/>
      <c r="AN16" s="1150"/>
      <c r="AO16" s="1150"/>
      <c r="AP16" s="1150"/>
      <c r="AQ16" s="1150"/>
      <c r="AR16" s="1150"/>
      <c r="AS16" s="1150"/>
    </row>
    <row r="17" spans="1:55" ht="5.0999999999999996" customHeight="1">
      <c r="C17" s="3"/>
      <c r="D17" s="3"/>
      <c r="E17" s="3"/>
      <c r="F17" s="3"/>
      <c r="G17" s="3"/>
      <c r="H17" s="3"/>
      <c r="I17" s="3"/>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L17" s="3"/>
      <c r="AM17" s="3"/>
      <c r="AN17" s="3"/>
      <c r="AO17" s="3"/>
      <c r="AP17" s="3"/>
      <c r="AQ17" s="3"/>
      <c r="AR17" s="3"/>
    </row>
    <row r="18" spans="1:55" ht="1.05" customHeight="1">
      <c r="A18" s="1149"/>
      <c r="B18" s="1149"/>
      <c r="C18" s="1149"/>
      <c r="D18" s="1149"/>
      <c r="E18" s="1149"/>
      <c r="F18" s="1149"/>
      <c r="G18" s="1149"/>
      <c r="H18" s="1149"/>
      <c r="I18" s="1149"/>
      <c r="J18" s="1149"/>
      <c r="K18" s="1149"/>
      <c r="L18" s="1149"/>
      <c r="M18" s="1149"/>
      <c r="N18" s="1149"/>
      <c r="O18" s="1149"/>
      <c r="P18" s="1149"/>
      <c r="Q18" s="1149"/>
      <c r="R18" s="1149"/>
      <c r="S18" s="1149"/>
      <c r="T18" s="1149"/>
      <c r="U18" s="1149"/>
      <c r="V18" s="1149"/>
      <c r="W18" s="1149"/>
      <c r="X18" s="1149"/>
      <c r="Y18" s="1149"/>
      <c r="Z18" s="1149"/>
      <c r="AA18" s="1149"/>
      <c r="AB18" s="1149"/>
      <c r="AC18" s="1149"/>
      <c r="AD18" s="1149"/>
      <c r="AE18" s="1149"/>
      <c r="AF18" s="1149"/>
      <c r="AG18" s="1149"/>
      <c r="AH18" s="1149"/>
      <c r="AI18" s="1149"/>
      <c r="AJ18" s="1149"/>
      <c r="AK18" s="1149"/>
      <c r="AL18" s="1149"/>
      <c r="AM18" s="1149"/>
      <c r="AN18" s="1149"/>
      <c r="AO18" s="1149"/>
      <c r="AP18" s="1149"/>
      <c r="AQ18" s="1149"/>
      <c r="AR18" s="1149"/>
      <c r="AS18" s="1149"/>
      <c r="AT18" s="1149"/>
    </row>
    <row r="19" spans="1:55" ht="14.95" thickBot="1">
      <c r="A19" s="388"/>
      <c r="B19" s="388"/>
      <c r="C19" s="388"/>
      <c r="D19" s="388"/>
      <c r="E19" s="388"/>
      <c r="F19" s="388"/>
      <c r="G19" s="388"/>
      <c r="H19" s="388"/>
      <c r="I19" s="388"/>
      <c r="J19" s="388"/>
      <c r="K19" s="388"/>
      <c r="L19" s="388"/>
      <c r="M19" s="388"/>
      <c r="N19" s="388"/>
      <c r="O19" s="388"/>
      <c r="P19" s="388"/>
      <c r="Q19" s="388"/>
      <c r="R19" s="388"/>
      <c r="S19" s="388"/>
      <c r="T19" s="388"/>
      <c r="U19" s="388"/>
      <c r="V19" s="388"/>
      <c r="W19" s="388"/>
      <c r="X19" s="388"/>
      <c r="Y19" s="388"/>
      <c r="Z19" s="388"/>
      <c r="AA19" s="388"/>
      <c r="AB19" s="388"/>
      <c r="AC19" s="388"/>
      <c r="AD19" s="388"/>
      <c r="AE19" s="388"/>
      <c r="AF19" s="388"/>
      <c r="AG19" s="388"/>
      <c r="AH19" s="388"/>
      <c r="AI19" s="388"/>
      <c r="AJ19" s="388"/>
      <c r="AK19" s="388"/>
      <c r="AL19" s="388"/>
      <c r="AM19" s="388"/>
      <c r="AN19" s="388"/>
      <c r="AO19" s="388"/>
      <c r="AP19" s="388"/>
      <c r="AQ19" s="388"/>
    </row>
    <row r="20" spans="1:55" ht="20.399999999999999" thickTop="1">
      <c r="B20" s="1210"/>
      <c r="C20" s="1178" t="s">
        <v>64</v>
      </c>
      <c r="D20" s="1179"/>
      <c r="E20" s="1179"/>
      <c r="F20" s="1179"/>
      <c r="G20" s="1179"/>
      <c r="H20" s="1179"/>
      <c r="I20" s="1179"/>
      <c r="J20" s="1179"/>
      <c r="K20" s="1179"/>
      <c r="L20" s="1179"/>
      <c r="M20" s="1179"/>
      <c r="N20" s="1180"/>
      <c r="P20" s="1210"/>
      <c r="Q20" s="1178" t="s">
        <v>65</v>
      </c>
      <c r="R20" s="1179"/>
      <c r="S20" s="1179"/>
      <c r="T20" s="1179"/>
      <c r="U20" s="1179"/>
      <c r="V20" s="1179"/>
      <c r="W20" s="1179"/>
      <c r="X20" s="1179"/>
      <c r="Y20" s="1179"/>
      <c r="Z20" s="1179"/>
      <c r="AA20" s="1179"/>
      <c r="AB20" s="1179"/>
      <c r="AC20" s="1180"/>
      <c r="AE20" s="1210"/>
      <c r="AF20" s="1178" t="s">
        <v>66</v>
      </c>
      <c r="AG20" s="1179"/>
      <c r="AH20" s="1179"/>
      <c r="AI20" s="1179"/>
      <c r="AJ20" s="1179"/>
      <c r="AK20" s="1179"/>
      <c r="AL20" s="1179"/>
      <c r="AM20" s="1179"/>
      <c r="AN20" s="1179"/>
      <c r="AO20" s="1179"/>
      <c r="AP20" s="1180"/>
      <c r="AR20" s="1178" t="s">
        <v>67</v>
      </c>
      <c r="AS20" s="1179"/>
      <c r="AT20" s="1179"/>
      <c r="AU20" s="1179"/>
      <c r="AV20" s="1179"/>
      <c r="AW20" s="1179"/>
      <c r="AX20" s="1179"/>
      <c r="AY20" s="1179"/>
      <c r="AZ20" s="1179"/>
      <c r="BA20" s="1179"/>
      <c r="BB20" s="1179"/>
      <c r="BC20" s="1180"/>
    </row>
    <row r="21" spans="1:55">
      <c r="B21" s="1210"/>
      <c r="C21" s="142"/>
      <c r="D21" s="9"/>
      <c r="E21" s="9"/>
      <c r="F21" s="9"/>
      <c r="G21" s="9"/>
      <c r="H21" s="9"/>
      <c r="I21" s="9"/>
      <c r="J21" s="9"/>
      <c r="K21" s="9"/>
      <c r="L21" s="9"/>
      <c r="M21" s="9"/>
      <c r="N21" s="151"/>
      <c r="P21" s="1210"/>
      <c r="Q21" s="142"/>
      <c r="R21" s="9"/>
      <c r="S21" s="9"/>
      <c r="T21" s="9"/>
      <c r="U21" s="155"/>
      <c r="V21" s="155"/>
      <c r="W21" s="155"/>
      <c r="X21" s="155"/>
      <c r="Y21" s="9"/>
      <c r="Z21" s="9"/>
      <c r="AA21" s="9"/>
      <c r="AB21" s="9"/>
      <c r="AC21" s="143"/>
      <c r="AE21" s="1210"/>
      <c r="AF21" s="142"/>
      <c r="AG21" s="9"/>
      <c r="AH21" s="9"/>
      <c r="AI21" s="9"/>
      <c r="AJ21" s="9"/>
      <c r="AK21" s="9"/>
      <c r="AL21" s="9"/>
      <c r="AM21" s="9"/>
      <c r="AN21" s="9"/>
      <c r="AO21" s="9"/>
      <c r="AP21" s="143"/>
      <c r="AR21" s="142"/>
      <c r="AS21" s="1235" t="s">
        <v>68</v>
      </c>
      <c r="AT21" s="1235"/>
      <c r="AU21" s="1235"/>
      <c r="AV21" s="1235"/>
      <c r="AW21" s="1235"/>
      <c r="AX21" s="1235"/>
      <c r="AY21" s="1235"/>
      <c r="AZ21" s="1235"/>
      <c r="BA21" s="1235"/>
      <c r="BB21" s="1235"/>
      <c r="BC21" s="143"/>
    </row>
    <row r="22" spans="1:55" ht="14.95" customHeight="1">
      <c r="B22" s="1210"/>
      <c r="C22" s="142"/>
      <c r="D22" s="9"/>
      <c r="E22" s="9"/>
      <c r="F22" s="9"/>
      <c r="G22" s="9"/>
      <c r="H22" s="1199" t="s">
        <v>69</v>
      </c>
      <c r="I22" s="1199"/>
      <c r="J22" s="1199"/>
      <c r="K22" s="1199"/>
      <c r="L22" s="1199"/>
      <c r="M22" s="1200"/>
      <c r="N22" s="151"/>
      <c r="P22" s="1210"/>
      <c r="Q22" s="142"/>
      <c r="R22" s="9"/>
      <c r="S22" s="9"/>
      <c r="T22" s="153"/>
      <c r="U22" s="155" t="s">
        <v>70</v>
      </c>
      <c r="V22" s="1173"/>
      <c r="W22" s="1173"/>
      <c r="X22" s="1173"/>
      <c r="Y22" s="1173"/>
      <c r="Z22" s="1173"/>
      <c r="AA22" s="1173"/>
      <c r="AB22" s="1174"/>
      <c r="AC22" s="143"/>
      <c r="AE22" s="1210"/>
      <c r="AF22" s="142"/>
      <c r="AG22" s="9"/>
      <c r="AH22" s="9"/>
      <c r="AI22" s="9"/>
      <c r="AJ22" s="155" t="s">
        <v>71</v>
      </c>
      <c r="AK22" s="1208"/>
      <c r="AL22" s="1195"/>
      <c r="AM22" s="1195"/>
      <c r="AN22" s="1195"/>
      <c r="AO22" s="1196"/>
      <c r="AP22" s="143"/>
      <c r="AR22" s="142"/>
      <c r="AS22" s="1209" t="s">
        <v>1981</v>
      </c>
      <c r="AT22" s="1209"/>
      <c r="AU22" s="1209"/>
      <c r="AV22" s="1209"/>
      <c r="AW22" s="1209"/>
      <c r="AX22" s="1209"/>
      <c r="AY22" s="1209"/>
      <c r="AZ22" s="1209"/>
      <c r="BA22" s="1209"/>
      <c r="BB22" s="1209"/>
      <c r="BC22" s="143"/>
    </row>
    <row r="23" spans="1:55" ht="5.0999999999999996" customHeight="1">
      <c r="B23" s="1210"/>
      <c r="C23" s="142"/>
      <c r="D23" s="9"/>
      <c r="E23" s="9"/>
      <c r="F23" s="9"/>
      <c r="G23" s="152"/>
      <c r="H23" s="9"/>
      <c r="I23" s="9"/>
      <c r="J23" s="9"/>
      <c r="K23" s="9"/>
      <c r="L23" s="9"/>
      <c r="M23" s="9"/>
      <c r="N23" s="151"/>
      <c r="P23" s="1210"/>
      <c r="Q23" s="142"/>
      <c r="R23" s="9"/>
      <c r="S23" s="9"/>
      <c r="T23" s="9"/>
      <c r="U23" s="155"/>
      <c r="V23" s="155"/>
      <c r="W23" s="155"/>
      <c r="X23" s="155"/>
      <c r="Y23" s="9"/>
      <c r="Z23" s="9"/>
      <c r="AA23" s="9"/>
      <c r="AB23" s="9"/>
      <c r="AC23" s="143"/>
      <c r="AE23" s="1210"/>
      <c r="AF23" s="142"/>
      <c r="AG23" s="9"/>
      <c r="AH23" s="9"/>
      <c r="AI23" s="9"/>
      <c r="AJ23" s="155"/>
      <c r="AK23" s="158"/>
      <c r="AL23" s="159"/>
      <c r="AM23" s="159"/>
      <c r="AN23" s="159"/>
      <c r="AO23" s="159"/>
      <c r="AP23" s="143"/>
      <c r="AR23" s="142"/>
      <c r="AS23" s="1209"/>
      <c r="AT23" s="1209"/>
      <c r="AU23" s="1209"/>
      <c r="AV23" s="1209"/>
      <c r="AW23" s="1209"/>
      <c r="AX23" s="1209"/>
      <c r="AY23" s="1209"/>
      <c r="AZ23" s="1209"/>
      <c r="BA23" s="1209"/>
      <c r="BB23" s="1209"/>
      <c r="BC23" s="143"/>
    </row>
    <row r="24" spans="1:55">
      <c r="B24" s="1210"/>
      <c r="C24" s="142"/>
      <c r="D24" s="9"/>
      <c r="E24" s="9"/>
      <c r="F24" s="9"/>
      <c r="G24" s="152" t="s">
        <v>64</v>
      </c>
      <c r="H24" s="1197" t="s">
        <v>2017</v>
      </c>
      <c r="I24" s="1197"/>
      <c r="J24" s="1197"/>
      <c r="K24" s="1197"/>
      <c r="L24" s="1197"/>
      <c r="M24" s="1198"/>
      <c r="N24" s="151"/>
      <c r="O24" s="426">
        <f>__Retrofit_TI_NC</f>
        <v>0</v>
      </c>
      <c r="P24" s="1210"/>
      <c r="Q24" s="142"/>
      <c r="R24" s="153"/>
      <c r="S24" s="153"/>
      <c r="T24" s="153"/>
      <c r="U24" s="155" t="s">
        <v>72</v>
      </c>
      <c r="V24" s="1173"/>
      <c r="W24" s="1173"/>
      <c r="X24" s="1173"/>
      <c r="Y24" s="1173"/>
      <c r="Z24" s="1173"/>
      <c r="AA24" s="1173"/>
      <c r="AB24" s="1174"/>
      <c r="AC24" s="143"/>
      <c r="AE24" s="1210"/>
      <c r="AF24" s="142"/>
      <c r="AG24" s="9"/>
      <c r="AH24" s="9"/>
      <c r="AI24" s="9"/>
      <c r="AJ24" s="155" t="s">
        <v>2008</v>
      </c>
      <c r="AK24" s="1207"/>
      <c r="AL24" s="1195"/>
      <c r="AM24" s="1195"/>
      <c r="AN24" s="1195"/>
      <c r="AO24" s="1196"/>
      <c r="AP24" s="143"/>
      <c r="AR24" s="142"/>
      <c r="AS24" s="1209"/>
      <c r="AT24" s="1209"/>
      <c r="AU24" s="1209"/>
      <c r="AV24" s="1209"/>
      <c r="AW24" s="1209"/>
      <c r="AX24" s="1209"/>
      <c r="AY24" s="1209"/>
      <c r="AZ24" s="1209"/>
      <c r="BA24" s="1209"/>
      <c r="BB24" s="1209"/>
      <c r="BC24" s="143"/>
    </row>
    <row r="25" spans="1:55" ht="5.0999999999999996" customHeight="1">
      <c r="B25" s="1210"/>
      <c r="C25" s="142"/>
      <c r="D25" s="9"/>
      <c r="E25" s="9"/>
      <c r="F25" s="9"/>
      <c r="G25" s="152"/>
      <c r="H25" s="9"/>
      <c r="I25" s="9"/>
      <c r="J25" s="9"/>
      <c r="K25" s="9"/>
      <c r="L25" s="9"/>
      <c r="M25" s="9"/>
      <c r="N25" s="151"/>
      <c r="P25" s="1210"/>
      <c r="Q25" s="142"/>
      <c r="R25" s="9"/>
      <c r="S25" s="9"/>
      <c r="T25" s="9"/>
      <c r="U25" s="9"/>
      <c r="V25" s="9"/>
      <c r="W25" s="9"/>
      <c r="X25" s="9"/>
      <c r="Y25" s="9"/>
      <c r="Z25" s="9"/>
      <c r="AA25" s="9"/>
      <c r="AB25" s="9"/>
      <c r="AC25" s="143"/>
      <c r="AE25" s="1210"/>
      <c r="AF25" s="142"/>
      <c r="AG25" s="9"/>
      <c r="AH25" s="9"/>
      <c r="AI25" s="9"/>
      <c r="AJ25" s="153"/>
      <c r="AK25" s="9"/>
      <c r="AL25" s="9"/>
      <c r="AM25" s="9"/>
      <c r="AN25" s="9"/>
      <c r="AO25" s="9"/>
      <c r="AP25" s="143"/>
      <c r="AR25" s="142"/>
      <c r="AS25" s="1209"/>
      <c r="AT25" s="1209"/>
      <c r="AU25" s="1209"/>
      <c r="AV25" s="1209"/>
      <c r="AW25" s="1209"/>
      <c r="AX25" s="1209"/>
      <c r="AY25" s="1209"/>
      <c r="AZ25" s="1209"/>
      <c r="BA25" s="1209"/>
      <c r="BB25" s="1209"/>
      <c r="BC25" s="143"/>
    </row>
    <row r="26" spans="1:55">
      <c r="B26" s="1210"/>
      <c r="C26" s="142"/>
      <c r="D26" s="9"/>
      <c r="E26" s="9"/>
      <c r="F26" s="9"/>
      <c r="G26" s="152" t="s">
        <v>74</v>
      </c>
      <c r="H26" s="1168"/>
      <c r="I26" s="1168"/>
      <c r="J26" s="1168"/>
      <c r="K26" s="1168"/>
      <c r="L26" s="1168"/>
      <c r="M26" s="1169"/>
      <c r="N26" s="151"/>
      <c r="P26" s="1210"/>
      <c r="Q26" s="142"/>
      <c r="R26" s="153"/>
      <c r="S26" s="153"/>
      <c r="T26" s="153"/>
      <c r="U26" s="155" t="s">
        <v>76</v>
      </c>
      <c r="V26" s="1192"/>
      <c r="W26" s="1192"/>
      <c r="X26" s="1192"/>
      <c r="Y26" s="1192"/>
      <c r="Z26" s="1192"/>
      <c r="AA26" s="1192"/>
      <c r="AB26" s="1193"/>
      <c r="AC26" s="143"/>
      <c r="AE26" s="1210"/>
      <c r="AF26" s="142"/>
      <c r="AG26" s="9"/>
      <c r="AH26" s="9"/>
      <c r="AI26" s="9"/>
      <c r="AJ26" s="155" t="s">
        <v>77</v>
      </c>
      <c r="AK26" s="1194"/>
      <c r="AL26" s="1195"/>
      <c r="AM26" s="1195"/>
      <c r="AN26" s="1195"/>
      <c r="AO26" s="1196"/>
      <c r="AP26" s="143"/>
      <c r="AR26" s="142"/>
      <c r="AS26" s="1209"/>
      <c r="AT26" s="1209"/>
      <c r="AU26" s="1209"/>
      <c r="AV26" s="1209"/>
      <c r="AW26" s="1209"/>
      <c r="AX26" s="1209"/>
      <c r="AY26" s="1209"/>
      <c r="AZ26" s="1209"/>
      <c r="BA26" s="1209"/>
      <c r="BB26" s="1209"/>
      <c r="BC26" s="143"/>
    </row>
    <row r="27" spans="1:55" ht="5.0999999999999996" customHeight="1">
      <c r="B27" s="1210"/>
      <c r="C27" s="142"/>
      <c r="D27" s="9"/>
      <c r="E27" s="9"/>
      <c r="F27" s="9"/>
      <c r="G27" s="152"/>
      <c r="H27" s="9"/>
      <c r="I27" s="9"/>
      <c r="J27" s="9"/>
      <c r="K27" s="9"/>
      <c r="L27" s="9"/>
      <c r="M27" s="9"/>
      <c r="N27" s="151"/>
      <c r="P27" s="1210"/>
      <c r="Q27" s="142"/>
      <c r="R27" s="9"/>
      <c r="S27" s="9"/>
      <c r="T27" s="9"/>
      <c r="U27" s="9"/>
      <c r="V27" s="9"/>
      <c r="W27" s="9"/>
      <c r="X27" s="9"/>
      <c r="Y27" s="9"/>
      <c r="Z27" s="9"/>
      <c r="AA27" s="9"/>
      <c r="AB27" s="9"/>
      <c r="AC27" s="143"/>
      <c r="AE27" s="1210"/>
      <c r="AF27" s="142"/>
      <c r="AG27" s="9"/>
      <c r="AH27" s="9"/>
      <c r="AI27" s="9"/>
      <c r="AJ27" s="9"/>
      <c r="AK27" s="9"/>
      <c r="AL27" s="9"/>
      <c r="AM27" s="9"/>
      <c r="AN27" s="9"/>
      <c r="AO27" s="9"/>
      <c r="AP27" s="143"/>
      <c r="AR27" s="142"/>
      <c r="AS27" s="9"/>
      <c r="AT27" s="9"/>
      <c r="AU27" s="9"/>
      <c r="AV27" s="9"/>
      <c r="AW27" s="9"/>
      <c r="AX27" s="9"/>
      <c r="AY27" s="9"/>
      <c r="AZ27" s="9"/>
      <c r="BA27" s="9"/>
      <c r="BB27" s="9"/>
      <c r="BC27" s="143"/>
    </row>
    <row r="28" spans="1:55">
      <c r="B28" s="1210"/>
      <c r="C28" s="142"/>
      <c r="D28" s="9"/>
      <c r="E28" s="9"/>
      <c r="F28" s="9"/>
      <c r="G28" s="152" t="s">
        <v>78</v>
      </c>
      <c r="H28" s="1203" t="str">
        <f>IFERROR(VLOOKUP(H26,Lookup!BC$3:BE$22,2,FALSE),"")</f>
        <v/>
      </c>
      <c r="I28" s="1203"/>
      <c r="J28" s="1203"/>
      <c r="K28" s="1203"/>
      <c r="L28" s="1203"/>
      <c r="M28" s="1204"/>
      <c r="N28" s="151"/>
      <c r="P28" s="1210"/>
      <c r="Q28" s="142"/>
      <c r="R28" s="156"/>
      <c r="S28" s="156"/>
      <c r="T28" s="156"/>
      <c r="U28" s="155" t="s">
        <v>79</v>
      </c>
      <c r="V28" s="1217"/>
      <c r="W28" s="1217"/>
      <c r="X28" s="1217"/>
      <c r="Y28" s="1217"/>
      <c r="Z28" s="1217"/>
      <c r="AA28" s="1217"/>
      <c r="AB28" s="1218"/>
      <c r="AC28" s="143"/>
      <c r="AE28" s="1210"/>
      <c r="AF28" s="142"/>
      <c r="AG28" s="160"/>
      <c r="AH28" s="160"/>
      <c r="AI28" s="160"/>
      <c r="AJ28" s="155" t="s">
        <v>80</v>
      </c>
      <c r="AK28" s="1170"/>
      <c r="AL28" s="1171"/>
      <c r="AM28" s="1171"/>
      <c r="AN28" s="1171"/>
      <c r="AO28" s="1172"/>
      <c r="AP28" s="143"/>
      <c r="AR28" s="142"/>
      <c r="AS28" s="160"/>
      <c r="AT28" s="160"/>
      <c r="AU28" s="160"/>
      <c r="AV28" s="160"/>
      <c r="AW28" s="155" t="s">
        <v>71</v>
      </c>
      <c r="AX28" s="1208"/>
      <c r="AY28" s="1195"/>
      <c r="AZ28" s="1195"/>
      <c r="BA28" s="1195"/>
      <c r="BB28" s="1196"/>
      <c r="BC28" s="143"/>
    </row>
    <row r="29" spans="1:55" ht="5.0999999999999996" customHeight="1">
      <c r="B29" s="1210"/>
      <c r="C29" s="142"/>
      <c r="D29" s="9"/>
      <c r="E29" s="9"/>
      <c r="F29" s="9"/>
      <c r="G29" s="152"/>
      <c r="H29" s="9"/>
      <c r="I29" s="9"/>
      <c r="J29" s="9"/>
      <c r="K29" s="9"/>
      <c r="L29" s="9"/>
      <c r="M29" s="9"/>
      <c r="N29" s="151"/>
      <c r="P29" s="1210"/>
      <c r="Q29" s="142"/>
      <c r="R29" s="9"/>
      <c r="S29" s="157"/>
      <c r="T29" s="9"/>
      <c r="U29" s="9"/>
      <c r="V29" s="9"/>
      <c r="W29" s="9"/>
      <c r="X29" s="9"/>
      <c r="Y29" s="9"/>
      <c r="Z29" s="9"/>
      <c r="AA29" s="9"/>
      <c r="AB29" s="9"/>
      <c r="AC29" s="143"/>
      <c r="AE29" s="1210"/>
      <c r="AF29" s="142"/>
      <c r="AG29" s="9"/>
      <c r="AH29" s="9"/>
      <c r="AI29" s="9"/>
      <c r="AJ29" s="9"/>
      <c r="AK29" s="9"/>
      <c r="AL29" s="9"/>
      <c r="AM29" s="9"/>
      <c r="AN29" s="9"/>
      <c r="AO29" s="9"/>
      <c r="AP29" s="143"/>
      <c r="AR29" s="142"/>
      <c r="AS29" s="9"/>
      <c r="AT29" s="9"/>
      <c r="AU29" s="9"/>
      <c r="AV29" s="9"/>
      <c r="AW29" s="9"/>
      <c r="AX29" s="9"/>
      <c r="AY29" s="9"/>
      <c r="AZ29" s="9"/>
      <c r="BA29" s="9"/>
      <c r="BB29" s="9"/>
      <c r="BC29" s="143"/>
    </row>
    <row r="30" spans="1:55">
      <c r="B30" s="1210"/>
      <c r="C30" s="142"/>
      <c r="D30" s="9"/>
      <c r="E30" s="9"/>
      <c r="F30" s="9"/>
      <c r="G30" s="152" t="s">
        <v>81</v>
      </c>
      <c r="H30" s="1205" t="str">
        <f>IFERROR(VLOOKUP(H26,Lookup!BC$3:BE$22,3,FALSE),"")</f>
        <v/>
      </c>
      <c r="I30" s="1205"/>
      <c r="J30" s="1205"/>
      <c r="K30" s="1205"/>
      <c r="L30" s="1205"/>
      <c r="M30" s="1206"/>
      <c r="N30" s="151"/>
      <c r="P30" s="1210"/>
      <c r="Q30" s="142"/>
      <c r="R30" s="153"/>
      <c r="S30" s="153"/>
      <c r="T30" s="9"/>
      <c r="U30" s="155" t="s">
        <v>82</v>
      </c>
      <c r="V30" s="1211"/>
      <c r="W30" s="1211"/>
      <c r="X30" s="1211"/>
      <c r="Y30" s="1211"/>
      <c r="Z30" s="1211"/>
      <c r="AA30" s="1211"/>
      <c r="AB30" s="1212"/>
      <c r="AC30" s="143"/>
      <c r="AE30" s="1210"/>
      <c r="AF30" s="142"/>
      <c r="AG30" s="9"/>
      <c r="AH30" s="9"/>
      <c r="AI30" s="153"/>
      <c r="AJ30" s="9"/>
      <c r="AK30" s="9"/>
      <c r="AL30" s="9"/>
      <c r="AM30" s="9"/>
      <c r="AN30" s="9"/>
      <c r="AO30" s="647" t="s">
        <v>83</v>
      </c>
      <c r="AP30" s="143"/>
      <c r="AR30" s="142"/>
      <c r="AS30" s="9"/>
      <c r="AT30" s="9"/>
      <c r="AU30" s="9"/>
      <c r="AV30" s="153"/>
      <c r="AW30" s="155" t="s">
        <v>2008</v>
      </c>
      <c r="AX30" s="1207"/>
      <c r="AY30" s="1195"/>
      <c r="AZ30" s="1195"/>
      <c r="BA30" s="1195"/>
      <c r="BB30" s="1196"/>
      <c r="BC30" s="143"/>
    </row>
    <row r="31" spans="1:55" ht="5.0999999999999996" customHeight="1">
      <c r="B31" s="1210"/>
      <c r="C31" s="142"/>
      <c r="D31" s="9"/>
      <c r="E31" s="9"/>
      <c r="F31" s="9"/>
      <c r="G31" s="152"/>
      <c r="H31" s="9"/>
      <c r="I31" s="9"/>
      <c r="J31" s="9"/>
      <c r="K31" s="9"/>
      <c r="L31" s="9"/>
      <c r="M31" s="9"/>
      <c r="N31" s="151"/>
      <c r="P31" s="1210"/>
      <c r="Q31" s="142"/>
      <c r="R31" s="9"/>
      <c r="S31" s="9"/>
      <c r="T31" s="9"/>
      <c r="U31" s="9"/>
      <c r="V31" s="1213"/>
      <c r="W31" s="1213"/>
      <c r="X31" s="1213"/>
      <c r="Y31" s="1213"/>
      <c r="Z31" s="1213"/>
      <c r="AA31" s="1213"/>
      <c r="AB31" s="1214"/>
      <c r="AC31" s="143"/>
      <c r="AE31" s="1210"/>
      <c r="AF31" s="142"/>
      <c r="AG31" s="9"/>
      <c r="AH31" s="9"/>
      <c r="AI31" s="9"/>
      <c r="AJ31" s="9"/>
      <c r="AK31" s="9"/>
      <c r="AL31" s="9"/>
      <c r="AM31" s="9"/>
      <c r="AN31" s="9"/>
      <c r="AO31" s="9"/>
      <c r="AP31" s="143"/>
      <c r="AR31" s="142"/>
      <c r="AS31" s="9"/>
      <c r="AT31" s="9"/>
      <c r="AU31" s="9"/>
      <c r="AV31" s="9"/>
      <c r="AW31" s="9"/>
      <c r="AX31" s="9"/>
      <c r="AY31" s="9"/>
      <c r="AZ31" s="9"/>
      <c r="BA31" s="9"/>
      <c r="BB31" s="9"/>
      <c r="BC31" s="143"/>
    </row>
    <row r="32" spans="1:55">
      <c r="B32" s="1210"/>
      <c r="C32" s="142"/>
      <c r="D32" s="9"/>
      <c r="E32" s="9"/>
      <c r="F32" s="9"/>
      <c r="G32" s="152" t="s">
        <v>84</v>
      </c>
      <c r="H32" s="1197" t="s">
        <v>1010</v>
      </c>
      <c r="I32" s="1197"/>
      <c r="J32" s="1197"/>
      <c r="K32" s="1197"/>
      <c r="L32" s="1197"/>
      <c r="M32" s="1198"/>
      <c r="N32" s="151"/>
      <c r="P32" s="1210"/>
      <c r="Q32" s="142"/>
      <c r="R32" s="153"/>
      <c r="S32" s="153"/>
      <c r="T32" s="153"/>
      <c r="U32" s="9"/>
      <c r="V32" s="1215"/>
      <c r="W32" s="1215"/>
      <c r="X32" s="1215"/>
      <c r="Y32" s="1215"/>
      <c r="Z32" s="1215"/>
      <c r="AA32" s="1215"/>
      <c r="AB32" s="1216"/>
      <c r="AC32" s="143"/>
      <c r="AE32" s="1210"/>
      <c r="AF32" s="142"/>
      <c r="AG32" s="9"/>
      <c r="AH32" s="9"/>
      <c r="AI32" s="9"/>
      <c r="AJ32" s="155" t="s">
        <v>86</v>
      </c>
      <c r="AK32" s="1208"/>
      <c r="AL32" s="1195"/>
      <c r="AM32" s="1195"/>
      <c r="AN32" s="1195"/>
      <c r="AO32" s="1196"/>
      <c r="AP32" s="143"/>
      <c r="AR32" s="142"/>
      <c r="AS32" s="9"/>
      <c r="AT32" s="9"/>
      <c r="AU32" s="9"/>
      <c r="AV32" s="9"/>
      <c r="AW32" s="155" t="s">
        <v>77</v>
      </c>
      <c r="AX32" s="1194"/>
      <c r="AY32" s="1195"/>
      <c r="AZ32" s="1195"/>
      <c r="BA32" s="1195"/>
      <c r="BB32" s="1196"/>
      <c r="BC32" s="143"/>
    </row>
    <row r="33" spans="2:55" ht="5.0999999999999996" customHeight="1">
      <c r="B33" s="1210"/>
      <c r="C33" s="142"/>
      <c r="D33" s="9"/>
      <c r="E33" s="9"/>
      <c r="F33" s="9"/>
      <c r="G33" s="9"/>
      <c r="H33" s="9"/>
      <c r="I33" s="9"/>
      <c r="J33" s="9"/>
      <c r="K33" s="9"/>
      <c r="L33" s="9"/>
      <c r="M33" s="9"/>
      <c r="N33" s="151"/>
      <c r="P33" s="1210"/>
      <c r="Q33" s="142"/>
      <c r="R33" s="153"/>
      <c r="S33" s="153"/>
      <c r="T33" s="153"/>
      <c r="U33" s="153"/>
      <c r="V33" s="9"/>
      <c r="W33" s="9"/>
      <c r="X33" s="9"/>
      <c r="Y33" s="9"/>
      <c r="Z33" s="9"/>
      <c r="AA33" s="9"/>
      <c r="AB33" s="9"/>
      <c r="AC33" s="143"/>
      <c r="AE33" s="1210"/>
      <c r="AF33" s="142"/>
      <c r="AG33" s="9"/>
      <c r="AH33" s="9"/>
      <c r="AI33" s="9"/>
      <c r="AJ33" s="9"/>
      <c r="AK33" s="9"/>
      <c r="AL33" s="9"/>
      <c r="AM33" s="9"/>
      <c r="AN33" s="9"/>
      <c r="AO33" s="9"/>
      <c r="AP33" s="143"/>
      <c r="AR33" s="142"/>
      <c r="AS33" s="9"/>
      <c r="AT33" s="9"/>
      <c r="AU33" s="9"/>
      <c r="AV33" s="9"/>
      <c r="AW33" s="9"/>
      <c r="AX33" s="9"/>
      <c r="AY33" s="9"/>
      <c r="AZ33" s="9"/>
      <c r="BA33" s="9"/>
      <c r="BB33" s="9"/>
      <c r="BC33" s="143"/>
    </row>
    <row r="34" spans="2:55">
      <c r="B34" s="1210"/>
      <c r="C34" s="142"/>
      <c r="D34" s="9"/>
      <c r="E34" s="9"/>
      <c r="F34" s="9"/>
      <c r="G34" s="152" t="s">
        <v>87</v>
      </c>
      <c r="H34" s="1199" t="str">
        <f>IFERROR(VLOOKUP(H32,Table_LPA_Building_Area[],4,FALSE),"")</f>
        <v>Multi-Family Housing</v>
      </c>
      <c r="I34" s="1199"/>
      <c r="J34" s="1199"/>
      <c r="K34" s="1199"/>
      <c r="L34" s="1199"/>
      <c r="M34" s="1200"/>
      <c r="N34" s="151"/>
      <c r="P34" s="1210"/>
      <c r="Q34" s="142"/>
      <c r="R34" s="9"/>
      <c r="S34" s="9"/>
      <c r="T34" s="9"/>
      <c r="U34" s="155" t="s">
        <v>88</v>
      </c>
      <c r="V34" s="1171"/>
      <c r="W34" s="1171"/>
      <c r="X34" s="1171"/>
      <c r="Y34" s="1171"/>
      <c r="Z34" s="1171"/>
      <c r="AA34" s="1171"/>
      <c r="AB34" s="1172"/>
      <c r="AC34" s="143"/>
      <c r="AE34" s="1210"/>
      <c r="AF34" s="142"/>
      <c r="AG34" s="160"/>
      <c r="AH34" s="160"/>
      <c r="AI34" s="160"/>
      <c r="AJ34" s="161" t="s">
        <v>89</v>
      </c>
      <c r="AK34" s="1170"/>
      <c r="AL34" s="1171"/>
      <c r="AM34" s="1171"/>
      <c r="AN34" s="1171"/>
      <c r="AO34" s="1172"/>
      <c r="AP34" s="143"/>
      <c r="AR34" s="142"/>
      <c r="AS34" s="160"/>
      <c r="AT34" s="160"/>
      <c r="AU34" s="160"/>
      <c r="AV34" s="160"/>
      <c r="AW34" s="155" t="s">
        <v>80</v>
      </c>
      <c r="AX34" s="1170"/>
      <c r="AY34" s="1171"/>
      <c r="AZ34" s="1171"/>
      <c r="BA34" s="1171"/>
      <c r="BB34" s="1172"/>
      <c r="BC34" s="143"/>
    </row>
    <row r="35" spans="2:55" ht="5.0999999999999996" customHeight="1">
      <c r="B35" s="1210"/>
      <c r="C35" s="142"/>
      <c r="D35" s="153"/>
      <c r="E35" s="153"/>
      <c r="F35" s="153"/>
      <c r="G35" s="153"/>
      <c r="H35" s="153"/>
      <c r="I35" s="153"/>
      <c r="J35" s="153"/>
      <c r="K35" s="153"/>
      <c r="L35" s="153"/>
      <c r="M35" s="153"/>
      <c r="N35" s="151"/>
      <c r="P35" s="1210"/>
      <c r="Q35" s="142"/>
      <c r="R35" s="153"/>
      <c r="S35" s="153"/>
      <c r="T35" s="153"/>
      <c r="U35" s="153"/>
      <c r="V35" s="698"/>
      <c r="W35" s="698"/>
      <c r="X35" s="698"/>
      <c r="Y35" s="698"/>
      <c r="Z35" s="698"/>
      <c r="AA35" s="698"/>
      <c r="AB35" s="698"/>
      <c r="AC35" s="143"/>
      <c r="AE35" s="1210"/>
      <c r="AF35" s="142"/>
      <c r="AG35" s="9"/>
      <c r="AH35" s="9"/>
      <c r="AI35" s="9"/>
      <c r="AJ35" s="9"/>
      <c r="AK35" s="9"/>
      <c r="AL35" s="9"/>
      <c r="AM35" s="9"/>
      <c r="AN35" s="9"/>
      <c r="AO35" s="9"/>
      <c r="AP35" s="143"/>
      <c r="AR35" s="142"/>
      <c r="AS35" s="9"/>
      <c r="AT35" s="9"/>
      <c r="AU35" s="9"/>
      <c r="AV35" s="9"/>
      <c r="AW35" s="9"/>
      <c r="AX35" s="9"/>
      <c r="AY35" s="9"/>
      <c r="AZ35" s="9"/>
      <c r="BA35" s="9"/>
      <c r="BB35" s="9"/>
      <c r="BC35" s="143"/>
    </row>
    <row r="36" spans="2:55">
      <c r="B36" s="1210"/>
      <c r="C36" s="142"/>
      <c r="D36" s="153"/>
      <c r="E36" s="153"/>
      <c r="F36" s="153"/>
      <c r="G36" s="496" t="s">
        <v>90</v>
      </c>
      <c r="H36" s="1201">
        <f>IFERROR(IF(O24=1,VLOOKUP(H32,Table_LPA_Building_Area[],2,FALSE),VLOOKUP(H32,Table_LPA_Building_Area[],3,FALSE)),"")</f>
        <v>0.41</v>
      </c>
      <c r="I36" s="1201"/>
      <c r="J36" s="1201"/>
      <c r="K36" s="1201"/>
      <c r="L36" s="1201"/>
      <c r="M36" s="1202"/>
      <c r="N36" s="151"/>
      <c r="P36" s="1210"/>
      <c r="Q36" s="142"/>
      <c r="R36" s="153"/>
      <c r="S36" s="153"/>
      <c r="T36" s="153"/>
      <c r="U36" s="155" t="s">
        <v>91</v>
      </c>
      <c r="V36" s="477" t="s">
        <v>92</v>
      </c>
      <c r="W36" s="9"/>
      <c r="X36" s="9"/>
      <c r="Y36" s="155" t="s">
        <v>93</v>
      </c>
      <c r="Z36" s="622" t="s">
        <v>94</v>
      </c>
      <c r="AA36" s="1233"/>
      <c r="AB36" s="1234"/>
      <c r="AC36" s="143"/>
      <c r="AE36" s="1210"/>
      <c r="AF36" s="142"/>
      <c r="AG36" s="9"/>
      <c r="AH36" s="9"/>
      <c r="AI36" s="9"/>
      <c r="AJ36" s="161" t="s">
        <v>91</v>
      </c>
      <c r="AK36" s="389"/>
      <c r="AL36" s="9"/>
      <c r="AM36" s="161" t="s">
        <v>94</v>
      </c>
      <c r="AN36" s="1233"/>
      <c r="AO36" s="1234"/>
      <c r="AP36" s="143"/>
      <c r="AR36" s="142"/>
      <c r="AS36" s="9"/>
      <c r="AT36" s="9"/>
      <c r="AU36" s="9"/>
      <c r="AV36" s="9"/>
      <c r="AW36" s="9"/>
      <c r="AX36" s="9"/>
      <c r="AY36" s="9"/>
      <c r="AZ36" s="9"/>
      <c r="BA36" s="9"/>
      <c r="BB36" s="9"/>
      <c r="BC36" s="143"/>
    </row>
    <row r="37" spans="2:55" ht="5.0999999999999996" customHeight="1">
      <c r="B37" s="1210"/>
      <c r="C37" s="142"/>
      <c r="D37" s="153"/>
      <c r="E37" s="153"/>
      <c r="F37" s="153"/>
      <c r="G37" s="153"/>
      <c r="H37" s="153"/>
      <c r="I37" s="153"/>
      <c r="J37" s="153"/>
      <c r="K37" s="153"/>
      <c r="L37" s="153"/>
      <c r="M37" s="153"/>
      <c r="N37" s="151"/>
      <c r="P37" s="1210"/>
      <c r="Q37" s="142"/>
      <c r="R37" s="153"/>
      <c r="S37" s="153"/>
      <c r="T37" s="153"/>
      <c r="U37" s="153"/>
      <c r="V37" s="698"/>
      <c r="W37" s="698"/>
      <c r="X37" s="698"/>
      <c r="Y37" s="157"/>
      <c r="Z37" s="153"/>
      <c r="AA37" s="698"/>
      <c r="AB37" s="698"/>
      <c r="AC37" s="143"/>
      <c r="AE37" s="1210"/>
      <c r="AF37" s="142"/>
      <c r="AG37" s="9"/>
      <c r="AH37" s="9"/>
      <c r="AI37" s="9"/>
      <c r="AJ37" s="9"/>
      <c r="AK37" s="9"/>
      <c r="AL37" s="9"/>
      <c r="AM37" s="9"/>
      <c r="AN37" s="9"/>
      <c r="AO37" s="9"/>
      <c r="AP37" s="143"/>
      <c r="AR37" s="142"/>
      <c r="AS37" s="9"/>
      <c r="AT37" s="9"/>
      <c r="AU37" s="9"/>
      <c r="AV37" s="9"/>
      <c r="AW37" s="9"/>
      <c r="AX37" s="9"/>
      <c r="AY37" s="9"/>
      <c r="AZ37" s="9"/>
      <c r="BA37" s="9"/>
      <c r="BB37" s="9"/>
      <c r="BC37" s="143"/>
    </row>
    <row r="38" spans="2:55">
      <c r="B38" s="1210"/>
      <c r="C38" s="142"/>
      <c r="D38" s="153"/>
      <c r="E38" s="153"/>
      <c r="F38" s="153"/>
      <c r="G38" s="496" t="s">
        <v>95</v>
      </c>
      <c r="H38" s="1168" t="s">
        <v>2057</v>
      </c>
      <c r="I38" s="1168"/>
      <c r="J38" s="1168"/>
      <c r="K38" s="1168"/>
      <c r="L38" s="1168"/>
      <c r="M38" s="1169"/>
      <c r="N38" s="151"/>
      <c r="O38" s="426">
        <f>IF(H38="C406.3.1",1,IF(H38="C406.3.2",2,0))</f>
        <v>0</v>
      </c>
      <c r="P38" s="1210"/>
      <c r="Q38" s="142"/>
      <c r="R38" s="153"/>
      <c r="S38" s="153"/>
      <c r="T38" s="153"/>
      <c r="U38" s="153"/>
      <c r="V38" s="153"/>
      <c r="W38" s="153"/>
      <c r="X38" s="153"/>
      <c r="Y38" s="153"/>
      <c r="Z38" s="153"/>
      <c r="AA38" s="153"/>
      <c r="AB38" s="153"/>
      <c r="AC38" s="143"/>
      <c r="AE38" s="1210"/>
      <c r="AF38" s="142"/>
      <c r="AG38" s="9"/>
      <c r="AH38" s="9"/>
      <c r="AI38" s="9"/>
      <c r="AJ38" s="9"/>
      <c r="AK38" s="9"/>
      <c r="AL38" s="9"/>
      <c r="AM38" s="9"/>
      <c r="AN38" s="9"/>
      <c r="AO38" s="9"/>
      <c r="AP38" s="143"/>
      <c r="AR38" s="142"/>
      <c r="AS38" s="9"/>
      <c r="AT38" s="9"/>
      <c r="AU38" s="9"/>
      <c r="AV38" s="9"/>
      <c r="AW38" s="9"/>
      <c r="AX38" s="9"/>
      <c r="AY38" s="9"/>
      <c r="AZ38" s="9"/>
      <c r="BA38" s="9"/>
      <c r="BB38" s="9"/>
      <c r="BC38" s="143"/>
    </row>
    <row r="39" spans="2:55" ht="5.0999999999999996" customHeight="1">
      <c r="B39" s="1210"/>
      <c r="C39" s="148"/>
      <c r="D39" s="149"/>
      <c r="E39" s="149"/>
      <c r="F39" s="149"/>
      <c r="G39" s="149"/>
      <c r="H39" s="149"/>
      <c r="I39" s="149"/>
      <c r="J39" s="149"/>
      <c r="K39" s="149"/>
      <c r="L39" s="149"/>
      <c r="M39" s="149"/>
      <c r="N39" s="154"/>
      <c r="P39" s="1210"/>
      <c r="Q39" s="148"/>
      <c r="R39" s="149"/>
      <c r="S39" s="149"/>
      <c r="T39" s="149"/>
      <c r="U39" s="149"/>
      <c r="V39" s="149"/>
      <c r="W39" s="149"/>
      <c r="X39" s="149"/>
      <c r="Y39" s="149"/>
      <c r="Z39" s="149"/>
      <c r="AA39" s="149"/>
      <c r="AB39" s="149"/>
      <c r="AC39" s="150"/>
      <c r="AE39" s="1210"/>
      <c r="AF39" s="148"/>
      <c r="AG39" s="149"/>
      <c r="AH39" s="149"/>
      <c r="AI39" s="149"/>
      <c r="AJ39" s="149"/>
      <c r="AK39" s="149"/>
      <c r="AL39" s="149"/>
      <c r="AM39" s="149"/>
      <c r="AN39" s="149"/>
      <c r="AO39" s="149"/>
      <c r="AP39" s="150"/>
      <c r="AR39" s="148"/>
      <c r="AS39" s="149"/>
      <c r="AT39" s="149"/>
      <c r="AU39" s="149"/>
      <c r="AV39" s="149"/>
      <c r="AW39" s="149"/>
      <c r="AX39" s="149"/>
      <c r="AY39" s="149"/>
      <c r="AZ39" s="149"/>
      <c r="BA39" s="149"/>
      <c r="BB39" s="149"/>
      <c r="BC39" s="150"/>
    </row>
    <row r="40" spans="2:55" ht="10.050000000000001" customHeight="1" thickBot="1"/>
    <row r="41" spans="2:55" ht="20.399999999999999" thickTop="1">
      <c r="B41" s="1210"/>
      <c r="C41" s="1178" t="s">
        <v>96</v>
      </c>
      <c r="D41" s="1179"/>
      <c r="E41" s="1179"/>
      <c r="F41" s="1179"/>
      <c r="G41" s="1179"/>
      <c r="H41" s="1179"/>
      <c r="I41" s="1179"/>
      <c r="J41" s="1179"/>
      <c r="K41" s="1179"/>
      <c r="L41" s="1179"/>
      <c r="M41" s="1179"/>
      <c r="N41" s="1179"/>
      <c r="O41" s="1179"/>
      <c r="P41" s="1179"/>
      <c r="Q41" s="1179"/>
      <c r="R41" s="1179"/>
      <c r="S41" s="1179"/>
      <c r="T41" s="1179"/>
      <c r="U41" s="1180"/>
      <c r="Y41" s="1178" t="s">
        <v>97</v>
      </c>
      <c r="Z41" s="1179"/>
      <c r="AA41" s="1179"/>
      <c r="AB41" s="1179"/>
      <c r="AC41" s="1179"/>
      <c r="AD41" s="1179"/>
      <c r="AE41" s="1179"/>
      <c r="AF41" s="1179"/>
      <c r="AG41" s="1179"/>
      <c r="AH41" s="1179"/>
      <c r="AI41" s="1179"/>
      <c r="AJ41" s="1179"/>
      <c r="AK41" s="1179"/>
      <c r="AL41" s="1179"/>
      <c r="AM41" s="1179"/>
      <c r="AN41" s="1179"/>
      <c r="AO41" s="1179"/>
      <c r="AP41" s="1180"/>
    </row>
    <row r="42" spans="2:55">
      <c r="B42" s="1210"/>
      <c r="C42" s="142"/>
      <c r="D42" s="9"/>
      <c r="E42" s="9"/>
      <c r="F42" s="9"/>
      <c r="G42" s="9"/>
      <c r="H42" s="9"/>
      <c r="I42" s="9"/>
      <c r="J42" s="9"/>
      <c r="K42" s="9"/>
      <c r="L42" s="9"/>
      <c r="M42" s="9"/>
      <c r="N42" s="9"/>
      <c r="O42" s="9"/>
      <c r="P42" s="9"/>
      <c r="Q42" s="9"/>
      <c r="R42" s="9"/>
      <c r="S42" s="9"/>
      <c r="T42" s="9"/>
      <c r="U42" s="143"/>
      <c r="Y42" s="142"/>
      <c r="Z42" s="9"/>
      <c r="AA42" s="9"/>
      <c r="AB42" s="9"/>
      <c r="AC42" s="9"/>
      <c r="AD42" s="9"/>
      <c r="AE42" s="9"/>
      <c r="AF42" s="9"/>
      <c r="AG42" s="9"/>
      <c r="AH42" s="9"/>
      <c r="AI42" s="9"/>
      <c r="AJ42" s="9"/>
      <c r="AK42" s="9"/>
      <c r="AL42" s="9"/>
      <c r="AM42" s="9"/>
      <c r="AN42" s="9"/>
      <c r="AO42" s="9"/>
      <c r="AP42" s="143"/>
    </row>
    <row r="43" spans="2:55" ht="14.3" customHeight="1">
      <c r="B43" s="1210"/>
      <c r="C43" s="142"/>
      <c r="D43" s="9" t="s">
        <v>98</v>
      </c>
      <c r="E43" s="9"/>
      <c r="F43" s="9"/>
      <c r="G43" s="9"/>
      <c r="H43" s="9"/>
      <c r="I43" s="9"/>
      <c r="J43" s="9"/>
      <c r="K43" s="9"/>
      <c r="L43" s="9"/>
      <c r="M43" s="9"/>
      <c r="N43" s="9"/>
      <c r="O43" s="9"/>
      <c r="P43" s="9"/>
      <c r="Q43" s="9"/>
      <c r="R43" s="9"/>
      <c r="S43" s="9"/>
      <c r="T43" s="9"/>
      <c r="U43" s="143"/>
      <c r="Y43" s="142"/>
      <c r="Z43" s="1181"/>
      <c r="AA43" s="1182"/>
      <c r="AB43" s="1182"/>
      <c r="AC43" s="1182"/>
      <c r="AD43" s="1182"/>
      <c r="AE43" s="1182"/>
      <c r="AF43" s="1182"/>
      <c r="AG43" s="1182"/>
      <c r="AH43" s="1182"/>
      <c r="AI43" s="1182"/>
      <c r="AJ43" s="1182"/>
      <c r="AK43" s="1182"/>
      <c r="AL43" s="1182"/>
      <c r="AM43" s="1182"/>
      <c r="AN43" s="1182"/>
      <c r="AO43" s="1183"/>
      <c r="AP43" s="143"/>
    </row>
    <row r="44" spans="2:55">
      <c r="B44" s="1210"/>
      <c r="C44" s="142"/>
      <c r="D44" s="9" t="s">
        <v>99</v>
      </c>
      <c r="E44" s="9"/>
      <c r="F44" s="9"/>
      <c r="G44" s="9"/>
      <c r="H44" s="9"/>
      <c r="I44" s="9"/>
      <c r="J44" s="9"/>
      <c r="K44" s="9"/>
      <c r="L44" s="9"/>
      <c r="M44" s="9"/>
      <c r="N44" s="9"/>
      <c r="O44" s="9"/>
      <c r="P44" s="9"/>
      <c r="Q44" s="9"/>
      <c r="R44" s="9"/>
      <c r="S44" s="9"/>
      <c r="T44" s="9"/>
      <c r="U44" s="143"/>
      <c r="Y44" s="142"/>
      <c r="Z44" s="1184"/>
      <c r="AA44" s="1185"/>
      <c r="AB44" s="1185"/>
      <c r="AC44" s="1185"/>
      <c r="AD44" s="1185"/>
      <c r="AE44" s="1185"/>
      <c r="AF44" s="1185"/>
      <c r="AG44" s="1185"/>
      <c r="AH44" s="1185"/>
      <c r="AI44" s="1185"/>
      <c r="AJ44" s="1185"/>
      <c r="AK44" s="1185"/>
      <c r="AL44" s="1185"/>
      <c r="AM44" s="1185"/>
      <c r="AN44" s="1185"/>
      <c r="AO44" s="1186"/>
      <c r="AP44" s="143"/>
    </row>
    <row r="45" spans="2:55">
      <c r="B45" s="1210"/>
      <c r="C45" s="142"/>
      <c r="D45" s="9" t="s">
        <v>100</v>
      </c>
      <c r="E45" s="9"/>
      <c r="F45" s="9"/>
      <c r="G45" s="9"/>
      <c r="H45" s="9"/>
      <c r="I45" s="9"/>
      <c r="J45" s="9"/>
      <c r="K45" s="9"/>
      <c r="L45" s="9"/>
      <c r="M45" s="9"/>
      <c r="N45" s="9"/>
      <c r="O45" s="9"/>
      <c r="P45" s="9"/>
      <c r="Q45" s="9"/>
      <c r="R45" s="9"/>
      <c r="S45" s="9"/>
      <c r="T45" s="9"/>
      <c r="U45" s="143"/>
      <c r="Y45" s="142"/>
      <c r="Z45" s="1184"/>
      <c r="AA45" s="1185"/>
      <c r="AB45" s="1185"/>
      <c r="AC45" s="1185"/>
      <c r="AD45" s="1185"/>
      <c r="AE45" s="1185"/>
      <c r="AF45" s="1185"/>
      <c r="AG45" s="1185"/>
      <c r="AH45" s="1185"/>
      <c r="AI45" s="1185"/>
      <c r="AJ45" s="1185"/>
      <c r="AK45" s="1185"/>
      <c r="AL45" s="1185"/>
      <c r="AM45" s="1185"/>
      <c r="AN45" s="1185"/>
      <c r="AO45" s="1186"/>
      <c r="AP45" s="143"/>
    </row>
    <row r="46" spans="2:55">
      <c r="B46" s="1210"/>
      <c r="C46" s="142"/>
      <c r="D46" s="9"/>
      <c r="E46" s="9"/>
      <c r="F46" s="9"/>
      <c r="G46" s="9"/>
      <c r="H46" s="9"/>
      <c r="I46" s="9"/>
      <c r="J46" s="9"/>
      <c r="K46" s="9"/>
      <c r="L46" s="9"/>
      <c r="M46" s="9"/>
      <c r="N46" s="9"/>
      <c r="O46" s="9"/>
      <c r="P46" s="9"/>
      <c r="Q46" s="9"/>
      <c r="R46" s="9"/>
      <c r="S46" s="9"/>
      <c r="T46" s="9"/>
      <c r="U46" s="143"/>
      <c r="Y46" s="142"/>
      <c r="Z46" s="1184"/>
      <c r="AA46" s="1185"/>
      <c r="AB46" s="1185"/>
      <c r="AC46" s="1185"/>
      <c r="AD46" s="1185"/>
      <c r="AE46" s="1185"/>
      <c r="AF46" s="1185"/>
      <c r="AG46" s="1185"/>
      <c r="AH46" s="1185"/>
      <c r="AI46" s="1185"/>
      <c r="AJ46" s="1185"/>
      <c r="AK46" s="1185"/>
      <c r="AL46" s="1185"/>
      <c r="AM46" s="1185"/>
      <c r="AN46" s="1185"/>
      <c r="AO46" s="1186"/>
      <c r="AP46" s="143"/>
    </row>
    <row r="47" spans="2:55" ht="14.95" customHeight="1">
      <c r="B47" s="1210"/>
      <c r="C47" s="142"/>
      <c r="D47" s="9"/>
      <c r="E47" s="144" t="s">
        <v>101</v>
      </c>
      <c r="F47" s="144" t="s">
        <v>102</v>
      </c>
      <c r="G47" s="144" t="s">
        <v>103</v>
      </c>
      <c r="H47" s="144" t="s">
        <v>104</v>
      </c>
      <c r="I47" s="144"/>
      <c r="J47" s="144" t="s">
        <v>105</v>
      </c>
      <c r="K47" s="144" t="s">
        <v>106</v>
      </c>
      <c r="L47" s="144" t="s">
        <v>107</v>
      </c>
      <c r="M47" s="9"/>
      <c r="N47" s="9"/>
      <c r="O47" s="9"/>
      <c r="P47" s="9"/>
      <c r="Q47" s="9"/>
      <c r="R47" s="1231" t="s">
        <v>108</v>
      </c>
      <c r="S47" s="1231"/>
      <c r="T47" s="9"/>
      <c r="U47" s="143"/>
      <c r="Y47" s="142"/>
      <c r="Z47" s="1184"/>
      <c r="AA47" s="1185"/>
      <c r="AB47" s="1185"/>
      <c r="AC47" s="1185"/>
      <c r="AD47" s="1185"/>
      <c r="AE47" s="1185"/>
      <c r="AF47" s="1185"/>
      <c r="AG47" s="1185"/>
      <c r="AH47" s="1185"/>
      <c r="AI47" s="1185"/>
      <c r="AJ47" s="1185"/>
      <c r="AK47" s="1185"/>
      <c r="AL47" s="1185"/>
      <c r="AM47" s="1185"/>
      <c r="AN47" s="1185"/>
      <c r="AO47" s="1186"/>
      <c r="AP47" s="143"/>
    </row>
    <row r="48" spans="2:55" ht="5.0999999999999996" customHeight="1">
      <c r="B48" s="1210"/>
      <c r="C48" s="142"/>
      <c r="D48" s="9"/>
      <c r="E48" s="9"/>
      <c r="F48" s="9"/>
      <c r="G48" s="9"/>
      <c r="H48" s="9"/>
      <c r="I48" s="9"/>
      <c r="J48" s="9"/>
      <c r="K48" s="9"/>
      <c r="L48" s="9"/>
      <c r="M48" s="9"/>
      <c r="N48" s="9"/>
      <c r="O48" s="9"/>
      <c r="P48" s="9"/>
      <c r="Q48" s="9"/>
      <c r="R48" s="1231"/>
      <c r="S48" s="1231"/>
      <c r="T48" s="9"/>
      <c r="U48" s="143"/>
      <c r="Y48" s="142"/>
      <c r="Z48" s="1184"/>
      <c r="AA48" s="1185"/>
      <c r="AB48" s="1185"/>
      <c r="AC48" s="1185"/>
      <c r="AD48" s="1185"/>
      <c r="AE48" s="1185"/>
      <c r="AF48" s="1185"/>
      <c r="AG48" s="1185"/>
      <c r="AH48" s="1185"/>
      <c r="AI48" s="1185"/>
      <c r="AJ48" s="1185"/>
      <c r="AK48" s="1185"/>
      <c r="AL48" s="1185"/>
      <c r="AM48" s="1185"/>
      <c r="AN48" s="1185"/>
      <c r="AO48" s="1186"/>
      <c r="AP48" s="143"/>
    </row>
    <row r="49" spans="2:42">
      <c r="B49" s="1210"/>
      <c r="C49" s="142"/>
      <c r="D49" s="541" t="s">
        <v>109</v>
      </c>
      <c r="E49" s="699"/>
      <c r="F49" s="699"/>
      <c r="G49" s="699"/>
      <c r="H49" s="699"/>
      <c r="I49" s="1190"/>
      <c r="J49" s="1191"/>
      <c r="K49" s="699"/>
      <c r="L49" s="699"/>
      <c r="M49" s="146" t="s">
        <v>110</v>
      </c>
      <c r="N49" s="9"/>
      <c r="O49" s="147" t="str">
        <f>IF(OR(L49="",L51=""),"",(12-L49+L51))</f>
        <v/>
      </c>
      <c r="P49" s="147"/>
      <c r="Q49" s="147">
        <f>AVERAGE(E55:L55)</f>
        <v>0</v>
      </c>
      <c r="R49" s="1231"/>
      <c r="S49" s="1231"/>
      <c r="T49" s="9"/>
      <c r="U49" s="143"/>
      <c r="Y49" s="142"/>
      <c r="Z49" s="1184"/>
      <c r="AA49" s="1185"/>
      <c r="AB49" s="1185"/>
      <c r="AC49" s="1185"/>
      <c r="AD49" s="1185"/>
      <c r="AE49" s="1185"/>
      <c r="AF49" s="1185"/>
      <c r="AG49" s="1185"/>
      <c r="AH49" s="1185"/>
      <c r="AI49" s="1185"/>
      <c r="AJ49" s="1185"/>
      <c r="AK49" s="1185"/>
      <c r="AL49" s="1185"/>
      <c r="AM49" s="1185"/>
      <c r="AN49" s="1185"/>
      <c r="AO49" s="1186"/>
      <c r="AP49" s="143"/>
    </row>
    <row r="50" spans="2:42" ht="5.0999999999999996" customHeight="1">
      <c r="B50" s="1210"/>
      <c r="C50" s="142"/>
      <c r="D50" s="45"/>
      <c r="E50" s="9"/>
      <c r="F50" s="9"/>
      <c r="G50" s="9"/>
      <c r="H50" s="9"/>
      <c r="I50" s="9"/>
      <c r="J50" s="9"/>
      <c r="K50" s="9"/>
      <c r="L50" s="9"/>
      <c r="M50" s="9"/>
      <c r="N50" s="9"/>
      <c r="O50" s="9"/>
      <c r="P50" s="9"/>
      <c r="Q50" s="9"/>
      <c r="R50" s="1231"/>
      <c r="S50" s="1231"/>
      <c r="T50" s="9"/>
      <c r="U50" s="143"/>
      <c r="Y50" s="142"/>
      <c r="Z50" s="1184"/>
      <c r="AA50" s="1185"/>
      <c r="AB50" s="1185"/>
      <c r="AC50" s="1185"/>
      <c r="AD50" s="1185"/>
      <c r="AE50" s="1185"/>
      <c r="AF50" s="1185"/>
      <c r="AG50" s="1185"/>
      <c r="AH50" s="1185"/>
      <c r="AI50" s="1185"/>
      <c r="AJ50" s="1185"/>
      <c r="AK50" s="1185"/>
      <c r="AL50" s="1185"/>
      <c r="AM50" s="1185"/>
      <c r="AN50" s="1185"/>
      <c r="AO50" s="1186"/>
      <c r="AP50" s="143"/>
    </row>
    <row r="51" spans="2:42">
      <c r="B51" s="1210"/>
      <c r="C51" s="142"/>
      <c r="D51" s="541" t="s">
        <v>111</v>
      </c>
      <c r="E51" s="699"/>
      <c r="F51" s="699"/>
      <c r="G51" s="699"/>
      <c r="H51" s="699"/>
      <c r="I51" s="1190"/>
      <c r="J51" s="1191"/>
      <c r="K51" s="699"/>
      <c r="L51" s="699"/>
      <c r="M51" s="146" t="s">
        <v>112</v>
      </c>
      <c r="N51" s="9"/>
      <c r="O51" s="9"/>
      <c r="P51" s="9"/>
      <c r="Q51" s="9"/>
      <c r="R51" s="1231"/>
      <c r="S51" s="1231"/>
      <c r="T51" s="9"/>
      <c r="U51" s="143"/>
      <c r="Y51" s="142"/>
      <c r="Z51" s="1184"/>
      <c r="AA51" s="1185"/>
      <c r="AB51" s="1185"/>
      <c r="AC51" s="1185"/>
      <c r="AD51" s="1185"/>
      <c r="AE51" s="1185"/>
      <c r="AF51" s="1185"/>
      <c r="AG51" s="1185"/>
      <c r="AH51" s="1185"/>
      <c r="AI51" s="1185"/>
      <c r="AJ51" s="1185"/>
      <c r="AK51" s="1185"/>
      <c r="AL51" s="1185"/>
      <c r="AM51" s="1185"/>
      <c r="AN51" s="1185"/>
      <c r="AO51" s="1186"/>
      <c r="AP51" s="143"/>
    </row>
    <row r="52" spans="2:42" ht="5.0999999999999996" customHeight="1">
      <c r="B52" s="1210"/>
      <c r="C52" s="142"/>
      <c r="D52" s="9"/>
      <c r="E52" s="9"/>
      <c r="F52" s="9"/>
      <c r="G52" s="9"/>
      <c r="H52" s="9"/>
      <c r="I52" s="9"/>
      <c r="J52" s="9"/>
      <c r="K52" s="9"/>
      <c r="L52" s="9"/>
      <c r="M52" s="9"/>
      <c r="N52" s="9"/>
      <c r="O52" s="9"/>
      <c r="P52" s="9"/>
      <c r="Q52" s="9"/>
      <c r="R52" s="9"/>
      <c r="S52" s="9"/>
      <c r="T52" s="9"/>
      <c r="U52" s="143"/>
      <c r="Y52" s="142"/>
      <c r="Z52" s="1184"/>
      <c r="AA52" s="1185"/>
      <c r="AB52" s="1185"/>
      <c r="AC52" s="1185"/>
      <c r="AD52" s="1185"/>
      <c r="AE52" s="1185"/>
      <c r="AF52" s="1185"/>
      <c r="AG52" s="1185"/>
      <c r="AH52" s="1185"/>
      <c r="AI52" s="1185"/>
      <c r="AJ52" s="1185"/>
      <c r="AK52" s="1185"/>
      <c r="AL52" s="1185"/>
      <c r="AM52" s="1185"/>
      <c r="AN52" s="1185"/>
      <c r="AO52" s="1186"/>
      <c r="AP52" s="143"/>
    </row>
    <row r="53" spans="2:42">
      <c r="B53" s="1210"/>
      <c r="C53" s="142"/>
      <c r="D53" s="9"/>
      <c r="E53" s="478"/>
      <c r="F53" s="1175" t="s">
        <v>113</v>
      </c>
      <c r="G53" s="1175"/>
      <c r="H53" s="1175"/>
      <c r="I53" s="1175"/>
      <c r="J53" s="1175"/>
      <c r="K53" s="1175"/>
      <c r="L53" s="1175"/>
      <c r="M53" s="9"/>
      <c r="N53" s="9"/>
      <c r="O53" s="9"/>
      <c r="P53" s="9"/>
      <c r="Q53" s="9"/>
      <c r="R53" s="1176">
        <f>IFERROR(ROUND((SUM(E55:L55)*52)-((E53-1)*AVERAGE(F55:K55)),0),0)</f>
        <v>0</v>
      </c>
      <c r="S53" s="1177"/>
      <c r="T53" s="9"/>
      <c r="U53" s="143"/>
      <c r="Y53" s="142"/>
      <c r="Z53" s="1184"/>
      <c r="AA53" s="1185"/>
      <c r="AB53" s="1185"/>
      <c r="AC53" s="1185"/>
      <c r="AD53" s="1185"/>
      <c r="AE53" s="1185"/>
      <c r="AF53" s="1185"/>
      <c r="AG53" s="1185"/>
      <c r="AH53" s="1185"/>
      <c r="AI53" s="1185"/>
      <c r="AJ53" s="1185"/>
      <c r="AK53" s="1185"/>
      <c r="AL53" s="1185"/>
      <c r="AM53" s="1185"/>
      <c r="AN53" s="1185"/>
      <c r="AO53" s="1186"/>
      <c r="AP53" s="143"/>
    </row>
    <row r="54" spans="2:42">
      <c r="B54" s="1210"/>
      <c r="C54" s="142"/>
      <c r="D54" s="9"/>
      <c r="E54" s="9"/>
      <c r="F54" s="1175"/>
      <c r="G54" s="1175"/>
      <c r="H54" s="1175"/>
      <c r="I54" s="1175"/>
      <c r="J54" s="1175"/>
      <c r="K54" s="1175"/>
      <c r="L54" s="1175"/>
      <c r="M54" s="9"/>
      <c r="N54" s="9"/>
      <c r="O54" s="9"/>
      <c r="P54" s="9"/>
      <c r="Q54" s="9"/>
      <c r="R54" s="9"/>
      <c r="S54" s="9"/>
      <c r="T54" s="9"/>
      <c r="U54" s="143"/>
      <c r="Y54" s="142"/>
      <c r="Z54" s="1187"/>
      <c r="AA54" s="1188"/>
      <c r="AB54" s="1188"/>
      <c r="AC54" s="1188"/>
      <c r="AD54" s="1188"/>
      <c r="AE54" s="1188"/>
      <c r="AF54" s="1188"/>
      <c r="AG54" s="1188"/>
      <c r="AH54" s="1188"/>
      <c r="AI54" s="1188"/>
      <c r="AJ54" s="1188"/>
      <c r="AK54" s="1188"/>
      <c r="AL54" s="1188"/>
      <c r="AM54" s="1188"/>
      <c r="AN54" s="1188"/>
      <c r="AO54" s="1189"/>
      <c r="AP54" s="143"/>
    </row>
    <row r="55" spans="2:42" ht="5.0999999999999996" customHeight="1">
      <c r="B55" s="1210"/>
      <c r="C55" s="148"/>
      <c r="D55" s="166"/>
      <c r="E55" s="540">
        <f t="shared" ref="E55:L55" si="0">IF(AND(E49=0,E51=0),0,IF(OR(E49="",E51=""),"",(12-E49+E51)))</f>
        <v>0</v>
      </c>
      <c r="F55" s="540">
        <f t="shared" si="0"/>
        <v>0</v>
      </c>
      <c r="G55" s="540">
        <f t="shared" si="0"/>
        <v>0</v>
      </c>
      <c r="H55" s="540">
        <f t="shared" si="0"/>
        <v>0</v>
      </c>
      <c r="I55" s="1232">
        <f>IF(AND(I49=0,I51=0),0,IF(OR(I49="",I51=""),"",(12-I49+I51)))</f>
        <v>0</v>
      </c>
      <c r="J55" s="1232"/>
      <c r="K55" s="540">
        <f t="shared" si="0"/>
        <v>0</v>
      </c>
      <c r="L55" s="540">
        <f t="shared" si="0"/>
        <v>0</v>
      </c>
      <c r="M55" s="166"/>
      <c r="N55" s="149"/>
      <c r="O55" s="149"/>
      <c r="P55" s="149"/>
      <c r="Q55" s="149"/>
      <c r="R55" s="149"/>
      <c r="S55" s="149"/>
      <c r="T55" s="149"/>
      <c r="U55" s="150"/>
      <c r="Y55" s="148"/>
      <c r="Z55" s="149"/>
      <c r="AA55" s="149"/>
      <c r="AB55" s="149"/>
      <c r="AC55" s="149"/>
      <c r="AD55" s="149"/>
      <c r="AE55" s="149"/>
      <c r="AF55" s="149"/>
      <c r="AG55" s="149"/>
      <c r="AH55" s="149"/>
      <c r="AI55" s="149"/>
      <c r="AJ55" s="149"/>
      <c r="AK55" s="149"/>
      <c r="AL55" s="149"/>
      <c r="AM55" s="149"/>
      <c r="AN55" s="149"/>
      <c r="AO55" s="149"/>
      <c r="AP55" s="150"/>
    </row>
    <row r="56" spans="2:42" ht="10.050000000000001" customHeight="1" thickBot="1">
      <c r="E56" s="141"/>
      <c r="F56" s="141"/>
      <c r="G56" s="141"/>
      <c r="H56" s="141"/>
      <c r="I56" s="141"/>
      <c r="J56" s="141"/>
      <c r="K56" s="141"/>
      <c r="L56" s="141"/>
    </row>
    <row r="57" spans="2:42" ht="20.399999999999999" thickTop="1">
      <c r="B57" s="1149"/>
      <c r="C57" s="1178" t="s">
        <v>114</v>
      </c>
      <c r="D57" s="1179"/>
      <c r="E57" s="1179"/>
      <c r="F57" s="1179"/>
      <c r="G57" s="1179"/>
      <c r="H57" s="1179"/>
      <c r="I57" s="1179"/>
      <c r="J57" s="1179"/>
      <c r="K57" s="1179"/>
      <c r="L57" s="1179"/>
      <c r="M57" s="1179"/>
      <c r="N57" s="1180"/>
      <c r="P57" s="1149"/>
      <c r="Q57" s="1178" t="s">
        <v>115</v>
      </c>
      <c r="R57" s="1179"/>
      <c r="S57" s="1179"/>
      <c r="T57" s="1179"/>
      <c r="U57" s="1179"/>
      <c r="V57" s="1179"/>
      <c r="W57" s="1179"/>
      <c r="X57" s="1179"/>
      <c r="Y57" s="1179"/>
      <c r="Z57" s="1179"/>
      <c r="AA57" s="1179"/>
      <c r="AB57" s="1179"/>
      <c r="AC57" s="1180"/>
      <c r="AF57" s="1178" t="s">
        <v>116</v>
      </c>
      <c r="AG57" s="1179"/>
      <c r="AH57" s="1179"/>
      <c r="AI57" s="1179"/>
      <c r="AJ57" s="1179"/>
      <c r="AK57" s="1179"/>
      <c r="AL57" s="1179"/>
      <c r="AM57" s="1179"/>
      <c r="AN57" s="1179"/>
      <c r="AO57" s="1179"/>
      <c r="AP57" s="1180"/>
    </row>
    <row r="58" spans="2:42">
      <c r="B58" s="1149"/>
      <c r="C58" s="142"/>
      <c r="D58" s="9"/>
      <c r="E58" s="9"/>
      <c r="F58" s="11"/>
      <c r="G58" s="9"/>
      <c r="H58" s="9"/>
      <c r="I58" s="9"/>
      <c r="J58" s="9"/>
      <c r="K58" s="9"/>
      <c r="L58" s="9"/>
      <c r="M58" s="9"/>
      <c r="N58" s="143"/>
      <c r="P58" s="1149"/>
      <c r="Q58" s="618"/>
      <c r="R58" s="11"/>
      <c r="S58" s="11"/>
      <c r="T58" s="11"/>
      <c r="U58" s="11"/>
      <c r="V58" s="9"/>
      <c r="W58" s="9"/>
      <c r="X58" s="9"/>
      <c r="Y58" s="9"/>
      <c r="Z58" s="9"/>
      <c r="AA58" s="9"/>
      <c r="AB58" s="9"/>
      <c r="AC58" s="143"/>
      <c r="AF58" s="142"/>
      <c r="AG58" s="9"/>
      <c r="AH58" s="9"/>
      <c r="AI58" s="9"/>
      <c r="AJ58" s="9"/>
      <c r="AK58" s="9"/>
      <c r="AL58" s="9"/>
      <c r="AM58" s="9"/>
      <c r="AN58" s="9"/>
      <c r="AO58" s="9"/>
      <c r="AP58" s="143"/>
    </row>
    <row r="59" spans="2:42">
      <c r="B59" s="1149"/>
      <c r="C59" s="142"/>
      <c r="D59" s="9"/>
      <c r="E59" s="9"/>
      <c r="F59" s="9"/>
      <c r="G59" s="161" t="s">
        <v>117</v>
      </c>
      <c r="H59" s="1228" t="s">
        <v>1473</v>
      </c>
      <c r="I59" s="1228"/>
      <c r="J59" s="1228"/>
      <c r="K59" s="1228"/>
      <c r="L59" s="1228"/>
      <c r="M59" s="1229"/>
      <c r="N59" s="143"/>
      <c r="O59" s="348">
        <f>IFERROR(VLOOKUP(H59,Lookup_Submitter_Number,2,FALSE),0)</f>
        <v>0</v>
      </c>
      <c r="P59" s="1149"/>
      <c r="Q59" s="142"/>
      <c r="R59" s="9"/>
      <c r="S59" s="9"/>
      <c r="T59" s="161" t="s">
        <v>118</v>
      </c>
      <c r="U59" s="1227" t="s">
        <v>1402</v>
      </c>
      <c r="V59" s="1228"/>
      <c r="W59" s="1228"/>
      <c r="X59" s="1228"/>
      <c r="Y59" s="1228"/>
      <c r="Z59" s="1228"/>
      <c r="AA59" s="1228"/>
      <c r="AB59" s="1229"/>
      <c r="AC59" s="143">
        <f>IF(OR(AD59=1,AD59=2,AND(O59=2,AD59=2),AND(O59=3,AD59=3)),1,0)</f>
        <v>0</v>
      </c>
      <c r="AD59" s="348">
        <f>IFERROR(VLOOKUP(U59,Lookup_Installer_Number,2,FALSE),0)</f>
        <v>0</v>
      </c>
      <c r="AF59" s="142"/>
      <c r="AG59" s="9"/>
      <c r="AH59" s="9"/>
      <c r="AI59" s="9"/>
      <c r="AJ59" s="9"/>
      <c r="AK59" s="45"/>
      <c r="AL59" s="381"/>
      <c r="AM59" s="381"/>
      <c r="AN59" s="381"/>
      <c r="AO59" s="381"/>
      <c r="AP59" s="143"/>
    </row>
    <row r="60" spans="2:42" ht="5.0999999999999996" customHeight="1">
      <c r="B60" s="1149"/>
      <c r="C60" s="142"/>
      <c r="D60" s="9"/>
      <c r="E60" s="9"/>
      <c r="F60" s="9"/>
      <c r="G60" s="9"/>
      <c r="H60" s="9"/>
      <c r="I60" s="9"/>
      <c r="J60" s="11"/>
      <c r="K60" s="9"/>
      <c r="L60" s="9"/>
      <c r="M60" s="9"/>
      <c r="N60" s="143"/>
      <c r="P60" s="1149"/>
      <c r="Q60" s="142"/>
      <c r="R60" s="9"/>
      <c r="S60" s="9"/>
      <c r="T60" s="9"/>
      <c r="U60" s="11"/>
      <c r="V60" s="11"/>
      <c r="W60" s="11"/>
      <c r="X60" s="11"/>
      <c r="Y60" s="11"/>
      <c r="Z60" s="9"/>
      <c r="AA60" s="9"/>
      <c r="AB60" s="9"/>
      <c r="AC60" s="143"/>
      <c r="AF60" s="142"/>
      <c r="AG60" s="9"/>
      <c r="AH60" s="9"/>
      <c r="AI60" s="9"/>
      <c r="AJ60" s="9"/>
      <c r="AK60" s="9"/>
      <c r="AL60" s="9"/>
      <c r="AM60" s="9"/>
      <c r="AN60" s="9"/>
      <c r="AO60" s="9"/>
      <c r="AP60" s="143"/>
    </row>
    <row r="61" spans="2:42" ht="14.95" customHeight="1">
      <c r="B61" s="1149"/>
      <c r="C61" s="142"/>
      <c r="D61" s="9"/>
      <c r="E61" s="1230" t="str">
        <f>IF(O59=0,"Select, in the box above, the company submitting the Business Lighting Application",IF(O59=1,"Owner info will be used",IF(AD59=2,"Enter Information below",IF(O59=3,"Enter information in the ""Lighting Installed by?"" section at right",""))))</f>
        <v>Select, in the box above, the company submitting the Business Lighting Application</v>
      </c>
      <c r="F61" s="1230"/>
      <c r="G61" s="1230"/>
      <c r="H61" s="1230"/>
      <c r="I61" s="1230"/>
      <c r="J61" s="1230"/>
      <c r="K61" s="1230"/>
      <c r="L61" s="1230"/>
      <c r="M61" s="1230"/>
      <c r="N61" s="143"/>
      <c r="P61" s="1149"/>
      <c r="Q61" s="142"/>
      <c r="R61" s="1230" t="str">
        <f>IF(AD59=0,"Select, in the box above, the company installing the lighting",IF(AD59=1,"Lighting is self installed by the customer",IF(AD59=2,"Installing Contractor is the same as Submitting Company",IF(O59&lt;&gt;AD59,"Enter Installing Contractor info below","Installing Contractor is the same as Submitting Company"))))</f>
        <v>Select, in the box above, the company installing the lighting</v>
      </c>
      <c r="S61" s="1230"/>
      <c r="T61" s="1230"/>
      <c r="U61" s="1230"/>
      <c r="V61" s="1230"/>
      <c r="W61" s="1230"/>
      <c r="X61" s="1230"/>
      <c r="Y61" s="1230"/>
      <c r="Z61" s="1230"/>
      <c r="AA61" s="1230"/>
      <c r="AB61" s="1230"/>
      <c r="AC61" s="143"/>
      <c r="AF61" s="142"/>
      <c r="AG61" s="9"/>
      <c r="AH61" s="9"/>
      <c r="AI61" s="9"/>
      <c r="AJ61" s="9"/>
      <c r="AK61" s="9"/>
      <c r="AL61" s="9"/>
      <c r="AM61" s="9"/>
      <c r="AN61" s="9"/>
      <c r="AO61" s="626" t="s">
        <v>2047</v>
      </c>
      <c r="AP61" s="143"/>
    </row>
    <row r="62" spans="2:42">
      <c r="B62" s="1149"/>
      <c r="C62" s="142"/>
      <c r="D62" s="623"/>
      <c r="E62" s="1230"/>
      <c r="F62" s="1230"/>
      <c r="G62" s="1230"/>
      <c r="H62" s="1230"/>
      <c r="I62" s="1230"/>
      <c r="J62" s="1230"/>
      <c r="K62" s="1230"/>
      <c r="L62" s="1230"/>
      <c r="M62" s="1230"/>
      <c r="N62" s="143"/>
      <c r="P62" s="1149"/>
      <c r="Q62" s="142"/>
      <c r="R62" s="1230"/>
      <c r="S62" s="1230"/>
      <c r="T62" s="1230"/>
      <c r="U62" s="1230"/>
      <c r="V62" s="1230"/>
      <c r="W62" s="1230"/>
      <c r="X62" s="1230"/>
      <c r="Y62" s="1230"/>
      <c r="Z62" s="1230"/>
      <c r="AA62" s="1230"/>
      <c r="AB62" s="1230"/>
      <c r="AC62" s="143"/>
      <c r="AF62" s="142"/>
      <c r="AG62" s="158"/>
      <c r="AH62" s="158"/>
      <c r="AI62" s="163"/>
      <c r="AJ62" s="163"/>
      <c r="AK62" s="163"/>
      <c r="AL62" s="163"/>
      <c r="AM62" s="9"/>
      <c r="AN62" s="9"/>
      <c r="AO62" s="11"/>
      <c r="AP62" s="143"/>
    </row>
    <row r="63" spans="2:42">
      <c r="B63" s="1149"/>
      <c r="C63" s="142"/>
      <c r="D63" s="9"/>
      <c r="E63" s="9"/>
      <c r="F63" s="9"/>
      <c r="G63" s="619" t="s">
        <v>71</v>
      </c>
      <c r="H63" s="1221"/>
      <c r="I63" s="1222"/>
      <c r="J63" s="1222"/>
      <c r="K63" s="1222"/>
      <c r="L63" s="1222"/>
      <c r="M63" s="1223"/>
      <c r="N63" s="143"/>
      <c r="P63" s="1149"/>
      <c r="Q63" s="142"/>
      <c r="R63" s="9"/>
      <c r="S63" s="9"/>
      <c r="T63" s="619" t="s">
        <v>120</v>
      </c>
      <c r="U63" s="1221"/>
      <c r="V63" s="1222"/>
      <c r="W63" s="1222"/>
      <c r="X63" s="1222"/>
      <c r="Y63" s="1222"/>
      <c r="Z63" s="1222"/>
      <c r="AA63" s="1222"/>
      <c r="AB63" s="1223"/>
      <c r="AC63" s="143"/>
      <c r="AF63" s="142"/>
      <c r="AG63" s="9"/>
      <c r="AH63" s="9"/>
      <c r="AI63" s="619" t="s">
        <v>71</v>
      </c>
      <c r="AJ63" s="1221"/>
      <c r="AK63" s="1222"/>
      <c r="AL63" s="1222"/>
      <c r="AM63" s="1222"/>
      <c r="AN63" s="1222"/>
      <c r="AO63" s="1223"/>
      <c r="AP63" s="143"/>
    </row>
    <row r="64" spans="2:42" ht="5.0999999999999996" customHeight="1">
      <c r="B64" s="1149"/>
      <c r="C64" s="142"/>
      <c r="D64" s="9"/>
      <c r="E64" s="9"/>
      <c r="F64" s="9"/>
      <c r="G64" s="152"/>
      <c r="H64" s="9"/>
      <c r="I64" s="9"/>
      <c r="J64" s="11"/>
      <c r="K64" s="9"/>
      <c r="L64" s="158"/>
      <c r="M64" s="158"/>
      <c r="N64" s="143"/>
      <c r="P64" s="1149"/>
      <c r="Q64" s="142"/>
      <c r="R64" s="9"/>
      <c r="S64" s="9"/>
      <c r="T64" s="152"/>
      <c r="U64" s="9"/>
      <c r="V64" s="9"/>
      <c r="W64" s="9"/>
      <c r="X64" s="9"/>
      <c r="Y64" s="9"/>
      <c r="Z64" s="9"/>
      <c r="AA64" s="158"/>
      <c r="AB64" s="158"/>
      <c r="AC64" s="143"/>
      <c r="AF64" s="142"/>
      <c r="AG64" s="9"/>
      <c r="AH64" s="9"/>
      <c r="AI64" s="152"/>
      <c r="AJ64" s="9"/>
      <c r="AK64" s="9"/>
      <c r="AL64" s="9"/>
      <c r="AN64" s="11"/>
      <c r="AO64" s="9"/>
      <c r="AP64" s="143"/>
    </row>
    <row r="65" spans="2:59">
      <c r="B65" s="1149"/>
      <c r="C65" s="142"/>
      <c r="D65" s="9"/>
      <c r="E65" s="9"/>
      <c r="F65" s="9"/>
      <c r="G65" s="619" t="s">
        <v>121</v>
      </c>
      <c r="H65" s="1221"/>
      <c r="I65" s="1222"/>
      <c r="J65" s="1222"/>
      <c r="K65" s="1222"/>
      <c r="L65" s="1222"/>
      <c r="M65" s="1223"/>
      <c r="N65" s="143"/>
      <c r="P65" s="1149"/>
      <c r="Q65" s="142"/>
      <c r="R65" s="9"/>
      <c r="S65" s="9"/>
      <c r="T65" s="619" t="s">
        <v>121</v>
      </c>
      <c r="U65" s="1221"/>
      <c r="V65" s="1222"/>
      <c r="W65" s="1222"/>
      <c r="X65" s="1222"/>
      <c r="Y65" s="1222"/>
      <c r="Z65" s="1222"/>
      <c r="AA65" s="1222"/>
      <c r="AB65" s="1223"/>
      <c r="AC65" s="143"/>
      <c r="AF65" s="142"/>
      <c r="AG65" s="9"/>
      <c r="AH65" s="9"/>
      <c r="AI65" s="619" t="s">
        <v>122</v>
      </c>
      <c r="AJ65" s="1221"/>
      <c r="AK65" s="1222"/>
      <c r="AL65" s="1222"/>
      <c r="AM65" s="1222"/>
      <c r="AN65" s="1222"/>
      <c r="AO65" s="1223"/>
      <c r="AP65" s="143"/>
    </row>
    <row r="66" spans="2:59" ht="5.0999999999999996" customHeight="1">
      <c r="B66" s="1149"/>
      <c r="C66" s="142"/>
      <c r="D66" s="9"/>
      <c r="E66" s="9"/>
      <c r="F66" s="9"/>
      <c r="G66" s="152"/>
      <c r="H66" s="9"/>
      <c r="I66" s="9"/>
      <c r="J66" s="162"/>
      <c r="K66" s="9"/>
      <c r="L66" s="158"/>
      <c r="M66" s="158"/>
      <c r="N66" s="143"/>
      <c r="P66" s="1149"/>
      <c r="Q66" s="142"/>
      <c r="R66" s="9"/>
      <c r="S66" s="9"/>
      <c r="T66" s="9"/>
      <c r="U66" s="9"/>
      <c r="V66" s="9"/>
      <c r="W66" s="9"/>
      <c r="X66" s="9"/>
      <c r="Y66" s="9"/>
      <c r="Z66" s="9"/>
      <c r="AA66" s="158"/>
      <c r="AB66" s="158"/>
      <c r="AC66" s="143"/>
      <c r="AF66" s="142"/>
      <c r="AG66" s="9"/>
      <c r="AH66" s="9"/>
      <c r="AI66" s="152"/>
      <c r="AJ66" s="164"/>
      <c r="AK66" s="164"/>
      <c r="AL66" s="9"/>
      <c r="AN66" s="11"/>
      <c r="AO66" s="9"/>
      <c r="AP66" s="143"/>
    </row>
    <row r="67" spans="2:59">
      <c r="B67" s="1149"/>
      <c r="C67" s="142"/>
      <c r="D67" s="9"/>
      <c r="E67" s="9"/>
      <c r="F67" s="9"/>
      <c r="G67" s="619" t="s">
        <v>77</v>
      </c>
      <c r="H67" s="1221"/>
      <c r="I67" s="1222"/>
      <c r="J67" s="1222"/>
      <c r="K67" s="1222"/>
      <c r="L67" s="1222"/>
      <c r="M67" s="1223"/>
      <c r="N67" s="143"/>
      <c r="P67" s="1149"/>
      <c r="Q67" s="142"/>
      <c r="R67" s="9"/>
      <c r="S67" s="9"/>
      <c r="T67" s="619" t="s">
        <v>77</v>
      </c>
      <c r="U67" s="1221"/>
      <c r="V67" s="1222"/>
      <c r="W67" s="1222"/>
      <c r="X67" s="1222"/>
      <c r="Y67" s="1222"/>
      <c r="Z67" s="1222"/>
      <c r="AA67" s="1222"/>
      <c r="AB67" s="1223"/>
      <c r="AC67" s="143"/>
      <c r="AF67" s="142"/>
      <c r="AG67" s="9"/>
      <c r="AH67" s="9"/>
      <c r="AI67" s="619" t="s">
        <v>77</v>
      </c>
      <c r="AJ67" s="1221"/>
      <c r="AK67" s="1222"/>
      <c r="AL67" s="1222"/>
      <c r="AM67" s="1222"/>
      <c r="AN67" s="1222"/>
      <c r="AO67" s="1223"/>
      <c r="AP67" s="143"/>
    </row>
    <row r="68" spans="2:59" ht="5.0999999999999996" customHeight="1">
      <c r="B68" s="1149"/>
      <c r="C68" s="142"/>
      <c r="D68" s="9"/>
      <c r="E68" s="9"/>
      <c r="F68" s="9"/>
      <c r="G68" s="619"/>
      <c r="H68" s="9"/>
      <c r="I68" s="9"/>
      <c r="J68" s="11"/>
      <c r="K68" s="9"/>
      <c r="L68" s="158"/>
      <c r="M68" s="158"/>
      <c r="N68" s="143"/>
      <c r="P68" s="1149"/>
      <c r="Q68" s="142"/>
      <c r="R68" s="9"/>
      <c r="S68" s="9"/>
      <c r="T68" s="9"/>
      <c r="U68" s="9"/>
      <c r="V68" s="9"/>
      <c r="W68" s="9"/>
      <c r="X68" s="9"/>
      <c r="Y68" s="9"/>
      <c r="Z68" s="9"/>
      <c r="AA68" s="158"/>
      <c r="AB68" s="158"/>
      <c r="AC68" s="143"/>
      <c r="AF68" s="142"/>
      <c r="AG68" s="9"/>
      <c r="AH68" s="9"/>
      <c r="AI68" s="619"/>
      <c r="AJ68" s="165"/>
      <c r="AK68" s="165"/>
      <c r="AL68" s="9"/>
      <c r="AN68" s="11"/>
      <c r="AO68" s="9"/>
      <c r="AP68" s="143"/>
    </row>
    <row r="69" spans="2:59">
      <c r="B69" s="1149"/>
      <c r="C69" s="142"/>
      <c r="D69" s="9"/>
      <c r="E69" s="9"/>
      <c r="F69" s="9"/>
      <c r="G69" s="619" t="s">
        <v>123</v>
      </c>
      <c r="H69" s="1224"/>
      <c r="I69" s="1225"/>
      <c r="J69" s="1225"/>
      <c r="K69" s="1225"/>
      <c r="L69" s="1225"/>
      <c r="M69" s="1226"/>
      <c r="N69" s="143"/>
      <c r="P69" s="1149"/>
      <c r="Q69" s="142"/>
      <c r="R69" s="9"/>
      <c r="S69" s="9"/>
      <c r="T69" s="619" t="s">
        <v>123</v>
      </c>
      <c r="U69" s="1224"/>
      <c r="V69" s="1225"/>
      <c r="W69" s="1225"/>
      <c r="X69" s="1225"/>
      <c r="Y69" s="1225"/>
      <c r="Z69" s="1225"/>
      <c r="AA69" s="1225"/>
      <c r="AB69" s="1226"/>
      <c r="AC69" s="143"/>
      <c r="AF69" s="142"/>
      <c r="AG69" s="9"/>
      <c r="AH69" s="9"/>
      <c r="AI69" s="619" t="s">
        <v>123</v>
      </c>
      <c r="AJ69" s="1224"/>
      <c r="AK69" s="1225"/>
      <c r="AL69" s="1225"/>
      <c r="AM69" s="1225"/>
      <c r="AN69" s="1225"/>
      <c r="AO69" s="1226"/>
      <c r="AP69" s="143"/>
    </row>
    <row r="70" spans="2:59" ht="5.0999999999999996" customHeight="1">
      <c r="B70" s="1149"/>
      <c r="C70" s="142"/>
      <c r="D70" s="9"/>
      <c r="E70" s="9"/>
      <c r="F70" s="9"/>
      <c r="G70" s="619"/>
      <c r="H70" s="9"/>
      <c r="I70" s="9"/>
      <c r="J70" s="11"/>
      <c r="K70" s="9"/>
      <c r="L70" s="9"/>
      <c r="M70" s="9"/>
      <c r="N70" s="143"/>
      <c r="P70" s="1149"/>
      <c r="Q70" s="142"/>
      <c r="R70" s="9"/>
      <c r="S70" s="9"/>
      <c r="T70" s="9"/>
      <c r="U70" s="9"/>
      <c r="V70" s="9"/>
      <c r="W70" s="9"/>
      <c r="X70" s="9"/>
      <c r="Y70" s="9"/>
      <c r="Z70" s="9"/>
      <c r="AA70" s="9"/>
      <c r="AB70" s="9"/>
      <c r="AC70" s="143"/>
      <c r="AF70" s="142"/>
      <c r="AG70" s="9"/>
      <c r="AH70" s="9"/>
      <c r="AI70" s="619"/>
      <c r="AJ70" s="165"/>
      <c r="AK70" s="165"/>
      <c r="AL70" s="9"/>
      <c r="AN70" s="11"/>
      <c r="AO70" s="9"/>
      <c r="AP70" s="143"/>
    </row>
    <row r="71" spans="2:59">
      <c r="B71" s="1149"/>
      <c r="C71" s="142"/>
      <c r="D71" s="9"/>
      <c r="E71" s="9"/>
      <c r="F71" s="9"/>
      <c r="G71" s="619" t="s">
        <v>86</v>
      </c>
      <c r="H71" s="1221"/>
      <c r="I71" s="1222"/>
      <c r="J71" s="1222"/>
      <c r="K71" s="1222"/>
      <c r="L71" s="1222"/>
      <c r="M71" s="1223"/>
      <c r="N71" s="143"/>
      <c r="P71" s="1149"/>
      <c r="Q71" s="142"/>
      <c r="R71" s="9"/>
      <c r="S71" s="9"/>
      <c r="T71" s="619" t="s">
        <v>86</v>
      </c>
      <c r="U71" s="1221"/>
      <c r="V71" s="1222"/>
      <c r="W71" s="1222"/>
      <c r="X71" s="1222"/>
      <c r="Y71" s="1222"/>
      <c r="Z71" s="1222"/>
      <c r="AA71" s="1222"/>
      <c r="AB71" s="1223"/>
      <c r="AC71" s="143"/>
      <c r="AF71" s="142"/>
      <c r="AG71" s="9"/>
      <c r="AH71" s="9"/>
      <c r="AI71" s="619" t="s">
        <v>86</v>
      </c>
      <c r="AJ71" s="1221"/>
      <c r="AK71" s="1222"/>
      <c r="AL71" s="1222"/>
      <c r="AM71" s="1222"/>
      <c r="AN71" s="1222"/>
      <c r="AO71" s="1223"/>
      <c r="AP71" s="143"/>
    </row>
    <row r="72" spans="2:59" ht="5.0999999999999996" customHeight="1">
      <c r="B72" s="1149"/>
      <c r="C72" s="142"/>
      <c r="D72" s="9"/>
      <c r="E72" s="9"/>
      <c r="F72" s="9"/>
      <c r="G72" s="619"/>
      <c r="H72" s="9"/>
      <c r="I72" s="9"/>
      <c r="J72" s="11"/>
      <c r="K72" s="9"/>
      <c r="L72" s="9"/>
      <c r="M72" s="9"/>
      <c r="N72" s="143"/>
      <c r="P72" s="1149"/>
      <c r="Q72" s="142"/>
      <c r="R72" s="9"/>
      <c r="S72" s="9"/>
      <c r="T72" s="11"/>
      <c r="U72" s="11"/>
      <c r="V72" s="11"/>
      <c r="W72" s="11"/>
      <c r="X72" s="11"/>
      <c r="Y72" s="11"/>
      <c r="Z72" s="9"/>
      <c r="AA72" s="9"/>
      <c r="AB72" s="9"/>
      <c r="AC72" s="143"/>
      <c r="AF72" s="142"/>
      <c r="AG72" s="9"/>
      <c r="AH72" s="9"/>
      <c r="AI72" s="619"/>
      <c r="AJ72" s="165"/>
      <c r="AK72" s="165"/>
      <c r="AL72" s="9"/>
      <c r="AN72" s="11"/>
      <c r="AO72" s="9"/>
      <c r="AP72" s="143"/>
    </row>
    <row r="73" spans="2:59">
      <c r="B73" s="1149"/>
      <c r="C73" s="142"/>
      <c r="D73" s="9"/>
      <c r="E73" s="9"/>
      <c r="F73" s="9"/>
      <c r="G73" s="619" t="s">
        <v>88</v>
      </c>
      <c r="H73" s="1221"/>
      <c r="I73" s="1222"/>
      <c r="J73" s="1222"/>
      <c r="K73" s="1222"/>
      <c r="L73" s="1222"/>
      <c r="M73" s="1223"/>
      <c r="N73" s="143"/>
      <c r="P73" s="1149"/>
      <c r="Q73" s="142"/>
      <c r="R73" s="9"/>
      <c r="S73" s="9"/>
      <c r="T73" s="619" t="s">
        <v>88</v>
      </c>
      <c r="U73" s="1221"/>
      <c r="V73" s="1222"/>
      <c r="W73" s="1222"/>
      <c r="X73" s="1222"/>
      <c r="Y73" s="1222"/>
      <c r="Z73" s="1222"/>
      <c r="AA73" s="1222"/>
      <c r="AB73" s="1223"/>
      <c r="AC73" s="143"/>
      <c r="AF73" s="142"/>
      <c r="AG73" s="9"/>
      <c r="AH73" s="9"/>
      <c r="AI73" s="619" t="s">
        <v>88</v>
      </c>
      <c r="AJ73" s="1221"/>
      <c r="AK73" s="1222"/>
      <c r="AL73" s="1222"/>
      <c r="AM73" s="1222"/>
      <c r="AN73" s="1222"/>
      <c r="AO73" s="1223"/>
      <c r="AP73" s="143"/>
    </row>
    <row r="74" spans="2:59" ht="5.0999999999999996" customHeight="1">
      <c r="B74" s="1149"/>
      <c r="C74" s="142"/>
      <c r="D74" s="9"/>
      <c r="E74" s="9"/>
      <c r="F74" s="9"/>
      <c r="G74" s="619"/>
      <c r="H74" s="9"/>
      <c r="I74" s="9"/>
      <c r="J74" s="11"/>
      <c r="K74" s="9"/>
      <c r="L74" s="9"/>
      <c r="M74" s="9"/>
      <c r="N74" s="143"/>
      <c r="P74" s="1149"/>
      <c r="Q74" s="142"/>
      <c r="R74" s="9"/>
      <c r="S74" s="9"/>
      <c r="T74" s="619"/>
      <c r="U74" s="9"/>
      <c r="V74" s="9"/>
      <c r="W74" s="9"/>
      <c r="X74" s="9"/>
      <c r="Y74" s="9"/>
      <c r="Z74" s="9"/>
      <c r="AA74" s="9"/>
      <c r="AB74" s="9"/>
      <c r="AC74" s="143"/>
      <c r="AF74" s="142"/>
      <c r="AG74" s="9"/>
      <c r="AH74" s="9"/>
      <c r="AI74" s="619"/>
      <c r="AJ74" s="700"/>
      <c r="AK74" s="700"/>
      <c r="AL74" s="9"/>
      <c r="AM74" s="9"/>
      <c r="AN74" s="11"/>
      <c r="AO74" s="11"/>
      <c r="AP74" s="143"/>
    </row>
    <row r="75" spans="2:59">
      <c r="B75" s="1149"/>
      <c r="C75" s="142"/>
      <c r="D75" s="9"/>
      <c r="E75" s="9"/>
      <c r="F75" s="9"/>
      <c r="G75" s="619" t="s">
        <v>91</v>
      </c>
      <c r="H75" s="390"/>
      <c r="I75" s="9"/>
      <c r="J75" s="9"/>
      <c r="K75" s="620" t="s">
        <v>94</v>
      </c>
      <c r="L75" s="1219"/>
      <c r="M75" s="1220"/>
      <c r="N75" s="143"/>
      <c r="P75" s="1149"/>
      <c r="Q75" s="142"/>
      <c r="R75" s="9"/>
      <c r="S75" s="9"/>
      <c r="T75" s="619" t="s">
        <v>91</v>
      </c>
      <c r="U75" s="390"/>
      <c r="V75" s="9"/>
      <c r="W75" s="390"/>
      <c r="X75" s="539"/>
      <c r="Y75" s="9"/>
      <c r="Z75" s="620" t="s">
        <v>94</v>
      </c>
      <c r="AA75" s="1219"/>
      <c r="AB75" s="1220"/>
      <c r="AC75" s="143"/>
      <c r="AF75" s="142"/>
      <c r="AG75" s="9"/>
      <c r="AH75" s="9"/>
      <c r="AI75" s="619" t="s">
        <v>91</v>
      </c>
      <c r="AJ75" s="390"/>
      <c r="AK75" s="9"/>
      <c r="AL75" s="9"/>
      <c r="AM75" s="620" t="s">
        <v>94</v>
      </c>
      <c r="AN75" s="1219"/>
      <c r="AO75" s="1220"/>
      <c r="AP75" s="143"/>
    </row>
    <row r="76" spans="2:59" ht="5.0999999999999996" customHeight="1">
      <c r="B76" s="1149"/>
      <c r="C76" s="148"/>
      <c r="D76" s="149"/>
      <c r="E76" s="149"/>
      <c r="F76" s="149"/>
      <c r="G76" s="149"/>
      <c r="H76" s="149"/>
      <c r="I76" s="149"/>
      <c r="J76" s="149"/>
      <c r="K76" s="149"/>
      <c r="L76" s="149"/>
      <c r="M76" s="149"/>
      <c r="N76" s="150"/>
      <c r="P76" s="1149"/>
      <c r="Q76" s="148"/>
      <c r="R76" s="149"/>
      <c r="S76" s="149"/>
      <c r="T76" s="149"/>
      <c r="U76" s="149"/>
      <c r="V76" s="149"/>
      <c r="W76" s="149"/>
      <c r="X76" s="149"/>
      <c r="Y76" s="149"/>
      <c r="Z76" s="149"/>
      <c r="AA76" s="149"/>
      <c r="AB76" s="149"/>
      <c r="AC76" s="150"/>
      <c r="AF76" s="148"/>
      <c r="AG76" s="149"/>
      <c r="AH76" s="149"/>
      <c r="AI76" s="149"/>
      <c r="AJ76" s="149"/>
      <c r="AK76" s="149"/>
      <c r="AL76" s="149"/>
      <c r="AM76" s="149"/>
      <c r="AN76" s="149"/>
      <c r="AO76" s="166"/>
      <c r="AP76" s="150"/>
    </row>
    <row r="77" spans="2:59">
      <c r="B77" s="1149"/>
      <c r="P77" s="1149"/>
    </row>
    <row r="78" spans="2:59" ht="5.0999999999999996" customHeight="1">
      <c r="B78" s="1149"/>
      <c r="C78" s="1125"/>
      <c r="D78" s="1126"/>
      <c r="E78" s="1126"/>
      <c r="F78" s="1126"/>
      <c r="G78" s="1126"/>
      <c r="H78" s="1126"/>
      <c r="I78" s="1126"/>
      <c r="J78" s="1126"/>
      <c r="K78" s="1126"/>
      <c r="L78" s="1126"/>
      <c r="M78" s="1126"/>
      <c r="N78" s="1127"/>
      <c r="P78" s="1149"/>
      <c r="Q78" s="1125"/>
      <c r="R78" s="1126"/>
      <c r="S78" s="1126"/>
      <c r="T78" s="1126"/>
      <c r="U78" s="1126"/>
      <c r="V78" s="1126"/>
      <c r="W78" s="1126"/>
      <c r="X78" s="1126"/>
      <c r="Y78" s="1126"/>
      <c r="Z78" s="1126"/>
      <c r="AA78" s="1126"/>
      <c r="AB78" s="1126"/>
      <c r="AC78" s="1127"/>
    </row>
    <row r="79" spans="2:59" ht="19.7">
      <c r="B79" s="1149"/>
      <c r="C79" s="1128"/>
      <c r="D79" s="1236" t="s">
        <v>2093</v>
      </c>
      <c r="E79" s="1236"/>
      <c r="F79" s="1236"/>
      <c r="G79" s="1236"/>
      <c r="H79" s="1236"/>
      <c r="I79" s="1236"/>
      <c r="J79" s="1236"/>
      <c r="K79" s="1236"/>
      <c r="L79" s="1236"/>
      <c r="M79" s="1236"/>
      <c r="N79" s="1129"/>
      <c r="O79" s="10"/>
      <c r="P79" s="1149"/>
      <c r="Q79" s="1128"/>
      <c r="R79" s="1236" t="s">
        <v>2094</v>
      </c>
      <c r="S79" s="1236"/>
      <c r="T79" s="1236"/>
      <c r="U79" s="1236"/>
      <c r="V79" s="1236"/>
      <c r="W79" s="1236"/>
      <c r="X79" s="1236"/>
      <c r="Y79" s="1236"/>
      <c r="Z79" s="1236"/>
      <c r="AA79" s="1236"/>
      <c r="AB79" s="1236"/>
      <c r="AC79" s="1129"/>
      <c r="BE79" s="388">
        <v>1</v>
      </c>
      <c r="BF79" s="388">
        <v>2</v>
      </c>
      <c r="BG79" s="388">
        <v>3</v>
      </c>
    </row>
    <row r="80" spans="2:59" ht="5.0999999999999996" customHeight="1">
      <c r="B80" s="1149"/>
      <c r="C80" s="1128"/>
      <c r="D80" s="1130"/>
      <c r="E80" s="1130"/>
      <c r="F80" s="1130"/>
      <c r="G80" s="1130"/>
      <c r="H80" s="1130"/>
      <c r="I80" s="1130"/>
      <c r="J80" s="1130"/>
      <c r="K80" s="1130"/>
      <c r="L80" s="1130"/>
      <c r="M80" s="1130"/>
      <c r="N80" s="1129"/>
      <c r="P80" s="1149"/>
      <c r="Q80" s="1128"/>
      <c r="R80" s="1130"/>
      <c r="S80" s="1130"/>
      <c r="T80" s="1130"/>
      <c r="U80" s="1130"/>
      <c r="V80" s="1130"/>
      <c r="W80" s="1130"/>
      <c r="X80" s="1130"/>
      <c r="Y80" s="1130"/>
      <c r="Z80" s="1130"/>
      <c r="AA80" s="1130"/>
      <c r="AB80" s="1130"/>
      <c r="AC80" s="1129"/>
    </row>
    <row r="81" spans="2:59">
      <c r="B81" s="1149"/>
      <c r="C81" s="1128"/>
      <c r="D81" s="1130"/>
      <c r="E81" s="1130"/>
      <c r="F81" s="1130"/>
      <c r="G81" s="1138" t="s">
        <v>71</v>
      </c>
      <c r="H81" s="1237" t="str">
        <f>IF(AND(O59=3,AD59=2),"",IF(O59=0,"",IF(O59=1,AK22,IF(O59=3,U81,IF(O59=4,_Project_8_Vendor,H63)))))</f>
        <v/>
      </c>
      <c r="I81" s="1237"/>
      <c r="J81" s="1237"/>
      <c r="K81" s="1237"/>
      <c r="L81" s="1237"/>
      <c r="M81" s="1238"/>
      <c r="N81" s="1129"/>
      <c r="P81" s="1149"/>
      <c r="Q81" s="1128"/>
      <c r="R81" s="1130"/>
      <c r="S81" s="1130"/>
      <c r="T81" s="1131" t="s">
        <v>120</v>
      </c>
      <c r="U81" s="1237" t="str">
        <f>IF(AND(O59=3,AD59=2),"",IF(AD$59=0,"",IF(AD$59=3,U63,IF(AD$59=1,AK22,H81))))</f>
        <v/>
      </c>
      <c r="V81" s="1237"/>
      <c r="W81" s="1237"/>
      <c r="X81" s="1237"/>
      <c r="Y81" s="1237"/>
      <c r="Z81" s="1237"/>
      <c r="AA81" s="1237"/>
      <c r="AB81" s="1238"/>
      <c r="AC81" s="1129"/>
      <c r="AZ81" s="190"/>
      <c r="BD81" s="1119" t="s">
        <v>400</v>
      </c>
      <c r="BE81" s="1120">
        <f>AK22</f>
        <v>0</v>
      </c>
      <c r="BF81" s="388" t="str">
        <f>H81</f>
        <v/>
      </c>
      <c r="BG81" s="388" t="str">
        <f>U81</f>
        <v/>
      </c>
    </row>
    <row r="82" spans="2:59" ht="5.0999999999999996" customHeight="1">
      <c r="B82" s="1149"/>
      <c r="C82" s="1128"/>
      <c r="D82" s="1130"/>
      <c r="E82" s="1130"/>
      <c r="F82" s="1130"/>
      <c r="G82" s="1138"/>
      <c r="H82" s="1130"/>
      <c r="I82" s="1130"/>
      <c r="J82" s="1130"/>
      <c r="K82" s="1130"/>
      <c r="L82" s="1130"/>
      <c r="M82" s="1130"/>
      <c r="N82" s="1129"/>
      <c r="P82" s="1149"/>
      <c r="Q82" s="1128"/>
      <c r="R82" s="1130"/>
      <c r="S82" s="1130"/>
      <c r="T82" s="1132"/>
      <c r="U82" s="1130"/>
      <c r="V82" s="1130"/>
      <c r="W82" s="1130"/>
      <c r="X82" s="1130"/>
      <c r="Y82" s="1130"/>
      <c r="Z82" s="1130"/>
      <c r="AA82" s="1130"/>
      <c r="AB82" s="1130"/>
      <c r="AC82" s="1129"/>
      <c r="AZ82" s="190"/>
      <c r="BD82" s="1119"/>
      <c r="BE82" s="388"/>
      <c r="BF82" s="388"/>
      <c r="BG82" s="388"/>
    </row>
    <row r="83" spans="2:59">
      <c r="B83" s="1149"/>
      <c r="C83" s="1128"/>
      <c r="D83" s="1130"/>
      <c r="E83" s="1130"/>
      <c r="F83" s="1130"/>
      <c r="G83" s="1138" t="s">
        <v>122</v>
      </c>
      <c r="H83" s="1237" t="str">
        <f>IF(AND(O59=3,AD59=2),"",IF(O59=0,"",IF(O59=1,AK24,IF(O59=3,U83,IF(O59=4,AJ65,H65)))))</f>
        <v/>
      </c>
      <c r="I83" s="1237"/>
      <c r="J83" s="1237"/>
      <c r="K83" s="1237"/>
      <c r="L83" s="1237"/>
      <c r="M83" s="1238"/>
      <c r="N83" s="1129"/>
      <c r="P83" s="1149"/>
      <c r="Q83" s="1128"/>
      <c r="R83" s="1130"/>
      <c r="S83" s="1130"/>
      <c r="T83" s="1131" t="s">
        <v>122</v>
      </c>
      <c r="U83" s="1237" t="str">
        <f>IF(AND(O$59=3,AD$59=2),"",IF(AD$59=0,"",IF(AD$59=3,U65,IF(AD$59=1,AK24,H83))))</f>
        <v/>
      </c>
      <c r="V83" s="1237"/>
      <c r="W83" s="1237"/>
      <c r="X83" s="1237"/>
      <c r="Y83" s="1237"/>
      <c r="Z83" s="1237"/>
      <c r="AA83" s="1237"/>
      <c r="AB83" s="1238"/>
      <c r="AC83" s="1129"/>
      <c r="AZ83" s="190"/>
      <c r="BD83" s="1119" t="s">
        <v>2012</v>
      </c>
      <c r="BE83" s="1120">
        <f>AK24</f>
        <v>0</v>
      </c>
      <c r="BF83" s="388" t="str">
        <f>H83</f>
        <v/>
      </c>
      <c r="BG83" s="388" t="str">
        <f>U83</f>
        <v/>
      </c>
    </row>
    <row r="84" spans="2:59" ht="5.0999999999999996" customHeight="1">
      <c r="B84" s="1149"/>
      <c r="C84" s="1128"/>
      <c r="D84" s="1130"/>
      <c r="E84" s="1130"/>
      <c r="F84" s="1130"/>
      <c r="G84" s="1138"/>
      <c r="H84" s="1130"/>
      <c r="I84" s="1130"/>
      <c r="J84" s="1139"/>
      <c r="K84" s="1130"/>
      <c r="L84" s="1130"/>
      <c r="M84" s="1130"/>
      <c r="N84" s="1129"/>
      <c r="P84" s="1149"/>
      <c r="Q84" s="1128"/>
      <c r="R84" s="1130"/>
      <c r="S84" s="1130"/>
      <c r="T84" s="1130"/>
      <c r="U84" s="1130"/>
      <c r="V84" s="1130"/>
      <c r="W84" s="1130"/>
      <c r="X84" s="1130"/>
      <c r="Y84" s="1130"/>
      <c r="Z84" s="1130"/>
      <c r="AA84" s="1130"/>
      <c r="AB84" s="1130"/>
      <c r="AC84" s="1129"/>
      <c r="AZ84" s="190"/>
      <c r="BD84" s="1119"/>
      <c r="BE84" s="388"/>
      <c r="BF84" s="388"/>
      <c r="BG84" s="388"/>
    </row>
    <row r="85" spans="2:59">
      <c r="B85" s="1149"/>
      <c r="C85" s="1128"/>
      <c r="D85" s="1130"/>
      <c r="E85" s="1130"/>
      <c r="F85" s="1130"/>
      <c r="G85" s="1138" t="s">
        <v>77</v>
      </c>
      <c r="H85" s="1237" t="str">
        <f>IF(AND(O$59=3,AD$59=2),"",IF(O59=0,"",IF(O59=1,AK26,IF(O59=3,U85,IF(O59=4,AJ67,H67)))))</f>
        <v/>
      </c>
      <c r="I85" s="1237"/>
      <c r="J85" s="1237"/>
      <c r="K85" s="1237"/>
      <c r="L85" s="1237"/>
      <c r="M85" s="1238"/>
      <c r="N85" s="1129"/>
      <c r="P85" s="1149"/>
      <c r="Q85" s="1128"/>
      <c r="R85" s="1130"/>
      <c r="S85" s="1130"/>
      <c r="T85" s="1131" t="s">
        <v>77</v>
      </c>
      <c r="U85" s="1237" t="str">
        <f>IF(AND(O$59=3,AD$59=2),"",IF(AD$59=0,"",IF(AD$59=3,U67,IF(AD$59=1,AK26,H85))))</f>
        <v/>
      </c>
      <c r="V85" s="1237"/>
      <c r="W85" s="1237"/>
      <c r="X85" s="1237"/>
      <c r="Y85" s="1237"/>
      <c r="Z85" s="1237"/>
      <c r="AA85" s="1237"/>
      <c r="AB85" s="1238"/>
      <c r="AC85" s="1129"/>
      <c r="AZ85" s="190"/>
      <c r="BD85" s="1119" t="s">
        <v>77</v>
      </c>
      <c r="BE85" s="1120">
        <f>AK26</f>
        <v>0</v>
      </c>
      <c r="BF85" s="388" t="str">
        <f>H85</f>
        <v/>
      </c>
      <c r="BG85" s="388" t="str">
        <f>U85</f>
        <v/>
      </c>
    </row>
    <row r="86" spans="2:59" ht="5.0999999999999996" customHeight="1">
      <c r="B86" s="1149"/>
      <c r="C86" s="1128"/>
      <c r="D86" s="1130"/>
      <c r="E86" s="1130"/>
      <c r="F86" s="1130"/>
      <c r="G86" s="1138"/>
      <c r="H86" s="1130"/>
      <c r="I86" s="1130"/>
      <c r="J86" s="1130"/>
      <c r="K86" s="1130"/>
      <c r="L86" s="1130"/>
      <c r="M86" s="1130"/>
      <c r="N86" s="1129"/>
      <c r="P86" s="1149"/>
      <c r="Q86" s="1128"/>
      <c r="R86" s="1130"/>
      <c r="S86" s="1130"/>
      <c r="T86" s="1130"/>
      <c r="U86" s="1130"/>
      <c r="V86" s="1130"/>
      <c r="W86" s="1130"/>
      <c r="X86" s="1130"/>
      <c r="Y86" s="1130"/>
      <c r="Z86" s="1130"/>
      <c r="AA86" s="1130"/>
      <c r="AB86" s="1130"/>
      <c r="AC86" s="1129"/>
      <c r="AZ86" s="190"/>
      <c r="BA86" s="1115"/>
      <c r="BD86" s="1119"/>
      <c r="BE86" s="388"/>
      <c r="BF86" s="388"/>
      <c r="BG86" s="388"/>
    </row>
    <row r="87" spans="2:59">
      <c r="B87" s="1149"/>
      <c r="C87" s="1128"/>
      <c r="D87" s="1130"/>
      <c r="E87" s="1130"/>
      <c r="F87" s="1130"/>
      <c r="G87" s="1138" t="s">
        <v>123</v>
      </c>
      <c r="H87" s="1241" t="str">
        <f>IF(AND(O$59=3,AD$59=2),"",IF(O59=0,"",IF(O59=1,AK28,IF(O59=3,U87,IF(O59=4,AJ69,H69)))))</f>
        <v/>
      </c>
      <c r="I87" s="1237"/>
      <c r="J87" s="1237"/>
      <c r="K87" s="1237"/>
      <c r="L87" s="1237"/>
      <c r="M87" s="1238"/>
      <c r="N87" s="1129"/>
      <c r="P87" s="1149"/>
      <c r="Q87" s="1128"/>
      <c r="R87" s="1130"/>
      <c r="S87" s="1130"/>
      <c r="T87" s="1131" t="s">
        <v>123</v>
      </c>
      <c r="U87" s="1241" t="str">
        <f>IF(AND(O$59=3,AD$59=2),"",IF(AD$59=0,"",IF(AD$59=3,U69,IF(AD$59=1,AK28,H87))))</f>
        <v/>
      </c>
      <c r="V87" s="1241"/>
      <c r="W87" s="1241"/>
      <c r="X87" s="1241"/>
      <c r="Y87" s="1241"/>
      <c r="Z87" s="1241"/>
      <c r="AA87" s="1241"/>
      <c r="AB87" s="1242"/>
      <c r="AC87" s="1129"/>
      <c r="AZ87" s="190"/>
      <c r="BA87" s="1115"/>
      <c r="BD87" s="1119" t="s">
        <v>123</v>
      </c>
      <c r="BE87" s="1120">
        <f>AK28</f>
        <v>0</v>
      </c>
      <c r="BF87" s="388" t="str">
        <f>H87</f>
        <v/>
      </c>
      <c r="BG87" s="388" t="str">
        <f>U87</f>
        <v/>
      </c>
    </row>
    <row r="88" spans="2:59" ht="5.0999999999999996" customHeight="1">
      <c r="B88" s="1149"/>
      <c r="C88" s="1128"/>
      <c r="D88" s="1130"/>
      <c r="E88" s="1130"/>
      <c r="F88" s="1130"/>
      <c r="G88" s="1138"/>
      <c r="H88" s="1130"/>
      <c r="I88" s="1130"/>
      <c r="J88" s="1130"/>
      <c r="K88" s="1130"/>
      <c r="L88" s="1130"/>
      <c r="M88" s="1130"/>
      <c r="N88" s="1129"/>
      <c r="P88" s="1149"/>
      <c r="Q88" s="1128"/>
      <c r="R88" s="1130"/>
      <c r="S88" s="1130"/>
      <c r="T88" s="1130"/>
      <c r="U88" s="1130"/>
      <c r="V88" s="1130"/>
      <c r="W88" s="1130"/>
      <c r="X88" s="1130"/>
      <c r="Y88" s="1130"/>
      <c r="Z88" s="1130"/>
      <c r="AA88" s="1130"/>
      <c r="AB88" s="1130"/>
      <c r="AC88" s="1129"/>
      <c r="AZ88" s="190"/>
      <c r="BA88" s="1115"/>
      <c r="BD88" s="1119"/>
      <c r="BE88" s="388"/>
      <c r="BF88" s="388"/>
      <c r="BG88" s="388"/>
    </row>
    <row r="89" spans="2:59">
      <c r="B89" s="1149"/>
      <c r="C89" s="1128"/>
      <c r="D89" s="1130"/>
      <c r="E89" s="1130"/>
      <c r="F89" s="1130"/>
      <c r="G89" s="1138" t="s">
        <v>86</v>
      </c>
      <c r="H89" s="1237" t="str">
        <f>IF(AND(O$59=3,AD$59=2),"",IF(O59=0,"",IF(O59=1,IF(AK32="",V30,AK32),IF(O59=3,U89,IF(O59=4,AJ71,H71)))))</f>
        <v/>
      </c>
      <c r="I89" s="1237"/>
      <c r="J89" s="1237"/>
      <c r="K89" s="1237"/>
      <c r="L89" s="1237"/>
      <c r="M89" s="1238"/>
      <c r="N89" s="1129"/>
      <c r="P89" s="1149"/>
      <c r="Q89" s="1128"/>
      <c r="R89" s="1130"/>
      <c r="S89" s="1130"/>
      <c r="T89" s="1131" t="s">
        <v>86</v>
      </c>
      <c r="U89" s="1237" t="str">
        <f>IF(AND(O$59=3,AD$59=2),"",IF(AD$59=0,"",IF(AD$59=1,IF(AK32="",V30,AK32),IF(AD$59=2,H89,U71))))</f>
        <v/>
      </c>
      <c r="V89" s="1237"/>
      <c r="W89" s="1237"/>
      <c r="X89" s="1237"/>
      <c r="Y89" s="1237"/>
      <c r="Z89" s="1237"/>
      <c r="AA89" s="1237"/>
      <c r="AB89" s="1238"/>
      <c r="AC89" s="1129"/>
      <c r="AZ89" s="190"/>
      <c r="BA89" s="1115"/>
      <c r="BD89" s="1119" t="s">
        <v>86</v>
      </c>
      <c r="BE89" s="1120">
        <f>IF(AK32="",V30,AK32)</f>
        <v>0</v>
      </c>
      <c r="BF89" s="388" t="str">
        <f>H89</f>
        <v/>
      </c>
      <c r="BG89" s="388" t="str">
        <f>U89</f>
        <v/>
      </c>
    </row>
    <row r="90" spans="2:59" ht="5.0999999999999996" customHeight="1">
      <c r="B90" s="1149"/>
      <c r="C90" s="1128"/>
      <c r="D90" s="1130"/>
      <c r="E90" s="1130"/>
      <c r="F90" s="1130"/>
      <c r="G90" s="1138"/>
      <c r="H90" s="1130"/>
      <c r="I90" s="1130"/>
      <c r="J90" s="1130"/>
      <c r="K90" s="1130"/>
      <c r="L90" s="1130"/>
      <c r="M90" s="1130"/>
      <c r="N90" s="1129"/>
      <c r="P90" s="1149"/>
      <c r="Q90" s="1128"/>
      <c r="R90" s="1130"/>
      <c r="S90" s="1130"/>
      <c r="T90" s="1130"/>
      <c r="U90" s="1130"/>
      <c r="V90" s="1130"/>
      <c r="W90" s="1130"/>
      <c r="X90" s="1130"/>
      <c r="Y90" s="1130"/>
      <c r="Z90" s="1130"/>
      <c r="AA90" s="1130"/>
      <c r="AB90" s="1130"/>
      <c r="AC90" s="1129"/>
      <c r="BD90" s="388"/>
      <c r="BE90" s="388"/>
      <c r="BF90" s="388"/>
      <c r="BG90" s="388"/>
    </row>
    <row r="91" spans="2:59">
      <c r="B91" s="1149"/>
      <c r="C91" s="1128"/>
      <c r="D91" s="1130"/>
      <c r="E91" s="1130"/>
      <c r="F91" s="1130"/>
      <c r="G91" s="1138" t="s">
        <v>88</v>
      </c>
      <c r="H91" s="1237" t="str">
        <f>IF(AND(O$59=3,AD$59=2),"",IF(O59=0,"",IF(O59=1,IF(AK34="",V34,AK34),IF(O59=3,U91,IF(O59=4,AJ73,H73)))))</f>
        <v/>
      </c>
      <c r="I91" s="1237"/>
      <c r="J91" s="1237"/>
      <c r="K91" s="1237"/>
      <c r="L91" s="1237"/>
      <c r="M91" s="1238"/>
      <c r="N91" s="1129"/>
      <c r="P91" s="1149"/>
      <c r="Q91" s="1128"/>
      <c r="R91" s="1130"/>
      <c r="S91" s="1130"/>
      <c r="T91" s="1131" t="s">
        <v>88</v>
      </c>
      <c r="U91" s="1237" t="str">
        <f>IF(AND(O$59=3,AD$59=2),"",IF(AD$59=0,"",IF(AD$59=1,IF(AK34="",V34,AK34),IF(AD$59=2,H91,U73))))</f>
        <v/>
      </c>
      <c r="V91" s="1237"/>
      <c r="W91" s="1237"/>
      <c r="X91" s="1237"/>
      <c r="Y91" s="1237"/>
      <c r="Z91" s="1237"/>
      <c r="AA91" s="1237"/>
      <c r="AB91" s="1238"/>
      <c r="AC91" s="1129"/>
      <c r="AZ91" s="1117"/>
      <c r="BA91" s="1117"/>
      <c r="BB91" s="1117"/>
      <c r="BD91" s="1119" t="s">
        <v>88</v>
      </c>
      <c r="BE91" s="1120">
        <f>IF(AK34="",V34,AK34)</f>
        <v>0</v>
      </c>
      <c r="BF91" s="388" t="str">
        <f>H91</f>
        <v/>
      </c>
      <c r="BG91" s="388" t="str">
        <f>U91</f>
        <v/>
      </c>
    </row>
    <row r="92" spans="2:59" ht="5.0999999999999996" customHeight="1">
      <c r="B92" s="1149"/>
      <c r="C92" s="1128"/>
      <c r="D92" s="1130"/>
      <c r="E92" s="1130"/>
      <c r="F92" s="1130"/>
      <c r="G92" s="1138"/>
      <c r="H92" s="1130"/>
      <c r="I92" s="1130"/>
      <c r="J92" s="1130"/>
      <c r="K92" s="1130"/>
      <c r="L92" s="1130"/>
      <c r="M92" s="1130"/>
      <c r="N92" s="1129"/>
      <c r="P92" s="1149"/>
      <c r="Q92" s="1128"/>
      <c r="R92" s="1130"/>
      <c r="S92" s="1130"/>
      <c r="T92" s="1131"/>
      <c r="U92" s="1130"/>
      <c r="V92" s="1130"/>
      <c r="W92" s="1130"/>
      <c r="X92" s="1130"/>
      <c r="Y92" s="1130"/>
      <c r="Z92" s="1130"/>
      <c r="AA92" s="1130"/>
      <c r="AB92" s="1130"/>
      <c r="AC92" s="1129"/>
      <c r="BB92" s="211"/>
      <c r="BD92" s="1119"/>
      <c r="BE92" s="388"/>
      <c r="BF92" s="388"/>
      <c r="BG92" s="388"/>
    </row>
    <row r="93" spans="2:59">
      <c r="B93" s="1149"/>
      <c r="C93" s="1128"/>
      <c r="D93" s="1130"/>
      <c r="E93" s="1130"/>
      <c r="F93" s="1130"/>
      <c r="G93" s="1138" t="s">
        <v>91</v>
      </c>
      <c r="H93" s="1124" t="str">
        <f>IF(AND(O$59=3,AD$59=2),"",IF(O59=0,"",IF(O59=1,IF(AK36="",V36,AK36),IF(O59=3,U93,IF(O59=4,AJ75,H75)))))</f>
        <v/>
      </c>
      <c r="I93" s="1130"/>
      <c r="J93" s="1130"/>
      <c r="K93" s="1134" t="s">
        <v>94</v>
      </c>
      <c r="L93" s="1239" t="str">
        <f>IF(AND(O$59=3,AD$59=2),"",IF(O59=0,"",IF(O59=1,IF(AN36="",AA36,AN36),IF(O59=3,AA93,IF(O59=4,AN75,L75)))))</f>
        <v/>
      </c>
      <c r="M93" s="1240"/>
      <c r="N93" s="1129"/>
      <c r="P93" s="1149"/>
      <c r="Q93" s="1128"/>
      <c r="R93" s="1130"/>
      <c r="S93" s="1130"/>
      <c r="T93" s="1131" t="s">
        <v>91</v>
      </c>
      <c r="U93" s="1124" t="str">
        <f>IF(AND(O$59=3,AD$59=2),"",IF(AD$59=0,"",IF(AD$59=1,IF(AK36="",V36,AK36),IF(AD$59=2,H93,U75))))</f>
        <v/>
      </c>
      <c r="V93" s="1130"/>
      <c r="W93" s="1123"/>
      <c r="X93" s="1133"/>
      <c r="Y93" s="1130"/>
      <c r="Z93" s="1134" t="s">
        <v>94</v>
      </c>
      <c r="AA93" s="1239" t="str">
        <f>IF(AND(O$59=3,AD$59=2),"",IF(AD$59=0,"",IF(AD$59=1,IF(AN36="",AA36,AN36),IF(AD$59=2,L93,AA75))))</f>
        <v/>
      </c>
      <c r="AB93" s="1240"/>
      <c r="AC93" s="1129"/>
      <c r="AZ93" s="1167"/>
      <c r="BA93" s="1167"/>
      <c r="BB93" s="1167"/>
      <c r="BD93" s="1119" t="s">
        <v>91</v>
      </c>
      <c r="BE93" s="388" t="str">
        <f>IF(AK36="",V36,AK36)</f>
        <v>WA</v>
      </c>
      <c r="BF93" s="388" t="str">
        <f>H93</f>
        <v/>
      </c>
      <c r="BG93" s="388" t="str">
        <f>U93</f>
        <v/>
      </c>
    </row>
    <row r="94" spans="2:59" ht="5.0999999999999996" customHeight="1">
      <c r="B94" s="1149"/>
      <c r="C94" s="1135"/>
      <c r="D94" s="1136"/>
      <c r="E94" s="1136"/>
      <c r="F94" s="1136"/>
      <c r="G94" s="1136"/>
      <c r="H94" s="1136"/>
      <c r="I94" s="1136"/>
      <c r="J94" s="1136"/>
      <c r="K94" s="1136"/>
      <c r="L94" s="1136"/>
      <c r="M94" s="1136"/>
      <c r="N94" s="1137"/>
      <c r="P94" s="1149"/>
      <c r="Q94" s="1135"/>
      <c r="R94" s="1136"/>
      <c r="S94" s="1136"/>
      <c r="T94" s="1136"/>
      <c r="U94" s="1136"/>
      <c r="V94" s="1136"/>
      <c r="W94" s="1136"/>
      <c r="X94" s="1136"/>
      <c r="Y94" s="1136"/>
      <c r="Z94" s="1136"/>
      <c r="AA94" s="1136"/>
      <c r="AB94" s="1136"/>
      <c r="AC94" s="1137"/>
      <c r="BB94" s="211"/>
      <c r="BD94" s="388"/>
      <c r="BE94" s="388"/>
      <c r="BF94" s="388"/>
      <c r="BG94" s="388"/>
    </row>
    <row r="95" spans="2:59">
      <c r="BD95" s="1119" t="s">
        <v>94</v>
      </c>
      <c r="BE95" s="1121">
        <f>IF(AN36="",AA36,AN36)</f>
        <v>0</v>
      </c>
      <c r="BF95" s="1122" t="str">
        <f>L93</f>
        <v/>
      </c>
      <c r="BG95" s="1122" t="str">
        <f>AA93</f>
        <v/>
      </c>
    </row>
    <row r="96" spans="2:59">
      <c r="AZ96" s="208"/>
      <c r="BA96" s="208"/>
      <c r="BB96" s="208"/>
    </row>
  </sheetData>
  <sheetProtection algorithmName="SHA-512" hashValue="JxMv2vH3WfNs2p1IrIQOMSqspWQp9O3u/eIBnXoyLvMTA+/+NaRLRaOsl1UQhyv2/PW82zs6pRLLv5DIjOOXNw==" saltValue="FBUyKfBhXPeyKr4w2ddKaw==" spinCount="100000" sheet="1" objects="1" scenarios="1" selectLockedCells="1"/>
  <mergeCells count="114">
    <mergeCell ref="H65:M65"/>
    <mergeCell ref="H67:M67"/>
    <mergeCell ref="H69:M69"/>
    <mergeCell ref="H71:M71"/>
    <mergeCell ref="H73:M73"/>
    <mergeCell ref="AS21:BB21"/>
    <mergeCell ref="AR20:BC20"/>
    <mergeCell ref="AX28:BB28"/>
    <mergeCell ref="D79:M79"/>
    <mergeCell ref="R79:AB79"/>
    <mergeCell ref="P20:P39"/>
    <mergeCell ref="P57:P94"/>
    <mergeCell ref="H91:M91"/>
    <mergeCell ref="L93:M93"/>
    <mergeCell ref="AA36:AB36"/>
    <mergeCell ref="U81:AB81"/>
    <mergeCell ref="U83:AB83"/>
    <mergeCell ref="U85:AB85"/>
    <mergeCell ref="U87:AB87"/>
    <mergeCell ref="U89:AB89"/>
    <mergeCell ref="U91:AB91"/>
    <mergeCell ref="AA93:AB93"/>
    <mergeCell ref="E61:M62"/>
    <mergeCell ref="H81:M81"/>
    <mergeCell ref="A18:AT18"/>
    <mergeCell ref="R61:AB62"/>
    <mergeCell ref="R47:S51"/>
    <mergeCell ref="C41:U41"/>
    <mergeCell ref="I55:J55"/>
    <mergeCell ref="AN36:AO36"/>
    <mergeCell ref="C57:N57"/>
    <mergeCell ref="H59:M59"/>
    <mergeCell ref="H63:M63"/>
    <mergeCell ref="B20:B39"/>
    <mergeCell ref="B41:B55"/>
    <mergeCell ref="B57:B94"/>
    <mergeCell ref="H83:M83"/>
    <mergeCell ref="H85:M85"/>
    <mergeCell ref="H87:M87"/>
    <mergeCell ref="H89:M89"/>
    <mergeCell ref="L75:M75"/>
    <mergeCell ref="AN75:AO75"/>
    <mergeCell ref="U63:AB63"/>
    <mergeCell ref="U65:AB65"/>
    <mergeCell ref="U67:AB67"/>
    <mergeCell ref="U69:AB69"/>
    <mergeCell ref="U71:AB71"/>
    <mergeCell ref="U73:AB73"/>
    <mergeCell ref="AF57:AP57"/>
    <mergeCell ref="AA75:AB75"/>
    <mergeCell ref="Q57:AC57"/>
    <mergeCell ref="AJ73:AO73"/>
    <mergeCell ref="AJ63:AO63"/>
    <mergeCell ref="AJ65:AO65"/>
    <mergeCell ref="AJ67:AO67"/>
    <mergeCell ref="AJ69:AO69"/>
    <mergeCell ref="AJ71:AO71"/>
    <mergeCell ref="U59:AB59"/>
    <mergeCell ref="AX30:BB30"/>
    <mergeCell ref="AF20:AP20"/>
    <mergeCell ref="AK22:AO22"/>
    <mergeCell ref="AK24:AO24"/>
    <mergeCell ref="AX32:BB32"/>
    <mergeCell ref="AX34:BB34"/>
    <mergeCell ref="AS22:BB26"/>
    <mergeCell ref="AK32:AO32"/>
    <mergeCell ref="C20:N20"/>
    <mergeCell ref="Q20:AC20"/>
    <mergeCell ref="AE20:AE39"/>
    <mergeCell ref="V30:AB32"/>
    <mergeCell ref="V34:AB34"/>
    <mergeCell ref="V28:AB28"/>
    <mergeCell ref="H22:M22"/>
    <mergeCell ref="F53:L54"/>
    <mergeCell ref="R53:S53"/>
    <mergeCell ref="Y41:AP41"/>
    <mergeCell ref="Z43:AO54"/>
    <mergeCell ref="I49:J49"/>
    <mergeCell ref="I51:J51"/>
    <mergeCell ref="V24:AB24"/>
    <mergeCell ref="V26:AB26"/>
    <mergeCell ref="AK26:AO26"/>
    <mergeCell ref="AK28:AO28"/>
    <mergeCell ref="H24:M24"/>
    <mergeCell ref="H34:M34"/>
    <mergeCell ref="H36:M36"/>
    <mergeCell ref="H26:M26"/>
    <mergeCell ref="H28:M28"/>
    <mergeCell ref="H30:M30"/>
    <mergeCell ref="H32:M32"/>
    <mergeCell ref="AZ93:BB93"/>
    <mergeCell ref="K13:AJ14"/>
    <mergeCell ref="AM2:AQ2"/>
    <mergeCell ref="D2:H2"/>
    <mergeCell ref="D4:H4"/>
    <mergeCell ref="D6:H6"/>
    <mergeCell ref="D8:H8"/>
    <mergeCell ref="H38:M38"/>
    <mergeCell ref="AM4:AS4"/>
    <mergeCell ref="AM6:AS6"/>
    <mergeCell ref="AM8:AS8"/>
    <mergeCell ref="AM10:AS10"/>
    <mergeCell ref="AM12:AS12"/>
    <mergeCell ref="AM14:AS14"/>
    <mergeCell ref="AM16:AS16"/>
    <mergeCell ref="K7:AJ8"/>
    <mergeCell ref="K9:AJ10"/>
    <mergeCell ref="K11:AJ12"/>
    <mergeCell ref="D12:H12"/>
    <mergeCell ref="D14:H14"/>
    <mergeCell ref="D16:H16"/>
    <mergeCell ref="D10:H10"/>
    <mergeCell ref="AK34:AO34"/>
    <mergeCell ref="V22:AB22"/>
  </mergeCells>
  <conditionalFormatting sqref="H32:M32 H34:M34">
    <cfRule type="containsText" dxfId="10582" priority="25" operator="containsText" text="NOT ALLOWED">
      <formula>NOT(ISERROR(SEARCH("NOT ALLOWED",H32)))</formula>
    </cfRule>
  </conditionalFormatting>
  <conditionalFormatting sqref="F36:M36">
    <cfRule type="expression" dxfId="10581" priority="23">
      <formula>$O$24=0</formula>
    </cfRule>
  </conditionalFormatting>
  <conditionalFormatting sqref="F38:G38">
    <cfRule type="expression" dxfId="10580" priority="22">
      <formula>$O$24&lt;&gt;2</formula>
    </cfRule>
  </conditionalFormatting>
  <conditionalFormatting sqref="H38:M38">
    <cfRule type="expression" dxfId="10579" priority="20">
      <formula>$O$24&lt;&gt;2</formula>
    </cfRule>
  </conditionalFormatting>
  <conditionalFormatting sqref="U63:AB63 U65:AB65 U67:AB67 U69:AB69 U71:AB71 U73:AB73 U75 AA75:AB75">
    <cfRule type="expression" dxfId="10578" priority="3">
      <formula>OR($AD$59=1,$AD$59=2)</formula>
    </cfRule>
    <cfRule type="expression" dxfId="10577" priority="6">
      <formula>$AD$59&lt;&gt;3</formula>
    </cfRule>
  </conditionalFormatting>
  <conditionalFormatting sqref="H63:M63 H65:M65 H67:M67 H69:M69 H71:M71 H73:M73 H75 L75:M75">
    <cfRule type="expression" dxfId="10576" priority="2">
      <formula>OR($O$59=1,$O$59=3,$O$59=4)</formula>
    </cfRule>
    <cfRule type="expression" priority="4" stopIfTrue="1">
      <formula>$AD$59=2</formula>
    </cfRule>
    <cfRule type="expression" dxfId="10575" priority="5">
      <formula>OR($O$59=0,$O$59=1)</formula>
    </cfRule>
  </conditionalFormatting>
  <conditionalFormatting sqref="H26:M26">
    <cfRule type="containsBlanks" dxfId="10574" priority="1">
      <formula>LEN(TRIM(H26))=0</formula>
    </cfRule>
  </conditionalFormatting>
  <dataValidations xWindow="470" yWindow="555" count="11">
    <dataValidation type="list" allowBlank="1" showInputMessage="1" promptTitle="Rate Schedule" prompt="Select the building Rate Schedule from the customer billing. If not known, select Sch 24." sqref="H26:M26">
      <formula1>Lookup_Schedule</formula1>
    </dataValidation>
    <dataValidation type="list" allowBlank="1" showInputMessage="1" showErrorMessage="1" sqref="H22:M22">
      <formula1>Lookup_Project_Type</formula1>
    </dataValidation>
    <dataValidation type="list" allowBlank="1" showInputMessage="1" showErrorMessage="1" sqref="S29">
      <formula1>InstallType</formula1>
    </dataValidation>
    <dataValidation type="whole" operator="greaterThanOrEqual" allowBlank="1" showInputMessage="1" showErrorMessage="1" sqref="E53">
      <formula1>0</formula1>
    </dataValidation>
    <dataValidation type="list" allowBlank="1" showDropDown="1" showInputMessage="1" showErrorMessage="1" error="Enter hours in decimal format. Example 8.5 not 8:30." sqref="K49:L49 E49:I49 E51:I51 K51:L51">
      <formula1>Hours</formula1>
    </dataValidation>
    <dataValidation type="textLength" operator="equal" allowBlank="1" showInputMessage="1" showErrorMessage="1" error="Account Number must be 12 digits!" sqref="AI62">
      <formula1>12</formula1>
    </dataValidation>
    <dataValidation type="whole" allowBlank="1" showInputMessage="1" showErrorMessage="1" errorTitle="Account # entry Error!" error="Account number must be 12 digets long and start with a 2. Review customer bill for account number._x000a_" sqref="V26:AB26">
      <formula1>200000000000</formula1>
      <formula2>299999999999</formula2>
    </dataValidation>
    <dataValidation type="list" allowBlank="1" showInputMessage="1" showErrorMessage="1" promptTitle="Project Type" prompt="Select &quot;Retrofit&quot; to use the existing lighting as the baseline in an existing building._x000a__x000a_Select &quot;Tenant Improvement&quot; to use Code LPA as the baseline in an existing building._x000a__x000a_Select &quot;New Construction&quot; to use Code LPA as the baseline in a new building._x000a_" sqref="H24:M24">
      <formula1>"RETROFIT, TENANT IMPROVEMENT, NEW CONSTRUCTION"</formula1>
    </dataValidation>
    <dataValidation type="list" allowBlank="1" showInputMessage="1" showErrorMessage="1" promptTitle="C406.3 Reduced lightng power" prompt="_x000a_C406.3.1 (Option 1 in accordance with Section) 10% lighting power baseline reduction_x000a__x000a_C406.3.2 (Option 2 in accordance with Section) 20% lighting power baseline reduction" sqref="H38:M38">
      <formula1>"None, C406.3.1, C406.3.2"</formula1>
    </dataValidation>
    <dataValidation type="list" allowBlank="1" showInputMessage="1" showErrorMessage="1" sqref="H59:M59">
      <formula1>Lookup_Submitter</formula1>
    </dataValidation>
    <dataValidation type="list" allowBlank="1" showInputMessage="1" showErrorMessage="1" sqref="U59:AB59">
      <formula1>Lookup_Installer</formula1>
    </dataValidation>
  </dataValidations>
  <pageMargins left="0.7" right="0.7" top="0.75" bottom="0.75" header="0.3" footer="0.3"/>
  <pageSetup scale="58" orientation="portrait" r:id="rId1"/>
  <drawing r:id="rId2"/>
  <legacyDrawing r:id="rId3"/>
  <extLst>
    <ext xmlns:x14="http://schemas.microsoft.com/office/spreadsheetml/2009/9/main" uri="{CCE6A557-97BC-4b89-ADB6-D9C93CAAB3DF}">
      <x14:dataValidations xmlns:xm="http://schemas.microsoft.com/office/excel/2006/main" xWindow="470" yWindow="555" count="1">
        <x14:dataValidation type="list" allowBlank="1" showInputMessage="1" showErrorMessage="1">
          <x14:formula1>
            <xm:f>WSEC!$Z$4:$Z$38</xm:f>
          </x14:formula1>
          <xm:sqref>H32:M32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LB334"/>
  <sheetViews>
    <sheetView showGridLines="0" showRowColHeaders="0" zoomScale="90" zoomScaleNormal="90" workbookViewId="0">
      <pane ySplit="17" topLeftCell="A18" activePane="bottomLeft" state="frozen"/>
      <selection pane="bottomLeft" activeCell="A18" sqref="A18:AH18"/>
    </sheetView>
  </sheetViews>
  <sheetFormatPr defaultRowHeight="14.3"/>
  <cols>
    <col min="1" max="1" width="6.125" bestFit="1" customWidth="1"/>
    <col min="2" max="2" width="0.875" customWidth="1"/>
    <col min="3" max="4" width="6.75" customWidth="1"/>
    <col min="5" max="7" width="5.5" customWidth="1"/>
    <col min="8" max="8" width="0.875" customWidth="1"/>
    <col min="9" max="15" width="5.5" customWidth="1"/>
    <col min="16" max="17" width="6.75" customWidth="1"/>
    <col min="18" max="26" width="5.5" customWidth="1"/>
    <col min="27" max="27" width="8" customWidth="1"/>
    <col min="28" max="28" width="0.875" customWidth="1"/>
    <col min="29" max="33" width="5.5" customWidth="1"/>
    <col min="34" max="34" width="0.875" customWidth="1"/>
    <col min="35" max="36" width="5.5" customWidth="1"/>
    <col min="37" max="38" width="5.5" hidden="1" customWidth="1"/>
    <col min="39" max="48" width="5.5" customWidth="1"/>
    <col min="49" max="49" width="0.875" customWidth="1"/>
    <col min="50" max="54" width="5.5" customWidth="1"/>
    <col min="55" max="55" width="0.875" customWidth="1"/>
    <col min="56" max="62" width="5.5" customWidth="1"/>
    <col min="63" max="63" width="2.75" hidden="1" customWidth="1"/>
    <col min="64" max="69" width="5.75" customWidth="1"/>
    <col min="70" max="73" width="5.5" customWidth="1"/>
    <col min="74" max="74" width="5.75" hidden="1" customWidth="1"/>
    <col min="75" max="75" width="5.75" customWidth="1"/>
    <col min="76" max="81" width="5.5" customWidth="1"/>
    <col min="82" max="97" width="5.75" customWidth="1"/>
    <col min="98" max="98" width="5.5" customWidth="1"/>
    <col min="99" max="99" width="39.25" hidden="1" customWidth="1"/>
    <col min="100" max="106" width="5.75" hidden="1" customWidth="1"/>
    <col min="107" max="114" width="5.75" customWidth="1"/>
    <col min="115" max="115" width="2.75" hidden="1" customWidth="1"/>
    <col min="116" max="121" width="5.75" customWidth="1"/>
    <col min="122" max="125" width="5.5" customWidth="1"/>
    <col min="126" max="126" width="5.75" hidden="1" customWidth="1"/>
    <col min="127" max="127" width="5.75" customWidth="1"/>
    <col min="128" max="133" width="5.5" customWidth="1"/>
    <col min="134" max="135" width="5.75" customWidth="1"/>
    <col min="136" max="137" width="3.75" customWidth="1"/>
    <col min="138" max="145" width="5.75" customWidth="1"/>
    <col min="146" max="151" width="3.75" customWidth="1"/>
    <col min="152" max="154" width="5.75" customWidth="1"/>
    <col min="155" max="155" width="5.5" customWidth="1"/>
    <col min="156" max="156" width="5.75" hidden="1" customWidth="1"/>
    <col min="157" max="157" width="6.125" hidden="1" customWidth="1"/>
    <col min="158" max="158" width="5.75" hidden="1" customWidth="1"/>
    <col min="159" max="161" width="5.75" customWidth="1"/>
    <col min="162" max="311" width="5.75" hidden="1" customWidth="1"/>
    <col min="312" max="313" width="9.125" hidden="1" customWidth="1"/>
  </cols>
  <sheetData>
    <row r="1" spans="3:313" ht="5.0999999999999996" customHeight="1">
      <c r="CT1" s="15"/>
      <c r="EY1" s="15"/>
      <c r="FF1" s="630"/>
      <c r="FG1" s="630"/>
      <c r="FH1" s="630"/>
      <c r="FI1" s="630"/>
      <c r="FJ1" s="630"/>
      <c r="FK1" s="630"/>
      <c r="FL1" s="630"/>
      <c r="FM1" s="630"/>
      <c r="FN1" s="630"/>
      <c r="FO1" s="630"/>
      <c r="FP1" s="630"/>
      <c r="FQ1" s="630"/>
      <c r="FR1" s="630"/>
      <c r="FS1" s="630"/>
      <c r="FT1" s="630"/>
      <c r="FU1" s="630"/>
      <c r="FV1" s="630"/>
      <c r="FW1" s="630"/>
      <c r="FX1" s="630"/>
      <c r="FY1" s="630"/>
      <c r="FZ1" s="630"/>
      <c r="GA1" s="630"/>
      <c r="GB1" s="630"/>
      <c r="GC1" s="630"/>
      <c r="GD1" s="630"/>
      <c r="GE1" s="630"/>
      <c r="GF1" s="630"/>
      <c r="GG1" s="630"/>
      <c r="GH1" s="630"/>
      <c r="GI1" s="630"/>
      <c r="GJ1" s="630"/>
      <c r="GK1" s="630"/>
      <c r="GL1" s="630"/>
      <c r="GM1" s="630"/>
      <c r="GN1" s="630"/>
      <c r="GO1" s="630"/>
      <c r="GP1" s="630"/>
      <c r="GQ1" s="630"/>
      <c r="GR1" s="630"/>
      <c r="GS1" s="630"/>
      <c r="GT1" s="630"/>
      <c r="GU1" s="630"/>
      <c r="GV1" s="630"/>
      <c r="GW1" s="630"/>
      <c r="GX1" s="630"/>
      <c r="GY1" s="630"/>
      <c r="GZ1" s="630"/>
      <c r="HA1" s="630"/>
      <c r="HB1" s="630"/>
      <c r="HC1" s="630"/>
      <c r="HD1" s="630"/>
      <c r="HE1" s="630"/>
      <c r="HF1" s="630"/>
      <c r="HG1" s="630"/>
      <c r="HH1" s="630"/>
      <c r="HI1" s="630"/>
      <c r="HJ1" s="630"/>
      <c r="HK1" s="630"/>
      <c r="HL1" s="630"/>
      <c r="HM1" s="630"/>
      <c r="HN1" s="630"/>
      <c r="HO1" s="630"/>
      <c r="HP1" s="630"/>
      <c r="HQ1" s="630"/>
      <c r="HR1" s="630"/>
      <c r="HS1" s="630"/>
      <c r="HT1" s="630"/>
      <c r="HU1" s="630"/>
      <c r="HV1" s="630"/>
      <c r="HW1" s="630"/>
      <c r="HX1" s="630"/>
      <c r="HY1" s="630"/>
      <c r="HZ1" s="630"/>
      <c r="IA1" s="630"/>
      <c r="IB1" s="630"/>
      <c r="IC1" s="630"/>
      <c r="ID1" s="630"/>
      <c r="IE1" s="630"/>
      <c r="IF1" s="630"/>
      <c r="IG1" s="630"/>
      <c r="IH1" s="630"/>
      <c r="II1" s="630"/>
      <c r="IJ1" s="630"/>
      <c r="IK1" s="630"/>
      <c r="IL1" s="630"/>
      <c r="IM1" s="630"/>
      <c r="IN1" s="630"/>
      <c r="IO1" s="630"/>
      <c r="IP1" s="630"/>
      <c r="IQ1" s="630"/>
      <c r="IR1" s="630"/>
      <c r="IS1" s="630"/>
      <c r="IT1" s="630"/>
      <c r="IU1" s="630"/>
      <c r="IV1" s="630"/>
      <c r="IW1" s="630"/>
      <c r="IX1" s="630"/>
      <c r="IY1" s="630"/>
      <c r="IZ1" s="630"/>
      <c r="JA1" s="630"/>
      <c r="JB1" s="630"/>
      <c r="JC1" s="630"/>
      <c r="JD1" s="630"/>
      <c r="JE1" s="630"/>
      <c r="JF1" s="630"/>
      <c r="JG1" s="630"/>
      <c r="JH1" s="630"/>
      <c r="JI1" s="630"/>
      <c r="JJ1" s="630"/>
      <c r="JK1" s="630"/>
      <c r="JL1" s="630"/>
      <c r="JM1" s="630"/>
      <c r="JN1" s="630"/>
      <c r="JO1" s="630"/>
      <c r="JP1" s="630"/>
      <c r="JQ1" s="630"/>
      <c r="JR1" s="630"/>
      <c r="JS1" s="630"/>
      <c r="JT1" s="630"/>
      <c r="JU1" s="630"/>
      <c r="JV1" s="630"/>
      <c r="JW1" s="630"/>
      <c r="JX1" s="630"/>
      <c r="JY1" s="630"/>
      <c r="JZ1" s="630"/>
      <c r="KA1" s="630"/>
      <c r="KB1" s="630"/>
      <c r="KC1" s="630"/>
      <c r="KD1" s="630"/>
      <c r="KE1" s="630"/>
      <c r="KF1" s="630"/>
      <c r="KG1" s="630"/>
      <c r="KH1" s="630"/>
      <c r="KI1" s="630"/>
      <c r="KJ1" s="630"/>
      <c r="KK1" s="630"/>
      <c r="KL1" s="630"/>
      <c r="KM1" s="630"/>
      <c r="KN1" s="630"/>
      <c r="KO1" s="630"/>
      <c r="KP1" s="630"/>
      <c r="KQ1" s="630"/>
      <c r="KR1" s="630"/>
      <c r="KS1" s="630"/>
      <c r="KT1" s="630"/>
      <c r="KU1" s="630"/>
      <c r="KV1" s="630"/>
      <c r="KW1" s="630"/>
      <c r="KX1" s="630"/>
      <c r="KY1" s="630"/>
      <c r="KZ1" s="630"/>
    </row>
    <row r="2" spans="3:313" s="3" customFormat="1" ht="14.95" customHeight="1">
      <c r="C2" s="1145"/>
      <c r="D2" s="1146"/>
      <c r="E2" s="1146"/>
      <c r="F2" s="1146"/>
      <c r="G2" s="1146"/>
      <c r="AC2" s="1145"/>
      <c r="AD2" s="1146"/>
      <c r="AE2" s="1146"/>
      <c r="AF2" s="1146"/>
      <c r="AG2" s="1146"/>
      <c r="AK2" s="537"/>
      <c r="AL2" s="537"/>
      <c r="BK2" s="2"/>
      <c r="CT2" s="15"/>
      <c r="CZ2" s="4"/>
      <c r="DA2" s="4"/>
      <c r="DB2" s="4"/>
      <c r="DF2" s="4"/>
      <c r="DG2" s="4"/>
      <c r="DH2" s="4"/>
      <c r="DI2" s="4"/>
      <c r="DJ2" s="4"/>
      <c r="DK2" s="2"/>
      <c r="EY2" s="15"/>
      <c r="FA2" s="1029"/>
      <c r="FB2" s="2"/>
      <c r="FC2" s="4"/>
      <c r="FD2" s="4"/>
      <c r="FE2" s="4"/>
      <c r="FF2" s="641"/>
      <c r="FG2" s="642"/>
      <c r="FH2" s="642"/>
      <c r="FI2" s="642"/>
      <c r="FJ2" s="642"/>
      <c r="FK2" s="642"/>
      <c r="FL2" s="642"/>
      <c r="FM2" s="642"/>
      <c r="FN2" s="537"/>
      <c r="FO2" s="537"/>
      <c r="FP2" s="537"/>
      <c r="FQ2" s="537"/>
      <c r="FR2" s="537"/>
      <c r="FS2" s="537"/>
      <c r="FT2" s="537"/>
      <c r="FU2" s="537"/>
      <c r="FV2" s="537"/>
      <c r="FW2" s="537"/>
      <c r="FX2" s="537"/>
      <c r="FY2" s="537"/>
      <c r="FZ2" s="537"/>
      <c r="GA2" s="537"/>
      <c r="GB2" s="537"/>
      <c r="GC2" s="537"/>
      <c r="GD2" s="537"/>
      <c r="GE2" s="537"/>
      <c r="GF2" s="537"/>
      <c r="GG2" s="537"/>
      <c r="GH2" s="537"/>
      <c r="GI2" s="537"/>
      <c r="GJ2" s="537"/>
      <c r="GK2" s="537"/>
      <c r="GL2" s="537"/>
      <c r="GM2" s="537"/>
      <c r="GN2" s="537"/>
      <c r="GO2" s="537"/>
      <c r="GP2" s="537"/>
      <c r="GQ2" s="537"/>
      <c r="GR2" s="537"/>
      <c r="GS2" s="537"/>
      <c r="GT2" s="537"/>
      <c r="GU2" s="537"/>
      <c r="GV2" s="537"/>
      <c r="GW2" s="537"/>
      <c r="GX2" s="537"/>
      <c r="GY2" s="537"/>
      <c r="GZ2" s="537"/>
      <c r="HA2" s="537"/>
      <c r="HB2" s="537"/>
      <c r="HC2" s="537"/>
      <c r="HD2" s="537"/>
      <c r="HE2" s="537"/>
      <c r="HF2" s="537"/>
      <c r="HG2" s="537"/>
      <c r="HH2" s="537"/>
      <c r="HI2" s="537"/>
      <c r="HJ2" s="537"/>
      <c r="HK2" s="537"/>
      <c r="HL2" s="537"/>
      <c r="HM2" s="537"/>
      <c r="HN2" s="537"/>
      <c r="HO2" s="537"/>
      <c r="HP2" s="537"/>
      <c r="HQ2" s="537"/>
      <c r="HR2" s="537"/>
      <c r="HS2" s="537"/>
      <c r="HT2" s="537"/>
      <c r="HU2" s="537"/>
      <c r="HV2" s="537"/>
      <c r="HW2" s="537"/>
      <c r="HX2" s="537"/>
      <c r="HY2" s="537"/>
      <c r="HZ2" s="537"/>
      <c r="IA2" s="537"/>
      <c r="IB2" s="537"/>
      <c r="IC2" s="537"/>
      <c r="ID2" s="537"/>
      <c r="IE2" s="537"/>
      <c r="IF2" s="537"/>
      <c r="IG2" s="537"/>
      <c r="IH2" s="537"/>
      <c r="II2" s="537"/>
      <c r="IJ2" s="537"/>
      <c r="IK2" s="537"/>
      <c r="IL2" s="537"/>
      <c r="IM2" s="537"/>
      <c r="IN2" s="537"/>
      <c r="IO2" s="537"/>
      <c r="IP2" s="537"/>
      <c r="IQ2" s="537"/>
      <c r="IR2" s="537"/>
      <c r="IS2" s="537"/>
      <c r="IT2" s="537"/>
      <c r="IU2" s="537"/>
      <c r="IV2" s="537"/>
      <c r="IW2" s="537"/>
      <c r="IX2" s="537"/>
      <c r="IY2" s="537"/>
      <c r="IZ2" s="537"/>
      <c r="JA2" s="537"/>
      <c r="JB2" s="537"/>
      <c r="JC2" s="537"/>
      <c r="JD2" s="537"/>
      <c r="JE2" s="537"/>
      <c r="JF2" s="537"/>
      <c r="JG2" s="537"/>
      <c r="JH2" s="537"/>
      <c r="JI2" s="537"/>
      <c r="JJ2" s="537"/>
      <c r="JK2" s="537"/>
      <c r="JL2" s="537"/>
      <c r="JM2" s="537"/>
      <c r="JN2" s="537"/>
      <c r="JO2" s="537"/>
      <c r="JP2" s="537"/>
      <c r="JQ2" s="537"/>
      <c r="JR2" s="537"/>
      <c r="JS2" s="537"/>
      <c r="JT2" s="537"/>
      <c r="JU2" s="537"/>
      <c r="JV2" s="537"/>
      <c r="JW2" s="537"/>
      <c r="JX2" s="537"/>
      <c r="JY2" s="537"/>
      <c r="JZ2" s="537"/>
      <c r="KA2" s="537"/>
      <c r="KB2" s="537"/>
      <c r="KC2" s="537"/>
      <c r="KD2" s="537"/>
      <c r="KE2" s="537"/>
      <c r="KF2" s="537"/>
      <c r="KG2" s="537"/>
      <c r="KH2" s="537"/>
      <c r="KI2" s="537"/>
      <c r="KJ2" s="537"/>
      <c r="KK2" s="537"/>
      <c r="KL2" s="537"/>
      <c r="KM2" s="537"/>
      <c r="KN2" s="537"/>
      <c r="KO2" s="537"/>
      <c r="KP2" s="537"/>
      <c r="KQ2" s="537"/>
      <c r="KR2" s="537"/>
      <c r="KS2" s="537"/>
      <c r="KT2" s="537"/>
      <c r="KU2" s="537"/>
      <c r="KV2" s="537"/>
      <c r="KW2" s="537"/>
      <c r="KX2" s="537"/>
      <c r="KY2" s="537"/>
      <c r="KZ2" s="537"/>
    </row>
    <row r="3" spans="3:313" s="3" customFormat="1" ht="5.0999999999999996" customHeight="1">
      <c r="BK3" s="2"/>
      <c r="CT3" s="15"/>
      <c r="CZ3" s="4"/>
      <c r="DA3" s="4"/>
      <c r="DB3" s="4"/>
      <c r="DF3" s="4"/>
      <c r="DG3" s="4"/>
      <c r="DH3" s="4"/>
      <c r="DI3" s="4"/>
      <c r="DJ3" s="4"/>
      <c r="DK3" s="2"/>
      <c r="EY3" s="15"/>
      <c r="FA3" s="2"/>
      <c r="FB3" s="2"/>
      <c r="FC3" s="4"/>
      <c r="FD3" s="4"/>
      <c r="FE3" s="4"/>
      <c r="FF3" s="4"/>
      <c r="FG3" s="4"/>
      <c r="FH3" s="4"/>
      <c r="FI3" s="4"/>
      <c r="FJ3" s="4"/>
      <c r="FK3" s="4"/>
      <c r="FL3" s="4"/>
      <c r="FM3" s="4"/>
    </row>
    <row r="4" spans="3:313" s="3" customFormat="1" ht="14.95" customHeight="1">
      <c r="C4" s="1147"/>
      <c r="D4" s="1147"/>
      <c r="E4" s="1147"/>
      <c r="F4" s="1147"/>
      <c r="G4" s="1147"/>
      <c r="V4"/>
      <c r="AC4" s="1147"/>
      <c r="AD4" s="1147"/>
      <c r="AE4" s="1147"/>
      <c r="AF4" s="1147"/>
      <c r="AG4" s="1147"/>
      <c r="CE4"/>
      <c r="CT4" s="15"/>
      <c r="CV4"/>
      <c r="CZ4" s="5"/>
      <c r="DA4" s="5"/>
      <c r="DB4" s="5"/>
      <c r="DF4" s="5"/>
      <c r="DG4" s="5"/>
      <c r="DH4" s="5"/>
      <c r="DI4" s="5"/>
      <c r="DJ4" s="5"/>
      <c r="EE4"/>
      <c r="EY4" s="15"/>
      <c r="FA4" s="1029"/>
      <c r="FB4" s="6"/>
      <c r="FC4" s="5"/>
      <c r="FD4" s="5"/>
      <c r="FE4" s="5"/>
      <c r="FF4" s="607"/>
      <c r="FG4" s="5"/>
      <c r="FH4" s="5"/>
      <c r="FI4" s="5"/>
      <c r="FJ4" s="5"/>
      <c r="FK4" s="607" t="str">
        <f>CONCATENATE($FK$12,Fixtures!FK$25+1)</f>
        <v>Installations!CT43</v>
      </c>
      <c r="FL4" s="608"/>
      <c r="FM4" s="608"/>
      <c r="FN4" s="602"/>
      <c r="FO4" s="602"/>
      <c r="FP4" s="602"/>
      <c r="FQ4" s="602"/>
      <c r="FR4" s="602"/>
      <c r="FS4" s="602"/>
      <c r="FT4" s="602"/>
      <c r="FU4" s="602"/>
      <c r="FV4" s="602"/>
      <c r="FW4" s="602"/>
      <c r="FX4" s="602"/>
      <c r="FY4" s="602"/>
      <c r="FZ4" s="602"/>
      <c r="GA4" s="602"/>
      <c r="GB4" s="602"/>
      <c r="GC4" s="602"/>
      <c r="GD4" s="602"/>
      <c r="GE4" s="602"/>
      <c r="GF4" s="602"/>
      <c r="GG4" s="602"/>
      <c r="GH4" s="602"/>
      <c r="GI4" s="602"/>
      <c r="GJ4" s="602"/>
      <c r="GK4" s="602"/>
      <c r="GL4" s="602"/>
      <c r="GM4" s="602"/>
      <c r="GN4" s="602"/>
      <c r="GO4" s="602"/>
      <c r="GP4" s="602"/>
      <c r="GQ4" s="602"/>
      <c r="GR4" s="602"/>
      <c r="GS4" s="602"/>
      <c r="GT4" s="602"/>
      <c r="GU4" s="602"/>
      <c r="GV4" s="602"/>
      <c r="GW4" s="602"/>
      <c r="GX4" s="602"/>
      <c r="GY4" s="602"/>
      <c r="GZ4" s="602"/>
      <c r="HA4" s="602"/>
      <c r="HB4" s="602"/>
      <c r="HC4" s="602"/>
      <c r="HD4" s="602"/>
      <c r="HE4" s="602"/>
      <c r="HF4" s="602"/>
      <c r="HG4" s="602"/>
      <c r="HH4" s="602"/>
      <c r="HI4" s="602"/>
      <c r="HJ4" s="602"/>
      <c r="HK4" s="602"/>
      <c r="HL4" s="602"/>
      <c r="HM4" s="602"/>
      <c r="HN4" s="602"/>
      <c r="HO4" s="602"/>
      <c r="HP4" s="602"/>
      <c r="HQ4" s="602"/>
      <c r="HR4" s="602"/>
      <c r="HS4" s="602"/>
      <c r="HT4" s="602"/>
      <c r="HU4" s="602"/>
      <c r="HV4" s="602"/>
      <c r="HW4" s="602"/>
      <c r="HX4" s="602"/>
      <c r="HY4" s="602"/>
      <c r="HZ4" s="602"/>
      <c r="IA4" s="602"/>
      <c r="IB4" s="602"/>
      <c r="IC4" s="602"/>
      <c r="ID4" s="602"/>
      <c r="IE4" s="602"/>
      <c r="IF4" s="602"/>
      <c r="IG4" s="602"/>
      <c r="IH4" s="602"/>
      <c r="II4" s="602"/>
      <c r="IJ4" s="602"/>
      <c r="IK4" s="602"/>
      <c r="IL4" s="602"/>
      <c r="IM4" s="602"/>
      <c r="IN4" s="602"/>
      <c r="IO4" s="602"/>
      <c r="IP4" s="602"/>
      <c r="IQ4" s="602"/>
      <c r="IR4" s="602"/>
      <c r="IS4" s="602"/>
      <c r="IT4" s="602"/>
      <c r="IU4" s="602"/>
      <c r="IV4" s="602"/>
      <c r="IW4" s="602"/>
      <c r="IX4" s="602"/>
      <c r="IY4" s="602"/>
      <c r="IZ4" s="602"/>
      <c r="JA4" s="602"/>
      <c r="JB4" s="602"/>
      <c r="JC4" s="602"/>
      <c r="JD4" s="602"/>
      <c r="JE4" s="602"/>
      <c r="JF4" s="602"/>
      <c r="JG4" s="602"/>
      <c r="JH4" s="602"/>
      <c r="JI4" s="602"/>
      <c r="JJ4" s="602"/>
      <c r="JK4" s="602"/>
      <c r="JL4" s="602"/>
      <c r="JM4" s="602"/>
      <c r="JN4" s="602"/>
      <c r="JO4" s="602"/>
      <c r="JP4" s="602"/>
      <c r="JQ4" s="602"/>
      <c r="JR4" s="602"/>
      <c r="JS4" s="602"/>
      <c r="JT4" s="602"/>
      <c r="JU4" s="602"/>
      <c r="JV4" s="602"/>
      <c r="JW4" s="602"/>
      <c r="JX4" s="602"/>
      <c r="JY4" s="602"/>
      <c r="JZ4" s="602"/>
      <c r="KA4" s="602"/>
      <c r="KB4" s="602"/>
      <c r="KC4" s="602"/>
      <c r="KD4" s="602"/>
      <c r="KE4" s="602"/>
      <c r="KF4" s="602"/>
      <c r="KG4" s="602"/>
      <c r="KH4" s="602"/>
      <c r="KI4" s="602"/>
      <c r="KJ4" s="602"/>
      <c r="KK4" s="602"/>
      <c r="KL4" s="602"/>
      <c r="KM4" s="602"/>
      <c r="KN4" s="602"/>
      <c r="KO4" s="602"/>
      <c r="KP4" s="602"/>
      <c r="KQ4" s="602"/>
      <c r="KR4" s="602"/>
      <c r="KS4" s="602"/>
      <c r="KT4" s="602"/>
      <c r="KU4" s="602"/>
      <c r="KV4" s="602"/>
      <c r="KW4" s="602"/>
      <c r="KX4" s="602"/>
      <c r="KY4" s="602"/>
      <c r="KZ4" s="602"/>
      <c r="LA4" s="602"/>
    </row>
    <row r="5" spans="3:313" s="3" customFormat="1" ht="5.0999999999999996" customHeight="1">
      <c r="V5"/>
      <c r="CE5"/>
      <c r="CT5" s="15"/>
      <c r="CV5"/>
      <c r="CZ5" s="5"/>
      <c r="DA5" s="5"/>
      <c r="DB5" s="5"/>
      <c r="DF5" s="5"/>
      <c r="DG5" s="5"/>
      <c r="DH5" s="5"/>
      <c r="DI5" s="5"/>
      <c r="DJ5" s="5"/>
      <c r="EE5"/>
      <c r="EY5" s="15"/>
      <c r="FA5" s="6"/>
      <c r="FB5" s="6"/>
      <c r="FC5" s="5"/>
      <c r="FD5" s="5"/>
      <c r="FE5" s="5"/>
      <c r="FF5" s="5"/>
      <c r="FG5" s="5"/>
      <c r="FH5" s="5"/>
      <c r="FI5" s="5"/>
      <c r="FJ5" s="5"/>
      <c r="FK5" s="608"/>
      <c r="FL5" s="608"/>
      <c r="FM5" s="608"/>
      <c r="FN5" s="602"/>
      <c r="FO5" s="602"/>
      <c r="FP5" s="602"/>
      <c r="FQ5" s="602"/>
      <c r="FR5" s="602"/>
      <c r="FS5" s="602"/>
      <c r="FT5" s="602"/>
      <c r="FU5" s="602"/>
      <c r="FV5" s="602"/>
      <c r="FW5" s="602"/>
      <c r="FX5" s="602"/>
      <c r="FY5" s="602"/>
      <c r="FZ5" s="602"/>
      <c r="GA5" s="602"/>
      <c r="GB5" s="602"/>
      <c r="GC5" s="602"/>
      <c r="GD5" s="602"/>
      <c r="GE5" s="602"/>
      <c r="GF5" s="602"/>
      <c r="GG5" s="602"/>
      <c r="GH5" s="602"/>
      <c r="GI5" s="602"/>
      <c r="GJ5" s="602"/>
      <c r="GK5" s="602"/>
      <c r="GL5" s="602"/>
      <c r="GM5" s="602"/>
      <c r="GN5" s="602"/>
      <c r="GO5" s="602"/>
      <c r="GP5" s="602"/>
      <c r="GQ5" s="602"/>
      <c r="GR5" s="602"/>
      <c r="GS5" s="602"/>
      <c r="GT5" s="602"/>
      <c r="GU5" s="602"/>
      <c r="GV5" s="602"/>
      <c r="GW5" s="602"/>
      <c r="GX5" s="602"/>
      <c r="GY5" s="602"/>
      <c r="GZ5" s="602"/>
      <c r="HA5" s="602"/>
      <c r="HB5" s="602"/>
      <c r="HC5" s="602"/>
      <c r="HD5" s="602"/>
      <c r="HE5" s="602"/>
      <c r="HF5" s="602"/>
      <c r="HG5" s="602"/>
      <c r="HH5" s="602"/>
      <c r="HI5" s="602"/>
      <c r="HJ5" s="602"/>
      <c r="HK5" s="602"/>
      <c r="HL5" s="602"/>
      <c r="HM5" s="602"/>
      <c r="HN5" s="602"/>
      <c r="HO5" s="602"/>
      <c r="HP5" s="602"/>
      <c r="HQ5" s="602"/>
      <c r="HR5" s="602"/>
      <c r="HS5" s="602"/>
      <c r="HT5" s="602"/>
      <c r="HU5" s="602"/>
      <c r="HV5" s="602"/>
      <c r="HW5" s="602"/>
      <c r="HX5" s="602"/>
      <c r="HY5" s="602"/>
      <c r="HZ5" s="602"/>
      <c r="IA5" s="602"/>
      <c r="IB5" s="602"/>
      <c r="IC5" s="602"/>
      <c r="ID5" s="602"/>
      <c r="IE5" s="602"/>
      <c r="IF5" s="602"/>
      <c r="IG5" s="602"/>
      <c r="IH5" s="602"/>
      <c r="II5" s="602"/>
      <c r="IJ5" s="602"/>
      <c r="IK5" s="602"/>
      <c r="IL5" s="602"/>
      <c r="IM5" s="602"/>
      <c r="IN5" s="602"/>
      <c r="IO5" s="602"/>
      <c r="IP5" s="602"/>
      <c r="IQ5" s="602"/>
      <c r="IR5" s="602"/>
      <c r="IS5" s="602"/>
      <c r="IT5" s="602"/>
      <c r="IU5" s="602"/>
      <c r="IV5" s="602"/>
      <c r="IW5" s="602"/>
      <c r="IX5" s="602"/>
      <c r="IY5" s="602"/>
      <c r="IZ5" s="602"/>
      <c r="JA5" s="602"/>
      <c r="JB5" s="602"/>
      <c r="JC5" s="602"/>
      <c r="JD5" s="602"/>
      <c r="JE5" s="602"/>
      <c r="JF5" s="602"/>
      <c r="JG5" s="602"/>
      <c r="JH5" s="602"/>
      <c r="JI5" s="602"/>
      <c r="JJ5" s="602"/>
      <c r="JK5" s="602"/>
      <c r="JL5" s="602"/>
      <c r="JM5" s="602"/>
      <c r="JN5" s="602"/>
      <c r="JO5" s="602"/>
      <c r="JP5" s="602"/>
      <c r="JQ5" s="602"/>
      <c r="JR5" s="602"/>
      <c r="JS5" s="602"/>
      <c r="JT5" s="602"/>
      <c r="JU5" s="602"/>
      <c r="JV5" s="602"/>
      <c r="JW5" s="602"/>
      <c r="JX5" s="602"/>
      <c r="JY5" s="602"/>
      <c r="JZ5" s="602"/>
      <c r="KA5" s="602"/>
      <c r="KB5" s="602"/>
      <c r="KC5" s="602"/>
      <c r="KD5" s="602"/>
      <c r="KE5" s="602"/>
      <c r="KF5" s="602"/>
      <c r="KG5" s="602"/>
      <c r="KH5" s="602"/>
      <c r="KI5" s="602"/>
      <c r="KJ5" s="602"/>
      <c r="KK5" s="602"/>
      <c r="KL5" s="602"/>
      <c r="KM5" s="602"/>
      <c r="KN5" s="602"/>
      <c r="KO5" s="602"/>
      <c r="KP5" s="602"/>
      <c r="KQ5" s="602"/>
      <c r="KR5" s="602"/>
      <c r="KS5" s="602"/>
      <c r="KT5" s="602"/>
      <c r="KU5" s="602"/>
      <c r="KV5" s="602"/>
      <c r="KW5" s="602"/>
      <c r="KX5" s="602"/>
      <c r="KY5" s="602"/>
      <c r="KZ5" s="602"/>
      <c r="LA5" s="602"/>
    </row>
    <row r="6" spans="3:313" s="3" customFormat="1" ht="14.95" customHeight="1">
      <c r="C6" s="1148"/>
      <c r="D6" s="1148"/>
      <c r="E6" s="1148"/>
      <c r="F6" s="1148"/>
      <c r="G6" s="1148"/>
      <c r="AC6" s="1148"/>
      <c r="AD6" s="1148"/>
      <c r="AE6" s="1148"/>
      <c r="AF6" s="1148"/>
      <c r="AG6" s="1148"/>
      <c r="CT6" s="15"/>
      <c r="CV6"/>
      <c r="CY6"/>
      <c r="CZ6" s="5"/>
      <c r="DA6" s="5"/>
      <c r="DB6" s="5"/>
      <c r="DF6" s="5"/>
      <c r="DG6" s="5"/>
      <c r="DH6" s="5"/>
      <c r="DI6" s="5"/>
      <c r="DJ6" s="5"/>
      <c r="EY6" s="15"/>
      <c r="FA6" s="6"/>
      <c r="FB6" s="6"/>
      <c r="FC6"/>
      <c r="FD6" s="7"/>
      <c r="FE6" s="7"/>
      <c r="FF6" s="607"/>
      <c r="FG6" s="7"/>
      <c r="FH6" s="7"/>
      <c r="FI6" s="7"/>
      <c r="FJ6" s="7"/>
      <c r="FL6" s="608"/>
      <c r="FM6" s="608"/>
      <c r="FN6" s="602"/>
      <c r="FO6" s="602"/>
      <c r="FP6" s="602"/>
      <c r="FQ6" s="602"/>
      <c r="FR6" s="602"/>
      <c r="FS6" s="602"/>
      <c r="FT6" s="602"/>
      <c r="FU6" s="602"/>
      <c r="FV6" s="602"/>
      <c r="FW6" s="602"/>
      <c r="FX6" s="602"/>
      <c r="FY6" s="602"/>
      <c r="FZ6" s="602"/>
      <c r="GA6" s="602"/>
      <c r="GB6" s="602"/>
      <c r="GC6" s="602"/>
      <c r="GD6" s="602"/>
      <c r="GE6" s="602"/>
      <c r="GF6" s="602"/>
      <c r="GG6" s="602"/>
      <c r="GH6" s="602"/>
      <c r="GI6" s="602"/>
      <c r="GJ6" s="602"/>
      <c r="GK6" s="602"/>
      <c r="GL6" s="602"/>
      <c r="GM6" s="602"/>
      <c r="GN6" s="602"/>
      <c r="GO6" s="602"/>
      <c r="GP6" s="602"/>
      <c r="GQ6" s="602"/>
      <c r="GR6" s="602"/>
      <c r="GS6" s="602"/>
      <c r="GT6" s="602"/>
      <c r="GU6" s="602"/>
      <c r="GV6" s="602"/>
      <c r="GW6" s="602"/>
      <c r="GX6" s="602"/>
      <c r="GY6" s="602"/>
      <c r="GZ6" s="602"/>
      <c r="HA6" s="602"/>
      <c r="HB6" s="602"/>
      <c r="HC6" s="602"/>
      <c r="HD6" s="602"/>
      <c r="HE6" s="602"/>
      <c r="HF6" s="602"/>
      <c r="HG6" s="602"/>
      <c r="HH6" s="602"/>
      <c r="HI6" s="602"/>
      <c r="HJ6" s="602"/>
      <c r="HK6" s="602"/>
      <c r="HL6" s="602"/>
      <c r="HM6" s="602"/>
      <c r="HN6" s="602"/>
      <c r="HO6" s="602"/>
      <c r="HP6" s="602"/>
      <c r="HQ6" s="602"/>
      <c r="HR6" s="602"/>
      <c r="HS6" s="602"/>
      <c r="HT6" s="602"/>
      <c r="HU6" s="602"/>
      <c r="HV6" s="602"/>
      <c r="HW6" s="602"/>
      <c r="HX6" s="602"/>
      <c r="HY6" s="602"/>
      <c r="HZ6" s="602"/>
      <c r="IA6" s="602"/>
      <c r="IB6" s="602"/>
      <c r="IC6" s="602"/>
      <c r="ID6" s="602"/>
      <c r="IE6" s="602"/>
      <c r="IF6" s="602"/>
      <c r="IG6" s="602"/>
      <c r="IH6" s="602"/>
      <c r="II6" s="602"/>
      <c r="IJ6" s="602"/>
      <c r="IK6" s="602"/>
      <c r="IL6" s="602"/>
      <c r="IM6" s="602"/>
      <c r="IN6" s="602"/>
      <c r="IO6" s="602"/>
      <c r="IP6" s="602"/>
      <c r="IQ6" s="602"/>
      <c r="IR6" s="602"/>
      <c r="IS6" s="602"/>
      <c r="IT6" s="602"/>
      <c r="IU6" s="602"/>
      <c r="IV6" s="602"/>
      <c r="IW6" s="602"/>
      <c r="IX6" s="602"/>
      <c r="IY6" s="602"/>
      <c r="IZ6" s="602"/>
      <c r="JA6" s="602"/>
      <c r="JB6" s="602"/>
      <c r="JC6" s="602"/>
      <c r="JD6" s="602"/>
      <c r="JE6" s="602"/>
      <c r="JF6" s="602"/>
      <c r="JG6" s="602"/>
      <c r="JH6" s="602"/>
      <c r="JI6" s="602"/>
      <c r="JJ6" s="602"/>
      <c r="JK6" s="602"/>
      <c r="JL6" s="602"/>
      <c r="JM6" s="602"/>
      <c r="JN6" s="602"/>
      <c r="JO6" s="602"/>
      <c r="JP6" s="602"/>
      <c r="JQ6" s="602"/>
      <c r="JR6" s="602"/>
      <c r="JS6" s="602"/>
      <c r="JT6" s="602"/>
      <c r="JU6" s="602"/>
      <c r="JV6" s="602"/>
      <c r="JW6" s="602"/>
      <c r="JX6" s="602"/>
      <c r="JY6" s="602"/>
      <c r="JZ6" s="602"/>
      <c r="KA6" s="602"/>
      <c r="KB6" s="602"/>
      <c r="KC6" s="602"/>
      <c r="KD6" s="602"/>
      <c r="KE6" s="602"/>
      <c r="KF6" s="602"/>
      <c r="KG6" s="602"/>
      <c r="KH6" s="602"/>
      <c r="KI6" s="602"/>
      <c r="KJ6" s="602"/>
      <c r="KK6" s="602"/>
      <c r="KL6" s="602"/>
      <c r="KM6" s="602"/>
      <c r="KN6" s="602"/>
      <c r="KO6" s="602"/>
      <c r="KP6" s="602"/>
      <c r="KQ6" s="602"/>
      <c r="KR6" s="602"/>
      <c r="KS6" s="602"/>
      <c r="KT6" s="602"/>
      <c r="KU6" s="602"/>
      <c r="KV6" s="602"/>
      <c r="KW6" s="602"/>
      <c r="KX6" s="602"/>
      <c r="KY6" s="602"/>
      <c r="KZ6" s="602"/>
      <c r="LA6" s="602"/>
    </row>
    <row r="7" spans="3:313" s="3" customFormat="1" ht="5.0999999999999996" customHeight="1">
      <c r="J7" s="1142" t="str">
        <f>Lookup!$D$19</f>
        <v>MULTI-FAMILY LIGHTING INCENTIVE PROGRAM</v>
      </c>
      <c r="K7" s="1142"/>
      <c r="L7" s="1142"/>
      <c r="M7" s="1142"/>
      <c r="N7" s="1142"/>
      <c r="O7" s="1142"/>
      <c r="P7" s="1142"/>
      <c r="Q7" s="1142"/>
      <c r="R7" s="1142"/>
      <c r="S7" s="1142"/>
      <c r="T7" s="1142"/>
      <c r="U7" s="1142"/>
      <c r="V7" s="1142"/>
      <c r="W7" s="1142"/>
      <c r="X7" s="1142"/>
      <c r="Y7" s="1142"/>
      <c r="Z7" s="1142"/>
      <c r="BR7" s="1142" t="str">
        <f>Lookup!D19</f>
        <v>MULTI-FAMILY LIGHTING INCENTIVE PROGRAM</v>
      </c>
      <c r="BS7" s="1142"/>
      <c r="BT7" s="1142"/>
      <c r="BU7" s="1142"/>
      <c r="BV7" s="1142"/>
      <c r="BW7" s="1142"/>
      <c r="BX7" s="1142"/>
      <c r="BY7" s="1142"/>
      <c r="BZ7" s="1142"/>
      <c r="CA7" s="1142"/>
      <c r="CB7" s="1142"/>
      <c r="CC7" s="1142"/>
      <c r="CD7" s="1142"/>
      <c r="CE7" s="1142"/>
      <c r="CF7" s="1142"/>
      <c r="CG7" s="1142"/>
      <c r="CH7" s="1142"/>
      <c r="CI7" s="1142"/>
      <c r="CJ7" s="1142"/>
      <c r="CK7" s="1142"/>
      <c r="CL7" s="1142"/>
      <c r="CM7" s="1142"/>
      <c r="CN7" s="1142"/>
      <c r="CT7" s="15"/>
      <c r="CV7"/>
      <c r="CZ7" s="5"/>
      <c r="DA7" s="5"/>
      <c r="DB7" s="5"/>
      <c r="DF7" s="5"/>
      <c r="DG7" s="5"/>
      <c r="DH7" s="5"/>
      <c r="DI7" s="5"/>
      <c r="DJ7" s="5"/>
      <c r="DR7" s="1142" t="str">
        <f>Lookup!$D$19</f>
        <v>MULTI-FAMILY LIGHTING INCENTIVE PROGRAM</v>
      </c>
      <c r="DS7" s="1142"/>
      <c r="DT7" s="1142"/>
      <c r="DU7" s="1142"/>
      <c r="DV7" s="1142"/>
      <c r="DW7" s="1142"/>
      <c r="DX7" s="1142"/>
      <c r="DY7" s="1142"/>
      <c r="DZ7" s="1142"/>
      <c r="EA7" s="1142"/>
      <c r="EB7" s="1142"/>
      <c r="EC7" s="1142"/>
      <c r="ED7" s="1142"/>
      <c r="EE7" s="1142"/>
      <c r="EF7" s="1142"/>
      <c r="EG7" s="1142"/>
      <c r="EH7" s="1142"/>
      <c r="EI7" s="1142"/>
      <c r="EJ7" s="1142"/>
      <c r="EK7" s="1142"/>
      <c r="EL7" s="1142"/>
      <c r="EM7" s="1142"/>
      <c r="EN7" s="1142"/>
      <c r="EY7" s="15"/>
      <c r="EZ7" s="631"/>
      <c r="FA7" s="631"/>
      <c r="FB7" s="631"/>
      <c r="FC7" s="7"/>
      <c r="FD7" s="7"/>
      <c r="FE7" s="7"/>
      <c r="FF7" s="7"/>
      <c r="FG7" s="7"/>
      <c r="FH7" s="7"/>
      <c r="FI7" s="7"/>
      <c r="FJ7" s="7"/>
      <c r="FK7" s="608"/>
      <c r="FL7" s="608"/>
      <c r="FM7" s="608"/>
      <c r="FN7" s="602"/>
      <c r="FO7" s="602"/>
      <c r="FP7" s="602"/>
      <c r="FQ7" s="602"/>
      <c r="FR7" s="602"/>
      <c r="FS7" s="602"/>
      <c r="FT7" s="602"/>
      <c r="FU7" s="602"/>
      <c r="FV7" s="602"/>
      <c r="FW7" s="602"/>
      <c r="FX7" s="602"/>
      <c r="FY7" s="602"/>
      <c r="FZ7" s="602"/>
      <c r="GA7" s="602"/>
      <c r="GB7" s="602"/>
      <c r="GC7" s="602"/>
      <c r="GD7" s="602"/>
      <c r="GE7" s="602"/>
      <c r="GF7" s="602"/>
      <c r="GG7" s="602"/>
      <c r="GH7" s="602"/>
      <c r="GI7" s="602"/>
      <c r="GJ7" s="602"/>
      <c r="GK7" s="602"/>
      <c r="GL7" s="602"/>
      <c r="GM7" s="602"/>
      <c r="GN7" s="602"/>
      <c r="GO7" s="602"/>
      <c r="GP7" s="602"/>
      <c r="GQ7" s="602"/>
      <c r="GR7" s="602"/>
      <c r="GS7" s="602"/>
      <c r="GT7" s="602"/>
      <c r="GU7" s="602"/>
      <c r="GV7" s="602"/>
      <c r="GW7" s="602"/>
      <c r="GX7" s="602"/>
      <c r="GY7" s="602"/>
      <c r="GZ7" s="602"/>
      <c r="HA7" s="602"/>
      <c r="HB7" s="602"/>
      <c r="HC7" s="602"/>
      <c r="HD7" s="602"/>
      <c r="HE7" s="602"/>
      <c r="HF7" s="602"/>
      <c r="HG7" s="602"/>
      <c r="HH7" s="602"/>
      <c r="HI7" s="602"/>
      <c r="HJ7" s="602"/>
      <c r="HK7" s="602"/>
      <c r="HL7" s="602"/>
      <c r="HM7" s="602"/>
      <c r="HN7" s="602"/>
      <c r="HO7" s="602"/>
      <c r="HP7" s="602"/>
      <c r="HQ7" s="602"/>
      <c r="HR7" s="602"/>
      <c r="HS7" s="602"/>
      <c r="HT7" s="602"/>
      <c r="HU7" s="602"/>
      <c r="HV7" s="602"/>
      <c r="HW7" s="602"/>
      <c r="HX7" s="602"/>
      <c r="HY7" s="602"/>
      <c r="HZ7" s="602"/>
      <c r="IA7" s="602"/>
      <c r="IB7" s="602"/>
      <c r="IC7" s="602"/>
      <c r="ID7" s="602"/>
      <c r="IE7" s="602"/>
      <c r="IF7" s="602"/>
      <c r="IG7" s="602"/>
      <c r="IH7" s="602"/>
      <c r="II7" s="602"/>
      <c r="IJ7" s="602"/>
      <c r="IK7" s="602"/>
      <c r="IL7" s="602"/>
      <c r="IM7" s="602"/>
      <c r="IN7" s="602"/>
      <c r="IO7" s="602"/>
      <c r="IP7" s="602"/>
      <c r="IQ7" s="602"/>
      <c r="IR7" s="602"/>
      <c r="IS7" s="602"/>
      <c r="IT7" s="602"/>
      <c r="IU7" s="602"/>
      <c r="IV7" s="602"/>
      <c r="IW7" s="602"/>
      <c r="IX7" s="602"/>
      <c r="IY7" s="602"/>
      <c r="IZ7" s="602"/>
      <c r="JA7" s="602"/>
      <c r="JB7" s="602"/>
      <c r="JC7" s="602"/>
      <c r="JD7" s="602"/>
      <c r="JE7" s="602"/>
      <c r="JF7" s="602"/>
      <c r="JG7" s="602"/>
      <c r="JH7" s="602"/>
      <c r="JI7" s="602"/>
      <c r="JJ7" s="602"/>
      <c r="JK7" s="602"/>
      <c r="JL7" s="602"/>
      <c r="JM7" s="602"/>
      <c r="JN7" s="602"/>
      <c r="JO7" s="602"/>
      <c r="JP7" s="602"/>
      <c r="JQ7" s="602"/>
      <c r="JR7" s="602"/>
      <c r="JS7" s="602"/>
      <c r="JT7" s="602"/>
      <c r="JU7" s="602"/>
      <c r="JV7" s="602"/>
      <c r="JW7" s="602"/>
      <c r="JX7" s="602"/>
      <c r="JY7" s="602"/>
      <c r="JZ7" s="602"/>
      <c r="KA7" s="602"/>
      <c r="KB7" s="602"/>
      <c r="KC7" s="602"/>
      <c r="KD7" s="602"/>
      <c r="KE7" s="602"/>
      <c r="KF7" s="602"/>
      <c r="KG7" s="602"/>
      <c r="KH7" s="602"/>
      <c r="KI7" s="602"/>
      <c r="KJ7" s="602"/>
      <c r="KK7" s="602"/>
      <c r="KL7" s="602"/>
      <c r="KM7" s="602"/>
      <c r="KN7" s="602"/>
      <c r="KO7" s="602"/>
      <c r="KP7" s="602"/>
      <c r="KQ7" s="602"/>
      <c r="KR7" s="602"/>
      <c r="KS7" s="602"/>
      <c r="KT7" s="602"/>
      <c r="KU7" s="602"/>
      <c r="KV7" s="602"/>
      <c r="KW7" s="602"/>
      <c r="KX7" s="602"/>
      <c r="KY7" s="602"/>
      <c r="KZ7" s="602"/>
      <c r="LA7" s="602"/>
    </row>
    <row r="8" spans="3:313" s="3" customFormat="1" ht="14.95" customHeight="1">
      <c r="C8" s="1148"/>
      <c r="D8" s="1148"/>
      <c r="E8" s="1148"/>
      <c r="F8" s="1148"/>
      <c r="G8" s="1148"/>
      <c r="J8" s="1142"/>
      <c r="K8" s="1142"/>
      <c r="L8" s="1142"/>
      <c r="M8" s="1142"/>
      <c r="N8" s="1142"/>
      <c r="O8" s="1142"/>
      <c r="P8" s="1142"/>
      <c r="Q8" s="1142"/>
      <c r="R8" s="1142"/>
      <c r="S8" s="1142"/>
      <c r="T8" s="1142"/>
      <c r="U8" s="1142"/>
      <c r="V8" s="1142"/>
      <c r="W8" s="1142"/>
      <c r="X8" s="1142"/>
      <c r="Y8" s="1142"/>
      <c r="Z8" s="1142"/>
      <c r="AA8" s="473"/>
      <c r="AC8" s="1148"/>
      <c r="AD8" s="1148"/>
      <c r="AE8" s="1148"/>
      <c r="AF8" s="1148"/>
      <c r="AG8" s="1148"/>
      <c r="AI8" s="16"/>
      <c r="BP8" s="16"/>
      <c r="BQ8" s="16"/>
      <c r="BR8" s="1142"/>
      <c r="BS8" s="1142"/>
      <c r="BT8" s="1142"/>
      <c r="BU8" s="1142"/>
      <c r="BV8" s="1142"/>
      <c r="BW8" s="1142"/>
      <c r="BX8" s="1142"/>
      <c r="BY8" s="1142"/>
      <c r="BZ8" s="1142"/>
      <c r="CA8" s="1142"/>
      <c r="CB8" s="1142"/>
      <c r="CC8" s="1142"/>
      <c r="CD8" s="1142"/>
      <c r="CE8" s="1142"/>
      <c r="CF8" s="1142"/>
      <c r="CG8" s="1142"/>
      <c r="CH8" s="1142"/>
      <c r="CI8" s="1142"/>
      <c r="CJ8" s="1142"/>
      <c r="CK8" s="1142"/>
      <c r="CL8" s="1142"/>
      <c r="CM8" s="1142"/>
      <c r="CN8" s="1142"/>
      <c r="CS8" s="473"/>
      <c r="CT8" s="15"/>
      <c r="CV8"/>
      <c r="CZ8" s="5"/>
      <c r="DA8" s="5"/>
      <c r="DB8" s="5"/>
      <c r="DF8" s="5"/>
      <c r="DG8" s="5"/>
      <c r="DH8" s="5"/>
      <c r="DI8" s="5"/>
      <c r="DJ8" s="5"/>
      <c r="DP8" s="16"/>
      <c r="DQ8" s="16"/>
      <c r="DR8" s="1142"/>
      <c r="DS8" s="1142"/>
      <c r="DT8" s="1142"/>
      <c r="DU8" s="1142"/>
      <c r="DV8" s="1142"/>
      <c r="DW8" s="1142"/>
      <c r="DX8" s="1142"/>
      <c r="DY8" s="1142"/>
      <c r="DZ8" s="1142"/>
      <c r="EA8" s="1142"/>
      <c r="EB8" s="1142"/>
      <c r="EC8" s="1142"/>
      <c r="ED8" s="1142"/>
      <c r="EE8" s="1142"/>
      <c r="EF8" s="1142"/>
      <c r="EG8" s="1142"/>
      <c r="EH8" s="1142"/>
      <c r="EI8" s="1142"/>
      <c r="EJ8" s="1142"/>
      <c r="EK8" s="1142"/>
      <c r="EL8" s="1142"/>
      <c r="EM8" s="1142"/>
      <c r="EN8" s="1142"/>
      <c r="EW8" s="473"/>
      <c r="EX8" s="473"/>
      <c r="EY8" s="15"/>
      <c r="EZ8" s="631"/>
      <c r="FA8" s="631"/>
      <c r="FB8" s="631"/>
      <c r="FC8" s="7"/>
      <c r="FD8" s="7"/>
      <c r="FE8" s="7"/>
      <c r="FF8" s="607"/>
      <c r="FG8" s="7"/>
      <c r="FH8" s="7"/>
      <c r="FI8" s="7"/>
      <c r="FJ8" s="7"/>
      <c r="FK8" s="608"/>
      <c r="FL8" s="608"/>
      <c r="FM8" s="608"/>
      <c r="FN8" s="602"/>
      <c r="FO8" s="602"/>
      <c r="FP8" s="602"/>
      <c r="FQ8" s="602"/>
      <c r="FR8" s="602"/>
      <c r="FS8" s="602"/>
      <c r="FT8" s="602"/>
      <c r="FU8" s="602"/>
      <c r="FV8" s="602"/>
      <c r="FW8" s="602"/>
      <c r="FX8" s="602"/>
      <c r="FY8" s="602"/>
      <c r="FZ8" s="602"/>
      <c r="GA8" s="602"/>
      <c r="GB8" s="602"/>
      <c r="GC8" s="602"/>
      <c r="GD8" s="602"/>
      <c r="GE8" s="602"/>
      <c r="GF8" s="602"/>
      <c r="GG8" s="602"/>
      <c r="GH8" s="602"/>
      <c r="GI8" s="602"/>
      <c r="GJ8" s="602"/>
      <c r="GK8" s="602"/>
      <c r="GL8" s="602"/>
      <c r="GM8" s="602"/>
      <c r="GN8" s="602"/>
      <c r="GO8" s="602"/>
      <c r="GP8" s="602"/>
      <c r="GQ8" s="602"/>
      <c r="GR8" s="602"/>
      <c r="GS8" s="602"/>
      <c r="GT8" s="602"/>
      <c r="GU8" s="602"/>
      <c r="GV8" s="602"/>
      <c r="GW8" s="602"/>
      <c r="GX8" s="602"/>
      <c r="GY8" s="602"/>
      <c r="GZ8" s="602"/>
      <c r="HA8" s="602"/>
      <c r="HB8" s="602"/>
      <c r="HC8" s="602"/>
      <c r="HD8" s="602"/>
      <c r="HE8" s="602"/>
      <c r="HF8" s="602"/>
      <c r="HG8" s="602"/>
      <c r="HH8" s="602"/>
      <c r="HI8" s="602"/>
      <c r="HJ8" s="602"/>
      <c r="HK8" s="602"/>
      <c r="HL8" s="602"/>
      <c r="HM8" s="602"/>
      <c r="HN8" s="602"/>
      <c r="HO8" s="602"/>
      <c r="HP8" s="602"/>
      <c r="HQ8" s="602"/>
      <c r="HR8" s="602"/>
      <c r="HS8" s="602"/>
      <c r="HT8" s="602"/>
      <c r="HU8" s="602"/>
      <c r="HV8" s="602"/>
      <c r="HW8" s="602"/>
      <c r="HX8" s="602"/>
      <c r="HY8" s="602"/>
      <c r="HZ8" s="602"/>
      <c r="IA8" s="602"/>
      <c r="IB8" s="602"/>
      <c r="IC8" s="602"/>
      <c r="ID8" s="602"/>
      <c r="IE8" s="602"/>
      <c r="IF8" s="602"/>
      <c r="IG8" s="602"/>
      <c r="IH8" s="602"/>
      <c r="II8" s="602"/>
      <c r="IJ8" s="602"/>
      <c r="IK8" s="602"/>
      <c r="IL8" s="602"/>
      <c r="IM8" s="602"/>
      <c r="IN8" s="602"/>
      <c r="IO8" s="602"/>
      <c r="IP8" s="602"/>
      <c r="IQ8" s="602"/>
      <c r="IR8" s="602"/>
      <c r="IS8" s="602"/>
      <c r="IT8" s="602"/>
      <c r="IU8" s="602"/>
      <c r="IV8" s="602"/>
      <c r="IW8" s="602"/>
      <c r="IX8" s="602"/>
      <c r="IY8" s="602"/>
      <c r="IZ8" s="602"/>
      <c r="JA8" s="602"/>
      <c r="JB8" s="602"/>
      <c r="JC8" s="602"/>
      <c r="JD8" s="602"/>
      <c r="JE8" s="602"/>
      <c r="JF8" s="602"/>
      <c r="JG8" s="602"/>
      <c r="JH8" s="602"/>
      <c r="JI8" s="602"/>
      <c r="JJ8" s="602"/>
      <c r="JK8" s="602"/>
      <c r="JL8" s="602"/>
      <c r="JM8" s="602"/>
      <c r="JN8" s="602"/>
      <c r="JO8" s="602"/>
      <c r="JP8" s="602"/>
      <c r="JQ8" s="602"/>
      <c r="JR8" s="602"/>
      <c r="JS8" s="602"/>
      <c r="JT8" s="602"/>
      <c r="JU8" s="602"/>
      <c r="JV8" s="602"/>
      <c r="JW8" s="602"/>
      <c r="JX8" s="602"/>
      <c r="JY8" s="602"/>
      <c r="JZ8" s="602"/>
      <c r="KA8" s="602"/>
      <c r="KB8" s="602"/>
      <c r="KC8" s="602"/>
      <c r="KD8" s="602"/>
      <c r="KE8" s="602"/>
      <c r="KF8" s="602"/>
      <c r="KG8" s="602"/>
      <c r="KH8" s="602"/>
      <c r="KI8" s="602"/>
      <c r="KJ8" s="602"/>
      <c r="KK8" s="602"/>
      <c r="KL8" s="602"/>
      <c r="KM8" s="602"/>
      <c r="KN8" s="602"/>
      <c r="KO8" s="602"/>
      <c r="KP8" s="602"/>
      <c r="KQ8" s="602"/>
      <c r="KR8" s="602"/>
      <c r="KS8" s="602"/>
      <c r="KT8" s="602"/>
      <c r="KU8" s="602"/>
      <c r="KV8" s="602"/>
      <c r="KW8" s="602"/>
      <c r="KX8" s="602"/>
      <c r="KY8" s="602"/>
      <c r="KZ8" s="602"/>
      <c r="LA8" s="602"/>
    </row>
    <row r="9" spans="3:313" s="3" customFormat="1" ht="5.0999999999999996" customHeight="1">
      <c r="G9" s="473"/>
      <c r="H9" s="473"/>
      <c r="J9" s="1143" t="str">
        <f>Lookup!$D$20</f>
        <v>Multi-Family Lighting 2022 STANDARD Application V2-2 - Valid through 12/31/2022</v>
      </c>
      <c r="K9" s="1143"/>
      <c r="L9" s="1143"/>
      <c r="M9" s="1143"/>
      <c r="N9" s="1143"/>
      <c r="O9" s="1143"/>
      <c r="P9" s="1143"/>
      <c r="Q9" s="1143"/>
      <c r="R9" s="1143"/>
      <c r="S9" s="1143"/>
      <c r="T9" s="1143"/>
      <c r="U9" s="1143"/>
      <c r="V9" s="1143"/>
      <c r="W9" s="1143"/>
      <c r="X9" s="1143"/>
      <c r="Y9" s="1143"/>
      <c r="Z9" s="1143"/>
      <c r="AA9" s="473"/>
      <c r="AG9" s="473"/>
      <c r="AH9" s="473"/>
      <c r="AI9" s="473"/>
      <c r="AJ9" s="473"/>
      <c r="BP9" s="16"/>
      <c r="BQ9" s="16"/>
      <c r="BR9" s="1143" t="str">
        <f>Lookup!D20</f>
        <v>Multi-Family Lighting 2022 STANDARD Application V2-2 - Valid through 12/31/2022</v>
      </c>
      <c r="BS9" s="1143"/>
      <c r="BT9" s="1143"/>
      <c r="BU9" s="1143"/>
      <c r="BV9" s="1143"/>
      <c r="BW9" s="1143"/>
      <c r="BX9" s="1143"/>
      <c r="BY9" s="1143"/>
      <c r="BZ9" s="1143"/>
      <c r="CA9" s="1143"/>
      <c r="CB9" s="1143"/>
      <c r="CC9" s="1143"/>
      <c r="CD9" s="1143"/>
      <c r="CE9" s="1143"/>
      <c r="CF9" s="1143"/>
      <c r="CG9" s="1143"/>
      <c r="CH9" s="1143"/>
      <c r="CI9" s="1143"/>
      <c r="CJ9" s="1143"/>
      <c r="CK9" s="1143"/>
      <c r="CL9" s="1143"/>
      <c r="CM9" s="1143"/>
      <c r="CN9" s="1143"/>
      <c r="CS9" s="473"/>
      <c r="CT9" s="15"/>
      <c r="CV9"/>
      <c r="CZ9" s="5"/>
      <c r="DA9" s="5"/>
      <c r="DB9" s="5"/>
      <c r="DF9" s="5"/>
      <c r="DG9" s="5"/>
      <c r="DH9" s="5"/>
      <c r="DI9" s="5"/>
      <c r="DJ9" s="5"/>
      <c r="DP9" s="16"/>
      <c r="DQ9" s="16"/>
      <c r="DR9" s="1143" t="str">
        <f>Lookup!$D$20</f>
        <v>Multi-Family Lighting 2022 STANDARD Application V2-2 - Valid through 12/31/2022</v>
      </c>
      <c r="DS9" s="1143"/>
      <c r="DT9" s="1143"/>
      <c r="DU9" s="1143"/>
      <c r="DV9" s="1143"/>
      <c r="DW9" s="1143"/>
      <c r="DX9" s="1143"/>
      <c r="DY9" s="1143"/>
      <c r="DZ9" s="1143"/>
      <c r="EA9" s="1143"/>
      <c r="EB9" s="1143"/>
      <c r="EC9" s="1143"/>
      <c r="ED9" s="1143"/>
      <c r="EE9" s="1143"/>
      <c r="EF9" s="1143"/>
      <c r="EG9" s="1143"/>
      <c r="EH9" s="1143"/>
      <c r="EI9" s="1143"/>
      <c r="EJ9" s="1143"/>
      <c r="EK9" s="1143"/>
      <c r="EL9" s="1143"/>
      <c r="EM9" s="1143"/>
      <c r="EN9" s="1143"/>
      <c r="EW9" s="473"/>
      <c r="EX9" s="473"/>
      <c r="EY9" s="15"/>
      <c r="EZ9" s="631"/>
      <c r="FA9" s="631"/>
      <c r="FB9" s="631"/>
      <c r="FC9" s="7"/>
      <c r="FD9" s="7"/>
      <c r="FE9" s="7"/>
      <c r="FF9" s="7"/>
      <c r="FG9" s="7"/>
      <c r="FH9" s="7"/>
      <c r="FI9" s="7"/>
      <c r="FJ9" s="7"/>
      <c r="FK9" s="608"/>
      <c r="FL9" s="608"/>
      <c r="FM9" s="608"/>
      <c r="FN9" s="602"/>
      <c r="FO9" s="602"/>
      <c r="FP9" s="602"/>
      <c r="FQ9" s="602"/>
      <c r="FR9" s="602"/>
      <c r="FS9" s="602"/>
      <c r="FT9" s="602"/>
      <c r="FU9" s="602"/>
      <c r="FV9" s="602"/>
      <c r="FW9" s="602"/>
      <c r="FX9" s="602"/>
      <c r="FY9" s="602"/>
      <c r="FZ9" s="602"/>
      <c r="GA9" s="602"/>
      <c r="GB9" s="602"/>
      <c r="GC9" s="602"/>
      <c r="GD9" s="602"/>
      <c r="GE9" s="602"/>
      <c r="GF9" s="602"/>
      <c r="GG9" s="602"/>
      <c r="GH9" s="602"/>
      <c r="GI9" s="602"/>
      <c r="GJ9" s="602"/>
      <c r="GK9" s="602"/>
      <c r="GL9" s="602"/>
      <c r="GM9" s="602"/>
      <c r="GN9" s="602"/>
      <c r="GO9" s="602"/>
      <c r="GP9" s="602"/>
      <c r="GQ9" s="602"/>
      <c r="GR9" s="602"/>
      <c r="GS9" s="602"/>
      <c r="GT9" s="602"/>
      <c r="GU9" s="602"/>
      <c r="GV9" s="602"/>
      <c r="GW9" s="602"/>
      <c r="GX9" s="602"/>
      <c r="GY9" s="602"/>
      <c r="GZ9" s="602"/>
      <c r="HA9" s="602"/>
      <c r="HB9" s="602"/>
      <c r="HC9" s="602"/>
      <c r="HD9" s="602"/>
      <c r="HE9" s="602"/>
      <c r="HF9" s="602"/>
      <c r="HG9" s="602"/>
      <c r="HH9" s="602"/>
      <c r="HI9" s="602"/>
      <c r="HJ9" s="602"/>
      <c r="HK9" s="602"/>
      <c r="HL9" s="602"/>
      <c r="HM9" s="602"/>
      <c r="HN9" s="602"/>
      <c r="HO9" s="602"/>
      <c r="HP9" s="602"/>
      <c r="HQ9" s="602"/>
      <c r="HR9" s="602"/>
      <c r="HS9" s="602"/>
      <c r="HT9" s="602"/>
      <c r="HU9" s="602"/>
      <c r="HV9" s="602"/>
      <c r="HW9" s="602"/>
      <c r="HX9" s="602"/>
      <c r="HY9" s="602"/>
      <c r="HZ9" s="602"/>
      <c r="IA9" s="602"/>
      <c r="IB9" s="602"/>
      <c r="IC9" s="602"/>
      <c r="ID9" s="602"/>
      <c r="IE9" s="602"/>
      <c r="IF9" s="602"/>
      <c r="IG9" s="602"/>
      <c r="IH9" s="602"/>
      <c r="II9" s="602"/>
      <c r="IJ9" s="602"/>
      <c r="IK9" s="602"/>
      <c r="IL9" s="602"/>
      <c r="IM9" s="602"/>
      <c r="IN9" s="602"/>
      <c r="IO9" s="602"/>
      <c r="IP9" s="602"/>
      <c r="IQ9" s="602"/>
      <c r="IR9" s="602"/>
      <c r="IS9" s="602"/>
      <c r="IT9" s="602"/>
      <c r="IU9" s="602"/>
      <c r="IV9" s="602"/>
      <c r="IW9" s="602"/>
      <c r="IX9" s="602"/>
      <c r="IY9" s="602"/>
      <c r="IZ9" s="602"/>
      <c r="JA9" s="602"/>
      <c r="JB9" s="602"/>
      <c r="JC9" s="602"/>
      <c r="JD9" s="602"/>
      <c r="JE9" s="602"/>
      <c r="JF9" s="602"/>
      <c r="JG9" s="602"/>
      <c r="JH9" s="602"/>
      <c r="JI9" s="602"/>
      <c r="JJ9" s="602"/>
      <c r="JK9" s="602"/>
      <c r="JL9" s="602"/>
      <c r="JM9" s="602"/>
      <c r="JN9" s="602"/>
      <c r="JO9" s="602"/>
      <c r="JP9" s="602"/>
      <c r="JQ9" s="602"/>
      <c r="JR9" s="602"/>
      <c r="JS9" s="602"/>
      <c r="JT9" s="602"/>
      <c r="JU9" s="602"/>
      <c r="JV9" s="602"/>
      <c r="JW9" s="602"/>
      <c r="JX9" s="602"/>
      <c r="JY9" s="602"/>
      <c r="JZ9" s="602"/>
      <c r="KA9" s="602"/>
      <c r="KB9" s="602"/>
      <c r="KC9" s="602"/>
      <c r="KD9" s="602"/>
      <c r="KE9" s="602"/>
      <c r="KF9" s="602"/>
      <c r="KG9" s="602"/>
      <c r="KH9" s="602"/>
      <c r="KI9" s="602"/>
      <c r="KJ9" s="602"/>
      <c r="KK9" s="602"/>
      <c r="KL9" s="602"/>
      <c r="KM9" s="602"/>
      <c r="KN9" s="602"/>
      <c r="KO9" s="602"/>
      <c r="KP9" s="602"/>
      <c r="KQ9" s="602"/>
      <c r="KR9" s="602"/>
      <c r="KS9" s="602"/>
      <c r="KT9" s="602"/>
      <c r="KU9" s="602"/>
      <c r="KV9" s="602"/>
      <c r="KW9" s="602"/>
      <c r="KX9" s="602"/>
      <c r="KY9" s="602"/>
      <c r="KZ9" s="602"/>
      <c r="LA9" s="602"/>
    </row>
    <row r="10" spans="3:313" s="3" customFormat="1" ht="14.95" customHeight="1">
      <c r="C10" s="1148"/>
      <c r="D10" s="1148"/>
      <c r="E10" s="1148"/>
      <c r="F10" s="1148"/>
      <c r="G10" s="1148"/>
      <c r="J10" s="1143"/>
      <c r="K10" s="1143"/>
      <c r="L10" s="1143"/>
      <c r="M10" s="1143"/>
      <c r="N10" s="1143"/>
      <c r="O10" s="1143"/>
      <c r="P10" s="1143"/>
      <c r="Q10" s="1143"/>
      <c r="R10" s="1143"/>
      <c r="S10" s="1143"/>
      <c r="T10" s="1143"/>
      <c r="U10" s="1143"/>
      <c r="V10" s="1143"/>
      <c r="W10" s="1143"/>
      <c r="X10" s="1143"/>
      <c r="Y10" s="1143"/>
      <c r="Z10" s="1143"/>
      <c r="AA10" s="445"/>
      <c r="AC10" s="1148"/>
      <c r="AD10" s="1148"/>
      <c r="AE10" s="1148"/>
      <c r="AF10" s="1148"/>
      <c r="AG10" s="1148"/>
      <c r="AI10" s="91"/>
      <c r="AJ10" s="91"/>
      <c r="AK10" s="91"/>
      <c r="AL10" s="91"/>
      <c r="BP10" s="16"/>
      <c r="BQ10" s="16"/>
      <c r="BR10" s="1143"/>
      <c r="BS10" s="1143"/>
      <c r="BT10" s="1143"/>
      <c r="BU10" s="1143"/>
      <c r="BV10" s="1143"/>
      <c r="BW10" s="1143"/>
      <c r="BX10" s="1143"/>
      <c r="BY10" s="1143"/>
      <c r="BZ10" s="1143"/>
      <c r="CA10" s="1143"/>
      <c r="CB10" s="1143"/>
      <c r="CC10" s="1143"/>
      <c r="CD10" s="1143"/>
      <c r="CE10" s="1143"/>
      <c r="CF10" s="1143"/>
      <c r="CG10" s="1143"/>
      <c r="CH10" s="1143"/>
      <c r="CI10" s="1143"/>
      <c r="CJ10" s="1143"/>
      <c r="CK10" s="1143"/>
      <c r="CL10" s="1143"/>
      <c r="CM10" s="1143"/>
      <c r="CN10" s="1143"/>
      <c r="CS10" s="16"/>
      <c r="CT10" s="15"/>
      <c r="CV10"/>
      <c r="CZ10" s="5"/>
      <c r="DA10" s="5"/>
      <c r="DB10" s="5"/>
      <c r="DF10" s="5"/>
      <c r="DG10" s="5"/>
      <c r="DH10" s="5"/>
      <c r="DI10" s="5"/>
      <c r="DJ10" s="5"/>
      <c r="DP10" s="16"/>
      <c r="DQ10" s="16"/>
      <c r="DR10" s="1143"/>
      <c r="DS10" s="1143"/>
      <c r="DT10" s="1143"/>
      <c r="DU10" s="1143"/>
      <c r="DV10" s="1143"/>
      <c r="DW10" s="1143"/>
      <c r="DX10" s="1143"/>
      <c r="DY10" s="1143"/>
      <c r="DZ10" s="1143"/>
      <c r="EA10" s="1143"/>
      <c r="EB10" s="1143"/>
      <c r="EC10" s="1143"/>
      <c r="ED10" s="1143"/>
      <c r="EE10" s="1143"/>
      <c r="EF10" s="1143"/>
      <c r="EG10" s="1143"/>
      <c r="EH10" s="1143"/>
      <c r="EI10" s="1143"/>
      <c r="EJ10" s="1143"/>
      <c r="EK10" s="1143"/>
      <c r="EL10" s="1143"/>
      <c r="EM10" s="1143"/>
      <c r="EN10" s="1143"/>
      <c r="EW10" s="16"/>
      <c r="EX10" s="16"/>
      <c r="EY10" s="15"/>
      <c r="EZ10" s="631"/>
      <c r="FA10" s="631"/>
      <c r="FB10" s="631"/>
      <c r="FC10" s="7"/>
      <c r="FD10" s="7"/>
      <c r="FE10" s="7"/>
      <c r="FF10" s="7"/>
      <c r="FG10" s="7"/>
      <c r="FH10" s="7"/>
      <c r="FI10" s="7"/>
      <c r="FJ10" s="7"/>
      <c r="FK10" s="610">
        <v>1</v>
      </c>
      <c r="FL10" s="610">
        <v>2</v>
      </c>
      <c r="FM10" s="610">
        <v>3</v>
      </c>
      <c r="FN10" s="610">
        <v>4</v>
      </c>
      <c r="FO10" s="610">
        <v>5</v>
      </c>
      <c r="FP10" s="610">
        <v>6</v>
      </c>
      <c r="FQ10" s="610">
        <v>7</v>
      </c>
      <c r="FR10" s="610">
        <v>8</v>
      </c>
      <c r="FS10" s="610">
        <v>9</v>
      </c>
      <c r="FT10" s="612">
        <v>10</v>
      </c>
      <c r="FU10" s="611">
        <v>11</v>
      </c>
      <c r="FV10" s="610">
        <v>12</v>
      </c>
      <c r="FW10" s="610">
        <v>13</v>
      </c>
      <c r="FX10" s="610">
        <v>14</v>
      </c>
      <c r="FY10" s="610">
        <v>15</v>
      </c>
      <c r="FZ10" s="610">
        <v>16</v>
      </c>
      <c r="GA10" s="610">
        <v>17</v>
      </c>
      <c r="GB10" s="610">
        <v>18</v>
      </c>
      <c r="GC10" s="610">
        <v>19</v>
      </c>
      <c r="GD10" s="610">
        <v>20</v>
      </c>
      <c r="GE10" s="610">
        <v>21</v>
      </c>
      <c r="GF10" s="610">
        <v>22</v>
      </c>
      <c r="GG10" s="610">
        <v>23</v>
      </c>
      <c r="GH10" s="610">
        <v>24</v>
      </c>
      <c r="GI10" s="612">
        <v>25</v>
      </c>
      <c r="GJ10" s="611">
        <v>26</v>
      </c>
      <c r="GK10" s="610">
        <v>27</v>
      </c>
      <c r="GL10" s="610">
        <v>28</v>
      </c>
      <c r="GM10" s="610">
        <v>29</v>
      </c>
      <c r="GN10" s="610">
        <v>30</v>
      </c>
      <c r="GO10" s="610">
        <v>31</v>
      </c>
      <c r="GP10" s="610">
        <v>32</v>
      </c>
      <c r="GQ10" s="610">
        <v>33</v>
      </c>
      <c r="GR10" s="610">
        <v>34</v>
      </c>
      <c r="GS10" s="610">
        <v>35</v>
      </c>
      <c r="GT10" s="610">
        <v>36</v>
      </c>
      <c r="GU10" s="610">
        <v>37</v>
      </c>
      <c r="GV10" s="610">
        <v>38</v>
      </c>
      <c r="GW10" s="610">
        <v>39</v>
      </c>
      <c r="GX10" s="612">
        <v>40</v>
      </c>
      <c r="GY10" s="611">
        <v>41</v>
      </c>
      <c r="GZ10" s="610">
        <v>42</v>
      </c>
      <c r="HA10" s="610">
        <v>43</v>
      </c>
      <c r="HB10" s="610">
        <v>44</v>
      </c>
      <c r="HC10" s="610">
        <v>45</v>
      </c>
      <c r="HD10" s="610">
        <v>46</v>
      </c>
      <c r="HE10" s="610">
        <v>47</v>
      </c>
      <c r="HF10" s="610">
        <v>48</v>
      </c>
      <c r="HG10" s="610">
        <v>49</v>
      </c>
      <c r="HH10" s="610">
        <v>50</v>
      </c>
      <c r="HI10" s="610">
        <v>51</v>
      </c>
      <c r="HJ10" s="610">
        <v>52</v>
      </c>
      <c r="HK10" s="610">
        <v>53</v>
      </c>
      <c r="HL10" s="610">
        <v>54</v>
      </c>
      <c r="HM10" s="612">
        <v>55</v>
      </c>
      <c r="HN10" s="611">
        <v>56</v>
      </c>
      <c r="HO10" s="610">
        <v>57</v>
      </c>
      <c r="HP10" s="610">
        <v>58</v>
      </c>
      <c r="HQ10" s="610">
        <v>59</v>
      </c>
      <c r="HR10" s="610">
        <v>60</v>
      </c>
      <c r="HS10" s="610">
        <v>61</v>
      </c>
      <c r="HT10" s="610">
        <v>62</v>
      </c>
      <c r="HU10" s="610">
        <v>63</v>
      </c>
      <c r="HV10" s="610">
        <v>64</v>
      </c>
      <c r="HW10" s="610">
        <v>65</v>
      </c>
      <c r="HX10" s="610">
        <v>66</v>
      </c>
      <c r="HY10" s="610">
        <v>67</v>
      </c>
      <c r="HZ10" s="610">
        <v>68</v>
      </c>
      <c r="IA10" s="610">
        <v>69</v>
      </c>
      <c r="IB10" s="612">
        <v>70</v>
      </c>
      <c r="IC10" s="611">
        <v>71</v>
      </c>
      <c r="ID10" s="610">
        <v>72</v>
      </c>
      <c r="IE10" s="610">
        <v>73</v>
      </c>
      <c r="IF10" s="610">
        <v>74</v>
      </c>
      <c r="IG10" s="610">
        <v>75</v>
      </c>
      <c r="IH10" s="610">
        <v>76</v>
      </c>
      <c r="II10" s="610">
        <v>77</v>
      </c>
      <c r="IJ10" s="610">
        <v>78</v>
      </c>
      <c r="IK10" s="610">
        <v>79</v>
      </c>
      <c r="IL10" s="610">
        <v>80</v>
      </c>
      <c r="IM10" s="610">
        <v>81</v>
      </c>
      <c r="IN10" s="610">
        <v>82</v>
      </c>
      <c r="IO10" s="610">
        <v>83</v>
      </c>
      <c r="IP10" s="610">
        <v>84</v>
      </c>
      <c r="IQ10" s="612">
        <v>85</v>
      </c>
      <c r="IR10" s="611">
        <v>86</v>
      </c>
      <c r="IS10" s="610">
        <v>87</v>
      </c>
      <c r="IT10" s="610">
        <v>88</v>
      </c>
      <c r="IU10" s="610">
        <v>89</v>
      </c>
      <c r="IV10" s="610">
        <v>90</v>
      </c>
      <c r="IW10" s="610">
        <v>91</v>
      </c>
      <c r="IX10" s="610">
        <v>92</v>
      </c>
      <c r="IY10" s="610">
        <v>93</v>
      </c>
      <c r="IZ10" s="610">
        <v>94</v>
      </c>
      <c r="JA10" s="610">
        <v>95</v>
      </c>
      <c r="JB10" s="610">
        <v>96</v>
      </c>
      <c r="JC10" s="610">
        <v>97</v>
      </c>
      <c r="JD10" s="610">
        <v>98</v>
      </c>
      <c r="JE10" s="610">
        <v>99</v>
      </c>
      <c r="JF10" s="612">
        <v>100</v>
      </c>
      <c r="JG10" s="611">
        <v>101</v>
      </c>
      <c r="JH10" s="610">
        <v>102</v>
      </c>
      <c r="JI10" s="610">
        <v>103</v>
      </c>
      <c r="JJ10" s="610">
        <v>104</v>
      </c>
      <c r="JK10" s="610">
        <v>105</v>
      </c>
      <c r="JL10" s="610">
        <v>106</v>
      </c>
      <c r="JM10" s="610">
        <v>107</v>
      </c>
      <c r="JN10" s="610">
        <v>108</v>
      </c>
      <c r="JO10" s="610">
        <v>109</v>
      </c>
      <c r="JP10" s="610">
        <v>110</v>
      </c>
      <c r="JQ10" s="610">
        <v>111</v>
      </c>
      <c r="JR10" s="610">
        <v>112</v>
      </c>
      <c r="JS10" s="610">
        <v>113</v>
      </c>
      <c r="JT10" s="610">
        <v>114</v>
      </c>
      <c r="JU10" s="612">
        <v>115</v>
      </c>
      <c r="JV10" s="611">
        <v>116</v>
      </c>
      <c r="JW10" s="610">
        <v>117</v>
      </c>
      <c r="JX10" s="610">
        <v>118</v>
      </c>
      <c r="JY10" s="610">
        <v>119</v>
      </c>
      <c r="JZ10" s="610">
        <v>120</v>
      </c>
      <c r="KA10" s="610">
        <v>121</v>
      </c>
      <c r="KB10" s="610">
        <v>122</v>
      </c>
      <c r="KC10" s="610">
        <v>123</v>
      </c>
      <c r="KD10" s="610">
        <v>124</v>
      </c>
      <c r="KE10" s="610">
        <v>125</v>
      </c>
      <c r="KF10" s="610">
        <v>126</v>
      </c>
      <c r="KG10" s="610">
        <v>127</v>
      </c>
      <c r="KH10" s="610">
        <v>128</v>
      </c>
      <c r="KI10" s="610">
        <v>129</v>
      </c>
      <c r="KJ10" s="612">
        <v>130</v>
      </c>
      <c r="KK10" s="611">
        <v>131</v>
      </c>
      <c r="KL10" s="610">
        <v>132</v>
      </c>
      <c r="KM10" s="610">
        <v>133</v>
      </c>
      <c r="KN10" s="610">
        <v>134</v>
      </c>
      <c r="KO10" s="610">
        <v>135</v>
      </c>
      <c r="KP10" s="610">
        <v>136</v>
      </c>
      <c r="KQ10" s="610">
        <v>137</v>
      </c>
      <c r="KR10" s="610">
        <v>138</v>
      </c>
      <c r="KS10" s="610">
        <v>139</v>
      </c>
      <c r="KT10" s="610">
        <v>140</v>
      </c>
      <c r="KU10" s="610">
        <v>141</v>
      </c>
      <c r="KV10" s="610">
        <v>142</v>
      </c>
      <c r="KW10" s="610">
        <v>143</v>
      </c>
      <c r="KX10" s="610">
        <v>144</v>
      </c>
      <c r="KY10" s="610">
        <v>145</v>
      </c>
      <c r="KZ10" s="602"/>
      <c r="LA10" s="602"/>
    </row>
    <row r="11" spans="3:313" s="3" customFormat="1" ht="5.0999999999999996" customHeight="1">
      <c r="G11" s="482"/>
      <c r="H11" s="482"/>
      <c r="J11" s="1155" t="str">
        <f>CONCATENATE("This is a ",Lookup!D16," lighting project")</f>
        <v>This is a RETROFIT lighting project</v>
      </c>
      <c r="K11" s="1155"/>
      <c r="L11" s="1155"/>
      <c r="M11" s="1155"/>
      <c r="N11" s="1155"/>
      <c r="O11" s="1155"/>
      <c r="P11" s="1155"/>
      <c r="Q11" s="1155"/>
      <c r="R11" s="1155"/>
      <c r="S11" s="1155"/>
      <c r="T11" s="1155"/>
      <c r="U11" s="1155"/>
      <c r="V11" s="1155"/>
      <c r="W11" s="1155"/>
      <c r="X11" s="1155"/>
      <c r="Y11" s="1155"/>
      <c r="Z11" s="1155"/>
      <c r="AA11" s="482"/>
      <c r="AG11" s="482"/>
      <c r="AH11" s="482"/>
      <c r="AI11" s="482"/>
      <c r="AJ11" s="92"/>
      <c r="AK11" s="92"/>
      <c r="AL11" s="92"/>
      <c r="AM11" s="92"/>
      <c r="AN11" s="92"/>
      <c r="AO11" s="92"/>
      <c r="AP11" s="92"/>
      <c r="AQ11" s="92"/>
      <c r="AR11" s="92"/>
      <c r="AS11" s="92"/>
      <c r="AT11" s="92"/>
      <c r="AU11" s="92"/>
      <c r="AV11" s="92"/>
      <c r="AW11" s="92"/>
      <c r="AX11" s="92"/>
      <c r="AY11" s="92"/>
      <c r="AZ11" s="92"/>
      <c r="BP11" s="16"/>
      <c r="BQ11" s="16"/>
      <c r="CS11" s="16"/>
      <c r="CT11" s="15"/>
      <c r="CV11"/>
      <c r="CZ11" s="5"/>
      <c r="DA11" s="5"/>
      <c r="DB11" s="5"/>
      <c r="DF11" s="5"/>
      <c r="DG11" s="5"/>
      <c r="DH11" s="5"/>
      <c r="DI11" s="5"/>
      <c r="DJ11" s="5"/>
      <c r="DP11" s="16"/>
      <c r="DQ11" s="16"/>
      <c r="DR11" s="482"/>
      <c r="DS11" s="482"/>
      <c r="DT11" s="482"/>
      <c r="DU11" s="482"/>
      <c r="DV11" s="482"/>
      <c r="DW11" s="482"/>
      <c r="DX11" s="482"/>
      <c r="DY11" s="482"/>
      <c r="DZ11" s="482"/>
      <c r="EA11" s="482"/>
      <c r="EB11" s="482"/>
      <c r="EC11" s="482"/>
      <c r="ED11" s="482"/>
      <c r="EE11" s="482"/>
      <c r="EF11" s="482"/>
      <c r="EG11" s="482"/>
      <c r="EH11" s="482"/>
      <c r="EI11" s="482"/>
      <c r="EJ11" s="482"/>
      <c r="EK11" s="482"/>
      <c r="EL11" s="482"/>
      <c r="EW11" s="16"/>
      <c r="EX11" s="16"/>
      <c r="EY11" s="15"/>
      <c r="EZ11" s="631"/>
      <c r="FA11" s="631"/>
      <c r="FB11" s="631"/>
      <c r="FC11" s="7"/>
      <c r="FD11" s="7"/>
      <c r="FE11" s="7"/>
      <c r="FF11" s="7"/>
      <c r="FG11" s="7"/>
      <c r="FH11" s="7"/>
      <c r="FI11" s="7"/>
      <c r="FJ11" s="7"/>
      <c r="FK11" s="608"/>
      <c r="FL11" s="608"/>
      <c r="FM11" s="608"/>
      <c r="FN11" s="602"/>
      <c r="FO11" s="602"/>
      <c r="FP11" s="602"/>
      <c r="FQ11" s="602"/>
      <c r="FR11" s="602"/>
      <c r="FS11" s="602"/>
      <c r="FT11" s="613"/>
      <c r="FU11" s="609"/>
      <c r="FV11" s="602"/>
      <c r="FW11" s="602"/>
      <c r="FX11" s="602"/>
      <c r="FY11" s="602"/>
      <c r="FZ11" s="602"/>
      <c r="GA11" s="602"/>
      <c r="GB11" s="602"/>
      <c r="GC11" s="602"/>
      <c r="GD11" s="602"/>
      <c r="GE11" s="602"/>
      <c r="GF11" s="602"/>
      <c r="GG11" s="602"/>
      <c r="GH11" s="602"/>
      <c r="GI11" s="613"/>
      <c r="GJ11" s="609"/>
      <c r="GK11" s="602"/>
      <c r="GL11" s="602"/>
      <c r="GM11" s="602"/>
      <c r="GN11" s="602"/>
      <c r="GO11" s="602"/>
      <c r="GP11" s="602"/>
      <c r="GQ11" s="602"/>
      <c r="GR11" s="602"/>
      <c r="GS11" s="602"/>
      <c r="GT11" s="602"/>
      <c r="GU11" s="602"/>
      <c r="GV11" s="602"/>
      <c r="GW11" s="602"/>
      <c r="GX11" s="613"/>
      <c r="GY11" s="609"/>
      <c r="GZ11" s="602"/>
      <c r="HA11" s="602"/>
      <c r="HB11" s="602"/>
      <c r="HC11" s="602"/>
      <c r="HD11" s="602"/>
      <c r="HE11" s="602"/>
      <c r="HF11" s="602"/>
      <c r="HG11" s="602"/>
      <c r="HH11" s="602"/>
      <c r="HI11" s="602"/>
      <c r="HJ11" s="602"/>
      <c r="HK11" s="602"/>
      <c r="HL11" s="602"/>
      <c r="HM11" s="613"/>
      <c r="HN11" s="609"/>
      <c r="HO11" s="602"/>
      <c r="HP11" s="602"/>
      <c r="HQ11" s="602"/>
      <c r="HR11" s="602"/>
      <c r="HS11" s="602"/>
      <c r="HT11" s="602"/>
      <c r="HU11" s="602"/>
      <c r="HV11" s="602"/>
      <c r="HW11" s="602"/>
      <c r="HX11" s="602"/>
      <c r="HY11" s="602"/>
      <c r="HZ11" s="602"/>
      <c r="IA11" s="602"/>
      <c r="IB11" s="613"/>
      <c r="IC11" s="609"/>
      <c r="ID11" s="602"/>
      <c r="IE11" s="602"/>
      <c r="IF11" s="602"/>
      <c r="IG11" s="602"/>
      <c r="IH11" s="602"/>
      <c r="II11" s="602"/>
      <c r="IJ11" s="602"/>
      <c r="IK11" s="602"/>
      <c r="IL11" s="602"/>
      <c r="IM11" s="602"/>
      <c r="IN11" s="602"/>
      <c r="IO11" s="602"/>
      <c r="IP11" s="602"/>
      <c r="IQ11" s="613"/>
      <c r="IR11" s="609"/>
      <c r="IS11" s="602"/>
      <c r="IT11" s="602"/>
      <c r="IU11" s="602"/>
      <c r="IV11" s="602"/>
      <c r="IW11" s="602"/>
      <c r="IX11" s="602"/>
      <c r="IY11" s="602"/>
      <c r="IZ11" s="602"/>
      <c r="JA11" s="602"/>
      <c r="JB11" s="602"/>
      <c r="JC11" s="602"/>
      <c r="JD11" s="602"/>
      <c r="JE11" s="602"/>
      <c r="JF11" s="613"/>
      <c r="JG11" s="609"/>
      <c r="JH11" s="602"/>
      <c r="JI11" s="602"/>
      <c r="JJ11" s="602"/>
      <c r="JK11" s="602"/>
      <c r="JL11" s="602"/>
      <c r="JM11" s="602"/>
      <c r="JN11" s="602"/>
      <c r="JO11" s="602"/>
      <c r="JP11" s="602"/>
      <c r="JQ11" s="602"/>
      <c r="JR11" s="602"/>
      <c r="JS11" s="602"/>
      <c r="JT11" s="602"/>
      <c r="JU11" s="613"/>
      <c r="JV11" s="609"/>
      <c r="JW11" s="602"/>
      <c r="JX11" s="602"/>
      <c r="JY11" s="602"/>
      <c r="JZ11" s="602"/>
      <c r="KA11" s="602"/>
      <c r="KB11" s="602"/>
      <c r="KC11" s="602"/>
      <c r="KD11" s="602"/>
      <c r="KE11" s="602"/>
      <c r="KF11" s="602"/>
      <c r="KG11" s="602"/>
      <c r="KH11" s="602"/>
      <c r="KI11" s="602"/>
      <c r="KJ11" s="613"/>
      <c r="KK11" s="609"/>
      <c r="KL11" s="602"/>
      <c r="KM11" s="602"/>
      <c r="KN11" s="602"/>
      <c r="KO11" s="602"/>
      <c r="KP11" s="602"/>
      <c r="KQ11" s="602"/>
      <c r="KR11" s="602"/>
      <c r="KS11" s="602"/>
      <c r="KT11" s="602"/>
      <c r="KU11" s="602"/>
      <c r="KV11" s="602"/>
      <c r="KW11" s="602"/>
      <c r="KX11" s="602"/>
      <c r="KY11" s="602"/>
      <c r="KZ11" s="602"/>
      <c r="LA11" s="602"/>
    </row>
    <row r="12" spans="3:313" s="3" customFormat="1" ht="14.95" customHeight="1">
      <c r="C12" s="1148"/>
      <c r="D12" s="1148"/>
      <c r="E12" s="1148"/>
      <c r="F12" s="1148"/>
      <c r="G12" s="1148"/>
      <c r="H12" s="16"/>
      <c r="J12" s="1155"/>
      <c r="K12" s="1155"/>
      <c r="L12" s="1155"/>
      <c r="M12" s="1155"/>
      <c r="N12" s="1155"/>
      <c r="O12" s="1155"/>
      <c r="P12" s="1155"/>
      <c r="Q12" s="1155"/>
      <c r="R12" s="1155"/>
      <c r="S12" s="1155"/>
      <c r="T12" s="1155"/>
      <c r="U12" s="1155"/>
      <c r="V12" s="1155"/>
      <c r="W12" s="1155"/>
      <c r="X12" s="1155"/>
      <c r="Y12" s="1155"/>
      <c r="Z12" s="1155"/>
      <c r="AA12" s="441"/>
      <c r="AC12" s="1148"/>
      <c r="AD12" s="1148"/>
      <c r="AE12" s="1148"/>
      <c r="AF12" s="1148"/>
      <c r="AG12" s="1148"/>
      <c r="AH12" s="16"/>
      <c r="AJ12" s="92"/>
      <c r="AK12" s="92"/>
      <c r="AL12" s="92"/>
      <c r="AM12" s="92"/>
      <c r="AN12" s="92"/>
      <c r="AO12" s="92"/>
      <c r="AP12" s="92"/>
      <c r="AQ12" s="92"/>
      <c r="AR12" s="92"/>
      <c r="AS12" s="92"/>
      <c r="AT12" s="92"/>
      <c r="AU12" s="92"/>
      <c r="AV12" s="92"/>
      <c r="AW12" s="92"/>
      <c r="AX12" s="92"/>
      <c r="AY12" s="92"/>
      <c r="AZ12" s="92"/>
      <c r="BP12" s="16"/>
      <c r="BQ12" s="1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R12" s="43"/>
      <c r="CS12" s="43"/>
      <c r="CT12" s="15"/>
      <c r="CZ12" s="5"/>
      <c r="DA12" s="5"/>
      <c r="DB12" s="5"/>
      <c r="DF12" s="5"/>
      <c r="DG12" s="5"/>
      <c r="DH12" s="5"/>
      <c r="DI12" s="5"/>
      <c r="DJ12" s="5"/>
      <c r="DP12" s="16"/>
      <c r="DQ12" s="16"/>
      <c r="DR12" s="16"/>
      <c r="DS12" s="16"/>
      <c r="DT12" s="16"/>
      <c r="DU12" s="16"/>
      <c r="DV12" s="16"/>
      <c r="DW12" s="16"/>
      <c r="DX12" s="16"/>
      <c r="DY12" s="16"/>
      <c r="DZ12" s="16"/>
      <c r="EA12" s="16"/>
      <c r="EB12" s="16"/>
      <c r="EC12" s="16"/>
      <c r="ED12" s="16"/>
      <c r="EE12" s="16"/>
      <c r="EF12" s="16"/>
      <c r="EG12" s="16"/>
      <c r="EH12" s="16"/>
      <c r="EI12" s="16"/>
      <c r="EV12" s="43"/>
      <c r="EW12" s="43"/>
      <c r="EX12" s="43"/>
      <c r="EY12" s="15"/>
      <c r="EZ12" s="631"/>
      <c r="FA12" s="631"/>
      <c r="FB12" s="631"/>
      <c r="FC12" s="7"/>
      <c r="FD12" s="7"/>
      <c r="FE12" s="7"/>
      <c r="FF12" s="7"/>
      <c r="FG12" s="7"/>
      <c r="FH12" s="7"/>
      <c r="FI12" s="7"/>
      <c r="FJ12" s="7"/>
      <c r="FK12" s="686" t="str">
        <f>CONCATENATE("Installations!",Installations!CT2)</f>
        <v>Installations!CT</v>
      </c>
      <c r="FL12" s="608"/>
      <c r="FM12" s="608"/>
      <c r="FN12" s="602"/>
      <c r="FO12" s="602"/>
      <c r="FP12" s="602"/>
      <c r="FQ12" s="602"/>
      <c r="FR12" s="602"/>
      <c r="FS12" s="602"/>
      <c r="FT12" s="613"/>
      <c r="FU12" s="609"/>
      <c r="FV12" s="602"/>
      <c r="FW12" s="602"/>
      <c r="FX12" s="602"/>
      <c r="FY12" s="602"/>
      <c r="FZ12" s="602"/>
      <c r="GA12" s="602"/>
      <c r="GB12" s="602"/>
      <c r="GC12" s="602"/>
      <c r="GD12" s="602"/>
      <c r="GE12" s="602"/>
      <c r="GF12" s="602"/>
      <c r="GG12" s="602"/>
      <c r="GH12" s="602"/>
      <c r="GI12" s="613"/>
      <c r="GJ12" s="609"/>
      <c r="GK12" s="602"/>
      <c r="GL12" s="602"/>
      <c r="GM12" s="602"/>
      <c r="GN12" s="602"/>
      <c r="GO12" s="602"/>
      <c r="GP12" s="602"/>
      <c r="GQ12" s="602"/>
      <c r="GR12" s="602"/>
      <c r="GS12" s="602"/>
      <c r="GT12" s="602"/>
      <c r="GU12" s="602"/>
      <c r="GV12" s="602"/>
      <c r="GW12" s="602"/>
      <c r="GX12" s="613"/>
      <c r="GY12" s="609"/>
      <c r="GZ12" s="602"/>
      <c r="HA12" s="602"/>
      <c r="HB12" s="602"/>
      <c r="HC12" s="602"/>
      <c r="HD12" s="602"/>
      <c r="HE12" s="602"/>
      <c r="HF12" s="602"/>
      <c r="HG12" s="602"/>
      <c r="HH12" s="602"/>
      <c r="HI12" s="602"/>
      <c r="HJ12" s="602"/>
      <c r="HK12" s="602"/>
      <c r="HL12" s="602"/>
      <c r="HM12" s="613"/>
      <c r="HN12" s="609"/>
      <c r="HO12" s="602"/>
      <c r="HP12" s="602"/>
      <c r="HQ12" s="602"/>
      <c r="HR12" s="602"/>
      <c r="HS12" s="602"/>
      <c r="HT12" s="602"/>
      <c r="HU12" s="602"/>
      <c r="HV12" s="602"/>
      <c r="HW12" s="602"/>
      <c r="HX12" s="602"/>
      <c r="HY12" s="602"/>
      <c r="HZ12" s="602"/>
      <c r="IA12" s="602"/>
      <c r="IB12" s="613"/>
      <c r="IC12" s="609"/>
      <c r="ID12" s="602"/>
      <c r="IE12" s="602"/>
      <c r="IF12" s="602"/>
      <c r="IG12" s="602"/>
      <c r="IH12" s="602"/>
      <c r="II12" s="602"/>
      <c r="IJ12" s="602"/>
      <c r="IK12" s="602"/>
      <c r="IL12" s="602"/>
      <c r="IM12" s="602"/>
      <c r="IN12" s="602"/>
      <c r="IO12" s="602"/>
      <c r="IP12" s="602"/>
      <c r="IQ12" s="613"/>
      <c r="IR12" s="609"/>
      <c r="IS12" s="602"/>
      <c r="IT12" s="602"/>
      <c r="IU12" s="602"/>
      <c r="IV12" s="602"/>
      <c r="IW12" s="602"/>
      <c r="IX12" s="602"/>
      <c r="IY12" s="602"/>
      <c r="IZ12" s="602"/>
      <c r="JA12" s="602"/>
      <c r="JB12" s="602"/>
      <c r="JC12" s="602"/>
      <c r="JD12" s="602"/>
      <c r="JE12" s="602"/>
      <c r="JF12" s="613"/>
      <c r="JG12" s="609"/>
      <c r="JH12" s="602"/>
      <c r="JI12" s="602"/>
      <c r="JJ12" s="602"/>
      <c r="JK12" s="602"/>
      <c r="JL12" s="602"/>
      <c r="JM12" s="602"/>
      <c r="JN12" s="602"/>
      <c r="JO12" s="602"/>
      <c r="JP12" s="602"/>
      <c r="JQ12" s="602"/>
      <c r="JR12" s="602"/>
      <c r="JS12" s="602"/>
      <c r="JT12" s="602"/>
      <c r="JU12" s="613"/>
      <c r="JV12" s="609"/>
      <c r="JW12" s="602"/>
      <c r="JX12" s="602"/>
      <c r="JY12" s="602"/>
      <c r="JZ12" s="602"/>
      <c r="KA12" s="602"/>
      <c r="KB12" s="602"/>
      <c r="KC12" s="602"/>
      <c r="KD12" s="602"/>
      <c r="KE12" s="602"/>
      <c r="KF12" s="602"/>
      <c r="KG12" s="602"/>
      <c r="KH12" s="602"/>
      <c r="KI12" s="602"/>
      <c r="KJ12" s="613"/>
      <c r="KK12" s="609"/>
      <c r="KL12" s="602"/>
      <c r="KM12" s="602"/>
      <c r="KN12" s="602"/>
      <c r="KO12" s="602"/>
      <c r="KP12" s="602"/>
      <c r="KQ12" s="602"/>
      <c r="KR12" s="602"/>
      <c r="KS12" s="602"/>
      <c r="KT12" s="602"/>
      <c r="KU12" s="602"/>
      <c r="KV12" s="602"/>
      <c r="KW12" s="602"/>
      <c r="KX12" s="602"/>
      <c r="KY12" s="602"/>
      <c r="KZ12" s="602"/>
      <c r="LA12" s="602"/>
    </row>
    <row r="13" spans="3:313" s="3" customFormat="1" ht="5.0999999999999996" customHeight="1">
      <c r="G13" s="16"/>
      <c r="H13" s="16"/>
      <c r="J13" s="1144" t="str">
        <f>Project!K13</f>
        <v>PSE Approval is required before the retrofit is started!</v>
      </c>
      <c r="K13" s="1144"/>
      <c r="L13" s="1144"/>
      <c r="M13" s="1144"/>
      <c r="N13" s="1144"/>
      <c r="O13" s="1144"/>
      <c r="P13" s="1144"/>
      <c r="Q13" s="1144"/>
      <c r="R13" s="1144"/>
      <c r="S13" s="1144"/>
      <c r="T13" s="1144"/>
      <c r="U13" s="1144"/>
      <c r="V13" s="1144"/>
      <c r="W13" s="1144"/>
      <c r="X13" s="1144"/>
      <c r="Y13" s="1144"/>
      <c r="Z13" s="1144"/>
      <c r="AA13" s="16"/>
      <c r="AG13" s="16"/>
      <c r="AH13" s="16"/>
      <c r="BP13" s="16"/>
      <c r="BQ13" s="1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R13" s="43"/>
      <c r="CS13" s="43"/>
      <c r="CT13" s="15"/>
      <c r="CZ13" s="5"/>
      <c r="DA13" s="5"/>
      <c r="DB13" s="5"/>
      <c r="DF13" s="5"/>
      <c r="DG13" s="5"/>
      <c r="DH13" s="5"/>
      <c r="DI13" s="5"/>
      <c r="DJ13" s="5"/>
      <c r="DP13" s="16"/>
      <c r="DQ13" s="16"/>
      <c r="DR13" s="16"/>
      <c r="DS13" s="16"/>
      <c r="DT13" s="16"/>
      <c r="DU13" s="16"/>
      <c r="DV13" s="16"/>
      <c r="DW13" s="16"/>
      <c r="DX13" s="16"/>
      <c r="DY13" s="16"/>
      <c r="DZ13" s="16"/>
      <c r="EA13" s="16"/>
      <c r="EB13" s="16"/>
      <c r="EC13" s="16"/>
      <c r="ED13" s="16"/>
      <c r="EE13" s="16"/>
      <c r="EF13" s="16"/>
      <c r="EG13" s="16"/>
      <c r="EH13" s="16"/>
      <c r="EI13" s="16"/>
      <c r="EV13" s="43"/>
      <c r="EW13" s="43"/>
      <c r="EX13" s="43"/>
      <c r="EY13" s="15"/>
      <c r="EZ13" s="631"/>
      <c r="FA13" s="631"/>
      <c r="FB13" s="631"/>
      <c r="FC13" s="7"/>
      <c r="FD13" s="7"/>
      <c r="FE13" s="7"/>
      <c r="FF13" s="7"/>
      <c r="FG13" s="7"/>
      <c r="FH13" s="7"/>
      <c r="FI13" s="7"/>
      <c r="FJ13" s="7"/>
      <c r="FK13" s="608"/>
      <c r="FL13" s="608"/>
      <c r="FM13" s="608"/>
      <c r="FN13" s="602"/>
      <c r="FO13" s="602"/>
      <c r="FP13" s="602"/>
      <c r="FQ13" s="602"/>
      <c r="FR13" s="602"/>
      <c r="FS13" s="602"/>
      <c r="FT13" s="613"/>
      <c r="FU13" s="609"/>
      <c r="FV13" s="602"/>
      <c r="FW13" s="602"/>
      <c r="FX13" s="602"/>
      <c r="FY13" s="602"/>
      <c r="FZ13" s="602"/>
      <c r="GA13" s="602"/>
      <c r="GB13" s="602"/>
      <c r="GC13" s="602"/>
      <c r="GD13" s="602"/>
      <c r="GE13" s="602"/>
      <c r="GF13" s="602"/>
      <c r="GG13" s="602"/>
      <c r="GH13" s="602"/>
      <c r="GI13" s="613"/>
      <c r="GJ13" s="609"/>
      <c r="GK13" s="602"/>
      <c r="GL13" s="602"/>
      <c r="GM13" s="602"/>
      <c r="GN13" s="602"/>
      <c r="GO13" s="602"/>
      <c r="GP13" s="602"/>
      <c r="GQ13" s="602"/>
      <c r="GR13" s="602"/>
      <c r="GS13" s="602"/>
      <c r="GT13" s="602"/>
      <c r="GU13" s="602"/>
      <c r="GV13" s="602"/>
      <c r="GW13" s="602"/>
      <c r="GX13" s="613"/>
      <c r="GY13" s="609"/>
      <c r="GZ13" s="602"/>
      <c r="HA13" s="602"/>
      <c r="HB13" s="602"/>
      <c r="HC13" s="602"/>
      <c r="HD13" s="602"/>
      <c r="HE13" s="602"/>
      <c r="HF13" s="602"/>
      <c r="HG13" s="602"/>
      <c r="HH13" s="602"/>
      <c r="HI13" s="602"/>
      <c r="HJ13" s="602"/>
      <c r="HK13" s="602"/>
      <c r="HL13" s="602"/>
      <c r="HM13" s="613"/>
      <c r="HN13" s="609"/>
      <c r="HO13" s="602"/>
      <c r="HP13" s="602"/>
      <c r="HQ13" s="602"/>
      <c r="HR13" s="602"/>
      <c r="HS13" s="602"/>
      <c r="HT13" s="602"/>
      <c r="HU13" s="602"/>
      <c r="HV13" s="602"/>
      <c r="HW13" s="602"/>
      <c r="HX13" s="602"/>
      <c r="HY13" s="602"/>
      <c r="HZ13" s="602"/>
      <c r="IA13" s="602"/>
      <c r="IB13" s="613"/>
      <c r="IC13" s="609"/>
      <c r="ID13" s="602"/>
      <c r="IE13" s="602"/>
      <c r="IF13" s="602"/>
      <c r="IG13" s="602"/>
      <c r="IH13" s="602"/>
      <c r="II13" s="602"/>
      <c r="IJ13" s="602"/>
      <c r="IK13" s="602"/>
      <c r="IL13" s="602"/>
      <c r="IM13" s="602"/>
      <c r="IN13" s="602"/>
      <c r="IO13" s="602"/>
      <c r="IP13" s="602"/>
      <c r="IQ13" s="613"/>
      <c r="IR13" s="609"/>
      <c r="IS13" s="602"/>
      <c r="IT13" s="602"/>
      <c r="IU13" s="602"/>
      <c r="IV13" s="602"/>
      <c r="IW13" s="602"/>
      <c r="IX13" s="602"/>
      <c r="IY13" s="602"/>
      <c r="IZ13" s="602"/>
      <c r="JA13" s="602"/>
      <c r="JB13" s="602"/>
      <c r="JC13" s="602"/>
      <c r="JD13" s="602"/>
      <c r="JE13" s="602"/>
      <c r="JF13" s="613"/>
      <c r="JG13" s="609"/>
      <c r="JH13" s="602"/>
      <c r="JI13" s="602"/>
      <c r="JJ13" s="602"/>
      <c r="JK13" s="602"/>
      <c r="JL13" s="602"/>
      <c r="JM13" s="602"/>
      <c r="JN13" s="602"/>
      <c r="JO13" s="602"/>
      <c r="JP13" s="602"/>
      <c r="JQ13" s="602"/>
      <c r="JR13" s="602"/>
      <c r="JS13" s="602"/>
      <c r="JT13" s="602"/>
      <c r="JU13" s="613"/>
      <c r="JV13" s="609"/>
      <c r="JW13" s="602"/>
      <c r="JX13" s="602"/>
      <c r="JY13" s="602"/>
      <c r="JZ13" s="602"/>
      <c r="KA13" s="602"/>
      <c r="KB13" s="602"/>
      <c r="KC13" s="602"/>
      <c r="KD13" s="602"/>
      <c r="KE13" s="602"/>
      <c r="KF13" s="602"/>
      <c r="KG13" s="602"/>
      <c r="KH13" s="602"/>
      <c r="KI13" s="602"/>
      <c r="KJ13" s="613"/>
      <c r="KK13" s="609"/>
      <c r="KL13" s="602"/>
      <c r="KM13" s="602"/>
      <c r="KN13" s="602"/>
      <c r="KO13" s="602"/>
      <c r="KP13" s="602"/>
      <c r="KQ13" s="602"/>
      <c r="KR13" s="602"/>
      <c r="KS13" s="602"/>
      <c r="KT13" s="602"/>
      <c r="KU13" s="602"/>
      <c r="KV13" s="602"/>
      <c r="KW13" s="602"/>
      <c r="KX13" s="602"/>
      <c r="KY13" s="602"/>
      <c r="KZ13" s="602"/>
      <c r="LA13" s="602"/>
    </row>
    <row r="14" spans="3:313" s="3" customFormat="1" ht="14.95" customHeight="1">
      <c r="C14" s="1148"/>
      <c r="D14" s="1148"/>
      <c r="E14" s="1148"/>
      <c r="F14" s="1148"/>
      <c r="G14" s="1148"/>
      <c r="J14" s="1144"/>
      <c r="K14" s="1144"/>
      <c r="L14" s="1144"/>
      <c r="M14" s="1144"/>
      <c r="N14" s="1144"/>
      <c r="O14" s="1144"/>
      <c r="P14" s="1144"/>
      <c r="Q14" s="1144"/>
      <c r="R14" s="1144"/>
      <c r="S14" s="1144"/>
      <c r="T14" s="1144"/>
      <c r="U14" s="1144"/>
      <c r="V14" s="1144"/>
      <c r="W14" s="1144"/>
      <c r="X14" s="1144"/>
      <c r="Y14" s="1144"/>
      <c r="Z14" s="1144"/>
      <c r="AA14" s="474"/>
      <c r="AC14" s="1148"/>
      <c r="AD14" s="1148"/>
      <c r="AE14" s="1148"/>
      <c r="AF14" s="1148"/>
      <c r="AG14" s="1148"/>
      <c r="AI14" s="92"/>
      <c r="AJ14" s="92"/>
      <c r="AK14" s="92"/>
      <c r="AL14" s="92"/>
      <c r="BP14" s="16"/>
      <c r="BQ14" s="17"/>
      <c r="BR14" s="92"/>
      <c r="BS14" s="92"/>
      <c r="BT14" s="92"/>
      <c r="BU14" s="92"/>
      <c r="BV14" s="92"/>
      <c r="BW14" s="92"/>
      <c r="BX14" s="92"/>
      <c r="BY14" s="92"/>
      <c r="BZ14" s="92"/>
      <c r="CA14" s="92"/>
      <c r="CB14" s="92"/>
      <c r="CC14" s="92"/>
      <c r="CD14" s="92"/>
      <c r="CE14" s="92"/>
      <c r="CF14" s="92"/>
      <c r="CG14" s="92"/>
      <c r="CH14" s="92"/>
      <c r="CI14" s="92"/>
      <c r="CJ14" s="92"/>
      <c r="CK14" s="92"/>
      <c r="CL14" s="92"/>
      <c r="CM14" s="92"/>
      <c r="CN14" s="92"/>
      <c r="CO14" s="473"/>
      <c r="CP14" s="473"/>
      <c r="CQ14" s="473"/>
      <c r="CR14" s="473"/>
      <c r="CS14" s="473"/>
      <c r="CT14" s="15"/>
      <c r="CZ14" s="5"/>
      <c r="DA14" s="5"/>
      <c r="DB14" s="5"/>
      <c r="DF14" s="5"/>
      <c r="DG14" s="5"/>
      <c r="DH14" s="5"/>
      <c r="DI14" s="5"/>
      <c r="DJ14" s="5"/>
      <c r="DP14" s="16"/>
      <c r="DQ14" s="17"/>
      <c r="DR14" s="92"/>
      <c r="DS14" s="92"/>
      <c r="DT14" s="92"/>
      <c r="DU14" s="92"/>
      <c r="DV14" s="92"/>
      <c r="DW14" s="92"/>
      <c r="DX14" s="92"/>
      <c r="DY14" s="92"/>
      <c r="DZ14" s="92"/>
      <c r="EA14" s="92"/>
      <c r="EB14" s="92"/>
      <c r="EC14" s="92"/>
      <c r="ED14" s="92"/>
      <c r="EE14" s="92"/>
      <c r="EF14" s="92"/>
      <c r="EG14" s="92"/>
      <c r="EH14" s="92"/>
      <c r="EI14" s="92"/>
      <c r="EJ14" s="92"/>
      <c r="EK14" s="92"/>
      <c r="EL14" s="92"/>
      <c r="EM14" s="92"/>
      <c r="EN14" s="92"/>
      <c r="EO14" s="473"/>
      <c r="EP14" s="473"/>
      <c r="EQ14" s="473"/>
      <c r="ER14" s="473"/>
      <c r="ES14" s="473"/>
      <c r="ET14" s="473"/>
      <c r="EU14" s="473"/>
      <c r="EV14" s="473"/>
      <c r="EW14" s="473"/>
      <c r="EX14" s="473"/>
      <c r="EY14" s="15"/>
      <c r="EZ14" s="631"/>
      <c r="FA14" s="631"/>
      <c r="FB14" s="631"/>
      <c r="FC14" s="7"/>
      <c r="FD14" s="7"/>
      <c r="FE14" s="7"/>
      <c r="FF14" s="7"/>
      <c r="FG14" s="7"/>
      <c r="FH14" s="7"/>
      <c r="FI14" s="7"/>
      <c r="FJ14" s="7"/>
      <c r="FK14" s="610"/>
      <c r="FL14" s="610"/>
      <c r="FM14" s="608"/>
      <c r="FN14" s="602"/>
      <c r="FO14" s="602"/>
      <c r="FP14" s="602"/>
      <c r="FQ14" s="602"/>
      <c r="FR14" s="602"/>
      <c r="FS14" s="602"/>
      <c r="FT14" s="613"/>
      <c r="FU14" s="609"/>
      <c r="FV14" s="602"/>
      <c r="FW14" s="602"/>
      <c r="FX14" s="602"/>
      <c r="FY14" s="602"/>
      <c r="FZ14" s="602"/>
      <c r="GA14" s="602"/>
      <c r="GB14" s="602"/>
      <c r="GC14" s="602"/>
      <c r="GD14" s="602"/>
      <c r="GE14" s="602"/>
      <c r="GF14" s="602"/>
      <c r="GG14" s="602"/>
      <c r="GH14" s="602"/>
      <c r="GI14" s="613"/>
      <c r="GJ14" s="609"/>
      <c r="GK14" s="602"/>
      <c r="GL14" s="602"/>
      <c r="GM14" s="602"/>
      <c r="GN14" s="602"/>
      <c r="GO14" s="602"/>
      <c r="GP14" s="602"/>
      <c r="GQ14" s="602"/>
      <c r="GR14" s="602"/>
      <c r="GS14" s="602"/>
      <c r="GT14" s="602"/>
      <c r="GU14" s="602"/>
      <c r="GV14" s="602"/>
      <c r="GW14" s="602"/>
      <c r="GX14" s="613"/>
      <c r="GY14" s="609"/>
      <c r="GZ14" s="602"/>
      <c r="HA14" s="602"/>
      <c r="HB14" s="602"/>
      <c r="HC14" s="602"/>
      <c r="HD14" s="602"/>
      <c r="HE14" s="602"/>
      <c r="HF14" s="602"/>
      <c r="HG14" s="602"/>
      <c r="HH14" s="602"/>
      <c r="HI14" s="602"/>
      <c r="HJ14" s="602"/>
      <c r="HK14" s="602"/>
      <c r="HL14" s="602"/>
      <c r="HM14" s="613"/>
      <c r="HN14" s="609"/>
      <c r="HO14" s="602"/>
      <c r="HP14" s="602"/>
      <c r="HQ14" s="602"/>
      <c r="HR14" s="602"/>
      <c r="HS14" s="602"/>
      <c r="HT14" s="602"/>
      <c r="HU14" s="602"/>
      <c r="HV14" s="602"/>
      <c r="HW14" s="602"/>
      <c r="HX14" s="602"/>
      <c r="HY14" s="602"/>
      <c r="HZ14" s="602"/>
      <c r="IA14" s="602"/>
      <c r="IB14" s="613"/>
      <c r="IC14" s="609"/>
      <c r="ID14" s="602"/>
      <c r="IE14" s="602"/>
      <c r="IF14" s="602"/>
      <c r="IG14" s="602"/>
      <c r="IH14" s="602"/>
      <c r="II14" s="602"/>
      <c r="IJ14" s="602"/>
      <c r="IK14" s="602"/>
      <c r="IL14" s="602"/>
      <c r="IM14" s="602"/>
      <c r="IN14" s="602"/>
      <c r="IO14" s="602"/>
      <c r="IP14" s="602"/>
      <c r="IQ14" s="613"/>
      <c r="IR14" s="609"/>
      <c r="IS14" s="602"/>
      <c r="IT14" s="602"/>
      <c r="IU14" s="602"/>
      <c r="IV14" s="602"/>
      <c r="IW14" s="602"/>
      <c r="IX14" s="602"/>
      <c r="IY14" s="602"/>
      <c r="IZ14" s="602"/>
      <c r="JA14" s="602"/>
      <c r="JB14" s="602"/>
      <c r="JC14" s="602"/>
      <c r="JD14" s="602"/>
      <c r="JE14" s="602"/>
      <c r="JF14" s="613"/>
      <c r="JG14" s="609"/>
      <c r="JH14" s="602"/>
      <c r="JI14" s="602"/>
      <c r="JJ14" s="602"/>
      <c r="JK14" s="602"/>
      <c r="JL14" s="602"/>
      <c r="JM14" s="602"/>
      <c r="JN14" s="602"/>
      <c r="JO14" s="602"/>
      <c r="JP14" s="602"/>
      <c r="JQ14" s="602"/>
      <c r="JR14" s="602"/>
      <c r="JS14" s="602"/>
      <c r="JT14" s="602"/>
      <c r="JU14" s="613"/>
      <c r="JV14" s="609"/>
      <c r="JW14" s="602"/>
      <c r="JX14" s="602"/>
      <c r="JY14" s="602"/>
      <c r="JZ14" s="602"/>
      <c r="KA14" s="602"/>
      <c r="KB14" s="602"/>
      <c r="KC14" s="602"/>
      <c r="KD14" s="602"/>
      <c r="KE14" s="602"/>
      <c r="KF14" s="602"/>
      <c r="KG14" s="602"/>
      <c r="KH14" s="602"/>
      <c r="KI14" s="602"/>
      <c r="KJ14" s="613"/>
      <c r="KK14" s="609"/>
      <c r="KL14" s="602"/>
      <c r="KM14" s="602"/>
      <c r="KN14" s="602"/>
      <c r="KO14" s="602"/>
      <c r="KP14" s="602"/>
      <c r="KQ14" s="602"/>
      <c r="KR14" s="602"/>
      <c r="KS14" s="602"/>
      <c r="KT14" s="602"/>
      <c r="KU14" s="602"/>
      <c r="KV14" s="602"/>
      <c r="KW14" s="602"/>
      <c r="KX14" s="602"/>
      <c r="KY14" s="602"/>
      <c r="KZ14" s="602"/>
      <c r="LA14" s="602"/>
    </row>
    <row r="15" spans="3:313" s="3" customFormat="1" ht="5.0999999999999996" customHeight="1">
      <c r="AA15" s="474"/>
      <c r="AI15" s="474"/>
      <c r="AJ15" s="474"/>
      <c r="AK15" s="474"/>
      <c r="AL15" s="474"/>
      <c r="BP15" s="16"/>
      <c r="BQ15" s="17"/>
      <c r="BR15" s="92"/>
      <c r="BS15" s="92"/>
      <c r="BT15" s="92"/>
      <c r="BU15" s="92"/>
      <c r="BV15" s="92"/>
      <c r="BW15" s="92"/>
      <c r="BX15" s="92"/>
      <c r="BY15" s="92"/>
      <c r="BZ15" s="92"/>
      <c r="CA15" s="92"/>
      <c r="CB15" s="92"/>
      <c r="CC15" s="92"/>
      <c r="CD15" s="92"/>
      <c r="CE15" s="92"/>
      <c r="CF15" s="92"/>
      <c r="CG15" s="92"/>
      <c r="CH15" s="92"/>
      <c r="CI15" s="92"/>
      <c r="CJ15" s="92"/>
      <c r="CK15" s="92"/>
      <c r="CL15" s="92"/>
      <c r="CM15" s="92"/>
      <c r="CN15" s="92"/>
      <c r="CO15" s="473"/>
      <c r="CP15" s="473"/>
      <c r="CQ15" s="473"/>
      <c r="CR15" s="473"/>
      <c r="CS15" s="473"/>
      <c r="CT15" s="15"/>
      <c r="CZ15" s="5"/>
      <c r="DA15" s="5"/>
      <c r="DB15" s="5"/>
      <c r="DF15" s="5"/>
      <c r="DG15" s="5"/>
      <c r="DH15" s="5"/>
      <c r="DI15" s="5"/>
      <c r="DJ15" s="5"/>
      <c r="DP15" s="16"/>
      <c r="DQ15" s="17"/>
      <c r="DR15" s="474"/>
      <c r="DS15" s="474"/>
      <c r="DT15" s="474"/>
      <c r="DU15" s="474"/>
      <c r="DV15" s="474"/>
      <c r="DW15" s="474"/>
      <c r="DX15" s="474"/>
      <c r="DY15" s="474"/>
      <c r="DZ15" s="474"/>
      <c r="EA15" s="474"/>
      <c r="EB15" s="474"/>
      <c r="EC15" s="474"/>
      <c r="ED15" s="474"/>
      <c r="EE15" s="474"/>
      <c r="EF15" s="474"/>
      <c r="EG15" s="474"/>
      <c r="EH15" s="474"/>
      <c r="EI15" s="474"/>
      <c r="EJ15" s="474"/>
      <c r="EK15" s="474"/>
      <c r="EL15" s="474"/>
      <c r="EM15" s="474"/>
      <c r="EN15" s="474"/>
      <c r="EO15" s="473"/>
      <c r="EP15" s="473"/>
      <c r="EQ15" s="473"/>
      <c r="ER15" s="473"/>
      <c r="ES15" s="473"/>
      <c r="ET15" s="473"/>
      <c r="EU15" s="473"/>
      <c r="EV15" s="473"/>
      <c r="EW15" s="473"/>
      <c r="EX15" s="473"/>
      <c r="EY15" s="15"/>
      <c r="EZ15" s="631"/>
      <c r="FA15" s="631"/>
      <c r="FB15" s="631"/>
      <c r="FC15" s="7"/>
      <c r="FD15" s="7"/>
      <c r="FE15" s="7"/>
      <c r="FF15" s="7"/>
      <c r="FG15" s="7"/>
      <c r="FH15" s="7"/>
      <c r="FI15" s="7"/>
      <c r="FJ15" s="7"/>
      <c r="FK15" s="608"/>
      <c r="FL15" s="608"/>
      <c r="FM15" s="608"/>
      <c r="FN15" s="602"/>
      <c r="FO15" s="602"/>
      <c r="FP15" s="602"/>
      <c r="FQ15" s="602"/>
      <c r="FR15" s="602"/>
      <c r="FS15" s="602"/>
      <c r="FT15" s="613"/>
      <c r="FU15" s="609"/>
      <c r="FV15" s="602"/>
      <c r="FW15" s="602"/>
      <c r="FX15" s="602"/>
      <c r="FY15" s="602"/>
      <c r="FZ15" s="602"/>
      <c r="GA15" s="602"/>
      <c r="GB15" s="602"/>
      <c r="GC15" s="602"/>
      <c r="GD15" s="602"/>
      <c r="GE15" s="602"/>
      <c r="GF15" s="602"/>
      <c r="GG15" s="602"/>
      <c r="GH15" s="602"/>
      <c r="GI15" s="613"/>
      <c r="GJ15" s="609"/>
      <c r="GK15" s="602"/>
      <c r="GL15" s="602"/>
      <c r="GM15" s="602"/>
      <c r="GN15" s="602"/>
      <c r="GO15" s="602"/>
      <c r="GP15" s="602"/>
      <c r="GQ15" s="602"/>
      <c r="GR15" s="602"/>
      <c r="GS15" s="602"/>
      <c r="GT15" s="602"/>
      <c r="GU15" s="602"/>
      <c r="GV15" s="602"/>
      <c r="GW15" s="602"/>
      <c r="GX15" s="613"/>
      <c r="GY15" s="609"/>
      <c r="GZ15" s="602"/>
      <c r="HA15" s="602"/>
      <c r="HB15" s="602"/>
      <c r="HC15" s="602"/>
      <c r="HD15" s="602"/>
      <c r="HE15" s="602"/>
      <c r="HF15" s="602"/>
      <c r="HG15" s="602"/>
      <c r="HH15" s="602"/>
      <c r="HI15" s="602"/>
      <c r="HJ15" s="602"/>
      <c r="HK15" s="602"/>
      <c r="HL15" s="602"/>
      <c r="HM15" s="613"/>
      <c r="HN15" s="609"/>
      <c r="HO15" s="602"/>
      <c r="HP15" s="602"/>
      <c r="HQ15" s="602"/>
      <c r="HR15" s="602"/>
      <c r="HS15" s="602"/>
      <c r="HT15" s="602"/>
      <c r="HU15" s="602"/>
      <c r="HV15" s="602"/>
      <c r="HW15" s="602"/>
      <c r="HX15" s="602"/>
      <c r="HY15" s="602"/>
      <c r="HZ15" s="602"/>
      <c r="IA15" s="602"/>
      <c r="IB15" s="613"/>
      <c r="IC15" s="609"/>
      <c r="ID15" s="602"/>
      <c r="IE15" s="602"/>
      <c r="IF15" s="602"/>
      <c r="IG15" s="602"/>
      <c r="IH15" s="602"/>
      <c r="II15" s="602"/>
      <c r="IJ15" s="602"/>
      <c r="IK15" s="602"/>
      <c r="IL15" s="602"/>
      <c r="IM15" s="602"/>
      <c r="IN15" s="602"/>
      <c r="IO15" s="602"/>
      <c r="IP15" s="602"/>
      <c r="IQ15" s="613"/>
      <c r="IR15" s="609"/>
      <c r="IS15" s="602"/>
      <c r="IT15" s="602"/>
      <c r="IU15" s="602"/>
      <c r="IV15" s="602"/>
      <c r="IW15" s="602"/>
      <c r="IX15" s="602"/>
      <c r="IY15" s="602"/>
      <c r="IZ15" s="602"/>
      <c r="JA15" s="602"/>
      <c r="JB15" s="602"/>
      <c r="JC15" s="602"/>
      <c r="JD15" s="602"/>
      <c r="JE15" s="602"/>
      <c r="JF15" s="613"/>
      <c r="JG15" s="609"/>
      <c r="JH15" s="602"/>
      <c r="JI15" s="602"/>
      <c r="JJ15" s="602"/>
      <c r="JK15" s="602"/>
      <c r="JL15" s="602"/>
      <c r="JM15" s="602"/>
      <c r="JN15" s="602"/>
      <c r="JO15" s="602"/>
      <c r="JP15" s="602"/>
      <c r="JQ15" s="602"/>
      <c r="JR15" s="602"/>
      <c r="JS15" s="602"/>
      <c r="JT15" s="602"/>
      <c r="JU15" s="613"/>
      <c r="JV15" s="609"/>
      <c r="JW15" s="602"/>
      <c r="JX15" s="602"/>
      <c r="JY15" s="602"/>
      <c r="JZ15" s="602"/>
      <c r="KA15" s="602"/>
      <c r="KB15" s="602"/>
      <c r="KC15" s="602"/>
      <c r="KD15" s="602"/>
      <c r="KE15" s="602"/>
      <c r="KF15" s="602"/>
      <c r="KG15" s="602"/>
      <c r="KH15" s="602"/>
      <c r="KI15" s="602"/>
      <c r="KJ15" s="613"/>
      <c r="KK15" s="609"/>
      <c r="KL15" s="602"/>
      <c r="KM15" s="602"/>
      <c r="KN15" s="602"/>
      <c r="KO15" s="602"/>
      <c r="KP15" s="602"/>
      <c r="KQ15" s="602"/>
      <c r="KR15" s="602"/>
      <c r="KS15" s="602"/>
      <c r="KT15" s="602"/>
      <c r="KU15" s="602"/>
      <c r="KV15" s="602"/>
      <c r="KW15" s="602"/>
      <c r="KX15" s="602"/>
      <c r="KY15" s="602"/>
      <c r="KZ15" s="602"/>
      <c r="LA15" s="602"/>
    </row>
    <row r="16" spans="3:313" s="3" customFormat="1" ht="14.95" customHeight="1">
      <c r="C16" s="1148"/>
      <c r="D16" s="1148"/>
      <c r="E16" s="1148"/>
      <c r="F16" s="1148"/>
      <c r="G16" s="1148"/>
      <c r="AA16" s="484"/>
      <c r="AC16" s="1148"/>
      <c r="AD16" s="1148"/>
      <c r="AE16" s="1148"/>
      <c r="AF16" s="1148"/>
      <c r="AG16" s="1148"/>
      <c r="AI16" s="93"/>
      <c r="AJ16" s="93"/>
      <c r="AK16" s="93"/>
      <c r="AL16" s="93"/>
      <c r="BK16" s="8"/>
      <c r="BL16" s="18"/>
      <c r="BM16" s="18"/>
      <c r="BN16" s="472"/>
      <c r="BO16" s="472"/>
      <c r="BP16" s="16"/>
      <c r="BQ16" s="19"/>
      <c r="BR16" s="1254" t="str">
        <f>IF(_Project_2_Type="Retrofit","(fill in ALL yellow cells below)","(skip to ""Create New"" as existing fixtures are not required)")</f>
        <v>(fill in ALL yellow cells below)</v>
      </c>
      <c r="BS16" s="1254"/>
      <c r="BT16" s="1254"/>
      <c r="BU16" s="1254"/>
      <c r="BV16" s="1254"/>
      <c r="BW16" s="1254"/>
      <c r="BX16" s="1254"/>
      <c r="BY16" s="1254"/>
      <c r="BZ16" s="1254"/>
      <c r="CA16" s="1254"/>
      <c r="CB16" s="1254"/>
      <c r="CC16" s="1254"/>
      <c r="CD16" s="1254"/>
      <c r="CE16" s="1254"/>
      <c r="CF16" s="1254"/>
      <c r="CG16" s="1254"/>
      <c r="CH16" s="1254"/>
      <c r="CI16" s="1254"/>
      <c r="CJ16" s="1254"/>
      <c r="CK16" s="1254"/>
      <c r="CL16" s="1254"/>
      <c r="CM16" s="1254"/>
      <c r="CN16" s="1254"/>
      <c r="CO16" s="473"/>
      <c r="CP16" s="473"/>
      <c r="CQ16" s="473"/>
      <c r="CR16" s="473"/>
      <c r="CS16" s="473"/>
      <c r="CT16" s="15"/>
      <c r="CZ16" s="5"/>
      <c r="DA16" s="5"/>
      <c r="DB16" s="5"/>
      <c r="DF16" s="5"/>
      <c r="DG16" s="5"/>
      <c r="DH16" s="5"/>
      <c r="DI16" s="5"/>
      <c r="DJ16" s="5"/>
      <c r="DK16" s="49"/>
      <c r="DL16" s="18"/>
      <c r="DM16" s="18"/>
      <c r="DN16" s="472"/>
      <c r="DO16" s="472"/>
      <c r="DP16" s="16"/>
      <c r="DQ16" s="19"/>
      <c r="DR16" s="1254" t="s">
        <v>124</v>
      </c>
      <c r="DS16" s="1254"/>
      <c r="DT16" s="1254"/>
      <c r="DU16" s="1254"/>
      <c r="DV16" s="1254"/>
      <c r="DW16" s="1254"/>
      <c r="DX16" s="1254"/>
      <c r="DY16" s="1254"/>
      <c r="DZ16" s="1254"/>
      <c r="EA16" s="1254"/>
      <c r="EB16" s="1254"/>
      <c r="EC16" s="1254"/>
      <c r="ED16" s="1254"/>
      <c r="EE16" s="1254"/>
      <c r="EF16" s="1254"/>
      <c r="EG16" s="1254"/>
      <c r="EH16" s="1254"/>
      <c r="EI16" s="1254"/>
      <c r="EJ16" s="1254"/>
      <c r="EK16" s="1254"/>
      <c r="EL16" s="1254"/>
      <c r="EM16" s="1254"/>
      <c r="EN16" s="1254"/>
      <c r="EO16" s="473"/>
      <c r="EP16" s="473"/>
      <c r="EQ16" s="473"/>
      <c r="ER16" s="473"/>
      <c r="ES16" s="473"/>
      <c r="ET16" s="473"/>
      <c r="EU16" s="473"/>
      <c r="EV16" s="473"/>
      <c r="EW16" s="473"/>
      <c r="EX16" s="473"/>
      <c r="EY16" s="15"/>
      <c r="EZ16" s="631"/>
      <c r="FA16" s="631"/>
      <c r="FB16" s="631"/>
      <c r="FC16" s="7"/>
      <c r="FD16" s="7"/>
      <c r="FE16" s="7"/>
      <c r="FF16" s="7"/>
      <c r="FG16" s="7"/>
      <c r="FH16" s="7"/>
      <c r="FI16" s="7"/>
      <c r="FJ16" s="7"/>
      <c r="FK16" s="610"/>
      <c r="FL16" s="610"/>
      <c r="FM16" s="608"/>
      <c r="FN16" s="602"/>
      <c r="FO16" s="602"/>
      <c r="FP16" s="602"/>
      <c r="FQ16" s="602"/>
      <c r="FR16" s="602"/>
      <c r="FS16" s="602"/>
      <c r="FT16" s="613"/>
      <c r="FU16" s="609"/>
      <c r="FV16" s="602"/>
      <c r="FW16" s="602"/>
      <c r="FX16" s="602"/>
      <c r="FY16" s="602"/>
      <c r="FZ16" s="602"/>
      <c r="GA16" s="602"/>
      <c r="GB16" s="602"/>
      <c r="GC16" s="602"/>
      <c r="GD16" s="602"/>
      <c r="GE16" s="602"/>
      <c r="GF16" s="602"/>
      <c r="GG16" s="602"/>
      <c r="GH16" s="602"/>
      <c r="GI16" s="613"/>
      <c r="GJ16" s="609"/>
      <c r="GK16" s="602"/>
      <c r="GL16" s="602"/>
      <c r="GM16" s="602"/>
      <c r="GN16" s="602"/>
      <c r="GO16" s="602"/>
      <c r="GP16" s="602"/>
      <c r="GQ16" s="602"/>
      <c r="GR16" s="602"/>
      <c r="GS16" s="602"/>
      <c r="GT16" s="602"/>
      <c r="GU16" s="602"/>
      <c r="GV16" s="602"/>
      <c r="GW16" s="602"/>
      <c r="GX16" s="613"/>
      <c r="GY16" s="609"/>
      <c r="GZ16" s="602"/>
      <c r="HA16" s="602"/>
      <c r="HB16" s="602"/>
      <c r="HC16" s="602"/>
      <c r="HD16" s="602"/>
      <c r="HE16" s="602"/>
      <c r="HF16" s="602"/>
      <c r="HG16" s="602"/>
      <c r="HH16" s="602"/>
      <c r="HI16" s="602"/>
      <c r="HJ16" s="602"/>
      <c r="HK16" s="602"/>
      <c r="HL16" s="602"/>
      <c r="HM16" s="613"/>
      <c r="HN16" s="609"/>
      <c r="HO16" s="602"/>
      <c r="HP16" s="602"/>
      <c r="HQ16" s="602"/>
      <c r="HR16" s="602"/>
      <c r="HS16" s="602"/>
      <c r="HT16" s="602"/>
      <c r="HU16" s="602"/>
      <c r="HV16" s="602"/>
      <c r="HW16" s="602"/>
      <c r="HX16" s="602"/>
      <c r="HY16" s="602"/>
      <c r="HZ16" s="602"/>
      <c r="IA16" s="602"/>
      <c r="IB16" s="613"/>
      <c r="IC16" s="609"/>
      <c r="ID16" s="602"/>
      <c r="IE16" s="602"/>
      <c r="IF16" s="602"/>
      <c r="IG16" s="602"/>
      <c r="IH16" s="602"/>
      <c r="II16" s="602"/>
      <c r="IJ16" s="602"/>
      <c r="IK16" s="602"/>
      <c r="IL16" s="602"/>
      <c r="IM16" s="602"/>
      <c r="IN16" s="602"/>
      <c r="IO16" s="602"/>
      <c r="IP16" s="602"/>
      <c r="IQ16" s="613"/>
      <c r="IR16" s="609"/>
      <c r="IS16" s="602"/>
      <c r="IT16" s="602"/>
      <c r="IU16" s="602"/>
      <c r="IV16" s="602"/>
      <c r="IW16" s="602"/>
      <c r="IX16" s="602"/>
      <c r="IY16" s="602"/>
      <c r="IZ16" s="602"/>
      <c r="JA16" s="602"/>
      <c r="JB16" s="602"/>
      <c r="JC16" s="602"/>
      <c r="JD16" s="602"/>
      <c r="JE16" s="602"/>
      <c r="JF16" s="613"/>
      <c r="JG16" s="609"/>
      <c r="JH16" s="602"/>
      <c r="JI16" s="602"/>
      <c r="JJ16" s="602"/>
      <c r="JK16" s="602"/>
      <c r="JL16" s="602"/>
      <c r="JM16" s="602"/>
      <c r="JN16" s="602"/>
      <c r="JO16" s="602"/>
      <c r="JP16" s="602"/>
      <c r="JQ16" s="602"/>
      <c r="JR16" s="602"/>
      <c r="JS16" s="602"/>
      <c r="JT16" s="602"/>
      <c r="JU16" s="613"/>
      <c r="JV16" s="609"/>
      <c r="JW16" s="602"/>
      <c r="JX16" s="602"/>
      <c r="JY16" s="602"/>
      <c r="JZ16" s="602"/>
      <c r="KA16" s="602"/>
      <c r="KB16" s="602"/>
      <c r="KC16" s="602"/>
      <c r="KD16" s="602"/>
      <c r="KE16" s="602"/>
      <c r="KF16" s="602"/>
      <c r="KG16" s="602"/>
      <c r="KH16" s="602"/>
      <c r="KI16" s="602"/>
      <c r="KJ16" s="613"/>
      <c r="KK16" s="609"/>
      <c r="KL16" s="602"/>
      <c r="KM16" s="602"/>
      <c r="KN16" s="602"/>
      <c r="KO16" s="602"/>
      <c r="KP16" s="602"/>
      <c r="KQ16" s="602"/>
      <c r="KR16" s="602"/>
      <c r="KS16" s="602"/>
      <c r="KT16" s="602"/>
      <c r="KU16" s="602"/>
      <c r="KV16" s="602"/>
      <c r="KW16" s="602"/>
      <c r="KX16" s="602"/>
      <c r="KY16" s="602"/>
      <c r="KZ16" s="602"/>
      <c r="LA16" s="602"/>
    </row>
    <row r="17" spans="1:313" s="3" customFormat="1" ht="5.0999999999999996" customHeight="1">
      <c r="I17" s="483"/>
      <c r="J17" s="17"/>
      <c r="K17" s="17"/>
      <c r="L17" s="17"/>
      <c r="M17" s="17"/>
      <c r="N17" s="17"/>
      <c r="O17" s="17"/>
      <c r="P17" s="17"/>
      <c r="Q17" s="17"/>
      <c r="R17" s="17"/>
      <c r="S17" s="17"/>
      <c r="T17" s="17"/>
      <c r="U17" s="17"/>
      <c r="V17" s="17"/>
      <c r="W17" s="17"/>
      <c r="X17" s="17"/>
      <c r="Y17" s="17"/>
      <c r="Z17" s="17"/>
      <c r="AA17" s="483"/>
      <c r="AI17" s="483"/>
      <c r="AJ17" s="483"/>
      <c r="AK17" s="483"/>
      <c r="AL17" s="483"/>
      <c r="BK17" s="8"/>
      <c r="BL17" s="18"/>
      <c r="BM17" s="18"/>
      <c r="BN17" s="472"/>
      <c r="BO17" s="472"/>
      <c r="BP17" s="16"/>
      <c r="BQ17" s="19"/>
      <c r="BR17" s="483"/>
      <c r="BS17" s="483"/>
      <c r="BT17" s="483"/>
      <c r="BU17" s="483"/>
      <c r="BV17" s="483"/>
      <c r="BW17" s="483"/>
      <c r="BX17" s="483"/>
      <c r="BY17" s="483"/>
      <c r="BZ17" s="483"/>
      <c r="CA17" s="483"/>
      <c r="CB17" s="483"/>
      <c r="CC17" s="483"/>
      <c r="CD17" s="483"/>
      <c r="CE17" s="483"/>
      <c r="CF17" s="483"/>
      <c r="CG17" s="483"/>
      <c r="CH17" s="483"/>
      <c r="CI17" s="483"/>
      <c r="CJ17" s="483"/>
      <c r="CK17" s="483"/>
      <c r="CL17" s="483"/>
      <c r="CM17" s="483"/>
      <c r="CN17" s="483"/>
      <c r="CO17" s="473"/>
      <c r="CP17" s="473"/>
      <c r="CQ17" s="473"/>
      <c r="CR17" s="473"/>
      <c r="CS17" s="473"/>
      <c r="CT17" s="15"/>
      <c r="CZ17" s="5"/>
      <c r="DA17" s="5"/>
      <c r="DB17" s="5"/>
      <c r="DF17" s="5"/>
      <c r="DG17" s="5"/>
      <c r="DH17" s="5"/>
      <c r="DI17" s="5"/>
      <c r="DJ17" s="5"/>
      <c r="DK17" s="49"/>
      <c r="DL17" s="18"/>
      <c r="DM17" s="18"/>
      <c r="DN17" s="472"/>
      <c r="DO17" s="472"/>
      <c r="DP17" s="16"/>
      <c r="DQ17" s="19"/>
      <c r="DR17" s="483"/>
      <c r="DS17" s="483"/>
      <c r="DT17" s="483"/>
      <c r="DU17" s="483"/>
      <c r="DV17" s="483"/>
      <c r="DW17" s="483"/>
      <c r="DX17" s="483"/>
      <c r="DY17" s="483"/>
      <c r="DZ17" s="483"/>
      <c r="EA17" s="483"/>
      <c r="EB17" s="483"/>
      <c r="EC17" s="483"/>
      <c r="ED17" s="483"/>
      <c r="EE17" s="483"/>
      <c r="EF17" s="483"/>
      <c r="EG17" s="483"/>
      <c r="EH17" s="483"/>
      <c r="EI17" s="483"/>
      <c r="EJ17" s="483"/>
      <c r="EK17" s="483"/>
      <c r="EL17" s="483"/>
      <c r="EM17" s="483"/>
      <c r="EN17" s="483"/>
      <c r="EO17" s="473"/>
      <c r="EP17" s="473"/>
      <c r="EQ17" s="473"/>
      <c r="ER17" s="473"/>
      <c r="ES17" s="473"/>
      <c r="ET17" s="473"/>
      <c r="EU17" s="473"/>
      <c r="EV17" s="473"/>
      <c r="EW17" s="473"/>
      <c r="EX17" s="473"/>
      <c r="EY17" s="15"/>
      <c r="FA17" s="6"/>
      <c r="FB17" s="6"/>
      <c r="FC17" s="7"/>
      <c r="FD17" s="7"/>
      <c r="FE17" s="7"/>
      <c r="FF17" s="7"/>
      <c r="FG17" s="7"/>
      <c r="FH17" s="7"/>
      <c r="FI17" s="7"/>
      <c r="FJ17" s="7"/>
      <c r="FK17" s="608"/>
      <c r="FL17" s="608"/>
      <c r="FM17" s="608"/>
      <c r="FN17" s="602"/>
      <c r="FO17" s="602"/>
      <c r="FP17" s="602"/>
      <c r="FQ17" s="602"/>
      <c r="FR17" s="602"/>
      <c r="FS17" s="602"/>
      <c r="FT17" s="613"/>
      <c r="FU17" s="609"/>
      <c r="FV17" s="602"/>
      <c r="FW17" s="602"/>
      <c r="FX17" s="602"/>
      <c r="FY17" s="602"/>
      <c r="FZ17" s="602"/>
      <c r="GA17" s="602"/>
      <c r="GB17" s="602"/>
      <c r="GC17" s="602"/>
      <c r="GD17" s="602"/>
      <c r="GE17" s="602"/>
      <c r="GF17" s="602"/>
      <c r="GG17" s="602"/>
      <c r="GH17" s="602"/>
      <c r="GI17" s="613"/>
      <c r="GJ17" s="609"/>
      <c r="GK17" s="602"/>
      <c r="GL17" s="602"/>
      <c r="GM17" s="602"/>
      <c r="GN17" s="602"/>
      <c r="GO17" s="602"/>
      <c r="GP17" s="602"/>
      <c r="GQ17" s="602"/>
      <c r="GR17" s="602"/>
      <c r="GS17" s="602"/>
      <c r="GT17" s="602"/>
      <c r="GU17" s="602"/>
      <c r="GV17" s="602"/>
      <c r="GW17" s="602"/>
      <c r="GX17" s="613"/>
      <c r="GY17" s="609"/>
      <c r="GZ17" s="602"/>
      <c r="HA17" s="602"/>
      <c r="HB17" s="602"/>
      <c r="HC17" s="602"/>
      <c r="HD17" s="602"/>
      <c r="HE17" s="602"/>
      <c r="HF17" s="602"/>
      <c r="HG17" s="602"/>
      <c r="HH17" s="602"/>
      <c r="HI17" s="602"/>
      <c r="HJ17" s="602"/>
      <c r="HK17" s="602"/>
      <c r="HL17" s="602"/>
      <c r="HM17" s="613"/>
      <c r="HN17" s="609"/>
      <c r="HO17" s="602"/>
      <c r="HP17" s="602"/>
      <c r="HQ17" s="602"/>
      <c r="HR17" s="602"/>
      <c r="HS17" s="602"/>
      <c r="HT17" s="602"/>
      <c r="HU17" s="602"/>
      <c r="HV17" s="602"/>
      <c r="HW17" s="602"/>
      <c r="HX17" s="602"/>
      <c r="HY17" s="602"/>
      <c r="HZ17" s="602"/>
      <c r="IA17" s="602"/>
      <c r="IB17" s="613"/>
      <c r="IC17" s="609"/>
      <c r="ID17" s="602"/>
      <c r="IE17" s="602"/>
      <c r="IF17" s="602"/>
      <c r="IG17" s="602"/>
      <c r="IH17" s="602"/>
      <c r="II17" s="602"/>
      <c r="IJ17" s="602"/>
      <c r="IK17" s="602"/>
      <c r="IL17" s="602"/>
      <c r="IM17" s="602"/>
      <c r="IN17" s="602"/>
      <c r="IO17" s="602"/>
      <c r="IP17" s="602"/>
      <c r="IQ17" s="613"/>
      <c r="IR17" s="609"/>
      <c r="IS17" s="602"/>
      <c r="IT17" s="602"/>
      <c r="IU17" s="602"/>
      <c r="IV17" s="602"/>
      <c r="IW17" s="602"/>
      <c r="IX17" s="602"/>
      <c r="IY17" s="602"/>
      <c r="IZ17" s="602"/>
      <c r="JA17" s="602"/>
      <c r="JB17" s="602"/>
      <c r="JC17" s="602"/>
      <c r="JD17" s="602"/>
      <c r="JE17" s="602"/>
      <c r="JF17" s="613"/>
      <c r="JG17" s="609"/>
      <c r="JH17" s="602"/>
      <c r="JI17" s="602"/>
      <c r="JJ17" s="602"/>
      <c r="JK17" s="602"/>
      <c r="JL17" s="602"/>
      <c r="JM17" s="602"/>
      <c r="JN17" s="602"/>
      <c r="JO17" s="602"/>
      <c r="JP17" s="602"/>
      <c r="JQ17" s="602"/>
      <c r="JR17" s="602"/>
      <c r="JS17" s="602"/>
      <c r="JT17" s="602"/>
      <c r="JU17" s="613"/>
      <c r="JV17" s="609"/>
      <c r="JW17" s="602"/>
      <c r="JX17" s="602"/>
      <c r="JY17" s="602"/>
      <c r="JZ17" s="602"/>
      <c r="KA17" s="602"/>
      <c r="KB17" s="602"/>
      <c r="KC17" s="602"/>
      <c r="KD17" s="602"/>
      <c r="KE17" s="602"/>
      <c r="KF17" s="602"/>
      <c r="KG17" s="602"/>
      <c r="KH17" s="602"/>
      <c r="KI17" s="602"/>
      <c r="KJ17" s="613"/>
      <c r="KK17" s="609"/>
      <c r="KL17" s="602"/>
      <c r="KM17" s="602"/>
      <c r="KN17" s="602"/>
      <c r="KO17" s="602"/>
      <c r="KP17" s="602"/>
      <c r="KQ17" s="602"/>
      <c r="KR17" s="602"/>
      <c r="KS17" s="602"/>
      <c r="KT17" s="602"/>
      <c r="KU17" s="602"/>
      <c r="KV17" s="602"/>
      <c r="KW17" s="602"/>
      <c r="KX17" s="602"/>
      <c r="KY17" s="602"/>
      <c r="KZ17" s="602"/>
      <c r="LA17" s="602"/>
    </row>
    <row r="18" spans="1:313" ht="2.25" customHeight="1">
      <c r="A18" s="1149"/>
      <c r="B18" s="1149"/>
      <c r="C18" s="1149"/>
      <c r="D18" s="1149"/>
      <c r="E18" s="1149"/>
      <c r="F18" s="1149"/>
      <c r="G18" s="1149"/>
      <c r="H18" s="1149"/>
      <c r="I18" s="1149"/>
      <c r="J18" s="1149"/>
      <c r="K18" s="1149"/>
      <c r="L18" s="1149"/>
      <c r="M18" s="1149"/>
      <c r="N18" s="1149"/>
      <c r="O18" s="1149"/>
      <c r="P18" s="1149"/>
      <c r="Q18" s="1149"/>
      <c r="R18" s="1149"/>
      <c r="S18" s="1149"/>
      <c r="T18" s="1149"/>
      <c r="U18" s="1149"/>
      <c r="V18" s="1149"/>
      <c r="W18" s="1149"/>
      <c r="X18" s="1149"/>
      <c r="Y18" s="1149"/>
      <c r="Z18" s="1149"/>
      <c r="AA18" s="1149"/>
      <c r="AB18" s="1149"/>
      <c r="AC18" s="1149"/>
      <c r="AD18" s="1149"/>
      <c r="AE18" s="1149"/>
      <c r="AF18" s="1149"/>
      <c r="AG18" s="1149"/>
      <c r="AH18" s="1149"/>
      <c r="BJ18" s="1149"/>
      <c r="BK18" s="1149"/>
      <c r="BL18" s="1149"/>
      <c r="BM18" s="1149"/>
      <c r="BN18" s="1149"/>
      <c r="BO18" s="1149"/>
      <c r="BP18" s="1149"/>
      <c r="BQ18" s="1149"/>
      <c r="BR18" s="1149"/>
      <c r="BS18" s="1149"/>
      <c r="BT18" s="1149"/>
      <c r="BU18" s="1149"/>
      <c r="BV18" s="1149"/>
      <c r="BW18" s="1149"/>
      <c r="BX18" s="1149"/>
      <c r="BY18" s="1149"/>
      <c r="BZ18" s="1149"/>
      <c r="CA18" s="1149"/>
      <c r="CB18" s="1149"/>
      <c r="CC18" s="1149"/>
      <c r="CD18" s="1149"/>
      <c r="CE18" s="1149"/>
      <c r="CF18" s="1149"/>
      <c r="CG18" s="1149"/>
      <c r="CH18" s="1149"/>
      <c r="CI18" s="1149"/>
      <c r="CJ18" s="1149"/>
      <c r="CK18" s="1149"/>
      <c r="CL18" s="1149"/>
      <c r="CM18" s="1149"/>
      <c r="CN18" s="1149"/>
      <c r="CO18" s="1149"/>
      <c r="CP18" s="1149"/>
      <c r="CQ18" s="1149"/>
      <c r="CR18" s="1149"/>
      <c r="CS18" s="1149"/>
      <c r="CT18" s="1149"/>
      <c r="CU18" s="1149"/>
      <c r="CV18" s="1149"/>
      <c r="CW18" s="1149"/>
      <c r="CX18" s="1149"/>
      <c r="CY18" s="1149"/>
      <c r="CZ18" s="1149"/>
      <c r="DA18" s="1149"/>
      <c r="DB18" s="1149"/>
      <c r="DC18" s="1149"/>
      <c r="DJ18" s="1149"/>
      <c r="DK18" s="1149"/>
      <c r="DL18" s="1149"/>
      <c r="DM18" s="1149"/>
      <c r="DN18" s="1149"/>
      <c r="DO18" s="1149"/>
      <c r="DP18" s="1149"/>
      <c r="DQ18" s="1149"/>
      <c r="DR18" s="1149"/>
      <c r="DS18" s="1149"/>
      <c r="DT18" s="1149"/>
      <c r="DU18" s="1149"/>
      <c r="DV18" s="1149"/>
      <c r="DW18" s="1149"/>
      <c r="DX18" s="1149"/>
      <c r="DY18" s="1149"/>
      <c r="DZ18" s="1149"/>
      <c r="EA18" s="1149"/>
      <c r="EB18" s="1149"/>
      <c r="EC18" s="1149"/>
      <c r="ED18" s="1149"/>
      <c r="EE18" s="1149"/>
      <c r="EF18" s="1149"/>
      <c r="EG18" s="1149"/>
      <c r="EH18" s="1149"/>
      <c r="EI18" s="1149"/>
      <c r="EJ18" s="1149"/>
      <c r="EK18" s="1149"/>
      <c r="EL18" s="1149"/>
      <c r="EM18" s="1149"/>
      <c r="EN18" s="1149"/>
      <c r="EO18" s="1149"/>
      <c r="EP18" s="1149"/>
      <c r="EQ18" s="1149"/>
      <c r="ER18" s="1149"/>
      <c r="ES18" s="1149"/>
      <c r="ET18" s="1149"/>
      <c r="EU18" s="1149"/>
      <c r="EV18" s="1149"/>
      <c r="EW18" s="1149"/>
      <c r="EX18" s="1149"/>
      <c r="EY18" s="1149"/>
      <c r="EZ18" s="1149"/>
      <c r="FA18" s="1149"/>
      <c r="FB18" s="1149"/>
      <c r="FC18" s="1149"/>
      <c r="FD18" s="1149"/>
      <c r="FK18" s="602"/>
      <c r="FL18" s="602"/>
      <c r="FM18" s="602"/>
      <c r="FN18" s="602"/>
      <c r="FO18" s="602"/>
      <c r="FP18" s="602"/>
      <c r="FQ18" s="602"/>
      <c r="FR18" s="602"/>
      <c r="FS18" s="602"/>
      <c r="FT18" s="613"/>
      <c r="FU18" s="609"/>
      <c r="FV18" s="602"/>
      <c r="FW18" s="602"/>
      <c r="FX18" s="602"/>
      <c r="FY18" s="602"/>
      <c r="FZ18" s="602"/>
      <c r="GA18" s="602"/>
      <c r="GB18" s="602"/>
      <c r="GC18" s="602"/>
      <c r="GD18" s="602"/>
      <c r="GE18" s="602"/>
      <c r="GF18" s="602"/>
      <c r="GG18" s="602"/>
      <c r="GH18" s="602"/>
      <c r="GI18" s="613"/>
      <c r="GJ18" s="609"/>
      <c r="GK18" s="602"/>
      <c r="GL18" s="602"/>
      <c r="GM18" s="602"/>
      <c r="GN18" s="602"/>
      <c r="GO18" s="602"/>
      <c r="GP18" s="602"/>
      <c r="GQ18" s="602"/>
      <c r="GR18" s="602"/>
      <c r="GS18" s="602"/>
      <c r="GT18" s="602"/>
      <c r="GU18" s="602"/>
      <c r="GV18" s="602"/>
      <c r="GW18" s="602"/>
      <c r="GX18" s="613"/>
      <c r="GY18" s="609"/>
      <c r="GZ18" s="602"/>
      <c r="HA18" s="602"/>
      <c r="HB18" s="602"/>
      <c r="HC18" s="602"/>
      <c r="HD18" s="602"/>
      <c r="HE18" s="602"/>
      <c r="HF18" s="602"/>
      <c r="HG18" s="602"/>
      <c r="HH18" s="602"/>
      <c r="HI18" s="602"/>
      <c r="HJ18" s="602"/>
      <c r="HK18" s="602"/>
      <c r="HL18" s="602"/>
      <c r="HM18" s="613"/>
      <c r="HN18" s="609"/>
      <c r="HO18" s="602"/>
      <c r="HP18" s="602"/>
      <c r="HQ18" s="602"/>
      <c r="HR18" s="602"/>
      <c r="HS18" s="602"/>
      <c r="HT18" s="602"/>
      <c r="HU18" s="602"/>
      <c r="HV18" s="602"/>
      <c r="HW18" s="602"/>
      <c r="HX18" s="602"/>
      <c r="HY18" s="602"/>
      <c r="HZ18" s="602"/>
      <c r="IA18" s="602"/>
      <c r="IB18" s="613"/>
      <c r="IC18" s="609"/>
      <c r="ID18" s="602"/>
      <c r="IE18" s="602"/>
      <c r="IF18" s="602"/>
      <c r="IG18" s="602"/>
      <c r="IH18" s="602"/>
      <c r="II18" s="602"/>
      <c r="IJ18" s="602"/>
      <c r="IK18" s="602"/>
      <c r="IL18" s="602"/>
      <c r="IM18" s="602"/>
      <c r="IN18" s="602"/>
      <c r="IO18" s="602"/>
      <c r="IP18" s="602"/>
      <c r="IQ18" s="613"/>
      <c r="IR18" s="609"/>
      <c r="IS18" s="602"/>
      <c r="IT18" s="602"/>
      <c r="IU18" s="602"/>
      <c r="IV18" s="602"/>
      <c r="IW18" s="602"/>
      <c r="IX18" s="602"/>
      <c r="IY18" s="602"/>
      <c r="IZ18" s="602"/>
      <c r="JA18" s="602"/>
      <c r="JB18" s="602"/>
      <c r="JC18" s="602"/>
      <c r="JD18" s="602"/>
      <c r="JE18" s="602"/>
      <c r="JF18" s="613"/>
      <c r="JG18" s="609"/>
      <c r="JH18" s="602"/>
      <c r="JI18" s="602"/>
      <c r="JJ18" s="602"/>
      <c r="JK18" s="602"/>
      <c r="JL18" s="602"/>
      <c r="JM18" s="602"/>
      <c r="JN18" s="602"/>
      <c r="JO18" s="602"/>
      <c r="JP18" s="602"/>
      <c r="JQ18" s="602"/>
      <c r="JR18" s="602"/>
      <c r="JS18" s="602"/>
      <c r="JT18" s="602"/>
      <c r="JU18" s="613"/>
      <c r="JV18" s="609"/>
      <c r="JW18" s="602"/>
      <c r="JX18" s="602"/>
      <c r="JY18" s="602"/>
      <c r="JZ18" s="602"/>
      <c r="KA18" s="602"/>
      <c r="KB18" s="602"/>
      <c r="KC18" s="602"/>
      <c r="KD18" s="602"/>
      <c r="KE18" s="602"/>
      <c r="KF18" s="602"/>
      <c r="KG18" s="602"/>
      <c r="KH18" s="602"/>
      <c r="KI18" s="602"/>
      <c r="KJ18" s="613"/>
      <c r="KK18" s="609"/>
      <c r="KL18" s="602"/>
      <c r="KM18" s="602"/>
      <c r="KN18" s="602"/>
      <c r="KO18" s="602"/>
      <c r="KP18" s="602"/>
      <c r="KQ18" s="602"/>
      <c r="KR18" s="602"/>
      <c r="KS18" s="602"/>
      <c r="KT18" s="602"/>
      <c r="KU18" s="602"/>
      <c r="KV18" s="602"/>
      <c r="KW18" s="602"/>
      <c r="KX18" s="602"/>
      <c r="KY18" s="602"/>
      <c r="KZ18" s="602"/>
      <c r="LA18" s="602"/>
    </row>
    <row r="19" spans="1:313" ht="5.0999999999999996" customHeight="1">
      <c r="BJ19" s="1150"/>
      <c r="BK19" s="1150"/>
      <c r="BL19" s="1150"/>
      <c r="BM19" s="1150"/>
      <c r="BN19" s="1150"/>
      <c r="BO19" s="1150"/>
      <c r="BP19" s="1150"/>
      <c r="BQ19" s="1150"/>
      <c r="BR19" s="1150"/>
      <c r="BS19" s="1150"/>
      <c r="BT19" s="1150"/>
      <c r="BU19" s="1150"/>
      <c r="BV19" s="1150"/>
      <c r="BW19" s="1150"/>
      <c r="BX19" s="1150"/>
      <c r="BY19" s="1150"/>
      <c r="BZ19" s="1150"/>
      <c r="CA19" s="1150"/>
      <c r="CB19" s="1150"/>
      <c r="CC19" s="1150"/>
      <c r="CD19" s="1150"/>
      <c r="CE19" s="1150"/>
      <c r="CF19" s="1150"/>
      <c r="CG19" s="1150"/>
      <c r="CH19" s="1150"/>
      <c r="CI19" s="1150"/>
      <c r="CJ19" s="1150"/>
      <c r="CK19" s="1150"/>
      <c r="CL19" s="1150"/>
      <c r="CM19" s="1150"/>
      <c r="CN19" s="1150"/>
      <c r="CO19" s="1150"/>
      <c r="CP19" s="1150"/>
      <c r="CQ19" s="1150"/>
      <c r="CR19" s="1150"/>
      <c r="CS19" s="1150"/>
      <c r="CT19" s="1150"/>
      <c r="CU19" s="1150"/>
      <c r="CV19" s="1150"/>
      <c r="DL19" s="1150"/>
      <c r="DM19" s="1150"/>
      <c r="DN19" s="1150"/>
      <c r="DO19" s="1150"/>
      <c r="DP19" s="1150"/>
      <c r="DQ19" s="1150"/>
      <c r="DR19" s="1150"/>
      <c r="DS19" s="1150"/>
      <c r="DT19" s="1150"/>
      <c r="DU19" s="1150"/>
      <c r="DV19" s="1150"/>
      <c r="DW19" s="1150"/>
      <c r="DX19" s="1150"/>
      <c r="DY19" s="1150"/>
      <c r="DZ19" s="1150"/>
      <c r="EA19" s="1150"/>
      <c r="EB19" s="1150"/>
      <c r="EC19" s="1150"/>
      <c r="ED19" s="1150"/>
      <c r="EE19" s="1150"/>
      <c r="EF19" s="1150"/>
      <c r="EG19" s="1150"/>
      <c r="EH19" s="1150"/>
      <c r="EI19" s="1150"/>
      <c r="EJ19" s="1150"/>
      <c r="EK19" s="1150"/>
      <c r="EL19" s="1150"/>
      <c r="EM19" s="1150"/>
      <c r="EN19" s="1150"/>
      <c r="EO19" s="1150"/>
      <c r="EP19" s="1150"/>
      <c r="EQ19" s="1150"/>
      <c r="ER19" s="1150"/>
      <c r="ES19" s="1150"/>
      <c r="ET19" s="1150"/>
      <c r="EU19" s="1150"/>
      <c r="EV19" s="1150"/>
      <c r="EW19" s="1150"/>
      <c r="EX19" s="1150"/>
      <c r="EY19" s="1150"/>
      <c r="EZ19" s="1150"/>
      <c r="FA19" s="1150"/>
      <c r="FB19" s="12"/>
      <c r="FK19" s="602"/>
      <c r="FL19" s="602"/>
      <c r="FM19" s="602"/>
      <c r="FN19" s="602"/>
      <c r="FO19" s="602"/>
      <c r="FP19" s="602"/>
      <c r="FQ19" s="602"/>
      <c r="FR19" s="602"/>
      <c r="FS19" s="602"/>
      <c r="FT19" s="613"/>
      <c r="FU19" s="609"/>
      <c r="FV19" s="602"/>
      <c r="FW19" s="602"/>
      <c r="FX19" s="602"/>
      <c r="FY19" s="602"/>
      <c r="FZ19" s="602"/>
      <c r="GA19" s="602"/>
      <c r="GB19" s="602"/>
      <c r="GC19" s="602"/>
      <c r="GD19" s="602"/>
      <c r="GE19" s="602"/>
      <c r="GF19" s="602"/>
      <c r="GG19" s="602"/>
      <c r="GH19" s="602"/>
      <c r="GI19" s="613"/>
      <c r="GJ19" s="609"/>
      <c r="GK19" s="602"/>
      <c r="GL19" s="602"/>
      <c r="GM19" s="602"/>
      <c r="GN19" s="602"/>
      <c r="GO19" s="602"/>
      <c r="GP19" s="602"/>
      <c r="GQ19" s="602"/>
      <c r="GR19" s="602"/>
      <c r="GS19" s="602"/>
      <c r="GT19" s="602"/>
      <c r="GU19" s="602"/>
      <c r="GV19" s="602"/>
      <c r="GW19" s="602"/>
      <c r="GX19" s="613"/>
      <c r="GY19" s="609"/>
      <c r="GZ19" s="602"/>
      <c r="HA19" s="602"/>
      <c r="HB19" s="602"/>
      <c r="HC19" s="602"/>
      <c r="HD19" s="602"/>
      <c r="HE19" s="602"/>
      <c r="HF19" s="602"/>
      <c r="HG19" s="602"/>
      <c r="HH19" s="602"/>
      <c r="HI19" s="602"/>
      <c r="HJ19" s="602"/>
      <c r="HK19" s="602"/>
      <c r="HL19" s="602"/>
      <c r="HM19" s="613"/>
      <c r="HN19" s="609"/>
      <c r="HO19" s="602"/>
      <c r="HP19" s="602"/>
      <c r="HQ19" s="602"/>
      <c r="HR19" s="602"/>
      <c r="HS19" s="602"/>
      <c r="HT19" s="602"/>
      <c r="HU19" s="602"/>
      <c r="HV19" s="602"/>
      <c r="HW19" s="602"/>
      <c r="HX19" s="602"/>
      <c r="HY19" s="602"/>
      <c r="HZ19" s="602"/>
      <c r="IA19" s="602"/>
      <c r="IB19" s="613"/>
      <c r="IC19" s="609"/>
      <c r="ID19" s="602"/>
      <c r="IE19" s="602"/>
      <c r="IF19" s="602"/>
      <c r="IG19" s="602"/>
      <c r="IH19" s="602"/>
      <c r="II19" s="602"/>
      <c r="IJ19" s="602"/>
      <c r="IK19" s="602"/>
      <c r="IL19" s="602"/>
      <c r="IM19" s="602"/>
      <c r="IN19" s="602"/>
      <c r="IO19" s="602"/>
      <c r="IP19" s="602"/>
      <c r="IQ19" s="613"/>
      <c r="IR19" s="609"/>
      <c r="IS19" s="602"/>
      <c r="IT19" s="602"/>
      <c r="IU19" s="602"/>
      <c r="IV19" s="602"/>
      <c r="IW19" s="602"/>
      <c r="IX19" s="602"/>
      <c r="IY19" s="602"/>
      <c r="IZ19" s="602"/>
      <c r="JA19" s="602"/>
      <c r="JB19" s="602"/>
      <c r="JC19" s="602"/>
      <c r="JD19" s="602"/>
      <c r="JE19" s="602"/>
      <c r="JF19" s="613"/>
      <c r="JG19" s="609"/>
      <c r="JH19" s="602"/>
      <c r="JI19" s="602"/>
      <c r="JJ19" s="602"/>
      <c r="JK19" s="602"/>
      <c r="JL19" s="602"/>
      <c r="JM19" s="602"/>
      <c r="JN19" s="602"/>
      <c r="JO19" s="602"/>
      <c r="JP19" s="602"/>
      <c r="JQ19" s="602"/>
      <c r="JR19" s="602"/>
      <c r="JS19" s="602"/>
      <c r="JT19" s="602"/>
      <c r="JU19" s="613"/>
      <c r="JV19" s="609"/>
      <c r="JW19" s="602"/>
      <c r="JX19" s="602"/>
      <c r="JY19" s="602"/>
      <c r="JZ19" s="602"/>
      <c r="KA19" s="602"/>
      <c r="KB19" s="602"/>
      <c r="KC19" s="602"/>
      <c r="KD19" s="602"/>
      <c r="KE19" s="602"/>
      <c r="KF19" s="602"/>
      <c r="KG19" s="602"/>
      <c r="KH19" s="602"/>
      <c r="KI19" s="602"/>
      <c r="KJ19" s="613"/>
      <c r="KK19" s="609"/>
      <c r="KL19" s="602"/>
      <c r="KM19" s="602"/>
      <c r="KN19" s="602"/>
      <c r="KO19" s="602"/>
      <c r="KP19" s="602"/>
      <c r="KQ19" s="602"/>
      <c r="KR19" s="602"/>
      <c r="KS19" s="602"/>
      <c r="KT19" s="602"/>
      <c r="KU19" s="602"/>
      <c r="KV19" s="602"/>
      <c r="KW19" s="602"/>
      <c r="KX19" s="602"/>
      <c r="KY19" s="602"/>
      <c r="KZ19" s="602"/>
      <c r="LA19" s="602"/>
    </row>
    <row r="20" spans="1:313" ht="14.95" customHeight="1">
      <c r="A20" s="12"/>
      <c r="B20" s="12"/>
      <c r="C20" s="1166" t="s">
        <v>2009</v>
      </c>
      <c r="D20" s="1166"/>
      <c r="E20" s="1166"/>
      <c r="F20" s="1166"/>
      <c r="G20" s="1166"/>
      <c r="H20" s="1166"/>
      <c r="I20" s="1166"/>
      <c r="J20" s="1166"/>
      <c r="K20" s="1166"/>
      <c r="L20" s="1166"/>
      <c r="M20" s="1166"/>
      <c r="N20" s="1166"/>
      <c r="O20" s="1166"/>
      <c r="P20" s="1166"/>
      <c r="Q20" s="1166"/>
      <c r="R20" s="1166"/>
      <c r="S20" s="1166"/>
      <c r="T20" s="1166"/>
      <c r="U20" s="1166"/>
      <c r="V20" s="1166"/>
      <c r="W20" s="1166"/>
      <c r="X20" s="1166"/>
      <c r="Y20" s="1166"/>
      <c r="Z20" s="1166"/>
      <c r="AA20" s="1166"/>
      <c r="AB20" s="1166"/>
      <c r="AC20" s="1166"/>
      <c r="AD20" s="1166"/>
      <c r="AE20" s="1166"/>
      <c r="AF20" s="1166"/>
      <c r="AG20" s="1166"/>
      <c r="AH20" s="1166"/>
      <c r="BL20" s="144"/>
      <c r="BM20" s="144"/>
      <c r="BN20" s="144"/>
      <c r="BO20" s="144"/>
      <c r="BP20" s="144"/>
      <c r="BQ20" s="144"/>
      <c r="BR20" s="144"/>
      <c r="BS20" s="144"/>
      <c r="BT20" s="144"/>
      <c r="BU20" s="144"/>
      <c r="BV20" s="144"/>
      <c r="BW20" s="1247" t="s">
        <v>125</v>
      </c>
      <c r="BX20" s="1247"/>
      <c r="BY20" s="1247"/>
      <c r="BZ20" s="1247"/>
      <c r="CA20" s="1247"/>
      <c r="CB20" s="1247"/>
      <c r="CC20" s="1247"/>
      <c r="CD20" s="1247"/>
      <c r="CE20" s="1247"/>
      <c r="CF20" s="1247"/>
      <c r="CG20" s="1247"/>
      <c r="CH20" s="1247"/>
      <c r="CI20" s="1247"/>
      <c r="CJ20" s="1247"/>
      <c r="CK20" s="1247"/>
      <c r="CL20" s="1247"/>
      <c r="CM20" s="1247"/>
      <c r="CN20" s="1247"/>
      <c r="CO20" s="1247"/>
      <c r="CP20" s="1247"/>
      <c r="CQ20" s="266"/>
      <c r="CR20" s="266"/>
      <c r="CS20" s="266"/>
      <c r="CT20" s="266"/>
      <c r="CU20" s="630"/>
      <c r="CV20" s="630"/>
      <c r="CW20" s="630"/>
      <c r="CX20" s="630"/>
      <c r="CY20" s="630"/>
      <c r="CZ20" s="630"/>
      <c r="DA20" s="630"/>
      <c r="DB20" s="630"/>
      <c r="DL20" s="9"/>
      <c r="DM20" s="9"/>
      <c r="DN20" s="9"/>
      <c r="DO20" s="9"/>
      <c r="DP20" s="9"/>
      <c r="DQ20" s="9"/>
      <c r="DR20" s="9"/>
      <c r="DS20" s="9"/>
      <c r="DT20" s="9"/>
      <c r="DU20" s="9"/>
      <c r="DV20" s="9"/>
      <c r="DW20" s="11"/>
      <c r="DX20" s="1247" t="s">
        <v>126</v>
      </c>
      <c r="DY20" s="1247"/>
      <c r="DZ20" s="1247"/>
      <c r="EA20" s="1247"/>
      <c r="EB20" s="1247"/>
      <c r="EC20" s="1247"/>
      <c r="ED20" s="1247"/>
      <c r="EE20" s="1247"/>
      <c r="EF20" s="1247"/>
      <c r="EG20" s="1247"/>
      <c r="EH20" s="1247"/>
      <c r="EI20" s="1247"/>
      <c r="EJ20" s="1247"/>
      <c r="EK20" s="1247"/>
      <c r="EL20" s="1247"/>
      <c r="EM20" s="1247"/>
      <c r="EN20" s="1247"/>
      <c r="EO20" s="1247"/>
      <c r="EP20" s="1247"/>
      <c r="EQ20" s="1247"/>
      <c r="ER20" s="1247"/>
      <c r="ES20" s="1247"/>
      <c r="ET20" s="1247"/>
      <c r="EU20" s="1247"/>
      <c r="EV20" s="1247"/>
      <c r="EW20" s="1247"/>
      <c r="EX20" s="1247"/>
      <c r="EY20" s="632"/>
      <c r="EZ20" s="9"/>
      <c r="FK20" s="604">
        <f>ROW(Installations!C40)</f>
        <v>40</v>
      </c>
      <c r="FL20" s="604"/>
      <c r="FM20" s="602"/>
      <c r="FN20" s="602"/>
      <c r="FO20" s="602"/>
      <c r="FP20" s="602"/>
      <c r="FQ20" s="602"/>
      <c r="FR20" s="602"/>
      <c r="FS20" s="602"/>
      <c r="FT20" s="613"/>
      <c r="FU20" s="609"/>
      <c r="FV20" s="602"/>
      <c r="FW20" s="602"/>
      <c r="FX20" s="602"/>
      <c r="FY20" s="602"/>
      <c r="FZ20" s="602"/>
      <c r="GA20" s="602"/>
      <c r="GB20" s="602"/>
      <c r="GC20" s="602"/>
      <c r="GD20" s="602"/>
      <c r="GE20" s="602"/>
      <c r="GF20" s="602"/>
      <c r="GG20" s="602"/>
      <c r="GH20" s="602"/>
      <c r="GI20" s="613"/>
      <c r="GJ20" s="609"/>
      <c r="GK20" s="602"/>
      <c r="GL20" s="602"/>
      <c r="GM20" s="602"/>
      <c r="GN20" s="602"/>
      <c r="GO20" s="602"/>
      <c r="GP20" s="602"/>
      <c r="GQ20" s="602"/>
      <c r="GR20" s="602"/>
      <c r="GS20" s="602"/>
      <c r="GT20" s="602"/>
      <c r="GU20" s="602"/>
      <c r="GV20" s="602"/>
      <c r="GW20" s="602"/>
      <c r="GX20" s="613"/>
      <c r="GY20" s="609"/>
      <c r="GZ20" s="602"/>
      <c r="HA20" s="602"/>
      <c r="HB20" s="602"/>
      <c r="HC20" s="602"/>
      <c r="HD20" s="602"/>
      <c r="HE20" s="602"/>
      <c r="HF20" s="602"/>
      <c r="HG20" s="602"/>
      <c r="HH20" s="602"/>
      <c r="HI20" s="602"/>
      <c r="HJ20" s="602"/>
      <c r="HK20" s="602"/>
      <c r="HL20" s="602"/>
      <c r="HM20" s="613"/>
      <c r="HN20" s="609"/>
      <c r="HO20" s="602"/>
      <c r="HP20" s="602"/>
      <c r="HQ20" s="602"/>
      <c r="HR20" s="602"/>
      <c r="HS20" s="602"/>
      <c r="HT20" s="602"/>
      <c r="HU20" s="602"/>
      <c r="HV20" s="602"/>
      <c r="HW20" s="602"/>
      <c r="HX20" s="602"/>
      <c r="HY20" s="602"/>
      <c r="HZ20" s="602"/>
      <c r="IA20" s="602"/>
      <c r="IB20" s="613"/>
      <c r="IC20" s="609"/>
      <c r="ID20" s="602"/>
      <c r="IE20" s="602"/>
      <c r="IF20" s="602"/>
      <c r="IG20" s="602"/>
      <c r="IH20" s="602"/>
      <c r="II20" s="602"/>
      <c r="IJ20" s="602"/>
      <c r="IK20" s="602"/>
      <c r="IL20" s="602"/>
      <c r="IM20" s="602"/>
      <c r="IN20" s="602"/>
      <c r="IO20" s="602"/>
      <c r="IP20" s="602"/>
      <c r="IQ20" s="613"/>
      <c r="IR20" s="609"/>
      <c r="IS20" s="602"/>
      <c r="IT20" s="602"/>
      <c r="IU20" s="602"/>
      <c r="IV20" s="602"/>
      <c r="IW20" s="602"/>
      <c r="IX20" s="602"/>
      <c r="IY20" s="602"/>
      <c r="IZ20" s="602"/>
      <c r="JA20" s="602"/>
      <c r="JB20" s="602"/>
      <c r="JC20" s="602"/>
      <c r="JD20" s="602"/>
      <c r="JE20" s="602"/>
      <c r="JF20" s="613"/>
      <c r="JG20" s="609"/>
      <c r="JH20" s="602"/>
      <c r="JI20" s="602"/>
      <c r="JJ20" s="602"/>
      <c r="JK20" s="602"/>
      <c r="JL20" s="602"/>
      <c r="JM20" s="602"/>
      <c r="JN20" s="602"/>
      <c r="JO20" s="602"/>
      <c r="JP20" s="602"/>
      <c r="JQ20" s="602"/>
      <c r="JR20" s="602"/>
      <c r="JS20" s="602"/>
      <c r="JT20" s="602"/>
      <c r="JU20" s="613"/>
      <c r="JV20" s="609"/>
      <c r="JW20" s="602"/>
      <c r="JX20" s="602"/>
      <c r="JY20" s="602"/>
      <c r="JZ20" s="602"/>
      <c r="KA20" s="602"/>
      <c r="KB20" s="602"/>
      <c r="KC20" s="602"/>
      <c r="KD20" s="602"/>
      <c r="KE20" s="602"/>
      <c r="KF20" s="602"/>
      <c r="KG20" s="602"/>
      <c r="KH20" s="602"/>
      <c r="KI20" s="602"/>
      <c r="KJ20" s="613"/>
      <c r="KK20" s="609"/>
      <c r="KL20" s="602"/>
      <c r="KM20" s="602"/>
      <c r="KN20" s="602"/>
      <c r="KO20" s="602"/>
      <c r="KP20" s="602"/>
      <c r="KQ20" s="602"/>
      <c r="KR20" s="602"/>
      <c r="KS20" s="602"/>
      <c r="KT20" s="602"/>
      <c r="KU20" s="602"/>
      <c r="KV20" s="602"/>
      <c r="KW20" s="602"/>
      <c r="KX20" s="602"/>
      <c r="KY20" s="602"/>
      <c r="KZ20" s="602"/>
      <c r="LA20" s="602"/>
    </row>
    <row r="21" spans="1:313" ht="5.0999999999999996" customHeight="1">
      <c r="A21" s="12"/>
      <c r="B21" s="12"/>
      <c r="C21" s="1166"/>
      <c r="D21" s="1166"/>
      <c r="E21" s="1166"/>
      <c r="F21" s="1166"/>
      <c r="G21" s="1166"/>
      <c r="H21" s="1166"/>
      <c r="I21" s="1166"/>
      <c r="J21" s="1166"/>
      <c r="K21" s="1166"/>
      <c r="L21" s="1166"/>
      <c r="M21" s="1166"/>
      <c r="N21" s="1166"/>
      <c r="O21" s="1166"/>
      <c r="P21" s="1166"/>
      <c r="Q21" s="1166"/>
      <c r="R21" s="1166"/>
      <c r="S21" s="1166"/>
      <c r="T21" s="1166"/>
      <c r="U21" s="1166"/>
      <c r="V21" s="1166"/>
      <c r="W21" s="1166"/>
      <c r="X21" s="1166"/>
      <c r="Y21" s="1166"/>
      <c r="Z21" s="1166"/>
      <c r="AA21" s="1166"/>
      <c r="AB21" s="1166"/>
      <c r="AC21" s="1166"/>
      <c r="AD21" s="1166"/>
      <c r="AE21" s="1166"/>
      <c r="AF21" s="1166"/>
      <c r="AG21" s="1166"/>
      <c r="AH21" s="1166"/>
      <c r="BL21" s="144"/>
      <c r="BM21" s="144"/>
      <c r="BN21" s="144"/>
      <c r="BO21" s="144"/>
      <c r="BP21" s="144"/>
      <c r="BQ21" s="144"/>
      <c r="BR21" s="144"/>
      <c r="BS21" s="144"/>
      <c r="BT21" s="144"/>
      <c r="BU21" s="144"/>
      <c r="BV21" s="144"/>
      <c r="BW21" s="1247"/>
      <c r="BX21" s="1247"/>
      <c r="BY21" s="1247"/>
      <c r="BZ21" s="1247"/>
      <c r="CA21" s="1247"/>
      <c r="CB21" s="1247"/>
      <c r="CC21" s="1247"/>
      <c r="CD21" s="1247"/>
      <c r="CE21" s="1247"/>
      <c r="CF21" s="1247"/>
      <c r="CG21" s="1247"/>
      <c r="CH21" s="1247"/>
      <c r="CI21" s="1247"/>
      <c r="CJ21" s="1247"/>
      <c r="CK21" s="1247"/>
      <c r="CL21" s="1247"/>
      <c r="CM21" s="1247"/>
      <c r="CN21" s="1247"/>
      <c r="CO21" s="1247"/>
      <c r="CP21" s="1247"/>
      <c r="CQ21" s="266"/>
      <c r="CR21" s="266"/>
      <c r="CS21" s="266"/>
      <c r="CT21" s="266"/>
      <c r="DL21" s="9"/>
      <c r="DM21" s="9"/>
      <c r="DN21" s="9"/>
      <c r="DO21" s="9"/>
      <c r="DP21" s="9"/>
      <c r="DQ21" s="9"/>
      <c r="DR21" s="9"/>
      <c r="DS21" s="9"/>
      <c r="DT21" s="9"/>
      <c r="DU21" s="9"/>
      <c r="DV21" s="9"/>
      <c r="DW21" s="11"/>
      <c r="DX21" s="1247"/>
      <c r="DY21" s="1247"/>
      <c r="DZ21" s="1247"/>
      <c r="EA21" s="1247"/>
      <c r="EB21" s="1247"/>
      <c r="EC21" s="1247"/>
      <c r="ED21" s="1247"/>
      <c r="EE21" s="1247"/>
      <c r="EF21" s="1247"/>
      <c r="EG21" s="1247"/>
      <c r="EH21" s="1247"/>
      <c r="EI21" s="1247"/>
      <c r="EJ21" s="1247"/>
      <c r="EK21" s="1247"/>
      <c r="EL21" s="1247"/>
      <c r="EM21" s="1247"/>
      <c r="EN21" s="1247"/>
      <c r="EO21" s="1247"/>
      <c r="EP21" s="1247"/>
      <c r="EQ21" s="1247"/>
      <c r="ER21" s="1247"/>
      <c r="ES21" s="1247"/>
      <c r="ET21" s="1247"/>
      <c r="EU21" s="1247"/>
      <c r="EV21" s="1247"/>
      <c r="EW21" s="1247"/>
      <c r="EX21" s="1247"/>
      <c r="EY21" s="632"/>
      <c r="EZ21" s="9"/>
      <c r="FK21" s="602"/>
      <c r="FL21" s="602"/>
      <c r="FM21" s="602"/>
      <c r="FN21" s="602"/>
      <c r="FO21" s="602"/>
      <c r="FP21" s="602"/>
      <c r="FQ21" s="602"/>
      <c r="FR21" s="602"/>
      <c r="FS21" s="602"/>
      <c r="FT21" s="613"/>
      <c r="FU21" s="609"/>
      <c r="FV21" s="602"/>
      <c r="FW21" s="602"/>
      <c r="FX21" s="602"/>
      <c r="FY21" s="602"/>
      <c r="FZ21" s="602"/>
      <c r="GA21" s="602"/>
      <c r="GB21" s="602"/>
      <c r="GC21" s="602"/>
      <c r="GD21" s="602"/>
      <c r="GE21" s="602"/>
      <c r="GF21" s="602"/>
      <c r="GG21" s="602"/>
      <c r="GH21" s="602"/>
      <c r="GI21" s="613"/>
      <c r="GJ21" s="609"/>
      <c r="GK21" s="602"/>
      <c r="GL21" s="602"/>
      <c r="GM21" s="602"/>
      <c r="GN21" s="602"/>
      <c r="GO21" s="602"/>
      <c r="GP21" s="602"/>
      <c r="GQ21" s="602"/>
      <c r="GR21" s="602"/>
      <c r="GS21" s="602"/>
      <c r="GT21" s="602"/>
      <c r="GU21" s="602"/>
      <c r="GV21" s="602"/>
      <c r="GW21" s="602"/>
      <c r="GX21" s="613"/>
      <c r="GY21" s="609"/>
      <c r="GZ21" s="602"/>
      <c r="HA21" s="602"/>
      <c r="HB21" s="602"/>
      <c r="HC21" s="602"/>
      <c r="HD21" s="602"/>
      <c r="HE21" s="602"/>
      <c r="HF21" s="602"/>
      <c r="HG21" s="602"/>
      <c r="HH21" s="602"/>
      <c r="HI21" s="602"/>
      <c r="HJ21" s="602"/>
      <c r="HK21" s="602"/>
      <c r="HL21" s="602"/>
      <c r="HM21" s="613"/>
      <c r="HN21" s="609"/>
      <c r="HO21" s="602"/>
      <c r="HP21" s="602"/>
      <c r="HQ21" s="602"/>
      <c r="HR21" s="602"/>
      <c r="HS21" s="602"/>
      <c r="HT21" s="602"/>
      <c r="HU21" s="602"/>
      <c r="HV21" s="602"/>
      <c r="HW21" s="602"/>
      <c r="HX21" s="602"/>
      <c r="HY21" s="602"/>
      <c r="HZ21" s="602"/>
      <c r="IA21" s="602"/>
      <c r="IB21" s="613"/>
      <c r="IC21" s="609"/>
      <c r="ID21" s="602"/>
      <c r="IE21" s="602"/>
      <c r="IF21" s="602"/>
      <c r="IG21" s="602"/>
      <c r="IH21" s="602"/>
      <c r="II21" s="602"/>
      <c r="IJ21" s="602"/>
      <c r="IK21" s="602"/>
      <c r="IL21" s="602"/>
      <c r="IM21" s="602"/>
      <c r="IN21" s="602"/>
      <c r="IO21" s="602"/>
      <c r="IP21" s="602"/>
      <c r="IQ21" s="613"/>
      <c r="IR21" s="609"/>
      <c r="IS21" s="602"/>
      <c r="IT21" s="602"/>
      <c r="IU21" s="602"/>
      <c r="IV21" s="602"/>
      <c r="IW21" s="602"/>
      <c r="IX21" s="602"/>
      <c r="IY21" s="602"/>
      <c r="IZ21" s="602"/>
      <c r="JA21" s="602"/>
      <c r="JB21" s="602"/>
      <c r="JC21" s="602"/>
      <c r="JD21" s="602"/>
      <c r="JE21" s="602"/>
      <c r="JF21" s="613"/>
      <c r="JG21" s="609"/>
      <c r="JH21" s="602"/>
      <c r="JI21" s="602"/>
      <c r="JJ21" s="602"/>
      <c r="JK21" s="602"/>
      <c r="JL21" s="602"/>
      <c r="JM21" s="602"/>
      <c r="JN21" s="602"/>
      <c r="JO21" s="602"/>
      <c r="JP21" s="602"/>
      <c r="JQ21" s="602"/>
      <c r="JR21" s="602"/>
      <c r="JS21" s="602"/>
      <c r="JT21" s="602"/>
      <c r="JU21" s="613"/>
      <c r="JV21" s="609"/>
      <c r="JW21" s="602"/>
      <c r="JX21" s="602"/>
      <c r="JY21" s="602"/>
      <c r="JZ21" s="602"/>
      <c r="KA21" s="602"/>
      <c r="KB21" s="602"/>
      <c r="KC21" s="602"/>
      <c r="KD21" s="602"/>
      <c r="KE21" s="602"/>
      <c r="KF21" s="602"/>
      <c r="KG21" s="602"/>
      <c r="KH21" s="602"/>
      <c r="KI21" s="602"/>
      <c r="KJ21" s="613"/>
      <c r="KK21" s="609"/>
      <c r="KL21" s="602"/>
      <c r="KM21" s="602"/>
      <c r="KN21" s="602"/>
      <c r="KO21" s="602"/>
      <c r="KP21" s="602"/>
      <c r="KQ21" s="602"/>
      <c r="KR21" s="602"/>
      <c r="KS21" s="602"/>
      <c r="KT21" s="602"/>
      <c r="KU21" s="602"/>
      <c r="KV21" s="602"/>
      <c r="KW21" s="602"/>
      <c r="KX21" s="602"/>
      <c r="KY21" s="602"/>
      <c r="KZ21" s="602"/>
      <c r="LA21" s="602"/>
    </row>
    <row r="22" spans="1:313">
      <c r="A22" s="12"/>
      <c r="B22" s="12"/>
      <c r="C22" s="1166"/>
      <c r="D22" s="1166"/>
      <c r="E22" s="1166"/>
      <c r="F22" s="1166"/>
      <c r="G22" s="1166"/>
      <c r="H22" s="1166"/>
      <c r="I22" s="1166"/>
      <c r="J22" s="1166"/>
      <c r="K22" s="1166"/>
      <c r="L22" s="1166"/>
      <c r="M22" s="1166"/>
      <c r="N22" s="1166"/>
      <c r="O22" s="1166"/>
      <c r="P22" s="1166"/>
      <c r="Q22" s="1166"/>
      <c r="R22" s="1166"/>
      <c r="S22" s="1166"/>
      <c r="T22" s="1166"/>
      <c r="U22" s="1166"/>
      <c r="V22" s="1166"/>
      <c r="W22" s="1166"/>
      <c r="X22" s="1166"/>
      <c r="Y22" s="1166"/>
      <c r="Z22" s="1166"/>
      <c r="AA22" s="1166"/>
      <c r="AB22" s="1166"/>
      <c r="AC22" s="1166"/>
      <c r="AD22" s="1166"/>
      <c r="AE22" s="1166"/>
      <c r="AF22" s="1166"/>
      <c r="AG22" s="1166"/>
      <c r="AH22" s="1166"/>
      <c r="BL22" s="9"/>
      <c r="BM22" s="9"/>
      <c r="BN22" s="9"/>
      <c r="BO22" s="9"/>
      <c r="BP22" s="9"/>
      <c r="BQ22" s="9"/>
      <c r="BR22" s="9"/>
      <c r="BS22" s="9"/>
      <c r="BT22" s="9"/>
      <c r="BU22" s="9"/>
      <c r="BV22" s="9"/>
      <c r="BW22" s="1247"/>
      <c r="BX22" s="1247"/>
      <c r="BY22" s="1247"/>
      <c r="BZ22" s="1247"/>
      <c r="CA22" s="1247"/>
      <c r="CB22" s="1247"/>
      <c r="CC22" s="1247"/>
      <c r="CD22" s="1247"/>
      <c r="CE22" s="1247"/>
      <c r="CF22" s="1247"/>
      <c r="CG22" s="1247"/>
      <c r="CH22" s="1247"/>
      <c r="CI22" s="1247"/>
      <c r="CJ22" s="1247"/>
      <c r="CK22" s="1247"/>
      <c r="CL22" s="1247"/>
      <c r="CM22" s="1247"/>
      <c r="CN22" s="1247"/>
      <c r="CO22" s="1247"/>
      <c r="CP22" s="1247"/>
      <c r="CQ22" s="266"/>
      <c r="CR22" s="266"/>
      <c r="CS22" s="266"/>
      <c r="CT22" s="266"/>
      <c r="DL22" s="9"/>
      <c r="DM22" s="9"/>
      <c r="DN22" s="9"/>
      <c r="DO22" s="9"/>
      <c r="DP22" s="9"/>
      <c r="DQ22" s="9"/>
      <c r="DR22" s="9"/>
      <c r="DS22" s="9"/>
      <c r="DT22" s="9"/>
      <c r="DU22" s="9"/>
      <c r="DV22" s="9"/>
      <c r="DW22" s="11"/>
      <c r="DX22" s="1247"/>
      <c r="DY22" s="1247"/>
      <c r="DZ22" s="1247"/>
      <c r="EA22" s="1247"/>
      <c r="EB22" s="1247"/>
      <c r="EC22" s="1247"/>
      <c r="ED22" s="1247"/>
      <c r="EE22" s="1247"/>
      <c r="EF22" s="1247"/>
      <c r="EG22" s="1247"/>
      <c r="EH22" s="1247"/>
      <c r="EI22" s="1247"/>
      <c r="EJ22" s="1247"/>
      <c r="EK22" s="1247"/>
      <c r="EL22" s="1247"/>
      <c r="EM22" s="1247"/>
      <c r="EN22" s="1247"/>
      <c r="EO22" s="1247"/>
      <c r="EP22" s="1247"/>
      <c r="EQ22" s="1247"/>
      <c r="ER22" s="1247"/>
      <c r="ES22" s="1247"/>
      <c r="ET22" s="1247"/>
      <c r="EU22" s="1247"/>
      <c r="EV22" s="1247"/>
      <c r="EW22" s="1247"/>
      <c r="EX22" s="1247"/>
      <c r="EY22" s="632"/>
      <c r="EZ22" s="9"/>
      <c r="FK22" s="602"/>
      <c r="FL22" s="602"/>
      <c r="FM22" s="602"/>
      <c r="FN22" s="602"/>
      <c r="FO22" s="602"/>
      <c r="FP22" s="602"/>
      <c r="FQ22" s="602"/>
      <c r="FR22" s="602"/>
      <c r="FS22" s="602"/>
      <c r="FT22" s="613"/>
      <c r="FU22" s="609"/>
      <c r="FV22" s="602"/>
      <c r="FW22" s="602"/>
      <c r="FX22" s="602"/>
      <c r="FY22" s="602"/>
      <c r="FZ22" s="602"/>
      <c r="GA22" s="602"/>
      <c r="GB22" s="602"/>
      <c r="GC22" s="602"/>
      <c r="GD22" s="602"/>
      <c r="GE22" s="602"/>
      <c r="GF22" s="602"/>
      <c r="GG22" s="602"/>
      <c r="GH22" s="602"/>
      <c r="GI22" s="613"/>
      <c r="GJ22" s="609"/>
      <c r="GK22" s="602"/>
      <c r="GL22" s="602"/>
      <c r="GM22" s="602"/>
      <c r="GN22" s="602"/>
      <c r="GO22" s="602"/>
      <c r="GP22" s="602"/>
      <c r="GQ22" s="602"/>
      <c r="GR22" s="602"/>
      <c r="GS22" s="602"/>
      <c r="GT22" s="602"/>
      <c r="GU22" s="602"/>
      <c r="GV22" s="602"/>
      <c r="GW22" s="602"/>
      <c r="GX22" s="613"/>
      <c r="GY22" s="609"/>
      <c r="GZ22" s="602"/>
      <c r="HA22" s="602"/>
      <c r="HB22" s="602"/>
      <c r="HC22" s="602"/>
      <c r="HD22" s="602"/>
      <c r="HE22" s="602"/>
      <c r="HF22" s="602"/>
      <c r="HG22" s="602"/>
      <c r="HH22" s="602"/>
      <c r="HI22" s="602"/>
      <c r="HJ22" s="602"/>
      <c r="HK22" s="602"/>
      <c r="HL22" s="602"/>
      <c r="HM22" s="613"/>
      <c r="HN22" s="609"/>
      <c r="HO22" s="602"/>
      <c r="HP22" s="602"/>
      <c r="HQ22" s="602"/>
      <c r="HR22" s="602"/>
      <c r="HS22" s="602"/>
      <c r="HT22" s="602"/>
      <c r="HU22" s="602"/>
      <c r="HV22" s="602"/>
      <c r="HW22" s="602"/>
      <c r="HX22" s="602"/>
      <c r="HY22" s="602"/>
      <c r="HZ22" s="602"/>
      <c r="IA22" s="602"/>
      <c r="IB22" s="613"/>
      <c r="IC22" s="609"/>
      <c r="ID22" s="602"/>
      <c r="IE22" s="602"/>
      <c r="IF22" s="602"/>
      <c r="IG22" s="602"/>
      <c r="IH22" s="602"/>
      <c r="II22" s="602"/>
      <c r="IJ22" s="602"/>
      <c r="IK22" s="602"/>
      <c r="IL22" s="602"/>
      <c r="IM22" s="602"/>
      <c r="IN22" s="602"/>
      <c r="IO22" s="602"/>
      <c r="IP22" s="602"/>
      <c r="IQ22" s="613"/>
      <c r="IR22" s="609"/>
      <c r="IS22" s="602"/>
      <c r="IT22" s="602"/>
      <c r="IU22" s="602"/>
      <c r="IV22" s="602"/>
      <c r="IW22" s="602"/>
      <c r="IX22" s="602"/>
      <c r="IY22" s="602"/>
      <c r="IZ22" s="602"/>
      <c r="JA22" s="602"/>
      <c r="JB22" s="602"/>
      <c r="JC22" s="602"/>
      <c r="JD22" s="602"/>
      <c r="JE22" s="602"/>
      <c r="JF22" s="613"/>
      <c r="JG22" s="609"/>
      <c r="JH22" s="602"/>
      <c r="JI22" s="602"/>
      <c r="JJ22" s="602"/>
      <c r="JK22" s="602"/>
      <c r="JL22" s="602"/>
      <c r="JM22" s="602"/>
      <c r="JN22" s="602"/>
      <c r="JO22" s="602"/>
      <c r="JP22" s="602"/>
      <c r="JQ22" s="602"/>
      <c r="JR22" s="602"/>
      <c r="JS22" s="602"/>
      <c r="JT22" s="602"/>
      <c r="JU22" s="613"/>
      <c r="JV22" s="609"/>
      <c r="JW22" s="602"/>
      <c r="JX22" s="602"/>
      <c r="JY22" s="602"/>
      <c r="JZ22" s="602"/>
      <c r="KA22" s="602"/>
      <c r="KB22" s="602"/>
      <c r="KC22" s="602"/>
      <c r="KD22" s="602"/>
      <c r="KE22" s="602"/>
      <c r="KF22" s="602"/>
      <c r="KG22" s="602"/>
      <c r="KH22" s="602"/>
      <c r="KI22" s="602"/>
      <c r="KJ22" s="613"/>
      <c r="KK22" s="609"/>
      <c r="KL22" s="602"/>
      <c r="KM22" s="602"/>
      <c r="KN22" s="602"/>
      <c r="KO22" s="602"/>
      <c r="KP22" s="602"/>
      <c r="KQ22" s="602"/>
      <c r="KR22" s="602"/>
      <c r="KS22" s="602"/>
      <c r="KT22" s="602"/>
      <c r="KU22" s="602"/>
      <c r="KV22" s="602"/>
      <c r="KW22" s="602"/>
      <c r="KX22" s="602"/>
      <c r="KY22" s="602"/>
      <c r="KZ22" s="602"/>
      <c r="LA22" s="602"/>
    </row>
    <row r="23" spans="1:313" ht="5.0999999999999996" customHeight="1">
      <c r="A23" s="12"/>
      <c r="B23" s="12"/>
      <c r="C23" s="1166"/>
      <c r="D23" s="1166"/>
      <c r="E23" s="1166"/>
      <c r="F23" s="1166"/>
      <c r="G23" s="1166"/>
      <c r="H23" s="1166"/>
      <c r="I23" s="1166"/>
      <c r="J23" s="1166"/>
      <c r="K23" s="1166"/>
      <c r="L23" s="1166"/>
      <c r="M23" s="1166"/>
      <c r="N23" s="1166"/>
      <c r="O23" s="1166"/>
      <c r="P23" s="1166"/>
      <c r="Q23" s="1166"/>
      <c r="R23" s="1166"/>
      <c r="S23" s="1166"/>
      <c r="T23" s="1166"/>
      <c r="U23" s="1166"/>
      <c r="V23" s="1166"/>
      <c r="W23" s="1166"/>
      <c r="X23" s="1166"/>
      <c r="Y23" s="1166"/>
      <c r="Z23" s="1166"/>
      <c r="AA23" s="1166"/>
      <c r="AB23" s="1166"/>
      <c r="AC23" s="1166"/>
      <c r="AD23" s="1166"/>
      <c r="AE23" s="1166"/>
      <c r="AF23" s="1166"/>
      <c r="AG23" s="1166"/>
      <c r="AH23" s="1166"/>
      <c r="BL23" s="9"/>
      <c r="BM23" s="9"/>
      <c r="BN23" s="9"/>
      <c r="BO23" s="9"/>
      <c r="BP23" s="9"/>
      <c r="BQ23" s="9"/>
      <c r="BR23" s="9"/>
      <c r="BS23" s="9"/>
      <c r="BT23" s="9"/>
      <c r="BU23" s="9"/>
      <c r="BV23" s="9"/>
      <c r="BW23" s="1247"/>
      <c r="BX23" s="1247"/>
      <c r="BY23" s="1247"/>
      <c r="BZ23" s="1247"/>
      <c r="CA23" s="1247"/>
      <c r="CB23" s="1247"/>
      <c r="CC23" s="1247"/>
      <c r="CD23" s="1247"/>
      <c r="CE23" s="1247"/>
      <c r="CF23" s="1247"/>
      <c r="CG23" s="1247"/>
      <c r="CH23" s="1247"/>
      <c r="CI23" s="1247"/>
      <c r="CJ23" s="1247"/>
      <c r="CK23" s="1247"/>
      <c r="CL23" s="1247"/>
      <c r="CM23" s="1247"/>
      <c r="CN23" s="1247"/>
      <c r="CO23" s="1247"/>
      <c r="CP23" s="1247"/>
      <c r="CQ23" s="266"/>
      <c r="CR23" s="266"/>
      <c r="CS23" s="266"/>
      <c r="CT23" s="266"/>
      <c r="DL23" s="9"/>
      <c r="DM23" s="9"/>
      <c r="DN23" s="9"/>
      <c r="DO23" s="9"/>
      <c r="DP23" s="9"/>
      <c r="DQ23" s="9"/>
      <c r="DR23" s="9"/>
      <c r="DS23" s="9"/>
      <c r="DT23" s="9"/>
      <c r="DU23" s="9"/>
      <c r="DV23" s="9"/>
      <c r="DW23" s="11"/>
      <c r="DX23" s="1247"/>
      <c r="DY23" s="1247"/>
      <c r="DZ23" s="1247"/>
      <c r="EA23" s="1247"/>
      <c r="EB23" s="1247"/>
      <c r="EC23" s="1247"/>
      <c r="ED23" s="1247"/>
      <c r="EE23" s="1247"/>
      <c r="EF23" s="1247"/>
      <c r="EG23" s="1247"/>
      <c r="EH23" s="1247"/>
      <c r="EI23" s="1247"/>
      <c r="EJ23" s="1247"/>
      <c r="EK23" s="1247"/>
      <c r="EL23" s="1247"/>
      <c r="EM23" s="1247"/>
      <c r="EN23" s="1247"/>
      <c r="EO23" s="1247"/>
      <c r="EP23" s="1247"/>
      <c r="EQ23" s="1247"/>
      <c r="ER23" s="1247"/>
      <c r="ES23" s="1247"/>
      <c r="ET23" s="1247"/>
      <c r="EU23" s="1247"/>
      <c r="EV23" s="1247"/>
      <c r="EW23" s="1247"/>
      <c r="EX23" s="1247"/>
      <c r="EY23" s="632"/>
      <c r="EZ23" s="9"/>
      <c r="FK23" s="604"/>
      <c r="FL23" s="604"/>
      <c r="FM23" s="604"/>
      <c r="FN23" s="604"/>
      <c r="FO23" s="604"/>
      <c r="FP23" s="602"/>
      <c r="FQ23" s="602"/>
      <c r="FR23" s="602"/>
      <c r="FS23" s="602"/>
      <c r="FT23" s="613"/>
      <c r="FU23" s="609"/>
      <c r="FV23" s="602"/>
      <c r="FW23" s="602"/>
      <c r="FX23" s="602"/>
      <c r="FY23" s="602"/>
      <c r="FZ23" s="602"/>
      <c r="GA23" s="602"/>
      <c r="GB23" s="602"/>
      <c r="GC23" s="602"/>
      <c r="GD23" s="602"/>
      <c r="GE23" s="602"/>
      <c r="GF23" s="602"/>
      <c r="GG23" s="602"/>
      <c r="GH23" s="602"/>
      <c r="GI23" s="613"/>
      <c r="GJ23" s="609"/>
      <c r="GK23" s="602"/>
      <c r="GL23" s="602"/>
      <c r="GM23" s="602"/>
      <c r="GN23" s="602"/>
      <c r="GO23" s="602"/>
      <c r="GP23" s="602"/>
      <c r="GQ23" s="602"/>
      <c r="GR23" s="602"/>
      <c r="GS23" s="602"/>
      <c r="GT23" s="602"/>
      <c r="GU23" s="602"/>
      <c r="GV23" s="602"/>
      <c r="GW23" s="602"/>
      <c r="GX23" s="613"/>
      <c r="GY23" s="609"/>
      <c r="GZ23" s="602"/>
      <c r="HA23" s="602"/>
      <c r="HB23" s="602"/>
      <c r="HC23" s="602"/>
      <c r="HD23" s="602"/>
      <c r="HE23" s="602"/>
      <c r="HF23" s="602"/>
      <c r="HG23" s="602"/>
      <c r="HH23" s="602"/>
      <c r="HI23" s="602"/>
      <c r="HJ23" s="602"/>
      <c r="HK23" s="602"/>
      <c r="HL23" s="602"/>
      <c r="HM23" s="613"/>
      <c r="HN23" s="609"/>
      <c r="HO23" s="602"/>
      <c r="HP23" s="602"/>
      <c r="HQ23" s="602"/>
      <c r="HR23" s="602"/>
      <c r="HS23" s="602"/>
      <c r="HT23" s="602"/>
      <c r="HU23" s="602"/>
      <c r="HV23" s="602"/>
      <c r="HW23" s="602"/>
      <c r="HX23" s="602"/>
      <c r="HY23" s="602"/>
      <c r="HZ23" s="602"/>
      <c r="IA23" s="602"/>
      <c r="IB23" s="613"/>
      <c r="IC23" s="609"/>
      <c r="ID23" s="602"/>
      <c r="IE23" s="602"/>
      <c r="IF23" s="602"/>
      <c r="IG23" s="602"/>
      <c r="IH23" s="602"/>
      <c r="II23" s="602"/>
      <c r="IJ23" s="602"/>
      <c r="IK23" s="602"/>
      <c r="IL23" s="602"/>
      <c r="IM23" s="602"/>
      <c r="IN23" s="602"/>
      <c r="IO23" s="602"/>
      <c r="IP23" s="602"/>
      <c r="IQ23" s="613"/>
      <c r="IR23" s="609"/>
      <c r="IS23" s="602"/>
      <c r="IT23" s="602"/>
      <c r="IU23" s="602"/>
      <c r="IV23" s="602"/>
      <c r="IW23" s="602"/>
      <c r="IX23" s="602"/>
      <c r="IY23" s="602"/>
      <c r="IZ23" s="602"/>
      <c r="JA23" s="602"/>
      <c r="JB23" s="602"/>
      <c r="JC23" s="602"/>
      <c r="JD23" s="602"/>
      <c r="JE23" s="602"/>
      <c r="JF23" s="613"/>
      <c r="JG23" s="609"/>
      <c r="JH23" s="602"/>
      <c r="JI23" s="602"/>
      <c r="JJ23" s="602"/>
      <c r="JK23" s="602"/>
      <c r="JL23" s="602"/>
      <c r="JM23" s="602"/>
      <c r="JN23" s="602"/>
      <c r="JO23" s="602"/>
      <c r="JP23" s="602"/>
      <c r="JQ23" s="602"/>
      <c r="JR23" s="602"/>
      <c r="JS23" s="602"/>
      <c r="JT23" s="602"/>
      <c r="JU23" s="613"/>
      <c r="JV23" s="609"/>
      <c r="JW23" s="602"/>
      <c r="JX23" s="602"/>
      <c r="JY23" s="602"/>
      <c r="JZ23" s="602"/>
      <c r="KA23" s="602"/>
      <c r="KB23" s="602"/>
      <c r="KC23" s="602"/>
      <c r="KD23" s="602"/>
      <c r="KE23" s="602"/>
      <c r="KF23" s="602"/>
      <c r="KG23" s="602"/>
      <c r="KH23" s="602"/>
      <c r="KI23" s="602"/>
      <c r="KJ23" s="613"/>
      <c r="KK23" s="609"/>
      <c r="KL23" s="602"/>
      <c r="KM23" s="602"/>
      <c r="KN23" s="602"/>
      <c r="KO23" s="602"/>
      <c r="KP23" s="602"/>
      <c r="KQ23" s="602"/>
      <c r="KR23" s="602"/>
      <c r="KS23" s="602"/>
      <c r="KT23" s="602"/>
      <c r="KU23" s="602"/>
      <c r="KV23" s="602"/>
      <c r="KW23" s="602"/>
      <c r="KX23" s="602"/>
      <c r="KY23" s="602"/>
      <c r="KZ23" s="602"/>
      <c r="LA23" s="602"/>
    </row>
    <row r="24" spans="1:313" ht="14.95" customHeight="1">
      <c r="A24" s="12"/>
      <c r="B24" s="12"/>
      <c r="C24" s="1166"/>
      <c r="D24" s="1166"/>
      <c r="E24" s="1166"/>
      <c r="F24" s="1166"/>
      <c r="G24" s="1166"/>
      <c r="H24" s="1166"/>
      <c r="I24" s="1166"/>
      <c r="J24" s="1166"/>
      <c r="K24" s="1166"/>
      <c r="L24" s="1166"/>
      <c r="M24" s="1166"/>
      <c r="N24" s="1166"/>
      <c r="O24" s="1166"/>
      <c r="P24" s="1166"/>
      <c r="Q24" s="1166"/>
      <c r="R24" s="1166"/>
      <c r="S24" s="1166"/>
      <c r="T24" s="1166"/>
      <c r="U24" s="1166"/>
      <c r="V24" s="1166"/>
      <c r="W24" s="1166"/>
      <c r="X24" s="1166"/>
      <c r="Y24" s="1166"/>
      <c r="Z24" s="1166"/>
      <c r="AA24" s="1166"/>
      <c r="AB24" s="1166"/>
      <c r="AC24" s="1166"/>
      <c r="AD24" s="1166"/>
      <c r="AE24" s="1166"/>
      <c r="AF24" s="1166"/>
      <c r="AG24" s="1166"/>
      <c r="AH24" s="1166"/>
      <c r="BL24" s="9"/>
      <c r="BM24" s="9"/>
      <c r="BN24" s="9"/>
      <c r="BO24" s="9"/>
      <c r="BP24" s="9"/>
      <c r="BQ24" s="9"/>
      <c r="BR24" s="9"/>
      <c r="BS24" s="9"/>
      <c r="BT24" s="9"/>
      <c r="BU24" s="9"/>
      <c r="BV24" s="9"/>
      <c r="BW24" s="1247"/>
      <c r="BX24" s="1247"/>
      <c r="BY24" s="1247"/>
      <c r="BZ24" s="1247"/>
      <c r="CA24" s="1247"/>
      <c r="CB24" s="1247"/>
      <c r="CC24" s="1247"/>
      <c r="CD24" s="1247"/>
      <c r="CE24" s="1247"/>
      <c r="CF24" s="1247"/>
      <c r="CG24" s="1247"/>
      <c r="CH24" s="1247"/>
      <c r="CI24" s="1247"/>
      <c r="CJ24" s="1247"/>
      <c r="CK24" s="1247"/>
      <c r="CL24" s="1247"/>
      <c r="CM24" s="1247"/>
      <c r="CN24" s="1247"/>
      <c r="CO24" s="1247"/>
      <c r="CP24" s="1247"/>
      <c r="CQ24" s="266"/>
      <c r="CR24" s="266"/>
      <c r="CS24" s="266"/>
      <c r="CT24" s="266"/>
      <c r="DL24" s="9"/>
      <c r="DM24" s="9"/>
      <c r="DN24" s="9"/>
      <c r="DO24" s="9"/>
      <c r="DP24" s="9"/>
      <c r="DQ24" s="9"/>
      <c r="DR24" s="9"/>
      <c r="DS24" s="9"/>
      <c r="DT24" s="9"/>
      <c r="DU24" s="9"/>
      <c r="DV24" s="9"/>
      <c r="DW24" s="11"/>
      <c r="DX24" s="1247"/>
      <c r="DY24" s="1247"/>
      <c r="DZ24" s="1247"/>
      <c r="EA24" s="1247"/>
      <c r="EB24" s="1247"/>
      <c r="EC24" s="1247"/>
      <c r="ED24" s="1247"/>
      <c r="EE24" s="1247"/>
      <c r="EF24" s="1247"/>
      <c r="EG24" s="1247"/>
      <c r="EH24" s="1247"/>
      <c r="EI24" s="1247"/>
      <c r="EJ24" s="1247"/>
      <c r="EK24" s="1247"/>
      <c r="EL24" s="1247"/>
      <c r="EM24" s="1247"/>
      <c r="EN24" s="1247"/>
      <c r="EO24" s="1247"/>
      <c r="EP24" s="1247"/>
      <c r="EQ24" s="1247"/>
      <c r="ER24" s="1247"/>
      <c r="ES24" s="1247"/>
      <c r="ET24" s="1247"/>
      <c r="EU24" s="1247"/>
      <c r="EV24" s="1247"/>
      <c r="EW24" s="1247"/>
      <c r="EX24" s="1247"/>
      <c r="EY24" s="632"/>
      <c r="EZ24" s="9"/>
      <c r="FK24" s="604">
        <v>2</v>
      </c>
      <c r="FL24" s="604">
        <v>5</v>
      </c>
      <c r="FM24" s="604"/>
      <c r="FN24" s="604"/>
      <c r="FO24" s="604"/>
      <c r="FP24" s="604"/>
      <c r="FQ24" s="604"/>
      <c r="FR24" s="604"/>
      <c r="FS24" s="604"/>
      <c r="FT24" s="615"/>
      <c r="FU24" s="614"/>
      <c r="FV24" s="604"/>
      <c r="FW24" s="604"/>
      <c r="FX24" s="604"/>
      <c r="FY24" s="604"/>
      <c r="FZ24" s="604"/>
      <c r="GA24" s="604"/>
      <c r="GB24" s="604"/>
      <c r="GC24" s="604"/>
      <c r="GD24" s="604"/>
      <c r="GE24" s="604"/>
      <c r="GF24" s="604"/>
      <c r="GG24" s="604"/>
      <c r="GH24" s="604"/>
      <c r="GI24" s="615"/>
      <c r="GJ24" s="614"/>
      <c r="GK24" s="604"/>
      <c r="GL24" s="604"/>
      <c r="GM24" s="604"/>
      <c r="GN24" s="604"/>
      <c r="GO24" s="604"/>
      <c r="GP24" s="604"/>
      <c r="GQ24" s="604"/>
      <c r="GR24" s="604"/>
      <c r="GS24" s="604"/>
      <c r="GT24" s="604"/>
      <c r="GU24" s="604"/>
      <c r="GV24" s="604"/>
      <c r="GW24" s="604"/>
      <c r="GX24" s="615"/>
      <c r="GY24" s="614"/>
      <c r="GZ24" s="604"/>
      <c r="HA24" s="604"/>
      <c r="HB24" s="604"/>
      <c r="HC24" s="604"/>
      <c r="HD24" s="604"/>
      <c r="HE24" s="604"/>
      <c r="HF24" s="604"/>
      <c r="HG24" s="604"/>
      <c r="HH24" s="604"/>
      <c r="HI24" s="604"/>
      <c r="HJ24" s="604"/>
      <c r="HK24" s="604"/>
      <c r="HL24" s="604"/>
      <c r="HM24" s="615"/>
      <c r="HN24" s="614"/>
      <c r="HO24" s="604"/>
      <c r="HP24" s="604"/>
      <c r="HQ24" s="604"/>
      <c r="HR24" s="604"/>
      <c r="HS24" s="604"/>
      <c r="HT24" s="604"/>
      <c r="HU24" s="604"/>
      <c r="HV24" s="604"/>
      <c r="HW24" s="604"/>
      <c r="HX24" s="604"/>
      <c r="HY24" s="604"/>
      <c r="HZ24" s="604"/>
      <c r="IA24" s="604"/>
      <c r="IB24" s="615"/>
      <c r="IC24" s="614"/>
      <c r="ID24" s="604"/>
      <c r="IE24" s="604"/>
      <c r="IF24" s="604"/>
      <c r="IG24" s="604"/>
      <c r="IH24" s="604"/>
      <c r="II24" s="604"/>
      <c r="IJ24" s="604"/>
      <c r="IK24" s="604"/>
      <c r="IL24" s="604"/>
      <c r="IM24" s="604"/>
      <c r="IN24" s="604"/>
      <c r="IO24" s="604"/>
      <c r="IP24" s="604"/>
      <c r="IQ24" s="615"/>
      <c r="IR24" s="614"/>
      <c r="IS24" s="604"/>
      <c r="IT24" s="604"/>
      <c r="IU24" s="604"/>
      <c r="IV24" s="604"/>
      <c r="IW24" s="604"/>
      <c r="IX24" s="604"/>
      <c r="IY24" s="604"/>
      <c r="IZ24" s="604"/>
      <c r="JA24" s="604"/>
      <c r="JB24" s="604"/>
      <c r="JC24" s="604"/>
      <c r="JD24" s="604"/>
      <c r="JE24" s="604"/>
      <c r="JF24" s="615"/>
      <c r="JG24" s="614"/>
      <c r="JH24" s="604"/>
      <c r="JI24" s="604"/>
      <c r="JJ24" s="604"/>
      <c r="JK24" s="604"/>
      <c r="JL24" s="604"/>
      <c r="JM24" s="604"/>
      <c r="JN24" s="604"/>
      <c r="JO24" s="604"/>
      <c r="JP24" s="604"/>
      <c r="JQ24" s="604"/>
      <c r="JR24" s="604"/>
      <c r="JS24" s="604"/>
      <c r="JT24" s="604"/>
      <c r="JU24" s="615"/>
      <c r="JV24" s="614"/>
      <c r="JW24" s="604"/>
      <c r="JX24" s="604"/>
      <c r="JY24" s="604"/>
      <c r="JZ24" s="604"/>
      <c r="KA24" s="604"/>
      <c r="KB24" s="604"/>
      <c r="KC24" s="604"/>
      <c r="KD24" s="604"/>
      <c r="KE24" s="604"/>
      <c r="KF24" s="604"/>
      <c r="KG24" s="604"/>
      <c r="KH24" s="604"/>
      <c r="KI24" s="604"/>
      <c r="KJ24" s="615"/>
      <c r="KK24" s="614"/>
      <c r="KL24" s="604"/>
      <c r="KM24" s="604"/>
      <c r="KN24" s="604"/>
      <c r="KO24" s="604"/>
      <c r="KP24" s="604"/>
      <c r="KQ24" s="604"/>
      <c r="KR24" s="604"/>
      <c r="KS24" s="604"/>
      <c r="KT24" s="604"/>
      <c r="KU24" s="604"/>
      <c r="KV24" s="604"/>
      <c r="KW24" s="604"/>
      <c r="KX24" s="604"/>
      <c r="KY24" s="604"/>
      <c r="KZ24" s="602"/>
      <c r="LA24" s="602"/>
    </row>
    <row r="25" spans="1:313" ht="30.1" customHeight="1">
      <c r="A25" s="12"/>
      <c r="B25" s="12"/>
      <c r="C25" s="1250" t="str">
        <f>CONCATENATE(Project!V22," Fixture List")</f>
        <v xml:space="preserve"> Fixture List</v>
      </c>
      <c r="D25" s="1250"/>
      <c r="E25" s="1250"/>
      <c r="F25" s="1250"/>
      <c r="G25" s="1250"/>
      <c r="H25" s="1250"/>
      <c r="I25" s="1250"/>
      <c r="J25" s="1250"/>
      <c r="K25" s="1250"/>
      <c r="L25" s="1250"/>
      <c r="M25" s="1250"/>
      <c r="N25" s="1250"/>
      <c r="O25" s="1250"/>
      <c r="P25" s="1250"/>
      <c r="Q25" s="1250"/>
      <c r="R25" s="1250"/>
      <c r="S25" s="1250"/>
      <c r="T25" s="1250"/>
      <c r="U25" s="1250"/>
      <c r="V25" s="1250"/>
      <c r="W25" s="1250"/>
      <c r="X25" s="1250"/>
      <c r="Y25" s="1250"/>
      <c r="Z25" s="1250"/>
      <c r="AA25" s="1250"/>
      <c r="AB25" s="1250"/>
      <c r="AC25" s="1250"/>
      <c r="AD25" s="1250"/>
      <c r="AE25" s="1250"/>
      <c r="AF25" s="1250"/>
      <c r="AG25" s="1250"/>
      <c r="AH25" s="1250"/>
      <c r="BK25" s="48"/>
      <c r="BL25" s="9"/>
      <c r="BM25" s="9"/>
      <c r="BN25" s="9"/>
      <c r="BO25" s="9"/>
      <c r="BP25" s="9"/>
      <c r="BQ25" s="9"/>
      <c r="BR25" s="9"/>
      <c r="BS25" s="9"/>
      <c r="BT25" s="9"/>
      <c r="BU25" s="9"/>
      <c r="BV25" s="9"/>
      <c r="BW25" s="9"/>
      <c r="BX25" s="1252" t="s">
        <v>127</v>
      </c>
      <c r="BY25" s="1252"/>
      <c r="BZ25" s="1252"/>
      <c r="CA25" s="1252"/>
      <c r="CB25" s="1252" t="s">
        <v>128</v>
      </c>
      <c r="CC25" s="1252"/>
      <c r="CD25" s="1252"/>
      <c r="CE25" s="1252"/>
      <c r="CF25" s="1252" t="s">
        <v>129</v>
      </c>
      <c r="CG25" s="1252"/>
      <c r="CH25" s="1252"/>
      <c r="CI25" s="1252"/>
      <c r="CJ25" s="1252" t="s">
        <v>130</v>
      </c>
      <c r="CK25" s="1252"/>
      <c r="CL25" s="1252"/>
      <c r="CM25" s="1252"/>
      <c r="CN25" s="1251" t="s">
        <v>131</v>
      </c>
      <c r="CO25" s="1251"/>
      <c r="CP25" s="1291" t="s">
        <v>132</v>
      </c>
      <c r="CQ25" s="9"/>
      <c r="CR25" s="1251" t="s">
        <v>133</v>
      </c>
      <c r="CS25" s="1251"/>
      <c r="CT25" s="9"/>
      <c r="DK25" s="48"/>
      <c r="DL25" s="9"/>
      <c r="DM25" s="1258" t="s">
        <v>134</v>
      </c>
      <c r="DN25" s="9"/>
      <c r="DO25" s="9"/>
      <c r="DP25" s="9"/>
      <c r="DQ25" s="9"/>
      <c r="DR25" s="9"/>
      <c r="DS25" s="9"/>
      <c r="DT25" s="9"/>
      <c r="DU25" s="9"/>
      <c r="DV25" s="9"/>
      <c r="DW25" s="11"/>
      <c r="DX25" s="1252" t="s">
        <v>127</v>
      </c>
      <c r="DY25" s="1252"/>
      <c r="DZ25" s="1252"/>
      <c r="EA25" s="1252"/>
      <c r="EB25" s="1252" t="s">
        <v>135</v>
      </c>
      <c r="EC25" s="1252"/>
      <c r="ED25" s="1252"/>
      <c r="EE25" s="1252"/>
      <c r="EF25" s="1251" t="s">
        <v>136</v>
      </c>
      <c r="EG25" s="1252"/>
      <c r="EH25" s="1251" t="s">
        <v>137</v>
      </c>
      <c r="EI25" s="1252"/>
      <c r="EJ25" s="1252"/>
      <c r="EK25" s="1252"/>
      <c r="EL25" s="1252" t="s">
        <v>138</v>
      </c>
      <c r="EM25" s="1252"/>
      <c r="EN25" s="1252"/>
      <c r="EO25" s="1252"/>
      <c r="EP25" s="1251" t="s">
        <v>139</v>
      </c>
      <c r="EQ25" s="1252"/>
      <c r="ER25" s="1252" t="s">
        <v>140</v>
      </c>
      <c r="ES25" s="1252"/>
      <c r="ET25" s="1251" t="s">
        <v>141</v>
      </c>
      <c r="EU25" s="1252"/>
      <c r="EV25" s="1251" t="s">
        <v>131</v>
      </c>
      <c r="EW25" s="1251"/>
      <c r="EX25" s="1339" t="s">
        <v>142</v>
      </c>
      <c r="EY25" s="1259" t="s">
        <v>143</v>
      </c>
      <c r="EZ25" s="1259" t="s">
        <v>144</v>
      </c>
      <c r="FK25" s="471">
        <f>MATCH(FK10,Installations!$C$40:$C$790,0)+41</f>
        <v>42</v>
      </c>
      <c r="FL25" s="471">
        <v>47</v>
      </c>
      <c r="FM25" s="471">
        <v>52</v>
      </c>
      <c r="FN25" s="471">
        <v>57</v>
      </c>
      <c r="FO25" s="471">
        <v>62</v>
      </c>
      <c r="FP25" s="471">
        <v>67</v>
      </c>
      <c r="FQ25" s="471">
        <v>72</v>
      </c>
      <c r="FR25" s="471">
        <v>77</v>
      </c>
      <c r="FS25" s="471">
        <v>82</v>
      </c>
      <c r="FT25" s="687">
        <v>87</v>
      </c>
      <c r="FU25" s="688">
        <v>95</v>
      </c>
      <c r="FV25" s="471">
        <v>100</v>
      </c>
      <c r="FW25" s="471">
        <v>105</v>
      </c>
      <c r="FX25" s="471">
        <v>110</v>
      </c>
      <c r="FY25" s="471">
        <v>115</v>
      </c>
      <c r="FZ25" s="471">
        <v>120</v>
      </c>
      <c r="GA25" s="471">
        <v>125</v>
      </c>
      <c r="GB25" s="471">
        <v>130</v>
      </c>
      <c r="GC25" s="471">
        <v>135</v>
      </c>
      <c r="GD25" s="471">
        <v>140</v>
      </c>
      <c r="GE25" s="471">
        <v>145</v>
      </c>
      <c r="GF25" s="471">
        <v>150</v>
      </c>
      <c r="GG25" s="471">
        <v>155</v>
      </c>
      <c r="GH25" s="471">
        <v>160</v>
      </c>
      <c r="GI25" s="687">
        <v>165</v>
      </c>
      <c r="GJ25" s="688">
        <v>173</v>
      </c>
      <c r="GK25" s="471">
        <v>178</v>
      </c>
      <c r="GL25" s="471">
        <v>183</v>
      </c>
      <c r="GM25" s="471">
        <v>188</v>
      </c>
      <c r="GN25" s="471">
        <v>193</v>
      </c>
      <c r="GO25" s="471">
        <v>198</v>
      </c>
      <c r="GP25" s="471">
        <v>203</v>
      </c>
      <c r="GQ25" s="471">
        <v>208</v>
      </c>
      <c r="GR25" s="471">
        <v>213</v>
      </c>
      <c r="GS25" s="471">
        <v>218</v>
      </c>
      <c r="GT25" s="471">
        <v>223</v>
      </c>
      <c r="GU25" s="471">
        <v>228</v>
      </c>
      <c r="GV25" s="471">
        <v>233</v>
      </c>
      <c r="GW25" s="471">
        <v>238</v>
      </c>
      <c r="GX25" s="687">
        <v>243</v>
      </c>
      <c r="GY25" s="688">
        <v>251</v>
      </c>
      <c r="GZ25" s="471">
        <v>256</v>
      </c>
      <c r="HA25" s="471">
        <v>261</v>
      </c>
      <c r="HB25" s="471">
        <v>266</v>
      </c>
      <c r="HC25" s="471">
        <v>271</v>
      </c>
      <c r="HD25" s="471">
        <v>276</v>
      </c>
      <c r="HE25" s="471">
        <v>281</v>
      </c>
      <c r="HF25" s="471">
        <v>286</v>
      </c>
      <c r="HG25" s="471">
        <v>291</v>
      </c>
      <c r="HH25" s="471">
        <v>296</v>
      </c>
      <c r="HI25" s="471">
        <v>301</v>
      </c>
      <c r="HJ25" s="471">
        <v>306</v>
      </c>
      <c r="HK25" s="471">
        <v>311</v>
      </c>
      <c r="HL25" s="471">
        <v>316</v>
      </c>
      <c r="HM25" s="687">
        <v>321</v>
      </c>
      <c r="HN25" s="688">
        <v>329</v>
      </c>
      <c r="HO25" s="471">
        <v>334</v>
      </c>
      <c r="HP25" s="471">
        <v>339</v>
      </c>
      <c r="HQ25" s="471">
        <v>344</v>
      </c>
      <c r="HR25" s="471">
        <v>349</v>
      </c>
      <c r="HS25" s="471">
        <v>354</v>
      </c>
      <c r="HT25" s="471">
        <v>359</v>
      </c>
      <c r="HU25" s="471">
        <v>364</v>
      </c>
      <c r="HV25" s="471">
        <v>369</v>
      </c>
      <c r="HW25" s="471">
        <v>374</v>
      </c>
      <c r="HX25" s="471">
        <v>379</v>
      </c>
      <c r="HY25" s="471">
        <v>384</v>
      </c>
      <c r="HZ25" s="471">
        <v>389</v>
      </c>
      <c r="IA25" s="471">
        <v>394</v>
      </c>
      <c r="IB25" s="687">
        <v>399</v>
      </c>
      <c r="IC25" s="688">
        <v>407</v>
      </c>
      <c r="ID25" s="471">
        <v>412</v>
      </c>
      <c r="IE25" s="471">
        <v>417</v>
      </c>
      <c r="IF25" s="471">
        <v>422</v>
      </c>
      <c r="IG25" s="471">
        <v>427</v>
      </c>
      <c r="IH25" s="471">
        <v>432</v>
      </c>
      <c r="II25" s="471">
        <v>437</v>
      </c>
      <c r="IJ25" s="471">
        <v>442</v>
      </c>
      <c r="IK25" s="471">
        <v>447</v>
      </c>
      <c r="IL25" s="471">
        <v>452</v>
      </c>
      <c r="IM25" s="471">
        <v>457</v>
      </c>
      <c r="IN25" s="471">
        <v>462</v>
      </c>
      <c r="IO25" s="471">
        <v>467</v>
      </c>
      <c r="IP25" s="471">
        <v>472</v>
      </c>
      <c r="IQ25" s="687">
        <v>477</v>
      </c>
      <c r="IR25" s="688">
        <v>485</v>
      </c>
      <c r="IS25" s="471">
        <v>490</v>
      </c>
      <c r="IT25" s="471">
        <v>495</v>
      </c>
      <c r="IU25" s="471">
        <v>500</v>
      </c>
      <c r="IV25" s="471">
        <v>505</v>
      </c>
      <c r="IW25" s="471">
        <v>510</v>
      </c>
      <c r="IX25" s="471">
        <v>515</v>
      </c>
      <c r="IY25" s="471">
        <v>520</v>
      </c>
      <c r="IZ25" s="471">
        <v>525</v>
      </c>
      <c r="JA25" s="471">
        <v>530</v>
      </c>
      <c r="JB25" s="471">
        <v>535</v>
      </c>
      <c r="JC25" s="471">
        <v>540</v>
      </c>
      <c r="JD25" s="471">
        <v>545</v>
      </c>
      <c r="JE25" s="471">
        <v>550</v>
      </c>
      <c r="JF25" s="687">
        <v>555</v>
      </c>
      <c r="JG25" s="688">
        <v>563</v>
      </c>
      <c r="JH25" s="471">
        <v>568</v>
      </c>
      <c r="JI25" s="471">
        <v>573</v>
      </c>
      <c r="JJ25" s="471">
        <v>578</v>
      </c>
      <c r="JK25" s="471">
        <v>583</v>
      </c>
      <c r="JL25" s="471">
        <v>588</v>
      </c>
      <c r="JM25" s="471">
        <v>593</v>
      </c>
      <c r="JN25" s="471">
        <v>598</v>
      </c>
      <c r="JO25" s="471">
        <v>603</v>
      </c>
      <c r="JP25" s="471">
        <v>608</v>
      </c>
      <c r="JQ25" s="471">
        <v>613</v>
      </c>
      <c r="JR25" s="471">
        <v>618</v>
      </c>
      <c r="JS25" s="471">
        <v>623</v>
      </c>
      <c r="JT25" s="471">
        <v>628</v>
      </c>
      <c r="JU25" s="687">
        <v>633</v>
      </c>
      <c r="JV25" s="688">
        <v>641</v>
      </c>
      <c r="JW25" s="471">
        <v>646</v>
      </c>
      <c r="JX25" s="471">
        <v>651</v>
      </c>
      <c r="JY25" s="471">
        <v>656</v>
      </c>
      <c r="JZ25" s="471">
        <v>661</v>
      </c>
      <c r="KA25" s="471">
        <v>666</v>
      </c>
      <c r="KB25" s="471">
        <v>671</v>
      </c>
      <c r="KC25" s="471">
        <v>676</v>
      </c>
      <c r="KD25" s="471">
        <v>681</v>
      </c>
      <c r="KE25" s="471">
        <v>686</v>
      </c>
      <c r="KF25" s="471">
        <v>691</v>
      </c>
      <c r="KG25" s="471">
        <v>696</v>
      </c>
      <c r="KH25" s="471">
        <v>701</v>
      </c>
      <c r="KI25" s="471">
        <v>706</v>
      </c>
      <c r="KJ25" s="687">
        <v>711</v>
      </c>
      <c r="KK25" s="688">
        <v>719</v>
      </c>
      <c r="KL25" s="471">
        <v>724</v>
      </c>
      <c r="KM25" s="471">
        <v>729</v>
      </c>
      <c r="KN25" s="471">
        <v>734</v>
      </c>
      <c r="KO25" s="471">
        <v>739</v>
      </c>
      <c r="KP25" s="471">
        <v>744</v>
      </c>
      <c r="KQ25" s="471">
        <v>749</v>
      </c>
      <c r="KR25" s="471">
        <v>754</v>
      </c>
      <c r="KS25" s="471">
        <v>759</v>
      </c>
      <c r="KT25" s="471">
        <v>764</v>
      </c>
      <c r="KU25" s="471">
        <v>769</v>
      </c>
      <c r="KV25" s="471">
        <v>774</v>
      </c>
      <c r="KW25" s="471">
        <v>779</v>
      </c>
      <c r="KX25" s="471">
        <v>784</v>
      </c>
      <c r="KY25" s="471">
        <v>789</v>
      </c>
      <c r="KZ25" s="602"/>
      <c r="LA25" s="602"/>
    </row>
    <row r="26" spans="1:313" ht="30.1" customHeight="1" thickBot="1">
      <c r="E26" s="1255" t="s">
        <v>145</v>
      </c>
      <c r="F26" s="1255"/>
      <c r="G26" s="1255"/>
      <c r="H26" s="1255"/>
      <c r="I26" s="1255"/>
      <c r="J26" s="1255"/>
      <c r="K26" s="1255"/>
      <c r="L26" s="1255"/>
      <c r="R26" s="1255" t="s">
        <v>146</v>
      </c>
      <c r="S26" s="1255"/>
      <c r="T26" s="1255"/>
      <c r="U26" s="1255"/>
      <c r="V26" s="1255"/>
      <c r="W26" s="1255"/>
      <c r="X26" s="1255"/>
      <c r="AA26" s="638"/>
      <c r="AB26" s="536"/>
      <c r="AD26" s="536"/>
      <c r="AE26" s="536"/>
      <c r="AF26" s="536"/>
      <c r="AG26" s="536"/>
      <c r="AH26" s="536"/>
      <c r="BL26" s="9"/>
      <c r="BM26" s="9"/>
      <c r="BN26" s="9"/>
      <c r="BO26" s="9"/>
      <c r="BP26" s="9"/>
      <c r="BQ26" s="9"/>
      <c r="BR26" s="9"/>
      <c r="BS26" s="9"/>
      <c r="BT26" s="9"/>
      <c r="BU26" s="9"/>
      <c r="BV26" s="9"/>
      <c r="BW26" s="9"/>
      <c r="BX26" s="1323"/>
      <c r="BY26" s="1323"/>
      <c r="BZ26" s="1323"/>
      <c r="CA26" s="1323"/>
      <c r="CB26" s="1323"/>
      <c r="CC26" s="1323"/>
      <c r="CD26" s="1323"/>
      <c r="CE26" s="1323"/>
      <c r="CF26" s="1323"/>
      <c r="CG26" s="1323"/>
      <c r="CH26" s="1323"/>
      <c r="CI26" s="1323"/>
      <c r="CJ26" s="1323"/>
      <c r="CK26" s="1323"/>
      <c r="CL26" s="1323"/>
      <c r="CM26" s="1323"/>
      <c r="CN26" s="1324"/>
      <c r="CO26" s="1324"/>
      <c r="CP26" s="1325"/>
      <c r="CQ26" s="9"/>
      <c r="CR26" s="1251"/>
      <c r="CS26" s="1251"/>
      <c r="CT26" s="9"/>
      <c r="CZ26" s="44" t="s">
        <v>147</v>
      </c>
      <c r="DA26" s="44" t="s">
        <v>148</v>
      </c>
      <c r="DB26" s="44" t="s">
        <v>149</v>
      </c>
      <c r="DL26" s="9"/>
      <c r="DM26" s="1258"/>
      <c r="DN26" s="9"/>
      <c r="DO26" s="9"/>
      <c r="DP26" s="9"/>
      <c r="DQ26" s="9"/>
      <c r="DR26" s="9"/>
      <c r="DS26" s="9"/>
      <c r="DT26" s="9"/>
      <c r="DU26" s="9"/>
      <c r="DV26" s="9"/>
      <c r="DW26" s="11"/>
      <c r="DX26" s="1252"/>
      <c r="DY26" s="1252"/>
      <c r="DZ26" s="1252"/>
      <c r="EA26" s="1252"/>
      <c r="EB26" s="1252"/>
      <c r="EC26" s="1252"/>
      <c r="ED26" s="1252"/>
      <c r="EE26" s="1252"/>
      <c r="EF26" s="1252"/>
      <c r="EG26" s="1252"/>
      <c r="EH26" s="1252"/>
      <c r="EI26" s="1252"/>
      <c r="EJ26" s="1252"/>
      <c r="EK26" s="1252"/>
      <c r="EL26" s="1252"/>
      <c r="EM26" s="1252"/>
      <c r="EN26" s="1252"/>
      <c r="EO26" s="1252"/>
      <c r="EP26" s="1252"/>
      <c r="EQ26" s="1252"/>
      <c r="ER26" s="1252"/>
      <c r="ES26" s="1252"/>
      <c r="ET26" s="1252"/>
      <c r="EU26" s="1252"/>
      <c r="EV26" s="1251"/>
      <c r="EW26" s="1251"/>
      <c r="EX26" s="1339"/>
      <c r="EY26" s="1259"/>
      <c r="EZ26" s="1259"/>
      <c r="FK26" s="681"/>
      <c r="FL26" s="681"/>
      <c r="FM26" s="681"/>
      <c r="FN26" s="681"/>
      <c r="FO26" s="681"/>
      <c r="FP26" s="681"/>
      <c r="FQ26" s="681"/>
      <c r="FR26" s="681"/>
      <c r="FS26" s="681"/>
      <c r="FT26" s="617"/>
      <c r="FU26" s="616"/>
      <c r="FV26" s="681"/>
      <c r="FW26" s="681"/>
      <c r="FX26" s="681"/>
      <c r="FY26" s="681"/>
      <c r="FZ26" s="681"/>
      <c r="GA26" s="681"/>
      <c r="GB26" s="681"/>
      <c r="GC26" s="681"/>
      <c r="GD26" s="681"/>
      <c r="GE26" s="681"/>
      <c r="GF26" s="681"/>
      <c r="GG26" s="681"/>
      <c r="GH26" s="681"/>
      <c r="GI26" s="617"/>
      <c r="GJ26" s="616"/>
      <c r="GK26" s="681"/>
      <c r="GL26" s="681"/>
      <c r="GM26" s="681"/>
      <c r="GN26" s="681"/>
      <c r="GO26" s="681"/>
      <c r="GP26" s="681"/>
      <c r="GQ26" s="681"/>
      <c r="GR26" s="681"/>
      <c r="GS26" s="681"/>
      <c r="GT26" s="681"/>
      <c r="GU26" s="681"/>
      <c r="GV26" s="681"/>
      <c r="GW26" s="681"/>
      <c r="GX26" s="617"/>
      <c r="GY26" s="616"/>
      <c r="GZ26" s="681"/>
      <c r="HA26" s="681"/>
      <c r="HB26" s="681"/>
      <c r="HC26" s="681"/>
      <c r="HD26" s="681"/>
      <c r="HE26" s="681"/>
      <c r="HF26" s="681"/>
      <c r="HG26" s="681"/>
      <c r="HH26" s="681"/>
      <c r="HI26" s="681"/>
      <c r="HJ26" s="681"/>
      <c r="HK26" s="681"/>
      <c r="HL26" s="681"/>
      <c r="HM26" s="617"/>
      <c r="HN26" s="616"/>
      <c r="HO26" s="681"/>
      <c r="HP26" s="681"/>
      <c r="HQ26" s="681"/>
      <c r="HR26" s="681"/>
      <c r="HS26" s="681"/>
      <c r="HT26" s="681"/>
      <c r="HU26" s="681"/>
      <c r="HV26" s="681"/>
      <c r="HW26" s="681"/>
      <c r="HX26" s="681"/>
      <c r="HY26" s="681"/>
      <c r="HZ26" s="681"/>
      <c r="IA26" s="681"/>
      <c r="IB26" s="617"/>
      <c r="IC26" s="616"/>
      <c r="ID26" s="681"/>
      <c r="IE26" s="681"/>
      <c r="IF26" s="681"/>
      <c r="IG26" s="681"/>
      <c r="IH26" s="681"/>
      <c r="II26" s="681"/>
      <c r="IJ26" s="681"/>
      <c r="IK26" s="681"/>
      <c r="IL26" s="681"/>
      <c r="IM26" s="681"/>
      <c r="IN26" s="681"/>
      <c r="IO26" s="681"/>
      <c r="IP26" s="681"/>
      <c r="IQ26" s="617"/>
      <c r="IR26" s="616"/>
      <c r="IS26" s="681"/>
      <c r="IT26" s="681"/>
      <c r="IU26" s="681"/>
      <c r="IV26" s="681"/>
      <c r="IW26" s="681"/>
      <c r="IX26" s="681"/>
      <c r="IY26" s="681"/>
      <c r="IZ26" s="681"/>
      <c r="JA26" s="681"/>
      <c r="JB26" s="681"/>
      <c r="JC26" s="681"/>
      <c r="JD26" s="681"/>
      <c r="JE26" s="681"/>
      <c r="JF26" s="617"/>
      <c r="JG26" s="616"/>
      <c r="JH26" s="681"/>
      <c r="JI26" s="681"/>
      <c r="JJ26" s="681"/>
      <c r="JK26" s="681"/>
      <c r="JL26" s="681"/>
      <c r="JM26" s="681"/>
      <c r="JN26" s="681"/>
      <c r="JO26" s="681"/>
      <c r="JP26" s="681"/>
      <c r="JQ26" s="681"/>
      <c r="JR26" s="681"/>
      <c r="JS26" s="681"/>
      <c r="JT26" s="681"/>
      <c r="JU26" s="617"/>
      <c r="JV26" s="616"/>
      <c r="JW26" s="681"/>
      <c r="JX26" s="681"/>
      <c r="JY26" s="681"/>
      <c r="JZ26" s="681"/>
      <c r="KA26" s="681"/>
      <c r="KB26" s="681"/>
      <c r="KC26" s="681"/>
      <c r="KD26" s="681"/>
      <c r="KE26" s="681"/>
      <c r="KF26" s="681"/>
      <c r="KG26" s="681"/>
      <c r="KH26" s="681"/>
      <c r="KI26" s="681"/>
      <c r="KJ26" s="617"/>
      <c r="KK26" s="616"/>
      <c r="KL26" s="681"/>
      <c r="KM26" s="681"/>
      <c r="KN26" s="681"/>
      <c r="KO26" s="681"/>
      <c r="KP26" s="681"/>
      <c r="KQ26" s="681"/>
      <c r="KR26" s="681"/>
      <c r="KS26" s="681"/>
      <c r="KT26" s="681"/>
      <c r="KU26" s="681"/>
      <c r="KV26" s="602"/>
      <c r="KW26" s="602"/>
      <c r="KX26" s="602"/>
      <c r="KY26" s="602"/>
      <c r="KZ26" s="602"/>
      <c r="LA26" s="602"/>
    </row>
    <row r="27" spans="1:313" ht="28.05" customHeight="1" thickTop="1" thickBot="1">
      <c r="C27" s="1248" t="s">
        <v>2010</v>
      </c>
      <c r="D27" s="1249"/>
      <c r="E27" s="58" t="s">
        <v>151</v>
      </c>
      <c r="F27" s="56"/>
      <c r="G27" s="56"/>
      <c r="H27" s="56"/>
      <c r="I27" s="56"/>
      <c r="J27" s="56"/>
      <c r="K27" s="56"/>
      <c r="L27" s="56"/>
      <c r="M27" s="56"/>
      <c r="N27" s="639"/>
      <c r="P27" s="1248" t="s">
        <v>2010</v>
      </c>
      <c r="Q27" s="1249"/>
      <c r="R27" s="58" t="s">
        <v>152</v>
      </c>
      <c r="S27" s="56"/>
      <c r="T27" s="56"/>
      <c r="U27" s="56"/>
      <c r="V27" s="56"/>
      <c r="W27" s="56"/>
      <c r="X27" s="56"/>
      <c r="Y27" s="637"/>
      <c r="Z27" s="600"/>
      <c r="AA27" s="638"/>
      <c r="AB27" s="536"/>
      <c r="AC27" s="57"/>
      <c r="AD27" s="536"/>
      <c r="AE27" s="536"/>
      <c r="AF27" s="536"/>
      <c r="AG27" s="536"/>
      <c r="AH27" s="536"/>
      <c r="BK27" s="48"/>
      <c r="BL27" s="9"/>
      <c r="BM27" s="703" t="str">
        <f>IF(CN27="Yes",CONCATENATE(BX27," - ",CF27, " ",CJ27, " ",CP27,"W"),"")</f>
        <v/>
      </c>
      <c r="BN27" s="704"/>
      <c r="BO27" s="704"/>
      <c r="BP27" s="704"/>
      <c r="BQ27" s="704"/>
      <c r="BR27" s="704"/>
      <c r="BS27" s="704"/>
      <c r="BT27" s="704"/>
      <c r="BU27" s="705"/>
      <c r="BV27" s="706" t="str">
        <f>IF(CN27&lt;&gt;"Yes","",IFERROR(VLOOKUP(CU27,Existing!A$4:F$364,2,FALSE),""))</f>
        <v/>
      </c>
      <c r="BW27" s="9">
        <v>1</v>
      </c>
      <c r="BX27" s="1340"/>
      <c r="BY27" s="1341"/>
      <c r="BZ27" s="1341"/>
      <c r="CA27" s="1342"/>
      <c r="CB27" s="1310"/>
      <c r="CC27" s="1311"/>
      <c r="CD27" s="1311"/>
      <c r="CE27" s="1312"/>
      <c r="CF27" s="1309"/>
      <c r="CG27" s="1309"/>
      <c r="CH27" s="1309"/>
      <c r="CI27" s="1309"/>
      <c r="CJ27" s="1309"/>
      <c r="CK27" s="1309"/>
      <c r="CL27" s="1309"/>
      <c r="CM27" s="1309"/>
      <c r="CN27" s="1243" t="str">
        <f t="shared" ref="CN27:CN52" si="0">IF(CB27&lt;&gt;"",IF(CB27="Existing TLED",
IF(OR(CF27="",CJ27="",BX27="",CR27=""),"NO","YES"),
IF(OR(CF27="",CJ27="",BX27=""),"NO","YES")
),"")</f>
        <v/>
      </c>
      <c r="CO27" s="1244"/>
      <c r="CP27" s="265" t="str">
        <f>IFERROR(IF(CB27="Existing TLED",CR27*CW27*CY27,VLOOKUP(CU27,Existing!A$3:F$353,6,FALSE)),"")</f>
        <v/>
      </c>
      <c r="CQ27" s="9"/>
      <c r="CR27" s="1343"/>
      <c r="CS27" s="1344"/>
      <c r="CT27" s="9"/>
      <c r="CU27" s="470" t="str">
        <f>IF(CN27="","",IF(CB27="Existing TLED",CONCATENATE(CB27," - ",CF27),CONCATENATE(CB27," - ",CF27," ",CJ27)))</f>
        <v/>
      </c>
      <c r="CV27" s="471" t="b">
        <f>IF(CB27="Existing TLED",TRUE,FALSE)</f>
        <v>0</v>
      </c>
      <c r="CW27" s="471" t="str">
        <f>LEFT(CJ27,1)</f>
        <v/>
      </c>
      <c r="CX27" s="471">
        <f>IFERROR(VLOOKUP(CF27,Lookup!M$100:O$102,3,FALSE),0)</f>
        <v>0</v>
      </c>
      <c r="CY27" s="471">
        <f>IF(CX27=2,1,1.11)</f>
        <v>1.1100000000000001</v>
      </c>
      <c r="CZ27" s="707" t="b">
        <f t="shared" ref="CZ27:CZ58" si="1">IF(OR(BX27="",CB27="",CF27="",CJ27="")=TRUE,FALSE,TRUE)</f>
        <v>0</v>
      </c>
      <c r="DA27" s="707" t="b">
        <f>IF(CF27&lt;&gt;"",IF(ISERROR(MATCH(CONCATENATE(CB27," - ",CF27),Existing!G$4:G$328,0))=TRUE,FALSE,TRUE),TRUE)</f>
        <v>1</v>
      </c>
      <c r="DB27" s="707" t="b">
        <f t="shared" ref="DB27:DB58" si="2">IF(AND(CZ27=TRUE,CP27=""),FALSE,TRUE)</f>
        <v>1</v>
      </c>
      <c r="DK27" s="48"/>
      <c r="DL27" s="9"/>
      <c r="DM27" s="708" t="s">
        <v>166</v>
      </c>
      <c r="DN27" s="709" t="str">
        <f t="shared" ref="DN27:DN58" si="3">IF(EV27="YES",CONCATENATE(DX27," ",DV27),"")</f>
        <v/>
      </c>
      <c r="DO27" s="704"/>
      <c r="DP27" s="704"/>
      <c r="DQ27" s="704"/>
      <c r="DR27" s="704"/>
      <c r="DS27" s="704"/>
      <c r="DT27" s="710"/>
      <c r="DU27" s="711"/>
      <c r="DV27" s="263" t="str">
        <f t="shared" ref="DV27:DV58" si="4">IF(EV27&lt;&gt;"Yes","",IF(EB27="Removed","Fixture Removed",CONCATENATE(EB27,", (",EF27,") ",EH27," #",EL27)))</f>
        <v/>
      </c>
      <c r="DW27" s="260">
        <v>1</v>
      </c>
      <c r="DX27" s="1260"/>
      <c r="DY27" s="1261"/>
      <c r="DZ27" s="1261"/>
      <c r="EA27" s="1262"/>
      <c r="EB27" s="1260"/>
      <c r="EC27" s="1261"/>
      <c r="ED27" s="1261"/>
      <c r="EE27" s="1262"/>
      <c r="EF27" s="1245"/>
      <c r="EG27" s="1338"/>
      <c r="EH27" s="1260"/>
      <c r="EI27" s="1261"/>
      <c r="EJ27" s="1261"/>
      <c r="EK27" s="1262"/>
      <c r="EL27" s="1316"/>
      <c r="EM27" s="1317"/>
      <c r="EN27" s="1317"/>
      <c r="EO27" s="1318"/>
      <c r="EP27" s="1245"/>
      <c r="EQ27" s="1246"/>
      <c r="ER27" s="1245"/>
      <c r="ES27" s="1246"/>
      <c r="ET27" s="1243" t="str">
        <f t="shared" ref="ET27:ET74" si="5">IF(DX27="","",IF(FA27=TRUE,EF27*ER27*FB27,EP27))</f>
        <v/>
      </c>
      <c r="EU27" s="1244"/>
      <c r="EV27" s="1243" t="str">
        <f t="shared" ref="EV27:EV34" si="6">IF(DX27&lt;&gt;"",IF(OR(EB27="",EF27="",EH27="",EL27="",IF(FA27=FALSE,EP27="",ER27="")),"NO","YES"),"")</f>
        <v/>
      </c>
      <c r="EW27" s="1244"/>
      <c r="EX27" s="438"/>
      <c r="EY27" s="261" t="str">
        <f t="shared" ref="EY27:EY58" si="7">IFERROR(IF(OR(LEFT(EB27,4)="TLED",LEFT(EB27,3)="CFL",LEFT(EB27,3)="HID",LEFT(EB27,8)="Existing"),VLOOKUP(EB27,_Fixture_Measure_Life,2,FALSE),VLOOKUP(DX27,_Fixture_Measure_Life,2,FALSE)),"")</f>
        <v/>
      </c>
      <c r="EZ27" s="261" t="str">
        <f>IFERROR(VLOOKUP(EB27,Lookup!AM$3:AN$13,2,FALSE),"")</f>
        <v/>
      </c>
      <c r="FA27" s="471" t="b">
        <f>IFERROR(IF(VLOOKUP(EB27,Lookup!AM$6:AN$8,2,FALSE)&gt;3,TRUE,FALSE),FALSE)</f>
        <v>0</v>
      </c>
      <c r="FB27" s="471">
        <f>IF(OR(EZ27=4,EZ27=6),1.1,1)</f>
        <v>1</v>
      </c>
      <c r="FC27" t="str">
        <f ca="1">FG27</f>
        <v/>
      </c>
      <c r="FG27" t="str">
        <f ca="1">IFERROR(CONCATENATE(IF(LEN(LA27)=3,"line ","lines "),LEFT(LA27,LEN(LA27)-2)),"")</f>
        <v/>
      </c>
      <c r="FI27" s="240" t="str">
        <f ca="1">IFERROR(LEFT(LA27,LEN(LA27)-2),"")</f>
        <v/>
      </c>
      <c r="FK27" s="712" t="str">
        <f ca="1">IF(INDIRECT(CONCATENATE($FK$12,Fixtures!FK$25))="","",IF(INDIRECT(CONCATENATE($FK$12,Fixtures!FK$25))=Fixtures!$DN27,CONCATENATE(FK$10,", "),""))</f>
        <v/>
      </c>
      <c r="FL27" s="712" t="str">
        <f ca="1">IF(INDIRECT(CONCATENATE($FK$12,Fixtures!FL$25))="","",IF(INDIRECT(CONCATENATE($FK$12,Fixtures!FL$25))=Fixtures!$DN27,CONCATENATE(FL$10,", "),""))</f>
        <v/>
      </c>
      <c r="FM27" s="712" t="str">
        <f ca="1">IF(INDIRECT(CONCATENATE($FK$12,Fixtures!FM$25))="","",IF(INDIRECT(CONCATENATE($FK$12,Fixtures!FM$25))=Fixtures!$DN27,CONCATENATE(FM$10,", "),""))</f>
        <v/>
      </c>
      <c r="FN27" s="712" t="str">
        <f ca="1">IF(INDIRECT(CONCATENATE($FK$12,Fixtures!FN$25))="","",IF(INDIRECT(CONCATENATE($FK$12,Fixtures!FN$25))=Fixtures!$DN27,CONCATENATE(FN$10,", "),""))</f>
        <v/>
      </c>
      <c r="FO27" s="712" t="str">
        <f ca="1">IF(INDIRECT(CONCATENATE($FK$12,Fixtures!FO$25))="","",IF(INDIRECT(CONCATENATE($FK$12,Fixtures!FO$25))=Fixtures!$DN27,CONCATENATE(FO$10,", "),""))</f>
        <v/>
      </c>
      <c r="FP27" s="712" t="str">
        <f ca="1">IF(INDIRECT(CONCATENATE($FK$12,Fixtures!FP$25))="","",IF(INDIRECT(CONCATENATE($FK$12,Fixtures!FP$25))=Fixtures!$DN27,CONCATENATE(FP$10,", "),""))</f>
        <v/>
      </c>
      <c r="FQ27" s="712" t="str">
        <f ca="1">IF(INDIRECT(CONCATENATE($FK$12,Fixtures!FQ$25))="","",IF(INDIRECT(CONCATENATE($FK$12,Fixtures!FQ$25))=Fixtures!$DN27,CONCATENATE(FQ$10,", "),""))</f>
        <v/>
      </c>
      <c r="FR27" s="712" t="str">
        <f ca="1">IF(INDIRECT(CONCATENATE($FK$12,Fixtures!FR$25))="","",IF(INDIRECT(CONCATENATE($FK$12,Fixtures!FR$25))=Fixtures!$DN27,CONCATENATE(FR$10,", "),""))</f>
        <v/>
      </c>
      <c r="FS27" s="712" t="str">
        <f ca="1">IF(INDIRECT(CONCATENATE($FK$12,Fixtures!FS$25))="","",IF(INDIRECT(CONCATENATE($FK$12,Fixtures!FS$25))=Fixtures!$DN27,CONCATENATE(FS$10,", "),""))</f>
        <v/>
      </c>
      <c r="FT27" s="682" t="str">
        <f ca="1">IF(INDIRECT(CONCATENATE($FK$12,Fixtures!FT$25))="","",IF(INDIRECT(CONCATENATE($FK$12,Fixtures!FT$25))=Fixtures!$DN27,CONCATENATE(FT$10,", "),""))</f>
        <v/>
      </c>
      <c r="FU27" s="683" t="str">
        <f ca="1">IF(INDIRECT(CONCATENATE($FK$12,Fixtures!FU$25))="","",IF(INDIRECT(CONCATENATE($FK$12,Fixtures!FU$25))=Fixtures!$DN27,CONCATENATE(FU$10,", "),""))</f>
        <v/>
      </c>
      <c r="FV27" s="712" t="str">
        <f ca="1">IF(INDIRECT(CONCATENATE($FK$12,Fixtures!FV$25))="","",IF(INDIRECT(CONCATENATE($FK$12,Fixtures!FV$25))=Fixtures!$DN27,CONCATENATE(FV$10,", "),""))</f>
        <v/>
      </c>
      <c r="FW27" s="713" t="str">
        <f ca="1">IF(INDIRECT(CONCATENATE($FK$12,Fixtures!FW$25))="","",IF(INDIRECT(CONCATENATE($FK$12,Fixtures!FW$25))=Fixtures!$DN27,CONCATENATE(FW$10,", "),""))</f>
        <v/>
      </c>
      <c r="FX27" s="713" t="str">
        <f ca="1">IF(INDIRECT(CONCATENATE($FK$12,Fixtures!FX$25))="","",IF(INDIRECT(CONCATENATE($FK$12,Fixtures!FX$25))=Fixtures!$DN27,CONCATENATE(FX$10,", "),""))</f>
        <v/>
      </c>
      <c r="FY27" s="713" t="str">
        <f ca="1">IF(INDIRECT(CONCATENATE($FK$12,Fixtures!FY$25))="","",IF(INDIRECT(CONCATENATE($FK$12,Fixtures!FY$25))=Fixtures!$DN27,CONCATENATE(FY$10,", "),""))</f>
        <v/>
      </c>
      <c r="FZ27" s="713" t="str">
        <f ca="1">IF(INDIRECT(CONCATENATE($FK$12,Fixtures!FZ$25))="","",IF(INDIRECT(CONCATENATE($FK$12,Fixtures!FZ$25))=Fixtures!$DN27,CONCATENATE(FZ$10,", "),""))</f>
        <v/>
      </c>
      <c r="GA27" s="713" t="str">
        <f ca="1">IF(INDIRECT(CONCATENATE($FK$12,Fixtures!GA$25))="","",IF(INDIRECT(CONCATENATE($FK$12,Fixtures!GA$25))=Fixtures!$DN27,CONCATENATE(GA$10,", "),""))</f>
        <v/>
      </c>
      <c r="GB27" s="713" t="str">
        <f ca="1">IF(INDIRECT(CONCATENATE($FK$12,Fixtures!GB$25))="","",IF(INDIRECT(CONCATENATE($FK$12,Fixtures!GB$25))=Fixtures!$DN27,CONCATENATE(GB$10,", "),""))</f>
        <v/>
      </c>
      <c r="GC27" s="713" t="str">
        <f ca="1">IF(INDIRECT(CONCATENATE($FK$12,Fixtures!GC$25))="","",IF(INDIRECT(CONCATENATE($FK$12,Fixtures!GC$25))=Fixtures!$DN27,CONCATENATE(GC$10,", "),""))</f>
        <v/>
      </c>
      <c r="GD27" s="713" t="str">
        <f ca="1">IF(INDIRECT(CONCATENATE($FK$12,Fixtures!GD$25))="","",IF(INDIRECT(CONCATENATE($FK$12,Fixtures!GD$25))=Fixtures!$DN27,CONCATENATE(GD$10,", "),""))</f>
        <v/>
      </c>
      <c r="GE27" s="713" t="str">
        <f ca="1">IF(INDIRECT(CONCATENATE($FK$12,Fixtures!GE$25))="","",IF(INDIRECT(CONCATENATE($FK$12,Fixtures!GE$25))=Fixtures!$DN27,CONCATENATE(GE$10,", "),""))</f>
        <v/>
      </c>
      <c r="GF27" s="713" t="str">
        <f ca="1">IF(INDIRECT(CONCATENATE($FK$12,Fixtures!GF$25))="","",IF(INDIRECT(CONCATENATE($FK$12,Fixtures!GF$25))=Fixtures!$DN27,CONCATENATE(GF$10,", "),""))</f>
        <v/>
      </c>
      <c r="GG27" s="713" t="str">
        <f ca="1">IF(INDIRECT(CONCATENATE($FK$12,Fixtures!GG$25))="","",IF(INDIRECT(CONCATENATE($FK$12,Fixtures!GG$25))=Fixtures!$DN27,CONCATENATE(GG$10,", "),""))</f>
        <v/>
      </c>
      <c r="GH27" s="713" t="str">
        <f ca="1">IF(INDIRECT(CONCATENATE($FK$12,Fixtures!GH$25))="","",IF(INDIRECT(CONCATENATE($FK$12,Fixtures!GH$25))=Fixtures!$DN27,CONCATENATE(GH$10,", "),""))</f>
        <v/>
      </c>
      <c r="GI27" s="684" t="str">
        <f ca="1">IF(INDIRECT(CONCATENATE($FK$12,Fixtures!GI$25))="","",IF(INDIRECT(CONCATENATE($FK$12,Fixtures!GI$25))=Fixtures!$DN27,CONCATENATE(GI$10,", "),""))</f>
        <v/>
      </c>
      <c r="GJ27" s="685" t="str">
        <f ca="1">IF(INDIRECT(CONCATENATE($FK$12,Fixtures!GJ$25))="","",IF(INDIRECT(CONCATENATE($FK$12,Fixtures!GJ$25))=Fixtures!$DN27,CONCATENATE(GJ$10,", "),""))</f>
        <v/>
      </c>
      <c r="GK27" s="713" t="str">
        <f ca="1">IF(INDIRECT(CONCATENATE($FK$12,Fixtures!GK$25))="","",IF(INDIRECT(CONCATENATE($FK$12,Fixtures!GK$25))=Fixtures!$DN27,CONCATENATE(GK$10,", "),""))</f>
        <v/>
      </c>
      <c r="GL27" s="713" t="str">
        <f ca="1">IF(INDIRECT(CONCATENATE($FK$12,Fixtures!GL$25))="","",IF(INDIRECT(CONCATENATE($FK$12,Fixtures!GL$25))=Fixtures!$DN27,CONCATENATE(GL$10,", "),""))</f>
        <v/>
      </c>
      <c r="GM27" s="713" t="str">
        <f ca="1">IF(INDIRECT(CONCATENATE($FK$12,Fixtures!GM$25))="","",IF(INDIRECT(CONCATENATE($FK$12,Fixtures!GM$25))=Fixtures!$DN27,CONCATENATE(GM$10,", "),""))</f>
        <v/>
      </c>
      <c r="GN27" s="713" t="str">
        <f ca="1">IF(INDIRECT(CONCATENATE($FK$12,Fixtures!GN$25))="","",IF(INDIRECT(CONCATENATE($FK$12,Fixtures!GN$25))=Fixtures!$DN27,CONCATENATE(GN$10,", "),""))</f>
        <v/>
      </c>
      <c r="GO27" s="713" t="str">
        <f ca="1">IF(INDIRECT(CONCATENATE($FK$12,Fixtures!GO$25))="","",IF(INDIRECT(CONCATENATE($FK$12,Fixtures!GO$25))=Fixtures!$DN27,CONCATENATE(GO$10,", "),""))</f>
        <v/>
      </c>
      <c r="GP27" s="713" t="str">
        <f ca="1">IF(INDIRECT(CONCATENATE($FK$12,Fixtures!GP$25))="","",IF(INDIRECT(CONCATENATE($FK$12,Fixtures!GP$25))=Fixtures!$DN27,CONCATENATE(GP$10,", "),""))</f>
        <v/>
      </c>
      <c r="GQ27" s="713" t="str">
        <f ca="1">IF(INDIRECT(CONCATENATE($FK$12,Fixtures!GQ$25))="","",IF(INDIRECT(CONCATENATE($FK$12,Fixtures!GQ$25))=Fixtures!$DN27,CONCATENATE(GQ$10,", "),""))</f>
        <v/>
      </c>
      <c r="GR27" s="713" t="str">
        <f ca="1">IF(INDIRECT(CONCATENATE($FK$12,Fixtures!GR$25))="","",IF(INDIRECT(CONCATENATE($FK$12,Fixtures!GR$25))=Fixtures!$DN27,CONCATENATE(GR$10,", "),""))</f>
        <v/>
      </c>
      <c r="GS27" s="713" t="str">
        <f ca="1">IF(INDIRECT(CONCATENATE($FK$12,Fixtures!GS$25))="","",IF(INDIRECT(CONCATENATE($FK$12,Fixtures!GS$25))=Fixtures!$DN27,CONCATENATE(GS$10,", "),""))</f>
        <v/>
      </c>
      <c r="GT27" s="713" t="str">
        <f ca="1">IF(INDIRECT(CONCATENATE($FK$12,Fixtures!GT$25))="","",IF(INDIRECT(CONCATENATE($FK$12,Fixtures!GT$25))=Fixtures!$DN27,CONCATENATE(GT$10,", "),""))</f>
        <v/>
      </c>
      <c r="GU27" s="713" t="str">
        <f ca="1">IF(INDIRECT(CONCATENATE($FK$12,Fixtures!GU$25))="","",IF(INDIRECT(CONCATENATE($FK$12,Fixtures!GU$25))=Fixtures!$DN27,CONCATENATE(GU$10,", "),""))</f>
        <v/>
      </c>
      <c r="GV27" s="713" t="str">
        <f ca="1">IF(INDIRECT(CONCATENATE($FK$12,Fixtures!GV$25))="","",IF(INDIRECT(CONCATENATE($FK$12,Fixtures!GV$25))=Fixtures!$DN27,CONCATENATE(GV$10,", "),""))</f>
        <v/>
      </c>
      <c r="GW27" s="713" t="str">
        <f ca="1">IF(INDIRECT(CONCATENATE($FK$12,Fixtures!GW$25))="","",IF(INDIRECT(CONCATENATE($FK$12,Fixtures!GW$25))=Fixtures!$DN27,CONCATENATE(GW$10,", "),""))</f>
        <v/>
      </c>
      <c r="GX27" s="684" t="str">
        <f ca="1">IF(INDIRECT(CONCATENATE($FK$12,Fixtures!GX$25))="","",IF(INDIRECT(CONCATENATE($FK$12,Fixtures!GX$25))=Fixtures!$DN27,CONCATENATE(GX$10,", "),""))</f>
        <v/>
      </c>
      <c r="GY27" s="685" t="str">
        <f ca="1">IF(INDIRECT(CONCATENATE($FK$12,Fixtures!GY$25))="","",IF(INDIRECT(CONCATENATE($FK$12,Fixtures!GY$25))=Fixtures!$DN27,CONCATENATE(GY$10,", "),""))</f>
        <v/>
      </c>
      <c r="GZ27" s="713" t="str">
        <f ca="1">IF(INDIRECT(CONCATENATE($FK$12,Fixtures!GZ$25))="","",IF(INDIRECT(CONCATENATE($FK$12,Fixtures!GZ$25))=Fixtures!$DN27,CONCATENATE(GZ$10,", "),""))</f>
        <v/>
      </c>
      <c r="HA27" s="713" t="str">
        <f ca="1">IF(INDIRECT(CONCATENATE($FK$12,Fixtures!HA$25))="","",IF(INDIRECT(CONCATENATE($FK$12,Fixtures!HA$25))=Fixtures!$DN27,CONCATENATE(HA$10,", "),""))</f>
        <v/>
      </c>
      <c r="HB27" s="713" t="str">
        <f ca="1">IF(INDIRECT(CONCATENATE($FK$12,Fixtures!HB$25))="","",IF(INDIRECT(CONCATENATE($FK$12,Fixtures!HB$25))=Fixtures!$DN27,CONCATENATE(HB$10,", "),""))</f>
        <v/>
      </c>
      <c r="HC27" s="713" t="str">
        <f ca="1">IF(INDIRECT(CONCATENATE($FK$12,Fixtures!HC$25))="","",IF(INDIRECT(CONCATENATE($FK$12,Fixtures!HC$25))=Fixtures!$DN27,CONCATENATE(HC$10,", "),""))</f>
        <v/>
      </c>
      <c r="HD27" s="713" t="str">
        <f ca="1">IF(INDIRECT(CONCATENATE($FK$12,Fixtures!HD$25))="","",IF(INDIRECT(CONCATENATE($FK$12,Fixtures!HD$25))=Fixtures!$DN27,CONCATENATE(HD$10,", "),""))</f>
        <v/>
      </c>
      <c r="HE27" s="713" t="str">
        <f ca="1">IF(INDIRECT(CONCATENATE($FK$12,Fixtures!HE$25))="","",IF(INDIRECT(CONCATENATE($FK$12,Fixtures!HE$25))=Fixtures!$DN27,CONCATENATE(HE$10,", "),""))</f>
        <v/>
      </c>
      <c r="HF27" s="713" t="str">
        <f ca="1">IF(INDIRECT(CONCATENATE($FK$12,Fixtures!HF$25))="","",IF(INDIRECT(CONCATENATE($FK$12,Fixtures!HF$25))=Fixtures!$DN27,CONCATENATE(HF$10,", "),""))</f>
        <v/>
      </c>
      <c r="HG27" s="713" t="str">
        <f ca="1">IF(INDIRECT(CONCATENATE($FK$12,Fixtures!HG$25))="","",IF(INDIRECT(CONCATENATE($FK$12,Fixtures!HG$25))=Fixtures!$DN27,CONCATENATE(HG$10,", "),""))</f>
        <v/>
      </c>
      <c r="HH27" s="713" t="str">
        <f ca="1">IF(INDIRECT(CONCATENATE($FK$12,Fixtures!HH$25))="","",IF(INDIRECT(CONCATENATE($FK$12,Fixtures!HH$25))=Fixtures!$DN27,CONCATENATE(HH$10,", "),""))</f>
        <v/>
      </c>
      <c r="HI27" s="713" t="str">
        <f ca="1">IF(INDIRECT(CONCATENATE($FK$12,Fixtures!HI$25))="","",IF(INDIRECT(CONCATENATE($FK$12,Fixtures!HI$25))=Fixtures!$DN27,CONCATENATE(HI$10,", "),""))</f>
        <v/>
      </c>
      <c r="HJ27" s="713" t="str">
        <f ca="1">IF(INDIRECT(CONCATENATE($FK$12,Fixtures!HJ$25))="","",IF(INDIRECT(CONCATENATE($FK$12,Fixtures!HJ$25))=Fixtures!$DN27,CONCATENATE(HJ$10,", "),""))</f>
        <v/>
      </c>
      <c r="HK27" s="713" t="str">
        <f ca="1">IF(INDIRECT(CONCATENATE($FK$12,Fixtures!HK$25))="","",IF(INDIRECT(CONCATENATE($FK$12,Fixtures!HK$25))=Fixtures!$DN27,CONCATENATE(HK$10,", "),""))</f>
        <v/>
      </c>
      <c r="HL27" s="713" t="str">
        <f ca="1">IF(INDIRECT(CONCATENATE($FK$12,Fixtures!HL$25))="","",IF(INDIRECT(CONCATENATE($FK$12,Fixtures!HL$25))=Fixtures!$DN27,CONCATENATE(HL$10,", "),""))</f>
        <v/>
      </c>
      <c r="HM27" s="684" t="str">
        <f ca="1">IF(INDIRECT(CONCATENATE($FK$12,Fixtures!HM$25))="","",IF(INDIRECT(CONCATENATE($FK$12,Fixtures!HM$25))=Fixtures!$DN27,CONCATENATE(HM$10,", "),""))</f>
        <v/>
      </c>
      <c r="HN27" s="685" t="str">
        <f ca="1">IF(INDIRECT(CONCATENATE($FK$12,Fixtures!HN$25))="","",IF(INDIRECT(CONCATENATE($FK$12,Fixtures!HN$25))=Fixtures!$DN27,CONCATENATE(HN$10,", "),""))</f>
        <v/>
      </c>
      <c r="HO27" s="713" t="str">
        <f ca="1">IF(INDIRECT(CONCATENATE($FK$12,Fixtures!HO$25))="","",IF(INDIRECT(CONCATENATE($FK$12,Fixtures!HO$25))=Fixtures!$DN27,CONCATENATE(HO$10,", "),""))</f>
        <v/>
      </c>
      <c r="HP27" s="713" t="str">
        <f ca="1">IF(INDIRECT(CONCATENATE($FK$12,Fixtures!HP$25))="","",IF(INDIRECT(CONCATENATE($FK$12,Fixtures!HP$25))=Fixtures!$DN27,CONCATENATE(HP$10,", "),""))</f>
        <v/>
      </c>
      <c r="HQ27" s="713" t="str">
        <f ca="1">IF(INDIRECT(CONCATENATE($FK$12,Fixtures!HQ$25))="","",IF(INDIRECT(CONCATENATE($FK$12,Fixtures!HQ$25))=Fixtures!$DN27,CONCATENATE(HQ$10,", "),""))</f>
        <v/>
      </c>
      <c r="HR27" s="713" t="str">
        <f ca="1">IF(INDIRECT(CONCATENATE($FK$12,Fixtures!HR$25))="","",IF(INDIRECT(CONCATENATE($FK$12,Fixtures!HR$25))=Fixtures!$DN27,CONCATENATE(HR$10,", "),""))</f>
        <v/>
      </c>
      <c r="HS27" s="713" t="str">
        <f ca="1">IF(INDIRECT(CONCATENATE($FK$12,Fixtures!HS$25))="","",IF(INDIRECT(CONCATENATE($FK$12,Fixtures!HS$25))=Fixtures!$DN27,CONCATENATE(HS$10,", "),""))</f>
        <v/>
      </c>
      <c r="HT27" s="713" t="str">
        <f ca="1">IF(INDIRECT(CONCATENATE($FK$12,Fixtures!HT$25))="","",IF(INDIRECT(CONCATENATE($FK$12,Fixtures!HT$25))=Fixtures!$DN27,CONCATENATE(HT$10,", "),""))</f>
        <v/>
      </c>
      <c r="HU27" s="713" t="str">
        <f ca="1">IF(INDIRECT(CONCATENATE($FK$12,Fixtures!HU$25))="","",IF(INDIRECT(CONCATENATE($FK$12,Fixtures!HU$25))=Fixtures!$DN27,CONCATENATE(HU$10,", "),""))</f>
        <v/>
      </c>
      <c r="HV27" s="713" t="str">
        <f ca="1">IF(INDIRECT(CONCATENATE($FK$12,Fixtures!HV$25))="","",IF(INDIRECT(CONCATENATE($FK$12,Fixtures!HV$25))=Fixtures!$DN27,CONCATENATE(HV$10,", "),""))</f>
        <v/>
      </c>
      <c r="HW27" s="713" t="str">
        <f ca="1">IF(INDIRECT(CONCATENATE($FK$12,Fixtures!HW$25))="","",IF(INDIRECT(CONCATENATE($FK$12,Fixtures!HW$25))=Fixtures!$DN27,CONCATENATE(HW$10,", "),""))</f>
        <v/>
      </c>
      <c r="HX27" s="713" t="str">
        <f ca="1">IF(INDIRECT(CONCATENATE($FK$12,Fixtures!HX$25))="","",IF(INDIRECT(CONCATENATE($FK$12,Fixtures!HX$25))=Fixtures!$DN27,CONCATENATE(HX$10,", "),""))</f>
        <v/>
      </c>
      <c r="HY27" s="713" t="str">
        <f ca="1">IF(INDIRECT(CONCATENATE($FK$12,Fixtures!HY$25))="","",IF(INDIRECT(CONCATENATE($FK$12,Fixtures!HY$25))=Fixtures!$DN27,CONCATENATE(HY$10,", "),""))</f>
        <v/>
      </c>
      <c r="HZ27" s="713" t="str">
        <f ca="1">IF(INDIRECT(CONCATENATE($FK$12,Fixtures!HZ$25))="","",IF(INDIRECT(CONCATENATE($FK$12,Fixtures!HZ$25))=Fixtures!$DN27,CONCATENATE(HZ$10,", "),""))</f>
        <v/>
      </c>
      <c r="IA27" s="713" t="str">
        <f ca="1">IF(INDIRECT(CONCATENATE($FK$12,Fixtures!IA$25))="","",IF(INDIRECT(CONCATENATE($FK$12,Fixtures!IA$25))=Fixtures!$DN27,CONCATENATE(IA$10,", "),""))</f>
        <v/>
      </c>
      <c r="IB27" s="684" t="str">
        <f ca="1">IF(INDIRECT(CONCATENATE($FK$12,Fixtures!IB$25))="","",IF(INDIRECT(CONCATENATE($FK$12,Fixtures!IB$25))=Fixtures!$DN27,CONCATENATE(IB$10,", "),""))</f>
        <v/>
      </c>
      <c r="IC27" s="685" t="str">
        <f ca="1">IF(INDIRECT(CONCATENATE($FK$12,Fixtures!IC$25))="","",IF(INDIRECT(CONCATENATE($FK$12,Fixtures!IC$25))=Fixtures!$DN27,CONCATENATE(IC$10,", "),""))</f>
        <v/>
      </c>
      <c r="ID27" s="713" t="str">
        <f ca="1">IF(INDIRECT(CONCATENATE($FK$12,Fixtures!ID$25))="","",IF(INDIRECT(CONCATENATE($FK$12,Fixtures!ID$25))=Fixtures!$DN27,CONCATENATE(ID$10,", "),""))</f>
        <v/>
      </c>
      <c r="IE27" s="713" t="str">
        <f ca="1">IF(INDIRECT(CONCATENATE($FK$12,Fixtures!IE$25))="","",IF(INDIRECT(CONCATENATE($FK$12,Fixtures!IE$25))=Fixtures!$DN27,CONCATENATE(IE$10,", "),""))</f>
        <v/>
      </c>
      <c r="IF27" s="713" t="str">
        <f ca="1">IF(INDIRECT(CONCATENATE($FK$12,Fixtures!IF$25))="","",IF(INDIRECT(CONCATENATE($FK$12,Fixtures!IF$25))=Fixtures!$DN27,CONCATENATE(IF$10,", "),""))</f>
        <v/>
      </c>
      <c r="IG27" s="713" t="str">
        <f ca="1">IF(INDIRECT(CONCATENATE($FK$12,Fixtures!IG$25))="","",IF(INDIRECT(CONCATENATE($FK$12,Fixtures!IG$25))=Fixtures!$DN27,CONCATENATE(IG$10,", "),""))</f>
        <v/>
      </c>
      <c r="IH27" s="713" t="str">
        <f ca="1">IF(INDIRECT(CONCATENATE($FK$12,Fixtures!IH$25))="","",IF(INDIRECT(CONCATENATE($FK$12,Fixtures!IH$25))=Fixtures!$DN27,CONCATENATE(IH$10,", "),""))</f>
        <v/>
      </c>
      <c r="II27" s="713" t="str">
        <f ca="1">IF(INDIRECT(CONCATENATE($FK$12,Fixtures!II$25))="","",IF(INDIRECT(CONCATENATE($FK$12,Fixtures!II$25))=Fixtures!$DN27,CONCATENATE(II$10,", "),""))</f>
        <v/>
      </c>
      <c r="IJ27" s="713" t="str">
        <f ca="1">IF(INDIRECT(CONCATENATE($FK$12,Fixtures!IJ$25))="","",IF(INDIRECT(CONCATENATE($FK$12,Fixtures!IJ$25))=Fixtures!$DN27,CONCATENATE(IJ$10,", "),""))</f>
        <v/>
      </c>
      <c r="IK27" s="713" t="str">
        <f ca="1">IF(INDIRECT(CONCATENATE($FK$12,Fixtures!IK$25))="","",IF(INDIRECT(CONCATENATE($FK$12,Fixtures!IK$25))=Fixtures!$DN27,CONCATENATE(IK$10,", "),""))</f>
        <v/>
      </c>
      <c r="IL27" s="713" t="str">
        <f ca="1">IF(INDIRECT(CONCATENATE($FK$12,Fixtures!IL$25))="","",IF(INDIRECT(CONCATENATE($FK$12,Fixtures!IL$25))=Fixtures!$DN27,CONCATENATE(IL$10,", "),""))</f>
        <v/>
      </c>
      <c r="IM27" s="713" t="str">
        <f ca="1">IF(INDIRECT(CONCATENATE($FK$12,Fixtures!IM$25))="","",IF(INDIRECT(CONCATENATE($FK$12,Fixtures!IM$25))=Fixtures!$DN27,CONCATENATE(IM$10,", "),""))</f>
        <v/>
      </c>
      <c r="IN27" s="713" t="str">
        <f ca="1">IF(INDIRECT(CONCATENATE($FK$12,Fixtures!IN$25))="","",IF(INDIRECT(CONCATENATE($FK$12,Fixtures!IN$25))=Fixtures!$DN27,CONCATENATE(IN$10,", "),""))</f>
        <v/>
      </c>
      <c r="IO27" s="713" t="str">
        <f ca="1">IF(INDIRECT(CONCATENATE($FK$12,Fixtures!IO$25))="","",IF(INDIRECT(CONCATENATE($FK$12,Fixtures!IO$25))=Fixtures!$DN27,CONCATENATE(IO$10,", "),""))</f>
        <v/>
      </c>
      <c r="IP27" s="713" t="str">
        <f ca="1">IF(INDIRECT(CONCATENATE($FK$12,Fixtures!IP$25))="","",IF(INDIRECT(CONCATENATE($FK$12,Fixtures!IP$25))=Fixtures!$DN27,CONCATENATE(IP$10,", "),""))</f>
        <v/>
      </c>
      <c r="IQ27" s="684" t="str">
        <f ca="1">IF(INDIRECT(CONCATENATE($FK$12,Fixtures!IQ$25))="","",IF(INDIRECT(CONCATENATE($FK$12,Fixtures!IQ$25))=Fixtures!$DN27,CONCATENATE(IQ$10,", "),""))</f>
        <v/>
      </c>
      <c r="IR27" s="685" t="str">
        <f ca="1">IF(INDIRECT(CONCATENATE($FK$12,Fixtures!IR$25))="","",IF(INDIRECT(CONCATENATE($FK$12,Fixtures!IR$25))=Fixtures!$DN27,CONCATENATE(IR$10,", "),""))</f>
        <v/>
      </c>
      <c r="IS27" s="713" t="str">
        <f ca="1">IF(INDIRECT(CONCATENATE($FK$12,Fixtures!IS$25))="","",IF(INDIRECT(CONCATENATE($FK$12,Fixtures!IS$25))=Fixtures!$DN27,CONCATENATE(IS$10,", "),""))</f>
        <v/>
      </c>
      <c r="IT27" s="713" t="str">
        <f ca="1">IF(INDIRECT(CONCATENATE($FK$12,Fixtures!IT$25))="","",IF(INDIRECT(CONCATENATE($FK$12,Fixtures!IT$25))=Fixtures!$DN27,CONCATENATE(IT$10,", "),""))</f>
        <v/>
      </c>
      <c r="IU27" s="713" t="str">
        <f ca="1">IF(INDIRECT(CONCATENATE($FK$12,Fixtures!IU$25))="","",IF(INDIRECT(CONCATENATE($FK$12,Fixtures!IU$25))=Fixtures!$DN27,CONCATENATE(IU$10,", "),""))</f>
        <v/>
      </c>
      <c r="IV27" s="713" t="str">
        <f ca="1">IF(INDIRECT(CONCATENATE($FK$12,Fixtures!IV$25))="","",IF(INDIRECT(CONCATENATE($FK$12,Fixtures!IV$25))=Fixtures!$DN27,CONCATENATE(IV$10,", "),""))</f>
        <v/>
      </c>
      <c r="IW27" s="713" t="str">
        <f ca="1">IF(INDIRECT(CONCATENATE($FK$12,Fixtures!IW$25))="","",IF(INDIRECT(CONCATENATE($FK$12,Fixtures!IW$25))=Fixtures!$DN27,CONCATENATE(IW$10,", "),""))</f>
        <v/>
      </c>
      <c r="IX27" s="713" t="str">
        <f ca="1">IF(INDIRECT(CONCATENATE($FK$12,Fixtures!IX$25))="","",IF(INDIRECT(CONCATENATE($FK$12,Fixtures!IX$25))=Fixtures!$DN27,CONCATENATE(IX$10,", "),""))</f>
        <v/>
      </c>
      <c r="IY27" s="713" t="str">
        <f ca="1">IF(INDIRECT(CONCATENATE($FK$12,Fixtures!IY$25))="","",IF(INDIRECT(CONCATENATE($FK$12,Fixtures!IY$25))=Fixtures!$DN27,CONCATENATE(IY$10,", "),""))</f>
        <v/>
      </c>
      <c r="IZ27" s="713" t="str">
        <f ca="1">IF(INDIRECT(CONCATENATE($FK$12,Fixtures!IZ$25))="","",IF(INDIRECT(CONCATENATE($FK$12,Fixtures!IZ$25))=Fixtures!$DN27,CONCATENATE(IZ$10,", "),""))</f>
        <v/>
      </c>
      <c r="JA27" s="713" t="str">
        <f ca="1">IF(INDIRECT(CONCATENATE($FK$12,Fixtures!JA$25))="","",IF(INDIRECT(CONCATENATE($FK$12,Fixtures!JA$25))=Fixtures!$DN27,CONCATENATE(JA$10,", "),""))</f>
        <v/>
      </c>
      <c r="JB27" s="713" t="str">
        <f ca="1">IF(INDIRECT(CONCATENATE($FK$12,Fixtures!JB$25))="","",IF(INDIRECT(CONCATENATE($FK$12,Fixtures!JB$25))=Fixtures!$DN27,CONCATENATE(JB$10,", "),""))</f>
        <v/>
      </c>
      <c r="JC27" s="713" t="str">
        <f ca="1">IF(INDIRECT(CONCATENATE($FK$12,Fixtures!JC$25))="","",IF(INDIRECT(CONCATENATE($FK$12,Fixtures!JC$25))=Fixtures!$DN27,CONCATENATE(JC$10,", "),""))</f>
        <v/>
      </c>
      <c r="JD27" s="713" t="str">
        <f ca="1">IF(INDIRECT(CONCATENATE($FK$12,Fixtures!JD$25))="","",IF(INDIRECT(CONCATENATE($FK$12,Fixtures!JD$25))=Fixtures!$DN27,CONCATENATE(JD$10,", "),""))</f>
        <v/>
      </c>
      <c r="JE27" s="713" t="str">
        <f ca="1">IF(INDIRECT(CONCATENATE($FK$12,Fixtures!JE$25))="","",IF(INDIRECT(CONCATENATE($FK$12,Fixtures!JE$25))=Fixtures!$DN27,CONCATENATE(JE$10,", "),""))</f>
        <v/>
      </c>
      <c r="JF27" s="684" t="str">
        <f ca="1">IF(INDIRECT(CONCATENATE($FK$12,Fixtures!JF$25))="","",IF(INDIRECT(CONCATENATE($FK$12,Fixtures!JF$25))=Fixtures!$DN27,CONCATENATE(JF$10,", "),""))</f>
        <v/>
      </c>
      <c r="JG27" s="685" t="str">
        <f ca="1">IF(INDIRECT(CONCATENATE($FK$12,Fixtures!JG$25))="","",IF(INDIRECT(CONCATENATE($FK$12,Fixtures!JG$25))=Fixtures!$DN27,CONCATENATE(JG$10,", "),""))</f>
        <v/>
      </c>
      <c r="JH27" s="713" t="str">
        <f ca="1">IF(INDIRECT(CONCATENATE($FK$12,Fixtures!JH$25))="","",IF(INDIRECT(CONCATENATE($FK$12,Fixtures!JH$25))=Fixtures!$DN27,CONCATENATE(JH$10,", "),""))</f>
        <v/>
      </c>
      <c r="JI27" s="713" t="str">
        <f ca="1">IF(INDIRECT(CONCATENATE($FK$12,Fixtures!JI$25))="","",IF(INDIRECT(CONCATENATE($FK$12,Fixtures!JI$25))=Fixtures!$DN27,CONCATENATE(JI$10,", "),""))</f>
        <v/>
      </c>
      <c r="JJ27" s="713" t="str">
        <f ca="1">IF(INDIRECT(CONCATENATE($FK$12,Fixtures!JJ$25))="","",IF(INDIRECT(CONCATENATE($FK$12,Fixtures!JJ$25))=Fixtures!$DN27,CONCATENATE(JJ$10,", "),""))</f>
        <v/>
      </c>
      <c r="JK27" s="713" t="str">
        <f ca="1">IF(INDIRECT(CONCATENATE($FK$12,Fixtures!JK$25))="","",IF(INDIRECT(CONCATENATE($FK$12,Fixtures!JK$25))=Fixtures!$DN27,CONCATENATE(JK$10,", "),""))</f>
        <v/>
      </c>
      <c r="JL27" s="713" t="str">
        <f ca="1">IF(INDIRECT(CONCATENATE($FK$12,Fixtures!JL$25))="","",IF(INDIRECT(CONCATENATE($FK$12,Fixtures!JL$25))=Fixtures!$DN27,CONCATENATE(JL$10,", "),""))</f>
        <v/>
      </c>
      <c r="JM27" s="713" t="str">
        <f ca="1">IF(INDIRECT(CONCATENATE($FK$12,Fixtures!JM$25))="","",IF(INDIRECT(CONCATENATE($FK$12,Fixtures!JM$25))=Fixtures!$DN27,CONCATENATE(JM$10,", "),""))</f>
        <v/>
      </c>
      <c r="JN27" s="713" t="str">
        <f ca="1">IF(INDIRECT(CONCATENATE($FK$12,Fixtures!JN$25))="","",IF(INDIRECT(CONCATENATE($FK$12,Fixtures!JN$25))=Fixtures!$DN27,CONCATENATE(JN$10,", "),""))</f>
        <v/>
      </c>
      <c r="JO27" s="713" t="str">
        <f ca="1">IF(INDIRECT(CONCATENATE($FK$12,Fixtures!JO$25))="","",IF(INDIRECT(CONCATENATE($FK$12,Fixtures!JO$25))=Fixtures!$DN27,CONCATENATE(JO$10,", "),""))</f>
        <v/>
      </c>
      <c r="JP27" s="713" t="str">
        <f ca="1">IF(INDIRECT(CONCATENATE($FK$12,Fixtures!JP$25))="","",IF(INDIRECT(CONCATENATE($FK$12,Fixtures!JP$25))=Fixtures!$DN27,CONCATENATE(JP$10,", "),""))</f>
        <v/>
      </c>
      <c r="JQ27" s="713" t="str">
        <f ca="1">IF(INDIRECT(CONCATENATE($FK$12,Fixtures!JQ$25))="","",IF(INDIRECT(CONCATENATE($FK$12,Fixtures!JQ$25))=Fixtures!$DN27,CONCATENATE(JQ$10,", "),""))</f>
        <v/>
      </c>
      <c r="JR27" s="713" t="str">
        <f ca="1">IF(INDIRECT(CONCATENATE($FK$12,Fixtures!JR$25))="","",IF(INDIRECT(CONCATENATE($FK$12,Fixtures!JR$25))=Fixtures!$DN27,CONCATENATE(JR$10,", "),""))</f>
        <v/>
      </c>
      <c r="JS27" s="713" t="str">
        <f ca="1">IF(INDIRECT(CONCATENATE($FK$12,Fixtures!JS$25))="","",IF(INDIRECT(CONCATENATE($FK$12,Fixtures!JS$25))=Fixtures!$DN27,CONCATENATE(JS$10,", "),""))</f>
        <v/>
      </c>
      <c r="JT27" s="713" t="str">
        <f ca="1">IF(INDIRECT(CONCATENATE($FK$12,Fixtures!JT$25))="","",IF(INDIRECT(CONCATENATE($FK$12,Fixtures!JT$25))=Fixtures!$DN27,CONCATENATE(JT$10,", "),""))</f>
        <v/>
      </c>
      <c r="JU27" s="684" t="str">
        <f ca="1">IF(INDIRECT(CONCATENATE($FK$12,Fixtures!JU$25))="","",IF(INDIRECT(CONCATENATE($FK$12,Fixtures!JU$25))=Fixtures!$DN27,CONCATENATE(JU$10,", "),""))</f>
        <v/>
      </c>
      <c r="JV27" s="685" t="str">
        <f ca="1">IF(INDIRECT(CONCATENATE($FK$12,Fixtures!JV$25))="","",IF(INDIRECT(CONCATENATE($FK$12,Fixtures!JV$25))=Fixtures!$DN27,CONCATENATE(JV$10,", "),""))</f>
        <v/>
      </c>
      <c r="JW27" s="713" t="str">
        <f ca="1">IF(INDIRECT(CONCATENATE($FK$12,Fixtures!JW$25))="","",IF(INDIRECT(CONCATENATE($FK$12,Fixtures!JW$25))=Fixtures!$DN27,CONCATENATE(JW$10,", "),""))</f>
        <v/>
      </c>
      <c r="JX27" s="713" t="str">
        <f ca="1">IF(INDIRECT(CONCATENATE($FK$12,Fixtures!JX$25))="","",IF(INDIRECT(CONCATENATE($FK$12,Fixtures!JX$25))=Fixtures!$DN27,CONCATENATE(JX$10,", "),""))</f>
        <v/>
      </c>
      <c r="JY27" s="713" t="str">
        <f ca="1">IF(INDIRECT(CONCATENATE($FK$12,Fixtures!JY$25))="","",IF(INDIRECT(CONCATENATE($FK$12,Fixtures!JY$25))=Fixtures!$DN27,CONCATENATE(JY$10,", "),""))</f>
        <v/>
      </c>
      <c r="JZ27" s="713" t="str">
        <f ca="1">IF(INDIRECT(CONCATENATE($FK$12,Fixtures!JZ$25))="","",IF(INDIRECT(CONCATENATE($FK$12,Fixtures!JZ$25))=Fixtures!$DN27,CONCATENATE(JZ$10,", "),""))</f>
        <v/>
      </c>
      <c r="KA27" s="713" t="str">
        <f ca="1">IF(INDIRECT(CONCATENATE($FK$12,Fixtures!KA$25))="","",IF(INDIRECT(CONCATENATE($FK$12,Fixtures!KA$25))=Fixtures!$DN27,CONCATENATE(KA$10,", "),""))</f>
        <v/>
      </c>
      <c r="KB27" s="713" t="str">
        <f ca="1">IF(INDIRECT(CONCATENATE($FK$12,Fixtures!KB$25))="","",IF(INDIRECT(CONCATENATE($FK$12,Fixtures!KB$25))=Fixtures!$DN27,CONCATENATE(KB$10,", "),""))</f>
        <v/>
      </c>
      <c r="KC27" s="713" t="str">
        <f ca="1">IF(INDIRECT(CONCATENATE($FK$12,Fixtures!KC$25))="","",IF(INDIRECT(CONCATENATE($FK$12,Fixtures!KC$25))=Fixtures!$DN27,CONCATENATE(KC$10,", "),""))</f>
        <v/>
      </c>
      <c r="KD27" s="713" t="str">
        <f ca="1">IF(INDIRECT(CONCATENATE($FK$12,Fixtures!KD$25))="","",IF(INDIRECT(CONCATENATE($FK$12,Fixtures!KD$25))=Fixtures!$DN27,CONCATENATE(KD$10,", "),""))</f>
        <v/>
      </c>
      <c r="KE27" s="713" t="str">
        <f ca="1">IF(INDIRECT(CONCATENATE($FK$12,Fixtures!KE$25))="","",IF(INDIRECT(CONCATENATE($FK$12,Fixtures!KE$25))=Fixtures!$DN27,CONCATENATE(KE$10,", "),""))</f>
        <v/>
      </c>
      <c r="KF27" s="713" t="str">
        <f ca="1">IF(INDIRECT(CONCATENATE($FK$12,Fixtures!KF$25))="","",IF(INDIRECT(CONCATENATE($FK$12,Fixtures!KF$25))=Fixtures!$DN27,CONCATENATE(KF$10,", "),""))</f>
        <v/>
      </c>
      <c r="KG27" s="713" t="str">
        <f ca="1">IF(INDIRECT(CONCATENATE($FK$12,Fixtures!KG$25))="","",IF(INDIRECT(CONCATENATE($FK$12,Fixtures!KG$25))=Fixtures!$DN27,CONCATENATE(KG$10,", "),""))</f>
        <v/>
      </c>
      <c r="KH27" s="713" t="str">
        <f ca="1">IF(INDIRECT(CONCATENATE($FK$12,Fixtures!KH$25))="","",IF(INDIRECT(CONCATENATE($FK$12,Fixtures!KH$25))=Fixtures!$DN27,CONCATENATE(KH$10,", "),""))</f>
        <v/>
      </c>
      <c r="KI27" s="713" t="str">
        <f ca="1">IF(INDIRECT(CONCATENATE($FK$12,Fixtures!KI$25))="","",IF(INDIRECT(CONCATENATE($FK$12,Fixtures!KI$25))=Fixtures!$DN27,CONCATENATE(KI$10,", "),""))</f>
        <v/>
      </c>
      <c r="KJ27" s="684" t="str">
        <f ca="1">IF(INDIRECT(CONCATENATE($FK$12,Fixtures!KJ$25))="","",IF(INDIRECT(CONCATENATE($FK$12,Fixtures!KJ$25))=Fixtures!$DN27,CONCATENATE(KJ$10,", "),""))</f>
        <v/>
      </c>
      <c r="KK27" s="685" t="str">
        <f ca="1">IF(INDIRECT(CONCATENATE($FK$12,Fixtures!KK$25))="","",IF(INDIRECT(CONCATENATE($FK$12,Fixtures!KK$25))=Fixtures!$DN27,CONCATENATE(KK$10,", "),""))</f>
        <v/>
      </c>
      <c r="KL27" s="713" t="str">
        <f ca="1">IF(INDIRECT(CONCATENATE($FK$12,Fixtures!KL$25))="","",IF(INDIRECT(CONCATENATE($FK$12,Fixtures!KL$25))=Fixtures!$DN27,CONCATENATE(KL$10,", "),""))</f>
        <v/>
      </c>
      <c r="KM27" s="713" t="str">
        <f ca="1">IF(INDIRECT(CONCATENATE($FK$12,Fixtures!KM$25))="","",IF(INDIRECT(CONCATENATE($FK$12,Fixtures!KM$25))=Fixtures!$DN27,CONCATENATE(KM$10,", "),""))</f>
        <v/>
      </c>
      <c r="KN27" s="713" t="str">
        <f ca="1">IF(INDIRECT(CONCATENATE($FK$12,Fixtures!KN$25))="","",IF(INDIRECT(CONCATENATE($FK$12,Fixtures!KN$25))=Fixtures!$DN27,CONCATENATE(KN$10,", "),""))</f>
        <v/>
      </c>
      <c r="KO27" s="713" t="str">
        <f ca="1">IF(INDIRECT(CONCATENATE($FK$12,Fixtures!KO$25))="","",IF(INDIRECT(CONCATENATE($FK$12,Fixtures!KO$25))=Fixtures!$DN27,CONCATENATE(KO$10,", "),""))</f>
        <v/>
      </c>
      <c r="KP27" s="713" t="str">
        <f ca="1">IF(INDIRECT(CONCATENATE($FK$12,Fixtures!KP$25))="","",IF(INDIRECT(CONCATENATE($FK$12,Fixtures!KP$25))=Fixtures!$DN27,CONCATENATE(KP$10,", "),""))</f>
        <v/>
      </c>
      <c r="KQ27" s="713" t="str">
        <f ca="1">IF(INDIRECT(CONCATENATE($FK$12,Fixtures!KQ$25))="","",IF(INDIRECT(CONCATENATE($FK$12,Fixtures!KQ$25))=Fixtures!$DN27,CONCATENATE(KQ$10,", "),""))</f>
        <v/>
      </c>
      <c r="KR27" s="713" t="str">
        <f ca="1">IF(INDIRECT(CONCATENATE($FK$12,Fixtures!KR$25))="","",IF(INDIRECT(CONCATENATE($FK$12,Fixtures!KR$25))=Fixtures!$DN27,CONCATENATE(KR$10,", "),""))</f>
        <v/>
      </c>
      <c r="KS27" s="713" t="str">
        <f ca="1">IF(INDIRECT(CONCATENATE($FK$12,Fixtures!KS$25))="","",IF(INDIRECT(CONCATENATE($FK$12,Fixtures!KS$25))=Fixtures!$DN27,CONCATENATE(KS$10,", "),""))</f>
        <v/>
      </c>
      <c r="KT27" s="713" t="str">
        <f ca="1">IF(INDIRECT(CONCATENATE($FK$12,Fixtures!KT$25))="","",IF(INDIRECT(CONCATENATE($FK$12,Fixtures!KT$25))=Fixtures!$DN27,CONCATENATE(KT$10,", "),""))</f>
        <v/>
      </c>
      <c r="KU27" s="713" t="str">
        <f ca="1">IF(INDIRECT(CONCATENATE($FK$12,Fixtures!KU$25))="","",IF(INDIRECT(CONCATENATE($FK$12,Fixtures!KU$25))=Fixtures!$DN27,CONCATENATE(KU$10,", "),""))</f>
        <v/>
      </c>
      <c r="KV27" s="713" t="str">
        <f ca="1">IF(INDIRECT(CONCATENATE($FK$12,Fixtures!KV$25))="","",IF(INDIRECT(CONCATENATE($FK$12,Fixtures!KV$25))=Fixtures!$DN27,CONCATENATE(KV$10,", "),""))</f>
        <v/>
      </c>
      <c r="KW27" s="713" t="str">
        <f ca="1">IF(INDIRECT(CONCATENATE($FK$12,Fixtures!KW$25))="","",IF(INDIRECT(CONCATENATE($FK$12,Fixtures!KW$25))=Fixtures!$DN27,CONCATENATE(KW$10,", "),""))</f>
        <v/>
      </c>
      <c r="KX27" s="713" t="str">
        <f ca="1">IF(INDIRECT(CONCATENATE($FK$12,Fixtures!KX$25))="","",IF(INDIRECT(CONCATENATE($FK$12,Fixtures!KX$25))=Fixtures!$DN27,CONCATENATE(KX$10,", "),""))</f>
        <v/>
      </c>
      <c r="KY27" s="713" t="str">
        <f ca="1">IF(INDIRECT(CONCATENATE($FK$12,Fixtures!KY$25))="","",IF(INDIRECT(CONCATENATE($FK$12,Fixtures!KY$25))=Fixtures!$DN27,CONCATENATE(KY$10,", "),""))</f>
        <v/>
      </c>
      <c r="KZ27" s="46"/>
      <c r="LA27" s="46" t="str">
        <f t="shared" ref="LA27:LA58" ca="1" si="8">CONCATENATE(FK27,FL27,FM27,FN27,FO27,FP27,FQ27,FR27,FS27,FT27,FU27,FV27,FW27,FX27,FY27,FZ27,GA27,GB27,GC27,GD27,GE27,GF27,GG27,GH27,GI27,GJ27,GK27,GL27,GM27,GN27,GO27,GP27,GQ27,GR27,GS27,GT27,GU27,GV27,GW27,GX27,GY27,GZ27,HA27,HB27,HC27,HD27,HE27,HF27,HG27,HH27,HI27,HJ27,HK27,HL27,HM27,HN27,HO27,HP27,HQ27,HR27,HS27,HT27,HU27,HV27,HW27,HX27,HY27,HZ27,IA27,IB27,IC27,ID27,IE27,IF27,IG27,IH27,II27,IJ27,IK27,IL27,IM27,IN27,IO27,IP27,IQ27,IR27,IS27,IT27,IU27,IV27,IW27,IX27,IY27,IZ27,JA27,JB27,JC27,JD27,JE27,JF27,JG27,JH27,JI27,JJ27,JK27,JL27,JM27,JN27,JO27,JP27,JQ27,JR27,JS27,JT27,JU27,JV27,JW27,JX27,JY27,JZ27,KA27,KB27,KC27,KD27,KE27,KF27,KG27,KI27,KJ27,KK27,KL27,KM27,KN27,KO27,KP27,KQ27,KR27,KS27,KT27,KU27,KV27,KW27,KX27,KY27)</f>
        <v/>
      </c>
    </row>
    <row r="28" spans="1:313" ht="28.05" customHeight="1" thickTop="1" thickBot="1">
      <c r="C28" s="1345">
        <f>SUM(C31:D78)</f>
        <v>0</v>
      </c>
      <c r="D28" s="1346"/>
      <c r="E28" s="1347" t="s">
        <v>160</v>
      </c>
      <c r="F28" s="1348"/>
      <c r="G28" s="1348"/>
      <c r="H28" s="1348"/>
      <c r="I28" s="1348"/>
      <c r="J28" s="1348"/>
      <c r="K28" s="1348"/>
      <c r="L28" s="1348"/>
      <c r="M28" s="1349"/>
      <c r="N28" s="640"/>
      <c r="P28" s="1345">
        <f>SUM(P31:Q78)</f>
        <v>0</v>
      </c>
      <c r="Q28" s="1346"/>
      <c r="R28" s="1347" t="s">
        <v>161</v>
      </c>
      <c r="S28" s="1348"/>
      <c r="T28" s="1348"/>
      <c r="U28" s="1348"/>
      <c r="V28" s="1348"/>
      <c r="W28" s="1348"/>
      <c r="X28" s="1348"/>
      <c r="Y28" s="640"/>
      <c r="Z28" s="601"/>
      <c r="AA28" s="635"/>
      <c r="AB28" s="536"/>
      <c r="AC28" s="57"/>
      <c r="AD28" s="536"/>
      <c r="AE28" s="536"/>
      <c r="AF28" s="536"/>
      <c r="AG28" s="536"/>
      <c r="AH28" s="536"/>
      <c r="BL28" s="9"/>
      <c r="BM28" s="703" t="str">
        <f>IF(CN28="Yes",CONCATENATE(BX28," - ",CF28, " ",CJ28, " ",CP28,"W"),"")</f>
        <v/>
      </c>
      <c r="BN28" s="52"/>
      <c r="BO28" s="52"/>
      <c r="BP28" s="52"/>
      <c r="BQ28" s="52"/>
      <c r="BR28" s="52"/>
      <c r="BS28" s="52"/>
      <c r="BT28" s="52"/>
      <c r="BU28" s="705"/>
      <c r="BV28" s="255" t="str">
        <f>IF(CN28&lt;&gt;"Yes","",IFERROR(VLOOKUP(CU28,Existing!A$4:F$364,2,FALSE),""))</f>
        <v/>
      </c>
      <c r="BW28" s="9">
        <v>2</v>
      </c>
      <c r="BX28" s="1313"/>
      <c r="BY28" s="1314"/>
      <c r="BZ28" s="1314"/>
      <c r="CA28" s="1315"/>
      <c r="CB28" s="1310"/>
      <c r="CC28" s="1311"/>
      <c r="CD28" s="1311"/>
      <c r="CE28" s="1312"/>
      <c r="CF28" s="1309"/>
      <c r="CG28" s="1309"/>
      <c r="CH28" s="1309"/>
      <c r="CI28" s="1309"/>
      <c r="CJ28" s="1309"/>
      <c r="CK28" s="1309"/>
      <c r="CL28" s="1309"/>
      <c r="CM28" s="1309"/>
      <c r="CN28" s="1243" t="str">
        <f t="shared" si="0"/>
        <v/>
      </c>
      <c r="CO28" s="1244"/>
      <c r="CP28" s="265" t="str">
        <f>IFERROR(IF(CB28="Existing TLED",CR28*CW28*CY28,VLOOKUP(CU28,Existing!A$3:F$353,6,FALSE)),"")</f>
        <v/>
      </c>
      <c r="CQ28" s="9"/>
      <c r="CR28" s="1343"/>
      <c r="CS28" s="1344"/>
      <c r="CT28" s="9"/>
      <c r="CU28" s="470" t="str">
        <f>IF(CN28="","",IF(CB28="Existing TLED",CONCATENATE(CB28," - ",CF28),CONCATENATE(CB28," - ",CF28," ",CJ28)))</f>
        <v/>
      </c>
      <c r="CV28" s="471" t="b">
        <f>IF(CB28="Existing TLED",TRUE,FALSE)</f>
        <v>0</v>
      </c>
      <c r="CW28" s="471" t="str">
        <f>LEFT(CJ28,1)</f>
        <v/>
      </c>
      <c r="CX28" s="471">
        <f>IFERROR(VLOOKUP(CF28,Lookup!M$100:O$102,3,FALSE),0)</f>
        <v>0</v>
      </c>
      <c r="CY28" s="471">
        <f t="shared" ref="CY28:CY76" si="9">IF(CX28=2,1,1.11)</f>
        <v>1.1100000000000001</v>
      </c>
      <c r="CZ28" s="707" t="b">
        <f t="shared" si="1"/>
        <v>0</v>
      </c>
      <c r="DA28" s="707" t="b">
        <f>IF(CF28&lt;&gt;"",IF(ISERROR(MATCH(CONCATENATE(CB28," - ",CF28),Existing!G$4:G$328,0))=TRUE,FALSE,TRUE),TRUE)</f>
        <v>1</v>
      </c>
      <c r="DB28" s="707" t="b">
        <f t="shared" si="2"/>
        <v>1</v>
      </c>
      <c r="DL28" s="9"/>
      <c r="DM28" s="708" t="s">
        <v>166</v>
      </c>
      <c r="DN28" s="416" t="str">
        <f t="shared" si="3"/>
        <v/>
      </c>
      <c r="DO28" s="52"/>
      <c r="DP28" s="52"/>
      <c r="DQ28" s="52"/>
      <c r="DR28" s="52"/>
      <c r="DS28" s="52"/>
      <c r="DT28" s="262"/>
      <c r="DU28" s="417"/>
      <c r="DV28" s="263" t="str">
        <f t="shared" si="4"/>
        <v/>
      </c>
      <c r="DW28" s="260">
        <v>2</v>
      </c>
      <c r="DX28" s="1306"/>
      <c r="DY28" s="1307"/>
      <c r="DZ28" s="1307"/>
      <c r="EA28" s="1308"/>
      <c r="EB28" s="1306"/>
      <c r="EC28" s="1307"/>
      <c r="ED28" s="1307"/>
      <c r="EE28" s="1308"/>
      <c r="EF28" s="1266"/>
      <c r="EG28" s="1267"/>
      <c r="EH28" s="1260"/>
      <c r="EI28" s="1261"/>
      <c r="EJ28" s="1261"/>
      <c r="EK28" s="1262"/>
      <c r="EL28" s="1263"/>
      <c r="EM28" s="1264"/>
      <c r="EN28" s="1264"/>
      <c r="EO28" s="1265"/>
      <c r="EP28" s="1266"/>
      <c r="EQ28" s="1267"/>
      <c r="ER28" s="1245"/>
      <c r="ES28" s="1246"/>
      <c r="ET28" s="1243" t="str">
        <f t="shared" si="5"/>
        <v/>
      </c>
      <c r="EU28" s="1244"/>
      <c r="EV28" s="1243" t="str">
        <f t="shared" si="6"/>
        <v/>
      </c>
      <c r="EW28" s="1244"/>
      <c r="EX28" s="438"/>
      <c r="EY28" s="261" t="str">
        <f t="shared" si="7"/>
        <v/>
      </c>
      <c r="EZ28" s="261" t="str">
        <f>IFERROR(VLOOKUP(EB28,Lookup!AM$3:AN$13,2,FALSE),"")</f>
        <v/>
      </c>
      <c r="FA28" s="471" t="b">
        <f>IFERROR(IF(VLOOKUP(EB28,Lookup!AM$6:AN$8,2,FALSE)&gt;3,TRUE,FALSE),FALSE)</f>
        <v>0</v>
      </c>
      <c r="FB28" s="471">
        <f>IF(OR(EZ28=4,EZ28=6),1.1,1)</f>
        <v>1</v>
      </c>
      <c r="FC28" t="str">
        <f t="shared" ref="FC28:FC76" ca="1" si="10">FG28</f>
        <v/>
      </c>
      <c r="FG28" t="str">
        <f ca="1">IFERROR(CONCATENATE(IF(LEN(LA28)=3,"line ","lines "),LEFT(LA28,LEN(LA28)-2)),"")</f>
        <v/>
      </c>
      <c r="FI28" s="240" t="str">
        <f ca="1">IFERROR(LEFT(LA28,LEN(LA28)-2),"")</f>
        <v/>
      </c>
      <c r="FJ28" s="240"/>
      <c r="FK28" s="712" t="str">
        <f ca="1">IF(INDIRECT(CONCATENATE($FK$12,Fixtures!FK$25))="","",IF(INDIRECT(CONCATENATE($FK$12,Fixtures!FK$25))=Fixtures!$DN28,CONCATENATE(FK$10,", "),""))</f>
        <v/>
      </c>
      <c r="FL28" s="712" t="str">
        <f ca="1">IF(INDIRECT(CONCATENATE($FK$12,Fixtures!FL$25))="","",IF(INDIRECT(CONCATENATE($FK$12,Fixtures!FL$25))=Fixtures!$DN28,CONCATENATE(FL$10,", "),""))</f>
        <v/>
      </c>
      <c r="FM28" s="712" t="str">
        <f ca="1">IF(INDIRECT(CONCATENATE($FK$12,Fixtures!FM$25))="","",IF(INDIRECT(CONCATENATE($FK$12,Fixtures!FM$25))=Fixtures!$DN28,CONCATENATE(FM$10,", "),""))</f>
        <v/>
      </c>
      <c r="FN28" s="712" t="str">
        <f ca="1">IF(INDIRECT(CONCATENATE($FK$12,Fixtures!FN$25))="","",IF(INDIRECT(CONCATENATE($FK$12,Fixtures!FN$25))=Fixtures!$DN28,CONCATENATE(FN$10,", "),""))</f>
        <v/>
      </c>
      <c r="FO28" s="712" t="str">
        <f ca="1">IF(INDIRECT(CONCATENATE($FK$12,Fixtures!FO$25))="","",IF(INDIRECT(CONCATENATE($FK$12,Fixtures!FO$25))=Fixtures!$DN28,CONCATENATE(FO$10,", "),""))</f>
        <v/>
      </c>
      <c r="FP28" s="712" t="str">
        <f ca="1">IF(INDIRECT(CONCATENATE($FK$12,Fixtures!FP$25))="","",IF(INDIRECT(CONCATENATE($FK$12,Fixtures!FP$25))=Fixtures!$DN28,CONCATENATE(FP$10,", "),""))</f>
        <v/>
      </c>
      <c r="FQ28" s="712" t="str">
        <f ca="1">IF(INDIRECT(CONCATENATE($FK$12,Fixtures!FQ$25))="","",IF(INDIRECT(CONCATENATE($FK$12,Fixtures!FQ$25))=Fixtures!$DN28,CONCATENATE(FQ$10,", "),""))</f>
        <v/>
      </c>
      <c r="FR28" s="712" t="str">
        <f ca="1">IF(INDIRECT(CONCATENATE($FK$12,Fixtures!FR$25))="","",IF(INDIRECT(CONCATENATE($FK$12,Fixtures!FR$25))=Fixtures!$DN28,CONCATENATE(FR$10,", "),""))</f>
        <v/>
      </c>
      <c r="FS28" s="712" t="str">
        <f ca="1">IF(INDIRECT(CONCATENATE($FK$12,Fixtures!FS$25))="","",IF(INDIRECT(CONCATENATE($FK$12,Fixtures!FS$25))=Fixtures!$DN28,CONCATENATE(FS$10,", "),""))</f>
        <v/>
      </c>
      <c r="FT28" s="682" t="str">
        <f ca="1">IF(INDIRECT(CONCATENATE($FK$12,Fixtures!FT$25))="","",IF(INDIRECT(CONCATENATE($FK$12,Fixtures!FT$25))=Fixtures!$DN28,CONCATENATE(FT$10,", "),""))</f>
        <v/>
      </c>
      <c r="FU28" s="683" t="str">
        <f ca="1">IF(INDIRECT(CONCATENATE($FK$12,Fixtures!FU$25))="","",IF(INDIRECT(CONCATENATE($FK$12,Fixtures!FU$25))=Fixtures!$DN28,CONCATENATE(FU$10,", "),""))</f>
        <v/>
      </c>
      <c r="FV28" s="712" t="str">
        <f ca="1">IF(INDIRECT(CONCATENATE($FK$12,Fixtures!FV$25))="","",IF(INDIRECT(CONCATENATE($FK$12,Fixtures!FV$25))=Fixtures!$DN28,CONCATENATE(FV$10,", "),""))</f>
        <v/>
      </c>
      <c r="FW28" s="713" t="str">
        <f ca="1">IF(INDIRECT(CONCATENATE($FK$12,Fixtures!FW$25))="","",IF(INDIRECT(CONCATENATE($FK$12,Fixtures!FW$25))=Fixtures!$DN28,CONCATENATE(FW$10,", "),""))</f>
        <v/>
      </c>
      <c r="FX28" s="713" t="str">
        <f ca="1">IF(INDIRECT(CONCATENATE($FK$12,Fixtures!FX$25))="","",IF(INDIRECT(CONCATENATE($FK$12,Fixtures!FX$25))=Fixtures!$DN28,CONCATENATE(FX$10,", "),""))</f>
        <v/>
      </c>
      <c r="FY28" s="713" t="str">
        <f ca="1">IF(INDIRECT(CONCATENATE($FK$12,Fixtures!FY$25))="","",IF(INDIRECT(CONCATENATE($FK$12,Fixtures!FY$25))=Fixtures!$DN28,CONCATENATE(FY$10,", "),""))</f>
        <v/>
      </c>
      <c r="FZ28" s="713" t="str">
        <f ca="1">IF(INDIRECT(CONCATENATE($FK$12,Fixtures!FZ$25))="","",IF(INDIRECT(CONCATENATE($FK$12,Fixtures!FZ$25))=Fixtures!$DN28,CONCATENATE(FZ$10,", "),""))</f>
        <v/>
      </c>
      <c r="GA28" s="713" t="str">
        <f ca="1">IF(INDIRECT(CONCATENATE($FK$12,Fixtures!GA$25))="","",IF(INDIRECT(CONCATENATE($FK$12,Fixtures!GA$25))=Fixtures!$DN28,CONCATENATE(GA$10,", "),""))</f>
        <v/>
      </c>
      <c r="GB28" s="713" t="str">
        <f ca="1">IF(INDIRECT(CONCATENATE($FK$12,Fixtures!GB$25))="","",IF(INDIRECT(CONCATENATE($FK$12,Fixtures!GB$25))=Fixtures!$DN28,CONCATENATE(GB$10,", "),""))</f>
        <v/>
      </c>
      <c r="GC28" s="713" t="str">
        <f ca="1">IF(INDIRECT(CONCATENATE($FK$12,Fixtures!GC$25))="","",IF(INDIRECT(CONCATENATE($FK$12,Fixtures!GC$25))=Fixtures!$DN28,CONCATENATE(GC$10,", "),""))</f>
        <v/>
      </c>
      <c r="GD28" s="713" t="str">
        <f ca="1">IF(INDIRECT(CONCATENATE($FK$12,Fixtures!GD$25))="","",IF(INDIRECT(CONCATENATE($FK$12,Fixtures!GD$25))=Fixtures!$DN28,CONCATENATE(GD$10,", "),""))</f>
        <v/>
      </c>
      <c r="GE28" s="713" t="str">
        <f ca="1">IF(INDIRECT(CONCATENATE($FK$12,Fixtures!GE$25))="","",IF(INDIRECT(CONCATENATE($FK$12,Fixtures!GE$25))=Fixtures!$DN28,CONCATENATE(GE$10,", "),""))</f>
        <v/>
      </c>
      <c r="GF28" s="713" t="str">
        <f ca="1">IF(INDIRECT(CONCATENATE($FK$12,Fixtures!GF$25))="","",IF(INDIRECT(CONCATENATE($FK$12,Fixtures!GF$25))=Fixtures!$DN28,CONCATENATE(GF$10,", "),""))</f>
        <v/>
      </c>
      <c r="GG28" s="713" t="str">
        <f ca="1">IF(INDIRECT(CONCATENATE($FK$12,Fixtures!GG$25))="","",IF(INDIRECT(CONCATENATE($FK$12,Fixtures!GG$25))=Fixtures!$DN28,CONCATENATE(GG$10,", "),""))</f>
        <v/>
      </c>
      <c r="GH28" s="713" t="str">
        <f ca="1">IF(INDIRECT(CONCATENATE($FK$12,Fixtures!GH$25))="","",IF(INDIRECT(CONCATENATE($FK$12,Fixtures!GH$25))=Fixtures!$DN28,CONCATENATE(GH$10,", "),""))</f>
        <v/>
      </c>
      <c r="GI28" s="684" t="str">
        <f ca="1">IF(INDIRECT(CONCATENATE($FK$12,Fixtures!GI$25))="","",IF(INDIRECT(CONCATENATE($FK$12,Fixtures!GI$25))=Fixtures!$DN28,CONCATENATE(GI$10,", "),""))</f>
        <v/>
      </c>
      <c r="GJ28" s="685" t="str">
        <f ca="1">IF(INDIRECT(CONCATENATE($FK$12,Fixtures!GJ$25))="","",IF(INDIRECT(CONCATENATE($FK$12,Fixtures!GJ$25))=Fixtures!$DN28,CONCATENATE(GJ$10,", "),""))</f>
        <v/>
      </c>
      <c r="GK28" s="713" t="str">
        <f ca="1">IF(INDIRECT(CONCATENATE($FK$12,Fixtures!GK$25))="","",IF(INDIRECT(CONCATENATE($FK$12,Fixtures!GK$25))=Fixtures!$DN28,CONCATENATE(GK$10,", "),""))</f>
        <v/>
      </c>
      <c r="GL28" s="713" t="str">
        <f ca="1">IF(INDIRECT(CONCATENATE($FK$12,Fixtures!GL$25))="","",IF(INDIRECT(CONCATENATE($FK$12,Fixtures!GL$25))=Fixtures!$DN28,CONCATENATE(GL$10,", "),""))</f>
        <v/>
      </c>
      <c r="GM28" s="713" t="str">
        <f ca="1">IF(INDIRECT(CONCATENATE($FK$12,Fixtures!GM$25))="","",IF(INDIRECT(CONCATENATE($FK$12,Fixtures!GM$25))=Fixtures!$DN28,CONCATENATE(GM$10,", "),""))</f>
        <v/>
      </c>
      <c r="GN28" s="713" t="str">
        <f ca="1">IF(INDIRECT(CONCATENATE($FK$12,Fixtures!GN$25))="","",IF(INDIRECT(CONCATENATE($FK$12,Fixtures!GN$25))=Fixtures!$DN28,CONCATENATE(GN$10,", "),""))</f>
        <v/>
      </c>
      <c r="GO28" s="713" t="str">
        <f ca="1">IF(INDIRECT(CONCATENATE($FK$12,Fixtures!GO$25))="","",IF(INDIRECT(CONCATENATE($FK$12,Fixtures!GO$25))=Fixtures!$DN28,CONCATENATE(GO$10,", "),""))</f>
        <v/>
      </c>
      <c r="GP28" s="713" t="str">
        <f ca="1">IF(INDIRECT(CONCATENATE($FK$12,Fixtures!GP$25))="","",IF(INDIRECT(CONCATENATE($FK$12,Fixtures!GP$25))=Fixtures!$DN28,CONCATENATE(GP$10,", "),""))</f>
        <v/>
      </c>
      <c r="GQ28" s="713" t="str">
        <f ca="1">IF(INDIRECT(CONCATENATE($FK$12,Fixtures!GQ$25))="","",IF(INDIRECT(CONCATENATE($FK$12,Fixtures!GQ$25))=Fixtures!$DN28,CONCATENATE(GQ$10,", "),""))</f>
        <v/>
      </c>
      <c r="GR28" s="713" t="str">
        <f ca="1">IF(INDIRECT(CONCATENATE($FK$12,Fixtures!GR$25))="","",IF(INDIRECT(CONCATENATE($FK$12,Fixtures!GR$25))=Fixtures!$DN28,CONCATENATE(GR$10,", "),""))</f>
        <v/>
      </c>
      <c r="GS28" s="713" t="str">
        <f ca="1">IF(INDIRECT(CONCATENATE($FK$12,Fixtures!GS$25))="","",IF(INDIRECT(CONCATENATE($FK$12,Fixtures!GS$25))=Fixtures!$DN28,CONCATENATE(GS$10,", "),""))</f>
        <v/>
      </c>
      <c r="GT28" s="713" t="str">
        <f ca="1">IF(INDIRECT(CONCATENATE($FK$12,Fixtures!GT$25))="","",IF(INDIRECT(CONCATENATE($FK$12,Fixtures!GT$25))=Fixtures!$DN28,CONCATENATE(GT$10,", "),""))</f>
        <v/>
      </c>
      <c r="GU28" s="713" t="str">
        <f ca="1">IF(INDIRECT(CONCATENATE($FK$12,Fixtures!GU$25))="","",IF(INDIRECT(CONCATENATE($FK$12,Fixtures!GU$25))=Fixtures!$DN28,CONCATENATE(GU$10,", "),""))</f>
        <v/>
      </c>
      <c r="GV28" s="713" t="str">
        <f ca="1">IF(INDIRECT(CONCATENATE($FK$12,Fixtures!GV$25))="","",IF(INDIRECT(CONCATENATE($FK$12,Fixtures!GV$25))=Fixtures!$DN28,CONCATENATE(GV$10,", "),""))</f>
        <v/>
      </c>
      <c r="GW28" s="713" t="str">
        <f ca="1">IF(INDIRECT(CONCATENATE($FK$12,Fixtures!GW$25))="","",IF(INDIRECT(CONCATENATE($FK$12,Fixtures!GW$25))=Fixtures!$DN28,CONCATENATE(GW$10,", "),""))</f>
        <v/>
      </c>
      <c r="GX28" s="684" t="str">
        <f ca="1">IF(INDIRECT(CONCATENATE($FK$12,Fixtures!GX$25))="","",IF(INDIRECT(CONCATENATE($FK$12,Fixtures!GX$25))=Fixtures!$DN28,CONCATENATE(GX$10,", "),""))</f>
        <v/>
      </c>
      <c r="GY28" s="685" t="str">
        <f ca="1">IF(INDIRECT(CONCATENATE($FK$12,Fixtures!GY$25))="","",IF(INDIRECT(CONCATENATE($FK$12,Fixtures!GY$25))=Fixtures!$DN28,CONCATENATE(GY$10,", "),""))</f>
        <v/>
      </c>
      <c r="GZ28" s="713" t="str">
        <f ca="1">IF(INDIRECT(CONCATENATE($FK$12,Fixtures!GZ$25))="","",IF(INDIRECT(CONCATENATE($FK$12,Fixtures!GZ$25))=Fixtures!$DN28,CONCATENATE(GZ$10,", "),""))</f>
        <v/>
      </c>
      <c r="HA28" s="713" t="str">
        <f ca="1">IF(INDIRECT(CONCATENATE($FK$12,Fixtures!HA$25))="","",IF(INDIRECT(CONCATENATE($FK$12,Fixtures!HA$25))=Fixtures!$DN28,CONCATENATE(HA$10,", "),""))</f>
        <v/>
      </c>
      <c r="HB28" s="713" t="str">
        <f ca="1">IF(INDIRECT(CONCATENATE($FK$12,Fixtures!HB$25))="","",IF(INDIRECT(CONCATENATE($FK$12,Fixtures!HB$25))=Fixtures!$DN28,CONCATENATE(HB$10,", "),""))</f>
        <v/>
      </c>
      <c r="HC28" s="713" t="str">
        <f ca="1">IF(INDIRECT(CONCATENATE($FK$12,Fixtures!HC$25))="","",IF(INDIRECT(CONCATENATE($FK$12,Fixtures!HC$25))=Fixtures!$DN28,CONCATENATE(HC$10,", "),""))</f>
        <v/>
      </c>
      <c r="HD28" s="713" t="str">
        <f ca="1">IF(INDIRECT(CONCATENATE($FK$12,Fixtures!HD$25))="","",IF(INDIRECT(CONCATENATE($FK$12,Fixtures!HD$25))=Fixtures!$DN28,CONCATENATE(HD$10,", "),""))</f>
        <v/>
      </c>
      <c r="HE28" s="713" t="str">
        <f ca="1">IF(INDIRECT(CONCATENATE($FK$12,Fixtures!HE$25))="","",IF(INDIRECT(CONCATENATE($FK$12,Fixtures!HE$25))=Fixtures!$DN28,CONCATENATE(HE$10,", "),""))</f>
        <v/>
      </c>
      <c r="HF28" s="713" t="str">
        <f ca="1">IF(INDIRECT(CONCATENATE($FK$12,Fixtures!HF$25))="","",IF(INDIRECT(CONCATENATE($FK$12,Fixtures!HF$25))=Fixtures!$DN28,CONCATENATE(HF$10,", "),""))</f>
        <v/>
      </c>
      <c r="HG28" s="713" t="str">
        <f ca="1">IF(INDIRECT(CONCATENATE($FK$12,Fixtures!HG$25))="","",IF(INDIRECT(CONCATENATE($FK$12,Fixtures!HG$25))=Fixtures!$DN28,CONCATENATE(HG$10,", "),""))</f>
        <v/>
      </c>
      <c r="HH28" s="713" t="str">
        <f ca="1">IF(INDIRECT(CONCATENATE($FK$12,Fixtures!HH$25))="","",IF(INDIRECT(CONCATENATE($FK$12,Fixtures!HH$25))=Fixtures!$DN28,CONCATENATE(HH$10,", "),""))</f>
        <v/>
      </c>
      <c r="HI28" s="713" t="str">
        <f ca="1">IF(INDIRECT(CONCATENATE($FK$12,Fixtures!HI$25))="","",IF(INDIRECT(CONCATENATE($FK$12,Fixtures!HI$25))=Fixtures!$DN28,CONCATENATE(HI$10,", "),""))</f>
        <v/>
      </c>
      <c r="HJ28" s="713" t="str">
        <f ca="1">IF(INDIRECT(CONCATENATE($FK$12,Fixtures!HJ$25))="","",IF(INDIRECT(CONCATENATE($FK$12,Fixtures!HJ$25))=Fixtures!$DN28,CONCATENATE(HJ$10,", "),""))</f>
        <v/>
      </c>
      <c r="HK28" s="713" t="str">
        <f ca="1">IF(INDIRECT(CONCATENATE($FK$12,Fixtures!HK$25))="","",IF(INDIRECT(CONCATENATE($FK$12,Fixtures!HK$25))=Fixtures!$DN28,CONCATENATE(HK$10,", "),""))</f>
        <v/>
      </c>
      <c r="HL28" s="713" t="str">
        <f ca="1">IF(INDIRECT(CONCATENATE($FK$12,Fixtures!HL$25))="","",IF(INDIRECT(CONCATENATE($FK$12,Fixtures!HL$25))=Fixtures!$DN28,CONCATENATE(HL$10,", "),""))</f>
        <v/>
      </c>
      <c r="HM28" s="684" t="str">
        <f ca="1">IF(INDIRECT(CONCATENATE($FK$12,Fixtures!HM$25))="","",IF(INDIRECT(CONCATENATE($FK$12,Fixtures!HM$25))=Fixtures!$DN28,CONCATENATE(HM$10,", "),""))</f>
        <v/>
      </c>
      <c r="HN28" s="685" t="str">
        <f ca="1">IF(INDIRECT(CONCATENATE($FK$12,Fixtures!HN$25))="","",IF(INDIRECT(CONCATENATE($FK$12,Fixtures!HN$25))=Fixtures!$DN28,CONCATENATE(HN$10,", "),""))</f>
        <v/>
      </c>
      <c r="HO28" s="713" t="str">
        <f ca="1">IF(INDIRECT(CONCATENATE($FK$12,Fixtures!HO$25))="","",IF(INDIRECT(CONCATENATE($FK$12,Fixtures!HO$25))=Fixtures!$DN28,CONCATENATE(HO$10,", "),""))</f>
        <v/>
      </c>
      <c r="HP28" s="713" t="str">
        <f ca="1">IF(INDIRECT(CONCATENATE($FK$12,Fixtures!HP$25))="","",IF(INDIRECT(CONCATENATE($FK$12,Fixtures!HP$25))=Fixtures!$DN28,CONCATENATE(HP$10,", "),""))</f>
        <v/>
      </c>
      <c r="HQ28" s="713" t="str">
        <f ca="1">IF(INDIRECT(CONCATENATE($FK$12,Fixtures!HQ$25))="","",IF(INDIRECT(CONCATENATE($FK$12,Fixtures!HQ$25))=Fixtures!$DN28,CONCATENATE(HQ$10,", "),""))</f>
        <v/>
      </c>
      <c r="HR28" s="713" t="str">
        <f ca="1">IF(INDIRECT(CONCATENATE($FK$12,Fixtures!HR$25))="","",IF(INDIRECT(CONCATENATE($FK$12,Fixtures!HR$25))=Fixtures!$DN28,CONCATENATE(HR$10,", "),""))</f>
        <v/>
      </c>
      <c r="HS28" s="713" t="str">
        <f ca="1">IF(INDIRECT(CONCATENATE($FK$12,Fixtures!HS$25))="","",IF(INDIRECT(CONCATENATE($FK$12,Fixtures!HS$25))=Fixtures!$DN28,CONCATENATE(HS$10,", "),""))</f>
        <v/>
      </c>
      <c r="HT28" s="713" t="str">
        <f ca="1">IF(INDIRECT(CONCATENATE($FK$12,Fixtures!HT$25))="","",IF(INDIRECT(CONCATENATE($FK$12,Fixtures!HT$25))=Fixtures!$DN28,CONCATENATE(HT$10,", "),""))</f>
        <v/>
      </c>
      <c r="HU28" s="713" t="str">
        <f ca="1">IF(INDIRECT(CONCATENATE($FK$12,Fixtures!HU$25))="","",IF(INDIRECT(CONCATENATE($FK$12,Fixtures!HU$25))=Fixtures!$DN28,CONCATENATE(HU$10,", "),""))</f>
        <v/>
      </c>
      <c r="HV28" s="713" t="str">
        <f ca="1">IF(INDIRECT(CONCATENATE($FK$12,Fixtures!HV$25))="","",IF(INDIRECT(CONCATENATE($FK$12,Fixtures!HV$25))=Fixtures!$DN28,CONCATENATE(HV$10,", "),""))</f>
        <v/>
      </c>
      <c r="HW28" s="713" t="str">
        <f ca="1">IF(INDIRECT(CONCATENATE($FK$12,Fixtures!HW$25))="","",IF(INDIRECT(CONCATENATE($FK$12,Fixtures!HW$25))=Fixtures!$DN28,CONCATENATE(HW$10,", "),""))</f>
        <v/>
      </c>
      <c r="HX28" s="713" t="str">
        <f ca="1">IF(INDIRECT(CONCATENATE($FK$12,Fixtures!HX$25))="","",IF(INDIRECT(CONCATENATE($FK$12,Fixtures!HX$25))=Fixtures!$DN28,CONCATENATE(HX$10,", "),""))</f>
        <v/>
      </c>
      <c r="HY28" s="713" t="str">
        <f ca="1">IF(INDIRECT(CONCATENATE($FK$12,Fixtures!HY$25))="","",IF(INDIRECT(CONCATENATE($FK$12,Fixtures!HY$25))=Fixtures!$DN28,CONCATENATE(HY$10,", "),""))</f>
        <v/>
      </c>
      <c r="HZ28" s="713" t="str">
        <f ca="1">IF(INDIRECT(CONCATENATE($FK$12,Fixtures!HZ$25))="","",IF(INDIRECT(CONCATENATE($FK$12,Fixtures!HZ$25))=Fixtures!$DN28,CONCATENATE(HZ$10,", "),""))</f>
        <v/>
      </c>
      <c r="IA28" s="713" t="str">
        <f ca="1">IF(INDIRECT(CONCATENATE($FK$12,Fixtures!IA$25))="","",IF(INDIRECT(CONCATENATE($FK$12,Fixtures!IA$25))=Fixtures!$DN28,CONCATENATE(IA$10,", "),""))</f>
        <v/>
      </c>
      <c r="IB28" s="684" t="str">
        <f ca="1">IF(INDIRECT(CONCATENATE($FK$12,Fixtures!IB$25))="","",IF(INDIRECT(CONCATENATE($FK$12,Fixtures!IB$25))=Fixtures!$DN28,CONCATENATE(IB$10,", "),""))</f>
        <v/>
      </c>
      <c r="IC28" s="685" t="str">
        <f ca="1">IF(INDIRECT(CONCATENATE($FK$12,Fixtures!IC$25))="","",IF(INDIRECT(CONCATENATE($FK$12,Fixtures!IC$25))=Fixtures!$DN28,CONCATENATE(IC$10,", "),""))</f>
        <v/>
      </c>
      <c r="ID28" s="713" t="str">
        <f ca="1">IF(INDIRECT(CONCATENATE($FK$12,Fixtures!ID$25))="","",IF(INDIRECT(CONCATENATE($FK$12,Fixtures!ID$25))=Fixtures!$DN28,CONCATENATE(ID$10,", "),""))</f>
        <v/>
      </c>
      <c r="IE28" s="713" t="str">
        <f ca="1">IF(INDIRECT(CONCATENATE($FK$12,Fixtures!IE$25))="","",IF(INDIRECT(CONCATENATE($FK$12,Fixtures!IE$25))=Fixtures!$DN28,CONCATENATE(IE$10,", "),""))</f>
        <v/>
      </c>
      <c r="IF28" s="713" t="str">
        <f ca="1">IF(INDIRECT(CONCATENATE($FK$12,Fixtures!IF$25))="","",IF(INDIRECT(CONCATENATE($FK$12,Fixtures!IF$25))=Fixtures!$DN28,CONCATENATE(IF$10,", "),""))</f>
        <v/>
      </c>
      <c r="IG28" s="713" t="str">
        <f ca="1">IF(INDIRECT(CONCATENATE($FK$12,Fixtures!IG$25))="","",IF(INDIRECT(CONCATENATE($FK$12,Fixtures!IG$25))=Fixtures!$DN28,CONCATENATE(IG$10,", "),""))</f>
        <v/>
      </c>
      <c r="IH28" s="713" t="str">
        <f ca="1">IF(INDIRECT(CONCATENATE($FK$12,Fixtures!IH$25))="","",IF(INDIRECT(CONCATENATE($FK$12,Fixtures!IH$25))=Fixtures!$DN28,CONCATENATE(IH$10,", "),""))</f>
        <v/>
      </c>
      <c r="II28" s="713" t="str">
        <f ca="1">IF(INDIRECT(CONCATENATE($FK$12,Fixtures!II$25))="","",IF(INDIRECT(CONCATENATE($FK$12,Fixtures!II$25))=Fixtures!$DN28,CONCATENATE(II$10,", "),""))</f>
        <v/>
      </c>
      <c r="IJ28" s="713" t="str">
        <f ca="1">IF(INDIRECT(CONCATENATE($FK$12,Fixtures!IJ$25))="","",IF(INDIRECT(CONCATENATE($FK$12,Fixtures!IJ$25))=Fixtures!$DN28,CONCATENATE(IJ$10,", "),""))</f>
        <v/>
      </c>
      <c r="IK28" s="713" t="str">
        <f ca="1">IF(INDIRECT(CONCATENATE($FK$12,Fixtures!IK$25))="","",IF(INDIRECT(CONCATENATE($FK$12,Fixtures!IK$25))=Fixtures!$DN28,CONCATENATE(IK$10,", "),""))</f>
        <v/>
      </c>
      <c r="IL28" s="713" t="str">
        <f ca="1">IF(INDIRECT(CONCATENATE($FK$12,Fixtures!IL$25))="","",IF(INDIRECT(CONCATENATE($FK$12,Fixtures!IL$25))=Fixtures!$DN28,CONCATENATE(IL$10,", "),""))</f>
        <v/>
      </c>
      <c r="IM28" s="713" t="str">
        <f ca="1">IF(INDIRECT(CONCATENATE($FK$12,Fixtures!IM$25))="","",IF(INDIRECT(CONCATENATE($FK$12,Fixtures!IM$25))=Fixtures!$DN28,CONCATENATE(IM$10,", "),""))</f>
        <v/>
      </c>
      <c r="IN28" s="713" t="str">
        <f ca="1">IF(INDIRECT(CONCATENATE($FK$12,Fixtures!IN$25))="","",IF(INDIRECT(CONCATENATE($FK$12,Fixtures!IN$25))=Fixtures!$DN28,CONCATENATE(IN$10,", "),""))</f>
        <v/>
      </c>
      <c r="IO28" s="713" t="str">
        <f ca="1">IF(INDIRECT(CONCATENATE($FK$12,Fixtures!IO$25))="","",IF(INDIRECT(CONCATENATE($FK$12,Fixtures!IO$25))=Fixtures!$DN28,CONCATENATE(IO$10,", "),""))</f>
        <v/>
      </c>
      <c r="IP28" s="713" t="str">
        <f ca="1">IF(INDIRECT(CONCATENATE($FK$12,Fixtures!IP$25))="","",IF(INDIRECT(CONCATENATE($FK$12,Fixtures!IP$25))=Fixtures!$DN28,CONCATENATE(IP$10,", "),""))</f>
        <v/>
      </c>
      <c r="IQ28" s="684" t="str">
        <f ca="1">IF(INDIRECT(CONCATENATE($FK$12,Fixtures!IQ$25))="","",IF(INDIRECT(CONCATENATE($FK$12,Fixtures!IQ$25))=Fixtures!$DN28,CONCATENATE(IQ$10,", "),""))</f>
        <v/>
      </c>
      <c r="IR28" s="685" t="str">
        <f ca="1">IF(INDIRECT(CONCATENATE($FK$12,Fixtures!IR$25))="","",IF(INDIRECT(CONCATENATE($FK$12,Fixtures!IR$25))=Fixtures!$DN28,CONCATENATE(IR$10,", "),""))</f>
        <v/>
      </c>
      <c r="IS28" s="713" t="str">
        <f ca="1">IF(INDIRECT(CONCATENATE($FK$12,Fixtures!IS$25))="","",IF(INDIRECT(CONCATENATE($FK$12,Fixtures!IS$25))=Fixtures!$DN28,CONCATENATE(IS$10,", "),""))</f>
        <v/>
      </c>
      <c r="IT28" s="713" t="str">
        <f ca="1">IF(INDIRECT(CONCATENATE($FK$12,Fixtures!IT$25))="","",IF(INDIRECT(CONCATENATE($FK$12,Fixtures!IT$25))=Fixtures!$DN28,CONCATENATE(IT$10,", "),""))</f>
        <v/>
      </c>
      <c r="IU28" s="713" t="str">
        <f ca="1">IF(INDIRECT(CONCATENATE($FK$12,Fixtures!IU$25))="","",IF(INDIRECT(CONCATENATE($FK$12,Fixtures!IU$25))=Fixtures!$DN28,CONCATENATE(IU$10,", "),""))</f>
        <v/>
      </c>
      <c r="IV28" s="713" t="str">
        <f ca="1">IF(INDIRECT(CONCATENATE($FK$12,Fixtures!IV$25))="","",IF(INDIRECT(CONCATENATE($FK$12,Fixtures!IV$25))=Fixtures!$DN28,CONCATENATE(IV$10,", "),""))</f>
        <v/>
      </c>
      <c r="IW28" s="713" t="str">
        <f ca="1">IF(INDIRECT(CONCATENATE($FK$12,Fixtures!IW$25))="","",IF(INDIRECT(CONCATENATE($FK$12,Fixtures!IW$25))=Fixtures!$DN28,CONCATENATE(IW$10,", "),""))</f>
        <v/>
      </c>
      <c r="IX28" s="713" t="str">
        <f ca="1">IF(INDIRECT(CONCATENATE($FK$12,Fixtures!IX$25))="","",IF(INDIRECT(CONCATENATE($FK$12,Fixtures!IX$25))=Fixtures!$DN28,CONCATENATE(IX$10,", "),""))</f>
        <v/>
      </c>
      <c r="IY28" s="713" t="str">
        <f ca="1">IF(INDIRECT(CONCATENATE($FK$12,Fixtures!IY$25))="","",IF(INDIRECT(CONCATENATE($FK$12,Fixtures!IY$25))=Fixtures!$DN28,CONCATENATE(IY$10,", "),""))</f>
        <v/>
      </c>
      <c r="IZ28" s="713" t="str">
        <f ca="1">IF(INDIRECT(CONCATENATE($FK$12,Fixtures!IZ$25))="","",IF(INDIRECT(CONCATENATE($FK$12,Fixtures!IZ$25))=Fixtures!$DN28,CONCATENATE(IZ$10,", "),""))</f>
        <v/>
      </c>
      <c r="JA28" s="713" t="str">
        <f ca="1">IF(INDIRECT(CONCATENATE($FK$12,Fixtures!JA$25))="","",IF(INDIRECT(CONCATENATE($FK$12,Fixtures!JA$25))=Fixtures!$DN28,CONCATENATE(JA$10,", "),""))</f>
        <v/>
      </c>
      <c r="JB28" s="713" t="str">
        <f ca="1">IF(INDIRECT(CONCATENATE($FK$12,Fixtures!JB$25))="","",IF(INDIRECT(CONCATENATE($FK$12,Fixtures!JB$25))=Fixtures!$DN28,CONCATENATE(JB$10,", "),""))</f>
        <v/>
      </c>
      <c r="JC28" s="713" t="str">
        <f ca="1">IF(INDIRECT(CONCATENATE($FK$12,Fixtures!JC$25))="","",IF(INDIRECT(CONCATENATE($FK$12,Fixtures!JC$25))=Fixtures!$DN28,CONCATENATE(JC$10,", "),""))</f>
        <v/>
      </c>
      <c r="JD28" s="713" t="str">
        <f ca="1">IF(INDIRECT(CONCATENATE($FK$12,Fixtures!JD$25))="","",IF(INDIRECT(CONCATENATE($FK$12,Fixtures!JD$25))=Fixtures!$DN28,CONCATENATE(JD$10,", "),""))</f>
        <v/>
      </c>
      <c r="JE28" s="713" t="str">
        <f ca="1">IF(INDIRECT(CONCATENATE($FK$12,Fixtures!JE$25))="","",IF(INDIRECT(CONCATENATE($FK$12,Fixtures!JE$25))=Fixtures!$DN28,CONCATENATE(JE$10,", "),""))</f>
        <v/>
      </c>
      <c r="JF28" s="684" t="str">
        <f ca="1">IF(INDIRECT(CONCATENATE($FK$12,Fixtures!JF$25))="","",IF(INDIRECT(CONCATENATE($FK$12,Fixtures!JF$25))=Fixtures!$DN28,CONCATENATE(JF$10,", "),""))</f>
        <v/>
      </c>
      <c r="JG28" s="685" t="str">
        <f ca="1">IF(INDIRECT(CONCATENATE($FK$12,Fixtures!JG$25))="","",IF(INDIRECT(CONCATENATE($FK$12,Fixtures!JG$25))=Fixtures!$DN28,CONCATENATE(JG$10,", "),""))</f>
        <v/>
      </c>
      <c r="JH28" s="713" t="str">
        <f ca="1">IF(INDIRECT(CONCATENATE($FK$12,Fixtures!JH$25))="","",IF(INDIRECT(CONCATENATE($FK$12,Fixtures!JH$25))=Fixtures!$DN28,CONCATENATE(JH$10,", "),""))</f>
        <v/>
      </c>
      <c r="JI28" s="713" t="str">
        <f ca="1">IF(INDIRECT(CONCATENATE($FK$12,Fixtures!JI$25))="","",IF(INDIRECT(CONCATENATE($FK$12,Fixtures!JI$25))=Fixtures!$DN28,CONCATENATE(JI$10,", "),""))</f>
        <v/>
      </c>
      <c r="JJ28" s="713" t="str">
        <f ca="1">IF(INDIRECT(CONCATENATE($FK$12,Fixtures!JJ$25))="","",IF(INDIRECT(CONCATENATE($FK$12,Fixtures!JJ$25))=Fixtures!$DN28,CONCATENATE(JJ$10,", "),""))</f>
        <v/>
      </c>
      <c r="JK28" s="713" t="str">
        <f ca="1">IF(INDIRECT(CONCATENATE($FK$12,Fixtures!JK$25))="","",IF(INDIRECT(CONCATENATE($FK$12,Fixtures!JK$25))=Fixtures!$DN28,CONCATENATE(JK$10,", "),""))</f>
        <v/>
      </c>
      <c r="JL28" s="713" t="str">
        <f ca="1">IF(INDIRECT(CONCATENATE($FK$12,Fixtures!JL$25))="","",IF(INDIRECT(CONCATENATE($FK$12,Fixtures!JL$25))=Fixtures!$DN28,CONCATENATE(JL$10,", "),""))</f>
        <v/>
      </c>
      <c r="JM28" s="713" t="str">
        <f ca="1">IF(INDIRECT(CONCATENATE($FK$12,Fixtures!JM$25))="","",IF(INDIRECT(CONCATENATE($FK$12,Fixtures!JM$25))=Fixtures!$DN28,CONCATENATE(JM$10,", "),""))</f>
        <v/>
      </c>
      <c r="JN28" s="713" t="str">
        <f ca="1">IF(INDIRECT(CONCATENATE($FK$12,Fixtures!JN$25))="","",IF(INDIRECT(CONCATENATE($FK$12,Fixtures!JN$25))=Fixtures!$DN28,CONCATENATE(JN$10,", "),""))</f>
        <v/>
      </c>
      <c r="JO28" s="713" t="str">
        <f ca="1">IF(INDIRECT(CONCATENATE($FK$12,Fixtures!JO$25))="","",IF(INDIRECT(CONCATENATE($FK$12,Fixtures!JO$25))=Fixtures!$DN28,CONCATENATE(JO$10,", "),""))</f>
        <v/>
      </c>
      <c r="JP28" s="713" t="str">
        <f ca="1">IF(INDIRECT(CONCATENATE($FK$12,Fixtures!JP$25))="","",IF(INDIRECT(CONCATENATE($FK$12,Fixtures!JP$25))=Fixtures!$DN28,CONCATENATE(JP$10,", "),""))</f>
        <v/>
      </c>
      <c r="JQ28" s="713" t="str">
        <f ca="1">IF(INDIRECT(CONCATENATE($FK$12,Fixtures!JQ$25))="","",IF(INDIRECT(CONCATENATE($FK$12,Fixtures!JQ$25))=Fixtures!$DN28,CONCATENATE(JQ$10,", "),""))</f>
        <v/>
      </c>
      <c r="JR28" s="713" t="str">
        <f ca="1">IF(INDIRECT(CONCATENATE($FK$12,Fixtures!JR$25))="","",IF(INDIRECT(CONCATENATE($FK$12,Fixtures!JR$25))=Fixtures!$DN28,CONCATENATE(JR$10,", "),""))</f>
        <v/>
      </c>
      <c r="JS28" s="713" t="str">
        <f ca="1">IF(INDIRECT(CONCATENATE($FK$12,Fixtures!JS$25))="","",IF(INDIRECT(CONCATENATE($FK$12,Fixtures!JS$25))=Fixtures!$DN28,CONCATENATE(JS$10,", "),""))</f>
        <v/>
      </c>
      <c r="JT28" s="713" t="str">
        <f ca="1">IF(INDIRECT(CONCATENATE($FK$12,Fixtures!JT$25))="","",IF(INDIRECT(CONCATENATE($FK$12,Fixtures!JT$25))=Fixtures!$DN28,CONCATENATE(JT$10,", "),""))</f>
        <v/>
      </c>
      <c r="JU28" s="684" t="str">
        <f ca="1">IF(INDIRECT(CONCATENATE($FK$12,Fixtures!JU$25))="","",IF(INDIRECT(CONCATENATE($FK$12,Fixtures!JU$25))=Fixtures!$DN28,CONCATENATE(JU$10,", "),""))</f>
        <v/>
      </c>
      <c r="JV28" s="685" t="str">
        <f ca="1">IF(INDIRECT(CONCATENATE($FK$12,Fixtures!JV$25))="","",IF(INDIRECT(CONCATENATE($FK$12,Fixtures!JV$25))=Fixtures!$DN28,CONCATENATE(JV$10,", "),""))</f>
        <v/>
      </c>
      <c r="JW28" s="713" t="str">
        <f ca="1">IF(INDIRECT(CONCATENATE($FK$12,Fixtures!JW$25))="","",IF(INDIRECT(CONCATENATE($FK$12,Fixtures!JW$25))=Fixtures!$DN28,CONCATENATE(JW$10,", "),""))</f>
        <v/>
      </c>
      <c r="JX28" s="713" t="str">
        <f ca="1">IF(INDIRECT(CONCATENATE($FK$12,Fixtures!JX$25))="","",IF(INDIRECT(CONCATENATE($FK$12,Fixtures!JX$25))=Fixtures!$DN28,CONCATENATE(JX$10,", "),""))</f>
        <v/>
      </c>
      <c r="JY28" s="713" t="str">
        <f ca="1">IF(INDIRECT(CONCATENATE($FK$12,Fixtures!JY$25))="","",IF(INDIRECT(CONCATENATE($FK$12,Fixtures!JY$25))=Fixtures!$DN28,CONCATENATE(JY$10,", "),""))</f>
        <v/>
      </c>
      <c r="JZ28" s="713" t="str">
        <f ca="1">IF(INDIRECT(CONCATENATE($FK$12,Fixtures!JZ$25))="","",IF(INDIRECT(CONCATENATE($FK$12,Fixtures!JZ$25))=Fixtures!$DN28,CONCATENATE(JZ$10,", "),""))</f>
        <v/>
      </c>
      <c r="KA28" s="713" t="str">
        <f ca="1">IF(INDIRECT(CONCATENATE($FK$12,Fixtures!KA$25))="","",IF(INDIRECT(CONCATENATE($FK$12,Fixtures!KA$25))=Fixtures!$DN28,CONCATENATE(KA$10,", "),""))</f>
        <v/>
      </c>
      <c r="KB28" s="713" t="str">
        <f ca="1">IF(INDIRECT(CONCATENATE($FK$12,Fixtures!KB$25))="","",IF(INDIRECT(CONCATENATE($FK$12,Fixtures!KB$25))=Fixtures!$DN28,CONCATENATE(KB$10,", "),""))</f>
        <v/>
      </c>
      <c r="KC28" s="713" t="str">
        <f ca="1">IF(INDIRECT(CONCATENATE($FK$12,Fixtures!KC$25))="","",IF(INDIRECT(CONCATENATE($FK$12,Fixtures!KC$25))=Fixtures!$DN28,CONCATENATE(KC$10,", "),""))</f>
        <v/>
      </c>
      <c r="KD28" s="713" t="str">
        <f ca="1">IF(INDIRECT(CONCATENATE($FK$12,Fixtures!KD$25))="","",IF(INDIRECT(CONCATENATE($FK$12,Fixtures!KD$25))=Fixtures!$DN28,CONCATENATE(KD$10,", "),""))</f>
        <v/>
      </c>
      <c r="KE28" s="713" t="str">
        <f ca="1">IF(INDIRECT(CONCATENATE($FK$12,Fixtures!KE$25))="","",IF(INDIRECT(CONCATENATE($FK$12,Fixtures!KE$25))=Fixtures!$DN28,CONCATENATE(KE$10,", "),""))</f>
        <v/>
      </c>
      <c r="KF28" s="713" t="str">
        <f ca="1">IF(INDIRECT(CONCATENATE($FK$12,Fixtures!KF$25))="","",IF(INDIRECT(CONCATENATE($FK$12,Fixtures!KF$25))=Fixtures!$DN28,CONCATENATE(KF$10,", "),""))</f>
        <v/>
      </c>
      <c r="KG28" s="713" t="str">
        <f ca="1">IF(INDIRECT(CONCATENATE($FK$12,Fixtures!KG$25))="","",IF(INDIRECT(CONCATENATE($FK$12,Fixtures!KG$25))=Fixtures!$DN28,CONCATENATE(KG$10,", "),""))</f>
        <v/>
      </c>
      <c r="KH28" s="713" t="str">
        <f ca="1">IF(INDIRECT(CONCATENATE($FK$12,Fixtures!KH$25))="","",IF(INDIRECT(CONCATENATE($FK$12,Fixtures!KH$25))=Fixtures!$DN28,CONCATENATE(KH$10,", "),""))</f>
        <v/>
      </c>
      <c r="KI28" s="713" t="str">
        <f ca="1">IF(INDIRECT(CONCATENATE($FK$12,Fixtures!KI$25))="","",IF(INDIRECT(CONCATENATE($FK$12,Fixtures!KI$25))=Fixtures!$DN28,CONCATENATE(KI$10,", "),""))</f>
        <v/>
      </c>
      <c r="KJ28" s="684" t="str">
        <f ca="1">IF(INDIRECT(CONCATENATE($FK$12,Fixtures!KJ$25))="","",IF(INDIRECT(CONCATENATE($FK$12,Fixtures!KJ$25))=Fixtures!$DN28,CONCATENATE(KJ$10,", "),""))</f>
        <v/>
      </c>
      <c r="KK28" s="685" t="str">
        <f ca="1">IF(INDIRECT(CONCATENATE($FK$12,Fixtures!KK$25))="","",IF(INDIRECT(CONCATENATE($FK$12,Fixtures!KK$25))=Fixtures!$DN28,CONCATENATE(KK$10,", "),""))</f>
        <v/>
      </c>
      <c r="KL28" s="713" t="str">
        <f ca="1">IF(INDIRECT(CONCATENATE($FK$12,Fixtures!KL$25))="","",IF(INDIRECT(CONCATENATE($FK$12,Fixtures!KL$25))=Fixtures!$DN28,CONCATENATE(KL$10,", "),""))</f>
        <v/>
      </c>
      <c r="KM28" s="713" t="str">
        <f ca="1">IF(INDIRECT(CONCATENATE($FK$12,Fixtures!KM$25))="","",IF(INDIRECT(CONCATENATE($FK$12,Fixtures!KM$25))=Fixtures!$DN28,CONCATENATE(KM$10,", "),""))</f>
        <v/>
      </c>
      <c r="KN28" s="713" t="str">
        <f ca="1">IF(INDIRECT(CONCATENATE($FK$12,Fixtures!KN$25))="","",IF(INDIRECT(CONCATENATE($FK$12,Fixtures!KN$25))=Fixtures!$DN28,CONCATENATE(KN$10,", "),""))</f>
        <v/>
      </c>
      <c r="KO28" s="713" t="str">
        <f ca="1">IF(INDIRECT(CONCATENATE($FK$12,Fixtures!KO$25))="","",IF(INDIRECT(CONCATENATE($FK$12,Fixtures!KO$25))=Fixtures!$DN28,CONCATENATE(KO$10,", "),""))</f>
        <v/>
      </c>
      <c r="KP28" s="713" t="str">
        <f ca="1">IF(INDIRECT(CONCATENATE($FK$12,Fixtures!KP$25))="","",IF(INDIRECT(CONCATENATE($FK$12,Fixtures!KP$25))=Fixtures!$DN28,CONCATENATE(KP$10,", "),""))</f>
        <v/>
      </c>
      <c r="KQ28" s="713" t="str">
        <f ca="1">IF(INDIRECT(CONCATENATE($FK$12,Fixtures!KQ$25))="","",IF(INDIRECT(CONCATENATE($FK$12,Fixtures!KQ$25))=Fixtures!$DN28,CONCATENATE(KQ$10,", "),""))</f>
        <v/>
      </c>
      <c r="KR28" s="713" t="str">
        <f ca="1">IF(INDIRECT(CONCATENATE($FK$12,Fixtures!KR$25))="","",IF(INDIRECT(CONCATENATE($FK$12,Fixtures!KR$25))=Fixtures!$DN28,CONCATENATE(KR$10,", "),""))</f>
        <v/>
      </c>
      <c r="KS28" s="713" t="str">
        <f ca="1">IF(INDIRECT(CONCATENATE($FK$12,Fixtures!KS$25))="","",IF(INDIRECT(CONCATENATE($FK$12,Fixtures!KS$25))=Fixtures!$DN28,CONCATENATE(KS$10,", "),""))</f>
        <v/>
      </c>
      <c r="KT28" s="713" t="str">
        <f ca="1">IF(INDIRECT(CONCATENATE($FK$12,Fixtures!KT$25))="","",IF(INDIRECT(CONCATENATE($FK$12,Fixtures!KT$25))=Fixtures!$DN28,CONCATENATE(KT$10,", "),""))</f>
        <v/>
      </c>
      <c r="KU28" s="713" t="str">
        <f ca="1">IF(INDIRECT(CONCATENATE($FK$12,Fixtures!KU$25))="","",IF(INDIRECT(CONCATENATE($FK$12,Fixtures!KU$25))=Fixtures!$DN28,CONCATENATE(KU$10,", "),""))</f>
        <v/>
      </c>
      <c r="KV28" s="713" t="str">
        <f ca="1">IF(INDIRECT(CONCATENATE($FK$12,Fixtures!KV$25))="","",IF(INDIRECT(CONCATENATE($FK$12,Fixtures!KV$25))=Fixtures!$DN28,CONCATENATE(KV$10,", "),""))</f>
        <v/>
      </c>
      <c r="KW28" s="713" t="str">
        <f ca="1">IF(INDIRECT(CONCATENATE($FK$12,Fixtures!KW$25))="","",IF(INDIRECT(CONCATENATE($FK$12,Fixtures!KW$25))=Fixtures!$DN28,CONCATENATE(KW$10,", "),""))</f>
        <v/>
      </c>
      <c r="KX28" s="713" t="str">
        <f ca="1">IF(INDIRECT(CONCATENATE($FK$12,Fixtures!KX$25))="","",IF(INDIRECT(CONCATENATE($FK$12,Fixtures!KX$25))=Fixtures!$DN28,CONCATENATE(KX$10,", "),""))</f>
        <v/>
      </c>
      <c r="KY28" s="713" t="str">
        <f ca="1">IF(INDIRECT(CONCATENATE($FK$12,Fixtures!KY$25))="","",IF(INDIRECT(CONCATENATE($FK$12,Fixtures!KY$25))=Fixtures!$DN28,CONCATENATE(KY$10,", "),""))</f>
        <v/>
      </c>
      <c r="KZ28" s="46"/>
      <c r="LA28" s="46" t="str">
        <f t="shared" ca="1" si="8"/>
        <v/>
      </c>
    </row>
    <row r="29" spans="1:313" ht="28.05" customHeight="1" thickTop="1" thickBot="1">
      <c r="C29" s="633"/>
      <c r="D29" s="633"/>
      <c r="E29" s="634"/>
      <c r="F29" s="634"/>
      <c r="G29" s="634"/>
      <c r="H29" s="634"/>
      <c r="I29" s="634"/>
      <c r="J29" s="634"/>
      <c r="K29" s="634"/>
      <c r="L29" s="634"/>
      <c r="M29" s="634"/>
      <c r="N29" s="601"/>
      <c r="P29" s="633"/>
      <c r="Q29" s="633"/>
      <c r="R29" s="634"/>
      <c r="S29" s="634"/>
      <c r="T29" s="634"/>
      <c r="U29" s="634"/>
      <c r="V29" s="634"/>
      <c r="W29" s="634"/>
      <c r="X29" s="634"/>
      <c r="Y29" s="601"/>
      <c r="Z29" s="601"/>
      <c r="AA29" s="635"/>
      <c r="AB29" s="536"/>
      <c r="AC29" s="57"/>
      <c r="AD29" s="536"/>
      <c r="AE29" s="536"/>
      <c r="AF29" s="536"/>
      <c r="AG29" s="536"/>
      <c r="AH29" s="536"/>
      <c r="BL29" s="9"/>
      <c r="BM29" s="703" t="str">
        <f>IF(CN29="Yes",CONCATENATE(BX29," - ",CF29, " ",CJ29, " ",CP29,"W"),"")</f>
        <v/>
      </c>
      <c r="BN29" s="52"/>
      <c r="BO29" s="52"/>
      <c r="BP29" s="52"/>
      <c r="BQ29" s="52"/>
      <c r="BR29" s="52"/>
      <c r="BS29" s="52"/>
      <c r="BT29" s="52"/>
      <c r="BU29" s="414"/>
      <c r="BV29" s="255" t="str">
        <f>IF(CN29&lt;&gt;"Yes","",IFERROR(VLOOKUP(CU29,Existing!A$4:F$364,2,FALSE),""))</f>
        <v/>
      </c>
      <c r="BW29" s="9">
        <v>3</v>
      </c>
      <c r="BX29" s="1313"/>
      <c r="BY29" s="1314"/>
      <c r="BZ29" s="1314"/>
      <c r="CA29" s="1315"/>
      <c r="CB29" s="1310"/>
      <c r="CC29" s="1311"/>
      <c r="CD29" s="1311"/>
      <c r="CE29" s="1312"/>
      <c r="CF29" s="1309"/>
      <c r="CG29" s="1309"/>
      <c r="CH29" s="1309"/>
      <c r="CI29" s="1309"/>
      <c r="CJ29" s="1309"/>
      <c r="CK29" s="1309"/>
      <c r="CL29" s="1309"/>
      <c r="CM29" s="1309"/>
      <c r="CN29" s="1243" t="str">
        <f t="shared" si="0"/>
        <v/>
      </c>
      <c r="CO29" s="1244"/>
      <c r="CP29" s="265" t="str">
        <f>IFERROR(IF(CB29="Existing TLED",CR29*CW29*CY29,VLOOKUP(CU29,Existing!A$3:F$353,6,FALSE)),"")</f>
        <v/>
      </c>
      <c r="CQ29" s="9"/>
      <c r="CR29" s="1343">
        <v>15</v>
      </c>
      <c r="CS29" s="1344"/>
      <c r="CT29" s="9"/>
      <c r="CU29" s="470" t="str">
        <f>IF(CN29="","",IF(CB29="Existing TLED",CONCATENATE(CB29," - ",CF29),CONCATENATE(CB29," - ",CF29," ",CJ29)))</f>
        <v/>
      </c>
      <c r="CV29" s="471" t="b">
        <f>IF(CB29="Existing TLED",TRUE,FALSE)</f>
        <v>0</v>
      </c>
      <c r="CW29" s="471" t="str">
        <f>LEFT(CJ29,1)</f>
        <v/>
      </c>
      <c r="CX29" s="471">
        <f>IFERROR(VLOOKUP(CF29,Lookup!M$100:O$102,3,FALSE),0)</f>
        <v>0</v>
      </c>
      <c r="CY29" s="471">
        <f>IF(CX29=2,1,1.11)</f>
        <v>1.1100000000000001</v>
      </c>
      <c r="CZ29" s="707" t="b">
        <f t="shared" si="1"/>
        <v>0</v>
      </c>
      <c r="DA29" s="707" t="b">
        <f>IF(CF29&lt;&gt;"",IF(ISERROR(MATCH(CONCATENATE(CB29," - ",CF29),Existing!G$4:G$328,0))=TRUE,FALSE,TRUE),TRUE)</f>
        <v>1</v>
      </c>
      <c r="DB29" s="707" t="b">
        <f t="shared" si="2"/>
        <v>1</v>
      </c>
      <c r="DL29" s="9"/>
      <c r="DM29" s="708" t="s">
        <v>166</v>
      </c>
      <c r="DN29" s="416" t="str">
        <f t="shared" si="3"/>
        <v/>
      </c>
      <c r="DO29" s="52"/>
      <c r="DP29" s="52"/>
      <c r="DQ29" s="52"/>
      <c r="DR29" s="52"/>
      <c r="DS29" s="52"/>
      <c r="DT29" s="262"/>
      <c r="DU29" s="417"/>
      <c r="DV29" s="263" t="str">
        <f t="shared" si="4"/>
        <v/>
      </c>
      <c r="DW29" s="260">
        <v>3</v>
      </c>
      <c r="DX29" s="1306"/>
      <c r="DY29" s="1307"/>
      <c r="DZ29" s="1307"/>
      <c r="EA29" s="1308"/>
      <c r="EB29" s="1306"/>
      <c r="EC29" s="1307"/>
      <c r="ED29" s="1307"/>
      <c r="EE29" s="1308"/>
      <c r="EF29" s="1266"/>
      <c r="EG29" s="1267"/>
      <c r="EH29" s="1260"/>
      <c r="EI29" s="1261"/>
      <c r="EJ29" s="1261"/>
      <c r="EK29" s="1262"/>
      <c r="EL29" s="1316"/>
      <c r="EM29" s="1317"/>
      <c r="EN29" s="1317"/>
      <c r="EO29" s="1318"/>
      <c r="EP29" s="1266"/>
      <c r="EQ29" s="1267"/>
      <c r="ER29" s="1245"/>
      <c r="ES29" s="1246"/>
      <c r="ET29" s="1243" t="str">
        <f t="shared" si="5"/>
        <v/>
      </c>
      <c r="EU29" s="1244"/>
      <c r="EV29" s="1243" t="str">
        <f t="shared" si="6"/>
        <v/>
      </c>
      <c r="EW29" s="1244"/>
      <c r="EX29" s="438"/>
      <c r="EY29" s="261" t="str">
        <f t="shared" si="7"/>
        <v/>
      </c>
      <c r="EZ29" s="261" t="str">
        <f>IFERROR(VLOOKUP(EB29,Lookup!AM$3:AN$13,2,FALSE),"")</f>
        <v/>
      </c>
      <c r="FA29" s="471" t="b">
        <f>IFERROR(IF(VLOOKUP(EB29,Lookup!AM$6:AN$8,2,FALSE)&gt;3,TRUE,FALSE),FALSE)</f>
        <v>0</v>
      </c>
      <c r="FB29" s="471">
        <f t="shared" ref="FB29:FB76" si="11">IF(OR(EZ29=4,EZ29=6),1.1,1)</f>
        <v>1</v>
      </c>
      <c r="FC29" t="str">
        <f t="shared" ca="1" si="10"/>
        <v/>
      </c>
      <c r="FG29" t="str">
        <f ca="1">IFERROR(CONCATENATE(IF(LEN(LA29)=3,"line ","lines "),LEFT(LA29,LEN(LA29)-2)),"")</f>
        <v/>
      </c>
      <c r="FI29" s="240" t="str">
        <f ca="1">IFERROR(LEFT(LA29,LEN(LA29)-2),"")</f>
        <v/>
      </c>
      <c r="FJ29" s="240"/>
      <c r="FK29" s="712" t="str">
        <f ca="1">IF(INDIRECT(CONCATENATE($FK$12,Fixtures!FK$25))="","",IF(INDIRECT(CONCATENATE($FK$12,Fixtures!FK$25))=Fixtures!$DN29,CONCATENATE(FK$10,", "),""))</f>
        <v/>
      </c>
      <c r="FL29" s="712" t="str">
        <f ca="1">IF(INDIRECT(CONCATENATE($FK$12,Fixtures!FL$25))="","",IF(INDIRECT(CONCATENATE($FK$12,Fixtures!FL$25))=Fixtures!$DN29,CONCATENATE(FL$10,", "),""))</f>
        <v/>
      </c>
      <c r="FM29" s="712" t="str">
        <f ca="1">IF(INDIRECT(CONCATENATE($FK$12,Fixtures!FM$25))="","",IF(INDIRECT(CONCATENATE($FK$12,Fixtures!FM$25))=Fixtures!$DN29,CONCATENATE(FM$10,", "),""))</f>
        <v/>
      </c>
      <c r="FN29" s="712" t="str">
        <f ca="1">IF(INDIRECT(CONCATENATE($FK$12,Fixtures!FN$25))="","",IF(INDIRECT(CONCATENATE($FK$12,Fixtures!FN$25))=Fixtures!$DN29,CONCATENATE(FN$10,", "),""))</f>
        <v/>
      </c>
      <c r="FO29" s="712" t="str">
        <f ca="1">IF(INDIRECT(CONCATENATE($FK$12,Fixtures!FO$25))="","",IF(INDIRECT(CONCATENATE($FK$12,Fixtures!FO$25))=Fixtures!$DN29,CONCATENATE(FO$10,", "),""))</f>
        <v/>
      </c>
      <c r="FP29" s="712" t="str">
        <f ca="1">IF(INDIRECT(CONCATENATE($FK$12,Fixtures!FP$25))="","",IF(INDIRECT(CONCATENATE($FK$12,Fixtures!FP$25))=Fixtures!$DN29,CONCATENATE(FP$10,", "),""))</f>
        <v/>
      </c>
      <c r="FQ29" s="712" t="str">
        <f ca="1">IF(INDIRECT(CONCATENATE($FK$12,Fixtures!FQ$25))="","",IF(INDIRECT(CONCATENATE($FK$12,Fixtures!FQ$25))=Fixtures!$DN29,CONCATENATE(FQ$10,", "),""))</f>
        <v/>
      </c>
      <c r="FR29" s="712" t="str">
        <f ca="1">IF(INDIRECT(CONCATENATE($FK$12,Fixtures!FR$25))="","",IF(INDIRECT(CONCATENATE($FK$12,Fixtures!FR$25))=Fixtures!$DN29,CONCATENATE(FR$10,", "),""))</f>
        <v/>
      </c>
      <c r="FS29" s="712" t="str">
        <f ca="1">IF(INDIRECT(CONCATENATE($FK$12,Fixtures!FS$25))="","",IF(INDIRECT(CONCATENATE($FK$12,Fixtures!FS$25))=Fixtures!$DN29,CONCATENATE(FS$10,", "),""))</f>
        <v/>
      </c>
      <c r="FT29" s="682" t="str">
        <f ca="1">IF(INDIRECT(CONCATENATE($FK$12,Fixtures!FT$25))="","",IF(INDIRECT(CONCATENATE($FK$12,Fixtures!FT$25))=Fixtures!$DN29,CONCATENATE(FT$10,", "),""))</f>
        <v/>
      </c>
      <c r="FU29" s="683" t="str">
        <f ca="1">IF(INDIRECT(CONCATENATE($FK$12,Fixtures!FU$25))="","",IF(INDIRECT(CONCATENATE($FK$12,Fixtures!FU$25))=Fixtures!$DN29,CONCATENATE(FU$10,", "),""))</f>
        <v/>
      </c>
      <c r="FV29" s="712" t="str">
        <f ca="1">IF(INDIRECT(CONCATENATE($FK$12,Fixtures!FV$25))="","",IF(INDIRECT(CONCATENATE($FK$12,Fixtures!FV$25))=Fixtures!$DN29,CONCATENATE(FV$10,", "),""))</f>
        <v/>
      </c>
      <c r="FW29" s="713" t="str">
        <f ca="1">IF(INDIRECT(CONCATENATE($FK$12,Fixtures!FW$25))="","",IF(INDIRECT(CONCATENATE($FK$12,Fixtures!FW$25))=Fixtures!$DN29,CONCATENATE(FW$10,", "),""))</f>
        <v/>
      </c>
      <c r="FX29" s="713" t="str">
        <f ca="1">IF(INDIRECT(CONCATENATE($FK$12,Fixtures!FX$25))="","",IF(INDIRECT(CONCATENATE($FK$12,Fixtures!FX$25))=Fixtures!$DN29,CONCATENATE(FX$10,", "),""))</f>
        <v/>
      </c>
      <c r="FY29" s="713" t="str">
        <f ca="1">IF(INDIRECT(CONCATENATE($FK$12,Fixtures!FY$25))="","",IF(INDIRECT(CONCATENATE($FK$12,Fixtures!FY$25))=Fixtures!$DN29,CONCATENATE(FY$10,", "),""))</f>
        <v/>
      </c>
      <c r="FZ29" s="713" t="str">
        <f ca="1">IF(INDIRECT(CONCATENATE($FK$12,Fixtures!FZ$25))="","",IF(INDIRECT(CONCATENATE($FK$12,Fixtures!FZ$25))=Fixtures!$DN29,CONCATENATE(FZ$10,", "),""))</f>
        <v/>
      </c>
      <c r="GA29" s="713" t="str">
        <f ca="1">IF(INDIRECT(CONCATENATE($FK$12,Fixtures!GA$25))="","",IF(INDIRECT(CONCATENATE($FK$12,Fixtures!GA$25))=Fixtures!$DN29,CONCATENATE(GA$10,", "),""))</f>
        <v/>
      </c>
      <c r="GB29" s="713" t="str">
        <f ca="1">IF(INDIRECT(CONCATENATE($FK$12,Fixtures!GB$25))="","",IF(INDIRECT(CONCATENATE($FK$12,Fixtures!GB$25))=Fixtures!$DN29,CONCATENATE(GB$10,", "),""))</f>
        <v/>
      </c>
      <c r="GC29" s="713" t="str">
        <f ca="1">IF(INDIRECT(CONCATENATE($FK$12,Fixtures!GC$25))="","",IF(INDIRECT(CONCATENATE($FK$12,Fixtures!GC$25))=Fixtures!$DN29,CONCATENATE(GC$10,", "),""))</f>
        <v/>
      </c>
      <c r="GD29" s="713" t="str">
        <f ca="1">IF(INDIRECT(CONCATENATE($FK$12,Fixtures!GD$25))="","",IF(INDIRECT(CONCATENATE($FK$12,Fixtures!GD$25))=Fixtures!$DN29,CONCATENATE(GD$10,", "),""))</f>
        <v/>
      </c>
      <c r="GE29" s="713" t="str">
        <f ca="1">IF(INDIRECT(CONCATENATE($FK$12,Fixtures!GE$25))="","",IF(INDIRECT(CONCATENATE($FK$12,Fixtures!GE$25))=Fixtures!$DN29,CONCATENATE(GE$10,", "),""))</f>
        <v/>
      </c>
      <c r="GF29" s="713" t="str">
        <f ca="1">IF(INDIRECT(CONCATENATE($FK$12,Fixtures!GF$25))="","",IF(INDIRECT(CONCATENATE($FK$12,Fixtures!GF$25))=Fixtures!$DN29,CONCATENATE(GF$10,", "),""))</f>
        <v/>
      </c>
      <c r="GG29" s="713" t="str">
        <f ca="1">IF(INDIRECT(CONCATENATE($FK$12,Fixtures!GG$25))="","",IF(INDIRECT(CONCATENATE($FK$12,Fixtures!GG$25))=Fixtures!$DN29,CONCATENATE(GG$10,", "),""))</f>
        <v/>
      </c>
      <c r="GH29" s="713" t="str">
        <f ca="1">IF(INDIRECT(CONCATENATE($FK$12,Fixtures!GH$25))="","",IF(INDIRECT(CONCATENATE($FK$12,Fixtures!GH$25))=Fixtures!$DN29,CONCATENATE(GH$10,", "),""))</f>
        <v/>
      </c>
      <c r="GI29" s="684" t="str">
        <f ca="1">IF(INDIRECT(CONCATENATE($FK$12,Fixtures!GI$25))="","",IF(INDIRECT(CONCATENATE($FK$12,Fixtures!GI$25))=Fixtures!$DN29,CONCATENATE(GI$10,", "),""))</f>
        <v/>
      </c>
      <c r="GJ29" s="685" t="str">
        <f ca="1">IF(INDIRECT(CONCATENATE($FK$12,Fixtures!GJ$25))="","",IF(INDIRECT(CONCATENATE($FK$12,Fixtures!GJ$25))=Fixtures!$DN29,CONCATENATE(GJ$10,", "),""))</f>
        <v/>
      </c>
      <c r="GK29" s="713" t="str">
        <f ca="1">IF(INDIRECT(CONCATENATE($FK$12,Fixtures!GK$25))="","",IF(INDIRECT(CONCATENATE($FK$12,Fixtures!GK$25))=Fixtures!$DN29,CONCATENATE(GK$10,", "),""))</f>
        <v/>
      </c>
      <c r="GL29" s="713" t="str">
        <f ca="1">IF(INDIRECT(CONCATENATE($FK$12,Fixtures!GL$25))="","",IF(INDIRECT(CONCATENATE($FK$12,Fixtures!GL$25))=Fixtures!$DN29,CONCATENATE(GL$10,", "),""))</f>
        <v/>
      </c>
      <c r="GM29" s="713" t="str">
        <f ca="1">IF(INDIRECT(CONCATENATE($FK$12,Fixtures!GM$25))="","",IF(INDIRECT(CONCATENATE($FK$12,Fixtures!GM$25))=Fixtures!$DN29,CONCATENATE(GM$10,", "),""))</f>
        <v/>
      </c>
      <c r="GN29" s="713" t="str">
        <f ca="1">IF(INDIRECT(CONCATENATE($FK$12,Fixtures!GN$25))="","",IF(INDIRECT(CONCATENATE($FK$12,Fixtures!GN$25))=Fixtures!$DN29,CONCATENATE(GN$10,", "),""))</f>
        <v/>
      </c>
      <c r="GO29" s="713" t="str">
        <f ca="1">IF(INDIRECT(CONCATENATE($FK$12,Fixtures!GO$25))="","",IF(INDIRECT(CONCATENATE($FK$12,Fixtures!GO$25))=Fixtures!$DN29,CONCATENATE(GO$10,", "),""))</f>
        <v/>
      </c>
      <c r="GP29" s="713" t="str">
        <f ca="1">IF(INDIRECT(CONCATENATE($FK$12,Fixtures!GP$25))="","",IF(INDIRECT(CONCATENATE($FK$12,Fixtures!GP$25))=Fixtures!$DN29,CONCATENATE(GP$10,", "),""))</f>
        <v/>
      </c>
      <c r="GQ29" s="713" t="str">
        <f ca="1">IF(INDIRECT(CONCATENATE($FK$12,Fixtures!GQ$25))="","",IF(INDIRECT(CONCATENATE($FK$12,Fixtures!GQ$25))=Fixtures!$DN29,CONCATENATE(GQ$10,", "),""))</f>
        <v/>
      </c>
      <c r="GR29" s="713" t="str">
        <f ca="1">IF(INDIRECT(CONCATENATE($FK$12,Fixtures!GR$25))="","",IF(INDIRECT(CONCATENATE($FK$12,Fixtures!GR$25))=Fixtures!$DN29,CONCATENATE(GR$10,", "),""))</f>
        <v/>
      </c>
      <c r="GS29" s="713" t="str">
        <f ca="1">IF(INDIRECT(CONCATENATE($FK$12,Fixtures!GS$25))="","",IF(INDIRECT(CONCATENATE($FK$12,Fixtures!GS$25))=Fixtures!$DN29,CONCATENATE(GS$10,", "),""))</f>
        <v/>
      </c>
      <c r="GT29" s="713" t="str">
        <f ca="1">IF(INDIRECT(CONCATENATE($FK$12,Fixtures!GT$25))="","",IF(INDIRECT(CONCATENATE($FK$12,Fixtures!GT$25))=Fixtures!$DN29,CONCATENATE(GT$10,", "),""))</f>
        <v/>
      </c>
      <c r="GU29" s="713" t="str">
        <f ca="1">IF(INDIRECT(CONCATENATE($FK$12,Fixtures!GU$25))="","",IF(INDIRECT(CONCATENATE($FK$12,Fixtures!GU$25))=Fixtures!$DN29,CONCATENATE(GU$10,", "),""))</f>
        <v/>
      </c>
      <c r="GV29" s="713" t="str">
        <f ca="1">IF(INDIRECT(CONCATENATE($FK$12,Fixtures!GV$25))="","",IF(INDIRECT(CONCATENATE($FK$12,Fixtures!GV$25))=Fixtures!$DN29,CONCATENATE(GV$10,", "),""))</f>
        <v/>
      </c>
      <c r="GW29" s="713" t="str">
        <f ca="1">IF(INDIRECT(CONCATENATE($FK$12,Fixtures!GW$25))="","",IF(INDIRECT(CONCATENATE($FK$12,Fixtures!GW$25))=Fixtures!$DN29,CONCATENATE(GW$10,", "),""))</f>
        <v/>
      </c>
      <c r="GX29" s="684" t="str">
        <f ca="1">IF(INDIRECT(CONCATENATE($FK$12,Fixtures!GX$25))="","",IF(INDIRECT(CONCATENATE($FK$12,Fixtures!GX$25))=Fixtures!$DN29,CONCATENATE(GX$10,", "),""))</f>
        <v/>
      </c>
      <c r="GY29" s="685" t="str">
        <f ca="1">IF(INDIRECT(CONCATENATE($FK$12,Fixtures!GY$25))="","",IF(INDIRECT(CONCATENATE($FK$12,Fixtures!GY$25))=Fixtures!$DN29,CONCATENATE(GY$10,", "),""))</f>
        <v/>
      </c>
      <c r="GZ29" s="713" t="str">
        <f ca="1">IF(INDIRECT(CONCATENATE($FK$12,Fixtures!GZ$25))="","",IF(INDIRECT(CONCATENATE($FK$12,Fixtures!GZ$25))=Fixtures!$DN29,CONCATENATE(GZ$10,", "),""))</f>
        <v/>
      </c>
      <c r="HA29" s="713" t="str">
        <f ca="1">IF(INDIRECT(CONCATENATE($FK$12,Fixtures!HA$25))="","",IF(INDIRECT(CONCATENATE($FK$12,Fixtures!HA$25))=Fixtures!$DN29,CONCATENATE(HA$10,", "),""))</f>
        <v/>
      </c>
      <c r="HB29" s="713" t="str">
        <f ca="1">IF(INDIRECT(CONCATENATE($FK$12,Fixtures!HB$25))="","",IF(INDIRECT(CONCATENATE($FK$12,Fixtures!HB$25))=Fixtures!$DN29,CONCATENATE(HB$10,", "),""))</f>
        <v/>
      </c>
      <c r="HC29" s="713" t="str">
        <f ca="1">IF(INDIRECT(CONCATENATE($FK$12,Fixtures!HC$25))="","",IF(INDIRECT(CONCATENATE($FK$12,Fixtures!HC$25))=Fixtures!$DN29,CONCATENATE(HC$10,", "),""))</f>
        <v/>
      </c>
      <c r="HD29" s="713" t="str">
        <f ca="1">IF(INDIRECT(CONCATENATE($FK$12,Fixtures!HD$25))="","",IF(INDIRECT(CONCATENATE($FK$12,Fixtures!HD$25))=Fixtures!$DN29,CONCATENATE(HD$10,", "),""))</f>
        <v/>
      </c>
      <c r="HE29" s="713" t="str">
        <f ca="1">IF(INDIRECT(CONCATENATE($FK$12,Fixtures!HE$25))="","",IF(INDIRECT(CONCATENATE($FK$12,Fixtures!HE$25))=Fixtures!$DN29,CONCATENATE(HE$10,", "),""))</f>
        <v/>
      </c>
      <c r="HF29" s="713" t="str">
        <f ca="1">IF(INDIRECT(CONCATENATE($FK$12,Fixtures!HF$25))="","",IF(INDIRECT(CONCATENATE($FK$12,Fixtures!HF$25))=Fixtures!$DN29,CONCATENATE(HF$10,", "),""))</f>
        <v/>
      </c>
      <c r="HG29" s="713" t="str">
        <f ca="1">IF(INDIRECT(CONCATENATE($FK$12,Fixtures!HG$25))="","",IF(INDIRECT(CONCATENATE($FK$12,Fixtures!HG$25))=Fixtures!$DN29,CONCATENATE(HG$10,", "),""))</f>
        <v/>
      </c>
      <c r="HH29" s="713" t="str">
        <f ca="1">IF(INDIRECT(CONCATENATE($FK$12,Fixtures!HH$25))="","",IF(INDIRECT(CONCATENATE($FK$12,Fixtures!HH$25))=Fixtures!$DN29,CONCATENATE(HH$10,", "),""))</f>
        <v/>
      </c>
      <c r="HI29" s="713" t="str">
        <f ca="1">IF(INDIRECT(CONCATENATE($FK$12,Fixtures!HI$25))="","",IF(INDIRECT(CONCATENATE($FK$12,Fixtures!HI$25))=Fixtures!$DN29,CONCATENATE(HI$10,", "),""))</f>
        <v/>
      </c>
      <c r="HJ29" s="713" t="str">
        <f ca="1">IF(INDIRECT(CONCATENATE($FK$12,Fixtures!HJ$25))="","",IF(INDIRECT(CONCATENATE($FK$12,Fixtures!HJ$25))=Fixtures!$DN29,CONCATENATE(HJ$10,", "),""))</f>
        <v/>
      </c>
      <c r="HK29" s="713" t="str">
        <f ca="1">IF(INDIRECT(CONCATENATE($FK$12,Fixtures!HK$25))="","",IF(INDIRECT(CONCATENATE($FK$12,Fixtures!HK$25))=Fixtures!$DN29,CONCATENATE(HK$10,", "),""))</f>
        <v/>
      </c>
      <c r="HL29" s="713" t="str">
        <f ca="1">IF(INDIRECT(CONCATENATE($FK$12,Fixtures!HL$25))="","",IF(INDIRECT(CONCATENATE($FK$12,Fixtures!HL$25))=Fixtures!$DN29,CONCATENATE(HL$10,", "),""))</f>
        <v/>
      </c>
      <c r="HM29" s="684" t="str">
        <f ca="1">IF(INDIRECT(CONCATENATE($FK$12,Fixtures!HM$25))="","",IF(INDIRECT(CONCATENATE($FK$12,Fixtures!HM$25))=Fixtures!$DN29,CONCATENATE(HM$10,", "),""))</f>
        <v/>
      </c>
      <c r="HN29" s="685" t="str">
        <f ca="1">IF(INDIRECT(CONCATENATE($FK$12,Fixtures!HN$25))="","",IF(INDIRECT(CONCATENATE($FK$12,Fixtures!HN$25))=Fixtures!$DN29,CONCATENATE(HN$10,", "),""))</f>
        <v/>
      </c>
      <c r="HO29" s="713" t="str">
        <f ca="1">IF(INDIRECT(CONCATENATE($FK$12,Fixtures!HO$25))="","",IF(INDIRECT(CONCATENATE($FK$12,Fixtures!HO$25))=Fixtures!$DN29,CONCATENATE(HO$10,", "),""))</f>
        <v/>
      </c>
      <c r="HP29" s="713" t="str">
        <f ca="1">IF(INDIRECT(CONCATENATE($FK$12,Fixtures!HP$25))="","",IF(INDIRECT(CONCATENATE($FK$12,Fixtures!HP$25))=Fixtures!$DN29,CONCATENATE(HP$10,", "),""))</f>
        <v/>
      </c>
      <c r="HQ29" s="713" t="str">
        <f ca="1">IF(INDIRECT(CONCATENATE($FK$12,Fixtures!HQ$25))="","",IF(INDIRECT(CONCATENATE($FK$12,Fixtures!HQ$25))=Fixtures!$DN29,CONCATENATE(HQ$10,", "),""))</f>
        <v/>
      </c>
      <c r="HR29" s="713" t="str">
        <f ca="1">IF(INDIRECT(CONCATENATE($FK$12,Fixtures!HR$25))="","",IF(INDIRECT(CONCATENATE($FK$12,Fixtures!HR$25))=Fixtures!$DN29,CONCATENATE(HR$10,", "),""))</f>
        <v/>
      </c>
      <c r="HS29" s="713" t="str">
        <f ca="1">IF(INDIRECT(CONCATENATE($FK$12,Fixtures!HS$25))="","",IF(INDIRECT(CONCATENATE($FK$12,Fixtures!HS$25))=Fixtures!$DN29,CONCATENATE(HS$10,", "),""))</f>
        <v/>
      </c>
      <c r="HT29" s="713" t="str">
        <f ca="1">IF(INDIRECT(CONCATENATE($FK$12,Fixtures!HT$25))="","",IF(INDIRECT(CONCATENATE($FK$12,Fixtures!HT$25))=Fixtures!$DN29,CONCATENATE(HT$10,", "),""))</f>
        <v/>
      </c>
      <c r="HU29" s="713" t="str">
        <f ca="1">IF(INDIRECT(CONCATENATE($FK$12,Fixtures!HU$25))="","",IF(INDIRECT(CONCATENATE($FK$12,Fixtures!HU$25))=Fixtures!$DN29,CONCATENATE(HU$10,", "),""))</f>
        <v/>
      </c>
      <c r="HV29" s="713" t="str">
        <f ca="1">IF(INDIRECT(CONCATENATE($FK$12,Fixtures!HV$25))="","",IF(INDIRECT(CONCATENATE($FK$12,Fixtures!HV$25))=Fixtures!$DN29,CONCATENATE(HV$10,", "),""))</f>
        <v/>
      </c>
      <c r="HW29" s="713" t="str">
        <f ca="1">IF(INDIRECT(CONCATENATE($FK$12,Fixtures!HW$25))="","",IF(INDIRECT(CONCATENATE($FK$12,Fixtures!HW$25))=Fixtures!$DN29,CONCATENATE(HW$10,", "),""))</f>
        <v/>
      </c>
      <c r="HX29" s="713" t="str">
        <f ca="1">IF(INDIRECT(CONCATENATE($FK$12,Fixtures!HX$25))="","",IF(INDIRECT(CONCATENATE($FK$12,Fixtures!HX$25))=Fixtures!$DN29,CONCATENATE(HX$10,", "),""))</f>
        <v/>
      </c>
      <c r="HY29" s="713" t="str">
        <f ca="1">IF(INDIRECT(CONCATENATE($FK$12,Fixtures!HY$25))="","",IF(INDIRECT(CONCATENATE($FK$12,Fixtures!HY$25))=Fixtures!$DN29,CONCATENATE(HY$10,", "),""))</f>
        <v/>
      </c>
      <c r="HZ29" s="713" t="str">
        <f ca="1">IF(INDIRECT(CONCATENATE($FK$12,Fixtures!HZ$25))="","",IF(INDIRECT(CONCATENATE($FK$12,Fixtures!HZ$25))=Fixtures!$DN29,CONCATENATE(HZ$10,", "),""))</f>
        <v/>
      </c>
      <c r="IA29" s="713" t="str">
        <f ca="1">IF(INDIRECT(CONCATENATE($FK$12,Fixtures!IA$25))="","",IF(INDIRECT(CONCATENATE($FK$12,Fixtures!IA$25))=Fixtures!$DN29,CONCATENATE(IA$10,", "),""))</f>
        <v/>
      </c>
      <c r="IB29" s="684" t="str">
        <f ca="1">IF(INDIRECT(CONCATENATE($FK$12,Fixtures!IB$25))="","",IF(INDIRECT(CONCATENATE($FK$12,Fixtures!IB$25))=Fixtures!$DN29,CONCATENATE(IB$10,", "),""))</f>
        <v/>
      </c>
      <c r="IC29" s="685" t="str">
        <f ca="1">IF(INDIRECT(CONCATENATE($FK$12,Fixtures!IC$25))="","",IF(INDIRECT(CONCATENATE($FK$12,Fixtures!IC$25))=Fixtures!$DN29,CONCATENATE(IC$10,", "),""))</f>
        <v/>
      </c>
      <c r="ID29" s="713" t="str">
        <f ca="1">IF(INDIRECT(CONCATENATE($FK$12,Fixtures!ID$25))="","",IF(INDIRECT(CONCATENATE($FK$12,Fixtures!ID$25))=Fixtures!$DN29,CONCATENATE(ID$10,", "),""))</f>
        <v/>
      </c>
      <c r="IE29" s="713" t="str">
        <f ca="1">IF(INDIRECT(CONCATENATE($FK$12,Fixtures!IE$25))="","",IF(INDIRECT(CONCATENATE($FK$12,Fixtures!IE$25))=Fixtures!$DN29,CONCATENATE(IE$10,", "),""))</f>
        <v/>
      </c>
      <c r="IF29" s="713" t="str">
        <f ca="1">IF(INDIRECT(CONCATENATE($FK$12,Fixtures!IF$25))="","",IF(INDIRECT(CONCATENATE($FK$12,Fixtures!IF$25))=Fixtures!$DN29,CONCATENATE(IF$10,", "),""))</f>
        <v/>
      </c>
      <c r="IG29" s="713" t="str">
        <f ca="1">IF(INDIRECT(CONCATENATE($FK$12,Fixtures!IG$25))="","",IF(INDIRECT(CONCATENATE($FK$12,Fixtures!IG$25))=Fixtures!$DN29,CONCATENATE(IG$10,", "),""))</f>
        <v/>
      </c>
      <c r="IH29" s="713" t="str">
        <f ca="1">IF(INDIRECT(CONCATENATE($FK$12,Fixtures!IH$25))="","",IF(INDIRECT(CONCATENATE($FK$12,Fixtures!IH$25))=Fixtures!$DN29,CONCATENATE(IH$10,", "),""))</f>
        <v/>
      </c>
      <c r="II29" s="713" t="str">
        <f ca="1">IF(INDIRECT(CONCATENATE($FK$12,Fixtures!II$25))="","",IF(INDIRECT(CONCATENATE($FK$12,Fixtures!II$25))=Fixtures!$DN29,CONCATENATE(II$10,", "),""))</f>
        <v/>
      </c>
      <c r="IJ29" s="713" t="str">
        <f ca="1">IF(INDIRECT(CONCATENATE($FK$12,Fixtures!IJ$25))="","",IF(INDIRECT(CONCATENATE($FK$12,Fixtures!IJ$25))=Fixtures!$DN29,CONCATENATE(IJ$10,", "),""))</f>
        <v/>
      </c>
      <c r="IK29" s="713" t="str">
        <f ca="1">IF(INDIRECT(CONCATENATE($FK$12,Fixtures!IK$25))="","",IF(INDIRECT(CONCATENATE($FK$12,Fixtures!IK$25))=Fixtures!$DN29,CONCATENATE(IK$10,", "),""))</f>
        <v/>
      </c>
      <c r="IL29" s="713" t="str">
        <f ca="1">IF(INDIRECT(CONCATENATE($FK$12,Fixtures!IL$25))="","",IF(INDIRECT(CONCATENATE($FK$12,Fixtures!IL$25))=Fixtures!$DN29,CONCATENATE(IL$10,", "),""))</f>
        <v/>
      </c>
      <c r="IM29" s="713" t="str">
        <f ca="1">IF(INDIRECT(CONCATENATE($FK$12,Fixtures!IM$25))="","",IF(INDIRECT(CONCATENATE($FK$12,Fixtures!IM$25))=Fixtures!$DN29,CONCATENATE(IM$10,", "),""))</f>
        <v/>
      </c>
      <c r="IN29" s="713" t="str">
        <f ca="1">IF(INDIRECT(CONCATENATE($FK$12,Fixtures!IN$25))="","",IF(INDIRECT(CONCATENATE($FK$12,Fixtures!IN$25))=Fixtures!$DN29,CONCATENATE(IN$10,", "),""))</f>
        <v/>
      </c>
      <c r="IO29" s="713" t="str">
        <f ca="1">IF(INDIRECT(CONCATENATE($FK$12,Fixtures!IO$25))="","",IF(INDIRECT(CONCATENATE($FK$12,Fixtures!IO$25))=Fixtures!$DN29,CONCATENATE(IO$10,", "),""))</f>
        <v/>
      </c>
      <c r="IP29" s="713" t="str">
        <f ca="1">IF(INDIRECT(CONCATENATE($FK$12,Fixtures!IP$25))="","",IF(INDIRECT(CONCATENATE($FK$12,Fixtures!IP$25))=Fixtures!$DN29,CONCATENATE(IP$10,", "),""))</f>
        <v/>
      </c>
      <c r="IQ29" s="684" t="str">
        <f ca="1">IF(INDIRECT(CONCATENATE($FK$12,Fixtures!IQ$25))="","",IF(INDIRECT(CONCATENATE($FK$12,Fixtures!IQ$25))=Fixtures!$DN29,CONCATENATE(IQ$10,", "),""))</f>
        <v/>
      </c>
      <c r="IR29" s="685" t="str">
        <f ca="1">IF(INDIRECT(CONCATENATE($FK$12,Fixtures!IR$25))="","",IF(INDIRECT(CONCATENATE($FK$12,Fixtures!IR$25))=Fixtures!$DN29,CONCATENATE(IR$10,", "),""))</f>
        <v/>
      </c>
      <c r="IS29" s="713" t="str">
        <f ca="1">IF(INDIRECT(CONCATENATE($FK$12,Fixtures!IS$25))="","",IF(INDIRECT(CONCATENATE($FK$12,Fixtures!IS$25))=Fixtures!$DN29,CONCATENATE(IS$10,", "),""))</f>
        <v/>
      </c>
      <c r="IT29" s="713" t="str">
        <f ca="1">IF(INDIRECT(CONCATENATE($FK$12,Fixtures!IT$25))="","",IF(INDIRECT(CONCATENATE($FK$12,Fixtures!IT$25))=Fixtures!$DN29,CONCATENATE(IT$10,", "),""))</f>
        <v/>
      </c>
      <c r="IU29" s="713" t="str">
        <f ca="1">IF(INDIRECT(CONCATENATE($FK$12,Fixtures!IU$25))="","",IF(INDIRECT(CONCATENATE($FK$12,Fixtures!IU$25))=Fixtures!$DN29,CONCATENATE(IU$10,", "),""))</f>
        <v/>
      </c>
      <c r="IV29" s="713" t="str">
        <f ca="1">IF(INDIRECT(CONCATENATE($FK$12,Fixtures!IV$25))="","",IF(INDIRECT(CONCATENATE($FK$12,Fixtures!IV$25))=Fixtures!$DN29,CONCATENATE(IV$10,", "),""))</f>
        <v/>
      </c>
      <c r="IW29" s="713" t="str">
        <f ca="1">IF(INDIRECT(CONCATENATE($FK$12,Fixtures!IW$25))="","",IF(INDIRECT(CONCATENATE($FK$12,Fixtures!IW$25))=Fixtures!$DN29,CONCATENATE(IW$10,", "),""))</f>
        <v/>
      </c>
      <c r="IX29" s="713" t="str">
        <f ca="1">IF(INDIRECT(CONCATENATE($FK$12,Fixtures!IX$25))="","",IF(INDIRECT(CONCATENATE($FK$12,Fixtures!IX$25))=Fixtures!$DN29,CONCATENATE(IX$10,", "),""))</f>
        <v/>
      </c>
      <c r="IY29" s="713" t="str">
        <f ca="1">IF(INDIRECT(CONCATENATE($FK$12,Fixtures!IY$25))="","",IF(INDIRECT(CONCATENATE($FK$12,Fixtures!IY$25))=Fixtures!$DN29,CONCATENATE(IY$10,", "),""))</f>
        <v/>
      </c>
      <c r="IZ29" s="713" t="str">
        <f ca="1">IF(INDIRECT(CONCATENATE($FK$12,Fixtures!IZ$25))="","",IF(INDIRECT(CONCATENATE($FK$12,Fixtures!IZ$25))=Fixtures!$DN29,CONCATENATE(IZ$10,", "),""))</f>
        <v/>
      </c>
      <c r="JA29" s="713" t="str">
        <f ca="1">IF(INDIRECT(CONCATENATE($FK$12,Fixtures!JA$25))="","",IF(INDIRECT(CONCATENATE($FK$12,Fixtures!JA$25))=Fixtures!$DN29,CONCATENATE(JA$10,", "),""))</f>
        <v/>
      </c>
      <c r="JB29" s="713" t="str">
        <f ca="1">IF(INDIRECT(CONCATENATE($FK$12,Fixtures!JB$25))="","",IF(INDIRECT(CONCATENATE($FK$12,Fixtures!JB$25))=Fixtures!$DN29,CONCATENATE(JB$10,", "),""))</f>
        <v/>
      </c>
      <c r="JC29" s="713" t="str">
        <f ca="1">IF(INDIRECT(CONCATENATE($FK$12,Fixtures!JC$25))="","",IF(INDIRECT(CONCATENATE($FK$12,Fixtures!JC$25))=Fixtures!$DN29,CONCATENATE(JC$10,", "),""))</f>
        <v/>
      </c>
      <c r="JD29" s="713" t="str">
        <f ca="1">IF(INDIRECT(CONCATENATE($FK$12,Fixtures!JD$25))="","",IF(INDIRECT(CONCATENATE($FK$12,Fixtures!JD$25))=Fixtures!$DN29,CONCATENATE(JD$10,", "),""))</f>
        <v/>
      </c>
      <c r="JE29" s="713" t="str">
        <f ca="1">IF(INDIRECT(CONCATENATE($FK$12,Fixtures!JE$25))="","",IF(INDIRECT(CONCATENATE($FK$12,Fixtures!JE$25))=Fixtures!$DN29,CONCATENATE(JE$10,", "),""))</f>
        <v/>
      </c>
      <c r="JF29" s="684" t="str">
        <f ca="1">IF(INDIRECT(CONCATENATE($FK$12,Fixtures!JF$25))="","",IF(INDIRECT(CONCATENATE($FK$12,Fixtures!JF$25))=Fixtures!$DN29,CONCATENATE(JF$10,", "),""))</f>
        <v/>
      </c>
      <c r="JG29" s="685" t="str">
        <f ca="1">IF(INDIRECT(CONCATENATE($FK$12,Fixtures!JG$25))="","",IF(INDIRECT(CONCATENATE($FK$12,Fixtures!JG$25))=Fixtures!$DN29,CONCATENATE(JG$10,", "),""))</f>
        <v/>
      </c>
      <c r="JH29" s="713" t="str">
        <f ca="1">IF(INDIRECT(CONCATENATE($FK$12,Fixtures!JH$25))="","",IF(INDIRECT(CONCATENATE($FK$12,Fixtures!JH$25))=Fixtures!$DN29,CONCATENATE(JH$10,", "),""))</f>
        <v/>
      </c>
      <c r="JI29" s="713" t="str">
        <f ca="1">IF(INDIRECT(CONCATENATE($FK$12,Fixtures!JI$25))="","",IF(INDIRECT(CONCATENATE($FK$12,Fixtures!JI$25))=Fixtures!$DN29,CONCATENATE(JI$10,", "),""))</f>
        <v/>
      </c>
      <c r="JJ29" s="713" t="str">
        <f ca="1">IF(INDIRECT(CONCATENATE($FK$12,Fixtures!JJ$25))="","",IF(INDIRECT(CONCATENATE($FK$12,Fixtures!JJ$25))=Fixtures!$DN29,CONCATENATE(JJ$10,", "),""))</f>
        <v/>
      </c>
      <c r="JK29" s="713" t="str">
        <f ca="1">IF(INDIRECT(CONCATENATE($FK$12,Fixtures!JK$25))="","",IF(INDIRECT(CONCATENATE($FK$12,Fixtures!JK$25))=Fixtures!$DN29,CONCATENATE(JK$10,", "),""))</f>
        <v/>
      </c>
      <c r="JL29" s="713" t="str">
        <f ca="1">IF(INDIRECT(CONCATENATE($FK$12,Fixtures!JL$25))="","",IF(INDIRECT(CONCATENATE($FK$12,Fixtures!JL$25))=Fixtures!$DN29,CONCATENATE(JL$10,", "),""))</f>
        <v/>
      </c>
      <c r="JM29" s="713" t="str">
        <f ca="1">IF(INDIRECT(CONCATENATE($FK$12,Fixtures!JM$25))="","",IF(INDIRECT(CONCATENATE($FK$12,Fixtures!JM$25))=Fixtures!$DN29,CONCATENATE(JM$10,", "),""))</f>
        <v/>
      </c>
      <c r="JN29" s="713" t="str">
        <f ca="1">IF(INDIRECT(CONCATENATE($FK$12,Fixtures!JN$25))="","",IF(INDIRECT(CONCATENATE($FK$12,Fixtures!JN$25))=Fixtures!$DN29,CONCATENATE(JN$10,", "),""))</f>
        <v/>
      </c>
      <c r="JO29" s="713" t="str">
        <f ca="1">IF(INDIRECT(CONCATENATE($FK$12,Fixtures!JO$25))="","",IF(INDIRECT(CONCATENATE($FK$12,Fixtures!JO$25))=Fixtures!$DN29,CONCATENATE(JO$10,", "),""))</f>
        <v/>
      </c>
      <c r="JP29" s="713" t="str">
        <f ca="1">IF(INDIRECT(CONCATENATE($FK$12,Fixtures!JP$25))="","",IF(INDIRECT(CONCATENATE($FK$12,Fixtures!JP$25))=Fixtures!$DN29,CONCATENATE(JP$10,", "),""))</f>
        <v/>
      </c>
      <c r="JQ29" s="713" t="str">
        <f ca="1">IF(INDIRECT(CONCATENATE($FK$12,Fixtures!JQ$25))="","",IF(INDIRECT(CONCATENATE($FK$12,Fixtures!JQ$25))=Fixtures!$DN29,CONCATENATE(JQ$10,", "),""))</f>
        <v/>
      </c>
      <c r="JR29" s="713" t="str">
        <f ca="1">IF(INDIRECT(CONCATENATE($FK$12,Fixtures!JR$25))="","",IF(INDIRECT(CONCATENATE($FK$12,Fixtures!JR$25))=Fixtures!$DN29,CONCATENATE(JR$10,", "),""))</f>
        <v/>
      </c>
      <c r="JS29" s="713" t="str">
        <f ca="1">IF(INDIRECT(CONCATENATE($FK$12,Fixtures!JS$25))="","",IF(INDIRECT(CONCATENATE($FK$12,Fixtures!JS$25))=Fixtures!$DN29,CONCATENATE(JS$10,", "),""))</f>
        <v/>
      </c>
      <c r="JT29" s="713" t="str">
        <f ca="1">IF(INDIRECT(CONCATENATE($FK$12,Fixtures!JT$25))="","",IF(INDIRECT(CONCATENATE($FK$12,Fixtures!JT$25))=Fixtures!$DN29,CONCATENATE(JT$10,", "),""))</f>
        <v/>
      </c>
      <c r="JU29" s="684" t="str">
        <f ca="1">IF(INDIRECT(CONCATENATE($FK$12,Fixtures!JU$25))="","",IF(INDIRECT(CONCATENATE($FK$12,Fixtures!JU$25))=Fixtures!$DN29,CONCATENATE(JU$10,", "),""))</f>
        <v/>
      </c>
      <c r="JV29" s="685" t="str">
        <f ca="1">IF(INDIRECT(CONCATENATE($FK$12,Fixtures!JV$25))="","",IF(INDIRECT(CONCATENATE($FK$12,Fixtures!JV$25))=Fixtures!$DN29,CONCATENATE(JV$10,", "),""))</f>
        <v/>
      </c>
      <c r="JW29" s="713" t="str">
        <f ca="1">IF(INDIRECT(CONCATENATE($FK$12,Fixtures!JW$25))="","",IF(INDIRECT(CONCATENATE($FK$12,Fixtures!JW$25))=Fixtures!$DN29,CONCATENATE(JW$10,", "),""))</f>
        <v/>
      </c>
      <c r="JX29" s="713" t="str">
        <f ca="1">IF(INDIRECT(CONCATENATE($FK$12,Fixtures!JX$25))="","",IF(INDIRECT(CONCATENATE($FK$12,Fixtures!JX$25))=Fixtures!$DN29,CONCATENATE(JX$10,", "),""))</f>
        <v/>
      </c>
      <c r="JY29" s="713" t="str">
        <f ca="1">IF(INDIRECT(CONCATENATE($FK$12,Fixtures!JY$25))="","",IF(INDIRECT(CONCATENATE($FK$12,Fixtures!JY$25))=Fixtures!$DN29,CONCATENATE(JY$10,", "),""))</f>
        <v/>
      </c>
      <c r="JZ29" s="713" t="str">
        <f ca="1">IF(INDIRECT(CONCATENATE($FK$12,Fixtures!JZ$25))="","",IF(INDIRECT(CONCATENATE($FK$12,Fixtures!JZ$25))=Fixtures!$DN29,CONCATENATE(JZ$10,", "),""))</f>
        <v/>
      </c>
      <c r="KA29" s="713" t="str">
        <f ca="1">IF(INDIRECT(CONCATENATE($FK$12,Fixtures!KA$25))="","",IF(INDIRECT(CONCATENATE($FK$12,Fixtures!KA$25))=Fixtures!$DN29,CONCATENATE(KA$10,", "),""))</f>
        <v/>
      </c>
      <c r="KB29" s="713" t="str">
        <f ca="1">IF(INDIRECT(CONCATENATE($FK$12,Fixtures!KB$25))="","",IF(INDIRECT(CONCATENATE($FK$12,Fixtures!KB$25))=Fixtures!$DN29,CONCATENATE(KB$10,", "),""))</f>
        <v/>
      </c>
      <c r="KC29" s="713" t="str">
        <f ca="1">IF(INDIRECT(CONCATENATE($FK$12,Fixtures!KC$25))="","",IF(INDIRECT(CONCATENATE($FK$12,Fixtures!KC$25))=Fixtures!$DN29,CONCATENATE(KC$10,", "),""))</f>
        <v/>
      </c>
      <c r="KD29" s="713" t="str">
        <f ca="1">IF(INDIRECT(CONCATENATE($FK$12,Fixtures!KD$25))="","",IF(INDIRECT(CONCATENATE($FK$12,Fixtures!KD$25))=Fixtures!$DN29,CONCATENATE(KD$10,", "),""))</f>
        <v/>
      </c>
      <c r="KE29" s="713" t="str">
        <f ca="1">IF(INDIRECT(CONCATENATE($FK$12,Fixtures!KE$25))="","",IF(INDIRECT(CONCATENATE($FK$12,Fixtures!KE$25))=Fixtures!$DN29,CONCATENATE(KE$10,", "),""))</f>
        <v/>
      </c>
      <c r="KF29" s="713" t="str">
        <f ca="1">IF(INDIRECT(CONCATENATE($FK$12,Fixtures!KF$25))="","",IF(INDIRECT(CONCATENATE($FK$12,Fixtures!KF$25))=Fixtures!$DN29,CONCATENATE(KF$10,", "),""))</f>
        <v/>
      </c>
      <c r="KG29" s="713" t="str">
        <f ca="1">IF(INDIRECT(CONCATENATE($FK$12,Fixtures!KG$25))="","",IF(INDIRECT(CONCATENATE($FK$12,Fixtures!KG$25))=Fixtures!$DN29,CONCATENATE(KG$10,", "),""))</f>
        <v/>
      </c>
      <c r="KH29" s="713" t="str">
        <f ca="1">IF(INDIRECT(CONCATENATE($FK$12,Fixtures!KH$25))="","",IF(INDIRECT(CONCATENATE($FK$12,Fixtures!KH$25))=Fixtures!$DN29,CONCATENATE(KH$10,", "),""))</f>
        <v/>
      </c>
      <c r="KI29" s="713" t="str">
        <f ca="1">IF(INDIRECT(CONCATENATE($FK$12,Fixtures!KI$25))="","",IF(INDIRECT(CONCATENATE($FK$12,Fixtures!KI$25))=Fixtures!$DN29,CONCATENATE(KI$10,", "),""))</f>
        <v/>
      </c>
      <c r="KJ29" s="684" t="str">
        <f ca="1">IF(INDIRECT(CONCATENATE($FK$12,Fixtures!KJ$25))="","",IF(INDIRECT(CONCATENATE($FK$12,Fixtures!KJ$25))=Fixtures!$DN29,CONCATENATE(KJ$10,", "),""))</f>
        <v/>
      </c>
      <c r="KK29" s="685" t="str">
        <f ca="1">IF(INDIRECT(CONCATENATE($FK$12,Fixtures!KK$25))="","",IF(INDIRECT(CONCATENATE($FK$12,Fixtures!KK$25))=Fixtures!$DN29,CONCATENATE(KK$10,", "),""))</f>
        <v/>
      </c>
      <c r="KL29" s="713" t="str">
        <f ca="1">IF(INDIRECT(CONCATENATE($FK$12,Fixtures!KL$25))="","",IF(INDIRECT(CONCATENATE($FK$12,Fixtures!KL$25))=Fixtures!$DN29,CONCATENATE(KL$10,", "),""))</f>
        <v/>
      </c>
      <c r="KM29" s="713" t="str">
        <f ca="1">IF(INDIRECT(CONCATENATE($FK$12,Fixtures!KM$25))="","",IF(INDIRECT(CONCATENATE($FK$12,Fixtures!KM$25))=Fixtures!$DN29,CONCATENATE(KM$10,", "),""))</f>
        <v/>
      </c>
      <c r="KN29" s="713" t="str">
        <f ca="1">IF(INDIRECT(CONCATENATE($FK$12,Fixtures!KN$25))="","",IF(INDIRECT(CONCATENATE($FK$12,Fixtures!KN$25))=Fixtures!$DN29,CONCATENATE(KN$10,", "),""))</f>
        <v/>
      </c>
      <c r="KO29" s="713" t="str">
        <f ca="1">IF(INDIRECT(CONCATENATE($FK$12,Fixtures!KO$25))="","",IF(INDIRECT(CONCATENATE($FK$12,Fixtures!KO$25))=Fixtures!$DN29,CONCATENATE(KO$10,", "),""))</f>
        <v/>
      </c>
      <c r="KP29" s="713" t="str">
        <f ca="1">IF(INDIRECT(CONCATENATE($FK$12,Fixtures!KP$25))="","",IF(INDIRECT(CONCATENATE($FK$12,Fixtures!KP$25))=Fixtures!$DN29,CONCATENATE(KP$10,", "),""))</f>
        <v/>
      </c>
      <c r="KQ29" s="713" t="str">
        <f ca="1">IF(INDIRECT(CONCATENATE($FK$12,Fixtures!KQ$25))="","",IF(INDIRECT(CONCATENATE($FK$12,Fixtures!KQ$25))=Fixtures!$DN29,CONCATENATE(KQ$10,", "),""))</f>
        <v/>
      </c>
      <c r="KR29" s="713" t="str">
        <f ca="1">IF(INDIRECT(CONCATENATE($FK$12,Fixtures!KR$25))="","",IF(INDIRECT(CONCATENATE($FK$12,Fixtures!KR$25))=Fixtures!$DN29,CONCATENATE(KR$10,", "),""))</f>
        <v/>
      </c>
      <c r="KS29" s="713" t="str">
        <f ca="1">IF(INDIRECT(CONCATENATE($FK$12,Fixtures!KS$25))="","",IF(INDIRECT(CONCATENATE($FK$12,Fixtures!KS$25))=Fixtures!$DN29,CONCATENATE(KS$10,", "),""))</f>
        <v/>
      </c>
      <c r="KT29" s="713" t="str">
        <f ca="1">IF(INDIRECT(CONCATENATE($FK$12,Fixtures!KT$25))="","",IF(INDIRECT(CONCATENATE($FK$12,Fixtures!KT$25))=Fixtures!$DN29,CONCATENATE(KT$10,", "),""))</f>
        <v/>
      </c>
      <c r="KU29" s="713" t="str">
        <f ca="1">IF(INDIRECT(CONCATENATE($FK$12,Fixtures!KU$25))="","",IF(INDIRECT(CONCATENATE($FK$12,Fixtures!KU$25))=Fixtures!$DN29,CONCATENATE(KU$10,", "),""))</f>
        <v/>
      </c>
      <c r="KV29" s="713" t="str">
        <f ca="1">IF(INDIRECT(CONCATENATE($FK$12,Fixtures!KV$25))="","",IF(INDIRECT(CONCATENATE($FK$12,Fixtures!KV$25))=Fixtures!$DN29,CONCATENATE(KV$10,", "),""))</f>
        <v/>
      </c>
      <c r="KW29" s="713" t="str">
        <f ca="1">IF(INDIRECT(CONCATENATE($FK$12,Fixtures!KW$25))="","",IF(INDIRECT(CONCATENATE($FK$12,Fixtures!KW$25))=Fixtures!$DN29,CONCATENATE(KW$10,", "),""))</f>
        <v/>
      </c>
      <c r="KX29" s="713" t="str">
        <f ca="1">IF(INDIRECT(CONCATENATE($FK$12,Fixtures!KX$25))="","",IF(INDIRECT(CONCATENATE($FK$12,Fixtures!KX$25))=Fixtures!$DN29,CONCATENATE(KX$10,", "),""))</f>
        <v/>
      </c>
      <c r="KY29" s="713" t="str">
        <f ca="1">IF(INDIRECT(CONCATENATE($FK$12,Fixtures!KY$25))="","",IF(INDIRECT(CONCATENATE($FK$12,Fixtures!KY$25))=Fixtures!$DN29,CONCATENATE(KY$10,", "),""))</f>
        <v/>
      </c>
      <c r="KZ29" s="46"/>
      <c r="LA29" s="46" t="str">
        <f t="shared" ca="1" si="8"/>
        <v/>
      </c>
    </row>
    <row r="30" spans="1:313" ht="28.05" customHeight="1" thickTop="1" thickBot="1">
      <c r="A30" s="201" t="s">
        <v>170</v>
      </c>
      <c r="C30" s="1248" t="s">
        <v>150</v>
      </c>
      <c r="D30" s="1249"/>
      <c r="E30" s="58" t="s">
        <v>151</v>
      </c>
      <c r="F30" s="56"/>
      <c r="G30" s="56"/>
      <c r="H30" s="56"/>
      <c r="I30" s="56"/>
      <c r="J30" s="56"/>
      <c r="K30" s="56"/>
      <c r="L30" s="56"/>
      <c r="M30" s="56"/>
      <c r="N30" s="201" t="s">
        <v>171</v>
      </c>
      <c r="P30" s="1248" t="s">
        <v>150</v>
      </c>
      <c r="Q30" s="1249"/>
      <c r="R30" s="58" t="s">
        <v>152</v>
      </c>
      <c r="S30" s="56"/>
      <c r="T30" s="56"/>
      <c r="U30" s="56"/>
      <c r="V30" s="56"/>
      <c r="W30" s="56"/>
      <c r="X30" s="56"/>
      <c r="Y30" s="201" t="s">
        <v>172</v>
      </c>
      <c r="Z30" s="201" t="s">
        <v>132</v>
      </c>
      <c r="AA30" s="636" t="s">
        <v>173</v>
      </c>
      <c r="AB30" s="536"/>
      <c r="AC30" s="1350" t="s">
        <v>2090</v>
      </c>
      <c r="AD30" s="1350"/>
      <c r="AE30" s="1350"/>
      <c r="AF30" s="1350"/>
      <c r="AG30" s="1350"/>
      <c r="AH30" s="536"/>
      <c r="BL30" s="9"/>
      <c r="BM30" s="703" t="str">
        <f>IF(CN30="Yes",CONCATENATE(BX30," - ",CF30, " ",CJ30, " ",CP30,"W"),"")</f>
        <v/>
      </c>
      <c r="BN30" s="52"/>
      <c r="BO30" s="52"/>
      <c r="BP30" s="52"/>
      <c r="BQ30" s="52"/>
      <c r="BR30" s="52"/>
      <c r="BS30" s="52"/>
      <c r="BT30" s="52"/>
      <c r="BU30" s="414"/>
      <c r="BV30" s="255" t="str">
        <f>IF(CN30&lt;&gt;"Yes","",IFERROR(VLOOKUP(CU30,Existing!A$4:F$364,2,FALSE),""))</f>
        <v/>
      </c>
      <c r="BW30" s="9">
        <v>4</v>
      </c>
      <c r="BX30" s="1313"/>
      <c r="BY30" s="1314"/>
      <c r="BZ30" s="1314"/>
      <c r="CA30" s="1315"/>
      <c r="CB30" s="1310"/>
      <c r="CC30" s="1311"/>
      <c r="CD30" s="1311"/>
      <c r="CE30" s="1312"/>
      <c r="CF30" s="1309"/>
      <c r="CG30" s="1309"/>
      <c r="CH30" s="1309"/>
      <c r="CI30" s="1309"/>
      <c r="CJ30" s="1309"/>
      <c r="CK30" s="1309"/>
      <c r="CL30" s="1309"/>
      <c r="CM30" s="1309"/>
      <c r="CN30" s="1243" t="str">
        <f t="shared" si="0"/>
        <v/>
      </c>
      <c r="CO30" s="1244"/>
      <c r="CP30" s="265" t="str">
        <f>IFERROR(IF(CB30="Existing TLED",CR30*CW30*CY30,VLOOKUP(CU30,Existing!A$3:F$353,6,FALSE)),"")</f>
        <v/>
      </c>
      <c r="CQ30" s="9"/>
      <c r="CR30" s="1343"/>
      <c r="CS30" s="1344"/>
      <c r="CT30" s="9"/>
      <c r="CU30" s="470" t="str">
        <f>IF(CN30="","",IF(CB30="Existing TLED",CONCATENATE(CB30," - ",CF30),CONCATENATE(CB30," - ",CF30," ",CJ30)))</f>
        <v/>
      </c>
      <c r="CV30" s="471" t="b">
        <f>IF(CB30="Existing TLED",TRUE,FALSE)</f>
        <v>0</v>
      </c>
      <c r="CW30" s="471" t="str">
        <f>LEFT(CJ30,1)</f>
        <v/>
      </c>
      <c r="CX30" s="471">
        <f>IFERROR(VLOOKUP(CF30,Lookup!M$100:O$102,3,FALSE),0)</f>
        <v>0</v>
      </c>
      <c r="CY30" s="471">
        <f t="shared" si="9"/>
        <v>1.1100000000000001</v>
      </c>
      <c r="CZ30" s="707" t="b">
        <f t="shared" si="1"/>
        <v>0</v>
      </c>
      <c r="DA30" s="707" t="b">
        <f>IF(CF30&lt;&gt;"",IF(ISERROR(MATCH(CONCATENATE(CB30," - ",CF30),Existing!G$4:G$328,0))=TRUE,FALSE,TRUE),TRUE)</f>
        <v>1</v>
      </c>
      <c r="DB30" s="707" t="b">
        <f t="shared" si="2"/>
        <v>1</v>
      </c>
      <c r="DL30" s="9"/>
      <c r="DM30" s="708" t="s">
        <v>166</v>
      </c>
      <c r="DN30" s="416" t="str">
        <f t="shared" si="3"/>
        <v/>
      </c>
      <c r="DO30" s="52"/>
      <c r="DP30" s="52"/>
      <c r="DQ30" s="52"/>
      <c r="DR30" s="52"/>
      <c r="DS30" s="52"/>
      <c r="DT30" s="262"/>
      <c r="DU30" s="417"/>
      <c r="DV30" s="263" t="str">
        <f t="shared" si="4"/>
        <v/>
      </c>
      <c r="DW30" s="260">
        <v>4</v>
      </c>
      <c r="DX30" s="1306"/>
      <c r="DY30" s="1307"/>
      <c r="DZ30" s="1307"/>
      <c r="EA30" s="1308"/>
      <c r="EB30" s="1306"/>
      <c r="EC30" s="1307"/>
      <c r="ED30" s="1307"/>
      <c r="EE30" s="1308"/>
      <c r="EF30" s="1266"/>
      <c r="EG30" s="1267"/>
      <c r="EH30" s="1260"/>
      <c r="EI30" s="1261"/>
      <c r="EJ30" s="1261"/>
      <c r="EK30" s="1262"/>
      <c r="EL30" s="1263"/>
      <c r="EM30" s="1264"/>
      <c r="EN30" s="1264"/>
      <c r="EO30" s="1265"/>
      <c r="EP30" s="1266"/>
      <c r="EQ30" s="1267"/>
      <c r="ER30" s="1245"/>
      <c r="ES30" s="1246"/>
      <c r="ET30" s="1243" t="str">
        <f t="shared" si="5"/>
        <v/>
      </c>
      <c r="EU30" s="1244"/>
      <c r="EV30" s="1243" t="str">
        <f t="shared" si="6"/>
        <v/>
      </c>
      <c r="EW30" s="1244"/>
      <c r="EX30" s="438"/>
      <c r="EY30" s="261" t="str">
        <f t="shared" si="7"/>
        <v/>
      </c>
      <c r="EZ30" s="261" t="str">
        <f>IFERROR(VLOOKUP(EB30,Lookup!AM$3:AN$13,2,FALSE),"")</f>
        <v/>
      </c>
      <c r="FA30" s="471" t="b">
        <f>IFERROR(IF(VLOOKUP(EB30,Lookup!AM$6:AN$8,2,FALSE)&gt;3,TRUE,FALSE),FALSE)</f>
        <v>0</v>
      </c>
      <c r="FB30" s="471">
        <f t="shared" si="11"/>
        <v>1</v>
      </c>
      <c r="FC30" t="str">
        <f t="shared" ca="1" si="10"/>
        <v/>
      </c>
      <c r="FG30" t="str">
        <f t="shared" ref="FG30:FG76" ca="1" si="12">IFERROR(CONCATENATE(IF(LEN(LA30)=3,"line ","lines "),LEFT(LA30,LEN(LA30)-2)),"")</f>
        <v/>
      </c>
      <c r="FI30" s="240" t="str">
        <f ca="1">IFERROR(LEFT(LA30,LEN(LA30)-2),"")</f>
        <v/>
      </c>
      <c r="FJ30" s="240"/>
      <c r="FK30" s="712" t="str">
        <f ca="1">IF(INDIRECT(CONCATENATE($FK$12,Fixtures!FK$25))="","",IF(INDIRECT(CONCATENATE($FK$12,Fixtures!FK$25))=Fixtures!$DN30,CONCATENATE(FK$10,", "),""))</f>
        <v/>
      </c>
      <c r="FL30" s="712" t="str">
        <f ca="1">IF(INDIRECT(CONCATENATE($FK$12,Fixtures!FL$25))="","",IF(INDIRECT(CONCATENATE($FK$12,Fixtures!FL$25))=Fixtures!$DN30,CONCATENATE(FL$10,", "),""))</f>
        <v/>
      </c>
      <c r="FM30" s="712" t="str">
        <f ca="1">IF(INDIRECT(CONCATENATE($FK$12,Fixtures!FM$25))="","",IF(INDIRECT(CONCATENATE($FK$12,Fixtures!FM$25))=Fixtures!$DN30,CONCATENATE(FM$10,", "),""))</f>
        <v/>
      </c>
      <c r="FN30" s="712" t="str">
        <f ca="1">IF(INDIRECT(CONCATENATE($FK$12,Fixtures!FN$25))="","",IF(INDIRECT(CONCATENATE($FK$12,Fixtures!FN$25))=Fixtures!$DN30,CONCATENATE(FN$10,", "),""))</f>
        <v/>
      </c>
      <c r="FO30" s="712" t="str">
        <f ca="1">IF(INDIRECT(CONCATENATE($FK$12,Fixtures!FO$25))="","",IF(INDIRECT(CONCATENATE($FK$12,Fixtures!FO$25))=Fixtures!$DN30,CONCATENATE(FO$10,", "),""))</f>
        <v/>
      </c>
      <c r="FP30" s="712" t="str">
        <f ca="1">IF(INDIRECT(CONCATENATE($FK$12,Fixtures!FP$25))="","",IF(INDIRECT(CONCATENATE($FK$12,Fixtures!FP$25))=Fixtures!$DN30,CONCATENATE(FP$10,", "),""))</f>
        <v/>
      </c>
      <c r="FQ30" s="712" t="str">
        <f ca="1">IF(INDIRECT(CONCATENATE($FK$12,Fixtures!FQ$25))="","",IF(INDIRECT(CONCATENATE($FK$12,Fixtures!FQ$25))=Fixtures!$DN30,CONCATENATE(FQ$10,", "),""))</f>
        <v/>
      </c>
      <c r="FR30" s="712" t="str">
        <f ca="1">IF(INDIRECT(CONCATENATE($FK$12,Fixtures!FR$25))="","",IF(INDIRECT(CONCATENATE($FK$12,Fixtures!FR$25))=Fixtures!$DN30,CONCATENATE(FR$10,", "),""))</f>
        <v/>
      </c>
      <c r="FS30" s="712" t="str">
        <f ca="1">IF(INDIRECT(CONCATENATE($FK$12,Fixtures!FS$25))="","",IF(INDIRECT(CONCATENATE($FK$12,Fixtures!FS$25))=Fixtures!$DN30,CONCATENATE(FS$10,", "),""))</f>
        <v/>
      </c>
      <c r="FT30" s="682" t="str">
        <f ca="1">IF(INDIRECT(CONCATENATE($FK$12,Fixtures!FT$25))="","",IF(INDIRECT(CONCATENATE($FK$12,Fixtures!FT$25))=Fixtures!$DN30,CONCATENATE(FT$10,", "),""))</f>
        <v/>
      </c>
      <c r="FU30" s="683" t="str">
        <f ca="1">IF(INDIRECT(CONCATENATE($FK$12,Fixtures!FU$25))="","",IF(INDIRECT(CONCATENATE($FK$12,Fixtures!FU$25))=Fixtures!$DN30,CONCATENATE(FU$10,", "),""))</f>
        <v/>
      </c>
      <c r="FV30" s="712" t="str">
        <f ca="1">IF(INDIRECT(CONCATENATE($FK$12,Fixtures!FV$25))="","",IF(INDIRECT(CONCATENATE($FK$12,Fixtures!FV$25))=Fixtures!$DN30,CONCATENATE(FV$10,", "),""))</f>
        <v/>
      </c>
      <c r="FW30" s="713" t="str">
        <f ca="1">IF(INDIRECT(CONCATENATE($FK$12,Fixtures!FW$25))="","",IF(INDIRECT(CONCATENATE($FK$12,Fixtures!FW$25))=Fixtures!$DN30,CONCATENATE(FW$10,", "),""))</f>
        <v/>
      </c>
      <c r="FX30" s="713" t="str">
        <f ca="1">IF(INDIRECT(CONCATENATE($FK$12,Fixtures!FX$25))="","",IF(INDIRECT(CONCATENATE($FK$12,Fixtures!FX$25))=Fixtures!$DN30,CONCATENATE(FX$10,", "),""))</f>
        <v/>
      </c>
      <c r="FY30" s="713" t="str">
        <f ca="1">IF(INDIRECT(CONCATENATE($FK$12,Fixtures!FY$25))="","",IF(INDIRECT(CONCATENATE($FK$12,Fixtures!FY$25))=Fixtures!$DN30,CONCATENATE(FY$10,", "),""))</f>
        <v/>
      </c>
      <c r="FZ30" s="713" t="str">
        <f ca="1">IF(INDIRECT(CONCATENATE($FK$12,Fixtures!FZ$25))="","",IF(INDIRECT(CONCATENATE($FK$12,Fixtures!FZ$25))=Fixtures!$DN30,CONCATENATE(FZ$10,", "),""))</f>
        <v/>
      </c>
      <c r="GA30" s="713" t="str">
        <f ca="1">IF(INDIRECT(CONCATENATE($FK$12,Fixtures!GA$25))="","",IF(INDIRECT(CONCATENATE($FK$12,Fixtures!GA$25))=Fixtures!$DN30,CONCATENATE(GA$10,", "),""))</f>
        <v/>
      </c>
      <c r="GB30" s="713" t="str">
        <f ca="1">IF(INDIRECT(CONCATENATE($FK$12,Fixtures!GB$25))="","",IF(INDIRECT(CONCATENATE($FK$12,Fixtures!GB$25))=Fixtures!$DN30,CONCATENATE(GB$10,", "),""))</f>
        <v/>
      </c>
      <c r="GC30" s="713" t="str">
        <f ca="1">IF(INDIRECT(CONCATENATE($FK$12,Fixtures!GC$25))="","",IF(INDIRECT(CONCATENATE($FK$12,Fixtures!GC$25))=Fixtures!$DN30,CONCATENATE(GC$10,", "),""))</f>
        <v/>
      </c>
      <c r="GD30" s="713" t="str">
        <f ca="1">IF(INDIRECT(CONCATENATE($FK$12,Fixtures!GD$25))="","",IF(INDIRECT(CONCATENATE($FK$12,Fixtures!GD$25))=Fixtures!$DN30,CONCATENATE(GD$10,", "),""))</f>
        <v/>
      </c>
      <c r="GE30" s="713" t="str">
        <f ca="1">IF(INDIRECT(CONCATENATE($FK$12,Fixtures!GE$25))="","",IF(INDIRECT(CONCATENATE($FK$12,Fixtures!GE$25))=Fixtures!$DN30,CONCATENATE(GE$10,", "),""))</f>
        <v/>
      </c>
      <c r="GF30" s="713" t="str">
        <f ca="1">IF(INDIRECT(CONCATENATE($FK$12,Fixtures!GF$25))="","",IF(INDIRECT(CONCATENATE($FK$12,Fixtures!GF$25))=Fixtures!$DN30,CONCATENATE(GF$10,", "),""))</f>
        <v/>
      </c>
      <c r="GG30" s="713" t="str">
        <f ca="1">IF(INDIRECT(CONCATENATE($FK$12,Fixtures!GG$25))="","",IF(INDIRECT(CONCATENATE($FK$12,Fixtures!GG$25))=Fixtures!$DN30,CONCATENATE(GG$10,", "),""))</f>
        <v/>
      </c>
      <c r="GH30" s="713" t="str">
        <f ca="1">IF(INDIRECT(CONCATENATE($FK$12,Fixtures!GH$25))="","",IF(INDIRECT(CONCATENATE($FK$12,Fixtures!GH$25))=Fixtures!$DN30,CONCATENATE(GH$10,", "),""))</f>
        <v/>
      </c>
      <c r="GI30" s="684" t="str">
        <f ca="1">IF(INDIRECT(CONCATENATE($FK$12,Fixtures!GI$25))="","",IF(INDIRECT(CONCATENATE($FK$12,Fixtures!GI$25))=Fixtures!$DN30,CONCATENATE(GI$10,", "),""))</f>
        <v/>
      </c>
      <c r="GJ30" s="685" t="str">
        <f ca="1">IF(INDIRECT(CONCATENATE($FK$12,Fixtures!GJ$25))="","",IF(INDIRECT(CONCATENATE($FK$12,Fixtures!GJ$25))=Fixtures!$DN30,CONCATENATE(GJ$10,", "),""))</f>
        <v/>
      </c>
      <c r="GK30" s="713" t="str">
        <f ca="1">IF(INDIRECT(CONCATENATE($FK$12,Fixtures!GK$25))="","",IF(INDIRECT(CONCATENATE($FK$12,Fixtures!GK$25))=Fixtures!$DN30,CONCATENATE(GK$10,", "),""))</f>
        <v/>
      </c>
      <c r="GL30" s="713" t="str">
        <f ca="1">IF(INDIRECT(CONCATENATE($FK$12,Fixtures!GL$25))="","",IF(INDIRECT(CONCATENATE($FK$12,Fixtures!GL$25))=Fixtures!$DN30,CONCATENATE(GL$10,", "),""))</f>
        <v/>
      </c>
      <c r="GM30" s="713" t="str">
        <f ca="1">IF(INDIRECT(CONCATENATE($FK$12,Fixtures!GM$25))="","",IF(INDIRECT(CONCATENATE($FK$12,Fixtures!GM$25))=Fixtures!$DN30,CONCATENATE(GM$10,", "),""))</f>
        <v/>
      </c>
      <c r="GN30" s="713" t="str">
        <f ca="1">IF(INDIRECT(CONCATENATE($FK$12,Fixtures!GN$25))="","",IF(INDIRECT(CONCATENATE($FK$12,Fixtures!GN$25))=Fixtures!$DN30,CONCATENATE(GN$10,", "),""))</f>
        <v/>
      </c>
      <c r="GO30" s="713" t="str">
        <f ca="1">IF(INDIRECT(CONCATENATE($FK$12,Fixtures!GO$25))="","",IF(INDIRECT(CONCATENATE($FK$12,Fixtures!GO$25))=Fixtures!$DN30,CONCATENATE(GO$10,", "),""))</f>
        <v/>
      </c>
      <c r="GP30" s="713" t="str">
        <f ca="1">IF(INDIRECT(CONCATENATE($FK$12,Fixtures!GP$25))="","",IF(INDIRECT(CONCATENATE($FK$12,Fixtures!GP$25))=Fixtures!$DN30,CONCATENATE(GP$10,", "),""))</f>
        <v/>
      </c>
      <c r="GQ30" s="713" t="str">
        <f ca="1">IF(INDIRECT(CONCATENATE($FK$12,Fixtures!GQ$25))="","",IF(INDIRECT(CONCATENATE($FK$12,Fixtures!GQ$25))=Fixtures!$DN30,CONCATENATE(GQ$10,", "),""))</f>
        <v/>
      </c>
      <c r="GR30" s="713" t="str">
        <f ca="1">IF(INDIRECT(CONCATENATE($FK$12,Fixtures!GR$25))="","",IF(INDIRECT(CONCATENATE($FK$12,Fixtures!GR$25))=Fixtures!$DN30,CONCATENATE(GR$10,", "),""))</f>
        <v/>
      </c>
      <c r="GS30" s="713" t="str">
        <f ca="1">IF(INDIRECT(CONCATENATE($FK$12,Fixtures!GS$25))="","",IF(INDIRECT(CONCATENATE($FK$12,Fixtures!GS$25))=Fixtures!$DN30,CONCATENATE(GS$10,", "),""))</f>
        <v/>
      </c>
      <c r="GT30" s="713" t="str">
        <f ca="1">IF(INDIRECT(CONCATENATE($FK$12,Fixtures!GT$25))="","",IF(INDIRECT(CONCATENATE($FK$12,Fixtures!GT$25))=Fixtures!$DN30,CONCATENATE(GT$10,", "),""))</f>
        <v/>
      </c>
      <c r="GU30" s="713" t="str">
        <f ca="1">IF(INDIRECT(CONCATENATE($FK$12,Fixtures!GU$25))="","",IF(INDIRECT(CONCATENATE($FK$12,Fixtures!GU$25))=Fixtures!$DN30,CONCATENATE(GU$10,", "),""))</f>
        <v/>
      </c>
      <c r="GV30" s="713" t="str">
        <f ca="1">IF(INDIRECT(CONCATENATE($FK$12,Fixtures!GV$25))="","",IF(INDIRECT(CONCATENATE($FK$12,Fixtures!GV$25))=Fixtures!$DN30,CONCATENATE(GV$10,", "),""))</f>
        <v/>
      </c>
      <c r="GW30" s="713" t="str">
        <f ca="1">IF(INDIRECT(CONCATENATE($FK$12,Fixtures!GW$25))="","",IF(INDIRECT(CONCATENATE($FK$12,Fixtures!GW$25))=Fixtures!$DN30,CONCATENATE(GW$10,", "),""))</f>
        <v/>
      </c>
      <c r="GX30" s="684" t="str">
        <f ca="1">IF(INDIRECT(CONCATENATE($FK$12,Fixtures!GX$25))="","",IF(INDIRECT(CONCATENATE($FK$12,Fixtures!GX$25))=Fixtures!$DN30,CONCATENATE(GX$10,", "),""))</f>
        <v/>
      </c>
      <c r="GY30" s="685" t="str">
        <f ca="1">IF(INDIRECT(CONCATENATE($FK$12,Fixtures!GY$25))="","",IF(INDIRECT(CONCATENATE($FK$12,Fixtures!GY$25))=Fixtures!$DN30,CONCATENATE(GY$10,", "),""))</f>
        <v/>
      </c>
      <c r="GZ30" s="713" t="str">
        <f ca="1">IF(INDIRECT(CONCATENATE($FK$12,Fixtures!GZ$25))="","",IF(INDIRECT(CONCATENATE($FK$12,Fixtures!GZ$25))=Fixtures!$DN30,CONCATENATE(GZ$10,", "),""))</f>
        <v/>
      </c>
      <c r="HA30" s="713" t="str">
        <f ca="1">IF(INDIRECT(CONCATENATE($FK$12,Fixtures!HA$25))="","",IF(INDIRECT(CONCATENATE($FK$12,Fixtures!HA$25))=Fixtures!$DN30,CONCATENATE(HA$10,", "),""))</f>
        <v/>
      </c>
      <c r="HB30" s="713" t="str">
        <f ca="1">IF(INDIRECT(CONCATENATE($FK$12,Fixtures!HB$25))="","",IF(INDIRECT(CONCATENATE($FK$12,Fixtures!HB$25))=Fixtures!$DN30,CONCATENATE(HB$10,", "),""))</f>
        <v/>
      </c>
      <c r="HC30" s="713" t="str">
        <f ca="1">IF(INDIRECT(CONCATENATE($FK$12,Fixtures!HC$25))="","",IF(INDIRECT(CONCATENATE($FK$12,Fixtures!HC$25))=Fixtures!$DN30,CONCATENATE(HC$10,", "),""))</f>
        <v/>
      </c>
      <c r="HD30" s="713" t="str">
        <f ca="1">IF(INDIRECT(CONCATENATE($FK$12,Fixtures!HD$25))="","",IF(INDIRECT(CONCATENATE($FK$12,Fixtures!HD$25))=Fixtures!$DN30,CONCATENATE(HD$10,", "),""))</f>
        <v/>
      </c>
      <c r="HE30" s="713" t="str">
        <f ca="1">IF(INDIRECT(CONCATENATE($FK$12,Fixtures!HE$25))="","",IF(INDIRECT(CONCATENATE($FK$12,Fixtures!HE$25))=Fixtures!$DN30,CONCATENATE(HE$10,", "),""))</f>
        <v/>
      </c>
      <c r="HF30" s="713" t="str">
        <f ca="1">IF(INDIRECT(CONCATENATE($FK$12,Fixtures!HF$25))="","",IF(INDIRECT(CONCATENATE($FK$12,Fixtures!HF$25))=Fixtures!$DN30,CONCATENATE(HF$10,", "),""))</f>
        <v/>
      </c>
      <c r="HG30" s="713" t="str">
        <f ca="1">IF(INDIRECT(CONCATENATE($FK$12,Fixtures!HG$25))="","",IF(INDIRECT(CONCATENATE($FK$12,Fixtures!HG$25))=Fixtures!$DN30,CONCATENATE(HG$10,", "),""))</f>
        <v/>
      </c>
      <c r="HH30" s="713" t="str">
        <f ca="1">IF(INDIRECT(CONCATENATE($FK$12,Fixtures!HH$25))="","",IF(INDIRECT(CONCATENATE($FK$12,Fixtures!HH$25))=Fixtures!$DN30,CONCATENATE(HH$10,", "),""))</f>
        <v/>
      </c>
      <c r="HI30" s="713" t="str">
        <f ca="1">IF(INDIRECT(CONCATENATE($FK$12,Fixtures!HI$25))="","",IF(INDIRECT(CONCATENATE($FK$12,Fixtures!HI$25))=Fixtures!$DN30,CONCATENATE(HI$10,", "),""))</f>
        <v/>
      </c>
      <c r="HJ30" s="713" t="str">
        <f ca="1">IF(INDIRECT(CONCATENATE($FK$12,Fixtures!HJ$25))="","",IF(INDIRECT(CONCATENATE($FK$12,Fixtures!HJ$25))=Fixtures!$DN30,CONCATENATE(HJ$10,", "),""))</f>
        <v/>
      </c>
      <c r="HK30" s="713" t="str">
        <f ca="1">IF(INDIRECT(CONCATENATE($FK$12,Fixtures!HK$25))="","",IF(INDIRECT(CONCATENATE($FK$12,Fixtures!HK$25))=Fixtures!$DN30,CONCATENATE(HK$10,", "),""))</f>
        <v/>
      </c>
      <c r="HL30" s="713" t="str">
        <f ca="1">IF(INDIRECT(CONCATENATE($FK$12,Fixtures!HL$25))="","",IF(INDIRECT(CONCATENATE($FK$12,Fixtures!HL$25))=Fixtures!$DN30,CONCATENATE(HL$10,", "),""))</f>
        <v/>
      </c>
      <c r="HM30" s="684" t="str">
        <f ca="1">IF(INDIRECT(CONCATENATE($FK$12,Fixtures!HM$25))="","",IF(INDIRECT(CONCATENATE($FK$12,Fixtures!HM$25))=Fixtures!$DN30,CONCATENATE(HM$10,", "),""))</f>
        <v/>
      </c>
      <c r="HN30" s="685" t="str">
        <f ca="1">IF(INDIRECT(CONCATENATE($FK$12,Fixtures!HN$25))="","",IF(INDIRECT(CONCATENATE($FK$12,Fixtures!HN$25))=Fixtures!$DN30,CONCATENATE(HN$10,", "),""))</f>
        <v/>
      </c>
      <c r="HO30" s="713" t="str">
        <f ca="1">IF(INDIRECT(CONCATENATE($FK$12,Fixtures!HO$25))="","",IF(INDIRECT(CONCATENATE($FK$12,Fixtures!HO$25))=Fixtures!$DN30,CONCATENATE(HO$10,", "),""))</f>
        <v/>
      </c>
      <c r="HP30" s="713" t="str">
        <f ca="1">IF(INDIRECT(CONCATENATE($FK$12,Fixtures!HP$25))="","",IF(INDIRECT(CONCATENATE($FK$12,Fixtures!HP$25))=Fixtures!$DN30,CONCATENATE(HP$10,", "),""))</f>
        <v/>
      </c>
      <c r="HQ30" s="713" t="str">
        <f ca="1">IF(INDIRECT(CONCATENATE($FK$12,Fixtures!HQ$25))="","",IF(INDIRECT(CONCATENATE($FK$12,Fixtures!HQ$25))=Fixtures!$DN30,CONCATENATE(HQ$10,", "),""))</f>
        <v/>
      </c>
      <c r="HR30" s="713" t="str">
        <f ca="1">IF(INDIRECT(CONCATENATE($FK$12,Fixtures!HR$25))="","",IF(INDIRECT(CONCATENATE($FK$12,Fixtures!HR$25))=Fixtures!$DN30,CONCATENATE(HR$10,", "),""))</f>
        <v/>
      </c>
      <c r="HS30" s="713" t="str">
        <f ca="1">IF(INDIRECT(CONCATENATE($FK$12,Fixtures!HS$25))="","",IF(INDIRECT(CONCATENATE($FK$12,Fixtures!HS$25))=Fixtures!$DN30,CONCATENATE(HS$10,", "),""))</f>
        <v/>
      </c>
      <c r="HT30" s="713" t="str">
        <f ca="1">IF(INDIRECT(CONCATENATE($FK$12,Fixtures!HT$25))="","",IF(INDIRECT(CONCATENATE($FK$12,Fixtures!HT$25))=Fixtures!$DN30,CONCATENATE(HT$10,", "),""))</f>
        <v/>
      </c>
      <c r="HU30" s="713" t="str">
        <f ca="1">IF(INDIRECT(CONCATENATE($FK$12,Fixtures!HU$25))="","",IF(INDIRECT(CONCATENATE($FK$12,Fixtures!HU$25))=Fixtures!$DN30,CONCATENATE(HU$10,", "),""))</f>
        <v/>
      </c>
      <c r="HV30" s="713" t="str">
        <f ca="1">IF(INDIRECT(CONCATENATE($FK$12,Fixtures!HV$25))="","",IF(INDIRECT(CONCATENATE($FK$12,Fixtures!HV$25))=Fixtures!$DN30,CONCATENATE(HV$10,", "),""))</f>
        <v/>
      </c>
      <c r="HW30" s="713" t="str">
        <f ca="1">IF(INDIRECT(CONCATENATE($FK$12,Fixtures!HW$25))="","",IF(INDIRECT(CONCATENATE($FK$12,Fixtures!HW$25))=Fixtures!$DN30,CONCATENATE(HW$10,", "),""))</f>
        <v/>
      </c>
      <c r="HX30" s="713" t="str">
        <f ca="1">IF(INDIRECT(CONCATENATE($FK$12,Fixtures!HX$25))="","",IF(INDIRECT(CONCATENATE($FK$12,Fixtures!HX$25))=Fixtures!$DN30,CONCATENATE(HX$10,", "),""))</f>
        <v/>
      </c>
      <c r="HY30" s="713" t="str">
        <f ca="1">IF(INDIRECT(CONCATENATE($FK$12,Fixtures!HY$25))="","",IF(INDIRECT(CONCATENATE($FK$12,Fixtures!HY$25))=Fixtures!$DN30,CONCATENATE(HY$10,", "),""))</f>
        <v/>
      </c>
      <c r="HZ30" s="713" t="str">
        <f ca="1">IF(INDIRECT(CONCATENATE($FK$12,Fixtures!HZ$25))="","",IF(INDIRECT(CONCATENATE($FK$12,Fixtures!HZ$25))=Fixtures!$DN30,CONCATENATE(HZ$10,", "),""))</f>
        <v/>
      </c>
      <c r="IA30" s="713" t="str">
        <f ca="1">IF(INDIRECT(CONCATENATE($FK$12,Fixtures!IA$25))="","",IF(INDIRECT(CONCATENATE($FK$12,Fixtures!IA$25))=Fixtures!$DN30,CONCATENATE(IA$10,", "),""))</f>
        <v/>
      </c>
      <c r="IB30" s="684" t="str">
        <f ca="1">IF(INDIRECT(CONCATENATE($FK$12,Fixtures!IB$25))="","",IF(INDIRECT(CONCATENATE($FK$12,Fixtures!IB$25))=Fixtures!$DN30,CONCATENATE(IB$10,", "),""))</f>
        <v/>
      </c>
      <c r="IC30" s="685" t="str">
        <f ca="1">IF(INDIRECT(CONCATENATE($FK$12,Fixtures!IC$25))="","",IF(INDIRECT(CONCATENATE($FK$12,Fixtures!IC$25))=Fixtures!$DN30,CONCATENATE(IC$10,", "),""))</f>
        <v/>
      </c>
      <c r="ID30" s="713" t="str">
        <f ca="1">IF(INDIRECT(CONCATENATE($FK$12,Fixtures!ID$25))="","",IF(INDIRECT(CONCATENATE($FK$12,Fixtures!ID$25))=Fixtures!$DN30,CONCATENATE(ID$10,", "),""))</f>
        <v/>
      </c>
      <c r="IE30" s="713" t="str">
        <f ca="1">IF(INDIRECT(CONCATENATE($FK$12,Fixtures!IE$25))="","",IF(INDIRECT(CONCATENATE($FK$12,Fixtures!IE$25))=Fixtures!$DN30,CONCATENATE(IE$10,", "),""))</f>
        <v/>
      </c>
      <c r="IF30" s="713" t="str">
        <f ca="1">IF(INDIRECT(CONCATENATE($FK$12,Fixtures!IF$25))="","",IF(INDIRECT(CONCATENATE($FK$12,Fixtures!IF$25))=Fixtures!$DN30,CONCATENATE(IF$10,", "),""))</f>
        <v/>
      </c>
      <c r="IG30" s="713" t="str">
        <f ca="1">IF(INDIRECT(CONCATENATE($FK$12,Fixtures!IG$25))="","",IF(INDIRECT(CONCATENATE($FK$12,Fixtures!IG$25))=Fixtures!$DN30,CONCATENATE(IG$10,", "),""))</f>
        <v/>
      </c>
      <c r="IH30" s="713" t="str">
        <f ca="1">IF(INDIRECT(CONCATENATE($FK$12,Fixtures!IH$25))="","",IF(INDIRECT(CONCATENATE($FK$12,Fixtures!IH$25))=Fixtures!$DN30,CONCATENATE(IH$10,", "),""))</f>
        <v/>
      </c>
      <c r="II30" s="713" t="str">
        <f ca="1">IF(INDIRECT(CONCATENATE($FK$12,Fixtures!II$25))="","",IF(INDIRECT(CONCATENATE($FK$12,Fixtures!II$25))=Fixtures!$DN30,CONCATENATE(II$10,", "),""))</f>
        <v/>
      </c>
      <c r="IJ30" s="713" t="str">
        <f ca="1">IF(INDIRECT(CONCATENATE($FK$12,Fixtures!IJ$25))="","",IF(INDIRECT(CONCATENATE($FK$12,Fixtures!IJ$25))=Fixtures!$DN30,CONCATENATE(IJ$10,", "),""))</f>
        <v/>
      </c>
      <c r="IK30" s="713" t="str">
        <f ca="1">IF(INDIRECT(CONCATENATE($FK$12,Fixtures!IK$25))="","",IF(INDIRECT(CONCATENATE($FK$12,Fixtures!IK$25))=Fixtures!$DN30,CONCATENATE(IK$10,", "),""))</f>
        <v/>
      </c>
      <c r="IL30" s="713" t="str">
        <f ca="1">IF(INDIRECT(CONCATENATE($FK$12,Fixtures!IL$25))="","",IF(INDIRECT(CONCATENATE($FK$12,Fixtures!IL$25))=Fixtures!$DN30,CONCATENATE(IL$10,", "),""))</f>
        <v/>
      </c>
      <c r="IM30" s="713" t="str">
        <f ca="1">IF(INDIRECT(CONCATENATE($FK$12,Fixtures!IM$25))="","",IF(INDIRECT(CONCATENATE($FK$12,Fixtures!IM$25))=Fixtures!$DN30,CONCATENATE(IM$10,", "),""))</f>
        <v/>
      </c>
      <c r="IN30" s="713" t="str">
        <f ca="1">IF(INDIRECT(CONCATENATE($FK$12,Fixtures!IN$25))="","",IF(INDIRECT(CONCATENATE($FK$12,Fixtures!IN$25))=Fixtures!$DN30,CONCATENATE(IN$10,", "),""))</f>
        <v/>
      </c>
      <c r="IO30" s="713" t="str">
        <f ca="1">IF(INDIRECT(CONCATENATE($FK$12,Fixtures!IO$25))="","",IF(INDIRECT(CONCATENATE($FK$12,Fixtures!IO$25))=Fixtures!$DN30,CONCATENATE(IO$10,", "),""))</f>
        <v/>
      </c>
      <c r="IP30" s="713" t="str">
        <f ca="1">IF(INDIRECT(CONCATENATE($FK$12,Fixtures!IP$25))="","",IF(INDIRECT(CONCATENATE($FK$12,Fixtures!IP$25))=Fixtures!$DN30,CONCATENATE(IP$10,", "),""))</f>
        <v/>
      </c>
      <c r="IQ30" s="684" t="str">
        <f ca="1">IF(INDIRECT(CONCATENATE($FK$12,Fixtures!IQ$25))="","",IF(INDIRECT(CONCATENATE($FK$12,Fixtures!IQ$25))=Fixtures!$DN30,CONCATENATE(IQ$10,", "),""))</f>
        <v/>
      </c>
      <c r="IR30" s="685" t="str">
        <f ca="1">IF(INDIRECT(CONCATENATE($FK$12,Fixtures!IR$25))="","",IF(INDIRECT(CONCATENATE($FK$12,Fixtures!IR$25))=Fixtures!$DN30,CONCATENATE(IR$10,", "),""))</f>
        <v/>
      </c>
      <c r="IS30" s="713" t="str">
        <f ca="1">IF(INDIRECT(CONCATENATE($FK$12,Fixtures!IS$25))="","",IF(INDIRECT(CONCATENATE($FK$12,Fixtures!IS$25))=Fixtures!$DN30,CONCATENATE(IS$10,", "),""))</f>
        <v/>
      </c>
      <c r="IT30" s="713" t="str">
        <f ca="1">IF(INDIRECT(CONCATENATE($FK$12,Fixtures!IT$25))="","",IF(INDIRECT(CONCATENATE($FK$12,Fixtures!IT$25))=Fixtures!$DN30,CONCATENATE(IT$10,", "),""))</f>
        <v/>
      </c>
      <c r="IU30" s="713" t="str">
        <f ca="1">IF(INDIRECT(CONCATENATE($FK$12,Fixtures!IU$25))="","",IF(INDIRECT(CONCATENATE($FK$12,Fixtures!IU$25))=Fixtures!$DN30,CONCATENATE(IU$10,", "),""))</f>
        <v/>
      </c>
      <c r="IV30" s="713" t="str">
        <f ca="1">IF(INDIRECT(CONCATENATE($FK$12,Fixtures!IV$25))="","",IF(INDIRECT(CONCATENATE($FK$12,Fixtures!IV$25))=Fixtures!$DN30,CONCATENATE(IV$10,", "),""))</f>
        <v/>
      </c>
      <c r="IW30" s="713" t="str">
        <f ca="1">IF(INDIRECT(CONCATENATE($FK$12,Fixtures!IW$25))="","",IF(INDIRECT(CONCATENATE($FK$12,Fixtures!IW$25))=Fixtures!$DN30,CONCATENATE(IW$10,", "),""))</f>
        <v/>
      </c>
      <c r="IX30" s="713" t="str">
        <f ca="1">IF(INDIRECT(CONCATENATE($FK$12,Fixtures!IX$25))="","",IF(INDIRECT(CONCATENATE($FK$12,Fixtures!IX$25))=Fixtures!$DN30,CONCATENATE(IX$10,", "),""))</f>
        <v/>
      </c>
      <c r="IY30" s="713" t="str">
        <f ca="1">IF(INDIRECT(CONCATENATE($FK$12,Fixtures!IY$25))="","",IF(INDIRECT(CONCATENATE($FK$12,Fixtures!IY$25))=Fixtures!$DN30,CONCATENATE(IY$10,", "),""))</f>
        <v/>
      </c>
      <c r="IZ30" s="713" t="str">
        <f ca="1">IF(INDIRECT(CONCATENATE($FK$12,Fixtures!IZ$25))="","",IF(INDIRECT(CONCATENATE($FK$12,Fixtures!IZ$25))=Fixtures!$DN30,CONCATENATE(IZ$10,", "),""))</f>
        <v/>
      </c>
      <c r="JA30" s="713" t="str">
        <f ca="1">IF(INDIRECT(CONCATENATE($FK$12,Fixtures!JA$25))="","",IF(INDIRECT(CONCATENATE($FK$12,Fixtures!JA$25))=Fixtures!$DN30,CONCATENATE(JA$10,", "),""))</f>
        <v/>
      </c>
      <c r="JB30" s="713" t="str">
        <f ca="1">IF(INDIRECT(CONCATENATE($FK$12,Fixtures!JB$25))="","",IF(INDIRECT(CONCATENATE($FK$12,Fixtures!JB$25))=Fixtures!$DN30,CONCATENATE(JB$10,", "),""))</f>
        <v/>
      </c>
      <c r="JC30" s="713" t="str">
        <f ca="1">IF(INDIRECT(CONCATENATE($FK$12,Fixtures!JC$25))="","",IF(INDIRECT(CONCATENATE($FK$12,Fixtures!JC$25))=Fixtures!$DN30,CONCATENATE(JC$10,", "),""))</f>
        <v/>
      </c>
      <c r="JD30" s="713" t="str">
        <f ca="1">IF(INDIRECT(CONCATENATE($FK$12,Fixtures!JD$25))="","",IF(INDIRECT(CONCATENATE($FK$12,Fixtures!JD$25))=Fixtures!$DN30,CONCATENATE(JD$10,", "),""))</f>
        <v/>
      </c>
      <c r="JE30" s="713" t="str">
        <f ca="1">IF(INDIRECT(CONCATENATE($FK$12,Fixtures!JE$25))="","",IF(INDIRECT(CONCATENATE($FK$12,Fixtures!JE$25))=Fixtures!$DN30,CONCATENATE(JE$10,", "),""))</f>
        <v/>
      </c>
      <c r="JF30" s="684" t="str">
        <f ca="1">IF(INDIRECT(CONCATENATE($FK$12,Fixtures!JF$25))="","",IF(INDIRECT(CONCATENATE($FK$12,Fixtures!JF$25))=Fixtures!$DN30,CONCATENATE(JF$10,", "),""))</f>
        <v/>
      </c>
      <c r="JG30" s="685" t="str">
        <f ca="1">IF(INDIRECT(CONCATENATE($FK$12,Fixtures!JG$25))="","",IF(INDIRECT(CONCATENATE($FK$12,Fixtures!JG$25))=Fixtures!$DN30,CONCATENATE(JG$10,", "),""))</f>
        <v/>
      </c>
      <c r="JH30" s="713" t="str">
        <f ca="1">IF(INDIRECT(CONCATENATE($FK$12,Fixtures!JH$25))="","",IF(INDIRECT(CONCATENATE($FK$12,Fixtures!JH$25))=Fixtures!$DN30,CONCATENATE(JH$10,", "),""))</f>
        <v/>
      </c>
      <c r="JI30" s="713" t="str">
        <f ca="1">IF(INDIRECT(CONCATENATE($FK$12,Fixtures!JI$25))="","",IF(INDIRECT(CONCATENATE($FK$12,Fixtures!JI$25))=Fixtures!$DN30,CONCATENATE(JI$10,", "),""))</f>
        <v/>
      </c>
      <c r="JJ30" s="713" t="str">
        <f ca="1">IF(INDIRECT(CONCATENATE($FK$12,Fixtures!JJ$25))="","",IF(INDIRECT(CONCATENATE($FK$12,Fixtures!JJ$25))=Fixtures!$DN30,CONCATENATE(JJ$10,", "),""))</f>
        <v/>
      </c>
      <c r="JK30" s="713" t="str">
        <f ca="1">IF(INDIRECT(CONCATENATE($FK$12,Fixtures!JK$25))="","",IF(INDIRECT(CONCATENATE($FK$12,Fixtures!JK$25))=Fixtures!$DN30,CONCATENATE(JK$10,", "),""))</f>
        <v/>
      </c>
      <c r="JL30" s="713" t="str">
        <f ca="1">IF(INDIRECT(CONCATENATE($FK$12,Fixtures!JL$25))="","",IF(INDIRECT(CONCATENATE($FK$12,Fixtures!JL$25))=Fixtures!$DN30,CONCATENATE(JL$10,", "),""))</f>
        <v/>
      </c>
      <c r="JM30" s="713" t="str">
        <f ca="1">IF(INDIRECT(CONCATENATE($FK$12,Fixtures!JM$25))="","",IF(INDIRECT(CONCATENATE($FK$12,Fixtures!JM$25))=Fixtures!$DN30,CONCATENATE(JM$10,", "),""))</f>
        <v/>
      </c>
      <c r="JN30" s="713" t="str">
        <f ca="1">IF(INDIRECT(CONCATENATE($FK$12,Fixtures!JN$25))="","",IF(INDIRECT(CONCATENATE($FK$12,Fixtures!JN$25))=Fixtures!$DN30,CONCATENATE(JN$10,", "),""))</f>
        <v/>
      </c>
      <c r="JO30" s="713" t="str">
        <f ca="1">IF(INDIRECT(CONCATENATE($FK$12,Fixtures!JO$25))="","",IF(INDIRECT(CONCATENATE($FK$12,Fixtures!JO$25))=Fixtures!$DN30,CONCATENATE(JO$10,", "),""))</f>
        <v/>
      </c>
      <c r="JP30" s="713" t="str">
        <f ca="1">IF(INDIRECT(CONCATENATE($FK$12,Fixtures!JP$25))="","",IF(INDIRECT(CONCATENATE($FK$12,Fixtures!JP$25))=Fixtures!$DN30,CONCATENATE(JP$10,", "),""))</f>
        <v/>
      </c>
      <c r="JQ30" s="713" t="str">
        <f ca="1">IF(INDIRECT(CONCATENATE($FK$12,Fixtures!JQ$25))="","",IF(INDIRECT(CONCATENATE($FK$12,Fixtures!JQ$25))=Fixtures!$DN30,CONCATENATE(JQ$10,", "),""))</f>
        <v/>
      </c>
      <c r="JR30" s="713" t="str">
        <f ca="1">IF(INDIRECT(CONCATENATE($FK$12,Fixtures!JR$25))="","",IF(INDIRECT(CONCATENATE($FK$12,Fixtures!JR$25))=Fixtures!$DN30,CONCATENATE(JR$10,", "),""))</f>
        <v/>
      </c>
      <c r="JS30" s="713" t="str">
        <f ca="1">IF(INDIRECT(CONCATENATE($FK$12,Fixtures!JS$25))="","",IF(INDIRECT(CONCATENATE($FK$12,Fixtures!JS$25))=Fixtures!$DN30,CONCATENATE(JS$10,", "),""))</f>
        <v/>
      </c>
      <c r="JT30" s="713" t="str">
        <f ca="1">IF(INDIRECT(CONCATENATE($FK$12,Fixtures!JT$25))="","",IF(INDIRECT(CONCATENATE($FK$12,Fixtures!JT$25))=Fixtures!$DN30,CONCATENATE(JT$10,", "),""))</f>
        <v/>
      </c>
      <c r="JU30" s="684" t="str">
        <f ca="1">IF(INDIRECT(CONCATENATE($FK$12,Fixtures!JU$25))="","",IF(INDIRECT(CONCATENATE($FK$12,Fixtures!JU$25))=Fixtures!$DN30,CONCATENATE(JU$10,", "),""))</f>
        <v/>
      </c>
      <c r="JV30" s="685" t="str">
        <f ca="1">IF(INDIRECT(CONCATENATE($FK$12,Fixtures!JV$25))="","",IF(INDIRECT(CONCATENATE($FK$12,Fixtures!JV$25))=Fixtures!$DN30,CONCATENATE(JV$10,", "),""))</f>
        <v/>
      </c>
      <c r="JW30" s="713" t="str">
        <f ca="1">IF(INDIRECT(CONCATENATE($FK$12,Fixtures!JW$25))="","",IF(INDIRECT(CONCATENATE($FK$12,Fixtures!JW$25))=Fixtures!$DN30,CONCATENATE(JW$10,", "),""))</f>
        <v/>
      </c>
      <c r="JX30" s="713" t="str">
        <f ca="1">IF(INDIRECT(CONCATENATE($FK$12,Fixtures!JX$25))="","",IF(INDIRECT(CONCATENATE($FK$12,Fixtures!JX$25))=Fixtures!$DN30,CONCATENATE(JX$10,", "),""))</f>
        <v/>
      </c>
      <c r="JY30" s="713" t="str">
        <f ca="1">IF(INDIRECT(CONCATENATE($FK$12,Fixtures!JY$25))="","",IF(INDIRECT(CONCATENATE($FK$12,Fixtures!JY$25))=Fixtures!$DN30,CONCATENATE(JY$10,", "),""))</f>
        <v/>
      </c>
      <c r="JZ30" s="713" t="str">
        <f ca="1">IF(INDIRECT(CONCATENATE($FK$12,Fixtures!JZ$25))="","",IF(INDIRECT(CONCATENATE($FK$12,Fixtures!JZ$25))=Fixtures!$DN30,CONCATENATE(JZ$10,", "),""))</f>
        <v/>
      </c>
      <c r="KA30" s="713" t="str">
        <f ca="1">IF(INDIRECT(CONCATENATE($FK$12,Fixtures!KA$25))="","",IF(INDIRECT(CONCATENATE($FK$12,Fixtures!KA$25))=Fixtures!$DN30,CONCATENATE(KA$10,", "),""))</f>
        <v/>
      </c>
      <c r="KB30" s="713" t="str">
        <f ca="1">IF(INDIRECT(CONCATENATE($FK$12,Fixtures!KB$25))="","",IF(INDIRECT(CONCATENATE($FK$12,Fixtures!KB$25))=Fixtures!$DN30,CONCATENATE(KB$10,", "),""))</f>
        <v/>
      </c>
      <c r="KC30" s="713" t="str">
        <f ca="1">IF(INDIRECT(CONCATENATE($FK$12,Fixtures!KC$25))="","",IF(INDIRECT(CONCATENATE($FK$12,Fixtures!KC$25))=Fixtures!$DN30,CONCATENATE(KC$10,", "),""))</f>
        <v/>
      </c>
      <c r="KD30" s="713" t="str">
        <f ca="1">IF(INDIRECT(CONCATENATE($FK$12,Fixtures!KD$25))="","",IF(INDIRECT(CONCATENATE($FK$12,Fixtures!KD$25))=Fixtures!$DN30,CONCATENATE(KD$10,", "),""))</f>
        <v/>
      </c>
      <c r="KE30" s="713" t="str">
        <f ca="1">IF(INDIRECT(CONCATENATE($FK$12,Fixtures!KE$25))="","",IF(INDIRECT(CONCATENATE($FK$12,Fixtures!KE$25))=Fixtures!$DN30,CONCATENATE(KE$10,", "),""))</f>
        <v/>
      </c>
      <c r="KF30" s="713" t="str">
        <f ca="1">IF(INDIRECT(CONCATENATE($FK$12,Fixtures!KF$25))="","",IF(INDIRECT(CONCATENATE($FK$12,Fixtures!KF$25))=Fixtures!$DN30,CONCATENATE(KF$10,", "),""))</f>
        <v/>
      </c>
      <c r="KG30" s="713" t="str">
        <f ca="1">IF(INDIRECT(CONCATENATE($FK$12,Fixtures!KG$25))="","",IF(INDIRECT(CONCATENATE($FK$12,Fixtures!KG$25))=Fixtures!$DN30,CONCATENATE(KG$10,", "),""))</f>
        <v/>
      </c>
      <c r="KH30" s="713" t="str">
        <f ca="1">IF(INDIRECT(CONCATENATE($FK$12,Fixtures!KH$25))="","",IF(INDIRECT(CONCATENATE($FK$12,Fixtures!KH$25))=Fixtures!$DN30,CONCATENATE(KH$10,", "),""))</f>
        <v/>
      </c>
      <c r="KI30" s="713" t="str">
        <f ca="1">IF(INDIRECT(CONCATENATE($FK$12,Fixtures!KI$25))="","",IF(INDIRECT(CONCATENATE($FK$12,Fixtures!KI$25))=Fixtures!$DN30,CONCATENATE(KI$10,", "),""))</f>
        <v/>
      </c>
      <c r="KJ30" s="684" t="str">
        <f ca="1">IF(INDIRECT(CONCATENATE($FK$12,Fixtures!KJ$25))="","",IF(INDIRECT(CONCATENATE($FK$12,Fixtures!KJ$25))=Fixtures!$DN30,CONCATENATE(KJ$10,", "),""))</f>
        <v/>
      </c>
      <c r="KK30" s="685" t="str">
        <f ca="1">IF(INDIRECT(CONCATENATE($FK$12,Fixtures!KK$25))="","",IF(INDIRECT(CONCATENATE($FK$12,Fixtures!KK$25))=Fixtures!$DN30,CONCATENATE(KK$10,", "),""))</f>
        <v/>
      </c>
      <c r="KL30" s="713" t="str">
        <f ca="1">IF(INDIRECT(CONCATENATE($FK$12,Fixtures!KL$25))="","",IF(INDIRECT(CONCATENATE($FK$12,Fixtures!KL$25))=Fixtures!$DN30,CONCATENATE(KL$10,", "),""))</f>
        <v/>
      </c>
      <c r="KM30" s="713" t="str">
        <f ca="1">IF(INDIRECT(CONCATENATE($FK$12,Fixtures!KM$25))="","",IF(INDIRECT(CONCATENATE($FK$12,Fixtures!KM$25))=Fixtures!$DN30,CONCATENATE(KM$10,", "),""))</f>
        <v/>
      </c>
      <c r="KN30" s="713" t="str">
        <f ca="1">IF(INDIRECT(CONCATENATE($FK$12,Fixtures!KN$25))="","",IF(INDIRECT(CONCATENATE($FK$12,Fixtures!KN$25))=Fixtures!$DN30,CONCATENATE(KN$10,", "),""))</f>
        <v/>
      </c>
      <c r="KO30" s="713" t="str">
        <f ca="1">IF(INDIRECT(CONCATENATE($FK$12,Fixtures!KO$25))="","",IF(INDIRECT(CONCATENATE($FK$12,Fixtures!KO$25))=Fixtures!$DN30,CONCATENATE(KO$10,", "),""))</f>
        <v/>
      </c>
      <c r="KP30" s="713" t="str">
        <f ca="1">IF(INDIRECT(CONCATENATE($FK$12,Fixtures!KP$25))="","",IF(INDIRECT(CONCATENATE($FK$12,Fixtures!KP$25))=Fixtures!$DN30,CONCATENATE(KP$10,", "),""))</f>
        <v/>
      </c>
      <c r="KQ30" s="713" t="str">
        <f ca="1">IF(INDIRECT(CONCATENATE($FK$12,Fixtures!KQ$25))="","",IF(INDIRECT(CONCATENATE($FK$12,Fixtures!KQ$25))=Fixtures!$DN30,CONCATENATE(KQ$10,", "),""))</f>
        <v/>
      </c>
      <c r="KR30" s="713" t="str">
        <f ca="1">IF(INDIRECT(CONCATENATE($FK$12,Fixtures!KR$25))="","",IF(INDIRECT(CONCATENATE($FK$12,Fixtures!KR$25))=Fixtures!$DN30,CONCATENATE(KR$10,", "),""))</f>
        <v/>
      </c>
      <c r="KS30" s="713" t="str">
        <f ca="1">IF(INDIRECT(CONCATENATE($FK$12,Fixtures!KS$25))="","",IF(INDIRECT(CONCATENATE($FK$12,Fixtures!KS$25))=Fixtures!$DN30,CONCATENATE(KS$10,", "),""))</f>
        <v/>
      </c>
      <c r="KT30" s="713" t="str">
        <f ca="1">IF(INDIRECT(CONCATENATE($FK$12,Fixtures!KT$25))="","",IF(INDIRECT(CONCATENATE($FK$12,Fixtures!KT$25))=Fixtures!$DN30,CONCATENATE(KT$10,", "),""))</f>
        <v/>
      </c>
      <c r="KU30" s="713" t="str">
        <f ca="1">IF(INDIRECT(CONCATENATE($FK$12,Fixtures!KU$25))="","",IF(INDIRECT(CONCATENATE($FK$12,Fixtures!KU$25))=Fixtures!$DN30,CONCATENATE(KU$10,", "),""))</f>
        <v/>
      </c>
      <c r="KV30" s="713" t="str">
        <f ca="1">IF(INDIRECT(CONCATENATE($FK$12,Fixtures!KV$25))="","",IF(INDIRECT(CONCATENATE($FK$12,Fixtures!KV$25))=Fixtures!$DN30,CONCATENATE(KV$10,", "),""))</f>
        <v/>
      </c>
      <c r="KW30" s="713" t="str">
        <f ca="1">IF(INDIRECT(CONCATENATE($FK$12,Fixtures!KW$25))="","",IF(INDIRECT(CONCATENATE($FK$12,Fixtures!KW$25))=Fixtures!$DN30,CONCATENATE(KW$10,", "),""))</f>
        <v/>
      </c>
      <c r="KX30" s="713" t="str">
        <f ca="1">IF(INDIRECT(CONCATENATE($FK$12,Fixtures!KX$25))="","",IF(INDIRECT(CONCATENATE($FK$12,Fixtures!KX$25))=Fixtures!$DN30,CONCATENATE(KX$10,", "),""))</f>
        <v/>
      </c>
      <c r="KY30" s="713" t="str">
        <f ca="1">IF(INDIRECT(CONCATENATE($FK$12,Fixtures!KY$25))="","",IF(INDIRECT(CONCATENATE($FK$12,Fixtures!KY$25))=Fixtures!$DN30,CONCATENATE(KY$10,", "),""))</f>
        <v/>
      </c>
      <c r="KZ30" s="46"/>
      <c r="LA30" s="46" t="str">
        <f t="shared" ca="1" si="8"/>
        <v/>
      </c>
    </row>
    <row r="31" spans="1:313" ht="28.05" customHeight="1" thickTop="1" thickBot="1">
      <c r="A31" s="471" t="str">
        <f t="shared" ref="A31:A78" si="13">IF(E31="","",VLOOKUP(E31,BM$93:BU$192,3,FALSE))</f>
        <v/>
      </c>
      <c r="C31" s="1328" t="str">
        <f t="shared" ref="C31:C76" si="14">CG93</f>
        <v/>
      </c>
      <c r="D31" s="1329"/>
      <c r="E31" s="1256" t="str">
        <f t="shared" ref="E31:E76" si="15">CE93</f>
        <v/>
      </c>
      <c r="F31" s="1257"/>
      <c r="G31" s="1257"/>
      <c r="H31" s="1257"/>
      <c r="I31" s="1257"/>
      <c r="J31" s="1257"/>
      <c r="K31" s="1257"/>
      <c r="L31" s="1257"/>
      <c r="M31" s="1330"/>
      <c r="N31" s="239" t="str">
        <f t="shared" ref="N31:N78" si="16">CF93</f>
        <v/>
      </c>
      <c r="P31" s="1328" t="str">
        <f>EI93</f>
        <v/>
      </c>
      <c r="Q31" s="1329"/>
      <c r="R31" s="1256" t="str">
        <f>EE93</f>
        <v/>
      </c>
      <c r="S31" s="1257"/>
      <c r="T31" s="1257"/>
      <c r="U31" s="1257"/>
      <c r="V31" s="1257"/>
      <c r="W31" s="1257"/>
      <c r="X31" s="1257"/>
      <c r="Y31" s="239" t="str">
        <f>EF93</f>
        <v/>
      </c>
      <c r="Z31" s="239" t="str">
        <f>EH93</f>
        <v/>
      </c>
      <c r="AA31" s="439" t="str">
        <f>EG93</f>
        <v/>
      </c>
      <c r="AB31" s="542"/>
      <c r="AC31" s="1253" t="str">
        <f t="shared" ref="AC31:AC78" si="17">IF(R31="","",VLOOKUP(R31,$DM$93:$DQ$142,5,FALSE))</f>
        <v/>
      </c>
      <c r="AD31" s="1166"/>
      <c r="AE31" s="1166"/>
      <c r="AF31" s="1166"/>
      <c r="AG31" s="1166"/>
      <c r="AH31" s="1166"/>
      <c r="AK31">
        <f>SUMIFS(Installations!CS$39:CS$800,Installations!CT$39:CT$800,E31,Installations!HX$39:HX$800,TRUE)</f>
        <v>0</v>
      </c>
      <c r="AL31">
        <f>SUMIFS(Installations!CS$39:CS$800,Installations!CT$39:CT$800,R31,Installations!HX$39:HX$800,TRUE)</f>
        <v>0</v>
      </c>
      <c r="BL31" s="9"/>
      <c r="BM31" s="703" t="str">
        <f t="shared" ref="BM31:BM76" si="18">IF(BX31="","",CONCATENATE(BX31," - ",BV31))</f>
        <v/>
      </c>
      <c r="BN31" s="52"/>
      <c r="BO31" s="52"/>
      <c r="BP31" s="52"/>
      <c r="BQ31" s="52"/>
      <c r="BR31" s="52"/>
      <c r="BS31" s="52"/>
      <c r="BT31" s="52"/>
      <c r="BU31" s="414"/>
      <c r="BV31" s="255" t="str">
        <f>IF(CN31&lt;&gt;"Yes","",IFERROR(VLOOKUP(CU31,Existing!A$4:F$364,2,FALSE),""))</f>
        <v/>
      </c>
      <c r="BW31" s="9">
        <v>5</v>
      </c>
      <c r="BX31" s="1313"/>
      <c r="BY31" s="1314"/>
      <c r="BZ31" s="1314"/>
      <c r="CA31" s="1315"/>
      <c r="CB31" s="1310"/>
      <c r="CC31" s="1311"/>
      <c r="CD31" s="1311"/>
      <c r="CE31" s="1312"/>
      <c r="CF31" s="1309"/>
      <c r="CG31" s="1309"/>
      <c r="CH31" s="1309"/>
      <c r="CI31" s="1309"/>
      <c r="CJ31" s="1309"/>
      <c r="CK31" s="1309"/>
      <c r="CL31" s="1309"/>
      <c r="CM31" s="1309"/>
      <c r="CN31" s="1243" t="str">
        <f t="shared" si="0"/>
        <v/>
      </c>
      <c r="CO31" s="1244"/>
      <c r="CP31" s="265" t="str">
        <f>IFERROR(IF(CB31="Existing TLED",CR31*CW31*CY31,VLOOKUP(CU31,Existing!A$3:F$353,6,FALSE)),"")</f>
        <v/>
      </c>
      <c r="CQ31" s="9"/>
      <c r="CR31" s="1343"/>
      <c r="CS31" s="1344"/>
      <c r="CT31" s="9"/>
      <c r="CU31" s="470" t="str">
        <f>IF(CN31="","",IF(CB31="Existing TLED",CONCATENATE(CB31," - ",CF31),CONCATENATE(CB31," - ",CF31," ",CJ31)))</f>
        <v/>
      </c>
      <c r="CV31" s="471" t="b">
        <f>IF(CB31="Existing TLED",TRUE,FALSE)</f>
        <v>0</v>
      </c>
      <c r="CW31" s="471" t="str">
        <f>LEFT(CJ31,1)</f>
        <v/>
      </c>
      <c r="CX31" s="471">
        <f>IFERROR(VLOOKUP(CF31,Lookup!M$100:O$102,3,FALSE),0)</f>
        <v>0</v>
      </c>
      <c r="CY31" s="471">
        <f t="shared" si="9"/>
        <v>1.1100000000000001</v>
      </c>
      <c r="CZ31" s="707" t="b">
        <f t="shared" si="1"/>
        <v>0</v>
      </c>
      <c r="DA31" s="707" t="b">
        <f>IF(CF31&lt;&gt;"",IF(ISERROR(MATCH(CONCATENATE(CB31," - ",CF31),Existing!G$4:G$328,0))=TRUE,FALSE,TRUE),TRUE)</f>
        <v>1</v>
      </c>
      <c r="DB31" s="707" t="b">
        <f t="shared" si="2"/>
        <v>1</v>
      </c>
      <c r="DL31" s="9"/>
      <c r="DM31" s="708" t="s">
        <v>166</v>
      </c>
      <c r="DN31" s="416" t="str">
        <f t="shared" si="3"/>
        <v/>
      </c>
      <c r="DO31" s="52"/>
      <c r="DP31" s="52"/>
      <c r="DQ31" s="52"/>
      <c r="DR31" s="52"/>
      <c r="DS31" s="52"/>
      <c r="DT31" s="262"/>
      <c r="DU31" s="417"/>
      <c r="DV31" s="263" t="str">
        <f t="shared" si="4"/>
        <v/>
      </c>
      <c r="DW31" s="260">
        <v>5</v>
      </c>
      <c r="DX31" s="1306"/>
      <c r="DY31" s="1307"/>
      <c r="DZ31" s="1307"/>
      <c r="EA31" s="1308"/>
      <c r="EB31" s="1306"/>
      <c r="EC31" s="1307"/>
      <c r="ED31" s="1307"/>
      <c r="EE31" s="1308"/>
      <c r="EF31" s="1266"/>
      <c r="EG31" s="1267"/>
      <c r="EH31" s="1260"/>
      <c r="EI31" s="1261"/>
      <c r="EJ31" s="1261"/>
      <c r="EK31" s="1262"/>
      <c r="EL31" s="1263"/>
      <c r="EM31" s="1264"/>
      <c r="EN31" s="1264"/>
      <c r="EO31" s="1265"/>
      <c r="EP31" s="1266"/>
      <c r="EQ31" s="1267"/>
      <c r="ER31" s="1245"/>
      <c r="ES31" s="1246"/>
      <c r="ET31" s="1243" t="str">
        <f t="shared" si="5"/>
        <v/>
      </c>
      <c r="EU31" s="1244"/>
      <c r="EV31" s="1243" t="str">
        <f t="shared" si="6"/>
        <v/>
      </c>
      <c r="EW31" s="1244"/>
      <c r="EX31" s="438"/>
      <c r="EY31" s="261" t="str">
        <f t="shared" si="7"/>
        <v/>
      </c>
      <c r="EZ31" s="261" t="str">
        <f>IFERROR(VLOOKUP(EB31,Lookup!AM$3:AN$13,2,FALSE),"")</f>
        <v/>
      </c>
      <c r="FA31" s="471" t="b">
        <f>IFERROR(IF(VLOOKUP(EB31,Lookup!AM$6:AN$8,2,FALSE)&gt;3,TRUE,FALSE),FALSE)</f>
        <v>0</v>
      </c>
      <c r="FB31" s="471">
        <f t="shared" si="11"/>
        <v>1</v>
      </c>
      <c r="FC31" t="str">
        <f t="shared" ca="1" si="10"/>
        <v/>
      </c>
      <c r="FG31" t="str">
        <f t="shared" ca="1" si="12"/>
        <v/>
      </c>
      <c r="FI31" s="240" t="str">
        <f ca="1">IFERROR(LEFT(LA31,LEN(LA31)-2),"")</f>
        <v/>
      </c>
      <c r="FJ31" s="240"/>
      <c r="FK31" s="712" t="str">
        <f ca="1">IF(INDIRECT(CONCATENATE($FK$12,Fixtures!FK$25))="","",IF(INDIRECT(CONCATENATE($FK$12,Fixtures!FK$25))=Fixtures!$DN31,CONCATENATE(FK$10,", "),""))</f>
        <v/>
      </c>
      <c r="FL31" s="712" t="str">
        <f ca="1">IF(INDIRECT(CONCATENATE($FK$12,Fixtures!FL$25))="","",IF(INDIRECT(CONCATENATE($FK$12,Fixtures!FL$25))=Fixtures!$DN31,CONCATENATE(FL$10,", "),""))</f>
        <v/>
      </c>
      <c r="FM31" s="712" t="str">
        <f ca="1">IF(INDIRECT(CONCATENATE($FK$12,Fixtures!FM$25))="","",IF(INDIRECT(CONCATENATE($FK$12,Fixtures!FM$25))=Fixtures!$DN31,CONCATENATE(FM$10,", "),""))</f>
        <v/>
      </c>
      <c r="FN31" s="712" t="str">
        <f ca="1">IF(INDIRECT(CONCATENATE($FK$12,Fixtures!FN$25))="","",IF(INDIRECT(CONCATENATE($FK$12,Fixtures!FN$25))=Fixtures!$DN31,CONCATENATE(FN$10,", "),""))</f>
        <v/>
      </c>
      <c r="FO31" s="712" t="str">
        <f ca="1">IF(INDIRECT(CONCATENATE($FK$12,Fixtures!FO$25))="","",IF(INDIRECT(CONCATENATE($FK$12,Fixtures!FO$25))=Fixtures!$DN31,CONCATENATE(FO$10,", "),""))</f>
        <v/>
      </c>
      <c r="FP31" s="712" t="str">
        <f ca="1">IF(INDIRECT(CONCATENATE($FK$12,Fixtures!FP$25))="","",IF(INDIRECT(CONCATENATE($FK$12,Fixtures!FP$25))=Fixtures!$DN31,CONCATENATE(FP$10,", "),""))</f>
        <v/>
      </c>
      <c r="FQ31" s="712" t="str">
        <f ca="1">IF(INDIRECT(CONCATENATE($FK$12,Fixtures!FQ$25))="","",IF(INDIRECT(CONCATENATE($FK$12,Fixtures!FQ$25))=Fixtures!$DN31,CONCATENATE(FQ$10,", "),""))</f>
        <v/>
      </c>
      <c r="FR31" s="712" t="str">
        <f ca="1">IF(INDIRECT(CONCATENATE($FK$12,Fixtures!FR$25))="","",IF(INDIRECT(CONCATENATE($FK$12,Fixtures!FR$25))=Fixtures!$DN31,CONCATENATE(FR$10,", "),""))</f>
        <v/>
      </c>
      <c r="FS31" s="712" t="str">
        <f ca="1">IF(INDIRECT(CONCATENATE($FK$12,Fixtures!FS$25))="","",IF(INDIRECT(CONCATENATE($FK$12,Fixtures!FS$25))=Fixtures!$DN31,CONCATENATE(FS$10,", "),""))</f>
        <v/>
      </c>
      <c r="FT31" s="682" t="str">
        <f ca="1">IF(INDIRECT(CONCATENATE($FK$12,Fixtures!FT$25))="","",IF(INDIRECT(CONCATENATE($FK$12,Fixtures!FT$25))=Fixtures!$DN31,CONCATENATE(FT$10,", "),""))</f>
        <v/>
      </c>
      <c r="FU31" s="683" t="str">
        <f ca="1">IF(INDIRECT(CONCATENATE($FK$12,Fixtures!FU$25))="","",IF(INDIRECT(CONCATENATE($FK$12,Fixtures!FU$25))=Fixtures!$DN31,CONCATENATE(FU$10,", "),""))</f>
        <v/>
      </c>
      <c r="FV31" s="712" t="str">
        <f ca="1">IF(INDIRECT(CONCATENATE($FK$12,Fixtures!FV$25))="","",IF(INDIRECT(CONCATENATE($FK$12,Fixtures!FV$25))=Fixtures!$DN31,CONCATENATE(FV$10,", "),""))</f>
        <v/>
      </c>
      <c r="FW31" s="713" t="str">
        <f ca="1">IF(INDIRECT(CONCATENATE($FK$12,Fixtures!FW$25))="","",IF(INDIRECT(CONCATENATE($FK$12,Fixtures!FW$25))=Fixtures!$DN31,CONCATENATE(FW$10,", "),""))</f>
        <v/>
      </c>
      <c r="FX31" s="713" t="str">
        <f ca="1">IF(INDIRECT(CONCATENATE($FK$12,Fixtures!FX$25))="","",IF(INDIRECT(CONCATENATE($FK$12,Fixtures!FX$25))=Fixtures!$DN31,CONCATENATE(FX$10,", "),""))</f>
        <v/>
      </c>
      <c r="FY31" s="713" t="str">
        <f ca="1">IF(INDIRECT(CONCATENATE($FK$12,Fixtures!FY$25))="","",IF(INDIRECT(CONCATENATE($FK$12,Fixtures!FY$25))=Fixtures!$DN31,CONCATENATE(FY$10,", "),""))</f>
        <v/>
      </c>
      <c r="FZ31" s="713" t="str">
        <f ca="1">IF(INDIRECT(CONCATENATE($FK$12,Fixtures!FZ$25))="","",IF(INDIRECT(CONCATENATE($FK$12,Fixtures!FZ$25))=Fixtures!$DN31,CONCATENATE(FZ$10,", "),""))</f>
        <v/>
      </c>
      <c r="GA31" s="713" t="str">
        <f ca="1">IF(INDIRECT(CONCATENATE($FK$12,Fixtures!GA$25))="","",IF(INDIRECT(CONCATENATE($FK$12,Fixtures!GA$25))=Fixtures!$DN31,CONCATENATE(GA$10,", "),""))</f>
        <v/>
      </c>
      <c r="GB31" s="713" t="str">
        <f ca="1">IF(INDIRECT(CONCATENATE($FK$12,Fixtures!GB$25))="","",IF(INDIRECT(CONCATENATE($FK$12,Fixtures!GB$25))=Fixtures!$DN31,CONCATENATE(GB$10,", "),""))</f>
        <v/>
      </c>
      <c r="GC31" s="713" t="str">
        <f ca="1">IF(INDIRECT(CONCATENATE($FK$12,Fixtures!GC$25))="","",IF(INDIRECT(CONCATENATE($FK$12,Fixtures!GC$25))=Fixtures!$DN31,CONCATENATE(GC$10,", "),""))</f>
        <v/>
      </c>
      <c r="GD31" s="713" t="str">
        <f ca="1">IF(INDIRECT(CONCATENATE($FK$12,Fixtures!GD$25))="","",IF(INDIRECT(CONCATENATE($FK$12,Fixtures!GD$25))=Fixtures!$DN31,CONCATENATE(GD$10,", "),""))</f>
        <v/>
      </c>
      <c r="GE31" s="713" t="str">
        <f ca="1">IF(INDIRECT(CONCATENATE($FK$12,Fixtures!GE$25))="","",IF(INDIRECT(CONCATENATE($FK$12,Fixtures!GE$25))=Fixtures!$DN31,CONCATENATE(GE$10,", "),""))</f>
        <v/>
      </c>
      <c r="GF31" s="713" t="str">
        <f ca="1">IF(INDIRECT(CONCATENATE($FK$12,Fixtures!GF$25))="","",IF(INDIRECT(CONCATENATE($FK$12,Fixtures!GF$25))=Fixtures!$DN31,CONCATENATE(GF$10,", "),""))</f>
        <v/>
      </c>
      <c r="GG31" s="713" t="str">
        <f ca="1">IF(INDIRECT(CONCATENATE($FK$12,Fixtures!GG$25))="","",IF(INDIRECT(CONCATENATE($FK$12,Fixtures!GG$25))=Fixtures!$DN31,CONCATENATE(GG$10,", "),""))</f>
        <v/>
      </c>
      <c r="GH31" s="713" t="str">
        <f ca="1">IF(INDIRECT(CONCATENATE($FK$12,Fixtures!GH$25))="","",IF(INDIRECT(CONCATENATE($FK$12,Fixtures!GH$25))=Fixtures!$DN31,CONCATENATE(GH$10,", "),""))</f>
        <v/>
      </c>
      <c r="GI31" s="684" t="str">
        <f ca="1">IF(INDIRECT(CONCATENATE($FK$12,Fixtures!GI$25))="","",IF(INDIRECT(CONCATENATE($FK$12,Fixtures!GI$25))=Fixtures!$DN31,CONCATENATE(GI$10,", "),""))</f>
        <v/>
      </c>
      <c r="GJ31" s="685" t="str">
        <f ca="1">IF(INDIRECT(CONCATENATE($FK$12,Fixtures!GJ$25))="","",IF(INDIRECT(CONCATENATE($FK$12,Fixtures!GJ$25))=Fixtures!$DN31,CONCATENATE(GJ$10,", "),""))</f>
        <v/>
      </c>
      <c r="GK31" s="713" t="str">
        <f ca="1">IF(INDIRECT(CONCATENATE($FK$12,Fixtures!GK$25))="","",IF(INDIRECT(CONCATENATE($FK$12,Fixtures!GK$25))=Fixtures!$DN31,CONCATENATE(GK$10,", "),""))</f>
        <v/>
      </c>
      <c r="GL31" s="713" t="str">
        <f ca="1">IF(INDIRECT(CONCATENATE($FK$12,Fixtures!GL$25))="","",IF(INDIRECT(CONCATENATE($FK$12,Fixtures!GL$25))=Fixtures!$DN31,CONCATENATE(GL$10,", "),""))</f>
        <v/>
      </c>
      <c r="GM31" s="713" t="str">
        <f ca="1">IF(INDIRECT(CONCATENATE($FK$12,Fixtures!GM$25))="","",IF(INDIRECT(CONCATENATE($FK$12,Fixtures!GM$25))=Fixtures!$DN31,CONCATENATE(GM$10,", "),""))</f>
        <v/>
      </c>
      <c r="GN31" s="713" t="str">
        <f ca="1">IF(INDIRECT(CONCATENATE($FK$12,Fixtures!GN$25))="","",IF(INDIRECT(CONCATENATE($FK$12,Fixtures!GN$25))=Fixtures!$DN31,CONCATENATE(GN$10,", "),""))</f>
        <v/>
      </c>
      <c r="GO31" s="713" t="str">
        <f ca="1">IF(INDIRECT(CONCATENATE($FK$12,Fixtures!GO$25))="","",IF(INDIRECT(CONCATENATE($FK$12,Fixtures!GO$25))=Fixtures!$DN31,CONCATENATE(GO$10,", "),""))</f>
        <v/>
      </c>
      <c r="GP31" s="713" t="str">
        <f ca="1">IF(INDIRECT(CONCATENATE($FK$12,Fixtures!GP$25))="","",IF(INDIRECT(CONCATENATE($FK$12,Fixtures!GP$25))=Fixtures!$DN31,CONCATENATE(GP$10,", "),""))</f>
        <v/>
      </c>
      <c r="GQ31" s="713" t="str">
        <f ca="1">IF(INDIRECT(CONCATENATE($FK$12,Fixtures!GQ$25))="","",IF(INDIRECT(CONCATENATE($FK$12,Fixtures!GQ$25))=Fixtures!$DN31,CONCATENATE(GQ$10,", "),""))</f>
        <v/>
      </c>
      <c r="GR31" s="713" t="str">
        <f ca="1">IF(INDIRECT(CONCATENATE($FK$12,Fixtures!GR$25))="","",IF(INDIRECT(CONCATENATE($FK$12,Fixtures!GR$25))=Fixtures!$DN31,CONCATENATE(GR$10,", "),""))</f>
        <v/>
      </c>
      <c r="GS31" s="713" t="str">
        <f ca="1">IF(INDIRECT(CONCATENATE($FK$12,Fixtures!GS$25))="","",IF(INDIRECT(CONCATENATE($FK$12,Fixtures!GS$25))=Fixtures!$DN31,CONCATENATE(GS$10,", "),""))</f>
        <v/>
      </c>
      <c r="GT31" s="713" t="str">
        <f ca="1">IF(INDIRECT(CONCATENATE($FK$12,Fixtures!GT$25))="","",IF(INDIRECT(CONCATENATE($FK$12,Fixtures!GT$25))=Fixtures!$DN31,CONCATENATE(GT$10,", "),""))</f>
        <v/>
      </c>
      <c r="GU31" s="713" t="str">
        <f ca="1">IF(INDIRECT(CONCATENATE($FK$12,Fixtures!GU$25))="","",IF(INDIRECT(CONCATENATE($FK$12,Fixtures!GU$25))=Fixtures!$DN31,CONCATENATE(GU$10,", "),""))</f>
        <v/>
      </c>
      <c r="GV31" s="713" t="str">
        <f ca="1">IF(INDIRECT(CONCATENATE($FK$12,Fixtures!GV$25))="","",IF(INDIRECT(CONCATENATE($FK$12,Fixtures!GV$25))=Fixtures!$DN31,CONCATENATE(GV$10,", "),""))</f>
        <v/>
      </c>
      <c r="GW31" s="713" t="str">
        <f ca="1">IF(INDIRECT(CONCATENATE($FK$12,Fixtures!GW$25))="","",IF(INDIRECT(CONCATENATE($FK$12,Fixtures!GW$25))=Fixtures!$DN31,CONCATENATE(GW$10,", "),""))</f>
        <v/>
      </c>
      <c r="GX31" s="684" t="str">
        <f ca="1">IF(INDIRECT(CONCATENATE($FK$12,Fixtures!GX$25))="","",IF(INDIRECT(CONCATENATE($FK$12,Fixtures!GX$25))=Fixtures!$DN31,CONCATENATE(GX$10,", "),""))</f>
        <v/>
      </c>
      <c r="GY31" s="685" t="str">
        <f ca="1">IF(INDIRECT(CONCATENATE($FK$12,Fixtures!GY$25))="","",IF(INDIRECT(CONCATENATE($FK$12,Fixtures!GY$25))=Fixtures!$DN31,CONCATENATE(GY$10,", "),""))</f>
        <v/>
      </c>
      <c r="GZ31" s="713" t="str">
        <f ca="1">IF(INDIRECT(CONCATENATE($FK$12,Fixtures!GZ$25))="","",IF(INDIRECT(CONCATENATE($FK$12,Fixtures!GZ$25))=Fixtures!$DN31,CONCATENATE(GZ$10,", "),""))</f>
        <v/>
      </c>
      <c r="HA31" s="713" t="str">
        <f ca="1">IF(INDIRECT(CONCATENATE($FK$12,Fixtures!HA$25))="","",IF(INDIRECT(CONCATENATE($FK$12,Fixtures!HA$25))=Fixtures!$DN31,CONCATENATE(HA$10,", "),""))</f>
        <v/>
      </c>
      <c r="HB31" s="713" t="str">
        <f ca="1">IF(INDIRECT(CONCATENATE($FK$12,Fixtures!HB$25))="","",IF(INDIRECT(CONCATENATE($FK$12,Fixtures!HB$25))=Fixtures!$DN31,CONCATENATE(HB$10,", "),""))</f>
        <v/>
      </c>
      <c r="HC31" s="713" t="str">
        <f ca="1">IF(INDIRECT(CONCATENATE($FK$12,Fixtures!HC$25))="","",IF(INDIRECT(CONCATENATE($FK$12,Fixtures!HC$25))=Fixtures!$DN31,CONCATENATE(HC$10,", "),""))</f>
        <v/>
      </c>
      <c r="HD31" s="713" t="str">
        <f ca="1">IF(INDIRECT(CONCATENATE($FK$12,Fixtures!HD$25))="","",IF(INDIRECT(CONCATENATE($FK$12,Fixtures!HD$25))=Fixtures!$DN31,CONCATENATE(HD$10,", "),""))</f>
        <v/>
      </c>
      <c r="HE31" s="713" t="str">
        <f ca="1">IF(INDIRECT(CONCATENATE($FK$12,Fixtures!HE$25))="","",IF(INDIRECT(CONCATENATE($FK$12,Fixtures!HE$25))=Fixtures!$DN31,CONCATENATE(HE$10,", "),""))</f>
        <v/>
      </c>
      <c r="HF31" s="713" t="str">
        <f ca="1">IF(INDIRECT(CONCATENATE($FK$12,Fixtures!HF$25))="","",IF(INDIRECT(CONCATENATE($FK$12,Fixtures!HF$25))=Fixtures!$DN31,CONCATENATE(HF$10,", "),""))</f>
        <v/>
      </c>
      <c r="HG31" s="713" t="str">
        <f ca="1">IF(INDIRECT(CONCATENATE($FK$12,Fixtures!HG$25))="","",IF(INDIRECT(CONCATENATE($FK$12,Fixtures!HG$25))=Fixtures!$DN31,CONCATENATE(HG$10,", "),""))</f>
        <v/>
      </c>
      <c r="HH31" s="713" t="str">
        <f ca="1">IF(INDIRECT(CONCATENATE($FK$12,Fixtures!HH$25))="","",IF(INDIRECT(CONCATENATE($FK$12,Fixtures!HH$25))=Fixtures!$DN31,CONCATENATE(HH$10,", "),""))</f>
        <v/>
      </c>
      <c r="HI31" s="713" t="str">
        <f ca="1">IF(INDIRECT(CONCATENATE($FK$12,Fixtures!HI$25))="","",IF(INDIRECT(CONCATENATE($FK$12,Fixtures!HI$25))=Fixtures!$DN31,CONCATENATE(HI$10,", "),""))</f>
        <v/>
      </c>
      <c r="HJ31" s="713" t="str">
        <f ca="1">IF(INDIRECT(CONCATENATE($FK$12,Fixtures!HJ$25))="","",IF(INDIRECT(CONCATENATE($FK$12,Fixtures!HJ$25))=Fixtures!$DN31,CONCATENATE(HJ$10,", "),""))</f>
        <v/>
      </c>
      <c r="HK31" s="713" t="str">
        <f ca="1">IF(INDIRECT(CONCATENATE($FK$12,Fixtures!HK$25))="","",IF(INDIRECT(CONCATENATE($FK$12,Fixtures!HK$25))=Fixtures!$DN31,CONCATENATE(HK$10,", "),""))</f>
        <v/>
      </c>
      <c r="HL31" s="713" t="str">
        <f ca="1">IF(INDIRECT(CONCATENATE($FK$12,Fixtures!HL$25))="","",IF(INDIRECT(CONCATENATE($FK$12,Fixtures!HL$25))=Fixtures!$DN31,CONCATENATE(HL$10,", "),""))</f>
        <v/>
      </c>
      <c r="HM31" s="684" t="str">
        <f ca="1">IF(INDIRECT(CONCATENATE($FK$12,Fixtures!HM$25))="","",IF(INDIRECT(CONCATENATE($FK$12,Fixtures!HM$25))=Fixtures!$DN31,CONCATENATE(HM$10,", "),""))</f>
        <v/>
      </c>
      <c r="HN31" s="685" t="str">
        <f ca="1">IF(INDIRECT(CONCATENATE($FK$12,Fixtures!HN$25))="","",IF(INDIRECT(CONCATENATE($FK$12,Fixtures!HN$25))=Fixtures!$DN31,CONCATENATE(HN$10,", "),""))</f>
        <v/>
      </c>
      <c r="HO31" s="713" t="str">
        <f ca="1">IF(INDIRECT(CONCATENATE($FK$12,Fixtures!HO$25))="","",IF(INDIRECT(CONCATENATE($FK$12,Fixtures!HO$25))=Fixtures!$DN31,CONCATENATE(HO$10,", "),""))</f>
        <v/>
      </c>
      <c r="HP31" s="713" t="str">
        <f ca="1">IF(INDIRECT(CONCATENATE($FK$12,Fixtures!HP$25))="","",IF(INDIRECT(CONCATENATE($FK$12,Fixtures!HP$25))=Fixtures!$DN31,CONCATENATE(HP$10,", "),""))</f>
        <v/>
      </c>
      <c r="HQ31" s="713" t="str">
        <f ca="1">IF(INDIRECT(CONCATENATE($FK$12,Fixtures!HQ$25))="","",IF(INDIRECT(CONCATENATE($FK$12,Fixtures!HQ$25))=Fixtures!$DN31,CONCATENATE(HQ$10,", "),""))</f>
        <v/>
      </c>
      <c r="HR31" s="713" t="str">
        <f ca="1">IF(INDIRECT(CONCATENATE($FK$12,Fixtures!HR$25))="","",IF(INDIRECT(CONCATENATE($FK$12,Fixtures!HR$25))=Fixtures!$DN31,CONCATENATE(HR$10,", "),""))</f>
        <v/>
      </c>
      <c r="HS31" s="713" t="str">
        <f ca="1">IF(INDIRECT(CONCATENATE($FK$12,Fixtures!HS$25))="","",IF(INDIRECT(CONCATENATE($FK$12,Fixtures!HS$25))=Fixtures!$DN31,CONCATENATE(HS$10,", "),""))</f>
        <v/>
      </c>
      <c r="HT31" s="713" t="str">
        <f ca="1">IF(INDIRECT(CONCATENATE($FK$12,Fixtures!HT$25))="","",IF(INDIRECT(CONCATENATE($FK$12,Fixtures!HT$25))=Fixtures!$DN31,CONCATENATE(HT$10,", "),""))</f>
        <v/>
      </c>
      <c r="HU31" s="713" t="str">
        <f ca="1">IF(INDIRECT(CONCATENATE($FK$12,Fixtures!HU$25))="","",IF(INDIRECT(CONCATENATE($FK$12,Fixtures!HU$25))=Fixtures!$DN31,CONCATENATE(HU$10,", "),""))</f>
        <v/>
      </c>
      <c r="HV31" s="713" t="str">
        <f ca="1">IF(INDIRECT(CONCATENATE($FK$12,Fixtures!HV$25))="","",IF(INDIRECT(CONCATENATE($FK$12,Fixtures!HV$25))=Fixtures!$DN31,CONCATENATE(HV$10,", "),""))</f>
        <v/>
      </c>
      <c r="HW31" s="713" t="str">
        <f ca="1">IF(INDIRECT(CONCATENATE($FK$12,Fixtures!HW$25))="","",IF(INDIRECT(CONCATENATE($FK$12,Fixtures!HW$25))=Fixtures!$DN31,CONCATENATE(HW$10,", "),""))</f>
        <v/>
      </c>
      <c r="HX31" s="713" t="str">
        <f ca="1">IF(INDIRECT(CONCATENATE($FK$12,Fixtures!HX$25))="","",IF(INDIRECT(CONCATENATE($FK$12,Fixtures!HX$25))=Fixtures!$DN31,CONCATENATE(HX$10,", "),""))</f>
        <v/>
      </c>
      <c r="HY31" s="713" t="str">
        <f ca="1">IF(INDIRECT(CONCATENATE($FK$12,Fixtures!HY$25))="","",IF(INDIRECT(CONCATENATE($FK$12,Fixtures!HY$25))=Fixtures!$DN31,CONCATENATE(HY$10,", "),""))</f>
        <v/>
      </c>
      <c r="HZ31" s="713" t="str">
        <f ca="1">IF(INDIRECT(CONCATENATE($FK$12,Fixtures!HZ$25))="","",IF(INDIRECT(CONCATENATE($FK$12,Fixtures!HZ$25))=Fixtures!$DN31,CONCATENATE(HZ$10,", "),""))</f>
        <v/>
      </c>
      <c r="IA31" s="713" t="str">
        <f ca="1">IF(INDIRECT(CONCATENATE($FK$12,Fixtures!IA$25))="","",IF(INDIRECT(CONCATENATE($FK$12,Fixtures!IA$25))=Fixtures!$DN31,CONCATENATE(IA$10,", "),""))</f>
        <v/>
      </c>
      <c r="IB31" s="684" t="str">
        <f ca="1">IF(INDIRECT(CONCATENATE($FK$12,Fixtures!IB$25))="","",IF(INDIRECT(CONCATENATE($FK$12,Fixtures!IB$25))=Fixtures!$DN31,CONCATENATE(IB$10,", "),""))</f>
        <v/>
      </c>
      <c r="IC31" s="685" t="str">
        <f ca="1">IF(INDIRECT(CONCATENATE($FK$12,Fixtures!IC$25))="","",IF(INDIRECT(CONCATENATE($FK$12,Fixtures!IC$25))=Fixtures!$DN31,CONCATENATE(IC$10,", "),""))</f>
        <v/>
      </c>
      <c r="ID31" s="713" t="str">
        <f ca="1">IF(INDIRECT(CONCATENATE($FK$12,Fixtures!ID$25))="","",IF(INDIRECT(CONCATENATE($FK$12,Fixtures!ID$25))=Fixtures!$DN31,CONCATENATE(ID$10,", "),""))</f>
        <v/>
      </c>
      <c r="IE31" s="713" t="str">
        <f ca="1">IF(INDIRECT(CONCATENATE($FK$12,Fixtures!IE$25))="","",IF(INDIRECT(CONCATENATE($FK$12,Fixtures!IE$25))=Fixtures!$DN31,CONCATENATE(IE$10,", "),""))</f>
        <v/>
      </c>
      <c r="IF31" s="713" t="str">
        <f ca="1">IF(INDIRECT(CONCATENATE($FK$12,Fixtures!IF$25))="","",IF(INDIRECT(CONCATENATE($FK$12,Fixtures!IF$25))=Fixtures!$DN31,CONCATENATE(IF$10,", "),""))</f>
        <v/>
      </c>
      <c r="IG31" s="713" t="str">
        <f ca="1">IF(INDIRECT(CONCATENATE($FK$12,Fixtures!IG$25))="","",IF(INDIRECT(CONCATENATE($FK$12,Fixtures!IG$25))=Fixtures!$DN31,CONCATENATE(IG$10,", "),""))</f>
        <v/>
      </c>
      <c r="IH31" s="713" t="str">
        <f ca="1">IF(INDIRECT(CONCATENATE($FK$12,Fixtures!IH$25))="","",IF(INDIRECT(CONCATENATE($FK$12,Fixtures!IH$25))=Fixtures!$DN31,CONCATENATE(IH$10,", "),""))</f>
        <v/>
      </c>
      <c r="II31" s="713" t="str">
        <f ca="1">IF(INDIRECT(CONCATENATE($FK$12,Fixtures!II$25))="","",IF(INDIRECT(CONCATENATE($FK$12,Fixtures!II$25))=Fixtures!$DN31,CONCATENATE(II$10,", "),""))</f>
        <v/>
      </c>
      <c r="IJ31" s="713" t="str">
        <f ca="1">IF(INDIRECT(CONCATENATE($FK$12,Fixtures!IJ$25))="","",IF(INDIRECT(CONCATENATE($FK$12,Fixtures!IJ$25))=Fixtures!$DN31,CONCATENATE(IJ$10,", "),""))</f>
        <v/>
      </c>
      <c r="IK31" s="713" t="str">
        <f ca="1">IF(INDIRECT(CONCATENATE($FK$12,Fixtures!IK$25))="","",IF(INDIRECT(CONCATENATE($FK$12,Fixtures!IK$25))=Fixtures!$DN31,CONCATENATE(IK$10,", "),""))</f>
        <v/>
      </c>
      <c r="IL31" s="713" t="str">
        <f ca="1">IF(INDIRECT(CONCATENATE($FK$12,Fixtures!IL$25))="","",IF(INDIRECT(CONCATENATE($FK$12,Fixtures!IL$25))=Fixtures!$DN31,CONCATENATE(IL$10,", "),""))</f>
        <v/>
      </c>
      <c r="IM31" s="713" t="str">
        <f ca="1">IF(INDIRECT(CONCATENATE($FK$12,Fixtures!IM$25))="","",IF(INDIRECT(CONCATENATE($FK$12,Fixtures!IM$25))=Fixtures!$DN31,CONCATENATE(IM$10,", "),""))</f>
        <v/>
      </c>
      <c r="IN31" s="713" t="str">
        <f ca="1">IF(INDIRECT(CONCATENATE($FK$12,Fixtures!IN$25))="","",IF(INDIRECT(CONCATENATE($FK$12,Fixtures!IN$25))=Fixtures!$DN31,CONCATENATE(IN$10,", "),""))</f>
        <v/>
      </c>
      <c r="IO31" s="713" t="str">
        <f ca="1">IF(INDIRECT(CONCATENATE($FK$12,Fixtures!IO$25))="","",IF(INDIRECT(CONCATENATE($FK$12,Fixtures!IO$25))=Fixtures!$DN31,CONCATENATE(IO$10,", "),""))</f>
        <v/>
      </c>
      <c r="IP31" s="713" t="str">
        <f ca="1">IF(INDIRECT(CONCATENATE($FK$12,Fixtures!IP$25))="","",IF(INDIRECT(CONCATENATE($FK$12,Fixtures!IP$25))=Fixtures!$DN31,CONCATENATE(IP$10,", "),""))</f>
        <v/>
      </c>
      <c r="IQ31" s="684" t="str">
        <f ca="1">IF(INDIRECT(CONCATENATE($FK$12,Fixtures!IQ$25))="","",IF(INDIRECT(CONCATENATE($FK$12,Fixtures!IQ$25))=Fixtures!$DN31,CONCATENATE(IQ$10,", "),""))</f>
        <v/>
      </c>
      <c r="IR31" s="685" t="str">
        <f ca="1">IF(INDIRECT(CONCATENATE($FK$12,Fixtures!IR$25))="","",IF(INDIRECT(CONCATENATE($FK$12,Fixtures!IR$25))=Fixtures!$DN31,CONCATENATE(IR$10,", "),""))</f>
        <v/>
      </c>
      <c r="IS31" s="713" t="str">
        <f ca="1">IF(INDIRECT(CONCATENATE($FK$12,Fixtures!IS$25))="","",IF(INDIRECT(CONCATENATE($FK$12,Fixtures!IS$25))=Fixtures!$DN31,CONCATENATE(IS$10,", "),""))</f>
        <v/>
      </c>
      <c r="IT31" s="713" t="str">
        <f ca="1">IF(INDIRECT(CONCATENATE($FK$12,Fixtures!IT$25))="","",IF(INDIRECT(CONCATENATE($FK$12,Fixtures!IT$25))=Fixtures!$DN31,CONCATENATE(IT$10,", "),""))</f>
        <v/>
      </c>
      <c r="IU31" s="713" t="str">
        <f ca="1">IF(INDIRECT(CONCATENATE($FK$12,Fixtures!IU$25))="","",IF(INDIRECT(CONCATENATE($FK$12,Fixtures!IU$25))=Fixtures!$DN31,CONCATENATE(IU$10,", "),""))</f>
        <v/>
      </c>
      <c r="IV31" s="713" t="str">
        <f ca="1">IF(INDIRECT(CONCATENATE($FK$12,Fixtures!IV$25))="","",IF(INDIRECT(CONCATENATE($FK$12,Fixtures!IV$25))=Fixtures!$DN31,CONCATENATE(IV$10,", "),""))</f>
        <v/>
      </c>
      <c r="IW31" s="713" t="str">
        <f ca="1">IF(INDIRECT(CONCATENATE($FK$12,Fixtures!IW$25))="","",IF(INDIRECT(CONCATENATE($FK$12,Fixtures!IW$25))=Fixtures!$DN31,CONCATENATE(IW$10,", "),""))</f>
        <v/>
      </c>
      <c r="IX31" s="713" t="str">
        <f ca="1">IF(INDIRECT(CONCATENATE($FK$12,Fixtures!IX$25))="","",IF(INDIRECT(CONCATENATE($FK$12,Fixtures!IX$25))=Fixtures!$DN31,CONCATENATE(IX$10,", "),""))</f>
        <v/>
      </c>
      <c r="IY31" s="713" t="str">
        <f ca="1">IF(INDIRECT(CONCATENATE($FK$12,Fixtures!IY$25))="","",IF(INDIRECT(CONCATENATE($FK$12,Fixtures!IY$25))=Fixtures!$DN31,CONCATENATE(IY$10,", "),""))</f>
        <v/>
      </c>
      <c r="IZ31" s="713" t="str">
        <f ca="1">IF(INDIRECT(CONCATENATE($FK$12,Fixtures!IZ$25))="","",IF(INDIRECT(CONCATENATE($FK$12,Fixtures!IZ$25))=Fixtures!$DN31,CONCATENATE(IZ$10,", "),""))</f>
        <v/>
      </c>
      <c r="JA31" s="713" t="str">
        <f ca="1">IF(INDIRECT(CONCATENATE($FK$12,Fixtures!JA$25))="","",IF(INDIRECT(CONCATENATE($FK$12,Fixtures!JA$25))=Fixtures!$DN31,CONCATENATE(JA$10,", "),""))</f>
        <v/>
      </c>
      <c r="JB31" s="713" t="str">
        <f ca="1">IF(INDIRECT(CONCATENATE($FK$12,Fixtures!JB$25))="","",IF(INDIRECT(CONCATENATE($FK$12,Fixtures!JB$25))=Fixtures!$DN31,CONCATENATE(JB$10,", "),""))</f>
        <v/>
      </c>
      <c r="JC31" s="713" t="str">
        <f ca="1">IF(INDIRECT(CONCATENATE($FK$12,Fixtures!JC$25))="","",IF(INDIRECT(CONCATENATE($FK$12,Fixtures!JC$25))=Fixtures!$DN31,CONCATENATE(JC$10,", "),""))</f>
        <v/>
      </c>
      <c r="JD31" s="713" t="str">
        <f ca="1">IF(INDIRECT(CONCATENATE($FK$12,Fixtures!JD$25))="","",IF(INDIRECT(CONCATENATE($FK$12,Fixtures!JD$25))=Fixtures!$DN31,CONCATENATE(JD$10,", "),""))</f>
        <v/>
      </c>
      <c r="JE31" s="713" t="str">
        <f ca="1">IF(INDIRECT(CONCATENATE($FK$12,Fixtures!JE$25))="","",IF(INDIRECT(CONCATENATE($FK$12,Fixtures!JE$25))=Fixtures!$DN31,CONCATENATE(JE$10,", "),""))</f>
        <v/>
      </c>
      <c r="JF31" s="684" t="str">
        <f ca="1">IF(INDIRECT(CONCATENATE($FK$12,Fixtures!JF$25))="","",IF(INDIRECT(CONCATENATE($FK$12,Fixtures!JF$25))=Fixtures!$DN31,CONCATENATE(JF$10,", "),""))</f>
        <v/>
      </c>
      <c r="JG31" s="685" t="str">
        <f ca="1">IF(INDIRECT(CONCATENATE($FK$12,Fixtures!JG$25))="","",IF(INDIRECT(CONCATENATE($FK$12,Fixtures!JG$25))=Fixtures!$DN31,CONCATENATE(JG$10,", "),""))</f>
        <v/>
      </c>
      <c r="JH31" s="713" t="str">
        <f ca="1">IF(INDIRECT(CONCATENATE($FK$12,Fixtures!JH$25))="","",IF(INDIRECT(CONCATENATE($FK$12,Fixtures!JH$25))=Fixtures!$DN31,CONCATENATE(JH$10,", "),""))</f>
        <v/>
      </c>
      <c r="JI31" s="713" t="str">
        <f ca="1">IF(INDIRECT(CONCATENATE($FK$12,Fixtures!JI$25))="","",IF(INDIRECT(CONCATENATE($FK$12,Fixtures!JI$25))=Fixtures!$DN31,CONCATENATE(JI$10,", "),""))</f>
        <v/>
      </c>
      <c r="JJ31" s="713" t="str">
        <f ca="1">IF(INDIRECT(CONCATENATE($FK$12,Fixtures!JJ$25))="","",IF(INDIRECT(CONCATENATE($FK$12,Fixtures!JJ$25))=Fixtures!$DN31,CONCATENATE(JJ$10,", "),""))</f>
        <v/>
      </c>
      <c r="JK31" s="713" t="str">
        <f ca="1">IF(INDIRECT(CONCATENATE($FK$12,Fixtures!JK$25))="","",IF(INDIRECT(CONCATENATE($FK$12,Fixtures!JK$25))=Fixtures!$DN31,CONCATENATE(JK$10,", "),""))</f>
        <v/>
      </c>
      <c r="JL31" s="713" t="str">
        <f ca="1">IF(INDIRECT(CONCATENATE($FK$12,Fixtures!JL$25))="","",IF(INDIRECT(CONCATENATE($FK$12,Fixtures!JL$25))=Fixtures!$DN31,CONCATENATE(JL$10,", "),""))</f>
        <v/>
      </c>
      <c r="JM31" s="713" t="str">
        <f ca="1">IF(INDIRECT(CONCATENATE($FK$12,Fixtures!JM$25))="","",IF(INDIRECT(CONCATENATE($FK$12,Fixtures!JM$25))=Fixtures!$DN31,CONCATENATE(JM$10,", "),""))</f>
        <v/>
      </c>
      <c r="JN31" s="713" t="str">
        <f ca="1">IF(INDIRECT(CONCATENATE($FK$12,Fixtures!JN$25))="","",IF(INDIRECT(CONCATENATE($FK$12,Fixtures!JN$25))=Fixtures!$DN31,CONCATENATE(JN$10,", "),""))</f>
        <v/>
      </c>
      <c r="JO31" s="713" t="str">
        <f ca="1">IF(INDIRECT(CONCATENATE($FK$12,Fixtures!JO$25))="","",IF(INDIRECT(CONCATENATE($FK$12,Fixtures!JO$25))=Fixtures!$DN31,CONCATENATE(JO$10,", "),""))</f>
        <v/>
      </c>
      <c r="JP31" s="713" t="str">
        <f ca="1">IF(INDIRECT(CONCATENATE($FK$12,Fixtures!JP$25))="","",IF(INDIRECT(CONCATENATE($FK$12,Fixtures!JP$25))=Fixtures!$DN31,CONCATENATE(JP$10,", "),""))</f>
        <v/>
      </c>
      <c r="JQ31" s="713" t="str">
        <f ca="1">IF(INDIRECT(CONCATENATE($FK$12,Fixtures!JQ$25))="","",IF(INDIRECT(CONCATENATE($FK$12,Fixtures!JQ$25))=Fixtures!$DN31,CONCATENATE(JQ$10,", "),""))</f>
        <v/>
      </c>
      <c r="JR31" s="713" t="str">
        <f ca="1">IF(INDIRECT(CONCATENATE($FK$12,Fixtures!JR$25))="","",IF(INDIRECT(CONCATENATE($FK$12,Fixtures!JR$25))=Fixtures!$DN31,CONCATENATE(JR$10,", "),""))</f>
        <v/>
      </c>
      <c r="JS31" s="713" t="str">
        <f ca="1">IF(INDIRECT(CONCATENATE($FK$12,Fixtures!JS$25))="","",IF(INDIRECT(CONCATENATE($FK$12,Fixtures!JS$25))=Fixtures!$DN31,CONCATENATE(JS$10,", "),""))</f>
        <v/>
      </c>
      <c r="JT31" s="713" t="str">
        <f ca="1">IF(INDIRECT(CONCATENATE($FK$12,Fixtures!JT$25))="","",IF(INDIRECT(CONCATENATE($FK$12,Fixtures!JT$25))=Fixtures!$DN31,CONCATENATE(JT$10,", "),""))</f>
        <v/>
      </c>
      <c r="JU31" s="684" t="str">
        <f ca="1">IF(INDIRECT(CONCATENATE($FK$12,Fixtures!JU$25))="","",IF(INDIRECT(CONCATENATE($FK$12,Fixtures!JU$25))=Fixtures!$DN31,CONCATENATE(JU$10,", "),""))</f>
        <v/>
      </c>
      <c r="JV31" s="685" t="str">
        <f ca="1">IF(INDIRECT(CONCATENATE($FK$12,Fixtures!JV$25))="","",IF(INDIRECT(CONCATENATE($FK$12,Fixtures!JV$25))=Fixtures!$DN31,CONCATENATE(JV$10,", "),""))</f>
        <v/>
      </c>
      <c r="JW31" s="713" t="str">
        <f ca="1">IF(INDIRECT(CONCATENATE($FK$12,Fixtures!JW$25))="","",IF(INDIRECT(CONCATENATE($FK$12,Fixtures!JW$25))=Fixtures!$DN31,CONCATENATE(JW$10,", "),""))</f>
        <v/>
      </c>
      <c r="JX31" s="713" t="str">
        <f ca="1">IF(INDIRECT(CONCATENATE($FK$12,Fixtures!JX$25))="","",IF(INDIRECT(CONCATENATE($FK$12,Fixtures!JX$25))=Fixtures!$DN31,CONCATENATE(JX$10,", "),""))</f>
        <v/>
      </c>
      <c r="JY31" s="713" t="str">
        <f ca="1">IF(INDIRECT(CONCATENATE($FK$12,Fixtures!JY$25))="","",IF(INDIRECT(CONCATENATE($FK$12,Fixtures!JY$25))=Fixtures!$DN31,CONCATENATE(JY$10,", "),""))</f>
        <v/>
      </c>
      <c r="JZ31" s="713" t="str">
        <f ca="1">IF(INDIRECT(CONCATENATE($FK$12,Fixtures!JZ$25))="","",IF(INDIRECT(CONCATENATE($FK$12,Fixtures!JZ$25))=Fixtures!$DN31,CONCATENATE(JZ$10,", "),""))</f>
        <v/>
      </c>
      <c r="KA31" s="713" t="str">
        <f ca="1">IF(INDIRECT(CONCATENATE($FK$12,Fixtures!KA$25))="","",IF(INDIRECT(CONCATENATE($FK$12,Fixtures!KA$25))=Fixtures!$DN31,CONCATENATE(KA$10,", "),""))</f>
        <v/>
      </c>
      <c r="KB31" s="713" t="str">
        <f ca="1">IF(INDIRECT(CONCATENATE($FK$12,Fixtures!KB$25))="","",IF(INDIRECT(CONCATENATE($FK$12,Fixtures!KB$25))=Fixtures!$DN31,CONCATENATE(KB$10,", "),""))</f>
        <v/>
      </c>
      <c r="KC31" s="713" t="str">
        <f ca="1">IF(INDIRECT(CONCATENATE($FK$12,Fixtures!KC$25))="","",IF(INDIRECT(CONCATENATE($FK$12,Fixtures!KC$25))=Fixtures!$DN31,CONCATENATE(KC$10,", "),""))</f>
        <v/>
      </c>
      <c r="KD31" s="713" t="str">
        <f ca="1">IF(INDIRECT(CONCATENATE($FK$12,Fixtures!KD$25))="","",IF(INDIRECT(CONCATENATE($FK$12,Fixtures!KD$25))=Fixtures!$DN31,CONCATENATE(KD$10,", "),""))</f>
        <v/>
      </c>
      <c r="KE31" s="713" t="str">
        <f ca="1">IF(INDIRECT(CONCATENATE($FK$12,Fixtures!KE$25))="","",IF(INDIRECT(CONCATENATE($FK$12,Fixtures!KE$25))=Fixtures!$DN31,CONCATENATE(KE$10,", "),""))</f>
        <v/>
      </c>
      <c r="KF31" s="713" t="str">
        <f ca="1">IF(INDIRECT(CONCATENATE($FK$12,Fixtures!KF$25))="","",IF(INDIRECT(CONCATENATE($FK$12,Fixtures!KF$25))=Fixtures!$DN31,CONCATENATE(KF$10,", "),""))</f>
        <v/>
      </c>
      <c r="KG31" s="713" t="str">
        <f ca="1">IF(INDIRECT(CONCATENATE($FK$12,Fixtures!KG$25))="","",IF(INDIRECT(CONCATENATE($FK$12,Fixtures!KG$25))=Fixtures!$DN31,CONCATENATE(KG$10,", "),""))</f>
        <v/>
      </c>
      <c r="KH31" s="713" t="str">
        <f ca="1">IF(INDIRECT(CONCATENATE($FK$12,Fixtures!KH$25))="","",IF(INDIRECT(CONCATENATE($FK$12,Fixtures!KH$25))=Fixtures!$DN31,CONCATENATE(KH$10,", "),""))</f>
        <v/>
      </c>
      <c r="KI31" s="713" t="str">
        <f ca="1">IF(INDIRECT(CONCATENATE($FK$12,Fixtures!KI$25))="","",IF(INDIRECT(CONCATENATE($FK$12,Fixtures!KI$25))=Fixtures!$DN31,CONCATENATE(KI$10,", "),""))</f>
        <v/>
      </c>
      <c r="KJ31" s="684" t="str">
        <f ca="1">IF(INDIRECT(CONCATENATE($FK$12,Fixtures!KJ$25))="","",IF(INDIRECT(CONCATENATE($FK$12,Fixtures!KJ$25))=Fixtures!$DN31,CONCATENATE(KJ$10,", "),""))</f>
        <v/>
      </c>
      <c r="KK31" s="685" t="str">
        <f ca="1">IF(INDIRECT(CONCATENATE($FK$12,Fixtures!KK$25))="","",IF(INDIRECT(CONCATENATE($FK$12,Fixtures!KK$25))=Fixtures!$DN31,CONCATENATE(KK$10,", "),""))</f>
        <v/>
      </c>
      <c r="KL31" s="713" t="str">
        <f ca="1">IF(INDIRECT(CONCATENATE($FK$12,Fixtures!KL$25))="","",IF(INDIRECT(CONCATENATE($FK$12,Fixtures!KL$25))=Fixtures!$DN31,CONCATENATE(KL$10,", "),""))</f>
        <v/>
      </c>
      <c r="KM31" s="713" t="str">
        <f ca="1">IF(INDIRECT(CONCATENATE($FK$12,Fixtures!KM$25))="","",IF(INDIRECT(CONCATENATE($FK$12,Fixtures!KM$25))=Fixtures!$DN31,CONCATENATE(KM$10,", "),""))</f>
        <v/>
      </c>
      <c r="KN31" s="713" t="str">
        <f ca="1">IF(INDIRECT(CONCATENATE($FK$12,Fixtures!KN$25))="","",IF(INDIRECT(CONCATENATE($FK$12,Fixtures!KN$25))=Fixtures!$DN31,CONCATENATE(KN$10,", "),""))</f>
        <v/>
      </c>
      <c r="KO31" s="713" t="str">
        <f ca="1">IF(INDIRECT(CONCATENATE($FK$12,Fixtures!KO$25))="","",IF(INDIRECT(CONCATENATE($FK$12,Fixtures!KO$25))=Fixtures!$DN31,CONCATENATE(KO$10,", "),""))</f>
        <v/>
      </c>
      <c r="KP31" s="713" t="str">
        <f ca="1">IF(INDIRECT(CONCATENATE($FK$12,Fixtures!KP$25))="","",IF(INDIRECT(CONCATENATE($FK$12,Fixtures!KP$25))=Fixtures!$DN31,CONCATENATE(KP$10,", "),""))</f>
        <v/>
      </c>
      <c r="KQ31" s="713" t="str">
        <f ca="1">IF(INDIRECT(CONCATENATE($FK$12,Fixtures!KQ$25))="","",IF(INDIRECT(CONCATENATE($FK$12,Fixtures!KQ$25))=Fixtures!$DN31,CONCATENATE(KQ$10,", "),""))</f>
        <v/>
      </c>
      <c r="KR31" s="713" t="str">
        <f ca="1">IF(INDIRECT(CONCATENATE($FK$12,Fixtures!KR$25))="","",IF(INDIRECT(CONCATENATE($FK$12,Fixtures!KR$25))=Fixtures!$DN31,CONCATENATE(KR$10,", "),""))</f>
        <v/>
      </c>
      <c r="KS31" s="713" t="str">
        <f ca="1">IF(INDIRECT(CONCATENATE($FK$12,Fixtures!KS$25))="","",IF(INDIRECT(CONCATENATE($FK$12,Fixtures!KS$25))=Fixtures!$DN31,CONCATENATE(KS$10,", "),""))</f>
        <v/>
      </c>
      <c r="KT31" s="713" t="str">
        <f ca="1">IF(INDIRECT(CONCATENATE($FK$12,Fixtures!KT$25))="","",IF(INDIRECT(CONCATENATE($FK$12,Fixtures!KT$25))=Fixtures!$DN31,CONCATENATE(KT$10,", "),""))</f>
        <v/>
      </c>
      <c r="KU31" s="713" t="str">
        <f ca="1">IF(INDIRECT(CONCATENATE($FK$12,Fixtures!KU$25))="","",IF(INDIRECT(CONCATENATE($FK$12,Fixtures!KU$25))=Fixtures!$DN31,CONCATENATE(KU$10,", "),""))</f>
        <v/>
      </c>
      <c r="KV31" s="713" t="str">
        <f ca="1">IF(INDIRECT(CONCATENATE($FK$12,Fixtures!KV$25))="","",IF(INDIRECT(CONCATENATE($FK$12,Fixtures!KV$25))=Fixtures!$DN31,CONCATENATE(KV$10,", "),""))</f>
        <v/>
      </c>
      <c r="KW31" s="713" t="str">
        <f ca="1">IF(INDIRECT(CONCATENATE($FK$12,Fixtures!KW$25))="","",IF(INDIRECT(CONCATENATE($FK$12,Fixtures!KW$25))=Fixtures!$DN31,CONCATENATE(KW$10,", "),""))</f>
        <v/>
      </c>
      <c r="KX31" s="713" t="str">
        <f ca="1">IF(INDIRECT(CONCATENATE($FK$12,Fixtures!KX$25))="","",IF(INDIRECT(CONCATENATE($FK$12,Fixtures!KX$25))=Fixtures!$DN31,CONCATENATE(KX$10,", "),""))</f>
        <v/>
      </c>
      <c r="KY31" s="713" t="str">
        <f ca="1">IF(INDIRECT(CONCATENATE($FK$12,Fixtures!KY$25))="","",IF(INDIRECT(CONCATENATE($FK$12,Fixtures!KY$25))=Fixtures!$DN31,CONCATENATE(KY$10,", "),""))</f>
        <v/>
      </c>
      <c r="KZ31" s="46"/>
      <c r="LA31" s="46" t="str">
        <f t="shared" ca="1" si="8"/>
        <v/>
      </c>
    </row>
    <row r="32" spans="1:313" ht="28.05" customHeight="1" thickTop="1" thickBot="1">
      <c r="A32" s="471" t="str">
        <f t="shared" si="13"/>
        <v/>
      </c>
      <c r="C32" s="1328" t="str">
        <f t="shared" si="14"/>
        <v/>
      </c>
      <c r="D32" s="1329"/>
      <c r="E32" s="1256" t="str">
        <f t="shared" si="15"/>
        <v/>
      </c>
      <c r="F32" s="1257"/>
      <c r="G32" s="1257"/>
      <c r="H32" s="1257"/>
      <c r="I32" s="1257"/>
      <c r="J32" s="1257"/>
      <c r="K32" s="1257"/>
      <c r="L32" s="1257"/>
      <c r="M32" s="1330"/>
      <c r="N32" s="239" t="str">
        <f t="shared" si="16"/>
        <v/>
      </c>
      <c r="P32" s="1326" t="str">
        <f t="shared" ref="P32" si="19">EI94</f>
        <v/>
      </c>
      <c r="Q32" s="1327"/>
      <c r="R32" s="1256" t="str">
        <f t="shared" ref="R32" si="20">EE94</f>
        <v/>
      </c>
      <c r="S32" s="1257"/>
      <c r="T32" s="1257"/>
      <c r="U32" s="1257"/>
      <c r="V32" s="1257"/>
      <c r="W32" s="1257"/>
      <c r="X32" s="1257"/>
      <c r="Y32" s="239" t="str">
        <f>EF94</f>
        <v/>
      </c>
      <c r="Z32" s="239" t="str">
        <f>EH94</f>
        <v/>
      </c>
      <c r="AA32" s="439" t="str">
        <f>EG94</f>
        <v/>
      </c>
      <c r="AB32" s="542"/>
      <c r="AC32" s="1253" t="str">
        <f t="shared" si="17"/>
        <v/>
      </c>
      <c r="AD32" s="1166"/>
      <c r="AE32" s="1166"/>
      <c r="AF32" s="1166"/>
      <c r="AG32" s="1166"/>
      <c r="AH32" s="1166"/>
      <c r="AK32">
        <f>SUMIFS(Installations!CS$39:CS$800,Installations!CT$39:CT$800,E32,Installations!HX$39:HX$800,TRUE)</f>
        <v>0</v>
      </c>
      <c r="AL32">
        <f>SUMIFS(Installations!CS$39:CS$800,Installations!CT$39:CT$800,R32,Installations!HX$39:HX$800,TRUE)</f>
        <v>0</v>
      </c>
      <c r="BL32" s="9"/>
      <c r="BM32" s="703" t="str">
        <f t="shared" si="18"/>
        <v/>
      </c>
      <c r="BN32" s="52"/>
      <c r="BO32" s="52"/>
      <c r="BP32" s="52"/>
      <c r="BQ32" s="52"/>
      <c r="BR32" s="52"/>
      <c r="BS32" s="52"/>
      <c r="BT32" s="52"/>
      <c r="BU32" s="414"/>
      <c r="BV32" s="255" t="str">
        <f>IF(CN32&lt;&gt;"Yes","",IFERROR(VLOOKUP(CU32,Existing!A$4:F$364,2,FALSE),""))</f>
        <v/>
      </c>
      <c r="BW32" s="9">
        <v>6</v>
      </c>
      <c r="BX32" s="1313"/>
      <c r="BY32" s="1314"/>
      <c r="BZ32" s="1314"/>
      <c r="CA32" s="1315"/>
      <c r="CB32" s="1310"/>
      <c r="CC32" s="1311"/>
      <c r="CD32" s="1311"/>
      <c r="CE32" s="1312"/>
      <c r="CF32" s="1309"/>
      <c r="CG32" s="1309"/>
      <c r="CH32" s="1309"/>
      <c r="CI32" s="1309"/>
      <c r="CJ32" s="1309"/>
      <c r="CK32" s="1309"/>
      <c r="CL32" s="1309"/>
      <c r="CM32" s="1309"/>
      <c r="CN32" s="1243" t="str">
        <f t="shared" si="0"/>
        <v/>
      </c>
      <c r="CO32" s="1244"/>
      <c r="CP32" s="265" t="str">
        <f>IFERROR(IF(CB32="Existing TLED",CR32*CW32*CY32,VLOOKUP(CU32,Existing!A$3:F$353,6,FALSE)),"")</f>
        <v/>
      </c>
      <c r="CQ32" s="9"/>
      <c r="CR32" s="1343"/>
      <c r="CS32" s="1344"/>
      <c r="CT32" s="9"/>
      <c r="CU32" s="470" t="str">
        <f t="shared" ref="CU32:CU76" si="21">IF(CN32="","",IF(CB32="Existing TLED",CONCATENATE(CB32," - ",CF32),CONCATENATE(CB32," - ",CF32," ",CJ32)))</f>
        <v/>
      </c>
      <c r="CV32" s="471" t="b">
        <f t="shared" ref="CV32:CV76" si="22">IF(CB32="Existing TLED",TRUE,FALSE)</f>
        <v>0</v>
      </c>
      <c r="CW32" s="471" t="str">
        <f t="shared" ref="CW32:CW76" si="23">LEFT(CJ32,1)</f>
        <v/>
      </c>
      <c r="CX32" s="471">
        <f>IFERROR(VLOOKUP(CF32,Lookup!M$100:O$102,3,FALSE),0)</f>
        <v>0</v>
      </c>
      <c r="CY32" s="471">
        <f t="shared" si="9"/>
        <v>1.1100000000000001</v>
      </c>
      <c r="CZ32" s="707" t="b">
        <f t="shared" si="1"/>
        <v>0</v>
      </c>
      <c r="DA32" s="707" t="b">
        <f>IF(CF32&lt;&gt;"",IF(ISERROR(MATCH(CONCATENATE(CB32," - ",CF32),Existing!G$4:G$328,0))=TRUE,FALSE,TRUE),TRUE)</f>
        <v>1</v>
      </c>
      <c r="DB32" s="707" t="b">
        <f t="shared" si="2"/>
        <v>1</v>
      </c>
      <c r="DL32" s="9"/>
      <c r="DM32" s="708" t="s">
        <v>166</v>
      </c>
      <c r="DN32" s="416" t="str">
        <f t="shared" si="3"/>
        <v/>
      </c>
      <c r="DO32" s="52"/>
      <c r="DP32" s="52"/>
      <c r="DQ32" s="52"/>
      <c r="DR32" s="52"/>
      <c r="DS32" s="52"/>
      <c r="DT32" s="262"/>
      <c r="DU32" s="417"/>
      <c r="DV32" s="263" t="str">
        <f t="shared" si="4"/>
        <v/>
      </c>
      <c r="DW32" s="260">
        <v>6</v>
      </c>
      <c r="DX32" s="1306"/>
      <c r="DY32" s="1307"/>
      <c r="DZ32" s="1307"/>
      <c r="EA32" s="1308"/>
      <c r="EB32" s="1306"/>
      <c r="EC32" s="1307"/>
      <c r="ED32" s="1307"/>
      <c r="EE32" s="1308"/>
      <c r="EF32" s="1266"/>
      <c r="EG32" s="1267"/>
      <c r="EH32" s="1260"/>
      <c r="EI32" s="1261"/>
      <c r="EJ32" s="1261"/>
      <c r="EK32" s="1262"/>
      <c r="EL32" s="1263"/>
      <c r="EM32" s="1264"/>
      <c r="EN32" s="1264"/>
      <c r="EO32" s="1265"/>
      <c r="EP32" s="1266"/>
      <c r="EQ32" s="1267"/>
      <c r="ER32" s="1245"/>
      <c r="ES32" s="1246"/>
      <c r="ET32" s="1243" t="str">
        <f t="shared" si="5"/>
        <v/>
      </c>
      <c r="EU32" s="1244"/>
      <c r="EV32" s="1243" t="str">
        <f t="shared" si="6"/>
        <v/>
      </c>
      <c r="EW32" s="1244"/>
      <c r="EX32" s="438"/>
      <c r="EY32" s="261" t="str">
        <f t="shared" si="7"/>
        <v/>
      </c>
      <c r="EZ32" s="261" t="str">
        <f>IFERROR(VLOOKUP(EB32,Lookup!AM$3:AN$13,2,FALSE),"")</f>
        <v/>
      </c>
      <c r="FA32" s="471" t="b">
        <f>IFERROR(IF(VLOOKUP(EB32,Lookup!AM$6:AN$8,2,FALSE)&gt;3,TRUE,FALSE),FALSE)</f>
        <v>0</v>
      </c>
      <c r="FB32" s="471">
        <f t="shared" si="11"/>
        <v>1</v>
      </c>
      <c r="FC32" t="str">
        <f t="shared" ca="1" si="10"/>
        <v/>
      </c>
      <c r="FG32" t="str">
        <f t="shared" ca="1" si="12"/>
        <v/>
      </c>
      <c r="FI32" s="240" t="str">
        <f t="shared" ref="FI32:FI76" ca="1" si="24">IFERROR(LEFT(LA32,LEN(LA32)-2),"")</f>
        <v/>
      </c>
      <c r="FJ32" s="240"/>
      <c r="FK32" s="712" t="str">
        <f ca="1">IF(INDIRECT(CONCATENATE($FK$12,Fixtures!FK$25))="","",IF(INDIRECT(CONCATENATE($FK$12,Fixtures!FK$25))=Fixtures!$DN32,CONCATENATE(FK$10,", "),""))</f>
        <v/>
      </c>
      <c r="FL32" s="712" t="str">
        <f ca="1">IF(INDIRECT(CONCATENATE($FK$12,Fixtures!FL$25))="","",IF(INDIRECT(CONCATENATE($FK$12,Fixtures!FL$25))=Fixtures!$DN32,CONCATENATE(FL$10,", "),""))</f>
        <v/>
      </c>
      <c r="FM32" s="712" t="str">
        <f ca="1">IF(INDIRECT(CONCATENATE($FK$12,Fixtures!FM$25))="","",IF(INDIRECT(CONCATENATE($FK$12,Fixtures!FM$25))=Fixtures!$DN32,CONCATENATE(FM$10,", "),""))</f>
        <v/>
      </c>
      <c r="FN32" s="712" t="str">
        <f ca="1">IF(INDIRECT(CONCATENATE($FK$12,Fixtures!FN$25))="","",IF(INDIRECT(CONCATENATE($FK$12,Fixtures!FN$25))=Fixtures!$DN32,CONCATENATE(FN$10,", "),""))</f>
        <v/>
      </c>
      <c r="FO32" s="712" t="str">
        <f ca="1">IF(INDIRECT(CONCATENATE($FK$12,Fixtures!FO$25))="","",IF(INDIRECT(CONCATENATE($FK$12,Fixtures!FO$25))=Fixtures!$DN32,CONCATENATE(FO$10,", "),""))</f>
        <v/>
      </c>
      <c r="FP32" s="712" t="str">
        <f ca="1">IF(INDIRECT(CONCATENATE($FK$12,Fixtures!FP$25))="","",IF(INDIRECT(CONCATENATE($FK$12,Fixtures!FP$25))=Fixtures!$DN32,CONCATENATE(FP$10,", "),""))</f>
        <v/>
      </c>
      <c r="FQ32" s="712" t="str">
        <f ca="1">IF(INDIRECT(CONCATENATE($FK$12,Fixtures!FQ$25))="","",IF(INDIRECT(CONCATENATE($FK$12,Fixtures!FQ$25))=Fixtures!$DN32,CONCATENATE(FQ$10,", "),""))</f>
        <v/>
      </c>
      <c r="FR32" s="712" t="str">
        <f ca="1">IF(INDIRECT(CONCATENATE($FK$12,Fixtures!FR$25))="","",IF(INDIRECT(CONCATENATE($FK$12,Fixtures!FR$25))=Fixtures!$DN32,CONCATENATE(FR$10,", "),""))</f>
        <v/>
      </c>
      <c r="FS32" s="712" t="str">
        <f ca="1">IF(INDIRECT(CONCATENATE($FK$12,Fixtures!FS$25))="","",IF(INDIRECT(CONCATENATE($FK$12,Fixtures!FS$25))=Fixtures!$DN32,CONCATENATE(FS$10,", "),""))</f>
        <v/>
      </c>
      <c r="FT32" s="682" t="str">
        <f ca="1">IF(INDIRECT(CONCATENATE($FK$12,Fixtures!FT$25))="","",IF(INDIRECT(CONCATENATE($FK$12,Fixtures!FT$25))=Fixtures!$DN32,CONCATENATE(FT$10,", "),""))</f>
        <v/>
      </c>
      <c r="FU32" s="683" t="str">
        <f ca="1">IF(INDIRECT(CONCATENATE($FK$12,Fixtures!FU$25))="","",IF(INDIRECT(CONCATENATE($FK$12,Fixtures!FU$25))=Fixtures!$DN32,CONCATENATE(FU$10,", "),""))</f>
        <v/>
      </c>
      <c r="FV32" s="712" t="str">
        <f ca="1">IF(INDIRECT(CONCATENATE($FK$12,Fixtures!FV$25))="","",IF(INDIRECT(CONCATENATE($FK$12,Fixtures!FV$25))=Fixtures!$DN32,CONCATENATE(FV$10,", "),""))</f>
        <v/>
      </c>
      <c r="FW32" s="713" t="str">
        <f ca="1">IF(INDIRECT(CONCATENATE($FK$12,Fixtures!FW$25))="","",IF(INDIRECT(CONCATENATE($FK$12,Fixtures!FW$25))=Fixtures!$DN32,CONCATENATE(FW$10,", "),""))</f>
        <v/>
      </c>
      <c r="FX32" s="713" t="str">
        <f ca="1">IF(INDIRECT(CONCATENATE($FK$12,Fixtures!FX$25))="","",IF(INDIRECT(CONCATENATE($FK$12,Fixtures!FX$25))=Fixtures!$DN32,CONCATENATE(FX$10,", "),""))</f>
        <v/>
      </c>
      <c r="FY32" s="713" t="str">
        <f ca="1">IF(INDIRECT(CONCATENATE($FK$12,Fixtures!FY$25))="","",IF(INDIRECT(CONCATENATE($FK$12,Fixtures!FY$25))=Fixtures!$DN32,CONCATENATE(FY$10,", "),""))</f>
        <v/>
      </c>
      <c r="FZ32" s="713" t="str">
        <f ca="1">IF(INDIRECT(CONCATENATE($FK$12,Fixtures!FZ$25))="","",IF(INDIRECT(CONCATENATE($FK$12,Fixtures!FZ$25))=Fixtures!$DN32,CONCATENATE(FZ$10,", "),""))</f>
        <v/>
      </c>
      <c r="GA32" s="713" t="str">
        <f ca="1">IF(INDIRECT(CONCATENATE($FK$12,Fixtures!GA$25))="","",IF(INDIRECT(CONCATENATE($FK$12,Fixtures!GA$25))=Fixtures!$DN32,CONCATENATE(GA$10,", "),""))</f>
        <v/>
      </c>
      <c r="GB32" s="713" t="str">
        <f ca="1">IF(INDIRECT(CONCATENATE($FK$12,Fixtures!GB$25))="","",IF(INDIRECT(CONCATENATE($FK$12,Fixtures!GB$25))=Fixtures!$DN32,CONCATENATE(GB$10,", "),""))</f>
        <v/>
      </c>
      <c r="GC32" s="713" t="str">
        <f ca="1">IF(INDIRECT(CONCATENATE($FK$12,Fixtures!GC$25))="","",IF(INDIRECT(CONCATENATE($FK$12,Fixtures!GC$25))=Fixtures!$DN32,CONCATENATE(GC$10,", "),""))</f>
        <v/>
      </c>
      <c r="GD32" s="713" t="str">
        <f ca="1">IF(INDIRECT(CONCATENATE($FK$12,Fixtures!GD$25))="","",IF(INDIRECT(CONCATENATE($FK$12,Fixtures!GD$25))=Fixtures!$DN32,CONCATENATE(GD$10,", "),""))</f>
        <v/>
      </c>
      <c r="GE32" s="713" t="str">
        <f ca="1">IF(INDIRECT(CONCATENATE($FK$12,Fixtures!GE$25))="","",IF(INDIRECT(CONCATENATE($FK$12,Fixtures!GE$25))=Fixtures!$DN32,CONCATENATE(GE$10,", "),""))</f>
        <v/>
      </c>
      <c r="GF32" s="713" t="str">
        <f ca="1">IF(INDIRECT(CONCATENATE($FK$12,Fixtures!GF$25))="","",IF(INDIRECT(CONCATENATE($FK$12,Fixtures!GF$25))=Fixtures!$DN32,CONCATENATE(GF$10,", "),""))</f>
        <v/>
      </c>
      <c r="GG32" s="713" t="str">
        <f ca="1">IF(INDIRECT(CONCATENATE($FK$12,Fixtures!GG$25))="","",IF(INDIRECT(CONCATENATE($FK$12,Fixtures!GG$25))=Fixtures!$DN32,CONCATENATE(GG$10,", "),""))</f>
        <v/>
      </c>
      <c r="GH32" s="713" t="str">
        <f ca="1">IF(INDIRECT(CONCATENATE($FK$12,Fixtures!GH$25))="","",IF(INDIRECT(CONCATENATE($FK$12,Fixtures!GH$25))=Fixtures!$DN32,CONCATENATE(GH$10,", "),""))</f>
        <v/>
      </c>
      <c r="GI32" s="684" t="str">
        <f ca="1">IF(INDIRECT(CONCATENATE($FK$12,Fixtures!GI$25))="","",IF(INDIRECT(CONCATENATE($FK$12,Fixtures!GI$25))=Fixtures!$DN32,CONCATENATE(GI$10,", "),""))</f>
        <v/>
      </c>
      <c r="GJ32" s="685" t="str">
        <f ca="1">IF(INDIRECT(CONCATENATE($FK$12,Fixtures!GJ$25))="","",IF(INDIRECT(CONCATENATE($FK$12,Fixtures!GJ$25))=Fixtures!$DN32,CONCATENATE(GJ$10,", "),""))</f>
        <v/>
      </c>
      <c r="GK32" s="713" t="str">
        <f ca="1">IF(INDIRECT(CONCATENATE($FK$12,Fixtures!GK$25))="","",IF(INDIRECT(CONCATENATE($FK$12,Fixtures!GK$25))=Fixtures!$DN32,CONCATENATE(GK$10,", "),""))</f>
        <v/>
      </c>
      <c r="GL32" s="713" t="str">
        <f ca="1">IF(INDIRECT(CONCATENATE($FK$12,Fixtures!GL$25))="","",IF(INDIRECT(CONCATENATE($FK$12,Fixtures!GL$25))=Fixtures!$DN32,CONCATENATE(GL$10,", "),""))</f>
        <v/>
      </c>
      <c r="GM32" s="713" t="str">
        <f ca="1">IF(INDIRECT(CONCATENATE($FK$12,Fixtures!GM$25))="","",IF(INDIRECT(CONCATENATE($FK$12,Fixtures!GM$25))=Fixtures!$DN32,CONCATENATE(GM$10,", "),""))</f>
        <v/>
      </c>
      <c r="GN32" s="713" t="str">
        <f ca="1">IF(INDIRECT(CONCATENATE($FK$12,Fixtures!GN$25))="","",IF(INDIRECT(CONCATENATE($FK$12,Fixtures!GN$25))=Fixtures!$DN32,CONCATENATE(GN$10,", "),""))</f>
        <v/>
      </c>
      <c r="GO32" s="713" t="str">
        <f ca="1">IF(INDIRECT(CONCATENATE($FK$12,Fixtures!GO$25))="","",IF(INDIRECT(CONCATENATE($FK$12,Fixtures!GO$25))=Fixtures!$DN32,CONCATENATE(GO$10,", "),""))</f>
        <v/>
      </c>
      <c r="GP32" s="713" t="str">
        <f ca="1">IF(INDIRECT(CONCATENATE($FK$12,Fixtures!GP$25))="","",IF(INDIRECT(CONCATENATE($FK$12,Fixtures!GP$25))=Fixtures!$DN32,CONCATENATE(GP$10,", "),""))</f>
        <v/>
      </c>
      <c r="GQ32" s="713" t="str">
        <f ca="1">IF(INDIRECT(CONCATENATE($FK$12,Fixtures!GQ$25))="","",IF(INDIRECT(CONCATENATE($FK$12,Fixtures!GQ$25))=Fixtures!$DN32,CONCATENATE(GQ$10,", "),""))</f>
        <v/>
      </c>
      <c r="GR32" s="713" t="str">
        <f ca="1">IF(INDIRECT(CONCATENATE($FK$12,Fixtures!GR$25))="","",IF(INDIRECT(CONCATENATE($FK$12,Fixtures!GR$25))=Fixtures!$DN32,CONCATENATE(GR$10,", "),""))</f>
        <v/>
      </c>
      <c r="GS32" s="713" t="str">
        <f ca="1">IF(INDIRECT(CONCATENATE($FK$12,Fixtures!GS$25))="","",IF(INDIRECT(CONCATENATE($FK$12,Fixtures!GS$25))=Fixtures!$DN32,CONCATENATE(GS$10,", "),""))</f>
        <v/>
      </c>
      <c r="GT32" s="713" t="str">
        <f ca="1">IF(INDIRECT(CONCATENATE($FK$12,Fixtures!GT$25))="","",IF(INDIRECT(CONCATENATE($FK$12,Fixtures!GT$25))=Fixtures!$DN32,CONCATENATE(GT$10,", "),""))</f>
        <v/>
      </c>
      <c r="GU32" s="713" t="str">
        <f ca="1">IF(INDIRECT(CONCATENATE($FK$12,Fixtures!GU$25))="","",IF(INDIRECT(CONCATENATE($FK$12,Fixtures!GU$25))=Fixtures!$DN32,CONCATENATE(GU$10,", "),""))</f>
        <v/>
      </c>
      <c r="GV32" s="713" t="str">
        <f ca="1">IF(INDIRECT(CONCATENATE($FK$12,Fixtures!GV$25))="","",IF(INDIRECT(CONCATENATE($FK$12,Fixtures!GV$25))=Fixtures!$DN32,CONCATENATE(GV$10,", "),""))</f>
        <v/>
      </c>
      <c r="GW32" s="713" t="str">
        <f ca="1">IF(INDIRECT(CONCATENATE($FK$12,Fixtures!GW$25))="","",IF(INDIRECT(CONCATENATE($FK$12,Fixtures!GW$25))=Fixtures!$DN32,CONCATENATE(GW$10,", "),""))</f>
        <v/>
      </c>
      <c r="GX32" s="684" t="str">
        <f ca="1">IF(INDIRECT(CONCATENATE($FK$12,Fixtures!GX$25))="","",IF(INDIRECT(CONCATENATE($FK$12,Fixtures!GX$25))=Fixtures!$DN32,CONCATENATE(GX$10,", "),""))</f>
        <v/>
      </c>
      <c r="GY32" s="685" t="str">
        <f ca="1">IF(INDIRECT(CONCATENATE($FK$12,Fixtures!GY$25))="","",IF(INDIRECT(CONCATENATE($FK$12,Fixtures!GY$25))=Fixtures!$DN32,CONCATENATE(GY$10,", "),""))</f>
        <v/>
      </c>
      <c r="GZ32" s="713" t="str">
        <f ca="1">IF(INDIRECT(CONCATENATE($FK$12,Fixtures!GZ$25))="","",IF(INDIRECT(CONCATENATE($FK$12,Fixtures!GZ$25))=Fixtures!$DN32,CONCATENATE(GZ$10,", "),""))</f>
        <v/>
      </c>
      <c r="HA32" s="713" t="str">
        <f ca="1">IF(INDIRECT(CONCATENATE($FK$12,Fixtures!HA$25))="","",IF(INDIRECT(CONCATENATE($FK$12,Fixtures!HA$25))=Fixtures!$DN32,CONCATENATE(HA$10,", "),""))</f>
        <v/>
      </c>
      <c r="HB32" s="713" t="str">
        <f ca="1">IF(INDIRECT(CONCATENATE($FK$12,Fixtures!HB$25))="","",IF(INDIRECT(CONCATENATE($FK$12,Fixtures!HB$25))=Fixtures!$DN32,CONCATENATE(HB$10,", "),""))</f>
        <v/>
      </c>
      <c r="HC32" s="713" t="str">
        <f ca="1">IF(INDIRECT(CONCATENATE($FK$12,Fixtures!HC$25))="","",IF(INDIRECT(CONCATENATE($FK$12,Fixtures!HC$25))=Fixtures!$DN32,CONCATENATE(HC$10,", "),""))</f>
        <v/>
      </c>
      <c r="HD32" s="713" t="str">
        <f ca="1">IF(INDIRECT(CONCATENATE($FK$12,Fixtures!HD$25))="","",IF(INDIRECT(CONCATENATE($FK$12,Fixtures!HD$25))=Fixtures!$DN32,CONCATENATE(HD$10,", "),""))</f>
        <v/>
      </c>
      <c r="HE32" s="713" t="str">
        <f ca="1">IF(INDIRECT(CONCATENATE($FK$12,Fixtures!HE$25))="","",IF(INDIRECT(CONCATENATE($FK$12,Fixtures!HE$25))=Fixtures!$DN32,CONCATENATE(HE$10,", "),""))</f>
        <v/>
      </c>
      <c r="HF32" s="713" t="str">
        <f ca="1">IF(INDIRECT(CONCATENATE($FK$12,Fixtures!HF$25))="","",IF(INDIRECT(CONCATENATE($FK$12,Fixtures!HF$25))=Fixtures!$DN32,CONCATENATE(HF$10,", "),""))</f>
        <v/>
      </c>
      <c r="HG32" s="713" t="str">
        <f ca="1">IF(INDIRECT(CONCATENATE($FK$12,Fixtures!HG$25))="","",IF(INDIRECT(CONCATENATE($FK$12,Fixtures!HG$25))=Fixtures!$DN32,CONCATENATE(HG$10,", "),""))</f>
        <v/>
      </c>
      <c r="HH32" s="713" t="str">
        <f ca="1">IF(INDIRECT(CONCATENATE($FK$12,Fixtures!HH$25))="","",IF(INDIRECT(CONCATENATE($FK$12,Fixtures!HH$25))=Fixtures!$DN32,CONCATENATE(HH$10,", "),""))</f>
        <v/>
      </c>
      <c r="HI32" s="713" t="str">
        <f ca="1">IF(INDIRECT(CONCATENATE($FK$12,Fixtures!HI$25))="","",IF(INDIRECT(CONCATENATE($FK$12,Fixtures!HI$25))=Fixtures!$DN32,CONCATENATE(HI$10,", "),""))</f>
        <v/>
      </c>
      <c r="HJ32" s="713" t="str">
        <f ca="1">IF(INDIRECT(CONCATENATE($FK$12,Fixtures!HJ$25))="","",IF(INDIRECT(CONCATENATE($FK$12,Fixtures!HJ$25))=Fixtures!$DN32,CONCATENATE(HJ$10,", "),""))</f>
        <v/>
      </c>
      <c r="HK32" s="713" t="str">
        <f ca="1">IF(INDIRECT(CONCATENATE($FK$12,Fixtures!HK$25))="","",IF(INDIRECT(CONCATENATE($FK$12,Fixtures!HK$25))=Fixtures!$DN32,CONCATENATE(HK$10,", "),""))</f>
        <v/>
      </c>
      <c r="HL32" s="713" t="str">
        <f ca="1">IF(INDIRECT(CONCATENATE($FK$12,Fixtures!HL$25))="","",IF(INDIRECT(CONCATENATE($FK$12,Fixtures!HL$25))=Fixtures!$DN32,CONCATENATE(HL$10,", "),""))</f>
        <v/>
      </c>
      <c r="HM32" s="684" t="str">
        <f ca="1">IF(INDIRECT(CONCATENATE($FK$12,Fixtures!HM$25))="","",IF(INDIRECT(CONCATENATE($FK$12,Fixtures!HM$25))=Fixtures!$DN32,CONCATENATE(HM$10,", "),""))</f>
        <v/>
      </c>
      <c r="HN32" s="685" t="str">
        <f ca="1">IF(INDIRECT(CONCATENATE($FK$12,Fixtures!HN$25))="","",IF(INDIRECT(CONCATENATE($FK$12,Fixtures!HN$25))=Fixtures!$DN32,CONCATENATE(HN$10,", "),""))</f>
        <v/>
      </c>
      <c r="HO32" s="713" t="str">
        <f ca="1">IF(INDIRECT(CONCATENATE($FK$12,Fixtures!HO$25))="","",IF(INDIRECT(CONCATENATE($FK$12,Fixtures!HO$25))=Fixtures!$DN32,CONCATENATE(HO$10,", "),""))</f>
        <v/>
      </c>
      <c r="HP32" s="713" t="str">
        <f ca="1">IF(INDIRECT(CONCATENATE($FK$12,Fixtures!HP$25))="","",IF(INDIRECT(CONCATENATE($FK$12,Fixtures!HP$25))=Fixtures!$DN32,CONCATENATE(HP$10,", "),""))</f>
        <v/>
      </c>
      <c r="HQ32" s="713" t="str">
        <f ca="1">IF(INDIRECT(CONCATENATE($FK$12,Fixtures!HQ$25))="","",IF(INDIRECT(CONCATENATE($FK$12,Fixtures!HQ$25))=Fixtures!$DN32,CONCATENATE(HQ$10,", "),""))</f>
        <v/>
      </c>
      <c r="HR32" s="713" t="str">
        <f ca="1">IF(INDIRECT(CONCATENATE($FK$12,Fixtures!HR$25))="","",IF(INDIRECT(CONCATENATE($FK$12,Fixtures!HR$25))=Fixtures!$DN32,CONCATENATE(HR$10,", "),""))</f>
        <v/>
      </c>
      <c r="HS32" s="713" t="str">
        <f ca="1">IF(INDIRECT(CONCATENATE($FK$12,Fixtures!HS$25))="","",IF(INDIRECT(CONCATENATE($FK$12,Fixtures!HS$25))=Fixtures!$DN32,CONCATENATE(HS$10,", "),""))</f>
        <v/>
      </c>
      <c r="HT32" s="713" t="str">
        <f ca="1">IF(INDIRECT(CONCATENATE($FK$12,Fixtures!HT$25))="","",IF(INDIRECT(CONCATENATE($FK$12,Fixtures!HT$25))=Fixtures!$DN32,CONCATENATE(HT$10,", "),""))</f>
        <v/>
      </c>
      <c r="HU32" s="713" t="str">
        <f ca="1">IF(INDIRECT(CONCATENATE($FK$12,Fixtures!HU$25))="","",IF(INDIRECT(CONCATENATE($FK$12,Fixtures!HU$25))=Fixtures!$DN32,CONCATENATE(HU$10,", "),""))</f>
        <v/>
      </c>
      <c r="HV32" s="713" t="str">
        <f ca="1">IF(INDIRECT(CONCATENATE($FK$12,Fixtures!HV$25))="","",IF(INDIRECT(CONCATENATE($FK$12,Fixtures!HV$25))=Fixtures!$DN32,CONCATENATE(HV$10,", "),""))</f>
        <v/>
      </c>
      <c r="HW32" s="713" t="str">
        <f ca="1">IF(INDIRECT(CONCATENATE($FK$12,Fixtures!HW$25))="","",IF(INDIRECT(CONCATENATE($FK$12,Fixtures!HW$25))=Fixtures!$DN32,CONCATENATE(HW$10,", "),""))</f>
        <v/>
      </c>
      <c r="HX32" s="713" t="str">
        <f ca="1">IF(INDIRECT(CONCATENATE($FK$12,Fixtures!HX$25))="","",IF(INDIRECT(CONCATENATE($FK$12,Fixtures!HX$25))=Fixtures!$DN32,CONCATENATE(HX$10,", "),""))</f>
        <v/>
      </c>
      <c r="HY32" s="713" t="str">
        <f ca="1">IF(INDIRECT(CONCATENATE($FK$12,Fixtures!HY$25))="","",IF(INDIRECT(CONCATENATE($FK$12,Fixtures!HY$25))=Fixtures!$DN32,CONCATENATE(HY$10,", "),""))</f>
        <v/>
      </c>
      <c r="HZ32" s="713" t="str">
        <f ca="1">IF(INDIRECT(CONCATENATE($FK$12,Fixtures!HZ$25))="","",IF(INDIRECT(CONCATENATE($FK$12,Fixtures!HZ$25))=Fixtures!$DN32,CONCATENATE(HZ$10,", "),""))</f>
        <v/>
      </c>
      <c r="IA32" s="713" t="str">
        <f ca="1">IF(INDIRECT(CONCATENATE($FK$12,Fixtures!IA$25))="","",IF(INDIRECT(CONCATENATE($FK$12,Fixtures!IA$25))=Fixtures!$DN32,CONCATENATE(IA$10,", "),""))</f>
        <v/>
      </c>
      <c r="IB32" s="684" t="str">
        <f ca="1">IF(INDIRECT(CONCATENATE($FK$12,Fixtures!IB$25))="","",IF(INDIRECT(CONCATENATE($FK$12,Fixtures!IB$25))=Fixtures!$DN32,CONCATENATE(IB$10,", "),""))</f>
        <v/>
      </c>
      <c r="IC32" s="685" t="str">
        <f ca="1">IF(INDIRECT(CONCATENATE($FK$12,Fixtures!IC$25))="","",IF(INDIRECT(CONCATENATE($FK$12,Fixtures!IC$25))=Fixtures!$DN32,CONCATENATE(IC$10,", "),""))</f>
        <v/>
      </c>
      <c r="ID32" s="713" t="str">
        <f ca="1">IF(INDIRECT(CONCATENATE($FK$12,Fixtures!ID$25))="","",IF(INDIRECT(CONCATENATE($FK$12,Fixtures!ID$25))=Fixtures!$DN32,CONCATENATE(ID$10,", "),""))</f>
        <v/>
      </c>
      <c r="IE32" s="713" t="str">
        <f ca="1">IF(INDIRECT(CONCATENATE($FK$12,Fixtures!IE$25))="","",IF(INDIRECT(CONCATENATE($FK$12,Fixtures!IE$25))=Fixtures!$DN32,CONCATENATE(IE$10,", "),""))</f>
        <v/>
      </c>
      <c r="IF32" s="713" t="str">
        <f ca="1">IF(INDIRECT(CONCATENATE($FK$12,Fixtures!IF$25))="","",IF(INDIRECT(CONCATENATE($FK$12,Fixtures!IF$25))=Fixtures!$DN32,CONCATENATE(IF$10,", "),""))</f>
        <v/>
      </c>
      <c r="IG32" s="713" t="str">
        <f ca="1">IF(INDIRECT(CONCATENATE($FK$12,Fixtures!IG$25))="","",IF(INDIRECT(CONCATENATE($FK$12,Fixtures!IG$25))=Fixtures!$DN32,CONCATENATE(IG$10,", "),""))</f>
        <v/>
      </c>
      <c r="IH32" s="713" t="str">
        <f ca="1">IF(INDIRECT(CONCATENATE($FK$12,Fixtures!IH$25))="","",IF(INDIRECT(CONCATENATE($FK$12,Fixtures!IH$25))=Fixtures!$DN32,CONCATENATE(IH$10,", "),""))</f>
        <v/>
      </c>
      <c r="II32" s="713" t="str">
        <f ca="1">IF(INDIRECT(CONCATENATE($FK$12,Fixtures!II$25))="","",IF(INDIRECT(CONCATENATE($FK$12,Fixtures!II$25))=Fixtures!$DN32,CONCATENATE(II$10,", "),""))</f>
        <v/>
      </c>
      <c r="IJ32" s="713" t="str">
        <f ca="1">IF(INDIRECT(CONCATENATE($FK$12,Fixtures!IJ$25))="","",IF(INDIRECT(CONCATENATE($FK$12,Fixtures!IJ$25))=Fixtures!$DN32,CONCATENATE(IJ$10,", "),""))</f>
        <v/>
      </c>
      <c r="IK32" s="713" t="str">
        <f ca="1">IF(INDIRECT(CONCATENATE($FK$12,Fixtures!IK$25))="","",IF(INDIRECT(CONCATENATE($FK$12,Fixtures!IK$25))=Fixtures!$DN32,CONCATENATE(IK$10,", "),""))</f>
        <v/>
      </c>
      <c r="IL32" s="713" t="str">
        <f ca="1">IF(INDIRECT(CONCATENATE($FK$12,Fixtures!IL$25))="","",IF(INDIRECT(CONCATENATE($FK$12,Fixtures!IL$25))=Fixtures!$DN32,CONCATENATE(IL$10,", "),""))</f>
        <v/>
      </c>
      <c r="IM32" s="713" t="str">
        <f ca="1">IF(INDIRECT(CONCATENATE($FK$12,Fixtures!IM$25))="","",IF(INDIRECT(CONCATENATE($FK$12,Fixtures!IM$25))=Fixtures!$DN32,CONCATENATE(IM$10,", "),""))</f>
        <v/>
      </c>
      <c r="IN32" s="713" t="str">
        <f ca="1">IF(INDIRECT(CONCATENATE($FK$12,Fixtures!IN$25))="","",IF(INDIRECT(CONCATENATE($FK$12,Fixtures!IN$25))=Fixtures!$DN32,CONCATENATE(IN$10,", "),""))</f>
        <v/>
      </c>
      <c r="IO32" s="713" t="str">
        <f ca="1">IF(INDIRECT(CONCATENATE($FK$12,Fixtures!IO$25))="","",IF(INDIRECT(CONCATENATE($FK$12,Fixtures!IO$25))=Fixtures!$DN32,CONCATENATE(IO$10,", "),""))</f>
        <v/>
      </c>
      <c r="IP32" s="713" t="str">
        <f ca="1">IF(INDIRECT(CONCATENATE($FK$12,Fixtures!IP$25))="","",IF(INDIRECT(CONCATENATE($FK$12,Fixtures!IP$25))=Fixtures!$DN32,CONCATENATE(IP$10,", "),""))</f>
        <v/>
      </c>
      <c r="IQ32" s="684" t="str">
        <f ca="1">IF(INDIRECT(CONCATENATE($FK$12,Fixtures!IQ$25))="","",IF(INDIRECT(CONCATENATE($FK$12,Fixtures!IQ$25))=Fixtures!$DN32,CONCATENATE(IQ$10,", "),""))</f>
        <v/>
      </c>
      <c r="IR32" s="685" t="str">
        <f ca="1">IF(INDIRECT(CONCATENATE($FK$12,Fixtures!IR$25))="","",IF(INDIRECT(CONCATENATE($FK$12,Fixtures!IR$25))=Fixtures!$DN32,CONCATENATE(IR$10,", "),""))</f>
        <v/>
      </c>
      <c r="IS32" s="713" t="str">
        <f ca="1">IF(INDIRECT(CONCATENATE($FK$12,Fixtures!IS$25))="","",IF(INDIRECT(CONCATENATE($FK$12,Fixtures!IS$25))=Fixtures!$DN32,CONCATENATE(IS$10,", "),""))</f>
        <v/>
      </c>
      <c r="IT32" s="713" t="str">
        <f ca="1">IF(INDIRECT(CONCATENATE($FK$12,Fixtures!IT$25))="","",IF(INDIRECT(CONCATENATE($FK$12,Fixtures!IT$25))=Fixtures!$DN32,CONCATENATE(IT$10,", "),""))</f>
        <v/>
      </c>
      <c r="IU32" s="713" t="str">
        <f ca="1">IF(INDIRECT(CONCATENATE($FK$12,Fixtures!IU$25))="","",IF(INDIRECT(CONCATENATE($FK$12,Fixtures!IU$25))=Fixtures!$DN32,CONCATENATE(IU$10,", "),""))</f>
        <v/>
      </c>
      <c r="IV32" s="713" t="str">
        <f ca="1">IF(INDIRECT(CONCATENATE($FK$12,Fixtures!IV$25))="","",IF(INDIRECT(CONCATENATE($FK$12,Fixtures!IV$25))=Fixtures!$DN32,CONCATENATE(IV$10,", "),""))</f>
        <v/>
      </c>
      <c r="IW32" s="713" t="str">
        <f ca="1">IF(INDIRECT(CONCATENATE($FK$12,Fixtures!IW$25))="","",IF(INDIRECT(CONCATENATE($FK$12,Fixtures!IW$25))=Fixtures!$DN32,CONCATENATE(IW$10,", "),""))</f>
        <v/>
      </c>
      <c r="IX32" s="713" t="str">
        <f ca="1">IF(INDIRECT(CONCATENATE($FK$12,Fixtures!IX$25))="","",IF(INDIRECT(CONCATENATE($FK$12,Fixtures!IX$25))=Fixtures!$DN32,CONCATENATE(IX$10,", "),""))</f>
        <v/>
      </c>
      <c r="IY32" s="713" t="str">
        <f ca="1">IF(INDIRECT(CONCATENATE($FK$12,Fixtures!IY$25))="","",IF(INDIRECT(CONCATENATE($FK$12,Fixtures!IY$25))=Fixtures!$DN32,CONCATENATE(IY$10,", "),""))</f>
        <v/>
      </c>
      <c r="IZ32" s="713" t="str">
        <f ca="1">IF(INDIRECT(CONCATENATE($FK$12,Fixtures!IZ$25))="","",IF(INDIRECT(CONCATENATE($FK$12,Fixtures!IZ$25))=Fixtures!$DN32,CONCATENATE(IZ$10,", "),""))</f>
        <v/>
      </c>
      <c r="JA32" s="713" t="str">
        <f ca="1">IF(INDIRECT(CONCATENATE($FK$12,Fixtures!JA$25))="","",IF(INDIRECT(CONCATENATE($FK$12,Fixtures!JA$25))=Fixtures!$DN32,CONCATENATE(JA$10,", "),""))</f>
        <v/>
      </c>
      <c r="JB32" s="713" t="str">
        <f ca="1">IF(INDIRECT(CONCATENATE($FK$12,Fixtures!JB$25))="","",IF(INDIRECT(CONCATENATE($FK$12,Fixtures!JB$25))=Fixtures!$DN32,CONCATENATE(JB$10,", "),""))</f>
        <v/>
      </c>
      <c r="JC32" s="713" t="str">
        <f ca="1">IF(INDIRECT(CONCATENATE($FK$12,Fixtures!JC$25))="","",IF(INDIRECT(CONCATENATE($FK$12,Fixtures!JC$25))=Fixtures!$DN32,CONCATENATE(JC$10,", "),""))</f>
        <v/>
      </c>
      <c r="JD32" s="713" t="str">
        <f ca="1">IF(INDIRECT(CONCATENATE($FK$12,Fixtures!JD$25))="","",IF(INDIRECT(CONCATENATE($FK$12,Fixtures!JD$25))=Fixtures!$DN32,CONCATENATE(JD$10,", "),""))</f>
        <v/>
      </c>
      <c r="JE32" s="713" t="str">
        <f ca="1">IF(INDIRECT(CONCATENATE($FK$12,Fixtures!JE$25))="","",IF(INDIRECT(CONCATENATE($FK$12,Fixtures!JE$25))=Fixtures!$DN32,CONCATENATE(JE$10,", "),""))</f>
        <v/>
      </c>
      <c r="JF32" s="684" t="str">
        <f ca="1">IF(INDIRECT(CONCATENATE($FK$12,Fixtures!JF$25))="","",IF(INDIRECT(CONCATENATE($FK$12,Fixtures!JF$25))=Fixtures!$DN32,CONCATENATE(JF$10,", "),""))</f>
        <v/>
      </c>
      <c r="JG32" s="685" t="str">
        <f ca="1">IF(INDIRECT(CONCATENATE($FK$12,Fixtures!JG$25))="","",IF(INDIRECT(CONCATENATE($FK$12,Fixtures!JG$25))=Fixtures!$DN32,CONCATENATE(JG$10,", "),""))</f>
        <v/>
      </c>
      <c r="JH32" s="713" t="str">
        <f ca="1">IF(INDIRECT(CONCATENATE($FK$12,Fixtures!JH$25))="","",IF(INDIRECT(CONCATENATE($FK$12,Fixtures!JH$25))=Fixtures!$DN32,CONCATENATE(JH$10,", "),""))</f>
        <v/>
      </c>
      <c r="JI32" s="713" t="str">
        <f ca="1">IF(INDIRECT(CONCATENATE($FK$12,Fixtures!JI$25))="","",IF(INDIRECT(CONCATENATE($FK$12,Fixtures!JI$25))=Fixtures!$DN32,CONCATENATE(JI$10,", "),""))</f>
        <v/>
      </c>
      <c r="JJ32" s="713" t="str">
        <f ca="1">IF(INDIRECT(CONCATENATE($FK$12,Fixtures!JJ$25))="","",IF(INDIRECT(CONCATENATE($FK$12,Fixtures!JJ$25))=Fixtures!$DN32,CONCATENATE(JJ$10,", "),""))</f>
        <v/>
      </c>
      <c r="JK32" s="713" t="str">
        <f ca="1">IF(INDIRECT(CONCATENATE($FK$12,Fixtures!JK$25))="","",IF(INDIRECT(CONCATENATE($FK$12,Fixtures!JK$25))=Fixtures!$DN32,CONCATENATE(JK$10,", "),""))</f>
        <v/>
      </c>
      <c r="JL32" s="713" t="str">
        <f ca="1">IF(INDIRECT(CONCATENATE($FK$12,Fixtures!JL$25))="","",IF(INDIRECT(CONCATENATE($FK$12,Fixtures!JL$25))=Fixtures!$DN32,CONCATENATE(JL$10,", "),""))</f>
        <v/>
      </c>
      <c r="JM32" s="713" t="str">
        <f ca="1">IF(INDIRECT(CONCATENATE($FK$12,Fixtures!JM$25))="","",IF(INDIRECT(CONCATENATE($FK$12,Fixtures!JM$25))=Fixtures!$DN32,CONCATENATE(JM$10,", "),""))</f>
        <v/>
      </c>
      <c r="JN32" s="713" t="str">
        <f ca="1">IF(INDIRECT(CONCATENATE($FK$12,Fixtures!JN$25))="","",IF(INDIRECT(CONCATENATE($FK$12,Fixtures!JN$25))=Fixtures!$DN32,CONCATENATE(JN$10,", "),""))</f>
        <v/>
      </c>
      <c r="JO32" s="713" t="str">
        <f ca="1">IF(INDIRECT(CONCATENATE($FK$12,Fixtures!JO$25))="","",IF(INDIRECT(CONCATENATE($FK$12,Fixtures!JO$25))=Fixtures!$DN32,CONCATENATE(JO$10,", "),""))</f>
        <v/>
      </c>
      <c r="JP32" s="713" t="str">
        <f ca="1">IF(INDIRECT(CONCATENATE($FK$12,Fixtures!JP$25))="","",IF(INDIRECT(CONCATENATE($FK$12,Fixtures!JP$25))=Fixtures!$DN32,CONCATENATE(JP$10,", "),""))</f>
        <v/>
      </c>
      <c r="JQ32" s="713" t="str">
        <f ca="1">IF(INDIRECT(CONCATENATE($FK$12,Fixtures!JQ$25))="","",IF(INDIRECT(CONCATENATE($FK$12,Fixtures!JQ$25))=Fixtures!$DN32,CONCATENATE(JQ$10,", "),""))</f>
        <v/>
      </c>
      <c r="JR32" s="713" t="str">
        <f ca="1">IF(INDIRECT(CONCATENATE($FK$12,Fixtures!JR$25))="","",IF(INDIRECT(CONCATENATE($FK$12,Fixtures!JR$25))=Fixtures!$DN32,CONCATENATE(JR$10,", "),""))</f>
        <v/>
      </c>
      <c r="JS32" s="713" t="str">
        <f ca="1">IF(INDIRECT(CONCATENATE($FK$12,Fixtures!JS$25))="","",IF(INDIRECT(CONCATENATE($FK$12,Fixtures!JS$25))=Fixtures!$DN32,CONCATENATE(JS$10,", "),""))</f>
        <v/>
      </c>
      <c r="JT32" s="713" t="str">
        <f ca="1">IF(INDIRECT(CONCATENATE($FK$12,Fixtures!JT$25))="","",IF(INDIRECT(CONCATENATE($FK$12,Fixtures!JT$25))=Fixtures!$DN32,CONCATENATE(JT$10,", "),""))</f>
        <v/>
      </c>
      <c r="JU32" s="684" t="str">
        <f ca="1">IF(INDIRECT(CONCATENATE($FK$12,Fixtures!JU$25))="","",IF(INDIRECT(CONCATENATE($FK$12,Fixtures!JU$25))=Fixtures!$DN32,CONCATENATE(JU$10,", "),""))</f>
        <v/>
      </c>
      <c r="JV32" s="685" t="str">
        <f ca="1">IF(INDIRECT(CONCATENATE($FK$12,Fixtures!JV$25))="","",IF(INDIRECT(CONCATENATE($FK$12,Fixtures!JV$25))=Fixtures!$DN32,CONCATENATE(JV$10,", "),""))</f>
        <v/>
      </c>
      <c r="JW32" s="713" t="str">
        <f ca="1">IF(INDIRECT(CONCATENATE($FK$12,Fixtures!JW$25))="","",IF(INDIRECT(CONCATENATE($FK$12,Fixtures!JW$25))=Fixtures!$DN32,CONCATENATE(JW$10,", "),""))</f>
        <v/>
      </c>
      <c r="JX32" s="713" t="str">
        <f ca="1">IF(INDIRECT(CONCATENATE($FK$12,Fixtures!JX$25))="","",IF(INDIRECT(CONCATENATE($FK$12,Fixtures!JX$25))=Fixtures!$DN32,CONCATENATE(JX$10,", "),""))</f>
        <v/>
      </c>
      <c r="JY32" s="713" t="str">
        <f ca="1">IF(INDIRECT(CONCATENATE($FK$12,Fixtures!JY$25))="","",IF(INDIRECT(CONCATENATE($FK$12,Fixtures!JY$25))=Fixtures!$DN32,CONCATENATE(JY$10,", "),""))</f>
        <v/>
      </c>
      <c r="JZ32" s="713" t="str">
        <f ca="1">IF(INDIRECT(CONCATENATE($FK$12,Fixtures!JZ$25))="","",IF(INDIRECT(CONCATENATE($FK$12,Fixtures!JZ$25))=Fixtures!$DN32,CONCATENATE(JZ$10,", "),""))</f>
        <v/>
      </c>
      <c r="KA32" s="713" t="str">
        <f ca="1">IF(INDIRECT(CONCATENATE($FK$12,Fixtures!KA$25))="","",IF(INDIRECT(CONCATENATE($FK$12,Fixtures!KA$25))=Fixtures!$DN32,CONCATENATE(KA$10,", "),""))</f>
        <v/>
      </c>
      <c r="KB32" s="713" t="str">
        <f ca="1">IF(INDIRECT(CONCATENATE($FK$12,Fixtures!KB$25))="","",IF(INDIRECT(CONCATENATE($FK$12,Fixtures!KB$25))=Fixtures!$DN32,CONCATENATE(KB$10,", "),""))</f>
        <v/>
      </c>
      <c r="KC32" s="713" t="str">
        <f ca="1">IF(INDIRECT(CONCATENATE($FK$12,Fixtures!KC$25))="","",IF(INDIRECT(CONCATENATE($FK$12,Fixtures!KC$25))=Fixtures!$DN32,CONCATENATE(KC$10,", "),""))</f>
        <v/>
      </c>
      <c r="KD32" s="713" t="str">
        <f ca="1">IF(INDIRECT(CONCATENATE($FK$12,Fixtures!KD$25))="","",IF(INDIRECT(CONCATENATE($FK$12,Fixtures!KD$25))=Fixtures!$DN32,CONCATENATE(KD$10,", "),""))</f>
        <v/>
      </c>
      <c r="KE32" s="713" t="str">
        <f ca="1">IF(INDIRECT(CONCATENATE($FK$12,Fixtures!KE$25))="","",IF(INDIRECT(CONCATENATE($FK$12,Fixtures!KE$25))=Fixtures!$DN32,CONCATENATE(KE$10,", "),""))</f>
        <v/>
      </c>
      <c r="KF32" s="713" t="str">
        <f ca="1">IF(INDIRECT(CONCATENATE($FK$12,Fixtures!KF$25))="","",IF(INDIRECT(CONCATENATE($FK$12,Fixtures!KF$25))=Fixtures!$DN32,CONCATENATE(KF$10,", "),""))</f>
        <v/>
      </c>
      <c r="KG32" s="713" t="str">
        <f ca="1">IF(INDIRECT(CONCATENATE($FK$12,Fixtures!KG$25))="","",IF(INDIRECT(CONCATENATE($FK$12,Fixtures!KG$25))=Fixtures!$DN32,CONCATENATE(KG$10,", "),""))</f>
        <v/>
      </c>
      <c r="KH32" s="713" t="str">
        <f ca="1">IF(INDIRECT(CONCATENATE($FK$12,Fixtures!KH$25))="","",IF(INDIRECT(CONCATENATE($FK$12,Fixtures!KH$25))=Fixtures!$DN32,CONCATENATE(KH$10,", "),""))</f>
        <v/>
      </c>
      <c r="KI32" s="713" t="str">
        <f ca="1">IF(INDIRECT(CONCATENATE($FK$12,Fixtures!KI$25))="","",IF(INDIRECT(CONCATENATE($FK$12,Fixtures!KI$25))=Fixtures!$DN32,CONCATENATE(KI$10,", "),""))</f>
        <v/>
      </c>
      <c r="KJ32" s="684" t="str">
        <f ca="1">IF(INDIRECT(CONCATENATE($FK$12,Fixtures!KJ$25))="","",IF(INDIRECT(CONCATENATE($FK$12,Fixtures!KJ$25))=Fixtures!$DN32,CONCATENATE(KJ$10,", "),""))</f>
        <v/>
      </c>
      <c r="KK32" s="685" t="str">
        <f ca="1">IF(INDIRECT(CONCATENATE($FK$12,Fixtures!KK$25))="","",IF(INDIRECT(CONCATENATE($FK$12,Fixtures!KK$25))=Fixtures!$DN32,CONCATENATE(KK$10,", "),""))</f>
        <v/>
      </c>
      <c r="KL32" s="713" t="str">
        <f ca="1">IF(INDIRECT(CONCATENATE($FK$12,Fixtures!KL$25))="","",IF(INDIRECT(CONCATENATE($FK$12,Fixtures!KL$25))=Fixtures!$DN32,CONCATENATE(KL$10,", "),""))</f>
        <v/>
      </c>
      <c r="KM32" s="713" t="str">
        <f ca="1">IF(INDIRECT(CONCATENATE($FK$12,Fixtures!KM$25))="","",IF(INDIRECT(CONCATENATE($FK$12,Fixtures!KM$25))=Fixtures!$DN32,CONCATENATE(KM$10,", "),""))</f>
        <v/>
      </c>
      <c r="KN32" s="713" t="str">
        <f ca="1">IF(INDIRECT(CONCATENATE($FK$12,Fixtures!KN$25))="","",IF(INDIRECT(CONCATENATE($FK$12,Fixtures!KN$25))=Fixtures!$DN32,CONCATENATE(KN$10,", "),""))</f>
        <v/>
      </c>
      <c r="KO32" s="713" t="str">
        <f ca="1">IF(INDIRECT(CONCATENATE($FK$12,Fixtures!KO$25))="","",IF(INDIRECT(CONCATENATE($FK$12,Fixtures!KO$25))=Fixtures!$DN32,CONCATENATE(KO$10,", "),""))</f>
        <v/>
      </c>
      <c r="KP32" s="713" t="str">
        <f ca="1">IF(INDIRECT(CONCATENATE($FK$12,Fixtures!KP$25))="","",IF(INDIRECT(CONCATENATE($FK$12,Fixtures!KP$25))=Fixtures!$DN32,CONCATENATE(KP$10,", "),""))</f>
        <v/>
      </c>
      <c r="KQ32" s="713" t="str">
        <f ca="1">IF(INDIRECT(CONCATENATE($FK$12,Fixtures!KQ$25))="","",IF(INDIRECT(CONCATENATE($FK$12,Fixtures!KQ$25))=Fixtures!$DN32,CONCATENATE(KQ$10,", "),""))</f>
        <v/>
      </c>
      <c r="KR32" s="713" t="str">
        <f ca="1">IF(INDIRECT(CONCATENATE($FK$12,Fixtures!KR$25))="","",IF(INDIRECT(CONCATENATE($FK$12,Fixtures!KR$25))=Fixtures!$DN32,CONCATENATE(KR$10,", "),""))</f>
        <v/>
      </c>
      <c r="KS32" s="713" t="str">
        <f ca="1">IF(INDIRECT(CONCATENATE($FK$12,Fixtures!KS$25))="","",IF(INDIRECT(CONCATENATE($FK$12,Fixtures!KS$25))=Fixtures!$DN32,CONCATENATE(KS$10,", "),""))</f>
        <v/>
      </c>
      <c r="KT32" s="713" t="str">
        <f ca="1">IF(INDIRECT(CONCATENATE($FK$12,Fixtures!KT$25))="","",IF(INDIRECT(CONCATENATE($FK$12,Fixtures!KT$25))=Fixtures!$DN32,CONCATENATE(KT$10,", "),""))</f>
        <v/>
      </c>
      <c r="KU32" s="713" t="str">
        <f ca="1">IF(INDIRECT(CONCATENATE($FK$12,Fixtures!KU$25))="","",IF(INDIRECT(CONCATENATE($FK$12,Fixtures!KU$25))=Fixtures!$DN32,CONCATENATE(KU$10,", "),""))</f>
        <v/>
      </c>
      <c r="KV32" s="713" t="str">
        <f ca="1">IF(INDIRECT(CONCATENATE($FK$12,Fixtures!KV$25))="","",IF(INDIRECT(CONCATENATE($FK$12,Fixtures!KV$25))=Fixtures!$DN32,CONCATENATE(KV$10,", "),""))</f>
        <v/>
      </c>
      <c r="KW32" s="713" t="str">
        <f ca="1">IF(INDIRECT(CONCATENATE($FK$12,Fixtures!KW$25))="","",IF(INDIRECT(CONCATENATE($FK$12,Fixtures!KW$25))=Fixtures!$DN32,CONCATENATE(KW$10,", "),""))</f>
        <v/>
      </c>
      <c r="KX32" s="713" t="str">
        <f ca="1">IF(INDIRECT(CONCATENATE($FK$12,Fixtures!KX$25))="","",IF(INDIRECT(CONCATENATE($FK$12,Fixtures!KX$25))=Fixtures!$DN32,CONCATENATE(KX$10,", "),""))</f>
        <v/>
      </c>
      <c r="KY32" s="713" t="str">
        <f ca="1">IF(INDIRECT(CONCATENATE($FK$12,Fixtures!KY$25))="","",IF(INDIRECT(CONCATENATE($FK$12,Fixtures!KY$25))=Fixtures!$DN32,CONCATENATE(KY$10,", "),""))</f>
        <v/>
      </c>
      <c r="KZ32" s="46"/>
      <c r="LA32" s="46" t="str">
        <f t="shared" ca="1" si="8"/>
        <v/>
      </c>
    </row>
    <row r="33" spans="1:313" ht="28.05" customHeight="1" thickTop="1" thickBot="1">
      <c r="A33" s="471" t="str">
        <f t="shared" si="13"/>
        <v/>
      </c>
      <c r="C33" s="1328" t="str">
        <f t="shared" si="14"/>
        <v/>
      </c>
      <c r="D33" s="1329"/>
      <c r="E33" s="1256" t="str">
        <f t="shared" si="15"/>
        <v/>
      </c>
      <c r="F33" s="1257"/>
      <c r="G33" s="1257"/>
      <c r="H33" s="1257"/>
      <c r="I33" s="1257"/>
      <c r="J33" s="1257"/>
      <c r="K33" s="1257"/>
      <c r="L33" s="1257"/>
      <c r="M33" s="1330"/>
      <c r="N33" s="239" t="str">
        <f t="shared" si="16"/>
        <v/>
      </c>
      <c r="P33" s="1326" t="str">
        <f t="shared" ref="P33:P78" si="25">EI95</f>
        <v/>
      </c>
      <c r="Q33" s="1327"/>
      <c r="R33" s="1256" t="str">
        <f t="shared" ref="R33:R36" si="26">EE95</f>
        <v/>
      </c>
      <c r="S33" s="1257"/>
      <c r="T33" s="1257"/>
      <c r="U33" s="1257"/>
      <c r="V33" s="1257"/>
      <c r="W33" s="1257"/>
      <c r="X33" s="1257"/>
      <c r="Y33" s="239" t="str">
        <f t="shared" ref="Y33:Y78" si="27">EF95</f>
        <v/>
      </c>
      <c r="Z33" s="239" t="str">
        <f t="shared" ref="Z33:Z78" si="28">EH95</f>
        <v/>
      </c>
      <c r="AA33" s="439" t="str">
        <f t="shared" ref="AA33:AA78" si="29">EG95</f>
        <v/>
      </c>
      <c r="AB33" s="542"/>
      <c r="AC33" s="1253" t="str">
        <f t="shared" si="17"/>
        <v/>
      </c>
      <c r="AD33" s="1166"/>
      <c r="AE33" s="1166"/>
      <c r="AF33" s="1166"/>
      <c r="AG33" s="1166"/>
      <c r="AH33" s="1166"/>
      <c r="AK33">
        <f>SUMIFS(Installations!CS$39:CS$800,Installations!CT$39:CT$800,E33,Installations!HX$39:HX$800,TRUE)</f>
        <v>0</v>
      </c>
      <c r="AL33">
        <f>SUMIFS(Installations!CS$39:CS$800,Installations!CT$39:CT$800,R33,Installations!HX$39:HX$800,TRUE)</f>
        <v>0</v>
      </c>
      <c r="BL33" s="9"/>
      <c r="BM33" s="703" t="str">
        <f t="shared" si="18"/>
        <v/>
      </c>
      <c r="BN33" s="52"/>
      <c r="BO33" s="52"/>
      <c r="BP33" s="52"/>
      <c r="BQ33" s="52"/>
      <c r="BR33" s="52"/>
      <c r="BS33" s="52"/>
      <c r="BT33" s="52"/>
      <c r="BU33" s="414"/>
      <c r="BV33" s="255" t="str">
        <f>IF(CN33&lt;&gt;"Yes","",IFERROR(VLOOKUP(CU33,Existing!A$4:F$364,2,FALSE),""))</f>
        <v/>
      </c>
      <c r="BW33" s="9">
        <v>7</v>
      </c>
      <c r="BX33" s="1313"/>
      <c r="BY33" s="1314"/>
      <c r="BZ33" s="1314"/>
      <c r="CA33" s="1315"/>
      <c r="CB33" s="1310"/>
      <c r="CC33" s="1311"/>
      <c r="CD33" s="1311"/>
      <c r="CE33" s="1312"/>
      <c r="CF33" s="1309"/>
      <c r="CG33" s="1309"/>
      <c r="CH33" s="1309"/>
      <c r="CI33" s="1309"/>
      <c r="CJ33" s="1309"/>
      <c r="CK33" s="1309"/>
      <c r="CL33" s="1309"/>
      <c r="CM33" s="1309"/>
      <c r="CN33" s="1243" t="str">
        <f t="shared" si="0"/>
        <v/>
      </c>
      <c r="CO33" s="1244"/>
      <c r="CP33" s="265" t="str">
        <f>IFERROR(IF(CB33="Existing TLED",CR33*CW33*CY33,VLOOKUP(CU33,Existing!A$3:F$353,6,FALSE)),"")</f>
        <v/>
      </c>
      <c r="CQ33" s="9"/>
      <c r="CR33" s="1343"/>
      <c r="CS33" s="1344"/>
      <c r="CT33" s="9"/>
      <c r="CU33" s="470" t="str">
        <f t="shared" si="21"/>
        <v/>
      </c>
      <c r="CV33" s="471" t="b">
        <f t="shared" si="22"/>
        <v>0</v>
      </c>
      <c r="CW33" s="471" t="str">
        <f t="shared" si="23"/>
        <v/>
      </c>
      <c r="CX33" s="471">
        <f>IFERROR(VLOOKUP(CF33,Lookup!M$100:O$102,3,FALSE),0)</f>
        <v>0</v>
      </c>
      <c r="CY33" s="471">
        <f t="shared" si="9"/>
        <v>1.1100000000000001</v>
      </c>
      <c r="CZ33" s="707" t="b">
        <f t="shared" si="1"/>
        <v>0</v>
      </c>
      <c r="DA33" s="707" t="b">
        <f>IF(CF33&lt;&gt;"",IF(ISERROR(MATCH(CONCATENATE(CB33," - ",CF33),Existing!G$4:G$328,0))=TRUE,FALSE,TRUE),TRUE)</f>
        <v>1</v>
      </c>
      <c r="DB33" s="707" t="b">
        <f t="shared" si="2"/>
        <v>1</v>
      </c>
      <c r="DL33" s="9"/>
      <c r="DM33" s="708" t="s">
        <v>166</v>
      </c>
      <c r="DN33" s="416" t="str">
        <f t="shared" si="3"/>
        <v/>
      </c>
      <c r="DO33" s="52"/>
      <c r="DP33" s="52"/>
      <c r="DQ33" s="52"/>
      <c r="DR33" s="52"/>
      <c r="DS33" s="52"/>
      <c r="DT33" s="262"/>
      <c r="DU33" s="417"/>
      <c r="DV33" s="263" t="str">
        <f t="shared" si="4"/>
        <v/>
      </c>
      <c r="DW33" s="260">
        <v>7</v>
      </c>
      <c r="DX33" s="1306"/>
      <c r="DY33" s="1307"/>
      <c r="DZ33" s="1307"/>
      <c r="EA33" s="1308"/>
      <c r="EB33" s="1306"/>
      <c r="EC33" s="1307"/>
      <c r="ED33" s="1307"/>
      <c r="EE33" s="1308"/>
      <c r="EF33" s="1266"/>
      <c r="EG33" s="1267"/>
      <c r="EH33" s="1260"/>
      <c r="EI33" s="1261"/>
      <c r="EJ33" s="1261"/>
      <c r="EK33" s="1262"/>
      <c r="EL33" s="1263"/>
      <c r="EM33" s="1264"/>
      <c r="EN33" s="1264"/>
      <c r="EO33" s="1265"/>
      <c r="EP33" s="1266"/>
      <c r="EQ33" s="1267"/>
      <c r="ER33" s="1245"/>
      <c r="ES33" s="1246"/>
      <c r="ET33" s="1243" t="str">
        <f t="shared" si="5"/>
        <v/>
      </c>
      <c r="EU33" s="1244"/>
      <c r="EV33" s="1243" t="str">
        <f t="shared" si="6"/>
        <v/>
      </c>
      <c r="EW33" s="1244"/>
      <c r="EX33" s="438"/>
      <c r="EY33" s="261" t="str">
        <f t="shared" si="7"/>
        <v/>
      </c>
      <c r="EZ33" s="261" t="str">
        <f>IFERROR(VLOOKUP(EB33,Lookup!AM$3:AN$13,2,FALSE),"")</f>
        <v/>
      </c>
      <c r="FA33" s="471" t="b">
        <f>IFERROR(IF(VLOOKUP(EB33,Lookup!AM$6:AN$8,2,FALSE)&gt;3,TRUE,FALSE),FALSE)</f>
        <v>0</v>
      </c>
      <c r="FB33" s="471">
        <f t="shared" si="11"/>
        <v>1</v>
      </c>
      <c r="FC33" t="str">
        <f t="shared" ca="1" si="10"/>
        <v/>
      </c>
      <c r="FG33" t="str">
        <f t="shared" ca="1" si="12"/>
        <v/>
      </c>
      <c r="FI33" s="240" t="str">
        <f t="shared" ca="1" si="24"/>
        <v/>
      </c>
      <c r="FJ33" s="240"/>
      <c r="FK33" s="712" t="str">
        <f ca="1">IF(INDIRECT(CONCATENATE($FK$12,Fixtures!FK$25))="","",IF(INDIRECT(CONCATENATE($FK$12,Fixtures!FK$25))=Fixtures!$DN33,CONCATENATE(FK$10,", "),""))</f>
        <v/>
      </c>
      <c r="FL33" s="712" t="str">
        <f ca="1">IF(INDIRECT(CONCATENATE($FK$12,Fixtures!FL$25))="","",IF(INDIRECT(CONCATENATE($FK$12,Fixtures!FL$25))=Fixtures!$DN33,CONCATENATE(FL$10,", "),""))</f>
        <v/>
      </c>
      <c r="FM33" s="712" t="str">
        <f ca="1">IF(INDIRECT(CONCATENATE($FK$12,Fixtures!FM$25))="","",IF(INDIRECT(CONCATENATE($FK$12,Fixtures!FM$25))=Fixtures!$DN33,CONCATENATE(FM$10,", "),""))</f>
        <v/>
      </c>
      <c r="FN33" s="712" t="str">
        <f ca="1">IF(INDIRECT(CONCATENATE($FK$12,Fixtures!FN$25))="","",IF(INDIRECT(CONCATENATE($FK$12,Fixtures!FN$25))=Fixtures!$DN33,CONCATENATE(FN$10,", "),""))</f>
        <v/>
      </c>
      <c r="FO33" s="712" t="str">
        <f ca="1">IF(INDIRECT(CONCATENATE($FK$12,Fixtures!FO$25))="","",IF(INDIRECT(CONCATENATE($FK$12,Fixtures!FO$25))=Fixtures!$DN33,CONCATENATE(FO$10,", "),""))</f>
        <v/>
      </c>
      <c r="FP33" s="712" t="str">
        <f ca="1">IF(INDIRECT(CONCATENATE($FK$12,Fixtures!FP$25))="","",IF(INDIRECT(CONCATENATE($FK$12,Fixtures!FP$25))=Fixtures!$DN33,CONCATENATE(FP$10,", "),""))</f>
        <v/>
      </c>
      <c r="FQ33" s="712" t="str">
        <f ca="1">IF(INDIRECT(CONCATENATE($FK$12,Fixtures!FQ$25))="","",IF(INDIRECT(CONCATENATE($FK$12,Fixtures!FQ$25))=Fixtures!$DN33,CONCATENATE(FQ$10,", "),""))</f>
        <v/>
      </c>
      <c r="FR33" s="712" t="str">
        <f ca="1">IF(INDIRECT(CONCATENATE($FK$12,Fixtures!FR$25))="","",IF(INDIRECT(CONCATENATE($FK$12,Fixtures!FR$25))=Fixtures!$DN33,CONCATENATE(FR$10,", "),""))</f>
        <v/>
      </c>
      <c r="FS33" s="712" t="str">
        <f ca="1">IF(INDIRECT(CONCATENATE($FK$12,Fixtures!FS$25))="","",IF(INDIRECT(CONCATENATE($FK$12,Fixtures!FS$25))=Fixtures!$DN33,CONCATENATE(FS$10,", "),""))</f>
        <v/>
      </c>
      <c r="FT33" s="682" t="str">
        <f ca="1">IF(INDIRECT(CONCATENATE($FK$12,Fixtures!FT$25))="","",IF(INDIRECT(CONCATENATE($FK$12,Fixtures!FT$25))=Fixtures!$DN33,CONCATENATE(FT$10,", "),""))</f>
        <v/>
      </c>
      <c r="FU33" s="683" t="str">
        <f ca="1">IF(INDIRECT(CONCATENATE($FK$12,Fixtures!FU$25))="","",IF(INDIRECT(CONCATENATE($FK$12,Fixtures!FU$25))=Fixtures!$DN33,CONCATENATE(FU$10,", "),""))</f>
        <v/>
      </c>
      <c r="FV33" s="712" t="str">
        <f ca="1">IF(INDIRECT(CONCATENATE($FK$12,Fixtures!FV$25))="","",IF(INDIRECT(CONCATENATE($FK$12,Fixtures!FV$25))=Fixtures!$DN33,CONCATENATE(FV$10,", "),""))</f>
        <v/>
      </c>
      <c r="FW33" s="713" t="str">
        <f ca="1">IF(INDIRECT(CONCATENATE($FK$12,Fixtures!FW$25))="","",IF(INDIRECT(CONCATENATE($FK$12,Fixtures!FW$25))=Fixtures!$DN33,CONCATENATE(FW$10,", "),""))</f>
        <v/>
      </c>
      <c r="FX33" s="713" t="str">
        <f ca="1">IF(INDIRECT(CONCATENATE($FK$12,Fixtures!FX$25))="","",IF(INDIRECT(CONCATENATE($FK$12,Fixtures!FX$25))=Fixtures!$DN33,CONCATENATE(FX$10,", "),""))</f>
        <v/>
      </c>
      <c r="FY33" s="713" t="str">
        <f ca="1">IF(INDIRECT(CONCATENATE($FK$12,Fixtures!FY$25))="","",IF(INDIRECT(CONCATENATE($FK$12,Fixtures!FY$25))=Fixtures!$DN33,CONCATENATE(FY$10,", "),""))</f>
        <v/>
      </c>
      <c r="FZ33" s="713" t="str">
        <f ca="1">IF(INDIRECT(CONCATENATE($FK$12,Fixtures!FZ$25))="","",IF(INDIRECT(CONCATENATE($FK$12,Fixtures!FZ$25))=Fixtures!$DN33,CONCATENATE(FZ$10,", "),""))</f>
        <v/>
      </c>
      <c r="GA33" s="713" t="str">
        <f ca="1">IF(INDIRECT(CONCATENATE($FK$12,Fixtures!GA$25))="","",IF(INDIRECT(CONCATENATE($FK$12,Fixtures!GA$25))=Fixtures!$DN33,CONCATENATE(GA$10,", "),""))</f>
        <v/>
      </c>
      <c r="GB33" s="713" t="str">
        <f ca="1">IF(INDIRECT(CONCATENATE($FK$12,Fixtures!GB$25))="","",IF(INDIRECT(CONCATENATE($FK$12,Fixtures!GB$25))=Fixtures!$DN33,CONCATENATE(GB$10,", "),""))</f>
        <v/>
      </c>
      <c r="GC33" s="713" t="str">
        <f ca="1">IF(INDIRECT(CONCATENATE($FK$12,Fixtures!GC$25))="","",IF(INDIRECT(CONCATENATE($FK$12,Fixtures!GC$25))=Fixtures!$DN33,CONCATENATE(GC$10,", "),""))</f>
        <v/>
      </c>
      <c r="GD33" s="713" t="str">
        <f ca="1">IF(INDIRECT(CONCATENATE($FK$12,Fixtures!GD$25))="","",IF(INDIRECT(CONCATENATE($FK$12,Fixtures!GD$25))=Fixtures!$DN33,CONCATENATE(GD$10,", "),""))</f>
        <v/>
      </c>
      <c r="GE33" s="713" t="str">
        <f ca="1">IF(INDIRECT(CONCATENATE($FK$12,Fixtures!GE$25))="","",IF(INDIRECT(CONCATENATE($FK$12,Fixtures!GE$25))=Fixtures!$DN33,CONCATENATE(GE$10,", "),""))</f>
        <v/>
      </c>
      <c r="GF33" s="713" t="str">
        <f ca="1">IF(INDIRECT(CONCATENATE($FK$12,Fixtures!GF$25))="","",IF(INDIRECT(CONCATENATE($FK$12,Fixtures!GF$25))=Fixtures!$DN33,CONCATENATE(GF$10,", "),""))</f>
        <v/>
      </c>
      <c r="GG33" s="713" t="str">
        <f ca="1">IF(INDIRECT(CONCATENATE($FK$12,Fixtures!GG$25))="","",IF(INDIRECT(CONCATENATE($FK$12,Fixtures!GG$25))=Fixtures!$DN33,CONCATENATE(GG$10,", "),""))</f>
        <v/>
      </c>
      <c r="GH33" s="713" t="str">
        <f ca="1">IF(INDIRECT(CONCATENATE($FK$12,Fixtures!GH$25))="","",IF(INDIRECT(CONCATENATE($FK$12,Fixtures!GH$25))=Fixtures!$DN33,CONCATENATE(GH$10,", "),""))</f>
        <v/>
      </c>
      <c r="GI33" s="684" t="str">
        <f ca="1">IF(INDIRECT(CONCATENATE($FK$12,Fixtures!GI$25))="","",IF(INDIRECT(CONCATENATE($FK$12,Fixtures!GI$25))=Fixtures!$DN33,CONCATENATE(GI$10,", "),""))</f>
        <v/>
      </c>
      <c r="GJ33" s="685" t="str">
        <f ca="1">IF(INDIRECT(CONCATENATE($FK$12,Fixtures!GJ$25))="","",IF(INDIRECT(CONCATENATE($FK$12,Fixtures!GJ$25))=Fixtures!$DN33,CONCATENATE(GJ$10,", "),""))</f>
        <v/>
      </c>
      <c r="GK33" s="713" t="str">
        <f ca="1">IF(INDIRECT(CONCATENATE($FK$12,Fixtures!GK$25))="","",IF(INDIRECT(CONCATENATE($FK$12,Fixtures!GK$25))=Fixtures!$DN33,CONCATENATE(GK$10,", "),""))</f>
        <v/>
      </c>
      <c r="GL33" s="713" t="str">
        <f ca="1">IF(INDIRECT(CONCATENATE($FK$12,Fixtures!GL$25))="","",IF(INDIRECT(CONCATENATE($FK$12,Fixtures!GL$25))=Fixtures!$DN33,CONCATENATE(GL$10,", "),""))</f>
        <v/>
      </c>
      <c r="GM33" s="713" t="str">
        <f ca="1">IF(INDIRECT(CONCATENATE($FK$12,Fixtures!GM$25))="","",IF(INDIRECT(CONCATENATE($FK$12,Fixtures!GM$25))=Fixtures!$DN33,CONCATENATE(GM$10,", "),""))</f>
        <v/>
      </c>
      <c r="GN33" s="713" t="str">
        <f ca="1">IF(INDIRECT(CONCATENATE($FK$12,Fixtures!GN$25))="","",IF(INDIRECT(CONCATENATE($FK$12,Fixtures!GN$25))=Fixtures!$DN33,CONCATENATE(GN$10,", "),""))</f>
        <v/>
      </c>
      <c r="GO33" s="713" t="str">
        <f ca="1">IF(INDIRECT(CONCATENATE($FK$12,Fixtures!GO$25))="","",IF(INDIRECT(CONCATENATE($FK$12,Fixtures!GO$25))=Fixtures!$DN33,CONCATENATE(GO$10,", "),""))</f>
        <v/>
      </c>
      <c r="GP33" s="713" t="str">
        <f ca="1">IF(INDIRECT(CONCATENATE($FK$12,Fixtures!GP$25))="","",IF(INDIRECT(CONCATENATE($FK$12,Fixtures!GP$25))=Fixtures!$DN33,CONCATENATE(GP$10,", "),""))</f>
        <v/>
      </c>
      <c r="GQ33" s="713" t="str">
        <f ca="1">IF(INDIRECT(CONCATENATE($FK$12,Fixtures!GQ$25))="","",IF(INDIRECT(CONCATENATE($FK$12,Fixtures!GQ$25))=Fixtures!$DN33,CONCATENATE(GQ$10,", "),""))</f>
        <v/>
      </c>
      <c r="GR33" s="713" t="str">
        <f ca="1">IF(INDIRECT(CONCATENATE($FK$12,Fixtures!GR$25))="","",IF(INDIRECT(CONCATENATE($FK$12,Fixtures!GR$25))=Fixtures!$DN33,CONCATENATE(GR$10,", "),""))</f>
        <v/>
      </c>
      <c r="GS33" s="713" t="str">
        <f ca="1">IF(INDIRECT(CONCATENATE($FK$12,Fixtures!GS$25))="","",IF(INDIRECT(CONCATENATE($FK$12,Fixtures!GS$25))=Fixtures!$DN33,CONCATENATE(GS$10,", "),""))</f>
        <v/>
      </c>
      <c r="GT33" s="713" t="str">
        <f ca="1">IF(INDIRECT(CONCATENATE($FK$12,Fixtures!GT$25))="","",IF(INDIRECT(CONCATENATE($FK$12,Fixtures!GT$25))=Fixtures!$DN33,CONCATENATE(GT$10,", "),""))</f>
        <v/>
      </c>
      <c r="GU33" s="713" t="str">
        <f ca="1">IF(INDIRECT(CONCATENATE($FK$12,Fixtures!GU$25))="","",IF(INDIRECT(CONCATENATE($FK$12,Fixtures!GU$25))=Fixtures!$DN33,CONCATENATE(GU$10,", "),""))</f>
        <v/>
      </c>
      <c r="GV33" s="713" t="str">
        <f ca="1">IF(INDIRECT(CONCATENATE($FK$12,Fixtures!GV$25))="","",IF(INDIRECT(CONCATENATE($FK$12,Fixtures!GV$25))=Fixtures!$DN33,CONCATENATE(GV$10,", "),""))</f>
        <v/>
      </c>
      <c r="GW33" s="713" t="str">
        <f ca="1">IF(INDIRECT(CONCATENATE($FK$12,Fixtures!GW$25))="","",IF(INDIRECT(CONCATENATE($FK$12,Fixtures!GW$25))=Fixtures!$DN33,CONCATENATE(GW$10,", "),""))</f>
        <v/>
      </c>
      <c r="GX33" s="684" t="str">
        <f ca="1">IF(INDIRECT(CONCATENATE($FK$12,Fixtures!GX$25))="","",IF(INDIRECT(CONCATENATE($FK$12,Fixtures!GX$25))=Fixtures!$DN33,CONCATENATE(GX$10,", "),""))</f>
        <v/>
      </c>
      <c r="GY33" s="685" t="str">
        <f ca="1">IF(INDIRECT(CONCATENATE($FK$12,Fixtures!GY$25))="","",IF(INDIRECT(CONCATENATE($FK$12,Fixtures!GY$25))=Fixtures!$DN33,CONCATENATE(GY$10,", "),""))</f>
        <v/>
      </c>
      <c r="GZ33" s="713" t="str">
        <f ca="1">IF(INDIRECT(CONCATENATE($FK$12,Fixtures!GZ$25))="","",IF(INDIRECT(CONCATENATE($FK$12,Fixtures!GZ$25))=Fixtures!$DN33,CONCATENATE(GZ$10,", "),""))</f>
        <v/>
      </c>
      <c r="HA33" s="713" t="str">
        <f ca="1">IF(INDIRECT(CONCATENATE($FK$12,Fixtures!HA$25))="","",IF(INDIRECT(CONCATENATE($FK$12,Fixtures!HA$25))=Fixtures!$DN33,CONCATENATE(HA$10,", "),""))</f>
        <v/>
      </c>
      <c r="HB33" s="713" t="str">
        <f ca="1">IF(INDIRECT(CONCATENATE($FK$12,Fixtures!HB$25))="","",IF(INDIRECT(CONCATENATE($FK$12,Fixtures!HB$25))=Fixtures!$DN33,CONCATENATE(HB$10,", "),""))</f>
        <v/>
      </c>
      <c r="HC33" s="713" t="str">
        <f ca="1">IF(INDIRECT(CONCATENATE($FK$12,Fixtures!HC$25))="","",IF(INDIRECT(CONCATENATE($FK$12,Fixtures!HC$25))=Fixtures!$DN33,CONCATENATE(HC$10,", "),""))</f>
        <v/>
      </c>
      <c r="HD33" s="713" t="str">
        <f ca="1">IF(INDIRECT(CONCATENATE($FK$12,Fixtures!HD$25))="","",IF(INDIRECT(CONCATENATE($FK$12,Fixtures!HD$25))=Fixtures!$DN33,CONCATENATE(HD$10,", "),""))</f>
        <v/>
      </c>
      <c r="HE33" s="713" t="str">
        <f ca="1">IF(INDIRECT(CONCATENATE($FK$12,Fixtures!HE$25))="","",IF(INDIRECT(CONCATENATE($FK$12,Fixtures!HE$25))=Fixtures!$DN33,CONCATENATE(HE$10,", "),""))</f>
        <v/>
      </c>
      <c r="HF33" s="713" t="str">
        <f ca="1">IF(INDIRECT(CONCATENATE($FK$12,Fixtures!HF$25))="","",IF(INDIRECT(CONCATENATE($FK$12,Fixtures!HF$25))=Fixtures!$DN33,CONCATENATE(HF$10,", "),""))</f>
        <v/>
      </c>
      <c r="HG33" s="713" t="str">
        <f ca="1">IF(INDIRECT(CONCATENATE($FK$12,Fixtures!HG$25))="","",IF(INDIRECT(CONCATENATE($FK$12,Fixtures!HG$25))=Fixtures!$DN33,CONCATENATE(HG$10,", "),""))</f>
        <v/>
      </c>
      <c r="HH33" s="713" t="str">
        <f ca="1">IF(INDIRECT(CONCATENATE($FK$12,Fixtures!HH$25))="","",IF(INDIRECT(CONCATENATE($FK$12,Fixtures!HH$25))=Fixtures!$DN33,CONCATENATE(HH$10,", "),""))</f>
        <v/>
      </c>
      <c r="HI33" s="713" t="str">
        <f ca="1">IF(INDIRECT(CONCATENATE($FK$12,Fixtures!HI$25))="","",IF(INDIRECT(CONCATENATE($FK$12,Fixtures!HI$25))=Fixtures!$DN33,CONCATENATE(HI$10,", "),""))</f>
        <v/>
      </c>
      <c r="HJ33" s="713" t="str">
        <f ca="1">IF(INDIRECT(CONCATENATE($FK$12,Fixtures!HJ$25))="","",IF(INDIRECT(CONCATENATE($FK$12,Fixtures!HJ$25))=Fixtures!$DN33,CONCATENATE(HJ$10,", "),""))</f>
        <v/>
      </c>
      <c r="HK33" s="713" t="str">
        <f ca="1">IF(INDIRECT(CONCATENATE($FK$12,Fixtures!HK$25))="","",IF(INDIRECT(CONCATENATE($FK$12,Fixtures!HK$25))=Fixtures!$DN33,CONCATENATE(HK$10,", "),""))</f>
        <v/>
      </c>
      <c r="HL33" s="713" t="str">
        <f ca="1">IF(INDIRECT(CONCATENATE($FK$12,Fixtures!HL$25))="","",IF(INDIRECT(CONCATENATE($FK$12,Fixtures!HL$25))=Fixtures!$DN33,CONCATENATE(HL$10,", "),""))</f>
        <v/>
      </c>
      <c r="HM33" s="684" t="str">
        <f ca="1">IF(INDIRECT(CONCATENATE($FK$12,Fixtures!HM$25))="","",IF(INDIRECT(CONCATENATE($FK$12,Fixtures!HM$25))=Fixtures!$DN33,CONCATENATE(HM$10,", "),""))</f>
        <v/>
      </c>
      <c r="HN33" s="685" t="str">
        <f ca="1">IF(INDIRECT(CONCATENATE($FK$12,Fixtures!HN$25))="","",IF(INDIRECT(CONCATENATE($FK$12,Fixtures!HN$25))=Fixtures!$DN33,CONCATENATE(HN$10,", "),""))</f>
        <v/>
      </c>
      <c r="HO33" s="713" t="str">
        <f ca="1">IF(INDIRECT(CONCATENATE($FK$12,Fixtures!HO$25))="","",IF(INDIRECT(CONCATENATE($FK$12,Fixtures!HO$25))=Fixtures!$DN33,CONCATENATE(HO$10,", "),""))</f>
        <v/>
      </c>
      <c r="HP33" s="713" t="str">
        <f ca="1">IF(INDIRECT(CONCATENATE($FK$12,Fixtures!HP$25))="","",IF(INDIRECT(CONCATENATE($FK$12,Fixtures!HP$25))=Fixtures!$DN33,CONCATENATE(HP$10,", "),""))</f>
        <v/>
      </c>
      <c r="HQ33" s="713" t="str">
        <f ca="1">IF(INDIRECT(CONCATENATE($FK$12,Fixtures!HQ$25))="","",IF(INDIRECT(CONCATENATE($FK$12,Fixtures!HQ$25))=Fixtures!$DN33,CONCATENATE(HQ$10,", "),""))</f>
        <v/>
      </c>
      <c r="HR33" s="713" t="str">
        <f ca="1">IF(INDIRECT(CONCATENATE($FK$12,Fixtures!HR$25))="","",IF(INDIRECT(CONCATENATE($FK$12,Fixtures!HR$25))=Fixtures!$DN33,CONCATENATE(HR$10,", "),""))</f>
        <v/>
      </c>
      <c r="HS33" s="713" t="str">
        <f ca="1">IF(INDIRECT(CONCATENATE($FK$12,Fixtures!HS$25))="","",IF(INDIRECT(CONCATENATE($FK$12,Fixtures!HS$25))=Fixtures!$DN33,CONCATENATE(HS$10,", "),""))</f>
        <v/>
      </c>
      <c r="HT33" s="713" t="str">
        <f ca="1">IF(INDIRECT(CONCATENATE($FK$12,Fixtures!HT$25))="","",IF(INDIRECT(CONCATENATE($FK$12,Fixtures!HT$25))=Fixtures!$DN33,CONCATENATE(HT$10,", "),""))</f>
        <v/>
      </c>
      <c r="HU33" s="713" t="str">
        <f ca="1">IF(INDIRECT(CONCATENATE($FK$12,Fixtures!HU$25))="","",IF(INDIRECT(CONCATENATE($FK$12,Fixtures!HU$25))=Fixtures!$DN33,CONCATENATE(HU$10,", "),""))</f>
        <v/>
      </c>
      <c r="HV33" s="713" t="str">
        <f ca="1">IF(INDIRECT(CONCATENATE($FK$12,Fixtures!HV$25))="","",IF(INDIRECT(CONCATENATE($FK$12,Fixtures!HV$25))=Fixtures!$DN33,CONCATENATE(HV$10,", "),""))</f>
        <v/>
      </c>
      <c r="HW33" s="713" t="str">
        <f ca="1">IF(INDIRECT(CONCATENATE($FK$12,Fixtures!HW$25))="","",IF(INDIRECT(CONCATENATE($FK$12,Fixtures!HW$25))=Fixtures!$DN33,CONCATENATE(HW$10,", "),""))</f>
        <v/>
      </c>
      <c r="HX33" s="713" t="str">
        <f ca="1">IF(INDIRECT(CONCATENATE($FK$12,Fixtures!HX$25))="","",IF(INDIRECT(CONCATENATE($FK$12,Fixtures!HX$25))=Fixtures!$DN33,CONCATENATE(HX$10,", "),""))</f>
        <v/>
      </c>
      <c r="HY33" s="713" t="str">
        <f ca="1">IF(INDIRECT(CONCATENATE($FK$12,Fixtures!HY$25))="","",IF(INDIRECT(CONCATENATE($FK$12,Fixtures!HY$25))=Fixtures!$DN33,CONCATENATE(HY$10,", "),""))</f>
        <v/>
      </c>
      <c r="HZ33" s="713" t="str">
        <f ca="1">IF(INDIRECT(CONCATENATE($FK$12,Fixtures!HZ$25))="","",IF(INDIRECT(CONCATENATE($FK$12,Fixtures!HZ$25))=Fixtures!$DN33,CONCATENATE(HZ$10,", "),""))</f>
        <v/>
      </c>
      <c r="IA33" s="713" t="str">
        <f ca="1">IF(INDIRECT(CONCATENATE($FK$12,Fixtures!IA$25))="","",IF(INDIRECT(CONCATENATE($FK$12,Fixtures!IA$25))=Fixtures!$DN33,CONCATENATE(IA$10,", "),""))</f>
        <v/>
      </c>
      <c r="IB33" s="684" t="str">
        <f ca="1">IF(INDIRECT(CONCATENATE($FK$12,Fixtures!IB$25))="","",IF(INDIRECT(CONCATENATE($FK$12,Fixtures!IB$25))=Fixtures!$DN33,CONCATENATE(IB$10,", "),""))</f>
        <v/>
      </c>
      <c r="IC33" s="685" t="str">
        <f ca="1">IF(INDIRECT(CONCATENATE($FK$12,Fixtures!IC$25))="","",IF(INDIRECT(CONCATENATE($FK$12,Fixtures!IC$25))=Fixtures!$DN33,CONCATENATE(IC$10,", "),""))</f>
        <v/>
      </c>
      <c r="ID33" s="713" t="str">
        <f ca="1">IF(INDIRECT(CONCATENATE($FK$12,Fixtures!ID$25))="","",IF(INDIRECT(CONCATENATE($FK$12,Fixtures!ID$25))=Fixtures!$DN33,CONCATENATE(ID$10,", "),""))</f>
        <v/>
      </c>
      <c r="IE33" s="713" t="str">
        <f ca="1">IF(INDIRECT(CONCATENATE($FK$12,Fixtures!IE$25))="","",IF(INDIRECT(CONCATENATE($FK$12,Fixtures!IE$25))=Fixtures!$DN33,CONCATENATE(IE$10,", "),""))</f>
        <v/>
      </c>
      <c r="IF33" s="713" t="str">
        <f ca="1">IF(INDIRECT(CONCATENATE($FK$12,Fixtures!IF$25))="","",IF(INDIRECT(CONCATENATE($FK$12,Fixtures!IF$25))=Fixtures!$DN33,CONCATENATE(IF$10,", "),""))</f>
        <v/>
      </c>
      <c r="IG33" s="713" t="str">
        <f ca="1">IF(INDIRECT(CONCATENATE($FK$12,Fixtures!IG$25))="","",IF(INDIRECT(CONCATENATE($FK$12,Fixtures!IG$25))=Fixtures!$DN33,CONCATENATE(IG$10,", "),""))</f>
        <v/>
      </c>
      <c r="IH33" s="713" t="str">
        <f ca="1">IF(INDIRECT(CONCATENATE($FK$12,Fixtures!IH$25))="","",IF(INDIRECT(CONCATENATE($FK$12,Fixtures!IH$25))=Fixtures!$DN33,CONCATENATE(IH$10,", "),""))</f>
        <v/>
      </c>
      <c r="II33" s="713" t="str">
        <f ca="1">IF(INDIRECT(CONCATENATE($FK$12,Fixtures!II$25))="","",IF(INDIRECT(CONCATENATE($FK$12,Fixtures!II$25))=Fixtures!$DN33,CONCATENATE(II$10,", "),""))</f>
        <v/>
      </c>
      <c r="IJ33" s="713" t="str">
        <f ca="1">IF(INDIRECT(CONCATENATE($FK$12,Fixtures!IJ$25))="","",IF(INDIRECT(CONCATENATE($FK$12,Fixtures!IJ$25))=Fixtures!$DN33,CONCATENATE(IJ$10,", "),""))</f>
        <v/>
      </c>
      <c r="IK33" s="713" t="str">
        <f ca="1">IF(INDIRECT(CONCATENATE($FK$12,Fixtures!IK$25))="","",IF(INDIRECT(CONCATENATE($FK$12,Fixtures!IK$25))=Fixtures!$DN33,CONCATENATE(IK$10,", "),""))</f>
        <v/>
      </c>
      <c r="IL33" s="713" t="str">
        <f ca="1">IF(INDIRECT(CONCATENATE($FK$12,Fixtures!IL$25))="","",IF(INDIRECT(CONCATENATE($FK$12,Fixtures!IL$25))=Fixtures!$DN33,CONCATENATE(IL$10,", "),""))</f>
        <v/>
      </c>
      <c r="IM33" s="713" t="str">
        <f ca="1">IF(INDIRECT(CONCATENATE($FK$12,Fixtures!IM$25))="","",IF(INDIRECT(CONCATENATE($FK$12,Fixtures!IM$25))=Fixtures!$DN33,CONCATENATE(IM$10,", "),""))</f>
        <v/>
      </c>
      <c r="IN33" s="713" t="str">
        <f ca="1">IF(INDIRECT(CONCATENATE($FK$12,Fixtures!IN$25))="","",IF(INDIRECT(CONCATENATE($FK$12,Fixtures!IN$25))=Fixtures!$DN33,CONCATENATE(IN$10,", "),""))</f>
        <v/>
      </c>
      <c r="IO33" s="713" t="str">
        <f ca="1">IF(INDIRECT(CONCATENATE($FK$12,Fixtures!IO$25))="","",IF(INDIRECT(CONCATENATE($FK$12,Fixtures!IO$25))=Fixtures!$DN33,CONCATENATE(IO$10,", "),""))</f>
        <v/>
      </c>
      <c r="IP33" s="713" t="str">
        <f ca="1">IF(INDIRECT(CONCATENATE($FK$12,Fixtures!IP$25))="","",IF(INDIRECT(CONCATENATE($FK$12,Fixtures!IP$25))=Fixtures!$DN33,CONCATENATE(IP$10,", "),""))</f>
        <v/>
      </c>
      <c r="IQ33" s="684" t="str">
        <f ca="1">IF(INDIRECT(CONCATENATE($FK$12,Fixtures!IQ$25))="","",IF(INDIRECT(CONCATENATE($FK$12,Fixtures!IQ$25))=Fixtures!$DN33,CONCATENATE(IQ$10,", "),""))</f>
        <v/>
      </c>
      <c r="IR33" s="685" t="str">
        <f ca="1">IF(INDIRECT(CONCATENATE($FK$12,Fixtures!IR$25))="","",IF(INDIRECT(CONCATENATE($FK$12,Fixtures!IR$25))=Fixtures!$DN33,CONCATENATE(IR$10,", "),""))</f>
        <v/>
      </c>
      <c r="IS33" s="713" t="str">
        <f ca="1">IF(INDIRECT(CONCATENATE($FK$12,Fixtures!IS$25))="","",IF(INDIRECT(CONCATENATE($FK$12,Fixtures!IS$25))=Fixtures!$DN33,CONCATENATE(IS$10,", "),""))</f>
        <v/>
      </c>
      <c r="IT33" s="713" t="str">
        <f ca="1">IF(INDIRECT(CONCATENATE($FK$12,Fixtures!IT$25))="","",IF(INDIRECT(CONCATENATE($FK$12,Fixtures!IT$25))=Fixtures!$DN33,CONCATENATE(IT$10,", "),""))</f>
        <v/>
      </c>
      <c r="IU33" s="713" t="str">
        <f ca="1">IF(INDIRECT(CONCATENATE($FK$12,Fixtures!IU$25))="","",IF(INDIRECT(CONCATENATE($FK$12,Fixtures!IU$25))=Fixtures!$DN33,CONCATENATE(IU$10,", "),""))</f>
        <v/>
      </c>
      <c r="IV33" s="713" t="str">
        <f ca="1">IF(INDIRECT(CONCATENATE($FK$12,Fixtures!IV$25))="","",IF(INDIRECT(CONCATENATE($FK$12,Fixtures!IV$25))=Fixtures!$DN33,CONCATENATE(IV$10,", "),""))</f>
        <v/>
      </c>
      <c r="IW33" s="713" t="str">
        <f ca="1">IF(INDIRECT(CONCATENATE($FK$12,Fixtures!IW$25))="","",IF(INDIRECT(CONCATENATE($FK$12,Fixtures!IW$25))=Fixtures!$DN33,CONCATENATE(IW$10,", "),""))</f>
        <v/>
      </c>
      <c r="IX33" s="713" t="str">
        <f ca="1">IF(INDIRECT(CONCATENATE($FK$12,Fixtures!IX$25))="","",IF(INDIRECT(CONCATENATE($FK$12,Fixtures!IX$25))=Fixtures!$DN33,CONCATENATE(IX$10,", "),""))</f>
        <v/>
      </c>
      <c r="IY33" s="713" t="str">
        <f ca="1">IF(INDIRECT(CONCATENATE($FK$12,Fixtures!IY$25))="","",IF(INDIRECT(CONCATENATE($FK$12,Fixtures!IY$25))=Fixtures!$DN33,CONCATENATE(IY$10,", "),""))</f>
        <v/>
      </c>
      <c r="IZ33" s="713" t="str">
        <f ca="1">IF(INDIRECT(CONCATENATE($FK$12,Fixtures!IZ$25))="","",IF(INDIRECT(CONCATENATE($FK$12,Fixtures!IZ$25))=Fixtures!$DN33,CONCATENATE(IZ$10,", "),""))</f>
        <v/>
      </c>
      <c r="JA33" s="713" t="str">
        <f ca="1">IF(INDIRECT(CONCATENATE($FK$12,Fixtures!JA$25))="","",IF(INDIRECT(CONCATENATE($FK$12,Fixtures!JA$25))=Fixtures!$DN33,CONCATENATE(JA$10,", "),""))</f>
        <v/>
      </c>
      <c r="JB33" s="713" t="str">
        <f ca="1">IF(INDIRECT(CONCATENATE($FK$12,Fixtures!JB$25))="","",IF(INDIRECT(CONCATENATE($FK$12,Fixtures!JB$25))=Fixtures!$DN33,CONCATENATE(JB$10,", "),""))</f>
        <v/>
      </c>
      <c r="JC33" s="713" t="str">
        <f ca="1">IF(INDIRECT(CONCATENATE($FK$12,Fixtures!JC$25))="","",IF(INDIRECT(CONCATENATE($FK$12,Fixtures!JC$25))=Fixtures!$DN33,CONCATENATE(JC$10,", "),""))</f>
        <v/>
      </c>
      <c r="JD33" s="713" t="str">
        <f ca="1">IF(INDIRECT(CONCATENATE($FK$12,Fixtures!JD$25))="","",IF(INDIRECT(CONCATENATE($FK$12,Fixtures!JD$25))=Fixtures!$DN33,CONCATENATE(JD$10,", "),""))</f>
        <v/>
      </c>
      <c r="JE33" s="713" t="str">
        <f ca="1">IF(INDIRECT(CONCATENATE($FK$12,Fixtures!JE$25))="","",IF(INDIRECT(CONCATENATE($FK$12,Fixtures!JE$25))=Fixtures!$DN33,CONCATENATE(JE$10,", "),""))</f>
        <v/>
      </c>
      <c r="JF33" s="684" t="str">
        <f ca="1">IF(INDIRECT(CONCATENATE($FK$12,Fixtures!JF$25))="","",IF(INDIRECT(CONCATENATE($FK$12,Fixtures!JF$25))=Fixtures!$DN33,CONCATENATE(JF$10,", "),""))</f>
        <v/>
      </c>
      <c r="JG33" s="685" t="str">
        <f ca="1">IF(INDIRECT(CONCATENATE($FK$12,Fixtures!JG$25))="","",IF(INDIRECT(CONCATENATE($FK$12,Fixtures!JG$25))=Fixtures!$DN33,CONCATENATE(JG$10,", "),""))</f>
        <v/>
      </c>
      <c r="JH33" s="713" t="str">
        <f ca="1">IF(INDIRECT(CONCATENATE($FK$12,Fixtures!JH$25))="","",IF(INDIRECT(CONCATENATE($FK$12,Fixtures!JH$25))=Fixtures!$DN33,CONCATENATE(JH$10,", "),""))</f>
        <v/>
      </c>
      <c r="JI33" s="713" t="str">
        <f ca="1">IF(INDIRECT(CONCATENATE($FK$12,Fixtures!JI$25))="","",IF(INDIRECT(CONCATENATE($FK$12,Fixtures!JI$25))=Fixtures!$DN33,CONCATENATE(JI$10,", "),""))</f>
        <v/>
      </c>
      <c r="JJ33" s="713" t="str">
        <f ca="1">IF(INDIRECT(CONCATENATE($FK$12,Fixtures!JJ$25))="","",IF(INDIRECT(CONCATENATE($FK$12,Fixtures!JJ$25))=Fixtures!$DN33,CONCATENATE(JJ$10,", "),""))</f>
        <v/>
      </c>
      <c r="JK33" s="713" t="str">
        <f ca="1">IF(INDIRECT(CONCATENATE($FK$12,Fixtures!JK$25))="","",IF(INDIRECT(CONCATENATE($FK$12,Fixtures!JK$25))=Fixtures!$DN33,CONCATENATE(JK$10,", "),""))</f>
        <v/>
      </c>
      <c r="JL33" s="713" t="str">
        <f ca="1">IF(INDIRECT(CONCATENATE($FK$12,Fixtures!JL$25))="","",IF(INDIRECT(CONCATENATE($FK$12,Fixtures!JL$25))=Fixtures!$DN33,CONCATENATE(JL$10,", "),""))</f>
        <v/>
      </c>
      <c r="JM33" s="713" t="str">
        <f ca="1">IF(INDIRECT(CONCATENATE($FK$12,Fixtures!JM$25))="","",IF(INDIRECT(CONCATENATE($FK$12,Fixtures!JM$25))=Fixtures!$DN33,CONCATENATE(JM$10,", "),""))</f>
        <v/>
      </c>
      <c r="JN33" s="713" t="str">
        <f ca="1">IF(INDIRECT(CONCATENATE($FK$12,Fixtures!JN$25))="","",IF(INDIRECT(CONCATENATE($FK$12,Fixtures!JN$25))=Fixtures!$DN33,CONCATENATE(JN$10,", "),""))</f>
        <v/>
      </c>
      <c r="JO33" s="713" t="str">
        <f ca="1">IF(INDIRECT(CONCATENATE($FK$12,Fixtures!JO$25))="","",IF(INDIRECT(CONCATENATE($FK$12,Fixtures!JO$25))=Fixtures!$DN33,CONCATENATE(JO$10,", "),""))</f>
        <v/>
      </c>
      <c r="JP33" s="713" t="str">
        <f ca="1">IF(INDIRECT(CONCATENATE($FK$12,Fixtures!JP$25))="","",IF(INDIRECT(CONCATENATE($FK$12,Fixtures!JP$25))=Fixtures!$DN33,CONCATENATE(JP$10,", "),""))</f>
        <v/>
      </c>
      <c r="JQ33" s="713" t="str">
        <f ca="1">IF(INDIRECT(CONCATENATE($FK$12,Fixtures!JQ$25))="","",IF(INDIRECT(CONCATENATE($FK$12,Fixtures!JQ$25))=Fixtures!$DN33,CONCATENATE(JQ$10,", "),""))</f>
        <v/>
      </c>
      <c r="JR33" s="713" t="str">
        <f ca="1">IF(INDIRECT(CONCATENATE($FK$12,Fixtures!JR$25))="","",IF(INDIRECT(CONCATENATE($FK$12,Fixtures!JR$25))=Fixtures!$DN33,CONCATENATE(JR$10,", "),""))</f>
        <v/>
      </c>
      <c r="JS33" s="713" t="str">
        <f ca="1">IF(INDIRECT(CONCATENATE($FK$12,Fixtures!JS$25))="","",IF(INDIRECT(CONCATENATE($FK$12,Fixtures!JS$25))=Fixtures!$DN33,CONCATENATE(JS$10,", "),""))</f>
        <v/>
      </c>
      <c r="JT33" s="713" t="str">
        <f ca="1">IF(INDIRECT(CONCATENATE($FK$12,Fixtures!JT$25))="","",IF(INDIRECT(CONCATENATE($FK$12,Fixtures!JT$25))=Fixtures!$DN33,CONCATENATE(JT$10,", "),""))</f>
        <v/>
      </c>
      <c r="JU33" s="684" t="str">
        <f ca="1">IF(INDIRECT(CONCATENATE($FK$12,Fixtures!JU$25))="","",IF(INDIRECT(CONCATENATE($FK$12,Fixtures!JU$25))=Fixtures!$DN33,CONCATENATE(JU$10,", "),""))</f>
        <v/>
      </c>
      <c r="JV33" s="685" t="str">
        <f ca="1">IF(INDIRECT(CONCATENATE($FK$12,Fixtures!JV$25))="","",IF(INDIRECT(CONCATENATE($FK$12,Fixtures!JV$25))=Fixtures!$DN33,CONCATENATE(JV$10,", "),""))</f>
        <v/>
      </c>
      <c r="JW33" s="713" t="str">
        <f ca="1">IF(INDIRECT(CONCATENATE($FK$12,Fixtures!JW$25))="","",IF(INDIRECT(CONCATENATE($FK$12,Fixtures!JW$25))=Fixtures!$DN33,CONCATENATE(JW$10,", "),""))</f>
        <v/>
      </c>
      <c r="JX33" s="713" t="str">
        <f ca="1">IF(INDIRECT(CONCATENATE($FK$12,Fixtures!JX$25))="","",IF(INDIRECT(CONCATENATE($FK$12,Fixtures!JX$25))=Fixtures!$DN33,CONCATENATE(JX$10,", "),""))</f>
        <v/>
      </c>
      <c r="JY33" s="713" t="str">
        <f ca="1">IF(INDIRECT(CONCATENATE($FK$12,Fixtures!JY$25))="","",IF(INDIRECT(CONCATENATE($FK$12,Fixtures!JY$25))=Fixtures!$DN33,CONCATENATE(JY$10,", "),""))</f>
        <v/>
      </c>
      <c r="JZ33" s="713" t="str">
        <f ca="1">IF(INDIRECT(CONCATENATE($FK$12,Fixtures!JZ$25))="","",IF(INDIRECT(CONCATENATE($FK$12,Fixtures!JZ$25))=Fixtures!$DN33,CONCATENATE(JZ$10,", "),""))</f>
        <v/>
      </c>
      <c r="KA33" s="713" t="str">
        <f ca="1">IF(INDIRECT(CONCATENATE($FK$12,Fixtures!KA$25))="","",IF(INDIRECT(CONCATENATE($FK$12,Fixtures!KA$25))=Fixtures!$DN33,CONCATENATE(KA$10,", "),""))</f>
        <v/>
      </c>
      <c r="KB33" s="713" t="str">
        <f ca="1">IF(INDIRECT(CONCATENATE($FK$12,Fixtures!KB$25))="","",IF(INDIRECT(CONCATENATE($FK$12,Fixtures!KB$25))=Fixtures!$DN33,CONCATENATE(KB$10,", "),""))</f>
        <v/>
      </c>
      <c r="KC33" s="713" t="str">
        <f ca="1">IF(INDIRECT(CONCATENATE($FK$12,Fixtures!KC$25))="","",IF(INDIRECT(CONCATENATE($FK$12,Fixtures!KC$25))=Fixtures!$DN33,CONCATENATE(KC$10,", "),""))</f>
        <v/>
      </c>
      <c r="KD33" s="713" t="str">
        <f ca="1">IF(INDIRECT(CONCATENATE($FK$12,Fixtures!KD$25))="","",IF(INDIRECT(CONCATENATE($FK$12,Fixtures!KD$25))=Fixtures!$DN33,CONCATENATE(KD$10,", "),""))</f>
        <v/>
      </c>
      <c r="KE33" s="713" t="str">
        <f ca="1">IF(INDIRECT(CONCATENATE($FK$12,Fixtures!KE$25))="","",IF(INDIRECT(CONCATENATE($FK$12,Fixtures!KE$25))=Fixtures!$DN33,CONCATENATE(KE$10,", "),""))</f>
        <v/>
      </c>
      <c r="KF33" s="713" t="str">
        <f ca="1">IF(INDIRECT(CONCATENATE($FK$12,Fixtures!KF$25))="","",IF(INDIRECT(CONCATENATE($FK$12,Fixtures!KF$25))=Fixtures!$DN33,CONCATENATE(KF$10,", "),""))</f>
        <v/>
      </c>
      <c r="KG33" s="713" t="str">
        <f ca="1">IF(INDIRECT(CONCATENATE($FK$12,Fixtures!KG$25))="","",IF(INDIRECT(CONCATENATE($FK$12,Fixtures!KG$25))=Fixtures!$DN33,CONCATENATE(KG$10,", "),""))</f>
        <v/>
      </c>
      <c r="KH33" s="713" t="str">
        <f ca="1">IF(INDIRECT(CONCATENATE($FK$12,Fixtures!KH$25))="","",IF(INDIRECT(CONCATENATE($FK$12,Fixtures!KH$25))=Fixtures!$DN33,CONCATENATE(KH$10,", "),""))</f>
        <v/>
      </c>
      <c r="KI33" s="713" t="str">
        <f ca="1">IF(INDIRECT(CONCATENATE($FK$12,Fixtures!KI$25))="","",IF(INDIRECT(CONCATENATE($FK$12,Fixtures!KI$25))=Fixtures!$DN33,CONCATENATE(KI$10,", "),""))</f>
        <v/>
      </c>
      <c r="KJ33" s="684" t="str">
        <f ca="1">IF(INDIRECT(CONCATENATE($FK$12,Fixtures!KJ$25))="","",IF(INDIRECT(CONCATENATE($FK$12,Fixtures!KJ$25))=Fixtures!$DN33,CONCATENATE(KJ$10,", "),""))</f>
        <v/>
      </c>
      <c r="KK33" s="685" t="str">
        <f ca="1">IF(INDIRECT(CONCATENATE($FK$12,Fixtures!KK$25))="","",IF(INDIRECT(CONCATENATE($FK$12,Fixtures!KK$25))=Fixtures!$DN33,CONCATENATE(KK$10,", "),""))</f>
        <v/>
      </c>
      <c r="KL33" s="713" t="str">
        <f ca="1">IF(INDIRECT(CONCATENATE($FK$12,Fixtures!KL$25))="","",IF(INDIRECT(CONCATENATE($FK$12,Fixtures!KL$25))=Fixtures!$DN33,CONCATENATE(KL$10,", "),""))</f>
        <v/>
      </c>
      <c r="KM33" s="713" t="str">
        <f ca="1">IF(INDIRECT(CONCATENATE($FK$12,Fixtures!KM$25))="","",IF(INDIRECT(CONCATENATE($FK$12,Fixtures!KM$25))=Fixtures!$DN33,CONCATENATE(KM$10,", "),""))</f>
        <v/>
      </c>
      <c r="KN33" s="713" t="str">
        <f ca="1">IF(INDIRECT(CONCATENATE($FK$12,Fixtures!KN$25))="","",IF(INDIRECT(CONCATENATE($FK$12,Fixtures!KN$25))=Fixtures!$DN33,CONCATENATE(KN$10,", "),""))</f>
        <v/>
      </c>
      <c r="KO33" s="713" t="str">
        <f ca="1">IF(INDIRECT(CONCATENATE($FK$12,Fixtures!KO$25))="","",IF(INDIRECT(CONCATENATE($FK$12,Fixtures!KO$25))=Fixtures!$DN33,CONCATENATE(KO$10,", "),""))</f>
        <v/>
      </c>
      <c r="KP33" s="713" t="str">
        <f ca="1">IF(INDIRECT(CONCATENATE($FK$12,Fixtures!KP$25))="","",IF(INDIRECT(CONCATENATE($FK$12,Fixtures!KP$25))=Fixtures!$DN33,CONCATENATE(KP$10,", "),""))</f>
        <v/>
      </c>
      <c r="KQ33" s="713" t="str">
        <f ca="1">IF(INDIRECT(CONCATENATE($FK$12,Fixtures!KQ$25))="","",IF(INDIRECT(CONCATENATE($FK$12,Fixtures!KQ$25))=Fixtures!$DN33,CONCATENATE(KQ$10,", "),""))</f>
        <v/>
      </c>
      <c r="KR33" s="713" t="str">
        <f ca="1">IF(INDIRECT(CONCATENATE($FK$12,Fixtures!KR$25))="","",IF(INDIRECT(CONCATENATE($FK$12,Fixtures!KR$25))=Fixtures!$DN33,CONCATENATE(KR$10,", "),""))</f>
        <v/>
      </c>
      <c r="KS33" s="713" t="str">
        <f ca="1">IF(INDIRECT(CONCATENATE($FK$12,Fixtures!KS$25))="","",IF(INDIRECT(CONCATENATE($FK$12,Fixtures!KS$25))=Fixtures!$DN33,CONCATENATE(KS$10,", "),""))</f>
        <v/>
      </c>
      <c r="KT33" s="713" t="str">
        <f ca="1">IF(INDIRECT(CONCATENATE($FK$12,Fixtures!KT$25))="","",IF(INDIRECT(CONCATENATE($FK$12,Fixtures!KT$25))=Fixtures!$DN33,CONCATENATE(KT$10,", "),""))</f>
        <v/>
      </c>
      <c r="KU33" s="713" t="str">
        <f ca="1">IF(INDIRECT(CONCATENATE($FK$12,Fixtures!KU$25))="","",IF(INDIRECT(CONCATENATE($FK$12,Fixtures!KU$25))=Fixtures!$DN33,CONCATENATE(KU$10,", "),""))</f>
        <v/>
      </c>
      <c r="KV33" s="713" t="str">
        <f ca="1">IF(INDIRECT(CONCATENATE($FK$12,Fixtures!KV$25))="","",IF(INDIRECT(CONCATENATE($FK$12,Fixtures!KV$25))=Fixtures!$DN33,CONCATENATE(KV$10,", "),""))</f>
        <v/>
      </c>
      <c r="KW33" s="713" t="str">
        <f ca="1">IF(INDIRECT(CONCATENATE($FK$12,Fixtures!KW$25))="","",IF(INDIRECT(CONCATENATE($FK$12,Fixtures!KW$25))=Fixtures!$DN33,CONCATENATE(KW$10,", "),""))</f>
        <v/>
      </c>
      <c r="KX33" s="713" t="str">
        <f ca="1">IF(INDIRECT(CONCATENATE($FK$12,Fixtures!KX$25))="","",IF(INDIRECT(CONCATENATE($FK$12,Fixtures!KX$25))=Fixtures!$DN33,CONCATENATE(KX$10,", "),""))</f>
        <v/>
      </c>
      <c r="KY33" s="713" t="str">
        <f ca="1">IF(INDIRECT(CONCATENATE($FK$12,Fixtures!KY$25))="","",IF(INDIRECT(CONCATENATE($FK$12,Fixtures!KY$25))=Fixtures!$DN33,CONCATENATE(KY$10,", "),""))</f>
        <v/>
      </c>
      <c r="KZ33" s="46"/>
      <c r="LA33" s="46" t="str">
        <f t="shared" ca="1" si="8"/>
        <v/>
      </c>
    </row>
    <row r="34" spans="1:313" ht="28.05" customHeight="1" thickTop="1" thickBot="1">
      <c r="A34" s="471" t="str">
        <f t="shared" si="13"/>
        <v/>
      </c>
      <c r="C34" s="1328" t="str">
        <f t="shared" si="14"/>
        <v/>
      </c>
      <c r="D34" s="1329"/>
      <c r="E34" s="1256" t="str">
        <f t="shared" si="15"/>
        <v/>
      </c>
      <c r="F34" s="1257"/>
      <c r="G34" s="1257"/>
      <c r="H34" s="1257"/>
      <c r="I34" s="1257"/>
      <c r="J34" s="1257"/>
      <c r="K34" s="1257"/>
      <c r="L34" s="1257"/>
      <c r="M34" s="1330"/>
      <c r="N34" s="239" t="str">
        <f t="shared" si="16"/>
        <v/>
      </c>
      <c r="O34" s="601"/>
      <c r="P34" s="1326" t="str">
        <f t="shared" si="25"/>
        <v/>
      </c>
      <c r="Q34" s="1327"/>
      <c r="R34" s="1256" t="str">
        <f t="shared" si="26"/>
        <v/>
      </c>
      <c r="S34" s="1257"/>
      <c r="T34" s="1257"/>
      <c r="U34" s="1257"/>
      <c r="V34" s="1257"/>
      <c r="W34" s="1257"/>
      <c r="X34" s="1257"/>
      <c r="Y34" s="239" t="str">
        <f t="shared" si="27"/>
        <v/>
      </c>
      <c r="Z34" s="239" t="str">
        <f t="shared" si="28"/>
        <v/>
      </c>
      <c r="AA34" s="439" t="str">
        <f t="shared" si="29"/>
        <v/>
      </c>
      <c r="AB34" s="542"/>
      <c r="AC34" s="1253" t="str">
        <f t="shared" si="17"/>
        <v/>
      </c>
      <c r="AD34" s="1166"/>
      <c r="AE34" s="1166"/>
      <c r="AF34" s="1166"/>
      <c r="AG34" s="1166"/>
      <c r="AH34" s="1166"/>
      <c r="AK34">
        <f>SUMIFS(Installations!CS$39:CS$800,Installations!CT$39:CT$800,E34,Installations!HX$39:HX$800,TRUE)</f>
        <v>0</v>
      </c>
      <c r="AL34">
        <f>SUMIFS(Installations!CS$39:CS$800,Installations!CT$39:CT$800,R34,Installations!HX$39:HX$800,TRUE)</f>
        <v>0</v>
      </c>
      <c r="BL34" s="9"/>
      <c r="BM34" s="703" t="str">
        <f t="shared" si="18"/>
        <v/>
      </c>
      <c r="BN34" s="52"/>
      <c r="BO34" s="52"/>
      <c r="BP34" s="52"/>
      <c r="BQ34" s="52"/>
      <c r="BR34" s="52"/>
      <c r="BS34" s="52"/>
      <c r="BT34" s="52"/>
      <c r="BU34" s="414"/>
      <c r="BV34" s="255" t="str">
        <f>IF(CN34&lt;&gt;"Yes","",IFERROR(VLOOKUP(CU34,Existing!A$4:F$364,2,FALSE),""))</f>
        <v/>
      </c>
      <c r="BW34" s="9">
        <v>8</v>
      </c>
      <c r="BX34" s="1313"/>
      <c r="BY34" s="1314"/>
      <c r="BZ34" s="1314"/>
      <c r="CA34" s="1315"/>
      <c r="CB34" s="1310"/>
      <c r="CC34" s="1311"/>
      <c r="CD34" s="1311"/>
      <c r="CE34" s="1312"/>
      <c r="CF34" s="1309"/>
      <c r="CG34" s="1309"/>
      <c r="CH34" s="1309"/>
      <c r="CI34" s="1309"/>
      <c r="CJ34" s="1309"/>
      <c r="CK34" s="1309"/>
      <c r="CL34" s="1309"/>
      <c r="CM34" s="1309"/>
      <c r="CN34" s="1243" t="str">
        <f t="shared" si="0"/>
        <v/>
      </c>
      <c r="CO34" s="1244"/>
      <c r="CP34" s="265" t="str">
        <f>IFERROR(IF(CB34="Existing TLED",CR34*CW34*CY34,VLOOKUP(CU34,Existing!A$3:F$353,6,FALSE)),"")</f>
        <v/>
      </c>
      <c r="CQ34" s="9"/>
      <c r="CR34" s="1343"/>
      <c r="CS34" s="1344"/>
      <c r="CT34" s="9"/>
      <c r="CU34" s="470" t="str">
        <f t="shared" si="21"/>
        <v/>
      </c>
      <c r="CV34" s="471" t="b">
        <f t="shared" si="22"/>
        <v>0</v>
      </c>
      <c r="CW34" s="471" t="str">
        <f t="shared" si="23"/>
        <v/>
      </c>
      <c r="CX34" s="471">
        <f>IFERROR(VLOOKUP(CF34,Lookup!M$100:O$102,3,FALSE),0)</f>
        <v>0</v>
      </c>
      <c r="CY34" s="471">
        <f t="shared" si="9"/>
        <v>1.1100000000000001</v>
      </c>
      <c r="CZ34" s="707" t="b">
        <f t="shared" si="1"/>
        <v>0</v>
      </c>
      <c r="DA34" s="707" t="b">
        <f>IF(CF34&lt;&gt;"",IF(ISERROR(MATCH(CONCATENATE(CB34," - ",CF34),Existing!G$4:G$328,0))=TRUE,FALSE,TRUE),TRUE)</f>
        <v>1</v>
      </c>
      <c r="DB34" s="707" t="b">
        <f t="shared" si="2"/>
        <v>1</v>
      </c>
      <c r="DL34" s="9"/>
      <c r="DM34" s="708" t="s">
        <v>166</v>
      </c>
      <c r="DN34" s="416" t="str">
        <f t="shared" si="3"/>
        <v/>
      </c>
      <c r="DO34" s="52"/>
      <c r="DP34" s="52"/>
      <c r="DQ34" s="52"/>
      <c r="DR34" s="52"/>
      <c r="DS34" s="52"/>
      <c r="DT34" s="262"/>
      <c r="DU34" s="417"/>
      <c r="DV34" s="263" t="str">
        <f t="shared" si="4"/>
        <v/>
      </c>
      <c r="DW34" s="260">
        <v>8</v>
      </c>
      <c r="DX34" s="1306"/>
      <c r="DY34" s="1307"/>
      <c r="DZ34" s="1307"/>
      <c r="EA34" s="1308"/>
      <c r="EB34" s="1306"/>
      <c r="EC34" s="1307"/>
      <c r="ED34" s="1307"/>
      <c r="EE34" s="1308"/>
      <c r="EF34" s="1266"/>
      <c r="EG34" s="1267"/>
      <c r="EH34" s="1260"/>
      <c r="EI34" s="1261"/>
      <c r="EJ34" s="1261"/>
      <c r="EK34" s="1262"/>
      <c r="EL34" s="1263"/>
      <c r="EM34" s="1264"/>
      <c r="EN34" s="1264"/>
      <c r="EO34" s="1265"/>
      <c r="EP34" s="1266"/>
      <c r="EQ34" s="1267"/>
      <c r="ER34" s="1245"/>
      <c r="ES34" s="1246"/>
      <c r="ET34" s="1243" t="str">
        <f t="shared" si="5"/>
        <v/>
      </c>
      <c r="EU34" s="1244"/>
      <c r="EV34" s="1243" t="str">
        <f t="shared" si="6"/>
        <v/>
      </c>
      <c r="EW34" s="1244"/>
      <c r="EX34" s="438"/>
      <c r="EY34" s="261" t="str">
        <f t="shared" si="7"/>
        <v/>
      </c>
      <c r="EZ34" s="261" t="str">
        <f>IFERROR(VLOOKUP(EB34,Lookup!AM$3:AN$13,2,FALSE),"")</f>
        <v/>
      </c>
      <c r="FA34" s="471" t="b">
        <f>IFERROR(IF(VLOOKUP(EB34,Lookup!AM$6:AN$8,2,FALSE)&gt;3,TRUE,FALSE),FALSE)</f>
        <v>0</v>
      </c>
      <c r="FB34" s="471">
        <f t="shared" si="11"/>
        <v>1</v>
      </c>
      <c r="FC34" t="str">
        <f t="shared" ca="1" si="10"/>
        <v/>
      </c>
      <c r="FG34" t="str">
        <f t="shared" ca="1" si="12"/>
        <v/>
      </c>
      <c r="FI34" s="240" t="str">
        <f t="shared" ca="1" si="24"/>
        <v/>
      </c>
      <c r="FJ34" s="240"/>
      <c r="FK34" s="712" t="str">
        <f ca="1">IF(INDIRECT(CONCATENATE($FK$12,Fixtures!FK$25))="","",IF(INDIRECT(CONCATENATE($FK$12,Fixtures!FK$25))=Fixtures!$DN34,CONCATENATE(FK$10,", "),""))</f>
        <v/>
      </c>
      <c r="FL34" s="712" t="str">
        <f ca="1">IF(INDIRECT(CONCATENATE($FK$12,Fixtures!FL$25))="","",IF(INDIRECT(CONCATENATE($FK$12,Fixtures!FL$25))=Fixtures!$DN34,CONCATENATE(FL$10,", "),""))</f>
        <v/>
      </c>
      <c r="FM34" s="712" t="str">
        <f ca="1">IF(INDIRECT(CONCATENATE($FK$12,Fixtures!FM$25))="","",IF(INDIRECT(CONCATENATE($FK$12,Fixtures!FM$25))=Fixtures!$DN34,CONCATENATE(FM$10,", "),""))</f>
        <v/>
      </c>
      <c r="FN34" s="712" t="str">
        <f ca="1">IF(INDIRECT(CONCATENATE($FK$12,Fixtures!FN$25))="","",IF(INDIRECT(CONCATENATE($FK$12,Fixtures!FN$25))=Fixtures!$DN34,CONCATENATE(FN$10,", "),""))</f>
        <v/>
      </c>
      <c r="FO34" s="712" t="str">
        <f ca="1">IF(INDIRECT(CONCATENATE($FK$12,Fixtures!FO$25))="","",IF(INDIRECT(CONCATENATE($FK$12,Fixtures!FO$25))=Fixtures!$DN34,CONCATENATE(FO$10,", "),""))</f>
        <v/>
      </c>
      <c r="FP34" s="712" t="str">
        <f ca="1">IF(INDIRECT(CONCATENATE($FK$12,Fixtures!FP$25))="","",IF(INDIRECT(CONCATENATE($FK$12,Fixtures!FP$25))=Fixtures!$DN34,CONCATENATE(FP$10,", "),""))</f>
        <v/>
      </c>
      <c r="FQ34" s="712" t="str">
        <f ca="1">IF(INDIRECT(CONCATENATE($FK$12,Fixtures!FQ$25))="","",IF(INDIRECT(CONCATENATE($FK$12,Fixtures!FQ$25))=Fixtures!$DN34,CONCATENATE(FQ$10,", "),""))</f>
        <v/>
      </c>
      <c r="FR34" s="712" t="str">
        <f ca="1">IF(INDIRECT(CONCATENATE($FK$12,Fixtures!FR$25))="","",IF(INDIRECT(CONCATENATE($FK$12,Fixtures!FR$25))=Fixtures!$DN34,CONCATENATE(FR$10,", "),""))</f>
        <v/>
      </c>
      <c r="FS34" s="712" t="str">
        <f ca="1">IF(INDIRECT(CONCATENATE($FK$12,Fixtures!FS$25))="","",IF(INDIRECT(CONCATENATE($FK$12,Fixtures!FS$25))=Fixtures!$DN34,CONCATENATE(FS$10,", "),""))</f>
        <v/>
      </c>
      <c r="FT34" s="682" t="str">
        <f ca="1">IF(INDIRECT(CONCATENATE($FK$12,Fixtures!FT$25))="","",IF(INDIRECT(CONCATENATE($FK$12,Fixtures!FT$25))=Fixtures!$DN34,CONCATENATE(FT$10,", "),""))</f>
        <v/>
      </c>
      <c r="FU34" s="683" t="str">
        <f ca="1">IF(INDIRECT(CONCATENATE($FK$12,Fixtures!FU$25))="","",IF(INDIRECT(CONCATENATE($FK$12,Fixtures!FU$25))=Fixtures!$DN34,CONCATENATE(FU$10,", "),""))</f>
        <v/>
      </c>
      <c r="FV34" s="712" t="str">
        <f ca="1">IF(INDIRECT(CONCATENATE($FK$12,Fixtures!FV$25))="","",IF(INDIRECT(CONCATENATE($FK$12,Fixtures!FV$25))=Fixtures!$DN34,CONCATENATE(FV$10,", "),""))</f>
        <v/>
      </c>
      <c r="FW34" s="713" t="str">
        <f ca="1">IF(INDIRECT(CONCATENATE($FK$12,Fixtures!FW$25))="","",IF(INDIRECT(CONCATENATE($FK$12,Fixtures!FW$25))=Fixtures!$DN34,CONCATENATE(FW$10,", "),""))</f>
        <v/>
      </c>
      <c r="FX34" s="713" t="str">
        <f ca="1">IF(INDIRECT(CONCATENATE($FK$12,Fixtures!FX$25))="","",IF(INDIRECT(CONCATENATE($FK$12,Fixtures!FX$25))=Fixtures!$DN34,CONCATENATE(FX$10,", "),""))</f>
        <v/>
      </c>
      <c r="FY34" s="713" t="str">
        <f ca="1">IF(INDIRECT(CONCATENATE($FK$12,Fixtures!FY$25))="","",IF(INDIRECT(CONCATENATE($FK$12,Fixtures!FY$25))=Fixtures!$DN34,CONCATENATE(FY$10,", "),""))</f>
        <v/>
      </c>
      <c r="FZ34" s="713" t="str">
        <f ca="1">IF(INDIRECT(CONCATENATE($FK$12,Fixtures!FZ$25))="","",IF(INDIRECT(CONCATENATE($FK$12,Fixtures!FZ$25))=Fixtures!$DN34,CONCATENATE(FZ$10,", "),""))</f>
        <v/>
      </c>
      <c r="GA34" s="713" t="str">
        <f ca="1">IF(INDIRECT(CONCATENATE($FK$12,Fixtures!GA$25))="","",IF(INDIRECT(CONCATENATE($FK$12,Fixtures!GA$25))=Fixtures!$DN34,CONCATENATE(GA$10,", "),""))</f>
        <v/>
      </c>
      <c r="GB34" s="713" t="str">
        <f ca="1">IF(INDIRECT(CONCATENATE($FK$12,Fixtures!GB$25))="","",IF(INDIRECT(CONCATENATE($FK$12,Fixtures!GB$25))=Fixtures!$DN34,CONCATENATE(GB$10,", "),""))</f>
        <v/>
      </c>
      <c r="GC34" s="713" t="str">
        <f ca="1">IF(INDIRECT(CONCATENATE($FK$12,Fixtures!GC$25))="","",IF(INDIRECT(CONCATENATE($FK$12,Fixtures!GC$25))=Fixtures!$DN34,CONCATENATE(GC$10,", "),""))</f>
        <v/>
      </c>
      <c r="GD34" s="713" t="str">
        <f ca="1">IF(INDIRECT(CONCATENATE($FK$12,Fixtures!GD$25))="","",IF(INDIRECT(CONCATENATE($FK$12,Fixtures!GD$25))=Fixtures!$DN34,CONCATENATE(GD$10,", "),""))</f>
        <v/>
      </c>
      <c r="GE34" s="713" t="str">
        <f ca="1">IF(INDIRECT(CONCATENATE($FK$12,Fixtures!GE$25))="","",IF(INDIRECT(CONCATENATE($FK$12,Fixtures!GE$25))=Fixtures!$DN34,CONCATENATE(GE$10,", "),""))</f>
        <v/>
      </c>
      <c r="GF34" s="713" t="str">
        <f ca="1">IF(INDIRECT(CONCATENATE($FK$12,Fixtures!GF$25))="","",IF(INDIRECT(CONCATENATE($FK$12,Fixtures!GF$25))=Fixtures!$DN34,CONCATENATE(GF$10,", "),""))</f>
        <v/>
      </c>
      <c r="GG34" s="713" t="str">
        <f ca="1">IF(INDIRECT(CONCATENATE($FK$12,Fixtures!GG$25))="","",IF(INDIRECT(CONCATENATE($FK$12,Fixtures!GG$25))=Fixtures!$DN34,CONCATENATE(GG$10,", "),""))</f>
        <v/>
      </c>
      <c r="GH34" s="713" t="str">
        <f ca="1">IF(INDIRECT(CONCATENATE($FK$12,Fixtures!GH$25))="","",IF(INDIRECT(CONCATENATE($FK$12,Fixtures!GH$25))=Fixtures!$DN34,CONCATENATE(GH$10,", "),""))</f>
        <v/>
      </c>
      <c r="GI34" s="684" t="str">
        <f ca="1">IF(INDIRECT(CONCATENATE($FK$12,Fixtures!GI$25))="","",IF(INDIRECT(CONCATENATE($FK$12,Fixtures!GI$25))=Fixtures!$DN34,CONCATENATE(GI$10,", "),""))</f>
        <v/>
      </c>
      <c r="GJ34" s="685" t="str">
        <f ca="1">IF(INDIRECT(CONCATENATE($FK$12,Fixtures!GJ$25))="","",IF(INDIRECT(CONCATENATE($FK$12,Fixtures!GJ$25))=Fixtures!$DN34,CONCATENATE(GJ$10,", "),""))</f>
        <v/>
      </c>
      <c r="GK34" s="713" t="str">
        <f ca="1">IF(INDIRECT(CONCATENATE($FK$12,Fixtures!GK$25))="","",IF(INDIRECT(CONCATENATE($FK$12,Fixtures!GK$25))=Fixtures!$DN34,CONCATENATE(GK$10,", "),""))</f>
        <v/>
      </c>
      <c r="GL34" s="713" t="str">
        <f ca="1">IF(INDIRECT(CONCATENATE($FK$12,Fixtures!GL$25))="","",IF(INDIRECT(CONCATENATE($FK$12,Fixtures!GL$25))=Fixtures!$DN34,CONCATENATE(GL$10,", "),""))</f>
        <v/>
      </c>
      <c r="GM34" s="713" t="str">
        <f ca="1">IF(INDIRECT(CONCATENATE($FK$12,Fixtures!GM$25))="","",IF(INDIRECT(CONCATENATE($FK$12,Fixtures!GM$25))=Fixtures!$DN34,CONCATENATE(GM$10,", "),""))</f>
        <v/>
      </c>
      <c r="GN34" s="713" t="str">
        <f ca="1">IF(INDIRECT(CONCATENATE($FK$12,Fixtures!GN$25))="","",IF(INDIRECT(CONCATENATE($FK$12,Fixtures!GN$25))=Fixtures!$DN34,CONCATENATE(GN$10,", "),""))</f>
        <v/>
      </c>
      <c r="GO34" s="713" t="str">
        <f ca="1">IF(INDIRECT(CONCATENATE($FK$12,Fixtures!GO$25))="","",IF(INDIRECT(CONCATENATE($FK$12,Fixtures!GO$25))=Fixtures!$DN34,CONCATENATE(GO$10,", "),""))</f>
        <v/>
      </c>
      <c r="GP34" s="713" t="str">
        <f ca="1">IF(INDIRECT(CONCATENATE($FK$12,Fixtures!GP$25))="","",IF(INDIRECT(CONCATENATE($FK$12,Fixtures!GP$25))=Fixtures!$DN34,CONCATENATE(GP$10,", "),""))</f>
        <v/>
      </c>
      <c r="GQ34" s="713" t="str">
        <f ca="1">IF(INDIRECT(CONCATENATE($FK$12,Fixtures!GQ$25))="","",IF(INDIRECT(CONCATENATE($FK$12,Fixtures!GQ$25))=Fixtures!$DN34,CONCATENATE(GQ$10,", "),""))</f>
        <v/>
      </c>
      <c r="GR34" s="713" t="str">
        <f ca="1">IF(INDIRECT(CONCATENATE($FK$12,Fixtures!GR$25))="","",IF(INDIRECT(CONCATENATE($FK$12,Fixtures!GR$25))=Fixtures!$DN34,CONCATENATE(GR$10,", "),""))</f>
        <v/>
      </c>
      <c r="GS34" s="713" t="str">
        <f ca="1">IF(INDIRECT(CONCATENATE($FK$12,Fixtures!GS$25))="","",IF(INDIRECT(CONCATENATE($FK$12,Fixtures!GS$25))=Fixtures!$DN34,CONCATENATE(GS$10,", "),""))</f>
        <v/>
      </c>
      <c r="GT34" s="713" t="str">
        <f ca="1">IF(INDIRECT(CONCATENATE($FK$12,Fixtures!GT$25))="","",IF(INDIRECT(CONCATENATE($FK$12,Fixtures!GT$25))=Fixtures!$DN34,CONCATENATE(GT$10,", "),""))</f>
        <v/>
      </c>
      <c r="GU34" s="713" t="str">
        <f ca="1">IF(INDIRECT(CONCATENATE($FK$12,Fixtures!GU$25))="","",IF(INDIRECT(CONCATENATE($FK$12,Fixtures!GU$25))=Fixtures!$DN34,CONCATENATE(GU$10,", "),""))</f>
        <v/>
      </c>
      <c r="GV34" s="713" t="str">
        <f ca="1">IF(INDIRECT(CONCATENATE($FK$12,Fixtures!GV$25))="","",IF(INDIRECT(CONCATENATE($FK$12,Fixtures!GV$25))=Fixtures!$DN34,CONCATENATE(GV$10,", "),""))</f>
        <v/>
      </c>
      <c r="GW34" s="713" t="str">
        <f ca="1">IF(INDIRECT(CONCATENATE($FK$12,Fixtures!GW$25))="","",IF(INDIRECT(CONCATENATE($FK$12,Fixtures!GW$25))=Fixtures!$DN34,CONCATENATE(GW$10,", "),""))</f>
        <v/>
      </c>
      <c r="GX34" s="684" t="str">
        <f ca="1">IF(INDIRECT(CONCATENATE($FK$12,Fixtures!GX$25))="","",IF(INDIRECT(CONCATENATE($FK$12,Fixtures!GX$25))=Fixtures!$DN34,CONCATENATE(GX$10,", "),""))</f>
        <v/>
      </c>
      <c r="GY34" s="685" t="str">
        <f ca="1">IF(INDIRECT(CONCATENATE($FK$12,Fixtures!GY$25))="","",IF(INDIRECT(CONCATENATE($FK$12,Fixtures!GY$25))=Fixtures!$DN34,CONCATENATE(GY$10,", "),""))</f>
        <v/>
      </c>
      <c r="GZ34" s="713" t="str">
        <f ca="1">IF(INDIRECT(CONCATENATE($FK$12,Fixtures!GZ$25))="","",IF(INDIRECT(CONCATENATE($FK$12,Fixtures!GZ$25))=Fixtures!$DN34,CONCATENATE(GZ$10,", "),""))</f>
        <v/>
      </c>
      <c r="HA34" s="713" t="str">
        <f ca="1">IF(INDIRECT(CONCATENATE($FK$12,Fixtures!HA$25))="","",IF(INDIRECT(CONCATENATE($FK$12,Fixtures!HA$25))=Fixtures!$DN34,CONCATENATE(HA$10,", "),""))</f>
        <v/>
      </c>
      <c r="HB34" s="713" t="str">
        <f ca="1">IF(INDIRECT(CONCATENATE($FK$12,Fixtures!HB$25))="","",IF(INDIRECT(CONCATENATE($FK$12,Fixtures!HB$25))=Fixtures!$DN34,CONCATENATE(HB$10,", "),""))</f>
        <v/>
      </c>
      <c r="HC34" s="713" t="str">
        <f ca="1">IF(INDIRECT(CONCATENATE($FK$12,Fixtures!HC$25))="","",IF(INDIRECT(CONCATENATE($FK$12,Fixtures!HC$25))=Fixtures!$DN34,CONCATENATE(HC$10,", "),""))</f>
        <v/>
      </c>
      <c r="HD34" s="713" t="str">
        <f ca="1">IF(INDIRECT(CONCATENATE($FK$12,Fixtures!HD$25))="","",IF(INDIRECT(CONCATENATE($FK$12,Fixtures!HD$25))=Fixtures!$DN34,CONCATENATE(HD$10,", "),""))</f>
        <v/>
      </c>
      <c r="HE34" s="713" t="str">
        <f ca="1">IF(INDIRECT(CONCATENATE($FK$12,Fixtures!HE$25))="","",IF(INDIRECT(CONCATENATE($FK$12,Fixtures!HE$25))=Fixtures!$DN34,CONCATENATE(HE$10,", "),""))</f>
        <v/>
      </c>
      <c r="HF34" s="713" t="str">
        <f ca="1">IF(INDIRECT(CONCATENATE($FK$12,Fixtures!HF$25))="","",IF(INDIRECT(CONCATENATE($FK$12,Fixtures!HF$25))=Fixtures!$DN34,CONCATENATE(HF$10,", "),""))</f>
        <v/>
      </c>
      <c r="HG34" s="713" t="str">
        <f ca="1">IF(INDIRECT(CONCATENATE($FK$12,Fixtures!HG$25))="","",IF(INDIRECT(CONCATENATE($FK$12,Fixtures!HG$25))=Fixtures!$DN34,CONCATENATE(HG$10,", "),""))</f>
        <v/>
      </c>
      <c r="HH34" s="713" t="str">
        <f ca="1">IF(INDIRECT(CONCATENATE($FK$12,Fixtures!HH$25))="","",IF(INDIRECT(CONCATENATE($FK$12,Fixtures!HH$25))=Fixtures!$DN34,CONCATENATE(HH$10,", "),""))</f>
        <v/>
      </c>
      <c r="HI34" s="713" t="str">
        <f ca="1">IF(INDIRECT(CONCATENATE($FK$12,Fixtures!HI$25))="","",IF(INDIRECT(CONCATENATE($FK$12,Fixtures!HI$25))=Fixtures!$DN34,CONCATENATE(HI$10,", "),""))</f>
        <v/>
      </c>
      <c r="HJ34" s="713" t="str">
        <f ca="1">IF(INDIRECT(CONCATENATE($FK$12,Fixtures!HJ$25))="","",IF(INDIRECT(CONCATENATE($FK$12,Fixtures!HJ$25))=Fixtures!$DN34,CONCATENATE(HJ$10,", "),""))</f>
        <v/>
      </c>
      <c r="HK34" s="713" t="str">
        <f ca="1">IF(INDIRECT(CONCATENATE($FK$12,Fixtures!HK$25))="","",IF(INDIRECT(CONCATENATE($FK$12,Fixtures!HK$25))=Fixtures!$DN34,CONCATENATE(HK$10,", "),""))</f>
        <v/>
      </c>
      <c r="HL34" s="713" t="str">
        <f ca="1">IF(INDIRECT(CONCATENATE($FK$12,Fixtures!HL$25))="","",IF(INDIRECT(CONCATENATE($FK$12,Fixtures!HL$25))=Fixtures!$DN34,CONCATENATE(HL$10,", "),""))</f>
        <v/>
      </c>
      <c r="HM34" s="684" t="str">
        <f ca="1">IF(INDIRECT(CONCATENATE($FK$12,Fixtures!HM$25))="","",IF(INDIRECT(CONCATENATE($FK$12,Fixtures!HM$25))=Fixtures!$DN34,CONCATENATE(HM$10,", "),""))</f>
        <v/>
      </c>
      <c r="HN34" s="685" t="str">
        <f ca="1">IF(INDIRECT(CONCATENATE($FK$12,Fixtures!HN$25))="","",IF(INDIRECT(CONCATENATE($FK$12,Fixtures!HN$25))=Fixtures!$DN34,CONCATENATE(HN$10,", "),""))</f>
        <v/>
      </c>
      <c r="HO34" s="713" t="str">
        <f ca="1">IF(INDIRECT(CONCATENATE($FK$12,Fixtures!HO$25))="","",IF(INDIRECT(CONCATENATE($FK$12,Fixtures!HO$25))=Fixtures!$DN34,CONCATENATE(HO$10,", "),""))</f>
        <v/>
      </c>
      <c r="HP34" s="713" t="str">
        <f ca="1">IF(INDIRECT(CONCATENATE($FK$12,Fixtures!HP$25))="","",IF(INDIRECT(CONCATENATE($FK$12,Fixtures!HP$25))=Fixtures!$DN34,CONCATENATE(HP$10,", "),""))</f>
        <v/>
      </c>
      <c r="HQ34" s="713" t="str">
        <f ca="1">IF(INDIRECT(CONCATENATE($FK$12,Fixtures!HQ$25))="","",IF(INDIRECT(CONCATENATE($FK$12,Fixtures!HQ$25))=Fixtures!$DN34,CONCATENATE(HQ$10,", "),""))</f>
        <v/>
      </c>
      <c r="HR34" s="713" t="str">
        <f ca="1">IF(INDIRECT(CONCATENATE($FK$12,Fixtures!HR$25))="","",IF(INDIRECT(CONCATENATE($FK$12,Fixtures!HR$25))=Fixtures!$DN34,CONCATENATE(HR$10,", "),""))</f>
        <v/>
      </c>
      <c r="HS34" s="713" t="str">
        <f ca="1">IF(INDIRECT(CONCATENATE($FK$12,Fixtures!HS$25))="","",IF(INDIRECT(CONCATENATE($FK$12,Fixtures!HS$25))=Fixtures!$DN34,CONCATENATE(HS$10,", "),""))</f>
        <v/>
      </c>
      <c r="HT34" s="713" t="str">
        <f ca="1">IF(INDIRECT(CONCATENATE($FK$12,Fixtures!HT$25))="","",IF(INDIRECT(CONCATENATE($FK$12,Fixtures!HT$25))=Fixtures!$DN34,CONCATENATE(HT$10,", "),""))</f>
        <v/>
      </c>
      <c r="HU34" s="713" t="str">
        <f ca="1">IF(INDIRECT(CONCATENATE($FK$12,Fixtures!HU$25))="","",IF(INDIRECT(CONCATENATE($FK$12,Fixtures!HU$25))=Fixtures!$DN34,CONCATENATE(HU$10,", "),""))</f>
        <v/>
      </c>
      <c r="HV34" s="713" t="str">
        <f ca="1">IF(INDIRECT(CONCATENATE($FK$12,Fixtures!HV$25))="","",IF(INDIRECT(CONCATENATE($FK$12,Fixtures!HV$25))=Fixtures!$DN34,CONCATENATE(HV$10,", "),""))</f>
        <v/>
      </c>
      <c r="HW34" s="713" t="str">
        <f ca="1">IF(INDIRECT(CONCATENATE($FK$12,Fixtures!HW$25))="","",IF(INDIRECT(CONCATENATE($FK$12,Fixtures!HW$25))=Fixtures!$DN34,CONCATENATE(HW$10,", "),""))</f>
        <v/>
      </c>
      <c r="HX34" s="713" t="str">
        <f ca="1">IF(INDIRECT(CONCATENATE($FK$12,Fixtures!HX$25))="","",IF(INDIRECT(CONCATENATE($FK$12,Fixtures!HX$25))=Fixtures!$DN34,CONCATENATE(HX$10,", "),""))</f>
        <v/>
      </c>
      <c r="HY34" s="713" t="str">
        <f ca="1">IF(INDIRECT(CONCATENATE($FK$12,Fixtures!HY$25))="","",IF(INDIRECT(CONCATENATE($FK$12,Fixtures!HY$25))=Fixtures!$DN34,CONCATENATE(HY$10,", "),""))</f>
        <v/>
      </c>
      <c r="HZ34" s="713" t="str">
        <f ca="1">IF(INDIRECT(CONCATENATE($FK$12,Fixtures!HZ$25))="","",IF(INDIRECT(CONCATENATE($FK$12,Fixtures!HZ$25))=Fixtures!$DN34,CONCATENATE(HZ$10,", "),""))</f>
        <v/>
      </c>
      <c r="IA34" s="713" t="str">
        <f ca="1">IF(INDIRECT(CONCATENATE($FK$12,Fixtures!IA$25))="","",IF(INDIRECT(CONCATENATE($FK$12,Fixtures!IA$25))=Fixtures!$DN34,CONCATENATE(IA$10,", "),""))</f>
        <v/>
      </c>
      <c r="IB34" s="684" t="str">
        <f ca="1">IF(INDIRECT(CONCATENATE($FK$12,Fixtures!IB$25))="","",IF(INDIRECT(CONCATENATE($FK$12,Fixtures!IB$25))=Fixtures!$DN34,CONCATENATE(IB$10,", "),""))</f>
        <v/>
      </c>
      <c r="IC34" s="685" t="str">
        <f ca="1">IF(INDIRECT(CONCATENATE($FK$12,Fixtures!IC$25))="","",IF(INDIRECT(CONCATENATE($FK$12,Fixtures!IC$25))=Fixtures!$DN34,CONCATENATE(IC$10,", "),""))</f>
        <v/>
      </c>
      <c r="ID34" s="713" t="str">
        <f ca="1">IF(INDIRECT(CONCATENATE($FK$12,Fixtures!ID$25))="","",IF(INDIRECT(CONCATENATE($FK$12,Fixtures!ID$25))=Fixtures!$DN34,CONCATENATE(ID$10,", "),""))</f>
        <v/>
      </c>
      <c r="IE34" s="713" t="str">
        <f ca="1">IF(INDIRECT(CONCATENATE($FK$12,Fixtures!IE$25))="","",IF(INDIRECT(CONCATENATE($FK$12,Fixtures!IE$25))=Fixtures!$DN34,CONCATENATE(IE$10,", "),""))</f>
        <v/>
      </c>
      <c r="IF34" s="713" t="str">
        <f ca="1">IF(INDIRECT(CONCATENATE($FK$12,Fixtures!IF$25))="","",IF(INDIRECT(CONCATENATE($FK$12,Fixtures!IF$25))=Fixtures!$DN34,CONCATENATE(IF$10,", "),""))</f>
        <v/>
      </c>
      <c r="IG34" s="713" t="str">
        <f ca="1">IF(INDIRECT(CONCATENATE($FK$12,Fixtures!IG$25))="","",IF(INDIRECT(CONCATENATE($FK$12,Fixtures!IG$25))=Fixtures!$DN34,CONCATENATE(IG$10,", "),""))</f>
        <v/>
      </c>
      <c r="IH34" s="713" t="str">
        <f ca="1">IF(INDIRECT(CONCATENATE($FK$12,Fixtures!IH$25))="","",IF(INDIRECT(CONCATENATE($FK$12,Fixtures!IH$25))=Fixtures!$DN34,CONCATENATE(IH$10,", "),""))</f>
        <v/>
      </c>
      <c r="II34" s="713" t="str">
        <f ca="1">IF(INDIRECT(CONCATENATE($FK$12,Fixtures!II$25))="","",IF(INDIRECT(CONCATENATE($FK$12,Fixtures!II$25))=Fixtures!$DN34,CONCATENATE(II$10,", "),""))</f>
        <v/>
      </c>
      <c r="IJ34" s="713" t="str">
        <f ca="1">IF(INDIRECT(CONCATENATE($FK$12,Fixtures!IJ$25))="","",IF(INDIRECT(CONCATENATE($FK$12,Fixtures!IJ$25))=Fixtures!$DN34,CONCATENATE(IJ$10,", "),""))</f>
        <v/>
      </c>
      <c r="IK34" s="713" t="str">
        <f ca="1">IF(INDIRECT(CONCATENATE($FK$12,Fixtures!IK$25))="","",IF(INDIRECT(CONCATENATE($FK$12,Fixtures!IK$25))=Fixtures!$DN34,CONCATENATE(IK$10,", "),""))</f>
        <v/>
      </c>
      <c r="IL34" s="713" t="str">
        <f ca="1">IF(INDIRECT(CONCATENATE($FK$12,Fixtures!IL$25))="","",IF(INDIRECT(CONCATENATE($FK$12,Fixtures!IL$25))=Fixtures!$DN34,CONCATENATE(IL$10,", "),""))</f>
        <v/>
      </c>
      <c r="IM34" s="713" t="str">
        <f ca="1">IF(INDIRECT(CONCATENATE($FK$12,Fixtures!IM$25))="","",IF(INDIRECT(CONCATENATE($FK$12,Fixtures!IM$25))=Fixtures!$DN34,CONCATENATE(IM$10,", "),""))</f>
        <v/>
      </c>
      <c r="IN34" s="713" t="str">
        <f ca="1">IF(INDIRECT(CONCATENATE($FK$12,Fixtures!IN$25))="","",IF(INDIRECT(CONCATENATE($FK$12,Fixtures!IN$25))=Fixtures!$DN34,CONCATENATE(IN$10,", "),""))</f>
        <v/>
      </c>
      <c r="IO34" s="713" t="str">
        <f ca="1">IF(INDIRECT(CONCATENATE($FK$12,Fixtures!IO$25))="","",IF(INDIRECT(CONCATENATE($FK$12,Fixtures!IO$25))=Fixtures!$DN34,CONCATENATE(IO$10,", "),""))</f>
        <v/>
      </c>
      <c r="IP34" s="713" t="str">
        <f ca="1">IF(INDIRECT(CONCATENATE($FK$12,Fixtures!IP$25))="","",IF(INDIRECT(CONCATENATE($FK$12,Fixtures!IP$25))=Fixtures!$DN34,CONCATENATE(IP$10,", "),""))</f>
        <v/>
      </c>
      <c r="IQ34" s="684" t="str">
        <f ca="1">IF(INDIRECT(CONCATENATE($FK$12,Fixtures!IQ$25))="","",IF(INDIRECT(CONCATENATE($FK$12,Fixtures!IQ$25))=Fixtures!$DN34,CONCATENATE(IQ$10,", "),""))</f>
        <v/>
      </c>
      <c r="IR34" s="685" t="str">
        <f ca="1">IF(INDIRECT(CONCATENATE($FK$12,Fixtures!IR$25))="","",IF(INDIRECT(CONCATENATE($FK$12,Fixtures!IR$25))=Fixtures!$DN34,CONCATENATE(IR$10,", "),""))</f>
        <v/>
      </c>
      <c r="IS34" s="713" t="str">
        <f ca="1">IF(INDIRECT(CONCATENATE($FK$12,Fixtures!IS$25))="","",IF(INDIRECT(CONCATENATE($FK$12,Fixtures!IS$25))=Fixtures!$DN34,CONCATENATE(IS$10,", "),""))</f>
        <v/>
      </c>
      <c r="IT34" s="713" t="str">
        <f ca="1">IF(INDIRECT(CONCATENATE($FK$12,Fixtures!IT$25))="","",IF(INDIRECT(CONCATENATE($FK$12,Fixtures!IT$25))=Fixtures!$DN34,CONCATENATE(IT$10,", "),""))</f>
        <v/>
      </c>
      <c r="IU34" s="713" t="str">
        <f ca="1">IF(INDIRECT(CONCATENATE($FK$12,Fixtures!IU$25))="","",IF(INDIRECT(CONCATENATE($FK$12,Fixtures!IU$25))=Fixtures!$DN34,CONCATENATE(IU$10,", "),""))</f>
        <v/>
      </c>
      <c r="IV34" s="713" t="str">
        <f ca="1">IF(INDIRECT(CONCATENATE($FK$12,Fixtures!IV$25))="","",IF(INDIRECT(CONCATENATE($FK$12,Fixtures!IV$25))=Fixtures!$DN34,CONCATENATE(IV$10,", "),""))</f>
        <v/>
      </c>
      <c r="IW34" s="713" t="str">
        <f ca="1">IF(INDIRECT(CONCATENATE($FK$12,Fixtures!IW$25))="","",IF(INDIRECT(CONCATENATE($FK$12,Fixtures!IW$25))=Fixtures!$DN34,CONCATENATE(IW$10,", "),""))</f>
        <v/>
      </c>
      <c r="IX34" s="713" t="str">
        <f ca="1">IF(INDIRECT(CONCATENATE($FK$12,Fixtures!IX$25))="","",IF(INDIRECT(CONCATENATE($FK$12,Fixtures!IX$25))=Fixtures!$DN34,CONCATENATE(IX$10,", "),""))</f>
        <v/>
      </c>
      <c r="IY34" s="713" t="str">
        <f ca="1">IF(INDIRECT(CONCATENATE($FK$12,Fixtures!IY$25))="","",IF(INDIRECT(CONCATENATE($FK$12,Fixtures!IY$25))=Fixtures!$DN34,CONCATENATE(IY$10,", "),""))</f>
        <v/>
      </c>
      <c r="IZ34" s="713" t="str">
        <f ca="1">IF(INDIRECT(CONCATENATE($FK$12,Fixtures!IZ$25))="","",IF(INDIRECT(CONCATENATE($FK$12,Fixtures!IZ$25))=Fixtures!$DN34,CONCATENATE(IZ$10,", "),""))</f>
        <v/>
      </c>
      <c r="JA34" s="713" t="str">
        <f ca="1">IF(INDIRECT(CONCATENATE($FK$12,Fixtures!JA$25))="","",IF(INDIRECT(CONCATENATE($FK$12,Fixtures!JA$25))=Fixtures!$DN34,CONCATENATE(JA$10,", "),""))</f>
        <v/>
      </c>
      <c r="JB34" s="713" t="str">
        <f ca="1">IF(INDIRECT(CONCATENATE($FK$12,Fixtures!JB$25))="","",IF(INDIRECT(CONCATENATE($FK$12,Fixtures!JB$25))=Fixtures!$DN34,CONCATENATE(JB$10,", "),""))</f>
        <v/>
      </c>
      <c r="JC34" s="713" t="str">
        <f ca="1">IF(INDIRECT(CONCATENATE($FK$12,Fixtures!JC$25))="","",IF(INDIRECT(CONCATENATE($FK$12,Fixtures!JC$25))=Fixtures!$DN34,CONCATENATE(JC$10,", "),""))</f>
        <v/>
      </c>
      <c r="JD34" s="713" t="str">
        <f ca="1">IF(INDIRECT(CONCATENATE($FK$12,Fixtures!JD$25))="","",IF(INDIRECT(CONCATENATE($FK$12,Fixtures!JD$25))=Fixtures!$DN34,CONCATENATE(JD$10,", "),""))</f>
        <v/>
      </c>
      <c r="JE34" s="713" t="str">
        <f ca="1">IF(INDIRECT(CONCATENATE($FK$12,Fixtures!JE$25))="","",IF(INDIRECT(CONCATENATE($FK$12,Fixtures!JE$25))=Fixtures!$DN34,CONCATENATE(JE$10,", "),""))</f>
        <v/>
      </c>
      <c r="JF34" s="684" t="str">
        <f ca="1">IF(INDIRECT(CONCATENATE($FK$12,Fixtures!JF$25))="","",IF(INDIRECT(CONCATENATE($FK$12,Fixtures!JF$25))=Fixtures!$DN34,CONCATENATE(JF$10,", "),""))</f>
        <v/>
      </c>
      <c r="JG34" s="685" t="str">
        <f ca="1">IF(INDIRECT(CONCATENATE($FK$12,Fixtures!JG$25))="","",IF(INDIRECT(CONCATENATE($FK$12,Fixtures!JG$25))=Fixtures!$DN34,CONCATENATE(JG$10,", "),""))</f>
        <v/>
      </c>
      <c r="JH34" s="713" t="str">
        <f ca="1">IF(INDIRECT(CONCATENATE($FK$12,Fixtures!JH$25))="","",IF(INDIRECT(CONCATENATE($FK$12,Fixtures!JH$25))=Fixtures!$DN34,CONCATENATE(JH$10,", "),""))</f>
        <v/>
      </c>
      <c r="JI34" s="713" t="str">
        <f ca="1">IF(INDIRECT(CONCATENATE($FK$12,Fixtures!JI$25))="","",IF(INDIRECT(CONCATENATE($FK$12,Fixtures!JI$25))=Fixtures!$DN34,CONCATENATE(JI$10,", "),""))</f>
        <v/>
      </c>
      <c r="JJ34" s="713" t="str">
        <f ca="1">IF(INDIRECT(CONCATENATE($FK$12,Fixtures!JJ$25))="","",IF(INDIRECT(CONCATENATE($FK$12,Fixtures!JJ$25))=Fixtures!$DN34,CONCATENATE(JJ$10,", "),""))</f>
        <v/>
      </c>
      <c r="JK34" s="713" t="str">
        <f ca="1">IF(INDIRECT(CONCATENATE($FK$12,Fixtures!JK$25))="","",IF(INDIRECT(CONCATENATE($FK$12,Fixtures!JK$25))=Fixtures!$DN34,CONCATENATE(JK$10,", "),""))</f>
        <v/>
      </c>
      <c r="JL34" s="713" t="str">
        <f ca="1">IF(INDIRECT(CONCATENATE($FK$12,Fixtures!JL$25))="","",IF(INDIRECT(CONCATENATE($FK$12,Fixtures!JL$25))=Fixtures!$DN34,CONCATENATE(JL$10,", "),""))</f>
        <v/>
      </c>
      <c r="JM34" s="713" t="str">
        <f ca="1">IF(INDIRECT(CONCATENATE($FK$12,Fixtures!JM$25))="","",IF(INDIRECT(CONCATENATE($FK$12,Fixtures!JM$25))=Fixtures!$DN34,CONCATENATE(JM$10,", "),""))</f>
        <v/>
      </c>
      <c r="JN34" s="713" t="str">
        <f ca="1">IF(INDIRECT(CONCATENATE($FK$12,Fixtures!JN$25))="","",IF(INDIRECT(CONCATENATE($FK$12,Fixtures!JN$25))=Fixtures!$DN34,CONCATENATE(JN$10,", "),""))</f>
        <v/>
      </c>
      <c r="JO34" s="713" t="str">
        <f ca="1">IF(INDIRECT(CONCATENATE($FK$12,Fixtures!JO$25))="","",IF(INDIRECT(CONCATENATE($FK$12,Fixtures!JO$25))=Fixtures!$DN34,CONCATENATE(JO$10,", "),""))</f>
        <v/>
      </c>
      <c r="JP34" s="713" t="str">
        <f ca="1">IF(INDIRECT(CONCATENATE($FK$12,Fixtures!JP$25))="","",IF(INDIRECT(CONCATENATE($FK$12,Fixtures!JP$25))=Fixtures!$DN34,CONCATENATE(JP$10,", "),""))</f>
        <v/>
      </c>
      <c r="JQ34" s="713" t="str">
        <f ca="1">IF(INDIRECT(CONCATENATE($FK$12,Fixtures!JQ$25))="","",IF(INDIRECT(CONCATENATE($FK$12,Fixtures!JQ$25))=Fixtures!$DN34,CONCATENATE(JQ$10,", "),""))</f>
        <v/>
      </c>
      <c r="JR34" s="713" t="str">
        <f ca="1">IF(INDIRECT(CONCATENATE($FK$12,Fixtures!JR$25))="","",IF(INDIRECT(CONCATENATE($FK$12,Fixtures!JR$25))=Fixtures!$DN34,CONCATENATE(JR$10,", "),""))</f>
        <v/>
      </c>
      <c r="JS34" s="713" t="str">
        <f ca="1">IF(INDIRECT(CONCATENATE($FK$12,Fixtures!JS$25))="","",IF(INDIRECT(CONCATENATE($FK$12,Fixtures!JS$25))=Fixtures!$DN34,CONCATENATE(JS$10,", "),""))</f>
        <v/>
      </c>
      <c r="JT34" s="713" t="str">
        <f ca="1">IF(INDIRECT(CONCATENATE($FK$12,Fixtures!JT$25))="","",IF(INDIRECT(CONCATENATE($FK$12,Fixtures!JT$25))=Fixtures!$DN34,CONCATENATE(JT$10,", "),""))</f>
        <v/>
      </c>
      <c r="JU34" s="684" t="str">
        <f ca="1">IF(INDIRECT(CONCATENATE($FK$12,Fixtures!JU$25))="","",IF(INDIRECT(CONCATENATE($FK$12,Fixtures!JU$25))=Fixtures!$DN34,CONCATENATE(JU$10,", "),""))</f>
        <v/>
      </c>
      <c r="JV34" s="685" t="str">
        <f ca="1">IF(INDIRECT(CONCATENATE($FK$12,Fixtures!JV$25))="","",IF(INDIRECT(CONCATENATE($FK$12,Fixtures!JV$25))=Fixtures!$DN34,CONCATENATE(JV$10,", "),""))</f>
        <v/>
      </c>
      <c r="JW34" s="713" t="str">
        <f ca="1">IF(INDIRECT(CONCATENATE($FK$12,Fixtures!JW$25))="","",IF(INDIRECT(CONCATENATE($FK$12,Fixtures!JW$25))=Fixtures!$DN34,CONCATENATE(JW$10,", "),""))</f>
        <v/>
      </c>
      <c r="JX34" s="713" t="str">
        <f ca="1">IF(INDIRECT(CONCATENATE($FK$12,Fixtures!JX$25))="","",IF(INDIRECT(CONCATENATE($FK$12,Fixtures!JX$25))=Fixtures!$DN34,CONCATENATE(JX$10,", "),""))</f>
        <v/>
      </c>
      <c r="JY34" s="713" t="str">
        <f ca="1">IF(INDIRECT(CONCATENATE($FK$12,Fixtures!JY$25))="","",IF(INDIRECT(CONCATENATE($FK$12,Fixtures!JY$25))=Fixtures!$DN34,CONCATENATE(JY$10,", "),""))</f>
        <v/>
      </c>
      <c r="JZ34" s="713" t="str">
        <f ca="1">IF(INDIRECT(CONCATENATE($FK$12,Fixtures!JZ$25))="","",IF(INDIRECT(CONCATENATE($FK$12,Fixtures!JZ$25))=Fixtures!$DN34,CONCATENATE(JZ$10,", "),""))</f>
        <v/>
      </c>
      <c r="KA34" s="713" t="str">
        <f ca="1">IF(INDIRECT(CONCATENATE($FK$12,Fixtures!KA$25))="","",IF(INDIRECT(CONCATENATE($FK$12,Fixtures!KA$25))=Fixtures!$DN34,CONCATENATE(KA$10,", "),""))</f>
        <v/>
      </c>
      <c r="KB34" s="713" t="str">
        <f ca="1">IF(INDIRECT(CONCATENATE($FK$12,Fixtures!KB$25))="","",IF(INDIRECT(CONCATENATE($FK$12,Fixtures!KB$25))=Fixtures!$DN34,CONCATENATE(KB$10,", "),""))</f>
        <v/>
      </c>
      <c r="KC34" s="713" t="str">
        <f ca="1">IF(INDIRECT(CONCATENATE($FK$12,Fixtures!KC$25))="","",IF(INDIRECT(CONCATENATE($FK$12,Fixtures!KC$25))=Fixtures!$DN34,CONCATENATE(KC$10,", "),""))</f>
        <v/>
      </c>
      <c r="KD34" s="713" t="str">
        <f ca="1">IF(INDIRECT(CONCATENATE($FK$12,Fixtures!KD$25))="","",IF(INDIRECT(CONCATENATE($FK$12,Fixtures!KD$25))=Fixtures!$DN34,CONCATENATE(KD$10,", "),""))</f>
        <v/>
      </c>
      <c r="KE34" s="713" t="str">
        <f ca="1">IF(INDIRECT(CONCATENATE($FK$12,Fixtures!KE$25))="","",IF(INDIRECT(CONCATENATE($FK$12,Fixtures!KE$25))=Fixtures!$DN34,CONCATENATE(KE$10,", "),""))</f>
        <v/>
      </c>
      <c r="KF34" s="713" t="str">
        <f ca="1">IF(INDIRECT(CONCATENATE($FK$12,Fixtures!KF$25))="","",IF(INDIRECT(CONCATENATE($FK$12,Fixtures!KF$25))=Fixtures!$DN34,CONCATENATE(KF$10,", "),""))</f>
        <v/>
      </c>
      <c r="KG34" s="713" t="str">
        <f ca="1">IF(INDIRECT(CONCATENATE($FK$12,Fixtures!KG$25))="","",IF(INDIRECT(CONCATENATE($FK$12,Fixtures!KG$25))=Fixtures!$DN34,CONCATENATE(KG$10,", "),""))</f>
        <v/>
      </c>
      <c r="KH34" s="713" t="str">
        <f ca="1">IF(INDIRECT(CONCATENATE($FK$12,Fixtures!KH$25))="","",IF(INDIRECT(CONCATENATE($FK$12,Fixtures!KH$25))=Fixtures!$DN34,CONCATENATE(KH$10,", "),""))</f>
        <v/>
      </c>
      <c r="KI34" s="713" t="str">
        <f ca="1">IF(INDIRECT(CONCATENATE($FK$12,Fixtures!KI$25))="","",IF(INDIRECT(CONCATENATE($FK$12,Fixtures!KI$25))=Fixtures!$DN34,CONCATENATE(KI$10,", "),""))</f>
        <v/>
      </c>
      <c r="KJ34" s="684" t="str">
        <f ca="1">IF(INDIRECT(CONCATENATE($FK$12,Fixtures!KJ$25))="","",IF(INDIRECT(CONCATENATE($FK$12,Fixtures!KJ$25))=Fixtures!$DN34,CONCATENATE(KJ$10,", "),""))</f>
        <v/>
      </c>
      <c r="KK34" s="685" t="str">
        <f ca="1">IF(INDIRECT(CONCATENATE($FK$12,Fixtures!KK$25))="","",IF(INDIRECT(CONCATENATE($FK$12,Fixtures!KK$25))=Fixtures!$DN34,CONCATENATE(KK$10,", "),""))</f>
        <v/>
      </c>
      <c r="KL34" s="713" t="str">
        <f ca="1">IF(INDIRECT(CONCATENATE($FK$12,Fixtures!KL$25))="","",IF(INDIRECT(CONCATENATE($FK$12,Fixtures!KL$25))=Fixtures!$DN34,CONCATENATE(KL$10,", "),""))</f>
        <v/>
      </c>
      <c r="KM34" s="713" t="str">
        <f ca="1">IF(INDIRECT(CONCATENATE($FK$12,Fixtures!KM$25))="","",IF(INDIRECT(CONCATENATE($FK$12,Fixtures!KM$25))=Fixtures!$DN34,CONCATENATE(KM$10,", "),""))</f>
        <v/>
      </c>
      <c r="KN34" s="713" t="str">
        <f ca="1">IF(INDIRECT(CONCATENATE($FK$12,Fixtures!KN$25))="","",IF(INDIRECT(CONCATENATE($FK$12,Fixtures!KN$25))=Fixtures!$DN34,CONCATENATE(KN$10,", "),""))</f>
        <v/>
      </c>
      <c r="KO34" s="713" t="str">
        <f ca="1">IF(INDIRECT(CONCATENATE($FK$12,Fixtures!KO$25))="","",IF(INDIRECT(CONCATENATE($FK$12,Fixtures!KO$25))=Fixtures!$DN34,CONCATENATE(KO$10,", "),""))</f>
        <v/>
      </c>
      <c r="KP34" s="713" t="str">
        <f ca="1">IF(INDIRECT(CONCATENATE($FK$12,Fixtures!KP$25))="","",IF(INDIRECT(CONCATENATE($FK$12,Fixtures!KP$25))=Fixtures!$DN34,CONCATENATE(KP$10,", "),""))</f>
        <v/>
      </c>
      <c r="KQ34" s="713" t="str">
        <f ca="1">IF(INDIRECT(CONCATENATE($FK$12,Fixtures!KQ$25))="","",IF(INDIRECT(CONCATENATE($FK$12,Fixtures!KQ$25))=Fixtures!$DN34,CONCATENATE(KQ$10,", "),""))</f>
        <v/>
      </c>
      <c r="KR34" s="713" t="str">
        <f ca="1">IF(INDIRECT(CONCATENATE($FK$12,Fixtures!KR$25))="","",IF(INDIRECT(CONCATENATE($FK$12,Fixtures!KR$25))=Fixtures!$DN34,CONCATENATE(KR$10,", "),""))</f>
        <v/>
      </c>
      <c r="KS34" s="713" t="str">
        <f ca="1">IF(INDIRECT(CONCATENATE($FK$12,Fixtures!KS$25))="","",IF(INDIRECT(CONCATENATE($FK$12,Fixtures!KS$25))=Fixtures!$DN34,CONCATENATE(KS$10,", "),""))</f>
        <v/>
      </c>
      <c r="KT34" s="713" t="str">
        <f ca="1">IF(INDIRECT(CONCATENATE($FK$12,Fixtures!KT$25))="","",IF(INDIRECT(CONCATENATE($FK$12,Fixtures!KT$25))=Fixtures!$DN34,CONCATENATE(KT$10,", "),""))</f>
        <v/>
      </c>
      <c r="KU34" s="713" t="str">
        <f ca="1">IF(INDIRECT(CONCATENATE($FK$12,Fixtures!KU$25))="","",IF(INDIRECT(CONCATENATE($FK$12,Fixtures!KU$25))=Fixtures!$DN34,CONCATENATE(KU$10,", "),""))</f>
        <v/>
      </c>
      <c r="KV34" s="713" t="str">
        <f ca="1">IF(INDIRECT(CONCATENATE($FK$12,Fixtures!KV$25))="","",IF(INDIRECT(CONCATENATE($FK$12,Fixtures!KV$25))=Fixtures!$DN34,CONCATENATE(KV$10,", "),""))</f>
        <v/>
      </c>
      <c r="KW34" s="713" t="str">
        <f ca="1">IF(INDIRECT(CONCATENATE($FK$12,Fixtures!KW$25))="","",IF(INDIRECT(CONCATENATE($FK$12,Fixtures!KW$25))=Fixtures!$DN34,CONCATENATE(KW$10,", "),""))</f>
        <v/>
      </c>
      <c r="KX34" s="713" t="str">
        <f ca="1">IF(INDIRECT(CONCATENATE($FK$12,Fixtures!KX$25))="","",IF(INDIRECT(CONCATENATE($FK$12,Fixtures!KX$25))=Fixtures!$DN34,CONCATENATE(KX$10,", "),""))</f>
        <v/>
      </c>
      <c r="KY34" s="713" t="str">
        <f ca="1">IF(INDIRECT(CONCATENATE($FK$12,Fixtures!KY$25))="","",IF(INDIRECT(CONCATENATE($FK$12,Fixtures!KY$25))=Fixtures!$DN34,CONCATENATE(KY$10,", "),""))</f>
        <v/>
      </c>
      <c r="KZ34" s="46"/>
      <c r="LA34" s="46" t="str">
        <f t="shared" ca="1" si="8"/>
        <v/>
      </c>
    </row>
    <row r="35" spans="1:313" ht="28.05" customHeight="1" thickTop="1" thickBot="1">
      <c r="A35" s="471" t="str">
        <f t="shared" si="13"/>
        <v/>
      </c>
      <c r="C35" s="1328" t="str">
        <f t="shared" si="14"/>
        <v/>
      </c>
      <c r="D35" s="1329"/>
      <c r="E35" s="1256" t="str">
        <f t="shared" si="15"/>
        <v/>
      </c>
      <c r="F35" s="1257"/>
      <c r="G35" s="1257"/>
      <c r="H35" s="1257"/>
      <c r="I35" s="1257"/>
      <c r="J35" s="1257"/>
      <c r="K35" s="1257"/>
      <c r="L35" s="1257"/>
      <c r="M35" s="1330"/>
      <c r="N35" s="239" t="str">
        <f t="shared" si="16"/>
        <v/>
      </c>
      <c r="O35" s="601"/>
      <c r="P35" s="1326" t="str">
        <f t="shared" si="25"/>
        <v/>
      </c>
      <c r="Q35" s="1327"/>
      <c r="R35" s="1256" t="str">
        <f t="shared" si="26"/>
        <v/>
      </c>
      <c r="S35" s="1257"/>
      <c r="T35" s="1257"/>
      <c r="U35" s="1257"/>
      <c r="V35" s="1257"/>
      <c r="W35" s="1257"/>
      <c r="X35" s="1257"/>
      <c r="Y35" s="239" t="str">
        <f t="shared" si="27"/>
        <v/>
      </c>
      <c r="Z35" s="239" t="str">
        <f t="shared" si="28"/>
        <v/>
      </c>
      <c r="AA35" s="439" t="str">
        <f t="shared" si="29"/>
        <v/>
      </c>
      <c r="AB35" s="542"/>
      <c r="AC35" s="1253" t="str">
        <f t="shared" si="17"/>
        <v/>
      </c>
      <c r="AD35" s="1166"/>
      <c r="AE35" s="1166"/>
      <c r="AF35" s="1166"/>
      <c r="AG35" s="1166"/>
      <c r="AH35" s="1166"/>
      <c r="AK35">
        <f>SUMIFS(Installations!CS$39:CS$800,Installations!CT$39:CT$800,E35,Installations!HX$39:HX$800,TRUE)</f>
        <v>0</v>
      </c>
      <c r="AL35">
        <f>SUMIFS(Installations!CS$39:CS$800,Installations!CT$39:CT$800,R35,Installations!HX$39:HX$800,TRUE)</f>
        <v>0</v>
      </c>
      <c r="BL35" s="9"/>
      <c r="BM35" s="703" t="str">
        <f t="shared" si="18"/>
        <v/>
      </c>
      <c r="BN35" s="52"/>
      <c r="BO35" s="52"/>
      <c r="BP35" s="52"/>
      <c r="BQ35" s="52"/>
      <c r="BR35" s="52"/>
      <c r="BS35" s="52"/>
      <c r="BT35" s="52"/>
      <c r="BU35" s="414"/>
      <c r="BV35" s="255" t="str">
        <f>IF(CN35&lt;&gt;"Yes","",IFERROR(VLOOKUP(CU35,Existing!A$4:F$364,2,FALSE),""))</f>
        <v/>
      </c>
      <c r="BW35" s="9">
        <v>9</v>
      </c>
      <c r="BX35" s="1313"/>
      <c r="BY35" s="1314"/>
      <c r="BZ35" s="1314"/>
      <c r="CA35" s="1315"/>
      <c r="CB35" s="1310"/>
      <c r="CC35" s="1311"/>
      <c r="CD35" s="1311"/>
      <c r="CE35" s="1312"/>
      <c r="CF35" s="1309"/>
      <c r="CG35" s="1309"/>
      <c r="CH35" s="1309"/>
      <c r="CI35" s="1309"/>
      <c r="CJ35" s="1309"/>
      <c r="CK35" s="1309"/>
      <c r="CL35" s="1309"/>
      <c r="CM35" s="1309"/>
      <c r="CN35" s="1243" t="str">
        <f t="shared" si="0"/>
        <v/>
      </c>
      <c r="CO35" s="1244"/>
      <c r="CP35" s="265" t="str">
        <f>IFERROR(IF(CB35="Existing TLED",CR35*CW35*CY35,VLOOKUP(CU35,Existing!A$3:F$353,6,FALSE)),"")</f>
        <v/>
      </c>
      <c r="CQ35" s="9"/>
      <c r="CR35" s="1343"/>
      <c r="CS35" s="1344"/>
      <c r="CT35" s="9"/>
      <c r="CU35" s="470" t="str">
        <f t="shared" si="21"/>
        <v/>
      </c>
      <c r="CV35" s="471" t="b">
        <f t="shared" si="22"/>
        <v>0</v>
      </c>
      <c r="CW35" s="471" t="str">
        <f t="shared" si="23"/>
        <v/>
      </c>
      <c r="CX35" s="471">
        <f>IFERROR(VLOOKUP(CF35,Lookup!M$100:O$102,3,FALSE),0)</f>
        <v>0</v>
      </c>
      <c r="CY35" s="471">
        <f t="shared" si="9"/>
        <v>1.1100000000000001</v>
      </c>
      <c r="CZ35" s="707" t="b">
        <f t="shared" si="1"/>
        <v>0</v>
      </c>
      <c r="DA35" s="707" t="b">
        <f>IF(CF35&lt;&gt;"",IF(ISERROR(MATCH(CONCATENATE(CB35," - ",CF35),Existing!G$4:G$328,0))=TRUE,FALSE,TRUE),TRUE)</f>
        <v>1</v>
      </c>
      <c r="DB35" s="707" t="b">
        <f t="shared" si="2"/>
        <v>1</v>
      </c>
      <c r="DL35" s="9"/>
      <c r="DM35" s="708" t="s">
        <v>166</v>
      </c>
      <c r="DN35" s="416" t="str">
        <f t="shared" si="3"/>
        <v/>
      </c>
      <c r="DO35" s="52"/>
      <c r="DP35" s="52"/>
      <c r="DQ35" s="52"/>
      <c r="DR35" s="52"/>
      <c r="DS35" s="52"/>
      <c r="DT35" s="262"/>
      <c r="DU35" s="417"/>
      <c r="DV35" s="263" t="str">
        <f t="shared" si="4"/>
        <v/>
      </c>
      <c r="DW35" s="260">
        <v>9</v>
      </c>
      <c r="DX35" s="1306"/>
      <c r="DY35" s="1307"/>
      <c r="DZ35" s="1307"/>
      <c r="EA35" s="1308"/>
      <c r="EB35" s="1306"/>
      <c r="EC35" s="1307"/>
      <c r="ED35" s="1307"/>
      <c r="EE35" s="1308"/>
      <c r="EF35" s="1266"/>
      <c r="EG35" s="1267"/>
      <c r="EH35" s="1260"/>
      <c r="EI35" s="1261"/>
      <c r="EJ35" s="1261"/>
      <c r="EK35" s="1262"/>
      <c r="EL35" s="1263"/>
      <c r="EM35" s="1264"/>
      <c r="EN35" s="1264"/>
      <c r="EO35" s="1265"/>
      <c r="EP35" s="1266"/>
      <c r="EQ35" s="1267"/>
      <c r="ER35" s="1245"/>
      <c r="ES35" s="1246"/>
      <c r="ET35" s="1243" t="str">
        <f t="shared" si="5"/>
        <v/>
      </c>
      <c r="EU35" s="1244"/>
      <c r="EV35" s="1243" t="str">
        <f t="shared" ref="EV35:EV76" si="30">IF(DX35&lt;&gt;"",IF(OR(EB35="",EF35="",EH35="",EL35="",IF(FA35=FALSE,EP35="",ER35="")),"NO","YES"),"")</f>
        <v/>
      </c>
      <c r="EW35" s="1244"/>
      <c r="EX35" s="438"/>
      <c r="EY35" s="261" t="str">
        <f t="shared" si="7"/>
        <v/>
      </c>
      <c r="EZ35" s="261" t="str">
        <f>IFERROR(VLOOKUP(EB35,Lookup!AM$3:AN$13,2,FALSE),"")</f>
        <v/>
      </c>
      <c r="FA35" s="471" t="b">
        <f>IFERROR(IF(VLOOKUP(EB35,Lookup!AM$6:AN$8,2,FALSE)&gt;3,TRUE,FALSE),FALSE)</f>
        <v>0</v>
      </c>
      <c r="FB35" s="471">
        <f t="shared" si="11"/>
        <v>1</v>
      </c>
      <c r="FC35" t="str">
        <f t="shared" ca="1" si="10"/>
        <v/>
      </c>
      <c r="FG35" t="str">
        <f t="shared" ca="1" si="12"/>
        <v/>
      </c>
      <c r="FI35" s="240" t="str">
        <f t="shared" ca="1" si="24"/>
        <v/>
      </c>
      <c r="FJ35" s="240"/>
      <c r="FK35" s="712" t="str">
        <f ca="1">IF(INDIRECT(CONCATENATE($FK$12,Fixtures!FK$25))="","",IF(INDIRECT(CONCATENATE($FK$12,Fixtures!FK$25))=Fixtures!$DN35,CONCATENATE(FK$10,", "),""))</f>
        <v/>
      </c>
      <c r="FL35" s="712" t="str">
        <f ca="1">IF(INDIRECT(CONCATENATE($FK$12,Fixtures!FL$25))="","",IF(INDIRECT(CONCATENATE($FK$12,Fixtures!FL$25))=Fixtures!$DN35,CONCATENATE(FL$10,", "),""))</f>
        <v/>
      </c>
      <c r="FM35" s="712" t="str">
        <f ca="1">IF(INDIRECT(CONCATENATE($FK$12,Fixtures!FM$25))="","",IF(INDIRECT(CONCATENATE($FK$12,Fixtures!FM$25))=Fixtures!$DN35,CONCATENATE(FM$10,", "),""))</f>
        <v/>
      </c>
      <c r="FN35" s="712" t="str">
        <f ca="1">IF(INDIRECT(CONCATENATE($FK$12,Fixtures!FN$25))="","",IF(INDIRECT(CONCATENATE($FK$12,Fixtures!FN$25))=Fixtures!$DN35,CONCATENATE(FN$10,", "),""))</f>
        <v/>
      </c>
      <c r="FO35" s="712" t="str">
        <f ca="1">IF(INDIRECT(CONCATENATE($FK$12,Fixtures!FO$25))="","",IF(INDIRECT(CONCATENATE($FK$12,Fixtures!FO$25))=Fixtures!$DN35,CONCATENATE(FO$10,", "),""))</f>
        <v/>
      </c>
      <c r="FP35" s="712" t="str">
        <f ca="1">IF(INDIRECT(CONCATENATE($FK$12,Fixtures!FP$25))="","",IF(INDIRECT(CONCATENATE($FK$12,Fixtures!FP$25))=Fixtures!$DN35,CONCATENATE(FP$10,", "),""))</f>
        <v/>
      </c>
      <c r="FQ35" s="712" t="str">
        <f ca="1">IF(INDIRECT(CONCATENATE($FK$12,Fixtures!FQ$25))="","",IF(INDIRECT(CONCATENATE($FK$12,Fixtures!FQ$25))=Fixtures!$DN35,CONCATENATE(FQ$10,", "),""))</f>
        <v/>
      </c>
      <c r="FR35" s="712" t="str">
        <f ca="1">IF(INDIRECT(CONCATENATE($FK$12,Fixtures!FR$25))="","",IF(INDIRECT(CONCATENATE($FK$12,Fixtures!FR$25))=Fixtures!$DN35,CONCATENATE(FR$10,", "),""))</f>
        <v/>
      </c>
      <c r="FS35" s="712" t="str">
        <f ca="1">IF(INDIRECT(CONCATENATE($FK$12,Fixtures!FS$25))="","",IF(INDIRECT(CONCATENATE($FK$12,Fixtures!FS$25))=Fixtures!$DN35,CONCATENATE(FS$10,", "),""))</f>
        <v/>
      </c>
      <c r="FT35" s="682" t="str">
        <f ca="1">IF(INDIRECT(CONCATENATE($FK$12,Fixtures!FT$25))="","",IF(INDIRECT(CONCATENATE($FK$12,Fixtures!FT$25))=Fixtures!$DN35,CONCATENATE(FT$10,", "),""))</f>
        <v/>
      </c>
      <c r="FU35" s="683" t="str">
        <f ca="1">IF(INDIRECT(CONCATENATE($FK$12,Fixtures!FU$25))="","",IF(INDIRECT(CONCATENATE($FK$12,Fixtures!FU$25))=Fixtures!$DN35,CONCATENATE(FU$10,", "),""))</f>
        <v/>
      </c>
      <c r="FV35" s="712" t="str">
        <f ca="1">IF(INDIRECT(CONCATENATE($FK$12,Fixtures!FV$25))="","",IF(INDIRECT(CONCATENATE($FK$12,Fixtures!FV$25))=Fixtures!$DN35,CONCATENATE(FV$10,", "),""))</f>
        <v/>
      </c>
      <c r="FW35" s="713" t="str">
        <f ca="1">IF(INDIRECT(CONCATENATE($FK$12,Fixtures!FW$25))="","",IF(INDIRECT(CONCATENATE($FK$12,Fixtures!FW$25))=Fixtures!$DN35,CONCATENATE(FW$10,", "),""))</f>
        <v/>
      </c>
      <c r="FX35" s="713" t="str">
        <f ca="1">IF(INDIRECT(CONCATENATE($FK$12,Fixtures!FX$25))="","",IF(INDIRECT(CONCATENATE($FK$12,Fixtures!FX$25))=Fixtures!$DN35,CONCATENATE(FX$10,", "),""))</f>
        <v/>
      </c>
      <c r="FY35" s="713" t="str">
        <f ca="1">IF(INDIRECT(CONCATENATE($FK$12,Fixtures!FY$25))="","",IF(INDIRECT(CONCATENATE($FK$12,Fixtures!FY$25))=Fixtures!$DN35,CONCATENATE(FY$10,", "),""))</f>
        <v/>
      </c>
      <c r="FZ35" s="713" t="str">
        <f ca="1">IF(INDIRECT(CONCATENATE($FK$12,Fixtures!FZ$25))="","",IF(INDIRECT(CONCATENATE($FK$12,Fixtures!FZ$25))=Fixtures!$DN35,CONCATENATE(FZ$10,", "),""))</f>
        <v/>
      </c>
      <c r="GA35" s="713" t="str">
        <f ca="1">IF(INDIRECT(CONCATENATE($FK$12,Fixtures!GA$25))="","",IF(INDIRECT(CONCATENATE($FK$12,Fixtures!GA$25))=Fixtures!$DN35,CONCATENATE(GA$10,", "),""))</f>
        <v/>
      </c>
      <c r="GB35" s="713" t="str">
        <f ca="1">IF(INDIRECT(CONCATENATE($FK$12,Fixtures!GB$25))="","",IF(INDIRECT(CONCATENATE($FK$12,Fixtures!GB$25))=Fixtures!$DN35,CONCATENATE(GB$10,", "),""))</f>
        <v/>
      </c>
      <c r="GC35" s="713" t="str">
        <f ca="1">IF(INDIRECT(CONCATENATE($FK$12,Fixtures!GC$25))="","",IF(INDIRECT(CONCATENATE($FK$12,Fixtures!GC$25))=Fixtures!$DN35,CONCATENATE(GC$10,", "),""))</f>
        <v/>
      </c>
      <c r="GD35" s="713" t="str">
        <f ca="1">IF(INDIRECT(CONCATENATE($FK$12,Fixtures!GD$25))="","",IF(INDIRECT(CONCATENATE($FK$12,Fixtures!GD$25))=Fixtures!$DN35,CONCATENATE(GD$10,", "),""))</f>
        <v/>
      </c>
      <c r="GE35" s="713" t="str">
        <f ca="1">IF(INDIRECT(CONCATENATE($FK$12,Fixtures!GE$25))="","",IF(INDIRECT(CONCATENATE($FK$12,Fixtures!GE$25))=Fixtures!$DN35,CONCATENATE(GE$10,", "),""))</f>
        <v/>
      </c>
      <c r="GF35" s="713" t="str">
        <f ca="1">IF(INDIRECT(CONCATENATE($FK$12,Fixtures!GF$25))="","",IF(INDIRECT(CONCATENATE($FK$12,Fixtures!GF$25))=Fixtures!$DN35,CONCATENATE(GF$10,", "),""))</f>
        <v/>
      </c>
      <c r="GG35" s="713" t="str">
        <f ca="1">IF(INDIRECT(CONCATENATE($FK$12,Fixtures!GG$25))="","",IF(INDIRECT(CONCATENATE($FK$12,Fixtures!GG$25))=Fixtures!$DN35,CONCATENATE(GG$10,", "),""))</f>
        <v/>
      </c>
      <c r="GH35" s="713" t="str">
        <f ca="1">IF(INDIRECT(CONCATENATE($FK$12,Fixtures!GH$25))="","",IF(INDIRECT(CONCATENATE($FK$12,Fixtures!GH$25))=Fixtures!$DN35,CONCATENATE(GH$10,", "),""))</f>
        <v/>
      </c>
      <c r="GI35" s="684" t="str">
        <f ca="1">IF(INDIRECT(CONCATENATE($FK$12,Fixtures!GI$25))="","",IF(INDIRECT(CONCATENATE($FK$12,Fixtures!GI$25))=Fixtures!$DN35,CONCATENATE(GI$10,", "),""))</f>
        <v/>
      </c>
      <c r="GJ35" s="685" t="str">
        <f ca="1">IF(INDIRECT(CONCATENATE($FK$12,Fixtures!GJ$25))="","",IF(INDIRECT(CONCATENATE($FK$12,Fixtures!GJ$25))=Fixtures!$DN35,CONCATENATE(GJ$10,", "),""))</f>
        <v/>
      </c>
      <c r="GK35" s="713" t="str">
        <f ca="1">IF(INDIRECT(CONCATENATE($FK$12,Fixtures!GK$25))="","",IF(INDIRECT(CONCATENATE($FK$12,Fixtures!GK$25))=Fixtures!$DN35,CONCATENATE(GK$10,", "),""))</f>
        <v/>
      </c>
      <c r="GL35" s="713" t="str">
        <f ca="1">IF(INDIRECT(CONCATENATE($FK$12,Fixtures!GL$25))="","",IF(INDIRECT(CONCATENATE($FK$12,Fixtures!GL$25))=Fixtures!$DN35,CONCATENATE(GL$10,", "),""))</f>
        <v/>
      </c>
      <c r="GM35" s="713" t="str">
        <f ca="1">IF(INDIRECT(CONCATENATE($FK$12,Fixtures!GM$25))="","",IF(INDIRECT(CONCATENATE($FK$12,Fixtures!GM$25))=Fixtures!$DN35,CONCATENATE(GM$10,", "),""))</f>
        <v/>
      </c>
      <c r="GN35" s="713" t="str">
        <f ca="1">IF(INDIRECT(CONCATENATE($FK$12,Fixtures!GN$25))="","",IF(INDIRECT(CONCATENATE($FK$12,Fixtures!GN$25))=Fixtures!$DN35,CONCATENATE(GN$10,", "),""))</f>
        <v/>
      </c>
      <c r="GO35" s="713" t="str">
        <f ca="1">IF(INDIRECT(CONCATENATE($FK$12,Fixtures!GO$25))="","",IF(INDIRECT(CONCATENATE($FK$12,Fixtures!GO$25))=Fixtures!$DN35,CONCATENATE(GO$10,", "),""))</f>
        <v/>
      </c>
      <c r="GP35" s="713" t="str">
        <f ca="1">IF(INDIRECT(CONCATENATE($FK$12,Fixtures!GP$25))="","",IF(INDIRECT(CONCATENATE($FK$12,Fixtures!GP$25))=Fixtures!$DN35,CONCATENATE(GP$10,", "),""))</f>
        <v/>
      </c>
      <c r="GQ35" s="713" t="str">
        <f ca="1">IF(INDIRECT(CONCATENATE($FK$12,Fixtures!GQ$25))="","",IF(INDIRECT(CONCATENATE($FK$12,Fixtures!GQ$25))=Fixtures!$DN35,CONCATENATE(GQ$10,", "),""))</f>
        <v/>
      </c>
      <c r="GR35" s="713" t="str">
        <f ca="1">IF(INDIRECT(CONCATENATE($FK$12,Fixtures!GR$25))="","",IF(INDIRECT(CONCATENATE($FK$12,Fixtures!GR$25))=Fixtures!$DN35,CONCATENATE(GR$10,", "),""))</f>
        <v/>
      </c>
      <c r="GS35" s="713" t="str">
        <f ca="1">IF(INDIRECT(CONCATENATE($FK$12,Fixtures!GS$25))="","",IF(INDIRECT(CONCATENATE($FK$12,Fixtures!GS$25))=Fixtures!$DN35,CONCATENATE(GS$10,", "),""))</f>
        <v/>
      </c>
      <c r="GT35" s="713" t="str">
        <f ca="1">IF(INDIRECT(CONCATENATE($FK$12,Fixtures!GT$25))="","",IF(INDIRECT(CONCATENATE($FK$12,Fixtures!GT$25))=Fixtures!$DN35,CONCATENATE(GT$10,", "),""))</f>
        <v/>
      </c>
      <c r="GU35" s="713" t="str">
        <f ca="1">IF(INDIRECT(CONCATENATE($FK$12,Fixtures!GU$25))="","",IF(INDIRECT(CONCATENATE($FK$12,Fixtures!GU$25))=Fixtures!$DN35,CONCATENATE(GU$10,", "),""))</f>
        <v/>
      </c>
      <c r="GV35" s="713" t="str">
        <f ca="1">IF(INDIRECT(CONCATENATE($FK$12,Fixtures!GV$25))="","",IF(INDIRECT(CONCATENATE($FK$12,Fixtures!GV$25))=Fixtures!$DN35,CONCATENATE(GV$10,", "),""))</f>
        <v/>
      </c>
      <c r="GW35" s="713" t="str">
        <f ca="1">IF(INDIRECT(CONCATENATE($FK$12,Fixtures!GW$25))="","",IF(INDIRECT(CONCATENATE($FK$12,Fixtures!GW$25))=Fixtures!$DN35,CONCATENATE(GW$10,", "),""))</f>
        <v/>
      </c>
      <c r="GX35" s="684" t="str">
        <f ca="1">IF(INDIRECT(CONCATENATE($FK$12,Fixtures!GX$25))="","",IF(INDIRECT(CONCATENATE($FK$12,Fixtures!GX$25))=Fixtures!$DN35,CONCATENATE(GX$10,", "),""))</f>
        <v/>
      </c>
      <c r="GY35" s="685" t="str">
        <f ca="1">IF(INDIRECT(CONCATENATE($FK$12,Fixtures!GY$25))="","",IF(INDIRECT(CONCATENATE($FK$12,Fixtures!GY$25))=Fixtures!$DN35,CONCATENATE(GY$10,", "),""))</f>
        <v/>
      </c>
      <c r="GZ35" s="713" t="str">
        <f ca="1">IF(INDIRECT(CONCATENATE($FK$12,Fixtures!GZ$25))="","",IF(INDIRECT(CONCATENATE($FK$12,Fixtures!GZ$25))=Fixtures!$DN35,CONCATENATE(GZ$10,", "),""))</f>
        <v/>
      </c>
      <c r="HA35" s="713" t="str">
        <f ca="1">IF(INDIRECT(CONCATENATE($FK$12,Fixtures!HA$25))="","",IF(INDIRECT(CONCATENATE($FK$12,Fixtures!HA$25))=Fixtures!$DN35,CONCATENATE(HA$10,", "),""))</f>
        <v/>
      </c>
      <c r="HB35" s="713" t="str">
        <f ca="1">IF(INDIRECT(CONCATENATE($FK$12,Fixtures!HB$25))="","",IF(INDIRECT(CONCATENATE($FK$12,Fixtures!HB$25))=Fixtures!$DN35,CONCATENATE(HB$10,", "),""))</f>
        <v/>
      </c>
      <c r="HC35" s="713" t="str">
        <f ca="1">IF(INDIRECT(CONCATENATE($FK$12,Fixtures!HC$25))="","",IF(INDIRECT(CONCATENATE($FK$12,Fixtures!HC$25))=Fixtures!$DN35,CONCATENATE(HC$10,", "),""))</f>
        <v/>
      </c>
      <c r="HD35" s="713" t="str">
        <f ca="1">IF(INDIRECT(CONCATENATE($FK$12,Fixtures!HD$25))="","",IF(INDIRECT(CONCATENATE($FK$12,Fixtures!HD$25))=Fixtures!$DN35,CONCATENATE(HD$10,", "),""))</f>
        <v/>
      </c>
      <c r="HE35" s="713" t="str">
        <f ca="1">IF(INDIRECT(CONCATENATE($FK$12,Fixtures!HE$25))="","",IF(INDIRECT(CONCATENATE($FK$12,Fixtures!HE$25))=Fixtures!$DN35,CONCATENATE(HE$10,", "),""))</f>
        <v/>
      </c>
      <c r="HF35" s="713" t="str">
        <f ca="1">IF(INDIRECT(CONCATENATE($FK$12,Fixtures!HF$25))="","",IF(INDIRECT(CONCATENATE($FK$12,Fixtures!HF$25))=Fixtures!$DN35,CONCATENATE(HF$10,", "),""))</f>
        <v/>
      </c>
      <c r="HG35" s="713" t="str">
        <f ca="1">IF(INDIRECT(CONCATENATE($FK$12,Fixtures!HG$25))="","",IF(INDIRECT(CONCATENATE($FK$12,Fixtures!HG$25))=Fixtures!$DN35,CONCATENATE(HG$10,", "),""))</f>
        <v/>
      </c>
      <c r="HH35" s="713" t="str">
        <f ca="1">IF(INDIRECT(CONCATENATE($FK$12,Fixtures!HH$25))="","",IF(INDIRECT(CONCATENATE($FK$12,Fixtures!HH$25))=Fixtures!$DN35,CONCATENATE(HH$10,", "),""))</f>
        <v/>
      </c>
      <c r="HI35" s="713" t="str">
        <f ca="1">IF(INDIRECT(CONCATENATE($FK$12,Fixtures!HI$25))="","",IF(INDIRECT(CONCATENATE($FK$12,Fixtures!HI$25))=Fixtures!$DN35,CONCATENATE(HI$10,", "),""))</f>
        <v/>
      </c>
      <c r="HJ35" s="713" t="str">
        <f ca="1">IF(INDIRECT(CONCATENATE($FK$12,Fixtures!HJ$25))="","",IF(INDIRECT(CONCATENATE($FK$12,Fixtures!HJ$25))=Fixtures!$DN35,CONCATENATE(HJ$10,", "),""))</f>
        <v/>
      </c>
      <c r="HK35" s="713" t="str">
        <f ca="1">IF(INDIRECT(CONCATENATE($FK$12,Fixtures!HK$25))="","",IF(INDIRECT(CONCATENATE($FK$12,Fixtures!HK$25))=Fixtures!$DN35,CONCATENATE(HK$10,", "),""))</f>
        <v/>
      </c>
      <c r="HL35" s="713" t="str">
        <f ca="1">IF(INDIRECT(CONCATENATE($FK$12,Fixtures!HL$25))="","",IF(INDIRECT(CONCATENATE($FK$12,Fixtures!HL$25))=Fixtures!$DN35,CONCATENATE(HL$10,", "),""))</f>
        <v/>
      </c>
      <c r="HM35" s="684" t="str">
        <f ca="1">IF(INDIRECT(CONCATENATE($FK$12,Fixtures!HM$25))="","",IF(INDIRECT(CONCATENATE($FK$12,Fixtures!HM$25))=Fixtures!$DN35,CONCATENATE(HM$10,", "),""))</f>
        <v/>
      </c>
      <c r="HN35" s="685" t="str">
        <f ca="1">IF(INDIRECT(CONCATENATE($FK$12,Fixtures!HN$25))="","",IF(INDIRECT(CONCATENATE($FK$12,Fixtures!HN$25))=Fixtures!$DN35,CONCATENATE(HN$10,", "),""))</f>
        <v/>
      </c>
      <c r="HO35" s="713" t="str">
        <f ca="1">IF(INDIRECT(CONCATENATE($FK$12,Fixtures!HO$25))="","",IF(INDIRECT(CONCATENATE($FK$12,Fixtures!HO$25))=Fixtures!$DN35,CONCATENATE(HO$10,", "),""))</f>
        <v/>
      </c>
      <c r="HP35" s="713" t="str">
        <f ca="1">IF(INDIRECT(CONCATENATE($FK$12,Fixtures!HP$25))="","",IF(INDIRECT(CONCATENATE($FK$12,Fixtures!HP$25))=Fixtures!$DN35,CONCATENATE(HP$10,", "),""))</f>
        <v/>
      </c>
      <c r="HQ35" s="713" t="str">
        <f ca="1">IF(INDIRECT(CONCATENATE($FK$12,Fixtures!HQ$25))="","",IF(INDIRECT(CONCATENATE($FK$12,Fixtures!HQ$25))=Fixtures!$DN35,CONCATENATE(HQ$10,", "),""))</f>
        <v/>
      </c>
      <c r="HR35" s="713" t="str">
        <f ca="1">IF(INDIRECT(CONCATENATE($FK$12,Fixtures!HR$25))="","",IF(INDIRECT(CONCATENATE($FK$12,Fixtures!HR$25))=Fixtures!$DN35,CONCATENATE(HR$10,", "),""))</f>
        <v/>
      </c>
      <c r="HS35" s="713" t="str">
        <f ca="1">IF(INDIRECT(CONCATENATE($FK$12,Fixtures!HS$25))="","",IF(INDIRECT(CONCATENATE($FK$12,Fixtures!HS$25))=Fixtures!$DN35,CONCATENATE(HS$10,", "),""))</f>
        <v/>
      </c>
      <c r="HT35" s="713" t="str">
        <f ca="1">IF(INDIRECT(CONCATENATE($FK$12,Fixtures!HT$25))="","",IF(INDIRECT(CONCATENATE($FK$12,Fixtures!HT$25))=Fixtures!$DN35,CONCATENATE(HT$10,", "),""))</f>
        <v/>
      </c>
      <c r="HU35" s="713" t="str">
        <f ca="1">IF(INDIRECT(CONCATENATE($FK$12,Fixtures!HU$25))="","",IF(INDIRECT(CONCATENATE($FK$12,Fixtures!HU$25))=Fixtures!$DN35,CONCATENATE(HU$10,", "),""))</f>
        <v/>
      </c>
      <c r="HV35" s="713" t="str">
        <f ca="1">IF(INDIRECT(CONCATENATE($FK$12,Fixtures!HV$25))="","",IF(INDIRECT(CONCATENATE($FK$12,Fixtures!HV$25))=Fixtures!$DN35,CONCATENATE(HV$10,", "),""))</f>
        <v/>
      </c>
      <c r="HW35" s="713" t="str">
        <f ca="1">IF(INDIRECT(CONCATENATE($FK$12,Fixtures!HW$25))="","",IF(INDIRECT(CONCATENATE($FK$12,Fixtures!HW$25))=Fixtures!$DN35,CONCATENATE(HW$10,", "),""))</f>
        <v/>
      </c>
      <c r="HX35" s="713" t="str">
        <f ca="1">IF(INDIRECT(CONCATENATE($FK$12,Fixtures!HX$25))="","",IF(INDIRECT(CONCATENATE($FK$12,Fixtures!HX$25))=Fixtures!$DN35,CONCATENATE(HX$10,", "),""))</f>
        <v/>
      </c>
      <c r="HY35" s="713" t="str">
        <f ca="1">IF(INDIRECT(CONCATENATE($FK$12,Fixtures!HY$25))="","",IF(INDIRECT(CONCATENATE($FK$12,Fixtures!HY$25))=Fixtures!$DN35,CONCATENATE(HY$10,", "),""))</f>
        <v/>
      </c>
      <c r="HZ35" s="713" t="str">
        <f ca="1">IF(INDIRECT(CONCATENATE($FK$12,Fixtures!HZ$25))="","",IF(INDIRECT(CONCATENATE($FK$12,Fixtures!HZ$25))=Fixtures!$DN35,CONCATENATE(HZ$10,", "),""))</f>
        <v/>
      </c>
      <c r="IA35" s="713" t="str">
        <f ca="1">IF(INDIRECT(CONCATENATE($FK$12,Fixtures!IA$25))="","",IF(INDIRECT(CONCATENATE($FK$12,Fixtures!IA$25))=Fixtures!$DN35,CONCATENATE(IA$10,", "),""))</f>
        <v/>
      </c>
      <c r="IB35" s="684" t="str">
        <f ca="1">IF(INDIRECT(CONCATENATE($FK$12,Fixtures!IB$25))="","",IF(INDIRECT(CONCATENATE($FK$12,Fixtures!IB$25))=Fixtures!$DN35,CONCATENATE(IB$10,", "),""))</f>
        <v/>
      </c>
      <c r="IC35" s="685" t="str">
        <f ca="1">IF(INDIRECT(CONCATENATE($FK$12,Fixtures!IC$25))="","",IF(INDIRECT(CONCATENATE($FK$12,Fixtures!IC$25))=Fixtures!$DN35,CONCATENATE(IC$10,", "),""))</f>
        <v/>
      </c>
      <c r="ID35" s="713" t="str">
        <f ca="1">IF(INDIRECT(CONCATENATE($FK$12,Fixtures!ID$25))="","",IF(INDIRECT(CONCATENATE($FK$12,Fixtures!ID$25))=Fixtures!$DN35,CONCATENATE(ID$10,", "),""))</f>
        <v/>
      </c>
      <c r="IE35" s="713" t="str">
        <f ca="1">IF(INDIRECT(CONCATENATE($FK$12,Fixtures!IE$25))="","",IF(INDIRECT(CONCATENATE($FK$12,Fixtures!IE$25))=Fixtures!$DN35,CONCATENATE(IE$10,", "),""))</f>
        <v/>
      </c>
      <c r="IF35" s="713" t="str">
        <f ca="1">IF(INDIRECT(CONCATENATE($FK$12,Fixtures!IF$25))="","",IF(INDIRECT(CONCATENATE($FK$12,Fixtures!IF$25))=Fixtures!$DN35,CONCATENATE(IF$10,", "),""))</f>
        <v/>
      </c>
      <c r="IG35" s="713" t="str">
        <f ca="1">IF(INDIRECT(CONCATENATE($FK$12,Fixtures!IG$25))="","",IF(INDIRECT(CONCATENATE($FK$12,Fixtures!IG$25))=Fixtures!$DN35,CONCATENATE(IG$10,", "),""))</f>
        <v/>
      </c>
      <c r="IH35" s="713" t="str">
        <f ca="1">IF(INDIRECT(CONCATENATE($FK$12,Fixtures!IH$25))="","",IF(INDIRECT(CONCATENATE($FK$12,Fixtures!IH$25))=Fixtures!$DN35,CONCATENATE(IH$10,", "),""))</f>
        <v/>
      </c>
      <c r="II35" s="713" t="str">
        <f ca="1">IF(INDIRECT(CONCATENATE($FK$12,Fixtures!II$25))="","",IF(INDIRECT(CONCATENATE($FK$12,Fixtures!II$25))=Fixtures!$DN35,CONCATENATE(II$10,", "),""))</f>
        <v/>
      </c>
      <c r="IJ35" s="713" t="str">
        <f ca="1">IF(INDIRECT(CONCATENATE($FK$12,Fixtures!IJ$25))="","",IF(INDIRECT(CONCATENATE($FK$12,Fixtures!IJ$25))=Fixtures!$DN35,CONCATENATE(IJ$10,", "),""))</f>
        <v/>
      </c>
      <c r="IK35" s="713" t="str">
        <f ca="1">IF(INDIRECT(CONCATENATE($FK$12,Fixtures!IK$25))="","",IF(INDIRECT(CONCATENATE($FK$12,Fixtures!IK$25))=Fixtures!$DN35,CONCATENATE(IK$10,", "),""))</f>
        <v/>
      </c>
      <c r="IL35" s="713" t="str">
        <f ca="1">IF(INDIRECT(CONCATENATE($FK$12,Fixtures!IL$25))="","",IF(INDIRECT(CONCATENATE($FK$12,Fixtures!IL$25))=Fixtures!$DN35,CONCATENATE(IL$10,", "),""))</f>
        <v/>
      </c>
      <c r="IM35" s="713" t="str">
        <f ca="1">IF(INDIRECT(CONCATENATE($FK$12,Fixtures!IM$25))="","",IF(INDIRECT(CONCATENATE($FK$12,Fixtures!IM$25))=Fixtures!$DN35,CONCATENATE(IM$10,", "),""))</f>
        <v/>
      </c>
      <c r="IN35" s="713" t="str">
        <f ca="1">IF(INDIRECT(CONCATENATE($FK$12,Fixtures!IN$25))="","",IF(INDIRECT(CONCATENATE($FK$12,Fixtures!IN$25))=Fixtures!$DN35,CONCATENATE(IN$10,", "),""))</f>
        <v/>
      </c>
      <c r="IO35" s="713" t="str">
        <f ca="1">IF(INDIRECT(CONCATENATE($FK$12,Fixtures!IO$25))="","",IF(INDIRECT(CONCATENATE($FK$12,Fixtures!IO$25))=Fixtures!$DN35,CONCATENATE(IO$10,", "),""))</f>
        <v/>
      </c>
      <c r="IP35" s="713" t="str">
        <f ca="1">IF(INDIRECT(CONCATENATE($FK$12,Fixtures!IP$25))="","",IF(INDIRECT(CONCATENATE($FK$12,Fixtures!IP$25))=Fixtures!$DN35,CONCATENATE(IP$10,", "),""))</f>
        <v/>
      </c>
      <c r="IQ35" s="684" t="str">
        <f ca="1">IF(INDIRECT(CONCATENATE($FK$12,Fixtures!IQ$25))="","",IF(INDIRECT(CONCATENATE($FK$12,Fixtures!IQ$25))=Fixtures!$DN35,CONCATENATE(IQ$10,", "),""))</f>
        <v/>
      </c>
      <c r="IR35" s="685" t="str">
        <f ca="1">IF(INDIRECT(CONCATENATE($FK$12,Fixtures!IR$25))="","",IF(INDIRECT(CONCATENATE($FK$12,Fixtures!IR$25))=Fixtures!$DN35,CONCATENATE(IR$10,", "),""))</f>
        <v/>
      </c>
      <c r="IS35" s="713" t="str">
        <f ca="1">IF(INDIRECT(CONCATENATE($FK$12,Fixtures!IS$25))="","",IF(INDIRECT(CONCATENATE($FK$12,Fixtures!IS$25))=Fixtures!$DN35,CONCATENATE(IS$10,", "),""))</f>
        <v/>
      </c>
      <c r="IT35" s="713" t="str">
        <f ca="1">IF(INDIRECT(CONCATENATE($FK$12,Fixtures!IT$25))="","",IF(INDIRECT(CONCATENATE($FK$12,Fixtures!IT$25))=Fixtures!$DN35,CONCATENATE(IT$10,", "),""))</f>
        <v/>
      </c>
      <c r="IU35" s="713" t="str">
        <f ca="1">IF(INDIRECT(CONCATENATE($FK$12,Fixtures!IU$25))="","",IF(INDIRECT(CONCATENATE($FK$12,Fixtures!IU$25))=Fixtures!$DN35,CONCATENATE(IU$10,", "),""))</f>
        <v/>
      </c>
      <c r="IV35" s="713" t="str">
        <f ca="1">IF(INDIRECT(CONCATENATE($FK$12,Fixtures!IV$25))="","",IF(INDIRECT(CONCATENATE($FK$12,Fixtures!IV$25))=Fixtures!$DN35,CONCATENATE(IV$10,", "),""))</f>
        <v/>
      </c>
      <c r="IW35" s="713" t="str">
        <f ca="1">IF(INDIRECT(CONCATENATE($FK$12,Fixtures!IW$25))="","",IF(INDIRECT(CONCATENATE($FK$12,Fixtures!IW$25))=Fixtures!$DN35,CONCATENATE(IW$10,", "),""))</f>
        <v/>
      </c>
      <c r="IX35" s="713" t="str">
        <f ca="1">IF(INDIRECT(CONCATENATE($FK$12,Fixtures!IX$25))="","",IF(INDIRECT(CONCATENATE($FK$12,Fixtures!IX$25))=Fixtures!$DN35,CONCATENATE(IX$10,", "),""))</f>
        <v/>
      </c>
      <c r="IY35" s="713" t="str">
        <f ca="1">IF(INDIRECT(CONCATENATE($FK$12,Fixtures!IY$25))="","",IF(INDIRECT(CONCATENATE($FK$12,Fixtures!IY$25))=Fixtures!$DN35,CONCATENATE(IY$10,", "),""))</f>
        <v/>
      </c>
      <c r="IZ35" s="713" t="str">
        <f ca="1">IF(INDIRECT(CONCATENATE($FK$12,Fixtures!IZ$25))="","",IF(INDIRECT(CONCATENATE($FK$12,Fixtures!IZ$25))=Fixtures!$DN35,CONCATENATE(IZ$10,", "),""))</f>
        <v/>
      </c>
      <c r="JA35" s="713" t="str">
        <f ca="1">IF(INDIRECT(CONCATENATE($FK$12,Fixtures!JA$25))="","",IF(INDIRECT(CONCATENATE($FK$12,Fixtures!JA$25))=Fixtures!$DN35,CONCATENATE(JA$10,", "),""))</f>
        <v/>
      </c>
      <c r="JB35" s="713" t="str">
        <f ca="1">IF(INDIRECT(CONCATENATE($FK$12,Fixtures!JB$25))="","",IF(INDIRECT(CONCATENATE($FK$12,Fixtures!JB$25))=Fixtures!$DN35,CONCATENATE(JB$10,", "),""))</f>
        <v/>
      </c>
      <c r="JC35" s="713" t="str">
        <f ca="1">IF(INDIRECT(CONCATENATE($FK$12,Fixtures!JC$25))="","",IF(INDIRECT(CONCATENATE($FK$12,Fixtures!JC$25))=Fixtures!$DN35,CONCATENATE(JC$10,", "),""))</f>
        <v/>
      </c>
      <c r="JD35" s="713" t="str">
        <f ca="1">IF(INDIRECT(CONCATENATE($FK$12,Fixtures!JD$25))="","",IF(INDIRECT(CONCATENATE($FK$12,Fixtures!JD$25))=Fixtures!$DN35,CONCATENATE(JD$10,", "),""))</f>
        <v/>
      </c>
      <c r="JE35" s="713" t="str">
        <f ca="1">IF(INDIRECT(CONCATENATE($FK$12,Fixtures!JE$25))="","",IF(INDIRECT(CONCATENATE($FK$12,Fixtures!JE$25))=Fixtures!$DN35,CONCATENATE(JE$10,", "),""))</f>
        <v/>
      </c>
      <c r="JF35" s="684" t="str">
        <f ca="1">IF(INDIRECT(CONCATENATE($FK$12,Fixtures!JF$25))="","",IF(INDIRECT(CONCATENATE($FK$12,Fixtures!JF$25))=Fixtures!$DN35,CONCATENATE(JF$10,", "),""))</f>
        <v/>
      </c>
      <c r="JG35" s="685" t="str">
        <f ca="1">IF(INDIRECT(CONCATENATE($FK$12,Fixtures!JG$25))="","",IF(INDIRECT(CONCATENATE($FK$12,Fixtures!JG$25))=Fixtures!$DN35,CONCATENATE(JG$10,", "),""))</f>
        <v/>
      </c>
      <c r="JH35" s="713" t="str">
        <f ca="1">IF(INDIRECT(CONCATENATE($FK$12,Fixtures!JH$25))="","",IF(INDIRECT(CONCATENATE($FK$12,Fixtures!JH$25))=Fixtures!$DN35,CONCATENATE(JH$10,", "),""))</f>
        <v/>
      </c>
      <c r="JI35" s="713" t="str">
        <f ca="1">IF(INDIRECT(CONCATENATE($FK$12,Fixtures!JI$25))="","",IF(INDIRECT(CONCATENATE($FK$12,Fixtures!JI$25))=Fixtures!$DN35,CONCATENATE(JI$10,", "),""))</f>
        <v/>
      </c>
      <c r="JJ35" s="713" t="str">
        <f ca="1">IF(INDIRECT(CONCATENATE($FK$12,Fixtures!JJ$25))="","",IF(INDIRECT(CONCATENATE($FK$12,Fixtures!JJ$25))=Fixtures!$DN35,CONCATENATE(JJ$10,", "),""))</f>
        <v/>
      </c>
      <c r="JK35" s="713" t="str">
        <f ca="1">IF(INDIRECT(CONCATENATE($FK$12,Fixtures!JK$25))="","",IF(INDIRECT(CONCATENATE($FK$12,Fixtures!JK$25))=Fixtures!$DN35,CONCATENATE(JK$10,", "),""))</f>
        <v/>
      </c>
      <c r="JL35" s="713" t="str">
        <f ca="1">IF(INDIRECT(CONCATENATE($FK$12,Fixtures!JL$25))="","",IF(INDIRECT(CONCATENATE($FK$12,Fixtures!JL$25))=Fixtures!$DN35,CONCATENATE(JL$10,", "),""))</f>
        <v/>
      </c>
      <c r="JM35" s="713" t="str">
        <f ca="1">IF(INDIRECT(CONCATENATE($FK$12,Fixtures!JM$25))="","",IF(INDIRECT(CONCATENATE($FK$12,Fixtures!JM$25))=Fixtures!$DN35,CONCATENATE(JM$10,", "),""))</f>
        <v/>
      </c>
      <c r="JN35" s="713" t="str">
        <f ca="1">IF(INDIRECT(CONCATENATE($FK$12,Fixtures!JN$25))="","",IF(INDIRECT(CONCATENATE($FK$12,Fixtures!JN$25))=Fixtures!$DN35,CONCATENATE(JN$10,", "),""))</f>
        <v/>
      </c>
      <c r="JO35" s="713" t="str">
        <f ca="1">IF(INDIRECT(CONCATENATE($FK$12,Fixtures!JO$25))="","",IF(INDIRECT(CONCATENATE($FK$12,Fixtures!JO$25))=Fixtures!$DN35,CONCATENATE(JO$10,", "),""))</f>
        <v/>
      </c>
      <c r="JP35" s="713" t="str">
        <f ca="1">IF(INDIRECT(CONCATENATE($FK$12,Fixtures!JP$25))="","",IF(INDIRECT(CONCATENATE($FK$12,Fixtures!JP$25))=Fixtures!$DN35,CONCATENATE(JP$10,", "),""))</f>
        <v/>
      </c>
      <c r="JQ35" s="713" t="str">
        <f ca="1">IF(INDIRECT(CONCATENATE($FK$12,Fixtures!JQ$25))="","",IF(INDIRECT(CONCATENATE($FK$12,Fixtures!JQ$25))=Fixtures!$DN35,CONCATENATE(JQ$10,", "),""))</f>
        <v/>
      </c>
      <c r="JR35" s="713" t="str">
        <f ca="1">IF(INDIRECT(CONCATENATE($FK$12,Fixtures!JR$25))="","",IF(INDIRECT(CONCATENATE($FK$12,Fixtures!JR$25))=Fixtures!$DN35,CONCATENATE(JR$10,", "),""))</f>
        <v/>
      </c>
      <c r="JS35" s="713" t="str">
        <f ca="1">IF(INDIRECT(CONCATENATE($FK$12,Fixtures!JS$25))="","",IF(INDIRECT(CONCATENATE($FK$12,Fixtures!JS$25))=Fixtures!$DN35,CONCATENATE(JS$10,", "),""))</f>
        <v/>
      </c>
      <c r="JT35" s="713" t="str">
        <f ca="1">IF(INDIRECT(CONCATENATE($FK$12,Fixtures!JT$25))="","",IF(INDIRECT(CONCATENATE($FK$12,Fixtures!JT$25))=Fixtures!$DN35,CONCATENATE(JT$10,", "),""))</f>
        <v/>
      </c>
      <c r="JU35" s="684" t="str">
        <f ca="1">IF(INDIRECT(CONCATENATE($FK$12,Fixtures!JU$25))="","",IF(INDIRECT(CONCATENATE($FK$12,Fixtures!JU$25))=Fixtures!$DN35,CONCATENATE(JU$10,", "),""))</f>
        <v/>
      </c>
      <c r="JV35" s="685" t="str">
        <f ca="1">IF(INDIRECT(CONCATENATE($FK$12,Fixtures!JV$25))="","",IF(INDIRECT(CONCATENATE($FK$12,Fixtures!JV$25))=Fixtures!$DN35,CONCATENATE(JV$10,", "),""))</f>
        <v/>
      </c>
      <c r="JW35" s="713" t="str">
        <f ca="1">IF(INDIRECT(CONCATENATE($FK$12,Fixtures!JW$25))="","",IF(INDIRECT(CONCATENATE($FK$12,Fixtures!JW$25))=Fixtures!$DN35,CONCATENATE(JW$10,", "),""))</f>
        <v/>
      </c>
      <c r="JX35" s="713" t="str">
        <f ca="1">IF(INDIRECT(CONCATENATE($FK$12,Fixtures!JX$25))="","",IF(INDIRECT(CONCATENATE($FK$12,Fixtures!JX$25))=Fixtures!$DN35,CONCATENATE(JX$10,", "),""))</f>
        <v/>
      </c>
      <c r="JY35" s="713" t="str">
        <f ca="1">IF(INDIRECT(CONCATENATE($FK$12,Fixtures!JY$25))="","",IF(INDIRECT(CONCATENATE($FK$12,Fixtures!JY$25))=Fixtures!$DN35,CONCATENATE(JY$10,", "),""))</f>
        <v/>
      </c>
      <c r="JZ35" s="713" t="str">
        <f ca="1">IF(INDIRECT(CONCATENATE($FK$12,Fixtures!JZ$25))="","",IF(INDIRECT(CONCATENATE($FK$12,Fixtures!JZ$25))=Fixtures!$DN35,CONCATENATE(JZ$10,", "),""))</f>
        <v/>
      </c>
      <c r="KA35" s="713" t="str">
        <f ca="1">IF(INDIRECT(CONCATENATE($FK$12,Fixtures!KA$25))="","",IF(INDIRECT(CONCATENATE($FK$12,Fixtures!KA$25))=Fixtures!$DN35,CONCATENATE(KA$10,", "),""))</f>
        <v/>
      </c>
      <c r="KB35" s="713" t="str">
        <f ca="1">IF(INDIRECT(CONCATENATE($FK$12,Fixtures!KB$25))="","",IF(INDIRECT(CONCATENATE($FK$12,Fixtures!KB$25))=Fixtures!$DN35,CONCATENATE(KB$10,", "),""))</f>
        <v/>
      </c>
      <c r="KC35" s="713" t="str">
        <f ca="1">IF(INDIRECT(CONCATENATE($FK$12,Fixtures!KC$25))="","",IF(INDIRECT(CONCATENATE($FK$12,Fixtures!KC$25))=Fixtures!$DN35,CONCATENATE(KC$10,", "),""))</f>
        <v/>
      </c>
      <c r="KD35" s="713" t="str">
        <f ca="1">IF(INDIRECT(CONCATENATE($FK$12,Fixtures!KD$25))="","",IF(INDIRECT(CONCATENATE($FK$12,Fixtures!KD$25))=Fixtures!$DN35,CONCATENATE(KD$10,", "),""))</f>
        <v/>
      </c>
      <c r="KE35" s="713" t="str">
        <f ca="1">IF(INDIRECT(CONCATENATE($FK$12,Fixtures!KE$25))="","",IF(INDIRECT(CONCATENATE($FK$12,Fixtures!KE$25))=Fixtures!$DN35,CONCATENATE(KE$10,", "),""))</f>
        <v/>
      </c>
      <c r="KF35" s="713" t="str">
        <f ca="1">IF(INDIRECT(CONCATENATE($FK$12,Fixtures!KF$25))="","",IF(INDIRECT(CONCATENATE($FK$12,Fixtures!KF$25))=Fixtures!$DN35,CONCATENATE(KF$10,", "),""))</f>
        <v/>
      </c>
      <c r="KG35" s="713" t="str">
        <f ca="1">IF(INDIRECT(CONCATENATE($FK$12,Fixtures!KG$25))="","",IF(INDIRECT(CONCATENATE($FK$12,Fixtures!KG$25))=Fixtures!$DN35,CONCATENATE(KG$10,", "),""))</f>
        <v/>
      </c>
      <c r="KH35" s="713" t="str">
        <f ca="1">IF(INDIRECT(CONCATENATE($FK$12,Fixtures!KH$25))="","",IF(INDIRECT(CONCATENATE($FK$12,Fixtures!KH$25))=Fixtures!$DN35,CONCATENATE(KH$10,", "),""))</f>
        <v/>
      </c>
      <c r="KI35" s="713" t="str">
        <f ca="1">IF(INDIRECT(CONCATENATE($FK$12,Fixtures!KI$25))="","",IF(INDIRECT(CONCATENATE($FK$12,Fixtures!KI$25))=Fixtures!$DN35,CONCATENATE(KI$10,", "),""))</f>
        <v/>
      </c>
      <c r="KJ35" s="684" t="str">
        <f ca="1">IF(INDIRECT(CONCATENATE($FK$12,Fixtures!KJ$25))="","",IF(INDIRECT(CONCATENATE($FK$12,Fixtures!KJ$25))=Fixtures!$DN35,CONCATENATE(KJ$10,", "),""))</f>
        <v/>
      </c>
      <c r="KK35" s="685" t="str">
        <f ca="1">IF(INDIRECT(CONCATENATE($FK$12,Fixtures!KK$25))="","",IF(INDIRECT(CONCATENATE($FK$12,Fixtures!KK$25))=Fixtures!$DN35,CONCATENATE(KK$10,", "),""))</f>
        <v/>
      </c>
      <c r="KL35" s="713" t="str">
        <f ca="1">IF(INDIRECT(CONCATENATE($FK$12,Fixtures!KL$25))="","",IF(INDIRECT(CONCATENATE($FK$12,Fixtures!KL$25))=Fixtures!$DN35,CONCATENATE(KL$10,", "),""))</f>
        <v/>
      </c>
      <c r="KM35" s="713" t="str">
        <f ca="1">IF(INDIRECT(CONCATENATE($FK$12,Fixtures!KM$25))="","",IF(INDIRECT(CONCATENATE($FK$12,Fixtures!KM$25))=Fixtures!$DN35,CONCATENATE(KM$10,", "),""))</f>
        <v/>
      </c>
      <c r="KN35" s="713" t="str">
        <f ca="1">IF(INDIRECT(CONCATENATE($FK$12,Fixtures!KN$25))="","",IF(INDIRECT(CONCATENATE($FK$12,Fixtures!KN$25))=Fixtures!$DN35,CONCATENATE(KN$10,", "),""))</f>
        <v/>
      </c>
      <c r="KO35" s="713" t="str">
        <f ca="1">IF(INDIRECT(CONCATENATE($FK$12,Fixtures!KO$25))="","",IF(INDIRECT(CONCATENATE($FK$12,Fixtures!KO$25))=Fixtures!$DN35,CONCATENATE(KO$10,", "),""))</f>
        <v/>
      </c>
      <c r="KP35" s="713" t="str">
        <f ca="1">IF(INDIRECT(CONCATENATE($FK$12,Fixtures!KP$25))="","",IF(INDIRECT(CONCATENATE($FK$12,Fixtures!KP$25))=Fixtures!$DN35,CONCATENATE(KP$10,", "),""))</f>
        <v/>
      </c>
      <c r="KQ35" s="713" t="str">
        <f ca="1">IF(INDIRECT(CONCATENATE($FK$12,Fixtures!KQ$25))="","",IF(INDIRECT(CONCATENATE($FK$12,Fixtures!KQ$25))=Fixtures!$DN35,CONCATENATE(KQ$10,", "),""))</f>
        <v/>
      </c>
      <c r="KR35" s="713" t="str">
        <f ca="1">IF(INDIRECT(CONCATENATE($FK$12,Fixtures!KR$25))="","",IF(INDIRECT(CONCATENATE($FK$12,Fixtures!KR$25))=Fixtures!$DN35,CONCATENATE(KR$10,", "),""))</f>
        <v/>
      </c>
      <c r="KS35" s="713" t="str">
        <f ca="1">IF(INDIRECT(CONCATENATE($FK$12,Fixtures!KS$25))="","",IF(INDIRECT(CONCATENATE($FK$12,Fixtures!KS$25))=Fixtures!$DN35,CONCATENATE(KS$10,", "),""))</f>
        <v/>
      </c>
      <c r="KT35" s="713" t="str">
        <f ca="1">IF(INDIRECT(CONCATENATE($FK$12,Fixtures!KT$25))="","",IF(INDIRECT(CONCATENATE($FK$12,Fixtures!KT$25))=Fixtures!$DN35,CONCATENATE(KT$10,", "),""))</f>
        <v/>
      </c>
      <c r="KU35" s="713" t="str">
        <f ca="1">IF(INDIRECT(CONCATENATE($FK$12,Fixtures!KU$25))="","",IF(INDIRECT(CONCATENATE($FK$12,Fixtures!KU$25))=Fixtures!$DN35,CONCATENATE(KU$10,", "),""))</f>
        <v/>
      </c>
      <c r="KV35" s="713" t="str">
        <f ca="1">IF(INDIRECT(CONCATENATE($FK$12,Fixtures!KV$25))="","",IF(INDIRECT(CONCATENATE($FK$12,Fixtures!KV$25))=Fixtures!$DN35,CONCATENATE(KV$10,", "),""))</f>
        <v/>
      </c>
      <c r="KW35" s="713" t="str">
        <f ca="1">IF(INDIRECT(CONCATENATE($FK$12,Fixtures!KW$25))="","",IF(INDIRECT(CONCATENATE($FK$12,Fixtures!KW$25))=Fixtures!$DN35,CONCATENATE(KW$10,", "),""))</f>
        <v/>
      </c>
      <c r="KX35" s="713" t="str">
        <f ca="1">IF(INDIRECT(CONCATENATE($FK$12,Fixtures!KX$25))="","",IF(INDIRECT(CONCATENATE($FK$12,Fixtures!KX$25))=Fixtures!$DN35,CONCATENATE(KX$10,", "),""))</f>
        <v/>
      </c>
      <c r="KY35" s="713" t="str">
        <f ca="1">IF(INDIRECT(CONCATENATE($FK$12,Fixtures!KY$25))="","",IF(INDIRECT(CONCATENATE($FK$12,Fixtures!KY$25))=Fixtures!$DN35,CONCATENATE(KY$10,", "),""))</f>
        <v/>
      </c>
      <c r="KZ35" s="46"/>
      <c r="LA35" s="46" t="str">
        <f t="shared" ca="1" si="8"/>
        <v/>
      </c>
    </row>
    <row r="36" spans="1:313" ht="28.05" customHeight="1" thickTop="1" thickBot="1">
      <c r="A36" s="471" t="str">
        <f t="shared" si="13"/>
        <v/>
      </c>
      <c r="C36" s="1328" t="str">
        <f t="shared" si="14"/>
        <v/>
      </c>
      <c r="D36" s="1329"/>
      <c r="E36" s="1256" t="str">
        <f t="shared" si="15"/>
        <v/>
      </c>
      <c r="F36" s="1257"/>
      <c r="G36" s="1257"/>
      <c r="H36" s="1257"/>
      <c r="I36" s="1257"/>
      <c r="J36" s="1257"/>
      <c r="K36" s="1257"/>
      <c r="L36" s="1257"/>
      <c r="M36" s="1330"/>
      <c r="N36" s="239" t="str">
        <f t="shared" si="16"/>
        <v/>
      </c>
      <c r="O36" s="601"/>
      <c r="P36" s="1326" t="str">
        <f t="shared" si="25"/>
        <v/>
      </c>
      <c r="Q36" s="1327"/>
      <c r="R36" s="1256" t="str">
        <f t="shared" si="26"/>
        <v/>
      </c>
      <c r="S36" s="1257"/>
      <c r="T36" s="1257"/>
      <c r="U36" s="1257"/>
      <c r="V36" s="1257"/>
      <c r="W36" s="1257"/>
      <c r="X36" s="1257"/>
      <c r="Y36" s="239" t="str">
        <f t="shared" si="27"/>
        <v/>
      </c>
      <c r="Z36" s="239" t="str">
        <f t="shared" si="28"/>
        <v/>
      </c>
      <c r="AA36" s="439" t="str">
        <f t="shared" si="29"/>
        <v/>
      </c>
      <c r="AB36" s="542"/>
      <c r="AC36" s="1253" t="str">
        <f t="shared" si="17"/>
        <v/>
      </c>
      <c r="AD36" s="1166"/>
      <c r="AE36" s="1166"/>
      <c r="AF36" s="1166"/>
      <c r="AG36" s="1166"/>
      <c r="AH36" s="1166"/>
      <c r="AK36">
        <f>SUMIFS(Installations!CS$39:CS$800,Installations!CT$39:CT$800,E36,Installations!HX$39:HX$800,TRUE)</f>
        <v>0</v>
      </c>
      <c r="AL36">
        <f>SUMIFS(Installations!CS$39:CS$800,Installations!CT$39:CT$800,R36,Installations!HX$39:HX$800,TRUE)</f>
        <v>0</v>
      </c>
      <c r="BK36" s="48"/>
      <c r="BL36" s="9"/>
      <c r="BM36" s="703" t="str">
        <f t="shared" si="18"/>
        <v/>
      </c>
      <c r="BN36" s="52"/>
      <c r="BO36" s="52"/>
      <c r="BP36" s="52"/>
      <c r="BQ36" s="52"/>
      <c r="BR36" s="52"/>
      <c r="BS36" s="52"/>
      <c r="BT36" s="52"/>
      <c r="BU36" s="414"/>
      <c r="BV36" s="255" t="str">
        <f>IF(CN36&lt;&gt;"Yes","",IFERROR(VLOOKUP(CU36,Existing!A$4:F$364,2,FALSE),""))</f>
        <v/>
      </c>
      <c r="BW36" s="9">
        <v>10</v>
      </c>
      <c r="BX36" s="1313"/>
      <c r="BY36" s="1314"/>
      <c r="BZ36" s="1314"/>
      <c r="CA36" s="1315"/>
      <c r="CB36" s="1310"/>
      <c r="CC36" s="1311"/>
      <c r="CD36" s="1311"/>
      <c r="CE36" s="1312"/>
      <c r="CF36" s="1309"/>
      <c r="CG36" s="1309"/>
      <c r="CH36" s="1309"/>
      <c r="CI36" s="1309"/>
      <c r="CJ36" s="1309"/>
      <c r="CK36" s="1309"/>
      <c r="CL36" s="1309"/>
      <c r="CM36" s="1309"/>
      <c r="CN36" s="1243" t="str">
        <f t="shared" si="0"/>
        <v/>
      </c>
      <c r="CO36" s="1244"/>
      <c r="CP36" s="265" t="str">
        <f>IFERROR(IF(CB36="Existing TLED",CR36*CW36*CY36,VLOOKUP(CU36,Existing!A$3:F$353,6,FALSE)),"")</f>
        <v/>
      </c>
      <c r="CQ36" s="9"/>
      <c r="CR36" s="1343"/>
      <c r="CS36" s="1344"/>
      <c r="CT36" s="9"/>
      <c r="CU36" s="470" t="str">
        <f t="shared" si="21"/>
        <v/>
      </c>
      <c r="CV36" s="471" t="b">
        <f t="shared" si="22"/>
        <v>0</v>
      </c>
      <c r="CW36" s="471" t="str">
        <f t="shared" si="23"/>
        <v/>
      </c>
      <c r="CX36" s="471">
        <f>IFERROR(VLOOKUP(CF36,Lookup!M$100:O$102,3,FALSE),0)</f>
        <v>0</v>
      </c>
      <c r="CY36" s="471">
        <f t="shared" si="9"/>
        <v>1.1100000000000001</v>
      </c>
      <c r="CZ36" s="707" t="b">
        <f t="shared" si="1"/>
        <v>0</v>
      </c>
      <c r="DA36" s="707" t="b">
        <f>IF(CF36&lt;&gt;"",IF(ISERROR(MATCH(CONCATENATE(CB36," - ",CF36),Existing!G$4:G$328,0))=TRUE,FALSE,TRUE),TRUE)</f>
        <v>1</v>
      </c>
      <c r="DB36" s="707" t="b">
        <f t="shared" si="2"/>
        <v>1</v>
      </c>
      <c r="DK36" s="48"/>
      <c r="DL36" s="9"/>
      <c r="DM36" s="708" t="s">
        <v>166</v>
      </c>
      <c r="DN36" s="416" t="str">
        <f t="shared" si="3"/>
        <v/>
      </c>
      <c r="DO36" s="52"/>
      <c r="DP36" s="52"/>
      <c r="DQ36" s="52"/>
      <c r="DR36" s="52"/>
      <c r="DS36" s="52"/>
      <c r="DT36" s="262"/>
      <c r="DU36" s="417"/>
      <c r="DV36" s="263" t="str">
        <f t="shared" si="4"/>
        <v/>
      </c>
      <c r="DW36" s="260">
        <v>10</v>
      </c>
      <c r="DX36" s="1306"/>
      <c r="DY36" s="1307"/>
      <c r="DZ36" s="1307"/>
      <c r="EA36" s="1308"/>
      <c r="EB36" s="1306"/>
      <c r="EC36" s="1307"/>
      <c r="ED36" s="1307"/>
      <c r="EE36" s="1308"/>
      <c r="EF36" s="1266"/>
      <c r="EG36" s="1267"/>
      <c r="EH36" s="1260"/>
      <c r="EI36" s="1261"/>
      <c r="EJ36" s="1261"/>
      <c r="EK36" s="1262"/>
      <c r="EL36" s="1263"/>
      <c r="EM36" s="1264"/>
      <c r="EN36" s="1264"/>
      <c r="EO36" s="1265"/>
      <c r="EP36" s="1266"/>
      <c r="EQ36" s="1267"/>
      <c r="ER36" s="1245"/>
      <c r="ES36" s="1246"/>
      <c r="ET36" s="1243" t="str">
        <f t="shared" si="5"/>
        <v/>
      </c>
      <c r="EU36" s="1244"/>
      <c r="EV36" s="1243" t="str">
        <f t="shared" si="30"/>
        <v/>
      </c>
      <c r="EW36" s="1244"/>
      <c r="EX36" s="438"/>
      <c r="EY36" s="261" t="str">
        <f t="shared" si="7"/>
        <v/>
      </c>
      <c r="EZ36" s="261" t="str">
        <f>IFERROR(VLOOKUP(EB36,Lookup!AM$3:AN$13,2,FALSE),"")</f>
        <v/>
      </c>
      <c r="FA36" s="471" t="b">
        <f>IFERROR(IF(VLOOKUP(EB36,Lookup!AM$6:AN$8,2,FALSE)&gt;3,TRUE,FALSE),FALSE)</f>
        <v>0</v>
      </c>
      <c r="FB36" s="471">
        <f t="shared" si="11"/>
        <v>1</v>
      </c>
      <c r="FC36" t="str">
        <f t="shared" ca="1" si="10"/>
        <v/>
      </c>
      <c r="FG36" t="str">
        <f t="shared" ca="1" si="12"/>
        <v/>
      </c>
      <c r="FI36" s="240" t="str">
        <f t="shared" ca="1" si="24"/>
        <v/>
      </c>
      <c r="FJ36" s="240"/>
      <c r="FK36" s="712" t="str">
        <f ca="1">IF(INDIRECT(CONCATENATE($FK$12,Fixtures!FK$25))="","",IF(INDIRECT(CONCATENATE($FK$12,Fixtures!FK$25))=Fixtures!$DN36,CONCATENATE(FK$10,", "),""))</f>
        <v/>
      </c>
      <c r="FL36" s="712" t="str">
        <f ca="1">IF(INDIRECT(CONCATENATE($FK$12,Fixtures!FL$25))="","",IF(INDIRECT(CONCATENATE($FK$12,Fixtures!FL$25))=Fixtures!$DN36,CONCATENATE(FL$10,", "),""))</f>
        <v/>
      </c>
      <c r="FM36" s="712" t="str">
        <f ca="1">IF(INDIRECT(CONCATENATE($FK$12,Fixtures!FM$25))="","",IF(INDIRECT(CONCATENATE($FK$12,Fixtures!FM$25))=Fixtures!$DN36,CONCATENATE(FM$10,", "),""))</f>
        <v/>
      </c>
      <c r="FN36" s="712" t="str">
        <f ca="1">IF(INDIRECT(CONCATENATE($FK$12,Fixtures!FN$25))="","",IF(INDIRECT(CONCATENATE($FK$12,Fixtures!FN$25))=Fixtures!$DN36,CONCATENATE(FN$10,", "),""))</f>
        <v/>
      </c>
      <c r="FO36" s="712" t="str">
        <f ca="1">IF(INDIRECT(CONCATENATE($FK$12,Fixtures!FO$25))="","",IF(INDIRECT(CONCATENATE($FK$12,Fixtures!FO$25))=Fixtures!$DN36,CONCATENATE(FO$10,", "),""))</f>
        <v/>
      </c>
      <c r="FP36" s="712" t="str">
        <f ca="1">IF(INDIRECT(CONCATENATE($FK$12,Fixtures!FP$25))="","",IF(INDIRECT(CONCATENATE($FK$12,Fixtures!FP$25))=Fixtures!$DN36,CONCATENATE(FP$10,", "),""))</f>
        <v/>
      </c>
      <c r="FQ36" s="712" t="str">
        <f ca="1">IF(INDIRECT(CONCATENATE($FK$12,Fixtures!FQ$25))="","",IF(INDIRECT(CONCATENATE($FK$12,Fixtures!FQ$25))=Fixtures!$DN36,CONCATENATE(FQ$10,", "),""))</f>
        <v/>
      </c>
      <c r="FR36" s="712" t="str">
        <f ca="1">IF(INDIRECT(CONCATENATE($FK$12,Fixtures!FR$25))="","",IF(INDIRECT(CONCATENATE($FK$12,Fixtures!FR$25))=Fixtures!$DN36,CONCATENATE(FR$10,", "),""))</f>
        <v/>
      </c>
      <c r="FS36" s="712" t="str">
        <f ca="1">IF(INDIRECT(CONCATENATE($FK$12,Fixtures!FS$25))="","",IF(INDIRECT(CONCATENATE($FK$12,Fixtures!FS$25))=Fixtures!$DN36,CONCATENATE(FS$10,", "),""))</f>
        <v/>
      </c>
      <c r="FT36" s="682" t="str">
        <f ca="1">IF(INDIRECT(CONCATENATE($FK$12,Fixtures!FT$25))="","",IF(INDIRECT(CONCATENATE($FK$12,Fixtures!FT$25))=Fixtures!$DN36,CONCATENATE(FT$10,", "),""))</f>
        <v/>
      </c>
      <c r="FU36" s="683" t="str">
        <f ca="1">IF(INDIRECT(CONCATENATE($FK$12,Fixtures!FU$25))="","",IF(INDIRECT(CONCATENATE($FK$12,Fixtures!FU$25))=Fixtures!$DN36,CONCATENATE(FU$10,", "),""))</f>
        <v/>
      </c>
      <c r="FV36" s="712" t="str">
        <f ca="1">IF(INDIRECT(CONCATENATE($FK$12,Fixtures!FV$25))="","",IF(INDIRECT(CONCATENATE($FK$12,Fixtures!FV$25))=Fixtures!$DN36,CONCATENATE(FV$10,", "),""))</f>
        <v/>
      </c>
      <c r="FW36" s="713" t="str">
        <f ca="1">IF(INDIRECT(CONCATENATE($FK$12,Fixtures!FW$25))="","",IF(INDIRECT(CONCATENATE($FK$12,Fixtures!FW$25))=Fixtures!$DN36,CONCATENATE(FW$10,", "),""))</f>
        <v/>
      </c>
      <c r="FX36" s="713" t="str">
        <f ca="1">IF(INDIRECT(CONCATENATE($FK$12,Fixtures!FX$25))="","",IF(INDIRECT(CONCATENATE($FK$12,Fixtures!FX$25))=Fixtures!$DN36,CONCATENATE(FX$10,", "),""))</f>
        <v/>
      </c>
      <c r="FY36" s="713" t="str">
        <f ca="1">IF(INDIRECT(CONCATENATE($FK$12,Fixtures!FY$25))="","",IF(INDIRECT(CONCATENATE($FK$12,Fixtures!FY$25))=Fixtures!$DN36,CONCATENATE(FY$10,", "),""))</f>
        <v/>
      </c>
      <c r="FZ36" s="713" t="str">
        <f ca="1">IF(INDIRECT(CONCATENATE($FK$12,Fixtures!FZ$25))="","",IF(INDIRECT(CONCATENATE($FK$12,Fixtures!FZ$25))=Fixtures!$DN36,CONCATENATE(FZ$10,", "),""))</f>
        <v/>
      </c>
      <c r="GA36" s="713" t="str">
        <f ca="1">IF(INDIRECT(CONCATENATE($FK$12,Fixtures!GA$25))="","",IF(INDIRECT(CONCATENATE($FK$12,Fixtures!GA$25))=Fixtures!$DN36,CONCATENATE(GA$10,", "),""))</f>
        <v/>
      </c>
      <c r="GB36" s="713" t="str">
        <f ca="1">IF(INDIRECT(CONCATENATE($FK$12,Fixtures!GB$25))="","",IF(INDIRECT(CONCATENATE($FK$12,Fixtures!GB$25))=Fixtures!$DN36,CONCATENATE(GB$10,", "),""))</f>
        <v/>
      </c>
      <c r="GC36" s="713" t="str">
        <f ca="1">IF(INDIRECT(CONCATENATE($FK$12,Fixtures!GC$25))="","",IF(INDIRECT(CONCATENATE($FK$12,Fixtures!GC$25))=Fixtures!$DN36,CONCATENATE(GC$10,", "),""))</f>
        <v/>
      </c>
      <c r="GD36" s="713" t="str">
        <f ca="1">IF(INDIRECT(CONCATENATE($FK$12,Fixtures!GD$25))="","",IF(INDIRECT(CONCATENATE($FK$12,Fixtures!GD$25))=Fixtures!$DN36,CONCATENATE(GD$10,", "),""))</f>
        <v/>
      </c>
      <c r="GE36" s="713" t="str">
        <f ca="1">IF(INDIRECT(CONCATENATE($FK$12,Fixtures!GE$25))="","",IF(INDIRECT(CONCATENATE($FK$12,Fixtures!GE$25))=Fixtures!$DN36,CONCATENATE(GE$10,", "),""))</f>
        <v/>
      </c>
      <c r="GF36" s="713" t="str">
        <f ca="1">IF(INDIRECT(CONCATENATE($FK$12,Fixtures!GF$25))="","",IF(INDIRECT(CONCATENATE($FK$12,Fixtures!GF$25))=Fixtures!$DN36,CONCATENATE(GF$10,", "),""))</f>
        <v/>
      </c>
      <c r="GG36" s="713" t="str">
        <f ca="1">IF(INDIRECT(CONCATENATE($FK$12,Fixtures!GG$25))="","",IF(INDIRECT(CONCATENATE($FK$12,Fixtures!GG$25))=Fixtures!$DN36,CONCATENATE(GG$10,", "),""))</f>
        <v/>
      </c>
      <c r="GH36" s="713" t="str">
        <f ca="1">IF(INDIRECT(CONCATENATE($FK$12,Fixtures!GH$25))="","",IF(INDIRECT(CONCATENATE($FK$12,Fixtures!GH$25))=Fixtures!$DN36,CONCATENATE(GH$10,", "),""))</f>
        <v/>
      </c>
      <c r="GI36" s="684" t="str">
        <f ca="1">IF(INDIRECT(CONCATENATE($FK$12,Fixtures!GI$25))="","",IF(INDIRECT(CONCATENATE($FK$12,Fixtures!GI$25))=Fixtures!$DN36,CONCATENATE(GI$10,", "),""))</f>
        <v/>
      </c>
      <c r="GJ36" s="685" t="str">
        <f ca="1">IF(INDIRECT(CONCATENATE($FK$12,Fixtures!GJ$25))="","",IF(INDIRECT(CONCATENATE($FK$12,Fixtures!GJ$25))=Fixtures!$DN36,CONCATENATE(GJ$10,", "),""))</f>
        <v/>
      </c>
      <c r="GK36" s="713" t="str">
        <f ca="1">IF(INDIRECT(CONCATENATE($FK$12,Fixtures!GK$25))="","",IF(INDIRECT(CONCATENATE($FK$12,Fixtures!GK$25))=Fixtures!$DN36,CONCATENATE(GK$10,", "),""))</f>
        <v/>
      </c>
      <c r="GL36" s="713" t="str">
        <f ca="1">IF(INDIRECT(CONCATENATE($FK$12,Fixtures!GL$25))="","",IF(INDIRECT(CONCATENATE($FK$12,Fixtures!GL$25))=Fixtures!$DN36,CONCATENATE(GL$10,", "),""))</f>
        <v/>
      </c>
      <c r="GM36" s="713" t="str">
        <f ca="1">IF(INDIRECT(CONCATENATE($FK$12,Fixtures!GM$25))="","",IF(INDIRECT(CONCATENATE($FK$12,Fixtures!GM$25))=Fixtures!$DN36,CONCATENATE(GM$10,", "),""))</f>
        <v/>
      </c>
      <c r="GN36" s="713" t="str">
        <f ca="1">IF(INDIRECT(CONCATENATE($FK$12,Fixtures!GN$25))="","",IF(INDIRECT(CONCATENATE($FK$12,Fixtures!GN$25))=Fixtures!$DN36,CONCATENATE(GN$10,", "),""))</f>
        <v/>
      </c>
      <c r="GO36" s="713" t="str">
        <f ca="1">IF(INDIRECT(CONCATENATE($FK$12,Fixtures!GO$25))="","",IF(INDIRECT(CONCATENATE($FK$12,Fixtures!GO$25))=Fixtures!$DN36,CONCATENATE(GO$10,", "),""))</f>
        <v/>
      </c>
      <c r="GP36" s="713" t="str">
        <f ca="1">IF(INDIRECT(CONCATENATE($FK$12,Fixtures!GP$25))="","",IF(INDIRECT(CONCATENATE($FK$12,Fixtures!GP$25))=Fixtures!$DN36,CONCATENATE(GP$10,", "),""))</f>
        <v/>
      </c>
      <c r="GQ36" s="713" t="str">
        <f ca="1">IF(INDIRECT(CONCATENATE($FK$12,Fixtures!GQ$25))="","",IF(INDIRECT(CONCATENATE($FK$12,Fixtures!GQ$25))=Fixtures!$DN36,CONCATENATE(GQ$10,", "),""))</f>
        <v/>
      </c>
      <c r="GR36" s="713" t="str">
        <f ca="1">IF(INDIRECT(CONCATENATE($FK$12,Fixtures!GR$25))="","",IF(INDIRECT(CONCATENATE($FK$12,Fixtures!GR$25))=Fixtures!$DN36,CONCATENATE(GR$10,", "),""))</f>
        <v/>
      </c>
      <c r="GS36" s="713" t="str">
        <f ca="1">IF(INDIRECT(CONCATENATE($FK$12,Fixtures!GS$25))="","",IF(INDIRECT(CONCATENATE($FK$12,Fixtures!GS$25))=Fixtures!$DN36,CONCATENATE(GS$10,", "),""))</f>
        <v/>
      </c>
      <c r="GT36" s="713" t="str">
        <f ca="1">IF(INDIRECT(CONCATENATE($FK$12,Fixtures!GT$25))="","",IF(INDIRECT(CONCATENATE($FK$12,Fixtures!GT$25))=Fixtures!$DN36,CONCATENATE(GT$10,", "),""))</f>
        <v/>
      </c>
      <c r="GU36" s="713" t="str">
        <f ca="1">IF(INDIRECT(CONCATENATE($FK$12,Fixtures!GU$25))="","",IF(INDIRECT(CONCATENATE($FK$12,Fixtures!GU$25))=Fixtures!$DN36,CONCATENATE(GU$10,", "),""))</f>
        <v/>
      </c>
      <c r="GV36" s="713" t="str">
        <f ca="1">IF(INDIRECT(CONCATENATE($FK$12,Fixtures!GV$25))="","",IF(INDIRECT(CONCATENATE($FK$12,Fixtures!GV$25))=Fixtures!$DN36,CONCATENATE(GV$10,", "),""))</f>
        <v/>
      </c>
      <c r="GW36" s="713" t="str">
        <f ca="1">IF(INDIRECT(CONCATENATE($FK$12,Fixtures!GW$25))="","",IF(INDIRECT(CONCATENATE($FK$12,Fixtures!GW$25))=Fixtures!$DN36,CONCATENATE(GW$10,", "),""))</f>
        <v/>
      </c>
      <c r="GX36" s="684" t="str">
        <f ca="1">IF(INDIRECT(CONCATENATE($FK$12,Fixtures!GX$25))="","",IF(INDIRECT(CONCATENATE($FK$12,Fixtures!GX$25))=Fixtures!$DN36,CONCATENATE(GX$10,", "),""))</f>
        <v/>
      </c>
      <c r="GY36" s="685" t="str">
        <f ca="1">IF(INDIRECT(CONCATENATE($FK$12,Fixtures!GY$25))="","",IF(INDIRECT(CONCATENATE($FK$12,Fixtures!GY$25))=Fixtures!$DN36,CONCATENATE(GY$10,", "),""))</f>
        <v/>
      </c>
      <c r="GZ36" s="713" t="str">
        <f ca="1">IF(INDIRECT(CONCATENATE($FK$12,Fixtures!GZ$25))="","",IF(INDIRECT(CONCATENATE($FK$12,Fixtures!GZ$25))=Fixtures!$DN36,CONCATENATE(GZ$10,", "),""))</f>
        <v/>
      </c>
      <c r="HA36" s="713" t="str">
        <f ca="1">IF(INDIRECT(CONCATENATE($FK$12,Fixtures!HA$25))="","",IF(INDIRECT(CONCATENATE($FK$12,Fixtures!HA$25))=Fixtures!$DN36,CONCATENATE(HA$10,", "),""))</f>
        <v/>
      </c>
      <c r="HB36" s="713" t="str">
        <f ca="1">IF(INDIRECT(CONCATENATE($FK$12,Fixtures!HB$25))="","",IF(INDIRECT(CONCATENATE($FK$12,Fixtures!HB$25))=Fixtures!$DN36,CONCATENATE(HB$10,", "),""))</f>
        <v/>
      </c>
      <c r="HC36" s="713" t="str">
        <f ca="1">IF(INDIRECT(CONCATENATE($FK$12,Fixtures!HC$25))="","",IF(INDIRECT(CONCATENATE($FK$12,Fixtures!HC$25))=Fixtures!$DN36,CONCATENATE(HC$10,", "),""))</f>
        <v/>
      </c>
      <c r="HD36" s="713" t="str">
        <f ca="1">IF(INDIRECT(CONCATENATE($FK$12,Fixtures!HD$25))="","",IF(INDIRECT(CONCATENATE($FK$12,Fixtures!HD$25))=Fixtures!$DN36,CONCATENATE(HD$10,", "),""))</f>
        <v/>
      </c>
      <c r="HE36" s="713" t="str">
        <f ca="1">IF(INDIRECT(CONCATENATE($FK$12,Fixtures!HE$25))="","",IF(INDIRECT(CONCATENATE($FK$12,Fixtures!HE$25))=Fixtures!$DN36,CONCATENATE(HE$10,", "),""))</f>
        <v/>
      </c>
      <c r="HF36" s="713" t="str">
        <f ca="1">IF(INDIRECT(CONCATENATE($FK$12,Fixtures!HF$25))="","",IF(INDIRECT(CONCATENATE($FK$12,Fixtures!HF$25))=Fixtures!$DN36,CONCATENATE(HF$10,", "),""))</f>
        <v/>
      </c>
      <c r="HG36" s="713" t="str">
        <f ca="1">IF(INDIRECT(CONCATENATE($FK$12,Fixtures!HG$25))="","",IF(INDIRECT(CONCATENATE($FK$12,Fixtures!HG$25))=Fixtures!$DN36,CONCATENATE(HG$10,", "),""))</f>
        <v/>
      </c>
      <c r="HH36" s="713" t="str">
        <f ca="1">IF(INDIRECT(CONCATENATE($FK$12,Fixtures!HH$25))="","",IF(INDIRECT(CONCATENATE($FK$12,Fixtures!HH$25))=Fixtures!$DN36,CONCATENATE(HH$10,", "),""))</f>
        <v/>
      </c>
      <c r="HI36" s="713" t="str">
        <f ca="1">IF(INDIRECT(CONCATENATE($FK$12,Fixtures!HI$25))="","",IF(INDIRECT(CONCATENATE($FK$12,Fixtures!HI$25))=Fixtures!$DN36,CONCATENATE(HI$10,", "),""))</f>
        <v/>
      </c>
      <c r="HJ36" s="713" t="str">
        <f ca="1">IF(INDIRECT(CONCATENATE($FK$12,Fixtures!HJ$25))="","",IF(INDIRECT(CONCATENATE($FK$12,Fixtures!HJ$25))=Fixtures!$DN36,CONCATENATE(HJ$10,", "),""))</f>
        <v/>
      </c>
      <c r="HK36" s="713" t="str">
        <f ca="1">IF(INDIRECT(CONCATENATE($FK$12,Fixtures!HK$25))="","",IF(INDIRECT(CONCATENATE($FK$12,Fixtures!HK$25))=Fixtures!$DN36,CONCATENATE(HK$10,", "),""))</f>
        <v/>
      </c>
      <c r="HL36" s="713" t="str">
        <f ca="1">IF(INDIRECT(CONCATENATE($FK$12,Fixtures!HL$25))="","",IF(INDIRECT(CONCATENATE($FK$12,Fixtures!HL$25))=Fixtures!$DN36,CONCATENATE(HL$10,", "),""))</f>
        <v/>
      </c>
      <c r="HM36" s="684" t="str">
        <f ca="1">IF(INDIRECT(CONCATENATE($FK$12,Fixtures!HM$25))="","",IF(INDIRECT(CONCATENATE($FK$12,Fixtures!HM$25))=Fixtures!$DN36,CONCATENATE(HM$10,", "),""))</f>
        <v/>
      </c>
      <c r="HN36" s="685" t="str">
        <f ca="1">IF(INDIRECT(CONCATENATE($FK$12,Fixtures!HN$25))="","",IF(INDIRECT(CONCATENATE($FK$12,Fixtures!HN$25))=Fixtures!$DN36,CONCATENATE(HN$10,", "),""))</f>
        <v/>
      </c>
      <c r="HO36" s="713" t="str">
        <f ca="1">IF(INDIRECT(CONCATENATE($FK$12,Fixtures!HO$25))="","",IF(INDIRECT(CONCATENATE($FK$12,Fixtures!HO$25))=Fixtures!$DN36,CONCATENATE(HO$10,", "),""))</f>
        <v/>
      </c>
      <c r="HP36" s="713" t="str">
        <f ca="1">IF(INDIRECT(CONCATENATE($FK$12,Fixtures!HP$25))="","",IF(INDIRECT(CONCATENATE($FK$12,Fixtures!HP$25))=Fixtures!$DN36,CONCATENATE(HP$10,", "),""))</f>
        <v/>
      </c>
      <c r="HQ36" s="713" t="str">
        <f ca="1">IF(INDIRECT(CONCATENATE($FK$12,Fixtures!HQ$25))="","",IF(INDIRECT(CONCATENATE($FK$12,Fixtures!HQ$25))=Fixtures!$DN36,CONCATENATE(HQ$10,", "),""))</f>
        <v/>
      </c>
      <c r="HR36" s="713" t="str">
        <f ca="1">IF(INDIRECT(CONCATENATE($FK$12,Fixtures!HR$25))="","",IF(INDIRECT(CONCATENATE($FK$12,Fixtures!HR$25))=Fixtures!$DN36,CONCATENATE(HR$10,", "),""))</f>
        <v/>
      </c>
      <c r="HS36" s="713" t="str">
        <f ca="1">IF(INDIRECT(CONCATENATE($FK$12,Fixtures!HS$25))="","",IF(INDIRECT(CONCATENATE($FK$12,Fixtures!HS$25))=Fixtures!$DN36,CONCATENATE(HS$10,", "),""))</f>
        <v/>
      </c>
      <c r="HT36" s="713" t="str">
        <f ca="1">IF(INDIRECT(CONCATENATE($FK$12,Fixtures!HT$25))="","",IF(INDIRECT(CONCATENATE($FK$12,Fixtures!HT$25))=Fixtures!$DN36,CONCATENATE(HT$10,", "),""))</f>
        <v/>
      </c>
      <c r="HU36" s="713" t="str">
        <f ca="1">IF(INDIRECT(CONCATENATE($FK$12,Fixtures!HU$25))="","",IF(INDIRECT(CONCATENATE($FK$12,Fixtures!HU$25))=Fixtures!$DN36,CONCATENATE(HU$10,", "),""))</f>
        <v/>
      </c>
      <c r="HV36" s="713" t="str">
        <f ca="1">IF(INDIRECT(CONCATENATE($FK$12,Fixtures!HV$25))="","",IF(INDIRECT(CONCATENATE($FK$12,Fixtures!HV$25))=Fixtures!$DN36,CONCATENATE(HV$10,", "),""))</f>
        <v/>
      </c>
      <c r="HW36" s="713" t="str">
        <f ca="1">IF(INDIRECT(CONCATENATE($FK$12,Fixtures!HW$25))="","",IF(INDIRECT(CONCATENATE($FK$12,Fixtures!HW$25))=Fixtures!$DN36,CONCATENATE(HW$10,", "),""))</f>
        <v/>
      </c>
      <c r="HX36" s="713" t="str">
        <f ca="1">IF(INDIRECT(CONCATENATE($FK$12,Fixtures!HX$25))="","",IF(INDIRECT(CONCATENATE($FK$12,Fixtures!HX$25))=Fixtures!$DN36,CONCATENATE(HX$10,", "),""))</f>
        <v/>
      </c>
      <c r="HY36" s="713" t="str">
        <f ca="1">IF(INDIRECT(CONCATENATE($FK$12,Fixtures!HY$25))="","",IF(INDIRECT(CONCATENATE($FK$12,Fixtures!HY$25))=Fixtures!$DN36,CONCATENATE(HY$10,", "),""))</f>
        <v/>
      </c>
      <c r="HZ36" s="713" t="str">
        <f ca="1">IF(INDIRECT(CONCATENATE($FK$12,Fixtures!HZ$25))="","",IF(INDIRECT(CONCATENATE($FK$12,Fixtures!HZ$25))=Fixtures!$DN36,CONCATENATE(HZ$10,", "),""))</f>
        <v/>
      </c>
      <c r="IA36" s="713" t="str">
        <f ca="1">IF(INDIRECT(CONCATENATE($FK$12,Fixtures!IA$25))="","",IF(INDIRECT(CONCATENATE($FK$12,Fixtures!IA$25))=Fixtures!$DN36,CONCATENATE(IA$10,", "),""))</f>
        <v/>
      </c>
      <c r="IB36" s="684" t="str">
        <f ca="1">IF(INDIRECT(CONCATENATE($FK$12,Fixtures!IB$25))="","",IF(INDIRECT(CONCATENATE($FK$12,Fixtures!IB$25))=Fixtures!$DN36,CONCATENATE(IB$10,", "),""))</f>
        <v/>
      </c>
      <c r="IC36" s="685" t="str">
        <f ca="1">IF(INDIRECT(CONCATENATE($FK$12,Fixtures!IC$25))="","",IF(INDIRECT(CONCATENATE($FK$12,Fixtures!IC$25))=Fixtures!$DN36,CONCATENATE(IC$10,", "),""))</f>
        <v/>
      </c>
      <c r="ID36" s="713" t="str">
        <f ca="1">IF(INDIRECT(CONCATENATE($FK$12,Fixtures!ID$25))="","",IF(INDIRECT(CONCATENATE($FK$12,Fixtures!ID$25))=Fixtures!$DN36,CONCATENATE(ID$10,", "),""))</f>
        <v/>
      </c>
      <c r="IE36" s="713" t="str">
        <f ca="1">IF(INDIRECT(CONCATENATE($FK$12,Fixtures!IE$25))="","",IF(INDIRECT(CONCATENATE($FK$12,Fixtures!IE$25))=Fixtures!$DN36,CONCATENATE(IE$10,", "),""))</f>
        <v/>
      </c>
      <c r="IF36" s="713" t="str">
        <f ca="1">IF(INDIRECT(CONCATENATE($FK$12,Fixtures!IF$25))="","",IF(INDIRECT(CONCATENATE($FK$12,Fixtures!IF$25))=Fixtures!$DN36,CONCATENATE(IF$10,", "),""))</f>
        <v/>
      </c>
      <c r="IG36" s="713" t="str">
        <f ca="1">IF(INDIRECT(CONCATENATE($FK$12,Fixtures!IG$25))="","",IF(INDIRECT(CONCATENATE($FK$12,Fixtures!IG$25))=Fixtures!$DN36,CONCATENATE(IG$10,", "),""))</f>
        <v/>
      </c>
      <c r="IH36" s="713" t="str">
        <f ca="1">IF(INDIRECT(CONCATENATE($FK$12,Fixtures!IH$25))="","",IF(INDIRECT(CONCATENATE($FK$12,Fixtures!IH$25))=Fixtures!$DN36,CONCATENATE(IH$10,", "),""))</f>
        <v/>
      </c>
      <c r="II36" s="713" t="str">
        <f ca="1">IF(INDIRECT(CONCATENATE($FK$12,Fixtures!II$25))="","",IF(INDIRECT(CONCATENATE($FK$12,Fixtures!II$25))=Fixtures!$DN36,CONCATENATE(II$10,", "),""))</f>
        <v/>
      </c>
      <c r="IJ36" s="713" t="str">
        <f ca="1">IF(INDIRECT(CONCATENATE($FK$12,Fixtures!IJ$25))="","",IF(INDIRECT(CONCATENATE($FK$12,Fixtures!IJ$25))=Fixtures!$DN36,CONCATENATE(IJ$10,", "),""))</f>
        <v/>
      </c>
      <c r="IK36" s="713" t="str">
        <f ca="1">IF(INDIRECT(CONCATENATE($FK$12,Fixtures!IK$25))="","",IF(INDIRECT(CONCATENATE($FK$12,Fixtures!IK$25))=Fixtures!$DN36,CONCATENATE(IK$10,", "),""))</f>
        <v/>
      </c>
      <c r="IL36" s="713" t="str">
        <f ca="1">IF(INDIRECT(CONCATENATE($FK$12,Fixtures!IL$25))="","",IF(INDIRECT(CONCATENATE($FK$12,Fixtures!IL$25))=Fixtures!$DN36,CONCATENATE(IL$10,", "),""))</f>
        <v/>
      </c>
      <c r="IM36" s="713" t="str">
        <f ca="1">IF(INDIRECT(CONCATENATE($FK$12,Fixtures!IM$25))="","",IF(INDIRECT(CONCATENATE($FK$12,Fixtures!IM$25))=Fixtures!$DN36,CONCATENATE(IM$10,", "),""))</f>
        <v/>
      </c>
      <c r="IN36" s="713" t="str">
        <f ca="1">IF(INDIRECT(CONCATENATE($FK$12,Fixtures!IN$25))="","",IF(INDIRECT(CONCATENATE($FK$12,Fixtures!IN$25))=Fixtures!$DN36,CONCATENATE(IN$10,", "),""))</f>
        <v/>
      </c>
      <c r="IO36" s="713" t="str">
        <f ca="1">IF(INDIRECT(CONCATENATE($FK$12,Fixtures!IO$25))="","",IF(INDIRECT(CONCATENATE($FK$12,Fixtures!IO$25))=Fixtures!$DN36,CONCATENATE(IO$10,", "),""))</f>
        <v/>
      </c>
      <c r="IP36" s="713" t="str">
        <f ca="1">IF(INDIRECT(CONCATENATE($FK$12,Fixtures!IP$25))="","",IF(INDIRECT(CONCATENATE($FK$12,Fixtures!IP$25))=Fixtures!$DN36,CONCATENATE(IP$10,", "),""))</f>
        <v/>
      </c>
      <c r="IQ36" s="684" t="str">
        <f ca="1">IF(INDIRECT(CONCATENATE($FK$12,Fixtures!IQ$25))="","",IF(INDIRECT(CONCATENATE($FK$12,Fixtures!IQ$25))=Fixtures!$DN36,CONCATENATE(IQ$10,", "),""))</f>
        <v/>
      </c>
      <c r="IR36" s="685" t="str">
        <f ca="1">IF(INDIRECT(CONCATENATE($FK$12,Fixtures!IR$25))="","",IF(INDIRECT(CONCATENATE($FK$12,Fixtures!IR$25))=Fixtures!$DN36,CONCATENATE(IR$10,", "),""))</f>
        <v/>
      </c>
      <c r="IS36" s="713" t="str">
        <f ca="1">IF(INDIRECT(CONCATENATE($FK$12,Fixtures!IS$25))="","",IF(INDIRECT(CONCATENATE($FK$12,Fixtures!IS$25))=Fixtures!$DN36,CONCATENATE(IS$10,", "),""))</f>
        <v/>
      </c>
      <c r="IT36" s="713" t="str">
        <f ca="1">IF(INDIRECT(CONCATENATE($FK$12,Fixtures!IT$25))="","",IF(INDIRECT(CONCATENATE($FK$12,Fixtures!IT$25))=Fixtures!$DN36,CONCATENATE(IT$10,", "),""))</f>
        <v/>
      </c>
      <c r="IU36" s="713" t="str">
        <f ca="1">IF(INDIRECT(CONCATENATE($FK$12,Fixtures!IU$25))="","",IF(INDIRECT(CONCATENATE($FK$12,Fixtures!IU$25))=Fixtures!$DN36,CONCATENATE(IU$10,", "),""))</f>
        <v/>
      </c>
      <c r="IV36" s="713" t="str">
        <f ca="1">IF(INDIRECT(CONCATENATE($FK$12,Fixtures!IV$25))="","",IF(INDIRECT(CONCATENATE($FK$12,Fixtures!IV$25))=Fixtures!$DN36,CONCATENATE(IV$10,", "),""))</f>
        <v/>
      </c>
      <c r="IW36" s="713" t="str">
        <f ca="1">IF(INDIRECT(CONCATENATE($FK$12,Fixtures!IW$25))="","",IF(INDIRECT(CONCATENATE($FK$12,Fixtures!IW$25))=Fixtures!$DN36,CONCATENATE(IW$10,", "),""))</f>
        <v/>
      </c>
      <c r="IX36" s="713" t="str">
        <f ca="1">IF(INDIRECT(CONCATENATE($FK$12,Fixtures!IX$25))="","",IF(INDIRECT(CONCATENATE($FK$12,Fixtures!IX$25))=Fixtures!$DN36,CONCATENATE(IX$10,", "),""))</f>
        <v/>
      </c>
      <c r="IY36" s="713" t="str">
        <f ca="1">IF(INDIRECT(CONCATENATE($FK$12,Fixtures!IY$25))="","",IF(INDIRECT(CONCATENATE($FK$12,Fixtures!IY$25))=Fixtures!$DN36,CONCATENATE(IY$10,", "),""))</f>
        <v/>
      </c>
      <c r="IZ36" s="713" t="str">
        <f ca="1">IF(INDIRECT(CONCATENATE($FK$12,Fixtures!IZ$25))="","",IF(INDIRECT(CONCATENATE($FK$12,Fixtures!IZ$25))=Fixtures!$DN36,CONCATENATE(IZ$10,", "),""))</f>
        <v/>
      </c>
      <c r="JA36" s="713" t="str">
        <f ca="1">IF(INDIRECT(CONCATENATE($FK$12,Fixtures!JA$25))="","",IF(INDIRECT(CONCATENATE($FK$12,Fixtures!JA$25))=Fixtures!$DN36,CONCATENATE(JA$10,", "),""))</f>
        <v/>
      </c>
      <c r="JB36" s="713" t="str">
        <f ca="1">IF(INDIRECT(CONCATENATE($FK$12,Fixtures!JB$25))="","",IF(INDIRECT(CONCATENATE($FK$12,Fixtures!JB$25))=Fixtures!$DN36,CONCATENATE(JB$10,", "),""))</f>
        <v/>
      </c>
      <c r="JC36" s="713" t="str">
        <f ca="1">IF(INDIRECT(CONCATENATE($FK$12,Fixtures!JC$25))="","",IF(INDIRECT(CONCATENATE($FK$12,Fixtures!JC$25))=Fixtures!$DN36,CONCATENATE(JC$10,", "),""))</f>
        <v/>
      </c>
      <c r="JD36" s="713" t="str">
        <f ca="1">IF(INDIRECT(CONCATENATE($FK$12,Fixtures!JD$25))="","",IF(INDIRECT(CONCATENATE($FK$12,Fixtures!JD$25))=Fixtures!$DN36,CONCATENATE(JD$10,", "),""))</f>
        <v/>
      </c>
      <c r="JE36" s="713" t="str">
        <f ca="1">IF(INDIRECT(CONCATENATE($FK$12,Fixtures!JE$25))="","",IF(INDIRECT(CONCATENATE($FK$12,Fixtures!JE$25))=Fixtures!$DN36,CONCATENATE(JE$10,", "),""))</f>
        <v/>
      </c>
      <c r="JF36" s="684" t="str">
        <f ca="1">IF(INDIRECT(CONCATENATE($FK$12,Fixtures!JF$25))="","",IF(INDIRECT(CONCATENATE($FK$12,Fixtures!JF$25))=Fixtures!$DN36,CONCATENATE(JF$10,", "),""))</f>
        <v/>
      </c>
      <c r="JG36" s="685" t="str">
        <f ca="1">IF(INDIRECT(CONCATENATE($FK$12,Fixtures!JG$25))="","",IF(INDIRECT(CONCATENATE($FK$12,Fixtures!JG$25))=Fixtures!$DN36,CONCATENATE(JG$10,", "),""))</f>
        <v/>
      </c>
      <c r="JH36" s="713" t="str">
        <f ca="1">IF(INDIRECT(CONCATENATE($FK$12,Fixtures!JH$25))="","",IF(INDIRECT(CONCATENATE($FK$12,Fixtures!JH$25))=Fixtures!$DN36,CONCATENATE(JH$10,", "),""))</f>
        <v/>
      </c>
      <c r="JI36" s="713" t="str">
        <f ca="1">IF(INDIRECT(CONCATENATE($FK$12,Fixtures!JI$25))="","",IF(INDIRECT(CONCATENATE($FK$12,Fixtures!JI$25))=Fixtures!$DN36,CONCATENATE(JI$10,", "),""))</f>
        <v/>
      </c>
      <c r="JJ36" s="713" t="str">
        <f ca="1">IF(INDIRECT(CONCATENATE($FK$12,Fixtures!JJ$25))="","",IF(INDIRECT(CONCATENATE($FK$12,Fixtures!JJ$25))=Fixtures!$DN36,CONCATENATE(JJ$10,", "),""))</f>
        <v/>
      </c>
      <c r="JK36" s="713" t="str">
        <f ca="1">IF(INDIRECT(CONCATENATE($FK$12,Fixtures!JK$25))="","",IF(INDIRECT(CONCATENATE($FK$12,Fixtures!JK$25))=Fixtures!$DN36,CONCATENATE(JK$10,", "),""))</f>
        <v/>
      </c>
      <c r="JL36" s="713" t="str">
        <f ca="1">IF(INDIRECT(CONCATENATE($FK$12,Fixtures!JL$25))="","",IF(INDIRECT(CONCATENATE($FK$12,Fixtures!JL$25))=Fixtures!$DN36,CONCATENATE(JL$10,", "),""))</f>
        <v/>
      </c>
      <c r="JM36" s="713" t="str">
        <f ca="1">IF(INDIRECT(CONCATENATE($FK$12,Fixtures!JM$25))="","",IF(INDIRECT(CONCATENATE($FK$12,Fixtures!JM$25))=Fixtures!$DN36,CONCATENATE(JM$10,", "),""))</f>
        <v/>
      </c>
      <c r="JN36" s="713" t="str">
        <f ca="1">IF(INDIRECT(CONCATENATE($FK$12,Fixtures!JN$25))="","",IF(INDIRECT(CONCATENATE($FK$12,Fixtures!JN$25))=Fixtures!$DN36,CONCATENATE(JN$10,", "),""))</f>
        <v/>
      </c>
      <c r="JO36" s="713" t="str">
        <f ca="1">IF(INDIRECT(CONCATENATE($FK$12,Fixtures!JO$25))="","",IF(INDIRECT(CONCATENATE($FK$12,Fixtures!JO$25))=Fixtures!$DN36,CONCATENATE(JO$10,", "),""))</f>
        <v/>
      </c>
      <c r="JP36" s="713" t="str">
        <f ca="1">IF(INDIRECT(CONCATENATE($FK$12,Fixtures!JP$25))="","",IF(INDIRECT(CONCATENATE($FK$12,Fixtures!JP$25))=Fixtures!$DN36,CONCATENATE(JP$10,", "),""))</f>
        <v/>
      </c>
      <c r="JQ36" s="713" t="str">
        <f ca="1">IF(INDIRECT(CONCATENATE($FK$12,Fixtures!JQ$25))="","",IF(INDIRECT(CONCATENATE($FK$12,Fixtures!JQ$25))=Fixtures!$DN36,CONCATENATE(JQ$10,", "),""))</f>
        <v/>
      </c>
      <c r="JR36" s="713" t="str">
        <f ca="1">IF(INDIRECT(CONCATENATE($FK$12,Fixtures!JR$25))="","",IF(INDIRECT(CONCATENATE($FK$12,Fixtures!JR$25))=Fixtures!$DN36,CONCATENATE(JR$10,", "),""))</f>
        <v/>
      </c>
      <c r="JS36" s="713" t="str">
        <f ca="1">IF(INDIRECT(CONCATENATE($FK$12,Fixtures!JS$25))="","",IF(INDIRECT(CONCATENATE($FK$12,Fixtures!JS$25))=Fixtures!$DN36,CONCATENATE(JS$10,", "),""))</f>
        <v/>
      </c>
      <c r="JT36" s="713" t="str">
        <f ca="1">IF(INDIRECT(CONCATENATE($FK$12,Fixtures!JT$25))="","",IF(INDIRECT(CONCATENATE($FK$12,Fixtures!JT$25))=Fixtures!$DN36,CONCATENATE(JT$10,", "),""))</f>
        <v/>
      </c>
      <c r="JU36" s="684" t="str">
        <f ca="1">IF(INDIRECT(CONCATENATE($FK$12,Fixtures!JU$25))="","",IF(INDIRECT(CONCATENATE($FK$12,Fixtures!JU$25))=Fixtures!$DN36,CONCATENATE(JU$10,", "),""))</f>
        <v/>
      </c>
      <c r="JV36" s="685" t="str">
        <f ca="1">IF(INDIRECT(CONCATENATE($FK$12,Fixtures!JV$25))="","",IF(INDIRECT(CONCATENATE($FK$12,Fixtures!JV$25))=Fixtures!$DN36,CONCATENATE(JV$10,", "),""))</f>
        <v/>
      </c>
      <c r="JW36" s="713" t="str">
        <f ca="1">IF(INDIRECT(CONCATENATE($FK$12,Fixtures!JW$25))="","",IF(INDIRECT(CONCATENATE($FK$12,Fixtures!JW$25))=Fixtures!$DN36,CONCATENATE(JW$10,", "),""))</f>
        <v/>
      </c>
      <c r="JX36" s="713" t="str">
        <f ca="1">IF(INDIRECT(CONCATENATE($FK$12,Fixtures!JX$25))="","",IF(INDIRECT(CONCATENATE($FK$12,Fixtures!JX$25))=Fixtures!$DN36,CONCATENATE(JX$10,", "),""))</f>
        <v/>
      </c>
      <c r="JY36" s="713" t="str">
        <f ca="1">IF(INDIRECT(CONCATENATE($FK$12,Fixtures!JY$25))="","",IF(INDIRECT(CONCATENATE($FK$12,Fixtures!JY$25))=Fixtures!$DN36,CONCATENATE(JY$10,", "),""))</f>
        <v/>
      </c>
      <c r="JZ36" s="713" t="str">
        <f ca="1">IF(INDIRECT(CONCATENATE($FK$12,Fixtures!JZ$25))="","",IF(INDIRECT(CONCATENATE($FK$12,Fixtures!JZ$25))=Fixtures!$DN36,CONCATENATE(JZ$10,", "),""))</f>
        <v/>
      </c>
      <c r="KA36" s="713" t="str">
        <f ca="1">IF(INDIRECT(CONCATENATE($FK$12,Fixtures!KA$25))="","",IF(INDIRECT(CONCATENATE($FK$12,Fixtures!KA$25))=Fixtures!$DN36,CONCATENATE(KA$10,", "),""))</f>
        <v/>
      </c>
      <c r="KB36" s="713" t="str">
        <f ca="1">IF(INDIRECT(CONCATENATE($FK$12,Fixtures!KB$25))="","",IF(INDIRECT(CONCATENATE($FK$12,Fixtures!KB$25))=Fixtures!$DN36,CONCATENATE(KB$10,", "),""))</f>
        <v/>
      </c>
      <c r="KC36" s="713" t="str">
        <f ca="1">IF(INDIRECT(CONCATENATE($FK$12,Fixtures!KC$25))="","",IF(INDIRECT(CONCATENATE($FK$12,Fixtures!KC$25))=Fixtures!$DN36,CONCATENATE(KC$10,", "),""))</f>
        <v/>
      </c>
      <c r="KD36" s="713" t="str">
        <f ca="1">IF(INDIRECT(CONCATENATE($FK$12,Fixtures!KD$25))="","",IF(INDIRECT(CONCATENATE($FK$12,Fixtures!KD$25))=Fixtures!$DN36,CONCATENATE(KD$10,", "),""))</f>
        <v/>
      </c>
      <c r="KE36" s="713" t="str">
        <f ca="1">IF(INDIRECT(CONCATENATE($FK$12,Fixtures!KE$25))="","",IF(INDIRECT(CONCATENATE($FK$12,Fixtures!KE$25))=Fixtures!$DN36,CONCATENATE(KE$10,", "),""))</f>
        <v/>
      </c>
      <c r="KF36" s="713" t="str">
        <f ca="1">IF(INDIRECT(CONCATENATE($FK$12,Fixtures!KF$25))="","",IF(INDIRECT(CONCATENATE($FK$12,Fixtures!KF$25))=Fixtures!$DN36,CONCATENATE(KF$10,", "),""))</f>
        <v/>
      </c>
      <c r="KG36" s="713" t="str">
        <f ca="1">IF(INDIRECT(CONCATENATE($FK$12,Fixtures!KG$25))="","",IF(INDIRECT(CONCATENATE($FK$12,Fixtures!KG$25))=Fixtures!$DN36,CONCATENATE(KG$10,", "),""))</f>
        <v/>
      </c>
      <c r="KH36" s="713" t="str">
        <f ca="1">IF(INDIRECT(CONCATENATE($FK$12,Fixtures!KH$25))="","",IF(INDIRECT(CONCATENATE($FK$12,Fixtures!KH$25))=Fixtures!$DN36,CONCATENATE(KH$10,", "),""))</f>
        <v/>
      </c>
      <c r="KI36" s="713" t="str">
        <f ca="1">IF(INDIRECT(CONCATENATE($FK$12,Fixtures!KI$25))="","",IF(INDIRECT(CONCATENATE($FK$12,Fixtures!KI$25))=Fixtures!$DN36,CONCATENATE(KI$10,", "),""))</f>
        <v/>
      </c>
      <c r="KJ36" s="684" t="str">
        <f ca="1">IF(INDIRECT(CONCATENATE($FK$12,Fixtures!KJ$25))="","",IF(INDIRECT(CONCATENATE($FK$12,Fixtures!KJ$25))=Fixtures!$DN36,CONCATENATE(KJ$10,", "),""))</f>
        <v/>
      </c>
      <c r="KK36" s="685" t="str">
        <f ca="1">IF(INDIRECT(CONCATENATE($FK$12,Fixtures!KK$25))="","",IF(INDIRECT(CONCATENATE($FK$12,Fixtures!KK$25))=Fixtures!$DN36,CONCATENATE(KK$10,", "),""))</f>
        <v/>
      </c>
      <c r="KL36" s="713" t="str">
        <f ca="1">IF(INDIRECT(CONCATENATE($FK$12,Fixtures!KL$25))="","",IF(INDIRECT(CONCATENATE($FK$12,Fixtures!KL$25))=Fixtures!$DN36,CONCATENATE(KL$10,", "),""))</f>
        <v/>
      </c>
      <c r="KM36" s="713" t="str">
        <f ca="1">IF(INDIRECT(CONCATENATE($FK$12,Fixtures!KM$25))="","",IF(INDIRECT(CONCATENATE($FK$12,Fixtures!KM$25))=Fixtures!$DN36,CONCATENATE(KM$10,", "),""))</f>
        <v/>
      </c>
      <c r="KN36" s="713" t="str">
        <f ca="1">IF(INDIRECT(CONCATENATE($FK$12,Fixtures!KN$25))="","",IF(INDIRECT(CONCATENATE($FK$12,Fixtures!KN$25))=Fixtures!$DN36,CONCATENATE(KN$10,", "),""))</f>
        <v/>
      </c>
      <c r="KO36" s="713" t="str">
        <f ca="1">IF(INDIRECT(CONCATENATE($FK$12,Fixtures!KO$25))="","",IF(INDIRECT(CONCATENATE($FK$12,Fixtures!KO$25))=Fixtures!$DN36,CONCATENATE(KO$10,", "),""))</f>
        <v/>
      </c>
      <c r="KP36" s="713" t="str">
        <f ca="1">IF(INDIRECT(CONCATENATE($FK$12,Fixtures!KP$25))="","",IF(INDIRECT(CONCATENATE($FK$12,Fixtures!KP$25))=Fixtures!$DN36,CONCATENATE(KP$10,", "),""))</f>
        <v/>
      </c>
      <c r="KQ36" s="713" t="str">
        <f ca="1">IF(INDIRECT(CONCATENATE($FK$12,Fixtures!KQ$25))="","",IF(INDIRECT(CONCATENATE($FK$12,Fixtures!KQ$25))=Fixtures!$DN36,CONCATENATE(KQ$10,", "),""))</f>
        <v/>
      </c>
      <c r="KR36" s="713" t="str">
        <f ca="1">IF(INDIRECT(CONCATENATE($FK$12,Fixtures!KR$25))="","",IF(INDIRECT(CONCATENATE($FK$12,Fixtures!KR$25))=Fixtures!$DN36,CONCATENATE(KR$10,", "),""))</f>
        <v/>
      </c>
      <c r="KS36" s="713" t="str">
        <f ca="1">IF(INDIRECT(CONCATENATE($FK$12,Fixtures!KS$25))="","",IF(INDIRECT(CONCATENATE($FK$12,Fixtures!KS$25))=Fixtures!$DN36,CONCATENATE(KS$10,", "),""))</f>
        <v/>
      </c>
      <c r="KT36" s="713" t="str">
        <f ca="1">IF(INDIRECT(CONCATENATE($FK$12,Fixtures!KT$25))="","",IF(INDIRECT(CONCATENATE($FK$12,Fixtures!KT$25))=Fixtures!$DN36,CONCATENATE(KT$10,", "),""))</f>
        <v/>
      </c>
      <c r="KU36" s="713" t="str">
        <f ca="1">IF(INDIRECT(CONCATENATE($FK$12,Fixtures!KU$25))="","",IF(INDIRECT(CONCATENATE($FK$12,Fixtures!KU$25))=Fixtures!$DN36,CONCATENATE(KU$10,", "),""))</f>
        <v/>
      </c>
      <c r="KV36" s="713" t="str">
        <f ca="1">IF(INDIRECT(CONCATENATE($FK$12,Fixtures!KV$25))="","",IF(INDIRECT(CONCATENATE($FK$12,Fixtures!KV$25))=Fixtures!$DN36,CONCATENATE(KV$10,", "),""))</f>
        <v/>
      </c>
      <c r="KW36" s="713" t="str">
        <f ca="1">IF(INDIRECT(CONCATENATE($FK$12,Fixtures!KW$25))="","",IF(INDIRECT(CONCATENATE($FK$12,Fixtures!KW$25))=Fixtures!$DN36,CONCATENATE(KW$10,", "),""))</f>
        <v/>
      </c>
      <c r="KX36" s="713" t="str">
        <f ca="1">IF(INDIRECT(CONCATENATE($FK$12,Fixtures!KX$25))="","",IF(INDIRECT(CONCATENATE($FK$12,Fixtures!KX$25))=Fixtures!$DN36,CONCATENATE(KX$10,", "),""))</f>
        <v/>
      </c>
      <c r="KY36" s="713" t="str">
        <f ca="1">IF(INDIRECT(CONCATENATE($FK$12,Fixtures!KY$25))="","",IF(INDIRECT(CONCATENATE($FK$12,Fixtures!KY$25))=Fixtures!$DN36,CONCATENATE(KY$10,", "),""))</f>
        <v/>
      </c>
      <c r="KZ36" s="46"/>
      <c r="LA36" s="46" t="str">
        <f t="shared" ca="1" si="8"/>
        <v/>
      </c>
    </row>
    <row r="37" spans="1:313" ht="28.05" customHeight="1" thickTop="1" thickBot="1">
      <c r="A37" s="471" t="str">
        <f t="shared" si="13"/>
        <v/>
      </c>
      <c r="C37" s="1328" t="str">
        <f t="shared" si="14"/>
        <v/>
      </c>
      <c r="D37" s="1329"/>
      <c r="E37" s="1256" t="str">
        <f t="shared" si="15"/>
        <v/>
      </c>
      <c r="F37" s="1257"/>
      <c r="G37" s="1257"/>
      <c r="H37" s="1257"/>
      <c r="I37" s="1257"/>
      <c r="J37" s="1257"/>
      <c r="K37" s="1257"/>
      <c r="L37" s="1257"/>
      <c r="M37" s="1330"/>
      <c r="N37" s="239" t="str">
        <f t="shared" si="16"/>
        <v/>
      </c>
      <c r="O37" s="601"/>
      <c r="P37" s="1326" t="str">
        <f t="shared" si="25"/>
        <v/>
      </c>
      <c r="Q37" s="1327"/>
      <c r="R37" s="1256" t="str">
        <f t="shared" ref="R37:R78" si="31">EE99</f>
        <v/>
      </c>
      <c r="S37" s="1257"/>
      <c r="T37" s="1257"/>
      <c r="U37" s="1257"/>
      <c r="V37" s="1257"/>
      <c r="W37" s="1257"/>
      <c r="X37" s="1257"/>
      <c r="Y37" s="239" t="str">
        <f t="shared" si="27"/>
        <v/>
      </c>
      <c r="Z37" s="239" t="str">
        <f t="shared" si="28"/>
        <v/>
      </c>
      <c r="AA37" s="439" t="str">
        <f t="shared" si="29"/>
        <v/>
      </c>
      <c r="AB37" s="542"/>
      <c r="AC37" s="1253" t="str">
        <f t="shared" si="17"/>
        <v/>
      </c>
      <c r="AD37" s="1166"/>
      <c r="AE37" s="1166"/>
      <c r="AF37" s="1166"/>
      <c r="AG37" s="1166"/>
      <c r="AH37" s="1166"/>
      <c r="AK37">
        <f>SUMIFS(Installations!CS$39:CS$800,Installations!CT$39:CT$800,E37,Installations!HX$39:HX$800,TRUE)</f>
        <v>0</v>
      </c>
      <c r="AL37">
        <f>SUMIFS(Installations!CS$39:CS$800,Installations!CT$39:CT$800,R37,Installations!HX$39:HX$800,TRUE)</f>
        <v>0</v>
      </c>
      <c r="BL37" s="9"/>
      <c r="BM37" s="703" t="str">
        <f t="shared" si="18"/>
        <v/>
      </c>
      <c r="BN37" s="52"/>
      <c r="BO37" s="52"/>
      <c r="BP37" s="52"/>
      <c r="BQ37" s="52"/>
      <c r="BR37" s="52"/>
      <c r="BS37" s="52"/>
      <c r="BT37" s="52"/>
      <c r="BU37" s="414"/>
      <c r="BV37" s="255" t="str">
        <f>IF(CN37&lt;&gt;"Yes","",IFERROR(VLOOKUP(CU37,Existing!A$4:F$364,2,FALSE),""))</f>
        <v/>
      </c>
      <c r="BW37" s="9">
        <v>11</v>
      </c>
      <c r="BX37" s="1313"/>
      <c r="BY37" s="1314"/>
      <c r="BZ37" s="1314"/>
      <c r="CA37" s="1315"/>
      <c r="CB37" s="1310"/>
      <c r="CC37" s="1311"/>
      <c r="CD37" s="1311"/>
      <c r="CE37" s="1312"/>
      <c r="CF37" s="1309"/>
      <c r="CG37" s="1309"/>
      <c r="CH37" s="1309"/>
      <c r="CI37" s="1309"/>
      <c r="CJ37" s="1309"/>
      <c r="CK37" s="1309"/>
      <c r="CL37" s="1309"/>
      <c r="CM37" s="1309"/>
      <c r="CN37" s="1243" t="str">
        <f t="shared" si="0"/>
        <v/>
      </c>
      <c r="CO37" s="1244"/>
      <c r="CP37" s="265" t="str">
        <f>IFERROR(IF(CB37="Existing TLED",CR37*CW37*CY37,VLOOKUP(CU37,Existing!A$3:F$353,6,FALSE)),"")</f>
        <v/>
      </c>
      <c r="CQ37" s="9"/>
      <c r="CR37" s="1343"/>
      <c r="CS37" s="1344"/>
      <c r="CT37" s="9"/>
      <c r="CU37" s="470" t="str">
        <f t="shared" si="21"/>
        <v/>
      </c>
      <c r="CV37" s="471" t="b">
        <f t="shared" si="22"/>
        <v>0</v>
      </c>
      <c r="CW37" s="471" t="str">
        <f t="shared" si="23"/>
        <v/>
      </c>
      <c r="CX37" s="471">
        <f>IFERROR(VLOOKUP(CF37,Lookup!M$100:O$102,3,FALSE),0)</f>
        <v>0</v>
      </c>
      <c r="CY37" s="471">
        <f t="shared" si="9"/>
        <v>1.1100000000000001</v>
      </c>
      <c r="CZ37" s="707" t="b">
        <f t="shared" si="1"/>
        <v>0</v>
      </c>
      <c r="DA37" s="707" t="b">
        <f>IF(CF37&lt;&gt;"",IF(ISERROR(MATCH(CONCATENATE(CB37," - ",CF37),Existing!G$4:G$328,0))=TRUE,FALSE,TRUE),TRUE)</f>
        <v>1</v>
      </c>
      <c r="DB37" s="707" t="b">
        <f t="shared" si="2"/>
        <v>1</v>
      </c>
      <c r="DL37" s="9"/>
      <c r="DM37" s="708" t="s">
        <v>166</v>
      </c>
      <c r="DN37" s="416" t="str">
        <f t="shared" si="3"/>
        <v/>
      </c>
      <c r="DO37" s="52"/>
      <c r="DP37" s="52"/>
      <c r="DQ37" s="52"/>
      <c r="DR37" s="52"/>
      <c r="DS37" s="52"/>
      <c r="DT37" s="262"/>
      <c r="DU37" s="417"/>
      <c r="DV37" s="263" t="str">
        <f t="shared" si="4"/>
        <v/>
      </c>
      <c r="DW37" s="260">
        <v>11</v>
      </c>
      <c r="DX37" s="1306"/>
      <c r="DY37" s="1307"/>
      <c r="DZ37" s="1307"/>
      <c r="EA37" s="1308"/>
      <c r="EB37" s="1306"/>
      <c r="EC37" s="1307"/>
      <c r="ED37" s="1307"/>
      <c r="EE37" s="1308"/>
      <c r="EF37" s="1266"/>
      <c r="EG37" s="1267"/>
      <c r="EH37" s="1260"/>
      <c r="EI37" s="1261"/>
      <c r="EJ37" s="1261"/>
      <c r="EK37" s="1262"/>
      <c r="EL37" s="1263"/>
      <c r="EM37" s="1264"/>
      <c r="EN37" s="1264"/>
      <c r="EO37" s="1265"/>
      <c r="EP37" s="1266"/>
      <c r="EQ37" s="1267"/>
      <c r="ER37" s="1245"/>
      <c r="ES37" s="1246"/>
      <c r="ET37" s="1243" t="str">
        <f t="shared" si="5"/>
        <v/>
      </c>
      <c r="EU37" s="1244"/>
      <c r="EV37" s="1243" t="str">
        <f t="shared" si="30"/>
        <v/>
      </c>
      <c r="EW37" s="1244"/>
      <c r="EX37" s="438"/>
      <c r="EY37" s="261" t="str">
        <f t="shared" si="7"/>
        <v/>
      </c>
      <c r="EZ37" s="261" t="str">
        <f>IFERROR(VLOOKUP(EB37,Lookup!AM$3:AN$13,2,FALSE),"")</f>
        <v/>
      </c>
      <c r="FA37" s="471" t="b">
        <f>IFERROR(IF(VLOOKUP(EB37,Lookup!AM$6:AN$8,2,FALSE)&gt;3,TRUE,FALSE),FALSE)</f>
        <v>0</v>
      </c>
      <c r="FB37" s="471">
        <f t="shared" si="11"/>
        <v>1</v>
      </c>
      <c r="FC37" t="str">
        <f t="shared" ca="1" si="10"/>
        <v/>
      </c>
      <c r="FG37" t="str">
        <f t="shared" ca="1" si="12"/>
        <v/>
      </c>
      <c r="FI37" s="240" t="str">
        <f t="shared" ca="1" si="24"/>
        <v/>
      </c>
      <c r="FJ37" s="240"/>
      <c r="FK37" s="712" t="str">
        <f ca="1">IF(INDIRECT(CONCATENATE($FK$12,Fixtures!FK$25))="","",IF(INDIRECT(CONCATENATE($FK$12,Fixtures!FK$25))=Fixtures!$DN37,CONCATENATE(FK$10,", "),""))</f>
        <v/>
      </c>
      <c r="FL37" s="712" t="str">
        <f ca="1">IF(INDIRECT(CONCATENATE($FK$12,Fixtures!FL$25))="","",IF(INDIRECT(CONCATENATE($FK$12,Fixtures!FL$25))=Fixtures!$DN37,CONCATENATE(FL$10,", "),""))</f>
        <v/>
      </c>
      <c r="FM37" s="712" t="str">
        <f ca="1">IF(INDIRECT(CONCATENATE($FK$12,Fixtures!FM$25))="","",IF(INDIRECT(CONCATENATE($FK$12,Fixtures!FM$25))=Fixtures!$DN37,CONCATENATE(FM$10,", "),""))</f>
        <v/>
      </c>
      <c r="FN37" s="712" t="str">
        <f ca="1">IF(INDIRECT(CONCATENATE($FK$12,Fixtures!FN$25))="","",IF(INDIRECT(CONCATENATE($FK$12,Fixtures!FN$25))=Fixtures!$DN37,CONCATENATE(FN$10,", "),""))</f>
        <v/>
      </c>
      <c r="FO37" s="712" t="str">
        <f ca="1">IF(INDIRECT(CONCATENATE($FK$12,Fixtures!FO$25))="","",IF(INDIRECT(CONCATENATE($FK$12,Fixtures!FO$25))=Fixtures!$DN37,CONCATENATE(FO$10,", "),""))</f>
        <v/>
      </c>
      <c r="FP37" s="712" t="str">
        <f ca="1">IF(INDIRECT(CONCATENATE($FK$12,Fixtures!FP$25))="","",IF(INDIRECT(CONCATENATE($FK$12,Fixtures!FP$25))=Fixtures!$DN37,CONCATENATE(FP$10,", "),""))</f>
        <v/>
      </c>
      <c r="FQ37" s="712" t="str">
        <f ca="1">IF(INDIRECT(CONCATENATE($FK$12,Fixtures!FQ$25))="","",IF(INDIRECT(CONCATENATE($FK$12,Fixtures!FQ$25))=Fixtures!$DN37,CONCATENATE(FQ$10,", "),""))</f>
        <v/>
      </c>
      <c r="FR37" s="712" t="str">
        <f ca="1">IF(INDIRECT(CONCATENATE($FK$12,Fixtures!FR$25))="","",IF(INDIRECT(CONCATENATE($FK$12,Fixtures!FR$25))=Fixtures!$DN37,CONCATENATE(FR$10,", "),""))</f>
        <v/>
      </c>
      <c r="FS37" s="712" t="str">
        <f ca="1">IF(INDIRECT(CONCATENATE($FK$12,Fixtures!FS$25))="","",IF(INDIRECT(CONCATENATE($FK$12,Fixtures!FS$25))=Fixtures!$DN37,CONCATENATE(FS$10,", "),""))</f>
        <v/>
      </c>
      <c r="FT37" s="682" t="str">
        <f ca="1">IF(INDIRECT(CONCATENATE($FK$12,Fixtures!FT$25))="","",IF(INDIRECT(CONCATENATE($FK$12,Fixtures!FT$25))=Fixtures!$DN37,CONCATENATE(FT$10,", "),""))</f>
        <v/>
      </c>
      <c r="FU37" s="683" t="str">
        <f ca="1">IF(INDIRECT(CONCATENATE($FK$12,Fixtures!FU$25))="","",IF(INDIRECT(CONCATENATE($FK$12,Fixtures!FU$25))=Fixtures!$DN37,CONCATENATE(FU$10,", "),""))</f>
        <v/>
      </c>
      <c r="FV37" s="712" t="str">
        <f ca="1">IF(INDIRECT(CONCATENATE($FK$12,Fixtures!FV$25))="","",IF(INDIRECT(CONCATENATE($FK$12,Fixtures!FV$25))=Fixtures!$DN37,CONCATENATE(FV$10,", "),""))</f>
        <v/>
      </c>
      <c r="FW37" s="713" t="str">
        <f ca="1">IF(INDIRECT(CONCATENATE($FK$12,Fixtures!FW$25))="","",IF(INDIRECT(CONCATENATE($FK$12,Fixtures!FW$25))=Fixtures!$DN37,CONCATENATE(FW$10,", "),""))</f>
        <v/>
      </c>
      <c r="FX37" s="713" t="str">
        <f ca="1">IF(INDIRECT(CONCATENATE($FK$12,Fixtures!FX$25))="","",IF(INDIRECT(CONCATENATE($FK$12,Fixtures!FX$25))=Fixtures!$DN37,CONCATENATE(FX$10,", "),""))</f>
        <v/>
      </c>
      <c r="FY37" s="713" t="str">
        <f ca="1">IF(INDIRECT(CONCATENATE($FK$12,Fixtures!FY$25))="","",IF(INDIRECT(CONCATENATE($FK$12,Fixtures!FY$25))=Fixtures!$DN37,CONCATENATE(FY$10,", "),""))</f>
        <v/>
      </c>
      <c r="FZ37" s="713" t="str">
        <f ca="1">IF(INDIRECT(CONCATENATE($FK$12,Fixtures!FZ$25))="","",IF(INDIRECT(CONCATENATE($FK$12,Fixtures!FZ$25))=Fixtures!$DN37,CONCATENATE(FZ$10,", "),""))</f>
        <v/>
      </c>
      <c r="GA37" s="713" t="str">
        <f ca="1">IF(INDIRECT(CONCATENATE($FK$12,Fixtures!GA$25))="","",IF(INDIRECT(CONCATENATE($FK$12,Fixtures!GA$25))=Fixtures!$DN37,CONCATENATE(GA$10,", "),""))</f>
        <v/>
      </c>
      <c r="GB37" s="713" t="str">
        <f ca="1">IF(INDIRECT(CONCATENATE($FK$12,Fixtures!GB$25))="","",IF(INDIRECT(CONCATENATE($FK$12,Fixtures!GB$25))=Fixtures!$DN37,CONCATENATE(GB$10,", "),""))</f>
        <v/>
      </c>
      <c r="GC37" s="713" t="str">
        <f ca="1">IF(INDIRECT(CONCATENATE($FK$12,Fixtures!GC$25))="","",IF(INDIRECT(CONCATENATE($FK$12,Fixtures!GC$25))=Fixtures!$DN37,CONCATENATE(GC$10,", "),""))</f>
        <v/>
      </c>
      <c r="GD37" s="713" t="str">
        <f ca="1">IF(INDIRECT(CONCATENATE($FK$12,Fixtures!GD$25))="","",IF(INDIRECT(CONCATENATE($FK$12,Fixtures!GD$25))=Fixtures!$DN37,CONCATENATE(GD$10,", "),""))</f>
        <v/>
      </c>
      <c r="GE37" s="713" t="str">
        <f ca="1">IF(INDIRECT(CONCATENATE($FK$12,Fixtures!GE$25))="","",IF(INDIRECT(CONCATENATE($FK$12,Fixtures!GE$25))=Fixtures!$DN37,CONCATENATE(GE$10,", "),""))</f>
        <v/>
      </c>
      <c r="GF37" s="713" t="str">
        <f ca="1">IF(INDIRECT(CONCATENATE($FK$12,Fixtures!GF$25))="","",IF(INDIRECT(CONCATENATE($FK$12,Fixtures!GF$25))=Fixtures!$DN37,CONCATENATE(GF$10,", "),""))</f>
        <v/>
      </c>
      <c r="GG37" s="713" t="str">
        <f ca="1">IF(INDIRECT(CONCATENATE($FK$12,Fixtures!GG$25))="","",IF(INDIRECT(CONCATENATE($FK$12,Fixtures!GG$25))=Fixtures!$DN37,CONCATENATE(GG$10,", "),""))</f>
        <v/>
      </c>
      <c r="GH37" s="713" t="str">
        <f ca="1">IF(INDIRECT(CONCATENATE($FK$12,Fixtures!GH$25))="","",IF(INDIRECT(CONCATENATE($FK$12,Fixtures!GH$25))=Fixtures!$DN37,CONCATENATE(GH$10,", "),""))</f>
        <v/>
      </c>
      <c r="GI37" s="684" t="str">
        <f ca="1">IF(INDIRECT(CONCATENATE($FK$12,Fixtures!GI$25))="","",IF(INDIRECT(CONCATENATE($FK$12,Fixtures!GI$25))=Fixtures!$DN37,CONCATENATE(GI$10,", "),""))</f>
        <v/>
      </c>
      <c r="GJ37" s="685" t="str">
        <f ca="1">IF(INDIRECT(CONCATENATE($FK$12,Fixtures!GJ$25))="","",IF(INDIRECT(CONCATENATE($FK$12,Fixtures!GJ$25))=Fixtures!$DN37,CONCATENATE(GJ$10,", "),""))</f>
        <v/>
      </c>
      <c r="GK37" s="713" t="str">
        <f ca="1">IF(INDIRECT(CONCATENATE($FK$12,Fixtures!GK$25))="","",IF(INDIRECT(CONCATENATE($FK$12,Fixtures!GK$25))=Fixtures!$DN37,CONCATENATE(GK$10,", "),""))</f>
        <v/>
      </c>
      <c r="GL37" s="713" t="str">
        <f ca="1">IF(INDIRECT(CONCATENATE($FK$12,Fixtures!GL$25))="","",IF(INDIRECT(CONCATENATE($FK$12,Fixtures!GL$25))=Fixtures!$DN37,CONCATENATE(GL$10,", "),""))</f>
        <v/>
      </c>
      <c r="GM37" s="713" t="str">
        <f ca="1">IF(INDIRECT(CONCATENATE($FK$12,Fixtures!GM$25))="","",IF(INDIRECT(CONCATENATE($FK$12,Fixtures!GM$25))=Fixtures!$DN37,CONCATENATE(GM$10,", "),""))</f>
        <v/>
      </c>
      <c r="GN37" s="713" t="str">
        <f ca="1">IF(INDIRECT(CONCATENATE($FK$12,Fixtures!GN$25))="","",IF(INDIRECT(CONCATENATE($FK$12,Fixtures!GN$25))=Fixtures!$DN37,CONCATENATE(GN$10,", "),""))</f>
        <v/>
      </c>
      <c r="GO37" s="713" t="str">
        <f ca="1">IF(INDIRECT(CONCATENATE($FK$12,Fixtures!GO$25))="","",IF(INDIRECT(CONCATENATE($FK$12,Fixtures!GO$25))=Fixtures!$DN37,CONCATENATE(GO$10,", "),""))</f>
        <v/>
      </c>
      <c r="GP37" s="713" t="str">
        <f ca="1">IF(INDIRECT(CONCATENATE($FK$12,Fixtures!GP$25))="","",IF(INDIRECT(CONCATENATE($FK$12,Fixtures!GP$25))=Fixtures!$DN37,CONCATENATE(GP$10,", "),""))</f>
        <v/>
      </c>
      <c r="GQ37" s="713" t="str">
        <f ca="1">IF(INDIRECT(CONCATENATE($FK$12,Fixtures!GQ$25))="","",IF(INDIRECT(CONCATENATE($FK$12,Fixtures!GQ$25))=Fixtures!$DN37,CONCATENATE(GQ$10,", "),""))</f>
        <v/>
      </c>
      <c r="GR37" s="713" t="str">
        <f ca="1">IF(INDIRECT(CONCATENATE($FK$12,Fixtures!GR$25))="","",IF(INDIRECT(CONCATENATE($FK$12,Fixtures!GR$25))=Fixtures!$DN37,CONCATENATE(GR$10,", "),""))</f>
        <v/>
      </c>
      <c r="GS37" s="713" t="str">
        <f ca="1">IF(INDIRECT(CONCATENATE($FK$12,Fixtures!GS$25))="","",IF(INDIRECT(CONCATENATE($FK$12,Fixtures!GS$25))=Fixtures!$DN37,CONCATENATE(GS$10,", "),""))</f>
        <v/>
      </c>
      <c r="GT37" s="713" t="str">
        <f ca="1">IF(INDIRECT(CONCATENATE($FK$12,Fixtures!GT$25))="","",IF(INDIRECT(CONCATENATE($FK$12,Fixtures!GT$25))=Fixtures!$DN37,CONCATENATE(GT$10,", "),""))</f>
        <v/>
      </c>
      <c r="GU37" s="713" t="str">
        <f ca="1">IF(INDIRECT(CONCATENATE($FK$12,Fixtures!GU$25))="","",IF(INDIRECT(CONCATENATE($FK$12,Fixtures!GU$25))=Fixtures!$DN37,CONCATENATE(GU$10,", "),""))</f>
        <v/>
      </c>
      <c r="GV37" s="713" t="str">
        <f ca="1">IF(INDIRECT(CONCATENATE($FK$12,Fixtures!GV$25))="","",IF(INDIRECT(CONCATENATE($FK$12,Fixtures!GV$25))=Fixtures!$DN37,CONCATENATE(GV$10,", "),""))</f>
        <v/>
      </c>
      <c r="GW37" s="713" t="str">
        <f ca="1">IF(INDIRECT(CONCATENATE($FK$12,Fixtures!GW$25))="","",IF(INDIRECT(CONCATENATE($FK$12,Fixtures!GW$25))=Fixtures!$DN37,CONCATENATE(GW$10,", "),""))</f>
        <v/>
      </c>
      <c r="GX37" s="684" t="str">
        <f ca="1">IF(INDIRECT(CONCATENATE($FK$12,Fixtures!GX$25))="","",IF(INDIRECT(CONCATENATE($FK$12,Fixtures!GX$25))=Fixtures!$DN37,CONCATENATE(GX$10,", "),""))</f>
        <v/>
      </c>
      <c r="GY37" s="685" t="str">
        <f ca="1">IF(INDIRECT(CONCATENATE($FK$12,Fixtures!GY$25))="","",IF(INDIRECT(CONCATENATE($FK$12,Fixtures!GY$25))=Fixtures!$DN37,CONCATENATE(GY$10,", "),""))</f>
        <v/>
      </c>
      <c r="GZ37" s="713" t="str">
        <f ca="1">IF(INDIRECT(CONCATENATE($FK$12,Fixtures!GZ$25))="","",IF(INDIRECT(CONCATENATE($FK$12,Fixtures!GZ$25))=Fixtures!$DN37,CONCATENATE(GZ$10,", "),""))</f>
        <v/>
      </c>
      <c r="HA37" s="713" t="str">
        <f ca="1">IF(INDIRECT(CONCATENATE($FK$12,Fixtures!HA$25))="","",IF(INDIRECT(CONCATENATE($FK$12,Fixtures!HA$25))=Fixtures!$DN37,CONCATENATE(HA$10,", "),""))</f>
        <v/>
      </c>
      <c r="HB37" s="713" t="str">
        <f ca="1">IF(INDIRECT(CONCATENATE($FK$12,Fixtures!HB$25))="","",IF(INDIRECT(CONCATENATE($FK$12,Fixtures!HB$25))=Fixtures!$DN37,CONCATENATE(HB$10,", "),""))</f>
        <v/>
      </c>
      <c r="HC37" s="713" t="str">
        <f ca="1">IF(INDIRECT(CONCATENATE($FK$12,Fixtures!HC$25))="","",IF(INDIRECT(CONCATENATE($FK$12,Fixtures!HC$25))=Fixtures!$DN37,CONCATENATE(HC$10,", "),""))</f>
        <v/>
      </c>
      <c r="HD37" s="713" t="str">
        <f ca="1">IF(INDIRECT(CONCATENATE($FK$12,Fixtures!HD$25))="","",IF(INDIRECT(CONCATENATE($FK$12,Fixtures!HD$25))=Fixtures!$DN37,CONCATENATE(HD$10,", "),""))</f>
        <v/>
      </c>
      <c r="HE37" s="713" t="str">
        <f ca="1">IF(INDIRECT(CONCATENATE($FK$12,Fixtures!HE$25))="","",IF(INDIRECT(CONCATENATE($FK$12,Fixtures!HE$25))=Fixtures!$DN37,CONCATENATE(HE$10,", "),""))</f>
        <v/>
      </c>
      <c r="HF37" s="713" t="str">
        <f ca="1">IF(INDIRECT(CONCATENATE($FK$12,Fixtures!HF$25))="","",IF(INDIRECT(CONCATENATE($FK$12,Fixtures!HF$25))=Fixtures!$DN37,CONCATENATE(HF$10,", "),""))</f>
        <v/>
      </c>
      <c r="HG37" s="713" t="str">
        <f ca="1">IF(INDIRECT(CONCATENATE($FK$12,Fixtures!HG$25))="","",IF(INDIRECT(CONCATENATE($FK$12,Fixtures!HG$25))=Fixtures!$DN37,CONCATENATE(HG$10,", "),""))</f>
        <v/>
      </c>
      <c r="HH37" s="713" t="str">
        <f ca="1">IF(INDIRECT(CONCATENATE($FK$12,Fixtures!HH$25))="","",IF(INDIRECT(CONCATENATE($FK$12,Fixtures!HH$25))=Fixtures!$DN37,CONCATENATE(HH$10,", "),""))</f>
        <v/>
      </c>
      <c r="HI37" s="713" t="str">
        <f ca="1">IF(INDIRECT(CONCATENATE($FK$12,Fixtures!HI$25))="","",IF(INDIRECT(CONCATENATE($FK$12,Fixtures!HI$25))=Fixtures!$DN37,CONCATENATE(HI$10,", "),""))</f>
        <v/>
      </c>
      <c r="HJ37" s="713" t="str">
        <f ca="1">IF(INDIRECT(CONCATENATE($FK$12,Fixtures!HJ$25))="","",IF(INDIRECT(CONCATENATE($FK$12,Fixtures!HJ$25))=Fixtures!$DN37,CONCATENATE(HJ$10,", "),""))</f>
        <v/>
      </c>
      <c r="HK37" s="713" t="str">
        <f ca="1">IF(INDIRECT(CONCATENATE($FK$12,Fixtures!HK$25))="","",IF(INDIRECT(CONCATENATE($FK$12,Fixtures!HK$25))=Fixtures!$DN37,CONCATENATE(HK$10,", "),""))</f>
        <v/>
      </c>
      <c r="HL37" s="713" t="str">
        <f ca="1">IF(INDIRECT(CONCATENATE($FK$12,Fixtures!HL$25))="","",IF(INDIRECT(CONCATENATE($FK$12,Fixtures!HL$25))=Fixtures!$DN37,CONCATENATE(HL$10,", "),""))</f>
        <v/>
      </c>
      <c r="HM37" s="684" t="str">
        <f ca="1">IF(INDIRECT(CONCATENATE($FK$12,Fixtures!HM$25))="","",IF(INDIRECT(CONCATENATE($FK$12,Fixtures!HM$25))=Fixtures!$DN37,CONCATENATE(HM$10,", "),""))</f>
        <v/>
      </c>
      <c r="HN37" s="685" t="str">
        <f ca="1">IF(INDIRECT(CONCATENATE($FK$12,Fixtures!HN$25))="","",IF(INDIRECT(CONCATENATE($FK$12,Fixtures!HN$25))=Fixtures!$DN37,CONCATENATE(HN$10,", "),""))</f>
        <v/>
      </c>
      <c r="HO37" s="713" t="str">
        <f ca="1">IF(INDIRECT(CONCATENATE($FK$12,Fixtures!HO$25))="","",IF(INDIRECT(CONCATENATE($FK$12,Fixtures!HO$25))=Fixtures!$DN37,CONCATENATE(HO$10,", "),""))</f>
        <v/>
      </c>
      <c r="HP37" s="713" t="str">
        <f ca="1">IF(INDIRECT(CONCATENATE($FK$12,Fixtures!HP$25))="","",IF(INDIRECT(CONCATENATE($FK$12,Fixtures!HP$25))=Fixtures!$DN37,CONCATENATE(HP$10,", "),""))</f>
        <v/>
      </c>
      <c r="HQ37" s="713" t="str">
        <f ca="1">IF(INDIRECT(CONCATENATE($FK$12,Fixtures!HQ$25))="","",IF(INDIRECT(CONCATENATE($FK$12,Fixtures!HQ$25))=Fixtures!$DN37,CONCATENATE(HQ$10,", "),""))</f>
        <v/>
      </c>
      <c r="HR37" s="713" t="str">
        <f ca="1">IF(INDIRECT(CONCATENATE($FK$12,Fixtures!HR$25))="","",IF(INDIRECT(CONCATENATE($FK$12,Fixtures!HR$25))=Fixtures!$DN37,CONCATENATE(HR$10,", "),""))</f>
        <v/>
      </c>
      <c r="HS37" s="713" t="str">
        <f ca="1">IF(INDIRECT(CONCATENATE($FK$12,Fixtures!HS$25))="","",IF(INDIRECT(CONCATENATE($FK$12,Fixtures!HS$25))=Fixtures!$DN37,CONCATENATE(HS$10,", "),""))</f>
        <v/>
      </c>
      <c r="HT37" s="713" t="str">
        <f ca="1">IF(INDIRECT(CONCATENATE($FK$12,Fixtures!HT$25))="","",IF(INDIRECT(CONCATENATE($FK$12,Fixtures!HT$25))=Fixtures!$DN37,CONCATENATE(HT$10,", "),""))</f>
        <v/>
      </c>
      <c r="HU37" s="713" t="str">
        <f ca="1">IF(INDIRECT(CONCATENATE($FK$12,Fixtures!HU$25))="","",IF(INDIRECT(CONCATENATE($FK$12,Fixtures!HU$25))=Fixtures!$DN37,CONCATENATE(HU$10,", "),""))</f>
        <v/>
      </c>
      <c r="HV37" s="713" t="str">
        <f ca="1">IF(INDIRECT(CONCATENATE($FK$12,Fixtures!HV$25))="","",IF(INDIRECT(CONCATENATE($FK$12,Fixtures!HV$25))=Fixtures!$DN37,CONCATENATE(HV$10,", "),""))</f>
        <v/>
      </c>
      <c r="HW37" s="713" t="str">
        <f ca="1">IF(INDIRECT(CONCATENATE($FK$12,Fixtures!HW$25))="","",IF(INDIRECT(CONCATENATE($FK$12,Fixtures!HW$25))=Fixtures!$DN37,CONCATENATE(HW$10,", "),""))</f>
        <v/>
      </c>
      <c r="HX37" s="713" t="str">
        <f ca="1">IF(INDIRECT(CONCATENATE($FK$12,Fixtures!HX$25))="","",IF(INDIRECT(CONCATENATE($FK$12,Fixtures!HX$25))=Fixtures!$DN37,CONCATENATE(HX$10,", "),""))</f>
        <v/>
      </c>
      <c r="HY37" s="713" t="str">
        <f ca="1">IF(INDIRECT(CONCATENATE($FK$12,Fixtures!HY$25))="","",IF(INDIRECT(CONCATENATE($FK$12,Fixtures!HY$25))=Fixtures!$DN37,CONCATENATE(HY$10,", "),""))</f>
        <v/>
      </c>
      <c r="HZ37" s="713" t="str">
        <f ca="1">IF(INDIRECT(CONCATENATE($FK$12,Fixtures!HZ$25))="","",IF(INDIRECT(CONCATENATE($FK$12,Fixtures!HZ$25))=Fixtures!$DN37,CONCATENATE(HZ$10,", "),""))</f>
        <v/>
      </c>
      <c r="IA37" s="713" t="str">
        <f ca="1">IF(INDIRECT(CONCATENATE($FK$12,Fixtures!IA$25))="","",IF(INDIRECT(CONCATENATE($FK$12,Fixtures!IA$25))=Fixtures!$DN37,CONCATENATE(IA$10,", "),""))</f>
        <v/>
      </c>
      <c r="IB37" s="684" t="str">
        <f ca="1">IF(INDIRECT(CONCATENATE($FK$12,Fixtures!IB$25))="","",IF(INDIRECT(CONCATENATE($FK$12,Fixtures!IB$25))=Fixtures!$DN37,CONCATENATE(IB$10,", "),""))</f>
        <v/>
      </c>
      <c r="IC37" s="685" t="str">
        <f ca="1">IF(INDIRECT(CONCATENATE($FK$12,Fixtures!IC$25))="","",IF(INDIRECT(CONCATENATE($FK$12,Fixtures!IC$25))=Fixtures!$DN37,CONCATENATE(IC$10,", "),""))</f>
        <v/>
      </c>
      <c r="ID37" s="713" t="str">
        <f ca="1">IF(INDIRECT(CONCATENATE($FK$12,Fixtures!ID$25))="","",IF(INDIRECT(CONCATENATE($FK$12,Fixtures!ID$25))=Fixtures!$DN37,CONCATENATE(ID$10,", "),""))</f>
        <v/>
      </c>
      <c r="IE37" s="713" t="str">
        <f ca="1">IF(INDIRECT(CONCATENATE($FK$12,Fixtures!IE$25))="","",IF(INDIRECT(CONCATENATE($FK$12,Fixtures!IE$25))=Fixtures!$DN37,CONCATENATE(IE$10,", "),""))</f>
        <v/>
      </c>
      <c r="IF37" s="713" t="str">
        <f ca="1">IF(INDIRECT(CONCATENATE($FK$12,Fixtures!IF$25))="","",IF(INDIRECT(CONCATENATE($FK$12,Fixtures!IF$25))=Fixtures!$DN37,CONCATENATE(IF$10,", "),""))</f>
        <v/>
      </c>
      <c r="IG37" s="713" t="str">
        <f ca="1">IF(INDIRECT(CONCATENATE($FK$12,Fixtures!IG$25))="","",IF(INDIRECT(CONCATENATE($FK$12,Fixtures!IG$25))=Fixtures!$DN37,CONCATENATE(IG$10,", "),""))</f>
        <v/>
      </c>
      <c r="IH37" s="713" t="str">
        <f ca="1">IF(INDIRECT(CONCATENATE($FK$12,Fixtures!IH$25))="","",IF(INDIRECT(CONCATENATE($FK$12,Fixtures!IH$25))=Fixtures!$DN37,CONCATENATE(IH$10,", "),""))</f>
        <v/>
      </c>
      <c r="II37" s="713" t="str">
        <f ca="1">IF(INDIRECT(CONCATENATE($FK$12,Fixtures!II$25))="","",IF(INDIRECT(CONCATENATE($FK$12,Fixtures!II$25))=Fixtures!$DN37,CONCATENATE(II$10,", "),""))</f>
        <v/>
      </c>
      <c r="IJ37" s="713" t="str">
        <f ca="1">IF(INDIRECT(CONCATENATE($FK$12,Fixtures!IJ$25))="","",IF(INDIRECT(CONCATENATE($FK$12,Fixtures!IJ$25))=Fixtures!$DN37,CONCATENATE(IJ$10,", "),""))</f>
        <v/>
      </c>
      <c r="IK37" s="713" t="str">
        <f ca="1">IF(INDIRECT(CONCATENATE($FK$12,Fixtures!IK$25))="","",IF(INDIRECT(CONCATENATE($FK$12,Fixtures!IK$25))=Fixtures!$DN37,CONCATENATE(IK$10,", "),""))</f>
        <v/>
      </c>
      <c r="IL37" s="713" t="str">
        <f ca="1">IF(INDIRECT(CONCATENATE($FK$12,Fixtures!IL$25))="","",IF(INDIRECT(CONCATENATE($FK$12,Fixtures!IL$25))=Fixtures!$DN37,CONCATENATE(IL$10,", "),""))</f>
        <v/>
      </c>
      <c r="IM37" s="713" t="str">
        <f ca="1">IF(INDIRECT(CONCATENATE($FK$12,Fixtures!IM$25))="","",IF(INDIRECT(CONCATENATE($FK$12,Fixtures!IM$25))=Fixtures!$DN37,CONCATENATE(IM$10,", "),""))</f>
        <v/>
      </c>
      <c r="IN37" s="713" t="str">
        <f ca="1">IF(INDIRECT(CONCATENATE($FK$12,Fixtures!IN$25))="","",IF(INDIRECT(CONCATENATE($FK$12,Fixtures!IN$25))=Fixtures!$DN37,CONCATENATE(IN$10,", "),""))</f>
        <v/>
      </c>
      <c r="IO37" s="713" t="str">
        <f ca="1">IF(INDIRECT(CONCATENATE($FK$12,Fixtures!IO$25))="","",IF(INDIRECT(CONCATENATE($FK$12,Fixtures!IO$25))=Fixtures!$DN37,CONCATENATE(IO$10,", "),""))</f>
        <v/>
      </c>
      <c r="IP37" s="713" t="str">
        <f ca="1">IF(INDIRECT(CONCATENATE($FK$12,Fixtures!IP$25))="","",IF(INDIRECT(CONCATENATE($FK$12,Fixtures!IP$25))=Fixtures!$DN37,CONCATENATE(IP$10,", "),""))</f>
        <v/>
      </c>
      <c r="IQ37" s="684" t="str">
        <f ca="1">IF(INDIRECT(CONCATENATE($FK$12,Fixtures!IQ$25))="","",IF(INDIRECT(CONCATENATE($FK$12,Fixtures!IQ$25))=Fixtures!$DN37,CONCATENATE(IQ$10,", "),""))</f>
        <v/>
      </c>
      <c r="IR37" s="685" t="str">
        <f ca="1">IF(INDIRECT(CONCATENATE($FK$12,Fixtures!IR$25))="","",IF(INDIRECT(CONCATENATE($FK$12,Fixtures!IR$25))=Fixtures!$DN37,CONCATENATE(IR$10,", "),""))</f>
        <v/>
      </c>
      <c r="IS37" s="713" t="str">
        <f ca="1">IF(INDIRECT(CONCATENATE($FK$12,Fixtures!IS$25))="","",IF(INDIRECT(CONCATENATE($FK$12,Fixtures!IS$25))=Fixtures!$DN37,CONCATENATE(IS$10,", "),""))</f>
        <v/>
      </c>
      <c r="IT37" s="713" t="str">
        <f ca="1">IF(INDIRECT(CONCATENATE($FK$12,Fixtures!IT$25))="","",IF(INDIRECT(CONCATENATE($FK$12,Fixtures!IT$25))=Fixtures!$DN37,CONCATENATE(IT$10,", "),""))</f>
        <v/>
      </c>
      <c r="IU37" s="713" t="str">
        <f ca="1">IF(INDIRECT(CONCATENATE($FK$12,Fixtures!IU$25))="","",IF(INDIRECT(CONCATENATE($FK$12,Fixtures!IU$25))=Fixtures!$DN37,CONCATENATE(IU$10,", "),""))</f>
        <v/>
      </c>
      <c r="IV37" s="713" t="str">
        <f ca="1">IF(INDIRECT(CONCATENATE($FK$12,Fixtures!IV$25))="","",IF(INDIRECT(CONCATENATE($FK$12,Fixtures!IV$25))=Fixtures!$DN37,CONCATENATE(IV$10,", "),""))</f>
        <v/>
      </c>
      <c r="IW37" s="713" t="str">
        <f ca="1">IF(INDIRECT(CONCATENATE($FK$12,Fixtures!IW$25))="","",IF(INDIRECT(CONCATENATE($FK$12,Fixtures!IW$25))=Fixtures!$DN37,CONCATENATE(IW$10,", "),""))</f>
        <v/>
      </c>
      <c r="IX37" s="713" t="str">
        <f ca="1">IF(INDIRECT(CONCATENATE($FK$12,Fixtures!IX$25))="","",IF(INDIRECT(CONCATENATE($FK$12,Fixtures!IX$25))=Fixtures!$DN37,CONCATENATE(IX$10,", "),""))</f>
        <v/>
      </c>
      <c r="IY37" s="713" t="str">
        <f ca="1">IF(INDIRECT(CONCATENATE($FK$12,Fixtures!IY$25))="","",IF(INDIRECT(CONCATENATE($FK$12,Fixtures!IY$25))=Fixtures!$DN37,CONCATENATE(IY$10,", "),""))</f>
        <v/>
      </c>
      <c r="IZ37" s="713" t="str">
        <f ca="1">IF(INDIRECT(CONCATENATE($FK$12,Fixtures!IZ$25))="","",IF(INDIRECT(CONCATENATE($FK$12,Fixtures!IZ$25))=Fixtures!$DN37,CONCATENATE(IZ$10,", "),""))</f>
        <v/>
      </c>
      <c r="JA37" s="713" t="str">
        <f ca="1">IF(INDIRECT(CONCATENATE($FK$12,Fixtures!JA$25))="","",IF(INDIRECT(CONCATENATE($FK$12,Fixtures!JA$25))=Fixtures!$DN37,CONCATENATE(JA$10,", "),""))</f>
        <v/>
      </c>
      <c r="JB37" s="713" t="str">
        <f ca="1">IF(INDIRECT(CONCATENATE($FK$12,Fixtures!JB$25))="","",IF(INDIRECT(CONCATENATE($FK$12,Fixtures!JB$25))=Fixtures!$DN37,CONCATENATE(JB$10,", "),""))</f>
        <v/>
      </c>
      <c r="JC37" s="713" t="str">
        <f ca="1">IF(INDIRECT(CONCATENATE($FK$12,Fixtures!JC$25))="","",IF(INDIRECT(CONCATENATE($FK$12,Fixtures!JC$25))=Fixtures!$DN37,CONCATENATE(JC$10,", "),""))</f>
        <v/>
      </c>
      <c r="JD37" s="713" t="str">
        <f ca="1">IF(INDIRECT(CONCATENATE($FK$12,Fixtures!JD$25))="","",IF(INDIRECT(CONCATENATE($FK$12,Fixtures!JD$25))=Fixtures!$DN37,CONCATENATE(JD$10,", "),""))</f>
        <v/>
      </c>
      <c r="JE37" s="713" t="str">
        <f ca="1">IF(INDIRECT(CONCATENATE($FK$12,Fixtures!JE$25))="","",IF(INDIRECT(CONCATENATE($FK$12,Fixtures!JE$25))=Fixtures!$DN37,CONCATENATE(JE$10,", "),""))</f>
        <v/>
      </c>
      <c r="JF37" s="684" t="str">
        <f ca="1">IF(INDIRECT(CONCATENATE($FK$12,Fixtures!JF$25))="","",IF(INDIRECT(CONCATENATE($FK$12,Fixtures!JF$25))=Fixtures!$DN37,CONCATENATE(JF$10,", "),""))</f>
        <v/>
      </c>
      <c r="JG37" s="685" t="str">
        <f ca="1">IF(INDIRECT(CONCATENATE($FK$12,Fixtures!JG$25))="","",IF(INDIRECT(CONCATENATE($FK$12,Fixtures!JG$25))=Fixtures!$DN37,CONCATENATE(JG$10,", "),""))</f>
        <v/>
      </c>
      <c r="JH37" s="713" t="str">
        <f ca="1">IF(INDIRECT(CONCATENATE($FK$12,Fixtures!JH$25))="","",IF(INDIRECT(CONCATENATE($FK$12,Fixtures!JH$25))=Fixtures!$DN37,CONCATENATE(JH$10,", "),""))</f>
        <v/>
      </c>
      <c r="JI37" s="713" t="str">
        <f ca="1">IF(INDIRECT(CONCATENATE($FK$12,Fixtures!JI$25))="","",IF(INDIRECT(CONCATENATE($FK$12,Fixtures!JI$25))=Fixtures!$DN37,CONCATENATE(JI$10,", "),""))</f>
        <v/>
      </c>
      <c r="JJ37" s="713" t="str">
        <f ca="1">IF(INDIRECT(CONCATENATE($FK$12,Fixtures!JJ$25))="","",IF(INDIRECT(CONCATENATE($FK$12,Fixtures!JJ$25))=Fixtures!$DN37,CONCATENATE(JJ$10,", "),""))</f>
        <v/>
      </c>
      <c r="JK37" s="713" t="str">
        <f ca="1">IF(INDIRECT(CONCATENATE($FK$12,Fixtures!JK$25))="","",IF(INDIRECT(CONCATENATE($FK$12,Fixtures!JK$25))=Fixtures!$DN37,CONCATENATE(JK$10,", "),""))</f>
        <v/>
      </c>
      <c r="JL37" s="713" t="str">
        <f ca="1">IF(INDIRECT(CONCATENATE($FK$12,Fixtures!JL$25))="","",IF(INDIRECT(CONCATENATE($FK$12,Fixtures!JL$25))=Fixtures!$DN37,CONCATENATE(JL$10,", "),""))</f>
        <v/>
      </c>
      <c r="JM37" s="713" t="str">
        <f ca="1">IF(INDIRECT(CONCATENATE($FK$12,Fixtures!JM$25))="","",IF(INDIRECT(CONCATENATE($FK$12,Fixtures!JM$25))=Fixtures!$DN37,CONCATENATE(JM$10,", "),""))</f>
        <v/>
      </c>
      <c r="JN37" s="713" t="str">
        <f ca="1">IF(INDIRECT(CONCATENATE($FK$12,Fixtures!JN$25))="","",IF(INDIRECT(CONCATENATE($FK$12,Fixtures!JN$25))=Fixtures!$DN37,CONCATENATE(JN$10,", "),""))</f>
        <v/>
      </c>
      <c r="JO37" s="713" t="str">
        <f ca="1">IF(INDIRECT(CONCATENATE($FK$12,Fixtures!JO$25))="","",IF(INDIRECT(CONCATENATE($FK$12,Fixtures!JO$25))=Fixtures!$DN37,CONCATENATE(JO$10,", "),""))</f>
        <v/>
      </c>
      <c r="JP37" s="713" t="str">
        <f ca="1">IF(INDIRECT(CONCATENATE($FK$12,Fixtures!JP$25))="","",IF(INDIRECT(CONCATENATE($FK$12,Fixtures!JP$25))=Fixtures!$DN37,CONCATENATE(JP$10,", "),""))</f>
        <v/>
      </c>
      <c r="JQ37" s="713" t="str">
        <f ca="1">IF(INDIRECT(CONCATENATE($FK$12,Fixtures!JQ$25))="","",IF(INDIRECT(CONCATENATE($FK$12,Fixtures!JQ$25))=Fixtures!$DN37,CONCATENATE(JQ$10,", "),""))</f>
        <v/>
      </c>
      <c r="JR37" s="713" t="str">
        <f ca="1">IF(INDIRECT(CONCATENATE($FK$12,Fixtures!JR$25))="","",IF(INDIRECT(CONCATENATE($FK$12,Fixtures!JR$25))=Fixtures!$DN37,CONCATENATE(JR$10,", "),""))</f>
        <v/>
      </c>
      <c r="JS37" s="713" t="str">
        <f ca="1">IF(INDIRECT(CONCATENATE($FK$12,Fixtures!JS$25))="","",IF(INDIRECT(CONCATENATE($FK$12,Fixtures!JS$25))=Fixtures!$DN37,CONCATENATE(JS$10,", "),""))</f>
        <v/>
      </c>
      <c r="JT37" s="713" t="str">
        <f ca="1">IF(INDIRECT(CONCATENATE($FK$12,Fixtures!JT$25))="","",IF(INDIRECT(CONCATENATE($FK$12,Fixtures!JT$25))=Fixtures!$DN37,CONCATENATE(JT$10,", "),""))</f>
        <v/>
      </c>
      <c r="JU37" s="684" t="str">
        <f ca="1">IF(INDIRECT(CONCATENATE($FK$12,Fixtures!JU$25))="","",IF(INDIRECT(CONCATENATE($FK$12,Fixtures!JU$25))=Fixtures!$DN37,CONCATENATE(JU$10,", "),""))</f>
        <v/>
      </c>
      <c r="JV37" s="685" t="str">
        <f ca="1">IF(INDIRECT(CONCATENATE($FK$12,Fixtures!JV$25))="","",IF(INDIRECT(CONCATENATE($FK$12,Fixtures!JV$25))=Fixtures!$DN37,CONCATENATE(JV$10,", "),""))</f>
        <v/>
      </c>
      <c r="JW37" s="713" t="str">
        <f ca="1">IF(INDIRECT(CONCATENATE($FK$12,Fixtures!JW$25))="","",IF(INDIRECT(CONCATENATE($FK$12,Fixtures!JW$25))=Fixtures!$DN37,CONCATENATE(JW$10,", "),""))</f>
        <v/>
      </c>
      <c r="JX37" s="713" t="str">
        <f ca="1">IF(INDIRECT(CONCATENATE($FK$12,Fixtures!JX$25))="","",IF(INDIRECT(CONCATENATE($FK$12,Fixtures!JX$25))=Fixtures!$DN37,CONCATENATE(JX$10,", "),""))</f>
        <v/>
      </c>
      <c r="JY37" s="713" t="str">
        <f ca="1">IF(INDIRECT(CONCATENATE($FK$12,Fixtures!JY$25))="","",IF(INDIRECT(CONCATENATE($FK$12,Fixtures!JY$25))=Fixtures!$DN37,CONCATENATE(JY$10,", "),""))</f>
        <v/>
      </c>
      <c r="JZ37" s="713" t="str">
        <f ca="1">IF(INDIRECT(CONCATENATE($FK$12,Fixtures!JZ$25))="","",IF(INDIRECT(CONCATENATE($FK$12,Fixtures!JZ$25))=Fixtures!$DN37,CONCATENATE(JZ$10,", "),""))</f>
        <v/>
      </c>
      <c r="KA37" s="713" t="str">
        <f ca="1">IF(INDIRECT(CONCATENATE($FK$12,Fixtures!KA$25))="","",IF(INDIRECT(CONCATENATE($FK$12,Fixtures!KA$25))=Fixtures!$DN37,CONCATENATE(KA$10,", "),""))</f>
        <v/>
      </c>
      <c r="KB37" s="713" t="str">
        <f ca="1">IF(INDIRECT(CONCATENATE($FK$12,Fixtures!KB$25))="","",IF(INDIRECT(CONCATENATE($FK$12,Fixtures!KB$25))=Fixtures!$DN37,CONCATENATE(KB$10,", "),""))</f>
        <v/>
      </c>
      <c r="KC37" s="713" t="str">
        <f ca="1">IF(INDIRECT(CONCATENATE($FK$12,Fixtures!KC$25))="","",IF(INDIRECT(CONCATENATE($FK$12,Fixtures!KC$25))=Fixtures!$DN37,CONCATENATE(KC$10,", "),""))</f>
        <v/>
      </c>
      <c r="KD37" s="713" t="str">
        <f ca="1">IF(INDIRECT(CONCATENATE($FK$12,Fixtures!KD$25))="","",IF(INDIRECT(CONCATENATE($FK$12,Fixtures!KD$25))=Fixtures!$DN37,CONCATENATE(KD$10,", "),""))</f>
        <v/>
      </c>
      <c r="KE37" s="713" t="str">
        <f ca="1">IF(INDIRECT(CONCATENATE($FK$12,Fixtures!KE$25))="","",IF(INDIRECT(CONCATENATE($FK$12,Fixtures!KE$25))=Fixtures!$DN37,CONCATENATE(KE$10,", "),""))</f>
        <v/>
      </c>
      <c r="KF37" s="713" t="str">
        <f ca="1">IF(INDIRECT(CONCATENATE($FK$12,Fixtures!KF$25))="","",IF(INDIRECT(CONCATENATE($FK$12,Fixtures!KF$25))=Fixtures!$DN37,CONCATENATE(KF$10,", "),""))</f>
        <v/>
      </c>
      <c r="KG37" s="713" t="str">
        <f ca="1">IF(INDIRECT(CONCATENATE($FK$12,Fixtures!KG$25))="","",IF(INDIRECT(CONCATENATE($FK$12,Fixtures!KG$25))=Fixtures!$DN37,CONCATENATE(KG$10,", "),""))</f>
        <v/>
      </c>
      <c r="KH37" s="713" t="str">
        <f ca="1">IF(INDIRECT(CONCATENATE($FK$12,Fixtures!KH$25))="","",IF(INDIRECT(CONCATENATE($FK$12,Fixtures!KH$25))=Fixtures!$DN37,CONCATENATE(KH$10,", "),""))</f>
        <v/>
      </c>
      <c r="KI37" s="713" t="str">
        <f ca="1">IF(INDIRECT(CONCATENATE($FK$12,Fixtures!KI$25))="","",IF(INDIRECT(CONCATENATE($FK$12,Fixtures!KI$25))=Fixtures!$DN37,CONCATENATE(KI$10,", "),""))</f>
        <v/>
      </c>
      <c r="KJ37" s="684" t="str">
        <f ca="1">IF(INDIRECT(CONCATENATE($FK$12,Fixtures!KJ$25))="","",IF(INDIRECT(CONCATENATE($FK$12,Fixtures!KJ$25))=Fixtures!$DN37,CONCATENATE(KJ$10,", "),""))</f>
        <v/>
      </c>
      <c r="KK37" s="685" t="str">
        <f ca="1">IF(INDIRECT(CONCATENATE($FK$12,Fixtures!KK$25))="","",IF(INDIRECT(CONCATENATE($FK$12,Fixtures!KK$25))=Fixtures!$DN37,CONCATENATE(KK$10,", "),""))</f>
        <v/>
      </c>
      <c r="KL37" s="713" t="str">
        <f ca="1">IF(INDIRECT(CONCATENATE($FK$12,Fixtures!KL$25))="","",IF(INDIRECT(CONCATENATE($FK$12,Fixtures!KL$25))=Fixtures!$DN37,CONCATENATE(KL$10,", "),""))</f>
        <v/>
      </c>
      <c r="KM37" s="713" t="str">
        <f ca="1">IF(INDIRECT(CONCATENATE($FK$12,Fixtures!KM$25))="","",IF(INDIRECT(CONCATENATE($FK$12,Fixtures!KM$25))=Fixtures!$DN37,CONCATENATE(KM$10,", "),""))</f>
        <v/>
      </c>
      <c r="KN37" s="713" t="str">
        <f ca="1">IF(INDIRECT(CONCATENATE($FK$12,Fixtures!KN$25))="","",IF(INDIRECT(CONCATENATE($FK$12,Fixtures!KN$25))=Fixtures!$DN37,CONCATENATE(KN$10,", "),""))</f>
        <v/>
      </c>
      <c r="KO37" s="713" t="str">
        <f ca="1">IF(INDIRECT(CONCATENATE($FK$12,Fixtures!KO$25))="","",IF(INDIRECT(CONCATENATE($FK$12,Fixtures!KO$25))=Fixtures!$DN37,CONCATENATE(KO$10,", "),""))</f>
        <v/>
      </c>
      <c r="KP37" s="713" t="str">
        <f ca="1">IF(INDIRECT(CONCATENATE($FK$12,Fixtures!KP$25))="","",IF(INDIRECT(CONCATENATE($FK$12,Fixtures!KP$25))=Fixtures!$DN37,CONCATENATE(KP$10,", "),""))</f>
        <v/>
      </c>
      <c r="KQ37" s="713" t="str">
        <f ca="1">IF(INDIRECT(CONCATENATE($FK$12,Fixtures!KQ$25))="","",IF(INDIRECT(CONCATENATE($FK$12,Fixtures!KQ$25))=Fixtures!$DN37,CONCATENATE(KQ$10,", "),""))</f>
        <v/>
      </c>
      <c r="KR37" s="713" t="str">
        <f ca="1">IF(INDIRECT(CONCATENATE($FK$12,Fixtures!KR$25))="","",IF(INDIRECT(CONCATENATE($FK$12,Fixtures!KR$25))=Fixtures!$DN37,CONCATENATE(KR$10,", "),""))</f>
        <v/>
      </c>
      <c r="KS37" s="713" t="str">
        <f ca="1">IF(INDIRECT(CONCATENATE($FK$12,Fixtures!KS$25))="","",IF(INDIRECT(CONCATENATE($FK$12,Fixtures!KS$25))=Fixtures!$DN37,CONCATENATE(KS$10,", "),""))</f>
        <v/>
      </c>
      <c r="KT37" s="713" t="str">
        <f ca="1">IF(INDIRECT(CONCATENATE($FK$12,Fixtures!KT$25))="","",IF(INDIRECT(CONCATENATE($FK$12,Fixtures!KT$25))=Fixtures!$DN37,CONCATENATE(KT$10,", "),""))</f>
        <v/>
      </c>
      <c r="KU37" s="713" t="str">
        <f ca="1">IF(INDIRECT(CONCATENATE($FK$12,Fixtures!KU$25))="","",IF(INDIRECT(CONCATENATE($FK$12,Fixtures!KU$25))=Fixtures!$DN37,CONCATENATE(KU$10,", "),""))</f>
        <v/>
      </c>
      <c r="KV37" s="713" t="str">
        <f ca="1">IF(INDIRECT(CONCATENATE($FK$12,Fixtures!KV$25))="","",IF(INDIRECT(CONCATENATE($FK$12,Fixtures!KV$25))=Fixtures!$DN37,CONCATENATE(KV$10,", "),""))</f>
        <v/>
      </c>
      <c r="KW37" s="713" t="str">
        <f ca="1">IF(INDIRECT(CONCATENATE($FK$12,Fixtures!KW$25))="","",IF(INDIRECT(CONCATENATE($FK$12,Fixtures!KW$25))=Fixtures!$DN37,CONCATENATE(KW$10,", "),""))</f>
        <v/>
      </c>
      <c r="KX37" s="713" t="str">
        <f ca="1">IF(INDIRECT(CONCATENATE($FK$12,Fixtures!KX$25))="","",IF(INDIRECT(CONCATENATE($FK$12,Fixtures!KX$25))=Fixtures!$DN37,CONCATENATE(KX$10,", "),""))</f>
        <v/>
      </c>
      <c r="KY37" s="713" t="str">
        <f ca="1">IF(INDIRECT(CONCATENATE($FK$12,Fixtures!KY$25))="","",IF(INDIRECT(CONCATENATE($FK$12,Fixtures!KY$25))=Fixtures!$DN37,CONCATENATE(KY$10,", "),""))</f>
        <v/>
      </c>
      <c r="KZ37" s="46"/>
      <c r="LA37" s="46" t="str">
        <f t="shared" ca="1" si="8"/>
        <v/>
      </c>
    </row>
    <row r="38" spans="1:313" ht="28.05" customHeight="1" thickTop="1" thickBot="1">
      <c r="A38" s="471" t="str">
        <f t="shared" si="13"/>
        <v/>
      </c>
      <c r="C38" s="1328" t="str">
        <f t="shared" si="14"/>
        <v/>
      </c>
      <c r="D38" s="1329"/>
      <c r="E38" s="1256" t="str">
        <f t="shared" si="15"/>
        <v/>
      </c>
      <c r="F38" s="1257"/>
      <c r="G38" s="1257"/>
      <c r="H38" s="1257"/>
      <c r="I38" s="1257"/>
      <c r="J38" s="1257"/>
      <c r="K38" s="1257"/>
      <c r="L38" s="1257"/>
      <c r="M38" s="1330"/>
      <c r="N38" s="239" t="str">
        <f t="shared" si="16"/>
        <v/>
      </c>
      <c r="O38" s="601"/>
      <c r="P38" s="1326" t="str">
        <f t="shared" si="25"/>
        <v/>
      </c>
      <c r="Q38" s="1327"/>
      <c r="R38" s="1256" t="str">
        <f t="shared" si="31"/>
        <v/>
      </c>
      <c r="S38" s="1257"/>
      <c r="T38" s="1257"/>
      <c r="U38" s="1257"/>
      <c r="V38" s="1257"/>
      <c r="W38" s="1257"/>
      <c r="X38" s="1257"/>
      <c r="Y38" s="239" t="str">
        <f t="shared" si="27"/>
        <v/>
      </c>
      <c r="Z38" s="239" t="str">
        <f t="shared" si="28"/>
        <v/>
      </c>
      <c r="AA38" s="439" t="str">
        <f t="shared" si="29"/>
        <v/>
      </c>
      <c r="AB38" s="542"/>
      <c r="AC38" s="1253" t="str">
        <f t="shared" si="17"/>
        <v/>
      </c>
      <c r="AD38" s="1166"/>
      <c r="AE38" s="1166"/>
      <c r="AF38" s="1166"/>
      <c r="AG38" s="1166"/>
      <c r="AH38" s="1166"/>
      <c r="AK38">
        <f>SUMIFS(Installations!CS$39:CS$800,Installations!CT$39:CT$800,E38,Installations!HX$39:HX$800,TRUE)</f>
        <v>0</v>
      </c>
      <c r="AL38">
        <f>SUMIFS(Installations!CS$39:CS$800,Installations!CT$39:CT$800,R38,Installations!HX$39:HX$800,TRUE)</f>
        <v>0</v>
      </c>
      <c r="BL38" s="9"/>
      <c r="BM38" s="703" t="str">
        <f t="shared" si="18"/>
        <v/>
      </c>
      <c r="BN38" s="52"/>
      <c r="BO38" s="52"/>
      <c r="BP38" s="52"/>
      <c r="BQ38" s="52"/>
      <c r="BR38" s="52"/>
      <c r="BS38" s="52"/>
      <c r="BT38" s="52"/>
      <c r="BU38" s="414"/>
      <c r="BV38" s="255" t="str">
        <f>IF(CN38&lt;&gt;"Yes","",IFERROR(VLOOKUP(CU38,Existing!A$4:F$364,2,FALSE),""))</f>
        <v/>
      </c>
      <c r="BW38" s="9">
        <v>12</v>
      </c>
      <c r="BX38" s="1313"/>
      <c r="BY38" s="1314"/>
      <c r="BZ38" s="1314"/>
      <c r="CA38" s="1315"/>
      <c r="CB38" s="1310"/>
      <c r="CC38" s="1311"/>
      <c r="CD38" s="1311"/>
      <c r="CE38" s="1312"/>
      <c r="CF38" s="1309"/>
      <c r="CG38" s="1309"/>
      <c r="CH38" s="1309"/>
      <c r="CI38" s="1309"/>
      <c r="CJ38" s="1309"/>
      <c r="CK38" s="1309"/>
      <c r="CL38" s="1309"/>
      <c r="CM38" s="1309"/>
      <c r="CN38" s="1243" t="str">
        <f t="shared" si="0"/>
        <v/>
      </c>
      <c r="CO38" s="1244"/>
      <c r="CP38" s="265" t="str">
        <f>IFERROR(IF(CB38="Existing TLED",CR38*CW38*CY38,VLOOKUP(CU38,Existing!A$3:F$353,6,FALSE)),"")</f>
        <v/>
      </c>
      <c r="CQ38" s="9"/>
      <c r="CR38" s="1343"/>
      <c r="CS38" s="1344"/>
      <c r="CT38" s="9"/>
      <c r="CU38" s="470" t="str">
        <f t="shared" si="21"/>
        <v/>
      </c>
      <c r="CV38" s="471" t="b">
        <f t="shared" si="22"/>
        <v>0</v>
      </c>
      <c r="CW38" s="471" t="str">
        <f t="shared" si="23"/>
        <v/>
      </c>
      <c r="CX38" s="471">
        <f>IFERROR(VLOOKUP(CF38,Lookup!M$100:O$102,3,FALSE),0)</f>
        <v>0</v>
      </c>
      <c r="CY38" s="471">
        <f t="shared" si="9"/>
        <v>1.1100000000000001</v>
      </c>
      <c r="CZ38" s="707" t="b">
        <f t="shared" si="1"/>
        <v>0</v>
      </c>
      <c r="DA38" s="707" t="b">
        <f>IF(CF38&lt;&gt;"",IF(ISERROR(MATCH(CONCATENATE(CB38," - ",CF38),Existing!G$4:G$328,0))=TRUE,FALSE,TRUE),TRUE)</f>
        <v>1</v>
      </c>
      <c r="DB38" s="707" t="b">
        <f t="shared" si="2"/>
        <v>1</v>
      </c>
      <c r="DL38" s="9"/>
      <c r="DM38" s="708" t="s">
        <v>166</v>
      </c>
      <c r="DN38" s="416" t="str">
        <f t="shared" si="3"/>
        <v/>
      </c>
      <c r="DO38" s="52"/>
      <c r="DP38" s="52"/>
      <c r="DQ38" s="52"/>
      <c r="DR38" s="52"/>
      <c r="DS38" s="52"/>
      <c r="DT38" s="262"/>
      <c r="DU38" s="417"/>
      <c r="DV38" s="263" t="str">
        <f t="shared" si="4"/>
        <v/>
      </c>
      <c r="DW38" s="260">
        <v>12</v>
      </c>
      <c r="DX38" s="1306"/>
      <c r="DY38" s="1307"/>
      <c r="DZ38" s="1307"/>
      <c r="EA38" s="1308"/>
      <c r="EB38" s="1306"/>
      <c r="EC38" s="1307"/>
      <c r="ED38" s="1307"/>
      <c r="EE38" s="1308"/>
      <c r="EF38" s="1266"/>
      <c r="EG38" s="1267"/>
      <c r="EH38" s="1306"/>
      <c r="EI38" s="1307"/>
      <c r="EJ38" s="1307"/>
      <c r="EK38" s="1308"/>
      <c r="EL38" s="1263"/>
      <c r="EM38" s="1264"/>
      <c r="EN38" s="1264"/>
      <c r="EO38" s="1265"/>
      <c r="EP38" s="1266"/>
      <c r="EQ38" s="1267"/>
      <c r="ER38" s="1245"/>
      <c r="ES38" s="1246"/>
      <c r="ET38" s="1243" t="str">
        <f t="shared" si="5"/>
        <v/>
      </c>
      <c r="EU38" s="1244"/>
      <c r="EV38" s="1243" t="str">
        <f t="shared" si="30"/>
        <v/>
      </c>
      <c r="EW38" s="1244"/>
      <c r="EX38" s="438"/>
      <c r="EY38" s="261" t="str">
        <f t="shared" si="7"/>
        <v/>
      </c>
      <c r="EZ38" s="261" t="str">
        <f>IFERROR(VLOOKUP(EB38,Lookup!AM$3:AN$13,2,FALSE),"")</f>
        <v/>
      </c>
      <c r="FA38" s="471" t="b">
        <f>IFERROR(IF(VLOOKUP(EB38,Lookup!AM$6:AN$8,2,FALSE)&gt;3,TRUE,FALSE),FALSE)</f>
        <v>0</v>
      </c>
      <c r="FB38" s="471">
        <f t="shared" si="11"/>
        <v>1</v>
      </c>
      <c r="FC38" t="str">
        <f t="shared" ca="1" si="10"/>
        <v/>
      </c>
      <c r="FG38" t="str">
        <f t="shared" ca="1" si="12"/>
        <v/>
      </c>
      <c r="FI38" s="240" t="str">
        <f t="shared" ca="1" si="24"/>
        <v/>
      </c>
      <c r="FJ38" s="240"/>
      <c r="FK38" s="712" t="str">
        <f ca="1">IF(INDIRECT(CONCATENATE($FK$12,Fixtures!FK$25))="","",IF(INDIRECT(CONCATENATE($FK$12,Fixtures!FK$25))=Fixtures!$DN38,CONCATENATE(FK$10,", "),""))</f>
        <v/>
      </c>
      <c r="FL38" s="712" t="str">
        <f ca="1">IF(INDIRECT(CONCATENATE($FK$12,Fixtures!FL$25))="","",IF(INDIRECT(CONCATENATE($FK$12,Fixtures!FL$25))=Fixtures!$DN38,CONCATENATE(FL$10,", "),""))</f>
        <v/>
      </c>
      <c r="FM38" s="712" t="str">
        <f ca="1">IF(INDIRECT(CONCATENATE($FK$12,Fixtures!FM$25))="","",IF(INDIRECT(CONCATENATE($FK$12,Fixtures!FM$25))=Fixtures!$DN38,CONCATENATE(FM$10,", "),""))</f>
        <v/>
      </c>
      <c r="FN38" s="712" t="str">
        <f ca="1">IF(INDIRECT(CONCATENATE($FK$12,Fixtures!FN$25))="","",IF(INDIRECT(CONCATENATE($FK$12,Fixtures!FN$25))=Fixtures!$DN38,CONCATENATE(FN$10,", "),""))</f>
        <v/>
      </c>
      <c r="FO38" s="712" t="str">
        <f ca="1">IF(INDIRECT(CONCATENATE($FK$12,Fixtures!FO$25))="","",IF(INDIRECT(CONCATENATE($FK$12,Fixtures!FO$25))=Fixtures!$DN38,CONCATENATE(FO$10,", "),""))</f>
        <v/>
      </c>
      <c r="FP38" s="712" t="str">
        <f ca="1">IF(INDIRECT(CONCATENATE($FK$12,Fixtures!FP$25))="","",IF(INDIRECT(CONCATENATE($FK$12,Fixtures!FP$25))=Fixtures!$DN38,CONCATENATE(FP$10,", "),""))</f>
        <v/>
      </c>
      <c r="FQ38" s="712" t="str">
        <f ca="1">IF(INDIRECT(CONCATENATE($FK$12,Fixtures!FQ$25))="","",IF(INDIRECT(CONCATENATE($FK$12,Fixtures!FQ$25))=Fixtures!$DN38,CONCATENATE(FQ$10,", "),""))</f>
        <v/>
      </c>
      <c r="FR38" s="712" t="str">
        <f ca="1">IF(INDIRECT(CONCATENATE($FK$12,Fixtures!FR$25))="","",IF(INDIRECT(CONCATENATE($FK$12,Fixtures!FR$25))=Fixtures!$DN38,CONCATENATE(FR$10,", "),""))</f>
        <v/>
      </c>
      <c r="FS38" s="712" t="str">
        <f ca="1">IF(INDIRECT(CONCATENATE($FK$12,Fixtures!FS$25))="","",IF(INDIRECT(CONCATENATE($FK$12,Fixtures!FS$25))=Fixtures!$DN38,CONCATENATE(FS$10,", "),""))</f>
        <v/>
      </c>
      <c r="FT38" s="682" t="str">
        <f ca="1">IF(INDIRECT(CONCATENATE($FK$12,Fixtures!FT$25))="","",IF(INDIRECT(CONCATENATE($FK$12,Fixtures!FT$25))=Fixtures!$DN38,CONCATENATE(FT$10,", "),""))</f>
        <v/>
      </c>
      <c r="FU38" s="683" t="str">
        <f ca="1">IF(INDIRECT(CONCATENATE($FK$12,Fixtures!FU$25))="","",IF(INDIRECT(CONCATENATE($FK$12,Fixtures!FU$25))=Fixtures!$DN38,CONCATENATE(FU$10,", "),""))</f>
        <v/>
      </c>
      <c r="FV38" s="712" t="str">
        <f ca="1">IF(INDIRECT(CONCATENATE($FK$12,Fixtures!FV$25))="","",IF(INDIRECT(CONCATENATE($FK$12,Fixtures!FV$25))=Fixtures!$DN38,CONCATENATE(FV$10,", "),""))</f>
        <v/>
      </c>
      <c r="FW38" s="713" t="str">
        <f ca="1">IF(INDIRECT(CONCATENATE($FK$12,Fixtures!FW$25))="","",IF(INDIRECT(CONCATENATE($FK$12,Fixtures!FW$25))=Fixtures!$DN38,CONCATENATE(FW$10,", "),""))</f>
        <v/>
      </c>
      <c r="FX38" s="713" t="str">
        <f ca="1">IF(INDIRECT(CONCATENATE($FK$12,Fixtures!FX$25))="","",IF(INDIRECT(CONCATENATE($FK$12,Fixtures!FX$25))=Fixtures!$DN38,CONCATENATE(FX$10,", "),""))</f>
        <v/>
      </c>
      <c r="FY38" s="713" t="str">
        <f ca="1">IF(INDIRECT(CONCATENATE($FK$12,Fixtures!FY$25))="","",IF(INDIRECT(CONCATENATE($FK$12,Fixtures!FY$25))=Fixtures!$DN38,CONCATENATE(FY$10,", "),""))</f>
        <v/>
      </c>
      <c r="FZ38" s="713" t="str">
        <f ca="1">IF(INDIRECT(CONCATENATE($FK$12,Fixtures!FZ$25))="","",IF(INDIRECT(CONCATENATE($FK$12,Fixtures!FZ$25))=Fixtures!$DN38,CONCATENATE(FZ$10,", "),""))</f>
        <v/>
      </c>
      <c r="GA38" s="713" t="str">
        <f ca="1">IF(INDIRECT(CONCATENATE($FK$12,Fixtures!GA$25))="","",IF(INDIRECT(CONCATENATE($FK$12,Fixtures!GA$25))=Fixtures!$DN38,CONCATENATE(GA$10,", "),""))</f>
        <v/>
      </c>
      <c r="GB38" s="713" t="str">
        <f ca="1">IF(INDIRECT(CONCATENATE($FK$12,Fixtures!GB$25))="","",IF(INDIRECT(CONCATENATE($FK$12,Fixtures!GB$25))=Fixtures!$DN38,CONCATENATE(GB$10,", "),""))</f>
        <v/>
      </c>
      <c r="GC38" s="713" t="str">
        <f ca="1">IF(INDIRECT(CONCATENATE($FK$12,Fixtures!GC$25))="","",IF(INDIRECT(CONCATENATE($FK$12,Fixtures!GC$25))=Fixtures!$DN38,CONCATENATE(GC$10,", "),""))</f>
        <v/>
      </c>
      <c r="GD38" s="713" t="str">
        <f ca="1">IF(INDIRECT(CONCATENATE($FK$12,Fixtures!GD$25))="","",IF(INDIRECT(CONCATENATE($FK$12,Fixtures!GD$25))=Fixtures!$DN38,CONCATENATE(GD$10,", "),""))</f>
        <v/>
      </c>
      <c r="GE38" s="713" t="str">
        <f ca="1">IF(INDIRECT(CONCATENATE($FK$12,Fixtures!GE$25))="","",IF(INDIRECT(CONCATENATE($FK$12,Fixtures!GE$25))=Fixtures!$DN38,CONCATENATE(GE$10,", "),""))</f>
        <v/>
      </c>
      <c r="GF38" s="713" t="str">
        <f ca="1">IF(INDIRECT(CONCATENATE($FK$12,Fixtures!GF$25))="","",IF(INDIRECT(CONCATENATE($FK$12,Fixtures!GF$25))=Fixtures!$DN38,CONCATENATE(GF$10,", "),""))</f>
        <v/>
      </c>
      <c r="GG38" s="713" t="str">
        <f ca="1">IF(INDIRECT(CONCATENATE($FK$12,Fixtures!GG$25))="","",IF(INDIRECT(CONCATENATE($FK$12,Fixtures!GG$25))=Fixtures!$DN38,CONCATENATE(GG$10,", "),""))</f>
        <v/>
      </c>
      <c r="GH38" s="713" t="str">
        <f ca="1">IF(INDIRECT(CONCATENATE($FK$12,Fixtures!GH$25))="","",IF(INDIRECT(CONCATENATE($FK$12,Fixtures!GH$25))=Fixtures!$DN38,CONCATENATE(GH$10,", "),""))</f>
        <v/>
      </c>
      <c r="GI38" s="684" t="str">
        <f ca="1">IF(INDIRECT(CONCATENATE($FK$12,Fixtures!GI$25))="","",IF(INDIRECT(CONCATENATE($FK$12,Fixtures!GI$25))=Fixtures!$DN38,CONCATENATE(GI$10,", "),""))</f>
        <v/>
      </c>
      <c r="GJ38" s="685" t="str">
        <f ca="1">IF(INDIRECT(CONCATENATE($FK$12,Fixtures!GJ$25))="","",IF(INDIRECT(CONCATENATE($FK$12,Fixtures!GJ$25))=Fixtures!$DN38,CONCATENATE(GJ$10,", "),""))</f>
        <v/>
      </c>
      <c r="GK38" s="713" t="str">
        <f ca="1">IF(INDIRECT(CONCATENATE($FK$12,Fixtures!GK$25))="","",IF(INDIRECT(CONCATENATE($FK$12,Fixtures!GK$25))=Fixtures!$DN38,CONCATENATE(GK$10,", "),""))</f>
        <v/>
      </c>
      <c r="GL38" s="713" t="str">
        <f ca="1">IF(INDIRECT(CONCATENATE($FK$12,Fixtures!GL$25))="","",IF(INDIRECT(CONCATENATE($FK$12,Fixtures!GL$25))=Fixtures!$DN38,CONCATENATE(GL$10,", "),""))</f>
        <v/>
      </c>
      <c r="GM38" s="713" t="str">
        <f ca="1">IF(INDIRECT(CONCATENATE($FK$12,Fixtures!GM$25))="","",IF(INDIRECT(CONCATENATE($FK$12,Fixtures!GM$25))=Fixtures!$DN38,CONCATENATE(GM$10,", "),""))</f>
        <v/>
      </c>
      <c r="GN38" s="713" t="str">
        <f ca="1">IF(INDIRECT(CONCATENATE($FK$12,Fixtures!GN$25))="","",IF(INDIRECT(CONCATENATE($FK$12,Fixtures!GN$25))=Fixtures!$DN38,CONCATENATE(GN$10,", "),""))</f>
        <v/>
      </c>
      <c r="GO38" s="713" t="str">
        <f ca="1">IF(INDIRECT(CONCATENATE($FK$12,Fixtures!GO$25))="","",IF(INDIRECT(CONCATENATE($FK$12,Fixtures!GO$25))=Fixtures!$DN38,CONCATENATE(GO$10,", "),""))</f>
        <v/>
      </c>
      <c r="GP38" s="713" t="str">
        <f ca="1">IF(INDIRECT(CONCATENATE($FK$12,Fixtures!GP$25))="","",IF(INDIRECT(CONCATENATE($FK$12,Fixtures!GP$25))=Fixtures!$DN38,CONCATENATE(GP$10,", "),""))</f>
        <v/>
      </c>
      <c r="GQ38" s="713" t="str">
        <f ca="1">IF(INDIRECT(CONCATENATE($FK$12,Fixtures!GQ$25))="","",IF(INDIRECT(CONCATENATE($FK$12,Fixtures!GQ$25))=Fixtures!$DN38,CONCATENATE(GQ$10,", "),""))</f>
        <v/>
      </c>
      <c r="GR38" s="713" t="str">
        <f ca="1">IF(INDIRECT(CONCATENATE($FK$12,Fixtures!GR$25))="","",IF(INDIRECT(CONCATENATE($FK$12,Fixtures!GR$25))=Fixtures!$DN38,CONCATENATE(GR$10,", "),""))</f>
        <v/>
      </c>
      <c r="GS38" s="713" t="str">
        <f ca="1">IF(INDIRECT(CONCATENATE($FK$12,Fixtures!GS$25))="","",IF(INDIRECT(CONCATENATE($FK$12,Fixtures!GS$25))=Fixtures!$DN38,CONCATENATE(GS$10,", "),""))</f>
        <v/>
      </c>
      <c r="GT38" s="713" t="str">
        <f ca="1">IF(INDIRECT(CONCATENATE($FK$12,Fixtures!GT$25))="","",IF(INDIRECT(CONCATENATE($FK$12,Fixtures!GT$25))=Fixtures!$DN38,CONCATENATE(GT$10,", "),""))</f>
        <v/>
      </c>
      <c r="GU38" s="713" t="str">
        <f ca="1">IF(INDIRECT(CONCATENATE($FK$12,Fixtures!GU$25))="","",IF(INDIRECT(CONCATENATE($FK$12,Fixtures!GU$25))=Fixtures!$DN38,CONCATENATE(GU$10,", "),""))</f>
        <v/>
      </c>
      <c r="GV38" s="713" t="str">
        <f ca="1">IF(INDIRECT(CONCATENATE($FK$12,Fixtures!GV$25))="","",IF(INDIRECT(CONCATENATE($FK$12,Fixtures!GV$25))=Fixtures!$DN38,CONCATENATE(GV$10,", "),""))</f>
        <v/>
      </c>
      <c r="GW38" s="713" t="str">
        <f ca="1">IF(INDIRECT(CONCATENATE($FK$12,Fixtures!GW$25))="","",IF(INDIRECT(CONCATENATE($FK$12,Fixtures!GW$25))=Fixtures!$DN38,CONCATENATE(GW$10,", "),""))</f>
        <v/>
      </c>
      <c r="GX38" s="684" t="str">
        <f ca="1">IF(INDIRECT(CONCATENATE($FK$12,Fixtures!GX$25))="","",IF(INDIRECT(CONCATENATE($FK$12,Fixtures!GX$25))=Fixtures!$DN38,CONCATENATE(GX$10,", "),""))</f>
        <v/>
      </c>
      <c r="GY38" s="685" t="str">
        <f ca="1">IF(INDIRECT(CONCATENATE($FK$12,Fixtures!GY$25))="","",IF(INDIRECT(CONCATENATE($FK$12,Fixtures!GY$25))=Fixtures!$DN38,CONCATENATE(GY$10,", "),""))</f>
        <v/>
      </c>
      <c r="GZ38" s="713" t="str">
        <f ca="1">IF(INDIRECT(CONCATENATE($FK$12,Fixtures!GZ$25))="","",IF(INDIRECT(CONCATENATE($FK$12,Fixtures!GZ$25))=Fixtures!$DN38,CONCATENATE(GZ$10,", "),""))</f>
        <v/>
      </c>
      <c r="HA38" s="713" t="str">
        <f ca="1">IF(INDIRECT(CONCATENATE($FK$12,Fixtures!HA$25))="","",IF(INDIRECT(CONCATENATE($FK$12,Fixtures!HA$25))=Fixtures!$DN38,CONCATENATE(HA$10,", "),""))</f>
        <v/>
      </c>
      <c r="HB38" s="713" t="str">
        <f ca="1">IF(INDIRECT(CONCATENATE($FK$12,Fixtures!HB$25))="","",IF(INDIRECT(CONCATENATE($FK$12,Fixtures!HB$25))=Fixtures!$DN38,CONCATENATE(HB$10,", "),""))</f>
        <v/>
      </c>
      <c r="HC38" s="713" t="str">
        <f ca="1">IF(INDIRECT(CONCATENATE($FK$12,Fixtures!HC$25))="","",IF(INDIRECT(CONCATENATE($FK$12,Fixtures!HC$25))=Fixtures!$DN38,CONCATENATE(HC$10,", "),""))</f>
        <v/>
      </c>
      <c r="HD38" s="713" t="str">
        <f ca="1">IF(INDIRECT(CONCATENATE($FK$12,Fixtures!HD$25))="","",IF(INDIRECT(CONCATENATE($FK$12,Fixtures!HD$25))=Fixtures!$DN38,CONCATENATE(HD$10,", "),""))</f>
        <v/>
      </c>
      <c r="HE38" s="713" t="str">
        <f ca="1">IF(INDIRECT(CONCATENATE($FK$12,Fixtures!HE$25))="","",IF(INDIRECT(CONCATENATE($FK$12,Fixtures!HE$25))=Fixtures!$DN38,CONCATENATE(HE$10,", "),""))</f>
        <v/>
      </c>
      <c r="HF38" s="713" t="str">
        <f ca="1">IF(INDIRECT(CONCATENATE($FK$12,Fixtures!HF$25))="","",IF(INDIRECT(CONCATENATE($FK$12,Fixtures!HF$25))=Fixtures!$DN38,CONCATENATE(HF$10,", "),""))</f>
        <v/>
      </c>
      <c r="HG38" s="713" t="str">
        <f ca="1">IF(INDIRECT(CONCATENATE($FK$12,Fixtures!HG$25))="","",IF(INDIRECT(CONCATENATE($FK$12,Fixtures!HG$25))=Fixtures!$DN38,CONCATENATE(HG$10,", "),""))</f>
        <v/>
      </c>
      <c r="HH38" s="713" t="str">
        <f ca="1">IF(INDIRECT(CONCATENATE($FK$12,Fixtures!HH$25))="","",IF(INDIRECT(CONCATENATE($FK$12,Fixtures!HH$25))=Fixtures!$DN38,CONCATENATE(HH$10,", "),""))</f>
        <v/>
      </c>
      <c r="HI38" s="713" t="str">
        <f ca="1">IF(INDIRECT(CONCATENATE($FK$12,Fixtures!HI$25))="","",IF(INDIRECT(CONCATENATE($FK$12,Fixtures!HI$25))=Fixtures!$DN38,CONCATENATE(HI$10,", "),""))</f>
        <v/>
      </c>
      <c r="HJ38" s="713" t="str">
        <f ca="1">IF(INDIRECT(CONCATENATE($FK$12,Fixtures!HJ$25))="","",IF(INDIRECT(CONCATENATE($FK$12,Fixtures!HJ$25))=Fixtures!$DN38,CONCATENATE(HJ$10,", "),""))</f>
        <v/>
      </c>
      <c r="HK38" s="713" t="str">
        <f ca="1">IF(INDIRECT(CONCATENATE($FK$12,Fixtures!HK$25))="","",IF(INDIRECT(CONCATENATE($FK$12,Fixtures!HK$25))=Fixtures!$DN38,CONCATENATE(HK$10,", "),""))</f>
        <v/>
      </c>
      <c r="HL38" s="713" t="str">
        <f ca="1">IF(INDIRECT(CONCATENATE($FK$12,Fixtures!HL$25))="","",IF(INDIRECT(CONCATENATE($FK$12,Fixtures!HL$25))=Fixtures!$DN38,CONCATENATE(HL$10,", "),""))</f>
        <v/>
      </c>
      <c r="HM38" s="684" t="str">
        <f ca="1">IF(INDIRECT(CONCATENATE($FK$12,Fixtures!HM$25))="","",IF(INDIRECT(CONCATENATE($FK$12,Fixtures!HM$25))=Fixtures!$DN38,CONCATENATE(HM$10,", "),""))</f>
        <v/>
      </c>
      <c r="HN38" s="685" t="str">
        <f ca="1">IF(INDIRECT(CONCATENATE($FK$12,Fixtures!HN$25))="","",IF(INDIRECT(CONCATENATE($FK$12,Fixtures!HN$25))=Fixtures!$DN38,CONCATENATE(HN$10,", "),""))</f>
        <v/>
      </c>
      <c r="HO38" s="713" t="str">
        <f ca="1">IF(INDIRECT(CONCATENATE($FK$12,Fixtures!HO$25))="","",IF(INDIRECT(CONCATENATE($FK$12,Fixtures!HO$25))=Fixtures!$DN38,CONCATENATE(HO$10,", "),""))</f>
        <v/>
      </c>
      <c r="HP38" s="713" t="str">
        <f ca="1">IF(INDIRECT(CONCATENATE($FK$12,Fixtures!HP$25))="","",IF(INDIRECT(CONCATENATE($FK$12,Fixtures!HP$25))=Fixtures!$DN38,CONCATENATE(HP$10,", "),""))</f>
        <v/>
      </c>
      <c r="HQ38" s="713" t="str">
        <f ca="1">IF(INDIRECT(CONCATENATE($FK$12,Fixtures!HQ$25))="","",IF(INDIRECT(CONCATENATE($FK$12,Fixtures!HQ$25))=Fixtures!$DN38,CONCATENATE(HQ$10,", "),""))</f>
        <v/>
      </c>
      <c r="HR38" s="713" t="str">
        <f ca="1">IF(INDIRECT(CONCATENATE($FK$12,Fixtures!HR$25))="","",IF(INDIRECT(CONCATENATE($FK$12,Fixtures!HR$25))=Fixtures!$DN38,CONCATENATE(HR$10,", "),""))</f>
        <v/>
      </c>
      <c r="HS38" s="713" t="str">
        <f ca="1">IF(INDIRECT(CONCATENATE($FK$12,Fixtures!HS$25))="","",IF(INDIRECT(CONCATENATE($FK$12,Fixtures!HS$25))=Fixtures!$DN38,CONCATENATE(HS$10,", "),""))</f>
        <v/>
      </c>
      <c r="HT38" s="713" t="str">
        <f ca="1">IF(INDIRECT(CONCATENATE($FK$12,Fixtures!HT$25))="","",IF(INDIRECT(CONCATENATE($FK$12,Fixtures!HT$25))=Fixtures!$DN38,CONCATENATE(HT$10,", "),""))</f>
        <v/>
      </c>
      <c r="HU38" s="713" t="str">
        <f ca="1">IF(INDIRECT(CONCATENATE($FK$12,Fixtures!HU$25))="","",IF(INDIRECT(CONCATENATE($FK$12,Fixtures!HU$25))=Fixtures!$DN38,CONCATENATE(HU$10,", "),""))</f>
        <v/>
      </c>
      <c r="HV38" s="713" t="str">
        <f ca="1">IF(INDIRECT(CONCATENATE($FK$12,Fixtures!HV$25))="","",IF(INDIRECT(CONCATENATE($FK$12,Fixtures!HV$25))=Fixtures!$DN38,CONCATENATE(HV$10,", "),""))</f>
        <v/>
      </c>
      <c r="HW38" s="713" t="str">
        <f ca="1">IF(INDIRECT(CONCATENATE($FK$12,Fixtures!HW$25))="","",IF(INDIRECT(CONCATENATE($FK$12,Fixtures!HW$25))=Fixtures!$DN38,CONCATENATE(HW$10,", "),""))</f>
        <v/>
      </c>
      <c r="HX38" s="713" t="str">
        <f ca="1">IF(INDIRECT(CONCATENATE($FK$12,Fixtures!HX$25))="","",IF(INDIRECT(CONCATENATE($FK$12,Fixtures!HX$25))=Fixtures!$DN38,CONCATENATE(HX$10,", "),""))</f>
        <v/>
      </c>
      <c r="HY38" s="713" t="str">
        <f ca="1">IF(INDIRECT(CONCATENATE($FK$12,Fixtures!HY$25))="","",IF(INDIRECT(CONCATENATE($FK$12,Fixtures!HY$25))=Fixtures!$DN38,CONCATENATE(HY$10,", "),""))</f>
        <v/>
      </c>
      <c r="HZ38" s="713" t="str">
        <f ca="1">IF(INDIRECT(CONCATENATE($FK$12,Fixtures!HZ$25))="","",IF(INDIRECT(CONCATENATE($FK$12,Fixtures!HZ$25))=Fixtures!$DN38,CONCATENATE(HZ$10,", "),""))</f>
        <v/>
      </c>
      <c r="IA38" s="713" t="str">
        <f ca="1">IF(INDIRECT(CONCATENATE($FK$12,Fixtures!IA$25))="","",IF(INDIRECT(CONCATENATE($FK$12,Fixtures!IA$25))=Fixtures!$DN38,CONCATENATE(IA$10,", "),""))</f>
        <v/>
      </c>
      <c r="IB38" s="684" t="str">
        <f ca="1">IF(INDIRECT(CONCATENATE($FK$12,Fixtures!IB$25))="","",IF(INDIRECT(CONCATENATE($FK$12,Fixtures!IB$25))=Fixtures!$DN38,CONCATENATE(IB$10,", "),""))</f>
        <v/>
      </c>
      <c r="IC38" s="685" t="str">
        <f ca="1">IF(INDIRECT(CONCATENATE($FK$12,Fixtures!IC$25))="","",IF(INDIRECT(CONCATENATE($FK$12,Fixtures!IC$25))=Fixtures!$DN38,CONCATENATE(IC$10,", "),""))</f>
        <v/>
      </c>
      <c r="ID38" s="713" t="str">
        <f ca="1">IF(INDIRECT(CONCATENATE($FK$12,Fixtures!ID$25))="","",IF(INDIRECT(CONCATENATE($FK$12,Fixtures!ID$25))=Fixtures!$DN38,CONCATENATE(ID$10,", "),""))</f>
        <v/>
      </c>
      <c r="IE38" s="713" t="str">
        <f ca="1">IF(INDIRECT(CONCATENATE($FK$12,Fixtures!IE$25))="","",IF(INDIRECT(CONCATENATE($FK$12,Fixtures!IE$25))=Fixtures!$DN38,CONCATENATE(IE$10,", "),""))</f>
        <v/>
      </c>
      <c r="IF38" s="713" t="str">
        <f ca="1">IF(INDIRECT(CONCATENATE($FK$12,Fixtures!IF$25))="","",IF(INDIRECT(CONCATENATE($FK$12,Fixtures!IF$25))=Fixtures!$DN38,CONCATENATE(IF$10,", "),""))</f>
        <v/>
      </c>
      <c r="IG38" s="713" t="str">
        <f ca="1">IF(INDIRECT(CONCATENATE($FK$12,Fixtures!IG$25))="","",IF(INDIRECT(CONCATENATE($FK$12,Fixtures!IG$25))=Fixtures!$DN38,CONCATENATE(IG$10,", "),""))</f>
        <v/>
      </c>
      <c r="IH38" s="713" t="str">
        <f ca="1">IF(INDIRECT(CONCATENATE($FK$12,Fixtures!IH$25))="","",IF(INDIRECT(CONCATENATE($FK$12,Fixtures!IH$25))=Fixtures!$DN38,CONCATENATE(IH$10,", "),""))</f>
        <v/>
      </c>
      <c r="II38" s="713" t="str">
        <f ca="1">IF(INDIRECT(CONCATENATE($FK$12,Fixtures!II$25))="","",IF(INDIRECT(CONCATENATE($FK$12,Fixtures!II$25))=Fixtures!$DN38,CONCATENATE(II$10,", "),""))</f>
        <v/>
      </c>
      <c r="IJ38" s="713" t="str">
        <f ca="1">IF(INDIRECT(CONCATENATE($FK$12,Fixtures!IJ$25))="","",IF(INDIRECT(CONCATENATE($FK$12,Fixtures!IJ$25))=Fixtures!$DN38,CONCATENATE(IJ$10,", "),""))</f>
        <v/>
      </c>
      <c r="IK38" s="713" t="str">
        <f ca="1">IF(INDIRECT(CONCATENATE($FK$12,Fixtures!IK$25))="","",IF(INDIRECT(CONCATENATE($FK$12,Fixtures!IK$25))=Fixtures!$DN38,CONCATENATE(IK$10,", "),""))</f>
        <v/>
      </c>
      <c r="IL38" s="713" t="str">
        <f ca="1">IF(INDIRECT(CONCATENATE($FK$12,Fixtures!IL$25))="","",IF(INDIRECT(CONCATENATE($FK$12,Fixtures!IL$25))=Fixtures!$DN38,CONCATENATE(IL$10,", "),""))</f>
        <v/>
      </c>
      <c r="IM38" s="713" t="str">
        <f ca="1">IF(INDIRECT(CONCATENATE($FK$12,Fixtures!IM$25))="","",IF(INDIRECT(CONCATENATE($FK$12,Fixtures!IM$25))=Fixtures!$DN38,CONCATENATE(IM$10,", "),""))</f>
        <v/>
      </c>
      <c r="IN38" s="713" t="str">
        <f ca="1">IF(INDIRECT(CONCATENATE($FK$12,Fixtures!IN$25))="","",IF(INDIRECT(CONCATENATE($FK$12,Fixtures!IN$25))=Fixtures!$DN38,CONCATENATE(IN$10,", "),""))</f>
        <v/>
      </c>
      <c r="IO38" s="713" t="str">
        <f ca="1">IF(INDIRECT(CONCATENATE($FK$12,Fixtures!IO$25))="","",IF(INDIRECT(CONCATENATE($FK$12,Fixtures!IO$25))=Fixtures!$DN38,CONCATENATE(IO$10,", "),""))</f>
        <v/>
      </c>
      <c r="IP38" s="713" t="str">
        <f ca="1">IF(INDIRECT(CONCATENATE($FK$12,Fixtures!IP$25))="","",IF(INDIRECT(CONCATENATE($FK$12,Fixtures!IP$25))=Fixtures!$DN38,CONCATENATE(IP$10,", "),""))</f>
        <v/>
      </c>
      <c r="IQ38" s="684" t="str">
        <f ca="1">IF(INDIRECT(CONCATENATE($FK$12,Fixtures!IQ$25))="","",IF(INDIRECT(CONCATENATE($FK$12,Fixtures!IQ$25))=Fixtures!$DN38,CONCATENATE(IQ$10,", "),""))</f>
        <v/>
      </c>
      <c r="IR38" s="685" t="str">
        <f ca="1">IF(INDIRECT(CONCATENATE($FK$12,Fixtures!IR$25))="","",IF(INDIRECT(CONCATENATE($FK$12,Fixtures!IR$25))=Fixtures!$DN38,CONCATENATE(IR$10,", "),""))</f>
        <v/>
      </c>
      <c r="IS38" s="713" t="str">
        <f ca="1">IF(INDIRECT(CONCATENATE($FK$12,Fixtures!IS$25))="","",IF(INDIRECT(CONCATENATE($FK$12,Fixtures!IS$25))=Fixtures!$DN38,CONCATENATE(IS$10,", "),""))</f>
        <v/>
      </c>
      <c r="IT38" s="713" t="str">
        <f ca="1">IF(INDIRECT(CONCATENATE($FK$12,Fixtures!IT$25))="","",IF(INDIRECT(CONCATENATE($FK$12,Fixtures!IT$25))=Fixtures!$DN38,CONCATENATE(IT$10,", "),""))</f>
        <v/>
      </c>
      <c r="IU38" s="713" t="str">
        <f ca="1">IF(INDIRECT(CONCATENATE($FK$12,Fixtures!IU$25))="","",IF(INDIRECT(CONCATENATE($FK$12,Fixtures!IU$25))=Fixtures!$DN38,CONCATENATE(IU$10,", "),""))</f>
        <v/>
      </c>
      <c r="IV38" s="713" t="str">
        <f ca="1">IF(INDIRECT(CONCATENATE($FK$12,Fixtures!IV$25))="","",IF(INDIRECT(CONCATENATE($FK$12,Fixtures!IV$25))=Fixtures!$DN38,CONCATENATE(IV$10,", "),""))</f>
        <v/>
      </c>
      <c r="IW38" s="713" t="str">
        <f ca="1">IF(INDIRECT(CONCATENATE($FK$12,Fixtures!IW$25))="","",IF(INDIRECT(CONCATENATE($FK$12,Fixtures!IW$25))=Fixtures!$DN38,CONCATENATE(IW$10,", "),""))</f>
        <v/>
      </c>
      <c r="IX38" s="713" t="str">
        <f ca="1">IF(INDIRECT(CONCATENATE($FK$12,Fixtures!IX$25))="","",IF(INDIRECT(CONCATENATE($FK$12,Fixtures!IX$25))=Fixtures!$DN38,CONCATENATE(IX$10,", "),""))</f>
        <v/>
      </c>
      <c r="IY38" s="713" t="str">
        <f ca="1">IF(INDIRECT(CONCATENATE($FK$12,Fixtures!IY$25))="","",IF(INDIRECT(CONCATENATE($FK$12,Fixtures!IY$25))=Fixtures!$DN38,CONCATENATE(IY$10,", "),""))</f>
        <v/>
      </c>
      <c r="IZ38" s="713" t="str">
        <f ca="1">IF(INDIRECT(CONCATENATE($FK$12,Fixtures!IZ$25))="","",IF(INDIRECT(CONCATENATE($FK$12,Fixtures!IZ$25))=Fixtures!$DN38,CONCATENATE(IZ$10,", "),""))</f>
        <v/>
      </c>
      <c r="JA38" s="713" t="str">
        <f ca="1">IF(INDIRECT(CONCATENATE($FK$12,Fixtures!JA$25))="","",IF(INDIRECT(CONCATENATE($FK$12,Fixtures!JA$25))=Fixtures!$DN38,CONCATENATE(JA$10,", "),""))</f>
        <v/>
      </c>
      <c r="JB38" s="713" t="str">
        <f ca="1">IF(INDIRECT(CONCATENATE($FK$12,Fixtures!JB$25))="","",IF(INDIRECT(CONCATENATE($FK$12,Fixtures!JB$25))=Fixtures!$DN38,CONCATENATE(JB$10,", "),""))</f>
        <v/>
      </c>
      <c r="JC38" s="713" t="str">
        <f ca="1">IF(INDIRECT(CONCATENATE($FK$12,Fixtures!JC$25))="","",IF(INDIRECT(CONCATENATE($FK$12,Fixtures!JC$25))=Fixtures!$DN38,CONCATENATE(JC$10,", "),""))</f>
        <v/>
      </c>
      <c r="JD38" s="713" t="str">
        <f ca="1">IF(INDIRECT(CONCATENATE($FK$12,Fixtures!JD$25))="","",IF(INDIRECT(CONCATENATE($FK$12,Fixtures!JD$25))=Fixtures!$DN38,CONCATENATE(JD$10,", "),""))</f>
        <v/>
      </c>
      <c r="JE38" s="713" t="str">
        <f ca="1">IF(INDIRECT(CONCATENATE($FK$12,Fixtures!JE$25))="","",IF(INDIRECT(CONCATENATE($FK$12,Fixtures!JE$25))=Fixtures!$DN38,CONCATENATE(JE$10,", "),""))</f>
        <v/>
      </c>
      <c r="JF38" s="684" t="str">
        <f ca="1">IF(INDIRECT(CONCATENATE($FK$12,Fixtures!JF$25))="","",IF(INDIRECT(CONCATENATE($FK$12,Fixtures!JF$25))=Fixtures!$DN38,CONCATENATE(JF$10,", "),""))</f>
        <v/>
      </c>
      <c r="JG38" s="685" t="str">
        <f ca="1">IF(INDIRECT(CONCATENATE($FK$12,Fixtures!JG$25))="","",IF(INDIRECT(CONCATENATE($FK$12,Fixtures!JG$25))=Fixtures!$DN38,CONCATENATE(JG$10,", "),""))</f>
        <v/>
      </c>
      <c r="JH38" s="713" t="str">
        <f ca="1">IF(INDIRECT(CONCATENATE($FK$12,Fixtures!JH$25))="","",IF(INDIRECT(CONCATENATE($FK$12,Fixtures!JH$25))=Fixtures!$DN38,CONCATENATE(JH$10,", "),""))</f>
        <v/>
      </c>
      <c r="JI38" s="713" t="str">
        <f ca="1">IF(INDIRECT(CONCATENATE($FK$12,Fixtures!JI$25))="","",IF(INDIRECT(CONCATENATE($FK$12,Fixtures!JI$25))=Fixtures!$DN38,CONCATENATE(JI$10,", "),""))</f>
        <v/>
      </c>
      <c r="JJ38" s="713" t="str">
        <f ca="1">IF(INDIRECT(CONCATENATE($FK$12,Fixtures!JJ$25))="","",IF(INDIRECT(CONCATENATE($FK$12,Fixtures!JJ$25))=Fixtures!$DN38,CONCATENATE(JJ$10,", "),""))</f>
        <v/>
      </c>
      <c r="JK38" s="713" t="str">
        <f ca="1">IF(INDIRECT(CONCATENATE($FK$12,Fixtures!JK$25))="","",IF(INDIRECT(CONCATENATE($FK$12,Fixtures!JK$25))=Fixtures!$DN38,CONCATENATE(JK$10,", "),""))</f>
        <v/>
      </c>
      <c r="JL38" s="713" t="str">
        <f ca="1">IF(INDIRECT(CONCATENATE($FK$12,Fixtures!JL$25))="","",IF(INDIRECT(CONCATENATE($FK$12,Fixtures!JL$25))=Fixtures!$DN38,CONCATENATE(JL$10,", "),""))</f>
        <v/>
      </c>
      <c r="JM38" s="713" t="str">
        <f ca="1">IF(INDIRECT(CONCATENATE($FK$12,Fixtures!JM$25))="","",IF(INDIRECT(CONCATENATE($FK$12,Fixtures!JM$25))=Fixtures!$DN38,CONCATENATE(JM$10,", "),""))</f>
        <v/>
      </c>
      <c r="JN38" s="713" t="str">
        <f ca="1">IF(INDIRECT(CONCATENATE($FK$12,Fixtures!JN$25))="","",IF(INDIRECT(CONCATENATE($FK$12,Fixtures!JN$25))=Fixtures!$DN38,CONCATENATE(JN$10,", "),""))</f>
        <v/>
      </c>
      <c r="JO38" s="713" t="str">
        <f ca="1">IF(INDIRECT(CONCATENATE($FK$12,Fixtures!JO$25))="","",IF(INDIRECT(CONCATENATE($FK$12,Fixtures!JO$25))=Fixtures!$DN38,CONCATENATE(JO$10,", "),""))</f>
        <v/>
      </c>
      <c r="JP38" s="713" t="str">
        <f ca="1">IF(INDIRECT(CONCATENATE($FK$12,Fixtures!JP$25))="","",IF(INDIRECT(CONCATENATE($FK$12,Fixtures!JP$25))=Fixtures!$DN38,CONCATENATE(JP$10,", "),""))</f>
        <v/>
      </c>
      <c r="JQ38" s="713" t="str">
        <f ca="1">IF(INDIRECT(CONCATENATE($FK$12,Fixtures!JQ$25))="","",IF(INDIRECT(CONCATENATE($FK$12,Fixtures!JQ$25))=Fixtures!$DN38,CONCATENATE(JQ$10,", "),""))</f>
        <v/>
      </c>
      <c r="JR38" s="713" t="str">
        <f ca="1">IF(INDIRECT(CONCATENATE($FK$12,Fixtures!JR$25))="","",IF(INDIRECT(CONCATENATE($FK$12,Fixtures!JR$25))=Fixtures!$DN38,CONCATENATE(JR$10,", "),""))</f>
        <v/>
      </c>
      <c r="JS38" s="713" t="str">
        <f ca="1">IF(INDIRECT(CONCATENATE($FK$12,Fixtures!JS$25))="","",IF(INDIRECT(CONCATENATE($FK$12,Fixtures!JS$25))=Fixtures!$DN38,CONCATENATE(JS$10,", "),""))</f>
        <v/>
      </c>
      <c r="JT38" s="713" t="str">
        <f ca="1">IF(INDIRECT(CONCATENATE($FK$12,Fixtures!JT$25))="","",IF(INDIRECT(CONCATENATE($FK$12,Fixtures!JT$25))=Fixtures!$DN38,CONCATENATE(JT$10,", "),""))</f>
        <v/>
      </c>
      <c r="JU38" s="684" t="str">
        <f ca="1">IF(INDIRECT(CONCATENATE($FK$12,Fixtures!JU$25))="","",IF(INDIRECT(CONCATENATE($FK$12,Fixtures!JU$25))=Fixtures!$DN38,CONCATENATE(JU$10,", "),""))</f>
        <v/>
      </c>
      <c r="JV38" s="685" t="str">
        <f ca="1">IF(INDIRECT(CONCATENATE($FK$12,Fixtures!JV$25))="","",IF(INDIRECT(CONCATENATE($FK$12,Fixtures!JV$25))=Fixtures!$DN38,CONCATENATE(JV$10,", "),""))</f>
        <v/>
      </c>
      <c r="JW38" s="713" t="str">
        <f ca="1">IF(INDIRECT(CONCATENATE($FK$12,Fixtures!JW$25))="","",IF(INDIRECT(CONCATENATE($FK$12,Fixtures!JW$25))=Fixtures!$DN38,CONCATENATE(JW$10,", "),""))</f>
        <v/>
      </c>
      <c r="JX38" s="713" t="str">
        <f ca="1">IF(INDIRECT(CONCATENATE($FK$12,Fixtures!JX$25))="","",IF(INDIRECT(CONCATENATE($FK$12,Fixtures!JX$25))=Fixtures!$DN38,CONCATENATE(JX$10,", "),""))</f>
        <v/>
      </c>
      <c r="JY38" s="713" t="str">
        <f ca="1">IF(INDIRECT(CONCATENATE($FK$12,Fixtures!JY$25))="","",IF(INDIRECT(CONCATENATE($FK$12,Fixtures!JY$25))=Fixtures!$DN38,CONCATENATE(JY$10,", "),""))</f>
        <v/>
      </c>
      <c r="JZ38" s="713" t="str">
        <f ca="1">IF(INDIRECT(CONCATENATE($FK$12,Fixtures!JZ$25))="","",IF(INDIRECT(CONCATENATE($FK$12,Fixtures!JZ$25))=Fixtures!$DN38,CONCATENATE(JZ$10,", "),""))</f>
        <v/>
      </c>
      <c r="KA38" s="713" t="str">
        <f ca="1">IF(INDIRECT(CONCATENATE($FK$12,Fixtures!KA$25))="","",IF(INDIRECT(CONCATENATE($FK$12,Fixtures!KA$25))=Fixtures!$DN38,CONCATENATE(KA$10,", "),""))</f>
        <v/>
      </c>
      <c r="KB38" s="713" t="str">
        <f ca="1">IF(INDIRECT(CONCATENATE($FK$12,Fixtures!KB$25))="","",IF(INDIRECT(CONCATENATE($FK$12,Fixtures!KB$25))=Fixtures!$DN38,CONCATENATE(KB$10,", "),""))</f>
        <v/>
      </c>
      <c r="KC38" s="713" t="str">
        <f ca="1">IF(INDIRECT(CONCATENATE($FK$12,Fixtures!KC$25))="","",IF(INDIRECT(CONCATENATE($FK$12,Fixtures!KC$25))=Fixtures!$DN38,CONCATENATE(KC$10,", "),""))</f>
        <v/>
      </c>
      <c r="KD38" s="713" t="str">
        <f ca="1">IF(INDIRECT(CONCATENATE($FK$12,Fixtures!KD$25))="","",IF(INDIRECT(CONCATENATE($FK$12,Fixtures!KD$25))=Fixtures!$DN38,CONCATENATE(KD$10,", "),""))</f>
        <v/>
      </c>
      <c r="KE38" s="713" t="str">
        <f ca="1">IF(INDIRECT(CONCATENATE($FK$12,Fixtures!KE$25))="","",IF(INDIRECT(CONCATENATE($FK$12,Fixtures!KE$25))=Fixtures!$DN38,CONCATENATE(KE$10,", "),""))</f>
        <v/>
      </c>
      <c r="KF38" s="713" t="str">
        <f ca="1">IF(INDIRECT(CONCATENATE($FK$12,Fixtures!KF$25))="","",IF(INDIRECT(CONCATENATE($FK$12,Fixtures!KF$25))=Fixtures!$DN38,CONCATENATE(KF$10,", "),""))</f>
        <v/>
      </c>
      <c r="KG38" s="713" t="str">
        <f ca="1">IF(INDIRECT(CONCATENATE($FK$12,Fixtures!KG$25))="","",IF(INDIRECT(CONCATENATE($FK$12,Fixtures!KG$25))=Fixtures!$DN38,CONCATENATE(KG$10,", "),""))</f>
        <v/>
      </c>
      <c r="KH38" s="713" t="str">
        <f ca="1">IF(INDIRECT(CONCATENATE($FK$12,Fixtures!KH$25))="","",IF(INDIRECT(CONCATENATE($FK$12,Fixtures!KH$25))=Fixtures!$DN38,CONCATENATE(KH$10,", "),""))</f>
        <v/>
      </c>
      <c r="KI38" s="713" t="str">
        <f ca="1">IF(INDIRECT(CONCATENATE($FK$12,Fixtures!KI$25))="","",IF(INDIRECT(CONCATENATE($FK$12,Fixtures!KI$25))=Fixtures!$DN38,CONCATENATE(KI$10,", "),""))</f>
        <v/>
      </c>
      <c r="KJ38" s="684" t="str">
        <f ca="1">IF(INDIRECT(CONCATENATE($FK$12,Fixtures!KJ$25))="","",IF(INDIRECT(CONCATENATE($FK$12,Fixtures!KJ$25))=Fixtures!$DN38,CONCATENATE(KJ$10,", "),""))</f>
        <v/>
      </c>
      <c r="KK38" s="685" t="str">
        <f ca="1">IF(INDIRECT(CONCATENATE($FK$12,Fixtures!KK$25))="","",IF(INDIRECT(CONCATENATE($FK$12,Fixtures!KK$25))=Fixtures!$DN38,CONCATENATE(KK$10,", "),""))</f>
        <v/>
      </c>
      <c r="KL38" s="713" t="str">
        <f ca="1">IF(INDIRECT(CONCATENATE($FK$12,Fixtures!KL$25))="","",IF(INDIRECT(CONCATENATE($FK$12,Fixtures!KL$25))=Fixtures!$DN38,CONCATENATE(KL$10,", "),""))</f>
        <v/>
      </c>
      <c r="KM38" s="713" t="str">
        <f ca="1">IF(INDIRECT(CONCATENATE($FK$12,Fixtures!KM$25))="","",IF(INDIRECT(CONCATENATE($FK$12,Fixtures!KM$25))=Fixtures!$DN38,CONCATENATE(KM$10,", "),""))</f>
        <v/>
      </c>
      <c r="KN38" s="713" t="str">
        <f ca="1">IF(INDIRECT(CONCATENATE($FK$12,Fixtures!KN$25))="","",IF(INDIRECT(CONCATENATE($FK$12,Fixtures!KN$25))=Fixtures!$DN38,CONCATENATE(KN$10,", "),""))</f>
        <v/>
      </c>
      <c r="KO38" s="713" t="str">
        <f ca="1">IF(INDIRECT(CONCATENATE($FK$12,Fixtures!KO$25))="","",IF(INDIRECT(CONCATENATE($FK$12,Fixtures!KO$25))=Fixtures!$DN38,CONCATENATE(KO$10,", "),""))</f>
        <v/>
      </c>
      <c r="KP38" s="713" t="str">
        <f ca="1">IF(INDIRECT(CONCATENATE($FK$12,Fixtures!KP$25))="","",IF(INDIRECT(CONCATENATE($FK$12,Fixtures!KP$25))=Fixtures!$DN38,CONCATENATE(KP$10,", "),""))</f>
        <v/>
      </c>
      <c r="KQ38" s="713" t="str">
        <f ca="1">IF(INDIRECT(CONCATENATE($FK$12,Fixtures!KQ$25))="","",IF(INDIRECT(CONCATENATE($FK$12,Fixtures!KQ$25))=Fixtures!$DN38,CONCATENATE(KQ$10,", "),""))</f>
        <v/>
      </c>
      <c r="KR38" s="713" t="str">
        <f ca="1">IF(INDIRECT(CONCATENATE($FK$12,Fixtures!KR$25))="","",IF(INDIRECT(CONCATENATE($FK$12,Fixtures!KR$25))=Fixtures!$DN38,CONCATENATE(KR$10,", "),""))</f>
        <v/>
      </c>
      <c r="KS38" s="713" t="str">
        <f ca="1">IF(INDIRECT(CONCATENATE($FK$12,Fixtures!KS$25))="","",IF(INDIRECT(CONCATENATE($FK$12,Fixtures!KS$25))=Fixtures!$DN38,CONCATENATE(KS$10,", "),""))</f>
        <v/>
      </c>
      <c r="KT38" s="713" t="str">
        <f ca="1">IF(INDIRECT(CONCATENATE($FK$12,Fixtures!KT$25))="","",IF(INDIRECT(CONCATENATE($FK$12,Fixtures!KT$25))=Fixtures!$DN38,CONCATENATE(KT$10,", "),""))</f>
        <v/>
      </c>
      <c r="KU38" s="713" t="str">
        <f ca="1">IF(INDIRECT(CONCATENATE($FK$12,Fixtures!KU$25))="","",IF(INDIRECT(CONCATENATE($FK$12,Fixtures!KU$25))=Fixtures!$DN38,CONCATENATE(KU$10,", "),""))</f>
        <v/>
      </c>
      <c r="KV38" s="713" t="str">
        <f ca="1">IF(INDIRECT(CONCATENATE($FK$12,Fixtures!KV$25))="","",IF(INDIRECT(CONCATENATE($FK$12,Fixtures!KV$25))=Fixtures!$DN38,CONCATENATE(KV$10,", "),""))</f>
        <v/>
      </c>
      <c r="KW38" s="713" t="str">
        <f ca="1">IF(INDIRECT(CONCATENATE($FK$12,Fixtures!KW$25))="","",IF(INDIRECT(CONCATENATE($FK$12,Fixtures!KW$25))=Fixtures!$DN38,CONCATENATE(KW$10,", "),""))</f>
        <v/>
      </c>
      <c r="KX38" s="713" t="str">
        <f ca="1">IF(INDIRECT(CONCATENATE($FK$12,Fixtures!KX$25))="","",IF(INDIRECT(CONCATENATE($FK$12,Fixtures!KX$25))=Fixtures!$DN38,CONCATENATE(KX$10,", "),""))</f>
        <v/>
      </c>
      <c r="KY38" s="713" t="str">
        <f ca="1">IF(INDIRECT(CONCATENATE($FK$12,Fixtures!KY$25))="","",IF(INDIRECT(CONCATENATE($FK$12,Fixtures!KY$25))=Fixtures!$DN38,CONCATENATE(KY$10,", "),""))</f>
        <v/>
      </c>
      <c r="KZ38" s="46"/>
      <c r="LA38" s="46" t="str">
        <f t="shared" ca="1" si="8"/>
        <v/>
      </c>
    </row>
    <row r="39" spans="1:313" ht="28.05" customHeight="1" thickTop="1" thickBot="1">
      <c r="A39" s="471" t="str">
        <f t="shared" si="13"/>
        <v/>
      </c>
      <c r="C39" s="1328" t="str">
        <f t="shared" si="14"/>
        <v/>
      </c>
      <c r="D39" s="1329"/>
      <c r="E39" s="1256" t="str">
        <f t="shared" si="15"/>
        <v/>
      </c>
      <c r="F39" s="1257"/>
      <c r="G39" s="1257"/>
      <c r="H39" s="1257"/>
      <c r="I39" s="1257"/>
      <c r="J39" s="1257"/>
      <c r="K39" s="1257"/>
      <c r="L39" s="1257"/>
      <c r="M39" s="1330"/>
      <c r="N39" s="239" t="str">
        <f t="shared" si="16"/>
        <v/>
      </c>
      <c r="O39" s="601"/>
      <c r="P39" s="1326" t="str">
        <f t="shared" si="25"/>
        <v/>
      </c>
      <c r="Q39" s="1327"/>
      <c r="R39" s="1256" t="str">
        <f t="shared" si="31"/>
        <v/>
      </c>
      <c r="S39" s="1257"/>
      <c r="T39" s="1257"/>
      <c r="U39" s="1257"/>
      <c r="V39" s="1257"/>
      <c r="W39" s="1257"/>
      <c r="X39" s="1257"/>
      <c r="Y39" s="239" t="str">
        <f t="shared" si="27"/>
        <v/>
      </c>
      <c r="Z39" s="239" t="str">
        <f t="shared" si="28"/>
        <v/>
      </c>
      <c r="AA39" s="439" t="str">
        <f t="shared" si="29"/>
        <v/>
      </c>
      <c r="AB39" s="542"/>
      <c r="AC39" s="1253" t="str">
        <f t="shared" si="17"/>
        <v/>
      </c>
      <c r="AD39" s="1166"/>
      <c r="AE39" s="1166"/>
      <c r="AF39" s="1166"/>
      <c r="AG39" s="1166"/>
      <c r="AH39" s="1166"/>
      <c r="AK39">
        <f>SUMIFS(Installations!CS$39:CS$800,Installations!CT$39:CT$800,E39,Installations!HX$39:HX$800,TRUE)</f>
        <v>0</v>
      </c>
      <c r="AL39">
        <f>SUMIFS(Installations!CS$39:CS$800,Installations!CT$39:CT$800,R39,Installations!HX$39:HX$800,TRUE)</f>
        <v>0</v>
      </c>
      <c r="BL39" s="9"/>
      <c r="BM39" s="703" t="str">
        <f t="shared" si="18"/>
        <v/>
      </c>
      <c r="BN39" s="52"/>
      <c r="BO39" s="52"/>
      <c r="BP39" s="52"/>
      <c r="BQ39" s="52"/>
      <c r="BR39" s="52"/>
      <c r="BS39" s="52"/>
      <c r="BT39" s="52"/>
      <c r="BU39" s="414"/>
      <c r="BV39" s="255" t="str">
        <f>IF(CN39&lt;&gt;"Yes","",IFERROR(VLOOKUP(CU39,Existing!A$4:F$364,2,FALSE),""))</f>
        <v/>
      </c>
      <c r="BW39" s="9">
        <v>13</v>
      </c>
      <c r="BX39" s="1313"/>
      <c r="BY39" s="1314"/>
      <c r="BZ39" s="1314"/>
      <c r="CA39" s="1315"/>
      <c r="CB39" s="1310"/>
      <c r="CC39" s="1311"/>
      <c r="CD39" s="1311"/>
      <c r="CE39" s="1312"/>
      <c r="CF39" s="1309"/>
      <c r="CG39" s="1309"/>
      <c r="CH39" s="1309"/>
      <c r="CI39" s="1309"/>
      <c r="CJ39" s="1309"/>
      <c r="CK39" s="1309"/>
      <c r="CL39" s="1309"/>
      <c r="CM39" s="1309"/>
      <c r="CN39" s="1243" t="str">
        <f t="shared" si="0"/>
        <v/>
      </c>
      <c r="CO39" s="1244"/>
      <c r="CP39" s="265" t="str">
        <f>IFERROR(IF(CB39="Existing TLED",CR39*CW39*CY39,VLOOKUP(CU39,Existing!A$3:F$353,6,FALSE)),"")</f>
        <v/>
      </c>
      <c r="CQ39" s="9"/>
      <c r="CR39" s="1343"/>
      <c r="CS39" s="1344"/>
      <c r="CT39" s="9"/>
      <c r="CU39" s="470" t="str">
        <f t="shared" si="21"/>
        <v/>
      </c>
      <c r="CV39" s="471" t="b">
        <f t="shared" si="22"/>
        <v>0</v>
      </c>
      <c r="CW39" s="471" t="str">
        <f t="shared" si="23"/>
        <v/>
      </c>
      <c r="CX39" s="471">
        <f>IFERROR(VLOOKUP(CF39,Lookup!M$100:O$102,3,FALSE),0)</f>
        <v>0</v>
      </c>
      <c r="CY39" s="471">
        <f t="shared" si="9"/>
        <v>1.1100000000000001</v>
      </c>
      <c r="CZ39" s="707" t="b">
        <f t="shared" si="1"/>
        <v>0</v>
      </c>
      <c r="DA39" s="707" t="b">
        <f>IF(CF39&lt;&gt;"",IF(ISERROR(MATCH(CONCATENATE(CB39," - ",CF39),Existing!G$4:G$328,0))=TRUE,FALSE,TRUE),TRUE)</f>
        <v>1</v>
      </c>
      <c r="DB39" s="707" t="b">
        <f t="shared" si="2"/>
        <v>1</v>
      </c>
      <c r="DL39" s="9"/>
      <c r="DM39" s="708" t="s">
        <v>166</v>
      </c>
      <c r="DN39" s="416" t="str">
        <f t="shared" si="3"/>
        <v/>
      </c>
      <c r="DO39" s="52"/>
      <c r="DP39" s="52"/>
      <c r="DQ39" s="52"/>
      <c r="DR39" s="52"/>
      <c r="DS39" s="52"/>
      <c r="DT39" s="262"/>
      <c r="DU39" s="417"/>
      <c r="DV39" s="263" t="str">
        <f t="shared" si="4"/>
        <v/>
      </c>
      <c r="DW39" s="260">
        <v>13</v>
      </c>
      <c r="DX39" s="1306"/>
      <c r="DY39" s="1307"/>
      <c r="DZ39" s="1307"/>
      <c r="EA39" s="1308"/>
      <c r="EB39" s="1306"/>
      <c r="EC39" s="1307"/>
      <c r="ED39" s="1307"/>
      <c r="EE39" s="1308"/>
      <c r="EF39" s="1266"/>
      <c r="EG39" s="1267"/>
      <c r="EH39" s="1306"/>
      <c r="EI39" s="1307"/>
      <c r="EJ39" s="1307"/>
      <c r="EK39" s="1308"/>
      <c r="EL39" s="1263"/>
      <c r="EM39" s="1264"/>
      <c r="EN39" s="1264"/>
      <c r="EO39" s="1265"/>
      <c r="EP39" s="1266"/>
      <c r="EQ39" s="1267"/>
      <c r="ER39" s="1245"/>
      <c r="ES39" s="1246"/>
      <c r="ET39" s="1243" t="str">
        <f t="shared" si="5"/>
        <v/>
      </c>
      <c r="EU39" s="1244"/>
      <c r="EV39" s="1243" t="str">
        <f t="shared" si="30"/>
        <v/>
      </c>
      <c r="EW39" s="1244"/>
      <c r="EX39" s="438"/>
      <c r="EY39" s="261" t="str">
        <f t="shared" si="7"/>
        <v/>
      </c>
      <c r="EZ39" s="261" t="str">
        <f>IFERROR(VLOOKUP(EB39,Lookup!AM$3:AN$13,2,FALSE),"")</f>
        <v/>
      </c>
      <c r="FA39" s="471" t="b">
        <f>IFERROR(IF(VLOOKUP(EB39,Lookup!AM$6:AN$8,2,FALSE)&gt;3,TRUE,FALSE),FALSE)</f>
        <v>0</v>
      </c>
      <c r="FB39" s="471">
        <f t="shared" si="11"/>
        <v>1</v>
      </c>
      <c r="FC39" t="str">
        <f t="shared" ca="1" si="10"/>
        <v/>
      </c>
      <c r="FG39" t="str">
        <f t="shared" ca="1" si="12"/>
        <v/>
      </c>
      <c r="FI39" s="240" t="str">
        <f t="shared" ca="1" si="24"/>
        <v/>
      </c>
      <c r="FJ39" s="240"/>
      <c r="FK39" s="712" t="str">
        <f ca="1">IF(INDIRECT(CONCATENATE($FK$12,Fixtures!FK$25))="","",IF(INDIRECT(CONCATENATE($FK$12,Fixtures!FK$25))=Fixtures!$DN39,CONCATENATE(FK$10,", "),""))</f>
        <v/>
      </c>
      <c r="FL39" s="712" t="str">
        <f ca="1">IF(INDIRECT(CONCATENATE($FK$12,Fixtures!FL$25))="","",IF(INDIRECT(CONCATENATE($FK$12,Fixtures!FL$25))=Fixtures!$DN39,CONCATENATE(FL$10,", "),""))</f>
        <v/>
      </c>
      <c r="FM39" s="712" t="str">
        <f ca="1">IF(INDIRECT(CONCATENATE($FK$12,Fixtures!FM$25))="","",IF(INDIRECT(CONCATENATE($FK$12,Fixtures!FM$25))=Fixtures!$DN39,CONCATENATE(FM$10,", "),""))</f>
        <v/>
      </c>
      <c r="FN39" s="712" t="str">
        <f ca="1">IF(INDIRECT(CONCATENATE($FK$12,Fixtures!FN$25))="","",IF(INDIRECT(CONCATENATE($FK$12,Fixtures!FN$25))=Fixtures!$DN39,CONCATENATE(FN$10,", "),""))</f>
        <v/>
      </c>
      <c r="FO39" s="712" t="str">
        <f ca="1">IF(INDIRECT(CONCATENATE($FK$12,Fixtures!FO$25))="","",IF(INDIRECT(CONCATENATE($FK$12,Fixtures!FO$25))=Fixtures!$DN39,CONCATENATE(FO$10,", "),""))</f>
        <v/>
      </c>
      <c r="FP39" s="712" t="str">
        <f ca="1">IF(INDIRECT(CONCATENATE($FK$12,Fixtures!FP$25))="","",IF(INDIRECT(CONCATENATE($FK$12,Fixtures!FP$25))=Fixtures!$DN39,CONCATENATE(FP$10,", "),""))</f>
        <v/>
      </c>
      <c r="FQ39" s="712" t="str">
        <f ca="1">IF(INDIRECT(CONCATENATE($FK$12,Fixtures!FQ$25))="","",IF(INDIRECT(CONCATENATE($FK$12,Fixtures!FQ$25))=Fixtures!$DN39,CONCATENATE(FQ$10,", "),""))</f>
        <v/>
      </c>
      <c r="FR39" s="712" t="str">
        <f ca="1">IF(INDIRECT(CONCATENATE($FK$12,Fixtures!FR$25))="","",IF(INDIRECT(CONCATENATE($FK$12,Fixtures!FR$25))=Fixtures!$DN39,CONCATENATE(FR$10,", "),""))</f>
        <v/>
      </c>
      <c r="FS39" s="712" t="str">
        <f ca="1">IF(INDIRECT(CONCATENATE($FK$12,Fixtures!FS$25))="","",IF(INDIRECT(CONCATENATE($FK$12,Fixtures!FS$25))=Fixtures!$DN39,CONCATENATE(FS$10,", "),""))</f>
        <v/>
      </c>
      <c r="FT39" s="682" t="str">
        <f ca="1">IF(INDIRECT(CONCATENATE($FK$12,Fixtures!FT$25))="","",IF(INDIRECT(CONCATENATE($FK$12,Fixtures!FT$25))=Fixtures!$DN39,CONCATENATE(FT$10,", "),""))</f>
        <v/>
      </c>
      <c r="FU39" s="683" t="str">
        <f ca="1">IF(INDIRECT(CONCATENATE($FK$12,Fixtures!FU$25))="","",IF(INDIRECT(CONCATENATE($FK$12,Fixtures!FU$25))=Fixtures!$DN39,CONCATENATE(FU$10,", "),""))</f>
        <v/>
      </c>
      <c r="FV39" s="712" t="str">
        <f ca="1">IF(INDIRECT(CONCATENATE($FK$12,Fixtures!FV$25))="","",IF(INDIRECT(CONCATENATE($FK$12,Fixtures!FV$25))=Fixtures!$DN39,CONCATENATE(FV$10,", "),""))</f>
        <v/>
      </c>
      <c r="FW39" s="713" t="str">
        <f ca="1">IF(INDIRECT(CONCATENATE($FK$12,Fixtures!FW$25))="","",IF(INDIRECT(CONCATENATE($FK$12,Fixtures!FW$25))=Fixtures!$DN39,CONCATENATE(FW$10,", "),""))</f>
        <v/>
      </c>
      <c r="FX39" s="713" t="str">
        <f ca="1">IF(INDIRECT(CONCATENATE($FK$12,Fixtures!FX$25))="","",IF(INDIRECT(CONCATENATE($FK$12,Fixtures!FX$25))=Fixtures!$DN39,CONCATENATE(FX$10,", "),""))</f>
        <v/>
      </c>
      <c r="FY39" s="713" t="str">
        <f ca="1">IF(INDIRECT(CONCATENATE($FK$12,Fixtures!FY$25))="","",IF(INDIRECT(CONCATENATE($FK$12,Fixtures!FY$25))=Fixtures!$DN39,CONCATENATE(FY$10,", "),""))</f>
        <v/>
      </c>
      <c r="FZ39" s="713" t="str">
        <f ca="1">IF(INDIRECT(CONCATENATE($FK$12,Fixtures!FZ$25))="","",IF(INDIRECT(CONCATENATE($FK$12,Fixtures!FZ$25))=Fixtures!$DN39,CONCATENATE(FZ$10,", "),""))</f>
        <v/>
      </c>
      <c r="GA39" s="713" t="str">
        <f ca="1">IF(INDIRECT(CONCATENATE($FK$12,Fixtures!GA$25))="","",IF(INDIRECT(CONCATENATE($FK$12,Fixtures!GA$25))=Fixtures!$DN39,CONCATENATE(GA$10,", "),""))</f>
        <v/>
      </c>
      <c r="GB39" s="713" t="str">
        <f ca="1">IF(INDIRECT(CONCATENATE($FK$12,Fixtures!GB$25))="","",IF(INDIRECT(CONCATENATE($FK$12,Fixtures!GB$25))=Fixtures!$DN39,CONCATENATE(GB$10,", "),""))</f>
        <v/>
      </c>
      <c r="GC39" s="713" t="str">
        <f ca="1">IF(INDIRECT(CONCATENATE($FK$12,Fixtures!GC$25))="","",IF(INDIRECT(CONCATENATE($FK$12,Fixtures!GC$25))=Fixtures!$DN39,CONCATENATE(GC$10,", "),""))</f>
        <v/>
      </c>
      <c r="GD39" s="713" t="str">
        <f ca="1">IF(INDIRECT(CONCATENATE($FK$12,Fixtures!GD$25))="","",IF(INDIRECT(CONCATENATE($FK$12,Fixtures!GD$25))=Fixtures!$DN39,CONCATENATE(GD$10,", "),""))</f>
        <v/>
      </c>
      <c r="GE39" s="713" t="str">
        <f ca="1">IF(INDIRECT(CONCATENATE($FK$12,Fixtures!GE$25))="","",IF(INDIRECT(CONCATENATE($FK$12,Fixtures!GE$25))=Fixtures!$DN39,CONCATENATE(GE$10,", "),""))</f>
        <v/>
      </c>
      <c r="GF39" s="713" t="str">
        <f ca="1">IF(INDIRECT(CONCATENATE($FK$12,Fixtures!GF$25))="","",IF(INDIRECT(CONCATENATE($FK$12,Fixtures!GF$25))=Fixtures!$DN39,CONCATENATE(GF$10,", "),""))</f>
        <v/>
      </c>
      <c r="GG39" s="713" t="str">
        <f ca="1">IF(INDIRECT(CONCATENATE($FK$12,Fixtures!GG$25))="","",IF(INDIRECT(CONCATENATE($FK$12,Fixtures!GG$25))=Fixtures!$DN39,CONCATENATE(GG$10,", "),""))</f>
        <v/>
      </c>
      <c r="GH39" s="713" t="str">
        <f ca="1">IF(INDIRECT(CONCATENATE($FK$12,Fixtures!GH$25))="","",IF(INDIRECT(CONCATENATE($FK$12,Fixtures!GH$25))=Fixtures!$DN39,CONCATENATE(GH$10,", "),""))</f>
        <v/>
      </c>
      <c r="GI39" s="684" t="str">
        <f ca="1">IF(INDIRECT(CONCATENATE($FK$12,Fixtures!GI$25))="","",IF(INDIRECT(CONCATENATE($FK$12,Fixtures!GI$25))=Fixtures!$DN39,CONCATENATE(GI$10,", "),""))</f>
        <v/>
      </c>
      <c r="GJ39" s="685" t="str">
        <f ca="1">IF(INDIRECT(CONCATENATE($FK$12,Fixtures!GJ$25))="","",IF(INDIRECT(CONCATENATE($FK$12,Fixtures!GJ$25))=Fixtures!$DN39,CONCATENATE(GJ$10,", "),""))</f>
        <v/>
      </c>
      <c r="GK39" s="713" t="str">
        <f ca="1">IF(INDIRECT(CONCATENATE($FK$12,Fixtures!GK$25))="","",IF(INDIRECT(CONCATENATE($FK$12,Fixtures!GK$25))=Fixtures!$DN39,CONCATENATE(GK$10,", "),""))</f>
        <v/>
      </c>
      <c r="GL39" s="713" t="str">
        <f ca="1">IF(INDIRECT(CONCATENATE($FK$12,Fixtures!GL$25))="","",IF(INDIRECT(CONCATENATE($FK$12,Fixtures!GL$25))=Fixtures!$DN39,CONCATENATE(GL$10,", "),""))</f>
        <v/>
      </c>
      <c r="GM39" s="713" t="str">
        <f ca="1">IF(INDIRECT(CONCATENATE($FK$12,Fixtures!GM$25))="","",IF(INDIRECT(CONCATENATE($FK$12,Fixtures!GM$25))=Fixtures!$DN39,CONCATENATE(GM$10,", "),""))</f>
        <v/>
      </c>
      <c r="GN39" s="713" t="str">
        <f ca="1">IF(INDIRECT(CONCATENATE($FK$12,Fixtures!GN$25))="","",IF(INDIRECT(CONCATENATE($FK$12,Fixtures!GN$25))=Fixtures!$DN39,CONCATENATE(GN$10,", "),""))</f>
        <v/>
      </c>
      <c r="GO39" s="713" t="str">
        <f ca="1">IF(INDIRECT(CONCATENATE($FK$12,Fixtures!GO$25))="","",IF(INDIRECT(CONCATENATE($FK$12,Fixtures!GO$25))=Fixtures!$DN39,CONCATENATE(GO$10,", "),""))</f>
        <v/>
      </c>
      <c r="GP39" s="713" t="str">
        <f ca="1">IF(INDIRECT(CONCATENATE($FK$12,Fixtures!GP$25))="","",IF(INDIRECT(CONCATENATE($FK$12,Fixtures!GP$25))=Fixtures!$DN39,CONCATENATE(GP$10,", "),""))</f>
        <v/>
      </c>
      <c r="GQ39" s="713" t="str">
        <f ca="1">IF(INDIRECT(CONCATENATE($FK$12,Fixtures!GQ$25))="","",IF(INDIRECT(CONCATENATE($FK$12,Fixtures!GQ$25))=Fixtures!$DN39,CONCATENATE(GQ$10,", "),""))</f>
        <v/>
      </c>
      <c r="GR39" s="713" t="str">
        <f ca="1">IF(INDIRECT(CONCATENATE($FK$12,Fixtures!GR$25))="","",IF(INDIRECT(CONCATENATE($FK$12,Fixtures!GR$25))=Fixtures!$DN39,CONCATENATE(GR$10,", "),""))</f>
        <v/>
      </c>
      <c r="GS39" s="713" t="str">
        <f ca="1">IF(INDIRECT(CONCATENATE($FK$12,Fixtures!GS$25))="","",IF(INDIRECT(CONCATENATE($FK$12,Fixtures!GS$25))=Fixtures!$DN39,CONCATENATE(GS$10,", "),""))</f>
        <v/>
      </c>
      <c r="GT39" s="713" t="str">
        <f ca="1">IF(INDIRECT(CONCATENATE($FK$12,Fixtures!GT$25))="","",IF(INDIRECT(CONCATENATE($FK$12,Fixtures!GT$25))=Fixtures!$DN39,CONCATENATE(GT$10,", "),""))</f>
        <v/>
      </c>
      <c r="GU39" s="713" t="str">
        <f ca="1">IF(INDIRECT(CONCATENATE($FK$12,Fixtures!GU$25))="","",IF(INDIRECT(CONCATENATE($FK$12,Fixtures!GU$25))=Fixtures!$DN39,CONCATENATE(GU$10,", "),""))</f>
        <v/>
      </c>
      <c r="GV39" s="713" t="str">
        <f ca="1">IF(INDIRECT(CONCATENATE($FK$12,Fixtures!GV$25))="","",IF(INDIRECT(CONCATENATE($FK$12,Fixtures!GV$25))=Fixtures!$DN39,CONCATENATE(GV$10,", "),""))</f>
        <v/>
      </c>
      <c r="GW39" s="713" t="str">
        <f ca="1">IF(INDIRECT(CONCATENATE($FK$12,Fixtures!GW$25))="","",IF(INDIRECT(CONCATENATE($FK$12,Fixtures!GW$25))=Fixtures!$DN39,CONCATENATE(GW$10,", "),""))</f>
        <v/>
      </c>
      <c r="GX39" s="684" t="str">
        <f ca="1">IF(INDIRECT(CONCATENATE($FK$12,Fixtures!GX$25))="","",IF(INDIRECT(CONCATENATE($FK$12,Fixtures!GX$25))=Fixtures!$DN39,CONCATENATE(GX$10,", "),""))</f>
        <v/>
      </c>
      <c r="GY39" s="685" t="str">
        <f ca="1">IF(INDIRECT(CONCATENATE($FK$12,Fixtures!GY$25))="","",IF(INDIRECT(CONCATENATE($FK$12,Fixtures!GY$25))=Fixtures!$DN39,CONCATENATE(GY$10,", "),""))</f>
        <v/>
      </c>
      <c r="GZ39" s="713" t="str">
        <f ca="1">IF(INDIRECT(CONCATENATE($FK$12,Fixtures!GZ$25))="","",IF(INDIRECT(CONCATENATE($FK$12,Fixtures!GZ$25))=Fixtures!$DN39,CONCATENATE(GZ$10,", "),""))</f>
        <v/>
      </c>
      <c r="HA39" s="713" t="str">
        <f ca="1">IF(INDIRECT(CONCATENATE($FK$12,Fixtures!HA$25))="","",IF(INDIRECT(CONCATENATE($FK$12,Fixtures!HA$25))=Fixtures!$DN39,CONCATENATE(HA$10,", "),""))</f>
        <v/>
      </c>
      <c r="HB39" s="713" t="str">
        <f ca="1">IF(INDIRECT(CONCATENATE($FK$12,Fixtures!HB$25))="","",IF(INDIRECT(CONCATENATE($FK$12,Fixtures!HB$25))=Fixtures!$DN39,CONCATENATE(HB$10,", "),""))</f>
        <v/>
      </c>
      <c r="HC39" s="713" t="str">
        <f ca="1">IF(INDIRECT(CONCATENATE($FK$12,Fixtures!HC$25))="","",IF(INDIRECT(CONCATENATE($FK$12,Fixtures!HC$25))=Fixtures!$DN39,CONCATENATE(HC$10,", "),""))</f>
        <v/>
      </c>
      <c r="HD39" s="713" t="str">
        <f ca="1">IF(INDIRECT(CONCATENATE($FK$12,Fixtures!HD$25))="","",IF(INDIRECT(CONCATENATE($FK$12,Fixtures!HD$25))=Fixtures!$DN39,CONCATENATE(HD$10,", "),""))</f>
        <v/>
      </c>
      <c r="HE39" s="713" t="str">
        <f ca="1">IF(INDIRECT(CONCATENATE($FK$12,Fixtures!HE$25))="","",IF(INDIRECT(CONCATENATE($FK$12,Fixtures!HE$25))=Fixtures!$DN39,CONCATENATE(HE$10,", "),""))</f>
        <v/>
      </c>
      <c r="HF39" s="713" t="str">
        <f ca="1">IF(INDIRECT(CONCATENATE($FK$12,Fixtures!HF$25))="","",IF(INDIRECT(CONCATENATE($FK$12,Fixtures!HF$25))=Fixtures!$DN39,CONCATENATE(HF$10,", "),""))</f>
        <v/>
      </c>
      <c r="HG39" s="713" t="str">
        <f ca="1">IF(INDIRECT(CONCATENATE($FK$12,Fixtures!HG$25))="","",IF(INDIRECT(CONCATENATE($FK$12,Fixtures!HG$25))=Fixtures!$DN39,CONCATENATE(HG$10,", "),""))</f>
        <v/>
      </c>
      <c r="HH39" s="713" t="str">
        <f ca="1">IF(INDIRECT(CONCATENATE($FK$12,Fixtures!HH$25))="","",IF(INDIRECT(CONCATENATE($FK$12,Fixtures!HH$25))=Fixtures!$DN39,CONCATENATE(HH$10,", "),""))</f>
        <v/>
      </c>
      <c r="HI39" s="713" t="str">
        <f ca="1">IF(INDIRECT(CONCATENATE($FK$12,Fixtures!HI$25))="","",IF(INDIRECT(CONCATENATE($FK$12,Fixtures!HI$25))=Fixtures!$DN39,CONCATENATE(HI$10,", "),""))</f>
        <v/>
      </c>
      <c r="HJ39" s="713" t="str">
        <f ca="1">IF(INDIRECT(CONCATENATE($FK$12,Fixtures!HJ$25))="","",IF(INDIRECT(CONCATENATE($FK$12,Fixtures!HJ$25))=Fixtures!$DN39,CONCATENATE(HJ$10,", "),""))</f>
        <v/>
      </c>
      <c r="HK39" s="713" t="str">
        <f ca="1">IF(INDIRECT(CONCATENATE($FK$12,Fixtures!HK$25))="","",IF(INDIRECT(CONCATENATE($FK$12,Fixtures!HK$25))=Fixtures!$DN39,CONCATENATE(HK$10,", "),""))</f>
        <v/>
      </c>
      <c r="HL39" s="713" t="str">
        <f ca="1">IF(INDIRECT(CONCATENATE($FK$12,Fixtures!HL$25))="","",IF(INDIRECT(CONCATENATE($FK$12,Fixtures!HL$25))=Fixtures!$DN39,CONCATENATE(HL$10,", "),""))</f>
        <v/>
      </c>
      <c r="HM39" s="684" t="str">
        <f ca="1">IF(INDIRECT(CONCATENATE($FK$12,Fixtures!HM$25))="","",IF(INDIRECT(CONCATENATE($FK$12,Fixtures!HM$25))=Fixtures!$DN39,CONCATENATE(HM$10,", "),""))</f>
        <v/>
      </c>
      <c r="HN39" s="685" t="str">
        <f ca="1">IF(INDIRECT(CONCATENATE($FK$12,Fixtures!HN$25))="","",IF(INDIRECT(CONCATENATE($FK$12,Fixtures!HN$25))=Fixtures!$DN39,CONCATENATE(HN$10,", "),""))</f>
        <v/>
      </c>
      <c r="HO39" s="713" t="str">
        <f ca="1">IF(INDIRECT(CONCATENATE($FK$12,Fixtures!HO$25))="","",IF(INDIRECT(CONCATENATE($FK$12,Fixtures!HO$25))=Fixtures!$DN39,CONCATENATE(HO$10,", "),""))</f>
        <v/>
      </c>
      <c r="HP39" s="713" t="str">
        <f ca="1">IF(INDIRECT(CONCATENATE($FK$12,Fixtures!HP$25))="","",IF(INDIRECT(CONCATENATE($FK$12,Fixtures!HP$25))=Fixtures!$DN39,CONCATENATE(HP$10,", "),""))</f>
        <v/>
      </c>
      <c r="HQ39" s="713" t="str">
        <f ca="1">IF(INDIRECT(CONCATENATE($FK$12,Fixtures!HQ$25))="","",IF(INDIRECT(CONCATENATE($FK$12,Fixtures!HQ$25))=Fixtures!$DN39,CONCATENATE(HQ$10,", "),""))</f>
        <v/>
      </c>
      <c r="HR39" s="713" t="str">
        <f ca="1">IF(INDIRECT(CONCATENATE($FK$12,Fixtures!HR$25))="","",IF(INDIRECT(CONCATENATE($FK$12,Fixtures!HR$25))=Fixtures!$DN39,CONCATENATE(HR$10,", "),""))</f>
        <v/>
      </c>
      <c r="HS39" s="713" t="str">
        <f ca="1">IF(INDIRECT(CONCATENATE($FK$12,Fixtures!HS$25))="","",IF(INDIRECT(CONCATENATE($FK$12,Fixtures!HS$25))=Fixtures!$DN39,CONCATENATE(HS$10,", "),""))</f>
        <v/>
      </c>
      <c r="HT39" s="713" t="str">
        <f ca="1">IF(INDIRECT(CONCATENATE($FK$12,Fixtures!HT$25))="","",IF(INDIRECT(CONCATENATE($FK$12,Fixtures!HT$25))=Fixtures!$DN39,CONCATENATE(HT$10,", "),""))</f>
        <v/>
      </c>
      <c r="HU39" s="713" t="str">
        <f ca="1">IF(INDIRECT(CONCATENATE($FK$12,Fixtures!HU$25))="","",IF(INDIRECT(CONCATENATE($FK$12,Fixtures!HU$25))=Fixtures!$DN39,CONCATENATE(HU$10,", "),""))</f>
        <v/>
      </c>
      <c r="HV39" s="713" t="str">
        <f ca="1">IF(INDIRECT(CONCATENATE($FK$12,Fixtures!HV$25))="","",IF(INDIRECT(CONCATENATE($FK$12,Fixtures!HV$25))=Fixtures!$DN39,CONCATENATE(HV$10,", "),""))</f>
        <v/>
      </c>
      <c r="HW39" s="713" t="str">
        <f ca="1">IF(INDIRECT(CONCATENATE($FK$12,Fixtures!HW$25))="","",IF(INDIRECT(CONCATENATE($FK$12,Fixtures!HW$25))=Fixtures!$DN39,CONCATENATE(HW$10,", "),""))</f>
        <v/>
      </c>
      <c r="HX39" s="713" t="str">
        <f ca="1">IF(INDIRECT(CONCATENATE($FK$12,Fixtures!HX$25))="","",IF(INDIRECT(CONCATENATE($FK$12,Fixtures!HX$25))=Fixtures!$DN39,CONCATENATE(HX$10,", "),""))</f>
        <v/>
      </c>
      <c r="HY39" s="713" t="str">
        <f ca="1">IF(INDIRECT(CONCATENATE($FK$12,Fixtures!HY$25))="","",IF(INDIRECT(CONCATENATE($FK$12,Fixtures!HY$25))=Fixtures!$DN39,CONCATENATE(HY$10,", "),""))</f>
        <v/>
      </c>
      <c r="HZ39" s="713" t="str">
        <f ca="1">IF(INDIRECT(CONCATENATE($FK$12,Fixtures!HZ$25))="","",IF(INDIRECT(CONCATENATE($FK$12,Fixtures!HZ$25))=Fixtures!$DN39,CONCATENATE(HZ$10,", "),""))</f>
        <v/>
      </c>
      <c r="IA39" s="713" t="str">
        <f ca="1">IF(INDIRECT(CONCATENATE($FK$12,Fixtures!IA$25))="","",IF(INDIRECT(CONCATENATE($FK$12,Fixtures!IA$25))=Fixtures!$DN39,CONCATENATE(IA$10,", "),""))</f>
        <v/>
      </c>
      <c r="IB39" s="684" t="str">
        <f ca="1">IF(INDIRECT(CONCATENATE($FK$12,Fixtures!IB$25))="","",IF(INDIRECT(CONCATENATE($FK$12,Fixtures!IB$25))=Fixtures!$DN39,CONCATENATE(IB$10,", "),""))</f>
        <v/>
      </c>
      <c r="IC39" s="685" t="str">
        <f ca="1">IF(INDIRECT(CONCATENATE($FK$12,Fixtures!IC$25))="","",IF(INDIRECT(CONCATENATE($FK$12,Fixtures!IC$25))=Fixtures!$DN39,CONCATENATE(IC$10,", "),""))</f>
        <v/>
      </c>
      <c r="ID39" s="713" t="str">
        <f ca="1">IF(INDIRECT(CONCATENATE($FK$12,Fixtures!ID$25))="","",IF(INDIRECT(CONCATENATE($FK$12,Fixtures!ID$25))=Fixtures!$DN39,CONCATENATE(ID$10,", "),""))</f>
        <v/>
      </c>
      <c r="IE39" s="713" t="str">
        <f ca="1">IF(INDIRECT(CONCATENATE($FK$12,Fixtures!IE$25))="","",IF(INDIRECT(CONCATENATE($FK$12,Fixtures!IE$25))=Fixtures!$DN39,CONCATENATE(IE$10,", "),""))</f>
        <v/>
      </c>
      <c r="IF39" s="713" t="str">
        <f ca="1">IF(INDIRECT(CONCATENATE($FK$12,Fixtures!IF$25))="","",IF(INDIRECT(CONCATENATE($FK$12,Fixtures!IF$25))=Fixtures!$DN39,CONCATENATE(IF$10,", "),""))</f>
        <v/>
      </c>
      <c r="IG39" s="713" t="str">
        <f ca="1">IF(INDIRECT(CONCATENATE($FK$12,Fixtures!IG$25))="","",IF(INDIRECT(CONCATENATE($FK$12,Fixtures!IG$25))=Fixtures!$DN39,CONCATENATE(IG$10,", "),""))</f>
        <v/>
      </c>
      <c r="IH39" s="713" t="str">
        <f ca="1">IF(INDIRECT(CONCATENATE($FK$12,Fixtures!IH$25))="","",IF(INDIRECT(CONCATENATE($FK$12,Fixtures!IH$25))=Fixtures!$DN39,CONCATENATE(IH$10,", "),""))</f>
        <v/>
      </c>
      <c r="II39" s="713" t="str">
        <f ca="1">IF(INDIRECT(CONCATENATE($FK$12,Fixtures!II$25))="","",IF(INDIRECT(CONCATENATE($FK$12,Fixtures!II$25))=Fixtures!$DN39,CONCATENATE(II$10,", "),""))</f>
        <v/>
      </c>
      <c r="IJ39" s="713" t="str">
        <f ca="1">IF(INDIRECT(CONCATENATE($FK$12,Fixtures!IJ$25))="","",IF(INDIRECT(CONCATENATE($FK$12,Fixtures!IJ$25))=Fixtures!$DN39,CONCATENATE(IJ$10,", "),""))</f>
        <v/>
      </c>
      <c r="IK39" s="713" t="str">
        <f ca="1">IF(INDIRECT(CONCATENATE($FK$12,Fixtures!IK$25))="","",IF(INDIRECT(CONCATENATE($FK$12,Fixtures!IK$25))=Fixtures!$DN39,CONCATENATE(IK$10,", "),""))</f>
        <v/>
      </c>
      <c r="IL39" s="713" t="str">
        <f ca="1">IF(INDIRECT(CONCATENATE($FK$12,Fixtures!IL$25))="","",IF(INDIRECT(CONCATENATE($FK$12,Fixtures!IL$25))=Fixtures!$DN39,CONCATENATE(IL$10,", "),""))</f>
        <v/>
      </c>
      <c r="IM39" s="713" t="str">
        <f ca="1">IF(INDIRECT(CONCATENATE($FK$12,Fixtures!IM$25))="","",IF(INDIRECT(CONCATENATE($FK$12,Fixtures!IM$25))=Fixtures!$DN39,CONCATENATE(IM$10,", "),""))</f>
        <v/>
      </c>
      <c r="IN39" s="713" t="str">
        <f ca="1">IF(INDIRECT(CONCATENATE($FK$12,Fixtures!IN$25))="","",IF(INDIRECT(CONCATENATE($FK$12,Fixtures!IN$25))=Fixtures!$DN39,CONCATENATE(IN$10,", "),""))</f>
        <v/>
      </c>
      <c r="IO39" s="713" t="str">
        <f ca="1">IF(INDIRECT(CONCATENATE($FK$12,Fixtures!IO$25))="","",IF(INDIRECT(CONCATENATE($FK$12,Fixtures!IO$25))=Fixtures!$DN39,CONCATENATE(IO$10,", "),""))</f>
        <v/>
      </c>
      <c r="IP39" s="713" t="str">
        <f ca="1">IF(INDIRECT(CONCATENATE($FK$12,Fixtures!IP$25))="","",IF(INDIRECT(CONCATENATE($FK$12,Fixtures!IP$25))=Fixtures!$DN39,CONCATENATE(IP$10,", "),""))</f>
        <v/>
      </c>
      <c r="IQ39" s="684" t="str">
        <f ca="1">IF(INDIRECT(CONCATENATE($FK$12,Fixtures!IQ$25))="","",IF(INDIRECT(CONCATENATE($FK$12,Fixtures!IQ$25))=Fixtures!$DN39,CONCATENATE(IQ$10,", "),""))</f>
        <v/>
      </c>
      <c r="IR39" s="685" t="str">
        <f ca="1">IF(INDIRECT(CONCATENATE($FK$12,Fixtures!IR$25))="","",IF(INDIRECT(CONCATENATE($FK$12,Fixtures!IR$25))=Fixtures!$DN39,CONCATENATE(IR$10,", "),""))</f>
        <v/>
      </c>
      <c r="IS39" s="713" t="str">
        <f ca="1">IF(INDIRECT(CONCATENATE($FK$12,Fixtures!IS$25))="","",IF(INDIRECT(CONCATENATE($FK$12,Fixtures!IS$25))=Fixtures!$DN39,CONCATENATE(IS$10,", "),""))</f>
        <v/>
      </c>
      <c r="IT39" s="713" t="str">
        <f ca="1">IF(INDIRECT(CONCATENATE($FK$12,Fixtures!IT$25))="","",IF(INDIRECT(CONCATENATE($FK$12,Fixtures!IT$25))=Fixtures!$DN39,CONCATENATE(IT$10,", "),""))</f>
        <v/>
      </c>
      <c r="IU39" s="713" t="str">
        <f ca="1">IF(INDIRECT(CONCATENATE($FK$12,Fixtures!IU$25))="","",IF(INDIRECT(CONCATENATE($FK$12,Fixtures!IU$25))=Fixtures!$DN39,CONCATENATE(IU$10,", "),""))</f>
        <v/>
      </c>
      <c r="IV39" s="713" t="str">
        <f ca="1">IF(INDIRECT(CONCATENATE($FK$12,Fixtures!IV$25))="","",IF(INDIRECT(CONCATENATE($FK$12,Fixtures!IV$25))=Fixtures!$DN39,CONCATENATE(IV$10,", "),""))</f>
        <v/>
      </c>
      <c r="IW39" s="713" t="str">
        <f ca="1">IF(INDIRECT(CONCATENATE($FK$12,Fixtures!IW$25))="","",IF(INDIRECT(CONCATENATE($FK$12,Fixtures!IW$25))=Fixtures!$DN39,CONCATENATE(IW$10,", "),""))</f>
        <v/>
      </c>
      <c r="IX39" s="713" t="str">
        <f ca="1">IF(INDIRECT(CONCATENATE($FK$12,Fixtures!IX$25))="","",IF(INDIRECT(CONCATENATE($FK$12,Fixtures!IX$25))=Fixtures!$DN39,CONCATENATE(IX$10,", "),""))</f>
        <v/>
      </c>
      <c r="IY39" s="713" t="str">
        <f ca="1">IF(INDIRECT(CONCATENATE($FK$12,Fixtures!IY$25))="","",IF(INDIRECT(CONCATENATE($FK$12,Fixtures!IY$25))=Fixtures!$DN39,CONCATENATE(IY$10,", "),""))</f>
        <v/>
      </c>
      <c r="IZ39" s="713" t="str">
        <f ca="1">IF(INDIRECT(CONCATENATE($FK$12,Fixtures!IZ$25))="","",IF(INDIRECT(CONCATENATE($FK$12,Fixtures!IZ$25))=Fixtures!$DN39,CONCATENATE(IZ$10,", "),""))</f>
        <v/>
      </c>
      <c r="JA39" s="713" t="str">
        <f ca="1">IF(INDIRECT(CONCATENATE($FK$12,Fixtures!JA$25))="","",IF(INDIRECT(CONCATENATE($FK$12,Fixtures!JA$25))=Fixtures!$DN39,CONCATENATE(JA$10,", "),""))</f>
        <v/>
      </c>
      <c r="JB39" s="713" t="str">
        <f ca="1">IF(INDIRECT(CONCATENATE($FK$12,Fixtures!JB$25))="","",IF(INDIRECT(CONCATENATE($FK$12,Fixtures!JB$25))=Fixtures!$DN39,CONCATENATE(JB$10,", "),""))</f>
        <v/>
      </c>
      <c r="JC39" s="713" t="str">
        <f ca="1">IF(INDIRECT(CONCATENATE($FK$12,Fixtures!JC$25))="","",IF(INDIRECT(CONCATENATE($FK$12,Fixtures!JC$25))=Fixtures!$DN39,CONCATENATE(JC$10,", "),""))</f>
        <v/>
      </c>
      <c r="JD39" s="713" t="str">
        <f ca="1">IF(INDIRECT(CONCATENATE($FK$12,Fixtures!JD$25))="","",IF(INDIRECT(CONCATENATE($FK$12,Fixtures!JD$25))=Fixtures!$DN39,CONCATENATE(JD$10,", "),""))</f>
        <v/>
      </c>
      <c r="JE39" s="713" t="str">
        <f ca="1">IF(INDIRECT(CONCATENATE($FK$12,Fixtures!JE$25))="","",IF(INDIRECT(CONCATENATE($FK$12,Fixtures!JE$25))=Fixtures!$DN39,CONCATENATE(JE$10,", "),""))</f>
        <v/>
      </c>
      <c r="JF39" s="684" t="str">
        <f ca="1">IF(INDIRECT(CONCATENATE($FK$12,Fixtures!JF$25))="","",IF(INDIRECT(CONCATENATE($FK$12,Fixtures!JF$25))=Fixtures!$DN39,CONCATENATE(JF$10,", "),""))</f>
        <v/>
      </c>
      <c r="JG39" s="685" t="str">
        <f ca="1">IF(INDIRECT(CONCATENATE($FK$12,Fixtures!JG$25))="","",IF(INDIRECT(CONCATENATE($FK$12,Fixtures!JG$25))=Fixtures!$DN39,CONCATENATE(JG$10,", "),""))</f>
        <v/>
      </c>
      <c r="JH39" s="713" t="str">
        <f ca="1">IF(INDIRECT(CONCATENATE($FK$12,Fixtures!JH$25))="","",IF(INDIRECT(CONCATENATE($FK$12,Fixtures!JH$25))=Fixtures!$DN39,CONCATENATE(JH$10,", "),""))</f>
        <v/>
      </c>
      <c r="JI39" s="713" t="str">
        <f ca="1">IF(INDIRECT(CONCATENATE($FK$12,Fixtures!JI$25))="","",IF(INDIRECT(CONCATENATE($FK$12,Fixtures!JI$25))=Fixtures!$DN39,CONCATENATE(JI$10,", "),""))</f>
        <v/>
      </c>
      <c r="JJ39" s="713" t="str">
        <f ca="1">IF(INDIRECT(CONCATENATE($FK$12,Fixtures!JJ$25))="","",IF(INDIRECT(CONCATENATE($FK$12,Fixtures!JJ$25))=Fixtures!$DN39,CONCATENATE(JJ$10,", "),""))</f>
        <v/>
      </c>
      <c r="JK39" s="713" t="str">
        <f ca="1">IF(INDIRECT(CONCATENATE($FK$12,Fixtures!JK$25))="","",IF(INDIRECT(CONCATENATE($FK$12,Fixtures!JK$25))=Fixtures!$DN39,CONCATENATE(JK$10,", "),""))</f>
        <v/>
      </c>
      <c r="JL39" s="713" t="str">
        <f ca="1">IF(INDIRECT(CONCATENATE($FK$12,Fixtures!JL$25))="","",IF(INDIRECT(CONCATENATE($FK$12,Fixtures!JL$25))=Fixtures!$DN39,CONCATENATE(JL$10,", "),""))</f>
        <v/>
      </c>
      <c r="JM39" s="713" t="str">
        <f ca="1">IF(INDIRECT(CONCATENATE($FK$12,Fixtures!JM$25))="","",IF(INDIRECT(CONCATENATE($FK$12,Fixtures!JM$25))=Fixtures!$DN39,CONCATENATE(JM$10,", "),""))</f>
        <v/>
      </c>
      <c r="JN39" s="713" t="str">
        <f ca="1">IF(INDIRECT(CONCATENATE($FK$12,Fixtures!JN$25))="","",IF(INDIRECT(CONCATENATE($FK$12,Fixtures!JN$25))=Fixtures!$DN39,CONCATENATE(JN$10,", "),""))</f>
        <v/>
      </c>
      <c r="JO39" s="713" t="str">
        <f ca="1">IF(INDIRECT(CONCATENATE($FK$12,Fixtures!JO$25))="","",IF(INDIRECT(CONCATENATE($FK$12,Fixtures!JO$25))=Fixtures!$DN39,CONCATENATE(JO$10,", "),""))</f>
        <v/>
      </c>
      <c r="JP39" s="713" t="str">
        <f ca="1">IF(INDIRECT(CONCATENATE($FK$12,Fixtures!JP$25))="","",IF(INDIRECT(CONCATENATE($FK$12,Fixtures!JP$25))=Fixtures!$DN39,CONCATENATE(JP$10,", "),""))</f>
        <v/>
      </c>
      <c r="JQ39" s="713" t="str">
        <f ca="1">IF(INDIRECT(CONCATENATE($FK$12,Fixtures!JQ$25))="","",IF(INDIRECT(CONCATENATE($FK$12,Fixtures!JQ$25))=Fixtures!$DN39,CONCATENATE(JQ$10,", "),""))</f>
        <v/>
      </c>
      <c r="JR39" s="713" t="str">
        <f ca="1">IF(INDIRECT(CONCATENATE($FK$12,Fixtures!JR$25))="","",IF(INDIRECT(CONCATENATE($FK$12,Fixtures!JR$25))=Fixtures!$DN39,CONCATENATE(JR$10,", "),""))</f>
        <v/>
      </c>
      <c r="JS39" s="713" t="str">
        <f ca="1">IF(INDIRECT(CONCATENATE($FK$12,Fixtures!JS$25))="","",IF(INDIRECT(CONCATENATE($FK$12,Fixtures!JS$25))=Fixtures!$DN39,CONCATENATE(JS$10,", "),""))</f>
        <v/>
      </c>
      <c r="JT39" s="713" t="str">
        <f ca="1">IF(INDIRECT(CONCATENATE($FK$12,Fixtures!JT$25))="","",IF(INDIRECT(CONCATENATE($FK$12,Fixtures!JT$25))=Fixtures!$DN39,CONCATENATE(JT$10,", "),""))</f>
        <v/>
      </c>
      <c r="JU39" s="684" t="str">
        <f ca="1">IF(INDIRECT(CONCATENATE($FK$12,Fixtures!JU$25))="","",IF(INDIRECT(CONCATENATE($FK$12,Fixtures!JU$25))=Fixtures!$DN39,CONCATENATE(JU$10,", "),""))</f>
        <v/>
      </c>
      <c r="JV39" s="685" t="str">
        <f ca="1">IF(INDIRECT(CONCATENATE($FK$12,Fixtures!JV$25))="","",IF(INDIRECT(CONCATENATE($FK$12,Fixtures!JV$25))=Fixtures!$DN39,CONCATENATE(JV$10,", "),""))</f>
        <v/>
      </c>
      <c r="JW39" s="713" t="str">
        <f ca="1">IF(INDIRECT(CONCATENATE($FK$12,Fixtures!JW$25))="","",IF(INDIRECT(CONCATENATE($FK$12,Fixtures!JW$25))=Fixtures!$DN39,CONCATENATE(JW$10,", "),""))</f>
        <v/>
      </c>
      <c r="JX39" s="713" t="str">
        <f ca="1">IF(INDIRECT(CONCATENATE($FK$12,Fixtures!JX$25))="","",IF(INDIRECT(CONCATENATE($FK$12,Fixtures!JX$25))=Fixtures!$DN39,CONCATENATE(JX$10,", "),""))</f>
        <v/>
      </c>
      <c r="JY39" s="713" t="str">
        <f ca="1">IF(INDIRECT(CONCATENATE($FK$12,Fixtures!JY$25))="","",IF(INDIRECT(CONCATENATE($FK$12,Fixtures!JY$25))=Fixtures!$DN39,CONCATENATE(JY$10,", "),""))</f>
        <v/>
      </c>
      <c r="JZ39" s="713" t="str">
        <f ca="1">IF(INDIRECT(CONCATENATE($FK$12,Fixtures!JZ$25))="","",IF(INDIRECT(CONCATENATE($FK$12,Fixtures!JZ$25))=Fixtures!$DN39,CONCATENATE(JZ$10,", "),""))</f>
        <v/>
      </c>
      <c r="KA39" s="713" t="str">
        <f ca="1">IF(INDIRECT(CONCATENATE($FK$12,Fixtures!KA$25))="","",IF(INDIRECT(CONCATENATE($FK$12,Fixtures!KA$25))=Fixtures!$DN39,CONCATENATE(KA$10,", "),""))</f>
        <v/>
      </c>
      <c r="KB39" s="713" t="str">
        <f ca="1">IF(INDIRECT(CONCATENATE($FK$12,Fixtures!KB$25))="","",IF(INDIRECT(CONCATENATE($FK$12,Fixtures!KB$25))=Fixtures!$DN39,CONCATENATE(KB$10,", "),""))</f>
        <v/>
      </c>
      <c r="KC39" s="713" t="str">
        <f ca="1">IF(INDIRECT(CONCATENATE($FK$12,Fixtures!KC$25))="","",IF(INDIRECT(CONCATENATE($FK$12,Fixtures!KC$25))=Fixtures!$DN39,CONCATENATE(KC$10,", "),""))</f>
        <v/>
      </c>
      <c r="KD39" s="713" t="str">
        <f ca="1">IF(INDIRECT(CONCATENATE($FK$12,Fixtures!KD$25))="","",IF(INDIRECT(CONCATENATE($FK$12,Fixtures!KD$25))=Fixtures!$DN39,CONCATENATE(KD$10,", "),""))</f>
        <v/>
      </c>
      <c r="KE39" s="713" t="str">
        <f ca="1">IF(INDIRECT(CONCATENATE($FK$12,Fixtures!KE$25))="","",IF(INDIRECT(CONCATENATE($FK$12,Fixtures!KE$25))=Fixtures!$DN39,CONCATENATE(KE$10,", "),""))</f>
        <v/>
      </c>
      <c r="KF39" s="713" t="str">
        <f ca="1">IF(INDIRECT(CONCATENATE($FK$12,Fixtures!KF$25))="","",IF(INDIRECT(CONCATENATE($FK$12,Fixtures!KF$25))=Fixtures!$DN39,CONCATENATE(KF$10,", "),""))</f>
        <v/>
      </c>
      <c r="KG39" s="713" t="str">
        <f ca="1">IF(INDIRECT(CONCATENATE($FK$12,Fixtures!KG$25))="","",IF(INDIRECT(CONCATENATE($FK$12,Fixtures!KG$25))=Fixtures!$DN39,CONCATENATE(KG$10,", "),""))</f>
        <v/>
      </c>
      <c r="KH39" s="713" t="str">
        <f ca="1">IF(INDIRECT(CONCATENATE($FK$12,Fixtures!KH$25))="","",IF(INDIRECT(CONCATENATE($FK$12,Fixtures!KH$25))=Fixtures!$DN39,CONCATENATE(KH$10,", "),""))</f>
        <v/>
      </c>
      <c r="KI39" s="713" t="str">
        <f ca="1">IF(INDIRECT(CONCATENATE($FK$12,Fixtures!KI$25))="","",IF(INDIRECT(CONCATENATE($FK$12,Fixtures!KI$25))=Fixtures!$DN39,CONCATENATE(KI$10,", "),""))</f>
        <v/>
      </c>
      <c r="KJ39" s="684" t="str">
        <f ca="1">IF(INDIRECT(CONCATENATE($FK$12,Fixtures!KJ$25))="","",IF(INDIRECT(CONCATENATE($FK$12,Fixtures!KJ$25))=Fixtures!$DN39,CONCATENATE(KJ$10,", "),""))</f>
        <v/>
      </c>
      <c r="KK39" s="685" t="str">
        <f ca="1">IF(INDIRECT(CONCATENATE($FK$12,Fixtures!KK$25))="","",IF(INDIRECT(CONCATENATE($FK$12,Fixtures!KK$25))=Fixtures!$DN39,CONCATENATE(KK$10,", "),""))</f>
        <v/>
      </c>
      <c r="KL39" s="713" t="str">
        <f ca="1">IF(INDIRECT(CONCATENATE($FK$12,Fixtures!KL$25))="","",IF(INDIRECT(CONCATENATE($FK$12,Fixtures!KL$25))=Fixtures!$DN39,CONCATENATE(KL$10,", "),""))</f>
        <v/>
      </c>
      <c r="KM39" s="713" t="str">
        <f ca="1">IF(INDIRECT(CONCATENATE($FK$12,Fixtures!KM$25))="","",IF(INDIRECT(CONCATENATE($FK$12,Fixtures!KM$25))=Fixtures!$DN39,CONCATENATE(KM$10,", "),""))</f>
        <v/>
      </c>
      <c r="KN39" s="713" t="str">
        <f ca="1">IF(INDIRECT(CONCATENATE($FK$12,Fixtures!KN$25))="","",IF(INDIRECT(CONCATENATE($FK$12,Fixtures!KN$25))=Fixtures!$DN39,CONCATENATE(KN$10,", "),""))</f>
        <v/>
      </c>
      <c r="KO39" s="713" t="str">
        <f ca="1">IF(INDIRECT(CONCATENATE($FK$12,Fixtures!KO$25))="","",IF(INDIRECT(CONCATENATE($FK$12,Fixtures!KO$25))=Fixtures!$DN39,CONCATENATE(KO$10,", "),""))</f>
        <v/>
      </c>
      <c r="KP39" s="713" t="str">
        <f ca="1">IF(INDIRECT(CONCATENATE($FK$12,Fixtures!KP$25))="","",IF(INDIRECT(CONCATENATE($FK$12,Fixtures!KP$25))=Fixtures!$DN39,CONCATENATE(KP$10,", "),""))</f>
        <v/>
      </c>
      <c r="KQ39" s="713" t="str">
        <f ca="1">IF(INDIRECT(CONCATENATE($FK$12,Fixtures!KQ$25))="","",IF(INDIRECT(CONCATENATE($FK$12,Fixtures!KQ$25))=Fixtures!$DN39,CONCATENATE(KQ$10,", "),""))</f>
        <v/>
      </c>
      <c r="KR39" s="713" t="str">
        <f ca="1">IF(INDIRECT(CONCATENATE($FK$12,Fixtures!KR$25))="","",IF(INDIRECT(CONCATENATE($FK$12,Fixtures!KR$25))=Fixtures!$DN39,CONCATENATE(KR$10,", "),""))</f>
        <v/>
      </c>
      <c r="KS39" s="713" t="str">
        <f ca="1">IF(INDIRECT(CONCATENATE($FK$12,Fixtures!KS$25))="","",IF(INDIRECT(CONCATENATE($FK$12,Fixtures!KS$25))=Fixtures!$DN39,CONCATENATE(KS$10,", "),""))</f>
        <v/>
      </c>
      <c r="KT39" s="713" t="str">
        <f ca="1">IF(INDIRECT(CONCATENATE($FK$12,Fixtures!KT$25))="","",IF(INDIRECT(CONCATENATE($FK$12,Fixtures!KT$25))=Fixtures!$DN39,CONCATENATE(KT$10,", "),""))</f>
        <v/>
      </c>
      <c r="KU39" s="713" t="str">
        <f ca="1">IF(INDIRECT(CONCATENATE($FK$12,Fixtures!KU$25))="","",IF(INDIRECT(CONCATENATE($FK$12,Fixtures!KU$25))=Fixtures!$DN39,CONCATENATE(KU$10,", "),""))</f>
        <v/>
      </c>
      <c r="KV39" s="713" t="str">
        <f ca="1">IF(INDIRECT(CONCATENATE($FK$12,Fixtures!KV$25))="","",IF(INDIRECT(CONCATENATE($FK$12,Fixtures!KV$25))=Fixtures!$DN39,CONCATENATE(KV$10,", "),""))</f>
        <v/>
      </c>
      <c r="KW39" s="713" t="str">
        <f ca="1">IF(INDIRECT(CONCATENATE($FK$12,Fixtures!KW$25))="","",IF(INDIRECT(CONCATENATE($FK$12,Fixtures!KW$25))=Fixtures!$DN39,CONCATENATE(KW$10,", "),""))</f>
        <v/>
      </c>
      <c r="KX39" s="713" t="str">
        <f ca="1">IF(INDIRECT(CONCATENATE($FK$12,Fixtures!KX$25))="","",IF(INDIRECT(CONCATENATE($FK$12,Fixtures!KX$25))=Fixtures!$DN39,CONCATENATE(KX$10,", "),""))</f>
        <v/>
      </c>
      <c r="KY39" s="713" t="str">
        <f ca="1">IF(INDIRECT(CONCATENATE($FK$12,Fixtures!KY$25))="","",IF(INDIRECT(CONCATENATE($FK$12,Fixtures!KY$25))=Fixtures!$DN39,CONCATENATE(KY$10,", "),""))</f>
        <v/>
      </c>
      <c r="KZ39" s="46"/>
      <c r="LA39" s="46" t="str">
        <f t="shared" ca="1" si="8"/>
        <v/>
      </c>
    </row>
    <row r="40" spans="1:313" ht="28.05" customHeight="1" thickTop="1" thickBot="1">
      <c r="A40" s="471" t="str">
        <f t="shared" si="13"/>
        <v/>
      </c>
      <c r="C40" s="1328" t="str">
        <f t="shared" si="14"/>
        <v/>
      </c>
      <c r="D40" s="1329"/>
      <c r="E40" s="1256" t="str">
        <f t="shared" si="15"/>
        <v/>
      </c>
      <c r="F40" s="1257"/>
      <c r="G40" s="1257"/>
      <c r="H40" s="1257"/>
      <c r="I40" s="1257"/>
      <c r="J40" s="1257"/>
      <c r="K40" s="1257"/>
      <c r="L40" s="1257"/>
      <c r="M40" s="1330"/>
      <c r="N40" s="239" t="str">
        <f t="shared" si="16"/>
        <v/>
      </c>
      <c r="O40" s="601"/>
      <c r="P40" s="1326" t="str">
        <f t="shared" si="25"/>
        <v/>
      </c>
      <c r="Q40" s="1327"/>
      <c r="R40" s="1256" t="str">
        <f t="shared" si="31"/>
        <v/>
      </c>
      <c r="S40" s="1257"/>
      <c r="T40" s="1257"/>
      <c r="U40" s="1257"/>
      <c r="V40" s="1257"/>
      <c r="W40" s="1257"/>
      <c r="X40" s="1257"/>
      <c r="Y40" s="239" t="str">
        <f t="shared" si="27"/>
        <v/>
      </c>
      <c r="Z40" s="239" t="str">
        <f t="shared" si="28"/>
        <v/>
      </c>
      <c r="AA40" s="439" t="str">
        <f t="shared" si="29"/>
        <v/>
      </c>
      <c r="AB40" s="542"/>
      <c r="AC40" s="1253" t="str">
        <f t="shared" si="17"/>
        <v/>
      </c>
      <c r="AD40" s="1166"/>
      <c r="AE40" s="1166"/>
      <c r="AF40" s="1166"/>
      <c r="AG40" s="1166"/>
      <c r="AH40" s="1166"/>
      <c r="AK40">
        <f>SUMIFS(Installations!CS$39:CS$800,Installations!CT$39:CT$800,E40,Installations!HX$39:HX$800,TRUE)</f>
        <v>0</v>
      </c>
      <c r="AL40">
        <f>SUMIFS(Installations!CS$39:CS$800,Installations!CT$39:CT$800,R40,Installations!HX$39:HX$800,TRUE)</f>
        <v>0</v>
      </c>
      <c r="BL40" s="9"/>
      <c r="BM40" s="703" t="str">
        <f t="shared" si="18"/>
        <v/>
      </c>
      <c r="BN40" s="52"/>
      <c r="BO40" s="52"/>
      <c r="BP40" s="52"/>
      <c r="BQ40" s="52"/>
      <c r="BR40" s="52"/>
      <c r="BS40" s="52"/>
      <c r="BT40" s="52"/>
      <c r="BU40" s="414"/>
      <c r="BV40" s="255" t="str">
        <f>IF(CN40&lt;&gt;"Yes","",IFERROR(VLOOKUP(CU40,Existing!A$4:F$364,2,FALSE),""))</f>
        <v/>
      </c>
      <c r="BW40" s="9">
        <v>14</v>
      </c>
      <c r="BX40" s="1313"/>
      <c r="BY40" s="1314"/>
      <c r="BZ40" s="1314"/>
      <c r="CA40" s="1315"/>
      <c r="CB40" s="1310"/>
      <c r="CC40" s="1311"/>
      <c r="CD40" s="1311"/>
      <c r="CE40" s="1312"/>
      <c r="CF40" s="1309"/>
      <c r="CG40" s="1309"/>
      <c r="CH40" s="1309"/>
      <c r="CI40" s="1309"/>
      <c r="CJ40" s="1309"/>
      <c r="CK40" s="1309"/>
      <c r="CL40" s="1309"/>
      <c r="CM40" s="1309"/>
      <c r="CN40" s="1243" t="str">
        <f t="shared" si="0"/>
        <v/>
      </c>
      <c r="CO40" s="1244"/>
      <c r="CP40" s="265" t="str">
        <f>IFERROR(IF(CB40="Existing TLED",CR40*CW40*CY40,VLOOKUP(CU40,Existing!A$3:F$353,6,FALSE)),"")</f>
        <v/>
      </c>
      <c r="CQ40" s="9"/>
      <c r="CR40" s="1343"/>
      <c r="CS40" s="1344"/>
      <c r="CT40" s="9"/>
      <c r="CU40" s="470" t="str">
        <f t="shared" si="21"/>
        <v/>
      </c>
      <c r="CV40" s="471" t="b">
        <f t="shared" si="22"/>
        <v>0</v>
      </c>
      <c r="CW40" s="471" t="str">
        <f t="shared" si="23"/>
        <v/>
      </c>
      <c r="CX40" s="471">
        <f>IFERROR(VLOOKUP(CF40,Lookup!M$100:O$102,3,FALSE),0)</f>
        <v>0</v>
      </c>
      <c r="CY40" s="471">
        <f t="shared" si="9"/>
        <v>1.1100000000000001</v>
      </c>
      <c r="CZ40" s="707" t="b">
        <f t="shared" si="1"/>
        <v>0</v>
      </c>
      <c r="DA40" s="707" t="b">
        <f>IF(CF40&lt;&gt;"",IF(ISERROR(MATCH(CONCATENATE(CB40," - ",CF40),Existing!G$4:G$328,0))=TRUE,FALSE,TRUE),TRUE)</f>
        <v>1</v>
      </c>
      <c r="DB40" s="707" t="b">
        <f t="shared" si="2"/>
        <v>1</v>
      </c>
      <c r="DL40" s="9"/>
      <c r="DM40" s="708" t="s">
        <v>166</v>
      </c>
      <c r="DN40" s="416" t="str">
        <f t="shared" si="3"/>
        <v/>
      </c>
      <c r="DO40" s="52"/>
      <c r="DP40" s="52"/>
      <c r="DQ40" s="52"/>
      <c r="DR40" s="52"/>
      <c r="DS40" s="52"/>
      <c r="DT40" s="262"/>
      <c r="DU40" s="417"/>
      <c r="DV40" s="263" t="str">
        <f t="shared" si="4"/>
        <v/>
      </c>
      <c r="DW40" s="260">
        <v>14</v>
      </c>
      <c r="DX40" s="1306"/>
      <c r="DY40" s="1307"/>
      <c r="DZ40" s="1307"/>
      <c r="EA40" s="1308"/>
      <c r="EB40" s="1306"/>
      <c r="EC40" s="1307"/>
      <c r="ED40" s="1307"/>
      <c r="EE40" s="1308"/>
      <c r="EF40" s="1266"/>
      <c r="EG40" s="1267"/>
      <c r="EH40" s="1306"/>
      <c r="EI40" s="1307"/>
      <c r="EJ40" s="1307"/>
      <c r="EK40" s="1308"/>
      <c r="EL40" s="1263"/>
      <c r="EM40" s="1264"/>
      <c r="EN40" s="1264"/>
      <c r="EO40" s="1265"/>
      <c r="EP40" s="1266"/>
      <c r="EQ40" s="1267"/>
      <c r="ER40" s="1245"/>
      <c r="ES40" s="1246"/>
      <c r="ET40" s="1243" t="str">
        <f t="shared" si="5"/>
        <v/>
      </c>
      <c r="EU40" s="1244"/>
      <c r="EV40" s="1243" t="str">
        <f t="shared" si="30"/>
        <v/>
      </c>
      <c r="EW40" s="1244"/>
      <c r="EX40" s="438"/>
      <c r="EY40" s="261" t="str">
        <f t="shared" si="7"/>
        <v/>
      </c>
      <c r="EZ40" s="261" t="str">
        <f>IFERROR(VLOOKUP(EB40,Lookup!AM$3:AN$13,2,FALSE),"")</f>
        <v/>
      </c>
      <c r="FA40" s="471" t="b">
        <f>IFERROR(IF(VLOOKUP(EB40,Lookup!AM$6:AN$8,2,FALSE)&gt;3,TRUE,FALSE),FALSE)</f>
        <v>0</v>
      </c>
      <c r="FB40" s="471">
        <f t="shared" si="11"/>
        <v>1</v>
      </c>
      <c r="FC40" t="str">
        <f t="shared" ca="1" si="10"/>
        <v/>
      </c>
      <c r="FG40" t="str">
        <f t="shared" ca="1" si="12"/>
        <v/>
      </c>
      <c r="FI40" s="240" t="str">
        <f t="shared" ca="1" si="24"/>
        <v/>
      </c>
      <c r="FJ40" s="240"/>
      <c r="FK40" s="712" t="str">
        <f ca="1">IF(INDIRECT(CONCATENATE($FK$12,Fixtures!FK$25))="","",IF(INDIRECT(CONCATENATE($FK$12,Fixtures!FK$25))=Fixtures!$DN40,CONCATENATE(FK$10,", "),""))</f>
        <v/>
      </c>
      <c r="FL40" s="712" t="str">
        <f ca="1">IF(INDIRECT(CONCATENATE($FK$12,Fixtures!FL$25))="","",IF(INDIRECT(CONCATENATE($FK$12,Fixtures!FL$25))=Fixtures!$DN40,CONCATENATE(FL$10,", "),""))</f>
        <v/>
      </c>
      <c r="FM40" s="712" t="str">
        <f ca="1">IF(INDIRECT(CONCATENATE($FK$12,Fixtures!FM$25))="","",IF(INDIRECT(CONCATENATE($FK$12,Fixtures!FM$25))=Fixtures!$DN40,CONCATENATE(FM$10,", "),""))</f>
        <v/>
      </c>
      <c r="FN40" s="712" t="str">
        <f ca="1">IF(INDIRECT(CONCATENATE($FK$12,Fixtures!FN$25))="","",IF(INDIRECT(CONCATENATE($FK$12,Fixtures!FN$25))=Fixtures!$DN40,CONCATENATE(FN$10,", "),""))</f>
        <v/>
      </c>
      <c r="FO40" s="712" t="str">
        <f ca="1">IF(INDIRECT(CONCATENATE($FK$12,Fixtures!FO$25))="","",IF(INDIRECT(CONCATENATE($FK$12,Fixtures!FO$25))=Fixtures!$DN40,CONCATENATE(FO$10,", "),""))</f>
        <v/>
      </c>
      <c r="FP40" s="712" t="str">
        <f ca="1">IF(INDIRECT(CONCATENATE($FK$12,Fixtures!FP$25))="","",IF(INDIRECT(CONCATENATE($FK$12,Fixtures!FP$25))=Fixtures!$DN40,CONCATENATE(FP$10,", "),""))</f>
        <v/>
      </c>
      <c r="FQ40" s="712" t="str">
        <f ca="1">IF(INDIRECT(CONCATENATE($FK$12,Fixtures!FQ$25))="","",IF(INDIRECT(CONCATENATE($FK$12,Fixtures!FQ$25))=Fixtures!$DN40,CONCATENATE(FQ$10,", "),""))</f>
        <v/>
      </c>
      <c r="FR40" s="712" t="str">
        <f ca="1">IF(INDIRECT(CONCATENATE($FK$12,Fixtures!FR$25))="","",IF(INDIRECT(CONCATENATE($FK$12,Fixtures!FR$25))=Fixtures!$DN40,CONCATENATE(FR$10,", "),""))</f>
        <v/>
      </c>
      <c r="FS40" s="712" t="str">
        <f ca="1">IF(INDIRECT(CONCATENATE($FK$12,Fixtures!FS$25))="","",IF(INDIRECT(CONCATENATE($FK$12,Fixtures!FS$25))=Fixtures!$DN40,CONCATENATE(FS$10,", "),""))</f>
        <v/>
      </c>
      <c r="FT40" s="682" t="str">
        <f ca="1">IF(INDIRECT(CONCATENATE($FK$12,Fixtures!FT$25))="","",IF(INDIRECT(CONCATENATE($FK$12,Fixtures!FT$25))=Fixtures!$DN40,CONCATENATE(FT$10,", "),""))</f>
        <v/>
      </c>
      <c r="FU40" s="683" t="str">
        <f ca="1">IF(INDIRECT(CONCATENATE($FK$12,Fixtures!FU$25))="","",IF(INDIRECT(CONCATENATE($FK$12,Fixtures!FU$25))=Fixtures!$DN40,CONCATENATE(FU$10,", "),""))</f>
        <v/>
      </c>
      <c r="FV40" s="712" t="str">
        <f ca="1">IF(INDIRECT(CONCATENATE($FK$12,Fixtures!FV$25))="","",IF(INDIRECT(CONCATENATE($FK$12,Fixtures!FV$25))=Fixtures!$DN40,CONCATENATE(FV$10,", "),""))</f>
        <v/>
      </c>
      <c r="FW40" s="713" t="str">
        <f ca="1">IF(INDIRECT(CONCATENATE($FK$12,Fixtures!FW$25))="","",IF(INDIRECT(CONCATENATE($FK$12,Fixtures!FW$25))=Fixtures!$DN40,CONCATENATE(FW$10,", "),""))</f>
        <v/>
      </c>
      <c r="FX40" s="713" t="str">
        <f ca="1">IF(INDIRECT(CONCATENATE($FK$12,Fixtures!FX$25))="","",IF(INDIRECT(CONCATENATE($FK$12,Fixtures!FX$25))=Fixtures!$DN40,CONCATENATE(FX$10,", "),""))</f>
        <v/>
      </c>
      <c r="FY40" s="713" t="str">
        <f ca="1">IF(INDIRECT(CONCATENATE($FK$12,Fixtures!FY$25))="","",IF(INDIRECT(CONCATENATE($FK$12,Fixtures!FY$25))=Fixtures!$DN40,CONCATENATE(FY$10,", "),""))</f>
        <v/>
      </c>
      <c r="FZ40" s="713" t="str">
        <f ca="1">IF(INDIRECT(CONCATENATE($FK$12,Fixtures!FZ$25))="","",IF(INDIRECT(CONCATENATE($FK$12,Fixtures!FZ$25))=Fixtures!$DN40,CONCATENATE(FZ$10,", "),""))</f>
        <v/>
      </c>
      <c r="GA40" s="713" t="str">
        <f ca="1">IF(INDIRECT(CONCATENATE($FK$12,Fixtures!GA$25))="","",IF(INDIRECT(CONCATENATE($FK$12,Fixtures!GA$25))=Fixtures!$DN40,CONCATENATE(GA$10,", "),""))</f>
        <v/>
      </c>
      <c r="GB40" s="713" t="str">
        <f ca="1">IF(INDIRECT(CONCATENATE($FK$12,Fixtures!GB$25))="","",IF(INDIRECT(CONCATENATE($FK$12,Fixtures!GB$25))=Fixtures!$DN40,CONCATENATE(GB$10,", "),""))</f>
        <v/>
      </c>
      <c r="GC40" s="713" t="str">
        <f ca="1">IF(INDIRECT(CONCATENATE($FK$12,Fixtures!GC$25))="","",IF(INDIRECT(CONCATENATE($FK$12,Fixtures!GC$25))=Fixtures!$DN40,CONCATENATE(GC$10,", "),""))</f>
        <v/>
      </c>
      <c r="GD40" s="713" t="str">
        <f ca="1">IF(INDIRECT(CONCATENATE($FK$12,Fixtures!GD$25))="","",IF(INDIRECT(CONCATENATE($FK$12,Fixtures!GD$25))=Fixtures!$DN40,CONCATENATE(GD$10,", "),""))</f>
        <v/>
      </c>
      <c r="GE40" s="713" t="str">
        <f ca="1">IF(INDIRECT(CONCATENATE($FK$12,Fixtures!GE$25))="","",IF(INDIRECT(CONCATENATE($FK$12,Fixtures!GE$25))=Fixtures!$DN40,CONCATENATE(GE$10,", "),""))</f>
        <v/>
      </c>
      <c r="GF40" s="713" t="str">
        <f ca="1">IF(INDIRECT(CONCATENATE($FK$12,Fixtures!GF$25))="","",IF(INDIRECT(CONCATENATE($FK$12,Fixtures!GF$25))=Fixtures!$DN40,CONCATENATE(GF$10,", "),""))</f>
        <v/>
      </c>
      <c r="GG40" s="713" t="str">
        <f ca="1">IF(INDIRECT(CONCATENATE($FK$12,Fixtures!GG$25))="","",IF(INDIRECT(CONCATENATE($FK$12,Fixtures!GG$25))=Fixtures!$DN40,CONCATENATE(GG$10,", "),""))</f>
        <v/>
      </c>
      <c r="GH40" s="713" t="str">
        <f ca="1">IF(INDIRECT(CONCATENATE($FK$12,Fixtures!GH$25))="","",IF(INDIRECT(CONCATENATE($FK$12,Fixtures!GH$25))=Fixtures!$DN40,CONCATENATE(GH$10,", "),""))</f>
        <v/>
      </c>
      <c r="GI40" s="684" t="str">
        <f ca="1">IF(INDIRECT(CONCATENATE($FK$12,Fixtures!GI$25))="","",IF(INDIRECT(CONCATENATE($FK$12,Fixtures!GI$25))=Fixtures!$DN40,CONCATENATE(GI$10,", "),""))</f>
        <v/>
      </c>
      <c r="GJ40" s="685" t="str">
        <f ca="1">IF(INDIRECT(CONCATENATE($FK$12,Fixtures!GJ$25))="","",IF(INDIRECT(CONCATENATE($FK$12,Fixtures!GJ$25))=Fixtures!$DN40,CONCATENATE(GJ$10,", "),""))</f>
        <v/>
      </c>
      <c r="GK40" s="713" t="str">
        <f ca="1">IF(INDIRECT(CONCATENATE($FK$12,Fixtures!GK$25))="","",IF(INDIRECT(CONCATENATE($FK$12,Fixtures!GK$25))=Fixtures!$DN40,CONCATENATE(GK$10,", "),""))</f>
        <v/>
      </c>
      <c r="GL40" s="713" t="str">
        <f ca="1">IF(INDIRECT(CONCATENATE($FK$12,Fixtures!GL$25))="","",IF(INDIRECT(CONCATENATE($FK$12,Fixtures!GL$25))=Fixtures!$DN40,CONCATENATE(GL$10,", "),""))</f>
        <v/>
      </c>
      <c r="GM40" s="713" t="str">
        <f ca="1">IF(INDIRECT(CONCATENATE($FK$12,Fixtures!GM$25))="","",IF(INDIRECT(CONCATENATE($FK$12,Fixtures!GM$25))=Fixtures!$DN40,CONCATENATE(GM$10,", "),""))</f>
        <v/>
      </c>
      <c r="GN40" s="713" t="str">
        <f ca="1">IF(INDIRECT(CONCATENATE($FK$12,Fixtures!GN$25))="","",IF(INDIRECT(CONCATENATE($FK$12,Fixtures!GN$25))=Fixtures!$DN40,CONCATENATE(GN$10,", "),""))</f>
        <v/>
      </c>
      <c r="GO40" s="713" t="str">
        <f ca="1">IF(INDIRECT(CONCATENATE($FK$12,Fixtures!GO$25))="","",IF(INDIRECT(CONCATENATE($FK$12,Fixtures!GO$25))=Fixtures!$DN40,CONCATENATE(GO$10,", "),""))</f>
        <v/>
      </c>
      <c r="GP40" s="713" t="str">
        <f ca="1">IF(INDIRECT(CONCATENATE($FK$12,Fixtures!GP$25))="","",IF(INDIRECT(CONCATENATE($FK$12,Fixtures!GP$25))=Fixtures!$DN40,CONCATENATE(GP$10,", "),""))</f>
        <v/>
      </c>
      <c r="GQ40" s="713" t="str">
        <f ca="1">IF(INDIRECT(CONCATENATE($FK$12,Fixtures!GQ$25))="","",IF(INDIRECT(CONCATENATE($FK$12,Fixtures!GQ$25))=Fixtures!$DN40,CONCATENATE(GQ$10,", "),""))</f>
        <v/>
      </c>
      <c r="GR40" s="713" t="str">
        <f ca="1">IF(INDIRECT(CONCATENATE($FK$12,Fixtures!GR$25))="","",IF(INDIRECT(CONCATENATE($FK$12,Fixtures!GR$25))=Fixtures!$DN40,CONCATENATE(GR$10,", "),""))</f>
        <v/>
      </c>
      <c r="GS40" s="713" t="str">
        <f ca="1">IF(INDIRECT(CONCATENATE($FK$12,Fixtures!GS$25))="","",IF(INDIRECT(CONCATENATE($FK$12,Fixtures!GS$25))=Fixtures!$DN40,CONCATENATE(GS$10,", "),""))</f>
        <v/>
      </c>
      <c r="GT40" s="713" t="str">
        <f ca="1">IF(INDIRECT(CONCATENATE($FK$12,Fixtures!GT$25))="","",IF(INDIRECT(CONCATENATE($FK$12,Fixtures!GT$25))=Fixtures!$DN40,CONCATENATE(GT$10,", "),""))</f>
        <v/>
      </c>
      <c r="GU40" s="713" t="str">
        <f ca="1">IF(INDIRECT(CONCATENATE($FK$12,Fixtures!GU$25))="","",IF(INDIRECT(CONCATENATE($FK$12,Fixtures!GU$25))=Fixtures!$DN40,CONCATENATE(GU$10,", "),""))</f>
        <v/>
      </c>
      <c r="GV40" s="713" t="str">
        <f ca="1">IF(INDIRECT(CONCATENATE($FK$12,Fixtures!GV$25))="","",IF(INDIRECT(CONCATENATE($FK$12,Fixtures!GV$25))=Fixtures!$DN40,CONCATENATE(GV$10,", "),""))</f>
        <v/>
      </c>
      <c r="GW40" s="713" t="str">
        <f ca="1">IF(INDIRECT(CONCATENATE($FK$12,Fixtures!GW$25))="","",IF(INDIRECT(CONCATENATE($FK$12,Fixtures!GW$25))=Fixtures!$DN40,CONCATENATE(GW$10,", "),""))</f>
        <v/>
      </c>
      <c r="GX40" s="684" t="str">
        <f ca="1">IF(INDIRECT(CONCATENATE($FK$12,Fixtures!GX$25))="","",IF(INDIRECT(CONCATENATE($FK$12,Fixtures!GX$25))=Fixtures!$DN40,CONCATENATE(GX$10,", "),""))</f>
        <v/>
      </c>
      <c r="GY40" s="685" t="str">
        <f ca="1">IF(INDIRECT(CONCATENATE($FK$12,Fixtures!GY$25))="","",IF(INDIRECT(CONCATENATE($FK$12,Fixtures!GY$25))=Fixtures!$DN40,CONCATENATE(GY$10,", "),""))</f>
        <v/>
      </c>
      <c r="GZ40" s="713" t="str">
        <f ca="1">IF(INDIRECT(CONCATENATE($FK$12,Fixtures!GZ$25))="","",IF(INDIRECT(CONCATENATE($FK$12,Fixtures!GZ$25))=Fixtures!$DN40,CONCATENATE(GZ$10,", "),""))</f>
        <v/>
      </c>
      <c r="HA40" s="713" t="str">
        <f ca="1">IF(INDIRECT(CONCATENATE($FK$12,Fixtures!HA$25))="","",IF(INDIRECT(CONCATENATE($FK$12,Fixtures!HA$25))=Fixtures!$DN40,CONCATENATE(HA$10,", "),""))</f>
        <v/>
      </c>
      <c r="HB40" s="713" t="str">
        <f ca="1">IF(INDIRECT(CONCATENATE($FK$12,Fixtures!HB$25))="","",IF(INDIRECT(CONCATENATE($FK$12,Fixtures!HB$25))=Fixtures!$DN40,CONCATENATE(HB$10,", "),""))</f>
        <v/>
      </c>
      <c r="HC40" s="713" t="str">
        <f ca="1">IF(INDIRECT(CONCATENATE($FK$12,Fixtures!HC$25))="","",IF(INDIRECT(CONCATENATE($FK$12,Fixtures!HC$25))=Fixtures!$DN40,CONCATENATE(HC$10,", "),""))</f>
        <v/>
      </c>
      <c r="HD40" s="713" t="str">
        <f ca="1">IF(INDIRECT(CONCATENATE($FK$12,Fixtures!HD$25))="","",IF(INDIRECT(CONCATENATE($FK$12,Fixtures!HD$25))=Fixtures!$DN40,CONCATENATE(HD$10,", "),""))</f>
        <v/>
      </c>
      <c r="HE40" s="713" t="str">
        <f ca="1">IF(INDIRECT(CONCATENATE($FK$12,Fixtures!HE$25))="","",IF(INDIRECT(CONCATENATE($FK$12,Fixtures!HE$25))=Fixtures!$DN40,CONCATENATE(HE$10,", "),""))</f>
        <v/>
      </c>
      <c r="HF40" s="713" t="str">
        <f ca="1">IF(INDIRECT(CONCATENATE($FK$12,Fixtures!HF$25))="","",IF(INDIRECT(CONCATENATE($FK$12,Fixtures!HF$25))=Fixtures!$DN40,CONCATENATE(HF$10,", "),""))</f>
        <v/>
      </c>
      <c r="HG40" s="713" t="str">
        <f ca="1">IF(INDIRECT(CONCATENATE($FK$12,Fixtures!HG$25))="","",IF(INDIRECT(CONCATENATE($FK$12,Fixtures!HG$25))=Fixtures!$DN40,CONCATENATE(HG$10,", "),""))</f>
        <v/>
      </c>
      <c r="HH40" s="713" t="str">
        <f ca="1">IF(INDIRECT(CONCATENATE($FK$12,Fixtures!HH$25))="","",IF(INDIRECT(CONCATENATE($FK$12,Fixtures!HH$25))=Fixtures!$DN40,CONCATENATE(HH$10,", "),""))</f>
        <v/>
      </c>
      <c r="HI40" s="713" t="str">
        <f ca="1">IF(INDIRECT(CONCATENATE($FK$12,Fixtures!HI$25))="","",IF(INDIRECT(CONCATENATE($FK$12,Fixtures!HI$25))=Fixtures!$DN40,CONCATENATE(HI$10,", "),""))</f>
        <v/>
      </c>
      <c r="HJ40" s="713" t="str">
        <f ca="1">IF(INDIRECT(CONCATENATE($FK$12,Fixtures!HJ$25))="","",IF(INDIRECT(CONCATENATE($FK$12,Fixtures!HJ$25))=Fixtures!$DN40,CONCATENATE(HJ$10,", "),""))</f>
        <v/>
      </c>
      <c r="HK40" s="713" t="str">
        <f ca="1">IF(INDIRECT(CONCATENATE($FK$12,Fixtures!HK$25))="","",IF(INDIRECT(CONCATENATE($FK$12,Fixtures!HK$25))=Fixtures!$DN40,CONCATENATE(HK$10,", "),""))</f>
        <v/>
      </c>
      <c r="HL40" s="713" t="str">
        <f ca="1">IF(INDIRECT(CONCATENATE($FK$12,Fixtures!HL$25))="","",IF(INDIRECT(CONCATENATE($FK$12,Fixtures!HL$25))=Fixtures!$DN40,CONCATENATE(HL$10,", "),""))</f>
        <v/>
      </c>
      <c r="HM40" s="684" t="str">
        <f ca="1">IF(INDIRECT(CONCATENATE($FK$12,Fixtures!HM$25))="","",IF(INDIRECT(CONCATENATE($FK$12,Fixtures!HM$25))=Fixtures!$DN40,CONCATENATE(HM$10,", "),""))</f>
        <v/>
      </c>
      <c r="HN40" s="685" t="str">
        <f ca="1">IF(INDIRECT(CONCATENATE($FK$12,Fixtures!HN$25))="","",IF(INDIRECT(CONCATENATE($FK$12,Fixtures!HN$25))=Fixtures!$DN40,CONCATENATE(HN$10,", "),""))</f>
        <v/>
      </c>
      <c r="HO40" s="713" t="str">
        <f ca="1">IF(INDIRECT(CONCATENATE($FK$12,Fixtures!HO$25))="","",IF(INDIRECT(CONCATENATE($FK$12,Fixtures!HO$25))=Fixtures!$DN40,CONCATENATE(HO$10,", "),""))</f>
        <v/>
      </c>
      <c r="HP40" s="713" t="str">
        <f ca="1">IF(INDIRECT(CONCATENATE($FK$12,Fixtures!HP$25))="","",IF(INDIRECT(CONCATENATE($FK$12,Fixtures!HP$25))=Fixtures!$DN40,CONCATENATE(HP$10,", "),""))</f>
        <v/>
      </c>
      <c r="HQ40" s="713" t="str">
        <f ca="1">IF(INDIRECT(CONCATENATE($FK$12,Fixtures!HQ$25))="","",IF(INDIRECT(CONCATENATE($FK$12,Fixtures!HQ$25))=Fixtures!$DN40,CONCATENATE(HQ$10,", "),""))</f>
        <v/>
      </c>
      <c r="HR40" s="713" t="str">
        <f ca="1">IF(INDIRECT(CONCATENATE($FK$12,Fixtures!HR$25))="","",IF(INDIRECT(CONCATENATE($FK$12,Fixtures!HR$25))=Fixtures!$DN40,CONCATENATE(HR$10,", "),""))</f>
        <v/>
      </c>
      <c r="HS40" s="713" t="str">
        <f ca="1">IF(INDIRECT(CONCATENATE($FK$12,Fixtures!HS$25))="","",IF(INDIRECT(CONCATENATE($FK$12,Fixtures!HS$25))=Fixtures!$DN40,CONCATENATE(HS$10,", "),""))</f>
        <v/>
      </c>
      <c r="HT40" s="713" t="str">
        <f ca="1">IF(INDIRECT(CONCATENATE($FK$12,Fixtures!HT$25))="","",IF(INDIRECT(CONCATENATE($FK$12,Fixtures!HT$25))=Fixtures!$DN40,CONCATENATE(HT$10,", "),""))</f>
        <v/>
      </c>
      <c r="HU40" s="713" t="str">
        <f ca="1">IF(INDIRECT(CONCATENATE($FK$12,Fixtures!HU$25))="","",IF(INDIRECT(CONCATENATE($FK$12,Fixtures!HU$25))=Fixtures!$DN40,CONCATENATE(HU$10,", "),""))</f>
        <v/>
      </c>
      <c r="HV40" s="713" t="str">
        <f ca="1">IF(INDIRECT(CONCATENATE($FK$12,Fixtures!HV$25))="","",IF(INDIRECT(CONCATENATE($FK$12,Fixtures!HV$25))=Fixtures!$DN40,CONCATENATE(HV$10,", "),""))</f>
        <v/>
      </c>
      <c r="HW40" s="713" t="str">
        <f ca="1">IF(INDIRECT(CONCATENATE($FK$12,Fixtures!HW$25))="","",IF(INDIRECT(CONCATENATE($FK$12,Fixtures!HW$25))=Fixtures!$DN40,CONCATENATE(HW$10,", "),""))</f>
        <v/>
      </c>
      <c r="HX40" s="713" t="str">
        <f ca="1">IF(INDIRECT(CONCATENATE($FK$12,Fixtures!HX$25))="","",IF(INDIRECT(CONCATENATE($FK$12,Fixtures!HX$25))=Fixtures!$DN40,CONCATENATE(HX$10,", "),""))</f>
        <v/>
      </c>
      <c r="HY40" s="713" t="str">
        <f ca="1">IF(INDIRECT(CONCATENATE($FK$12,Fixtures!HY$25))="","",IF(INDIRECT(CONCATENATE($FK$12,Fixtures!HY$25))=Fixtures!$DN40,CONCATENATE(HY$10,", "),""))</f>
        <v/>
      </c>
      <c r="HZ40" s="713" t="str">
        <f ca="1">IF(INDIRECT(CONCATENATE($FK$12,Fixtures!HZ$25))="","",IF(INDIRECT(CONCATENATE($FK$12,Fixtures!HZ$25))=Fixtures!$DN40,CONCATENATE(HZ$10,", "),""))</f>
        <v/>
      </c>
      <c r="IA40" s="713" t="str">
        <f ca="1">IF(INDIRECT(CONCATENATE($FK$12,Fixtures!IA$25))="","",IF(INDIRECT(CONCATENATE($FK$12,Fixtures!IA$25))=Fixtures!$DN40,CONCATENATE(IA$10,", "),""))</f>
        <v/>
      </c>
      <c r="IB40" s="684" t="str">
        <f ca="1">IF(INDIRECT(CONCATENATE($FK$12,Fixtures!IB$25))="","",IF(INDIRECT(CONCATENATE($FK$12,Fixtures!IB$25))=Fixtures!$DN40,CONCATENATE(IB$10,", "),""))</f>
        <v/>
      </c>
      <c r="IC40" s="685" t="str">
        <f ca="1">IF(INDIRECT(CONCATENATE($FK$12,Fixtures!IC$25))="","",IF(INDIRECT(CONCATENATE($FK$12,Fixtures!IC$25))=Fixtures!$DN40,CONCATENATE(IC$10,", "),""))</f>
        <v/>
      </c>
      <c r="ID40" s="713" t="str">
        <f ca="1">IF(INDIRECT(CONCATENATE($FK$12,Fixtures!ID$25))="","",IF(INDIRECT(CONCATENATE($FK$12,Fixtures!ID$25))=Fixtures!$DN40,CONCATENATE(ID$10,", "),""))</f>
        <v/>
      </c>
      <c r="IE40" s="713" t="str">
        <f ca="1">IF(INDIRECT(CONCATENATE($FK$12,Fixtures!IE$25))="","",IF(INDIRECT(CONCATENATE($FK$12,Fixtures!IE$25))=Fixtures!$DN40,CONCATENATE(IE$10,", "),""))</f>
        <v/>
      </c>
      <c r="IF40" s="713" t="str">
        <f ca="1">IF(INDIRECT(CONCATENATE($FK$12,Fixtures!IF$25))="","",IF(INDIRECT(CONCATENATE($FK$12,Fixtures!IF$25))=Fixtures!$DN40,CONCATENATE(IF$10,", "),""))</f>
        <v/>
      </c>
      <c r="IG40" s="713" t="str">
        <f ca="1">IF(INDIRECT(CONCATENATE($FK$12,Fixtures!IG$25))="","",IF(INDIRECT(CONCATENATE($FK$12,Fixtures!IG$25))=Fixtures!$DN40,CONCATENATE(IG$10,", "),""))</f>
        <v/>
      </c>
      <c r="IH40" s="713" t="str">
        <f ca="1">IF(INDIRECT(CONCATENATE($FK$12,Fixtures!IH$25))="","",IF(INDIRECT(CONCATENATE($FK$12,Fixtures!IH$25))=Fixtures!$DN40,CONCATENATE(IH$10,", "),""))</f>
        <v/>
      </c>
      <c r="II40" s="713" t="str">
        <f ca="1">IF(INDIRECT(CONCATENATE($FK$12,Fixtures!II$25))="","",IF(INDIRECT(CONCATENATE($FK$12,Fixtures!II$25))=Fixtures!$DN40,CONCATENATE(II$10,", "),""))</f>
        <v/>
      </c>
      <c r="IJ40" s="713" t="str">
        <f ca="1">IF(INDIRECT(CONCATENATE($FK$12,Fixtures!IJ$25))="","",IF(INDIRECT(CONCATENATE($FK$12,Fixtures!IJ$25))=Fixtures!$DN40,CONCATENATE(IJ$10,", "),""))</f>
        <v/>
      </c>
      <c r="IK40" s="713" t="str">
        <f ca="1">IF(INDIRECT(CONCATENATE($FK$12,Fixtures!IK$25))="","",IF(INDIRECT(CONCATENATE($FK$12,Fixtures!IK$25))=Fixtures!$DN40,CONCATENATE(IK$10,", "),""))</f>
        <v/>
      </c>
      <c r="IL40" s="713" t="str">
        <f ca="1">IF(INDIRECT(CONCATENATE($FK$12,Fixtures!IL$25))="","",IF(INDIRECT(CONCATENATE($FK$12,Fixtures!IL$25))=Fixtures!$DN40,CONCATENATE(IL$10,", "),""))</f>
        <v/>
      </c>
      <c r="IM40" s="713" t="str">
        <f ca="1">IF(INDIRECT(CONCATENATE($FK$12,Fixtures!IM$25))="","",IF(INDIRECT(CONCATENATE($FK$12,Fixtures!IM$25))=Fixtures!$DN40,CONCATENATE(IM$10,", "),""))</f>
        <v/>
      </c>
      <c r="IN40" s="713" t="str">
        <f ca="1">IF(INDIRECT(CONCATENATE($FK$12,Fixtures!IN$25))="","",IF(INDIRECT(CONCATENATE($FK$12,Fixtures!IN$25))=Fixtures!$DN40,CONCATENATE(IN$10,", "),""))</f>
        <v/>
      </c>
      <c r="IO40" s="713" t="str">
        <f ca="1">IF(INDIRECT(CONCATENATE($FK$12,Fixtures!IO$25))="","",IF(INDIRECT(CONCATENATE($FK$12,Fixtures!IO$25))=Fixtures!$DN40,CONCATENATE(IO$10,", "),""))</f>
        <v/>
      </c>
      <c r="IP40" s="713" t="str">
        <f ca="1">IF(INDIRECT(CONCATENATE($FK$12,Fixtures!IP$25))="","",IF(INDIRECT(CONCATENATE($FK$12,Fixtures!IP$25))=Fixtures!$DN40,CONCATENATE(IP$10,", "),""))</f>
        <v/>
      </c>
      <c r="IQ40" s="684" t="str">
        <f ca="1">IF(INDIRECT(CONCATENATE($FK$12,Fixtures!IQ$25))="","",IF(INDIRECT(CONCATENATE($FK$12,Fixtures!IQ$25))=Fixtures!$DN40,CONCATENATE(IQ$10,", "),""))</f>
        <v/>
      </c>
      <c r="IR40" s="685" t="str">
        <f ca="1">IF(INDIRECT(CONCATENATE($FK$12,Fixtures!IR$25))="","",IF(INDIRECT(CONCATENATE($FK$12,Fixtures!IR$25))=Fixtures!$DN40,CONCATENATE(IR$10,", "),""))</f>
        <v/>
      </c>
      <c r="IS40" s="713" t="str">
        <f ca="1">IF(INDIRECT(CONCATENATE($FK$12,Fixtures!IS$25))="","",IF(INDIRECT(CONCATENATE($FK$12,Fixtures!IS$25))=Fixtures!$DN40,CONCATENATE(IS$10,", "),""))</f>
        <v/>
      </c>
      <c r="IT40" s="713" t="str">
        <f ca="1">IF(INDIRECT(CONCATENATE($FK$12,Fixtures!IT$25))="","",IF(INDIRECT(CONCATENATE($FK$12,Fixtures!IT$25))=Fixtures!$DN40,CONCATENATE(IT$10,", "),""))</f>
        <v/>
      </c>
      <c r="IU40" s="713" t="str">
        <f ca="1">IF(INDIRECT(CONCATENATE($FK$12,Fixtures!IU$25))="","",IF(INDIRECT(CONCATENATE($FK$12,Fixtures!IU$25))=Fixtures!$DN40,CONCATENATE(IU$10,", "),""))</f>
        <v/>
      </c>
      <c r="IV40" s="713" t="str">
        <f ca="1">IF(INDIRECT(CONCATENATE($FK$12,Fixtures!IV$25))="","",IF(INDIRECT(CONCATENATE($FK$12,Fixtures!IV$25))=Fixtures!$DN40,CONCATENATE(IV$10,", "),""))</f>
        <v/>
      </c>
      <c r="IW40" s="713" t="str">
        <f ca="1">IF(INDIRECT(CONCATENATE($FK$12,Fixtures!IW$25))="","",IF(INDIRECT(CONCATENATE($FK$12,Fixtures!IW$25))=Fixtures!$DN40,CONCATENATE(IW$10,", "),""))</f>
        <v/>
      </c>
      <c r="IX40" s="713" t="str">
        <f ca="1">IF(INDIRECT(CONCATENATE($FK$12,Fixtures!IX$25))="","",IF(INDIRECT(CONCATENATE($FK$12,Fixtures!IX$25))=Fixtures!$DN40,CONCATENATE(IX$10,", "),""))</f>
        <v/>
      </c>
      <c r="IY40" s="713" t="str">
        <f ca="1">IF(INDIRECT(CONCATENATE($FK$12,Fixtures!IY$25))="","",IF(INDIRECT(CONCATENATE($FK$12,Fixtures!IY$25))=Fixtures!$DN40,CONCATENATE(IY$10,", "),""))</f>
        <v/>
      </c>
      <c r="IZ40" s="713" t="str">
        <f ca="1">IF(INDIRECT(CONCATENATE($FK$12,Fixtures!IZ$25))="","",IF(INDIRECT(CONCATENATE($FK$12,Fixtures!IZ$25))=Fixtures!$DN40,CONCATENATE(IZ$10,", "),""))</f>
        <v/>
      </c>
      <c r="JA40" s="713" t="str">
        <f ca="1">IF(INDIRECT(CONCATENATE($FK$12,Fixtures!JA$25))="","",IF(INDIRECT(CONCATENATE($FK$12,Fixtures!JA$25))=Fixtures!$DN40,CONCATENATE(JA$10,", "),""))</f>
        <v/>
      </c>
      <c r="JB40" s="713" t="str">
        <f ca="1">IF(INDIRECT(CONCATENATE($FK$12,Fixtures!JB$25))="","",IF(INDIRECT(CONCATENATE($FK$12,Fixtures!JB$25))=Fixtures!$DN40,CONCATENATE(JB$10,", "),""))</f>
        <v/>
      </c>
      <c r="JC40" s="713" t="str">
        <f ca="1">IF(INDIRECT(CONCATENATE($FK$12,Fixtures!JC$25))="","",IF(INDIRECT(CONCATENATE($FK$12,Fixtures!JC$25))=Fixtures!$DN40,CONCATENATE(JC$10,", "),""))</f>
        <v/>
      </c>
      <c r="JD40" s="713" t="str">
        <f ca="1">IF(INDIRECT(CONCATENATE($FK$12,Fixtures!JD$25))="","",IF(INDIRECT(CONCATENATE($FK$12,Fixtures!JD$25))=Fixtures!$DN40,CONCATENATE(JD$10,", "),""))</f>
        <v/>
      </c>
      <c r="JE40" s="713" t="str">
        <f ca="1">IF(INDIRECT(CONCATENATE($FK$12,Fixtures!JE$25))="","",IF(INDIRECT(CONCATENATE($FK$12,Fixtures!JE$25))=Fixtures!$DN40,CONCATENATE(JE$10,", "),""))</f>
        <v/>
      </c>
      <c r="JF40" s="684" t="str">
        <f ca="1">IF(INDIRECT(CONCATENATE($FK$12,Fixtures!JF$25))="","",IF(INDIRECT(CONCATENATE($FK$12,Fixtures!JF$25))=Fixtures!$DN40,CONCATENATE(JF$10,", "),""))</f>
        <v/>
      </c>
      <c r="JG40" s="685" t="str">
        <f ca="1">IF(INDIRECT(CONCATENATE($FK$12,Fixtures!JG$25))="","",IF(INDIRECT(CONCATENATE($FK$12,Fixtures!JG$25))=Fixtures!$DN40,CONCATENATE(JG$10,", "),""))</f>
        <v/>
      </c>
      <c r="JH40" s="713" t="str">
        <f ca="1">IF(INDIRECT(CONCATENATE($FK$12,Fixtures!JH$25))="","",IF(INDIRECT(CONCATENATE($FK$12,Fixtures!JH$25))=Fixtures!$DN40,CONCATENATE(JH$10,", "),""))</f>
        <v/>
      </c>
      <c r="JI40" s="713" t="str">
        <f ca="1">IF(INDIRECT(CONCATENATE($FK$12,Fixtures!JI$25))="","",IF(INDIRECT(CONCATENATE($FK$12,Fixtures!JI$25))=Fixtures!$DN40,CONCATENATE(JI$10,", "),""))</f>
        <v/>
      </c>
      <c r="JJ40" s="713" t="str">
        <f ca="1">IF(INDIRECT(CONCATENATE($FK$12,Fixtures!JJ$25))="","",IF(INDIRECT(CONCATENATE($FK$12,Fixtures!JJ$25))=Fixtures!$DN40,CONCATENATE(JJ$10,", "),""))</f>
        <v/>
      </c>
      <c r="JK40" s="713" t="str">
        <f ca="1">IF(INDIRECT(CONCATENATE($FK$12,Fixtures!JK$25))="","",IF(INDIRECT(CONCATENATE($FK$12,Fixtures!JK$25))=Fixtures!$DN40,CONCATENATE(JK$10,", "),""))</f>
        <v/>
      </c>
      <c r="JL40" s="713" t="str">
        <f ca="1">IF(INDIRECT(CONCATENATE($FK$12,Fixtures!JL$25))="","",IF(INDIRECT(CONCATENATE($FK$12,Fixtures!JL$25))=Fixtures!$DN40,CONCATENATE(JL$10,", "),""))</f>
        <v/>
      </c>
      <c r="JM40" s="713" t="str">
        <f ca="1">IF(INDIRECT(CONCATENATE($FK$12,Fixtures!JM$25))="","",IF(INDIRECT(CONCATENATE($FK$12,Fixtures!JM$25))=Fixtures!$DN40,CONCATENATE(JM$10,", "),""))</f>
        <v/>
      </c>
      <c r="JN40" s="713" t="str">
        <f ca="1">IF(INDIRECT(CONCATENATE($FK$12,Fixtures!JN$25))="","",IF(INDIRECT(CONCATENATE($FK$12,Fixtures!JN$25))=Fixtures!$DN40,CONCATENATE(JN$10,", "),""))</f>
        <v/>
      </c>
      <c r="JO40" s="713" t="str">
        <f ca="1">IF(INDIRECT(CONCATENATE($FK$12,Fixtures!JO$25))="","",IF(INDIRECT(CONCATENATE($FK$12,Fixtures!JO$25))=Fixtures!$DN40,CONCATENATE(JO$10,", "),""))</f>
        <v/>
      </c>
      <c r="JP40" s="713" t="str">
        <f ca="1">IF(INDIRECT(CONCATENATE($FK$12,Fixtures!JP$25))="","",IF(INDIRECT(CONCATENATE($FK$12,Fixtures!JP$25))=Fixtures!$DN40,CONCATENATE(JP$10,", "),""))</f>
        <v/>
      </c>
      <c r="JQ40" s="713" t="str">
        <f ca="1">IF(INDIRECT(CONCATENATE($FK$12,Fixtures!JQ$25))="","",IF(INDIRECT(CONCATENATE($FK$12,Fixtures!JQ$25))=Fixtures!$DN40,CONCATENATE(JQ$10,", "),""))</f>
        <v/>
      </c>
      <c r="JR40" s="713" t="str">
        <f ca="1">IF(INDIRECT(CONCATENATE($FK$12,Fixtures!JR$25))="","",IF(INDIRECT(CONCATENATE($FK$12,Fixtures!JR$25))=Fixtures!$DN40,CONCATENATE(JR$10,", "),""))</f>
        <v/>
      </c>
      <c r="JS40" s="713" t="str">
        <f ca="1">IF(INDIRECT(CONCATENATE($FK$12,Fixtures!JS$25))="","",IF(INDIRECT(CONCATENATE($FK$12,Fixtures!JS$25))=Fixtures!$DN40,CONCATENATE(JS$10,", "),""))</f>
        <v/>
      </c>
      <c r="JT40" s="713" t="str">
        <f ca="1">IF(INDIRECT(CONCATENATE($FK$12,Fixtures!JT$25))="","",IF(INDIRECT(CONCATENATE($FK$12,Fixtures!JT$25))=Fixtures!$DN40,CONCATENATE(JT$10,", "),""))</f>
        <v/>
      </c>
      <c r="JU40" s="684" t="str">
        <f ca="1">IF(INDIRECT(CONCATENATE($FK$12,Fixtures!JU$25))="","",IF(INDIRECT(CONCATENATE($FK$12,Fixtures!JU$25))=Fixtures!$DN40,CONCATENATE(JU$10,", "),""))</f>
        <v/>
      </c>
      <c r="JV40" s="685" t="str">
        <f ca="1">IF(INDIRECT(CONCATENATE($FK$12,Fixtures!JV$25))="","",IF(INDIRECT(CONCATENATE($FK$12,Fixtures!JV$25))=Fixtures!$DN40,CONCATENATE(JV$10,", "),""))</f>
        <v/>
      </c>
      <c r="JW40" s="713" t="str">
        <f ca="1">IF(INDIRECT(CONCATENATE($FK$12,Fixtures!JW$25))="","",IF(INDIRECT(CONCATENATE($FK$12,Fixtures!JW$25))=Fixtures!$DN40,CONCATENATE(JW$10,", "),""))</f>
        <v/>
      </c>
      <c r="JX40" s="713" t="str">
        <f ca="1">IF(INDIRECT(CONCATENATE($FK$12,Fixtures!JX$25))="","",IF(INDIRECT(CONCATENATE($FK$12,Fixtures!JX$25))=Fixtures!$DN40,CONCATENATE(JX$10,", "),""))</f>
        <v/>
      </c>
      <c r="JY40" s="713" t="str">
        <f ca="1">IF(INDIRECT(CONCATENATE($FK$12,Fixtures!JY$25))="","",IF(INDIRECT(CONCATENATE($FK$12,Fixtures!JY$25))=Fixtures!$DN40,CONCATENATE(JY$10,", "),""))</f>
        <v/>
      </c>
      <c r="JZ40" s="713" t="str">
        <f ca="1">IF(INDIRECT(CONCATENATE($FK$12,Fixtures!JZ$25))="","",IF(INDIRECT(CONCATENATE($FK$12,Fixtures!JZ$25))=Fixtures!$DN40,CONCATENATE(JZ$10,", "),""))</f>
        <v/>
      </c>
      <c r="KA40" s="713" t="str">
        <f ca="1">IF(INDIRECT(CONCATENATE($FK$12,Fixtures!KA$25))="","",IF(INDIRECT(CONCATENATE($FK$12,Fixtures!KA$25))=Fixtures!$DN40,CONCATENATE(KA$10,", "),""))</f>
        <v/>
      </c>
      <c r="KB40" s="713" t="str">
        <f ca="1">IF(INDIRECT(CONCATENATE($FK$12,Fixtures!KB$25))="","",IF(INDIRECT(CONCATENATE($FK$12,Fixtures!KB$25))=Fixtures!$DN40,CONCATENATE(KB$10,", "),""))</f>
        <v/>
      </c>
      <c r="KC40" s="713" t="str">
        <f ca="1">IF(INDIRECT(CONCATENATE($FK$12,Fixtures!KC$25))="","",IF(INDIRECT(CONCATENATE($FK$12,Fixtures!KC$25))=Fixtures!$DN40,CONCATENATE(KC$10,", "),""))</f>
        <v/>
      </c>
      <c r="KD40" s="713" t="str">
        <f ca="1">IF(INDIRECT(CONCATENATE($FK$12,Fixtures!KD$25))="","",IF(INDIRECT(CONCATENATE($FK$12,Fixtures!KD$25))=Fixtures!$DN40,CONCATENATE(KD$10,", "),""))</f>
        <v/>
      </c>
      <c r="KE40" s="713" t="str">
        <f ca="1">IF(INDIRECT(CONCATENATE($FK$12,Fixtures!KE$25))="","",IF(INDIRECT(CONCATENATE($FK$12,Fixtures!KE$25))=Fixtures!$DN40,CONCATENATE(KE$10,", "),""))</f>
        <v/>
      </c>
      <c r="KF40" s="713" t="str">
        <f ca="1">IF(INDIRECT(CONCATENATE($FK$12,Fixtures!KF$25))="","",IF(INDIRECT(CONCATENATE($FK$12,Fixtures!KF$25))=Fixtures!$DN40,CONCATENATE(KF$10,", "),""))</f>
        <v/>
      </c>
      <c r="KG40" s="713" t="str">
        <f ca="1">IF(INDIRECT(CONCATENATE($FK$12,Fixtures!KG$25))="","",IF(INDIRECT(CONCATENATE($FK$12,Fixtures!KG$25))=Fixtures!$DN40,CONCATENATE(KG$10,", "),""))</f>
        <v/>
      </c>
      <c r="KH40" s="713" t="str">
        <f ca="1">IF(INDIRECT(CONCATENATE($FK$12,Fixtures!KH$25))="","",IF(INDIRECT(CONCATENATE($FK$12,Fixtures!KH$25))=Fixtures!$DN40,CONCATENATE(KH$10,", "),""))</f>
        <v/>
      </c>
      <c r="KI40" s="713" t="str">
        <f ca="1">IF(INDIRECT(CONCATENATE($FK$12,Fixtures!KI$25))="","",IF(INDIRECT(CONCATENATE($FK$12,Fixtures!KI$25))=Fixtures!$DN40,CONCATENATE(KI$10,", "),""))</f>
        <v/>
      </c>
      <c r="KJ40" s="684" t="str">
        <f ca="1">IF(INDIRECT(CONCATENATE($FK$12,Fixtures!KJ$25))="","",IF(INDIRECT(CONCATENATE($FK$12,Fixtures!KJ$25))=Fixtures!$DN40,CONCATENATE(KJ$10,", "),""))</f>
        <v/>
      </c>
      <c r="KK40" s="685" t="str">
        <f ca="1">IF(INDIRECT(CONCATENATE($FK$12,Fixtures!KK$25))="","",IF(INDIRECT(CONCATENATE($FK$12,Fixtures!KK$25))=Fixtures!$DN40,CONCATENATE(KK$10,", "),""))</f>
        <v/>
      </c>
      <c r="KL40" s="713" t="str">
        <f ca="1">IF(INDIRECT(CONCATENATE($FK$12,Fixtures!KL$25))="","",IF(INDIRECT(CONCATENATE($FK$12,Fixtures!KL$25))=Fixtures!$DN40,CONCATENATE(KL$10,", "),""))</f>
        <v/>
      </c>
      <c r="KM40" s="713" t="str">
        <f ca="1">IF(INDIRECT(CONCATENATE($FK$12,Fixtures!KM$25))="","",IF(INDIRECT(CONCATENATE($FK$12,Fixtures!KM$25))=Fixtures!$DN40,CONCATENATE(KM$10,", "),""))</f>
        <v/>
      </c>
      <c r="KN40" s="713" t="str">
        <f ca="1">IF(INDIRECT(CONCATENATE($FK$12,Fixtures!KN$25))="","",IF(INDIRECT(CONCATENATE($FK$12,Fixtures!KN$25))=Fixtures!$DN40,CONCATENATE(KN$10,", "),""))</f>
        <v/>
      </c>
      <c r="KO40" s="713" t="str">
        <f ca="1">IF(INDIRECT(CONCATENATE($FK$12,Fixtures!KO$25))="","",IF(INDIRECT(CONCATENATE($FK$12,Fixtures!KO$25))=Fixtures!$DN40,CONCATENATE(KO$10,", "),""))</f>
        <v/>
      </c>
      <c r="KP40" s="713" t="str">
        <f ca="1">IF(INDIRECT(CONCATENATE($FK$12,Fixtures!KP$25))="","",IF(INDIRECT(CONCATENATE($FK$12,Fixtures!KP$25))=Fixtures!$DN40,CONCATENATE(KP$10,", "),""))</f>
        <v/>
      </c>
      <c r="KQ40" s="713" t="str">
        <f ca="1">IF(INDIRECT(CONCATENATE($FK$12,Fixtures!KQ$25))="","",IF(INDIRECT(CONCATENATE($FK$12,Fixtures!KQ$25))=Fixtures!$DN40,CONCATENATE(KQ$10,", "),""))</f>
        <v/>
      </c>
      <c r="KR40" s="713" t="str">
        <f ca="1">IF(INDIRECT(CONCATENATE($FK$12,Fixtures!KR$25))="","",IF(INDIRECT(CONCATENATE($FK$12,Fixtures!KR$25))=Fixtures!$DN40,CONCATENATE(KR$10,", "),""))</f>
        <v/>
      </c>
      <c r="KS40" s="713" t="str">
        <f ca="1">IF(INDIRECT(CONCATENATE($FK$12,Fixtures!KS$25))="","",IF(INDIRECT(CONCATENATE($FK$12,Fixtures!KS$25))=Fixtures!$DN40,CONCATENATE(KS$10,", "),""))</f>
        <v/>
      </c>
      <c r="KT40" s="713" t="str">
        <f ca="1">IF(INDIRECT(CONCATENATE($FK$12,Fixtures!KT$25))="","",IF(INDIRECT(CONCATENATE($FK$12,Fixtures!KT$25))=Fixtures!$DN40,CONCATENATE(KT$10,", "),""))</f>
        <v/>
      </c>
      <c r="KU40" s="713" t="str">
        <f ca="1">IF(INDIRECT(CONCATENATE($FK$12,Fixtures!KU$25))="","",IF(INDIRECT(CONCATENATE($FK$12,Fixtures!KU$25))=Fixtures!$DN40,CONCATENATE(KU$10,", "),""))</f>
        <v/>
      </c>
      <c r="KV40" s="713" t="str">
        <f ca="1">IF(INDIRECT(CONCATENATE($FK$12,Fixtures!KV$25))="","",IF(INDIRECT(CONCATENATE($FK$12,Fixtures!KV$25))=Fixtures!$DN40,CONCATENATE(KV$10,", "),""))</f>
        <v/>
      </c>
      <c r="KW40" s="713" t="str">
        <f ca="1">IF(INDIRECT(CONCATENATE($FK$12,Fixtures!KW$25))="","",IF(INDIRECT(CONCATENATE($FK$12,Fixtures!KW$25))=Fixtures!$DN40,CONCATENATE(KW$10,", "),""))</f>
        <v/>
      </c>
      <c r="KX40" s="713" t="str">
        <f ca="1">IF(INDIRECT(CONCATENATE($FK$12,Fixtures!KX$25))="","",IF(INDIRECT(CONCATENATE($FK$12,Fixtures!KX$25))=Fixtures!$DN40,CONCATENATE(KX$10,", "),""))</f>
        <v/>
      </c>
      <c r="KY40" s="713" t="str">
        <f ca="1">IF(INDIRECT(CONCATENATE($FK$12,Fixtures!KY$25))="","",IF(INDIRECT(CONCATENATE($FK$12,Fixtures!KY$25))=Fixtures!$DN40,CONCATENATE(KY$10,", "),""))</f>
        <v/>
      </c>
      <c r="KZ40" s="46"/>
      <c r="LA40" s="46" t="str">
        <f t="shared" ca="1" si="8"/>
        <v/>
      </c>
    </row>
    <row r="41" spans="1:313" ht="28.05" customHeight="1" thickTop="1" thickBot="1">
      <c r="A41" s="471" t="str">
        <f t="shared" si="13"/>
        <v/>
      </c>
      <c r="C41" s="1328" t="str">
        <f t="shared" si="14"/>
        <v/>
      </c>
      <c r="D41" s="1329"/>
      <c r="E41" s="1256" t="str">
        <f t="shared" si="15"/>
        <v/>
      </c>
      <c r="F41" s="1257"/>
      <c r="G41" s="1257"/>
      <c r="H41" s="1257"/>
      <c r="I41" s="1257"/>
      <c r="J41" s="1257"/>
      <c r="K41" s="1257"/>
      <c r="L41" s="1257"/>
      <c r="M41" s="1330"/>
      <c r="N41" s="239" t="str">
        <f t="shared" si="16"/>
        <v/>
      </c>
      <c r="O41" s="601"/>
      <c r="P41" s="1326" t="str">
        <f t="shared" si="25"/>
        <v/>
      </c>
      <c r="Q41" s="1327"/>
      <c r="R41" s="1256" t="str">
        <f t="shared" si="31"/>
        <v/>
      </c>
      <c r="S41" s="1257"/>
      <c r="T41" s="1257"/>
      <c r="U41" s="1257"/>
      <c r="V41" s="1257"/>
      <c r="W41" s="1257"/>
      <c r="X41" s="1257"/>
      <c r="Y41" s="239" t="str">
        <f t="shared" si="27"/>
        <v/>
      </c>
      <c r="Z41" s="239" t="str">
        <f t="shared" si="28"/>
        <v/>
      </c>
      <c r="AA41" s="439" t="str">
        <f t="shared" si="29"/>
        <v/>
      </c>
      <c r="AB41" s="542"/>
      <c r="AC41" s="1253" t="str">
        <f t="shared" si="17"/>
        <v/>
      </c>
      <c r="AD41" s="1166"/>
      <c r="AE41" s="1166"/>
      <c r="AF41" s="1166"/>
      <c r="AG41" s="1166"/>
      <c r="AH41" s="1166"/>
      <c r="AK41">
        <f>SUMIFS(Installations!CS$39:CS$800,Installations!CT$39:CT$800,E41,Installations!HX$39:HX$800,TRUE)</f>
        <v>0</v>
      </c>
      <c r="AL41">
        <f>SUMIFS(Installations!CS$39:CS$800,Installations!CT$39:CT$800,R41,Installations!HX$39:HX$800,TRUE)</f>
        <v>0</v>
      </c>
      <c r="BL41" s="9"/>
      <c r="BM41" s="703" t="str">
        <f t="shared" si="18"/>
        <v/>
      </c>
      <c r="BN41" s="52"/>
      <c r="BO41" s="52"/>
      <c r="BP41" s="52"/>
      <c r="BQ41" s="52"/>
      <c r="BR41" s="52"/>
      <c r="BS41" s="52"/>
      <c r="BT41" s="52"/>
      <c r="BU41" s="414"/>
      <c r="BV41" s="255" t="str">
        <f>IF(CN41&lt;&gt;"Yes","",IFERROR(VLOOKUP(CU41,Existing!A$4:F$364,2,FALSE),""))</f>
        <v/>
      </c>
      <c r="BW41" s="9">
        <v>15</v>
      </c>
      <c r="BX41" s="1313"/>
      <c r="BY41" s="1314"/>
      <c r="BZ41" s="1314"/>
      <c r="CA41" s="1315"/>
      <c r="CB41" s="1310"/>
      <c r="CC41" s="1311"/>
      <c r="CD41" s="1311"/>
      <c r="CE41" s="1312"/>
      <c r="CF41" s="1309"/>
      <c r="CG41" s="1309"/>
      <c r="CH41" s="1309"/>
      <c r="CI41" s="1309"/>
      <c r="CJ41" s="1309"/>
      <c r="CK41" s="1309"/>
      <c r="CL41" s="1309"/>
      <c r="CM41" s="1309"/>
      <c r="CN41" s="1243" t="str">
        <f t="shared" si="0"/>
        <v/>
      </c>
      <c r="CO41" s="1244"/>
      <c r="CP41" s="265" t="str">
        <f>IFERROR(IF(CB41="Existing TLED",CR41*CW41*CY41,VLOOKUP(CU41,Existing!A$3:F$353,6,FALSE)),"")</f>
        <v/>
      </c>
      <c r="CQ41" s="9"/>
      <c r="CR41" s="1343"/>
      <c r="CS41" s="1344"/>
      <c r="CT41" s="9"/>
      <c r="CU41" s="470" t="str">
        <f t="shared" si="21"/>
        <v/>
      </c>
      <c r="CV41" s="471" t="b">
        <f t="shared" si="22"/>
        <v>0</v>
      </c>
      <c r="CW41" s="471" t="str">
        <f t="shared" si="23"/>
        <v/>
      </c>
      <c r="CX41" s="471">
        <f>IFERROR(VLOOKUP(CF41,Lookup!M$100:O$102,3,FALSE),0)</f>
        <v>0</v>
      </c>
      <c r="CY41" s="471">
        <f t="shared" si="9"/>
        <v>1.1100000000000001</v>
      </c>
      <c r="CZ41" s="707" t="b">
        <f t="shared" si="1"/>
        <v>0</v>
      </c>
      <c r="DA41" s="707" t="b">
        <f>IF(CF41&lt;&gt;"",IF(ISERROR(MATCH(CONCATENATE(CB41," - ",CF41),Existing!G$4:G$328,0))=TRUE,FALSE,TRUE),TRUE)</f>
        <v>1</v>
      </c>
      <c r="DB41" s="707" t="b">
        <f t="shared" si="2"/>
        <v>1</v>
      </c>
      <c r="DL41" s="9"/>
      <c r="DM41" s="708" t="s">
        <v>166</v>
      </c>
      <c r="DN41" s="416" t="str">
        <f t="shared" si="3"/>
        <v/>
      </c>
      <c r="DO41" s="52"/>
      <c r="DP41" s="52"/>
      <c r="DQ41" s="52"/>
      <c r="DR41" s="52"/>
      <c r="DS41" s="52"/>
      <c r="DT41" s="262"/>
      <c r="DU41" s="417"/>
      <c r="DV41" s="263" t="str">
        <f t="shared" si="4"/>
        <v/>
      </c>
      <c r="DW41" s="260">
        <v>15</v>
      </c>
      <c r="DX41" s="1306"/>
      <c r="DY41" s="1307"/>
      <c r="DZ41" s="1307"/>
      <c r="EA41" s="1308"/>
      <c r="EB41" s="1306"/>
      <c r="EC41" s="1307"/>
      <c r="ED41" s="1307"/>
      <c r="EE41" s="1308"/>
      <c r="EF41" s="1266"/>
      <c r="EG41" s="1267"/>
      <c r="EH41" s="1306"/>
      <c r="EI41" s="1307"/>
      <c r="EJ41" s="1307"/>
      <c r="EK41" s="1308"/>
      <c r="EL41" s="1263"/>
      <c r="EM41" s="1264"/>
      <c r="EN41" s="1264"/>
      <c r="EO41" s="1265"/>
      <c r="EP41" s="1266"/>
      <c r="EQ41" s="1267"/>
      <c r="ER41" s="1245"/>
      <c r="ES41" s="1246"/>
      <c r="ET41" s="1243" t="str">
        <f t="shared" si="5"/>
        <v/>
      </c>
      <c r="EU41" s="1244"/>
      <c r="EV41" s="1243" t="str">
        <f t="shared" si="30"/>
        <v/>
      </c>
      <c r="EW41" s="1244"/>
      <c r="EX41" s="438"/>
      <c r="EY41" s="261" t="str">
        <f t="shared" si="7"/>
        <v/>
      </c>
      <c r="EZ41" s="261" t="str">
        <f>IFERROR(VLOOKUP(EB41,Lookup!AM$3:AN$13,2,FALSE),"")</f>
        <v/>
      </c>
      <c r="FA41" s="471" t="b">
        <f>IFERROR(IF(VLOOKUP(EB41,Lookup!AM$6:AN$8,2,FALSE)&gt;3,TRUE,FALSE),FALSE)</f>
        <v>0</v>
      </c>
      <c r="FB41" s="471">
        <f t="shared" si="11"/>
        <v>1</v>
      </c>
      <c r="FC41" t="str">
        <f t="shared" ca="1" si="10"/>
        <v/>
      </c>
      <c r="FG41" t="str">
        <f t="shared" ca="1" si="12"/>
        <v/>
      </c>
      <c r="FI41" s="240" t="str">
        <f t="shared" ca="1" si="24"/>
        <v/>
      </c>
      <c r="FJ41" s="240"/>
      <c r="FK41" s="712" t="str">
        <f ca="1">IF(INDIRECT(CONCATENATE($FK$12,Fixtures!FK$25))="","",IF(INDIRECT(CONCATENATE($FK$12,Fixtures!FK$25))=Fixtures!$DN41,CONCATENATE(FK$10,", "),""))</f>
        <v/>
      </c>
      <c r="FL41" s="712" t="str">
        <f ca="1">IF(INDIRECT(CONCATENATE($FK$12,Fixtures!FL$25))="","",IF(INDIRECT(CONCATENATE($FK$12,Fixtures!FL$25))=Fixtures!$DN41,CONCATENATE(FL$10,", "),""))</f>
        <v/>
      </c>
      <c r="FM41" s="712" t="str">
        <f ca="1">IF(INDIRECT(CONCATENATE($FK$12,Fixtures!FM$25))="","",IF(INDIRECT(CONCATENATE($FK$12,Fixtures!FM$25))=Fixtures!$DN41,CONCATENATE(FM$10,", "),""))</f>
        <v/>
      </c>
      <c r="FN41" s="712" t="str">
        <f ca="1">IF(INDIRECT(CONCATENATE($FK$12,Fixtures!FN$25))="","",IF(INDIRECT(CONCATENATE($FK$12,Fixtures!FN$25))=Fixtures!$DN41,CONCATENATE(FN$10,", "),""))</f>
        <v/>
      </c>
      <c r="FO41" s="712" t="str">
        <f ca="1">IF(INDIRECT(CONCATENATE($FK$12,Fixtures!FO$25))="","",IF(INDIRECT(CONCATENATE($FK$12,Fixtures!FO$25))=Fixtures!$DN41,CONCATENATE(FO$10,", "),""))</f>
        <v/>
      </c>
      <c r="FP41" s="712" t="str">
        <f ca="1">IF(INDIRECT(CONCATENATE($FK$12,Fixtures!FP$25))="","",IF(INDIRECT(CONCATENATE($FK$12,Fixtures!FP$25))=Fixtures!$DN41,CONCATENATE(FP$10,", "),""))</f>
        <v/>
      </c>
      <c r="FQ41" s="712" t="str">
        <f ca="1">IF(INDIRECT(CONCATENATE($FK$12,Fixtures!FQ$25))="","",IF(INDIRECT(CONCATENATE($FK$12,Fixtures!FQ$25))=Fixtures!$DN41,CONCATENATE(FQ$10,", "),""))</f>
        <v/>
      </c>
      <c r="FR41" s="712" t="str">
        <f ca="1">IF(INDIRECT(CONCATENATE($FK$12,Fixtures!FR$25))="","",IF(INDIRECT(CONCATENATE($FK$12,Fixtures!FR$25))=Fixtures!$DN41,CONCATENATE(FR$10,", "),""))</f>
        <v/>
      </c>
      <c r="FS41" s="712" t="str">
        <f ca="1">IF(INDIRECT(CONCATENATE($FK$12,Fixtures!FS$25))="","",IF(INDIRECT(CONCATENATE($FK$12,Fixtures!FS$25))=Fixtures!$DN41,CONCATENATE(FS$10,", "),""))</f>
        <v/>
      </c>
      <c r="FT41" s="682" t="str">
        <f ca="1">IF(INDIRECT(CONCATENATE($FK$12,Fixtures!FT$25))="","",IF(INDIRECT(CONCATENATE($FK$12,Fixtures!FT$25))=Fixtures!$DN41,CONCATENATE(FT$10,", "),""))</f>
        <v/>
      </c>
      <c r="FU41" s="683" t="str">
        <f ca="1">IF(INDIRECT(CONCATENATE($FK$12,Fixtures!FU$25))="","",IF(INDIRECT(CONCATENATE($FK$12,Fixtures!FU$25))=Fixtures!$DN41,CONCATENATE(FU$10,", "),""))</f>
        <v/>
      </c>
      <c r="FV41" s="712" t="str">
        <f ca="1">IF(INDIRECT(CONCATENATE($FK$12,Fixtures!FV$25))="","",IF(INDIRECT(CONCATENATE($FK$12,Fixtures!FV$25))=Fixtures!$DN41,CONCATENATE(FV$10,", "),""))</f>
        <v/>
      </c>
      <c r="FW41" s="713" t="str">
        <f ca="1">IF(INDIRECT(CONCATENATE($FK$12,Fixtures!FW$25))="","",IF(INDIRECT(CONCATENATE($FK$12,Fixtures!FW$25))=Fixtures!$DN41,CONCATENATE(FW$10,", "),""))</f>
        <v/>
      </c>
      <c r="FX41" s="713" t="str">
        <f ca="1">IF(INDIRECT(CONCATENATE($FK$12,Fixtures!FX$25))="","",IF(INDIRECT(CONCATENATE($FK$12,Fixtures!FX$25))=Fixtures!$DN41,CONCATENATE(FX$10,", "),""))</f>
        <v/>
      </c>
      <c r="FY41" s="713" t="str">
        <f ca="1">IF(INDIRECT(CONCATENATE($FK$12,Fixtures!FY$25))="","",IF(INDIRECT(CONCATENATE($FK$12,Fixtures!FY$25))=Fixtures!$DN41,CONCATENATE(FY$10,", "),""))</f>
        <v/>
      </c>
      <c r="FZ41" s="713" t="str">
        <f ca="1">IF(INDIRECT(CONCATENATE($FK$12,Fixtures!FZ$25))="","",IF(INDIRECT(CONCATENATE($FK$12,Fixtures!FZ$25))=Fixtures!$DN41,CONCATENATE(FZ$10,", "),""))</f>
        <v/>
      </c>
      <c r="GA41" s="713" t="str">
        <f ca="1">IF(INDIRECT(CONCATENATE($FK$12,Fixtures!GA$25))="","",IF(INDIRECT(CONCATENATE($FK$12,Fixtures!GA$25))=Fixtures!$DN41,CONCATENATE(GA$10,", "),""))</f>
        <v/>
      </c>
      <c r="GB41" s="713" t="str">
        <f ca="1">IF(INDIRECT(CONCATENATE($FK$12,Fixtures!GB$25))="","",IF(INDIRECT(CONCATENATE($FK$12,Fixtures!GB$25))=Fixtures!$DN41,CONCATENATE(GB$10,", "),""))</f>
        <v/>
      </c>
      <c r="GC41" s="713" t="str">
        <f ca="1">IF(INDIRECT(CONCATENATE($FK$12,Fixtures!GC$25))="","",IF(INDIRECT(CONCATENATE($FK$12,Fixtures!GC$25))=Fixtures!$DN41,CONCATENATE(GC$10,", "),""))</f>
        <v/>
      </c>
      <c r="GD41" s="713" t="str">
        <f ca="1">IF(INDIRECT(CONCATENATE($FK$12,Fixtures!GD$25))="","",IF(INDIRECT(CONCATENATE($FK$12,Fixtures!GD$25))=Fixtures!$DN41,CONCATENATE(GD$10,", "),""))</f>
        <v/>
      </c>
      <c r="GE41" s="713" t="str">
        <f ca="1">IF(INDIRECT(CONCATENATE($FK$12,Fixtures!GE$25))="","",IF(INDIRECT(CONCATENATE($FK$12,Fixtures!GE$25))=Fixtures!$DN41,CONCATENATE(GE$10,", "),""))</f>
        <v/>
      </c>
      <c r="GF41" s="713" t="str">
        <f ca="1">IF(INDIRECT(CONCATENATE($FK$12,Fixtures!GF$25))="","",IF(INDIRECT(CONCATENATE($FK$12,Fixtures!GF$25))=Fixtures!$DN41,CONCATENATE(GF$10,", "),""))</f>
        <v/>
      </c>
      <c r="GG41" s="713" t="str">
        <f ca="1">IF(INDIRECT(CONCATENATE($FK$12,Fixtures!GG$25))="","",IF(INDIRECT(CONCATENATE($FK$12,Fixtures!GG$25))=Fixtures!$DN41,CONCATENATE(GG$10,", "),""))</f>
        <v/>
      </c>
      <c r="GH41" s="713" t="str">
        <f ca="1">IF(INDIRECT(CONCATENATE($FK$12,Fixtures!GH$25))="","",IF(INDIRECT(CONCATENATE($FK$12,Fixtures!GH$25))=Fixtures!$DN41,CONCATENATE(GH$10,", "),""))</f>
        <v/>
      </c>
      <c r="GI41" s="684" t="str">
        <f ca="1">IF(INDIRECT(CONCATENATE($FK$12,Fixtures!GI$25))="","",IF(INDIRECT(CONCATENATE($FK$12,Fixtures!GI$25))=Fixtures!$DN41,CONCATENATE(GI$10,", "),""))</f>
        <v/>
      </c>
      <c r="GJ41" s="685" t="str">
        <f ca="1">IF(INDIRECT(CONCATENATE($FK$12,Fixtures!GJ$25))="","",IF(INDIRECT(CONCATENATE($FK$12,Fixtures!GJ$25))=Fixtures!$DN41,CONCATENATE(GJ$10,", "),""))</f>
        <v/>
      </c>
      <c r="GK41" s="713" t="str">
        <f ca="1">IF(INDIRECT(CONCATENATE($FK$12,Fixtures!GK$25))="","",IF(INDIRECT(CONCATENATE($FK$12,Fixtures!GK$25))=Fixtures!$DN41,CONCATENATE(GK$10,", "),""))</f>
        <v/>
      </c>
      <c r="GL41" s="713" t="str">
        <f ca="1">IF(INDIRECT(CONCATENATE($FK$12,Fixtures!GL$25))="","",IF(INDIRECT(CONCATENATE($FK$12,Fixtures!GL$25))=Fixtures!$DN41,CONCATENATE(GL$10,", "),""))</f>
        <v/>
      </c>
      <c r="GM41" s="713" t="str">
        <f ca="1">IF(INDIRECT(CONCATENATE($FK$12,Fixtures!GM$25))="","",IF(INDIRECT(CONCATENATE($FK$12,Fixtures!GM$25))=Fixtures!$DN41,CONCATENATE(GM$10,", "),""))</f>
        <v/>
      </c>
      <c r="GN41" s="713" t="str">
        <f ca="1">IF(INDIRECT(CONCATENATE($FK$12,Fixtures!GN$25))="","",IF(INDIRECT(CONCATENATE($FK$12,Fixtures!GN$25))=Fixtures!$DN41,CONCATENATE(GN$10,", "),""))</f>
        <v/>
      </c>
      <c r="GO41" s="713" t="str">
        <f ca="1">IF(INDIRECT(CONCATENATE($FK$12,Fixtures!GO$25))="","",IF(INDIRECT(CONCATENATE($FK$12,Fixtures!GO$25))=Fixtures!$DN41,CONCATENATE(GO$10,", "),""))</f>
        <v/>
      </c>
      <c r="GP41" s="713" t="str">
        <f ca="1">IF(INDIRECT(CONCATENATE($FK$12,Fixtures!GP$25))="","",IF(INDIRECT(CONCATENATE($FK$12,Fixtures!GP$25))=Fixtures!$DN41,CONCATENATE(GP$10,", "),""))</f>
        <v/>
      </c>
      <c r="GQ41" s="713" t="str">
        <f ca="1">IF(INDIRECT(CONCATENATE($FK$12,Fixtures!GQ$25))="","",IF(INDIRECT(CONCATENATE($FK$12,Fixtures!GQ$25))=Fixtures!$DN41,CONCATENATE(GQ$10,", "),""))</f>
        <v/>
      </c>
      <c r="GR41" s="713" t="str">
        <f ca="1">IF(INDIRECT(CONCATENATE($FK$12,Fixtures!GR$25))="","",IF(INDIRECT(CONCATENATE($FK$12,Fixtures!GR$25))=Fixtures!$DN41,CONCATENATE(GR$10,", "),""))</f>
        <v/>
      </c>
      <c r="GS41" s="713" t="str">
        <f ca="1">IF(INDIRECT(CONCATENATE($FK$12,Fixtures!GS$25))="","",IF(INDIRECT(CONCATENATE($FK$12,Fixtures!GS$25))=Fixtures!$DN41,CONCATENATE(GS$10,", "),""))</f>
        <v/>
      </c>
      <c r="GT41" s="713" t="str">
        <f ca="1">IF(INDIRECT(CONCATENATE($FK$12,Fixtures!GT$25))="","",IF(INDIRECT(CONCATENATE($FK$12,Fixtures!GT$25))=Fixtures!$DN41,CONCATENATE(GT$10,", "),""))</f>
        <v/>
      </c>
      <c r="GU41" s="713" t="str">
        <f ca="1">IF(INDIRECT(CONCATENATE($FK$12,Fixtures!GU$25))="","",IF(INDIRECT(CONCATENATE($FK$12,Fixtures!GU$25))=Fixtures!$DN41,CONCATENATE(GU$10,", "),""))</f>
        <v/>
      </c>
      <c r="GV41" s="713" t="str">
        <f ca="1">IF(INDIRECT(CONCATENATE($FK$12,Fixtures!GV$25))="","",IF(INDIRECT(CONCATENATE($FK$12,Fixtures!GV$25))=Fixtures!$DN41,CONCATENATE(GV$10,", "),""))</f>
        <v/>
      </c>
      <c r="GW41" s="713" t="str">
        <f ca="1">IF(INDIRECT(CONCATENATE($FK$12,Fixtures!GW$25))="","",IF(INDIRECT(CONCATENATE($FK$12,Fixtures!GW$25))=Fixtures!$DN41,CONCATENATE(GW$10,", "),""))</f>
        <v/>
      </c>
      <c r="GX41" s="684" t="str">
        <f ca="1">IF(INDIRECT(CONCATENATE($FK$12,Fixtures!GX$25))="","",IF(INDIRECT(CONCATENATE($FK$12,Fixtures!GX$25))=Fixtures!$DN41,CONCATENATE(GX$10,", "),""))</f>
        <v/>
      </c>
      <c r="GY41" s="685" t="str">
        <f ca="1">IF(INDIRECT(CONCATENATE($FK$12,Fixtures!GY$25))="","",IF(INDIRECT(CONCATENATE($FK$12,Fixtures!GY$25))=Fixtures!$DN41,CONCATENATE(GY$10,", "),""))</f>
        <v/>
      </c>
      <c r="GZ41" s="713" t="str">
        <f ca="1">IF(INDIRECT(CONCATENATE($FK$12,Fixtures!GZ$25))="","",IF(INDIRECT(CONCATENATE($FK$12,Fixtures!GZ$25))=Fixtures!$DN41,CONCATENATE(GZ$10,", "),""))</f>
        <v/>
      </c>
      <c r="HA41" s="713" t="str">
        <f ca="1">IF(INDIRECT(CONCATENATE($FK$12,Fixtures!HA$25))="","",IF(INDIRECT(CONCATENATE($FK$12,Fixtures!HA$25))=Fixtures!$DN41,CONCATENATE(HA$10,", "),""))</f>
        <v/>
      </c>
      <c r="HB41" s="713" t="str">
        <f ca="1">IF(INDIRECT(CONCATENATE($FK$12,Fixtures!HB$25))="","",IF(INDIRECT(CONCATENATE($FK$12,Fixtures!HB$25))=Fixtures!$DN41,CONCATENATE(HB$10,", "),""))</f>
        <v/>
      </c>
      <c r="HC41" s="713" t="str">
        <f ca="1">IF(INDIRECT(CONCATENATE($FK$12,Fixtures!HC$25))="","",IF(INDIRECT(CONCATENATE($FK$12,Fixtures!HC$25))=Fixtures!$DN41,CONCATENATE(HC$10,", "),""))</f>
        <v/>
      </c>
      <c r="HD41" s="713" t="str">
        <f ca="1">IF(INDIRECT(CONCATENATE($FK$12,Fixtures!HD$25))="","",IF(INDIRECT(CONCATENATE($FK$12,Fixtures!HD$25))=Fixtures!$DN41,CONCATENATE(HD$10,", "),""))</f>
        <v/>
      </c>
      <c r="HE41" s="713" t="str">
        <f ca="1">IF(INDIRECT(CONCATENATE($FK$12,Fixtures!HE$25))="","",IF(INDIRECT(CONCATENATE($FK$12,Fixtures!HE$25))=Fixtures!$DN41,CONCATENATE(HE$10,", "),""))</f>
        <v/>
      </c>
      <c r="HF41" s="713" t="str">
        <f ca="1">IF(INDIRECT(CONCATENATE($FK$12,Fixtures!HF$25))="","",IF(INDIRECT(CONCATENATE($FK$12,Fixtures!HF$25))=Fixtures!$DN41,CONCATENATE(HF$10,", "),""))</f>
        <v/>
      </c>
      <c r="HG41" s="713" t="str">
        <f ca="1">IF(INDIRECT(CONCATENATE($FK$12,Fixtures!HG$25))="","",IF(INDIRECT(CONCATENATE($FK$12,Fixtures!HG$25))=Fixtures!$DN41,CONCATENATE(HG$10,", "),""))</f>
        <v/>
      </c>
      <c r="HH41" s="713" t="str">
        <f ca="1">IF(INDIRECT(CONCATENATE($FK$12,Fixtures!HH$25))="","",IF(INDIRECT(CONCATENATE($FK$12,Fixtures!HH$25))=Fixtures!$DN41,CONCATENATE(HH$10,", "),""))</f>
        <v/>
      </c>
      <c r="HI41" s="713" t="str">
        <f ca="1">IF(INDIRECT(CONCATENATE($FK$12,Fixtures!HI$25))="","",IF(INDIRECT(CONCATENATE($FK$12,Fixtures!HI$25))=Fixtures!$DN41,CONCATENATE(HI$10,", "),""))</f>
        <v/>
      </c>
      <c r="HJ41" s="713" t="str">
        <f ca="1">IF(INDIRECT(CONCATENATE($FK$12,Fixtures!HJ$25))="","",IF(INDIRECT(CONCATENATE($FK$12,Fixtures!HJ$25))=Fixtures!$DN41,CONCATENATE(HJ$10,", "),""))</f>
        <v/>
      </c>
      <c r="HK41" s="713" t="str">
        <f ca="1">IF(INDIRECT(CONCATENATE($FK$12,Fixtures!HK$25))="","",IF(INDIRECT(CONCATENATE($FK$12,Fixtures!HK$25))=Fixtures!$DN41,CONCATENATE(HK$10,", "),""))</f>
        <v/>
      </c>
      <c r="HL41" s="713" t="str">
        <f ca="1">IF(INDIRECT(CONCATENATE($FK$12,Fixtures!HL$25))="","",IF(INDIRECT(CONCATENATE($FK$12,Fixtures!HL$25))=Fixtures!$DN41,CONCATENATE(HL$10,", "),""))</f>
        <v/>
      </c>
      <c r="HM41" s="684" t="str">
        <f ca="1">IF(INDIRECT(CONCATENATE($FK$12,Fixtures!HM$25))="","",IF(INDIRECT(CONCATENATE($FK$12,Fixtures!HM$25))=Fixtures!$DN41,CONCATENATE(HM$10,", "),""))</f>
        <v/>
      </c>
      <c r="HN41" s="685" t="str">
        <f ca="1">IF(INDIRECT(CONCATENATE($FK$12,Fixtures!HN$25))="","",IF(INDIRECT(CONCATENATE($FK$12,Fixtures!HN$25))=Fixtures!$DN41,CONCATENATE(HN$10,", "),""))</f>
        <v/>
      </c>
      <c r="HO41" s="713" t="str">
        <f ca="1">IF(INDIRECT(CONCATENATE($FK$12,Fixtures!HO$25))="","",IF(INDIRECT(CONCATENATE($FK$12,Fixtures!HO$25))=Fixtures!$DN41,CONCATENATE(HO$10,", "),""))</f>
        <v/>
      </c>
      <c r="HP41" s="713" t="str">
        <f ca="1">IF(INDIRECT(CONCATENATE($FK$12,Fixtures!HP$25))="","",IF(INDIRECT(CONCATENATE($FK$12,Fixtures!HP$25))=Fixtures!$DN41,CONCATENATE(HP$10,", "),""))</f>
        <v/>
      </c>
      <c r="HQ41" s="713" t="str">
        <f ca="1">IF(INDIRECT(CONCATENATE($FK$12,Fixtures!HQ$25))="","",IF(INDIRECT(CONCATENATE($FK$12,Fixtures!HQ$25))=Fixtures!$DN41,CONCATENATE(HQ$10,", "),""))</f>
        <v/>
      </c>
      <c r="HR41" s="713" t="str">
        <f ca="1">IF(INDIRECT(CONCATENATE($FK$12,Fixtures!HR$25))="","",IF(INDIRECT(CONCATENATE($FK$12,Fixtures!HR$25))=Fixtures!$DN41,CONCATENATE(HR$10,", "),""))</f>
        <v/>
      </c>
      <c r="HS41" s="713" t="str">
        <f ca="1">IF(INDIRECT(CONCATENATE($FK$12,Fixtures!HS$25))="","",IF(INDIRECT(CONCATENATE($FK$12,Fixtures!HS$25))=Fixtures!$DN41,CONCATENATE(HS$10,", "),""))</f>
        <v/>
      </c>
      <c r="HT41" s="713" t="str">
        <f ca="1">IF(INDIRECT(CONCATENATE($FK$12,Fixtures!HT$25))="","",IF(INDIRECT(CONCATENATE($FK$12,Fixtures!HT$25))=Fixtures!$DN41,CONCATENATE(HT$10,", "),""))</f>
        <v/>
      </c>
      <c r="HU41" s="713" t="str">
        <f ca="1">IF(INDIRECT(CONCATENATE($FK$12,Fixtures!HU$25))="","",IF(INDIRECT(CONCATENATE($FK$12,Fixtures!HU$25))=Fixtures!$DN41,CONCATENATE(HU$10,", "),""))</f>
        <v/>
      </c>
      <c r="HV41" s="713" t="str">
        <f ca="1">IF(INDIRECT(CONCATENATE($FK$12,Fixtures!HV$25))="","",IF(INDIRECT(CONCATENATE($FK$12,Fixtures!HV$25))=Fixtures!$DN41,CONCATENATE(HV$10,", "),""))</f>
        <v/>
      </c>
      <c r="HW41" s="713" t="str">
        <f ca="1">IF(INDIRECT(CONCATENATE($FK$12,Fixtures!HW$25))="","",IF(INDIRECT(CONCATENATE($FK$12,Fixtures!HW$25))=Fixtures!$DN41,CONCATENATE(HW$10,", "),""))</f>
        <v/>
      </c>
      <c r="HX41" s="713" t="str">
        <f ca="1">IF(INDIRECT(CONCATENATE($FK$12,Fixtures!HX$25))="","",IF(INDIRECT(CONCATENATE($FK$12,Fixtures!HX$25))=Fixtures!$DN41,CONCATENATE(HX$10,", "),""))</f>
        <v/>
      </c>
      <c r="HY41" s="713" t="str">
        <f ca="1">IF(INDIRECT(CONCATENATE($FK$12,Fixtures!HY$25))="","",IF(INDIRECT(CONCATENATE($FK$12,Fixtures!HY$25))=Fixtures!$DN41,CONCATENATE(HY$10,", "),""))</f>
        <v/>
      </c>
      <c r="HZ41" s="713" t="str">
        <f ca="1">IF(INDIRECT(CONCATENATE($FK$12,Fixtures!HZ$25))="","",IF(INDIRECT(CONCATENATE($FK$12,Fixtures!HZ$25))=Fixtures!$DN41,CONCATENATE(HZ$10,", "),""))</f>
        <v/>
      </c>
      <c r="IA41" s="713" t="str">
        <f ca="1">IF(INDIRECT(CONCATENATE($FK$12,Fixtures!IA$25))="","",IF(INDIRECT(CONCATENATE($FK$12,Fixtures!IA$25))=Fixtures!$DN41,CONCATENATE(IA$10,", "),""))</f>
        <v/>
      </c>
      <c r="IB41" s="684" t="str">
        <f ca="1">IF(INDIRECT(CONCATENATE($FK$12,Fixtures!IB$25))="","",IF(INDIRECT(CONCATENATE($FK$12,Fixtures!IB$25))=Fixtures!$DN41,CONCATENATE(IB$10,", "),""))</f>
        <v/>
      </c>
      <c r="IC41" s="685" t="str">
        <f ca="1">IF(INDIRECT(CONCATENATE($FK$12,Fixtures!IC$25))="","",IF(INDIRECT(CONCATENATE($FK$12,Fixtures!IC$25))=Fixtures!$DN41,CONCATENATE(IC$10,", "),""))</f>
        <v/>
      </c>
      <c r="ID41" s="713" t="str">
        <f ca="1">IF(INDIRECT(CONCATENATE($FK$12,Fixtures!ID$25))="","",IF(INDIRECT(CONCATENATE($FK$12,Fixtures!ID$25))=Fixtures!$DN41,CONCATENATE(ID$10,", "),""))</f>
        <v/>
      </c>
      <c r="IE41" s="713" t="str">
        <f ca="1">IF(INDIRECT(CONCATENATE($FK$12,Fixtures!IE$25))="","",IF(INDIRECT(CONCATENATE($FK$12,Fixtures!IE$25))=Fixtures!$DN41,CONCATENATE(IE$10,", "),""))</f>
        <v/>
      </c>
      <c r="IF41" s="713" t="str">
        <f ca="1">IF(INDIRECT(CONCATENATE($FK$12,Fixtures!IF$25))="","",IF(INDIRECT(CONCATENATE($FK$12,Fixtures!IF$25))=Fixtures!$DN41,CONCATENATE(IF$10,", "),""))</f>
        <v/>
      </c>
      <c r="IG41" s="713" t="str">
        <f ca="1">IF(INDIRECT(CONCATENATE($FK$12,Fixtures!IG$25))="","",IF(INDIRECT(CONCATENATE($FK$12,Fixtures!IG$25))=Fixtures!$DN41,CONCATENATE(IG$10,", "),""))</f>
        <v/>
      </c>
      <c r="IH41" s="713" t="str">
        <f ca="1">IF(INDIRECT(CONCATENATE($FK$12,Fixtures!IH$25))="","",IF(INDIRECT(CONCATENATE($FK$12,Fixtures!IH$25))=Fixtures!$DN41,CONCATENATE(IH$10,", "),""))</f>
        <v/>
      </c>
      <c r="II41" s="713" t="str">
        <f ca="1">IF(INDIRECT(CONCATENATE($FK$12,Fixtures!II$25))="","",IF(INDIRECT(CONCATENATE($FK$12,Fixtures!II$25))=Fixtures!$DN41,CONCATENATE(II$10,", "),""))</f>
        <v/>
      </c>
      <c r="IJ41" s="713" t="str">
        <f ca="1">IF(INDIRECT(CONCATENATE($FK$12,Fixtures!IJ$25))="","",IF(INDIRECT(CONCATENATE($FK$12,Fixtures!IJ$25))=Fixtures!$DN41,CONCATENATE(IJ$10,", "),""))</f>
        <v/>
      </c>
      <c r="IK41" s="713" t="str">
        <f ca="1">IF(INDIRECT(CONCATENATE($FK$12,Fixtures!IK$25))="","",IF(INDIRECT(CONCATENATE($FK$12,Fixtures!IK$25))=Fixtures!$DN41,CONCATENATE(IK$10,", "),""))</f>
        <v/>
      </c>
      <c r="IL41" s="713" t="str">
        <f ca="1">IF(INDIRECT(CONCATENATE($FK$12,Fixtures!IL$25))="","",IF(INDIRECT(CONCATENATE($FK$12,Fixtures!IL$25))=Fixtures!$DN41,CONCATENATE(IL$10,", "),""))</f>
        <v/>
      </c>
      <c r="IM41" s="713" t="str">
        <f ca="1">IF(INDIRECT(CONCATENATE($FK$12,Fixtures!IM$25))="","",IF(INDIRECT(CONCATENATE($FK$12,Fixtures!IM$25))=Fixtures!$DN41,CONCATENATE(IM$10,", "),""))</f>
        <v/>
      </c>
      <c r="IN41" s="713" t="str">
        <f ca="1">IF(INDIRECT(CONCATENATE($FK$12,Fixtures!IN$25))="","",IF(INDIRECT(CONCATENATE($FK$12,Fixtures!IN$25))=Fixtures!$DN41,CONCATENATE(IN$10,", "),""))</f>
        <v/>
      </c>
      <c r="IO41" s="713" t="str">
        <f ca="1">IF(INDIRECT(CONCATENATE($FK$12,Fixtures!IO$25))="","",IF(INDIRECT(CONCATENATE($FK$12,Fixtures!IO$25))=Fixtures!$DN41,CONCATENATE(IO$10,", "),""))</f>
        <v/>
      </c>
      <c r="IP41" s="713" t="str">
        <f ca="1">IF(INDIRECT(CONCATENATE($FK$12,Fixtures!IP$25))="","",IF(INDIRECT(CONCATENATE($FK$12,Fixtures!IP$25))=Fixtures!$DN41,CONCATENATE(IP$10,", "),""))</f>
        <v/>
      </c>
      <c r="IQ41" s="684" t="str">
        <f ca="1">IF(INDIRECT(CONCATENATE($FK$12,Fixtures!IQ$25))="","",IF(INDIRECT(CONCATENATE($FK$12,Fixtures!IQ$25))=Fixtures!$DN41,CONCATENATE(IQ$10,", "),""))</f>
        <v/>
      </c>
      <c r="IR41" s="685" t="str">
        <f ca="1">IF(INDIRECT(CONCATENATE($FK$12,Fixtures!IR$25))="","",IF(INDIRECT(CONCATENATE($FK$12,Fixtures!IR$25))=Fixtures!$DN41,CONCATENATE(IR$10,", "),""))</f>
        <v/>
      </c>
      <c r="IS41" s="713" t="str">
        <f ca="1">IF(INDIRECT(CONCATENATE($FK$12,Fixtures!IS$25))="","",IF(INDIRECT(CONCATENATE($FK$12,Fixtures!IS$25))=Fixtures!$DN41,CONCATENATE(IS$10,", "),""))</f>
        <v/>
      </c>
      <c r="IT41" s="713" t="str">
        <f ca="1">IF(INDIRECT(CONCATENATE($FK$12,Fixtures!IT$25))="","",IF(INDIRECT(CONCATENATE($FK$12,Fixtures!IT$25))=Fixtures!$DN41,CONCATENATE(IT$10,", "),""))</f>
        <v/>
      </c>
      <c r="IU41" s="713" t="str">
        <f ca="1">IF(INDIRECT(CONCATENATE($FK$12,Fixtures!IU$25))="","",IF(INDIRECT(CONCATENATE($FK$12,Fixtures!IU$25))=Fixtures!$DN41,CONCATENATE(IU$10,", "),""))</f>
        <v/>
      </c>
      <c r="IV41" s="713" t="str">
        <f ca="1">IF(INDIRECT(CONCATENATE($FK$12,Fixtures!IV$25))="","",IF(INDIRECT(CONCATENATE($FK$12,Fixtures!IV$25))=Fixtures!$DN41,CONCATENATE(IV$10,", "),""))</f>
        <v/>
      </c>
      <c r="IW41" s="713" t="str">
        <f ca="1">IF(INDIRECT(CONCATENATE($FK$12,Fixtures!IW$25))="","",IF(INDIRECT(CONCATENATE($FK$12,Fixtures!IW$25))=Fixtures!$DN41,CONCATENATE(IW$10,", "),""))</f>
        <v/>
      </c>
      <c r="IX41" s="713" t="str">
        <f ca="1">IF(INDIRECT(CONCATENATE($FK$12,Fixtures!IX$25))="","",IF(INDIRECT(CONCATENATE($FK$12,Fixtures!IX$25))=Fixtures!$DN41,CONCATENATE(IX$10,", "),""))</f>
        <v/>
      </c>
      <c r="IY41" s="713" t="str">
        <f ca="1">IF(INDIRECT(CONCATENATE($FK$12,Fixtures!IY$25))="","",IF(INDIRECT(CONCATENATE($FK$12,Fixtures!IY$25))=Fixtures!$DN41,CONCATENATE(IY$10,", "),""))</f>
        <v/>
      </c>
      <c r="IZ41" s="713" t="str">
        <f ca="1">IF(INDIRECT(CONCATENATE($FK$12,Fixtures!IZ$25))="","",IF(INDIRECT(CONCATENATE($FK$12,Fixtures!IZ$25))=Fixtures!$DN41,CONCATENATE(IZ$10,", "),""))</f>
        <v/>
      </c>
      <c r="JA41" s="713" t="str">
        <f ca="1">IF(INDIRECT(CONCATENATE($FK$12,Fixtures!JA$25))="","",IF(INDIRECT(CONCATENATE($FK$12,Fixtures!JA$25))=Fixtures!$DN41,CONCATENATE(JA$10,", "),""))</f>
        <v/>
      </c>
      <c r="JB41" s="713" t="str">
        <f ca="1">IF(INDIRECT(CONCATENATE($FK$12,Fixtures!JB$25))="","",IF(INDIRECT(CONCATENATE($FK$12,Fixtures!JB$25))=Fixtures!$DN41,CONCATENATE(JB$10,", "),""))</f>
        <v/>
      </c>
      <c r="JC41" s="713" t="str">
        <f ca="1">IF(INDIRECT(CONCATENATE($FK$12,Fixtures!JC$25))="","",IF(INDIRECT(CONCATENATE($FK$12,Fixtures!JC$25))=Fixtures!$DN41,CONCATENATE(JC$10,", "),""))</f>
        <v/>
      </c>
      <c r="JD41" s="713" t="str">
        <f ca="1">IF(INDIRECT(CONCATENATE($FK$12,Fixtures!JD$25))="","",IF(INDIRECT(CONCATENATE($FK$12,Fixtures!JD$25))=Fixtures!$DN41,CONCATENATE(JD$10,", "),""))</f>
        <v/>
      </c>
      <c r="JE41" s="713" t="str">
        <f ca="1">IF(INDIRECT(CONCATENATE($FK$12,Fixtures!JE$25))="","",IF(INDIRECT(CONCATENATE($FK$12,Fixtures!JE$25))=Fixtures!$DN41,CONCATENATE(JE$10,", "),""))</f>
        <v/>
      </c>
      <c r="JF41" s="684" t="str">
        <f ca="1">IF(INDIRECT(CONCATENATE($FK$12,Fixtures!JF$25))="","",IF(INDIRECT(CONCATENATE($FK$12,Fixtures!JF$25))=Fixtures!$DN41,CONCATENATE(JF$10,", "),""))</f>
        <v/>
      </c>
      <c r="JG41" s="685" t="str">
        <f ca="1">IF(INDIRECT(CONCATENATE($FK$12,Fixtures!JG$25))="","",IF(INDIRECT(CONCATENATE($FK$12,Fixtures!JG$25))=Fixtures!$DN41,CONCATENATE(JG$10,", "),""))</f>
        <v/>
      </c>
      <c r="JH41" s="713" t="str">
        <f ca="1">IF(INDIRECT(CONCATENATE($FK$12,Fixtures!JH$25))="","",IF(INDIRECT(CONCATENATE($FK$12,Fixtures!JH$25))=Fixtures!$DN41,CONCATENATE(JH$10,", "),""))</f>
        <v/>
      </c>
      <c r="JI41" s="713" t="str">
        <f ca="1">IF(INDIRECT(CONCATENATE($FK$12,Fixtures!JI$25))="","",IF(INDIRECT(CONCATENATE($FK$12,Fixtures!JI$25))=Fixtures!$DN41,CONCATENATE(JI$10,", "),""))</f>
        <v/>
      </c>
      <c r="JJ41" s="713" t="str">
        <f ca="1">IF(INDIRECT(CONCATENATE($FK$12,Fixtures!JJ$25))="","",IF(INDIRECT(CONCATENATE($FK$12,Fixtures!JJ$25))=Fixtures!$DN41,CONCATENATE(JJ$10,", "),""))</f>
        <v/>
      </c>
      <c r="JK41" s="713" t="str">
        <f ca="1">IF(INDIRECT(CONCATENATE($FK$12,Fixtures!JK$25))="","",IF(INDIRECT(CONCATENATE($FK$12,Fixtures!JK$25))=Fixtures!$DN41,CONCATENATE(JK$10,", "),""))</f>
        <v/>
      </c>
      <c r="JL41" s="713" t="str">
        <f ca="1">IF(INDIRECT(CONCATENATE($FK$12,Fixtures!JL$25))="","",IF(INDIRECT(CONCATENATE($FK$12,Fixtures!JL$25))=Fixtures!$DN41,CONCATENATE(JL$10,", "),""))</f>
        <v/>
      </c>
      <c r="JM41" s="713" t="str">
        <f ca="1">IF(INDIRECT(CONCATENATE($FK$12,Fixtures!JM$25))="","",IF(INDIRECT(CONCATENATE($FK$12,Fixtures!JM$25))=Fixtures!$DN41,CONCATENATE(JM$10,", "),""))</f>
        <v/>
      </c>
      <c r="JN41" s="713" t="str">
        <f ca="1">IF(INDIRECT(CONCATENATE($FK$12,Fixtures!JN$25))="","",IF(INDIRECT(CONCATENATE($FK$12,Fixtures!JN$25))=Fixtures!$DN41,CONCATENATE(JN$10,", "),""))</f>
        <v/>
      </c>
      <c r="JO41" s="713" t="str">
        <f ca="1">IF(INDIRECT(CONCATENATE($FK$12,Fixtures!JO$25))="","",IF(INDIRECT(CONCATENATE($FK$12,Fixtures!JO$25))=Fixtures!$DN41,CONCATENATE(JO$10,", "),""))</f>
        <v/>
      </c>
      <c r="JP41" s="713" t="str">
        <f ca="1">IF(INDIRECT(CONCATENATE($FK$12,Fixtures!JP$25))="","",IF(INDIRECT(CONCATENATE($FK$12,Fixtures!JP$25))=Fixtures!$DN41,CONCATENATE(JP$10,", "),""))</f>
        <v/>
      </c>
      <c r="JQ41" s="713" t="str">
        <f ca="1">IF(INDIRECT(CONCATENATE($FK$12,Fixtures!JQ$25))="","",IF(INDIRECT(CONCATENATE($FK$12,Fixtures!JQ$25))=Fixtures!$DN41,CONCATENATE(JQ$10,", "),""))</f>
        <v/>
      </c>
      <c r="JR41" s="713" t="str">
        <f ca="1">IF(INDIRECT(CONCATENATE($FK$12,Fixtures!JR$25))="","",IF(INDIRECT(CONCATENATE($FK$12,Fixtures!JR$25))=Fixtures!$DN41,CONCATENATE(JR$10,", "),""))</f>
        <v/>
      </c>
      <c r="JS41" s="713" t="str">
        <f ca="1">IF(INDIRECT(CONCATENATE($FK$12,Fixtures!JS$25))="","",IF(INDIRECT(CONCATENATE($FK$12,Fixtures!JS$25))=Fixtures!$DN41,CONCATENATE(JS$10,", "),""))</f>
        <v/>
      </c>
      <c r="JT41" s="713" t="str">
        <f ca="1">IF(INDIRECT(CONCATENATE($FK$12,Fixtures!JT$25))="","",IF(INDIRECT(CONCATENATE($FK$12,Fixtures!JT$25))=Fixtures!$DN41,CONCATENATE(JT$10,", "),""))</f>
        <v/>
      </c>
      <c r="JU41" s="684" t="str">
        <f ca="1">IF(INDIRECT(CONCATENATE($FK$12,Fixtures!JU$25))="","",IF(INDIRECT(CONCATENATE($FK$12,Fixtures!JU$25))=Fixtures!$DN41,CONCATENATE(JU$10,", "),""))</f>
        <v/>
      </c>
      <c r="JV41" s="685" t="str">
        <f ca="1">IF(INDIRECT(CONCATENATE($FK$12,Fixtures!JV$25))="","",IF(INDIRECT(CONCATENATE($FK$12,Fixtures!JV$25))=Fixtures!$DN41,CONCATENATE(JV$10,", "),""))</f>
        <v/>
      </c>
      <c r="JW41" s="713" t="str">
        <f ca="1">IF(INDIRECT(CONCATENATE($FK$12,Fixtures!JW$25))="","",IF(INDIRECT(CONCATENATE($FK$12,Fixtures!JW$25))=Fixtures!$DN41,CONCATENATE(JW$10,", "),""))</f>
        <v/>
      </c>
      <c r="JX41" s="713" t="str">
        <f ca="1">IF(INDIRECT(CONCATENATE($FK$12,Fixtures!JX$25))="","",IF(INDIRECT(CONCATENATE($FK$12,Fixtures!JX$25))=Fixtures!$DN41,CONCATENATE(JX$10,", "),""))</f>
        <v/>
      </c>
      <c r="JY41" s="713" t="str">
        <f ca="1">IF(INDIRECT(CONCATENATE($FK$12,Fixtures!JY$25))="","",IF(INDIRECT(CONCATENATE($FK$12,Fixtures!JY$25))=Fixtures!$DN41,CONCATENATE(JY$10,", "),""))</f>
        <v/>
      </c>
      <c r="JZ41" s="713" t="str">
        <f ca="1">IF(INDIRECT(CONCATENATE($FK$12,Fixtures!JZ$25))="","",IF(INDIRECT(CONCATENATE($FK$12,Fixtures!JZ$25))=Fixtures!$DN41,CONCATENATE(JZ$10,", "),""))</f>
        <v/>
      </c>
      <c r="KA41" s="713" t="str">
        <f ca="1">IF(INDIRECT(CONCATENATE($FK$12,Fixtures!KA$25))="","",IF(INDIRECT(CONCATENATE($FK$12,Fixtures!KA$25))=Fixtures!$DN41,CONCATENATE(KA$10,", "),""))</f>
        <v/>
      </c>
      <c r="KB41" s="713" t="str">
        <f ca="1">IF(INDIRECT(CONCATENATE($FK$12,Fixtures!KB$25))="","",IF(INDIRECT(CONCATENATE($FK$12,Fixtures!KB$25))=Fixtures!$DN41,CONCATENATE(KB$10,", "),""))</f>
        <v/>
      </c>
      <c r="KC41" s="713" t="str">
        <f ca="1">IF(INDIRECT(CONCATENATE($FK$12,Fixtures!KC$25))="","",IF(INDIRECT(CONCATENATE($FK$12,Fixtures!KC$25))=Fixtures!$DN41,CONCATENATE(KC$10,", "),""))</f>
        <v/>
      </c>
      <c r="KD41" s="713" t="str">
        <f ca="1">IF(INDIRECT(CONCATENATE($FK$12,Fixtures!KD$25))="","",IF(INDIRECT(CONCATENATE($FK$12,Fixtures!KD$25))=Fixtures!$DN41,CONCATENATE(KD$10,", "),""))</f>
        <v/>
      </c>
      <c r="KE41" s="713" t="str">
        <f ca="1">IF(INDIRECT(CONCATENATE($FK$12,Fixtures!KE$25))="","",IF(INDIRECT(CONCATENATE($FK$12,Fixtures!KE$25))=Fixtures!$DN41,CONCATENATE(KE$10,", "),""))</f>
        <v/>
      </c>
      <c r="KF41" s="713" t="str">
        <f ca="1">IF(INDIRECT(CONCATENATE($FK$12,Fixtures!KF$25))="","",IF(INDIRECT(CONCATENATE($FK$12,Fixtures!KF$25))=Fixtures!$DN41,CONCATENATE(KF$10,", "),""))</f>
        <v/>
      </c>
      <c r="KG41" s="713" t="str">
        <f ca="1">IF(INDIRECT(CONCATENATE($FK$12,Fixtures!KG$25))="","",IF(INDIRECT(CONCATENATE($FK$12,Fixtures!KG$25))=Fixtures!$DN41,CONCATENATE(KG$10,", "),""))</f>
        <v/>
      </c>
      <c r="KH41" s="713" t="str">
        <f ca="1">IF(INDIRECT(CONCATENATE($FK$12,Fixtures!KH$25))="","",IF(INDIRECT(CONCATENATE($FK$12,Fixtures!KH$25))=Fixtures!$DN41,CONCATENATE(KH$10,", "),""))</f>
        <v/>
      </c>
      <c r="KI41" s="713" t="str">
        <f ca="1">IF(INDIRECT(CONCATENATE($FK$12,Fixtures!KI$25))="","",IF(INDIRECT(CONCATENATE($FK$12,Fixtures!KI$25))=Fixtures!$DN41,CONCATENATE(KI$10,", "),""))</f>
        <v/>
      </c>
      <c r="KJ41" s="684" t="str">
        <f ca="1">IF(INDIRECT(CONCATENATE($FK$12,Fixtures!KJ$25))="","",IF(INDIRECT(CONCATENATE($FK$12,Fixtures!KJ$25))=Fixtures!$DN41,CONCATENATE(KJ$10,", "),""))</f>
        <v/>
      </c>
      <c r="KK41" s="685" t="str">
        <f ca="1">IF(INDIRECT(CONCATENATE($FK$12,Fixtures!KK$25))="","",IF(INDIRECT(CONCATENATE($FK$12,Fixtures!KK$25))=Fixtures!$DN41,CONCATENATE(KK$10,", "),""))</f>
        <v/>
      </c>
      <c r="KL41" s="713" t="str">
        <f ca="1">IF(INDIRECT(CONCATENATE($FK$12,Fixtures!KL$25))="","",IF(INDIRECT(CONCATENATE($FK$12,Fixtures!KL$25))=Fixtures!$DN41,CONCATENATE(KL$10,", "),""))</f>
        <v/>
      </c>
      <c r="KM41" s="713" t="str">
        <f ca="1">IF(INDIRECT(CONCATENATE($FK$12,Fixtures!KM$25))="","",IF(INDIRECT(CONCATENATE($FK$12,Fixtures!KM$25))=Fixtures!$DN41,CONCATENATE(KM$10,", "),""))</f>
        <v/>
      </c>
      <c r="KN41" s="713" t="str">
        <f ca="1">IF(INDIRECT(CONCATENATE($FK$12,Fixtures!KN$25))="","",IF(INDIRECT(CONCATENATE($FK$12,Fixtures!KN$25))=Fixtures!$DN41,CONCATENATE(KN$10,", "),""))</f>
        <v/>
      </c>
      <c r="KO41" s="713" t="str">
        <f ca="1">IF(INDIRECT(CONCATENATE($FK$12,Fixtures!KO$25))="","",IF(INDIRECT(CONCATENATE($FK$12,Fixtures!KO$25))=Fixtures!$DN41,CONCATENATE(KO$10,", "),""))</f>
        <v/>
      </c>
      <c r="KP41" s="713" t="str">
        <f ca="1">IF(INDIRECT(CONCATENATE($FK$12,Fixtures!KP$25))="","",IF(INDIRECT(CONCATENATE($FK$12,Fixtures!KP$25))=Fixtures!$DN41,CONCATENATE(KP$10,", "),""))</f>
        <v/>
      </c>
      <c r="KQ41" s="713" t="str">
        <f ca="1">IF(INDIRECT(CONCATENATE($FK$12,Fixtures!KQ$25))="","",IF(INDIRECT(CONCATENATE($FK$12,Fixtures!KQ$25))=Fixtures!$DN41,CONCATENATE(KQ$10,", "),""))</f>
        <v/>
      </c>
      <c r="KR41" s="713" t="str">
        <f ca="1">IF(INDIRECT(CONCATENATE($FK$12,Fixtures!KR$25))="","",IF(INDIRECT(CONCATENATE($FK$12,Fixtures!KR$25))=Fixtures!$DN41,CONCATENATE(KR$10,", "),""))</f>
        <v/>
      </c>
      <c r="KS41" s="713" t="str">
        <f ca="1">IF(INDIRECT(CONCATENATE($FK$12,Fixtures!KS$25))="","",IF(INDIRECT(CONCATENATE($FK$12,Fixtures!KS$25))=Fixtures!$DN41,CONCATENATE(KS$10,", "),""))</f>
        <v/>
      </c>
      <c r="KT41" s="713" t="str">
        <f ca="1">IF(INDIRECT(CONCATENATE($FK$12,Fixtures!KT$25))="","",IF(INDIRECT(CONCATENATE($FK$12,Fixtures!KT$25))=Fixtures!$DN41,CONCATENATE(KT$10,", "),""))</f>
        <v/>
      </c>
      <c r="KU41" s="713" t="str">
        <f ca="1">IF(INDIRECT(CONCATENATE($FK$12,Fixtures!KU$25))="","",IF(INDIRECT(CONCATENATE($FK$12,Fixtures!KU$25))=Fixtures!$DN41,CONCATENATE(KU$10,", "),""))</f>
        <v/>
      </c>
      <c r="KV41" s="713" t="str">
        <f ca="1">IF(INDIRECT(CONCATENATE($FK$12,Fixtures!KV$25))="","",IF(INDIRECT(CONCATENATE($FK$12,Fixtures!KV$25))=Fixtures!$DN41,CONCATENATE(KV$10,", "),""))</f>
        <v/>
      </c>
      <c r="KW41" s="713" t="str">
        <f ca="1">IF(INDIRECT(CONCATENATE($FK$12,Fixtures!KW$25))="","",IF(INDIRECT(CONCATENATE($FK$12,Fixtures!KW$25))=Fixtures!$DN41,CONCATENATE(KW$10,", "),""))</f>
        <v/>
      </c>
      <c r="KX41" s="713" t="str">
        <f ca="1">IF(INDIRECT(CONCATENATE($FK$12,Fixtures!KX$25))="","",IF(INDIRECT(CONCATENATE($FK$12,Fixtures!KX$25))=Fixtures!$DN41,CONCATENATE(KX$10,", "),""))</f>
        <v/>
      </c>
      <c r="KY41" s="713" t="str">
        <f ca="1">IF(INDIRECT(CONCATENATE($FK$12,Fixtures!KY$25))="","",IF(INDIRECT(CONCATENATE($FK$12,Fixtures!KY$25))=Fixtures!$DN41,CONCATENATE(KY$10,", "),""))</f>
        <v/>
      </c>
      <c r="KZ41" s="46"/>
      <c r="LA41" s="46" t="str">
        <f t="shared" ca="1" si="8"/>
        <v/>
      </c>
    </row>
    <row r="42" spans="1:313" ht="28.05" customHeight="1" thickTop="1" thickBot="1">
      <c r="A42" s="471" t="str">
        <f t="shared" si="13"/>
        <v/>
      </c>
      <c r="C42" s="1328" t="str">
        <f t="shared" si="14"/>
        <v/>
      </c>
      <c r="D42" s="1329"/>
      <c r="E42" s="1256" t="str">
        <f t="shared" si="15"/>
        <v/>
      </c>
      <c r="F42" s="1257"/>
      <c r="G42" s="1257"/>
      <c r="H42" s="1257"/>
      <c r="I42" s="1257"/>
      <c r="J42" s="1257"/>
      <c r="K42" s="1257"/>
      <c r="L42" s="1257"/>
      <c r="M42" s="1330"/>
      <c r="N42" s="239" t="str">
        <f t="shared" si="16"/>
        <v/>
      </c>
      <c r="O42" s="12"/>
      <c r="P42" s="1326" t="str">
        <f t="shared" si="25"/>
        <v/>
      </c>
      <c r="Q42" s="1327"/>
      <c r="R42" s="1256" t="str">
        <f t="shared" si="31"/>
        <v/>
      </c>
      <c r="S42" s="1257"/>
      <c r="T42" s="1257"/>
      <c r="U42" s="1257"/>
      <c r="V42" s="1257"/>
      <c r="W42" s="1257"/>
      <c r="X42" s="1257"/>
      <c r="Y42" s="239" t="str">
        <f t="shared" si="27"/>
        <v/>
      </c>
      <c r="Z42" s="239" t="str">
        <f t="shared" si="28"/>
        <v/>
      </c>
      <c r="AA42" s="439" t="str">
        <f t="shared" si="29"/>
        <v/>
      </c>
      <c r="AB42" s="542"/>
      <c r="AC42" s="1253" t="str">
        <f t="shared" si="17"/>
        <v/>
      </c>
      <c r="AD42" s="1166"/>
      <c r="AE42" s="1166"/>
      <c r="AF42" s="1166"/>
      <c r="AG42" s="1166"/>
      <c r="AH42" s="1166"/>
      <c r="AK42">
        <f>SUMIFS(Installations!CS$39:CS$800,Installations!CT$39:CT$800,E42,Installations!HX$39:HX$800,TRUE)</f>
        <v>0</v>
      </c>
      <c r="AL42">
        <f>SUMIFS(Installations!CS$39:CS$800,Installations!CT$39:CT$800,R42,Installations!HX$39:HX$800,TRUE)</f>
        <v>0</v>
      </c>
      <c r="BL42" s="9"/>
      <c r="BM42" s="703" t="str">
        <f t="shared" si="18"/>
        <v/>
      </c>
      <c r="BN42" s="52"/>
      <c r="BO42" s="52"/>
      <c r="BP42" s="52"/>
      <c r="BQ42" s="52"/>
      <c r="BR42" s="52"/>
      <c r="BS42" s="52"/>
      <c r="BT42" s="52"/>
      <c r="BU42" s="414"/>
      <c r="BV42" s="255" t="str">
        <f>IF(CN42&lt;&gt;"Yes","",IFERROR(VLOOKUP(CU42,Existing!A$4:F$364,2,FALSE),""))</f>
        <v/>
      </c>
      <c r="BW42" s="9">
        <v>16</v>
      </c>
      <c r="BX42" s="1313"/>
      <c r="BY42" s="1314"/>
      <c r="BZ42" s="1314"/>
      <c r="CA42" s="1315"/>
      <c r="CB42" s="1310"/>
      <c r="CC42" s="1311"/>
      <c r="CD42" s="1311"/>
      <c r="CE42" s="1312"/>
      <c r="CF42" s="1309"/>
      <c r="CG42" s="1309"/>
      <c r="CH42" s="1309"/>
      <c r="CI42" s="1309"/>
      <c r="CJ42" s="1309"/>
      <c r="CK42" s="1309"/>
      <c r="CL42" s="1309"/>
      <c r="CM42" s="1309"/>
      <c r="CN42" s="1243" t="str">
        <f t="shared" si="0"/>
        <v/>
      </c>
      <c r="CO42" s="1244"/>
      <c r="CP42" s="265" t="str">
        <f>IFERROR(IF(CB42="Existing TLED",CR42*CW42*CY42,VLOOKUP(CU42,Existing!A$3:F$353,6,FALSE)),"")</f>
        <v/>
      </c>
      <c r="CQ42" s="9"/>
      <c r="CR42" s="1343"/>
      <c r="CS42" s="1344"/>
      <c r="CT42" s="9"/>
      <c r="CU42" s="470" t="str">
        <f t="shared" si="21"/>
        <v/>
      </c>
      <c r="CV42" s="471" t="b">
        <f t="shared" si="22"/>
        <v>0</v>
      </c>
      <c r="CW42" s="471" t="str">
        <f t="shared" si="23"/>
        <v/>
      </c>
      <c r="CX42" s="471">
        <f>IFERROR(VLOOKUP(CF42,Lookup!M$100:O$102,3,FALSE),0)</f>
        <v>0</v>
      </c>
      <c r="CY42" s="471">
        <f t="shared" si="9"/>
        <v>1.1100000000000001</v>
      </c>
      <c r="CZ42" s="707" t="b">
        <f t="shared" si="1"/>
        <v>0</v>
      </c>
      <c r="DA42" s="707" t="b">
        <f>IF(CF42&lt;&gt;"",IF(ISERROR(MATCH(CONCATENATE(CB42," - ",CF42),Existing!G$4:G$328,0))=TRUE,FALSE,TRUE),TRUE)</f>
        <v>1</v>
      </c>
      <c r="DB42" s="707" t="b">
        <f t="shared" si="2"/>
        <v>1</v>
      </c>
      <c r="DL42" s="9"/>
      <c r="DM42" s="708" t="s">
        <v>166</v>
      </c>
      <c r="DN42" s="416" t="str">
        <f t="shared" si="3"/>
        <v/>
      </c>
      <c r="DO42" s="52"/>
      <c r="DP42" s="52"/>
      <c r="DQ42" s="52"/>
      <c r="DR42" s="52"/>
      <c r="DS42" s="52"/>
      <c r="DT42" s="262"/>
      <c r="DU42" s="417"/>
      <c r="DV42" s="263" t="str">
        <f t="shared" si="4"/>
        <v/>
      </c>
      <c r="DW42" s="260">
        <v>16</v>
      </c>
      <c r="DX42" s="1306"/>
      <c r="DY42" s="1307"/>
      <c r="DZ42" s="1307"/>
      <c r="EA42" s="1308"/>
      <c r="EB42" s="1306"/>
      <c r="EC42" s="1307"/>
      <c r="ED42" s="1307"/>
      <c r="EE42" s="1308"/>
      <c r="EF42" s="1266"/>
      <c r="EG42" s="1267"/>
      <c r="EH42" s="1306"/>
      <c r="EI42" s="1307"/>
      <c r="EJ42" s="1307"/>
      <c r="EK42" s="1308"/>
      <c r="EL42" s="1263"/>
      <c r="EM42" s="1264"/>
      <c r="EN42" s="1264"/>
      <c r="EO42" s="1265"/>
      <c r="EP42" s="1266"/>
      <c r="EQ42" s="1267"/>
      <c r="ER42" s="1245"/>
      <c r="ES42" s="1246"/>
      <c r="ET42" s="1243" t="str">
        <f t="shared" si="5"/>
        <v/>
      </c>
      <c r="EU42" s="1244"/>
      <c r="EV42" s="1243" t="str">
        <f t="shared" si="30"/>
        <v/>
      </c>
      <c r="EW42" s="1244"/>
      <c r="EX42" s="438"/>
      <c r="EY42" s="261" t="str">
        <f t="shared" si="7"/>
        <v/>
      </c>
      <c r="EZ42" s="261" t="str">
        <f>IFERROR(VLOOKUP(EB42,Lookup!AM$3:AN$13,2,FALSE),"")</f>
        <v/>
      </c>
      <c r="FA42" s="471" t="b">
        <f>IFERROR(IF(VLOOKUP(EB42,Lookup!AM$6:AN$8,2,FALSE)&gt;3,TRUE,FALSE),FALSE)</f>
        <v>0</v>
      </c>
      <c r="FB42" s="471">
        <f t="shared" si="11"/>
        <v>1</v>
      </c>
      <c r="FC42" t="str">
        <f t="shared" ca="1" si="10"/>
        <v/>
      </c>
      <c r="FG42" t="str">
        <f t="shared" ca="1" si="12"/>
        <v/>
      </c>
      <c r="FI42" s="240" t="str">
        <f t="shared" ca="1" si="24"/>
        <v/>
      </c>
      <c r="FJ42" s="240"/>
      <c r="FK42" s="712" t="str">
        <f ca="1">IF(INDIRECT(CONCATENATE($FK$12,Fixtures!FK$25))="","",IF(INDIRECT(CONCATENATE($FK$12,Fixtures!FK$25))=Fixtures!$DN42,CONCATENATE(FK$10,", "),""))</f>
        <v/>
      </c>
      <c r="FL42" s="712" t="str">
        <f ca="1">IF(INDIRECT(CONCATENATE($FK$12,Fixtures!FL$25))="","",IF(INDIRECT(CONCATENATE($FK$12,Fixtures!FL$25))=Fixtures!$DN42,CONCATENATE(FL$10,", "),""))</f>
        <v/>
      </c>
      <c r="FM42" s="712" t="str">
        <f ca="1">IF(INDIRECT(CONCATENATE($FK$12,Fixtures!FM$25))="","",IF(INDIRECT(CONCATENATE($FK$12,Fixtures!FM$25))=Fixtures!$DN42,CONCATENATE(FM$10,", "),""))</f>
        <v/>
      </c>
      <c r="FN42" s="712" t="str">
        <f ca="1">IF(INDIRECT(CONCATENATE($FK$12,Fixtures!FN$25))="","",IF(INDIRECT(CONCATENATE($FK$12,Fixtures!FN$25))=Fixtures!$DN42,CONCATENATE(FN$10,", "),""))</f>
        <v/>
      </c>
      <c r="FO42" s="712" t="str">
        <f ca="1">IF(INDIRECT(CONCATENATE($FK$12,Fixtures!FO$25))="","",IF(INDIRECT(CONCATENATE($FK$12,Fixtures!FO$25))=Fixtures!$DN42,CONCATENATE(FO$10,", "),""))</f>
        <v/>
      </c>
      <c r="FP42" s="712" t="str">
        <f ca="1">IF(INDIRECT(CONCATENATE($FK$12,Fixtures!FP$25))="","",IF(INDIRECT(CONCATENATE($FK$12,Fixtures!FP$25))=Fixtures!$DN42,CONCATENATE(FP$10,", "),""))</f>
        <v/>
      </c>
      <c r="FQ42" s="712" t="str">
        <f ca="1">IF(INDIRECT(CONCATENATE($FK$12,Fixtures!FQ$25))="","",IF(INDIRECT(CONCATENATE($FK$12,Fixtures!FQ$25))=Fixtures!$DN42,CONCATENATE(FQ$10,", "),""))</f>
        <v/>
      </c>
      <c r="FR42" s="712" t="str">
        <f ca="1">IF(INDIRECT(CONCATENATE($FK$12,Fixtures!FR$25))="","",IF(INDIRECT(CONCATENATE($FK$12,Fixtures!FR$25))=Fixtures!$DN42,CONCATENATE(FR$10,", "),""))</f>
        <v/>
      </c>
      <c r="FS42" s="712" t="str">
        <f ca="1">IF(INDIRECT(CONCATENATE($FK$12,Fixtures!FS$25))="","",IF(INDIRECT(CONCATENATE($FK$12,Fixtures!FS$25))=Fixtures!$DN42,CONCATENATE(FS$10,", "),""))</f>
        <v/>
      </c>
      <c r="FT42" s="682" t="str">
        <f ca="1">IF(INDIRECT(CONCATENATE($FK$12,Fixtures!FT$25))="","",IF(INDIRECT(CONCATENATE($FK$12,Fixtures!FT$25))=Fixtures!$DN42,CONCATENATE(FT$10,", "),""))</f>
        <v/>
      </c>
      <c r="FU42" s="683" t="str">
        <f ca="1">IF(INDIRECT(CONCATENATE($FK$12,Fixtures!FU$25))="","",IF(INDIRECT(CONCATENATE($FK$12,Fixtures!FU$25))=Fixtures!$DN42,CONCATENATE(FU$10,", "),""))</f>
        <v/>
      </c>
      <c r="FV42" s="712" t="str">
        <f ca="1">IF(INDIRECT(CONCATENATE($FK$12,Fixtures!FV$25))="","",IF(INDIRECT(CONCATENATE($FK$12,Fixtures!FV$25))=Fixtures!$DN42,CONCATENATE(FV$10,", "),""))</f>
        <v/>
      </c>
      <c r="FW42" s="713" t="str">
        <f ca="1">IF(INDIRECT(CONCATENATE($FK$12,Fixtures!FW$25))="","",IF(INDIRECT(CONCATENATE($FK$12,Fixtures!FW$25))=Fixtures!$DN42,CONCATENATE(FW$10,", "),""))</f>
        <v/>
      </c>
      <c r="FX42" s="713" t="str">
        <f ca="1">IF(INDIRECT(CONCATENATE($FK$12,Fixtures!FX$25))="","",IF(INDIRECT(CONCATENATE($FK$12,Fixtures!FX$25))=Fixtures!$DN42,CONCATENATE(FX$10,", "),""))</f>
        <v/>
      </c>
      <c r="FY42" s="713" t="str">
        <f ca="1">IF(INDIRECT(CONCATENATE($FK$12,Fixtures!FY$25))="","",IF(INDIRECT(CONCATENATE($FK$12,Fixtures!FY$25))=Fixtures!$DN42,CONCATENATE(FY$10,", "),""))</f>
        <v/>
      </c>
      <c r="FZ42" s="713" t="str">
        <f ca="1">IF(INDIRECT(CONCATENATE($FK$12,Fixtures!FZ$25))="","",IF(INDIRECT(CONCATENATE($FK$12,Fixtures!FZ$25))=Fixtures!$DN42,CONCATENATE(FZ$10,", "),""))</f>
        <v/>
      </c>
      <c r="GA42" s="713" t="str">
        <f ca="1">IF(INDIRECT(CONCATENATE($FK$12,Fixtures!GA$25))="","",IF(INDIRECT(CONCATENATE($FK$12,Fixtures!GA$25))=Fixtures!$DN42,CONCATENATE(GA$10,", "),""))</f>
        <v/>
      </c>
      <c r="GB42" s="713" t="str">
        <f ca="1">IF(INDIRECT(CONCATENATE($FK$12,Fixtures!GB$25))="","",IF(INDIRECT(CONCATENATE($FK$12,Fixtures!GB$25))=Fixtures!$DN42,CONCATENATE(GB$10,", "),""))</f>
        <v/>
      </c>
      <c r="GC42" s="713" t="str">
        <f ca="1">IF(INDIRECT(CONCATENATE($FK$12,Fixtures!GC$25))="","",IF(INDIRECT(CONCATENATE($FK$12,Fixtures!GC$25))=Fixtures!$DN42,CONCATENATE(GC$10,", "),""))</f>
        <v/>
      </c>
      <c r="GD42" s="713" t="str">
        <f ca="1">IF(INDIRECT(CONCATENATE($FK$12,Fixtures!GD$25))="","",IF(INDIRECT(CONCATENATE($FK$12,Fixtures!GD$25))=Fixtures!$DN42,CONCATENATE(GD$10,", "),""))</f>
        <v/>
      </c>
      <c r="GE42" s="713" t="str">
        <f ca="1">IF(INDIRECT(CONCATENATE($FK$12,Fixtures!GE$25))="","",IF(INDIRECT(CONCATENATE($FK$12,Fixtures!GE$25))=Fixtures!$DN42,CONCATENATE(GE$10,", "),""))</f>
        <v/>
      </c>
      <c r="GF42" s="713" t="str">
        <f ca="1">IF(INDIRECT(CONCATENATE($FK$12,Fixtures!GF$25))="","",IF(INDIRECT(CONCATENATE($FK$12,Fixtures!GF$25))=Fixtures!$DN42,CONCATENATE(GF$10,", "),""))</f>
        <v/>
      </c>
      <c r="GG42" s="713" t="str">
        <f ca="1">IF(INDIRECT(CONCATENATE($FK$12,Fixtures!GG$25))="","",IF(INDIRECT(CONCATENATE($FK$12,Fixtures!GG$25))=Fixtures!$DN42,CONCATENATE(GG$10,", "),""))</f>
        <v/>
      </c>
      <c r="GH42" s="713" t="str">
        <f ca="1">IF(INDIRECT(CONCATENATE($FK$12,Fixtures!GH$25))="","",IF(INDIRECT(CONCATENATE($FK$12,Fixtures!GH$25))=Fixtures!$DN42,CONCATENATE(GH$10,", "),""))</f>
        <v/>
      </c>
      <c r="GI42" s="684" t="str">
        <f ca="1">IF(INDIRECT(CONCATENATE($FK$12,Fixtures!GI$25))="","",IF(INDIRECT(CONCATENATE($FK$12,Fixtures!GI$25))=Fixtures!$DN42,CONCATENATE(GI$10,", "),""))</f>
        <v/>
      </c>
      <c r="GJ42" s="685" t="str">
        <f ca="1">IF(INDIRECT(CONCATENATE($FK$12,Fixtures!GJ$25))="","",IF(INDIRECT(CONCATENATE($FK$12,Fixtures!GJ$25))=Fixtures!$DN42,CONCATENATE(GJ$10,", "),""))</f>
        <v/>
      </c>
      <c r="GK42" s="713" t="str">
        <f ca="1">IF(INDIRECT(CONCATENATE($FK$12,Fixtures!GK$25))="","",IF(INDIRECT(CONCATENATE($FK$12,Fixtures!GK$25))=Fixtures!$DN42,CONCATENATE(GK$10,", "),""))</f>
        <v/>
      </c>
      <c r="GL42" s="713" t="str">
        <f ca="1">IF(INDIRECT(CONCATENATE($FK$12,Fixtures!GL$25))="","",IF(INDIRECT(CONCATENATE($FK$12,Fixtures!GL$25))=Fixtures!$DN42,CONCATENATE(GL$10,", "),""))</f>
        <v/>
      </c>
      <c r="GM42" s="713" t="str">
        <f ca="1">IF(INDIRECT(CONCATENATE($FK$12,Fixtures!GM$25))="","",IF(INDIRECT(CONCATENATE($FK$12,Fixtures!GM$25))=Fixtures!$DN42,CONCATENATE(GM$10,", "),""))</f>
        <v/>
      </c>
      <c r="GN42" s="713" t="str">
        <f ca="1">IF(INDIRECT(CONCATENATE($FK$12,Fixtures!GN$25))="","",IF(INDIRECT(CONCATENATE($FK$12,Fixtures!GN$25))=Fixtures!$DN42,CONCATENATE(GN$10,", "),""))</f>
        <v/>
      </c>
      <c r="GO42" s="713" t="str">
        <f ca="1">IF(INDIRECT(CONCATENATE($FK$12,Fixtures!GO$25))="","",IF(INDIRECT(CONCATENATE($FK$12,Fixtures!GO$25))=Fixtures!$DN42,CONCATENATE(GO$10,", "),""))</f>
        <v/>
      </c>
      <c r="GP42" s="713" t="str">
        <f ca="1">IF(INDIRECT(CONCATENATE($FK$12,Fixtures!GP$25))="","",IF(INDIRECT(CONCATENATE($FK$12,Fixtures!GP$25))=Fixtures!$DN42,CONCATENATE(GP$10,", "),""))</f>
        <v/>
      </c>
      <c r="GQ42" s="713" t="str">
        <f ca="1">IF(INDIRECT(CONCATENATE($FK$12,Fixtures!GQ$25))="","",IF(INDIRECT(CONCATENATE($FK$12,Fixtures!GQ$25))=Fixtures!$DN42,CONCATENATE(GQ$10,", "),""))</f>
        <v/>
      </c>
      <c r="GR42" s="713" t="str">
        <f ca="1">IF(INDIRECT(CONCATENATE($FK$12,Fixtures!GR$25))="","",IF(INDIRECT(CONCATENATE($FK$12,Fixtures!GR$25))=Fixtures!$DN42,CONCATENATE(GR$10,", "),""))</f>
        <v/>
      </c>
      <c r="GS42" s="713" t="str">
        <f ca="1">IF(INDIRECT(CONCATENATE($FK$12,Fixtures!GS$25))="","",IF(INDIRECT(CONCATENATE($FK$12,Fixtures!GS$25))=Fixtures!$DN42,CONCATENATE(GS$10,", "),""))</f>
        <v/>
      </c>
      <c r="GT42" s="713" t="str">
        <f ca="1">IF(INDIRECT(CONCATENATE($FK$12,Fixtures!GT$25))="","",IF(INDIRECT(CONCATENATE($FK$12,Fixtures!GT$25))=Fixtures!$DN42,CONCATENATE(GT$10,", "),""))</f>
        <v/>
      </c>
      <c r="GU42" s="713" t="str">
        <f ca="1">IF(INDIRECT(CONCATENATE($FK$12,Fixtures!GU$25))="","",IF(INDIRECT(CONCATENATE($FK$12,Fixtures!GU$25))=Fixtures!$DN42,CONCATENATE(GU$10,", "),""))</f>
        <v/>
      </c>
      <c r="GV42" s="713" t="str">
        <f ca="1">IF(INDIRECT(CONCATENATE($FK$12,Fixtures!GV$25))="","",IF(INDIRECT(CONCATENATE($FK$12,Fixtures!GV$25))=Fixtures!$DN42,CONCATENATE(GV$10,", "),""))</f>
        <v/>
      </c>
      <c r="GW42" s="713" t="str">
        <f ca="1">IF(INDIRECT(CONCATENATE($FK$12,Fixtures!GW$25))="","",IF(INDIRECT(CONCATENATE($FK$12,Fixtures!GW$25))=Fixtures!$DN42,CONCATENATE(GW$10,", "),""))</f>
        <v/>
      </c>
      <c r="GX42" s="684" t="str">
        <f ca="1">IF(INDIRECT(CONCATENATE($FK$12,Fixtures!GX$25))="","",IF(INDIRECT(CONCATENATE($FK$12,Fixtures!GX$25))=Fixtures!$DN42,CONCATENATE(GX$10,", "),""))</f>
        <v/>
      </c>
      <c r="GY42" s="685" t="str">
        <f ca="1">IF(INDIRECT(CONCATENATE($FK$12,Fixtures!GY$25))="","",IF(INDIRECT(CONCATENATE($FK$12,Fixtures!GY$25))=Fixtures!$DN42,CONCATENATE(GY$10,", "),""))</f>
        <v/>
      </c>
      <c r="GZ42" s="713" t="str">
        <f ca="1">IF(INDIRECT(CONCATENATE($FK$12,Fixtures!GZ$25))="","",IF(INDIRECT(CONCATENATE($FK$12,Fixtures!GZ$25))=Fixtures!$DN42,CONCATENATE(GZ$10,", "),""))</f>
        <v/>
      </c>
      <c r="HA42" s="713" t="str">
        <f ca="1">IF(INDIRECT(CONCATENATE($FK$12,Fixtures!HA$25))="","",IF(INDIRECT(CONCATENATE($FK$12,Fixtures!HA$25))=Fixtures!$DN42,CONCATENATE(HA$10,", "),""))</f>
        <v/>
      </c>
      <c r="HB42" s="713" t="str">
        <f ca="1">IF(INDIRECT(CONCATENATE($FK$12,Fixtures!HB$25))="","",IF(INDIRECT(CONCATENATE($FK$12,Fixtures!HB$25))=Fixtures!$DN42,CONCATENATE(HB$10,", "),""))</f>
        <v/>
      </c>
      <c r="HC42" s="713" t="str">
        <f ca="1">IF(INDIRECT(CONCATENATE($FK$12,Fixtures!HC$25))="","",IF(INDIRECT(CONCATENATE($FK$12,Fixtures!HC$25))=Fixtures!$DN42,CONCATENATE(HC$10,", "),""))</f>
        <v/>
      </c>
      <c r="HD42" s="713" t="str">
        <f ca="1">IF(INDIRECT(CONCATENATE($FK$12,Fixtures!HD$25))="","",IF(INDIRECT(CONCATENATE($FK$12,Fixtures!HD$25))=Fixtures!$DN42,CONCATENATE(HD$10,", "),""))</f>
        <v/>
      </c>
      <c r="HE42" s="713" t="str">
        <f ca="1">IF(INDIRECT(CONCATENATE($FK$12,Fixtures!HE$25))="","",IF(INDIRECT(CONCATENATE($FK$12,Fixtures!HE$25))=Fixtures!$DN42,CONCATENATE(HE$10,", "),""))</f>
        <v/>
      </c>
      <c r="HF42" s="713" t="str">
        <f ca="1">IF(INDIRECT(CONCATENATE($FK$12,Fixtures!HF$25))="","",IF(INDIRECT(CONCATENATE($FK$12,Fixtures!HF$25))=Fixtures!$DN42,CONCATENATE(HF$10,", "),""))</f>
        <v/>
      </c>
      <c r="HG42" s="713" t="str">
        <f ca="1">IF(INDIRECT(CONCATENATE($FK$12,Fixtures!HG$25))="","",IF(INDIRECT(CONCATENATE($FK$12,Fixtures!HG$25))=Fixtures!$DN42,CONCATENATE(HG$10,", "),""))</f>
        <v/>
      </c>
      <c r="HH42" s="713" t="str">
        <f ca="1">IF(INDIRECT(CONCATENATE($FK$12,Fixtures!HH$25))="","",IF(INDIRECT(CONCATENATE($FK$12,Fixtures!HH$25))=Fixtures!$DN42,CONCATENATE(HH$10,", "),""))</f>
        <v/>
      </c>
      <c r="HI42" s="713" t="str">
        <f ca="1">IF(INDIRECT(CONCATENATE($FK$12,Fixtures!HI$25))="","",IF(INDIRECT(CONCATENATE($FK$12,Fixtures!HI$25))=Fixtures!$DN42,CONCATENATE(HI$10,", "),""))</f>
        <v/>
      </c>
      <c r="HJ42" s="713" t="str">
        <f ca="1">IF(INDIRECT(CONCATENATE($FK$12,Fixtures!HJ$25))="","",IF(INDIRECT(CONCATENATE($FK$12,Fixtures!HJ$25))=Fixtures!$DN42,CONCATENATE(HJ$10,", "),""))</f>
        <v/>
      </c>
      <c r="HK42" s="713" t="str">
        <f ca="1">IF(INDIRECT(CONCATENATE($FK$12,Fixtures!HK$25))="","",IF(INDIRECT(CONCATENATE($FK$12,Fixtures!HK$25))=Fixtures!$DN42,CONCATENATE(HK$10,", "),""))</f>
        <v/>
      </c>
      <c r="HL42" s="713" t="str">
        <f ca="1">IF(INDIRECT(CONCATENATE($FK$12,Fixtures!HL$25))="","",IF(INDIRECT(CONCATENATE($FK$12,Fixtures!HL$25))=Fixtures!$DN42,CONCATENATE(HL$10,", "),""))</f>
        <v/>
      </c>
      <c r="HM42" s="684" t="str">
        <f ca="1">IF(INDIRECT(CONCATENATE($FK$12,Fixtures!HM$25))="","",IF(INDIRECT(CONCATENATE($FK$12,Fixtures!HM$25))=Fixtures!$DN42,CONCATENATE(HM$10,", "),""))</f>
        <v/>
      </c>
      <c r="HN42" s="685" t="str">
        <f ca="1">IF(INDIRECT(CONCATENATE($FK$12,Fixtures!HN$25))="","",IF(INDIRECT(CONCATENATE($FK$12,Fixtures!HN$25))=Fixtures!$DN42,CONCATENATE(HN$10,", "),""))</f>
        <v/>
      </c>
      <c r="HO42" s="713" t="str">
        <f ca="1">IF(INDIRECT(CONCATENATE($FK$12,Fixtures!HO$25))="","",IF(INDIRECT(CONCATENATE($FK$12,Fixtures!HO$25))=Fixtures!$DN42,CONCATENATE(HO$10,", "),""))</f>
        <v/>
      </c>
      <c r="HP42" s="713" t="str">
        <f ca="1">IF(INDIRECT(CONCATENATE($FK$12,Fixtures!HP$25))="","",IF(INDIRECT(CONCATENATE($FK$12,Fixtures!HP$25))=Fixtures!$DN42,CONCATENATE(HP$10,", "),""))</f>
        <v/>
      </c>
      <c r="HQ42" s="713" t="str">
        <f ca="1">IF(INDIRECT(CONCATENATE($FK$12,Fixtures!HQ$25))="","",IF(INDIRECT(CONCATENATE($FK$12,Fixtures!HQ$25))=Fixtures!$DN42,CONCATENATE(HQ$10,", "),""))</f>
        <v/>
      </c>
      <c r="HR42" s="713" t="str">
        <f ca="1">IF(INDIRECT(CONCATENATE($FK$12,Fixtures!HR$25))="","",IF(INDIRECT(CONCATENATE($FK$12,Fixtures!HR$25))=Fixtures!$DN42,CONCATENATE(HR$10,", "),""))</f>
        <v/>
      </c>
      <c r="HS42" s="713" t="str">
        <f ca="1">IF(INDIRECT(CONCATENATE($FK$12,Fixtures!HS$25))="","",IF(INDIRECT(CONCATENATE($FK$12,Fixtures!HS$25))=Fixtures!$DN42,CONCATENATE(HS$10,", "),""))</f>
        <v/>
      </c>
      <c r="HT42" s="713" t="str">
        <f ca="1">IF(INDIRECT(CONCATENATE($FK$12,Fixtures!HT$25))="","",IF(INDIRECT(CONCATENATE($FK$12,Fixtures!HT$25))=Fixtures!$DN42,CONCATENATE(HT$10,", "),""))</f>
        <v/>
      </c>
      <c r="HU42" s="713" t="str">
        <f ca="1">IF(INDIRECT(CONCATENATE($FK$12,Fixtures!HU$25))="","",IF(INDIRECT(CONCATENATE($FK$12,Fixtures!HU$25))=Fixtures!$DN42,CONCATENATE(HU$10,", "),""))</f>
        <v/>
      </c>
      <c r="HV42" s="713" t="str">
        <f ca="1">IF(INDIRECT(CONCATENATE($FK$12,Fixtures!HV$25))="","",IF(INDIRECT(CONCATENATE($FK$12,Fixtures!HV$25))=Fixtures!$DN42,CONCATENATE(HV$10,", "),""))</f>
        <v/>
      </c>
      <c r="HW42" s="713" t="str">
        <f ca="1">IF(INDIRECT(CONCATENATE($FK$12,Fixtures!HW$25))="","",IF(INDIRECT(CONCATENATE($FK$12,Fixtures!HW$25))=Fixtures!$DN42,CONCATENATE(HW$10,", "),""))</f>
        <v/>
      </c>
      <c r="HX42" s="713" t="str">
        <f ca="1">IF(INDIRECT(CONCATENATE($FK$12,Fixtures!HX$25))="","",IF(INDIRECT(CONCATENATE($FK$12,Fixtures!HX$25))=Fixtures!$DN42,CONCATENATE(HX$10,", "),""))</f>
        <v/>
      </c>
      <c r="HY42" s="713" t="str">
        <f ca="1">IF(INDIRECT(CONCATENATE($FK$12,Fixtures!HY$25))="","",IF(INDIRECT(CONCATENATE($FK$12,Fixtures!HY$25))=Fixtures!$DN42,CONCATENATE(HY$10,", "),""))</f>
        <v/>
      </c>
      <c r="HZ42" s="713" t="str">
        <f ca="1">IF(INDIRECT(CONCATENATE($FK$12,Fixtures!HZ$25))="","",IF(INDIRECT(CONCATENATE($FK$12,Fixtures!HZ$25))=Fixtures!$DN42,CONCATENATE(HZ$10,", "),""))</f>
        <v/>
      </c>
      <c r="IA42" s="713" t="str">
        <f ca="1">IF(INDIRECT(CONCATENATE($FK$12,Fixtures!IA$25))="","",IF(INDIRECT(CONCATENATE($FK$12,Fixtures!IA$25))=Fixtures!$DN42,CONCATENATE(IA$10,", "),""))</f>
        <v/>
      </c>
      <c r="IB42" s="684" t="str">
        <f ca="1">IF(INDIRECT(CONCATENATE($FK$12,Fixtures!IB$25))="","",IF(INDIRECT(CONCATENATE($FK$12,Fixtures!IB$25))=Fixtures!$DN42,CONCATENATE(IB$10,", "),""))</f>
        <v/>
      </c>
      <c r="IC42" s="685" t="str">
        <f ca="1">IF(INDIRECT(CONCATENATE($FK$12,Fixtures!IC$25))="","",IF(INDIRECT(CONCATENATE($FK$12,Fixtures!IC$25))=Fixtures!$DN42,CONCATENATE(IC$10,", "),""))</f>
        <v/>
      </c>
      <c r="ID42" s="713" t="str">
        <f ca="1">IF(INDIRECT(CONCATENATE($FK$12,Fixtures!ID$25))="","",IF(INDIRECT(CONCATENATE($FK$12,Fixtures!ID$25))=Fixtures!$DN42,CONCATENATE(ID$10,", "),""))</f>
        <v/>
      </c>
      <c r="IE42" s="713" t="str">
        <f ca="1">IF(INDIRECT(CONCATENATE($FK$12,Fixtures!IE$25))="","",IF(INDIRECT(CONCATENATE($FK$12,Fixtures!IE$25))=Fixtures!$DN42,CONCATENATE(IE$10,", "),""))</f>
        <v/>
      </c>
      <c r="IF42" s="713" t="str">
        <f ca="1">IF(INDIRECT(CONCATENATE($FK$12,Fixtures!IF$25))="","",IF(INDIRECT(CONCATENATE($FK$12,Fixtures!IF$25))=Fixtures!$DN42,CONCATENATE(IF$10,", "),""))</f>
        <v/>
      </c>
      <c r="IG42" s="713" t="str">
        <f ca="1">IF(INDIRECT(CONCATENATE($FK$12,Fixtures!IG$25))="","",IF(INDIRECT(CONCATENATE($FK$12,Fixtures!IG$25))=Fixtures!$DN42,CONCATENATE(IG$10,", "),""))</f>
        <v/>
      </c>
      <c r="IH42" s="713" t="str">
        <f ca="1">IF(INDIRECT(CONCATENATE($FK$12,Fixtures!IH$25))="","",IF(INDIRECT(CONCATENATE($FK$12,Fixtures!IH$25))=Fixtures!$DN42,CONCATENATE(IH$10,", "),""))</f>
        <v/>
      </c>
      <c r="II42" s="713" t="str">
        <f ca="1">IF(INDIRECT(CONCATENATE($FK$12,Fixtures!II$25))="","",IF(INDIRECT(CONCATENATE($FK$12,Fixtures!II$25))=Fixtures!$DN42,CONCATENATE(II$10,", "),""))</f>
        <v/>
      </c>
      <c r="IJ42" s="713" t="str">
        <f ca="1">IF(INDIRECT(CONCATENATE($FK$12,Fixtures!IJ$25))="","",IF(INDIRECT(CONCATENATE($FK$12,Fixtures!IJ$25))=Fixtures!$DN42,CONCATENATE(IJ$10,", "),""))</f>
        <v/>
      </c>
      <c r="IK42" s="713" t="str">
        <f ca="1">IF(INDIRECT(CONCATENATE($FK$12,Fixtures!IK$25))="","",IF(INDIRECT(CONCATENATE($FK$12,Fixtures!IK$25))=Fixtures!$DN42,CONCATENATE(IK$10,", "),""))</f>
        <v/>
      </c>
      <c r="IL42" s="713" t="str">
        <f ca="1">IF(INDIRECT(CONCATENATE($FK$12,Fixtures!IL$25))="","",IF(INDIRECT(CONCATENATE($FK$12,Fixtures!IL$25))=Fixtures!$DN42,CONCATENATE(IL$10,", "),""))</f>
        <v/>
      </c>
      <c r="IM42" s="713" t="str">
        <f ca="1">IF(INDIRECT(CONCATENATE($FK$12,Fixtures!IM$25))="","",IF(INDIRECT(CONCATENATE($FK$12,Fixtures!IM$25))=Fixtures!$DN42,CONCATENATE(IM$10,", "),""))</f>
        <v/>
      </c>
      <c r="IN42" s="713" t="str">
        <f ca="1">IF(INDIRECT(CONCATENATE($FK$12,Fixtures!IN$25))="","",IF(INDIRECT(CONCATENATE($FK$12,Fixtures!IN$25))=Fixtures!$DN42,CONCATENATE(IN$10,", "),""))</f>
        <v/>
      </c>
      <c r="IO42" s="713" t="str">
        <f ca="1">IF(INDIRECT(CONCATENATE($FK$12,Fixtures!IO$25))="","",IF(INDIRECT(CONCATENATE($FK$12,Fixtures!IO$25))=Fixtures!$DN42,CONCATENATE(IO$10,", "),""))</f>
        <v/>
      </c>
      <c r="IP42" s="713" t="str">
        <f ca="1">IF(INDIRECT(CONCATENATE($FK$12,Fixtures!IP$25))="","",IF(INDIRECT(CONCATENATE($FK$12,Fixtures!IP$25))=Fixtures!$DN42,CONCATENATE(IP$10,", "),""))</f>
        <v/>
      </c>
      <c r="IQ42" s="684" t="str">
        <f ca="1">IF(INDIRECT(CONCATENATE($FK$12,Fixtures!IQ$25))="","",IF(INDIRECT(CONCATENATE($FK$12,Fixtures!IQ$25))=Fixtures!$DN42,CONCATENATE(IQ$10,", "),""))</f>
        <v/>
      </c>
      <c r="IR42" s="685" t="str">
        <f ca="1">IF(INDIRECT(CONCATENATE($FK$12,Fixtures!IR$25))="","",IF(INDIRECT(CONCATENATE($FK$12,Fixtures!IR$25))=Fixtures!$DN42,CONCATENATE(IR$10,", "),""))</f>
        <v/>
      </c>
      <c r="IS42" s="713" t="str">
        <f ca="1">IF(INDIRECT(CONCATENATE($FK$12,Fixtures!IS$25))="","",IF(INDIRECT(CONCATENATE($FK$12,Fixtures!IS$25))=Fixtures!$DN42,CONCATENATE(IS$10,", "),""))</f>
        <v/>
      </c>
      <c r="IT42" s="713" t="str">
        <f ca="1">IF(INDIRECT(CONCATENATE($FK$12,Fixtures!IT$25))="","",IF(INDIRECT(CONCATENATE($FK$12,Fixtures!IT$25))=Fixtures!$DN42,CONCATENATE(IT$10,", "),""))</f>
        <v/>
      </c>
      <c r="IU42" s="713" t="str">
        <f ca="1">IF(INDIRECT(CONCATENATE($FK$12,Fixtures!IU$25))="","",IF(INDIRECT(CONCATENATE($FK$12,Fixtures!IU$25))=Fixtures!$DN42,CONCATENATE(IU$10,", "),""))</f>
        <v/>
      </c>
      <c r="IV42" s="713" t="str">
        <f ca="1">IF(INDIRECT(CONCATENATE($FK$12,Fixtures!IV$25))="","",IF(INDIRECT(CONCATENATE($FK$12,Fixtures!IV$25))=Fixtures!$DN42,CONCATENATE(IV$10,", "),""))</f>
        <v/>
      </c>
      <c r="IW42" s="713" t="str">
        <f ca="1">IF(INDIRECT(CONCATENATE($FK$12,Fixtures!IW$25))="","",IF(INDIRECT(CONCATENATE($FK$12,Fixtures!IW$25))=Fixtures!$DN42,CONCATENATE(IW$10,", "),""))</f>
        <v/>
      </c>
      <c r="IX42" s="713" t="str">
        <f ca="1">IF(INDIRECT(CONCATENATE($FK$12,Fixtures!IX$25))="","",IF(INDIRECT(CONCATENATE($FK$12,Fixtures!IX$25))=Fixtures!$DN42,CONCATENATE(IX$10,", "),""))</f>
        <v/>
      </c>
      <c r="IY42" s="713" t="str">
        <f ca="1">IF(INDIRECT(CONCATENATE($FK$12,Fixtures!IY$25))="","",IF(INDIRECT(CONCATENATE($FK$12,Fixtures!IY$25))=Fixtures!$DN42,CONCATENATE(IY$10,", "),""))</f>
        <v/>
      </c>
      <c r="IZ42" s="713" t="str">
        <f ca="1">IF(INDIRECT(CONCATENATE($FK$12,Fixtures!IZ$25))="","",IF(INDIRECT(CONCATENATE($FK$12,Fixtures!IZ$25))=Fixtures!$DN42,CONCATENATE(IZ$10,", "),""))</f>
        <v/>
      </c>
      <c r="JA42" s="713" t="str">
        <f ca="1">IF(INDIRECT(CONCATENATE($FK$12,Fixtures!JA$25))="","",IF(INDIRECT(CONCATENATE($FK$12,Fixtures!JA$25))=Fixtures!$DN42,CONCATENATE(JA$10,", "),""))</f>
        <v/>
      </c>
      <c r="JB42" s="713" t="str">
        <f ca="1">IF(INDIRECT(CONCATENATE($FK$12,Fixtures!JB$25))="","",IF(INDIRECT(CONCATENATE($FK$12,Fixtures!JB$25))=Fixtures!$DN42,CONCATENATE(JB$10,", "),""))</f>
        <v/>
      </c>
      <c r="JC42" s="713" t="str">
        <f ca="1">IF(INDIRECT(CONCATENATE($FK$12,Fixtures!JC$25))="","",IF(INDIRECT(CONCATENATE($FK$12,Fixtures!JC$25))=Fixtures!$DN42,CONCATENATE(JC$10,", "),""))</f>
        <v/>
      </c>
      <c r="JD42" s="713" t="str">
        <f ca="1">IF(INDIRECT(CONCATENATE($FK$12,Fixtures!JD$25))="","",IF(INDIRECT(CONCATENATE($FK$12,Fixtures!JD$25))=Fixtures!$DN42,CONCATENATE(JD$10,", "),""))</f>
        <v/>
      </c>
      <c r="JE42" s="713" t="str">
        <f ca="1">IF(INDIRECT(CONCATENATE($FK$12,Fixtures!JE$25))="","",IF(INDIRECT(CONCATENATE($FK$12,Fixtures!JE$25))=Fixtures!$DN42,CONCATENATE(JE$10,", "),""))</f>
        <v/>
      </c>
      <c r="JF42" s="684" t="str">
        <f ca="1">IF(INDIRECT(CONCATENATE($FK$12,Fixtures!JF$25))="","",IF(INDIRECT(CONCATENATE($FK$12,Fixtures!JF$25))=Fixtures!$DN42,CONCATENATE(JF$10,", "),""))</f>
        <v/>
      </c>
      <c r="JG42" s="685" t="str">
        <f ca="1">IF(INDIRECT(CONCATENATE($FK$12,Fixtures!JG$25))="","",IF(INDIRECT(CONCATENATE($FK$12,Fixtures!JG$25))=Fixtures!$DN42,CONCATENATE(JG$10,", "),""))</f>
        <v/>
      </c>
      <c r="JH42" s="713" t="str">
        <f ca="1">IF(INDIRECT(CONCATENATE($FK$12,Fixtures!JH$25))="","",IF(INDIRECT(CONCATENATE($FK$12,Fixtures!JH$25))=Fixtures!$DN42,CONCATENATE(JH$10,", "),""))</f>
        <v/>
      </c>
      <c r="JI42" s="713" t="str">
        <f ca="1">IF(INDIRECT(CONCATENATE($FK$12,Fixtures!JI$25))="","",IF(INDIRECT(CONCATENATE($FK$12,Fixtures!JI$25))=Fixtures!$DN42,CONCATENATE(JI$10,", "),""))</f>
        <v/>
      </c>
      <c r="JJ42" s="713" t="str">
        <f ca="1">IF(INDIRECT(CONCATENATE($FK$12,Fixtures!JJ$25))="","",IF(INDIRECT(CONCATENATE($FK$12,Fixtures!JJ$25))=Fixtures!$DN42,CONCATENATE(JJ$10,", "),""))</f>
        <v/>
      </c>
      <c r="JK42" s="713" t="str">
        <f ca="1">IF(INDIRECT(CONCATENATE($FK$12,Fixtures!JK$25))="","",IF(INDIRECT(CONCATENATE($FK$12,Fixtures!JK$25))=Fixtures!$DN42,CONCATENATE(JK$10,", "),""))</f>
        <v/>
      </c>
      <c r="JL42" s="713" t="str">
        <f ca="1">IF(INDIRECT(CONCATENATE($FK$12,Fixtures!JL$25))="","",IF(INDIRECT(CONCATENATE($FK$12,Fixtures!JL$25))=Fixtures!$DN42,CONCATENATE(JL$10,", "),""))</f>
        <v/>
      </c>
      <c r="JM42" s="713" t="str">
        <f ca="1">IF(INDIRECT(CONCATENATE($FK$12,Fixtures!JM$25))="","",IF(INDIRECT(CONCATENATE($FK$12,Fixtures!JM$25))=Fixtures!$DN42,CONCATENATE(JM$10,", "),""))</f>
        <v/>
      </c>
      <c r="JN42" s="713" t="str">
        <f ca="1">IF(INDIRECT(CONCATENATE($FK$12,Fixtures!JN$25))="","",IF(INDIRECT(CONCATENATE($FK$12,Fixtures!JN$25))=Fixtures!$DN42,CONCATENATE(JN$10,", "),""))</f>
        <v/>
      </c>
      <c r="JO42" s="713" t="str">
        <f ca="1">IF(INDIRECT(CONCATENATE($FK$12,Fixtures!JO$25))="","",IF(INDIRECT(CONCATENATE($FK$12,Fixtures!JO$25))=Fixtures!$DN42,CONCATENATE(JO$10,", "),""))</f>
        <v/>
      </c>
      <c r="JP42" s="713" t="str">
        <f ca="1">IF(INDIRECT(CONCATENATE($FK$12,Fixtures!JP$25))="","",IF(INDIRECT(CONCATENATE($FK$12,Fixtures!JP$25))=Fixtures!$DN42,CONCATENATE(JP$10,", "),""))</f>
        <v/>
      </c>
      <c r="JQ42" s="713" t="str">
        <f ca="1">IF(INDIRECT(CONCATENATE($FK$12,Fixtures!JQ$25))="","",IF(INDIRECT(CONCATENATE($FK$12,Fixtures!JQ$25))=Fixtures!$DN42,CONCATENATE(JQ$10,", "),""))</f>
        <v/>
      </c>
      <c r="JR42" s="713" t="str">
        <f ca="1">IF(INDIRECT(CONCATENATE($FK$12,Fixtures!JR$25))="","",IF(INDIRECT(CONCATENATE($FK$12,Fixtures!JR$25))=Fixtures!$DN42,CONCATENATE(JR$10,", "),""))</f>
        <v/>
      </c>
      <c r="JS42" s="713" t="str">
        <f ca="1">IF(INDIRECT(CONCATENATE($FK$12,Fixtures!JS$25))="","",IF(INDIRECT(CONCATENATE($FK$12,Fixtures!JS$25))=Fixtures!$DN42,CONCATENATE(JS$10,", "),""))</f>
        <v/>
      </c>
      <c r="JT42" s="713" t="str">
        <f ca="1">IF(INDIRECT(CONCATENATE($FK$12,Fixtures!JT$25))="","",IF(INDIRECT(CONCATENATE($FK$12,Fixtures!JT$25))=Fixtures!$DN42,CONCATENATE(JT$10,", "),""))</f>
        <v/>
      </c>
      <c r="JU42" s="684" t="str">
        <f ca="1">IF(INDIRECT(CONCATENATE($FK$12,Fixtures!JU$25))="","",IF(INDIRECT(CONCATENATE($FK$12,Fixtures!JU$25))=Fixtures!$DN42,CONCATENATE(JU$10,", "),""))</f>
        <v/>
      </c>
      <c r="JV42" s="685" t="str">
        <f ca="1">IF(INDIRECT(CONCATENATE($FK$12,Fixtures!JV$25))="","",IF(INDIRECT(CONCATENATE($FK$12,Fixtures!JV$25))=Fixtures!$DN42,CONCATENATE(JV$10,", "),""))</f>
        <v/>
      </c>
      <c r="JW42" s="713" t="str">
        <f ca="1">IF(INDIRECT(CONCATENATE($FK$12,Fixtures!JW$25))="","",IF(INDIRECT(CONCATENATE($FK$12,Fixtures!JW$25))=Fixtures!$DN42,CONCATENATE(JW$10,", "),""))</f>
        <v/>
      </c>
      <c r="JX42" s="713" t="str">
        <f ca="1">IF(INDIRECT(CONCATENATE($FK$12,Fixtures!JX$25))="","",IF(INDIRECT(CONCATENATE($FK$12,Fixtures!JX$25))=Fixtures!$DN42,CONCATENATE(JX$10,", "),""))</f>
        <v/>
      </c>
      <c r="JY42" s="713" t="str">
        <f ca="1">IF(INDIRECT(CONCATENATE($FK$12,Fixtures!JY$25))="","",IF(INDIRECT(CONCATENATE($FK$12,Fixtures!JY$25))=Fixtures!$DN42,CONCATENATE(JY$10,", "),""))</f>
        <v/>
      </c>
      <c r="JZ42" s="713" t="str">
        <f ca="1">IF(INDIRECT(CONCATENATE($FK$12,Fixtures!JZ$25))="","",IF(INDIRECT(CONCATENATE($FK$12,Fixtures!JZ$25))=Fixtures!$DN42,CONCATENATE(JZ$10,", "),""))</f>
        <v/>
      </c>
      <c r="KA42" s="713" t="str">
        <f ca="1">IF(INDIRECT(CONCATENATE($FK$12,Fixtures!KA$25))="","",IF(INDIRECT(CONCATENATE($FK$12,Fixtures!KA$25))=Fixtures!$DN42,CONCATENATE(KA$10,", "),""))</f>
        <v/>
      </c>
      <c r="KB42" s="713" t="str">
        <f ca="1">IF(INDIRECT(CONCATENATE($FK$12,Fixtures!KB$25))="","",IF(INDIRECT(CONCATENATE($FK$12,Fixtures!KB$25))=Fixtures!$DN42,CONCATENATE(KB$10,", "),""))</f>
        <v/>
      </c>
      <c r="KC42" s="713" t="str">
        <f ca="1">IF(INDIRECT(CONCATENATE($FK$12,Fixtures!KC$25))="","",IF(INDIRECT(CONCATENATE($FK$12,Fixtures!KC$25))=Fixtures!$DN42,CONCATENATE(KC$10,", "),""))</f>
        <v/>
      </c>
      <c r="KD42" s="713" t="str">
        <f ca="1">IF(INDIRECT(CONCATENATE($FK$12,Fixtures!KD$25))="","",IF(INDIRECT(CONCATENATE($FK$12,Fixtures!KD$25))=Fixtures!$DN42,CONCATENATE(KD$10,", "),""))</f>
        <v/>
      </c>
      <c r="KE42" s="713" t="str">
        <f ca="1">IF(INDIRECT(CONCATENATE($FK$12,Fixtures!KE$25))="","",IF(INDIRECT(CONCATENATE($FK$12,Fixtures!KE$25))=Fixtures!$DN42,CONCATENATE(KE$10,", "),""))</f>
        <v/>
      </c>
      <c r="KF42" s="713" t="str">
        <f ca="1">IF(INDIRECT(CONCATENATE($FK$12,Fixtures!KF$25))="","",IF(INDIRECT(CONCATENATE($FK$12,Fixtures!KF$25))=Fixtures!$DN42,CONCATENATE(KF$10,", "),""))</f>
        <v/>
      </c>
      <c r="KG42" s="713" t="str">
        <f ca="1">IF(INDIRECT(CONCATENATE($FK$12,Fixtures!KG$25))="","",IF(INDIRECT(CONCATENATE($FK$12,Fixtures!KG$25))=Fixtures!$DN42,CONCATENATE(KG$10,", "),""))</f>
        <v/>
      </c>
      <c r="KH42" s="713" t="str">
        <f ca="1">IF(INDIRECT(CONCATENATE($FK$12,Fixtures!KH$25))="","",IF(INDIRECT(CONCATENATE($FK$12,Fixtures!KH$25))=Fixtures!$DN42,CONCATENATE(KH$10,", "),""))</f>
        <v/>
      </c>
      <c r="KI42" s="713" t="str">
        <f ca="1">IF(INDIRECT(CONCATENATE($FK$12,Fixtures!KI$25))="","",IF(INDIRECT(CONCATENATE($FK$12,Fixtures!KI$25))=Fixtures!$DN42,CONCATENATE(KI$10,", "),""))</f>
        <v/>
      </c>
      <c r="KJ42" s="684" t="str">
        <f ca="1">IF(INDIRECT(CONCATENATE($FK$12,Fixtures!KJ$25))="","",IF(INDIRECT(CONCATENATE($FK$12,Fixtures!KJ$25))=Fixtures!$DN42,CONCATENATE(KJ$10,", "),""))</f>
        <v/>
      </c>
      <c r="KK42" s="685" t="str">
        <f ca="1">IF(INDIRECT(CONCATENATE($FK$12,Fixtures!KK$25))="","",IF(INDIRECT(CONCATENATE($FK$12,Fixtures!KK$25))=Fixtures!$DN42,CONCATENATE(KK$10,", "),""))</f>
        <v/>
      </c>
      <c r="KL42" s="713" t="str">
        <f ca="1">IF(INDIRECT(CONCATENATE($FK$12,Fixtures!KL$25))="","",IF(INDIRECT(CONCATENATE($FK$12,Fixtures!KL$25))=Fixtures!$DN42,CONCATENATE(KL$10,", "),""))</f>
        <v/>
      </c>
      <c r="KM42" s="713" t="str">
        <f ca="1">IF(INDIRECT(CONCATENATE($FK$12,Fixtures!KM$25))="","",IF(INDIRECT(CONCATENATE($FK$12,Fixtures!KM$25))=Fixtures!$DN42,CONCATENATE(KM$10,", "),""))</f>
        <v/>
      </c>
      <c r="KN42" s="713" t="str">
        <f ca="1">IF(INDIRECT(CONCATENATE($FK$12,Fixtures!KN$25))="","",IF(INDIRECT(CONCATENATE($FK$12,Fixtures!KN$25))=Fixtures!$DN42,CONCATENATE(KN$10,", "),""))</f>
        <v/>
      </c>
      <c r="KO42" s="713" t="str">
        <f ca="1">IF(INDIRECT(CONCATENATE($FK$12,Fixtures!KO$25))="","",IF(INDIRECT(CONCATENATE($FK$12,Fixtures!KO$25))=Fixtures!$DN42,CONCATENATE(KO$10,", "),""))</f>
        <v/>
      </c>
      <c r="KP42" s="713" t="str">
        <f ca="1">IF(INDIRECT(CONCATENATE($FK$12,Fixtures!KP$25))="","",IF(INDIRECT(CONCATENATE($FK$12,Fixtures!KP$25))=Fixtures!$DN42,CONCATENATE(KP$10,", "),""))</f>
        <v/>
      </c>
      <c r="KQ42" s="713" t="str">
        <f ca="1">IF(INDIRECT(CONCATENATE($FK$12,Fixtures!KQ$25))="","",IF(INDIRECT(CONCATENATE($FK$12,Fixtures!KQ$25))=Fixtures!$DN42,CONCATENATE(KQ$10,", "),""))</f>
        <v/>
      </c>
      <c r="KR42" s="713" t="str">
        <f ca="1">IF(INDIRECT(CONCATENATE($FK$12,Fixtures!KR$25))="","",IF(INDIRECT(CONCATENATE($FK$12,Fixtures!KR$25))=Fixtures!$DN42,CONCATENATE(KR$10,", "),""))</f>
        <v/>
      </c>
      <c r="KS42" s="713" t="str">
        <f ca="1">IF(INDIRECT(CONCATENATE($FK$12,Fixtures!KS$25))="","",IF(INDIRECT(CONCATENATE($FK$12,Fixtures!KS$25))=Fixtures!$DN42,CONCATENATE(KS$10,", "),""))</f>
        <v/>
      </c>
      <c r="KT42" s="713" t="str">
        <f ca="1">IF(INDIRECT(CONCATENATE($FK$12,Fixtures!KT$25))="","",IF(INDIRECT(CONCATENATE($FK$12,Fixtures!KT$25))=Fixtures!$DN42,CONCATENATE(KT$10,", "),""))</f>
        <v/>
      </c>
      <c r="KU42" s="713" t="str">
        <f ca="1">IF(INDIRECT(CONCATENATE($FK$12,Fixtures!KU$25))="","",IF(INDIRECT(CONCATENATE($FK$12,Fixtures!KU$25))=Fixtures!$DN42,CONCATENATE(KU$10,", "),""))</f>
        <v/>
      </c>
      <c r="KV42" s="713" t="str">
        <f ca="1">IF(INDIRECT(CONCATENATE($FK$12,Fixtures!KV$25))="","",IF(INDIRECT(CONCATENATE($FK$12,Fixtures!KV$25))=Fixtures!$DN42,CONCATENATE(KV$10,", "),""))</f>
        <v/>
      </c>
      <c r="KW42" s="713" t="str">
        <f ca="1">IF(INDIRECT(CONCATENATE($FK$12,Fixtures!KW$25))="","",IF(INDIRECT(CONCATENATE($FK$12,Fixtures!KW$25))=Fixtures!$DN42,CONCATENATE(KW$10,", "),""))</f>
        <v/>
      </c>
      <c r="KX42" s="713" t="str">
        <f ca="1">IF(INDIRECT(CONCATENATE($FK$12,Fixtures!KX$25))="","",IF(INDIRECT(CONCATENATE($FK$12,Fixtures!KX$25))=Fixtures!$DN42,CONCATENATE(KX$10,", "),""))</f>
        <v/>
      </c>
      <c r="KY42" s="713" t="str">
        <f ca="1">IF(INDIRECT(CONCATENATE($FK$12,Fixtures!KY$25))="","",IF(INDIRECT(CONCATENATE($FK$12,Fixtures!KY$25))=Fixtures!$DN42,CONCATENATE(KY$10,", "),""))</f>
        <v/>
      </c>
      <c r="KZ42" s="46"/>
      <c r="LA42" s="46" t="str">
        <f t="shared" ca="1" si="8"/>
        <v/>
      </c>
    </row>
    <row r="43" spans="1:313" ht="28.05" customHeight="1" thickTop="1" thickBot="1">
      <c r="A43" s="471" t="str">
        <f t="shared" si="13"/>
        <v/>
      </c>
      <c r="C43" s="1328" t="str">
        <f t="shared" si="14"/>
        <v/>
      </c>
      <c r="D43" s="1329"/>
      <c r="E43" s="1256" t="str">
        <f t="shared" si="15"/>
        <v/>
      </c>
      <c r="F43" s="1257"/>
      <c r="G43" s="1257"/>
      <c r="H43" s="1257"/>
      <c r="I43" s="1257"/>
      <c r="J43" s="1257"/>
      <c r="K43" s="1257"/>
      <c r="L43" s="1257"/>
      <c r="M43" s="1330"/>
      <c r="N43" s="239" t="str">
        <f t="shared" si="16"/>
        <v/>
      </c>
      <c r="O43" s="12"/>
      <c r="P43" s="1326" t="str">
        <f t="shared" si="25"/>
        <v/>
      </c>
      <c r="Q43" s="1327"/>
      <c r="R43" s="1256" t="str">
        <f t="shared" si="31"/>
        <v/>
      </c>
      <c r="S43" s="1257"/>
      <c r="T43" s="1257"/>
      <c r="U43" s="1257"/>
      <c r="V43" s="1257"/>
      <c r="W43" s="1257"/>
      <c r="X43" s="1257"/>
      <c r="Y43" s="239" t="str">
        <f t="shared" si="27"/>
        <v/>
      </c>
      <c r="Z43" s="239" t="str">
        <f t="shared" si="28"/>
        <v/>
      </c>
      <c r="AA43" s="439" t="str">
        <f t="shared" si="29"/>
        <v/>
      </c>
      <c r="AB43" s="542"/>
      <c r="AC43" s="1253" t="str">
        <f t="shared" si="17"/>
        <v/>
      </c>
      <c r="AD43" s="1166"/>
      <c r="AE43" s="1166"/>
      <c r="AF43" s="1166"/>
      <c r="AG43" s="1166"/>
      <c r="AH43" s="1166"/>
      <c r="AK43">
        <f>SUMIFS(Installations!CS$39:CS$800,Installations!CT$39:CT$800,E43,Installations!HX$39:HX$800,TRUE)</f>
        <v>0</v>
      </c>
      <c r="AL43">
        <f>SUMIFS(Installations!CS$39:CS$800,Installations!CT$39:CT$800,R43,Installations!HX$39:HX$800,TRUE)</f>
        <v>0</v>
      </c>
      <c r="BL43" s="9"/>
      <c r="BM43" s="703" t="str">
        <f t="shared" si="18"/>
        <v/>
      </c>
      <c r="BN43" s="52"/>
      <c r="BO43" s="52"/>
      <c r="BP43" s="52"/>
      <c r="BQ43" s="52"/>
      <c r="BR43" s="52"/>
      <c r="BS43" s="52"/>
      <c r="BT43" s="52"/>
      <c r="BU43" s="414"/>
      <c r="BV43" s="255" t="str">
        <f>IF(CN43&lt;&gt;"Yes","",IFERROR(VLOOKUP(CU43,Existing!A$4:F$364,2,FALSE),""))</f>
        <v/>
      </c>
      <c r="BW43" s="9">
        <v>17</v>
      </c>
      <c r="BX43" s="1313"/>
      <c r="BY43" s="1314"/>
      <c r="BZ43" s="1314"/>
      <c r="CA43" s="1315"/>
      <c r="CB43" s="1310"/>
      <c r="CC43" s="1311"/>
      <c r="CD43" s="1311"/>
      <c r="CE43" s="1312"/>
      <c r="CF43" s="1309"/>
      <c r="CG43" s="1309"/>
      <c r="CH43" s="1309"/>
      <c r="CI43" s="1309"/>
      <c r="CJ43" s="1309"/>
      <c r="CK43" s="1309"/>
      <c r="CL43" s="1309"/>
      <c r="CM43" s="1309"/>
      <c r="CN43" s="1243" t="str">
        <f t="shared" si="0"/>
        <v/>
      </c>
      <c r="CO43" s="1244"/>
      <c r="CP43" s="265" t="str">
        <f>IFERROR(IF(CB43="Existing TLED",CR43*CW43*CY43,VLOOKUP(CU43,Existing!A$3:F$353,6,FALSE)),"")</f>
        <v/>
      </c>
      <c r="CQ43" s="9"/>
      <c r="CR43" s="1343"/>
      <c r="CS43" s="1344"/>
      <c r="CT43" s="9"/>
      <c r="CU43" s="470" t="str">
        <f t="shared" si="21"/>
        <v/>
      </c>
      <c r="CV43" s="471" t="b">
        <f t="shared" si="22"/>
        <v>0</v>
      </c>
      <c r="CW43" s="471" t="str">
        <f t="shared" si="23"/>
        <v/>
      </c>
      <c r="CX43" s="471">
        <f>IFERROR(VLOOKUP(CF43,Lookup!M$100:O$102,3,FALSE),0)</f>
        <v>0</v>
      </c>
      <c r="CY43" s="471">
        <f t="shared" si="9"/>
        <v>1.1100000000000001</v>
      </c>
      <c r="CZ43" s="707" t="b">
        <f t="shared" si="1"/>
        <v>0</v>
      </c>
      <c r="DA43" s="707" t="b">
        <f>IF(CF43&lt;&gt;"",IF(ISERROR(MATCH(CONCATENATE(CB43," - ",CF43),Existing!G$4:G$328,0))=TRUE,FALSE,TRUE),TRUE)</f>
        <v>1</v>
      </c>
      <c r="DB43" s="707" t="b">
        <f t="shared" si="2"/>
        <v>1</v>
      </c>
      <c r="DL43" s="9"/>
      <c r="DM43" s="708" t="s">
        <v>166</v>
      </c>
      <c r="DN43" s="416" t="str">
        <f t="shared" si="3"/>
        <v/>
      </c>
      <c r="DO43" s="52"/>
      <c r="DP43" s="52"/>
      <c r="DQ43" s="52"/>
      <c r="DR43" s="52"/>
      <c r="DS43" s="52"/>
      <c r="DT43" s="262"/>
      <c r="DU43" s="417"/>
      <c r="DV43" s="263" t="str">
        <f t="shared" si="4"/>
        <v/>
      </c>
      <c r="DW43" s="260">
        <v>17</v>
      </c>
      <c r="DX43" s="1306"/>
      <c r="DY43" s="1307"/>
      <c r="DZ43" s="1307"/>
      <c r="EA43" s="1308"/>
      <c r="EB43" s="1306"/>
      <c r="EC43" s="1307"/>
      <c r="ED43" s="1307"/>
      <c r="EE43" s="1308"/>
      <c r="EF43" s="1266"/>
      <c r="EG43" s="1267"/>
      <c r="EH43" s="1306"/>
      <c r="EI43" s="1307"/>
      <c r="EJ43" s="1307"/>
      <c r="EK43" s="1308"/>
      <c r="EL43" s="1263"/>
      <c r="EM43" s="1264"/>
      <c r="EN43" s="1264"/>
      <c r="EO43" s="1265"/>
      <c r="EP43" s="1266"/>
      <c r="EQ43" s="1267"/>
      <c r="ER43" s="1245"/>
      <c r="ES43" s="1246"/>
      <c r="ET43" s="1243" t="str">
        <f t="shared" si="5"/>
        <v/>
      </c>
      <c r="EU43" s="1244"/>
      <c r="EV43" s="1243" t="str">
        <f t="shared" si="30"/>
        <v/>
      </c>
      <c r="EW43" s="1244"/>
      <c r="EX43" s="438"/>
      <c r="EY43" s="261" t="str">
        <f t="shared" si="7"/>
        <v/>
      </c>
      <c r="EZ43" s="261" t="str">
        <f>IFERROR(VLOOKUP(EB43,Lookup!AM$3:AN$13,2,FALSE),"")</f>
        <v/>
      </c>
      <c r="FA43" s="471" t="b">
        <f>IFERROR(IF(VLOOKUP(EB43,Lookup!AM$6:AN$8,2,FALSE)&gt;3,TRUE,FALSE),FALSE)</f>
        <v>0</v>
      </c>
      <c r="FB43" s="471">
        <f t="shared" si="11"/>
        <v>1</v>
      </c>
      <c r="FC43" t="str">
        <f t="shared" ca="1" si="10"/>
        <v/>
      </c>
      <c r="FG43" t="str">
        <f t="shared" ca="1" si="12"/>
        <v/>
      </c>
      <c r="FI43" s="240" t="str">
        <f t="shared" ca="1" si="24"/>
        <v/>
      </c>
      <c r="FJ43" s="240"/>
      <c r="FK43" s="712" t="str">
        <f ca="1">IF(INDIRECT(CONCATENATE($FK$12,Fixtures!FK$25))="","",IF(INDIRECT(CONCATENATE($FK$12,Fixtures!FK$25))=Fixtures!$DN43,CONCATENATE(FK$10,", "),""))</f>
        <v/>
      </c>
      <c r="FL43" s="712" t="str">
        <f ca="1">IF(INDIRECT(CONCATENATE($FK$12,Fixtures!FL$25))="","",IF(INDIRECT(CONCATENATE($FK$12,Fixtures!FL$25))=Fixtures!$DN43,CONCATENATE(FL$10,", "),""))</f>
        <v/>
      </c>
      <c r="FM43" s="712" t="str">
        <f ca="1">IF(INDIRECT(CONCATENATE($FK$12,Fixtures!FM$25))="","",IF(INDIRECT(CONCATENATE($FK$12,Fixtures!FM$25))=Fixtures!$DN43,CONCATENATE(FM$10,", "),""))</f>
        <v/>
      </c>
      <c r="FN43" s="712" t="str">
        <f ca="1">IF(INDIRECT(CONCATENATE($FK$12,Fixtures!FN$25))="","",IF(INDIRECT(CONCATENATE($FK$12,Fixtures!FN$25))=Fixtures!$DN43,CONCATENATE(FN$10,", "),""))</f>
        <v/>
      </c>
      <c r="FO43" s="712" t="str">
        <f ca="1">IF(INDIRECT(CONCATENATE($FK$12,Fixtures!FO$25))="","",IF(INDIRECT(CONCATENATE($FK$12,Fixtures!FO$25))=Fixtures!$DN43,CONCATENATE(FO$10,", "),""))</f>
        <v/>
      </c>
      <c r="FP43" s="712" t="str">
        <f ca="1">IF(INDIRECT(CONCATENATE($FK$12,Fixtures!FP$25))="","",IF(INDIRECT(CONCATENATE($FK$12,Fixtures!FP$25))=Fixtures!$DN43,CONCATENATE(FP$10,", "),""))</f>
        <v/>
      </c>
      <c r="FQ43" s="712" t="str">
        <f ca="1">IF(INDIRECT(CONCATENATE($FK$12,Fixtures!FQ$25))="","",IF(INDIRECT(CONCATENATE($FK$12,Fixtures!FQ$25))=Fixtures!$DN43,CONCATENATE(FQ$10,", "),""))</f>
        <v/>
      </c>
      <c r="FR43" s="712" t="str">
        <f ca="1">IF(INDIRECT(CONCATENATE($FK$12,Fixtures!FR$25))="","",IF(INDIRECT(CONCATENATE($FK$12,Fixtures!FR$25))=Fixtures!$DN43,CONCATENATE(FR$10,", "),""))</f>
        <v/>
      </c>
      <c r="FS43" s="712" t="str">
        <f ca="1">IF(INDIRECT(CONCATENATE($FK$12,Fixtures!FS$25))="","",IF(INDIRECT(CONCATENATE($FK$12,Fixtures!FS$25))=Fixtures!$DN43,CONCATENATE(FS$10,", "),""))</f>
        <v/>
      </c>
      <c r="FT43" s="682" t="str">
        <f ca="1">IF(INDIRECT(CONCATENATE($FK$12,Fixtures!FT$25))="","",IF(INDIRECT(CONCATENATE($FK$12,Fixtures!FT$25))=Fixtures!$DN43,CONCATENATE(FT$10,", "),""))</f>
        <v/>
      </c>
      <c r="FU43" s="683" t="str">
        <f ca="1">IF(INDIRECT(CONCATENATE($FK$12,Fixtures!FU$25))="","",IF(INDIRECT(CONCATENATE($FK$12,Fixtures!FU$25))=Fixtures!$DN43,CONCATENATE(FU$10,", "),""))</f>
        <v/>
      </c>
      <c r="FV43" s="712" t="str">
        <f ca="1">IF(INDIRECT(CONCATENATE($FK$12,Fixtures!FV$25))="","",IF(INDIRECT(CONCATENATE($FK$12,Fixtures!FV$25))=Fixtures!$DN43,CONCATENATE(FV$10,", "),""))</f>
        <v/>
      </c>
      <c r="FW43" s="713" t="str">
        <f ca="1">IF(INDIRECT(CONCATENATE($FK$12,Fixtures!FW$25))="","",IF(INDIRECT(CONCATENATE($FK$12,Fixtures!FW$25))=Fixtures!$DN43,CONCATENATE(FW$10,", "),""))</f>
        <v/>
      </c>
      <c r="FX43" s="713" t="str">
        <f ca="1">IF(INDIRECT(CONCATENATE($FK$12,Fixtures!FX$25))="","",IF(INDIRECT(CONCATENATE($FK$12,Fixtures!FX$25))=Fixtures!$DN43,CONCATENATE(FX$10,", "),""))</f>
        <v/>
      </c>
      <c r="FY43" s="713" t="str">
        <f ca="1">IF(INDIRECT(CONCATENATE($FK$12,Fixtures!FY$25))="","",IF(INDIRECT(CONCATENATE($FK$12,Fixtures!FY$25))=Fixtures!$DN43,CONCATENATE(FY$10,", "),""))</f>
        <v/>
      </c>
      <c r="FZ43" s="713" t="str">
        <f ca="1">IF(INDIRECT(CONCATENATE($FK$12,Fixtures!FZ$25))="","",IF(INDIRECT(CONCATENATE($FK$12,Fixtures!FZ$25))=Fixtures!$DN43,CONCATENATE(FZ$10,", "),""))</f>
        <v/>
      </c>
      <c r="GA43" s="713" t="str">
        <f ca="1">IF(INDIRECT(CONCATENATE($FK$12,Fixtures!GA$25))="","",IF(INDIRECT(CONCATENATE($FK$12,Fixtures!GA$25))=Fixtures!$DN43,CONCATENATE(GA$10,", "),""))</f>
        <v/>
      </c>
      <c r="GB43" s="713" t="str">
        <f ca="1">IF(INDIRECT(CONCATENATE($FK$12,Fixtures!GB$25))="","",IF(INDIRECT(CONCATENATE($FK$12,Fixtures!GB$25))=Fixtures!$DN43,CONCATENATE(GB$10,", "),""))</f>
        <v/>
      </c>
      <c r="GC43" s="713" t="str">
        <f ca="1">IF(INDIRECT(CONCATENATE($FK$12,Fixtures!GC$25))="","",IF(INDIRECT(CONCATENATE($FK$12,Fixtures!GC$25))=Fixtures!$DN43,CONCATENATE(GC$10,", "),""))</f>
        <v/>
      </c>
      <c r="GD43" s="713" t="str">
        <f ca="1">IF(INDIRECT(CONCATENATE($FK$12,Fixtures!GD$25))="","",IF(INDIRECT(CONCATENATE($FK$12,Fixtures!GD$25))=Fixtures!$DN43,CONCATENATE(GD$10,", "),""))</f>
        <v/>
      </c>
      <c r="GE43" s="713" t="str">
        <f ca="1">IF(INDIRECT(CONCATENATE($FK$12,Fixtures!GE$25))="","",IF(INDIRECT(CONCATENATE($FK$12,Fixtures!GE$25))=Fixtures!$DN43,CONCATENATE(GE$10,", "),""))</f>
        <v/>
      </c>
      <c r="GF43" s="713" t="str">
        <f ca="1">IF(INDIRECT(CONCATENATE($FK$12,Fixtures!GF$25))="","",IF(INDIRECT(CONCATENATE($FK$12,Fixtures!GF$25))=Fixtures!$DN43,CONCATENATE(GF$10,", "),""))</f>
        <v/>
      </c>
      <c r="GG43" s="713" t="str">
        <f ca="1">IF(INDIRECT(CONCATENATE($FK$12,Fixtures!GG$25))="","",IF(INDIRECT(CONCATENATE($FK$12,Fixtures!GG$25))=Fixtures!$DN43,CONCATENATE(GG$10,", "),""))</f>
        <v/>
      </c>
      <c r="GH43" s="713" t="str">
        <f ca="1">IF(INDIRECT(CONCATENATE($FK$12,Fixtures!GH$25))="","",IF(INDIRECT(CONCATENATE($FK$12,Fixtures!GH$25))=Fixtures!$DN43,CONCATENATE(GH$10,", "),""))</f>
        <v/>
      </c>
      <c r="GI43" s="684" t="str">
        <f ca="1">IF(INDIRECT(CONCATENATE($FK$12,Fixtures!GI$25))="","",IF(INDIRECT(CONCATENATE($FK$12,Fixtures!GI$25))=Fixtures!$DN43,CONCATENATE(GI$10,", "),""))</f>
        <v/>
      </c>
      <c r="GJ43" s="685" t="str">
        <f ca="1">IF(INDIRECT(CONCATENATE($FK$12,Fixtures!GJ$25))="","",IF(INDIRECT(CONCATENATE($FK$12,Fixtures!GJ$25))=Fixtures!$DN43,CONCATENATE(GJ$10,", "),""))</f>
        <v/>
      </c>
      <c r="GK43" s="713" t="str">
        <f ca="1">IF(INDIRECT(CONCATENATE($FK$12,Fixtures!GK$25))="","",IF(INDIRECT(CONCATENATE($FK$12,Fixtures!GK$25))=Fixtures!$DN43,CONCATENATE(GK$10,", "),""))</f>
        <v/>
      </c>
      <c r="GL43" s="713" t="str">
        <f ca="1">IF(INDIRECT(CONCATENATE($FK$12,Fixtures!GL$25))="","",IF(INDIRECT(CONCATENATE($FK$12,Fixtures!GL$25))=Fixtures!$DN43,CONCATENATE(GL$10,", "),""))</f>
        <v/>
      </c>
      <c r="GM43" s="713" t="str">
        <f ca="1">IF(INDIRECT(CONCATENATE($FK$12,Fixtures!GM$25))="","",IF(INDIRECT(CONCATENATE($FK$12,Fixtures!GM$25))=Fixtures!$DN43,CONCATENATE(GM$10,", "),""))</f>
        <v/>
      </c>
      <c r="GN43" s="713" t="str">
        <f ca="1">IF(INDIRECT(CONCATENATE($FK$12,Fixtures!GN$25))="","",IF(INDIRECT(CONCATENATE($FK$12,Fixtures!GN$25))=Fixtures!$DN43,CONCATENATE(GN$10,", "),""))</f>
        <v/>
      </c>
      <c r="GO43" s="713" t="str">
        <f ca="1">IF(INDIRECT(CONCATENATE($FK$12,Fixtures!GO$25))="","",IF(INDIRECT(CONCATENATE($FK$12,Fixtures!GO$25))=Fixtures!$DN43,CONCATENATE(GO$10,", "),""))</f>
        <v/>
      </c>
      <c r="GP43" s="713" t="str">
        <f ca="1">IF(INDIRECT(CONCATENATE($FK$12,Fixtures!GP$25))="","",IF(INDIRECT(CONCATENATE($FK$12,Fixtures!GP$25))=Fixtures!$DN43,CONCATENATE(GP$10,", "),""))</f>
        <v/>
      </c>
      <c r="GQ43" s="713" t="str">
        <f ca="1">IF(INDIRECT(CONCATENATE($FK$12,Fixtures!GQ$25))="","",IF(INDIRECT(CONCATENATE($FK$12,Fixtures!GQ$25))=Fixtures!$DN43,CONCATENATE(GQ$10,", "),""))</f>
        <v/>
      </c>
      <c r="GR43" s="713" t="str">
        <f ca="1">IF(INDIRECT(CONCATENATE($FK$12,Fixtures!GR$25))="","",IF(INDIRECT(CONCATENATE($FK$12,Fixtures!GR$25))=Fixtures!$DN43,CONCATENATE(GR$10,", "),""))</f>
        <v/>
      </c>
      <c r="GS43" s="713" t="str">
        <f ca="1">IF(INDIRECT(CONCATENATE($FK$12,Fixtures!GS$25))="","",IF(INDIRECT(CONCATENATE($FK$12,Fixtures!GS$25))=Fixtures!$DN43,CONCATENATE(GS$10,", "),""))</f>
        <v/>
      </c>
      <c r="GT43" s="713" t="str">
        <f ca="1">IF(INDIRECT(CONCATENATE($FK$12,Fixtures!GT$25))="","",IF(INDIRECT(CONCATENATE($FK$12,Fixtures!GT$25))=Fixtures!$DN43,CONCATENATE(GT$10,", "),""))</f>
        <v/>
      </c>
      <c r="GU43" s="713" t="str">
        <f ca="1">IF(INDIRECT(CONCATENATE($FK$12,Fixtures!GU$25))="","",IF(INDIRECT(CONCATENATE($FK$12,Fixtures!GU$25))=Fixtures!$DN43,CONCATENATE(GU$10,", "),""))</f>
        <v/>
      </c>
      <c r="GV43" s="713" t="str">
        <f ca="1">IF(INDIRECT(CONCATENATE($FK$12,Fixtures!GV$25))="","",IF(INDIRECT(CONCATENATE($FK$12,Fixtures!GV$25))=Fixtures!$DN43,CONCATENATE(GV$10,", "),""))</f>
        <v/>
      </c>
      <c r="GW43" s="713" t="str">
        <f ca="1">IF(INDIRECT(CONCATENATE($FK$12,Fixtures!GW$25))="","",IF(INDIRECT(CONCATENATE($FK$12,Fixtures!GW$25))=Fixtures!$DN43,CONCATENATE(GW$10,", "),""))</f>
        <v/>
      </c>
      <c r="GX43" s="684" t="str">
        <f ca="1">IF(INDIRECT(CONCATENATE($FK$12,Fixtures!GX$25))="","",IF(INDIRECT(CONCATENATE($FK$12,Fixtures!GX$25))=Fixtures!$DN43,CONCATENATE(GX$10,", "),""))</f>
        <v/>
      </c>
      <c r="GY43" s="685" t="str">
        <f ca="1">IF(INDIRECT(CONCATENATE($FK$12,Fixtures!GY$25))="","",IF(INDIRECT(CONCATENATE($FK$12,Fixtures!GY$25))=Fixtures!$DN43,CONCATENATE(GY$10,", "),""))</f>
        <v/>
      </c>
      <c r="GZ43" s="713" t="str">
        <f ca="1">IF(INDIRECT(CONCATENATE($FK$12,Fixtures!GZ$25))="","",IF(INDIRECT(CONCATENATE($FK$12,Fixtures!GZ$25))=Fixtures!$DN43,CONCATENATE(GZ$10,", "),""))</f>
        <v/>
      </c>
      <c r="HA43" s="713" t="str">
        <f ca="1">IF(INDIRECT(CONCATENATE($FK$12,Fixtures!HA$25))="","",IF(INDIRECT(CONCATENATE($FK$12,Fixtures!HA$25))=Fixtures!$DN43,CONCATENATE(HA$10,", "),""))</f>
        <v/>
      </c>
      <c r="HB43" s="713" t="str">
        <f ca="1">IF(INDIRECT(CONCATENATE($FK$12,Fixtures!HB$25))="","",IF(INDIRECT(CONCATENATE($FK$12,Fixtures!HB$25))=Fixtures!$DN43,CONCATENATE(HB$10,", "),""))</f>
        <v/>
      </c>
      <c r="HC43" s="713" t="str">
        <f ca="1">IF(INDIRECT(CONCATENATE($FK$12,Fixtures!HC$25))="","",IF(INDIRECT(CONCATENATE($FK$12,Fixtures!HC$25))=Fixtures!$DN43,CONCATENATE(HC$10,", "),""))</f>
        <v/>
      </c>
      <c r="HD43" s="713" t="str">
        <f ca="1">IF(INDIRECT(CONCATENATE($FK$12,Fixtures!HD$25))="","",IF(INDIRECT(CONCATENATE($FK$12,Fixtures!HD$25))=Fixtures!$DN43,CONCATENATE(HD$10,", "),""))</f>
        <v/>
      </c>
      <c r="HE43" s="713" t="str">
        <f ca="1">IF(INDIRECT(CONCATENATE($FK$12,Fixtures!HE$25))="","",IF(INDIRECT(CONCATENATE($FK$12,Fixtures!HE$25))=Fixtures!$DN43,CONCATENATE(HE$10,", "),""))</f>
        <v/>
      </c>
      <c r="HF43" s="713" t="str">
        <f ca="1">IF(INDIRECT(CONCATENATE($FK$12,Fixtures!HF$25))="","",IF(INDIRECT(CONCATENATE($FK$12,Fixtures!HF$25))=Fixtures!$DN43,CONCATENATE(HF$10,", "),""))</f>
        <v/>
      </c>
      <c r="HG43" s="713" t="str">
        <f ca="1">IF(INDIRECT(CONCATENATE($FK$12,Fixtures!HG$25))="","",IF(INDIRECT(CONCATENATE($FK$12,Fixtures!HG$25))=Fixtures!$DN43,CONCATENATE(HG$10,", "),""))</f>
        <v/>
      </c>
      <c r="HH43" s="713" t="str">
        <f ca="1">IF(INDIRECT(CONCATENATE($FK$12,Fixtures!HH$25))="","",IF(INDIRECT(CONCATENATE($FK$12,Fixtures!HH$25))=Fixtures!$DN43,CONCATENATE(HH$10,", "),""))</f>
        <v/>
      </c>
      <c r="HI43" s="713" t="str">
        <f ca="1">IF(INDIRECT(CONCATENATE($FK$12,Fixtures!HI$25))="","",IF(INDIRECT(CONCATENATE($FK$12,Fixtures!HI$25))=Fixtures!$DN43,CONCATENATE(HI$10,", "),""))</f>
        <v/>
      </c>
      <c r="HJ43" s="713" t="str">
        <f ca="1">IF(INDIRECT(CONCATENATE($FK$12,Fixtures!HJ$25))="","",IF(INDIRECT(CONCATENATE($FK$12,Fixtures!HJ$25))=Fixtures!$DN43,CONCATENATE(HJ$10,", "),""))</f>
        <v/>
      </c>
      <c r="HK43" s="713" t="str">
        <f ca="1">IF(INDIRECT(CONCATENATE($FK$12,Fixtures!HK$25))="","",IF(INDIRECT(CONCATENATE($FK$12,Fixtures!HK$25))=Fixtures!$DN43,CONCATENATE(HK$10,", "),""))</f>
        <v/>
      </c>
      <c r="HL43" s="713" t="str">
        <f ca="1">IF(INDIRECT(CONCATENATE($FK$12,Fixtures!HL$25))="","",IF(INDIRECT(CONCATENATE($FK$12,Fixtures!HL$25))=Fixtures!$DN43,CONCATENATE(HL$10,", "),""))</f>
        <v/>
      </c>
      <c r="HM43" s="684" t="str">
        <f ca="1">IF(INDIRECT(CONCATENATE($FK$12,Fixtures!HM$25))="","",IF(INDIRECT(CONCATENATE($FK$12,Fixtures!HM$25))=Fixtures!$DN43,CONCATENATE(HM$10,", "),""))</f>
        <v/>
      </c>
      <c r="HN43" s="685" t="str">
        <f ca="1">IF(INDIRECT(CONCATENATE($FK$12,Fixtures!HN$25))="","",IF(INDIRECT(CONCATENATE($FK$12,Fixtures!HN$25))=Fixtures!$DN43,CONCATENATE(HN$10,", "),""))</f>
        <v/>
      </c>
      <c r="HO43" s="713" t="str">
        <f ca="1">IF(INDIRECT(CONCATENATE($FK$12,Fixtures!HO$25))="","",IF(INDIRECT(CONCATENATE($FK$12,Fixtures!HO$25))=Fixtures!$DN43,CONCATENATE(HO$10,", "),""))</f>
        <v/>
      </c>
      <c r="HP43" s="713" t="str">
        <f ca="1">IF(INDIRECT(CONCATENATE($FK$12,Fixtures!HP$25))="","",IF(INDIRECT(CONCATENATE($FK$12,Fixtures!HP$25))=Fixtures!$DN43,CONCATENATE(HP$10,", "),""))</f>
        <v/>
      </c>
      <c r="HQ43" s="713" t="str">
        <f ca="1">IF(INDIRECT(CONCATENATE($FK$12,Fixtures!HQ$25))="","",IF(INDIRECT(CONCATENATE($FK$12,Fixtures!HQ$25))=Fixtures!$DN43,CONCATENATE(HQ$10,", "),""))</f>
        <v/>
      </c>
      <c r="HR43" s="713" t="str">
        <f ca="1">IF(INDIRECT(CONCATENATE($FK$12,Fixtures!HR$25))="","",IF(INDIRECT(CONCATENATE($FK$12,Fixtures!HR$25))=Fixtures!$DN43,CONCATENATE(HR$10,", "),""))</f>
        <v/>
      </c>
      <c r="HS43" s="713" t="str">
        <f ca="1">IF(INDIRECT(CONCATENATE($FK$12,Fixtures!HS$25))="","",IF(INDIRECT(CONCATENATE($FK$12,Fixtures!HS$25))=Fixtures!$DN43,CONCATENATE(HS$10,", "),""))</f>
        <v/>
      </c>
      <c r="HT43" s="713" t="str">
        <f ca="1">IF(INDIRECT(CONCATENATE($FK$12,Fixtures!HT$25))="","",IF(INDIRECT(CONCATENATE($FK$12,Fixtures!HT$25))=Fixtures!$DN43,CONCATENATE(HT$10,", "),""))</f>
        <v/>
      </c>
      <c r="HU43" s="713" t="str">
        <f ca="1">IF(INDIRECT(CONCATENATE($FK$12,Fixtures!HU$25))="","",IF(INDIRECT(CONCATENATE($FK$12,Fixtures!HU$25))=Fixtures!$DN43,CONCATENATE(HU$10,", "),""))</f>
        <v/>
      </c>
      <c r="HV43" s="713" t="str">
        <f ca="1">IF(INDIRECT(CONCATENATE($FK$12,Fixtures!HV$25))="","",IF(INDIRECT(CONCATENATE($FK$12,Fixtures!HV$25))=Fixtures!$DN43,CONCATENATE(HV$10,", "),""))</f>
        <v/>
      </c>
      <c r="HW43" s="713" t="str">
        <f ca="1">IF(INDIRECT(CONCATENATE($FK$12,Fixtures!HW$25))="","",IF(INDIRECT(CONCATENATE($FK$12,Fixtures!HW$25))=Fixtures!$DN43,CONCATENATE(HW$10,", "),""))</f>
        <v/>
      </c>
      <c r="HX43" s="713" t="str">
        <f ca="1">IF(INDIRECT(CONCATENATE($FK$12,Fixtures!HX$25))="","",IF(INDIRECT(CONCATENATE($FK$12,Fixtures!HX$25))=Fixtures!$DN43,CONCATENATE(HX$10,", "),""))</f>
        <v/>
      </c>
      <c r="HY43" s="713" t="str">
        <f ca="1">IF(INDIRECT(CONCATENATE($FK$12,Fixtures!HY$25))="","",IF(INDIRECT(CONCATENATE($FK$12,Fixtures!HY$25))=Fixtures!$DN43,CONCATENATE(HY$10,", "),""))</f>
        <v/>
      </c>
      <c r="HZ43" s="713" t="str">
        <f ca="1">IF(INDIRECT(CONCATENATE($FK$12,Fixtures!HZ$25))="","",IF(INDIRECT(CONCATENATE($FK$12,Fixtures!HZ$25))=Fixtures!$DN43,CONCATENATE(HZ$10,", "),""))</f>
        <v/>
      </c>
      <c r="IA43" s="713" t="str">
        <f ca="1">IF(INDIRECT(CONCATENATE($FK$12,Fixtures!IA$25))="","",IF(INDIRECT(CONCATENATE($FK$12,Fixtures!IA$25))=Fixtures!$DN43,CONCATENATE(IA$10,", "),""))</f>
        <v/>
      </c>
      <c r="IB43" s="684" t="str">
        <f ca="1">IF(INDIRECT(CONCATENATE($FK$12,Fixtures!IB$25))="","",IF(INDIRECT(CONCATENATE($FK$12,Fixtures!IB$25))=Fixtures!$DN43,CONCATENATE(IB$10,", "),""))</f>
        <v/>
      </c>
      <c r="IC43" s="685" t="str">
        <f ca="1">IF(INDIRECT(CONCATENATE($FK$12,Fixtures!IC$25))="","",IF(INDIRECT(CONCATENATE($FK$12,Fixtures!IC$25))=Fixtures!$DN43,CONCATENATE(IC$10,", "),""))</f>
        <v/>
      </c>
      <c r="ID43" s="713" t="str">
        <f ca="1">IF(INDIRECT(CONCATENATE($FK$12,Fixtures!ID$25))="","",IF(INDIRECT(CONCATENATE($FK$12,Fixtures!ID$25))=Fixtures!$DN43,CONCATENATE(ID$10,", "),""))</f>
        <v/>
      </c>
      <c r="IE43" s="713" t="str">
        <f ca="1">IF(INDIRECT(CONCATENATE($FK$12,Fixtures!IE$25))="","",IF(INDIRECT(CONCATENATE($FK$12,Fixtures!IE$25))=Fixtures!$DN43,CONCATENATE(IE$10,", "),""))</f>
        <v/>
      </c>
      <c r="IF43" s="713" t="str">
        <f ca="1">IF(INDIRECT(CONCATENATE($FK$12,Fixtures!IF$25))="","",IF(INDIRECT(CONCATENATE($FK$12,Fixtures!IF$25))=Fixtures!$DN43,CONCATENATE(IF$10,", "),""))</f>
        <v/>
      </c>
      <c r="IG43" s="713" t="str">
        <f ca="1">IF(INDIRECT(CONCATENATE($FK$12,Fixtures!IG$25))="","",IF(INDIRECT(CONCATENATE($FK$12,Fixtures!IG$25))=Fixtures!$DN43,CONCATENATE(IG$10,", "),""))</f>
        <v/>
      </c>
      <c r="IH43" s="713" t="str">
        <f ca="1">IF(INDIRECT(CONCATENATE($FK$12,Fixtures!IH$25))="","",IF(INDIRECT(CONCATENATE($FK$12,Fixtures!IH$25))=Fixtures!$DN43,CONCATENATE(IH$10,", "),""))</f>
        <v/>
      </c>
      <c r="II43" s="713" t="str">
        <f ca="1">IF(INDIRECT(CONCATENATE($FK$12,Fixtures!II$25))="","",IF(INDIRECT(CONCATENATE($FK$12,Fixtures!II$25))=Fixtures!$DN43,CONCATENATE(II$10,", "),""))</f>
        <v/>
      </c>
      <c r="IJ43" s="713" t="str">
        <f ca="1">IF(INDIRECT(CONCATENATE($FK$12,Fixtures!IJ$25))="","",IF(INDIRECT(CONCATENATE($FK$12,Fixtures!IJ$25))=Fixtures!$DN43,CONCATENATE(IJ$10,", "),""))</f>
        <v/>
      </c>
      <c r="IK43" s="713" t="str">
        <f ca="1">IF(INDIRECT(CONCATENATE($FK$12,Fixtures!IK$25))="","",IF(INDIRECT(CONCATENATE($FK$12,Fixtures!IK$25))=Fixtures!$DN43,CONCATENATE(IK$10,", "),""))</f>
        <v/>
      </c>
      <c r="IL43" s="713" t="str">
        <f ca="1">IF(INDIRECT(CONCATENATE($FK$12,Fixtures!IL$25))="","",IF(INDIRECT(CONCATENATE($FK$12,Fixtures!IL$25))=Fixtures!$DN43,CONCATENATE(IL$10,", "),""))</f>
        <v/>
      </c>
      <c r="IM43" s="713" t="str">
        <f ca="1">IF(INDIRECT(CONCATENATE($FK$12,Fixtures!IM$25))="","",IF(INDIRECT(CONCATENATE($FK$12,Fixtures!IM$25))=Fixtures!$DN43,CONCATENATE(IM$10,", "),""))</f>
        <v/>
      </c>
      <c r="IN43" s="713" t="str">
        <f ca="1">IF(INDIRECT(CONCATENATE($FK$12,Fixtures!IN$25))="","",IF(INDIRECT(CONCATENATE($FK$12,Fixtures!IN$25))=Fixtures!$DN43,CONCATENATE(IN$10,", "),""))</f>
        <v/>
      </c>
      <c r="IO43" s="713" t="str">
        <f ca="1">IF(INDIRECT(CONCATENATE($FK$12,Fixtures!IO$25))="","",IF(INDIRECT(CONCATENATE($FK$12,Fixtures!IO$25))=Fixtures!$DN43,CONCATENATE(IO$10,", "),""))</f>
        <v/>
      </c>
      <c r="IP43" s="713" t="str">
        <f ca="1">IF(INDIRECT(CONCATENATE($FK$12,Fixtures!IP$25))="","",IF(INDIRECT(CONCATENATE($FK$12,Fixtures!IP$25))=Fixtures!$DN43,CONCATENATE(IP$10,", "),""))</f>
        <v/>
      </c>
      <c r="IQ43" s="684" t="str">
        <f ca="1">IF(INDIRECT(CONCATENATE($FK$12,Fixtures!IQ$25))="","",IF(INDIRECT(CONCATENATE($FK$12,Fixtures!IQ$25))=Fixtures!$DN43,CONCATENATE(IQ$10,", "),""))</f>
        <v/>
      </c>
      <c r="IR43" s="685" t="str">
        <f ca="1">IF(INDIRECT(CONCATENATE($FK$12,Fixtures!IR$25))="","",IF(INDIRECT(CONCATENATE($FK$12,Fixtures!IR$25))=Fixtures!$DN43,CONCATENATE(IR$10,", "),""))</f>
        <v/>
      </c>
      <c r="IS43" s="713" t="str">
        <f ca="1">IF(INDIRECT(CONCATENATE($FK$12,Fixtures!IS$25))="","",IF(INDIRECT(CONCATENATE($FK$12,Fixtures!IS$25))=Fixtures!$DN43,CONCATENATE(IS$10,", "),""))</f>
        <v/>
      </c>
      <c r="IT43" s="713" t="str">
        <f ca="1">IF(INDIRECT(CONCATENATE($FK$12,Fixtures!IT$25))="","",IF(INDIRECT(CONCATENATE($FK$12,Fixtures!IT$25))=Fixtures!$DN43,CONCATENATE(IT$10,", "),""))</f>
        <v/>
      </c>
      <c r="IU43" s="713" t="str">
        <f ca="1">IF(INDIRECT(CONCATENATE($FK$12,Fixtures!IU$25))="","",IF(INDIRECT(CONCATENATE($FK$12,Fixtures!IU$25))=Fixtures!$DN43,CONCATENATE(IU$10,", "),""))</f>
        <v/>
      </c>
      <c r="IV43" s="713" t="str">
        <f ca="1">IF(INDIRECT(CONCATENATE($FK$12,Fixtures!IV$25))="","",IF(INDIRECT(CONCATENATE($FK$12,Fixtures!IV$25))=Fixtures!$DN43,CONCATENATE(IV$10,", "),""))</f>
        <v/>
      </c>
      <c r="IW43" s="713" t="str">
        <f ca="1">IF(INDIRECT(CONCATENATE($FK$12,Fixtures!IW$25))="","",IF(INDIRECT(CONCATENATE($FK$12,Fixtures!IW$25))=Fixtures!$DN43,CONCATENATE(IW$10,", "),""))</f>
        <v/>
      </c>
      <c r="IX43" s="713" t="str">
        <f ca="1">IF(INDIRECT(CONCATENATE($FK$12,Fixtures!IX$25))="","",IF(INDIRECT(CONCATENATE($FK$12,Fixtures!IX$25))=Fixtures!$DN43,CONCATENATE(IX$10,", "),""))</f>
        <v/>
      </c>
      <c r="IY43" s="713" t="str">
        <f ca="1">IF(INDIRECT(CONCATENATE($FK$12,Fixtures!IY$25))="","",IF(INDIRECT(CONCATENATE($FK$12,Fixtures!IY$25))=Fixtures!$DN43,CONCATENATE(IY$10,", "),""))</f>
        <v/>
      </c>
      <c r="IZ43" s="713" t="str">
        <f ca="1">IF(INDIRECT(CONCATENATE($FK$12,Fixtures!IZ$25))="","",IF(INDIRECT(CONCATENATE($FK$12,Fixtures!IZ$25))=Fixtures!$DN43,CONCATENATE(IZ$10,", "),""))</f>
        <v/>
      </c>
      <c r="JA43" s="713" t="str">
        <f ca="1">IF(INDIRECT(CONCATENATE($FK$12,Fixtures!JA$25))="","",IF(INDIRECT(CONCATENATE($FK$12,Fixtures!JA$25))=Fixtures!$DN43,CONCATENATE(JA$10,", "),""))</f>
        <v/>
      </c>
      <c r="JB43" s="713" t="str">
        <f ca="1">IF(INDIRECT(CONCATENATE($FK$12,Fixtures!JB$25))="","",IF(INDIRECT(CONCATENATE($FK$12,Fixtures!JB$25))=Fixtures!$DN43,CONCATENATE(JB$10,", "),""))</f>
        <v/>
      </c>
      <c r="JC43" s="713" t="str">
        <f ca="1">IF(INDIRECT(CONCATENATE($FK$12,Fixtures!JC$25))="","",IF(INDIRECT(CONCATENATE($FK$12,Fixtures!JC$25))=Fixtures!$DN43,CONCATENATE(JC$10,", "),""))</f>
        <v/>
      </c>
      <c r="JD43" s="713" t="str">
        <f ca="1">IF(INDIRECT(CONCATENATE($FK$12,Fixtures!JD$25))="","",IF(INDIRECT(CONCATENATE($FK$12,Fixtures!JD$25))=Fixtures!$DN43,CONCATENATE(JD$10,", "),""))</f>
        <v/>
      </c>
      <c r="JE43" s="713" t="str">
        <f ca="1">IF(INDIRECT(CONCATENATE($FK$12,Fixtures!JE$25))="","",IF(INDIRECT(CONCATENATE($FK$12,Fixtures!JE$25))=Fixtures!$DN43,CONCATENATE(JE$10,", "),""))</f>
        <v/>
      </c>
      <c r="JF43" s="684" t="str">
        <f ca="1">IF(INDIRECT(CONCATENATE($FK$12,Fixtures!JF$25))="","",IF(INDIRECT(CONCATENATE($FK$12,Fixtures!JF$25))=Fixtures!$DN43,CONCATENATE(JF$10,", "),""))</f>
        <v/>
      </c>
      <c r="JG43" s="685" t="str">
        <f ca="1">IF(INDIRECT(CONCATENATE($FK$12,Fixtures!JG$25))="","",IF(INDIRECT(CONCATENATE($FK$12,Fixtures!JG$25))=Fixtures!$DN43,CONCATENATE(JG$10,", "),""))</f>
        <v/>
      </c>
      <c r="JH43" s="713" t="str">
        <f ca="1">IF(INDIRECT(CONCATENATE($FK$12,Fixtures!JH$25))="","",IF(INDIRECT(CONCATENATE($FK$12,Fixtures!JH$25))=Fixtures!$DN43,CONCATENATE(JH$10,", "),""))</f>
        <v/>
      </c>
      <c r="JI43" s="713" t="str">
        <f ca="1">IF(INDIRECT(CONCATENATE($FK$12,Fixtures!JI$25))="","",IF(INDIRECT(CONCATENATE($FK$12,Fixtures!JI$25))=Fixtures!$DN43,CONCATENATE(JI$10,", "),""))</f>
        <v/>
      </c>
      <c r="JJ43" s="713" t="str">
        <f ca="1">IF(INDIRECT(CONCATENATE($FK$12,Fixtures!JJ$25))="","",IF(INDIRECT(CONCATENATE($FK$12,Fixtures!JJ$25))=Fixtures!$DN43,CONCATENATE(JJ$10,", "),""))</f>
        <v/>
      </c>
      <c r="JK43" s="713" t="str">
        <f ca="1">IF(INDIRECT(CONCATENATE($FK$12,Fixtures!JK$25))="","",IF(INDIRECT(CONCATENATE($FK$12,Fixtures!JK$25))=Fixtures!$DN43,CONCATENATE(JK$10,", "),""))</f>
        <v/>
      </c>
      <c r="JL43" s="713" t="str">
        <f ca="1">IF(INDIRECT(CONCATENATE($FK$12,Fixtures!JL$25))="","",IF(INDIRECT(CONCATENATE($FK$12,Fixtures!JL$25))=Fixtures!$DN43,CONCATENATE(JL$10,", "),""))</f>
        <v/>
      </c>
      <c r="JM43" s="713" t="str">
        <f ca="1">IF(INDIRECT(CONCATENATE($FK$12,Fixtures!JM$25))="","",IF(INDIRECT(CONCATENATE($FK$12,Fixtures!JM$25))=Fixtures!$DN43,CONCATENATE(JM$10,", "),""))</f>
        <v/>
      </c>
      <c r="JN43" s="713" t="str">
        <f ca="1">IF(INDIRECT(CONCATENATE($FK$12,Fixtures!JN$25))="","",IF(INDIRECT(CONCATENATE($FK$12,Fixtures!JN$25))=Fixtures!$DN43,CONCATENATE(JN$10,", "),""))</f>
        <v/>
      </c>
      <c r="JO43" s="713" t="str">
        <f ca="1">IF(INDIRECT(CONCATENATE($FK$12,Fixtures!JO$25))="","",IF(INDIRECT(CONCATENATE($FK$12,Fixtures!JO$25))=Fixtures!$DN43,CONCATENATE(JO$10,", "),""))</f>
        <v/>
      </c>
      <c r="JP43" s="713" t="str">
        <f ca="1">IF(INDIRECT(CONCATENATE($FK$12,Fixtures!JP$25))="","",IF(INDIRECT(CONCATENATE($FK$12,Fixtures!JP$25))=Fixtures!$DN43,CONCATENATE(JP$10,", "),""))</f>
        <v/>
      </c>
      <c r="JQ43" s="713" t="str">
        <f ca="1">IF(INDIRECT(CONCATENATE($FK$12,Fixtures!JQ$25))="","",IF(INDIRECT(CONCATENATE($FK$12,Fixtures!JQ$25))=Fixtures!$DN43,CONCATENATE(JQ$10,", "),""))</f>
        <v/>
      </c>
      <c r="JR43" s="713" t="str">
        <f ca="1">IF(INDIRECT(CONCATENATE($FK$12,Fixtures!JR$25))="","",IF(INDIRECT(CONCATENATE($FK$12,Fixtures!JR$25))=Fixtures!$DN43,CONCATENATE(JR$10,", "),""))</f>
        <v/>
      </c>
      <c r="JS43" s="713" t="str">
        <f ca="1">IF(INDIRECT(CONCATENATE($FK$12,Fixtures!JS$25))="","",IF(INDIRECT(CONCATENATE($FK$12,Fixtures!JS$25))=Fixtures!$DN43,CONCATENATE(JS$10,", "),""))</f>
        <v/>
      </c>
      <c r="JT43" s="713" t="str">
        <f ca="1">IF(INDIRECT(CONCATENATE($FK$12,Fixtures!JT$25))="","",IF(INDIRECT(CONCATENATE($FK$12,Fixtures!JT$25))=Fixtures!$DN43,CONCATENATE(JT$10,", "),""))</f>
        <v/>
      </c>
      <c r="JU43" s="684" t="str">
        <f ca="1">IF(INDIRECT(CONCATENATE($FK$12,Fixtures!JU$25))="","",IF(INDIRECT(CONCATENATE($FK$12,Fixtures!JU$25))=Fixtures!$DN43,CONCATENATE(JU$10,", "),""))</f>
        <v/>
      </c>
      <c r="JV43" s="685" t="str">
        <f ca="1">IF(INDIRECT(CONCATENATE($FK$12,Fixtures!JV$25))="","",IF(INDIRECT(CONCATENATE($FK$12,Fixtures!JV$25))=Fixtures!$DN43,CONCATENATE(JV$10,", "),""))</f>
        <v/>
      </c>
      <c r="JW43" s="713" t="str">
        <f ca="1">IF(INDIRECT(CONCATENATE($FK$12,Fixtures!JW$25))="","",IF(INDIRECT(CONCATENATE($FK$12,Fixtures!JW$25))=Fixtures!$DN43,CONCATENATE(JW$10,", "),""))</f>
        <v/>
      </c>
      <c r="JX43" s="713" t="str">
        <f ca="1">IF(INDIRECT(CONCATENATE($FK$12,Fixtures!JX$25))="","",IF(INDIRECT(CONCATENATE($FK$12,Fixtures!JX$25))=Fixtures!$DN43,CONCATENATE(JX$10,", "),""))</f>
        <v/>
      </c>
      <c r="JY43" s="713" t="str">
        <f ca="1">IF(INDIRECT(CONCATENATE($FK$12,Fixtures!JY$25))="","",IF(INDIRECT(CONCATENATE($FK$12,Fixtures!JY$25))=Fixtures!$DN43,CONCATENATE(JY$10,", "),""))</f>
        <v/>
      </c>
      <c r="JZ43" s="713" t="str">
        <f ca="1">IF(INDIRECT(CONCATENATE($FK$12,Fixtures!JZ$25))="","",IF(INDIRECT(CONCATENATE($FK$12,Fixtures!JZ$25))=Fixtures!$DN43,CONCATENATE(JZ$10,", "),""))</f>
        <v/>
      </c>
      <c r="KA43" s="713" t="str">
        <f ca="1">IF(INDIRECT(CONCATENATE($FK$12,Fixtures!KA$25))="","",IF(INDIRECT(CONCATENATE($FK$12,Fixtures!KA$25))=Fixtures!$DN43,CONCATENATE(KA$10,", "),""))</f>
        <v/>
      </c>
      <c r="KB43" s="713" t="str">
        <f ca="1">IF(INDIRECT(CONCATENATE($FK$12,Fixtures!KB$25))="","",IF(INDIRECT(CONCATENATE($FK$12,Fixtures!KB$25))=Fixtures!$DN43,CONCATENATE(KB$10,", "),""))</f>
        <v/>
      </c>
      <c r="KC43" s="713" t="str">
        <f ca="1">IF(INDIRECT(CONCATENATE($FK$12,Fixtures!KC$25))="","",IF(INDIRECT(CONCATENATE($FK$12,Fixtures!KC$25))=Fixtures!$DN43,CONCATENATE(KC$10,", "),""))</f>
        <v/>
      </c>
      <c r="KD43" s="713" t="str">
        <f ca="1">IF(INDIRECT(CONCATENATE($FK$12,Fixtures!KD$25))="","",IF(INDIRECT(CONCATENATE($FK$12,Fixtures!KD$25))=Fixtures!$DN43,CONCATENATE(KD$10,", "),""))</f>
        <v/>
      </c>
      <c r="KE43" s="713" t="str">
        <f ca="1">IF(INDIRECT(CONCATENATE($FK$12,Fixtures!KE$25))="","",IF(INDIRECT(CONCATENATE($FK$12,Fixtures!KE$25))=Fixtures!$DN43,CONCATENATE(KE$10,", "),""))</f>
        <v/>
      </c>
      <c r="KF43" s="713" t="str">
        <f ca="1">IF(INDIRECT(CONCATENATE($FK$12,Fixtures!KF$25))="","",IF(INDIRECT(CONCATENATE($FK$12,Fixtures!KF$25))=Fixtures!$DN43,CONCATENATE(KF$10,", "),""))</f>
        <v/>
      </c>
      <c r="KG43" s="713" t="str">
        <f ca="1">IF(INDIRECT(CONCATENATE($FK$12,Fixtures!KG$25))="","",IF(INDIRECT(CONCATENATE($FK$12,Fixtures!KG$25))=Fixtures!$DN43,CONCATENATE(KG$10,", "),""))</f>
        <v/>
      </c>
      <c r="KH43" s="713" t="str">
        <f ca="1">IF(INDIRECT(CONCATENATE($FK$12,Fixtures!KH$25))="","",IF(INDIRECT(CONCATENATE($FK$12,Fixtures!KH$25))=Fixtures!$DN43,CONCATENATE(KH$10,", "),""))</f>
        <v/>
      </c>
      <c r="KI43" s="713" t="str">
        <f ca="1">IF(INDIRECT(CONCATENATE($FK$12,Fixtures!KI$25))="","",IF(INDIRECT(CONCATENATE($FK$12,Fixtures!KI$25))=Fixtures!$DN43,CONCATENATE(KI$10,", "),""))</f>
        <v/>
      </c>
      <c r="KJ43" s="684" t="str">
        <f ca="1">IF(INDIRECT(CONCATENATE($FK$12,Fixtures!KJ$25))="","",IF(INDIRECT(CONCATENATE($FK$12,Fixtures!KJ$25))=Fixtures!$DN43,CONCATENATE(KJ$10,", "),""))</f>
        <v/>
      </c>
      <c r="KK43" s="685" t="str">
        <f ca="1">IF(INDIRECT(CONCATENATE($FK$12,Fixtures!KK$25))="","",IF(INDIRECT(CONCATENATE($FK$12,Fixtures!KK$25))=Fixtures!$DN43,CONCATENATE(KK$10,", "),""))</f>
        <v/>
      </c>
      <c r="KL43" s="713" t="str">
        <f ca="1">IF(INDIRECT(CONCATENATE($FK$12,Fixtures!KL$25))="","",IF(INDIRECT(CONCATENATE($FK$12,Fixtures!KL$25))=Fixtures!$DN43,CONCATENATE(KL$10,", "),""))</f>
        <v/>
      </c>
      <c r="KM43" s="713" t="str">
        <f ca="1">IF(INDIRECT(CONCATENATE($FK$12,Fixtures!KM$25))="","",IF(INDIRECT(CONCATENATE($FK$12,Fixtures!KM$25))=Fixtures!$DN43,CONCATENATE(KM$10,", "),""))</f>
        <v/>
      </c>
      <c r="KN43" s="713" t="str">
        <f ca="1">IF(INDIRECT(CONCATENATE($FK$12,Fixtures!KN$25))="","",IF(INDIRECT(CONCATENATE($FK$12,Fixtures!KN$25))=Fixtures!$DN43,CONCATENATE(KN$10,", "),""))</f>
        <v/>
      </c>
      <c r="KO43" s="713" t="str">
        <f ca="1">IF(INDIRECT(CONCATENATE($FK$12,Fixtures!KO$25))="","",IF(INDIRECT(CONCATENATE($FK$12,Fixtures!KO$25))=Fixtures!$DN43,CONCATENATE(KO$10,", "),""))</f>
        <v/>
      </c>
      <c r="KP43" s="713" t="str">
        <f ca="1">IF(INDIRECT(CONCATENATE($FK$12,Fixtures!KP$25))="","",IF(INDIRECT(CONCATENATE($FK$12,Fixtures!KP$25))=Fixtures!$DN43,CONCATENATE(KP$10,", "),""))</f>
        <v/>
      </c>
      <c r="KQ43" s="713" t="str">
        <f ca="1">IF(INDIRECT(CONCATENATE($FK$12,Fixtures!KQ$25))="","",IF(INDIRECT(CONCATENATE($FK$12,Fixtures!KQ$25))=Fixtures!$DN43,CONCATENATE(KQ$10,", "),""))</f>
        <v/>
      </c>
      <c r="KR43" s="713" t="str">
        <f ca="1">IF(INDIRECT(CONCATENATE($FK$12,Fixtures!KR$25))="","",IF(INDIRECT(CONCATENATE($FK$12,Fixtures!KR$25))=Fixtures!$DN43,CONCATENATE(KR$10,", "),""))</f>
        <v/>
      </c>
      <c r="KS43" s="713" t="str">
        <f ca="1">IF(INDIRECT(CONCATENATE($FK$12,Fixtures!KS$25))="","",IF(INDIRECT(CONCATENATE($FK$12,Fixtures!KS$25))=Fixtures!$DN43,CONCATENATE(KS$10,", "),""))</f>
        <v/>
      </c>
      <c r="KT43" s="713" t="str">
        <f ca="1">IF(INDIRECT(CONCATENATE($FK$12,Fixtures!KT$25))="","",IF(INDIRECT(CONCATENATE($FK$12,Fixtures!KT$25))=Fixtures!$DN43,CONCATENATE(KT$10,", "),""))</f>
        <v/>
      </c>
      <c r="KU43" s="713" t="str">
        <f ca="1">IF(INDIRECT(CONCATENATE($FK$12,Fixtures!KU$25))="","",IF(INDIRECT(CONCATENATE($FK$12,Fixtures!KU$25))=Fixtures!$DN43,CONCATENATE(KU$10,", "),""))</f>
        <v/>
      </c>
      <c r="KV43" s="713" t="str">
        <f ca="1">IF(INDIRECT(CONCATENATE($FK$12,Fixtures!KV$25))="","",IF(INDIRECT(CONCATENATE($FK$12,Fixtures!KV$25))=Fixtures!$DN43,CONCATENATE(KV$10,", "),""))</f>
        <v/>
      </c>
      <c r="KW43" s="713" t="str">
        <f ca="1">IF(INDIRECT(CONCATENATE($FK$12,Fixtures!KW$25))="","",IF(INDIRECT(CONCATENATE($FK$12,Fixtures!KW$25))=Fixtures!$DN43,CONCATENATE(KW$10,", "),""))</f>
        <v/>
      </c>
      <c r="KX43" s="713" t="str">
        <f ca="1">IF(INDIRECT(CONCATENATE($FK$12,Fixtures!KX$25))="","",IF(INDIRECT(CONCATENATE($FK$12,Fixtures!KX$25))=Fixtures!$DN43,CONCATENATE(KX$10,", "),""))</f>
        <v/>
      </c>
      <c r="KY43" s="713" t="str">
        <f ca="1">IF(INDIRECT(CONCATENATE($FK$12,Fixtures!KY$25))="","",IF(INDIRECT(CONCATENATE($FK$12,Fixtures!KY$25))=Fixtures!$DN43,CONCATENATE(KY$10,", "),""))</f>
        <v/>
      </c>
      <c r="KZ43" s="46"/>
      <c r="LA43" s="46" t="str">
        <f t="shared" ca="1" si="8"/>
        <v/>
      </c>
    </row>
    <row r="44" spans="1:313" ht="28.05" customHeight="1" thickTop="1" thickBot="1">
      <c r="A44" s="471" t="str">
        <f t="shared" si="13"/>
        <v/>
      </c>
      <c r="C44" s="1328" t="str">
        <f t="shared" si="14"/>
        <v/>
      </c>
      <c r="D44" s="1329"/>
      <c r="E44" s="1256" t="str">
        <f t="shared" si="15"/>
        <v/>
      </c>
      <c r="F44" s="1257"/>
      <c r="G44" s="1257"/>
      <c r="H44" s="1257"/>
      <c r="I44" s="1257"/>
      <c r="J44" s="1257"/>
      <c r="K44" s="1257"/>
      <c r="L44" s="1257"/>
      <c r="M44" s="1330"/>
      <c r="N44" s="239" t="str">
        <f t="shared" si="16"/>
        <v/>
      </c>
      <c r="O44" s="12"/>
      <c r="P44" s="1326" t="str">
        <f t="shared" si="25"/>
        <v/>
      </c>
      <c r="Q44" s="1327"/>
      <c r="R44" s="1256" t="str">
        <f t="shared" si="31"/>
        <v/>
      </c>
      <c r="S44" s="1257"/>
      <c r="T44" s="1257"/>
      <c r="U44" s="1257"/>
      <c r="V44" s="1257"/>
      <c r="W44" s="1257"/>
      <c r="X44" s="1257"/>
      <c r="Y44" s="239" t="str">
        <f t="shared" si="27"/>
        <v/>
      </c>
      <c r="Z44" s="239" t="str">
        <f t="shared" si="28"/>
        <v/>
      </c>
      <c r="AA44" s="439" t="str">
        <f t="shared" si="29"/>
        <v/>
      </c>
      <c r="AB44" s="542"/>
      <c r="AC44" s="1253" t="str">
        <f t="shared" si="17"/>
        <v/>
      </c>
      <c r="AD44" s="1166"/>
      <c r="AE44" s="1166"/>
      <c r="AF44" s="1166"/>
      <c r="AG44" s="1166"/>
      <c r="AH44" s="1166"/>
      <c r="AK44">
        <f>SUMIFS(Installations!CS$39:CS$800,Installations!CT$39:CT$800,E44,Installations!HX$39:HX$800,TRUE)</f>
        <v>0</v>
      </c>
      <c r="AL44">
        <f>SUMIFS(Installations!CS$39:CS$800,Installations!CT$39:CT$800,R44,Installations!HX$39:HX$800,TRUE)</f>
        <v>0</v>
      </c>
      <c r="BL44" s="9"/>
      <c r="BM44" s="703" t="str">
        <f t="shared" si="18"/>
        <v/>
      </c>
      <c r="BN44" s="52"/>
      <c r="BO44" s="52"/>
      <c r="BP44" s="52"/>
      <c r="BQ44" s="52"/>
      <c r="BR44" s="52"/>
      <c r="BS44" s="52"/>
      <c r="BT44" s="52"/>
      <c r="BU44" s="414"/>
      <c r="BV44" s="255" t="str">
        <f>IF(CN44&lt;&gt;"Yes","",IFERROR(VLOOKUP(CU44,Existing!A$4:F$364,2,FALSE),""))</f>
        <v/>
      </c>
      <c r="BW44" s="9">
        <v>18</v>
      </c>
      <c r="BX44" s="1313"/>
      <c r="BY44" s="1314"/>
      <c r="BZ44" s="1314"/>
      <c r="CA44" s="1315"/>
      <c r="CB44" s="1310"/>
      <c r="CC44" s="1311"/>
      <c r="CD44" s="1311"/>
      <c r="CE44" s="1312"/>
      <c r="CF44" s="1309"/>
      <c r="CG44" s="1309"/>
      <c r="CH44" s="1309"/>
      <c r="CI44" s="1309"/>
      <c r="CJ44" s="1309"/>
      <c r="CK44" s="1309"/>
      <c r="CL44" s="1309"/>
      <c r="CM44" s="1309"/>
      <c r="CN44" s="1243" t="str">
        <f t="shared" si="0"/>
        <v/>
      </c>
      <c r="CO44" s="1244"/>
      <c r="CP44" s="265" t="str">
        <f>IFERROR(IF(CB44="Existing TLED",CR44*CW44*CY44,VLOOKUP(CU44,Existing!A$3:F$353,6,FALSE)),"")</f>
        <v/>
      </c>
      <c r="CQ44" s="9"/>
      <c r="CR44" s="1343"/>
      <c r="CS44" s="1344"/>
      <c r="CT44" s="9"/>
      <c r="CU44" s="470" t="str">
        <f t="shared" si="21"/>
        <v/>
      </c>
      <c r="CV44" s="471" t="b">
        <f t="shared" si="22"/>
        <v>0</v>
      </c>
      <c r="CW44" s="471" t="str">
        <f t="shared" si="23"/>
        <v/>
      </c>
      <c r="CX44" s="471">
        <f>IFERROR(VLOOKUP(CF44,Lookup!M$100:O$102,3,FALSE),0)</f>
        <v>0</v>
      </c>
      <c r="CY44" s="471">
        <f t="shared" si="9"/>
        <v>1.1100000000000001</v>
      </c>
      <c r="CZ44" s="707" t="b">
        <f t="shared" si="1"/>
        <v>0</v>
      </c>
      <c r="DA44" s="707" t="b">
        <f>IF(CF44&lt;&gt;"",IF(ISERROR(MATCH(CONCATENATE(CB44," - ",CF44),Existing!G$4:G$328,0))=TRUE,FALSE,TRUE),TRUE)</f>
        <v>1</v>
      </c>
      <c r="DB44" s="707" t="b">
        <f t="shared" si="2"/>
        <v>1</v>
      </c>
      <c r="DL44" s="9"/>
      <c r="DM44" s="708" t="s">
        <v>166</v>
      </c>
      <c r="DN44" s="416" t="str">
        <f t="shared" si="3"/>
        <v/>
      </c>
      <c r="DO44" s="52"/>
      <c r="DP44" s="52"/>
      <c r="DQ44" s="52"/>
      <c r="DR44" s="52"/>
      <c r="DS44" s="52"/>
      <c r="DT44" s="262"/>
      <c r="DU44" s="417"/>
      <c r="DV44" s="263" t="str">
        <f t="shared" si="4"/>
        <v/>
      </c>
      <c r="DW44" s="260">
        <v>18</v>
      </c>
      <c r="DX44" s="1306"/>
      <c r="DY44" s="1307"/>
      <c r="DZ44" s="1307"/>
      <c r="EA44" s="1308"/>
      <c r="EB44" s="1306"/>
      <c r="EC44" s="1307"/>
      <c r="ED44" s="1307"/>
      <c r="EE44" s="1308"/>
      <c r="EF44" s="1266"/>
      <c r="EG44" s="1267"/>
      <c r="EH44" s="1306"/>
      <c r="EI44" s="1307"/>
      <c r="EJ44" s="1307"/>
      <c r="EK44" s="1308"/>
      <c r="EL44" s="1263"/>
      <c r="EM44" s="1264"/>
      <c r="EN44" s="1264"/>
      <c r="EO44" s="1265"/>
      <c r="EP44" s="1266"/>
      <c r="EQ44" s="1267"/>
      <c r="ER44" s="1245"/>
      <c r="ES44" s="1246"/>
      <c r="ET44" s="1243" t="str">
        <f t="shared" si="5"/>
        <v/>
      </c>
      <c r="EU44" s="1244"/>
      <c r="EV44" s="1243" t="str">
        <f t="shared" si="30"/>
        <v/>
      </c>
      <c r="EW44" s="1244"/>
      <c r="EX44" s="438"/>
      <c r="EY44" s="261" t="str">
        <f t="shared" si="7"/>
        <v/>
      </c>
      <c r="EZ44" s="261" t="str">
        <f>IFERROR(VLOOKUP(EB44,Lookup!AM$3:AN$13,2,FALSE),"")</f>
        <v/>
      </c>
      <c r="FA44" s="471" t="b">
        <f>IFERROR(IF(VLOOKUP(EB44,Lookup!AM$6:AN$8,2,FALSE)&gt;3,TRUE,FALSE),FALSE)</f>
        <v>0</v>
      </c>
      <c r="FB44" s="471">
        <f t="shared" si="11"/>
        <v>1</v>
      </c>
      <c r="FC44" t="str">
        <f t="shared" ca="1" si="10"/>
        <v/>
      </c>
      <c r="FG44" t="str">
        <f t="shared" ca="1" si="12"/>
        <v/>
      </c>
      <c r="FI44" s="240" t="str">
        <f t="shared" ca="1" si="24"/>
        <v/>
      </c>
      <c r="FJ44" s="240"/>
      <c r="FK44" s="712" t="str">
        <f ca="1">IF(INDIRECT(CONCATENATE($FK$12,Fixtures!FK$25))="","",IF(INDIRECT(CONCATENATE($FK$12,Fixtures!FK$25))=Fixtures!$DN44,CONCATENATE(FK$10,", "),""))</f>
        <v/>
      </c>
      <c r="FL44" s="712" t="str">
        <f ca="1">IF(INDIRECT(CONCATENATE($FK$12,Fixtures!FL$25))="","",IF(INDIRECT(CONCATENATE($FK$12,Fixtures!FL$25))=Fixtures!$DN44,CONCATENATE(FL$10,", "),""))</f>
        <v/>
      </c>
      <c r="FM44" s="712" t="str">
        <f ca="1">IF(INDIRECT(CONCATENATE($FK$12,Fixtures!FM$25))="","",IF(INDIRECT(CONCATENATE($FK$12,Fixtures!FM$25))=Fixtures!$DN44,CONCATENATE(FM$10,", "),""))</f>
        <v/>
      </c>
      <c r="FN44" s="712" t="str">
        <f ca="1">IF(INDIRECT(CONCATENATE($FK$12,Fixtures!FN$25))="","",IF(INDIRECT(CONCATENATE($FK$12,Fixtures!FN$25))=Fixtures!$DN44,CONCATENATE(FN$10,", "),""))</f>
        <v/>
      </c>
      <c r="FO44" s="712" t="str">
        <f ca="1">IF(INDIRECT(CONCATENATE($FK$12,Fixtures!FO$25))="","",IF(INDIRECT(CONCATENATE($FK$12,Fixtures!FO$25))=Fixtures!$DN44,CONCATENATE(FO$10,", "),""))</f>
        <v/>
      </c>
      <c r="FP44" s="712" t="str">
        <f ca="1">IF(INDIRECT(CONCATENATE($FK$12,Fixtures!FP$25))="","",IF(INDIRECT(CONCATENATE($FK$12,Fixtures!FP$25))=Fixtures!$DN44,CONCATENATE(FP$10,", "),""))</f>
        <v/>
      </c>
      <c r="FQ44" s="712" t="str">
        <f ca="1">IF(INDIRECT(CONCATENATE($FK$12,Fixtures!FQ$25))="","",IF(INDIRECT(CONCATENATE($FK$12,Fixtures!FQ$25))=Fixtures!$DN44,CONCATENATE(FQ$10,", "),""))</f>
        <v/>
      </c>
      <c r="FR44" s="712" t="str">
        <f ca="1">IF(INDIRECT(CONCATENATE($FK$12,Fixtures!FR$25))="","",IF(INDIRECT(CONCATENATE($FK$12,Fixtures!FR$25))=Fixtures!$DN44,CONCATENATE(FR$10,", "),""))</f>
        <v/>
      </c>
      <c r="FS44" s="712" t="str">
        <f ca="1">IF(INDIRECT(CONCATENATE($FK$12,Fixtures!FS$25))="","",IF(INDIRECT(CONCATENATE($FK$12,Fixtures!FS$25))=Fixtures!$DN44,CONCATENATE(FS$10,", "),""))</f>
        <v/>
      </c>
      <c r="FT44" s="682" t="str">
        <f ca="1">IF(INDIRECT(CONCATENATE($FK$12,Fixtures!FT$25))="","",IF(INDIRECT(CONCATENATE($FK$12,Fixtures!FT$25))=Fixtures!$DN44,CONCATENATE(FT$10,", "),""))</f>
        <v/>
      </c>
      <c r="FU44" s="683" t="str">
        <f ca="1">IF(INDIRECT(CONCATENATE($FK$12,Fixtures!FU$25))="","",IF(INDIRECT(CONCATENATE($FK$12,Fixtures!FU$25))=Fixtures!$DN44,CONCATENATE(FU$10,", "),""))</f>
        <v/>
      </c>
      <c r="FV44" s="712" t="str">
        <f ca="1">IF(INDIRECT(CONCATENATE($FK$12,Fixtures!FV$25))="","",IF(INDIRECT(CONCATENATE($FK$12,Fixtures!FV$25))=Fixtures!$DN44,CONCATENATE(FV$10,", "),""))</f>
        <v/>
      </c>
      <c r="FW44" s="713" t="str">
        <f ca="1">IF(INDIRECT(CONCATENATE($FK$12,Fixtures!FW$25))="","",IF(INDIRECT(CONCATENATE($FK$12,Fixtures!FW$25))=Fixtures!$DN44,CONCATENATE(FW$10,", "),""))</f>
        <v/>
      </c>
      <c r="FX44" s="713" t="str">
        <f ca="1">IF(INDIRECT(CONCATENATE($FK$12,Fixtures!FX$25))="","",IF(INDIRECT(CONCATENATE($FK$12,Fixtures!FX$25))=Fixtures!$DN44,CONCATENATE(FX$10,", "),""))</f>
        <v/>
      </c>
      <c r="FY44" s="713" t="str">
        <f ca="1">IF(INDIRECT(CONCATENATE($FK$12,Fixtures!FY$25))="","",IF(INDIRECT(CONCATENATE($FK$12,Fixtures!FY$25))=Fixtures!$DN44,CONCATENATE(FY$10,", "),""))</f>
        <v/>
      </c>
      <c r="FZ44" s="713" t="str">
        <f ca="1">IF(INDIRECT(CONCATENATE($FK$12,Fixtures!FZ$25))="","",IF(INDIRECT(CONCATENATE($FK$12,Fixtures!FZ$25))=Fixtures!$DN44,CONCATENATE(FZ$10,", "),""))</f>
        <v/>
      </c>
      <c r="GA44" s="713" t="str">
        <f ca="1">IF(INDIRECT(CONCATENATE($FK$12,Fixtures!GA$25))="","",IF(INDIRECT(CONCATENATE($FK$12,Fixtures!GA$25))=Fixtures!$DN44,CONCATENATE(GA$10,", "),""))</f>
        <v/>
      </c>
      <c r="GB44" s="713" t="str">
        <f ca="1">IF(INDIRECT(CONCATENATE($FK$12,Fixtures!GB$25))="","",IF(INDIRECT(CONCATENATE($FK$12,Fixtures!GB$25))=Fixtures!$DN44,CONCATENATE(GB$10,", "),""))</f>
        <v/>
      </c>
      <c r="GC44" s="713" t="str">
        <f ca="1">IF(INDIRECT(CONCATENATE($FK$12,Fixtures!GC$25))="","",IF(INDIRECT(CONCATENATE($FK$12,Fixtures!GC$25))=Fixtures!$DN44,CONCATENATE(GC$10,", "),""))</f>
        <v/>
      </c>
      <c r="GD44" s="713" t="str">
        <f ca="1">IF(INDIRECT(CONCATENATE($FK$12,Fixtures!GD$25))="","",IF(INDIRECT(CONCATENATE($FK$12,Fixtures!GD$25))=Fixtures!$DN44,CONCATENATE(GD$10,", "),""))</f>
        <v/>
      </c>
      <c r="GE44" s="713" t="str">
        <f ca="1">IF(INDIRECT(CONCATENATE($FK$12,Fixtures!GE$25))="","",IF(INDIRECT(CONCATENATE($FK$12,Fixtures!GE$25))=Fixtures!$DN44,CONCATENATE(GE$10,", "),""))</f>
        <v/>
      </c>
      <c r="GF44" s="713" t="str">
        <f ca="1">IF(INDIRECT(CONCATENATE($FK$12,Fixtures!GF$25))="","",IF(INDIRECT(CONCATENATE($FK$12,Fixtures!GF$25))=Fixtures!$DN44,CONCATENATE(GF$10,", "),""))</f>
        <v/>
      </c>
      <c r="GG44" s="713" t="str">
        <f ca="1">IF(INDIRECT(CONCATENATE($FK$12,Fixtures!GG$25))="","",IF(INDIRECT(CONCATENATE($FK$12,Fixtures!GG$25))=Fixtures!$DN44,CONCATENATE(GG$10,", "),""))</f>
        <v/>
      </c>
      <c r="GH44" s="713" t="str">
        <f ca="1">IF(INDIRECT(CONCATENATE($FK$12,Fixtures!GH$25))="","",IF(INDIRECT(CONCATENATE($FK$12,Fixtures!GH$25))=Fixtures!$DN44,CONCATENATE(GH$10,", "),""))</f>
        <v/>
      </c>
      <c r="GI44" s="684" t="str">
        <f ca="1">IF(INDIRECT(CONCATENATE($FK$12,Fixtures!GI$25))="","",IF(INDIRECT(CONCATENATE($FK$12,Fixtures!GI$25))=Fixtures!$DN44,CONCATENATE(GI$10,", "),""))</f>
        <v/>
      </c>
      <c r="GJ44" s="685" t="str">
        <f ca="1">IF(INDIRECT(CONCATENATE($FK$12,Fixtures!GJ$25))="","",IF(INDIRECT(CONCATENATE($FK$12,Fixtures!GJ$25))=Fixtures!$DN44,CONCATENATE(GJ$10,", "),""))</f>
        <v/>
      </c>
      <c r="GK44" s="713" t="str">
        <f ca="1">IF(INDIRECT(CONCATENATE($FK$12,Fixtures!GK$25))="","",IF(INDIRECT(CONCATENATE($FK$12,Fixtures!GK$25))=Fixtures!$DN44,CONCATENATE(GK$10,", "),""))</f>
        <v/>
      </c>
      <c r="GL44" s="713" t="str">
        <f ca="1">IF(INDIRECT(CONCATENATE($FK$12,Fixtures!GL$25))="","",IF(INDIRECT(CONCATENATE($FK$12,Fixtures!GL$25))=Fixtures!$DN44,CONCATENATE(GL$10,", "),""))</f>
        <v/>
      </c>
      <c r="GM44" s="713" t="str">
        <f ca="1">IF(INDIRECT(CONCATENATE($FK$12,Fixtures!GM$25))="","",IF(INDIRECT(CONCATENATE($FK$12,Fixtures!GM$25))=Fixtures!$DN44,CONCATENATE(GM$10,", "),""))</f>
        <v/>
      </c>
      <c r="GN44" s="713" t="str">
        <f ca="1">IF(INDIRECT(CONCATENATE($FK$12,Fixtures!GN$25))="","",IF(INDIRECT(CONCATENATE($FK$12,Fixtures!GN$25))=Fixtures!$DN44,CONCATENATE(GN$10,", "),""))</f>
        <v/>
      </c>
      <c r="GO44" s="713" t="str">
        <f ca="1">IF(INDIRECT(CONCATENATE($FK$12,Fixtures!GO$25))="","",IF(INDIRECT(CONCATENATE($FK$12,Fixtures!GO$25))=Fixtures!$DN44,CONCATENATE(GO$10,", "),""))</f>
        <v/>
      </c>
      <c r="GP44" s="713" t="str">
        <f ca="1">IF(INDIRECT(CONCATENATE($FK$12,Fixtures!GP$25))="","",IF(INDIRECT(CONCATENATE($FK$12,Fixtures!GP$25))=Fixtures!$DN44,CONCATENATE(GP$10,", "),""))</f>
        <v/>
      </c>
      <c r="GQ44" s="713" t="str">
        <f ca="1">IF(INDIRECT(CONCATENATE($FK$12,Fixtures!GQ$25))="","",IF(INDIRECT(CONCATENATE($FK$12,Fixtures!GQ$25))=Fixtures!$DN44,CONCATENATE(GQ$10,", "),""))</f>
        <v/>
      </c>
      <c r="GR44" s="713" t="str">
        <f ca="1">IF(INDIRECT(CONCATENATE($FK$12,Fixtures!GR$25))="","",IF(INDIRECT(CONCATENATE($FK$12,Fixtures!GR$25))=Fixtures!$DN44,CONCATENATE(GR$10,", "),""))</f>
        <v/>
      </c>
      <c r="GS44" s="713" t="str">
        <f ca="1">IF(INDIRECT(CONCATENATE($FK$12,Fixtures!GS$25))="","",IF(INDIRECT(CONCATENATE($FK$12,Fixtures!GS$25))=Fixtures!$DN44,CONCATENATE(GS$10,", "),""))</f>
        <v/>
      </c>
      <c r="GT44" s="713" t="str">
        <f ca="1">IF(INDIRECT(CONCATENATE($FK$12,Fixtures!GT$25))="","",IF(INDIRECT(CONCATENATE($FK$12,Fixtures!GT$25))=Fixtures!$DN44,CONCATENATE(GT$10,", "),""))</f>
        <v/>
      </c>
      <c r="GU44" s="713" t="str">
        <f ca="1">IF(INDIRECT(CONCATENATE($FK$12,Fixtures!GU$25))="","",IF(INDIRECT(CONCATENATE($FK$12,Fixtures!GU$25))=Fixtures!$DN44,CONCATENATE(GU$10,", "),""))</f>
        <v/>
      </c>
      <c r="GV44" s="713" t="str">
        <f ca="1">IF(INDIRECT(CONCATENATE($FK$12,Fixtures!GV$25))="","",IF(INDIRECT(CONCATENATE($FK$12,Fixtures!GV$25))=Fixtures!$DN44,CONCATENATE(GV$10,", "),""))</f>
        <v/>
      </c>
      <c r="GW44" s="713" t="str">
        <f ca="1">IF(INDIRECT(CONCATENATE($FK$12,Fixtures!GW$25))="","",IF(INDIRECT(CONCATENATE($FK$12,Fixtures!GW$25))=Fixtures!$DN44,CONCATENATE(GW$10,", "),""))</f>
        <v/>
      </c>
      <c r="GX44" s="684" t="str">
        <f ca="1">IF(INDIRECT(CONCATENATE($FK$12,Fixtures!GX$25))="","",IF(INDIRECT(CONCATENATE($FK$12,Fixtures!GX$25))=Fixtures!$DN44,CONCATENATE(GX$10,", "),""))</f>
        <v/>
      </c>
      <c r="GY44" s="685" t="str">
        <f ca="1">IF(INDIRECT(CONCATENATE($FK$12,Fixtures!GY$25))="","",IF(INDIRECT(CONCATENATE($FK$12,Fixtures!GY$25))=Fixtures!$DN44,CONCATENATE(GY$10,", "),""))</f>
        <v/>
      </c>
      <c r="GZ44" s="713" t="str">
        <f ca="1">IF(INDIRECT(CONCATENATE($FK$12,Fixtures!GZ$25))="","",IF(INDIRECT(CONCATENATE($FK$12,Fixtures!GZ$25))=Fixtures!$DN44,CONCATENATE(GZ$10,", "),""))</f>
        <v/>
      </c>
      <c r="HA44" s="713" t="str">
        <f ca="1">IF(INDIRECT(CONCATENATE($FK$12,Fixtures!HA$25))="","",IF(INDIRECT(CONCATENATE($FK$12,Fixtures!HA$25))=Fixtures!$DN44,CONCATENATE(HA$10,", "),""))</f>
        <v/>
      </c>
      <c r="HB44" s="713" t="str">
        <f ca="1">IF(INDIRECT(CONCATENATE($FK$12,Fixtures!HB$25))="","",IF(INDIRECT(CONCATENATE($FK$12,Fixtures!HB$25))=Fixtures!$DN44,CONCATENATE(HB$10,", "),""))</f>
        <v/>
      </c>
      <c r="HC44" s="713" t="str">
        <f ca="1">IF(INDIRECT(CONCATENATE($FK$12,Fixtures!HC$25))="","",IF(INDIRECT(CONCATENATE($FK$12,Fixtures!HC$25))=Fixtures!$DN44,CONCATENATE(HC$10,", "),""))</f>
        <v/>
      </c>
      <c r="HD44" s="713" t="str">
        <f ca="1">IF(INDIRECT(CONCATENATE($FK$12,Fixtures!HD$25))="","",IF(INDIRECT(CONCATENATE($FK$12,Fixtures!HD$25))=Fixtures!$DN44,CONCATENATE(HD$10,", "),""))</f>
        <v/>
      </c>
      <c r="HE44" s="713" t="str">
        <f ca="1">IF(INDIRECT(CONCATENATE($FK$12,Fixtures!HE$25))="","",IF(INDIRECT(CONCATENATE($FK$12,Fixtures!HE$25))=Fixtures!$DN44,CONCATENATE(HE$10,", "),""))</f>
        <v/>
      </c>
      <c r="HF44" s="713" t="str">
        <f ca="1">IF(INDIRECT(CONCATENATE($FK$12,Fixtures!HF$25))="","",IF(INDIRECT(CONCATENATE($FK$12,Fixtures!HF$25))=Fixtures!$DN44,CONCATENATE(HF$10,", "),""))</f>
        <v/>
      </c>
      <c r="HG44" s="713" t="str">
        <f ca="1">IF(INDIRECT(CONCATENATE($FK$12,Fixtures!HG$25))="","",IF(INDIRECT(CONCATENATE($FK$12,Fixtures!HG$25))=Fixtures!$DN44,CONCATENATE(HG$10,", "),""))</f>
        <v/>
      </c>
      <c r="HH44" s="713" t="str">
        <f ca="1">IF(INDIRECT(CONCATENATE($FK$12,Fixtures!HH$25))="","",IF(INDIRECT(CONCATENATE($FK$12,Fixtures!HH$25))=Fixtures!$DN44,CONCATENATE(HH$10,", "),""))</f>
        <v/>
      </c>
      <c r="HI44" s="713" t="str">
        <f ca="1">IF(INDIRECT(CONCATENATE($FK$12,Fixtures!HI$25))="","",IF(INDIRECT(CONCATENATE($FK$12,Fixtures!HI$25))=Fixtures!$DN44,CONCATENATE(HI$10,", "),""))</f>
        <v/>
      </c>
      <c r="HJ44" s="713" t="str">
        <f ca="1">IF(INDIRECT(CONCATENATE($FK$12,Fixtures!HJ$25))="","",IF(INDIRECT(CONCATENATE($FK$12,Fixtures!HJ$25))=Fixtures!$DN44,CONCATENATE(HJ$10,", "),""))</f>
        <v/>
      </c>
      <c r="HK44" s="713" t="str">
        <f ca="1">IF(INDIRECT(CONCATENATE($FK$12,Fixtures!HK$25))="","",IF(INDIRECT(CONCATENATE($FK$12,Fixtures!HK$25))=Fixtures!$DN44,CONCATENATE(HK$10,", "),""))</f>
        <v/>
      </c>
      <c r="HL44" s="713" t="str">
        <f ca="1">IF(INDIRECT(CONCATENATE($FK$12,Fixtures!HL$25))="","",IF(INDIRECT(CONCATENATE($FK$12,Fixtures!HL$25))=Fixtures!$DN44,CONCATENATE(HL$10,", "),""))</f>
        <v/>
      </c>
      <c r="HM44" s="684" t="str">
        <f ca="1">IF(INDIRECT(CONCATENATE($FK$12,Fixtures!HM$25))="","",IF(INDIRECT(CONCATENATE($FK$12,Fixtures!HM$25))=Fixtures!$DN44,CONCATENATE(HM$10,", "),""))</f>
        <v/>
      </c>
      <c r="HN44" s="685" t="str">
        <f ca="1">IF(INDIRECT(CONCATENATE($FK$12,Fixtures!HN$25))="","",IF(INDIRECT(CONCATENATE($FK$12,Fixtures!HN$25))=Fixtures!$DN44,CONCATENATE(HN$10,", "),""))</f>
        <v/>
      </c>
      <c r="HO44" s="713" t="str">
        <f ca="1">IF(INDIRECT(CONCATENATE($FK$12,Fixtures!HO$25))="","",IF(INDIRECT(CONCATENATE($FK$12,Fixtures!HO$25))=Fixtures!$DN44,CONCATENATE(HO$10,", "),""))</f>
        <v/>
      </c>
      <c r="HP44" s="713" t="str">
        <f ca="1">IF(INDIRECT(CONCATENATE($FK$12,Fixtures!HP$25))="","",IF(INDIRECT(CONCATENATE($FK$12,Fixtures!HP$25))=Fixtures!$DN44,CONCATENATE(HP$10,", "),""))</f>
        <v/>
      </c>
      <c r="HQ44" s="713" t="str">
        <f ca="1">IF(INDIRECT(CONCATENATE($FK$12,Fixtures!HQ$25))="","",IF(INDIRECT(CONCATENATE($FK$12,Fixtures!HQ$25))=Fixtures!$DN44,CONCATENATE(HQ$10,", "),""))</f>
        <v/>
      </c>
      <c r="HR44" s="713" t="str">
        <f ca="1">IF(INDIRECT(CONCATENATE($FK$12,Fixtures!HR$25))="","",IF(INDIRECT(CONCATENATE($FK$12,Fixtures!HR$25))=Fixtures!$DN44,CONCATENATE(HR$10,", "),""))</f>
        <v/>
      </c>
      <c r="HS44" s="713" t="str">
        <f ca="1">IF(INDIRECT(CONCATENATE($FK$12,Fixtures!HS$25))="","",IF(INDIRECT(CONCATENATE($FK$12,Fixtures!HS$25))=Fixtures!$DN44,CONCATENATE(HS$10,", "),""))</f>
        <v/>
      </c>
      <c r="HT44" s="713" t="str">
        <f ca="1">IF(INDIRECT(CONCATENATE($FK$12,Fixtures!HT$25))="","",IF(INDIRECT(CONCATENATE($FK$12,Fixtures!HT$25))=Fixtures!$DN44,CONCATENATE(HT$10,", "),""))</f>
        <v/>
      </c>
      <c r="HU44" s="713" t="str">
        <f ca="1">IF(INDIRECT(CONCATENATE($FK$12,Fixtures!HU$25))="","",IF(INDIRECT(CONCATENATE($FK$12,Fixtures!HU$25))=Fixtures!$DN44,CONCATENATE(HU$10,", "),""))</f>
        <v/>
      </c>
      <c r="HV44" s="713" t="str">
        <f ca="1">IF(INDIRECT(CONCATENATE($FK$12,Fixtures!HV$25))="","",IF(INDIRECT(CONCATENATE($FK$12,Fixtures!HV$25))=Fixtures!$DN44,CONCATENATE(HV$10,", "),""))</f>
        <v/>
      </c>
      <c r="HW44" s="713" t="str">
        <f ca="1">IF(INDIRECT(CONCATENATE($FK$12,Fixtures!HW$25))="","",IF(INDIRECT(CONCATENATE($FK$12,Fixtures!HW$25))=Fixtures!$DN44,CONCATENATE(HW$10,", "),""))</f>
        <v/>
      </c>
      <c r="HX44" s="713" t="str">
        <f ca="1">IF(INDIRECT(CONCATENATE($FK$12,Fixtures!HX$25))="","",IF(INDIRECT(CONCATENATE($FK$12,Fixtures!HX$25))=Fixtures!$DN44,CONCATENATE(HX$10,", "),""))</f>
        <v/>
      </c>
      <c r="HY44" s="713" t="str">
        <f ca="1">IF(INDIRECT(CONCATENATE($FK$12,Fixtures!HY$25))="","",IF(INDIRECT(CONCATENATE($FK$12,Fixtures!HY$25))=Fixtures!$DN44,CONCATENATE(HY$10,", "),""))</f>
        <v/>
      </c>
      <c r="HZ44" s="713" t="str">
        <f ca="1">IF(INDIRECT(CONCATENATE($FK$12,Fixtures!HZ$25))="","",IF(INDIRECT(CONCATENATE($FK$12,Fixtures!HZ$25))=Fixtures!$DN44,CONCATENATE(HZ$10,", "),""))</f>
        <v/>
      </c>
      <c r="IA44" s="713" t="str">
        <f ca="1">IF(INDIRECT(CONCATENATE($FK$12,Fixtures!IA$25))="","",IF(INDIRECT(CONCATENATE($FK$12,Fixtures!IA$25))=Fixtures!$DN44,CONCATENATE(IA$10,", "),""))</f>
        <v/>
      </c>
      <c r="IB44" s="684" t="str">
        <f ca="1">IF(INDIRECT(CONCATENATE($FK$12,Fixtures!IB$25))="","",IF(INDIRECT(CONCATENATE($FK$12,Fixtures!IB$25))=Fixtures!$DN44,CONCATENATE(IB$10,", "),""))</f>
        <v/>
      </c>
      <c r="IC44" s="685" t="str">
        <f ca="1">IF(INDIRECT(CONCATENATE($FK$12,Fixtures!IC$25))="","",IF(INDIRECT(CONCATENATE($FK$12,Fixtures!IC$25))=Fixtures!$DN44,CONCATENATE(IC$10,", "),""))</f>
        <v/>
      </c>
      <c r="ID44" s="713" t="str">
        <f ca="1">IF(INDIRECT(CONCATENATE($FK$12,Fixtures!ID$25))="","",IF(INDIRECT(CONCATENATE($FK$12,Fixtures!ID$25))=Fixtures!$DN44,CONCATENATE(ID$10,", "),""))</f>
        <v/>
      </c>
      <c r="IE44" s="713" t="str">
        <f ca="1">IF(INDIRECT(CONCATENATE($FK$12,Fixtures!IE$25))="","",IF(INDIRECT(CONCATENATE($FK$12,Fixtures!IE$25))=Fixtures!$DN44,CONCATENATE(IE$10,", "),""))</f>
        <v/>
      </c>
      <c r="IF44" s="713" t="str">
        <f ca="1">IF(INDIRECT(CONCATENATE($FK$12,Fixtures!IF$25))="","",IF(INDIRECT(CONCATENATE($FK$12,Fixtures!IF$25))=Fixtures!$DN44,CONCATENATE(IF$10,", "),""))</f>
        <v/>
      </c>
      <c r="IG44" s="713" t="str">
        <f ca="1">IF(INDIRECT(CONCATENATE($FK$12,Fixtures!IG$25))="","",IF(INDIRECT(CONCATENATE($FK$12,Fixtures!IG$25))=Fixtures!$DN44,CONCATENATE(IG$10,", "),""))</f>
        <v/>
      </c>
      <c r="IH44" s="713" t="str">
        <f ca="1">IF(INDIRECT(CONCATENATE($FK$12,Fixtures!IH$25))="","",IF(INDIRECT(CONCATENATE($FK$12,Fixtures!IH$25))=Fixtures!$DN44,CONCATENATE(IH$10,", "),""))</f>
        <v/>
      </c>
      <c r="II44" s="713" t="str">
        <f ca="1">IF(INDIRECT(CONCATENATE($FK$12,Fixtures!II$25))="","",IF(INDIRECT(CONCATENATE($FK$12,Fixtures!II$25))=Fixtures!$DN44,CONCATENATE(II$10,", "),""))</f>
        <v/>
      </c>
      <c r="IJ44" s="713" t="str">
        <f ca="1">IF(INDIRECT(CONCATENATE($FK$12,Fixtures!IJ$25))="","",IF(INDIRECT(CONCATENATE($FK$12,Fixtures!IJ$25))=Fixtures!$DN44,CONCATENATE(IJ$10,", "),""))</f>
        <v/>
      </c>
      <c r="IK44" s="713" t="str">
        <f ca="1">IF(INDIRECT(CONCATENATE($FK$12,Fixtures!IK$25))="","",IF(INDIRECT(CONCATENATE($FK$12,Fixtures!IK$25))=Fixtures!$DN44,CONCATENATE(IK$10,", "),""))</f>
        <v/>
      </c>
      <c r="IL44" s="713" t="str">
        <f ca="1">IF(INDIRECT(CONCATENATE($FK$12,Fixtures!IL$25))="","",IF(INDIRECT(CONCATENATE($FK$12,Fixtures!IL$25))=Fixtures!$DN44,CONCATENATE(IL$10,", "),""))</f>
        <v/>
      </c>
      <c r="IM44" s="713" t="str">
        <f ca="1">IF(INDIRECT(CONCATENATE($FK$12,Fixtures!IM$25))="","",IF(INDIRECT(CONCATENATE($FK$12,Fixtures!IM$25))=Fixtures!$DN44,CONCATENATE(IM$10,", "),""))</f>
        <v/>
      </c>
      <c r="IN44" s="713" t="str">
        <f ca="1">IF(INDIRECT(CONCATENATE($FK$12,Fixtures!IN$25))="","",IF(INDIRECT(CONCATENATE($FK$12,Fixtures!IN$25))=Fixtures!$DN44,CONCATENATE(IN$10,", "),""))</f>
        <v/>
      </c>
      <c r="IO44" s="713" t="str">
        <f ca="1">IF(INDIRECT(CONCATENATE($FK$12,Fixtures!IO$25))="","",IF(INDIRECT(CONCATENATE($FK$12,Fixtures!IO$25))=Fixtures!$DN44,CONCATENATE(IO$10,", "),""))</f>
        <v/>
      </c>
      <c r="IP44" s="713" t="str">
        <f ca="1">IF(INDIRECT(CONCATENATE($FK$12,Fixtures!IP$25))="","",IF(INDIRECT(CONCATENATE($FK$12,Fixtures!IP$25))=Fixtures!$DN44,CONCATENATE(IP$10,", "),""))</f>
        <v/>
      </c>
      <c r="IQ44" s="684" t="str">
        <f ca="1">IF(INDIRECT(CONCATENATE($FK$12,Fixtures!IQ$25))="","",IF(INDIRECT(CONCATENATE($FK$12,Fixtures!IQ$25))=Fixtures!$DN44,CONCATENATE(IQ$10,", "),""))</f>
        <v/>
      </c>
      <c r="IR44" s="685" t="str">
        <f ca="1">IF(INDIRECT(CONCATENATE($FK$12,Fixtures!IR$25))="","",IF(INDIRECT(CONCATENATE($FK$12,Fixtures!IR$25))=Fixtures!$DN44,CONCATENATE(IR$10,", "),""))</f>
        <v/>
      </c>
      <c r="IS44" s="713" t="str">
        <f ca="1">IF(INDIRECT(CONCATENATE($FK$12,Fixtures!IS$25))="","",IF(INDIRECT(CONCATENATE($FK$12,Fixtures!IS$25))=Fixtures!$DN44,CONCATENATE(IS$10,", "),""))</f>
        <v/>
      </c>
      <c r="IT44" s="713" t="str">
        <f ca="1">IF(INDIRECT(CONCATENATE($FK$12,Fixtures!IT$25))="","",IF(INDIRECT(CONCATENATE($FK$12,Fixtures!IT$25))=Fixtures!$DN44,CONCATENATE(IT$10,", "),""))</f>
        <v/>
      </c>
      <c r="IU44" s="713" t="str">
        <f ca="1">IF(INDIRECT(CONCATENATE($FK$12,Fixtures!IU$25))="","",IF(INDIRECT(CONCATENATE($FK$12,Fixtures!IU$25))=Fixtures!$DN44,CONCATENATE(IU$10,", "),""))</f>
        <v/>
      </c>
      <c r="IV44" s="713" t="str">
        <f ca="1">IF(INDIRECT(CONCATENATE($FK$12,Fixtures!IV$25))="","",IF(INDIRECT(CONCATENATE($FK$12,Fixtures!IV$25))=Fixtures!$DN44,CONCATENATE(IV$10,", "),""))</f>
        <v/>
      </c>
      <c r="IW44" s="713" t="str">
        <f ca="1">IF(INDIRECT(CONCATENATE($FK$12,Fixtures!IW$25))="","",IF(INDIRECT(CONCATENATE($FK$12,Fixtures!IW$25))=Fixtures!$DN44,CONCATENATE(IW$10,", "),""))</f>
        <v/>
      </c>
      <c r="IX44" s="713" t="str">
        <f ca="1">IF(INDIRECT(CONCATENATE($FK$12,Fixtures!IX$25))="","",IF(INDIRECT(CONCATENATE($FK$12,Fixtures!IX$25))=Fixtures!$DN44,CONCATENATE(IX$10,", "),""))</f>
        <v/>
      </c>
      <c r="IY44" s="713" t="str">
        <f ca="1">IF(INDIRECT(CONCATENATE($FK$12,Fixtures!IY$25))="","",IF(INDIRECT(CONCATENATE($FK$12,Fixtures!IY$25))=Fixtures!$DN44,CONCATENATE(IY$10,", "),""))</f>
        <v/>
      </c>
      <c r="IZ44" s="713" t="str">
        <f ca="1">IF(INDIRECT(CONCATENATE($FK$12,Fixtures!IZ$25))="","",IF(INDIRECT(CONCATENATE($FK$12,Fixtures!IZ$25))=Fixtures!$DN44,CONCATENATE(IZ$10,", "),""))</f>
        <v/>
      </c>
      <c r="JA44" s="713" t="str">
        <f ca="1">IF(INDIRECT(CONCATENATE($FK$12,Fixtures!JA$25))="","",IF(INDIRECT(CONCATENATE($FK$12,Fixtures!JA$25))=Fixtures!$DN44,CONCATENATE(JA$10,", "),""))</f>
        <v/>
      </c>
      <c r="JB44" s="713" t="str">
        <f ca="1">IF(INDIRECT(CONCATENATE($FK$12,Fixtures!JB$25))="","",IF(INDIRECT(CONCATENATE($FK$12,Fixtures!JB$25))=Fixtures!$DN44,CONCATENATE(JB$10,", "),""))</f>
        <v/>
      </c>
      <c r="JC44" s="713" t="str">
        <f ca="1">IF(INDIRECT(CONCATENATE($FK$12,Fixtures!JC$25))="","",IF(INDIRECT(CONCATENATE($FK$12,Fixtures!JC$25))=Fixtures!$DN44,CONCATENATE(JC$10,", "),""))</f>
        <v/>
      </c>
      <c r="JD44" s="713" t="str">
        <f ca="1">IF(INDIRECT(CONCATENATE($FK$12,Fixtures!JD$25))="","",IF(INDIRECT(CONCATENATE($FK$12,Fixtures!JD$25))=Fixtures!$DN44,CONCATENATE(JD$10,", "),""))</f>
        <v/>
      </c>
      <c r="JE44" s="713" t="str">
        <f ca="1">IF(INDIRECT(CONCATENATE($FK$12,Fixtures!JE$25))="","",IF(INDIRECT(CONCATENATE($FK$12,Fixtures!JE$25))=Fixtures!$DN44,CONCATENATE(JE$10,", "),""))</f>
        <v/>
      </c>
      <c r="JF44" s="684" t="str">
        <f ca="1">IF(INDIRECT(CONCATENATE($FK$12,Fixtures!JF$25))="","",IF(INDIRECT(CONCATENATE($FK$12,Fixtures!JF$25))=Fixtures!$DN44,CONCATENATE(JF$10,", "),""))</f>
        <v/>
      </c>
      <c r="JG44" s="685" t="str">
        <f ca="1">IF(INDIRECT(CONCATENATE($FK$12,Fixtures!JG$25))="","",IF(INDIRECT(CONCATENATE($FK$12,Fixtures!JG$25))=Fixtures!$DN44,CONCATENATE(JG$10,", "),""))</f>
        <v/>
      </c>
      <c r="JH44" s="713" t="str">
        <f ca="1">IF(INDIRECT(CONCATENATE($FK$12,Fixtures!JH$25))="","",IF(INDIRECT(CONCATENATE($FK$12,Fixtures!JH$25))=Fixtures!$DN44,CONCATENATE(JH$10,", "),""))</f>
        <v/>
      </c>
      <c r="JI44" s="713" t="str">
        <f ca="1">IF(INDIRECT(CONCATENATE($FK$12,Fixtures!JI$25))="","",IF(INDIRECT(CONCATENATE($FK$12,Fixtures!JI$25))=Fixtures!$DN44,CONCATENATE(JI$10,", "),""))</f>
        <v/>
      </c>
      <c r="JJ44" s="713" t="str">
        <f ca="1">IF(INDIRECT(CONCATENATE($FK$12,Fixtures!JJ$25))="","",IF(INDIRECT(CONCATENATE($FK$12,Fixtures!JJ$25))=Fixtures!$DN44,CONCATENATE(JJ$10,", "),""))</f>
        <v/>
      </c>
      <c r="JK44" s="713" t="str">
        <f ca="1">IF(INDIRECT(CONCATENATE($FK$12,Fixtures!JK$25))="","",IF(INDIRECT(CONCATENATE($FK$12,Fixtures!JK$25))=Fixtures!$DN44,CONCATENATE(JK$10,", "),""))</f>
        <v/>
      </c>
      <c r="JL44" s="713" t="str">
        <f ca="1">IF(INDIRECT(CONCATENATE($FK$12,Fixtures!JL$25))="","",IF(INDIRECT(CONCATENATE($FK$12,Fixtures!JL$25))=Fixtures!$DN44,CONCATENATE(JL$10,", "),""))</f>
        <v/>
      </c>
      <c r="JM44" s="713" t="str">
        <f ca="1">IF(INDIRECT(CONCATENATE($FK$12,Fixtures!JM$25))="","",IF(INDIRECT(CONCATENATE($FK$12,Fixtures!JM$25))=Fixtures!$DN44,CONCATENATE(JM$10,", "),""))</f>
        <v/>
      </c>
      <c r="JN44" s="713" t="str">
        <f ca="1">IF(INDIRECT(CONCATENATE($FK$12,Fixtures!JN$25))="","",IF(INDIRECT(CONCATENATE($FK$12,Fixtures!JN$25))=Fixtures!$DN44,CONCATENATE(JN$10,", "),""))</f>
        <v/>
      </c>
      <c r="JO44" s="713" t="str">
        <f ca="1">IF(INDIRECT(CONCATENATE($FK$12,Fixtures!JO$25))="","",IF(INDIRECT(CONCATENATE($FK$12,Fixtures!JO$25))=Fixtures!$DN44,CONCATENATE(JO$10,", "),""))</f>
        <v/>
      </c>
      <c r="JP44" s="713" t="str">
        <f ca="1">IF(INDIRECT(CONCATENATE($FK$12,Fixtures!JP$25))="","",IF(INDIRECT(CONCATENATE($FK$12,Fixtures!JP$25))=Fixtures!$DN44,CONCATENATE(JP$10,", "),""))</f>
        <v/>
      </c>
      <c r="JQ44" s="713" t="str">
        <f ca="1">IF(INDIRECT(CONCATENATE($FK$12,Fixtures!JQ$25))="","",IF(INDIRECT(CONCATENATE($FK$12,Fixtures!JQ$25))=Fixtures!$DN44,CONCATENATE(JQ$10,", "),""))</f>
        <v/>
      </c>
      <c r="JR44" s="713" t="str">
        <f ca="1">IF(INDIRECT(CONCATENATE($FK$12,Fixtures!JR$25))="","",IF(INDIRECT(CONCATENATE($FK$12,Fixtures!JR$25))=Fixtures!$DN44,CONCATENATE(JR$10,", "),""))</f>
        <v/>
      </c>
      <c r="JS44" s="713" t="str">
        <f ca="1">IF(INDIRECT(CONCATENATE($FK$12,Fixtures!JS$25))="","",IF(INDIRECT(CONCATENATE($FK$12,Fixtures!JS$25))=Fixtures!$DN44,CONCATENATE(JS$10,", "),""))</f>
        <v/>
      </c>
      <c r="JT44" s="713" t="str">
        <f ca="1">IF(INDIRECT(CONCATENATE($FK$12,Fixtures!JT$25))="","",IF(INDIRECT(CONCATENATE($FK$12,Fixtures!JT$25))=Fixtures!$DN44,CONCATENATE(JT$10,", "),""))</f>
        <v/>
      </c>
      <c r="JU44" s="684" t="str">
        <f ca="1">IF(INDIRECT(CONCATENATE($FK$12,Fixtures!JU$25))="","",IF(INDIRECT(CONCATENATE($FK$12,Fixtures!JU$25))=Fixtures!$DN44,CONCATENATE(JU$10,", "),""))</f>
        <v/>
      </c>
      <c r="JV44" s="685" t="str">
        <f ca="1">IF(INDIRECT(CONCATENATE($FK$12,Fixtures!JV$25))="","",IF(INDIRECT(CONCATENATE($FK$12,Fixtures!JV$25))=Fixtures!$DN44,CONCATENATE(JV$10,", "),""))</f>
        <v/>
      </c>
      <c r="JW44" s="713" t="str">
        <f ca="1">IF(INDIRECT(CONCATENATE($FK$12,Fixtures!JW$25))="","",IF(INDIRECT(CONCATENATE($FK$12,Fixtures!JW$25))=Fixtures!$DN44,CONCATENATE(JW$10,", "),""))</f>
        <v/>
      </c>
      <c r="JX44" s="713" t="str">
        <f ca="1">IF(INDIRECT(CONCATENATE($FK$12,Fixtures!JX$25))="","",IF(INDIRECT(CONCATENATE($FK$12,Fixtures!JX$25))=Fixtures!$DN44,CONCATENATE(JX$10,", "),""))</f>
        <v/>
      </c>
      <c r="JY44" s="713" t="str">
        <f ca="1">IF(INDIRECT(CONCATENATE($FK$12,Fixtures!JY$25))="","",IF(INDIRECT(CONCATENATE($FK$12,Fixtures!JY$25))=Fixtures!$DN44,CONCATENATE(JY$10,", "),""))</f>
        <v/>
      </c>
      <c r="JZ44" s="713" t="str">
        <f ca="1">IF(INDIRECT(CONCATENATE($FK$12,Fixtures!JZ$25))="","",IF(INDIRECT(CONCATENATE($FK$12,Fixtures!JZ$25))=Fixtures!$DN44,CONCATENATE(JZ$10,", "),""))</f>
        <v/>
      </c>
      <c r="KA44" s="713" t="str">
        <f ca="1">IF(INDIRECT(CONCATENATE($FK$12,Fixtures!KA$25))="","",IF(INDIRECT(CONCATENATE($FK$12,Fixtures!KA$25))=Fixtures!$DN44,CONCATENATE(KA$10,", "),""))</f>
        <v/>
      </c>
      <c r="KB44" s="713" t="str">
        <f ca="1">IF(INDIRECT(CONCATENATE($FK$12,Fixtures!KB$25))="","",IF(INDIRECT(CONCATENATE($FK$12,Fixtures!KB$25))=Fixtures!$DN44,CONCATENATE(KB$10,", "),""))</f>
        <v/>
      </c>
      <c r="KC44" s="713" t="str">
        <f ca="1">IF(INDIRECT(CONCATENATE($FK$12,Fixtures!KC$25))="","",IF(INDIRECT(CONCATENATE($FK$12,Fixtures!KC$25))=Fixtures!$DN44,CONCATENATE(KC$10,", "),""))</f>
        <v/>
      </c>
      <c r="KD44" s="713" t="str">
        <f ca="1">IF(INDIRECT(CONCATENATE($FK$12,Fixtures!KD$25))="","",IF(INDIRECT(CONCATENATE($FK$12,Fixtures!KD$25))=Fixtures!$DN44,CONCATENATE(KD$10,", "),""))</f>
        <v/>
      </c>
      <c r="KE44" s="713" t="str">
        <f ca="1">IF(INDIRECT(CONCATENATE($FK$12,Fixtures!KE$25))="","",IF(INDIRECT(CONCATENATE($FK$12,Fixtures!KE$25))=Fixtures!$DN44,CONCATENATE(KE$10,", "),""))</f>
        <v/>
      </c>
      <c r="KF44" s="713" t="str">
        <f ca="1">IF(INDIRECT(CONCATENATE($FK$12,Fixtures!KF$25))="","",IF(INDIRECT(CONCATENATE($FK$12,Fixtures!KF$25))=Fixtures!$DN44,CONCATENATE(KF$10,", "),""))</f>
        <v/>
      </c>
      <c r="KG44" s="713" t="str">
        <f ca="1">IF(INDIRECT(CONCATENATE($FK$12,Fixtures!KG$25))="","",IF(INDIRECT(CONCATENATE($FK$12,Fixtures!KG$25))=Fixtures!$DN44,CONCATENATE(KG$10,", "),""))</f>
        <v/>
      </c>
      <c r="KH44" s="713" t="str">
        <f ca="1">IF(INDIRECT(CONCATENATE($FK$12,Fixtures!KH$25))="","",IF(INDIRECT(CONCATENATE($FK$12,Fixtures!KH$25))=Fixtures!$DN44,CONCATENATE(KH$10,", "),""))</f>
        <v/>
      </c>
      <c r="KI44" s="713" t="str">
        <f ca="1">IF(INDIRECT(CONCATENATE($FK$12,Fixtures!KI$25))="","",IF(INDIRECT(CONCATENATE($FK$12,Fixtures!KI$25))=Fixtures!$DN44,CONCATENATE(KI$10,", "),""))</f>
        <v/>
      </c>
      <c r="KJ44" s="684" t="str">
        <f ca="1">IF(INDIRECT(CONCATENATE($FK$12,Fixtures!KJ$25))="","",IF(INDIRECT(CONCATENATE($FK$12,Fixtures!KJ$25))=Fixtures!$DN44,CONCATENATE(KJ$10,", "),""))</f>
        <v/>
      </c>
      <c r="KK44" s="685" t="str">
        <f ca="1">IF(INDIRECT(CONCATENATE($FK$12,Fixtures!KK$25))="","",IF(INDIRECT(CONCATENATE($FK$12,Fixtures!KK$25))=Fixtures!$DN44,CONCATENATE(KK$10,", "),""))</f>
        <v/>
      </c>
      <c r="KL44" s="713" t="str">
        <f ca="1">IF(INDIRECT(CONCATENATE($FK$12,Fixtures!KL$25))="","",IF(INDIRECT(CONCATENATE($FK$12,Fixtures!KL$25))=Fixtures!$DN44,CONCATENATE(KL$10,", "),""))</f>
        <v/>
      </c>
      <c r="KM44" s="713" t="str">
        <f ca="1">IF(INDIRECT(CONCATENATE($FK$12,Fixtures!KM$25))="","",IF(INDIRECT(CONCATENATE($FK$12,Fixtures!KM$25))=Fixtures!$DN44,CONCATENATE(KM$10,", "),""))</f>
        <v/>
      </c>
      <c r="KN44" s="713" t="str">
        <f ca="1">IF(INDIRECT(CONCATENATE($FK$12,Fixtures!KN$25))="","",IF(INDIRECT(CONCATENATE($FK$12,Fixtures!KN$25))=Fixtures!$DN44,CONCATENATE(KN$10,", "),""))</f>
        <v/>
      </c>
      <c r="KO44" s="713" t="str">
        <f ca="1">IF(INDIRECT(CONCATENATE($FK$12,Fixtures!KO$25))="","",IF(INDIRECT(CONCATENATE($FK$12,Fixtures!KO$25))=Fixtures!$DN44,CONCATENATE(KO$10,", "),""))</f>
        <v/>
      </c>
      <c r="KP44" s="713" t="str">
        <f ca="1">IF(INDIRECT(CONCATENATE($FK$12,Fixtures!KP$25))="","",IF(INDIRECT(CONCATENATE($FK$12,Fixtures!KP$25))=Fixtures!$DN44,CONCATENATE(KP$10,", "),""))</f>
        <v/>
      </c>
      <c r="KQ44" s="713" t="str">
        <f ca="1">IF(INDIRECT(CONCATENATE($FK$12,Fixtures!KQ$25))="","",IF(INDIRECT(CONCATENATE($FK$12,Fixtures!KQ$25))=Fixtures!$DN44,CONCATENATE(KQ$10,", "),""))</f>
        <v/>
      </c>
      <c r="KR44" s="713" t="str">
        <f ca="1">IF(INDIRECT(CONCATENATE($FK$12,Fixtures!KR$25))="","",IF(INDIRECT(CONCATENATE($FK$12,Fixtures!KR$25))=Fixtures!$DN44,CONCATENATE(KR$10,", "),""))</f>
        <v/>
      </c>
      <c r="KS44" s="713" t="str">
        <f ca="1">IF(INDIRECT(CONCATENATE($FK$12,Fixtures!KS$25))="","",IF(INDIRECT(CONCATENATE($FK$12,Fixtures!KS$25))=Fixtures!$DN44,CONCATENATE(KS$10,", "),""))</f>
        <v/>
      </c>
      <c r="KT44" s="713" t="str">
        <f ca="1">IF(INDIRECT(CONCATENATE($FK$12,Fixtures!KT$25))="","",IF(INDIRECT(CONCATENATE($FK$12,Fixtures!KT$25))=Fixtures!$DN44,CONCATENATE(KT$10,", "),""))</f>
        <v/>
      </c>
      <c r="KU44" s="713" t="str">
        <f ca="1">IF(INDIRECT(CONCATENATE($FK$12,Fixtures!KU$25))="","",IF(INDIRECT(CONCATENATE($FK$12,Fixtures!KU$25))=Fixtures!$DN44,CONCATENATE(KU$10,", "),""))</f>
        <v/>
      </c>
      <c r="KV44" s="713" t="str">
        <f ca="1">IF(INDIRECT(CONCATENATE($FK$12,Fixtures!KV$25))="","",IF(INDIRECT(CONCATENATE($FK$12,Fixtures!KV$25))=Fixtures!$DN44,CONCATENATE(KV$10,", "),""))</f>
        <v/>
      </c>
      <c r="KW44" s="713" t="str">
        <f ca="1">IF(INDIRECT(CONCATENATE($FK$12,Fixtures!KW$25))="","",IF(INDIRECT(CONCATENATE($FK$12,Fixtures!KW$25))=Fixtures!$DN44,CONCATENATE(KW$10,", "),""))</f>
        <v/>
      </c>
      <c r="KX44" s="713" t="str">
        <f ca="1">IF(INDIRECT(CONCATENATE($FK$12,Fixtures!KX$25))="","",IF(INDIRECT(CONCATENATE($FK$12,Fixtures!KX$25))=Fixtures!$DN44,CONCATENATE(KX$10,", "),""))</f>
        <v/>
      </c>
      <c r="KY44" s="713" t="str">
        <f ca="1">IF(INDIRECT(CONCATENATE($FK$12,Fixtures!KY$25))="","",IF(INDIRECT(CONCATENATE($FK$12,Fixtures!KY$25))=Fixtures!$DN44,CONCATENATE(KY$10,", "),""))</f>
        <v/>
      </c>
      <c r="KZ44" s="46"/>
      <c r="LA44" s="46" t="str">
        <f t="shared" ca="1" si="8"/>
        <v/>
      </c>
    </row>
    <row r="45" spans="1:313" ht="28.05" customHeight="1" thickTop="1" thickBot="1">
      <c r="A45" s="471" t="str">
        <f t="shared" si="13"/>
        <v/>
      </c>
      <c r="C45" s="1328" t="str">
        <f t="shared" si="14"/>
        <v/>
      </c>
      <c r="D45" s="1329"/>
      <c r="E45" s="1256" t="str">
        <f t="shared" si="15"/>
        <v/>
      </c>
      <c r="F45" s="1257"/>
      <c r="G45" s="1257"/>
      <c r="H45" s="1257"/>
      <c r="I45" s="1257"/>
      <c r="J45" s="1257"/>
      <c r="K45" s="1257"/>
      <c r="L45" s="1257"/>
      <c r="M45" s="1330"/>
      <c r="N45" s="239" t="str">
        <f t="shared" si="16"/>
        <v/>
      </c>
      <c r="O45" s="12"/>
      <c r="P45" s="1326" t="str">
        <f t="shared" si="25"/>
        <v/>
      </c>
      <c r="Q45" s="1327"/>
      <c r="R45" s="1256" t="str">
        <f t="shared" si="31"/>
        <v/>
      </c>
      <c r="S45" s="1257"/>
      <c r="T45" s="1257"/>
      <c r="U45" s="1257"/>
      <c r="V45" s="1257"/>
      <c r="W45" s="1257"/>
      <c r="X45" s="1257"/>
      <c r="Y45" s="239" t="str">
        <f t="shared" si="27"/>
        <v/>
      </c>
      <c r="Z45" s="239" t="str">
        <f t="shared" si="28"/>
        <v/>
      </c>
      <c r="AA45" s="439" t="str">
        <f t="shared" si="29"/>
        <v/>
      </c>
      <c r="AB45" s="542"/>
      <c r="AC45" s="1253" t="str">
        <f t="shared" si="17"/>
        <v/>
      </c>
      <c r="AD45" s="1166"/>
      <c r="AE45" s="1166"/>
      <c r="AF45" s="1166"/>
      <c r="AG45" s="1166"/>
      <c r="AH45" s="1166"/>
      <c r="AK45">
        <f>SUMIFS(Installations!CS$39:CS$800,Installations!CT$39:CT$800,E45,Installations!HX$39:HX$800,TRUE)</f>
        <v>0</v>
      </c>
      <c r="AL45">
        <f>SUMIFS(Installations!CS$39:CS$800,Installations!CT$39:CT$800,R45,Installations!HX$39:HX$800,TRUE)</f>
        <v>0</v>
      </c>
      <c r="BL45" s="9"/>
      <c r="BM45" s="703" t="str">
        <f t="shared" si="18"/>
        <v/>
      </c>
      <c r="BN45" s="52"/>
      <c r="BO45" s="52"/>
      <c r="BP45" s="52"/>
      <c r="BQ45" s="52"/>
      <c r="BR45" s="52"/>
      <c r="BS45" s="52"/>
      <c r="BT45" s="52"/>
      <c r="BU45" s="414"/>
      <c r="BV45" s="255" t="str">
        <f>IF(CN45&lt;&gt;"Yes","",IFERROR(VLOOKUP(CU45,Existing!A$4:F$364,2,FALSE),""))</f>
        <v/>
      </c>
      <c r="BW45" s="9">
        <v>19</v>
      </c>
      <c r="BX45" s="1313"/>
      <c r="BY45" s="1314"/>
      <c r="BZ45" s="1314"/>
      <c r="CA45" s="1315"/>
      <c r="CB45" s="1310"/>
      <c r="CC45" s="1311"/>
      <c r="CD45" s="1311"/>
      <c r="CE45" s="1312"/>
      <c r="CF45" s="1309"/>
      <c r="CG45" s="1309"/>
      <c r="CH45" s="1309"/>
      <c r="CI45" s="1309"/>
      <c r="CJ45" s="1309"/>
      <c r="CK45" s="1309"/>
      <c r="CL45" s="1309"/>
      <c r="CM45" s="1309"/>
      <c r="CN45" s="1243" t="str">
        <f t="shared" si="0"/>
        <v/>
      </c>
      <c r="CO45" s="1244"/>
      <c r="CP45" s="265" t="str">
        <f>IFERROR(IF(CB45="Existing TLED",CR45*CW45*CY45,VLOOKUP(CU45,Existing!A$3:F$353,6,FALSE)),"")</f>
        <v/>
      </c>
      <c r="CQ45" s="9"/>
      <c r="CR45" s="1343"/>
      <c r="CS45" s="1344"/>
      <c r="CT45" s="9"/>
      <c r="CU45" s="470" t="str">
        <f t="shared" si="21"/>
        <v/>
      </c>
      <c r="CV45" s="471" t="b">
        <f t="shared" si="22"/>
        <v>0</v>
      </c>
      <c r="CW45" s="471" t="str">
        <f t="shared" si="23"/>
        <v/>
      </c>
      <c r="CX45" s="471">
        <f>IFERROR(VLOOKUP(CF45,Lookup!M$100:O$102,3,FALSE),0)</f>
        <v>0</v>
      </c>
      <c r="CY45" s="471">
        <f t="shared" si="9"/>
        <v>1.1100000000000001</v>
      </c>
      <c r="CZ45" s="707" t="b">
        <f t="shared" si="1"/>
        <v>0</v>
      </c>
      <c r="DA45" s="707" t="b">
        <f>IF(CF45&lt;&gt;"",IF(ISERROR(MATCH(CONCATENATE(CB45," - ",CF45),Existing!G$4:G$328,0))=TRUE,FALSE,TRUE),TRUE)</f>
        <v>1</v>
      </c>
      <c r="DB45" s="707" t="b">
        <f t="shared" si="2"/>
        <v>1</v>
      </c>
      <c r="DL45" s="9"/>
      <c r="DM45" s="708" t="s">
        <v>166</v>
      </c>
      <c r="DN45" s="416" t="str">
        <f t="shared" si="3"/>
        <v/>
      </c>
      <c r="DO45" s="52"/>
      <c r="DP45" s="52"/>
      <c r="DQ45" s="52"/>
      <c r="DR45" s="52"/>
      <c r="DS45" s="52"/>
      <c r="DT45" s="262"/>
      <c r="DU45" s="417"/>
      <c r="DV45" s="263" t="str">
        <f t="shared" si="4"/>
        <v/>
      </c>
      <c r="DW45" s="260">
        <v>19</v>
      </c>
      <c r="DX45" s="1306"/>
      <c r="DY45" s="1307"/>
      <c r="DZ45" s="1307"/>
      <c r="EA45" s="1308"/>
      <c r="EB45" s="1306"/>
      <c r="EC45" s="1307"/>
      <c r="ED45" s="1307"/>
      <c r="EE45" s="1308"/>
      <c r="EF45" s="1266"/>
      <c r="EG45" s="1267"/>
      <c r="EH45" s="1306"/>
      <c r="EI45" s="1307"/>
      <c r="EJ45" s="1307"/>
      <c r="EK45" s="1308"/>
      <c r="EL45" s="1263"/>
      <c r="EM45" s="1264"/>
      <c r="EN45" s="1264"/>
      <c r="EO45" s="1265"/>
      <c r="EP45" s="1266"/>
      <c r="EQ45" s="1267"/>
      <c r="ER45" s="1245"/>
      <c r="ES45" s="1246"/>
      <c r="ET45" s="1243" t="str">
        <f t="shared" si="5"/>
        <v/>
      </c>
      <c r="EU45" s="1244"/>
      <c r="EV45" s="1243" t="str">
        <f t="shared" si="30"/>
        <v/>
      </c>
      <c r="EW45" s="1244"/>
      <c r="EX45" s="438"/>
      <c r="EY45" s="261" t="str">
        <f t="shared" si="7"/>
        <v/>
      </c>
      <c r="EZ45" s="261" t="str">
        <f>IFERROR(VLOOKUP(EB45,Lookup!AM$3:AN$13,2,FALSE),"")</f>
        <v/>
      </c>
      <c r="FA45" s="471" t="b">
        <f>IFERROR(IF(VLOOKUP(EB45,Lookup!AM$6:AN$8,2,FALSE)&gt;3,TRUE,FALSE),FALSE)</f>
        <v>0</v>
      </c>
      <c r="FB45" s="471">
        <f t="shared" si="11"/>
        <v>1</v>
      </c>
      <c r="FC45" t="str">
        <f t="shared" ca="1" si="10"/>
        <v/>
      </c>
      <c r="FG45" t="str">
        <f t="shared" ca="1" si="12"/>
        <v/>
      </c>
      <c r="FI45" s="240" t="str">
        <f t="shared" ca="1" si="24"/>
        <v/>
      </c>
      <c r="FJ45" s="240"/>
      <c r="FK45" s="712" t="str">
        <f ca="1">IF(INDIRECT(CONCATENATE($FK$12,Fixtures!FK$25))="","",IF(INDIRECT(CONCATENATE($FK$12,Fixtures!FK$25))=Fixtures!$DN45,CONCATENATE(FK$10,", "),""))</f>
        <v/>
      </c>
      <c r="FL45" s="712" t="str">
        <f ca="1">IF(INDIRECT(CONCATENATE($FK$12,Fixtures!FL$25))="","",IF(INDIRECT(CONCATENATE($FK$12,Fixtures!FL$25))=Fixtures!$DN45,CONCATENATE(FL$10,", "),""))</f>
        <v/>
      </c>
      <c r="FM45" s="712" t="str">
        <f ca="1">IF(INDIRECT(CONCATENATE($FK$12,Fixtures!FM$25))="","",IF(INDIRECT(CONCATENATE($FK$12,Fixtures!FM$25))=Fixtures!$DN45,CONCATENATE(FM$10,", "),""))</f>
        <v/>
      </c>
      <c r="FN45" s="712" t="str">
        <f ca="1">IF(INDIRECT(CONCATENATE($FK$12,Fixtures!FN$25))="","",IF(INDIRECT(CONCATENATE($FK$12,Fixtures!FN$25))=Fixtures!$DN45,CONCATENATE(FN$10,", "),""))</f>
        <v/>
      </c>
      <c r="FO45" s="712" t="str">
        <f ca="1">IF(INDIRECT(CONCATENATE($FK$12,Fixtures!FO$25))="","",IF(INDIRECT(CONCATENATE($FK$12,Fixtures!FO$25))=Fixtures!$DN45,CONCATENATE(FO$10,", "),""))</f>
        <v/>
      </c>
      <c r="FP45" s="712" t="str">
        <f ca="1">IF(INDIRECT(CONCATENATE($FK$12,Fixtures!FP$25))="","",IF(INDIRECT(CONCATENATE($FK$12,Fixtures!FP$25))=Fixtures!$DN45,CONCATENATE(FP$10,", "),""))</f>
        <v/>
      </c>
      <c r="FQ45" s="712" t="str">
        <f ca="1">IF(INDIRECT(CONCATENATE($FK$12,Fixtures!FQ$25))="","",IF(INDIRECT(CONCATENATE($FK$12,Fixtures!FQ$25))=Fixtures!$DN45,CONCATENATE(FQ$10,", "),""))</f>
        <v/>
      </c>
      <c r="FR45" s="712" t="str">
        <f ca="1">IF(INDIRECT(CONCATENATE($FK$12,Fixtures!FR$25))="","",IF(INDIRECT(CONCATENATE($FK$12,Fixtures!FR$25))=Fixtures!$DN45,CONCATENATE(FR$10,", "),""))</f>
        <v/>
      </c>
      <c r="FS45" s="712" t="str">
        <f ca="1">IF(INDIRECT(CONCATENATE($FK$12,Fixtures!FS$25))="","",IF(INDIRECT(CONCATENATE($FK$12,Fixtures!FS$25))=Fixtures!$DN45,CONCATENATE(FS$10,", "),""))</f>
        <v/>
      </c>
      <c r="FT45" s="682" t="str">
        <f ca="1">IF(INDIRECT(CONCATENATE($FK$12,Fixtures!FT$25))="","",IF(INDIRECT(CONCATENATE($FK$12,Fixtures!FT$25))=Fixtures!$DN45,CONCATENATE(FT$10,", "),""))</f>
        <v/>
      </c>
      <c r="FU45" s="683" t="str">
        <f ca="1">IF(INDIRECT(CONCATENATE($FK$12,Fixtures!FU$25))="","",IF(INDIRECT(CONCATENATE($FK$12,Fixtures!FU$25))=Fixtures!$DN45,CONCATENATE(FU$10,", "),""))</f>
        <v/>
      </c>
      <c r="FV45" s="712" t="str">
        <f ca="1">IF(INDIRECT(CONCATENATE($FK$12,Fixtures!FV$25))="","",IF(INDIRECT(CONCATENATE($FK$12,Fixtures!FV$25))=Fixtures!$DN45,CONCATENATE(FV$10,", "),""))</f>
        <v/>
      </c>
      <c r="FW45" s="713" t="str">
        <f ca="1">IF(INDIRECT(CONCATENATE($FK$12,Fixtures!FW$25))="","",IF(INDIRECT(CONCATENATE($FK$12,Fixtures!FW$25))=Fixtures!$DN45,CONCATENATE(FW$10,", "),""))</f>
        <v/>
      </c>
      <c r="FX45" s="713" t="str">
        <f ca="1">IF(INDIRECT(CONCATENATE($FK$12,Fixtures!FX$25))="","",IF(INDIRECT(CONCATENATE($FK$12,Fixtures!FX$25))=Fixtures!$DN45,CONCATENATE(FX$10,", "),""))</f>
        <v/>
      </c>
      <c r="FY45" s="713" t="str">
        <f ca="1">IF(INDIRECT(CONCATENATE($FK$12,Fixtures!FY$25))="","",IF(INDIRECT(CONCATENATE($FK$12,Fixtures!FY$25))=Fixtures!$DN45,CONCATENATE(FY$10,", "),""))</f>
        <v/>
      </c>
      <c r="FZ45" s="713" t="str">
        <f ca="1">IF(INDIRECT(CONCATENATE($FK$12,Fixtures!FZ$25))="","",IF(INDIRECT(CONCATENATE($FK$12,Fixtures!FZ$25))=Fixtures!$DN45,CONCATENATE(FZ$10,", "),""))</f>
        <v/>
      </c>
      <c r="GA45" s="713" t="str">
        <f ca="1">IF(INDIRECT(CONCATENATE($FK$12,Fixtures!GA$25))="","",IF(INDIRECT(CONCATENATE($FK$12,Fixtures!GA$25))=Fixtures!$DN45,CONCATENATE(GA$10,", "),""))</f>
        <v/>
      </c>
      <c r="GB45" s="713" t="str">
        <f ca="1">IF(INDIRECT(CONCATENATE($FK$12,Fixtures!GB$25))="","",IF(INDIRECT(CONCATENATE($FK$12,Fixtures!GB$25))=Fixtures!$DN45,CONCATENATE(GB$10,", "),""))</f>
        <v/>
      </c>
      <c r="GC45" s="713" t="str">
        <f ca="1">IF(INDIRECT(CONCATENATE($FK$12,Fixtures!GC$25))="","",IF(INDIRECT(CONCATENATE($FK$12,Fixtures!GC$25))=Fixtures!$DN45,CONCATENATE(GC$10,", "),""))</f>
        <v/>
      </c>
      <c r="GD45" s="713" t="str">
        <f ca="1">IF(INDIRECT(CONCATENATE($FK$12,Fixtures!GD$25))="","",IF(INDIRECT(CONCATENATE($FK$12,Fixtures!GD$25))=Fixtures!$DN45,CONCATENATE(GD$10,", "),""))</f>
        <v/>
      </c>
      <c r="GE45" s="713" t="str">
        <f ca="1">IF(INDIRECT(CONCATENATE($FK$12,Fixtures!GE$25))="","",IF(INDIRECT(CONCATENATE($FK$12,Fixtures!GE$25))=Fixtures!$DN45,CONCATENATE(GE$10,", "),""))</f>
        <v/>
      </c>
      <c r="GF45" s="713" t="str">
        <f ca="1">IF(INDIRECT(CONCATENATE($FK$12,Fixtures!GF$25))="","",IF(INDIRECT(CONCATENATE($FK$12,Fixtures!GF$25))=Fixtures!$DN45,CONCATENATE(GF$10,", "),""))</f>
        <v/>
      </c>
      <c r="GG45" s="713" t="str">
        <f ca="1">IF(INDIRECT(CONCATENATE($FK$12,Fixtures!GG$25))="","",IF(INDIRECT(CONCATENATE($FK$12,Fixtures!GG$25))=Fixtures!$DN45,CONCATENATE(GG$10,", "),""))</f>
        <v/>
      </c>
      <c r="GH45" s="713" t="str">
        <f ca="1">IF(INDIRECT(CONCATENATE($FK$12,Fixtures!GH$25))="","",IF(INDIRECT(CONCATENATE($FK$12,Fixtures!GH$25))=Fixtures!$DN45,CONCATENATE(GH$10,", "),""))</f>
        <v/>
      </c>
      <c r="GI45" s="684" t="str">
        <f ca="1">IF(INDIRECT(CONCATENATE($FK$12,Fixtures!GI$25))="","",IF(INDIRECT(CONCATENATE($FK$12,Fixtures!GI$25))=Fixtures!$DN45,CONCATENATE(GI$10,", "),""))</f>
        <v/>
      </c>
      <c r="GJ45" s="685" t="str">
        <f ca="1">IF(INDIRECT(CONCATENATE($FK$12,Fixtures!GJ$25))="","",IF(INDIRECT(CONCATENATE($FK$12,Fixtures!GJ$25))=Fixtures!$DN45,CONCATENATE(GJ$10,", "),""))</f>
        <v/>
      </c>
      <c r="GK45" s="713" t="str">
        <f ca="1">IF(INDIRECT(CONCATENATE($FK$12,Fixtures!GK$25))="","",IF(INDIRECT(CONCATENATE($FK$12,Fixtures!GK$25))=Fixtures!$DN45,CONCATENATE(GK$10,", "),""))</f>
        <v/>
      </c>
      <c r="GL45" s="713" t="str">
        <f ca="1">IF(INDIRECT(CONCATENATE($FK$12,Fixtures!GL$25))="","",IF(INDIRECT(CONCATENATE($FK$12,Fixtures!GL$25))=Fixtures!$DN45,CONCATENATE(GL$10,", "),""))</f>
        <v/>
      </c>
      <c r="GM45" s="713" t="str">
        <f ca="1">IF(INDIRECT(CONCATENATE($FK$12,Fixtures!GM$25))="","",IF(INDIRECT(CONCATENATE($FK$12,Fixtures!GM$25))=Fixtures!$DN45,CONCATENATE(GM$10,", "),""))</f>
        <v/>
      </c>
      <c r="GN45" s="713" t="str">
        <f ca="1">IF(INDIRECT(CONCATENATE($FK$12,Fixtures!GN$25))="","",IF(INDIRECT(CONCATENATE($FK$12,Fixtures!GN$25))=Fixtures!$DN45,CONCATENATE(GN$10,", "),""))</f>
        <v/>
      </c>
      <c r="GO45" s="713" t="str">
        <f ca="1">IF(INDIRECT(CONCATENATE($FK$12,Fixtures!GO$25))="","",IF(INDIRECT(CONCATENATE($FK$12,Fixtures!GO$25))=Fixtures!$DN45,CONCATENATE(GO$10,", "),""))</f>
        <v/>
      </c>
      <c r="GP45" s="713" t="str">
        <f ca="1">IF(INDIRECT(CONCATENATE($FK$12,Fixtures!GP$25))="","",IF(INDIRECT(CONCATENATE($FK$12,Fixtures!GP$25))=Fixtures!$DN45,CONCATENATE(GP$10,", "),""))</f>
        <v/>
      </c>
      <c r="GQ45" s="713" t="str">
        <f ca="1">IF(INDIRECT(CONCATENATE($FK$12,Fixtures!GQ$25))="","",IF(INDIRECT(CONCATENATE($FK$12,Fixtures!GQ$25))=Fixtures!$DN45,CONCATENATE(GQ$10,", "),""))</f>
        <v/>
      </c>
      <c r="GR45" s="713" t="str">
        <f ca="1">IF(INDIRECT(CONCATENATE($FK$12,Fixtures!GR$25))="","",IF(INDIRECT(CONCATENATE($FK$12,Fixtures!GR$25))=Fixtures!$DN45,CONCATENATE(GR$10,", "),""))</f>
        <v/>
      </c>
      <c r="GS45" s="713" t="str">
        <f ca="1">IF(INDIRECT(CONCATENATE($FK$12,Fixtures!GS$25))="","",IF(INDIRECT(CONCATENATE($FK$12,Fixtures!GS$25))=Fixtures!$DN45,CONCATENATE(GS$10,", "),""))</f>
        <v/>
      </c>
      <c r="GT45" s="713" t="str">
        <f ca="1">IF(INDIRECT(CONCATENATE($FK$12,Fixtures!GT$25))="","",IF(INDIRECT(CONCATENATE($FK$12,Fixtures!GT$25))=Fixtures!$DN45,CONCATENATE(GT$10,", "),""))</f>
        <v/>
      </c>
      <c r="GU45" s="713" t="str">
        <f ca="1">IF(INDIRECT(CONCATENATE($FK$12,Fixtures!GU$25))="","",IF(INDIRECT(CONCATENATE($FK$12,Fixtures!GU$25))=Fixtures!$DN45,CONCATENATE(GU$10,", "),""))</f>
        <v/>
      </c>
      <c r="GV45" s="713" t="str">
        <f ca="1">IF(INDIRECT(CONCATENATE($FK$12,Fixtures!GV$25))="","",IF(INDIRECT(CONCATENATE($FK$12,Fixtures!GV$25))=Fixtures!$DN45,CONCATENATE(GV$10,", "),""))</f>
        <v/>
      </c>
      <c r="GW45" s="713" t="str">
        <f ca="1">IF(INDIRECT(CONCATENATE($FK$12,Fixtures!GW$25))="","",IF(INDIRECT(CONCATENATE($FK$12,Fixtures!GW$25))=Fixtures!$DN45,CONCATENATE(GW$10,", "),""))</f>
        <v/>
      </c>
      <c r="GX45" s="684" t="str">
        <f ca="1">IF(INDIRECT(CONCATENATE($FK$12,Fixtures!GX$25))="","",IF(INDIRECT(CONCATENATE($FK$12,Fixtures!GX$25))=Fixtures!$DN45,CONCATENATE(GX$10,", "),""))</f>
        <v/>
      </c>
      <c r="GY45" s="685" t="str">
        <f ca="1">IF(INDIRECT(CONCATENATE($FK$12,Fixtures!GY$25))="","",IF(INDIRECT(CONCATENATE($FK$12,Fixtures!GY$25))=Fixtures!$DN45,CONCATENATE(GY$10,", "),""))</f>
        <v/>
      </c>
      <c r="GZ45" s="713" t="str">
        <f ca="1">IF(INDIRECT(CONCATENATE($FK$12,Fixtures!GZ$25))="","",IF(INDIRECT(CONCATENATE($FK$12,Fixtures!GZ$25))=Fixtures!$DN45,CONCATENATE(GZ$10,", "),""))</f>
        <v/>
      </c>
      <c r="HA45" s="713" t="str">
        <f ca="1">IF(INDIRECT(CONCATENATE($FK$12,Fixtures!HA$25))="","",IF(INDIRECT(CONCATENATE($FK$12,Fixtures!HA$25))=Fixtures!$DN45,CONCATENATE(HA$10,", "),""))</f>
        <v/>
      </c>
      <c r="HB45" s="713" t="str">
        <f ca="1">IF(INDIRECT(CONCATENATE($FK$12,Fixtures!HB$25))="","",IF(INDIRECT(CONCATENATE($FK$12,Fixtures!HB$25))=Fixtures!$DN45,CONCATENATE(HB$10,", "),""))</f>
        <v/>
      </c>
      <c r="HC45" s="713" t="str">
        <f ca="1">IF(INDIRECT(CONCATENATE($FK$12,Fixtures!HC$25))="","",IF(INDIRECT(CONCATENATE($FK$12,Fixtures!HC$25))=Fixtures!$DN45,CONCATENATE(HC$10,", "),""))</f>
        <v/>
      </c>
      <c r="HD45" s="713" t="str">
        <f ca="1">IF(INDIRECT(CONCATENATE($FK$12,Fixtures!HD$25))="","",IF(INDIRECT(CONCATENATE($FK$12,Fixtures!HD$25))=Fixtures!$DN45,CONCATENATE(HD$10,", "),""))</f>
        <v/>
      </c>
      <c r="HE45" s="713" t="str">
        <f ca="1">IF(INDIRECT(CONCATENATE($FK$12,Fixtures!HE$25))="","",IF(INDIRECT(CONCATENATE($FK$12,Fixtures!HE$25))=Fixtures!$DN45,CONCATENATE(HE$10,", "),""))</f>
        <v/>
      </c>
      <c r="HF45" s="713" t="str">
        <f ca="1">IF(INDIRECT(CONCATENATE($FK$12,Fixtures!HF$25))="","",IF(INDIRECT(CONCATENATE($FK$12,Fixtures!HF$25))=Fixtures!$DN45,CONCATENATE(HF$10,", "),""))</f>
        <v/>
      </c>
      <c r="HG45" s="713" t="str">
        <f ca="1">IF(INDIRECT(CONCATENATE($FK$12,Fixtures!HG$25))="","",IF(INDIRECT(CONCATENATE($FK$12,Fixtures!HG$25))=Fixtures!$DN45,CONCATENATE(HG$10,", "),""))</f>
        <v/>
      </c>
      <c r="HH45" s="713" t="str">
        <f ca="1">IF(INDIRECT(CONCATENATE($FK$12,Fixtures!HH$25))="","",IF(INDIRECT(CONCATENATE($FK$12,Fixtures!HH$25))=Fixtures!$DN45,CONCATENATE(HH$10,", "),""))</f>
        <v/>
      </c>
      <c r="HI45" s="713" t="str">
        <f ca="1">IF(INDIRECT(CONCATENATE($FK$12,Fixtures!HI$25))="","",IF(INDIRECT(CONCATENATE($FK$12,Fixtures!HI$25))=Fixtures!$DN45,CONCATENATE(HI$10,", "),""))</f>
        <v/>
      </c>
      <c r="HJ45" s="713" t="str">
        <f ca="1">IF(INDIRECT(CONCATENATE($FK$12,Fixtures!HJ$25))="","",IF(INDIRECT(CONCATENATE($FK$12,Fixtures!HJ$25))=Fixtures!$DN45,CONCATENATE(HJ$10,", "),""))</f>
        <v/>
      </c>
      <c r="HK45" s="713" t="str">
        <f ca="1">IF(INDIRECT(CONCATENATE($FK$12,Fixtures!HK$25))="","",IF(INDIRECT(CONCATENATE($FK$12,Fixtures!HK$25))=Fixtures!$DN45,CONCATENATE(HK$10,", "),""))</f>
        <v/>
      </c>
      <c r="HL45" s="713" t="str">
        <f ca="1">IF(INDIRECT(CONCATENATE($FK$12,Fixtures!HL$25))="","",IF(INDIRECT(CONCATENATE($FK$12,Fixtures!HL$25))=Fixtures!$DN45,CONCATENATE(HL$10,", "),""))</f>
        <v/>
      </c>
      <c r="HM45" s="684" t="str">
        <f ca="1">IF(INDIRECT(CONCATENATE($FK$12,Fixtures!HM$25))="","",IF(INDIRECT(CONCATENATE($FK$12,Fixtures!HM$25))=Fixtures!$DN45,CONCATENATE(HM$10,", "),""))</f>
        <v/>
      </c>
      <c r="HN45" s="685" t="str">
        <f ca="1">IF(INDIRECT(CONCATENATE($FK$12,Fixtures!HN$25))="","",IF(INDIRECT(CONCATENATE($FK$12,Fixtures!HN$25))=Fixtures!$DN45,CONCATENATE(HN$10,", "),""))</f>
        <v/>
      </c>
      <c r="HO45" s="713" t="str">
        <f ca="1">IF(INDIRECT(CONCATENATE($FK$12,Fixtures!HO$25))="","",IF(INDIRECT(CONCATENATE($FK$12,Fixtures!HO$25))=Fixtures!$DN45,CONCATENATE(HO$10,", "),""))</f>
        <v/>
      </c>
      <c r="HP45" s="713" t="str">
        <f ca="1">IF(INDIRECT(CONCATENATE($FK$12,Fixtures!HP$25))="","",IF(INDIRECT(CONCATENATE($FK$12,Fixtures!HP$25))=Fixtures!$DN45,CONCATENATE(HP$10,", "),""))</f>
        <v/>
      </c>
      <c r="HQ45" s="713" t="str">
        <f ca="1">IF(INDIRECT(CONCATENATE($FK$12,Fixtures!HQ$25))="","",IF(INDIRECT(CONCATENATE($FK$12,Fixtures!HQ$25))=Fixtures!$DN45,CONCATENATE(HQ$10,", "),""))</f>
        <v/>
      </c>
      <c r="HR45" s="713" t="str">
        <f ca="1">IF(INDIRECT(CONCATENATE($FK$12,Fixtures!HR$25))="","",IF(INDIRECT(CONCATENATE($FK$12,Fixtures!HR$25))=Fixtures!$DN45,CONCATENATE(HR$10,", "),""))</f>
        <v/>
      </c>
      <c r="HS45" s="713" t="str">
        <f ca="1">IF(INDIRECT(CONCATENATE($FK$12,Fixtures!HS$25))="","",IF(INDIRECT(CONCATENATE($FK$12,Fixtures!HS$25))=Fixtures!$DN45,CONCATENATE(HS$10,", "),""))</f>
        <v/>
      </c>
      <c r="HT45" s="713" t="str">
        <f ca="1">IF(INDIRECT(CONCATENATE($FK$12,Fixtures!HT$25))="","",IF(INDIRECT(CONCATENATE($FK$12,Fixtures!HT$25))=Fixtures!$DN45,CONCATENATE(HT$10,", "),""))</f>
        <v/>
      </c>
      <c r="HU45" s="713" t="str">
        <f ca="1">IF(INDIRECT(CONCATENATE($FK$12,Fixtures!HU$25))="","",IF(INDIRECT(CONCATENATE($FK$12,Fixtures!HU$25))=Fixtures!$DN45,CONCATENATE(HU$10,", "),""))</f>
        <v/>
      </c>
      <c r="HV45" s="713" t="str">
        <f ca="1">IF(INDIRECT(CONCATENATE($FK$12,Fixtures!HV$25))="","",IF(INDIRECT(CONCATENATE($FK$12,Fixtures!HV$25))=Fixtures!$DN45,CONCATENATE(HV$10,", "),""))</f>
        <v/>
      </c>
      <c r="HW45" s="713" t="str">
        <f ca="1">IF(INDIRECT(CONCATENATE($FK$12,Fixtures!HW$25))="","",IF(INDIRECT(CONCATENATE($FK$12,Fixtures!HW$25))=Fixtures!$DN45,CONCATENATE(HW$10,", "),""))</f>
        <v/>
      </c>
      <c r="HX45" s="713" t="str">
        <f ca="1">IF(INDIRECT(CONCATENATE($FK$12,Fixtures!HX$25))="","",IF(INDIRECT(CONCATENATE($FK$12,Fixtures!HX$25))=Fixtures!$DN45,CONCATENATE(HX$10,", "),""))</f>
        <v/>
      </c>
      <c r="HY45" s="713" t="str">
        <f ca="1">IF(INDIRECT(CONCATENATE($FK$12,Fixtures!HY$25))="","",IF(INDIRECT(CONCATENATE($FK$12,Fixtures!HY$25))=Fixtures!$DN45,CONCATENATE(HY$10,", "),""))</f>
        <v/>
      </c>
      <c r="HZ45" s="713" t="str">
        <f ca="1">IF(INDIRECT(CONCATENATE($FK$12,Fixtures!HZ$25))="","",IF(INDIRECT(CONCATENATE($FK$12,Fixtures!HZ$25))=Fixtures!$DN45,CONCATENATE(HZ$10,", "),""))</f>
        <v/>
      </c>
      <c r="IA45" s="713" t="str">
        <f ca="1">IF(INDIRECT(CONCATENATE($FK$12,Fixtures!IA$25))="","",IF(INDIRECT(CONCATENATE($FK$12,Fixtures!IA$25))=Fixtures!$DN45,CONCATENATE(IA$10,", "),""))</f>
        <v/>
      </c>
      <c r="IB45" s="684" t="str">
        <f ca="1">IF(INDIRECT(CONCATENATE($FK$12,Fixtures!IB$25))="","",IF(INDIRECT(CONCATENATE($FK$12,Fixtures!IB$25))=Fixtures!$DN45,CONCATENATE(IB$10,", "),""))</f>
        <v/>
      </c>
      <c r="IC45" s="685" t="str">
        <f ca="1">IF(INDIRECT(CONCATENATE($FK$12,Fixtures!IC$25))="","",IF(INDIRECT(CONCATENATE($FK$12,Fixtures!IC$25))=Fixtures!$DN45,CONCATENATE(IC$10,", "),""))</f>
        <v/>
      </c>
      <c r="ID45" s="713" t="str">
        <f ca="1">IF(INDIRECT(CONCATENATE($FK$12,Fixtures!ID$25))="","",IF(INDIRECT(CONCATENATE($FK$12,Fixtures!ID$25))=Fixtures!$DN45,CONCATENATE(ID$10,", "),""))</f>
        <v/>
      </c>
      <c r="IE45" s="713" t="str">
        <f ca="1">IF(INDIRECT(CONCATENATE($FK$12,Fixtures!IE$25))="","",IF(INDIRECT(CONCATENATE($FK$12,Fixtures!IE$25))=Fixtures!$DN45,CONCATENATE(IE$10,", "),""))</f>
        <v/>
      </c>
      <c r="IF45" s="713" t="str">
        <f ca="1">IF(INDIRECT(CONCATENATE($FK$12,Fixtures!IF$25))="","",IF(INDIRECT(CONCATENATE($FK$12,Fixtures!IF$25))=Fixtures!$DN45,CONCATENATE(IF$10,", "),""))</f>
        <v/>
      </c>
      <c r="IG45" s="713" t="str">
        <f ca="1">IF(INDIRECT(CONCATENATE($FK$12,Fixtures!IG$25))="","",IF(INDIRECT(CONCATENATE($FK$12,Fixtures!IG$25))=Fixtures!$DN45,CONCATENATE(IG$10,", "),""))</f>
        <v/>
      </c>
      <c r="IH45" s="713" t="str">
        <f ca="1">IF(INDIRECT(CONCATENATE($FK$12,Fixtures!IH$25))="","",IF(INDIRECT(CONCATENATE($FK$12,Fixtures!IH$25))=Fixtures!$DN45,CONCATENATE(IH$10,", "),""))</f>
        <v/>
      </c>
      <c r="II45" s="713" t="str">
        <f ca="1">IF(INDIRECT(CONCATENATE($FK$12,Fixtures!II$25))="","",IF(INDIRECT(CONCATENATE($FK$12,Fixtures!II$25))=Fixtures!$DN45,CONCATENATE(II$10,", "),""))</f>
        <v/>
      </c>
      <c r="IJ45" s="713" t="str">
        <f ca="1">IF(INDIRECT(CONCATENATE($FK$12,Fixtures!IJ$25))="","",IF(INDIRECT(CONCATENATE($FK$12,Fixtures!IJ$25))=Fixtures!$DN45,CONCATENATE(IJ$10,", "),""))</f>
        <v/>
      </c>
      <c r="IK45" s="713" t="str">
        <f ca="1">IF(INDIRECT(CONCATENATE($FK$12,Fixtures!IK$25))="","",IF(INDIRECT(CONCATENATE($FK$12,Fixtures!IK$25))=Fixtures!$DN45,CONCATENATE(IK$10,", "),""))</f>
        <v/>
      </c>
      <c r="IL45" s="713" t="str">
        <f ca="1">IF(INDIRECT(CONCATENATE($FK$12,Fixtures!IL$25))="","",IF(INDIRECT(CONCATENATE($FK$12,Fixtures!IL$25))=Fixtures!$DN45,CONCATENATE(IL$10,", "),""))</f>
        <v/>
      </c>
      <c r="IM45" s="713" t="str">
        <f ca="1">IF(INDIRECT(CONCATENATE($FK$12,Fixtures!IM$25))="","",IF(INDIRECT(CONCATENATE($FK$12,Fixtures!IM$25))=Fixtures!$DN45,CONCATENATE(IM$10,", "),""))</f>
        <v/>
      </c>
      <c r="IN45" s="713" t="str">
        <f ca="1">IF(INDIRECT(CONCATENATE($FK$12,Fixtures!IN$25))="","",IF(INDIRECT(CONCATENATE($FK$12,Fixtures!IN$25))=Fixtures!$DN45,CONCATENATE(IN$10,", "),""))</f>
        <v/>
      </c>
      <c r="IO45" s="713" t="str">
        <f ca="1">IF(INDIRECT(CONCATENATE($FK$12,Fixtures!IO$25))="","",IF(INDIRECT(CONCATENATE($FK$12,Fixtures!IO$25))=Fixtures!$DN45,CONCATENATE(IO$10,", "),""))</f>
        <v/>
      </c>
      <c r="IP45" s="713" t="str">
        <f ca="1">IF(INDIRECT(CONCATENATE($FK$12,Fixtures!IP$25))="","",IF(INDIRECT(CONCATENATE($FK$12,Fixtures!IP$25))=Fixtures!$DN45,CONCATENATE(IP$10,", "),""))</f>
        <v/>
      </c>
      <c r="IQ45" s="684" t="str">
        <f ca="1">IF(INDIRECT(CONCATENATE($FK$12,Fixtures!IQ$25))="","",IF(INDIRECT(CONCATENATE($FK$12,Fixtures!IQ$25))=Fixtures!$DN45,CONCATENATE(IQ$10,", "),""))</f>
        <v/>
      </c>
      <c r="IR45" s="685" t="str">
        <f ca="1">IF(INDIRECT(CONCATENATE($FK$12,Fixtures!IR$25))="","",IF(INDIRECT(CONCATENATE($FK$12,Fixtures!IR$25))=Fixtures!$DN45,CONCATENATE(IR$10,", "),""))</f>
        <v/>
      </c>
      <c r="IS45" s="713" t="str">
        <f ca="1">IF(INDIRECT(CONCATENATE($FK$12,Fixtures!IS$25))="","",IF(INDIRECT(CONCATENATE($FK$12,Fixtures!IS$25))=Fixtures!$DN45,CONCATENATE(IS$10,", "),""))</f>
        <v/>
      </c>
      <c r="IT45" s="713" t="str">
        <f ca="1">IF(INDIRECT(CONCATENATE($FK$12,Fixtures!IT$25))="","",IF(INDIRECT(CONCATENATE($FK$12,Fixtures!IT$25))=Fixtures!$DN45,CONCATENATE(IT$10,", "),""))</f>
        <v/>
      </c>
      <c r="IU45" s="713" t="str">
        <f ca="1">IF(INDIRECT(CONCATENATE($FK$12,Fixtures!IU$25))="","",IF(INDIRECT(CONCATENATE($FK$12,Fixtures!IU$25))=Fixtures!$DN45,CONCATENATE(IU$10,", "),""))</f>
        <v/>
      </c>
      <c r="IV45" s="713" t="str">
        <f ca="1">IF(INDIRECT(CONCATENATE($FK$12,Fixtures!IV$25))="","",IF(INDIRECT(CONCATENATE($FK$12,Fixtures!IV$25))=Fixtures!$DN45,CONCATENATE(IV$10,", "),""))</f>
        <v/>
      </c>
      <c r="IW45" s="713" t="str">
        <f ca="1">IF(INDIRECT(CONCATENATE($FK$12,Fixtures!IW$25))="","",IF(INDIRECT(CONCATENATE($FK$12,Fixtures!IW$25))=Fixtures!$DN45,CONCATENATE(IW$10,", "),""))</f>
        <v/>
      </c>
      <c r="IX45" s="713" t="str">
        <f ca="1">IF(INDIRECT(CONCATENATE($FK$12,Fixtures!IX$25))="","",IF(INDIRECT(CONCATENATE($FK$12,Fixtures!IX$25))=Fixtures!$DN45,CONCATENATE(IX$10,", "),""))</f>
        <v/>
      </c>
      <c r="IY45" s="713" t="str">
        <f ca="1">IF(INDIRECT(CONCATENATE($FK$12,Fixtures!IY$25))="","",IF(INDIRECT(CONCATENATE($FK$12,Fixtures!IY$25))=Fixtures!$DN45,CONCATENATE(IY$10,", "),""))</f>
        <v/>
      </c>
      <c r="IZ45" s="713" t="str">
        <f ca="1">IF(INDIRECT(CONCATENATE($FK$12,Fixtures!IZ$25))="","",IF(INDIRECT(CONCATENATE($FK$12,Fixtures!IZ$25))=Fixtures!$DN45,CONCATENATE(IZ$10,", "),""))</f>
        <v/>
      </c>
      <c r="JA45" s="713" t="str">
        <f ca="1">IF(INDIRECT(CONCATENATE($FK$12,Fixtures!JA$25))="","",IF(INDIRECT(CONCATENATE($FK$12,Fixtures!JA$25))=Fixtures!$DN45,CONCATENATE(JA$10,", "),""))</f>
        <v/>
      </c>
      <c r="JB45" s="713" t="str">
        <f ca="1">IF(INDIRECT(CONCATENATE($FK$12,Fixtures!JB$25))="","",IF(INDIRECT(CONCATENATE($FK$12,Fixtures!JB$25))=Fixtures!$DN45,CONCATENATE(JB$10,", "),""))</f>
        <v/>
      </c>
      <c r="JC45" s="713" t="str">
        <f ca="1">IF(INDIRECT(CONCATENATE($FK$12,Fixtures!JC$25))="","",IF(INDIRECT(CONCATENATE($FK$12,Fixtures!JC$25))=Fixtures!$DN45,CONCATENATE(JC$10,", "),""))</f>
        <v/>
      </c>
      <c r="JD45" s="713" t="str">
        <f ca="1">IF(INDIRECT(CONCATENATE($FK$12,Fixtures!JD$25))="","",IF(INDIRECT(CONCATENATE($FK$12,Fixtures!JD$25))=Fixtures!$DN45,CONCATENATE(JD$10,", "),""))</f>
        <v/>
      </c>
      <c r="JE45" s="713" t="str">
        <f ca="1">IF(INDIRECT(CONCATENATE($FK$12,Fixtures!JE$25))="","",IF(INDIRECT(CONCATENATE($FK$12,Fixtures!JE$25))=Fixtures!$DN45,CONCATENATE(JE$10,", "),""))</f>
        <v/>
      </c>
      <c r="JF45" s="684" t="str">
        <f ca="1">IF(INDIRECT(CONCATENATE($FK$12,Fixtures!JF$25))="","",IF(INDIRECT(CONCATENATE($FK$12,Fixtures!JF$25))=Fixtures!$DN45,CONCATENATE(JF$10,", "),""))</f>
        <v/>
      </c>
      <c r="JG45" s="685" t="str">
        <f ca="1">IF(INDIRECT(CONCATENATE($FK$12,Fixtures!JG$25))="","",IF(INDIRECT(CONCATENATE($FK$12,Fixtures!JG$25))=Fixtures!$DN45,CONCATENATE(JG$10,", "),""))</f>
        <v/>
      </c>
      <c r="JH45" s="713" t="str">
        <f ca="1">IF(INDIRECT(CONCATENATE($FK$12,Fixtures!JH$25))="","",IF(INDIRECT(CONCATENATE($FK$12,Fixtures!JH$25))=Fixtures!$DN45,CONCATENATE(JH$10,", "),""))</f>
        <v/>
      </c>
      <c r="JI45" s="713" t="str">
        <f ca="1">IF(INDIRECT(CONCATENATE($FK$12,Fixtures!JI$25))="","",IF(INDIRECT(CONCATENATE($FK$12,Fixtures!JI$25))=Fixtures!$DN45,CONCATENATE(JI$10,", "),""))</f>
        <v/>
      </c>
      <c r="JJ45" s="713" t="str">
        <f ca="1">IF(INDIRECT(CONCATENATE($FK$12,Fixtures!JJ$25))="","",IF(INDIRECT(CONCATENATE($FK$12,Fixtures!JJ$25))=Fixtures!$DN45,CONCATENATE(JJ$10,", "),""))</f>
        <v/>
      </c>
      <c r="JK45" s="713" t="str">
        <f ca="1">IF(INDIRECT(CONCATENATE($FK$12,Fixtures!JK$25))="","",IF(INDIRECT(CONCATENATE($FK$12,Fixtures!JK$25))=Fixtures!$DN45,CONCATENATE(JK$10,", "),""))</f>
        <v/>
      </c>
      <c r="JL45" s="713" t="str">
        <f ca="1">IF(INDIRECT(CONCATENATE($FK$12,Fixtures!JL$25))="","",IF(INDIRECT(CONCATENATE($FK$12,Fixtures!JL$25))=Fixtures!$DN45,CONCATENATE(JL$10,", "),""))</f>
        <v/>
      </c>
      <c r="JM45" s="713" t="str">
        <f ca="1">IF(INDIRECT(CONCATENATE($FK$12,Fixtures!JM$25))="","",IF(INDIRECT(CONCATENATE($FK$12,Fixtures!JM$25))=Fixtures!$DN45,CONCATENATE(JM$10,", "),""))</f>
        <v/>
      </c>
      <c r="JN45" s="713" t="str">
        <f ca="1">IF(INDIRECT(CONCATENATE($FK$12,Fixtures!JN$25))="","",IF(INDIRECT(CONCATENATE($FK$12,Fixtures!JN$25))=Fixtures!$DN45,CONCATENATE(JN$10,", "),""))</f>
        <v/>
      </c>
      <c r="JO45" s="713" t="str">
        <f ca="1">IF(INDIRECT(CONCATENATE($FK$12,Fixtures!JO$25))="","",IF(INDIRECT(CONCATENATE($FK$12,Fixtures!JO$25))=Fixtures!$DN45,CONCATENATE(JO$10,", "),""))</f>
        <v/>
      </c>
      <c r="JP45" s="713" t="str">
        <f ca="1">IF(INDIRECT(CONCATENATE($FK$12,Fixtures!JP$25))="","",IF(INDIRECT(CONCATENATE($FK$12,Fixtures!JP$25))=Fixtures!$DN45,CONCATENATE(JP$10,", "),""))</f>
        <v/>
      </c>
      <c r="JQ45" s="713" t="str">
        <f ca="1">IF(INDIRECT(CONCATENATE($FK$12,Fixtures!JQ$25))="","",IF(INDIRECT(CONCATENATE($FK$12,Fixtures!JQ$25))=Fixtures!$DN45,CONCATENATE(JQ$10,", "),""))</f>
        <v/>
      </c>
      <c r="JR45" s="713" t="str">
        <f ca="1">IF(INDIRECT(CONCATENATE($FK$12,Fixtures!JR$25))="","",IF(INDIRECT(CONCATENATE($FK$12,Fixtures!JR$25))=Fixtures!$DN45,CONCATENATE(JR$10,", "),""))</f>
        <v/>
      </c>
      <c r="JS45" s="713" t="str">
        <f ca="1">IF(INDIRECT(CONCATENATE($FK$12,Fixtures!JS$25))="","",IF(INDIRECT(CONCATENATE($FK$12,Fixtures!JS$25))=Fixtures!$DN45,CONCATENATE(JS$10,", "),""))</f>
        <v/>
      </c>
      <c r="JT45" s="713" t="str">
        <f ca="1">IF(INDIRECT(CONCATENATE($FK$12,Fixtures!JT$25))="","",IF(INDIRECT(CONCATENATE($FK$12,Fixtures!JT$25))=Fixtures!$DN45,CONCATENATE(JT$10,", "),""))</f>
        <v/>
      </c>
      <c r="JU45" s="684" t="str">
        <f ca="1">IF(INDIRECT(CONCATENATE($FK$12,Fixtures!JU$25))="","",IF(INDIRECT(CONCATENATE($FK$12,Fixtures!JU$25))=Fixtures!$DN45,CONCATENATE(JU$10,", "),""))</f>
        <v/>
      </c>
      <c r="JV45" s="685" t="str">
        <f ca="1">IF(INDIRECT(CONCATENATE($FK$12,Fixtures!JV$25))="","",IF(INDIRECT(CONCATENATE($FK$12,Fixtures!JV$25))=Fixtures!$DN45,CONCATENATE(JV$10,", "),""))</f>
        <v/>
      </c>
      <c r="JW45" s="713" t="str">
        <f ca="1">IF(INDIRECT(CONCATENATE($FK$12,Fixtures!JW$25))="","",IF(INDIRECT(CONCATENATE($FK$12,Fixtures!JW$25))=Fixtures!$DN45,CONCATENATE(JW$10,", "),""))</f>
        <v/>
      </c>
      <c r="JX45" s="713" t="str">
        <f ca="1">IF(INDIRECT(CONCATENATE($FK$12,Fixtures!JX$25))="","",IF(INDIRECT(CONCATENATE($FK$12,Fixtures!JX$25))=Fixtures!$DN45,CONCATENATE(JX$10,", "),""))</f>
        <v/>
      </c>
      <c r="JY45" s="713" t="str">
        <f ca="1">IF(INDIRECT(CONCATENATE($FK$12,Fixtures!JY$25))="","",IF(INDIRECT(CONCATENATE($FK$12,Fixtures!JY$25))=Fixtures!$DN45,CONCATENATE(JY$10,", "),""))</f>
        <v/>
      </c>
      <c r="JZ45" s="713" t="str">
        <f ca="1">IF(INDIRECT(CONCATENATE($FK$12,Fixtures!JZ$25))="","",IF(INDIRECT(CONCATENATE($FK$12,Fixtures!JZ$25))=Fixtures!$DN45,CONCATENATE(JZ$10,", "),""))</f>
        <v/>
      </c>
      <c r="KA45" s="713" t="str">
        <f ca="1">IF(INDIRECT(CONCATENATE($FK$12,Fixtures!KA$25))="","",IF(INDIRECT(CONCATENATE($FK$12,Fixtures!KA$25))=Fixtures!$DN45,CONCATENATE(KA$10,", "),""))</f>
        <v/>
      </c>
      <c r="KB45" s="713" t="str">
        <f ca="1">IF(INDIRECT(CONCATENATE($FK$12,Fixtures!KB$25))="","",IF(INDIRECT(CONCATENATE($FK$12,Fixtures!KB$25))=Fixtures!$DN45,CONCATENATE(KB$10,", "),""))</f>
        <v/>
      </c>
      <c r="KC45" s="713" t="str">
        <f ca="1">IF(INDIRECT(CONCATENATE($FK$12,Fixtures!KC$25))="","",IF(INDIRECT(CONCATENATE($FK$12,Fixtures!KC$25))=Fixtures!$DN45,CONCATENATE(KC$10,", "),""))</f>
        <v/>
      </c>
      <c r="KD45" s="713" t="str">
        <f ca="1">IF(INDIRECT(CONCATENATE($FK$12,Fixtures!KD$25))="","",IF(INDIRECT(CONCATENATE($FK$12,Fixtures!KD$25))=Fixtures!$DN45,CONCATENATE(KD$10,", "),""))</f>
        <v/>
      </c>
      <c r="KE45" s="713" t="str">
        <f ca="1">IF(INDIRECT(CONCATENATE($FK$12,Fixtures!KE$25))="","",IF(INDIRECT(CONCATENATE($FK$12,Fixtures!KE$25))=Fixtures!$DN45,CONCATENATE(KE$10,", "),""))</f>
        <v/>
      </c>
      <c r="KF45" s="713" t="str">
        <f ca="1">IF(INDIRECT(CONCATENATE($FK$12,Fixtures!KF$25))="","",IF(INDIRECT(CONCATENATE($FK$12,Fixtures!KF$25))=Fixtures!$DN45,CONCATENATE(KF$10,", "),""))</f>
        <v/>
      </c>
      <c r="KG45" s="713" t="str">
        <f ca="1">IF(INDIRECT(CONCATENATE($FK$12,Fixtures!KG$25))="","",IF(INDIRECT(CONCATENATE($FK$12,Fixtures!KG$25))=Fixtures!$DN45,CONCATENATE(KG$10,", "),""))</f>
        <v/>
      </c>
      <c r="KH45" s="713" t="str">
        <f ca="1">IF(INDIRECT(CONCATENATE($FK$12,Fixtures!KH$25))="","",IF(INDIRECT(CONCATENATE($FK$12,Fixtures!KH$25))=Fixtures!$DN45,CONCATENATE(KH$10,", "),""))</f>
        <v/>
      </c>
      <c r="KI45" s="713" t="str">
        <f ca="1">IF(INDIRECT(CONCATENATE($FK$12,Fixtures!KI$25))="","",IF(INDIRECT(CONCATENATE($FK$12,Fixtures!KI$25))=Fixtures!$DN45,CONCATENATE(KI$10,", "),""))</f>
        <v/>
      </c>
      <c r="KJ45" s="684" t="str">
        <f ca="1">IF(INDIRECT(CONCATENATE($FK$12,Fixtures!KJ$25))="","",IF(INDIRECT(CONCATENATE($FK$12,Fixtures!KJ$25))=Fixtures!$DN45,CONCATENATE(KJ$10,", "),""))</f>
        <v/>
      </c>
      <c r="KK45" s="685" t="str">
        <f ca="1">IF(INDIRECT(CONCATENATE($FK$12,Fixtures!KK$25))="","",IF(INDIRECT(CONCATENATE($FK$12,Fixtures!KK$25))=Fixtures!$DN45,CONCATENATE(KK$10,", "),""))</f>
        <v/>
      </c>
      <c r="KL45" s="713" t="str">
        <f ca="1">IF(INDIRECT(CONCATENATE($FK$12,Fixtures!KL$25))="","",IF(INDIRECT(CONCATENATE($FK$12,Fixtures!KL$25))=Fixtures!$DN45,CONCATENATE(KL$10,", "),""))</f>
        <v/>
      </c>
      <c r="KM45" s="713" t="str">
        <f ca="1">IF(INDIRECT(CONCATENATE($FK$12,Fixtures!KM$25))="","",IF(INDIRECT(CONCATENATE($FK$12,Fixtures!KM$25))=Fixtures!$DN45,CONCATENATE(KM$10,", "),""))</f>
        <v/>
      </c>
      <c r="KN45" s="713" t="str">
        <f ca="1">IF(INDIRECT(CONCATENATE($FK$12,Fixtures!KN$25))="","",IF(INDIRECT(CONCATENATE($FK$12,Fixtures!KN$25))=Fixtures!$DN45,CONCATENATE(KN$10,", "),""))</f>
        <v/>
      </c>
      <c r="KO45" s="713" t="str">
        <f ca="1">IF(INDIRECT(CONCATENATE($FK$12,Fixtures!KO$25))="","",IF(INDIRECT(CONCATENATE($FK$12,Fixtures!KO$25))=Fixtures!$DN45,CONCATENATE(KO$10,", "),""))</f>
        <v/>
      </c>
      <c r="KP45" s="713" t="str">
        <f ca="1">IF(INDIRECT(CONCATENATE($FK$12,Fixtures!KP$25))="","",IF(INDIRECT(CONCATENATE($FK$12,Fixtures!KP$25))=Fixtures!$DN45,CONCATENATE(KP$10,", "),""))</f>
        <v/>
      </c>
      <c r="KQ45" s="713" t="str">
        <f ca="1">IF(INDIRECT(CONCATENATE($FK$12,Fixtures!KQ$25))="","",IF(INDIRECT(CONCATENATE($FK$12,Fixtures!KQ$25))=Fixtures!$DN45,CONCATENATE(KQ$10,", "),""))</f>
        <v/>
      </c>
      <c r="KR45" s="713" t="str">
        <f ca="1">IF(INDIRECT(CONCATENATE($FK$12,Fixtures!KR$25))="","",IF(INDIRECT(CONCATENATE($FK$12,Fixtures!KR$25))=Fixtures!$DN45,CONCATENATE(KR$10,", "),""))</f>
        <v/>
      </c>
      <c r="KS45" s="713" t="str">
        <f ca="1">IF(INDIRECT(CONCATENATE($FK$12,Fixtures!KS$25))="","",IF(INDIRECT(CONCATENATE($FK$12,Fixtures!KS$25))=Fixtures!$DN45,CONCATENATE(KS$10,", "),""))</f>
        <v/>
      </c>
      <c r="KT45" s="713" t="str">
        <f ca="1">IF(INDIRECT(CONCATENATE($FK$12,Fixtures!KT$25))="","",IF(INDIRECT(CONCATENATE($FK$12,Fixtures!KT$25))=Fixtures!$DN45,CONCATENATE(KT$10,", "),""))</f>
        <v/>
      </c>
      <c r="KU45" s="713" t="str">
        <f ca="1">IF(INDIRECT(CONCATENATE($FK$12,Fixtures!KU$25))="","",IF(INDIRECT(CONCATENATE($FK$12,Fixtures!KU$25))=Fixtures!$DN45,CONCATENATE(KU$10,", "),""))</f>
        <v/>
      </c>
      <c r="KV45" s="713" t="str">
        <f ca="1">IF(INDIRECT(CONCATENATE($FK$12,Fixtures!KV$25))="","",IF(INDIRECT(CONCATENATE($FK$12,Fixtures!KV$25))=Fixtures!$DN45,CONCATENATE(KV$10,", "),""))</f>
        <v/>
      </c>
      <c r="KW45" s="713" t="str">
        <f ca="1">IF(INDIRECT(CONCATENATE($FK$12,Fixtures!KW$25))="","",IF(INDIRECT(CONCATENATE($FK$12,Fixtures!KW$25))=Fixtures!$DN45,CONCATENATE(KW$10,", "),""))</f>
        <v/>
      </c>
      <c r="KX45" s="713" t="str">
        <f ca="1">IF(INDIRECT(CONCATENATE($FK$12,Fixtures!KX$25))="","",IF(INDIRECT(CONCATENATE($FK$12,Fixtures!KX$25))=Fixtures!$DN45,CONCATENATE(KX$10,", "),""))</f>
        <v/>
      </c>
      <c r="KY45" s="713" t="str">
        <f ca="1">IF(INDIRECT(CONCATENATE($FK$12,Fixtures!KY$25))="","",IF(INDIRECT(CONCATENATE($FK$12,Fixtures!KY$25))=Fixtures!$DN45,CONCATENATE(KY$10,", "),""))</f>
        <v/>
      </c>
      <c r="KZ45" s="46"/>
      <c r="LA45" s="46" t="str">
        <f t="shared" ca="1" si="8"/>
        <v/>
      </c>
    </row>
    <row r="46" spans="1:313" ht="28.05" customHeight="1" thickTop="1" thickBot="1">
      <c r="A46" s="471" t="str">
        <f t="shared" si="13"/>
        <v/>
      </c>
      <c r="C46" s="1328" t="str">
        <f t="shared" si="14"/>
        <v/>
      </c>
      <c r="D46" s="1329"/>
      <c r="E46" s="1256" t="str">
        <f t="shared" si="15"/>
        <v/>
      </c>
      <c r="F46" s="1257"/>
      <c r="G46" s="1257"/>
      <c r="H46" s="1257"/>
      <c r="I46" s="1257"/>
      <c r="J46" s="1257"/>
      <c r="K46" s="1257"/>
      <c r="L46" s="1257"/>
      <c r="M46" s="1330"/>
      <c r="N46" s="239" t="str">
        <f t="shared" si="16"/>
        <v/>
      </c>
      <c r="O46" s="12"/>
      <c r="P46" s="1326" t="str">
        <f t="shared" si="25"/>
        <v/>
      </c>
      <c r="Q46" s="1327"/>
      <c r="R46" s="1256" t="str">
        <f t="shared" si="31"/>
        <v/>
      </c>
      <c r="S46" s="1257"/>
      <c r="T46" s="1257"/>
      <c r="U46" s="1257"/>
      <c r="V46" s="1257"/>
      <c r="W46" s="1257"/>
      <c r="X46" s="1257"/>
      <c r="Y46" s="239" t="str">
        <f t="shared" si="27"/>
        <v/>
      </c>
      <c r="Z46" s="239" t="str">
        <f t="shared" si="28"/>
        <v/>
      </c>
      <c r="AA46" s="439" t="str">
        <f t="shared" si="29"/>
        <v/>
      </c>
      <c r="AB46" s="542"/>
      <c r="AC46" s="1253" t="str">
        <f t="shared" si="17"/>
        <v/>
      </c>
      <c r="AD46" s="1166"/>
      <c r="AE46" s="1166"/>
      <c r="AF46" s="1166"/>
      <c r="AG46" s="1166"/>
      <c r="AH46" s="1166"/>
      <c r="AK46">
        <f>SUMIFS(Installations!CS$39:CS$800,Installations!CT$39:CT$800,E46,Installations!HX$39:HX$800,TRUE)</f>
        <v>0</v>
      </c>
      <c r="AL46">
        <f>SUMIFS(Installations!CS$39:CS$800,Installations!CT$39:CT$800,R46,Installations!HX$39:HX$800,TRUE)</f>
        <v>0</v>
      </c>
      <c r="BK46" s="48"/>
      <c r="BL46" s="9"/>
      <c r="BM46" s="703" t="str">
        <f t="shared" si="18"/>
        <v/>
      </c>
      <c r="BN46" s="52"/>
      <c r="BO46" s="52"/>
      <c r="BP46" s="52"/>
      <c r="BQ46" s="52"/>
      <c r="BR46" s="52"/>
      <c r="BS46" s="52"/>
      <c r="BT46" s="52"/>
      <c r="BU46" s="414"/>
      <c r="BV46" s="255" t="str">
        <f>IF(CN46&lt;&gt;"Yes","",IFERROR(VLOOKUP(CU46,Existing!A$4:F$364,2,FALSE),""))</f>
        <v/>
      </c>
      <c r="BW46" s="9">
        <v>20</v>
      </c>
      <c r="BX46" s="1313"/>
      <c r="BY46" s="1314"/>
      <c r="BZ46" s="1314"/>
      <c r="CA46" s="1315"/>
      <c r="CB46" s="1310"/>
      <c r="CC46" s="1311"/>
      <c r="CD46" s="1311"/>
      <c r="CE46" s="1312"/>
      <c r="CF46" s="1309"/>
      <c r="CG46" s="1309"/>
      <c r="CH46" s="1309"/>
      <c r="CI46" s="1309"/>
      <c r="CJ46" s="1309"/>
      <c r="CK46" s="1309"/>
      <c r="CL46" s="1309"/>
      <c r="CM46" s="1309"/>
      <c r="CN46" s="1243" t="str">
        <f t="shared" si="0"/>
        <v/>
      </c>
      <c r="CO46" s="1244"/>
      <c r="CP46" s="265" t="str">
        <f>IFERROR(IF(CB46="Existing TLED",CR46*CW46*CY46,VLOOKUP(CU46,Existing!A$3:F$353,6,FALSE)),"")</f>
        <v/>
      </c>
      <c r="CQ46" s="9"/>
      <c r="CR46" s="1343"/>
      <c r="CS46" s="1344"/>
      <c r="CT46" s="9"/>
      <c r="CU46" s="470" t="str">
        <f t="shared" si="21"/>
        <v/>
      </c>
      <c r="CV46" s="471" t="b">
        <f t="shared" si="22"/>
        <v>0</v>
      </c>
      <c r="CW46" s="471" t="str">
        <f t="shared" si="23"/>
        <v/>
      </c>
      <c r="CX46" s="471">
        <f>IFERROR(VLOOKUP(CF46,Lookup!M$100:O$102,3,FALSE),0)</f>
        <v>0</v>
      </c>
      <c r="CY46" s="471">
        <f t="shared" si="9"/>
        <v>1.1100000000000001</v>
      </c>
      <c r="CZ46" s="707" t="b">
        <f t="shared" si="1"/>
        <v>0</v>
      </c>
      <c r="DA46" s="707" t="b">
        <f>IF(CF46&lt;&gt;"",IF(ISERROR(MATCH(CONCATENATE(CB46," - ",CF46),Existing!G$4:G$328,0))=TRUE,FALSE,TRUE),TRUE)</f>
        <v>1</v>
      </c>
      <c r="DB46" s="707" t="b">
        <f t="shared" si="2"/>
        <v>1</v>
      </c>
      <c r="DK46" s="48"/>
      <c r="DL46" s="9"/>
      <c r="DM46" s="708" t="s">
        <v>166</v>
      </c>
      <c r="DN46" s="416" t="str">
        <f t="shared" si="3"/>
        <v/>
      </c>
      <c r="DO46" s="52"/>
      <c r="DP46" s="52"/>
      <c r="DQ46" s="52"/>
      <c r="DR46" s="52"/>
      <c r="DS46" s="52"/>
      <c r="DT46" s="262"/>
      <c r="DU46" s="417"/>
      <c r="DV46" s="263" t="str">
        <f t="shared" si="4"/>
        <v/>
      </c>
      <c r="DW46" s="260">
        <v>20</v>
      </c>
      <c r="DX46" s="1306"/>
      <c r="DY46" s="1307"/>
      <c r="DZ46" s="1307"/>
      <c r="EA46" s="1308"/>
      <c r="EB46" s="1306"/>
      <c r="EC46" s="1307"/>
      <c r="ED46" s="1307"/>
      <c r="EE46" s="1308"/>
      <c r="EF46" s="1266"/>
      <c r="EG46" s="1267"/>
      <c r="EH46" s="1306"/>
      <c r="EI46" s="1307"/>
      <c r="EJ46" s="1307"/>
      <c r="EK46" s="1308"/>
      <c r="EL46" s="1263"/>
      <c r="EM46" s="1264"/>
      <c r="EN46" s="1264"/>
      <c r="EO46" s="1265"/>
      <c r="EP46" s="1266"/>
      <c r="EQ46" s="1267"/>
      <c r="ER46" s="1245"/>
      <c r="ES46" s="1246"/>
      <c r="ET46" s="1243" t="str">
        <f t="shared" si="5"/>
        <v/>
      </c>
      <c r="EU46" s="1244"/>
      <c r="EV46" s="1243" t="str">
        <f t="shared" si="30"/>
        <v/>
      </c>
      <c r="EW46" s="1244"/>
      <c r="EX46" s="438"/>
      <c r="EY46" s="261" t="str">
        <f t="shared" si="7"/>
        <v/>
      </c>
      <c r="EZ46" s="261" t="str">
        <f>IFERROR(VLOOKUP(EB46,Lookup!AM$3:AN$13,2,FALSE),"")</f>
        <v/>
      </c>
      <c r="FA46" s="471" t="b">
        <f>IFERROR(IF(VLOOKUP(EB46,Lookup!AM$6:AN$8,2,FALSE)&gt;3,TRUE,FALSE),FALSE)</f>
        <v>0</v>
      </c>
      <c r="FB46" s="471">
        <f t="shared" si="11"/>
        <v>1</v>
      </c>
      <c r="FC46" t="str">
        <f t="shared" ca="1" si="10"/>
        <v/>
      </c>
      <c r="FG46" t="str">
        <f t="shared" ca="1" si="12"/>
        <v/>
      </c>
      <c r="FI46" s="240" t="str">
        <f t="shared" ca="1" si="24"/>
        <v/>
      </c>
      <c r="FJ46" s="240"/>
      <c r="FK46" s="712" t="str">
        <f ca="1">IF(INDIRECT(CONCATENATE($FK$12,Fixtures!FK$25))="","",IF(INDIRECT(CONCATENATE($FK$12,Fixtures!FK$25))=Fixtures!$DN46,CONCATENATE(FK$10,", "),""))</f>
        <v/>
      </c>
      <c r="FL46" s="712" t="str">
        <f ca="1">IF(INDIRECT(CONCATENATE($FK$12,Fixtures!FL$25))="","",IF(INDIRECT(CONCATENATE($FK$12,Fixtures!FL$25))=Fixtures!$DN46,CONCATENATE(FL$10,", "),""))</f>
        <v/>
      </c>
      <c r="FM46" s="712" t="str">
        <f ca="1">IF(INDIRECT(CONCATENATE($FK$12,Fixtures!FM$25))="","",IF(INDIRECT(CONCATENATE($FK$12,Fixtures!FM$25))=Fixtures!$DN46,CONCATENATE(FM$10,", "),""))</f>
        <v/>
      </c>
      <c r="FN46" s="712" t="str">
        <f ca="1">IF(INDIRECT(CONCATENATE($FK$12,Fixtures!FN$25))="","",IF(INDIRECT(CONCATENATE($FK$12,Fixtures!FN$25))=Fixtures!$DN46,CONCATENATE(FN$10,", "),""))</f>
        <v/>
      </c>
      <c r="FO46" s="712" t="str">
        <f ca="1">IF(INDIRECT(CONCATENATE($FK$12,Fixtures!FO$25))="","",IF(INDIRECT(CONCATENATE($FK$12,Fixtures!FO$25))=Fixtures!$DN46,CONCATENATE(FO$10,", "),""))</f>
        <v/>
      </c>
      <c r="FP46" s="712" t="str">
        <f ca="1">IF(INDIRECT(CONCATENATE($FK$12,Fixtures!FP$25))="","",IF(INDIRECT(CONCATENATE($FK$12,Fixtures!FP$25))=Fixtures!$DN46,CONCATENATE(FP$10,", "),""))</f>
        <v/>
      </c>
      <c r="FQ46" s="712" t="str">
        <f ca="1">IF(INDIRECT(CONCATENATE($FK$12,Fixtures!FQ$25))="","",IF(INDIRECT(CONCATENATE($FK$12,Fixtures!FQ$25))=Fixtures!$DN46,CONCATENATE(FQ$10,", "),""))</f>
        <v/>
      </c>
      <c r="FR46" s="712" t="str">
        <f ca="1">IF(INDIRECT(CONCATENATE($FK$12,Fixtures!FR$25))="","",IF(INDIRECT(CONCATENATE($FK$12,Fixtures!FR$25))=Fixtures!$DN46,CONCATENATE(FR$10,", "),""))</f>
        <v/>
      </c>
      <c r="FS46" s="712" t="str">
        <f ca="1">IF(INDIRECT(CONCATENATE($FK$12,Fixtures!FS$25))="","",IF(INDIRECT(CONCATENATE($FK$12,Fixtures!FS$25))=Fixtures!$DN46,CONCATENATE(FS$10,", "),""))</f>
        <v/>
      </c>
      <c r="FT46" s="682" t="str">
        <f ca="1">IF(INDIRECT(CONCATENATE($FK$12,Fixtures!FT$25))="","",IF(INDIRECT(CONCATENATE($FK$12,Fixtures!FT$25))=Fixtures!$DN46,CONCATENATE(FT$10,", "),""))</f>
        <v/>
      </c>
      <c r="FU46" s="683" t="str">
        <f ca="1">IF(INDIRECT(CONCATENATE($FK$12,Fixtures!FU$25))="","",IF(INDIRECT(CONCATENATE($FK$12,Fixtures!FU$25))=Fixtures!$DN46,CONCATENATE(FU$10,", "),""))</f>
        <v/>
      </c>
      <c r="FV46" s="712" t="str">
        <f ca="1">IF(INDIRECT(CONCATENATE($FK$12,Fixtures!FV$25))="","",IF(INDIRECT(CONCATENATE($FK$12,Fixtures!FV$25))=Fixtures!$DN46,CONCATENATE(FV$10,", "),""))</f>
        <v/>
      </c>
      <c r="FW46" s="713" t="str">
        <f ca="1">IF(INDIRECT(CONCATENATE($FK$12,Fixtures!FW$25))="","",IF(INDIRECT(CONCATENATE($FK$12,Fixtures!FW$25))=Fixtures!$DN46,CONCATENATE(FW$10,", "),""))</f>
        <v/>
      </c>
      <c r="FX46" s="713" t="str">
        <f ca="1">IF(INDIRECT(CONCATENATE($FK$12,Fixtures!FX$25))="","",IF(INDIRECT(CONCATENATE($FK$12,Fixtures!FX$25))=Fixtures!$DN46,CONCATENATE(FX$10,", "),""))</f>
        <v/>
      </c>
      <c r="FY46" s="713" t="str">
        <f ca="1">IF(INDIRECT(CONCATENATE($FK$12,Fixtures!FY$25))="","",IF(INDIRECT(CONCATENATE($FK$12,Fixtures!FY$25))=Fixtures!$DN46,CONCATENATE(FY$10,", "),""))</f>
        <v/>
      </c>
      <c r="FZ46" s="713" t="str">
        <f ca="1">IF(INDIRECT(CONCATENATE($FK$12,Fixtures!FZ$25))="","",IF(INDIRECT(CONCATENATE($FK$12,Fixtures!FZ$25))=Fixtures!$DN46,CONCATENATE(FZ$10,", "),""))</f>
        <v/>
      </c>
      <c r="GA46" s="713" t="str">
        <f ca="1">IF(INDIRECT(CONCATENATE($FK$12,Fixtures!GA$25))="","",IF(INDIRECT(CONCATENATE($FK$12,Fixtures!GA$25))=Fixtures!$DN46,CONCATENATE(GA$10,", "),""))</f>
        <v/>
      </c>
      <c r="GB46" s="713" t="str">
        <f ca="1">IF(INDIRECT(CONCATENATE($FK$12,Fixtures!GB$25))="","",IF(INDIRECT(CONCATENATE($FK$12,Fixtures!GB$25))=Fixtures!$DN46,CONCATENATE(GB$10,", "),""))</f>
        <v/>
      </c>
      <c r="GC46" s="713" t="str">
        <f ca="1">IF(INDIRECT(CONCATENATE($FK$12,Fixtures!GC$25))="","",IF(INDIRECT(CONCATENATE($FK$12,Fixtures!GC$25))=Fixtures!$DN46,CONCATENATE(GC$10,", "),""))</f>
        <v/>
      </c>
      <c r="GD46" s="713" t="str">
        <f ca="1">IF(INDIRECT(CONCATENATE($FK$12,Fixtures!GD$25))="","",IF(INDIRECT(CONCATENATE($FK$12,Fixtures!GD$25))=Fixtures!$DN46,CONCATENATE(GD$10,", "),""))</f>
        <v/>
      </c>
      <c r="GE46" s="713" t="str">
        <f ca="1">IF(INDIRECT(CONCATENATE($FK$12,Fixtures!GE$25))="","",IF(INDIRECT(CONCATENATE($FK$12,Fixtures!GE$25))=Fixtures!$DN46,CONCATENATE(GE$10,", "),""))</f>
        <v/>
      </c>
      <c r="GF46" s="713" t="str">
        <f ca="1">IF(INDIRECT(CONCATENATE($FK$12,Fixtures!GF$25))="","",IF(INDIRECT(CONCATENATE($FK$12,Fixtures!GF$25))=Fixtures!$DN46,CONCATENATE(GF$10,", "),""))</f>
        <v/>
      </c>
      <c r="GG46" s="713" t="str">
        <f ca="1">IF(INDIRECT(CONCATENATE($FK$12,Fixtures!GG$25))="","",IF(INDIRECT(CONCATENATE($FK$12,Fixtures!GG$25))=Fixtures!$DN46,CONCATENATE(GG$10,", "),""))</f>
        <v/>
      </c>
      <c r="GH46" s="713" t="str">
        <f ca="1">IF(INDIRECT(CONCATENATE($FK$12,Fixtures!GH$25))="","",IF(INDIRECT(CONCATENATE($FK$12,Fixtures!GH$25))=Fixtures!$DN46,CONCATENATE(GH$10,", "),""))</f>
        <v/>
      </c>
      <c r="GI46" s="684" t="str">
        <f ca="1">IF(INDIRECT(CONCATENATE($FK$12,Fixtures!GI$25))="","",IF(INDIRECT(CONCATENATE($FK$12,Fixtures!GI$25))=Fixtures!$DN46,CONCATENATE(GI$10,", "),""))</f>
        <v/>
      </c>
      <c r="GJ46" s="685" t="str">
        <f ca="1">IF(INDIRECT(CONCATENATE($FK$12,Fixtures!GJ$25))="","",IF(INDIRECT(CONCATENATE($FK$12,Fixtures!GJ$25))=Fixtures!$DN46,CONCATENATE(GJ$10,", "),""))</f>
        <v/>
      </c>
      <c r="GK46" s="713" t="str">
        <f ca="1">IF(INDIRECT(CONCATENATE($FK$12,Fixtures!GK$25))="","",IF(INDIRECT(CONCATENATE($FK$12,Fixtures!GK$25))=Fixtures!$DN46,CONCATENATE(GK$10,", "),""))</f>
        <v/>
      </c>
      <c r="GL46" s="713" t="str">
        <f ca="1">IF(INDIRECT(CONCATENATE($FK$12,Fixtures!GL$25))="","",IF(INDIRECT(CONCATENATE($FK$12,Fixtures!GL$25))=Fixtures!$DN46,CONCATENATE(GL$10,", "),""))</f>
        <v/>
      </c>
      <c r="GM46" s="713" t="str">
        <f ca="1">IF(INDIRECT(CONCATENATE($FK$12,Fixtures!GM$25))="","",IF(INDIRECT(CONCATENATE($FK$12,Fixtures!GM$25))=Fixtures!$DN46,CONCATENATE(GM$10,", "),""))</f>
        <v/>
      </c>
      <c r="GN46" s="713" t="str">
        <f ca="1">IF(INDIRECT(CONCATENATE($FK$12,Fixtures!GN$25))="","",IF(INDIRECT(CONCATENATE($FK$12,Fixtures!GN$25))=Fixtures!$DN46,CONCATENATE(GN$10,", "),""))</f>
        <v/>
      </c>
      <c r="GO46" s="713" t="str">
        <f ca="1">IF(INDIRECT(CONCATENATE($FK$12,Fixtures!GO$25))="","",IF(INDIRECT(CONCATENATE($FK$12,Fixtures!GO$25))=Fixtures!$DN46,CONCATENATE(GO$10,", "),""))</f>
        <v/>
      </c>
      <c r="GP46" s="713" t="str">
        <f ca="1">IF(INDIRECT(CONCATENATE($FK$12,Fixtures!GP$25))="","",IF(INDIRECT(CONCATENATE($FK$12,Fixtures!GP$25))=Fixtures!$DN46,CONCATENATE(GP$10,", "),""))</f>
        <v/>
      </c>
      <c r="GQ46" s="713" t="str">
        <f ca="1">IF(INDIRECT(CONCATENATE($FK$12,Fixtures!GQ$25))="","",IF(INDIRECT(CONCATENATE($FK$12,Fixtures!GQ$25))=Fixtures!$DN46,CONCATENATE(GQ$10,", "),""))</f>
        <v/>
      </c>
      <c r="GR46" s="713" t="str">
        <f ca="1">IF(INDIRECT(CONCATENATE($FK$12,Fixtures!GR$25))="","",IF(INDIRECT(CONCATENATE($FK$12,Fixtures!GR$25))=Fixtures!$DN46,CONCATENATE(GR$10,", "),""))</f>
        <v/>
      </c>
      <c r="GS46" s="713" t="str">
        <f ca="1">IF(INDIRECT(CONCATENATE($FK$12,Fixtures!GS$25))="","",IF(INDIRECT(CONCATENATE($FK$12,Fixtures!GS$25))=Fixtures!$DN46,CONCATENATE(GS$10,", "),""))</f>
        <v/>
      </c>
      <c r="GT46" s="713" t="str">
        <f ca="1">IF(INDIRECT(CONCATENATE($FK$12,Fixtures!GT$25))="","",IF(INDIRECT(CONCATENATE($FK$12,Fixtures!GT$25))=Fixtures!$DN46,CONCATENATE(GT$10,", "),""))</f>
        <v/>
      </c>
      <c r="GU46" s="713" t="str">
        <f ca="1">IF(INDIRECT(CONCATENATE($FK$12,Fixtures!GU$25))="","",IF(INDIRECT(CONCATENATE($FK$12,Fixtures!GU$25))=Fixtures!$DN46,CONCATENATE(GU$10,", "),""))</f>
        <v/>
      </c>
      <c r="GV46" s="713" t="str">
        <f ca="1">IF(INDIRECT(CONCATENATE($FK$12,Fixtures!GV$25))="","",IF(INDIRECT(CONCATENATE($FK$12,Fixtures!GV$25))=Fixtures!$DN46,CONCATENATE(GV$10,", "),""))</f>
        <v/>
      </c>
      <c r="GW46" s="713" t="str">
        <f ca="1">IF(INDIRECT(CONCATENATE($FK$12,Fixtures!GW$25))="","",IF(INDIRECT(CONCATENATE($FK$12,Fixtures!GW$25))=Fixtures!$DN46,CONCATENATE(GW$10,", "),""))</f>
        <v/>
      </c>
      <c r="GX46" s="684" t="str">
        <f ca="1">IF(INDIRECT(CONCATENATE($FK$12,Fixtures!GX$25))="","",IF(INDIRECT(CONCATENATE($FK$12,Fixtures!GX$25))=Fixtures!$DN46,CONCATENATE(GX$10,", "),""))</f>
        <v/>
      </c>
      <c r="GY46" s="685" t="str">
        <f ca="1">IF(INDIRECT(CONCATENATE($FK$12,Fixtures!GY$25))="","",IF(INDIRECT(CONCATENATE($FK$12,Fixtures!GY$25))=Fixtures!$DN46,CONCATENATE(GY$10,", "),""))</f>
        <v/>
      </c>
      <c r="GZ46" s="713" t="str">
        <f ca="1">IF(INDIRECT(CONCATENATE($FK$12,Fixtures!GZ$25))="","",IF(INDIRECT(CONCATENATE($FK$12,Fixtures!GZ$25))=Fixtures!$DN46,CONCATENATE(GZ$10,", "),""))</f>
        <v/>
      </c>
      <c r="HA46" s="713" t="str">
        <f ca="1">IF(INDIRECT(CONCATENATE($FK$12,Fixtures!HA$25))="","",IF(INDIRECT(CONCATENATE($FK$12,Fixtures!HA$25))=Fixtures!$DN46,CONCATENATE(HA$10,", "),""))</f>
        <v/>
      </c>
      <c r="HB46" s="713" t="str">
        <f ca="1">IF(INDIRECT(CONCATENATE($FK$12,Fixtures!HB$25))="","",IF(INDIRECT(CONCATENATE($FK$12,Fixtures!HB$25))=Fixtures!$DN46,CONCATENATE(HB$10,", "),""))</f>
        <v/>
      </c>
      <c r="HC46" s="713" t="str">
        <f ca="1">IF(INDIRECT(CONCATENATE($FK$12,Fixtures!HC$25))="","",IF(INDIRECT(CONCATENATE($FK$12,Fixtures!HC$25))=Fixtures!$DN46,CONCATENATE(HC$10,", "),""))</f>
        <v/>
      </c>
      <c r="HD46" s="713" t="str">
        <f ca="1">IF(INDIRECT(CONCATENATE($FK$12,Fixtures!HD$25))="","",IF(INDIRECT(CONCATENATE($FK$12,Fixtures!HD$25))=Fixtures!$DN46,CONCATENATE(HD$10,", "),""))</f>
        <v/>
      </c>
      <c r="HE46" s="713" t="str">
        <f ca="1">IF(INDIRECT(CONCATENATE($FK$12,Fixtures!HE$25))="","",IF(INDIRECT(CONCATENATE($FK$12,Fixtures!HE$25))=Fixtures!$DN46,CONCATENATE(HE$10,", "),""))</f>
        <v/>
      </c>
      <c r="HF46" s="713" t="str">
        <f ca="1">IF(INDIRECT(CONCATENATE($FK$12,Fixtures!HF$25))="","",IF(INDIRECT(CONCATENATE($FK$12,Fixtures!HF$25))=Fixtures!$DN46,CONCATENATE(HF$10,", "),""))</f>
        <v/>
      </c>
      <c r="HG46" s="713" t="str">
        <f ca="1">IF(INDIRECT(CONCATENATE($FK$12,Fixtures!HG$25))="","",IF(INDIRECT(CONCATENATE($FK$12,Fixtures!HG$25))=Fixtures!$DN46,CONCATENATE(HG$10,", "),""))</f>
        <v/>
      </c>
      <c r="HH46" s="713" t="str">
        <f ca="1">IF(INDIRECT(CONCATENATE($FK$12,Fixtures!HH$25))="","",IF(INDIRECT(CONCATENATE($FK$12,Fixtures!HH$25))=Fixtures!$DN46,CONCATENATE(HH$10,", "),""))</f>
        <v/>
      </c>
      <c r="HI46" s="713" t="str">
        <f ca="1">IF(INDIRECT(CONCATENATE($FK$12,Fixtures!HI$25))="","",IF(INDIRECT(CONCATENATE($FK$12,Fixtures!HI$25))=Fixtures!$DN46,CONCATENATE(HI$10,", "),""))</f>
        <v/>
      </c>
      <c r="HJ46" s="713" t="str">
        <f ca="1">IF(INDIRECT(CONCATENATE($FK$12,Fixtures!HJ$25))="","",IF(INDIRECT(CONCATENATE($FK$12,Fixtures!HJ$25))=Fixtures!$DN46,CONCATENATE(HJ$10,", "),""))</f>
        <v/>
      </c>
      <c r="HK46" s="713" t="str">
        <f ca="1">IF(INDIRECT(CONCATENATE($FK$12,Fixtures!HK$25))="","",IF(INDIRECT(CONCATENATE($FK$12,Fixtures!HK$25))=Fixtures!$DN46,CONCATENATE(HK$10,", "),""))</f>
        <v/>
      </c>
      <c r="HL46" s="713" t="str">
        <f ca="1">IF(INDIRECT(CONCATENATE($FK$12,Fixtures!HL$25))="","",IF(INDIRECT(CONCATENATE($FK$12,Fixtures!HL$25))=Fixtures!$DN46,CONCATENATE(HL$10,", "),""))</f>
        <v/>
      </c>
      <c r="HM46" s="684" t="str">
        <f ca="1">IF(INDIRECT(CONCATENATE($FK$12,Fixtures!HM$25))="","",IF(INDIRECT(CONCATENATE($FK$12,Fixtures!HM$25))=Fixtures!$DN46,CONCATENATE(HM$10,", "),""))</f>
        <v/>
      </c>
      <c r="HN46" s="685" t="str">
        <f ca="1">IF(INDIRECT(CONCATENATE($FK$12,Fixtures!HN$25))="","",IF(INDIRECT(CONCATENATE($FK$12,Fixtures!HN$25))=Fixtures!$DN46,CONCATENATE(HN$10,", "),""))</f>
        <v/>
      </c>
      <c r="HO46" s="713" t="str">
        <f ca="1">IF(INDIRECT(CONCATENATE($FK$12,Fixtures!HO$25))="","",IF(INDIRECT(CONCATENATE($FK$12,Fixtures!HO$25))=Fixtures!$DN46,CONCATENATE(HO$10,", "),""))</f>
        <v/>
      </c>
      <c r="HP46" s="713" t="str">
        <f ca="1">IF(INDIRECT(CONCATENATE($FK$12,Fixtures!HP$25))="","",IF(INDIRECT(CONCATENATE($FK$12,Fixtures!HP$25))=Fixtures!$DN46,CONCATENATE(HP$10,", "),""))</f>
        <v/>
      </c>
      <c r="HQ46" s="713" t="str">
        <f ca="1">IF(INDIRECT(CONCATENATE($FK$12,Fixtures!HQ$25))="","",IF(INDIRECT(CONCATENATE($FK$12,Fixtures!HQ$25))=Fixtures!$DN46,CONCATENATE(HQ$10,", "),""))</f>
        <v/>
      </c>
      <c r="HR46" s="713" t="str">
        <f ca="1">IF(INDIRECT(CONCATENATE($FK$12,Fixtures!HR$25))="","",IF(INDIRECT(CONCATENATE($FK$12,Fixtures!HR$25))=Fixtures!$DN46,CONCATENATE(HR$10,", "),""))</f>
        <v/>
      </c>
      <c r="HS46" s="713" t="str">
        <f ca="1">IF(INDIRECT(CONCATENATE($FK$12,Fixtures!HS$25))="","",IF(INDIRECT(CONCATENATE($FK$12,Fixtures!HS$25))=Fixtures!$DN46,CONCATENATE(HS$10,", "),""))</f>
        <v/>
      </c>
      <c r="HT46" s="713" t="str">
        <f ca="1">IF(INDIRECT(CONCATENATE($FK$12,Fixtures!HT$25))="","",IF(INDIRECT(CONCATENATE($FK$12,Fixtures!HT$25))=Fixtures!$DN46,CONCATENATE(HT$10,", "),""))</f>
        <v/>
      </c>
      <c r="HU46" s="713" t="str">
        <f ca="1">IF(INDIRECT(CONCATENATE($FK$12,Fixtures!HU$25))="","",IF(INDIRECT(CONCATENATE($FK$12,Fixtures!HU$25))=Fixtures!$DN46,CONCATENATE(HU$10,", "),""))</f>
        <v/>
      </c>
      <c r="HV46" s="713" t="str">
        <f ca="1">IF(INDIRECT(CONCATENATE($FK$12,Fixtures!HV$25))="","",IF(INDIRECT(CONCATENATE($FK$12,Fixtures!HV$25))=Fixtures!$DN46,CONCATENATE(HV$10,", "),""))</f>
        <v/>
      </c>
      <c r="HW46" s="713" t="str">
        <f ca="1">IF(INDIRECT(CONCATENATE($FK$12,Fixtures!HW$25))="","",IF(INDIRECT(CONCATENATE($FK$12,Fixtures!HW$25))=Fixtures!$DN46,CONCATENATE(HW$10,", "),""))</f>
        <v/>
      </c>
      <c r="HX46" s="713" t="str">
        <f ca="1">IF(INDIRECT(CONCATENATE($FK$12,Fixtures!HX$25))="","",IF(INDIRECT(CONCATENATE($FK$12,Fixtures!HX$25))=Fixtures!$DN46,CONCATENATE(HX$10,", "),""))</f>
        <v/>
      </c>
      <c r="HY46" s="713" t="str">
        <f ca="1">IF(INDIRECT(CONCATENATE($FK$12,Fixtures!HY$25))="","",IF(INDIRECT(CONCATENATE($FK$12,Fixtures!HY$25))=Fixtures!$DN46,CONCATENATE(HY$10,", "),""))</f>
        <v/>
      </c>
      <c r="HZ46" s="713" t="str">
        <f ca="1">IF(INDIRECT(CONCATENATE($FK$12,Fixtures!HZ$25))="","",IF(INDIRECT(CONCATENATE($FK$12,Fixtures!HZ$25))=Fixtures!$DN46,CONCATENATE(HZ$10,", "),""))</f>
        <v/>
      </c>
      <c r="IA46" s="713" t="str">
        <f ca="1">IF(INDIRECT(CONCATENATE($FK$12,Fixtures!IA$25))="","",IF(INDIRECT(CONCATENATE($FK$12,Fixtures!IA$25))=Fixtures!$DN46,CONCATENATE(IA$10,", "),""))</f>
        <v/>
      </c>
      <c r="IB46" s="684" t="str">
        <f ca="1">IF(INDIRECT(CONCATENATE($FK$12,Fixtures!IB$25))="","",IF(INDIRECT(CONCATENATE($FK$12,Fixtures!IB$25))=Fixtures!$DN46,CONCATENATE(IB$10,", "),""))</f>
        <v/>
      </c>
      <c r="IC46" s="685" t="str">
        <f ca="1">IF(INDIRECT(CONCATENATE($FK$12,Fixtures!IC$25))="","",IF(INDIRECT(CONCATENATE($FK$12,Fixtures!IC$25))=Fixtures!$DN46,CONCATENATE(IC$10,", "),""))</f>
        <v/>
      </c>
      <c r="ID46" s="713" t="str">
        <f ca="1">IF(INDIRECT(CONCATENATE($FK$12,Fixtures!ID$25))="","",IF(INDIRECT(CONCATENATE($FK$12,Fixtures!ID$25))=Fixtures!$DN46,CONCATENATE(ID$10,", "),""))</f>
        <v/>
      </c>
      <c r="IE46" s="713" t="str">
        <f ca="1">IF(INDIRECT(CONCATENATE($FK$12,Fixtures!IE$25))="","",IF(INDIRECT(CONCATENATE($FK$12,Fixtures!IE$25))=Fixtures!$DN46,CONCATENATE(IE$10,", "),""))</f>
        <v/>
      </c>
      <c r="IF46" s="713" t="str">
        <f ca="1">IF(INDIRECT(CONCATENATE($FK$12,Fixtures!IF$25))="","",IF(INDIRECT(CONCATENATE($FK$12,Fixtures!IF$25))=Fixtures!$DN46,CONCATENATE(IF$10,", "),""))</f>
        <v/>
      </c>
      <c r="IG46" s="713" t="str">
        <f ca="1">IF(INDIRECT(CONCATENATE($FK$12,Fixtures!IG$25))="","",IF(INDIRECT(CONCATENATE($FK$12,Fixtures!IG$25))=Fixtures!$DN46,CONCATENATE(IG$10,", "),""))</f>
        <v/>
      </c>
      <c r="IH46" s="713" t="str">
        <f ca="1">IF(INDIRECT(CONCATENATE($FK$12,Fixtures!IH$25))="","",IF(INDIRECT(CONCATENATE($FK$12,Fixtures!IH$25))=Fixtures!$DN46,CONCATENATE(IH$10,", "),""))</f>
        <v/>
      </c>
      <c r="II46" s="713" t="str">
        <f ca="1">IF(INDIRECT(CONCATENATE($FK$12,Fixtures!II$25))="","",IF(INDIRECT(CONCATENATE($FK$12,Fixtures!II$25))=Fixtures!$DN46,CONCATENATE(II$10,", "),""))</f>
        <v/>
      </c>
      <c r="IJ46" s="713" t="str">
        <f ca="1">IF(INDIRECT(CONCATENATE($FK$12,Fixtures!IJ$25))="","",IF(INDIRECT(CONCATENATE($FK$12,Fixtures!IJ$25))=Fixtures!$DN46,CONCATENATE(IJ$10,", "),""))</f>
        <v/>
      </c>
      <c r="IK46" s="713" t="str">
        <f ca="1">IF(INDIRECT(CONCATENATE($FK$12,Fixtures!IK$25))="","",IF(INDIRECT(CONCATENATE($FK$12,Fixtures!IK$25))=Fixtures!$DN46,CONCATENATE(IK$10,", "),""))</f>
        <v/>
      </c>
      <c r="IL46" s="713" t="str">
        <f ca="1">IF(INDIRECT(CONCATENATE($FK$12,Fixtures!IL$25))="","",IF(INDIRECT(CONCATENATE($FK$12,Fixtures!IL$25))=Fixtures!$DN46,CONCATENATE(IL$10,", "),""))</f>
        <v/>
      </c>
      <c r="IM46" s="713" t="str">
        <f ca="1">IF(INDIRECT(CONCATENATE($FK$12,Fixtures!IM$25))="","",IF(INDIRECT(CONCATENATE($FK$12,Fixtures!IM$25))=Fixtures!$DN46,CONCATENATE(IM$10,", "),""))</f>
        <v/>
      </c>
      <c r="IN46" s="713" t="str">
        <f ca="1">IF(INDIRECT(CONCATENATE($FK$12,Fixtures!IN$25))="","",IF(INDIRECT(CONCATENATE($FK$12,Fixtures!IN$25))=Fixtures!$DN46,CONCATENATE(IN$10,", "),""))</f>
        <v/>
      </c>
      <c r="IO46" s="713" t="str">
        <f ca="1">IF(INDIRECT(CONCATENATE($FK$12,Fixtures!IO$25))="","",IF(INDIRECT(CONCATENATE($FK$12,Fixtures!IO$25))=Fixtures!$DN46,CONCATENATE(IO$10,", "),""))</f>
        <v/>
      </c>
      <c r="IP46" s="713" t="str">
        <f ca="1">IF(INDIRECT(CONCATENATE($FK$12,Fixtures!IP$25))="","",IF(INDIRECT(CONCATENATE($FK$12,Fixtures!IP$25))=Fixtures!$DN46,CONCATENATE(IP$10,", "),""))</f>
        <v/>
      </c>
      <c r="IQ46" s="684" t="str">
        <f ca="1">IF(INDIRECT(CONCATENATE($FK$12,Fixtures!IQ$25))="","",IF(INDIRECT(CONCATENATE($FK$12,Fixtures!IQ$25))=Fixtures!$DN46,CONCATENATE(IQ$10,", "),""))</f>
        <v/>
      </c>
      <c r="IR46" s="685" t="str">
        <f ca="1">IF(INDIRECT(CONCATENATE($FK$12,Fixtures!IR$25))="","",IF(INDIRECT(CONCATENATE($FK$12,Fixtures!IR$25))=Fixtures!$DN46,CONCATENATE(IR$10,", "),""))</f>
        <v/>
      </c>
      <c r="IS46" s="713" t="str">
        <f ca="1">IF(INDIRECT(CONCATENATE($FK$12,Fixtures!IS$25))="","",IF(INDIRECT(CONCATENATE($FK$12,Fixtures!IS$25))=Fixtures!$DN46,CONCATENATE(IS$10,", "),""))</f>
        <v/>
      </c>
      <c r="IT46" s="713" t="str">
        <f ca="1">IF(INDIRECT(CONCATENATE($FK$12,Fixtures!IT$25))="","",IF(INDIRECT(CONCATENATE($FK$12,Fixtures!IT$25))=Fixtures!$DN46,CONCATENATE(IT$10,", "),""))</f>
        <v/>
      </c>
      <c r="IU46" s="713" t="str">
        <f ca="1">IF(INDIRECT(CONCATENATE($FK$12,Fixtures!IU$25))="","",IF(INDIRECT(CONCATENATE($FK$12,Fixtures!IU$25))=Fixtures!$DN46,CONCATENATE(IU$10,", "),""))</f>
        <v/>
      </c>
      <c r="IV46" s="713" t="str">
        <f ca="1">IF(INDIRECT(CONCATENATE($FK$12,Fixtures!IV$25))="","",IF(INDIRECT(CONCATENATE($FK$12,Fixtures!IV$25))=Fixtures!$DN46,CONCATENATE(IV$10,", "),""))</f>
        <v/>
      </c>
      <c r="IW46" s="713" t="str">
        <f ca="1">IF(INDIRECT(CONCATENATE($FK$12,Fixtures!IW$25))="","",IF(INDIRECT(CONCATENATE($FK$12,Fixtures!IW$25))=Fixtures!$DN46,CONCATENATE(IW$10,", "),""))</f>
        <v/>
      </c>
      <c r="IX46" s="713" t="str">
        <f ca="1">IF(INDIRECT(CONCATENATE($FK$12,Fixtures!IX$25))="","",IF(INDIRECT(CONCATENATE($FK$12,Fixtures!IX$25))=Fixtures!$DN46,CONCATENATE(IX$10,", "),""))</f>
        <v/>
      </c>
      <c r="IY46" s="713" t="str">
        <f ca="1">IF(INDIRECT(CONCATENATE($FK$12,Fixtures!IY$25))="","",IF(INDIRECT(CONCATENATE($FK$12,Fixtures!IY$25))=Fixtures!$DN46,CONCATENATE(IY$10,", "),""))</f>
        <v/>
      </c>
      <c r="IZ46" s="713" t="str">
        <f ca="1">IF(INDIRECT(CONCATENATE($FK$12,Fixtures!IZ$25))="","",IF(INDIRECT(CONCATENATE($FK$12,Fixtures!IZ$25))=Fixtures!$DN46,CONCATENATE(IZ$10,", "),""))</f>
        <v/>
      </c>
      <c r="JA46" s="713" t="str">
        <f ca="1">IF(INDIRECT(CONCATENATE($FK$12,Fixtures!JA$25))="","",IF(INDIRECT(CONCATENATE($FK$12,Fixtures!JA$25))=Fixtures!$DN46,CONCATENATE(JA$10,", "),""))</f>
        <v/>
      </c>
      <c r="JB46" s="713" t="str">
        <f ca="1">IF(INDIRECT(CONCATENATE($FK$12,Fixtures!JB$25))="","",IF(INDIRECT(CONCATENATE($FK$12,Fixtures!JB$25))=Fixtures!$DN46,CONCATENATE(JB$10,", "),""))</f>
        <v/>
      </c>
      <c r="JC46" s="713" t="str">
        <f ca="1">IF(INDIRECT(CONCATENATE($FK$12,Fixtures!JC$25))="","",IF(INDIRECT(CONCATENATE($FK$12,Fixtures!JC$25))=Fixtures!$DN46,CONCATENATE(JC$10,", "),""))</f>
        <v/>
      </c>
      <c r="JD46" s="713" t="str">
        <f ca="1">IF(INDIRECT(CONCATENATE($FK$12,Fixtures!JD$25))="","",IF(INDIRECT(CONCATENATE($FK$12,Fixtures!JD$25))=Fixtures!$DN46,CONCATENATE(JD$10,", "),""))</f>
        <v/>
      </c>
      <c r="JE46" s="713" t="str">
        <f ca="1">IF(INDIRECT(CONCATENATE($FK$12,Fixtures!JE$25))="","",IF(INDIRECT(CONCATENATE($FK$12,Fixtures!JE$25))=Fixtures!$DN46,CONCATENATE(JE$10,", "),""))</f>
        <v/>
      </c>
      <c r="JF46" s="684" t="str">
        <f ca="1">IF(INDIRECT(CONCATENATE($FK$12,Fixtures!JF$25))="","",IF(INDIRECT(CONCATENATE($FK$12,Fixtures!JF$25))=Fixtures!$DN46,CONCATENATE(JF$10,", "),""))</f>
        <v/>
      </c>
      <c r="JG46" s="685" t="str">
        <f ca="1">IF(INDIRECT(CONCATENATE($FK$12,Fixtures!JG$25))="","",IF(INDIRECT(CONCATENATE($FK$12,Fixtures!JG$25))=Fixtures!$DN46,CONCATENATE(JG$10,", "),""))</f>
        <v/>
      </c>
      <c r="JH46" s="713" t="str">
        <f ca="1">IF(INDIRECT(CONCATENATE($FK$12,Fixtures!JH$25))="","",IF(INDIRECT(CONCATENATE($FK$12,Fixtures!JH$25))=Fixtures!$DN46,CONCATENATE(JH$10,", "),""))</f>
        <v/>
      </c>
      <c r="JI46" s="713" t="str">
        <f ca="1">IF(INDIRECT(CONCATENATE($FK$12,Fixtures!JI$25))="","",IF(INDIRECT(CONCATENATE($FK$12,Fixtures!JI$25))=Fixtures!$DN46,CONCATENATE(JI$10,", "),""))</f>
        <v/>
      </c>
      <c r="JJ46" s="713" t="str">
        <f ca="1">IF(INDIRECT(CONCATENATE($FK$12,Fixtures!JJ$25))="","",IF(INDIRECT(CONCATENATE($FK$12,Fixtures!JJ$25))=Fixtures!$DN46,CONCATENATE(JJ$10,", "),""))</f>
        <v/>
      </c>
      <c r="JK46" s="713" t="str">
        <f ca="1">IF(INDIRECT(CONCATENATE($FK$12,Fixtures!JK$25))="","",IF(INDIRECT(CONCATENATE($FK$12,Fixtures!JK$25))=Fixtures!$DN46,CONCATENATE(JK$10,", "),""))</f>
        <v/>
      </c>
      <c r="JL46" s="713" t="str">
        <f ca="1">IF(INDIRECT(CONCATENATE($FK$12,Fixtures!JL$25))="","",IF(INDIRECT(CONCATENATE($FK$12,Fixtures!JL$25))=Fixtures!$DN46,CONCATENATE(JL$10,", "),""))</f>
        <v/>
      </c>
      <c r="JM46" s="713" t="str">
        <f ca="1">IF(INDIRECT(CONCATENATE($FK$12,Fixtures!JM$25))="","",IF(INDIRECT(CONCATENATE($FK$12,Fixtures!JM$25))=Fixtures!$DN46,CONCATENATE(JM$10,", "),""))</f>
        <v/>
      </c>
      <c r="JN46" s="713" t="str">
        <f ca="1">IF(INDIRECT(CONCATENATE($FK$12,Fixtures!JN$25))="","",IF(INDIRECT(CONCATENATE($FK$12,Fixtures!JN$25))=Fixtures!$DN46,CONCATENATE(JN$10,", "),""))</f>
        <v/>
      </c>
      <c r="JO46" s="713" t="str">
        <f ca="1">IF(INDIRECT(CONCATENATE($FK$12,Fixtures!JO$25))="","",IF(INDIRECT(CONCATENATE($FK$12,Fixtures!JO$25))=Fixtures!$DN46,CONCATENATE(JO$10,", "),""))</f>
        <v/>
      </c>
      <c r="JP46" s="713" t="str">
        <f ca="1">IF(INDIRECT(CONCATENATE($FK$12,Fixtures!JP$25))="","",IF(INDIRECT(CONCATENATE($FK$12,Fixtures!JP$25))=Fixtures!$DN46,CONCATENATE(JP$10,", "),""))</f>
        <v/>
      </c>
      <c r="JQ46" s="713" t="str">
        <f ca="1">IF(INDIRECT(CONCATENATE($FK$12,Fixtures!JQ$25))="","",IF(INDIRECT(CONCATENATE($FK$12,Fixtures!JQ$25))=Fixtures!$DN46,CONCATENATE(JQ$10,", "),""))</f>
        <v/>
      </c>
      <c r="JR46" s="713" t="str">
        <f ca="1">IF(INDIRECT(CONCATENATE($FK$12,Fixtures!JR$25))="","",IF(INDIRECT(CONCATENATE($FK$12,Fixtures!JR$25))=Fixtures!$DN46,CONCATENATE(JR$10,", "),""))</f>
        <v/>
      </c>
      <c r="JS46" s="713" t="str">
        <f ca="1">IF(INDIRECT(CONCATENATE($FK$12,Fixtures!JS$25))="","",IF(INDIRECT(CONCATENATE($FK$12,Fixtures!JS$25))=Fixtures!$DN46,CONCATENATE(JS$10,", "),""))</f>
        <v/>
      </c>
      <c r="JT46" s="713" t="str">
        <f ca="1">IF(INDIRECT(CONCATENATE($FK$12,Fixtures!JT$25))="","",IF(INDIRECT(CONCATENATE($FK$12,Fixtures!JT$25))=Fixtures!$DN46,CONCATENATE(JT$10,", "),""))</f>
        <v/>
      </c>
      <c r="JU46" s="684" t="str">
        <f ca="1">IF(INDIRECT(CONCATENATE($FK$12,Fixtures!JU$25))="","",IF(INDIRECT(CONCATENATE($FK$12,Fixtures!JU$25))=Fixtures!$DN46,CONCATENATE(JU$10,", "),""))</f>
        <v/>
      </c>
      <c r="JV46" s="685" t="str">
        <f ca="1">IF(INDIRECT(CONCATENATE($FK$12,Fixtures!JV$25))="","",IF(INDIRECT(CONCATENATE($FK$12,Fixtures!JV$25))=Fixtures!$DN46,CONCATENATE(JV$10,", "),""))</f>
        <v/>
      </c>
      <c r="JW46" s="713" t="str">
        <f ca="1">IF(INDIRECT(CONCATENATE($FK$12,Fixtures!JW$25))="","",IF(INDIRECT(CONCATENATE($FK$12,Fixtures!JW$25))=Fixtures!$DN46,CONCATENATE(JW$10,", "),""))</f>
        <v/>
      </c>
      <c r="JX46" s="713" t="str">
        <f ca="1">IF(INDIRECT(CONCATENATE($FK$12,Fixtures!JX$25))="","",IF(INDIRECT(CONCATENATE($FK$12,Fixtures!JX$25))=Fixtures!$DN46,CONCATENATE(JX$10,", "),""))</f>
        <v/>
      </c>
      <c r="JY46" s="713" t="str">
        <f ca="1">IF(INDIRECT(CONCATENATE($FK$12,Fixtures!JY$25))="","",IF(INDIRECT(CONCATENATE($FK$12,Fixtures!JY$25))=Fixtures!$DN46,CONCATENATE(JY$10,", "),""))</f>
        <v/>
      </c>
      <c r="JZ46" s="713" t="str">
        <f ca="1">IF(INDIRECT(CONCATENATE($FK$12,Fixtures!JZ$25))="","",IF(INDIRECT(CONCATENATE($FK$12,Fixtures!JZ$25))=Fixtures!$DN46,CONCATENATE(JZ$10,", "),""))</f>
        <v/>
      </c>
      <c r="KA46" s="713" t="str">
        <f ca="1">IF(INDIRECT(CONCATENATE($FK$12,Fixtures!KA$25))="","",IF(INDIRECT(CONCATENATE($FK$12,Fixtures!KA$25))=Fixtures!$DN46,CONCATENATE(KA$10,", "),""))</f>
        <v/>
      </c>
      <c r="KB46" s="713" t="str">
        <f ca="1">IF(INDIRECT(CONCATENATE($FK$12,Fixtures!KB$25))="","",IF(INDIRECT(CONCATENATE($FK$12,Fixtures!KB$25))=Fixtures!$DN46,CONCATENATE(KB$10,", "),""))</f>
        <v/>
      </c>
      <c r="KC46" s="713" t="str">
        <f ca="1">IF(INDIRECT(CONCATENATE($FK$12,Fixtures!KC$25))="","",IF(INDIRECT(CONCATENATE($FK$12,Fixtures!KC$25))=Fixtures!$DN46,CONCATENATE(KC$10,", "),""))</f>
        <v/>
      </c>
      <c r="KD46" s="713" t="str">
        <f ca="1">IF(INDIRECT(CONCATENATE($FK$12,Fixtures!KD$25))="","",IF(INDIRECT(CONCATENATE($FK$12,Fixtures!KD$25))=Fixtures!$DN46,CONCATENATE(KD$10,", "),""))</f>
        <v/>
      </c>
      <c r="KE46" s="713" t="str">
        <f ca="1">IF(INDIRECT(CONCATENATE($FK$12,Fixtures!KE$25))="","",IF(INDIRECT(CONCATENATE($FK$12,Fixtures!KE$25))=Fixtures!$DN46,CONCATENATE(KE$10,", "),""))</f>
        <v/>
      </c>
      <c r="KF46" s="713" t="str">
        <f ca="1">IF(INDIRECT(CONCATENATE($FK$12,Fixtures!KF$25))="","",IF(INDIRECT(CONCATENATE($FK$12,Fixtures!KF$25))=Fixtures!$DN46,CONCATENATE(KF$10,", "),""))</f>
        <v/>
      </c>
      <c r="KG46" s="713" t="str">
        <f ca="1">IF(INDIRECT(CONCATENATE($FK$12,Fixtures!KG$25))="","",IF(INDIRECT(CONCATENATE($FK$12,Fixtures!KG$25))=Fixtures!$DN46,CONCATENATE(KG$10,", "),""))</f>
        <v/>
      </c>
      <c r="KH46" s="713" t="str">
        <f ca="1">IF(INDIRECT(CONCATENATE($FK$12,Fixtures!KH$25))="","",IF(INDIRECT(CONCATENATE($FK$12,Fixtures!KH$25))=Fixtures!$DN46,CONCATENATE(KH$10,", "),""))</f>
        <v/>
      </c>
      <c r="KI46" s="713" t="str">
        <f ca="1">IF(INDIRECT(CONCATENATE($FK$12,Fixtures!KI$25))="","",IF(INDIRECT(CONCATENATE($FK$12,Fixtures!KI$25))=Fixtures!$DN46,CONCATENATE(KI$10,", "),""))</f>
        <v/>
      </c>
      <c r="KJ46" s="684" t="str">
        <f ca="1">IF(INDIRECT(CONCATENATE($FK$12,Fixtures!KJ$25))="","",IF(INDIRECT(CONCATENATE($FK$12,Fixtures!KJ$25))=Fixtures!$DN46,CONCATENATE(KJ$10,", "),""))</f>
        <v/>
      </c>
      <c r="KK46" s="685" t="str">
        <f ca="1">IF(INDIRECT(CONCATENATE($FK$12,Fixtures!KK$25))="","",IF(INDIRECT(CONCATENATE($FK$12,Fixtures!KK$25))=Fixtures!$DN46,CONCATENATE(KK$10,", "),""))</f>
        <v/>
      </c>
      <c r="KL46" s="713" t="str">
        <f ca="1">IF(INDIRECT(CONCATENATE($FK$12,Fixtures!KL$25))="","",IF(INDIRECT(CONCATENATE($FK$12,Fixtures!KL$25))=Fixtures!$DN46,CONCATENATE(KL$10,", "),""))</f>
        <v/>
      </c>
      <c r="KM46" s="713" t="str">
        <f ca="1">IF(INDIRECT(CONCATENATE($FK$12,Fixtures!KM$25))="","",IF(INDIRECT(CONCATENATE($FK$12,Fixtures!KM$25))=Fixtures!$DN46,CONCATENATE(KM$10,", "),""))</f>
        <v/>
      </c>
      <c r="KN46" s="713" t="str">
        <f ca="1">IF(INDIRECT(CONCATENATE($FK$12,Fixtures!KN$25))="","",IF(INDIRECT(CONCATENATE($FK$12,Fixtures!KN$25))=Fixtures!$DN46,CONCATENATE(KN$10,", "),""))</f>
        <v/>
      </c>
      <c r="KO46" s="713" t="str">
        <f ca="1">IF(INDIRECT(CONCATENATE($FK$12,Fixtures!KO$25))="","",IF(INDIRECT(CONCATENATE($FK$12,Fixtures!KO$25))=Fixtures!$DN46,CONCATENATE(KO$10,", "),""))</f>
        <v/>
      </c>
      <c r="KP46" s="713" t="str">
        <f ca="1">IF(INDIRECT(CONCATENATE($FK$12,Fixtures!KP$25))="","",IF(INDIRECT(CONCATENATE($FK$12,Fixtures!KP$25))=Fixtures!$DN46,CONCATENATE(KP$10,", "),""))</f>
        <v/>
      </c>
      <c r="KQ46" s="713" t="str">
        <f ca="1">IF(INDIRECT(CONCATENATE($FK$12,Fixtures!KQ$25))="","",IF(INDIRECT(CONCATENATE($FK$12,Fixtures!KQ$25))=Fixtures!$DN46,CONCATENATE(KQ$10,", "),""))</f>
        <v/>
      </c>
      <c r="KR46" s="713" t="str">
        <f ca="1">IF(INDIRECT(CONCATENATE($FK$12,Fixtures!KR$25))="","",IF(INDIRECT(CONCATENATE($FK$12,Fixtures!KR$25))=Fixtures!$DN46,CONCATENATE(KR$10,", "),""))</f>
        <v/>
      </c>
      <c r="KS46" s="713" t="str">
        <f ca="1">IF(INDIRECT(CONCATENATE($FK$12,Fixtures!KS$25))="","",IF(INDIRECT(CONCATENATE($FK$12,Fixtures!KS$25))=Fixtures!$DN46,CONCATENATE(KS$10,", "),""))</f>
        <v/>
      </c>
      <c r="KT46" s="713" t="str">
        <f ca="1">IF(INDIRECT(CONCATENATE($FK$12,Fixtures!KT$25))="","",IF(INDIRECT(CONCATENATE($FK$12,Fixtures!KT$25))=Fixtures!$DN46,CONCATENATE(KT$10,", "),""))</f>
        <v/>
      </c>
      <c r="KU46" s="713" t="str">
        <f ca="1">IF(INDIRECT(CONCATENATE($FK$12,Fixtures!KU$25))="","",IF(INDIRECT(CONCATENATE($FK$12,Fixtures!KU$25))=Fixtures!$DN46,CONCATENATE(KU$10,", "),""))</f>
        <v/>
      </c>
      <c r="KV46" s="713" t="str">
        <f ca="1">IF(INDIRECT(CONCATENATE($FK$12,Fixtures!KV$25))="","",IF(INDIRECT(CONCATENATE($FK$12,Fixtures!KV$25))=Fixtures!$DN46,CONCATENATE(KV$10,", "),""))</f>
        <v/>
      </c>
      <c r="KW46" s="713" t="str">
        <f ca="1">IF(INDIRECT(CONCATENATE($FK$12,Fixtures!KW$25))="","",IF(INDIRECT(CONCATENATE($FK$12,Fixtures!KW$25))=Fixtures!$DN46,CONCATENATE(KW$10,", "),""))</f>
        <v/>
      </c>
      <c r="KX46" s="713" t="str">
        <f ca="1">IF(INDIRECT(CONCATENATE($FK$12,Fixtures!KX$25))="","",IF(INDIRECT(CONCATENATE($FK$12,Fixtures!KX$25))=Fixtures!$DN46,CONCATENATE(KX$10,", "),""))</f>
        <v/>
      </c>
      <c r="KY46" s="713" t="str">
        <f ca="1">IF(INDIRECT(CONCATENATE($FK$12,Fixtures!KY$25))="","",IF(INDIRECT(CONCATENATE($FK$12,Fixtures!KY$25))=Fixtures!$DN46,CONCATENATE(KY$10,", "),""))</f>
        <v/>
      </c>
      <c r="KZ46" s="46"/>
      <c r="LA46" s="46" t="str">
        <f t="shared" ca="1" si="8"/>
        <v/>
      </c>
    </row>
    <row r="47" spans="1:313" ht="28.05" customHeight="1" thickTop="1" thickBot="1">
      <c r="A47" s="471" t="str">
        <f t="shared" si="13"/>
        <v/>
      </c>
      <c r="C47" s="1328" t="str">
        <f t="shared" si="14"/>
        <v/>
      </c>
      <c r="D47" s="1329"/>
      <c r="E47" s="1256" t="str">
        <f t="shared" si="15"/>
        <v/>
      </c>
      <c r="F47" s="1257"/>
      <c r="G47" s="1257"/>
      <c r="H47" s="1257"/>
      <c r="I47" s="1257"/>
      <c r="J47" s="1257"/>
      <c r="K47" s="1257"/>
      <c r="L47" s="1257"/>
      <c r="M47" s="1330"/>
      <c r="N47" s="239" t="str">
        <f t="shared" si="16"/>
        <v/>
      </c>
      <c r="O47" s="12"/>
      <c r="P47" s="1326" t="str">
        <f t="shared" si="25"/>
        <v/>
      </c>
      <c r="Q47" s="1327"/>
      <c r="R47" s="1256" t="str">
        <f t="shared" si="31"/>
        <v/>
      </c>
      <c r="S47" s="1257"/>
      <c r="T47" s="1257"/>
      <c r="U47" s="1257"/>
      <c r="V47" s="1257"/>
      <c r="W47" s="1257"/>
      <c r="X47" s="1257"/>
      <c r="Y47" s="239" t="str">
        <f t="shared" si="27"/>
        <v/>
      </c>
      <c r="Z47" s="239" t="str">
        <f t="shared" si="28"/>
        <v/>
      </c>
      <c r="AA47" s="439" t="str">
        <f t="shared" si="29"/>
        <v/>
      </c>
      <c r="AB47" s="542"/>
      <c r="AC47" s="1253" t="str">
        <f t="shared" si="17"/>
        <v/>
      </c>
      <c r="AD47" s="1166"/>
      <c r="AE47" s="1166"/>
      <c r="AF47" s="1166"/>
      <c r="AG47" s="1166"/>
      <c r="AH47" s="1166"/>
      <c r="AK47">
        <f>SUMIFS(Installations!CS$39:CS$800,Installations!CT$39:CT$800,E47,Installations!HX$39:HX$800,TRUE)</f>
        <v>0</v>
      </c>
      <c r="AL47">
        <f>SUMIFS(Installations!CS$39:CS$800,Installations!CT$39:CT$800,R47,Installations!HX$39:HX$800,TRUE)</f>
        <v>0</v>
      </c>
      <c r="BL47" s="9"/>
      <c r="BM47" s="703" t="str">
        <f t="shared" si="18"/>
        <v/>
      </c>
      <c r="BN47" s="52"/>
      <c r="BO47" s="52"/>
      <c r="BP47" s="52"/>
      <c r="BQ47" s="52"/>
      <c r="BR47" s="52"/>
      <c r="BS47" s="52"/>
      <c r="BT47" s="52"/>
      <c r="BU47" s="414"/>
      <c r="BV47" s="255" t="str">
        <f>IF(CN47&lt;&gt;"Yes","",IFERROR(VLOOKUP(CU47,Existing!A$4:F$364,2,FALSE),""))</f>
        <v/>
      </c>
      <c r="BW47" s="9">
        <v>21</v>
      </c>
      <c r="BX47" s="1313"/>
      <c r="BY47" s="1314"/>
      <c r="BZ47" s="1314"/>
      <c r="CA47" s="1315"/>
      <c r="CB47" s="1310"/>
      <c r="CC47" s="1311"/>
      <c r="CD47" s="1311"/>
      <c r="CE47" s="1312"/>
      <c r="CF47" s="1309"/>
      <c r="CG47" s="1309"/>
      <c r="CH47" s="1309"/>
      <c r="CI47" s="1309"/>
      <c r="CJ47" s="1309"/>
      <c r="CK47" s="1309"/>
      <c r="CL47" s="1309"/>
      <c r="CM47" s="1309"/>
      <c r="CN47" s="1243" t="str">
        <f t="shared" si="0"/>
        <v/>
      </c>
      <c r="CO47" s="1244"/>
      <c r="CP47" s="265" t="str">
        <f>IFERROR(IF(CB47="Existing TLED",CR47*CW47*CY47,VLOOKUP(CU47,Existing!A$3:F$353,6,FALSE)),"")</f>
        <v/>
      </c>
      <c r="CQ47" s="9"/>
      <c r="CR47" s="1343"/>
      <c r="CS47" s="1344"/>
      <c r="CT47" s="9"/>
      <c r="CU47" s="470" t="str">
        <f t="shared" si="21"/>
        <v/>
      </c>
      <c r="CV47" s="471" t="b">
        <f t="shared" si="22"/>
        <v>0</v>
      </c>
      <c r="CW47" s="471" t="str">
        <f t="shared" si="23"/>
        <v/>
      </c>
      <c r="CX47" s="471">
        <f>IFERROR(VLOOKUP(CF47,Lookup!M$100:O$102,3,FALSE),0)</f>
        <v>0</v>
      </c>
      <c r="CY47" s="471">
        <f t="shared" si="9"/>
        <v>1.1100000000000001</v>
      </c>
      <c r="CZ47" s="707" t="b">
        <f t="shared" si="1"/>
        <v>0</v>
      </c>
      <c r="DA47" s="707" t="b">
        <f>IF(CF47&lt;&gt;"",IF(ISERROR(MATCH(CONCATENATE(CB47," - ",CF47),Existing!G$4:G$328,0))=TRUE,FALSE,TRUE),TRUE)</f>
        <v>1</v>
      </c>
      <c r="DB47" s="707" t="b">
        <f t="shared" si="2"/>
        <v>1</v>
      </c>
      <c r="DL47" s="9"/>
      <c r="DM47" s="708" t="s">
        <v>166</v>
      </c>
      <c r="DN47" s="416" t="str">
        <f t="shared" si="3"/>
        <v/>
      </c>
      <c r="DO47" s="52"/>
      <c r="DP47" s="52"/>
      <c r="DQ47" s="52"/>
      <c r="DR47" s="52"/>
      <c r="DS47" s="52"/>
      <c r="DT47" s="262"/>
      <c r="DU47" s="417"/>
      <c r="DV47" s="263" t="str">
        <f t="shared" si="4"/>
        <v/>
      </c>
      <c r="DW47" s="260">
        <v>21</v>
      </c>
      <c r="DX47" s="1306"/>
      <c r="DY47" s="1307"/>
      <c r="DZ47" s="1307"/>
      <c r="EA47" s="1308"/>
      <c r="EB47" s="1306"/>
      <c r="EC47" s="1307"/>
      <c r="ED47" s="1307"/>
      <c r="EE47" s="1308"/>
      <c r="EF47" s="1266"/>
      <c r="EG47" s="1267"/>
      <c r="EH47" s="1306"/>
      <c r="EI47" s="1307"/>
      <c r="EJ47" s="1307"/>
      <c r="EK47" s="1308"/>
      <c r="EL47" s="1263"/>
      <c r="EM47" s="1264"/>
      <c r="EN47" s="1264"/>
      <c r="EO47" s="1265"/>
      <c r="EP47" s="1266"/>
      <c r="EQ47" s="1267"/>
      <c r="ER47" s="1245"/>
      <c r="ES47" s="1246"/>
      <c r="ET47" s="1243" t="str">
        <f t="shared" si="5"/>
        <v/>
      </c>
      <c r="EU47" s="1244"/>
      <c r="EV47" s="1243" t="str">
        <f t="shared" si="30"/>
        <v/>
      </c>
      <c r="EW47" s="1244"/>
      <c r="EX47" s="438"/>
      <c r="EY47" s="261" t="str">
        <f t="shared" si="7"/>
        <v/>
      </c>
      <c r="EZ47" s="261" t="str">
        <f>IFERROR(VLOOKUP(EB47,Lookup!AM$3:AN$13,2,FALSE),"")</f>
        <v/>
      </c>
      <c r="FA47" s="471" t="b">
        <f>IFERROR(IF(VLOOKUP(EB47,Lookup!AM$6:AN$8,2,FALSE)&gt;3,TRUE,FALSE),FALSE)</f>
        <v>0</v>
      </c>
      <c r="FB47" s="471">
        <f t="shared" si="11"/>
        <v>1</v>
      </c>
      <c r="FC47" t="str">
        <f t="shared" ca="1" si="10"/>
        <v/>
      </c>
      <c r="FG47" t="str">
        <f t="shared" ca="1" si="12"/>
        <v/>
      </c>
      <c r="FI47" s="240" t="str">
        <f t="shared" ca="1" si="24"/>
        <v/>
      </c>
      <c r="FJ47" s="240"/>
      <c r="FK47" s="712" t="str">
        <f ca="1">IF(INDIRECT(CONCATENATE($FK$12,Fixtures!FK$25))="","",IF(INDIRECT(CONCATENATE($FK$12,Fixtures!FK$25))=Fixtures!$DN47,CONCATENATE(FK$10,", "),""))</f>
        <v/>
      </c>
      <c r="FL47" s="712" t="str">
        <f ca="1">IF(INDIRECT(CONCATENATE($FK$12,Fixtures!FL$25))="","",IF(INDIRECT(CONCATENATE($FK$12,Fixtures!FL$25))=Fixtures!$DN47,CONCATENATE(FL$10,", "),""))</f>
        <v/>
      </c>
      <c r="FM47" s="712" t="str">
        <f ca="1">IF(INDIRECT(CONCATENATE($FK$12,Fixtures!FM$25))="","",IF(INDIRECT(CONCATENATE($FK$12,Fixtures!FM$25))=Fixtures!$DN47,CONCATENATE(FM$10,", "),""))</f>
        <v/>
      </c>
      <c r="FN47" s="712" t="str">
        <f ca="1">IF(INDIRECT(CONCATENATE($FK$12,Fixtures!FN$25))="","",IF(INDIRECT(CONCATENATE($FK$12,Fixtures!FN$25))=Fixtures!$DN47,CONCATENATE(FN$10,", "),""))</f>
        <v/>
      </c>
      <c r="FO47" s="712" t="str">
        <f ca="1">IF(INDIRECT(CONCATENATE($FK$12,Fixtures!FO$25))="","",IF(INDIRECT(CONCATENATE($FK$12,Fixtures!FO$25))=Fixtures!$DN47,CONCATENATE(FO$10,", "),""))</f>
        <v/>
      </c>
      <c r="FP47" s="712" t="str">
        <f ca="1">IF(INDIRECT(CONCATENATE($FK$12,Fixtures!FP$25))="","",IF(INDIRECT(CONCATENATE($FK$12,Fixtures!FP$25))=Fixtures!$DN47,CONCATENATE(FP$10,", "),""))</f>
        <v/>
      </c>
      <c r="FQ47" s="712" t="str">
        <f ca="1">IF(INDIRECT(CONCATENATE($FK$12,Fixtures!FQ$25))="","",IF(INDIRECT(CONCATENATE($FK$12,Fixtures!FQ$25))=Fixtures!$DN47,CONCATENATE(FQ$10,", "),""))</f>
        <v/>
      </c>
      <c r="FR47" s="712" t="str">
        <f ca="1">IF(INDIRECT(CONCATENATE($FK$12,Fixtures!FR$25))="","",IF(INDIRECT(CONCATENATE($FK$12,Fixtures!FR$25))=Fixtures!$DN47,CONCATENATE(FR$10,", "),""))</f>
        <v/>
      </c>
      <c r="FS47" s="712" t="str">
        <f ca="1">IF(INDIRECT(CONCATENATE($FK$12,Fixtures!FS$25))="","",IF(INDIRECT(CONCATENATE($FK$12,Fixtures!FS$25))=Fixtures!$DN47,CONCATENATE(FS$10,", "),""))</f>
        <v/>
      </c>
      <c r="FT47" s="682" t="str">
        <f ca="1">IF(INDIRECT(CONCATENATE($FK$12,Fixtures!FT$25))="","",IF(INDIRECT(CONCATENATE($FK$12,Fixtures!FT$25))=Fixtures!$DN47,CONCATENATE(FT$10,", "),""))</f>
        <v/>
      </c>
      <c r="FU47" s="683" t="str">
        <f ca="1">IF(INDIRECT(CONCATENATE($FK$12,Fixtures!FU$25))="","",IF(INDIRECT(CONCATENATE($FK$12,Fixtures!FU$25))=Fixtures!$DN47,CONCATENATE(FU$10,", "),""))</f>
        <v/>
      </c>
      <c r="FV47" s="712" t="str">
        <f ca="1">IF(INDIRECT(CONCATENATE($FK$12,Fixtures!FV$25))="","",IF(INDIRECT(CONCATENATE($FK$12,Fixtures!FV$25))=Fixtures!$DN47,CONCATENATE(FV$10,", "),""))</f>
        <v/>
      </c>
      <c r="FW47" s="713" t="str">
        <f ca="1">IF(INDIRECT(CONCATENATE($FK$12,Fixtures!FW$25))="","",IF(INDIRECT(CONCATENATE($FK$12,Fixtures!FW$25))=Fixtures!$DN47,CONCATENATE(FW$10,", "),""))</f>
        <v/>
      </c>
      <c r="FX47" s="713" t="str">
        <f ca="1">IF(INDIRECT(CONCATENATE($FK$12,Fixtures!FX$25))="","",IF(INDIRECT(CONCATENATE($FK$12,Fixtures!FX$25))=Fixtures!$DN47,CONCATENATE(FX$10,", "),""))</f>
        <v/>
      </c>
      <c r="FY47" s="713" t="str">
        <f ca="1">IF(INDIRECT(CONCATENATE($FK$12,Fixtures!FY$25))="","",IF(INDIRECT(CONCATENATE($FK$12,Fixtures!FY$25))=Fixtures!$DN47,CONCATENATE(FY$10,", "),""))</f>
        <v/>
      </c>
      <c r="FZ47" s="713" t="str">
        <f ca="1">IF(INDIRECT(CONCATENATE($FK$12,Fixtures!FZ$25))="","",IF(INDIRECT(CONCATENATE($FK$12,Fixtures!FZ$25))=Fixtures!$DN47,CONCATENATE(FZ$10,", "),""))</f>
        <v/>
      </c>
      <c r="GA47" s="713" t="str">
        <f ca="1">IF(INDIRECT(CONCATENATE($FK$12,Fixtures!GA$25))="","",IF(INDIRECT(CONCATENATE($FK$12,Fixtures!GA$25))=Fixtures!$DN47,CONCATENATE(GA$10,", "),""))</f>
        <v/>
      </c>
      <c r="GB47" s="713" t="str">
        <f ca="1">IF(INDIRECT(CONCATENATE($FK$12,Fixtures!GB$25))="","",IF(INDIRECT(CONCATENATE($FK$12,Fixtures!GB$25))=Fixtures!$DN47,CONCATENATE(GB$10,", "),""))</f>
        <v/>
      </c>
      <c r="GC47" s="713" t="str">
        <f ca="1">IF(INDIRECT(CONCATENATE($FK$12,Fixtures!GC$25))="","",IF(INDIRECT(CONCATENATE($FK$12,Fixtures!GC$25))=Fixtures!$DN47,CONCATENATE(GC$10,", "),""))</f>
        <v/>
      </c>
      <c r="GD47" s="713" t="str">
        <f ca="1">IF(INDIRECT(CONCATENATE($FK$12,Fixtures!GD$25))="","",IF(INDIRECT(CONCATENATE($FK$12,Fixtures!GD$25))=Fixtures!$DN47,CONCATENATE(GD$10,", "),""))</f>
        <v/>
      </c>
      <c r="GE47" s="713" t="str">
        <f ca="1">IF(INDIRECT(CONCATENATE($FK$12,Fixtures!GE$25))="","",IF(INDIRECT(CONCATENATE($FK$12,Fixtures!GE$25))=Fixtures!$DN47,CONCATENATE(GE$10,", "),""))</f>
        <v/>
      </c>
      <c r="GF47" s="713" t="str">
        <f ca="1">IF(INDIRECT(CONCATENATE($FK$12,Fixtures!GF$25))="","",IF(INDIRECT(CONCATENATE($FK$12,Fixtures!GF$25))=Fixtures!$DN47,CONCATENATE(GF$10,", "),""))</f>
        <v/>
      </c>
      <c r="GG47" s="713" t="str">
        <f ca="1">IF(INDIRECT(CONCATENATE($FK$12,Fixtures!GG$25))="","",IF(INDIRECT(CONCATENATE($FK$12,Fixtures!GG$25))=Fixtures!$DN47,CONCATENATE(GG$10,", "),""))</f>
        <v/>
      </c>
      <c r="GH47" s="713" t="str">
        <f ca="1">IF(INDIRECT(CONCATENATE($FK$12,Fixtures!GH$25))="","",IF(INDIRECT(CONCATENATE($FK$12,Fixtures!GH$25))=Fixtures!$DN47,CONCATENATE(GH$10,", "),""))</f>
        <v/>
      </c>
      <c r="GI47" s="684" t="str">
        <f ca="1">IF(INDIRECT(CONCATENATE($FK$12,Fixtures!GI$25))="","",IF(INDIRECT(CONCATENATE($FK$12,Fixtures!GI$25))=Fixtures!$DN47,CONCATENATE(GI$10,", "),""))</f>
        <v/>
      </c>
      <c r="GJ47" s="685" t="str">
        <f ca="1">IF(INDIRECT(CONCATENATE($FK$12,Fixtures!GJ$25))="","",IF(INDIRECT(CONCATENATE($FK$12,Fixtures!GJ$25))=Fixtures!$DN47,CONCATENATE(GJ$10,", "),""))</f>
        <v/>
      </c>
      <c r="GK47" s="713" t="str">
        <f ca="1">IF(INDIRECT(CONCATENATE($FK$12,Fixtures!GK$25))="","",IF(INDIRECT(CONCATENATE($FK$12,Fixtures!GK$25))=Fixtures!$DN47,CONCATENATE(GK$10,", "),""))</f>
        <v/>
      </c>
      <c r="GL47" s="713" t="str">
        <f ca="1">IF(INDIRECT(CONCATENATE($FK$12,Fixtures!GL$25))="","",IF(INDIRECT(CONCATENATE($FK$12,Fixtures!GL$25))=Fixtures!$DN47,CONCATENATE(GL$10,", "),""))</f>
        <v/>
      </c>
      <c r="GM47" s="713" t="str">
        <f ca="1">IF(INDIRECT(CONCATENATE($FK$12,Fixtures!GM$25))="","",IF(INDIRECT(CONCATENATE($FK$12,Fixtures!GM$25))=Fixtures!$DN47,CONCATENATE(GM$10,", "),""))</f>
        <v/>
      </c>
      <c r="GN47" s="713" t="str">
        <f ca="1">IF(INDIRECT(CONCATENATE($FK$12,Fixtures!GN$25))="","",IF(INDIRECT(CONCATENATE($FK$12,Fixtures!GN$25))=Fixtures!$DN47,CONCATENATE(GN$10,", "),""))</f>
        <v/>
      </c>
      <c r="GO47" s="713" t="str">
        <f ca="1">IF(INDIRECT(CONCATENATE($FK$12,Fixtures!GO$25))="","",IF(INDIRECT(CONCATENATE($FK$12,Fixtures!GO$25))=Fixtures!$DN47,CONCATENATE(GO$10,", "),""))</f>
        <v/>
      </c>
      <c r="GP47" s="713" t="str">
        <f ca="1">IF(INDIRECT(CONCATENATE($FK$12,Fixtures!GP$25))="","",IF(INDIRECT(CONCATENATE($FK$12,Fixtures!GP$25))=Fixtures!$DN47,CONCATENATE(GP$10,", "),""))</f>
        <v/>
      </c>
      <c r="GQ47" s="713" t="str">
        <f ca="1">IF(INDIRECT(CONCATENATE($FK$12,Fixtures!GQ$25))="","",IF(INDIRECT(CONCATENATE($FK$12,Fixtures!GQ$25))=Fixtures!$DN47,CONCATENATE(GQ$10,", "),""))</f>
        <v/>
      </c>
      <c r="GR47" s="713" t="str">
        <f ca="1">IF(INDIRECT(CONCATENATE($FK$12,Fixtures!GR$25))="","",IF(INDIRECT(CONCATENATE($FK$12,Fixtures!GR$25))=Fixtures!$DN47,CONCATENATE(GR$10,", "),""))</f>
        <v/>
      </c>
      <c r="GS47" s="713" t="str">
        <f ca="1">IF(INDIRECT(CONCATENATE($FK$12,Fixtures!GS$25))="","",IF(INDIRECT(CONCATENATE($FK$12,Fixtures!GS$25))=Fixtures!$DN47,CONCATENATE(GS$10,", "),""))</f>
        <v/>
      </c>
      <c r="GT47" s="713" t="str">
        <f ca="1">IF(INDIRECT(CONCATENATE($FK$12,Fixtures!GT$25))="","",IF(INDIRECT(CONCATENATE($FK$12,Fixtures!GT$25))=Fixtures!$DN47,CONCATENATE(GT$10,", "),""))</f>
        <v/>
      </c>
      <c r="GU47" s="713" t="str">
        <f ca="1">IF(INDIRECT(CONCATENATE($FK$12,Fixtures!GU$25))="","",IF(INDIRECT(CONCATENATE($FK$12,Fixtures!GU$25))=Fixtures!$DN47,CONCATENATE(GU$10,", "),""))</f>
        <v/>
      </c>
      <c r="GV47" s="713" t="str">
        <f ca="1">IF(INDIRECT(CONCATENATE($FK$12,Fixtures!GV$25))="","",IF(INDIRECT(CONCATENATE($FK$12,Fixtures!GV$25))=Fixtures!$DN47,CONCATENATE(GV$10,", "),""))</f>
        <v/>
      </c>
      <c r="GW47" s="713" t="str">
        <f ca="1">IF(INDIRECT(CONCATENATE($FK$12,Fixtures!GW$25))="","",IF(INDIRECT(CONCATENATE($FK$12,Fixtures!GW$25))=Fixtures!$DN47,CONCATENATE(GW$10,", "),""))</f>
        <v/>
      </c>
      <c r="GX47" s="684" t="str">
        <f ca="1">IF(INDIRECT(CONCATENATE($FK$12,Fixtures!GX$25))="","",IF(INDIRECT(CONCATENATE($FK$12,Fixtures!GX$25))=Fixtures!$DN47,CONCATENATE(GX$10,", "),""))</f>
        <v/>
      </c>
      <c r="GY47" s="685" t="str">
        <f ca="1">IF(INDIRECT(CONCATENATE($FK$12,Fixtures!GY$25))="","",IF(INDIRECT(CONCATENATE($FK$12,Fixtures!GY$25))=Fixtures!$DN47,CONCATENATE(GY$10,", "),""))</f>
        <v/>
      </c>
      <c r="GZ47" s="713" t="str">
        <f ca="1">IF(INDIRECT(CONCATENATE($FK$12,Fixtures!GZ$25))="","",IF(INDIRECT(CONCATENATE($FK$12,Fixtures!GZ$25))=Fixtures!$DN47,CONCATENATE(GZ$10,", "),""))</f>
        <v/>
      </c>
      <c r="HA47" s="713" t="str">
        <f ca="1">IF(INDIRECT(CONCATENATE($FK$12,Fixtures!HA$25))="","",IF(INDIRECT(CONCATENATE($FK$12,Fixtures!HA$25))=Fixtures!$DN47,CONCATENATE(HA$10,", "),""))</f>
        <v/>
      </c>
      <c r="HB47" s="713" t="str">
        <f ca="1">IF(INDIRECT(CONCATENATE($FK$12,Fixtures!HB$25))="","",IF(INDIRECT(CONCATENATE($FK$12,Fixtures!HB$25))=Fixtures!$DN47,CONCATENATE(HB$10,", "),""))</f>
        <v/>
      </c>
      <c r="HC47" s="713" t="str">
        <f ca="1">IF(INDIRECT(CONCATENATE($FK$12,Fixtures!HC$25))="","",IF(INDIRECT(CONCATENATE($FK$12,Fixtures!HC$25))=Fixtures!$DN47,CONCATENATE(HC$10,", "),""))</f>
        <v/>
      </c>
      <c r="HD47" s="713" t="str">
        <f ca="1">IF(INDIRECT(CONCATENATE($FK$12,Fixtures!HD$25))="","",IF(INDIRECT(CONCATENATE($FK$12,Fixtures!HD$25))=Fixtures!$DN47,CONCATENATE(HD$10,", "),""))</f>
        <v/>
      </c>
      <c r="HE47" s="713" t="str">
        <f ca="1">IF(INDIRECT(CONCATENATE($FK$12,Fixtures!HE$25))="","",IF(INDIRECT(CONCATENATE($FK$12,Fixtures!HE$25))=Fixtures!$DN47,CONCATENATE(HE$10,", "),""))</f>
        <v/>
      </c>
      <c r="HF47" s="713" t="str">
        <f ca="1">IF(INDIRECT(CONCATENATE($FK$12,Fixtures!HF$25))="","",IF(INDIRECT(CONCATENATE($FK$12,Fixtures!HF$25))=Fixtures!$DN47,CONCATENATE(HF$10,", "),""))</f>
        <v/>
      </c>
      <c r="HG47" s="713" t="str">
        <f ca="1">IF(INDIRECT(CONCATENATE($FK$12,Fixtures!HG$25))="","",IF(INDIRECT(CONCATENATE($FK$12,Fixtures!HG$25))=Fixtures!$DN47,CONCATENATE(HG$10,", "),""))</f>
        <v/>
      </c>
      <c r="HH47" s="713" t="str">
        <f ca="1">IF(INDIRECT(CONCATENATE($FK$12,Fixtures!HH$25))="","",IF(INDIRECT(CONCATENATE($FK$12,Fixtures!HH$25))=Fixtures!$DN47,CONCATENATE(HH$10,", "),""))</f>
        <v/>
      </c>
      <c r="HI47" s="713" t="str">
        <f ca="1">IF(INDIRECT(CONCATENATE($FK$12,Fixtures!HI$25))="","",IF(INDIRECT(CONCATENATE($FK$12,Fixtures!HI$25))=Fixtures!$DN47,CONCATENATE(HI$10,", "),""))</f>
        <v/>
      </c>
      <c r="HJ47" s="713" t="str">
        <f ca="1">IF(INDIRECT(CONCATENATE($FK$12,Fixtures!HJ$25))="","",IF(INDIRECT(CONCATENATE($FK$12,Fixtures!HJ$25))=Fixtures!$DN47,CONCATENATE(HJ$10,", "),""))</f>
        <v/>
      </c>
      <c r="HK47" s="713" t="str">
        <f ca="1">IF(INDIRECT(CONCATENATE($FK$12,Fixtures!HK$25))="","",IF(INDIRECT(CONCATENATE($FK$12,Fixtures!HK$25))=Fixtures!$DN47,CONCATENATE(HK$10,", "),""))</f>
        <v/>
      </c>
      <c r="HL47" s="713" t="str">
        <f ca="1">IF(INDIRECT(CONCATENATE($FK$12,Fixtures!HL$25))="","",IF(INDIRECT(CONCATENATE($FK$12,Fixtures!HL$25))=Fixtures!$DN47,CONCATENATE(HL$10,", "),""))</f>
        <v/>
      </c>
      <c r="HM47" s="684" t="str">
        <f ca="1">IF(INDIRECT(CONCATENATE($FK$12,Fixtures!HM$25))="","",IF(INDIRECT(CONCATENATE($FK$12,Fixtures!HM$25))=Fixtures!$DN47,CONCATENATE(HM$10,", "),""))</f>
        <v/>
      </c>
      <c r="HN47" s="685" t="str">
        <f ca="1">IF(INDIRECT(CONCATENATE($FK$12,Fixtures!HN$25))="","",IF(INDIRECT(CONCATENATE($FK$12,Fixtures!HN$25))=Fixtures!$DN47,CONCATENATE(HN$10,", "),""))</f>
        <v/>
      </c>
      <c r="HO47" s="713" t="str">
        <f ca="1">IF(INDIRECT(CONCATENATE($FK$12,Fixtures!HO$25))="","",IF(INDIRECT(CONCATENATE($FK$12,Fixtures!HO$25))=Fixtures!$DN47,CONCATENATE(HO$10,", "),""))</f>
        <v/>
      </c>
      <c r="HP47" s="713" t="str">
        <f ca="1">IF(INDIRECT(CONCATENATE($FK$12,Fixtures!HP$25))="","",IF(INDIRECT(CONCATENATE($FK$12,Fixtures!HP$25))=Fixtures!$DN47,CONCATENATE(HP$10,", "),""))</f>
        <v/>
      </c>
      <c r="HQ47" s="713" t="str">
        <f ca="1">IF(INDIRECT(CONCATENATE($FK$12,Fixtures!HQ$25))="","",IF(INDIRECT(CONCATENATE($FK$12,Fixtures!HQ$25))=Fixtures!$DN47,CONCATENATE(HQ$10,", "),""))</f>
        <v/>
      </c>
      <c r="HR47" s="713" t="str">
        <f ca="1">IF(INDIRECT(CONCATENATE($FK$12,Fixtures!HR$25))="","",IF(INDIRECT(CONCATENATE($FK$12,Fixtures!HR$25))=Fixtures!$DN47,CONCATENATE(HR$10,", "),""))</f>
        <v/>
      </c>
      <c r="HS47" s="713" t="str">
        <f ca="1">IF(INDIRECT(CONCATENATE($FK$12,Fixtures!HS$25))="","",IF(INDIRECT(CONCATENATE($FK$12,Fixtures!HS$25))=Fixtures!$DN47,CONCATENATE(HS$10,", "),""))</f>
        <v/>
      </c>
      <c r="HT47" s="713" t="str">
        <f ca="1">IF(INDIRECT(CONCATENATE($FK$12,Fixtures!HT$25))="","",IF(INDIRECT(CONCATENATE($FK$12,Fixtures!HT$25))=Fixtures!$DN47,CONCATENATE(HT$10,", "),""))</f>
        <v/>
      </c>
      <c r="HU47" s="713" t="str">
        <f ca="1">IF(INDIRECT(CONCATENATE($FK$12,Fixtures!HU$25))="","",IF(INDIRECT(CONCATENATE($FK$12,Fixtures!HU$25))=Fixtures!$DN47,CONCATENATE(HU$10,", "),""))</f>
        <v/>
      </c>
      <c r="HV47" s="713" t="str">
        <f ca="1">IF(INDIRECT(CONCATENATE($FK$12,Fixtures!HV$25))="","",IF(INDIRECT(CONCATENATE($FK$12,Fixtures!HV$25))=Fixtures!$DN47,CONCATENATE(HV$10,", "),""))</f>
        <v/>
      </c>
      <c r="HW47" s="713" t="str">
        <f ca="1">IF(INDIRECT(CONCATENATE($FK$12,Fixtures!HW$25))="","",IF(INDIRECT(CONCATENATE($FK$12,Fixtures!HW$25))=Fixtures!$DN47,CONCATENATE(HW$10,", "),""))</f>
        <v/>
      </c>
      <c r="HX47" s="713" t="str">
        <f ca="1">IF(INDIRECT(CONCATENATE($FK$12,Fixtures!HX$25))="","",IF(INDIRECT(CONCATENATE($FK$12,Fixtures!HX$25))=Fixtures!$DN47,CONCATENATE(HX$10,", "),""))</f>
        <v/>
      </c>
      <c r="HY47" s="713" t="str">
        <f ca="1">IF(INDIRECT(CONCATENATE($FK$12,Fixtures!HY$25))="","",IF(INDIRECT(CONCATENATE($FK$12,Fixtures!HY$25))=Fixtures!$DN47,CONCATENATE(HY$10,", "),""))</f>
        <v/>
      </c>
      <c r="HZ47" s="713" t="str">
        <f ca="1">IF(INDIRECT(CONCATENATE($FK$12,Fixtures!HZ$25))="","",IF(INDIRECT(CONCATENATE($FK$12,Fixtures!HZ$25))=Fixtures!$DN47,CONCATENATE(HZ$10,", "),""))</f>
        <v/>
      </c>
      <c r="IA47" s="713" t="str">
        <f ca="1">IF(INDIRECT(CONCATENATE($FK$12,Fixtures!IA$25))="","",IF(INDIRECT(CONCATENATE($FK$12,Fixtures!IA$25))=Fixtures!$DN47,CONCATENATE(IA$10,", "),""))</f>
        <v/>
      </c>
      <c r="IB47" s="684" t="str">
        <f ca="1">IF(INDIRECT(CONCATENATE($FK$12,Fixtures!IB$25))="","",IF(INDIRECT(CONCATENATE($FK$12,Fixtures!IB$25))=Fixtures!$DN47,CONCATENATE(IB$10,", "),""))</f>
        <v/>
      </c>
      <c r="IC47" s="685" t="str">
        <f ca="1">IF(INDIRECT(CONCATENATE($FK$12,Fixtures!IC$25))="","",IF(INDIRECT(CONCATENATE($FK$12,Fixtures!IC$25))=Fixtures!$DN47,CONCATENATE(IC$10,", "),""))</f>
        <v/>
      </c>
      <c r="ID47" s="713" t="str">
        <f ca="1">IF(INDIRECT(CONCATENATE($FK$12,Fixtures!ID$25))="","",IF(INDIRECT(CONCATENATE($FK$12,Fixtures!ID$25))=Fixtures!$DN47,CONCATENATE(ID$10,", "),""))</f>
        <v/>
      </c>
      <c r="IE47" s="713" t="str">
        <f ca="1">IF(INDIRECT(CONCATENATE($FK$12,Fixtures!IE$25))="","",IF(INDIRECT(CONCATENATE($FK$12,Fixtures!IE$25))=Fixtures!$DN47,CONCATENATE(IE$10,", "),""))</f>
        <v/>
      </c>
      <c r="IF47" s="713" t="str">
        <f ca="1">IF(INDIRECT(CONCATENATE($FK$12,Fixtures!IF$25))="","",IF(INDIRECT(CONCATENATE($FK$12,Fixtures!IF$25))=Fixtures!$DN47,CONCATENATE(IF$10,", "),""))</f>
        <v/>
      </c>
      <c r="IG47" s="713" t="str">
        <f ca="1">IF(INDIRECT(CONCATENATE($FK$12,Fixtures!IG$25))="","",IF(INDIRECT(CONCATENATE($FK$12,Fixtures!IG$25))=Fixtures!$DN47,CONCATENATE(IG$10,", "),""))</f>
        <v/>
      </c>
      <c r="IH47" s="713" t="str">
        <f ca="1">IF(INDIRECT(CONCATENATE($FK$12,Fixtures!IH$25))="","",IF(INDIRECT(CONCATENATE($FK$12,Fixtures!IH$25))=Fixtures!$DN47,CONCATENATE(IH$10,", "),""))</f>
        <v/>
      </c>
      <c r="II47" s="713" t="str">
        <f ca="1">IF(INDIRECT(CONCATENATE($FK$12,Fixtures!II$25))="","",IF(INDIRECT(CONCATENATE($FK$12,Fixtures!II$25))=Fixtures!$DN47,CONCATENATE(II$10,", "),""))</f>
        <v/>
      </c>
      <c r="IJ47" s="713" t="str">
        <f ca="1">IF(INDIRECT(CONCATENATE($FK$12,Fixtures!IJ$25))="","",IF(INDIRECT(CONCATENATE($FK$12,Fixtures!IJ$25))=Fixtures!$DN47,CONCATENATE(IJ$10,", "),""))</f>
        <v/>
      </c>
      <c r="IK47" s="713" t="str">
        <f ca="1">IF(INDIRECT(CONCATENATE($FK$12,Fixtures!IK$25))="","",IF(INDIRECT(CONCATENATE($FK$12,Fixtures!IK$25))=Fixtures!$DN47,CONCATENATE(IK$10,", "),""))</f>
        <v/>
      </c>
      <c r="IL47" s="713" t="str">
        <f ca="1">IF(INDIRECT(CONCATENATE($FK$12,Fixtures!IL$25))="","",IF(INDIRECT(CONCATENATE($FK$12,Fixtures!IL$25))=Fixtures!$DN47,CONCATENATE(IL$10,", "),""))</f>
        <v/>
      </c>
      <c r="IM47" s="713" t="str">
        <f ca="1">IF(INDIRECT(CONCATENATE($FK$12,Fixtures!IM$25))="","",IF(INDIRECT(CONCATENATE($FK$12,Fixtures!IM$25))=Fixtures!$DN47,CONCATENATE(IM$10,", "),""))</f>
        <v/>
      </c>
      <c r="IN47" s="713" t="str">
        <f ca="1">IF(INDIRECT(CONCATENATE($FK$12,Fixtures!IN$25))="","",IF(INDIRECT(CONCATENATE($FK$12,Fixtures!IN$25))=Fixtures!$DN47,CONCATENATE(IN$10,", "),""))</f>
        <v/>
      </c>
      <c r="IO47" s="713" t="str">
        <f ca="1">IF(INDIRECT(CONCATENATE($FK$12,Fixtures!IO$25))="","",IF(INDIRECT(CONCATENATE($FK$12,Fixtures!IO$25))=Fixtures!$DN47,CONCATENATE(IO$10,", "),""))</f>
        <v/>
      </c>
      <c r="IP47" s="713" t="str">
        <f ca="1">IF(INDIRECT(CONCATENATE($FK$12,Fixtures!IP$25))="","",IF(INDIRECT(CONCATENATE($FK$12,Fixtures!IP$25))=Fixtures!$DN47,CONCATENATE(IP$10,", "),""))</f>
        <v/>
      </c>
      <c r="IQ47" s="684" t="str">
        <f ca="1">IF(INDIRECT(CONCATENATE($FK$12,Fixtures!IQ$25))="","",IF(INDIRECT(CONCATENATE($FK$12,Fixtures!IQ$25))=Fixtures!$DN47,CONCATENATE(IQ$10,", "),""))</f>
        <v/>
      </c>
      <c r="IR47" s="685" t="str">
        <f ca="1">IF(INDIRECT(CONCATENATE($FK$12,Fixtures!IR$25))="","",IF(INDIRECT(CONCATENATE($FK$12,Fixtures!IR$25))=Fixtures!$DN47,CONCATENATE(IR$10,", "),""))</f>
        <v/>
      </c>
      <c r="IS47" s="713" t="str">
        <f ca="1">IF(INDIRECT(CONCATENATE($FK$12,Fixtures!IS$25))="","",IF(INDIRECT(CONCATENATE($FK$12,Fixtures!IS$25))=Fixtures!$DN47,CONCATENATE(IS$10,", "),""))</f>
        <v/>
      </c>
      <c r="IT47" s="713" t="str">
        <f ca="1">IF(INDIRECT(CONCATENATE($FK$12,Fixtures!IT$25))="","",IF(INDIRECT(CONCATENATE($FK$12,Fixtures!IT$25))=Fixtures!$DN47,CONCATENATE(IT$10,", "),""))</f>
        <v/>
      </c>
      <c r="IU47" s="713" t="str">
        <f ca="1">IF(INDIRECT(CONCATENATE($FK$12,Fixtures!IU$25))="","",IF(INDIRECT(CONCATENATE($FK$12,Fixtures!IU$25))=Fixtures!$DN47,CONCATENATE(IU$10,", "),""))</f>
        <v/>
      </c>
      <c r="IV47" s="713" t="str">
        <f ca="1">IF(INDIRECT(CONCATENATE($FK$12,Fixtures!IV$25))="","",IF(INDIRECT(CONCATENATE($FK$12,Fixtures!IV$25))=Fixtures!$DN47,CONCATENATE(IV$10,", "),""))</f>
        <v/>
      </c>
      <c r="IW47" s="713" t="str">
        <f ca="1">IF(INDIRECT(CONCATENATE($FK$12,Fixtures!IW$25))="","",IF(INDIRECT(CONCATENATE($FK$12,Fixtures!IW$25))=Fixtures!$DN47,CONCATENATE(IW$10,", "),""))</f>
        <v/>
      </c>
      <c r="IX47" s="713" t="str">
        <f ca="1">IF(INDIRECT(CONCATENATE($FK$12,Fixtures!IX$25))="","",IF(INDIRECT(CONCATENATE($FK$12,Fixtures!IX$25))=Fixtures!$DN47,CONCATENATE(IX$10,", "),""))</f>
        <v/>
      </c>
      <c r="IY47" s="713" t="str">
        <f ca="1">IF(INDIRECT(CONCATENATE($FK$12,Fixtures!IY$25))="","",IF(INDIRECT(CONCATENATE($FK$12,Fixtures!IY$25))=Fixtures!$DN47,CONCATENATE(IY$10,", "),""))</f>
        <v/>
      </c>
      <c r="IZ47" s="713" t="str">
        <f ca="1">IF(INDIRECT(CONCATENATE($FK$12,Fixtures!IZ$25))="","",IF(INDIRECT(CONCATENATE($FK$12,Fixtures!IZ$25))=Fixtures!$DN47,CONCATENATE(IZ$10,", "),""))</f>
        <v/>
      </c>
      <c r="JA47" s="713" t="str">
        <f ca="1">IF(INDIRECT(CONCATENATE($FK$12,Fixtures!JA$25))="","",IF(INDIRECT(CONCATENATE($FK$12,Fixtures!JA$25))=Fixtures!$DN47,CONCATENATE(JA$10,", "),""))</f>
        <v/>
      </c>
      <c r="JB47" s="713" t="str">
        <f ca="1">IF(INDIRECT(CONCATENATE($FK$12,Fixtures!JB$25))="","",IF(INDIRECT(CONCATENATE($FK$12,Fixtures!JB$25))=Fixtures!$DN47,CONCATENATE(JB$10,", "),""))</f>
        <v/>
      </c>
      <c r="JC47" s="713" t="str">
        <f ca="1">IF(INDIRECT(CONCATENATE($FK$12,Fixtures!JC$25))="","",IF(INDIRECT(CONCATENATE($FK$12,Fixtures!JC$25))=Fixtures!$DN47,CONCATENATE(JC$10,", "),""))</f>
        <v/>
      </c>
      <c r="JD47" s="713" t="str">
        <f ca="1">IF(INDIRECT(CONCATENATE($FK$12,Fixtures!JD$25))="","",IF(INDIRECT(CONCATENATE($FK$12,Fixtures!JD$25))=Fixtures!$DN47,CONCATENATE(JD$10,", "),""))</f>
        <v/>
      </c>
      <c r="JE47" s="713" t="str">
        <f ca="1">IF(INDIRECT(CONCATENATE($FK$12,Fixtures!JE$25))="","",IF(INDIRECT(CONCATENATE($FK$12,Fixtures!JE$25))=Fixtures!$DN47,CONCATENATE(JE$10,", "),""))</f>
        <v/>
      </c>
      <c r="JF47" s="684" t="str">
        <f ca="1">IF(INDIRECT(CONCATENATE($FK$12,Fixtures!JF$25))="","",IF(INDIRECT(CONCATENATE($FK$12,Fixtures!JF$25))=Fixtures!$DN47,CONCATENATE(JF$10,", "),""))</f>
        <v/>
      </c>
      <c r="JG47" s="685" t="str">
        <f ca="1">IF(INDIRECT(CONCATENATE($FK$12,Fixtures!JG$25))="","",IF(INDIRECT(CONCATENATE($FK$12,Fixtures!JG$25))=Fixtures!$DN47,CONCATENATE(JG$10,", "),""))</f>
        <v/>
      </c>
      <c r="JH47" s="713" t="str">
        <f ca="1">IF(INDIRECT(CONCATENATE($FK$12,Fixtures!JH$25))="","",IF(INDIRECT(CONCATENATE($FK$12,Fixtures!JH$25))=Fixtures!$DN47,CONCATENATE(JH$10,", "),""))</f>
        <v/>
      </c>
      <c r="JI47" s="713" t="str">
        <f ca="1">IF(INDIRECT(CONCATENATE($FK$12,Fixtures!JI$25))="","",IF(INDIRECT(CONCATENATE($FK$12,Fixtures!JI$25))=Fixtures!$DN47,CONCATENATE(JI$10,", "),""))</f>
        <v/>
      </c>
      <c r="JJ47" s="713" t="str">
        <f ca="1">IF(INDIRECT(CONCATENATE($FK$12,Fixtures!JJ$25))="","",IF(INDIRECT(CONCATENATE($FK$12,Fixtures!JJ$25))=Fixtures!$DN47,CONCATENATE(JJ$10,", "),""))</f>
        <v/>
      </c>
      <c r="JK47" s="713" t="str">
        <f ca="1">IF(INDIRECT(CONCATENATE($FK$12,Fixtures!JK$25))="","",IF(INDIRECT(CONCATENATE($FK$12,Fixtures!JK$25))=Fixtures!$DN47,CONCATENATE(JK$10,", "),""))</f>
        <v/>
      </c>
      <c r="JL47" s="713" t="str">
        <f ca="1">IF(INDIRECT(CONCATENATE($FK$12,Fixtures!JL$25))="","",IF(INDIRECT(CONCATENATE($FK$12,Fixtures!JL$25))=Fixtures!$DN47,CONCATENATE(JL$10,", "),""))</f>
        <v/>
      </c>
      <c r="JM47" s="713" t="str">
        <f ca="1">IF(INDIRECT(CONCATENATE($FK$12,Fixtures!JM$25))="","",IF(INDIRECT(CONCATENATE($FK$12,Fixtures!JM$25))=Fixtures!$DN47,CONCATENATE(JM$10,", "),""))</f>
        <v/>
      </c>
      <c r="JN47" s="713" t="str">
        <f ca="1">IF(INDIRECT(CONCATENATE($FK$12,Fixtures!JN$25))="","",IF(INDIRECT(CONCATENATE($FK$12,Fixtures!JN$25))=Fixtures!$DN47,CONCATENATE(JN$10,", "),""))</f>
        <v/>
      </c>
      <c r="JO47" s="713" t="str">
        <f ca="1">IF(INDIRECT(CONCATENATE($FK$12,Fixtures!JO$25))="","",IF(INDIRECT(CONCATENATE($FK$12,Fixtures!JO$25))=Fixtures!$DN47,CONCATENATE(JO$10,", "),""))</f>
        <v/>
      </c>
      <c r="JP47" s="713" t="str">
        <f ca="1">IF(INDIRECT(CONCATENATE($FK$12,Fixtures!JP$25))="","",IF(INDIRECT(CONCATENATE($FK$12,Fixtures!JP$25))=Fixtures!$DN47,CONCATENATE(JP$10,", "),""))</f>
        <v/>
      </c>
      <c r="JQ47" s="713" t="str">
        <f ca="1">IF(INDIRECT(CONCATENATE($FK$12,Fixtures!JQ$25))="","",IF(INDIRECT(CONCATENATE($FK$12,Fixtures!JQ$25))=Fixtures!$DN47,CONCATENATE(JQ$10,", "),""))</f>
        <v/>
      </c>
      <c r="JR47" s="713" t="str">
        <f ca="1">IF(INDIRECT(CONCATENATE($FK$12,Fixtures!JR$25))="","",IF(INDIRECT(CONCATENATE($FK$12,Fixtures!JR$25))=Fixtures!$DN47,CONCATENATE(JR$10,", "),""))</f>
        <v/>
      </c>
      <c r="JS47" s="713" t="str">
        <f ca="1">IF(INDIRECT(CONCATENATE($FK$12,Fixtures!JS$25))="","",IF(INDIRECT(CONCATENATE($FK$12,Fixtures!JS$25))=Fixtures!$DN47,CONCATENATE(JS$10,", "),""))</f>
        <v/>
      </c>
      <c r="JT47" s="713" t="str">
        <f ca="1">IF(INDIRECT(CONCATENATE($FK$12,Fixtures!JT$25))="","",IF(INDIRECT(CONCATENATE($FK$12,Fixtures!JT$25))=Fixtures!$DN47,CONCATENATE(JT$10,", "),""))</f>
        <v/>
      </c>
      <c r="JU47" s="684" t="str">
        <f ca="1">IF(INDIRECT(CONCATENATE($FK$12,Fixtures!JU$25))="","",IF(INDIRECT(CONCATENATE($FK$12,Fixtures!JU$25))=Fixtures!$DN47,CONCATENATE(JU$10,", "),""))</f>
        <v/>
      </c>
      <c r="JV47" s="685" t="str">
        <f ca="1">IF(INDIRECT(CONCATENATE($FK$12,Fixtures!JV$25))="","",IF(INDIRECT(CONCATENATE($FK$12,Fixtures!JV$25))=Fixtures!$DN47,CONCATENATE(JV$10,", "),""))</f>
        <v/>
      </c>
      <c r="JW47" s="713" t="str">
        <f ca="1">IF(INDIRECT(CONCATENATE($FK$12,Fixtures!JW$25))="","",IF(INDIRECT(CONCATENATE($FK$12,Fixtures!JW$25))=Fixtures!$DN47,CONCATENATE(JW$10,", "),""))</f>
        <v/>
      </c>
      <c r="JX47" s="713" t="str">
        <f ca="1">IF(INDIRECT(CONCATENATE($FK$12,Fixtures!JX$25))="","",IF(INDIRECT(CONCATENATE($FK$12,Fixtures!JX$25))=Fixtures!$DN47,CONCATENATE(JX$10,", "),""))</f>
        <v/>
      </c>
      <c r="JY47" s="713" t="str">
        <f ca="1">IF(INDIRECT(CONCATENATE($FK$12,Fixtures!JY$25))="","",IF(INDIRECT(CONCATENATE($FK$12,Fixtures!JY$25))=Fixtures!$DN47,CONCATENATE(JY$10,", "),""))</f>
        <v/>
      </c>
      <c r="JZ47" s="713" t="str">
        <f ca="1">IF(INDIRECT(CONCATENATE($FK$12,Fixtures!JZ$25))="","",IF(INDIRECT(CONCATENATE($FK$12,Fixtures!JZ$25))=Fixtures!$DN47,CONCATENATE(JZ$10,", "),""))</f>
        <v/>
      </c>
      <c r="KA47" s="713" t="str">
        <f ca="1">IF(INDIRECT(CONCATENATE($FK$12,Fixtures!KA$25))="","",IF(INDIRECT(CONCATENATE($FK$12,Fixtures!KA$25))=Fixtures!$DN47,CONCATENATE(KA$10,", "),""))</f>
        <v/>
      </c>
      <c r="KB47" s="713" t="str">
        <f ca="1">IF(INDIRECT(CONCATENATE($FK$12,Fixtures!KB$25))="","",IF(INDIRECT(CONCATENATE($FK$12,Fixtures!KB$25))=Fixtures!$DN47,CONCATENATE(KB$10,", "),""))</f>
        <v/>
      </c>
      <c r="KC47" s="713" t="str">
        <f ca="1">IF(INDIRECT(CONCATENATE($FK$12,Fixtures!KC$25))="","",IF(INDIRECT(CONCATENATE($FK$12,Fixtures!KC$25))=Fixtures!$DN47,CONCATENATE(KC$10,", "),""))</f>
        <v/>
      </c>
      <c r="KD47" s="713" t="str">
        <f ca="1">IF(INDIRECT(CONCATENATE($FK$12,Fixtures!KD$25))="","",IF(INDIRECT(CONCATENATE($FK$12,Fixtures!KD$25))=Fixtures!$DN47,CONCATENATE(KD$10,", "),""))</f>
        <v/>
      </c>
      <c r="KE47" s="713" t="str">
        <f ca="1">IF(INDIRECT(CONCATENATE($FK$12,Fixtures!KE$25))="","",IF(INDIRECT(CONCATENATE($FK$12,Fixtures!KE$25))=Fixtures!$DN47,CONCATENATE(KE$10,", "),""))</f>
        <v/>
      </c>
      <c r="KF47" s="713" t="str">
        <f ca="1">IF(INDIRECT(CONCATENATE($FK$12,Fixtures!KF$25))="","",IF(INDIRECT(CONCATENATE($FK$12,Fixtures!KF$25))=Fixtures!$DN47,CONCATENATE(KF$10,", "),""))</f>
        <v/>
      </c>
      <c r="KG47" s="713" t="str">
        <f ca="1">IF(INDIRECT(CONCATENATE($FK$12,Fixtures!KG$25))="","",IF(INDIRECT(CONCATENATE($FK$12,Fixtures!KG$25))=Fixtures!$DN47,CONCATENATE(KG$10,", "),""))</f>
        <v/>
      </c>
      <c r="KH47" s="713" t="str">
        <f ca="1">IF(INDIRECT(CONCATENATE($FK$12,Fixtures!KH$25))="","",IF(INDIRECT(CONCATENATE($FK$12,Fixtures!KH$25))=Fixtures!$DN47,CONCATENATE(KH$10,", "),""))</f>
        <v/>
      </c>
      <c r="KI47" s="713" t="str">
        <f ca="1">IF(INDIRECT(CONCATENATE($FK$12,Fixtures!KI$25))="","",IF(INDIRECT(CONCATENATE($FK$12,Fixtures!KI$25))=Fixtures!$DN47,CONCATENATE(KI$10,", "),""))</f>
        <v/>
      </c>
      <c r="KJ47" s="684" t="str">
        <f ca="1">IF(INDIRECT(CONCATENATE($FK$12,Fixtures!KJ$25))="","",IF(INDIRECT(CONCATENATE($FK$12,Fixtures!KJ$25))=Fixtures!$DN47,CONCATENATE(KJ$10,", "),""))</f>
        <v/>
      </c>
      <c r="KK47" s="685" t="str">
        <f ca="1">IF(INDIRECT(CONCATENATE($FK$12,Fixtures!KK$25))="","",IF(INDIRECT(CONCATENATE($FK$12,Fixtures!KK$25))=Fixtures!$DN47,CONCATENATE(KK$10,", "),""))</f>
        <v/>
      </c>
      <c r="KL47" s="713" t="str">
        <f ca="1">IF(INDIRECT(CONCATENATE($FK$12,Fixtures!KL$25))="","",IF(INDIRECT(CONCATENATE($FK$12,Fixtures!KL$25))=Fixtures!$DN47,CONCATENATE(KL$10,", "),""))</f>
        <v/>
      </c>
      <c r="KM47" s="713" t="str">
        <f ca="1">IF(INDIRECT(CONCATENATE($FK$12,Fixtures!KM$25))="","",IF(INDIRECT(CONCATENATE($FK$12,Fixtures!KM$25))=Fixtures!$DN47,CONCATENATE(KM$10,", "),""))</f>
        <v/>
      </c>
      <c r="KN47" s="713" t="str">
        <f ca="1">IF(INDIRECT(CONCATENATE($FK$12,Fixtures!KN$25))="","",IF(INDIRECT(CONCATENATE($FK$12,Fixtures!KN$25))=Fixtures!$DN47,CONCATENATE(KN$10,", "),""))</f>
        <v/>
      </c>
      <c r="KO47" s="713" t="str">
        <f ca="1">IF(INDIRECT(CONCATENATE($FK$12,Fixtures!KO$25))="","",IF(INDIRECT(CONCATENATE($FK$12,Fixtures!KO$25))=Fixtures!$DN47,CONCATENATE(KO$10,", "),""))</f>
        <v/>
      </c>
      <c r="KP47" s="713" t="str">
        <f ca="1">IF(INDIRECT(CONCATENATE($FK$12,Fixtures!KP$25))="","",IF(INDIRECT(CONCATENATE($FK$12,Fixtures!KP$25))=Fixtures!$DN47,CONCATENATE(KP$10,", "),""))</f>
        <v/>
      </c>
      <c r="KQ47" s="713" t="str">
        <f ca="1">IF(INDIRECT(CONCATENATE($FK$12,Fixtures!KQ$25))="","",IF(INDIRECT(CONCATENATE($FK$12,Fixtures!KQ$25))=Fixtures!$DN47,CONCATENATE(KQ$10,", "),""))</f>
        <v/>
      </c>
      <c r="KR47" s="713" t="str">
        <f ca="1">IF(INDIRECT(CONCATENATE($FK$12,Fixtures!KR$25))="","",IF(INDIRECT(CONCATENATE($FK$12,Fixtures!KR$25))=Fixtures!$DN47,CONCATENATE(KR$10,", "),""))</f>
        <v/>
      </c>
      <c r="KS47" s="713" t="str">
        <f ca="1">IF(INDIRECT(CONCATENATE($FK$12,Fixtures!KS$25))="","",IF(INDIRECT(CONCATENATE($FK$12,Fixtures!KS$25))=Fixtures!$DN47,CONCATENATE(KS$10,", "),""))</f>
        <v/>
      </c>
      <c r="KT47" s="713" t="str">
        <f ca="1">IF(INDIRECT(CONCATENATE($FK$12,Fixtures!KT$25))="","",IF(INDIRECT(CONCATENATE($FK$12,Fixtures!KT$25))=Fixtures!$DN47,CONCATENATE(KT$10,", "),""))</f>
        <v/>
      </c>
      <c r="KU47" s="713" t="str">
        <f ca="1">IF(INDIRECT(CONCATENATE($FK$12,Fixtures!KU$25))="","",IF(INDIRECT(CONCATENATE($FK$12,Fixtures!KU$25))=Fixtures!$DN47,CONCATENATE(KU$10,", "),""))</f>
        <v/>
      </c>
      <c r="KV47" s="713" t="str">
        <f ca="1">IF(INDIRECT(CONCATENATE($FK$12,Fixtures!KV$25))="","",IF(INDIRECT(CONCATENATE($FK$12,Fixtures!KV$25))=Fixtures!$DN47,CONCATENATE(KV$10,", "),""))</f>
        <v/>
      </c>
      <c r="KW47" s="713" t="str">
        <f ca="1">IF(INDIRECT(CONCATENATE($FK$12,Fixtures!KW$25))="","",IF(INDIRECT(CONCATENATE($FK$12,Fixtures!KW$25))=Fixtures!$DN47,CONCATENATE(KW$10,", "),""))</f>
        <v/>
      </c>
      <c r="KX47" s="713" t="str">
        <f ca="1">IF(INDIRECT(CONCATENATE($FK$12,Fixtures!KX$25))="","",IF(INDIRECT(CONCATENATE($FK$12,Fixtures!KX$25))=Fixtures!$DN47,CONCATENATE(KX$10,", "),""))</f>
        <v/>
      </c>
      <c r="KY47" s="713" t="str">
        <f ca="1">IF(INDIRECT(CONCATENATE($FK$12,Fixtures!KY$25))="","",IF(INDIRECT(CONCATENATE($FK$12,Fixtures!KY$25))=Fixtures!$DN47,CONCATENATE(KY$10,", "),""))</f>
        <v/>
      </c>
      <c r="KZ47" s="46"/>
      <c r="LA47" s="46" t="str">
        <f t="shared" ca="1" si="8"/>
        <v/>
      </c>
    </row>
    <row r="48" spans="1:313" ht="28.05" customHeight="1" thickTop="1" thickBot="1">
      <c r="A48" s="471" t="str">
        <f t="shared" si="13"/>
        <v/>
      </c>
      <c r="C48" s="1328" t="str">
        <f t="shared" si="14"/>
        <v/>
      </c>
      <c r="D48" s="1329"/>
      <c r="E48" s="1256" t="str">
        <f t="shared" si="15"/>
        <v/>
      </c>
      <c r="F48" s="1257"/>
      <c r="G48" s="1257"/>
      <c r="H48" s="1257"/>
      <c r="I48" s="1257"/>
      <c r="J48" s="1257"/>
      <c r="K48" s="1257"/>
      <c r="L48" s="1257"/>
      <c r="M48" s="1330"/>
      <c r="N48" s="239" t="str">
        <f t="shared" si="16"/>
        <v/>
      </c>
      <c r="O48" s="12"/>
      <c r="P48" s="1326" t="str">
        <f t="shared" si="25"/>
        <v/>
      </c>
      <c r="Q48" s="1327"/>
      <c r="R48" s="1256" t="str">
        <f t="shared" si="31"/>
        <v/>
      </c>
      <c r="S48" s="1257"/>
      <c r="T48" s="1257"/>
      <c r="U48" s="1257"/>
      <c r="V48" s="1257"/>
      <c r="W48" s="1257"/>
      <c r="X48" s="1257"/>
      <c r="Y48" s="239" t="str">
        <f t="shared" si="27"/>
        <v/>
      </c>
      <c r="Z48" s="239" t="str">
        <f t="shared" si="28"/>
        <v/>
      </c>
      <c r="AA48" s="439" t="str">
        <f t="shared" si="29"/>
        <v/>
      </c>
      <c r="AB48" s="542"/>
      <c r="AC48" s="1253" t="str">
        <f t="shared" si="17"/>
        <v/>
      </c>
      <c r="AD48" s="1166"/>
      <c r="AE48" s="1166"/>
      <c r="AF48" s="1166"/>
      <c r="AG48" s="1166"/>
      <c r="AH48" s="1166"/>
      <c r="AK48">
        <f>SUMIFS(Installations!CS$39:CS$800,Installations!CT$39:CT$800,E48,Installations!HX$39:HX$800,TRUE)</f>
        <v>0</v>
      </c>
      <c r="AL48">
        <f>SUMIFS(Installations!CS$39:CS$800,Installations!CT$39:CT$800,R48,Installations!HX$39:HX$800,TRUE)</f>
        <v>0</v>
      </c>
      <c r="BL48" s="9"/>
      <c r="BM48" s="703" t="str">
        <f t="shared" si="18"/>
        <v/>
      </c>
      <c r="BN48" s="52"/>
      <c r="BO48" s="52"/>
      <c r="BP48" s="52"/>
      <c r="BQ48" s="52"/>
      <c r="BR48" s="52"/>
      <c r="BS48" s="52"/>
      <c r="BT48" s="52"/>
      <c r="BU48" s="414"/>
      <c r="BV48" s="255" t="str">
        <f>IF(CN48&lt;&gt;"Yes","",IFERROR(VLOOKUP(CU48,Existing!A$4:F$364,2,FALSE),""))</f>
        <v/>
      </c>
      <c r="BW48" s="9">
        <v>22</v>
      </c>
      <c r="BX48" s="1313"/>
      <c r="BY48" s="1314"/>
      <c r="BZ48" s="1314"/>
      <c r="CA48" s="1315"/>
      <c r="CB48" s="1310"/>
      <c r="CC48" s="1311"/>
      <c r="CD48" s="1311"/>
      <c r="CE48" s="1312"/>
      <c r="CF48" s="1309"/>
      <c r="CG48" s="1309"/>
      <c r="CH48" s="1309"/>
      <c r="CI48" s="1309"/>
      <c r="CJ48" s="1309"/>
      <c r="CK48" s="1309"/>
      <c r="CL48" s="1309"/>
      <c r="CM48" s="1309"/>
      <c r="CN48" s="1243" t="str">
        <f t="shared" si="0"/>
        <v/>
      </c>
      <c r="CO48" s="1244"/>
      <c r="CP48" s="265" t="str">
        <f>IFERROR(IF(CB48="Existing TLED",CR48*CW48*CY48,VLOOKUP(CU48,Existing!A$3:F$353,6,FALSE)),"")</f>
        <v/>
      </c>
      <c r="CQ48" s="9"/>
      <c r="CR48" s="1343"/>
      <c r="CS48" s="1344"/>
      <c r="CT48" s="9"/>
      <c r="CU48" s="470" t="str">
        <f t="shared" si="21"/>
        <v/>
      </c>
      <c r="CV48" s="471" t="b">
        <f t="shared" si="22"/>
        <v>0</v>
      </c>
      <c r="CW48" s="471" t="str">
        <f t="shared" si="23"/>
        <v/>
      </c>
      <c r="CX48" s="471">
        <f>IFERROR(VLOOKUP(CF48,Lookup!M$100:O$102,3,FALSE),0)</f>
        <v>0</v>
      </c>
      <c r="CY48" s="471">
        <f t="shared" si="9"/>
        <v>1.1100000000000001</v>
      </c>
      <c r="CZ48" s="707" t="b">
        <f t="shared" si="1"/>
        <v>0</v>
      </c>
      <c r="DA48" s="707" t="b">
        <f>IF(CF48&lt;&gt;"",IF(ISERROR(MATCH(CONCATENATE(CB48," - ",CF48),Existing!G$4:G$328,0))=TRUE,FALSE,TRUE),TRUE)</f>
        <v>1</v>
      </c>
      <c r="DB48" s="707" t="b">
        <f t="shared" si="2"/>
        <v>1</v>
      </c>
      <c r="DL48" s="9"/>
      <c r="DM48" s="708" t="s">
        <v>166</v>
      </c>
      <c r="DN48" s="416" t="str">
        <f t="shared" si="3"/>
        <v/>
      </c>
      <c r="DO48" s="52"/>
      <c r="DP48" s="52"/>
      <c r="DQ48" s="52"/>
      <c r="DR48" s="52"/>
      <c r="DS48" s="52"/>
      <c r="DT48" s="262"/>
      <c r="DU48" s="417"/>
      <c r="DV48" s="263" t="str">
        <f t="shared" si="4"/>
        <v/>
      </c>
      <c r="DW48" s="260">
        <v>22</v>
      </c>
      <c r="DX48" s="1306"/>
      <c r="DY48" s="1307"/>
      <c r="DZ48" s="1307"/>
      <c r="EA48" s="1308"/>
      <c r="EB48" s="1306"/>
      <c r="EC48" s="1307"/>
      <c r="ED48" s="1307"/>
      <c r="EE48" s="1308"/>
      <c r="EF48" s="1266"/>
      <c r="EG48" s="1267"/>
      <c r="EH48" s="1306"/>
      <c r="EI48" s="1307"/>
      <c r="EJ48" s="1307"/>
      <c r="EK48" s="1308"/>
      <c r="EL48" s="1263"/>
      <c r="EM48" s="1264"/>
      <c r="EN48" s="1264"/>
      <c r="EO48" s="1265"/>
      <c r="EP48" s="1266"/>
      <c r="EQ48" s="1267"/>
      <c r="ER48" s="1245"/>
      <c r="ES48" s="1246"/>
      <c r="ET48" s="1243" t="str">
        <f t="shared" si="5"/>
        <v/>
      </c>
      <c r="EU48" s="1244"/>
      <c r="EV48" s="1243" t="str">
        <f t="shared" si="30"/>
        <v/>
      </c>
      <c r="EW48" s="1244"/>
      <c r="EX48" s="438"/>
      <c r="EY48" s="261" t="str">
        <f t="shared" si="7"/>
        <v/>
      </c>
      <c r="EZ48" s="261" t="str">
        <f>IFERROR(VLOOKUP(EB48,Lookup!AM$3:AN$13,2,FALSE),"")</f>
        <v/>
      </c>
      <c r="FA48" s="471" t="b">
        <f>IFERROR(IF(VLOOKUP(EB48,Lookup!AM$6:AN$8,2,FALSE)&gt;3,TRUE,FALSE),FALSE)</f>
        <v>0</v>
      </c>
      <c r="FB48" s="471">
        <f t="shared" si="11"/>
        <v>1</v>
      </c>
      <c r="FC48" t="str">
        <f t="shared" ca="1" si="10"/>
        <v/>
      </c>
      <c r="FG48" t="str">
        <f t="shared" ca="1" si="12"/>
        <v/>
      </c>
      <c r="FI48" s="240" t="str">
        <f t="shared" ca="1" si="24"/>
        <v/>
      </c>
      <c r="FJ48" s="240"/>
      <c r="FK48" s="712" t="str">
        <f ca="1">IF(INDIRECT(CONCATENATE($FK$12,Fixtures!FK$25))="","",IF(INDIRECT(CONCATENATE($FK$12,Fixtures!FK$25))=Fixtures!$DN48,CONCATENATE(FK$10,", "),""))</f>
        <v/>
      </c>
      <c r="FL48" s="712" t="str">
        <f ca="1">IF(INDIRECT(CONCATENATE($FK$12,Fixtures!FL$25))="","",IF(INDIRECT(CONCATENATE($FK$12,Fixtures!FL$25))=Fixtures!$DN48,CONCATENATE(FL$10,", "),""))</f>
        <v/>
      </c>
      <c r="FM48" s="712" t="str">
        <f ca="1">IF(INDIRECT(CONCATENATE($FK$12,Fixtures!FM$25))="","",IF(INDIRECT(CONCATENATE($FK$12,Fixtures!FM$25))=Fixtures!$DN48,CONCATENATE(FM$10,", "),""))</f>
        <v/>
      </c>
      <c r="FN48" s="712" t="str">
        <f ca="1">IF(INDIRECT(CONCATENATE($FK$12,Fixtures!FN$25))="","",IF(INDIRECT(CONCATENATE($FK$12,Fixtures!FN$25))=Fixtures!$DN48,CONCATENATE(FN$10,", "),""))</f>
        <v/>
      </c>
      <c r="FO48" s="712" t="str">
        <f ca="1">IF(INDIRECT(CONCATENATE($FK$12,Fixtures!FO$25))="","",IF(INDIRECT(CONCATENATE($FK$12,Fixtures!FO$25))=Fixtures!$DN48,CONCATENATE(FO$10,", "),""))</f>
        <v/>
      </c>
      <c r="FP48" s="712" t="str">
        <f ca="1">IF(INDIRECT(CONCATENATE($FK$12,Fixtures!FP$25))="","",IF(INDIRECT(CONCATENATE($FK$12,Fixtures!FP$25))=Fixtures!$DN48,CONCATENATE(FP$10,", "),""))</f>
        <v/>
      </c>
      <c r="FQ48" s="712" t="str">
        <f ca="1">IF(INDIRECT(CONCATENATE($FK$12,Fixtures!FQ$25))="","",IF(INDIRECT(CONCATENATE($FK$12,Fixtures!FQ$25))=Fixtures!$DN48,CONCATENATE(FQ$10,", "),""))</f>
        <v/>
      </c>
      <c r="FR48" s="712" t="str">
        <f ca="1">IF(INDIRECT(CONCATENATE($FK$12,Fixtures!FR$25))="","",IF(INDIRECT(CONCATENATE($FK$12,Fixtures!FR$25))=Fixtures!$DN48,CONCATENATE(FR$10,", "),""))</f>
        <v/>
      </c>
      <c r="FS48" s="712" t="str">
        <f ca="1">IF(INDIRECT(CONCATENATE($FK$12,Fixtures!FS$25))="","",IF(INDIRECT(CONCATENATE($FK$12,Fixtures!FS$25))=Fixtures!$DN48,CONCATENATE(FS$10,", "),""))</f>
        <v/>
      </c>
      <c r="FT48" s="682" t="str">
        <f ca="1">IF(INDIRECT(CONCATENATE($FK$12,Fixtures!FT$25))="","",IF(INDIRECT(CONCATENATE($FK$12,Fixtures!FT$25))=Fixtures!$DN48,CONCATENATE(FT$10,", "),""))</f>
        <v/>
      </c>
      <c r="FU48" s="683" t="str">
        <f ca="1">IF(INDIRECT(CONCATENATE($FK$12,Fixtures!FU$25))="","",IF(INDIRECT(CONCATENATE($FK$12,Fixtures!FU$25))=Fixtures!$DN48,CONCATENATE(FU$10,", "),""))</f>
        <v/>
      </c>
      <c r="FV48" s="712" t="str">
        <f ca="1">IF(INDIRECT(CONCATENATE($FK$12,Fixtures!FV$25))="","",IF(INDIRECT(CONCATENATE($FK$12,Fixtures!FV$25))=Fixtures!$DN48,CONCATENATE(FV$10,", "),""))</f>
        <v/>
      </c>
      <c r="FW48" s="713" t="str">
        <f ca="1">IF(INDIRECT(CONCATENATE($FK$12,Fixtures!FW$25))="","",IF(INDIRECT(CONCATENATE($FK$12,Fixtures!FW$25))=Fixtures!$DN48,CONCATENATE(FW$10,", "),""))</f>
        <v/>
      </c>
      <c r="FX48" s="713" t="str">
        <f ca="1">IF(INDIRECT(CONCATENATE($FK$12,Fixtures!FX$25))="","",IF(INDIRECT(CONCATENATE($FK$12,Fixtures!FX$25))=Fixtures!$DN48,CONCATENATE(FX$10,", "),""))</f>
        <v/>
      </c>
      <c r="FY48" s="713" t="str">
        <f ca="1">IF(INDIRECT(CONCATENATE($FK$12,Fixtures!FY$25))="","",IF(INDIRECT(CONCATENATE($FK$12,Fixtures!FY$25))=Fixtures!$DN48,CONCATENATE(FY$10,", "),""))</f>
        <v/>
      </c>
      <c r="FZ48" s="713" t="str">
        <f ca="1">IF(INDIRECT(CONCATENATE($FK$12,Fixtures!FZ$25))="","",IF(INDIRECT(CONCATENATE($FK$12,Fixtures!FZ$25))=Fixtures!$DN48,CONCATENATE(FZ$10,", "),""))</f>
        <v/>
      </c>
      <c r="GA48" s="713" t="str">
        <f ca="1">IF(INDIRECT(CONCATENATE($FK$12,Fixtures!GA$25))="","",IF(INDIRECT(CONCATENATE($FK$12,Fixtures!GA$25))=Fixtures!$DN48,CONCATENATE(GA$10,", "),""))</f>
        <v/>
      </c>
      <c r="GB48" s="713" t="str">
        <f ca="1">IF(INDIRECT(CONCATENATE($FK$12,Fixtures!GB$25))="","",IF(INDIRECT(CONCATENATE($FK$12,Fixtures!GB$25))=Fixtures!$DN48,CONCATENATE(GB$10,", "),""))</f>
        <v/>
      </c>
      <c r="GC48" s="713" t="str">
        <f ca="1">IF(INDIRECT(CONCATENATE($FK$12,Fixtures!GC$25))="","",IF(INDIRECT(CONCATENATE($FK$12,Fixtures!GC$25))=Fixtures!$DN48,CONCATENATE(GC$10,", "),""))</f>
        <v/>
      </c>
      <c r="GD48" s="713" t="str">
        <f ca="1">IF(INDIRECT(CONCATENATE($FK$12,Fixtures!GD$25))="","",IF(INDIRECT(CONCATENATE($FK$12,Fixtures!GD$25))=Fixtures!$DN48,CONCATENATE(GD$10,", "),""))</f>
        <v/>
      </c>
      <c r="GE48" s="713" t="str">
        <f ca="1">IF(INDIRECT(CONCATENATE($FK$12,Fixtures!GE$25))="","",IF(INDIRECT(CONCATENATE($FK$12,Fixtures!GE$25))=Fixtures!$DN48,CONCATENATE(GE$10,", "),""))</f>
        <v/>
      </c>
      <c r="GF48" s="713" t="str">
        <f ca="1">IF(INDIRECT(CONCATENATE($FK$12,Fixtures!GF$25))="","",IF(INDIRECT(CONCATENATE($FK$12,Fixtures!GF$25))=Fixtures!$DN48,CONCATENATE(GF$10,", "),""))</f>
        <v/>
      </c>
      <c r="GG48" s="713" t="str">
        <f ca="1">IF(INDIRECT(CONCATENATE($FK$12,Fixtures!GG$25))="","",IF(INDIRECT(CONCATENATE($FK$12,Fixtures!GG$25))=Fixtures!$DN48,CONCATENATE(GG$10,", "),""))</f>
        <v/>
      </c>
      <c r="GH48" s="713" t="str">
        <f ca="1">IF(INDIRECT(CONCATENATE($FK$12,Fixtures!GH$25))="","",IF(INDIRECT(CONCATENATE($FK$12,Fixtures!GH$25))=Fixtures!$DN48,CONCATENATE(GH$10,", "),""))</f>
        <v/>
      </c>
      <c r="GI48" s="684" t="str">
        <f ca="1">IF(INDIRECT(CONCATENATE($FK$12,Fixtures!GI$25))="","",IF(INDIRECT(CONCATENATE($FK$12,Fixtures!GI$25))=Fixtures!$DN48,CONCATENATE(GI$10,", "),""))</f>
        <v/>
      </c>
      <c r="GJ48" s="685" t="str">
        <f ca="1">IF(INDIRECT(CONCATENATE($FK$12,Fixtures!GJ$25))="","",IF(INDIRECT(CONCATENATE($FK$12,Fixtures!GJ$25))=Fixtures!$DN48,CONCATENATE(GJ$10,", "),""))</f>
        <v/>
      </c>
      <c r="GK48" s="713" t="str">
        <f ca="1">IF(INDIRECT(CONCATENATE($FK$12,Fixtures!GK$25))="","",IF(INDIRECT(CONCATENATE($FK$12,Fixtures!GK$25))=Fixtures!$DN48,CONCATENATE(GK$10,", "),""))</f>
        <v/>
      </c>
      <c r="GL48" s="713" t="str">
        <f ca="1">IF(INDIRECT(CONCATENATE($FK$12,Fixtures!GL$25))="","",IF(INDIRECT(CONCATENATE($FK$12,Fixtures!GL$25))=Fixtures!$DN48,CONCATENATE(GL$10,", "),""))</f>
        <v/>
      </c>
      <c r="GM48" s="713" t="str">
        <f ca="1">IF(INDIRECT(CONCATENATE($FK$12,Fixtures!GM$25))="","",IF(INDIRECT(CONCATENATE($FK$12,Fixtures!GM$25))=Fixtures!$DN48,CONCATENATE(GM$10,", "),""))</f>
        <v/>
      </c>
      <c r="GN48" s="713" t="str">
        <f ca="1">IF(INDIRECT(CONCATENATE($FK$12,Fixtures!GN$25))="","",IF(INDIRECT(CONCATENATE($FK$12,Fixtures!GN$25))=Fixtures!$DN48,CONCATENATE(GN$10,", "),""))</f>
        <v/>
      </c>
      <c r="GO48" s="713" t="str">
        <f ca="1">IF(INDIRECT(CONCATENATE($FK$12,Fixtures!GO$25))="","",IF(INDIRECT(CONCATENATE($FK$12,Fixtures!GO$25))=Fixtures!$DN48,CONCATENATE(GO$10,", "),""))</f>
        <v/>
      </c>
      <c r="GP48" s="713" t="str">
        <f ca="1">IF(INDIRECT(CONCATENATE($FK$12,Fixtures!GP$25))="","",IF(INDIRECT(CONCATENATE($FK$12,Fixtures!GP$25))=Fixtures!$DN48,CONCATENATE(GP$10,", "),""))</f>
        <v/>
      </c>
      <c r="GQ48" s="713" t="str">
        <f ca="1">IF(INDIRECT(CONCATENATE($FK$12,Fixtures!GQ$25))="","",IF(INDIRECT(CONCATENATE($FK$12,Fixtures!GQ$25))=Fixtures!$DN48,CONCATENATE(GQ$10,", "),""))</f>
        <v/>
      </c>
      <c r="GR48" s="713" t="str">
        <f ca="1">IF(INDIRECT(CONCATENATE($FK$12,Fixtures!GR$25))="","",IF(INDIRECT(CONCATENATE($FK$12,Fixtures!GR$25))=Fixtures!$DN48,CONCATENATE(GR$10,", "),""))</f>
        <v/>
      </c>
      <c r="GS48" s="713" t="str">
        <f ca="1">IF(INDIRECT(CONCATENATE($FK$12,Fixtures!GS$25))="","",IF(INDIRECT(CONCATENATE($FK$12,Fixtures!GS$25))=Fixtures!$DN48,CONCATENATE(GS$10,", "),""))</f>
        <v/>
      </c>
      <c r="GT48" s="713" t="str">
        <f ca="1">IF(INDIRECT(CONCATENATE($FK$12,Fixtures!GT$25))="","",IF(INDIRECT(CONCATENATE($FK$12,Fixtures!GT$25))=Fixtures!$DN48,CONCATENATE(GT$10,", "),""))</f>
        <v/>
      </c>
      <c r="GU48" s="713" t="str">
        <f ca="1">IF(INDIRECT(CONCATENATE($FK$12,Fixtures!GU$25))="","",IF(INDIRECT(CONCATENATE($FK$12,Fixtures!GU$25))=Fixtures!$DN48,CONCATENATE(GU$10,", "),""))</f>
        <v/>
      </c>
      <c r="GV48" s="713" t="str">
        <f ca="1">IF(INDIRECT(CONCATENATE($FK$12,Fixtures!GV$25))="","",IF(INDIRECT(CONCATENATE($FK$12,Fixtures!GV$25))=Fixtures!$DN48,CONCATENATE(GV$10,", "),""))</f>
        <v/>
      </c>
      <c r="GW48" s="713" t="str">
        <f ca="1">IF(INDIRECT(CONCATENATE($FK$12,Fixtures!GW$25))="","",IF(INDIRECT(CONCATENATE($FK$12,Fixtures!GW$25))=Fixtures!$DN48,CONCATENATE(GW$10,", "),""))</f>
        <v/>
      </c>
      <c r="GX48" s="684" t="str">
        <f ca="1">IF(INDIRECT(CONCATENATE($FK$12,Fixtures!GX$25))="","",IF(INDIRECT(CONCATENATE($FK$12,Fixtures!GX$25))=Fixtures!$DN48,CONCATENATE(GX$10,", "),""))</f>
        <v/>
      </c>
      <c r="GY48" s="685" t="str">
        <f ca="1">IF(INDIRECT(CONCATENATE($FK$12,Fixtures!GY$25))="","",IF(INDIRECT(CONCATENATE($FK$12,Fixtures!GY$25))=Fixtures!$DN48,CONCATENATE(GY$10,", "),""))</f>
        <v/>
      </c>
      <c r="GZ48" s="713" t="str">
        <f ca="1">IF(INDIRECT(CONCATENATE($FK$12,Fixtures!GZ$25))="","",IF(INDIRECT(CONCATENATE($FK$12,Fixtures!GZ$25))=Fixtures!$DN48,CONCATENATE(GZ$10,", "),""))</f>
        <v/>
      </c>
      <c r="HA48" s="713" t="str">
        <f ca="1">IF(INDIRECT(CONCATENATE($FK$12,Fixtures!HA$25))="","",IF(INDIRECT(CONCATENATE($FK$12,Fixtures!HA$25))=Fixtures!$DN48,CONCATENATE(HA$10,", "),""))</f>
        <v/>
      </c>
      <c r="HB48" s="713" t="str">
        <f ca="1">IF(INDIRECT(CONCATENATE($FK$12,Fixtures!HB$25))="","",IF(INDIRECT(CONCATENATE($FK$12,Fixtures!HB$25))=Fixtures!$DN48,CONCATENATE(HB$10,", "),""))</f>
        <v/>
      </c>
      <c r="HC48" s="713" t="str">
        <f ca="1">IF(INDIRECT(CONCATENATE($FK$12,Fixtures!HC$25))="","",IF(INDIRECT(CONCATENATE($FK$12,Fixtures!HC$25))=Fixtures!$DN48,CONCATENATE(HC$10,", "),""))</f>
        <v/>
      </c>
      <c r="HD48" s="713" t="str">
        <f ca="1">IF(INDIRECT(CONCATENATE($FK$12,Fixtures!HD$25))="","",IF(INDIRECT(CONCATENATE($FK$12,Fixtures!HD$25))=Fixtures!$DN48,CONCATENATE(HD$10,", "),""))</f>
        <v/>
      </c>
      <c r="HE48" s="713" t="str">
        <f ca="1">IF(INDIRECT(CONCATENATE($FK$12,Fixtures!HE$25))="","",IF(INDIRECT(CONCATENATE($FK$12,Fixtures!HE$25))=Fixtures!$DN48,CONCATENATE(HE$10,", "),""))</f>
        <v/>
      </c>
      <c r="HF48" s="713" t="str">
        <f ca="1">IF(INDIRECT(CONCATENATE($FK$12,Fixtures!HF$25))="","",IF(INDIRECT(CONCATENATE($FK$12,Fixtures!HF$25))=Fixtures!$DN48,CONCATENATE(HF$10,", "),""))</f>
        <v/>
      </c>
      <c r="HG48" s="713" t="str">
        <f ca="1">IF(INDIRECT(CONCATENATE($FK$12,Fixtures!HG$25))="","",IF(INDIRECT(CONCATENATE($FK$12,Fixtures!HG$25))=Fixtures!$DN48,CONCATENATE(HG$10,", "),""))</f>
        <v/>
      </c>
      <c r="HH48" s="713" t="str">
        <f ca="1">IF(INDIRECT(CONCATENATE($FK$12,Fixtures!HH$25))="","",IF(INDIRECT(CONCATENATE($FK$12,Fixtures!HH$25))=Fixtures!$DN48,CONCATENATE(HH$10,", "),""))</f>
        <v/>
      </c>
      <c r="HI48" s="713" t="str">
        <f ca="1">IF(INDIRECT(CONCATENATE($FK$12,Fixtures!HI$25))="","",IF(INDIRECT(CONCATENATE($FK$12,Fixtures!HI$25))=Fixtures!$DN48,CONCATENATE(HI$10,", "),""))</f>
        <v/>
      </c>
      <c r="HJ48" s="713" t="str">
        <f ca="1">IF(INDIRECT(CONCATENATE($FK$12,Fixtures!HJ$25))="","",IF(INDIRECT(CONCATENATE($FK$12,Fixtures!HJ$25))=Fixtures!$DN48,CONCATENATE(HJ$10,", "),""))</f>
        <v/>
      </c>
      <c r="HK48" s="713" t="str">
        <f ca="1">IF(INDIRECT(CONCATENATE($FK$12,Fixtures!HK$25))="","",IF(INDIRECT(CONCATENATE($FK$12,Fixtures!HK$25))=Fixtures!$DN48,CONCATENATE(HK$10,", "),""))</f>
        <v/>
      </c>
      <c r="HL48" s="713" t="str">
        <f ca="1">IF(INDIRECT(CONCATENATE($FK$12,Fixtures!HL$25))="","",IF(INDIRECT(CONCATENATE($FK$12,Fixtures!HL$25))=Fixtures!$DN48,CONCATENATE(HL$10,", "),""))</f>
        <v/>
      </c>
      <c r="HM48" s="684" t="str">
        <f ca="1">IF(INDIRECT(CONCATENATE($FK$12,Fixtures!HM$25))="","",IF(INDIRECT(CONCATENATE($FK$12,Fixtures!HM$25))=Fixtures!$DN48,CONCATENATE(HM$10,", "),""))</f>
        <v/>
      </c>
      <c r="HN48" s="685" t="str">
        <f ca="1">IF(INDIRECT(CONCATENATE($FK$12,Fixtures!HN$25))="","",IF(INDIRECT(CONCATENATE($FK$12,Fixtures!HN$25))=Fixtures!$DN48,CONCATENATE(HN$10,", "),""))</f>
        <v/>
      </c>
      <c r="HO48" s="713" t="str">
        <f ca="1">IF(INDIRECT(CONCATENATE($FK$12,Fixtures!HO$25))="","",IF(INDIRECT(CONCATENATE($FK$12,Fixtures!HO$25))=Fixtures!$DN48,CONCATENATE(HO$10,", "),""))</f>
        <v/>
      </c>
      <c r="HP48" s="713" t="str">
        <f ca="1">IF(INDIRECT(CONCATENATE($FK$12,Fixtures!HP$25))="","",IF(INDIRECT(CONCATENATE($FK$12,Fixtures!HP$25))=Fixtures!$DN48,CONCATENATE(HP$10,", "),""))</f>
        <v/>
      </c>
      <c r="HQ48" s="713" t="str">
        <f ca="1">IF(INDIRECT(CONCATENATE($FK$12,Fixtures!HQ$25))="","",IF(INDIRECT(CONCATENATE($FK$12,Fixtures!HQ$25))=Fixtures!$DN48,CONCATENATE(HQ$10,", "),""))</f>
        <v/>
      </c>
      <c r="HR48" s="713" t="str">
        <f ca="1">IF(INDIRECT(CONCATENATE($FK$12,Fixtures!HR$25))="","",IF(INDIRECT(CONCATENATE($FK$12,Fixtures!HR$25))=Fixtures!$DN48,CONCATENATE(HR$10,", "),""))</f>
        <v/>
      </c>
      <c r="HS48" s="713" t="str">
        <f ca="1">IF(INDIRECT(CONCATENATE($FK$12,Fixtures!HS$25))="","",IF(INDIRECT(CONCATENATE($FK$12,Fixtures!HS$25))=Fixtures!$DN48,CONCATENATE(HS$10,", "),""))</f>
        <v/>
      </c>
      <c r="HT48" s="713" t="str">
        <f ca="1">IF(INDIRECT(CONCATENATE($FK$12,Fixtures!HT$25))="","",IF(INDIRECT(CONCATENATE($FK$12,Fixtures!HT$25))=Fixtures!$DN48,CONCATENATE(HT$10,", "),""))</f>
        <v/>
      </c>
      <c r="HU48" s="713" t="str">
        <f ca="1">IF(INDIRECT(CONCATENATE($FK$12,Fixtures!HU$25))="","",IF(INDIRECT(CONCATENATE($FK$12,Fixtures!HU$25))=Fixtures!$DN48,CONCATENATE(HU$10,", "),""))</f>
        <v/>
      </c>
      <c r="HV48" s="713" t="str">
        <f ca="1">IF(INDIRECT(CONCATENATE($FK$12,Fixtures!HV$25))="","",IF(INDIRECT(CONCATENATE($FK$12,Fixtures!HV$25))=Fixtures!$DN48,CONCATENATE(HV$10,", "),""))</f>
        <v/>
      </c>
      <c r="HW48" s="713" t="str">
        <f ca="1">IF(INDIRECT(CONCATENATE($FK$12,Fixtures!HW$25))="","",IF(INDIRECT(CONCATENATE($FK$12,Fixtures!HW$25))=Fixtures!$DN48,CONCATENATE(HW$10,", "),""))</f>
        <v/>
      </c>
      <c r="HX48" s="713" t="str">
        <f ca="1">IF(INDIRECT(CONCATENATE($FK$12,Fixtures!HX$25))="","",IF(INDIRECT(CONCATENATE($FK$12,Fixtures!HX$25))=Fixtures!$DN48,CONCATENATE(HX$10,", "),""))</f>
        <v/>
      </c>
      <c r="HY48" s="713" t="str">
        <f ca="1">IF(INDIRECT(CONCATENATE($FK$12,Fixtures!HY$25))="","",IF(INDIRECT(CONCATENATE($FK$12,Fixtures!HY$25))=Fixtures!$DN48,CONCATENATE(HY$10,", "),""))</f>
        <v/>
      </c>
      <c r="HZ48" s="713" t="str">
        <f ca="1">IF(INDIRECT(CONCATENATE($FK$12,Fixtures!HZ$25))="","",IF(INDIRECT(CONCATENATE($FK$12,Fixtures!HZ$25))=Fixtures!$DN48,CONCATENATE(HZ$10,", "),""))</f>
        <v/>
      </c>
      <c r="IA48" s="713" t="str">
        <f ca="1">IF(INDIRECT(CONCATENATE($FK$12,Fixtures!IA$25))="","",IF(INDIRECT(CONCATENATE($FK$12,Fixtures!IA$25))=Fixtures!$DN48,CONCATENATE(IA$10,", "),""))</f>
        <v/>
      </c>
      <c r="IB48" s="684" t="str">
        <f ca="1">IF(INDIRECT(CONCATENATE($FK$12,Fixtures!IB$25))="","",IF(INDIRECT(CONCATENATE($FK$12,Fixtures!IB$25))=Fixtures!$DN48,CONCATENATE(IB$10,", "),""))</f>
        <v/>
      </c>
      <c r="IC48" s="685" t="str">
        <f ca="1">IF(INDIRECT(CONCATENATE($FK$12,Fixtures!IC$25))="","",IF(INDIRECT(CONCATENATE($FK$12,Fixtures!IC$25))=Fixtures!$DN48,CONCATENATE(IC$10,", "),""))</f>
        <v/>
      </c>
      <c r="ID48" s="713" t="str">
        <f ca="1">IF(INDIRECT(CONCATENATE($FK$12,Fixtures!ID$25))="","",IF(INDIRECT(CONCATENATE($FK$12,Fixtures!ID$25))=Fixtures!$DN48,CONCATENATE(ID$10,", "),""))</f>
        <v/>
      </c>
      <c r="IE48" s="713" t="str">
        <f ca="1">IF(INDIRECT(CONCATENATE($FK$12,Fixtures!IE$25))="","",IF(INDIRECT(CONCATENATE($FK$12,Fixtures!IE$25))=Fixtures!$DN48,CONCATENATE(IE$10,", "),""))</f>
        <v/>
      </c>
      <c r="IF48" s="713" t="str">
        <f ca="1">IF(INDIRECT(CONCATENATE($FK$12,Fixtures!IF$25))="","",IF(INDIRECT(CONCATENATE($FK$12,Fixtures!IF$25))=Fixtures!$DN48,CONCATENATE(IF$10,", "),""))</f>
        <v/>
      </c>
      <c r="IG48" s="713" t="str">
        <f ca="1">IF(INDIRECT(CONCATENATE($FK$12,Fixtures!IG$25))="","",IF(INDIRECT(CONCATENATE($FK$12,Fixtures!IG$25))=Fixtures!$DN48,CONCATENATE(IG$10,", "),""))</f>
        <v/>
      </c>
      <c r="IH48" s="713" t="str">
        <f ca="1">IF(INDIRECT(CONCATENATE($FK$12,Fixtures!IH$25))="","",IF(INDIRECT(CONCATENATE($FK$12,Fixtures!IH$25))=Fixtures!$DN48,CONCATENATE(IH$10,", "),""))</f>
        <v/>
      </c>
      <c r="II48" s="713" t="str">
        <f ca="1">IF(INDIRECT(CONCATENATE($FK$12,Fixtures!II$25))="","",IF(INDIRECT(CONCATENATE($FK$12,Fixtures!II$25))=Fixtures!$DN48,CONCATENATE(II$10,", "),""))</f>
        <v/>
      </c>
      <c r="IJ48" s="713" t="str">
        <f ca="1">IF(INDIRECT(CONCATENATE($FK$12,Fixtures!IJ$25))="","",IF(INDIRECT(CONCATENATE($FK$12,Fixtures!IJ$25))=Fixtures!$DN48,CONCATENATE(IJ$10,", "),""))</f>
        <v/>
      </c>
      <c r="IK48" s="713" t="str">
        <f ca="1">IF(INDIRECT(CONCATENATE($FK$12,Fixtures!IK$25))="","",IF(INDIRECT(CONCATENATE($FK$12,Fixtures!IK$25))=Fixtures!$DN48,CONCATENATE(IK$10,", "),""))</f>
        <v/>
      </c>
      <c r="IL48" s="713" t="str">
        <f ca="1">IF(INDIRECT(CONCATENATE($FK$12,Fixtures!IL$25))="","",IF(INDIRECT(CONCATENATE($FK$12,Fixtures!IL$25))=Fixtures!$DN48,CONCATENATE(IL$10,", "),""))</f>
        <v/>
      </c>
      <c r="IM48" s="713" t="str">
        <f ca="1">IF(INDIRECT(CONCATENATE($FK$12,Fixtures!IM$25))="","",IF(INDIRECT(CONCATENATE($FK$12,Fixtures!IM$25))=Fixtures!$DN48,CONCATENATE(IM$10,", "),""))</f>
        <v/>
      </c>
      <c r="IN48" s="713" t="str">
        <f ca="1">IF(INDIRECT(CONCATENATE($FK$12,Fixtures!IN$25))="","",IF(INDIRECT(CONCATENATE($FK$12,Fixtures!IN$25))=Fixtures!$DN48,CONCATENATE(IN$10,", "),""))</f>
        <v/>
      </c>
      <c r="IO48" s="713" t="str">
        <f ca="1">IF(INDIRECT(CONCATENATE($FK$12,Fixtures!IO$25))="","",IF(INDIRECT(CONCATENATE($FK$12,Fixtures!IO$25))=Fixtures!$DN48,CONCATENATE(IO$10,", "),""))</f>
        <v/>
      </c>
      <c r="IP48" s="713" t="str">
        <f ca="1">IF(INDIRECT(CONCATENATE($FK$12,Fixtures!IP$25))="","",IF(INDIRECT(CONCATENATE($FK$12,Fixtures!IP$25))=Fixtures!$DN48,CONCATENATE(IP$10,", "),""))</f>
        <v/>
      </c>
      <c r="IQ48" s="684" t="str">
        <f ca="1">IF(INDIRECT(CONCATENATE($FK$12,Fixtures!IQ$25))="","",IF(INDIRECT(CONCATENATE($FK$12,Fixtures!IQ$25))=Fixtures!$DN48,CONCATENATE(IQ$10,", "),""))</f>
        <v/>
      </c>
      <c r="IR48" s="685" t="str">
        <f ca="1">IF(INDIRECT(CONCATENATE($FK$12,Fixtures!IR$25))="","",IF(INDIRECT(CONCATENATE($FK$12,Fixtures!IR$25))=Fixtures!$DN48,CONCATENATE(IR$10,", "),""))</f>
        <v/>
      </c>
      <c r="IS48" s="713" t="str">
        <f ca="1">IF(INDIRECT(CONCATENATE($FK$12,Fixtures!IS$25))="","",IF(INDIRECT(CONCATENATE($FK$12,Fixtures!IS$25))=Fixtures!$DN48,CONCATENATE(IS$10,", "),""))</f>
        <v/>
      </c>
      <c r="IT48" s="713" t="str">
        <f ca="1">IF(INDIRECT(CONCATENATE($FK$12,Fixtures!IT$25))="","",IF(INDIRECT(CONCATENATE($FK$12,Fixtures!IT$25))=Fixtures!$DN48,CONCATENATE(IT$10,", "),""))</f>
        <v/>
      </c>
      <c r="IU48" s="713" t="str">
        <f ca="1">IF(INDIRECT(CONCATENATE($FK$12,Fixtures!IU$25))="","",IF(INDIRECT(CONCATENATE($FK$12,Fixtures!IU$25))=Fixtures!$DN48,CONCATENATE(IU$10,", "),""))</f>
        <v/>
      </c>
      <c r="IV48" s="713" t="str">
        <f ca="1">IF(INDIRECT(CONCATENATE($FK$12,Fixtures!IV$25))="","",IF(INDIRECT(CONCATENATE($FK$12,Fixtures!IV$25))=Fixtures!$DN48,CONCATENATE(IV$10,", "),""))</f>
        <v/>
      </c>
      <c r="IW48" s="713" t="str">
        <f ca="1">IF(INDIRECT(CONCATENATE($FK$12,Fixtures!IW$25))="","",IF(INDIRECT(CONCATENATE($FK$12,Fixtures!IW$25))=Fixtures!$DN48,CONCATENATE(IW$10,", "),""))</f>
        <v/>
      </c>
      <c r="IX48" s="713" t="str">
        <f ca="1">IF(INDIRECT(CONCATENATE($FK$12,Fixtures!IX$25))="","",IF(INDIRECT(CONCATENATE($FK$12,Fixtures!IX$25))=Fixtures!$DN48,CONCATENATE(IX$10,", "),""))</f>
        <v/>
      </c>
      <c r="IY48" s="713" t="str">
        <f ca="1">IF(INDIRECT(CONCATENATE($FK$12,Fixtures!IY$25))="","",IF(INDIRECT(CONCATENATE($FK$12,Fixtures!IY$25))=Fixtures!$DN48,CONCATENATE(IY$10,", "),""))</f>
        <v/>
      </c>
      <c r="IZ48" s="713" t="str">
        <f ca="1">IF(INDIRECT(CONCATENATE($FK$12,Fixtures!IZ$25))="","",IF(INDIRECT(CONCATENATE($FK$12,Fixtures!IZ$25))=Fixtures!$DN48,CONCATENATE(IZ$10,", "),""))</f>
        <v/>
      </c>
      <c r="JA48" s="713" t="str">
        <f ca="1">IF(INDIRECT(CONCATENATE($FK$12,Fixtures!JA$25))="","",IF(INDIRECT(CONCATENATE($FK$12,Fixtures!JA$25))=Fixtures!$DN48,CONCATENATE(JA$10,", "),""))</f>
        <v/>
      </c>
      <c r="JB48" s="713" t="str">
        <f ca="1">IF(INDIRECT(CONCATENATE($FK$12,Fixtures!JB$25))="","",IF(INDIRECT(CONCATENATE($FK$12,Fixtures!JB$25))=Fixtures!$DN48,CONCATENATE(JB$10,", "),""))</f>
        <v/>
      </c>
      <c r="JC48" s="713" t="str">
        <f ca="1">IF(INDIRECT(CONCATENATE($FK$12,Fixtures!JC$25))="","",IF(INDIRECT(CONCATENATE($FK$12,Fixtures!JC$25))=Fixtures!$DN48,CONCATENATE(JC$10,", "),""))</f>
        <v/>
      </c>
      <c r="JD48" s="713" t="str">
        <f ca="1">IF(INDIRECT(CONCATENATE($FK$12,Fixtures!JD$25))="","",IF(INDIRECT(CONCATENATE($FK$12,Fixtures!JD$25))=Fixtures!$DN48,CONCATENATE(JD$10,", "),""))</f>
        <v/>
      </c>
      <c r="JE48" s="713" t="str">
        <f ca="1">IF(INDIRECT(CONCATENATE($FK$12,Fixtures!JE$25))="","",IF(INDIRECT(CONCATENATE($FK$12,Fixtures!JE$25))=Fixtures!$DN48,CONCATENATE(JE$10,", "),""))</f>
        <v/>
      </c>
      <c r="JF48" s="684" t="str">
        <f ca="1">IF(INDIRECT(CONCATENATE($FK$12,Fixtures!JF$25))="","",IF(INDIRECT(CONCATENATE($FK$12,Fixtures!JF$25))=Fixtures!$DN48,CONCATENATE(JF$10,", "),""))</f>
        <v/>
      </c>
      <c r="JG48" s="685" t="str">
        <f ca="1">IF(INDIRECT(CONCATENATE($FK$12,Fixtures!JG$25))="","",IF(INDIRECT(CONCATENATE($FK$12,Fixtures!JG$25))=Fixtures!$DN48,CONCATENATE(JG$10,", "),""))</f>
        <v/>
      </c>
      <c r="JH48" s="713" t="str">
        <f ca="1">IF(INDIRECT(CONCATENATE($FK$12,Fixtures!JH$25))="","",IF(INDIRECT(CONCATENATE($FK$12,Fixtures!JH$25))=Fixtures!$DN48,CONCATENATE(JH$10,", "),""))</f>
        <v/>
      </c>
      <c r="JI48" s="713" t="str">
        <f ca="1">IF(INDIRECT(CONCATENATE($FK$12,Fixtures!JI$25))="","",IF(INDIRECT(CONCATENATE($FK$12,Fixtures!JI$25))=Fixtures!$DN48,CONCATENATE(JI$10,", "),""))</f>
        <v/>
      </c>
      <c r="JJ48" s="713" t="str">
        <f ca="1">IF(INDIRECT(CONCATENATE($FK$12,Fixtures!JJ$25))="","",IF(INDIRECT(CONCATENATE($FK$12,Fixtures!JJ$25))=Fixtures!$DN48,CONCATENATE(JJ$10,", "),""))</f>
        <v/>
      </c>
      <c r="JK48" s="713" t="str">
        <f ca="1">IF(INDIRECT(CONCATENATE($FK$12,Fixtures!JK$25))="","",IF(INDIRECT(CONCATENATE($FK$12,Fixtures!JK$25))=Fixtures!$DN48,CONCATENATE(JK$10,", "),""))</f>
        <v/>
      </c>
      <c r="JL48" s="713" t="str">
        <f ca="1">IF(INDIRECT(CONCATENATE($FK$12,Fixtures!JL$25))="","",IF(INDIRECT(CONCATENATE($FK$12,Fixtures!JL$25))=Fixtures!$DN48,CONCATENATE(JL$10,", "),""))</f>
        <v/>
      </c>
      <c r="JM48" s="713" t="str">
        <f ca="1">IF(INDIRECT(CONCATENATE($FK$12,Fixtures!JM$25))="","",IF(INDIRECT(CONCATENATE($FK$12,Fixtures!JM$25))=Fixtures!$DN48,CONCATENATE(JM$10,", "),""))</f>
        <v/>
      </c>
      <c r="JN48" s="713" t="str">
        <f ca="1">IF(INDIRECT(CONCATENATE($FK$12,Fixtures!JN$25))="","",IF(INDIRECT(CONCATENATE($FK$12,Fixtures!JN$25))=Fixtures!$DN48,CONCATENATE(JN$10,", "),""))</f>
        <v/>
      </c>
      <c r="JO48" s="713" t="str">
        <f ca="1">IF(INDIRECT(CONCATENATE($FK$12,Fixtures!JO$25))="","",IF(INDIRECT(CONCATENATE($FK$12,Fixtures!JO$25))=Fixtures!$DN48,CONCATENATE(JO$10,", "),""))</f>
        <v/>
      </c>
      <c r="JP48" s="713" t="str">
        <f ca="1">IF(INDIRECT(CONCATENATE($FK$12,Fixtures!JP$25))="","",IF(INDIRECT(CONCATENATE($FK$12,Fixtures!JP$25))=Fixtures!$DN48,CONCATENATE(JP$10,", "),""))</f>
        <v/>
      </c>
      <c r="JQ48" s="713" t="str">
        <f ca="1">IF(INDIRECT(CONCATENATE($FK$12,Fixtures!JQ$25))="","",IF(INDIRECT(CONCATENATE($FK$12,Fixtures!JQ$25))=Fixtures!$DN48,CONCATENATE(JQ$10,", "),""))</f>
        <v/>
      </c>
      <c r="JR48" s="713" t="str">
        <f ca="1">IF(INDIRECT(CONCATENATE($FK$12,Fixtures!JR$25))="","",IF(INDIRECT(CONCATENATE($FK$12,Fixtures!JR$25))=Fixtures!$DN48,CONCATENATE(JR$10,", "),""))</f>
        <v/>
      </c>
      <c r="JS48" s="713" t="str">
        <f ca="1">IF(INDIRECT(CONCATENATE($FK$12,Fixtures!JS$25))="","",IF(INDIRECT(CONCATENATE($FK$12,Fixtures!JS$25))=Fixtures!$DN48,CONCATENATE(JS$10,", "),""))</f>
        <v/>
      </c>
      <c r="JT48" s="713" t="str">
        <f ca="1">IF(INDIRECT(CONCATENATE($FK$12,Fixtures!JT$25))="","",IF(INDIRECT(CONCATENATE($FK$12,Fixtures!JT$25))=Fixtures!$DN48,CONCATENATE(JT$10,", "),""))</f>
        <v/>
      </c>
      <c r="JU48" s="684" t="str">
        <f ca="1">IF(INDIRECT(CONCATENATE($FK$12,Fixtures!JU$25))="","",IF(INDIRECT(CONCATENATE($FK$12,Fixtures!JU$25))=Fixtures!$DN48,CONCATENATE(JU$10,", "),""))</f>
        <v/>
      </c>
      <c r="JV48" s="685" t="str">
        <f ca="1">IF(INDIRECT(CONCATENATE($FK$12,Fixtures!JV$25))="","",IF(INDIRECT(CONCATENATE($FK$12,Fixtures!JV$25))=Fixtures!$DN48,CONCATENATE(JV$10,", "),""))</f>
        <v/>
      </c>
      <c r="JW48" s="713" t="str">
        <f ca="1">IF(INDIRECT(CONCATENATE($FK$12,Fixtures!JW$25))="","",IF(INDIRECT(CONCATENATE($FK$12,Fixtures!JW$25))=Fixtures!$DN48,CONCATENATE(JW$10,", "),""))</f>
        <v/>
      </c>
      <c r="JX48" s="713" t="str">
        <f ca="1">IF(INDIRECT(CONCATENATE($FK$12,Fixtures!JX$25))="","",IF(INDIRECT(CONCATENATE($FK$12,Fixtures!JX$25))=Fixtures!$DN48,CONCATENATE(JX$10,", "),""))</f>
        <v/>
      </c>
      <c r="JY48" s="713" t="str">
        <f ca="1">IF(INDIRECT(CONCATENATE($FK$12,Fixtures!JY$25))="","",IF(INDIRECT(CONCATENATE($FK$12,Fixtures!JY$25))=Fixtures!$DN48,CONCATENATE(JY$10,", "),""))</f>
        <v/>
      </c>
      <c r="JZ48" s="713" t="str">
        <f ca="1">IF(INDIRECT(CONCATENATE($FK$12,Fixtures!JZ$25))="","",IF(INDIRECT(CONCATENATE($FK$12,Fixtures!JZ$25))=Fixtures!$DN48,CONCATENATE(JZ$10,", "),""))</f>
        <v/>
      </c>
      <c r="KA48" s="713" t="str">
        <f ca="1">IF(INDIRECT(CONCATENATE($FK$12,Fixtures!KA$25))="","",IF(INDIRECT(CONCATENATE($FK$12,Fixtures!KA$25))=Fixtures!$DN48,CONCATENATE(KA$10,", "),""))</f>
        <v/>
      </c>
      <c r="KB48" s="713" t="str">
        <f ca="1">IF(INDIRECT(CONCATENATE($FK$12,Fixtures!KB$25))="","",IF(INDIRECT(CONCATENATE($FK$12,Fixtures!KB$25))=Fixtures!$DN48,CONCATENATE(KB$10,", "),""))</f>
        <v/>
      </c>
      <c r="KC48" s="713" t="str">
        <f ca="1">IF(INDIRECT(CONCATENATE($FK$12,Fixtures!KC$25))="","",IF(INDIRECT(CONCATENATE($FK$12,Fixtures!KC$25))=Fixtures!$DN48,CONCATENATE(KC$10,", "),""))</f>
        <v/>
      </c>
      <c r="KD48" s="713" t="str">
        <f ca="1">IF(INDIRECT(CONCATENATE($FK$12,Fixtures!KD$25))="","",IF(INDIRECT(CONCATENATE($FK$12,Fixtures!KD$25))=Fixtures!$DN48,CONCATENATE(KD$10,", "),""))</f>
        <v/>
      </c>
      <c r="KE48" s="713" t="str">
        <f ca="1">IF(INDIRECT(CONCATENATE($FK$12,Fixtures!KE$25))="","",IF(INDIRECT(CONCATENATE($FK$12,Fixtures!KE$25))=Fixtures!$DN48,CONCATENATE(KE$10,", "),""))</f>
        <v/>
      </c>
      <c r="KF48" s="713" t="str">
        <f ca="1">IF(INDIRECT(CONCATENATE($FK$12,Fixtures!KF$25))="","",IF(INDIRECT(CONCATENATE($FK$12,Fixtures!KF$25))=Fixtures!$DN48,CONCATENATE(KF$10,", "),""))</f>
        <v/>
      </c>
      <c r="KG48" s="713" t="str">
        <f ca="1">IF(INDIRECT(CONCATENATE($FK$12,Fixtures!KG$25))="","",IF(INDIRECT(CONCATENATE($FK$12,Fixtures!KG$25))=Fixtures!$DN48,CONCATENATE(KG$10,", "),""))</f>
        <v/>
      </c>
      <c r="KH48" s="713" t="str">
        <f ca="1">IF(INDIRECT(CONCATENATE($FK$12,Fixtures!KH$25))="","",IF(INDIRECT(CONCATENATE($FK$12,Fixtures!KH$25))=Fixtures!$DN48,CONCATENATE(KH$10,", "),""))</f>
        <v/>
      </c>
      <c r="KI48" s="713" t="str">
        <f ca="1">IF(INDIRECT(CONCATENATE($FK$12,Fixtures!KI$25))="","",IF(INDIRECT(CONCATENATE($FK$12,Fixtures!KI$25))=Fixtures!$DN48,CONCATENATE(KI$10,", "),""))</f>
        <v/>
      </c>
      <c r="KJ48" s="684" t="str">
        <f ca="1">IF(INDIRECT(CONCATENATE($FK$12,Fixtures!KJ$25))="","",IF(INDIRECT(CONCATENATE($FK$12,Fixtures!KJ$25))=Fixtures!$DN48,CONCATENATE(KJ$10,", "),""))</f>
        <v/>
      </c>
      <c r="KK48" s="685" t="str">
        <f ca="1">IF(INDIRECT(CONCATENATE($FK$12,Fixtures!KK$25))="","",IF(INDIRECT(CONCATENATE($FK$12,Fixtures!KK$25))=Fixtures!$DN48,CONCATENATE(KK$10,", "),""))</f>
        <v/>
      </c>
      <c r="KL48" s="713" t="str">
        <f ca="1">IF(INDIRECT(CONCATENATE($FK$12,Fixtures!KL$25))="","",IF(INDIRECT(CONCATENATE($FK$12,Fixtures!KL$25))=Fixtures!$DN48,CONCATENATE(KL$10,", "),""))</f>
        <v/>
      </c>
      <c r="KM48" s="713" t="str">
        <f ca="1">IF(INDIRECT(CONCATENATE($FK$12,Fixtures!KM$25))="","",IF(INDIRECT(CONCATENATE($FK$12,Fixtures!KM$25))=Fixtures!$DN48,CONCATENATE(KM$10,", "),""))</f>
        <v/>
      </c>
      <c r="KN48" s="713" t="str">
        <f ca="1">IF(INDIRECT(CONCATENATE($FK$12,Fixtures!KN$25))="","",IF(INDIRECT(CONCATENATE($FK$12,Fixtures!KN$25))=Fixtures!$DN48,CONCATENATE(KN$10,", "),""))</f>
        <v/>
      </c>
      <c r="KO48" s="713" t="str">
        <f ca="1">IF(INDIRECT(CONCATENATE($FK$12,Fixtures!KO$25))="","",IF(INDIRECT(CONCATENATE($FK$12,Fixtures!KO$25))=Fixtures!$DN48,CONCATENATE(KO$10,", "),""))</f>
        <v/>
      </c>
      <c r="KP48" s="713" t="str">
        <f ca="1">IF(INDIRECT(CONCATENATE($FK$12,Fixtures!KP$25))="","",IF(INDIRECT(CONCATENATE($FK$12,Fixtures!KP$25))=Fixtures!$DN48,CONCATENATE(KP$10,", "),""))</f>
        <v/>
      </c>
      <c r="KQ48" s="713" t="str">
        <f ca="1">IF(INDIRECT(CONCATENATE($FK$12,Fixtures!KQ$25))="","",IF(INDIRECT(CONCATENATE($FK$12,Fixtures!KQ$25))=Fixtures!$DN48,CONCATENATE(KQ$10,", "),""))</f>
        <v/>
      </c>
      <c r="KR48" s="713" t="str">
        <f ca="1">IF(INDIRECT(CONCATENATE($FK$12,Fixtures!KR$25))="","",IF(INDIRECT(CONCATENATE($FK$12,Fixtures!KR$25))=Fixtures!$DN48,CONCATENATE(KR$10,", "),""))</f>
        <v/>
      </c>
      <c r="KS48" s="713" t="str">
        <f ca="1">IF(INDIRECT(CONCATENATE($FK$12,Fixtures!KS$25))="","",IF(INDIRECT(CONCATENATE($FK$12,Fixtures!KS$25))=Fixtures!$DN48,CONCATENATE(KS$10,", "),""))</f>
        <v/>
      </c>
      <c r="KT48" s="713" t="str">
        <f ca="1">IF(INDIRECT(CONCATENATE($FK$12,Fixtures!KT$25))="","",IF(INDIRECT(CONCATENATE($FK$12,Fixtures!KT$25))=Fixtures!$DN48,CONCATENATE(KT$10,", "),""))</f>
        <v/>
      </c>
      <c r="KU48" s="713" t="str">
        <f ca="1">IF(INDIRECT(CONCATENATE($FK$12,Fixtures!KU$25))="","",IF(INDIRECT(CONCATENATE($FK$12,Fixtures!KU$25))=Fixtures!$DN48,CONCATENATE(KU$10,", "),""))</f>
        <v/>
      </c>
      <c r="KV48" s="713" t="str">
        <f ca="1">IF(INDIRECT(CONCATENATE($FK$12,Fixtures!KV$25))="","",IF(INDIRECT(CONCATENATE($FK$12,Fixtures!KV$25))=Fixtures!$DN48,CONCATENATE(KV$10,", "),""))</f>
        <v/>
      </c>
      <c r="KW48" s="713" t="str">
        <f ca="1">IF(INDIRECT(CONCATENATE($FK$12,Fixtures!KW$25))="","",IF(INDIRECT(CONCATENATE($FK$12,Fixtures!KW$25))=Fixtures!$DN48,CONCATENATE(KW$10,", "),""))</f>
        <v/>
      </c>
      <c r="KX48" s="713" t="str">
        <f ca="1">IF(INDIRECT(CONCATENATE($FK$12,Fixtures!KX$25))="","",IF(INDIRECT(CONCATENATE($FK$12,Fixtures!KX$25))=Fixtures!$DN48,CONCATENATE(KX$10,", "),""))</f>
        <v/>
      </c>
      <c r="KY48" s="713" t="str">
        <f ca="1">IF(INDIRECT(CONCATENATE($FK$12,Fixtures!KY$25))="","",IF(INDIRECT(CONCATENATE($FK$12,Fixtures!KY$25))=Fixtures!$DN48,CONCATENATE(KY$10,", "),""))</f>
        <v/>
      </c>
      <c r="KZ48" s="46"/>
      <c r="LA48" s="46" t="str">
        <f t="shared" ca="1" si="8"/>
        <v/>
      </c>
    </row>
    <row r="49" spans="1:313" ht="28.05" customHeight="1" thickTop="1" thickBot="1">
      <c r="A49" s="471" t="str">
        <f t="shared" si="13"/>
        <v/>
      </c>
      <c r="C49" s="1328" t="str">
        <f t="shared" si="14"/>
        <v/>
      </c>
      <c r="D49" s="1329"/>
      <c r="E49" s="1256" t="str">
        <f t="shared" si="15"/>
        <v/>
      </c>
      <c r="F49" s="1257"/>
      <c r="G49" s="1257"/>
      <c r="H49" s="1257"/>
      <c r="I49" s="1257"/>
      <c r="J49" s="1257"/>
      <c r="K49" s="1257"/>
      <c r="L49" s="1257"/>
      <c r="M49" s="1330"/>
      <c r="N49" s="239" t="str">
        <f t="shared" si="16"/>
        <v/>
      </c>
      <c r="O49" s="12"/>
      <c r="P49" s="1326" t="str">
        <f t="shared" si="25"/>
        <v/>
      </c>
      <c r="Q49" s="1327"/>
      <c r="R49" s="1256" t="str">
        <f t="shared" si="31"/>
        <v/>
      </c>
      <c r="S49" s="1257"/>
      <c r="T49" s="1257"/>
      <c r="U49" s="1257"/>
      <c r="V49" s="1257"/>
      <c r="W49" s="1257"/>
      <c r="X49" s="1257"/>
      <c r="Y49" s="239" t="str">
        <f t="shared" si="27"/>
        <v/>
      </c>
      <c r="Z49" s="239" t="str">
        <f t="shared" si="28"/>
        <v/>
      </c>
      <c r="AA49" s="439" t="str">
        <f t="shared" si="29"/>
        <v/>
      </c>
      <c r="AB49" s="542"/>
      <c r="AC49" s="1253" t="str">
        <f t="shared" si="17"/>
        <v/>
      </c>
      <c r="AD49" s="1166"/>
      <c r="AE49" s="1166"/>
      <c r="AF49" s="1166"/>
      <c r="AG49" s="1166"/>
      <c r="AH49" s="1166"/>
      <c r="AK49">
        <f>SUMIFS(Installations!CS$39:CS$800,Installations!CT$39:CT$800,E49,Installations!HX$39:HX$800,TRUE)</f>
        <v>0</v>
      </c>
      <c r="AL49">
        <f>SUMIFS(Installations!CS$39:CS$800,Installations!CT$39:CT$800,R49,Installations!HX$39:HX$800,TRUE)</f>
        <v>0</v>
      </c>
      <c r="BL49" s="9"/>
      <c r="BM49" s="703" t="str">
        <f t="shared" si="18"/>
        <v/>
      </c>
      <c r="BN49" s="52"/>
      <c r="BO49" s="52"/>
      <c r="BP49" s="52"/>
      <c r="BQ49" s="52"/>
      <c r="BR49" s="52"/>
      <c r="BS49" s="52"/>
      <c r="BT49" s="52"/>
      <c r="BU49" s="414"/>
      <c r="BV49" s="255" t="str">
        <f>IF(CN49&lt;&gt;"Yes","",IFERROR(VLOOKUP(CU49,Existing!A$4:F$364,2,FALSE),""))</f>
        <v/>
      </c>
      <c r="BW49" s="9">
        <v>23</v>
      </c>
      <c r="BX49" s="1313"/>
      <c r="BY49" s="1314"/>
      <c r="BZ49" s="1314"/>
      <c r="CA49" s="1315"/>
      <c r="CB49" s="1310"/>
      <c r="CC49" s="1311"/>
      <c r="CD49" s="1311"/>
      <c r="CE49" s="1312"/>
      <c r="CF49" s="1309"/>
      <c r="CG49" s="1309"/>
      <c r="CH49" s="1309"/>
      <c r="CI49" s="1309"/>
      <c r="CJ49" s="1309"/>
      <c r="CK49" s="1309"/>
      <c r="CL49" s="1309"/>
      <c r="CM49" s="1309"/>
      <c r="CN49" s="1243" t="str">
        <f t="shared" si="0"/>
        <v/>
      </c>
      <c r="CO49" s="1244"/>
      <c r="CP49" s="265" t="str">
        <f>IFERROR(IF(CB49="Existing TLED",CR49*CW49*CY49,VLOOKUP(CU49,Existing!A$3:F$353,6,FALSE)),"")</f>
        <v/>
      </c>
      <c r="CQ49" s="9"/>
      <c r="CR49" s="1343"/>
      <c r="CS49" s="1344"/>
      <c r="CT49" s="9"/>
      <c r="CU49" s="470" t="str">
        <f t="shared" si="21"/>
        <v/>
      </c>
      <c r="CV49" s="471" t="b">
        <f t="shared" si="22"/>
        <v>0</v>
      </c>
      <c r="CW49" s="471" t="str">
        <f t="shared" si="23"/>
        <v/>
      </c>
      <c r="CX49" s="471">
        <f>IFERROR(VLOOKUP(CF49,Lookup!M$100:O$102,3,FALSE),0)</f>
        <v>0</v>
      </c>
      <c r="CY49" s="471">
        <f t="shared" si="9"/>
        <v>1.1100000000000001</v>
      </c>
      <c r="CZ49" s="707" t="b">
        <f t="shared" si="1"/>
        <v>0</v>
      </c>
      <c r="DA49" s="707" t="b">
        <f>IF(CF49&lt;&gt;"",IF(ISERROR(MATCH(CONCATENATE(CB49," - ",CF49),Existing!G$4:G$328,0))=TRUE,FALSE,TRUE),TRUE)</f>
        <v>1</v>
      </c>
      <c r="DB49" s="707" t="b">
        <f t="shared" si="2"/>
        <v>1</v>
      </c>
      <c r="DL49" s="9"/>
      <c r="DM49" s="708" t="s">
        <v>166</v>
      </c>
      <c r="DN49" s="416" t="str">
        <f t="shared" si="3"/>
        <v/>
      </c>
      <c r="DO49" s="52"/>
      <c r="DP49" s="52"/>
      <c r="DQ49" s="52"/>
      <c r="DR49" s="52"/>
      <c r="DS49" s="52"/>
      <c r="DT49" s="262"/>
      <c r="DU49" s="417"/>
      <c r="DV49" s="263" t="str">
        <f t="shared" si="4"/>
        <v/>
      </c>
      <c r="DW49" s="260">
        <v>23</v>
      </c>
      <c r="DX49" s="1306"/>
      <c r="DY49" s="1307"/>
      <c r="DZ49" s="1307"/>
      <c r="EA49" s="1308"/>
      <c r="EB49" s="1306"/>
      <c r="EC49" s="1307"/>
      <c r="ED49" s="1307"/>
      <c r="EE49" s="1308"/>
      <c r="EF49" s="1266"/>
      <c r="EG49" s="1267"/>
      <c r="EH49" s="1306"/>
      <c r="EI49" s="1307"/>
      <c r="EJ49" s="1307"/>
      <c r="EK49" s="1308"/>
      <c r="EL49" s="1263"/>
      <c r="EM49" s="1264"/>
      <c r="EN49" s="1264"/>
      <c r="EO49" s="1265"/>
      <c r="EP49" s="1266"/>
      <c r="EQ49" s="1267"/>
      <c r="ER49" s="1245"/>
      <c r="ES49" s="1246"/>
      <c r="ET49" s="1243" t="str">
        <f t="shared" si="5"/>
        <v/>
      </c>
      <c r="EU49" s="1244"/>
      <c r="EV49" s="1243" t="str">
        <f t="shared" si="30"/>
        <v/>
      </c>
      <c r="EW49" s="1244"/>
      <c r="EX49" s="438"/>
      <c r="EY49" s="261" t="str">
        <f t="shared" si="7"/>
        <v/>
      </c>
      <c r="EZ49" s="261" t="str">
        <f>IFERROR(VLOOKUP(EB49,Lookup!AM$3:AN$13,2,FALSE),"")</f>
        <v/>
      </c>
      <c r="FA49" s="471" t="b">
        <f>IFERROR(IF(VLOOKUP(EB49,Lookup!AM$6:AN$8,2,FALSE)&gt;3,TRUE,FALSE),FALSE)</f>
        <v>0</v>
      </c>
      <c r="FB49" s="471">
        <f t="shared" si="11"/>
        <v>1</v>
      </c>
      <c r="FC49" t="str">
        <f t="shared" ca="1" si="10"/>
        <v/>
      </c>
      <c r="FG49" t="str">
        <f t="shared" ca="1" si="12"/>
        <v/>
      </c>
      <c r="FI49" s="240" t="str">
        <f t="shared" ca="1" si="24"/>
        <v/>
      </c>
      <c r="FJ49" s="240"/>
      <c r="FK49" s="712" t="str">
        <f ca="1">IF(INDIRECT(CONCATENATE($FK$12,Fixtures!FK$25))="","",IF(INDIRECT(CONCATENATE($FK$12,Fixtures!FK$25))=Fixtures!$DN49,CONCATENATE(FK$10,", "),""))</f>
        <v/>
      </c>
      <c r="FL49" s="712" t="str">
        <f ca="1">IF(INDIRECT(CONCATENATE($FK$12,Fixtures!FL$25))="","",IF(INDIRECT(CONCATENATE($FK$12,Fixtures!FL$25))=Fixtures!$DN49,CONCATENATE(FL$10,", "),""))</f>
        <v/>
      </c>
      <c r="FM49" s="712" t="str">
        <f ca="1">IF(INDIRECT(CONCATENATE($FK$12,Fixtures!FM$25))="","",IF(INDIRECT(CONCATENATE($FK$12,Fixtures!FM$25))=Fixtures!$DN49,CONCATENATE(FM$10,", "),""))</f>
        <v/>
      </c>
      <c r="FN49" s="712" t="str">
        <f ca="1">IF(INDIRECT(CONCATENATE($FK$12,Fixtures!FN$25))="","",IF(INDIRECT(CONCATENATE($FK$12,Fixtures!FN$25))=Fixtures!$DN49,CONCATENATE(FN$10,", "),""))</f>
        <v/>
      </c>
      <c r="FO49" s="712" t="str">
        <f ca="1">IF(INDIRECT(CONCATENATE($FK$12,Fixtures!FO$25))="","",IF(INDIRECT(CONCATENATE($FK$12,Fixtures!FO$25))=Fixtures!$DN49,CONCATENATE(FO$10,", "),""))</f>
        <v/>
      </c>
      <c r="FP49" s="712" t="str">
        <f ca="1">IF(INDIRECT(CONCATENATE($FK$12,Fixtures!FP$25))="","",IF(INDIRECT(CONCATENATE($FK$12,Fixtures!FP$25))=Fixtures!$DN49,CONCATENATE(FP$10,", "),""))</f>
        <v/>
      </c>
      <c r="FQ49" s="712" t="str">
        <f ca="1">IF(INDIRECT(CONCATENATE($FK$12,Fixtures!FQ$25))="","",IF(INDIRECT(CONCATENATE($FK$12,Fixtures!FQ$25))=Fixtures!$DN49,CONCATENATE(FQ$10,", "),""))</f>
        <v/>
      </c>
      <c r="FR49" s="712" t="str">
        <f ca="1">IF(INDIRECT(CONCATENATE($FK$12,Fixtures!FR$25))="","",IF(INDIRECT(CONCATENATE($FK$12,Fixtures!FR$25))=Fixtures!$DN49,CONCATENATE(FR$10,", "),""))</f>
        <v/>
      </c>
      <c r="FS49" s="712" t="str">
        <f ca="1">IF(INDIRECT(CONCATENATE($FK$12,Fixtures!FS$25))="","",IF(INDIRECT(CONCATENATE($FK$12,Fixtures!FS$25))=Fixtures!$DN49,CONCATENATE(FS$10,", "),""))</f>
        <v/>
      </c>
      <c r="FT49" s="682" t="str">
        <f ca="1">IF(INDIRECT(CONCATENATE($FK$12,Fixtures!FT$25))="","",IF(INDIRECT(CONCATENATE($FK$12,Fixtures!FT$25))=Fixtures!$DN49,CONCATENATE(FT$10,", "),""))</f>
        <v/>
      </c>
      <c r="FU49" s="683" t="str">
        <f ca="1">IF(INDIRECT(CONCATENATE($FK$12,Fixtures!FU$25))="","",IF(INDIRECT(CONCATENATE($FK$12,Fixtures!FU$25))=Fixtures!$DN49,CONCATENATE(FU$10,", "),""))</f>
        <v/>
      </c>
      <c r="FV49" s="712" t="str">
        <f ca="1">IF(INDIRECT(CONCATENATE($FK$12,Fixtures!FV$25))="","",IF(INDIRECT(CONCATENATE($FK$12,Fixtures!FV$25))=Fixtures!$DN49,CONCATENATE(FV$10,", "),""))</f>
        <v/>
      </c>
      <c r="FW49" s="713" t="str">
        <f ca="1">IF(INDIRECT(CONCATENATE($FK$12,Fixtures!FW$25))="","",IF(INDIRECT(CONCATENATE($FK$12,Fixtures!FW$25))=Fixtures!$DN49,CONCATENATE(FW$10,", "),""))</f>
        <v/>
      </c>
      <c r="FX49" s="713" t="str">
        <f ca="1">IF(INDIRECT(CONCATENATE($FK$12,Fixtures!FX$25))="","",IF(INDIRECT(CONCATENATE($FK$12,Fixtures!FX$25))=Fixtures!$DN49,CONCATENATE(FX$10,", "),""))</f>
        <v/>
      </c>
      <c r="FY49" s="713" t="str">
        <f ca="1">IF(INDIRECT(CONCATENATE($FK$12,Fixtures!FY$25))="","",IF(INDIRECT(CONCATENATE($FK$12,Fixtures!FY$25))=Fixtures!$DN49,CONCATENATE(FY$10,", "),""))</f>
        <v/>
      </c>
      <c r="FZ49" s="713" t="str">
        <f ca="1">IF(INDIRECT(CONCATENATE($FK$12,Fixtures!FZ$25))="","",IF(INDIRECT(CONCATENATE($FK$12,Fixtures!FZ$25))=Fixtures!$DN49,CONCATENATE(FZ$10,", "),""))</f>
        <v/>
      </c>
      <c r="GA49" s="713" t="str">
        <f ca="1">IF(INDIRECT(CONCATENATE($FK$12,Fixtures!GA$25))="","",IF(INDIRECT(CONCATENATE($FK$12,Fixtures!GA$25))=Fixtures!$DN49,CONCATENATE(GA$10,", "),""))</f>
        <v/>
      </c>
      <c r="GB49" s="713" t="str">
        <f ca="1">IF(INDIRECT(CONCATENATE($FK$12,Fixtures!GB$25))="","",IF(INDIRECT(CONCATENATE($FK$12,Fixtures!GB$25))=Fixtures!$DN49,CONCATENATE(GB$10,", "),""))</f>
        <v/>
      </c>
      <c r="GC49" s="713" t="str">
        <f ca="1">IF(INDIRECT(CONCATENATE($FK$12,Fixtures!GC$25))="","",IF(INDIRECT(CONCATENATE($FK$12,Fixtures!GC$25))=Fixtures!$DN49,CONCATENATE(GC$10,", "),""))</f>
        <v/>
      </c>
      <c r="GD49" s="713" t="str">
        <f ca="1">IF(INDIRECT(CONCATENATE($FK$12,Fixtures!GD$25))="","",IF(INDIRECT(CONCATENATE($FK$12,Fixtures!GD$25))=Fixtures!$DN49,CONCATENATE(GD$10,", "),""))</f>
        <v/>
      </c>
      <c r="GE49" s="713" t="str">
        <f ca="1">IF(INDIRECT(CONCATENATE($FK$12,Fixtures!GE$25))="","",IF(INDIRECT(CONCATENATE($FK$12,Fixtures!GE$25))=Fixtures!$DN49,CONCATENATE(GE$10,", "),""))</f>
        <v/>
      </c>
      <c r="GF49" s="713" t="str">
        <f ca="1">IF(INDIRECT(CONCATENATE($FK$12,Fixtures!GF$25))="","",IF(INDIRECT(CONCATENATE($FK$12,Fixtures!GF$25))=Fixtures!$DN49,CONCATENATE(GF$10,", "),""))</f>
        <v/>
      </c>
      <c r="GG49" s="713" t="str">
        <f ca="1">IF(INDIRECT(CONCATENATE($FK$12,Fixtures!GG$25))="","",IF(INDIRECT(CONCATENATE($FK$12,Fixtures!GG$25))=Fixtures!$DN49,CONCATENATE(GG$10,", "),""))</f>
        <v/>
      </c>
      <c r="GH49" s="713" t="str">
        <f ca="1">IF(INDIRECT(CONCATENATE($FK$12,Fixtures!GH$25))="","",IF(INDIRECT(CONCATENATE($FK$12,Fixtures!GH$25))=Fixtures!$DN49,CONCATENATE(GH$10,", "),""))</f>
        <v/>
      </c>
      <c r="GI49" s="684" t="str">
        <f ca="1">IF(INDIRECT(CONCATENATE($FK$12,Fixtures!GI$25))="","",IF(INDIRECT(CONCATENATE($FK$12,Fixtures!GI$25))=Fixtures!$DN49,CONCATENATE(GI$10,", "),""))</f>
        <v/>
      </c>
      <c r="GJ49" s="685" t="str">
        <f ca="1">IF(INDIRECT(CONCATENATE($FK$12,Fixtures!GJ$25))="","",IF(INDIRECT(CONCATENATE($FK$12,Fixtures!GJ$25))=Fixtures!$DN49,CONCATENATE(GJ$10,", "),""))</f>
        <v/>
      </c>
      <c r="GK49" s="713" t="str">
        <f ca="1">IF(INDIRECT(CONCATENATE($FK$12,Fixtures!GK$25))="","",IF(INDIRECT(CONCATENATE($FK$12,Fixtures!GK$25))=Fixtures!$DN49,CONCATENATE(GK$10,", "),""))</f>
        <v/>
      </c>
      <c r="GL49" s="713" t="str">
        <f ca="1">IF(INDIRECT(CONCATENATE($FK$12,Fixtures!GL$25))="","",IF(INDIRECT(CONCATENATE($FK$12,Fixtures!GL$25))=Fixtures!$DN49,CONCATENATE(GL$10,", "),""))</f>
        <v/>
      </c>
      <c r="GM49" s="713" t="str">
        <f ca="1">IF(INDIRECT(CONCATENATE($FK$12,Fixtures!GM$25))="","",IF(INDIRECT(CONCATENATE($FK$12,Fixtures!GM$25))=Fixtures!$DN49,CONCATENATE(GM$10,", "),""))</f>
        <v/>
      </c>
      <c r="GN49" s="713" t="str">
        <f ca="1">IF(INDIRECT(CONCATENATE($FK$12,Fixtures!GN$25))="","",IF(INDIRECT(CONCATENATE($FK$12,Fixtures!GN$25))=Fixtures!$DN49,CONCATENATE(GN$10,", "),""))</f>
        <v/>
      </c>
      <c r="GO49" s="713" t="str">
        <f ca="1">IF(INDIRECT(CONCATENATE($FK$12,Fixtures!GO$25))="","",IF(INDIRECT(CONCATENATE($FK$12,Fixtures!GO$25))=Fixtures!$DN49,CONCATENATE(GO$10,", "),""))</f>
        <v/>
      </c>
      <c r="GP49" s="713" t="str">
        <f ca="1">IF(INDIRECT(CONCATENATE($FK$12,Fixtures!GP$25))="","",IF(INDIRECT(CONCATENATE($FK$12,Fixtures!GP$25))=Fixtures!$DN49,CONCATENATE(GP$10,", "),""))</f>
        <v/>
      </c>
      <c r="GQ49" s="713" t="str">
        <f ca="1">IF(INDIRECT(CONCATENATE($FK$12,Fixtures!GQ$25))="","",IF(INDIRECT(CONCATENATE($FK$12,Fixtures!GQ$25))=Fixtures!$DN49,CONCATENATE(GQ$10,", "),""))</f>
        <v/>
      </c>
      <c r="GR49" s="713" t="str">
        <f ca="1">IF(INDIRECT(CONCATENATE($FK$12,Fixtures!GR$25))="","",IF(INDIRECT(CONCATENATE($FK$12,Fixtures!GR$25))=Fixtures!$DN49,CONCATENATE(GR$10,", "),""))</f>
        <v/>
      </c>
      <c r="GS49" s="713" t="str">
        <f ca="1">IF(INDIRECT(CONCATENATE($FK$12,Fixtures!GS$25))="","",IF(INDIRECT(CONCATENATE($FK$12,Fixtures!GS$25))=Fixtures!$DN49,CONCATENATE(GS$10,", "),""))</f>
        <v/>
      </c>
      <c r="GT49" s="713" t="str">
        <f ca="1">IF(INDIRECT(CONCATENATE($FK$12,Fixtures!GT$25))="","",IF(INDIRECT(CONCATENATE($FK$12,Fixtures!GT$25))=Fixtures!$DN49,CONCATENATE(GT$10,", "),""))</f>
        <v/>
      </c>
      <c r="GU49" s="713" t="str">
        <f ca="1">IF(INDIRECT(CONCATENATE($FK$12,Fixtures!GU$25))="","",IF(INDIRECT(CONCATENATE($FK$12,Fixtures!GU$25))=Fixtures!$DN49,CONCATENATE(GU$10,", "),""))</f>
        <v/>
      </c>
      <c r="GV49" s="713" t="str">
        <f ca="1">IF(INDIRECT(CONCATENATE($FK$12,Fixtures!GV$25))="","",IF(INDIRECT(CONCATENATE($FK$12,Fixtures!GV$25))=Fixtures!$DN49,CONCATENATE(GV$10,", "),""))</f>
        <v/>
      </c>
      <c r="GW49" s="713" t="str">
        <f ca="1">IF(INDIRECT(CONCATENATE($FK$12,Fixtures!GW$25))="","",IF(INDIRECT(CONCATENATE($FK$12,Fixtures!GW$25))=Fixtures!$DN49,CONCATENATE(GW$10,", "),""))</f>
        <v/>
      </c>
      <c r="GX49" s="684" t="str">
        <f ca="1">IF(INDIRECT(CONCATENATE($FK$12,Fixtures!GX$25))="","",IF(INDIRECT(CONCATENATE($FK$12,Fixtures!GX$25))=Fixtures!$DN49,CONCATENATE(GX$10,", "),""))</f>
        <v/>
      </c>
      <c r="GY49" s="685" t="str">
        <f ca="1">IF(INDIRECT(CONCATENATE($FK$12,Fixtures!GY$25))="","",IF(INDIRECT(CONCATENATE($FK$12,Fixtures!GY$25))=Fixtures!$DN49,CONCATENATE(GY$10,", "),""))</f>
        <v/>
      </c>
      <c r="GZ49" s="713" t="str">
        <f ca="1">IF(INDIRECT(CONCATENATE($FK$12,Fixtures!GZ$25))="","",IF(INDIRECT(CONCATENATE($FK$12,Fixtures!GZ$25))=Fixtures!$DN49,CONCATENATE(GZ$10,", "),""))</f>
        <v/>
      </c>
      <c r="HA49" s="713" t="str">
        <f ca="1">IF(INDIRECT(CONCATENATE($FK$12,Fixtures!HA$25))="","",IF(INDIRECT(CONCATENATE($FK$12,Fixtures!HA$25))=Fixtures!$DN49,CONCATENATE(HA$10,", "),""))</f>
        <v/>
      </c>
      <c r="HB49" s="713" t="str">
        <f ca="1">IF(INDIRECT(CONCATENATE($FK$12,Fixtures!HB$25))="","",IF(INDIRECT(CONCATENATE($FK$12,Fixtures!HB$25))=Fixtures!$DN49,CONCATENATE(HB$10,", "),""))</f>
        <v/>
      </c>
      <c r="HC49" s="713" t="str">
        <f ca="1">IF(INDIRECT(CONCATENATE($FK$12,Fixtures!HC$25))="","",IF(INDIRECT(CONCATENATE($FK$12,Fixtures!HC$25))=Fixtures!$DN49,CONCATENATE(HC$10,", "),""))</f>
        <v/>
      </c>
      <c r="HD49" s="713" t="str">
        <f ca="1">IF(INDIRECT(CONCATENATE($FK$12,Fixtures!HD$25))="","",IF(INDIRECT(CONCATENATE($FK$12,Fixtures!HD$25))=Fixtures!$DN49,CONCATENATE(HD$10,", "),""))</f>
        <v/>
      </c>
      <c r="HE49" s="713" t="str">
        <f ca="1">IF(INDIRECT(CONCATENATE($FK$12,Fixtures!HE$25))="","",IF(INDIRECT(CONCATENATE($FK$12,Fixtures!HE$25))=Fixtures!$DN49,CONCATENATE(HE$10,", "),""))</f>
        <v/>
      </c>
      <c r="HF49" s="713" t="str">
        <f ca="1">IF(INDIRECT(CONCATENATE($FK$12,Fixtures!HF$25))="","",IF(INDIRECT(CONCATENATE($FK$12,Fixtures!HF$25))=Fixtures!$DN49,CONCATENATE(HF$10,", "),""))</f>
        <v/>
      </c>
      <c r="HG49" s="713" t="str">
        <f ca="1">IF(INDIRECT(CONCATENATE($FK$12,Fixtures!HG$25))="","",IF(INDIRECT(CONCATENATE($FK$12,Fixtures!HG$25))=Fixtures!$DN49,CONCATENATE(HG$10,", "),""))</f>
        <v/>
      </c>
      <c r="HH49" s="713" t="str">
        <f ca="1">IF(INDIRECT(CONCATENATE($FK$12,Fixtures!HH$25))="","",IF(INDIRECT(CONCATENATE($FK$12,Fixtures!HH$25))=Fixtures!$DN49,CONCATENATE(HH$10,", "),""))</f>
        <v/>
      </c>
      <c r="HI49" s="713" t="str">
        <f ca="1">IF(INDIRECT(CONCATENATE($FK$12,Fixtures!HI$25))="","",IF(INDIRECT(CONCATENATE($FK$12,Fixtures!HI$25))=Fixtures!$DN49,CONCATENATE(HI$10,", "),""))</f>
        <v/>
      </c>
      <c r="HJ49" s="713" t="str">
        <f ca="1">IF(INDIRECT(CONCATENATE($FK$12,Fixtures!HJ$25))="","",IF(INDIRECT(CONCATENATE($FK$12,Fixtures!HJ$25))=Fixtures!$DN49,CONCATENATE(HJ$10,", "),""))</f>
        <v/>
      </c>
      <c r="HK49" s="713" t="str">
        <f ca="1">IF(INDIRECT(CONCATENATE($FK$12,Fixtures!HK$25))="","",IF(INDIRECT(CONCATENATE($FK$12,Fixtures!HK$25))=Fixtures!$DN49,CONCATENATE(HK$10,", "),""))</f>
        <v/>
      </c>
      <c r="HL49" s="713" t="str">
        <f ca="1">IF(INDIRECT(CONCATENATE($FK$12,Fixtures!HL$25))="","",IF(INDIRECT(CONCATENATE($FK$12,Fixtures!HL$25))=Fixtures!$DN49,CONCATENATE(HL$10,", "),""))</f>
        <v/>
      </c>
      <c r="HM49" s="684" t="str">
        <f ca="1">IF(INDIRECT(CONCATENATE($FK$12,Fixtures!HM$25))="","",IF(INDIRECT(CONCATENATE($FK$12,Fixtures!HM$25))=Fixtures!$DN49,CONCATENATE(HM$10,", "),""))</f>
        <v/>
      </c>
      <c r="HN49" s="685" t="str">
        <f ca="1">IF(INDIRECT(CONCATENATE($FK$12,Fixtures!HN$25))="","",IF(INDIRECT(CONCATENATE($FK$12,Fixtures!HN$25))=Fixtures!$DN49,CONCATENATE(HN$10,", "),""))</f>
        <v/>
      </c>
      <c r="HO49" s="713" t="str">
        <f ca="1">IF(INDIRECT(CONCATENATE($FK$12,Fixtures!HO$25))="","",IF(INDIRECT(CONCATENATE($FK$12,Fixtures!HO$25))=Fixtures!$DN49,CONCATENATE(HO$10,", "),""))</f>
        <v/>
      </c>
      <c r="HP49" s="713" t="str">
        <f ca="1">IF(INDIRECT(CONCATENATE($FK$12,Fixtures!HP$25))="","",IF(INDIRECT(CONCATENATE($FK$12,Fixtures!HP$25))=Fixtures!$DN49,CONCATENATE(HP$10,", "),""))</f>
        <v/>
      </c>
      <c r="HQ49" s="713" t="str">
        <f ca="1">IF(INDIRECT(CONCATENATE($FK$12,Fixtures!HQ$25))="","",IF(INDIRECT(CONCATENATE($FK$12,Fixtures!HQ$25))=Fixtures!$DN49,CONCATENATE(HQ$10,", "),""))</f>
        <v/>
      </c>
      <c r="HR49" s="713" t="str">
        <f ca="1">IF(INDIRECT(CONCATENATE($FK$12,Fixtures!HR$25))="","",IF(INDIRECT(CONCATENATE($FK$12,Fixtures!HR$25))=Fixtures!$DN49,CONCATENATE(HR$10,", "),""))</f>
        <v/>
      </c>
      <c r="HS49" s="713" t="str">
        <f ca="1">IF(INDIRECT(CONCATENATE($FK$12,Fixtures!HS$25))="","",IF(INDIRECT(CONCATENATE($FK$12,Fixtures!HS$25))=Fixtures!$DN49,CONCATENATE(HS$10,", "),""))</f>
        <v/>
      </c>
      <c r="HT49" s="713" t="str">
        <f ca="1">IF(INDIRECT(CONCATENATE($FK$12,Fixtures!HT$25))="","",IF(INDIRECT(CONCATENATE($FK$12,Fixtures!HT$25))=Fixtures!$DN49,CONCATENATE(HT$10,", "),""))</f>
        <v/>
      </c>
      <c r="HU49" s="713" t="str">
        <f ca="1">IF(INDIRECT(CONCATENATE($FK$12,Fixtures!HU$25))="","",IF(INDIRECT(CONCATENATE($FK$12,Fixtures!HU$25))=Fixtures!$DN49,CONCATENATE(HU$10,", "),""))</f>
        <v/>
      </c>
      <c r="HV49" s="713" t="str">
        <f ca="1">IF(INDIRECT(CONCATENATE($FK$12,Fixtures!HV$25))="","",IF(INDIRECT(CONCATENATE($FK$12,Fixtures!HV$25))=Fixtures!$DN49,CONCATENATE(HV$10,", "),""))</f>
        <v/>
      </c>
      <c r="HW49" s="713" t="str">
        <f ca="1">IF(INDIRECT(CONCATENATE($FK$12,Fixtures!HW$25))="","",IF(INDIRECT(CONCATENATE($FK$12,Fixtures!HW$25))=Fixtures!$DN49,CONCATENATE(HW$10,", "),""))</f>
        <v/>
      </c>
      <c r="HX49" s="713" t="str">
        <f ca="1">IF(INDIRECT(CONCATENATE($FK$12,Fixtures!HX$25))="","",IF(INDIRECT(CONCATENATE($FK$12,Fixtures!HX$25))=Fixtures!$DN49,CONCATENATE(HX$10,", "),""))</f>
        <v/>
      </c>
      <c r="HY49" s="713" t="str">
        <f ca="1">IF(INDIRECT(CONCATENATE($FK$12,Fixtures!HY$25))="","",IF(INDIRECT(CONCATENATE($FK$12,Fixtures!HY$25))=Fixtures!$DN49,CONCATENATE(HY$10,", "),""))</f>
        <v/>
      </c>
      <c r="HZ49" s="713" t="str">
        <f ca="1">IF(INDIRECT(CONCATENATE($FK$12,Fixtures!HZ$25))="","",IF(INDIRECT(CONCATENATE($FK$12,Fixtures!HZ$25))=Fixtures!$DN49,CONCATENATE(HZ$10,", "),""))</f>
        <v/>
      </c>
      <c r="IA49" s="713" t="str">
        <f ca="1">IF(INDIRECT(CONCATENATE($FK$12,Fixtures!IA$25))="","",IF(INDIRECT(CONCATENATE($FK$12,Fixtures!IA$25))=Fixtures!$DN49,CONCATENATE(IA$10,", "),""))</f>
        <v/>
      </c>
      <c r="IB49" s="684" t="str">
        <f ca="1">IF(INDIRECT(CONCATENATE($FK$12,Fixtures!IB$25))="","",IF(INDIRECT(CONCATENATE($FK$12,Fixtures!IB$25))=Fixtures!$DN49,CONCATENATE(IB$10,", "),""))</f>
        <v/>
      </c>
      <c r="IC49" s="685" t="str">
        <f ca="1">IF(INDIRECT(CONCATENATE($FK$12,Fixtures!IC$25))="","",IF(INDIRECT(CONCATENATE($FK$12,Fixtures!IC$25))=Fixtures!$DN49,CONCATENATE(IC$10,", "),""))</f>
        <v/>
      </c>
      <c r="ID49" s="713" t="str">
        <f ca="1">IF(INDIRECT(CONCATENATE($FK$12,Fixtures!ID$25))="","",IF(INDIRECT(CONCATENATE($FK$12,Fixtures!ID$25))=Fixtures!$DN49,CONCATENATE(ID$10,", "),""))</f>
        <v/>
      </c>
      <c r="IE49" s="713" t="str">
        <f ca="1">IF(INDIRECT(CONCATENATE($FK$12,Fixtures!IE$25))="","",IF(INDIRECT(CONCATENATE($FK$12,Fixtures!IE$25))=Fixtures!$DN49,CONCATENATE(IE$10,", "),""))</f>
        <v/>
      </c>
      <c r="IF49" s="713" t="str">
        <f ca="1">IF(INDIRECT(CONCATENATE($FK$12,Fixtures!IF$25))="","",IF(INDIRECT(CONCATENATE($FK$12,Fixtures!IF$25))=Fixtures!$DN49,CONCATENATE(IF$10,", "),""))</f>
        <v/>
      </c>
      <c r="IG49" s="713" t="str">
        <f ca="1">IF(INDIRECT(CONCATENATE($FK$12,Fixtures!IG$25))="","",IF(INDIRECT(CONCATENATE($FK$12,Fixtures!IG$25))=Fixtures!$DN49,CONCATENATE(IG$10,", "),""))</f>
        <v/>
      </c>
      <c r="IH49" s="713" t="str">
        <f ca="1">IF(INDIRECT(CONCATENATE($FK$12,Fixtures!IH$25))="","",IF(INDIRECT(CONCATENATE($FK$12,Fixtures!IH$25))=Fixtures!$DN49,CONCATENATE(IH$10,", "),""))</f>
        <v/>
      </c>
      <c r="II49" s="713" t="str">
        <f ca="1">IF(INDIRECT(CONCATENATE($FK$12,Fixtures!II$25))="","",IF(INDIRECT(CONCATENATE($FK$12,Fixtures!II$25))=Fixtures!$DN49,CONCATENATE(II$10,", "),""))</f>
        <v/>
      </c>
      <c r="IJ49" s="713" t="str">
        <f ca="1">IF(INDIRECT(CONCATENATE($FK$12,Fixtures!IJ$25))="","",IF(INDIRECT(CONCATENATE($FK$12,Fixtures!IJ$25))=Fixtures!$DN49,CONCATENATE(IJ$10,", "),""))</f>
        <v/>
      </c>
      <c r="IK49" s="713" t="str">
        <f ca="1">IF(INDIRECT(CONCATENATE($FK$12,Fixtures!IK$25))="","",IF(INDIRECT(CONCATENATE($FK$12,Fixtures!IK$25))=Fixtures!$DN49,CONCATENATE(IK$10,", "),""))</f>
        <v/>
      </c>
      <c r="IL49" s="713" t="str">
        <f ca="1">IF(INDIRECT(CONCATENATE($FK$12,Fixtures!IL$25))="","",IF(INDIRECT(CONCATENATE($FK$12,Fixtures!IL$25))=Fixtures!$DN49,CONCATENATE(IL$10,", "),""))</f>
        <v/>
      </c>
      <c r="IM49" s="713" t="str">
        <f ca="1">IF(INDIRECT(CONCATENATE($FK$12,Fixtures!IM$25))="","",IF(INDIRECT(CONCATENATE($FK$12,Fixtures!IM$25))=Fixtures!$DN49,CONCATENATE(IM$10,", "),""))</f>
        <v/>
      </c>
      <c r="IN49" s="713" t="str">
        <f ca="1">IF(INDIRECT(CONCATENATE($FK$12,Fixtures!IN$25))="","",IF(INDIRECT(CONCATENATE($FK$12,Fixtures!IN$25))=Fixtures!$DN49,CONCATENATE(IN$10,", "),""))</f>
        <v/>
      </c>
      <c r="IO49" s="713" t="str">
        <f ca="1">IF(INDIRECT(CONCATENATE($FK$12,Fixtures!IO$25))="","",IF(INDIRECT(CONCATENATE($FK$12,Fixtures!IO$25))=Fixtures!$DN49,CONCATENATE(IO$10,", "),""))</f>
        <v/>
      </c>
      <c r="IP49" s="713" t="str">
        <f ca="1">IF(INDIRECT(CONCATENATE($FK$12,Fixtures!IP$25))="","",IF(INDIRECT(CONCATENATE($FK$12,Fixtures!IP$25))=Fixtures!$DN49,CONCATENATE(IP$10,", "),""))</f>
        <v/>
      </c>
      <c r="IQ49" s="684" t="str">
        <f ca="1">IF(INDIRECT(CONCATENATE($FK$12,Fixtures!IQ$25))="","",IF(INDIRECT(CONCATENATE($FK$12,Fixtures!IQ$25))=Fixtures!$DN49,CONCATENATE(IQ$10,", "),""))</f>
        <v/>
      </c>
      <c r="IR49" s="685" t="str">
        <f ca="1">IF(INDIRECT(CONCATENATE($FK$12,Fixtures!IR$25))="","",IF(INDIRECT(CONCATENATE($FK$12,Fixtures!IR$25))=Fixtures!$DN49,CONCATENATE(IR$10,", "),""))</f>
        <v/>
      </c>
      <c r="IS49" s="713" t="str">
        <f ca="1">IF(INDIRECT(CONCATENATE($FK$12,Fixtures!IS$25))="","",IF(INDIRECT(CONCATENATE($FK$12,Fixtures!IS$25))=Fixtures!$DN49,CONCATENATE(IS$10,", "),""))</f>
        <v/>
      </c>
      <c r="IT49" s="713" t="str">
        <f ca="1">IF(INDIRECT(CONCATENATE($FK$12,Fixtures!IT$25))="","",IF(INDIRECT(CONCATENATE($FK$12,Fixtures!IT$25))=Fixtures!$DN49,CONCATENATE(IT$10,", "),""))</f>
        <v/>
      </c>
      <c r="IU49" s="713" t="str">
        <f ca="1">IF(INDIRECT(CONCATENATE($FK$12,Fixtures!IU$25))="","",IF(INDIRECT(CONCATENATE($FK$12,Fixtures!IU$25))=Fixtures!$DN49,CONCATENATE(IU$10,", "),""))</f>
        <v/>
      </c>
      <c r="IV49" s="713" t="str">
        <f ca="1">IF(INDIRECT(CONCATENATE($FK$12,Fixtures!IV$25))="","",IF(INDIRECT(CONCATENATE($FK$12,Fixtures!IV$25))=Fixtures!$DN49,CONCATENATE(IV$10,", "),""))</f>
        <v/>
      </c>
      <c r="IW49" s="713" t="str">
        <f ca="1">IF(INDIRECT(CONCATENATE($FK$12,Fixtures!IW$25))="","",IF(INDIRECT(CONCATENATE($FK$12,Fixtures!IW$25))=Fixtures!$DN49,CONCATENATE(IW$10,", "),""))</f>
        <v/>
      </c>
      <c r="IX49" s="713" t="str">
        <f ca="1">IF(INDIRECT(CONCATENATE($FK$12,Fixtures!IX$25))="","",IF(INDIRECT(CONCATENATE($FK$12,Fixtures!IX$25))=Fixtures!$DN49,CONCATENATE(IX$10,", "),""))</f>
        <v/>
      </c>
      <c r="IY49" s="713" t="str">
        <f ca="1">IF(INDIRECT(CONCATENATE($FK$12,Fixtures!IY$25))="","",IF(INDIRECT(CONCATENATE($FK$12,Fixtures!IY$25))=Fixtures!$DN49,CONCATENATE(IY$10,", "),""))</f>
        <v/>
      </c>
      <c r="IZ49" s="713" t="str">
        <f ca="1">IF(INDIRECT(CONCATENATE($FK$12,Fixtures!IZ$25))="","",IF(INDIRECT(CONCATENATE($FK$12,Fixtures!IZ$25))=Fixtures!$DN49,CONCATENATE(IZ$10,", "),""))</f>
        <v/>
      </c>
      <c r="JA49" s="713" t="str">
        <f ca="1">IF(INDIRECT(CONCATENATE($FK$12,Fixtures!JA$25))="","",IF(INDIRECT(CONCATENATE($FK$12,Fixtures!JA$25))=Fixtures!$DN49,CONCATENATE(JA$10,", "),""))</f>
        <v/>
      </c>
      <c r="JB49" s="713" t="str">
        <f ca="1">IF(INDIRECT(CONCATENATE($FK$12,Fixtures!JB$25))="","",IF(INDIRECT(CONCATENATE($FK$12,Fixtures!JB$25))=Fixtures!$DN49,CONCATENATE(JB$10,", "),""))</f>
        <v/>
      </c>
      <c r="JC49" s="713" t="str">
        <f ca="1">IF(INDIRECT(CONCATENATE($FK$12,Fixtures!JC$25))="","",IF(INDIRECT(CONCATENATE($FK$12,Fixtures!JC$25))=Fixtures!$DN49,CONCATENATE(JC$10,", "),""))</f>
        <v/>
      </c>
      <c r="JD49" s="713" t="str">
        <f ca="1">IF(INDIRECT(CONCATENATE($FK$12,Fixtures!JD$25))="","",IF(INDIRECT(CONCATENATE($FK$12,Fixtures!JD$25))=Fixtures!$DN49,CONCATENATE(JD$10,", "),""))</f>
        <v/>
      </c>
      <c r="JE49" s="713" t="str">
        <f ca="1">IF(INDIRECT(CONCATENATE($FK$12,Fixtures!JE$25))="","",IF(INDIRECT(CONCATENATE($FK$12,Fixtures!JE$25))=Fixtures!$DN49,CONCATENATE(JE$10,", "),""))</f>
        <v/>
      </c>
      <c r="JF49" s="684" t="str">
        <f ca="1">IF(INDIRECT(CONCATENATE($FK$12,Fixtures!JF$25))="","",IF(INDIRECT(CONCATENATE($FK$12,Fixtures!JF$25))=Fixtures!$DN49,CONCATENATE(JF$10,", "),""))</f>
        <v/>
      </c>
      <c r="JG49" s="685" t="str">
        <f ca="1">IF(INDIRECT(CONCATENATE($FK$12,Fixtures!JG$25))="","",IF(INDIRECT(CONCATENATE($FK$12,Fixtures!JG$25))=Fixtures!$DN49,CONCATENATE(JG$10,", "),""))</f>
        <v/>
      </c>
      <c r="JH49" s="713" t="str">
        <f ca="1">IF(INDIRECT(CONCATENATE($FK$12,Fixtures!JH$25))="","",IF(INDIRECT(CONCATENATE($FK$12,Fixtures!JH$25))=Fixtures!$DN49,CONCATENATE(JH$10,", "),""))</f>
        <v/>
      </c>
      <c r="JI49" s="713" t="str">
        <f ca="1">IF(INDIRECT(CONCATENATE($FK$12,Fixtures!JI$25))="","",IF(INDIRECT(CONCATENATE($FK$12,Fixtures!JI$25))=Fixtures!$DN49,CONCATENATE(JI$10,", "),""))</f>
        <v/>
      </c>
      <c r="JJ49" s="713" t="str">
        <f ca="1">IF(INDIRECT(CONCATENATE($FK$12,Fixtures!JJ$25))="","",IF(INDIRECT(CONCATENATE($FK$12,Fixtures!JJ$25))=Fixtures!$DN49,CONCATENATE(JJ$10,", "),""))</f>
        <v/>
      </c>
      <c r="JK49" s="713" t="str">
        <f ca="1">IF(INDIRECT(CONCATENATE($FK$12,Fixtures!JK$25))="","",IF(INDIRECT(CONCATENATE($FK$12,Fixtures!JK$25))=Fixtures!$DN49,CONCATENATE(JK$10,", "),""))</f>
        <v/>
      </c>
      <c r="JL49" s="713" t="str">
        <f ca="1">IF(INDIRECT(CONCATENATE($FK$12,Fixtures!JL$25))="","",IF(INDIRECT(CONCATENATE($FK$12,Fixtures!JL$25))=Fixtures!$DN49,CONCATENATE(JL$10,", "),""))</f>
        <v/>
      </c>
      <c r="JM49" s="713" t="str">
        <f ca="1">IF(INDIRECT(CONCATENATE($FK$12,Fixtures!JM$25))="","",IF(INDIRECT(CONCATENATE($FK$12,Fixtures!JM$25))=Fixtures!$DN49,CONCATENATE(JM$10,", "),""))</f>
        <v/>
      </c>
      <c r="JN49" s="713" t="str">
        <f ca="1">IF(INDIRECT(CONCATENATE($FK$12,Fixtures!JN$25))="","",IF(INDIRECT(CONCATENATE($FK$12,Fixtures!JN$25))=Fixtures!$DN49,CONCATENATE(JN$10,", "),""))</f>
        <v/>
      </c>
      <c r="JO49" s="713" t="str">
        <f ca="1">IF(INDIRECT(CONCATENATE($FK$12,Fixtures!JO$25))="","",IF(INDIRECT(CONCATENATE($FK$12,Fixtures!JO$25))=Fixtures!$DN49,CONCATENATE(JO$10,", "),""))</f>
        <v/>
      </c>
      <c r="JP49" s="713" t="str">
        <f ca="1">IF(INDIRECT(CONCATENATE($FK$12,Fixtures!JP$25))="","",IF(INDIRECT(CONCATENATE($FK$12,Fixtures!JP$25))=Fixtures!$DN49,CONCATENATE(JP$10,", "),""))</f>
        <v/>
      </c>
      <c r="JQ49" s="713" t="str">
        <f ca="1">IF(INDIRECT(CONCATENATE($FK$12,Fixtures!JQ$25))="","",IF(INDIRECT(CONCATENATE($FK$12,Fixtures!JQ$25))=Fixtures!$DN49,CONCATENATE(JQ$10,", "),""))</f>
        <v/>
      </c>
      <c r="JR49" s="713" t="str">
        <f ca="1">IF(INDIRECT(CONCATENATE($FK$12,Fixtures!JR$25))="","",IF(INDIRECT(CONCATENATE($FK$12,Fixtures!JR$25))=Fixtures!$DN49,CONCATENATE(JR$10,", "),""))</f>
        <v/>
      </c>
      <c r="JS49" s="713" t="str">
        <f ca="1">IF(INDIRECT(CONCATENATE($FK$12,Fixtures!JS$25))="","",IF(INDIRECT(CONCATENATE($FK$12,Fixtures!JS$25))=Fixtures!$DN49,CONCATENATE(JS$10,", "),""))</f>
        <v/>
      </c>
      <c r="JT49" s="713" t="str">
        <f ca="1">IF(INDIRECT(CONCATENATE($FK$12,Fixtures!JT$25))="","",IF(INDIRECT(CONCATENATE($FK$12,Fixtures!JT$25))=Fixtures!$DN49,CONCATENATE(JT$10,", "),""))</f>
        <v/>
      </c>
      <c r="JU49" s="684" t="str">
        <f ca="1">IF(INDIRECT(CONCATENATE($FK$12,Fixtures!JU$25))="","",IF(INDIRECT(CONCATENATE($FK$12,Fixtures!JU$25))=Fixtures!$DN49,CONCATENATE(JU$10,", "),""))</f>
        <v/>
      </c>
      <c r="JV49" s="685" t="str">
        <f ca="1">IF(INDIRECT(CONCATENATE($FK$12,Fixtures!JV$25))="","",IF(INDIRECT(CONCATENATE($FK$12,Fixtures!JV$25))=Fixtures!$DN49,CONCATENATE(JV$10,", "),""))</f>
        <v/>
      </c>
      <c r="JW49" s="713" t="str">
        <f ca="1">IF(INDIRECT(CONCATENATE($FK$12,Fixtures!JW$25))="","",IF(INDIRECT(CONCATENATE($FK$12,Fixtures!JW$25))=Fixtures!$DN49,CONCATENATE(JW$10,", "),""))</f>
        <v/>
      </c>
      <c r="JX49" s="713" t="str">
        <f ca="1">IF(INDIRECT(CONCATENATE($FK$12,Fixtures!JX$25))="","",IF(INDIRECT(CONCATENATE($FK$12,Fixtures!JX$25))=Fixtures!$DN49,CONCATENATE(JX$10,", "),""))</f>
        <v/>
      </c>
      <c r="JY49" s="713" t="str">
        <f ca="1">IF(INDIRECT(CONCATENATE($FK$12,Fixtures!JY$25))="","",IF(INDIRECT(CONCATENATE($FK$12,Fixtures!JY$25))=Fixtures!$DN49,CONCATENATE(JY$10,", "),""))</f>
        <v/>
      </c>
      <c r="JZ49" s="713" t="str">
        <f ca="1">IF(INDIRECT(CONCATENATE($FK$12,Fixtures!JZ$25))="","",IF(INDIRECT(CONCATENATE($FK$12,Fixtures!JZ$25))=Fixtures!$DN49,CONCATENATE(JZ$10,", "),""))</f>
        <v/>
      </c>
      <c r="KA49" s="713" t="str">
        <f ca="1">IF(INDIRECT(CONCATENATE($FK$12,Fixtures!KA$25))="","",IF(INDIRECT(CONCATENATE($FK$12,Fixtures!KA$25))=Fixtures!$DN49,CONCATENATE(KA$10,", "),""))</f>
        <v/>
      </c>
      <c r="KB49" s="713" t="str">
        <f ca="1">IF(INDIRECT(CONCATENATE($FK$12,Fixtures!KB$25))="","",IF(INDIRECT(CONCATENATE($FK$12,Fixtures!KB$25))=Fixtures!$DN49,CONCATENATE(KB$10,", "),""))</f>
        <v/>
      </c>
      <c r="KC49" s="713" t="str">
        <f ca="1">IF(INDIRECT(CONCATENATE($FK$12,Fixtures!KC$25))="","",IF(INDIRECT(CONCATENATE($FK$12,Fixtures!KC$25))=Fixtures!$DN49,CONCATENATE(KC$10,", "),""))</f>
        <v/>
      </c>
      <c r="KD49" s="713" t="str">
        <f ca="1">IF(INDIRECT(CONCATENATE($FK$12,Fixtures!KD$25))="","",IF(INDIRECT(CONCATENATE($FK$12,Fixtures!KD$25))=Fixtures!$DN49,CONCATENATE(KD$10,", "),""))</f>
        <v/>
      </c>
      <c r="KE49" s="713" t="str">
        <f ca="1">IF(INDIRECT(CONCATENATE($FK$12,Fixtures!KE$25))="","",IF(INDIRECT(CONCATENATE($FK$12,Fixtures!KE$25))=Fixtures!$DN49,CONCATENATE(KE$10,", "),""))</f>
        <v/>
      </c>
      <c r="KF49" s="713" t="str">
        <f ca="1">IF(INDIRECT(CONCATENATE($FK$12,Fixtures!KF$25))="","",IF(INDIRECT(CONCATENATE($FK$12,Fixtures!KF$25))=Fixtures!$DN49,CONCATENATE(KF$10,", "),""))</f>
        <v/>
      </c>
      <c r="KG49" s="713" t="str">
        <f ca="1">IF(INDIRECT(CONCATENATE($FK$12,Fixtures!KG$25))="","",IF(INDIRECT(CONCATENATE($FK$12,Fixtures!KG$25))=Fixtures!$DN49,CONCATENATE(KG$10,", "),""))</f>
        <v/>
      </c>
      <c r="KH49" s="713" t="str">
        <f ca="1">IF(INDIRECT(CONCATENATE($FK$12,Fixtures!KH$25))="","",IF(INDIRECT(CONCATENATE($FK$12,Fixtures!KH$25))=Fixtures!$DN49,CONCATENATE(KH$10,", "),""))</f>
        <v/>
      </c>
      <c r="KI49" s="713" t="str">
        <f ca="1">IF(INDIRECT(CONCATENATE($FK$12,Fixtures!KI$25))="","",IF(INDIRECT(CONCATENATE($FK$12,Fixtures!KI$25))=Fixtures!$DN49,CONCATENATE(KI$10,", "),""))</f>
        <v/>
      </c>
      <c r="KJ49" s="684" t="str">
        <f ca="1">IF(INDIRECT(CONCATENATE($FK$12,Fixtures!KJ$25))="","",IF(INDIRECT(CONCATENATE($FK$12,Fixtures!KJ$25))=Fixtures!$DN49,CONCATENATE(KJ$10,", "),""))</f>
        <v/>
      </c>
      <c r="KK49" s="685" t="str">
        <f ca="1">IF(INDIRECT(CONCATENATE($FK$12,Fixtures!KK$25))="","",IF(INDIRECT(CONCATENATE($FK$12,Fixtures!KK$25))=Fixtures!$DN49,CONCATENATE(KK$10,", "),""))</f>
        <v/>
      </c>
      <c r="KL49" s="713" t="str">
        <f ca="1">IF(INDIRECT(CONCATENATE($FK$12,Fixtures!KL$25))="","",IF(INDIRECT(CONCATENATE($FK$12,Fixtures!KL$25))=Fixtures!$DN49,CONCATENATE(KL$10,", "),""))</f>
        <v/>
      </c>
      <c r="KM49" s="713" t="str">
        <f ca="1">IF(INDIRECT(CONCATENATE($FK$12,Fixtures!KM$25))="","",IF(INDIRECT(CONCATENATE($FK$12,Fixtures!KM$25))=Fixtures!$DN49,CONCATENATE(KM$10,", "),""))</f>
        <v/>
      </c>
      <c r="KN49" s="713" t="str">
        <f ca="1">IF(INDIRECT(CONCATENATE($FK$12,Fixtures!KN$25))="","",IF(INDIRECT(CONCATENATE($FK$12,Fixtures!KN$25))=Fixtures!$DN49,CONCATENATE(KN$10,", "),""))</f>
        <v/>
      </c>
      <c r="KO49" s="713" t="str">
        <f ca="1">IF(INDIRECT(CONCATENATE($FK$12,Fixtures!KO$25))="","",IF(INDIRECT(CONCATENATE($FK$12,Fixtures!KO$25))=Fixtures!$DN49,CONCATENATE(KO$10,", "),""))</f>
        <v/>
      </c>
      <c r="KP49" s="713" t="str">
        <f ca="1">IF(INDIRECT(CONCATENATE($FK$12,Fixtures!KP$25))="","",IF(INDIRECT(CONCATENATE($FK$12,Fixtures!KP$25))=Fixtures!$DN49,CONCATENATE(KP$10,", "),""))</f>
        <v/>
      </c>
      <c r="KQ49" s="713" t="str">
        <f ca="1">IF(INDIRECT(CONCATENATE($FK$12,Fixtures!KQ$25))="","",IF(INDIRECT(CONCATENATE($FK$12,Fixtures!KQ$25))=Fixtures!$DN49,CONCATENATE(KQ$10,", "),""))</f>
        <v/>
      </c>
      <c r="KR49" s="713" t="str">
        <f ca="1">IF(INDIRECT(CONCATENATE($FK$12,Fixtures!KR$25))="","",IF(INDIRECT(CONCATENATE($FK$12,Fixtures!KR$25))=Fixtures!$DN49,CONCATENATE(KR$10,", "),""))</f>
        <v/>
      </c>
      <c r="KS49" s="713" t="str">
        <f ca="1">IF(INDIRECT(CONCATENATE($FK$12,Fixtures!KS$25))="","",IF(INDIRECT(CONCATENATE($FK$12,Fixtures!KS$25))=Fixtures!$DN49,CONCATENATE(KS$10,", "),""))</f>
        <v/>
      </c>
      <c r="KT49" s="713" t="str">
        <f ca="1">IF(INDIRECT(CONCATENATE($FK$12,Fixtures!KT$25))="","",IF(INDIRECT(CONCATENATE($FK$12,Fixtures!KT$25))=Fixtures!$DN49,CONCATENATE(KT$10,", "),""))</f>
        <v/>
      </c>
      <c r="KU49" s="713" t="str">
        <f ca="1">IF(INDIRECT(CONCATENATE($FK$12,Fixtures!KU$25))="","",IF(INDIRECT(CONCATENATE($FK$12,Fixtures!KU$25))=Fixtures!$DN49,CONCATENATE(KU$10,", "),""))</f>
        <v/>
      </c>
      <c r="KV49" s="713" t="str">
        <f ca="1">IF(INDIRECT(CONCATENATE($FK$12,Fixtures!KV$25))="","",IF(INDIRECT(CONCATENATE($FK$12,Fixtures!KV$25))=Fixtures!$DN49,CONCATENATE(KV$10,", "),""))</f>
        <v/>
      </c>
      <c r="KW49" s="713" t="str">
        <f ca="1">IF(INDIRECT(CONCATENATE($FK$12,Fixtures!KW$25))="","",IF(INDIRECT(CONCATENATE($FK$12,Fixtures!KW$25))=Fixtures!$DN49,CONCATENATE(KW$10,", "),""))</f>
        <v/>
      </c>
      <c r="KX49" s="713" t="str">
        <f ca="1">IF(INDIRECT(CONCATENATE($FK$12,Fixtures!KX$25))="","",IF(INDIRECT(CONCATENATE($FK$12,Fixtures!KX$25))=Fixtures!$DN49,CONCATENATE(KX$10,", "),""))</f>
        <v/>
      </c>
      <c r="KY49" s="713" t="str">
        <f ca="1">IF(INDIRECT(CONCATENATE($FK$12,Fixtures!KY$25))="","",IF(INDIRECT(CONCATENATE($FK$12,Fixtures!KY$25))=Fixtures!$DN49,CONCATENATE(KY$10,", "),""))</f>
        <v/>
      </c>
      <c r="KZ49" s="46"/>
      <c r="LA49" s="46" t="str">
        <f t="shared" ca="1" si="8"/>
        <v/>
      </c>
    </row>
    <row r="50" spans="1:313" ht="28.05" customHeight="1" thickTop="1" thickBot="1">
      <c r="A50" s="471" t="str">
        <f t="shared" si="13"/>
        <v/>
      </c>
      <c r="C50" s="1328" t="str">
        <f t="shared" si="14"/>
        <v/>
      </c>
      <c r="D50" s="1329"/>
      <c r="E50" s="1256" t="str">
        <f t="shared" si="15"/>
        <v/>
      </c>
      <c r="F50" s="1257"/>
      <c r="G50" s="1257"/>
      <c r="H50" s="1257"/>
      <c r="I50" s="1257"/>
      <c r="J50" s="1257"/>
      <c r="K50" s="1257"/>
      <c r="L50" s="1257"/>
      <c r="M50" s="1330"/>
      <c r="N50" s="239" t="str">
        <f t="shared" si="16"/>
        <v/>
      </c>
      <c r="O50" s="12"/>
      <c r="P50" s="1326" t="str">
        <f t="shared" si="25"/>
        <v/>
      </c>
      <c r="Q50" s="1327"/>
      <c r="R50" s="1256" t="str">
        <f t="shared" si="31"/>
        <v/>
      </c>
      <c r="S50" s="1257"/>
      <c r="T50" s="1257"/>
      <c r="U50" s="1257"/>
      <c r="V50" s="1257"/>
      <c r="W50" s="1257"/>
      <c r="X50" s="1257"/>
      <c r="Y50" s="239" t="str">
        <f t="shared" si="27"/>
        <v/>
      </c>
      <c r="Z50" s="239" t="str">
        <f t="shared" si="28"/>
        <v/>
      </c>
      <c r="AA50" s="439" t="str">
        <f t="shared" si="29"/>
        <v/>
      </c>
      <c r="AB50" s="542"/>
      <c r="AC50" s="1253" t="str">
        <f t="shared" si="17"/>
        <v/>
      </c>
      <c r="AD50" s="1166"/>
      <c r="AE50" s="1166"/>
      <c r="AF50" s="1166"/>
      <c r="AG50" s="1166"/>
      <c r="AH50" s="1166"/>
      <c r="AK50">
        <f>SUMIFS(Installations!CS$39:CS$800,Installations!CT$39:CT$800,E50,Installations!HX$39:HX$800,TRUE)</f>
        <v>0</v>
      </c>
      <c r="AL50">
        <f>SUMIFS(Installations!CS$39:CS$800,Installations!CT$39:CT$800,R50,Installations!HX$39:HX$800,TRUE)</f>
        <v>0</v>
      </c>
      <c r="BL50" s="9"/>
      <c r="BM50" s="703" t="str">
        <f t="shared" si="18"/>
        <v/>
      </c>
      <c r="BN50" s="52"/>
      <c r="BO50" s="52"/>
      <c r="BP50" s="52"/>
      <c r="BQ50" s="52"/>
      <c r="BR50" s="52"/>
      <c r="BS50" s="52"/>
      <c r="BT50" s="52"/>
      <c r="BU50" s="414"/>
      <c r="BV50" s="255" t="str">
        <f>IF(CN50&lt;&gt;"Yes","",IFERROR(VLOOKUP(CU50,Existing!A$4:F$364,2,FALSE),""))</f>
        <v/>
      </c>
      <c r="BW50" s="9">
        <v>24</v>
      </c>
      <c r="BX50" s="1313"/>
      <c r="BY50" s="1314"/>
      <c r="BZ50" s="1314"/>
      <c r="CA50" s="1315"/>
      <c r="CB50" s="1310"/>
      <c r="CC50" s="1311"/>
      <c r="CD50" s="1311"/>
      <c r="CE50" s="1312"/>
      <c r="CF50" s="1309"/>
      <c r="CG50" s="1309"/>
      <c r="CH50" s="1309"/>
      <c r="CI50" s="1309"/>
      <c r="CJ50" s="1309"/>
      <c r="CK50" s="1309"/>
      <c r="CL50" s="1309"/>
      <c r="CM50" s="1309"/>
      <c r="CN50" s="1243" t="str">
        <f t="shared" si="0"/>
        <v/>
      </c>
      <c r="CO50" s="1244"/>
      <c r="CP50" s="265" t="str">
        <f>IFERROR(IF(CB50="Existing TLED",CR50*CW50*CY50,VLOOKUP(CU50,Existing!A$3:F$353,6,FALSE)),"")</f>
        <v/>
      </c>
      <c r="CQ50" s="9"/>
      <c r="CR50" s="1343"/>
      <c r="CS50" s="1344"/>
      <c r="CT50" s="9"/>
      <c r="CU50" s="470" t="str">
        <f t="shared" si="21"/>
        <v/>
      </c>
      <c r="CV50" s="471" t="b">
        <f t="shared" si="22"/>
        <v>0</v>
      </c>
      <c r="CW50" s="471" t="str">
        <f t="shared" si="23"/>
        <v/>
      </c>
      <c r="CX50" s="471">
        <f>IFERROR(VLOOKUP(CF50,Lookup!M$100:O$102,3,FALSE),0)</f>
        <v>0</v>
      </c>
      <c r="CY50" s="471">
        <f t="shared" si="9"/>
        <v>1.1100000000000001</v>
      </c>
      <c r="CZ50" s="707" t="b">
        <f t="shared" si="1"/>
        <v>0</v>
      </c>
      <c r="DA50" s="707" t="b">
        <f>IF(CF50&lt;&gt;"",IF(ISERROR(MATCH(CONCATENATE(CB50," - ",CF50),Existing!G$4:G$328,0))=TRUE,FALSE,TRUE),TRUE)</f>
        <v>1</v>
      </c>
      <c r="DB50" s="707" t="b">
        <f t="shared" si="2"/>
        <v>1</v>
      </c>
      <c r="DL50" s="9"/>
      <c r="DM50" s="708" t="s">
        <v>166</v>
      </c>
      <c r="DN50" s="416" t="str">
        <f t="shared" si="3"/>
        <v/>
      </c>
      <c r="DO50" s="52"/>
      <c r="DP50" s="52"/>
      <c r="DQ50" s="52"/>
      <c r="DR50" s="52"/>
      <c r="DS50" s="52"/>
      <c r="DT50" s="262"/>
      <c r="DU50" s="417"/>
      <c r="DV50" s="263" t="str">
        <f t="shared" si="4"/>
        <v/>
      </c>
      <c r="DW50" s="260">
        <v>24</v>
      </c>
      <c r="DX50" s="1306"/>
      <c r="DY50" s="1307"/>
      <c r="DZ50" s="1307"/>
      <c r="EA50" s="1308"/>
      <c r="EB50" s="1306"/>
      <c r="EC50" s="1307"/>
      <c r="ED50" s="1307"/>
      <c r="EE50" s="1308"/>
      <c r="EF50" s="1266"/>
      <c r="EG50" s="1267"/>
      <c r="EH50" s="1306"/>
      <c r="EI50" s="1307"/>
      <c r="EJ50" s="1307"/>
      <c r="EK50" s="1308"/>
      <c r="EL50" s="1263"/>
      <c r="EM50" s="1264"/>
      <c r="EN50" s="1264"/>
      <c r="EO50" s="1265"/>
      <c r="EP50" s="1266"/>
      <c r="EQ50" s="1267"/>
      <c r="ER50" s="1245"/>
      <c r="ES50" s="1246"/>
      <c r="ET50" s="1243" t="str">
        <f t="shared" si="5"/>
        <v/>
      </c>
      <c r="EU50" s="1244"/>
      <c r="EV50" s="1243" t="str">
        <f t="shared" si="30"/>
        <v/>
      </c>
      <c r="EW50" s="1244"/>
      <c r="EX50" s="438"/>
      <c r="EY50" s="261" t="str">
        <f t="shared" si="7"/>
        <v/>
      </c>
      <c r="EZ50" s="261" t="str">
        <f>IFERROR(VLOOKUP(EB50,Lookup!AM$3:AN$13,2,FALSE),"")</f>
        <v/>
      </c>
      <c r="FA50" s="471" t="b">
        <f>IFERROR(IF(VLOOKUP(EB50,Lookup!AM$6:AN$8,2,FALSE)&gt;3,TRUE,FALSE),FALSE)</f>
        <v>0</v>
      </c>
      <c r="FB50" s="471">
        <f t="shared" si="11"/>
        <v>1</v>
      </c>
      <c r="FC50" t="str">
        <f t="shared" ca="1" si="10"/>
        <v/>
      </c>
      <c r="FG50" t="str">
        <f t="shared" ca="1" si="12"/>
        <v/>
      </c>
      <c r="FI50" s="240" t="str">
        <f t="shared" ca="1" si="24"/>
        <v/>
      </c>
      <c r="FJ50" s="240"/>
      <c r="FK50" s="712" t="str">
        <f ca="1">IF(INDIRECT(CONCATENATE($FK$12,Fixtures!FK$25))="","",IF(INDIRECT(CONCATENATE($FK$12,Fixtures!FK$25))=Fixtures!$DN50,CONCATENATE(FK$10,", "),""))</f>
        <v/>
      </c>
      <c r="FL50" s="712" t="str">
        <f ca="1">IF(INDIRECT(CONCATENATE($FK$12,Fixtures!FL$25))="","",IF(INDIRECT(CONCATENATE($FK$12,Fixtures!FL$25))=Fixtures!$DN50,CONCATENATE(FL$10,", "),""))</f>
        <v/>
      </c>
      <c r="FM50" s="712" t="str">
        <f ca="1">IF(INDIRECT(CONCATENATE($FK$12,Fixtures!FM$25))="","",IF(INDIRECT(CONCATENATE($FK$12,Fixtures!FM$25))=Fixtures!$DN50,CONCATENATE(FM$10,", "),""))</f>
        <v/>
      </c>
      <c r="FN50" s="712" t="str">
        <f ca="1">IF(INDIRECT(CONCATENATE($FK$12,Fixtures!FN$25))="","",IF(INDIRECT(CONCATENATE($FK$12,Fixtures!FN$25))=Fixtures!$DN50,CONCATENATE(FN$10,", "),""))</f>
        <v/>
      </c>
      <c r="FO50" s="712" t="str">
        <f ca="1">IF(INDIRECT(CONCATENATE($FK$12,Fixtures!FO$25))="","",IF(INDIRECT(CONCATENATE($FK$12,Fixtures!FO$25))=Fixtures!$DN50,CONCATENATE(FO$10,", "),""))</f>
        <v/>
      </c>
      <c r="FP50" s="712" t="str">
        <f ca="1">IF(INDIRECT(CONCATENATE($FK$12,Fixtures!FP$25))="","",IF(INDIRECT(CONCATENATE($FK$12,Fixtures!FP$25))=Fixtures!$DN50,CONCATENATE(FP$10,", "),""))</f>
        <v/>
      </c>
      <c r="FQ50" s="712" t="str">
        <f ca="1">IF(INDIRECT(CONCATENATE($FK$12,Fixtures!FQ$25))="","",IF(INDIRECT(CONCATENATE($FK$12,Fixtures!FQ$25))=Fixtures!$DN50,CONCATENATE(FQ$10,", "),""))</f>
        <v/>
      </c>
      <c r="FR50" s="712" t="str">
        <f ca="1">IF(INDIRECT(CONCATENATE($FK$12,Fixtures!FR$25))="","",IF(INDIRECT(CONCATENATE($FK$12,Fixtures!FR$25))=Fixtures!$DN50,CONCATENATE(FR$10,", "),""))</f>
        <v/>
      </c>
      <c r="FS50" s="712" t="str">
        <f ca="1">IF(INDIRECT(CONCATENATE($FK$12,Fixtures!FS$25))="","",IF(INDIRECT(CONCATENATE($FK$12,Fixtures!FS$25))=Fixtures!$DN50,CONCATENATE(FS$10,", "),""))</f>
        <v/>
      </c>
      <c r="FT50" s="682" t="str">
        <f ca="1">IF(INDIRECT(CONCATENATE($FK$12,Fixtures!FT$25))="","",IF(INDIRECT(CONCATENATE($FK$12,Fixtures!FT$25))=Fixtures!$DN50,CONCATENATE(FT$10,", "),""))</f>
        <v/>
      </c>
      <c r="FU50" s="683" t="str">
        <f ca="1">IF(INDIRECT(CONCATENATE($FK$12,Fixtures!FU$25))="","",IF(INDIRECT(CONCATENATE($FK$12,Fixtures!FU$25))=Fixtures!$DN50,CONCATENATE(FU$10,", "),""))</f>
        <v/>
      </c>
      <c r="FV50" s="712" t="str">
        <f ca="1">IF(INDIRECT(CONCATENATE($FK$12,Fixtures!FV$25))="","",IF(INDIRECT(CONCATENATE($FK$12,Fixtures!FV$25))=Fixtures!$DN50,CONCATENATE(FV$10,", "),""))</f>
        <v/>
      </c>
      <c r="FW50" s="713" t="str">
        <f ca="1">IF(INDIRECT(CONCATENATE($FK$12,Fixtures!FW$25))="","",IF(INDIRECT(CONCATENATE($FK$12,Fixtures!FW$25))=Fixtures!$DN50,CONCATENATE(FW$10,", "),""))</f>
        <v/>
      </c>
      <c r="FX50" s="713" t="str">
        <f ca="1">IF(INDIRECT(CONCATENATE($FK$12,Fixtures!FX$25))="","",IF(INDIRECT(CONCATENATE($FK$12,Fixtures!FX$25))=Fixtures!$DN50,CONCATENATE(FX$10,", "),""))</f>
        <v/>
      </c>
      <c r="FY50" s="713" t="str">
        <f ca="1">IF(INDIRECT(CONCATENATE($FK$12,Fixtures!FY$25))="","",IF(INDIRECT(CONCATENATE($FK$12,Fixtures!FY$25))=Fixtures!$DN50,CONCATENATE(FY$10,", "),""))</f>
        <v/>
      </c>
      <c r="FZ50" s="713" t="str">
        <f ca="1">IF(INDIRECT(CONCATENATE($FK$12,Fixtures!FZ$25))="","",IF(INDIRECT(CONCATENATE($FK$12,Fixtures!FZ$25))=Fixtures!$DN50,CONCATENATE(FZ$10,", "),""))</f>
        <v/>
      </c>
      <c r="GA50" s="713" t="str">
        <f ca="1">IF(INDIRECT(CONCATENATE($FK$12,Fixtures!GA$25))="","",IF(INDIRECT(CONCATENATE($FK$12,Fixtures!GA$25))=Fixtures!$DN50,CONCATENATE(GA$10,", "),""))</f>
        <v/>
      </c>
      <c r="GB50" s="713" t="str">
        <f ca="1">IF(INDIRECT(CONCATENATE($FK$12,Fixtures!GB$25))="","",IF(INDIRECT(CONCATENATE($FK$12,Fixtures!GB$25))=Fixtures!$DN50,CONCATENATE(GB$10,", "),""))</f>
        <v/>
      </c>
      <c r="GC50" s="713" t="str">
        <f ca="1">IF(INDIRECT(CONCATENATE($FK$12,Fixtures!GC$25))="","",IF(INDIRECT(CONCATENATE($FK$12,Fixtures!GC$25))=Fixtures!$DN50,CONCATENATE(GC$10,", "),""))</f>
        <v/>
      </c>
      <c r="GD50" s="713" t="str">
        <f ca="1">IF(INDIRECT(CONCATENATE($FK$12,Fixtures!GD$25))="","",IF(INDIRECT(CONCATENATE($FK$12,Fixtures!GD$25))=Fixtures!$DN50,CONCATENATE(GD$10,", "),""))</f>
        <v/>
      </c>
      <c r="GE50" s="713" t="str">
        <f ca="1">IF(INDIRECT(CONCATENATE($FK$12,Fixtures!GE$25))="","",IF(INDIRECT(CONCATENATE($FK$12,Fixtures!GE$25))=Fixtures!$DN50,CONCATENATE(GE$10,", "),""))</f>
        <v/>
      </c>
      <c r="GF50" s="713" t="str">
        <f ca="1">IF(INDIRECT(CONCATENATE($FK$12,Fixtures!GF$25))="","",IF(INDIRECT(CONCATENATE($FK$12,Fixtures!GF$25))=Fixtures!$DN50,CONCATENATE(GF$10,", "),""))</f>
        <v/>
      </c>
      <c r="GG50" s="713" t="str">
        <f ca="1">IF(INDIRECT(CONCATENATE($FK$12,Fixtures!GG$25))="","",IF(INDIRECT(CONCATENATE($FK$12,Fixtures!GG$25))=Fixtures!$DN50,CONCATENATE(GG$10,", "),""))</f>
        <v/>
      </c>
      <c r="GH50" s="713" t="str">
        <f ca="1">IF(INDIRECT(CONCATENATE($FK$12,Fixtures!GH$25))="","",IF(INDIRECT(CONCATENATE($FK$12,Fixtures!GH$25))=Fixtures!$DN50,CONCATENATE(GH$10,", "),""))</f>
        <v/>
      </c>
      <c r="GI50" s="684" t="str">
        <f ca="1">IF(INDIRECT(CONCATENATE($FK$12,Fixtures!GI$25))="","",IF(INDIRECT(CONCATENATE($FK$12,Fixtures!GI$25))=Fixtures!$DN50,CONCATENATE(GI$10,", "),""))</f>
        <v/>
      </c>
      <c r="GJ50" s="685" t="str">
        <f ca="1">IF(INDIRECT(CONCATENATE($FK$12,Fixtures!GJ$25))="","",IF(INDIRECT(CONCATENATE($FK$12,Fixtures!GJ$25))=Fixtures!$DN50,CONCATENATE(GJ$10,", "),""))</f>
        <v/>
      </c>
      <c r="GK50" s="713" t="str">
        <f ca="1">IF(INDIRECT(CONCATENATE($FK$12,Fixtures!GK$25))="","",IF(INDIRECT(CONCATENATE($FK$12,Fixtures!GK$25))=Fixtures!$DN50,CONCATENATE(GK$10,", "),""))</f>
        <v/>
      </c>
      <c r="GL50" s="713" t="str">
        <f ca="1">IF(INDIRECT(CONCATENATE($FK$12,Fixtures!GL$25))="","",IF(INDIRECT(CONCATENATE($FK$12,Fixtures!GL$25))=Fixtures!$DN50,CONCATENATE(GL$10,", "),""))</f>
        <v/>
      </c>
      <c r="GM50" s="713" t="str">
        <f ca="1">IF(INDIRECT(CONCATENATE($FK$12,Fixtures!GM$25))="","",IF(INDIRECT(CONCATENATE($FK$12,Fixtures!GM$25))=Fixtures!$DN50,CONCATENATE(GM$10,", "),""))</f>
        <v/>
      </c>
      <c r="GN50" s="713" t="str">
        <f ca="1">IF(INDIRECT(CONCATENATE($FK$12,Fixtures!GN$25))="","",IF(INDIRECT(CONCATENATE($FK$12,Fixtures!GN$25))=Fixtures!$DN50,CONCATENATE(GN$10,", "),""))</f>
        <v/>
      </c>
      <c r="GO50" s="713" t="str">
        <f ca="1">IF(INDIRECT(CONCATENATE($FK$12,Fixtures!GO$25))="","",IF(INDIRECT(CONCATENATE($FK$12,Fixtures!GO$25))=Fixtures!$DN50,CONCATENATE(GO$10,", "),""))</f>
        <v/>
      </c>
      <c r="GP50" s="713" t="str">
        <f ca="1">IF(INDIRECT(CONCATENATE($FK$12,Fixtures!GP$25))="","",IF(INDIRECT(CONCATENATE($FK$12,Fixtures!GP$25))=Fixtures!$DN50,CONCATENATE(GP$10,", "),""))</f>
        <v/>
      </c>
      <c r="GQ50" s="713" t="str">
        <f ca="1">IF(INDIRECT(CONCATENATE($FK$12,Fixtures!GQ$25))="","",IF(INDIRECT(CONCATENATE($FK$12,Fixtures!GQ$25))=Fixtures!$DN50,CONCATENATE(GQ$10,", "),""))</f>
        <v/>
      </c>
      <c r="GR50" s="713" t="str">
        <f ca="1">IF(INDIRECT(CONCATENATE($FK$12,Fixtures!GR$25))="","",IF(INDIRECT(CONCATENATE($FK$12,Fixtures!GR$25))=Fixtures!$DN50,CONCATENATE(GR$10,", "),""))</f>
        <v/>
      </c>
      <c r="GS50" s="713" t="str">
        <f ca="1">IF(INDIRECT(CONCATENATE($FK$12,Fixtures!GS$25))="","",IF(INDIRECT(CONCATENATE($FK$12,Fixtures!GS$25))=Fixtures!$DN50,CONCATENATE(GS$10,", "),""))</f>
        <v/>
      </c>
      <c r="GT50" s="713" t="str">
        <f ca="1">IF(INDIRECT(CONCATENATE($FK$12,Fixtures!GT$25))="","",IF(INDIRECT(CONCATENATE($FK$12,Fixtures!GT$25))=Fixtures!$DN50,CONCATENATE(GT$10,", "),""))</f>
        <v/>
      </c>
      <c r="GU50" s="713" t="str">
        <f ca="1">IF(INDIRECT(CONCATENATE($FK$12,Fixtures!GU$25))="","",IF(INDIRECT(CONCATENATE($FK$12,Fixtures!GU$25))=Fixtures!$DN50,CONCATENATE(GU$10,", "),""))</f>
        <v/>
      </c>
      <c r="GV50" s="713" t="str">
        <f ca="1">IF(INDIRECT(CONCATENATE($FK$12,Fixtures!GV$25))="","",IF(INDIRECT(CONCATENATE($FK$12,Fixtures!GV$25))=Fixtures!$DN50,CONCATENATE(GV$10,", "),""))</f>
        <v/>
      </c>
      <c r="GW50" s="713" t="str">
        <f ca="1">IF(INDIRECT(CONCATENATE($FK$12,Fixtures!GW$25))="","",IF(INDIRECT(CONCATENATE($FK$12,Fixtures!GW$25))=Fixtures!$DN50,CONCATENATE(GW$10,", "),""))</f>
        <v/>
      </c>
      <c r="GX50" s="684" t="str">
        <f ca="1">IF(INDIRECT(CONCATENATE($FK$12,Fixtures!GX$25))="","",IF(INDIRECT(CONCATENATE($FK$12,Fixtures!GX$25))=Fixtures!$DN50,CONCATENATE(GX$10,", "),""))</f>
        <v/>
      </c>
      <c r="GY50" s="685" t="str">
        <f ca="1">IF(INDIRECT(CONCATENATE($FK$12,Fixtures!GY$25))="","",IF(INDIRECT(CONCATENATE($FK$12,Fixtures!GY$25))=Fixtures!$DN50,CONCATENATE(GY$10,", "),""))</f>
        <v/>
      </c>
      <c r="GZ50" s="713" t="str">
        <f ca="1">IF(INDIRECT(CONCATENATE($FK$12,Fixtures!GZ$25))="","",IF(INDIRECT(CONCATENATE($FK$12,Fixtures!GZ$25))=Fixtures!$DN50,CONCATENATE(GZ$10,", "),""))</f>
        <v/>
      </c>
      <c r="HA50" s="713" t="str">
        <f ca="1">IF(INDIRECT(CONCATENATE($FK$12,Fixtures!HA$25))="","",IF(INDIRECT(CONCATENATE($FK$12,Fixtures!HA$25))=Fixtures!$DN50,CONCATENATE(HA$10,", "),""))</f>
        <v/>
      </c>
      <c r="HB50" s="713" t="str">
        <f ca="1">IF(INDIRECT(CONCATENATE($FK$12,Fixtures!HB$25))="","",IF(INDIRECT(CONCATENATE($FK$12,Fixtures!HB$25))=Fixtures!$DN50,CONCATENATE(HB$10,", "),""))</f>
        <v/>
      </c>
      <c r="HC50" s="713" t="str">
        <f ca="1">IF(INDIRECT(CONCATENATE($FK$12,Fixtures!HC$25))="","",IF(INDIRECT(CONCATENATE($FK$12,Fixtures!HC$25))=Fixtures!$DN50,CONCATENATE(HC$10,", "),""))</f>
        <v/>
      </c>
      <c r="HD50" s="713" t="str">
        <f ca="1">IF(INDIRECT(CONCATENATE($FK$12,Fixtures!HD$25))="","",IF(INDIRECT(CONCATENATE($FK$12,Fixtures!HD$25))=Fixtures!$DN50,CONCATENATE(HD$10,", "),""))</f>
        <v/>
      </c>
      <c r="HE50" s="713" t="str">
        <f ca="1">IF(INDIRECT(CONCATENATE($FK$12,Fixtures!HE$25))="","",IF(INDIRECT(CONCATENATE($FK$12,Fixtures!HE$25))=Fixtures!$DN50,CONCATENATE(HE$10,", "),""))</f>
        <v/>
      </c>
      <c r="HF50" s="713" t="str">
        <f ca="1">IF(INDIRECT(CONCATENATE($FK$12,Fixtures!HF$25))="","",IF(INDIRECT(CONCATENATE($FK$12,Fixtures!HF$25))=Fixtures!$DN50,CONCATENATE(HF$10,", "),""))</f>
        <v/>
      </c>
      <c r="HG50" s="713" t="str">
        <f ca="1">IF(INDIRECT(CONCATENATE($FK$12,Fixtures!HG$25))="","",IF(INDIRECT(CONCATENATE($FK$12,Fixtures!HG$25))=Fixtures!$DN50,CONCATENATE(HG$10,", "),""))</f>
        <v/>
      </c>
      <c r="HH50" s="713" t="str">
        <f ca="1">IF(INDIRECT(CONCATENATE($FK$12,Fixtures!HH$25))="","",IF(INDIRECT(CONCATENATE($FK$12,Fixtures!HH$25))=Fixtures!$DN50,CONCATENATE(HH$10,", "),""))</f>
        <v/>
      </c>
      <c r="HI50" s="713" t="str">
        <f ca="1">IF(INDIRECT(CONCATENATE($FK$12,Fixtures!HI$25))="","",IF(INDIRECT(CONCATENATE($FK$12,Fixtures!HI$25))=Fixtures!$DN50,CONCATENATE(HI$10,", "),""))</f>
        <v/>
      </c>
      <c r="HJ50" s="713" t="str">
        <f ca="1">IF(INDIRECT(CONCATENATE($FK$12,Fixtures!HJ$25))="","",IF(INDIRECT(CONCATENATE($FK$12,Fixtures!HJ$25))=Fixtures!$DN50,CONCATENATE(HJ$10,", "),""))</f>
        <v/>
      </c>
      <c r="HK50" s="713" t="str">
        <f ca="1">IF(INDIRECT(CONCATENATE($FK$12,Fixtures!HK$25))="","",IF(INDIRECT(CONCATENATE($FK$12,Fixtures!HK$25))=Fixtures!$DN50,CONCATENATE(HK$10,", "),""))</f>
        <v/>
      </c>
      <c r="HL50" s="713" t="str">
        <f ca="1">IF(INDIRECT(CONCATENATE($FK$12,Fixtures!HL$25))="","",IF(INDIRECT(CONCATENATE($FK$12,Fixtures!HL$25))=Fixtures!$DN50,CONCATENATE(HL$10,", "),""))</f>
        <v/>
      </c>
      <c r="HM50" s="684" t="str">
        <f ca="1">IF(INDIRECT(CONCATENATE($FK$12,Fixtures!HM$25))="","",IF(INDIRECT(CONCATENATE($FK$12,Fixtures!HM$25))=Fixtures!$DN50,CONCATENATE(HM$10,", "),""))</f>
        <v/>
      </c>
      <c r="HN50" s="685" t="str">
        <f ca="1">IF(INDIRECT(CONCATENATE($FK$12,Fixtures!HN$25))="","",IF(INDIRECT(CONCATENATE($FK$12,Fixtures!HN$25))=Fixtures!$DN50,CONCATENATE(HN$10,", "),""))</f>
        <v/>
      </c>
      <c r="HO50" s="713" t="str">
        <f ca="1">IF(INDIRECT(CONCATENATE($FK$12,Fixtures!HO$25))="","",IF(INDIRECT(CONCATENATE($FK$12,Fixtures!HO$25))=Fixtures!$DN50,CONCATENATE(HO$10,", "),""))</f>
        <v/>
      </c>
      <c r="HP50" s="713" t="str">
        <f ca="1">IF(INDIRECT(CONCATENATE($FK$12,Fixtures!HP$25))="","",IF(INDIRECT(CONCATENATE($FK$12,Fixtures!HP$25))=Fixtures!$DN50,CONCATENATE(HP$10,", "),""))</f>
        <v/>
      </c>
      <c r="HQ50" s="713" t="str">
        <f ca="1">IF(INDIRECT(CONCATENATE($FK$12,Fixtures!HQ$25))="","",IF(INDIRECT(CONCATENATE($FK$12,Fixtures!HQ$25))=Fixtures!$DN50,CONCATENATE(HQ$10,", "),""))</f>
        <v/>
      </c>
      <c r="HR50" s="713" t="str">
        <f ca="1">IF(INDIRECT(CONCATENATE($FK$12,Fixtures!HR$25))="","",IF(INDIRECT(CONCATENATE($FK$12,Fixtures!HR$25))=Fixtures!$DN50,CONCATENATE(HR$10,", "),""))</f>
        <v/>
      </c>
      <c r="HS50" s="713" t="str">
        <f ca="1">IF(INDIRECT(CONCATENATE($FK$12,Fixtures!HS$25))="","",IF(INDIRECT(CONCATENATE($FK$12,Fixtures!HS$25))=Fixtures!$DN50,CONCATENATE(HS$10,", "),""))</f>
        <v/>
      </c>
      <c r="HT50" s="713" t="str">
        <f ca="1">IF(INDIRECT(CONCATENATE($FK$12,Fixtures!HT$25))="","",IF(INDIRECT(CONCATENATE($FK$12,Fixtures!HT$25))=Fixtures!$DN50,CONCATENATE(HT$10,", "),""))</f>
        <v/>
      </c>
      <c r="HU50" s="713" t="str">
        <f ca="1">IF(INDIRECT(CONCATENATE($FK$12,Fixtures!HU$25))="","",IF(INDIRECT(CONCATENATE($FK$12,Fixtures!HU$25))=Fixtures!$DN50,CONCATENATE(HU$10,", "),""))</f>
        <v/>
      </c>
      <c r="HV50" s="713" t="str">
        <f ca="1">IF(INDIRECT(CONCATENATE($FK$12,Fixtures!HV$25))="","",IF(INDIRECT(CONCATENATE($FK$12,Fixtures!HV$25))=Fixtures!$DN50,CONCATENATE(HV$10,", "),""))</f>
        <v/>
      </c>
      <c r="HW50" s="713" t="str">
        <f ca="1">IF(INDIRECT(CONCATENATE($FK$12,Fixtures!HW$25))="","",IF(INDIRECT(CONCATENATE($FK$12,Fixtures!HW$25))=Fixtures!$DN50,CONCATENATE(HW$10,", "),""))</f>
        <v/>
      </c>
      <c r="HX50" s="713" t="str">
        <f ca="1">IF(INDIRECT(CONCATENATE($FK$12,Fixtures!HX$25))="","",IF(INDIRECT(CONCATENATE($FK$12,Fixtures!HX$25))=Fixtures!$DN50,CONCATENATE(HX$10,", "),""))</f>
        <v/>
      </c>
      <c r="HY50" s="713" t="str">
        <f ca="1">IF(INDIRECT(CONCATENATE($FK$12,Fixtures!HY$25))="","",IF(INDIRECT(CONCATENATE($FK$12,Fixtures!HY$25))=Fixtures!$DN50,CONCATENATE(HY$10,", "),""))</f>
        <v/>
      </c>
      <c r="HZ50" s="713" t="str">
        <f ca="1">IF(INDIRECT(CONCATENATE($FK$12,Fixtures!HZ$25))="","",IF(INDIRECT(CONCATENATE($FK$12,Fixtures!HZ$25))=Fixtures!$DN50,CONCATENATE(HZ$10,", "),""))</f>
        <v/>
      </c>
      <c r="IA50" s="713" t="str">
        <f ca="1">IF(INDIRECT(CONCATENATE($FK$12,Fixtures!IA$25))="","",IF(INDIRECT(CONCATENATE($FK$12,Fixtures!IA$25))=Fixtures!$DN50,CONCATENATE(IA$10,", "),""))</f>
        <v/>
      </c>
      <c r="IB50" s="684" t="str">
        <f ca="1">IF(INDIRECT(CONCATENATE($FK$12,Fixtures!IB$25))="","",IF(INDIRECT(CONCATENATE($FK$12,Fixtures!IB$25))=Fixtures!$DN50,CONCATENATE(IB$10,", "),""))</f>
        <v/>
      </c>
      <c r="IC50" s="685" t="str">
        <f ca="1">IF(INDIRECT(CONCATENATE($FK$12,Fixtures!IC$25))="","",IF(INDIRECT(CONCATENATE($FK$12,Fixtures!IC$25))=Fixtures!$DN50,CONCATENATE(IC$10,", "),""))</f>
        <v/>
      </c>
      <c r="ID50" s="713" t="str">
        <f ca="1">IF(INDIRECT(CONCATENATE($FK$12,Fixtures!ID$25))="","",IF(INDIRECT(CONCATENATE($FK$12,Fixtures!ID$25))=Fixtures!$DN50,CONCATENATE(ID$10,", "),""))</f>
        <v/>
      </c>
      <c r="IE50" s="713" t="str">
        <f ca="1">IF(INDIRECT(CONCATENATE($FK$12,Fixtures!IE$25))="","",IF(INDIRECT(CONCATENATE($FK$12,Fixtures!IE$25))=Fixtures!$DN50,CONCATENATE(IE$10,", "),""))</f>
        <v/>
      </c>
      <c r="IF50" s="713" t="str">
        <f ca="1">IF(INDIRECT(CONCATENATE($FK$12,Fixtures!IF$25))="","",IF(INDIRECT(CONCATENATE($FK$12,Fixtures!IF$25))=Fixtures!$DN50,CONCATENATE(IF$10,", "),""))</f>
        <v/>
      </c>
      <c r="IG50" s="713" t="str">
        <f ca="1">IF(INDIRECT(CONCATENATE($FK$12,Fixtures!IG$25))="","",IF(INDIRECT(CONCATENATE($FK$12,Fixtures!IG$25))=Fixtures!$DN50,CONCATENATE(IG$10,", "),""))</f>
        <v/>
      </c>
      <c r="IH50" s="713" t="str">
        <f ca="1">IF(INDIRECT(CONCATENATE($FK$12,Fixtures!IH$25))="","",IF(INDIRECT(CONCATENATE($FK$12,Fixtures!IH$25))=Fixtures!$DN50,CONCATENATE(IH$10,", "),""))</f>
        <v/>
      </c>
      <c r="II50" s="713" t="str">
        <f ca="1">IF(INDIRECT(CONCATENATE($FK$12,Fixtures!II$25))="","",IF(INDIRECT(CONCATENATE($FK$12,Fixtures!II$25))=Fixtures!$DN50,CONCATENATE(II$10,", "),""))</f>
        <v/>
      </c>
      <c r="IJ50" s="713" t="str">
        <f ca="1">IF(INDIRECT(CONCATENATE($FK$12,Fixtures!IJ$25))="","",IF(INDIRECT(CONCATENATE($FK$12,Fixtures!IJ$25))=Fixtures!$DN50,CONCATENATE(IJ$10,", "),""))</f>
        <v/>
      </c>
      <c r="IK50" s="713" t="str">
        <f ca="1">IF(INDIRECT(CONCATENATE($FK$12,Fixtures!IK$25))="","",IF(INDIRECT(CONCATENATE($FK$12,Fixtures!IK$25))=Fixtures!$DN50,CONCATENATE(IK$10,", "),""))</f>
        <v/>
      </c>
      <c r="IL50" s="713" t="str">
        <f ca="1">IF(INDIRECT(CONCATENATE($FK$12,Fixtures!IL$25))="","",IF(INDIRECT(CONCATENATE($FK$12,Fixtures!IL$25))=Fixtures!$DN50,CONCATENATE(IL$10,", "),""))</f>
        <v/>
      </c>
      <c r="IM50" s="713" t="str">
        <f ca="1">IF(INDIRECT(CONCATENATE($FK$12,Fixtures!IM$25))="","",IF(INDIRECT(CONCATENATE($FK$12,Fixtures!IM$25))=Fixtures!$DN50,CONCATENATE(IM$10,", "),""))</f>
        <v/>
      </c>
      <c r="IN50" s="713" t="str">
        <f ca="1">IF(INDIRECT(CONCATENATE($FK$12,Fixtures!IN$25))="","",IF(INDIRECT(CONCATENATE($FK$12,Fixtures!IN$25))=Fixtures!$DN50,CONCATENATE(IN$10,", "),""))</f>
        <v/>
      </c>
      <c r="IO50" s="713" t="str">
        <f ca="1">IF(INDIRECT(CONCATENATE($FK$12,Fixtures!IO$25))="","",IF(INDIRECT(CONCATENATE($FK$12,Fixtures!IO$25))=Fixtures!$DN50,CONCATENATE(IO$10,", "),""))</f>
        <v/>
      </c>
      <c r="IP50" s="713" t="str">
        <f ca="1">IF(INDIRECT(CONCATENATE($FK$12,Fixtures!IP$25))="","",IF(INDIRECT(CONCATENATE($FK$12,Fixtures!IP$25))=Fixtures!$DN50,CONCATENATE(IP$10,", "),""))</f>
        <v/>
      </c>
      <c r="IQ50" s="684" t="str">
        <f ca="1">IF(INDIRECT(CONCATENATE($FK$12,Fixtures!IQ$25))="","",IF(INDIRECT(CONCATENATE($FK$12,Fixtures!IQ$25))=Fixtures!$DN50,CONCATENATE(IQ$10,", "),""))</f>
        <v/>
      </c>
      <c r="IR50" s="685" t="str">
        <f ca="1">IF(INDIRECT(CONCATENATE($FK$12,Fixtures!IR$25))="","",IF(INDIRECT(CONCATENATE($FK$12,Fixtures!IR$25))=Fixtures!$DN50,CONCATENATE(IR$10,", "),""))</f>
        <v/>
      </c>
      <c r="IS50" s="713" t="str">
        <f ca="1">IF(INDIRECT(CONCATENATE($FK$12,Fixtures!IS$25))="","",IF(INDIRECT(CONCATENATE($FK$12,Fixtures!IS$25))=Fixtures!$DN50,CONCATENATE(IS$10,", "),""))</f>
        <v/>
      </c>
      <c r="IT50" s="713" t="str">
        <f ca="1">IF(INDIRECT(CONCATENATE($FK$12,Fixtures!IT$25))="","",IF(INDIRECT(CONCATENATE($FK$12,Fixtures!IT$25))=Fixtures!$DN50,CONCATENATE(IT$10,", "),""))</f>
        <v/>
      </c>
      <c r="IU50" s="713" t="str">
        <f ca="1">IF(INDIRECT(CONCATENATE($FK$12,Fixtures!IU$25))="","",IF(INDIRECT(CONCATENATE($FK$12,Fixtures!IU$25))=Fixtures!$DN50,CONCATENATE(IU$10,", "),""))</f>
        <v/>
      </c>
      <c r="IV50" s="713" t="str">
        <f ca="1">IF(INDIRECT(CONCATENATE($FK$12,Fixtures!IV$25))="","",IF(INDIRECT(CONCATENATE($FK$12,Fixtures!IV$25))=Fixtures!$DN50,CONCATENATE(IV$10,", "),""))</f>
        <v/>
      </c>
      <c r="IW50" s="713" t="str">
        <f ca="1">IF(INDIRECT(CONCATENATE($FK$12,Fixtures!IW$25))="","",IF(INDIRECT(CONCATENATE($FK$12,Fixtures!IW$25))=Fixtures!$DN50,CONCATENATE(IW$10,", "),""))</f>
        <v/>
      </c>
      <c r="IX50" s="713" t="str">
        <f ca="1">IF(INDIRECT(CONCATENATE($FK$12,Fixtures!IX$25))="","",IF(INDIRECT(CONCATENATE($FK$12,Fixtures!IX$25))=Fixtures!$DN50,CONCATENATE(IX$10,", "),""))</f>
        <v/>
      </c>
      <c r="IY50" s="713" t="str">
        <f ca="1">IF(INDIRECT(CONCATENATE($FK$12,Fixtures!IY$25))="","",IF(INDIRECT(CONCATENATE($FK$12,Fixtures!IY$25))=Fixtures!$DN50,CONCATENATE(IY$10,", "),""))</f>
        <v/>
      </c>
      <c r="IZ50" s="713" t="str">
        <f ca="1">IF(INDIRECT(CONCATENATE($FK$12,Fixtures!IZ$25))="","",IF(INDIRECT(CONCATENATE($FK$12,Fixtures!IZ$25))=Fixtures!$DN50,CONCATENATE(IZ$10,", "),""))</f>
        <v/>
      </c>
      <c r="JA50" s="713" t="str">
        <f ca="1">IF(INDIRECT(CONCATENATE($FK$12,Fixtures!JA$25))="","",IF(INDIRECT(CONCATENATE($FK$12,Fixtures!JA$25))=Fixtures!$DN50,CONCATENATE(JA$10,", "),""))</f>
        <v/>
      </c>
      <c r="JB50" s="713" t="str">
        <f ca="1">IF(INDIRECT(CONCATENATE($FK$12,Fixtures!JB$25))="","",IF(INDIRECT(CONCATENATE($FK$12,Fixtures!JB$25))=Fixtures!$DN50,CONCATENATE(JB$10,", "),""))</f>
        <v/>
      </c>
      <c r="JC50" s="713" t="str">
        <f ca="1">IF(INDIRECT(CONCATENATE($FK$12,Fixtures!JC$25))="","",IF(INDIRECT(CONCATENATE($FK$12,Fixtures!JC$25))=Fixtures!$DN50,CONCATENATE(JC$10,", "),""))</f>
        <v/>
      </c>
      <c r="JD50" s="713" t="str">
        <f ca="1">IF(INDIRECT(CONCATENATE($FK$12,Fixtures!JD$25))="","",IF(INDIRECT(CONCATENATE($FK$12,Fixtures!JD$25))=Fixtures!$DN50,CONCATENATE(JD$10,", "),""))</f>
        <v/>
      </c>
      <c r="JE50" s="713" t="str">
        <f ca="1">IF(INDIRECT(CONCATENATE($FK$12,Fixtures!JE$25))="","",IF(INDIRECT(CONCATENATE($FK$12,Fixtures!JE$25))=Fixtures!$DN50,CONCATENATE(JE$10,", "),""))</f>
        <v/>
      </c>
      <c r="JF50" s="684" t="str">
        <f ca="1">IF(INDIRECT(CONCATENATE($FK$12,Fixtures!JF$25))="","",IF(INDIRECT(CONCATENATE($FK$12,Fixtures!JF$25))=Fixtures!$DN50,CONCATENATE(JF$10,", "),""))</f>
        <v/>
      </c>
      <c r="JG50" s="685" t="str">
        <f ca="1">IF(INDIRECT(CONCATENATE($FK$12,Fixtures!JG$25))="","",IF(INDIRECT(CONCATENATE($FK$12,Fixtures!JG$25))=Fixtures!$DN50,CONCATENATE(JG$10,", "),""))</f>
        <v/>
      </c>
      <c r="JH50" s="713" t="str">
        <f ca="1">IF(INDIRECT(CONCATENATE($FK$12,Fixtures!JH$25))="","",IF(INDIRECT(CONCATENATE($FK$12,Fixtures!JH$25))=Fixtures!$DN50,CONCATENATE(JH$10,", "),""))</f>
        <v/>
      </c>
      <c r="JI50" s="713" t="str">
        <f ca="1">IF(INDIRECT(CONCATENATE($FK$12,Fixtures!JI$25))="","",IF(INDIRECT(CONCATENATE($FK$12,Fixtures!JI$25))=Fixtures!$DN50,CONCATENATE(JI$10,", "),""))</f>
        <v/>
      </c>
      <c r="JJ50" s="713" t="str">
        <f ca="1">IF(INDIRECT(CONCATENATE($FK$12,Fixtures!JJ$25))="","",IF(INDIRECT(CONCATENATE($FK$12,Fixtures!JJ$25))=Fixtures!$DN50,CONCATENATE(JJ$10,", "),""))</f>
        <v/>
      </c>
      <c r="JK50" s="713" t="str">
        <f ca="1">IF(INDIRECT(CONCATENATE($FK$12,Fixtures!JK$25))="","",IF(INDIRECT(CONCATENATE($FK$12,Fixtures!JK$25))=Fixtures!$DN50,CONCATENATE(JK$10,", "),""))</f>
        <v/>
      </c>
      <c r="JL50" s="713" t="str">
        <f ca="1">IF(INDIRECT(CONCATENATE($FK$12,Fixtures!JL$25))="","",IF(INDIRECT(CONCATENATE($FK$12,Fixtures!JL$25))=Fixtures!$DN50,CONCATENATE(JL$10,", "),""))</f>
        <v/>
      </c>
      <c r="JM50" s="713" t="str">
        <f ca="1">IF(INDIRECT(CONCATENATE($FK$12,Fixtures!JM$25))="","",IF(INDIRECT(CONCATENATE($FK$12,Fixtures!JM$25))=Fixtures!$DN50,CONCATENATE(JM$10,", "),""))</f>
        <v/>
      </c>
      <c r="JN50" s="713" t="str">
        <f ca="1">IF(INDIRECT(CONCATENATE($FK$12,Fixtures!JN$25))="","",IF(INDIRECT(CONCATENATE($FK$12,Fixtures!JN$25))=Fixtures!$DN50,CONCATENATE(JN$10,", "),""))</f>
        <v/>
      </c>
      <c r="JO50" s="713" t="str">
        <f ca="1">IF(INDIRECT(CONCATENATE($FK$12,Fixtures!JO$25))="","",IF(INDIRECT(CONCATENATE($FK$12,Fixtures!JO$25))=Fixtures!$DN50,CONCATENATE(JO$10,", "),""))</f>
        <v/>
      </c>
      <c r="JP50" s="713" t="str">
        <f ca="1">IF(INDIRECT(CONCATENATE($FK$12,Fixtures!JP$25))="","",IF(INDIRECT(CONCATENATE($FK$12,Fixtures!JP$25))=Fixtures!$DN50,CONCATENATE(JP$10,", "),""))</f>
        <v/>
      </c>
      <c r="JQ50" s="713" t="str">
        <f ca="1">IF(INDIRECT(CONCATENATE($FK$12,Fixtures!JQ$25))="","",IF(INDIRECT(CONCATENATE($FK$12,Fixtures!JQ$25))=Fixtures!$DN50,CONCATENATE(JQ$10,", "),""))</f>
        <v/>
      </c>
      <c r="JR50" s="713" t="str">
        <f ca="1">IF(INDIRECT(CONCATENATE($FK$12,Fixtures!JR$25))="","",IF(INDIRECT(CONCATENATE($FK$12,Fixtures!JR$25))=Fixtures!$DN50,CONCATENATE(JR$10,", "),""))</f>
        <v/>
      </c>
      <c r="JS50" s="713" t="str">
        <f ca="1">IF(INDIRECT(CONCATENATE($FK$12,Fixtures!JS$25))="","",IF(INDIRECT(CONCATENATE($FK$12,Fixtures!JS$25))=Fixtures!$DN50,CONCATENATE(JS$10,", "),""))</f>
        <v/>
      </c>
      <c r="JT50" s="713" t="str">
        <f ca="1">IF(INDIRECT(CONCATENATE($FK$12,Fixtures!JT$25))="","",IF(INDIRECT(CONCATENATE($FK$12,Fixtures!JT$25))=Fixtures!$DN50,CONCATENATE(JT$10,", "),""))</f>
        <v/>
      </c>
      <c r="JU50" s="684" t="str">
        <f ca="1">IF(INDIRECT(CONCATENATE($FK$12,Fixtures!JU$25))="","",IF(INDIRECT(CONCATENATE($FK$12,Fixtures!JU$25))=Fixtures!$DN50,CONCATENATE(JU$10,", "),""))</f>
        <v/>
      </c>
      <c r="JV50" s="685" t="str">
        <f ca="1">IF(INDIRECT(CONCATENATE($FK$12,Fixtures!JV$25))="","",IF(INDIRECT(CONCATENATE($FK$12,Fixtures!JV$25))=Fixtures!$DN50,CONCATENATE(JV$10,", "),""))</f>
        <v/>
      </c>
      <c r="JW50" s="713" t="str">
        <f ca="1">IF(INDIRECT(CONCATENATE($FK$12,Fixtures!JW$25))="","",IF(INDIRECT(CONCATENATE($FK$12,Fixtures!JW$25))=Fixtures!$DN50,CONCATENATE(JW$10,", "),""))</f>
        <v/>
      </c>
      <c r="JX50" s="713" t="str">
        <f ca="1">IF(INDIRECT(CONCATENATE($FK$12,Fixtures!JX$25))="","",IF(INDIRECT(CONCATENATE($FK$12,Fixtures!JX$25))=Fixtures!$DN50,CONCATENATE(JX$10,", "),""))</f>
        <v/>
      </c>
      <c r="JY50" s="713" t="str">
        <f ca="1">IF(INDIRECT(CONCATENATE($FK$12,Fixtures!JY$25))="","",IF(INDIRECT(CONCATENATE($FK$12,Fixtures!JY$25))=Fixtures!$DN50,CONCATENATE(JY$10,", "),""))</f>
        <v/>
      </c>
      <c r="JZ50" s="713" t="str">
        <f ca="1">IF(INDIRECT(CONCATENATE($FK$12,Fixtures!JZ$25))="","",IF(INDIRECT(CONCATENATE($FK$12,Fixtures!JZ$25))=Fixtures!$DN50,CONCATENATE(JZ$10,", "),""))</f>
        <v/>
      </c>
      <c r="KA50" s="713" t="str">
        <f ca="1">IF(INDIRECT(CONCATENATE($FK$12,Fixtures!KA$25))="","",IF(INDIRECT(CONCATENATE($FK$12,Fixtures!KA$25))=Fixtures!$DN50,CONCATENATE(KA$10,", "),""))</f>
        <v/>
      </c>
      <c r="KB50" s="713" t="str">
        <f ca="1">IF(INDIRECT(CONCATENATE($FK$12,Fixtures!KB$25))="","",IF(INDIRECT(CONCATENATE($FK$12,Fixtures!KB$25))=Fixtures!$DN50,CONCATENATE(KB$10,", "),""))</f>
        <v/>
      </c>
      <c r="KC50" s="713" t="str">
        <f ca="1">IF(INDIRECT(CONCATENATE($FK$12,Fixtures!KC$25))="","",IF(INDIRECT(CONCATENATE($FK$12,Fixtures!KC$25))=Fixtures!$DN50,CONCATENATE(KC$10,", "),""))</f>
        <v/>
      </c>
      <c r="KD50" s="713" t="str">
        <f ca="1">IF(INDIRECT(CONCATENATE($FK$12,Fixtures!KD$25))="","",IF(INDIRECT(CONCATENATE($FK$12,Fixtures!KD$25))=Fixtures!$DN50,CONCATENATE(KD$10,", "),""))</f>
        <v/>
      </c>
      <c r="KE50" s="713" t="str">
        <f ca="1">IF(INDIRECT(CONCATENATE($FK$12,Fixtures!KE$25))="","",IF(INDIRECT(CONCATENATE($FK$12,Fixtures!KE$25))=Fixtures!$DN50,CONCATENATE(KE$10,", "),""))</f>
        <v/>
      </c>
      <c r="KF50" s="713" t="str">
        <f ca="1">IF(INDIRECT(CONCATENATE($FK$12,Fixtures!KF$25))="","",IF(INDIRECT(CONCATENATE($FK$12,Fixtures!KF$25))=Fixtures!$DN50,CONCATENATE(KF$10,", "),""))</f>
        <v/>
      </c>
      <c r="KG50" s="713" t="str">
        <f ca="1">IF(INDIRECT(CONCATENATE($FK$12,Fixtures!KG$25))="","",IF(INDIRECT(CONCATENATE($FK$12,Fixtures!KG$25))=Fixtures!$DN50,CONCATENATE(KG$10,", "),""))</f>
        <v/>
      </c>
      <c r="KH50" s="713" t="str">
        <f ca="1">IF(INDIRECT(CONCATENATE($FK$12,Fixtures!KH$25))="","",IF(INDIRECT(CONCATENATE($FK$12,Fixtures!KH$25))=Fixtures!$DN50,CONCATENATE(KH$10,", "),""))</f>
        <v/>
      </c>
      <c r="KI50" s="713" t="str">
        <f ca="1">IF(INDIRECT(CONCATENATE($FK$12,Fixtures!KI$25))="","",IF(INDIRECT(CONCATENATE($FK$12,Fixtures!KI$25))=Fixtures!$DN50,CONCATENATE(KI$10,", "),""))</f>
        <v/>
      </c>
      <c r="KJ50" s="684" t="str">
        <f ca="1">IF(INDIRECT(CONCATENATE($FK$12,Fixtures!KJ$25))="","",IF(INDIRECT(CONCATENATE($FK$12,Fixtures!KJ$25))=Fixtures!$DN50,CONCATENATE(KJ$10,", "),""))</f>
        <v/>
      </c>
      <c r="KK50" s="685" t="str">
        <f ca="1">IF(INDIRECT(CONCATENATE($FK$12,Fixtures!KK$25))="","",IF(INDIRECT(CONCATENATE($FK$12,Fixtures!KK$25))=Fixtures!$DN50,CONCATENATE(KK$10,", "),""))</f>
        <v/>
      </c>
      <c r="KL50" s="713" t="str">
        <f ca="1">IF(INDIRECT(CONCATENATE($FK$12,Fixtures!KL$25))="","",IF(INDIRECT(CONCATENATE($FK$12,Fixtures!KL$25))=Fixtures!$DN50,CONCATENATE(KL$10,", "),""))</f>
        <v/>
      </c>
      <c r="KM50" s="713" t="str">
        <f ca="1">IF(INDIRECT(CONCATENATE($FK$12,Fixtures!KM$25))="","",IF(INDIRECT(CONCATENATE($FK$12,Fixtures!KM$25))=Fixtures!$DN50,CONCATENATE(KM$10,", "),""))</f>
        <v/>
      </c>
      <c r="KN50" s="713" t="str">
        <f ca="1">IF(INDIRECT(CONCATENATE($FK$12,Fixtures!KN$25))="","",IF(INDIRECT(CONCATENATE($FK$12,Fixtures!KN$25))=Fixtures!$DN50,CONCATENATE(KN$10,", "),""))</f>
        <v/>
      </c>
      <c r="KO50" s="713" t="str">
        <f ca="1">IF(INDIRECT(CONCATENATE($FK$12,Fixtures!KO$25))="","",IF(INDIRECT(CONCATENATE($FK$12,Fixtures!KO$25))=Fixtures!$DN50,CONCATENATE(KO$10,", "),""))</f>
        <v/>
      </c>
      <c r="KP50" s="713" t="str">
        <f ca="1">IF(INDIRECT(CONCATENATE($FK$12,Fixtures!KP$25))="","",IF(INDIRECT(CONCATENATE($FK$12,Fixtures!KP$25))=Fixtures!$DN50,CONCATENATE(KP$10,", "),""))</f>
        <v/>
      </c>
      <c r="KQ50" s="713" t="str">
        <f ca="1">IF(INDIRECT(CONCATENATE($FK$12,Fixtures!KQ$25))="","",IF(INDIRECT(CONCATENATE($FK$12,Fixtures!KQ$25))=Fixtures!$DN50,CONCATENATE(KQ$10,", "),""))</f>
        <v/>
      </c>
      <c r="KR50" s="713" t="str">
        <f ca="1">IF(INDIRECT(CONCATENATE($FK$12,Fixtures!KR$25))="","",IF(INDIRECT(CONCATENATE($FK$12,Fixtures!KR$25))=Fixtures!$DN50,CONCATENATE(KR$10,", "),""))</f>
        <v/>
      </c>
      <c r="KS50" s="713" t="str">
        <f ca="1">IF(INDIRECT(CONCATENATE($FK$12,Fixtures!KS$25))="","",IF(INDIRECT(CONCATENATE($FK$12,Fixtures!KS$25))=Fixtures!$DN50,CONCATENATE(KS$10,", "),""))</f>
        <v/>
      </c>
      <c r="KT50" s="713" t="str">
        <f ca="1">IF(INDIRECT(CONCATENATE($FK$12,Fixtures!KT$25))="","",IF(INDIRECT(CONCATENATE($FK$12,Fixtures!KT$25))=Fixtures!$DN50,CONCATENATE(KT$10,", "),""))</f>
        <v/>
      </c>
      <c r="KU50" s="713" t="str">
        <f ca="1">IF(INDIRECT(CONCATENATE($FK$12,Fixtures!KU$25))="","",IF(INDIRECT(CONCATENATE($FK$12,Fixtures!KU$25))=Fixtures!$DN50,CONCATENATE(KU$10,", "),""))</f>
        <v/>
      </c>
      <c r="KV50" s="713" t="str">
        <f ca="1">IF(INDIRECT(CONCATENATE($FK$12,Fixtures!KV$25))="","",IF(INDIRECT(CONCATENATE($FK$12,Fixtures!KV$25))=Fixtures!$DN50,CONCATENATE(KV$10,", "),""))</f>
        <v/>
      </c>
      <c r="KW50" s="713" t="str">
        <f ca="1">IF(INDIRECT(CONCATENATE($FK$12,Fixtures!KW$25))="","",IF(INDIRECT(CONCATENATE($FK$12,Fixtures!KW$25))=Fixtures!$DN50,CONCATENATE(KW$10,", "),""))</f>
        <v/>
      </c>
      <c r="KX50" s="713" t="str">
        <f ca="1">IF(INDIRECT(CONCATENATE($FK$12,Fixtures!KX$25))="","",IF(INDIRECT(CONCATENATE($FK$12,Fixtures!KX$25))=Fixtures!$DN50,CONCATENATE(KX$10,", "),""))</f>
        <v/>
      </c>
      <c r="KY50" s="713" t="str">
        <f ca="1">IF(INDIRECT(CONCATENATE($FK$12,Fixtures!KY$25))="","",IF(INDIRECT(CONCATENATE($FK$12,Fixtures!KY$25))=Fixtures!$DN50,CONCATENATE(KY$10,", "),""))</f>
        <v/>
      </c>
      <c r="KZ50" s="46"/>
      <c r="LA50" s="46" t="str">
        <f t="shared" ca="1" si="8"/>
        <v/>
      </c>
    </row>
    <row r="51" spans="1:313" ht="28.05" customHeight="1" thickTop="1" thickBot="1">
      <c r="A51" s="471" t="str">
        <f t="shared" si="13"/>
        <v/>
      </c>
      <c r="C51" s="1328" t="str">
        <f t="shared" si="14"/>
        <v/>
      </c>
      <c r="D51" s="1329"/>
      <c r="E51" s="1256" t="str">
        <f t="shared" si="15"/>
        <v/>
      </c>
      <c r="F51" s="1257"/>
      <c r="G51" s="1257"/>
      <c r="H51" s="1257"/>
      <c r="I51" s="1257"/>
      <c r="J51" s="1257"/>
      <c r="K51" s="1257"/>
      <c r="L51" s="1257"/>
      <c r="M51" s="1330"/>
      <c r="N51" s="239" t="str">
        <f t="shared" si="16"/>
        <v/>
      </c>
      <c r="O51" s="12"/>
      <c r="P51" s="1326" t="str">
        <f t="shared" si="25"/>
        <v/>
      </c>
      <c r="Q51" s="1327"/>
      <c r="R51" s="1256" t="str">
        <f t="shared" si="31"/>
        <v/>
      </c>
      <c r="S51" s="1257"/>
      <c r="T51" s="1257"/>
      <c r="U51" s="1257"/>
      <c r="V51" s="1257"/>
      <c r="W51" s="1257"/>
      <c r="X51" s="1257"/>
      <c r="Y51" s="239" t="str">
        <f t="shared" si="27"/>
        <v/>
      </c>
      <c r="Z51" s="239" t="str">
        <f t="shared" si="28"/>
        <v/>
      </c>
      <c r="AA51" s="439" t="str">
        <f t="shared" si="29"/>
        <v/>
      </c>
      <c r="AB51" s="542"/>
      <c r="AC51" s="1253" t="str">
        <f t="shared" si="17"/>
        <v/>
      </c>
      <c r="AD51" s="1166"/>
      <c r="AE51" s="1166"/>
      <c r="AF51" s="1166"/>
      <c r="AG51" s="1166"/>
      <c r="AH51" s="1166"/>
      <c r="AK51">
        <f>SUMIFS(Installations!CS$39:CS$800,Installations!CT$39:CT$800,E51,Installations!HX$39:HX$800,TRUE)</f>
        <v>0</v>
      </c>
      <c r="AL51">
        <f>SUMIFS(Installations!CS$39:CS$800,Installations!CT$39:CT$800,R51,Installations!HX$39:HX$800,TRUE)</f>
        <v>0</v>
      </c>
      <c r="BL51" s="9"/>
      <c r="BM51" s="703" t="str">
        <f t="shared" si="18"/>
        <v/>
      </c>
      <c r="BN51" s="52"/>
      <c r="BO51" s="52"/>
      <c r="BP51" s="52"/>
      <c r="BQ51" s="52"/>
      <c r="BR51" s="52"/>
      <c r="BS51" s="52"/>
      <c r="BT51" s="52"/>
      <c r="BU51" s="414"/>
      <c r="BV51" s="255" t="str">
        <f>IF(CN51&lt;&gt;"Yes","",IFERROR(VLOOKUP(CU51,Existing!A$4:F$364,2,FALSE),""))</f>
        <v/>
      </c>
      <c r="BW51" s="9">
        <v>25</v>
      </c>
      <c r="BX51" s="1313"/>
      <c r="BY51" s="1314"/>
      <c r="BZ51" s="1314"/>
      <c r="CA51" s="1315"/>
      <c r="CB51" s="1310"/>
      <c r="CC51" s="1311"/>
      <c r="CD51" s="1311"/>
      <c r="CE51" s="1312"/>
      <c r="CF51" s="1309"/>
      <c r="CG51" s="1309"/>
      <c r="CH51" s="1309"/>
      <c r="CI51" s="1309"/>
      <c r="CJ51" s="1309"/>
      <c r="CK51" s="1309"/>
      <c r="CL51" s="1309"/>
      <c r="CM51" s="1309"/>
      <c r="CN51" s="1243" t="str">
        <f t="shared" si="0"/>
        <v/>
      </c>
      <c r="CO51" s="1244"/>
      <c r="CP51" s="265" t="str">
        <f>IFERROR(IF(CB51="Existing TLED",CR51*CW51*CY51,VLOOKUP(CU51,Existing!A$3:F$353,6,FALSE)),"")</f>
        <v/>
      </c>
      <c r="CQ51" s="9"/>
      <c r="CR51" s="1343"/>
      <c r="CS51" s="1344"/>
      <c r="CT51" s="9"/>
      <c r="CU51" s="470" t="str">
        <f t="shared" si="21"/>
        <v/>
      </c>
      <c r="CV51" s="471" t="b">
        <f t="shared" si="22"/>
        <v>0</v>
      </c>
      <c r="CW51" s="471" t="str">
        <f t="shared" si="23"/>
        <v/>
      </c>
      <c r="CX51" s="471">
        <f>IFERROR(VLOOKUP(CF51,Lookup!M$100:O$102,3,FALSE),0)</f>
        <v>0</v>
      </c>
      <c r="CY51" s="471">
        <f t="shared" si="9"/>
        <v>1.1100000000000001</v>
      </c>
      <c r="CZ51" s="707" t="b">
        <f t="shared" si="1"/>
        <v>0</v>
      </c>
      <c r="DA51" s="707" t="b">
        <f>IF(CF51&lt;&gt;"",IF(ISERROR(MATCH(CONCATENATE(CB51," - ",CF51),Existing!G$4:G$328,0))=TRUE,FALSE,TRUE),TRUE)</f>
        <v>1</v>
      </c>
      <c r="DB51" s="707" t="b">
        <f t="shared" si="2"/>
        <v>1</v>
      </c>
      <c r="DL51" s="9"/>
      <c r="DM51" s="708" t="s">
        <v>166</v>
      </c>
      <c r="DN51" s="416" t="str">
        <f t="shared" si="3"/>
        <v/>
      </c>
      <c r="DO51" s="52"/>
      <c r="DP51" s="52"/>
      <c r="DQ51" s="52"/>
      <c r="DR51" s="52"/>
      <c r="DS51" s="52"/>
      <c r="DT51" s="262"/>
      <c r="DU51" s="417"/>
      <c r="DV51" s="263" t="str">
        <f t="shared" si="4"/>
        <v/>
      </c>
      <c r="DW51" s="260">
        <v>25</v>
      </c>
      <c r="DX51" s="1306"/>
      <c r="DY51" s="1307"/>
      <c r="DZ51" s="1307"/>
      <c r="EA51" s="1308"/>
      <c r="EB51" s="1306"/>
      <c r="EC51" s="1307"/>
      <c r="ED51" s="1307"/>
      <c r="EE51" s="1308"/>
      <c r="EF51" s="1266"/>
      <c r="EG51" s="1267"/>
      <c r="EH51" s="1306"/>
      <c r="EI51" s="1307"/>
      <c r="EJ51" s="1307"/>
      <c r="EK51" s="1308"/>
      <c r="EL51" s="1263"/>
      <c r="EM51" s="1264"/>
      <c r="EN51" s="1264"/>
      <c r="EO51" s="1265"/>
      <c r="EP51" s="1266"/>
      <c r="EQ51" s="1267"/>
      <c r="ER51" s="1245"/>
      <c r="ES51" s="1246"/>
      <c r="ET51" s="1243" t="str">
        <f t="shared" si="5"/>
        <v/>
      </c>
      <c r="EU51" s="1244"/>
      <c r="EV51" s="1243" t="str">
        <f t="shared" si="30"/>
        <v/>
      </c>
      <c r="EW51" s="1244"/>
      <c r="EX51" s="438"/>
      <c r="EY51" s="261" t="str">
        <f t="shared" si="7"/>
        <v/>
      </c>
      <c r="EZ51" s="261" t="str">
        <f>IFERROR(VLOOKUP(EB51,Lookup!AM$3:AN$13,2,FALSE),"")</f>
        <v/>
      </c>
      <c r="FA51" s="471" t="b">
        <f>IFERROR(IF(VLOOKUP(EB51,Lookup!AM$6:AN$8,2,FALSE)&gt;3,TRUE,FALSE),FALSE)</f>
        <v>0</v>
      </c>
      <c r="FB51" s="471">
        <f t="shared" si="11"/>
        <v>1</v>
      </c>
      <c r="FC51" t="str">
        <f t="shared" ca="1" si="10"/>
        <v/>
      </c>
      <c r="FG51" t="str">
        <f t="shared" ca="1" si="12"/>
        <v/>
      </c>
      <c r="FI51" s="240" t="str">
        <f t="shared" ca="1" si="24"/>
        <v/>
      </c>
      <c r="FJ51" s="240"/>
      <c r="FK51" s="712" t="str">
        <f ca="1">IF(INDIRECT(CONCATENATE($FK$12,Fixtures!FK$25))="","",IF(INDIRECT(CONCATENATE($FK$12,Fixtures!FK$25))=Fixtures!$DN51,CONCATENATE(FK$10,", "),""))</f>
        <v/>
      </c>
      <c r="FL51" s="712" t="str">
        <f ca="1">IF(INDIRECT(CONCATENATE($FK$12,Fixtures!FL$25))="","",IF(INDIRECT(CONCATENATE($FK$12,Fixtures!FL$25))=Fixtures!$DN51,CONCATENATE(FL$10,", "),""))</f>
        <v/>
      </c>
      <c r="FM51" s="712" t="str">
        <f ca="1">IF(INDIRECT(CONCATENATE($FK$12,Fixtures!FM$25))="","",IF(INDIRECT(CONCATENATE($FK$12,Fixtures!FM$25))=Fixtures!$DN51,CONCATENATE(FM$10,", "),""))</f>
        <v/>
      </c>
      <c r="FN51" s="712" t="str">
        <f ca="1">IF(INDIRECT(CONCATENATE($FK$12,Fixtures!FN$25))="","",IF(INDIRECT(CONCATENATE($FK$12,Fixtures!FN$25))=Fixtures!$DN51,CONCATENATE(FN$10,", "),""))</f>
        <v/>
      </c>
      <c r="FO51" s="712" t="str">
        <f ca="1">IF(INDIRECT(CONCATENATE($FK$12,Fixtures!FO$25))="","",IF(INDIRECT(CONCATENATE($FK$12,Fixtures!FO$25))=Fixtures!$DN51,CONCATENATE(FO$10,", "),""))</f>
        <v/>
      </c>
      <c r="FP51" s="712" t="str">
        <f ca="1">IF(INDIRECT(CONCATENATE($FK$12,Fixtures!FP$25))="","",IF(INDIRECT(CONCATENATE($FK$12,Fixtures!FP$25))=Fixtures!$DN51,CONCATENATE(FP$10,", "),""))</f>
        <v/>
      </c>
      <c r="FQ51" s="712" t="str">
        <f ca="1">IF(INDIRECT(CONCATENATE($FK$12,Fixtures!FQ$25))="","",IF(INDIRECT(CONCATENATE($FK$12,Fixtures!FQ$25))=Fixtures!$DN51,CONCATENATE(FQ$10,", "),""))</f>
        <v/>
      </c>
      <c r="FR51" s="712" t="str">
        <f ca="1">IF(INDIRECT(CONCATENATE($FK$12,Fixtures!FR$25))="","",IF(INDIRECT(CONCATENATE($FK$12,Fixtures!FR$25))=Fixtures!$DN51,CONCATENATE(FR$10,", "),""))</f>
        <v/>
      </c>
      <c r="FS51" s="712" t="str">
        <f ca="1">IF(INDIRECT(CONCATENATE($FK$12,Fixtures!FS$25))="","",IF(INDIRECT(CONCATENATE($FK$12,Fixtures!FS$25))=Fixtures!$DN51,CONCATENATE(FS$10,", "),""))</f>
        <v/>
      </c>
      <c r="FT51" s="682" t="str">
        <f ca="1">IF(INDIRECT(CONCATENATE($FK$12,Fixtures!FT$25))="","",IF(INDIRECT(CONCATENATE($FK$12,Fixtures!FT$25))=Fixtures!$DN51,CONCATENATE(FT$10,", "),""))</f>
        <v/>
      </c>
      <c r="FU51" s="683" t="str">
        <f ca="1">IF(INDIRECT(CONCATENATE($FK$12,Fixtures!FU$25))="","",IF(INDIRECT(CONCATENATE($FK$12,Fixtures!FU$25))=Fixtures!$DN51,CONCATENATE(FU$10,", "),""))</f>
        <v/>
      </c>
      <c r="FV51" s="712" t="str">
        <f ca="1">IF(INDIRECT(CONCATENATE($FK$12,Fixtures!FV$25))="","",IF(INDIRECT(CONCATENATE($FK$12,Fixtures!FV$25))=Fixtures!$DN51,CONCATENATE(FV$10,", "),""))</f>
        <v/>
      </c>
      <c r="FW51" s="713" t="str">
        <f ca="1">IF(INDIRECT(CONCATENATE($FK$12,Fixtures!FW$25))="","",IF(INDIRECT(CONCATENATE($FK$12,Fixtures!FW$25))=Fixtures!$DN51,CONCATENATE(FW$10,", "),""))</f>
        <v/>
      </c>
      <c r="FX51" s="713" t="str">
        <f ca="1">IF(INDIRECT(CONCATENATE($FK$12,Fixtures!FX$25))="","",IF(INDIRECT(CONCATENATE($FK$12,Fixtures!FX$25))=Fixtures!$DN51,CONCATENATE(FX$10,", "),""))</f>
        <v/>
      </c>
      <c r="FY51" s="713" t="str">
        <f ca="1">IF(INDIRECT(CONCATENATE($FK$12,Fixtures!FY$25))="","",IF(INDIRECT(CONCATENATE($FK$12,Fixtures!FY$25))=Fixtures!$DN51,CONCATENATE(FY$10,", "),""))</f>
        <v/>
      </c>
      <c r="FZ51" s="713" t="str">
        <f ca="1">IF(INDIRECT(CONCATENATE($FK$12,Fixtures!FZ$25))="","",IF(INDIRECT(CONCATENATE($FK$12,Fixtures!FZ$25))=Fixtures!$DN51,CONCATENATE(FZ$10,", "),""))</f>
        <v/>
      </c>
      <c r="GA51" s="713" t="str">
        <f ca="1">IF(INDIRECT(CONCATENATE($FK$12,Fixtures!GA$25))="","",IF(INDIRECT(CONCATENATE($FK$12,Fixtures!GA$25))=Fixtures!$DN51,CONCATENATE(GA$10,", "),""))</f>
        <v/>
      </c>
      <c r="GB51" s="713" t="str">
        <f ca="1">IF(INDIRECT(CONCATENATE($FK$12,Fixtures!GB$25))="","",IF(INDIRECT(CONCATENATE($FK$12,Fixtures!GB$25))=Fixtures!$DN51,CONCATENATE(GB$10,", "),""))</f>
        <v/>
      </c>
      <c r="GC51" s="713" t="str">
        <f ca="1">IF(INDIRECT(CONCATENATE($FK$12,Fixtures!GC$25))="","",IF(INDIRECT(CONCATENATE($FK$12,Fixtures!GC$25))=Fixtures!$DN51,CONCATENATE(GC$10,", "),""))</f>
        <v/>
      </c>
      <c r="GD51" s="713" t="str">
        <f ca="1">IF(INDIRECT(CONCATENATE($FK$12,Fixtures!GD$25))="","",IF(INDIRECT(CONCATENATE($FK$12,Fixtures!GD$25))=Fixtures!$DN51,CONCATENATE(GD$10,", "),""))</f>
        <v/>
      </c>
      <c r="GE51" s="713" t="str">
        <f ca="1">IF(INDIRECT(CONCATENATE($FK$12,Fixtures!GE$25))="","",IF(INDIRECT(CONCATENATE($FK$12,Fixtures!GE$25))=Fixtures!$DN51,CONCATENATE(GE$10,", "),""))</f>
        <v/>
      </c>
      <c r="GF51" s="713" t="str">
        <f ca="1">IF(INDIRECT(CONCATENATE($FK$12,Fixtures!GF$25))="","",IF(INDIRECT(CONCATENATE($FK$12,Fixtures!GF$25))=Fixtures!$DN51,CONCATENATE(GF$10,", "),""))</f>
        <v/>
      </c>
      <c r="GG51" s="713" t="str">
        <f ca="1">IF(INDIRECT(CONCATENATE($FK$12,Fixtures!GG$25))="","",IF(INDIRECT(CONCATENATE($FK$12,Fixtures!GG$25))=Fixtures!$DN51,CONCATENATE(GG$10,", "),""))</f>
        <v/>
      </c>
      <c r="GH51" s="713" t="str">
        <f ca="1">IF(INDIRECT(CONCATENATE($FK$12,Fixtures!GH$25))="","",IF(INDIRECT(CONCATENATE($FK$12,Fixtures!GH$25))=Fixtures!$DN51,CONCATENATE(GH$10,", "),""))</f>
        <v/>
      </c>
      <c r="GI51" s="684" t="str">
        <f ca="1">IF(INDIRECT(CONCATENATE($FK$12,Fixtures!GI$25))="","",IF(INDIRECT(CONCATENATE($FK$12,Fixtures!GI$25))=Fixtures!$DN51,CONCATENATE(GI$10,", "),""))</f>
        <v/>
      </c>
      <c r="GJ51" s="685" t="str">
        <f ca="1">IF(INDIRECT(CONCATENATE($FK$12,Fixtures!GJ$25))="","",IF(INDIRECT(CONCATENATE($FK$12,Fixtures!GJ$25))=Fixtures!$DN51,CONCATENATE(GJ$10,", "),""))</f>
        <v/>
      </c>
      <c r="GK51" s="713" t="str">
        <f ca="1">IF(INDIRECT(CONCATENATE($FK$12,Fixtures!GK$25))="","",IF(INDIRECT(CONCATENATE($FK$12,Fixtures!GK$25))=Fixtures!$DN51,CONCATENATE(GK$10,", "),""))</f>
        <v/>
      </c>
      <c r="GL51" s="713" t="str">
        <f ca="1">IF(INDIRECT(CONCATENATE($FK$12,Fixtures!GL$25))="","",IF(INDIRECT(CONCATENATE($FK$12,Fixtures!GL$25))=Fixtures!$DN51,CONCATENATE(GL$10,", "),""))</f>
        <v/>
      </c>
      <c r="GM51" s="713" t="str">
        <f ca="1">IF(INDIRECT(CONCATENATE($FK$12,Fixtures!GM$25))="","",IF(INDIRECT(CONCATENATE($FK$12,Fixtures!GM$25))=Fixtures!$DN51,CONCATENATE(GM$10,", "),""))</f>
        <v/>
      </c>
      <c r="GN51" s="713" t="str">
        <f ca="1">IF(INDIRECT(CONCATENATE($FK$12,Fixtures!GN$25))="","",IF(INDIRECT(CONCATENATE($FK$12,Fixtures!GN$25))=Fixtures!$DN51,CONCATENATE(GN$10,", "),""))</f>
        <v/>
      </c>
      <c r="GO51" s="713" t="str">
        <f ca="1">IF(INDIRECT(CONCATENATE($FK$12,Fixtures!GO$25))="","",IF(INDIRECT(CONCATENATE($FK$12,Fixtures!GO$25))=Fixtures!$DN51,CONCATENATE(GO$10,", "),""))</f>
        <v/>
      </c>
      <c r="GP51" s="713" t="str">
        <f ca="1">IF(INDIRECT(CONCATENATE($FK$12,Fixtures!GP$25))="","",IF(INDIRECT(CONCATENATE($FK$12,Fixtures!GP$25))=Fixtures!$DN51,CONCATENATE(GP$10,", "),""))</f>
        <v/>
      </c>
      <c r="GQ51" s="713" t="str">
        <f ca="1">IF(INDIRECT(CONCATENATE($FK$12,Fixtures!GQ$25))="","",IF(INDIRECT(CONCATENATE($FK$12,Fixtures!GQ$25))=Fixtures!$DN51,CONCATENATE(GQ$10,", "),""))</f>
        <v/>
      </c>
      <c r="GR51" s="713" t="str">
        <f ca="1">IF(INDIRECT(CONCATENATE($FK$12,Fixtures!GR$25))="","",IF(INDIRECT(CONCATENATE($FK$12,Fixtures!GR$25))=Fixtures!$DN51,CONCATENATE(GR$10,", "),""))</f>
        <v/>
      </c>
      <c r="GS51" s="713" t="str">
        <f ca="1">IF(INDIRECT(CONCATENATE($FK$12,Fixtures!GS$25))="","",IF(INDIRECT(CONCATENATE($FK$12,Fixtures!GS$25))=Fixtures!$DN51,CONCATENATE(GS$10,", "),""))</f>
        <v/>
      </c>
      <c r="GT51" s="713" t="str">
        <f ca="1">IF(INDIRECT(CONCATENATE($FK$12,Fixtures!GT$25))="","",IF(INDIRECT(CONCATENATE($FK$12,Fixtures!GT$25))=Fixtures!$DN51,CONCATENATE(GT$10,", "),""))</f>
        <v/>
      </c>
      <c r="GU51" s="713" t="str">
        <f ca="1">IF(INDIRECT(CONCATENATE($FK$12,Fixtures!GU$25))="","",IF(INDIRECT(CONCATENATE($FK$12,Fixtures!GU$25))=Fixtures!$DN51,CONCATENATE(GU$10,", "),""))</f>
        <v/>
      </c>
      <c r="GV51" s="713" t="str">
        <f ca="1">IF(INDIRECT(CONCATENATE($FK$12,Fixtures!GV$25))="","",IF(INDIRECT(CONCATENATE($FK$12,Fixtures!GV$25))=Fixtures!$DN51,CONCATENATE(GV$10,", "),""))</f>
        <v/>
      </c>
      <c r="GW51" s="713" t="str">
        <f ca="1">IF(INDIRECT(CONCATENATE($FK$12,Fixtures!GW$25))="","",IF(INDIRECT(CONCATENATE($FK$12,Fixtures!GW$25))=Fixtures!$DN51,CONCATENATE(GW$10,", "),""))</f>
        <v/>
      </c>
      <c r="GX51" s="684" t="str">
        <f ca="1">IF(INDIRECT(CONCATENATE($FK$12,Fixtures!GX$25))="","",IF(INDIRECT(CONCATENATE($FK$12,Fixtures!GX$25))=Fixtures!$DN51,CONCATENATE(GX$10,", "),""))</f>
        <v/>
      </c>
      <c r="GY51" s="685" t="str">
        <f ca="1">IF(INDIRECT(CONCATENATE($FK$12,Fixtures!GY$25))="","",IF(INDIRECT(CONCATENATE($FK$12,Fixtures!GY$25))=Fixtures!$DN51,CONCATENATE(GY$10,", "),""))</f>
        <v/>
      </c>
      <c r="GZ51" s="713" t="str">
        <f ca="1">IF(INDIRECT(CONCATENATE($FK$12,Fixtures!GZ$25))="","",IF(INDIRECT(CONCATENATE($FK$12,Fixtures!GZ$25))=Fixtures!$DN51,CONCATENATE(GZ$10,", "),""))</f>
        <v/>
      </c>
      <c r="HA51" s="713" t="str">
        <f ca="1">IF(INDIRECT(CONCATENATE($FK$12,Fixtures!HA$25))="","",IF(INDIRECT(CONCATENATE($FK$12,Fixtures!HA$25))=Fixtures!$DN51,CONCATENATE(HA$10,", "),""))</f>
        <v/>
      </c>
      <c r="HB51" s="713" t="str">
        <f ca="1">IF(INDIRECT(CONCATENATE($FK$12,Fixtures!HB$25))="","",IF(INDIRECT(CONCATENATE($FK$12,Fixtures!HB$25))=Fixtures!$DN51,CONCATENATE(HB$10,", "),""))</f>
        <v/>
      </c>
      <c r="HC51" s="713" t="str">
        <f ca="1">IF(INDIRECT(CONCATENATE($FK$12,Fixtures!HC$25))="","",IF(INDIRECT(CONCATENATE($FK$12,Fixtures!HC$25))=Fixtures!$DN51,CONCATENATE(HC$10,", "),""))</f>
        <v/>
      </c>
      <c r="HD51" s="713" t="str">
        <f ca="1">IF(INDIRECT(CONCATENATE($FK$12,Fixtures!HD$25))="","",IF(INDIRECT(CONCATENATE($FK$12,Fixtures!HD$25))=Fixtures!$DN51,CONCATENATE(HD$10,", "),""))</f>
        <v/>
      </c>
      <c r="HE51" s="713" t="str">
        <f ca="1">IF(INDIRECT(CONCATENATE($FK$12,Fixtures!HE$25))="","",IF(INDIRECT(CONCATENATE($FK$12,Fixtures!HE$25))=Fixtures!$DN51,CONCATENATE(HE$10,", "),""))</f>
        <v/>
      </c>
      <c r="HF51" s="713" t="str">
        <f ca="1">IF(INDIRECT(CONCATENATE($FK$12,Fixtures!HF$25))="","",IF(INDIRECT(CONCATENATE($FK$12,Fixtures!HF$25))=Fixtures!$DN51,CONCATENATE(HF$10,", "),""))</f>
        <v/>
      </c>
      <c r="HG51" s="713" t="str">
        <f ca="1">IF(INDIRECT(CONCATENATE($FK$12,Fixtures!HG$25))="","",IF(INDIRECT(CONCATENATE($FK$12,Fixtures!HG$25))=Fixtures!$DN51,CONCATENATE(HG$10,", "),""))</f>
        <v/>
      </c>
      <c r="HH51" s="713" t="str">
        <f ca="1">IF(INDIRECT(CONCATENATE($FK$12,Fixtures!HH$25))="","",IF(INDIRECT(CONCATENATE($FK$12,Fixtures!HH$25))=Fixtures!$DN51,CONCATENATE(HH$10,", "),""))</f>
        <v/>
      </c>
      <c r="HI51" s="713" t="str">
        <f ca="1">IF(INDIRECT(CONCATENATE($FK$12,Fixtures!HI$25))="","",IF(INDIRECT(CONCATENATE($FK$12,Fixtures!HI$25))=Fixtures!$DN51,CONCATENATE(HI$10,", "),""))</f>
        <v/>
      </c>
      <c r="HJ51" s="713" t="str">
        <f ca="1">IF(INDIRECT(CONCATENATE($FK$12,Fixtures!HJ$25))="","",IF(INDIRECT(CONCATENATE($FK$12,Fixtures!HJ$25))=Fixtures!$DN51,CONCATENATE(HJ$10,", "),""))</f>
        <v/>
      </c>
      <c r="HK51" s="713" t="str">
        <f ca="1">IF(INDIRECT(CONCATENATE($FK$12,Fixtures!HK$25))="","",IF(INDIRECT(CONCATENATE($FK$12,Fixtures!HK$25))=Fixtures!$DN51,CONCATENATE(HK$10,", "),""))</f>
        <v/>
      </c>
      <c r="HL51" s="713" t="str">
        <f ca="1">IF(INDIRECT(CONCATENATE($FK$12,Fixtures!HL$25))="","",IF(INDIRECT(CONCATENATE($FK$12,Fixtures!HL$25))=Fixtures!$DN51,CONCATENATE(HL$10,", "),""))</f>
        <v/>
      </c>
      <c r="HM51" s="684" t="str">
        <f ca="1">IF(INDIRECT(CONCATENATE($FK$12,Fixtures!HM$25))="","",IF(INDIRECT(CONCATENATE($FK$12,Fixtures!HM$25))=Fixtures!$DN51,CONCATENATE(HM$10,", "),""))</f>
        <v/>
      </c>
      <c r="HN51" s="685" t="str">
        <f ca="1">IF(INDIRECT(CONCATENATE($FK$12,Fixtures!HN$25))="","",IF(INDIRECT(CONCATENATE($FK$12,Fixtures!HN$25))=Fixtures!$DN51,CONCATENATE(HN$10,", "),""))</f>
        <v/>
      </c>
      <c r="HO51" s="713" t="str">
        <f ca="1">IF(INDIRECT(CONCATENATE($FK$12,Fixtures!HO$25))="","",IF(INDIRECT(CONCATENATE($FK$12,Fixtures!HO$25))=Fixtures!$DN51,CONCATENATE(HO$10,", "),""))</f>
        <v/>
      </c>
      <c r="HP51" s="713" t="str">
        <f ca="1">IF(INDIRECT(CONCATENATE($FK$12,Fixtures!HP$25))="","",IF(INDIRECT(CONCATENATE($FK$12,Fixtures!HP$25))=Fixtures!$DN51,CONCATENATE(HP$10,", "),""))</f>
        <v/>
      </c>
      <c r="HQ51" s="713" t="str">
        <f ca="1">IF(INDIRECT(CONCATENATE($FK$12,Fixtures!HQ$25))="","",IF(INDIRECT(CONCATENATE($FK$12,Fixtures!HQ$25))=Fixtures!$DN51,CONCATENATE(HQ$10,", "),""))</f>
        <v/>
      </c>
      <c r="HR51" s="713" t="str">
        <f ca="1">IF(INDIRECT(CONCATENATE($FK$12,Fixtures!HR$25))="","",IF(INDIRECT(CONCATENATE($FK$12,Fixtures!HR$25))=Fixtures!$DN51,CONCATENATE(HR$10,", "),""))</f>
        <v/>
      </c>
      <c r="HS51" s="713" t="str">
        <f ca="1">IF(INDIRECT(CONCATENATE($FK$12,Fixtures!HS$25))="","",IF(INDIRECT(CONCATENATE($FK$12,Fixtures!HS$25))=Fixtures!$DN51,CONCATENATE(HS$10,", "),""))</f>
        <v/>
      </c>
      <c r="HT51" s="713" t="str">
        <f ca="1">IF(INDIRECT(CONCATENATE($FK$12,Fixtures!HT$25))="","",IF(INDIRECT(CONCATENATE($FK$12,Fixtures!HT$25))=Fixtures!$DN51,CONCATENATE(HT$10,", "),""))</f>
        <v/>
      </c>
      <c r="HU51" s="713" t="str">
        <f ca="1">IF(INDIRECT(CONCATENATE($FK$12,Fixtures!HU$25))="","",IF(INDIRECT(CONCATENATE($FK$12,Fixtures!HU$25))=Fixtures!$DN51,CONCATENATE(HU$10,", "),""))</f>
        <v/>
      </c>
      <c r="HV51" s="713" t="str">
        <f ca="1">IF(INDIRECT(CONCATENATE($FK$12,Fixtures!HV$25))="","",IF(INDIRECT(CONCATENATE($FK$12,Fixtures!HV$25))=Fixtures!$DN51,CONCATENATE(HV$10,", "),""))</f>
        <v/>
      </c>
      <c r="HW51" s="713" t="str">
        <f ca="1">IF(INDIRECT(CONCATENATE($FK$12,Fixtures!HW$25))="","",IF(INDIRECT(CONCATENATE($FK$12,Fixtures!HW$25))=Fixtures!$DN51,CONCATENATE(HW$10,", "),""))</f>
        <v/>
      </c>
      <c r="HX51" s="713" t="str">
        <f ca="1">IF(INDIRECT(CONCATENATE($FK$12,Fixtures!HX$25))="","",IF(INDIRECT(CONCATENATE($FK$12,Fixtures!HX$25))=Fixtures!$DN51,CONCATENATE(HX$10,", "),""))</f>
        <v/>
      </c>
      <c r="HY51" s="713" t="str">
        <f ca="1">IF(INDIRECT(CONCATENATE($FK$12,Fixtures!HY$25))="","",IF(INDIRECT(CONCATENATE($FK$12,Fixtures!HY$25))=Fixtures!$DN51,CONCATENATE(HY$10,", "),""))</f>
        <v/>
      </c>
      <c r="HZ51" s="713" t="str">
        <f ca="1">IF(INDIRECT(CONCATENATE($FK$12,Fixtures!HZ$25))="","",IF(INDIRECT(CONCATENATE($FK$12,Fixtures!HZ$25))=Fixtures!$DN51,CONCATENATE(HZ$10,", "),""))</f>
        <v/>
      </c>
      <c r="IA51" s="713" t="str">
        <f ca="1">IF(INDIRECT(CONCATENATE($FK$12,Fixtures!IA$25))="","",IF(INDIRECT(CONCATENATE($FK$12,Fixtures!IA$25))=Fixtures!$DN51,CONCATENATE(IA$10,", "),""))</f>
        <v/>
      </c>
      <c r="IB51" s="684" t="str">
        <f ca="1">IF(INDIRECT(CONCATENATE($FK$12,Fixtures!IB$25))="","",IF(INDIRECT(CONCATENATE($FK$12,Fixtures!IB$25))=Fixtures!$DN51,CONCATENATE(IB$10,", "),""))</f>
        <v/>
      </c>
      <c r="IC51" s="685" t="str">
        <f ca="1">IF(INDIRECT(CONCATENATE($FK$12,Fixtures!IC$25))="","",IF(INDIRECT(CONCATENATE($FK$12,Fixtures!IC$25))=Fixtures!$DN51,CONCATENATE(IC$10,", "),""))</f>
        <v/>
      </c>
      <c r="ID51" s="713" t="str">
        <f ca="1">IF(INDIRECT(CONCATENATE($FK$12,Fixtures!ID$25))="","",IF(INDIRECT(CONCATENATE($FK$12,Fixtures!ID$25))=Fixtures!$DN51,CONCATENATE(ID$10,", "),""))</f>
        <v/>
      </c>
      <c r="IE51" s="713" t="str">
        <f ca="1">IF(INDIRECT(CONCATENATE($FK$12,Fixtures!IE$25))="","",IF(INDIRECT(CONCATENATE($FK$12,Fixtures!IE$25))=Fixtures!$DN51,CONCATENATE(IE$10,", "),""))</f>
        <v/>
      </c>
      <c r="IF51" s="713" t="str">
        <f ca="1">IF(INDIRECT(CONCATENATE($FK$12,Fixtures!IF$25))="","",IF(INDIRECT(CONCATENATE($FK$12,Fixtures!IF$25))=Fixtures!$DN51,CONCATENATE(IF$10,", "),""))</f>
        <v/>
      </c>
      <c r="IG51" s="713" t="str">
        <f ca="1">IF(INDIRECT(CONCATENATE($FK$12,Fixtures!IG$25))="","",IF(INDIRECT(CONCATENATE($FK$12,Fixtures!IG$25))=Fixtures!$DN51,CONCATENATE(IG$10,", "),""))</f>
        <v/>
      </c>
      <c r="IH51" s="713" t="str">
        <f ca="1">IF(INDIRECT(CONCATENATE($FK$12,Fixtures!IH$25))="","",IF(INDIRECT(CONCATENATE($FK$12,Fixtures!IH$25))=Fixtures!$DN51,CONCATENATE(IH$10,", "),""))</f>
        <v/>
      </c>
      <c r="II51" s="713" t="str">
        <f ca="1">IF(INDIRECT(CONCATENATE($FK$12,Fixtures!II$25))="","",IF(INDIRECT(CONCATENATE($FK$12,Fixtures!II$25))=Fixtures!$DN51,CONCATENATE(II$10,", "),""))</f>
        <v/>
      </c>
      <c r="IJ51" s="713" t="str">
        <f ca="1">IF(INDIRECT(CONCATENATE($FK$12,Fixtures!IJ$25))="","",IF(INDIRECT(CONCATENATE($FK$12,Fixtures!IJ$25))=Fixtures!$DN51,CONCATENATE(IJ$10,", "),""))</f>
        <v/>
      </c>
      <c r="IK51" s="713" t="str">
        <f ca="1">IF(INDIRECT(CONCATENATE($FK$12,Fixtures!IK$25))="","",IF(INDIRECT(CONCATENATE($FK$12,Fixtures!IK$25))=Fixtures!$DN51,CONCATENATE(IK$10,", "),""))</f>
        <v/>
      </c>
      <c r="IL51" s="713" t="str">
        <f ca="1">IF(INDIRECT(CONCATENATE($FK$12,Fixtures!IL$25))="","",IF(INDIRECT(CONCATENATE($FK$12,Fixtures!IL$25))=Fixtures!$DN51,CONCATENATE(IL$10,", "),""))</f>
        <v/>
      </c>
      <c r="IM51" s="713" t="str">
        <f ca="1">IF(INDIRECT(CONCATENATE($FK$12,Fixtures!IM$25))="","",IF(INDIRECT(CONCATENATE($FK$12,Fixtures!IM$25))=Fixtures!$DN51,CONCATENATE(IM$10,", "),""))</f>
        <v/>
      </c>
      <c r="IN51" s="713" t="str">
        <f ca="1">IF(INDIRECT(CONCATENATE($FK$12,Fixtures!IN$25))="","",IF(INDIRECT(CONCATENATE($FK$12,Fixtures!IN$25))=Fixtures!$DN51,CONCATENATE(IN$10,", "),""))</f>
        <v/>
      </c>
      <c r="IO51" s="713" t="str">
        <f ca="1">IF(INDIRECT(CONCATENATE($FK$12,Fixtures!IO$25))="","",IF(INDIRECT(CONCATENATE($FK$12,Fixtures!IO$25))=Fixtures!$DN51,CONCATENATE(IO$10,", "),""))</f>
        <v/>
      </c>
      <c r="IP51" s="713" t="str">
        <f ca="1">IF(INDIRECT(CONCATENATE($FK$12,Fixtures!IP$25))="","",IF(INDIRECT(CONCATENATE($FK$12,Fixtures!IP$25))=Fixtures!$DN51,CONCATENATE(IP$10,", "),""))</f>
        <v/>
      </c>
      <c r="IQ51" s="684" t="str">
        <f ca="1">IF(INDIRECT(CONCATENATE($FK$12,Fixtures!IQ$25))="","",IF(INDIRECT(CONCATENATE($FK$12,Fixtures!IQ$25))=Fixtures!$DN51,CONCATENATE(IQ$10,", "),""))</f>
        <v/>
      </c>
      <c r="IR51" s="685" t="str">
        <f ca="1">IF(INDIRECT(CONCATENATE($FK$12,Fixtures!IR$25))="","",IF(INDIRECT(CONCATENATE($FK$12,Fixtures!IR$25))=Fixtures!$DN51,CONCATENATE(IR$10,", "),""))</f>
        <v/>
      </c>
      <c r="IS51" s="713" t="str">
        <f ca="1">IF(INDIRECT(CONCATENATE($FK$12,Fixtures!IS$25))="","",IF(INDIRECT(CONCATENATE($FK$12,Fixtures!IS$25))=Fixtures!$DN51,CONCATENATE(IS$10,", "),""))</f>
        <v/>
      </c>
      <c r="IT51" s="713" t="str">
        <f ca="1">IF(INDIRECT(CONCATENATE($FK$12,Fixtures!IT$25))="","",IF(INDIRECT(CONCATENATE($FK$12,Fixtures!IT$25))=Fixtures!$DN51,CONCATENATE(IT$10,", "),""))</f>
        <v/>
      </c>
      <c r="IU51" s="713" t="str">
        <f ca="1">IF(INDIRECT(CONCATENATE($FK$12,Fixtures!IU$25))="","",IF(INDIRECT(CONCATENATE($FK$12,Fixtures!IU$25))=Fixtures!$DN51,CONCATENATE(IU$10,", "),""))</f>
        <v/>
      </c>
      <c r="IV51" s="713" t="str">
        <f ca="1">IF(INDIRECT(CONCATENATE($FK$12,Fixtures!IV$25))="","",IF(INDIRECT(CONCATENATE($FK$12,Fixtures!IV$25))=Fixtures!$DN51,CONCATENATE(IV$10,", "),""))</f>
        <v/>
      </c>
      <c r="IW51" s="713" t="str">
        <f ca="1">IF(INDIRECT(CONCATENATE($FK$12,Fixtures!IW$25))="","",IF(INDIRECT(CONCATENATE($FK$12,Fixtures!IW$25))=Fixtures!$DN51,CONCATENATE(IW$10,", "),""))</f>
        <v/>
      </c>
      <c r="IX51" s="713" t="str">
        <f ca="1">IF(INDIRECT(CONCATENATE($FK$12,Fixtures!IX$25))="","",IF(INDIRECT(CONCATENATE($FK$12,Fixtures!IX$25))=Fixtures!$DN51,CONCATENATE(IX$10,", "),""))</f>
        <v/>
      </c>
      <c r="IY51" s="713" t="str">
        <f ca="1">IF(INDIRECT(CONCATENATE($FK$12,Fixtures!IY$25))="","",IF(INDIRECT(CONCATENATE($FK$12,Fixtures!IY$25))=Fixtures!$DN51,CONCATENATE(IY$10,", "),""))</f>
        <v/>
      </c>
      <c r="IZ51" s="713" t="str">
        <f ca="1">IF(INDIRECT(CONCATENATE($FK$12,Fixtures!IZ$25))="","",IF(INDIRECT(CONCATENATE($FK$12,Fixtures!IZ$25))=Fixtures!$DN51,CONCATENATE(IZ$10,", "),""))</f>
        <v/>
      </c>
      <c r="JA51" s="713" t="str">
        <f ca="1">IF(INDIRECT(CONCATENATE($FK$12,Fixtures!JA$25))="","",IF(INDIRECT(CONCATENATE($FK$12,Fixtures!JA$25))=Fixtures!$DN51,CONCATENATE(JA$10,", "),""))</f>
        <v/>
      </c>
      <c r="JB51" s="713" t="str">
        <f ca="1">IF(INDIRECT(CONCATENATE($FK$12,Fixtures!JB$25))="","",IF(INDIRECT(CONCATENATE($FK$12,Fixtures!JB$25))=Fixtures!$DN51,CONCATENATE(JB$10,", "),""))</f>
        <v/>
      </c>
      <c r="JC51" s="713" t="str">
        <f ca="1">IF(INDIRECT(CONCATENATE($FK$12,Fixtures!JC$25))="","",IF(INDIRECT(CONCATENATE($FK$12,Fixtures!JC$25))=Fixtures!$DN51,CONCATENATE(JC$10,", "),""))</f>
        <v/>
      </c>
      <c r="JD51" s="713" t="str">
        <f ca="1">IF(INDIRECT(CONCATENATE($FK$12,Fixtures!JD$25))="","",IF(INDIRECT(CONCATENATE($FK$12,Fixtures!JD$25))=Fixtures!$DN51,CONCATENATE(JD$10,", "),""))</f>
        <v/>
      </c>
      <c r="JE51" s="713" t="str">
        <f ca="1">IF(INDIRECT(CONCATENATE($FK$12,Fixtures!JE$25))="","",IF(INDIRECT(CONCATENATE($FK$12,Fixtures!JE$25))=Fixtures!$DN51,CONCATENATE(JE$10,", "),""))</f>
        <v/>
      </c>
      <c r="JF51" s="684" t="str">
        <f ca="1">IF(INDIRECT(CONCATENATE($FK$12,Fixtures!JF$25))="","",IF(INDIRECT(CONCATENATE($FK$12,Fixtures!JF$25))=Fixtures!$DN51,CONCATENATE(JF$10,", "),""))</f>
        <v/>
      </c>
      <c r="JG51" s="685" t="str">
        <f ca="1">IF(INDIRECT(CONCATENATE($FK$12,Fixtures!JG$25))="","",IF(INDIRECT(CONCATENATE($FK$12,Fixtures!JG$25))=Fixtures!$DN51,CONCATENATE(JG$10,", "),""))</f>
        <v/>
      </c>
      <c r="JH51" s="713" t="str">
        <f ca="1">IF(INDIRECT(CONCATENATE($FK$12,Fixtures!JH$25))="","",IF(INDIRECT(CONCATENATE($FK$12,Fixtures!JH$25))=Fixtures!$DN51,CONCATENATE(JH$10,", "),""))</f>
        <v/>
      </c>
      <c r="JI51" s="713" t="str">
        <f ca="1">IF(INDIRECT(CONCATENATE($FK$12,Fixtures!JI$25))="","",IF(INDIRECT(CONCATENATE($FK$12,Fixtures!JI$25))=Fixtures!$DN51,CONCATENATE(JI$10,", "),""))</f>
        <v/>
      </c>
      <c r="JJ51" s="713" t="str">
        <f ca="1">IF(INDIRECT(CONCATENATE($FK$12,Fixtures!JJ$25))="","",IF(INDIRECT(CONCATENATE($FK$12,Fixtures!JJ$25))=Fixtures!$DN51,CONCATENATE(JJ$10,", "),""))</f>
        <v/>
      </c>
      <c r="JK51" s="713" t="str">
        <f ca="1">IF(INDIRECT(CONCATENATE($FK$12,Fixtures!JK$25))="","",IF(INDIRECT(CONCATENATE($FK$12,Fixtures!JK$25))=Fixtures!$DN51,CONCATENATE(JK$10,", "),""))</f>
        <v/>
      </c>
      <c r="JL51" s="713" t="str">
        <f ca="1">IF(INDIRECT(CONCATENATE($FK$12,Fixtures!JL$25))="","",IF(INDIRECT(CONCATENATE($FK$12,Fixtures!JL$25))=Fixtures!$DN51,CONCATENATE(JL$10,", "),""))</f>
        <v/>
      </c>
      <c r="JM51" s="713" t="str">
        <f ca="1">IF(INDIRECT(CONCATENATE($FK$12,Fixtures!JM$25))="","",IF(INDIRECT(CONCATENATE($FK$12,Fixtures!JM$25))=Fixtures!$DN51,CONCATENATE(JM$10,", "),""))</f>
        <v/>
      </c>
      <c r="JN51" s="713" t="str">
        <f ca="1">IF(INDIRECT(CONCATENATE($FK$12,Fixtures!JN$25))="","",IF(INDIRECT(CONCATENATE($FK$12,Fixtures!JN$25))=Fixtures!$DN51,CONCATENATE(JN$10,", "),""))</f>
        <v/>
      </c>
      <c r="JO51" s="713" t="str">
        <f ca="1">IF(INDIRECT(CONCATENATE($FK$12,Fixtures!JO$25))="","",IF(INDIRECT(CONCATENATE($FK$12,Fixtures!JO$25))=Fixtures!$DN51,CONCATENATE(JO$10,", "),""))</f>
        <v/>
      </c>
      <c r="JP51" s="713" t="str">
        <f ca="1">IF(INDIRECT(CONCATENATE($FK$12,Fixtures!JP$25))="","",IF(INDIRECT(CONCATENATE($FK$12,Fixtures!JP$25))=Fixtures!$DN51,CONCATENATE(JP$10,", "),""))</f>
        <v/>
      </c>
      <c r="JQ51" s="713" t="str">
        <f ca="1">IF(INDIRECT(CONCATENATE($FK$12,Fixtures!JQ$25))="","",IF(INDIRECT(CONCATENATE($FK$12,Fixtures!JQ$25))=Fixtures!$DN51,CONCATENATE(JQ$10,", "),""))</f>
        <v/>
      </c>
      <c r="JR51" s="713" t="str">
        <f ca="1">IF(INDIRECT(CONCATENATE($FK$12,Fixtures!JR$25))="","",IF(INDIRECT(CONCATENATE($FK$12,Fixtures!JR$25))=Fixtures!$DN51,CONCATENATE(JR$10,", "),""))</f>
        <v/>
      </c>
      <c r="JS51" s="713" t="str">
        <f ca="1">IF(INDIRECT(CONCATENATE($FK$12,Fixtures!JS$25))="","",IF(INDIRECT(CONCATENATE($FK$12,Fixtures!JS$25))=Fixtures!$DN51,CONCATENATE(JS$10,", "),""))</f>
        <v/>
      </c>
      <c r="JT51" s="713" t="str">
        <f ca="1">IF(INDIRECT(CONCATENATE($FK$12,Fixtures!JT$25))="","",IF(INDIRECT(CONCATENATE($FK$12,Fixtures!JT$25))=Fixtures!$DN51,CONCATENATE(JT$10,", "),""))</f>
        <v/>
      </c>
      <c r="JU51" s="684" t="str">
        <f ca="1">IF(INDIRECT(CONCATENATE($FK$12,Fixtures!JU$25))="","",IF(INDIRECT(CONCATENATE($FK$12,Fixtures!JU$25))=Fixtures!$DN51,CONCATENATE(JU$10,", "),""))</f>
        <v/>
      </c>
      <c r="JV51" s="685" t="str">
        <f ca="1">IF(INDIRECT(CONCATENATE($FK$12,Fixtures!JV$25))="","",IF(INDIRECT(CONCATENATE($FK$12,Fixtures!JV$25))=Fixtures!$DN51,CONCATENATE(JV$10,", "),""))</f>
        <v/>
      </c>
      <c r="JW51" s="713" t="str">
        <f ca="1">IF(INDIRECT(CONCATENATE($FK$12,Fixtures!JW$25))="","",IF(INDIRECT(CONCATENATE($FK$12,Fixtures!JW$25))=Fixtures!$DN51,CONCATENATE(JW$10,", "),""))</f>
        <v/>
      </c>
      <c r="JX51" s="713" t="str">
        <f ca="1">IF(INDIRECT(CONCATENATE($FK$12,Fixtures!JX$25))="","",IF(INDIRECT(CONCATENATE($FK$12,Fixtures!JX$25))=Fixtures!$DN51,CONCATENATE(JX$10,", "),""))</f>
        <v/>
      </c>
      <c r="JY51" s="713" t="str">
        <f ca="1">IF(INDIRECT(CONCATENATE($FK$12,Fixtures!JY$25))="","",IF(INDIRECT(CONCATENATE($FK$12,Fixtures!JY$25))=Fixtures!$DN51,CONCATENATE(JY$10,", "),""))</f>
        <v/>
      </c>
      <c r="JZ51" s="713" t="str">
        <f ca="1">IF(INDIRECT(CONCATENATE($FK$12,Fixtures!JZ$25))="","",IF(INDIRECT(CONCATENATE($FK$12,Fixtures!JZ$25))=Fixtures!$DN51,CONCATENATE(JZ$10,", "),""))</f>
        <v/>
      </c>
      <c r="KA51" s="713" t="str">
        <f ca="1">IF(INDIRECT(CONCATENATE($FK$12,Fixtures!KA$25))="","",IF(INDIRECT(CONCATENATE($FK$12,Fixtures!KA$25))=Fixtures!$DN51,CONCATENATE(KA$10,", "),""))</f>
        <v/>
      </c>
      <c r="KB51" s="713" t="str">
        <f ca="1">IF(INDIRECT(CONCATENATE($FK$12,Fixtures!KB$25))="","",IF(INDIRECT(CONCATENATE($FK$12,Fixtures!KB$25))=Fixtures!$DN51,CONCATENATE(KB$10,", "),""))</f>
        <v/>
      </c>
      <c r="KC51" s="713" t="str">
        <f ca="1">IF(INDIRECT(CONCATENATE($FK$12,Fixtures!KC$25))="","",IF(INDIRECT(CONCATENATE($FK$12,Fixtures!KC$25))=Fixtures!$DN51,CONCATENATE(KC$10,", "),""))</f>
        <v/>
      </c>
      <c r="KD51" s="713" t="str">
        <f ca="1">IF(INDIRECT(CONCATENATE($FK$12,Fixtures!KD$25))="","",IF(INDIRECT(CONCATENATE($FK$12,Fixtures!KD$25))=Fixtures!$DN51,CONCATENATE(KD$10,", "),""))</f>
        <v/>
      </c>
      <c r="KE51" s="713" t="str">
        <f ca="1">IF(INDIRECT(CONCATENATE($FK$12,Fixtures!KE$25))="","",IF(INDIRECT(CONCATENATE($FK$12,Fixtures!KE$25))=Fixtures!$DN51,CONCATENATE(KE$10,", "),""))</f>
        <v/>
      </c>
      <c r="KF51" s="713" t="str">
        <f ca="1">IF(INDIRECT(CONCATENATE($FK$12,Fixtures!KF$25))="","",IF(INDIRECT(CONCATENATE($FK$12,Fixtures!KF$25))=Fixtures!$DN51,CONCATENATE(KF$10,", "),""))</f>
        <v/>
      </c>
      <c r="KG51" s="713" t="str">
        <f ca="1">IF(INDIRECT(CONCATENATE($FK$12,Fixtures!KG$25))="","",IF(INDIRECT(CONCATENATE($FK$12,Fixtures!KG$25))=Fixtures!$DN51,CONCATENATE(KG$10,", "),""))</f>
        <v/>
      </c>
      <c r="KH51" s="713" t="str">
        <f ca="1">IF(INDIRECT(CONCATENATE($FK$12,Fixtures!KH$25))="","",IF(INDIRECT(CONCATENATE($FK$12,Fixtures!KH$25))=Fixtures!$DN51,CONCATENATE(KH$10,", "),""))</f>
        <v/>
      </c>
      <c r="KI51" s="713" t="str">
        <f ca="1">IF(INDIRECT(CONCATENATE($FK$12,Fixtures!KI$25))="","",IF(INDIRECT(CONCATENATE($FK$12,Fixtures!KI$25))=Fixtures!$DN51,CONCATENATE(KI$10,", "),""))</f>
        <v/>
      </c>
      <c r="KJ51" s="684" t="str">
        <f ca="1">IF(INDIRECT(CONCATENATE($FK$12,Fixtures!KJ$25))="","",IF(INDIRECT(CONCATENATE($FK$12,Fixtures!KJ$25))=Fixtures!$DN51,CONCATENATE(KJ$10,", "),""))</f>
        <v/>
      </c>
      <c r="KK51" s="685" t="str">
        <f ca="1">IF(INDIRECT(CONCATENATE($FK$12,Fixtures!KK$25))="","",IF(INDIRECT(CONCATENATE($FK$12,Fixtures!KK$25))=Fixtures!$DN51,CONCATENATE(KK$10,", "),""))</f>
        <v/>
      </c>
      <c r="KL51" s="713" t="str">
        <f ca="1">IF(INDIRECT(CONCATENATE($FK$12,Fixtures!KL$25))="","",IF(INDIRECT(CONCATENATE($FK$12,Fixtures!KL$25))=Fixtures!$DN51,CONCATENATE(KL$10,", "),""))</f>
        <v/>
      </c>
      <c r="KM51" s="713" t="str">
        <f ca="1">IF(INDIRECT(CONCATENATE($FK$12,Fixtures!KM$25))="","",IF(INDIRECT(CONCATENATE($FK$12,Fixtures!KM$25))=Fixtures!$DN51,CONCATENATE(KM$10,", "),""))</f>
        <v/>
      </c>
      <c r="KN51" s="713" t="str">
        <f ca="1">IF(INDIRECT(CONCATENATE($FK$12,Fixtures!KN$25))="","",IF(INDIRECT(CONCATENATE($FK$12,Fixtures!KN$25))=Fixtures!$DN51,CONCATENATE(KN$10,", "),""))</f>
        <v/>
      </c>
      <c r="KO51" s="713" t="str">
        <f ca="1">IF(INDIRECT(CONCATENATE($FK$12,Fixtures!KO$25))="","",IF(INDIRECT(CONCATENATE($FK$12,Fixtures!KO$25))=Fixtures!$DN51,CONCATENATE(KO$10,", "),""))</f>
        <v/>
      </c>
      <c r="KP51" s="713" t="str">
        <f ca="1">IF(INDIRECT(CONCATENATE($FK$12,Fixtures!KP$25))="","",IF(INDIRECT(CONCATENATE($FK$12,Fixtures!KP$25))=Fixtures!$DN51,CONCATENATE(KP$10,", "),""))</f>
        <v/>
      </c>
      <c r="KQ51" s="713" t="str">
        <f ca="1">IF(INDIRECT(CONCATENATE($FK$12,Fixtures!KQ$25))="","",IF(INDIRECT(CONCATENATE($FK$12,Fixtures!KQ$25))=Fixtures!$DN51,CONCATENATE(KQ$10,", "),""))</f>
        <v/>
      </c>
      <c r="KR51" s="713" t="str">
        <f ca="1">IF(INDIRECT(CONCATENATE($FK$12,Fixtures!KR$25))="","",IF(INDIRECT(CONCATENATE($FK$12,Fixtures!KR$25))=Fixtures!$DN51,CONCATENATE(KR$10,", "),""))</f>
        <v/>
      </c>
      <c r="KS51" s="713" t="str">
        <f ca="1">IF(INDIRECT(CONCATENATE($FK$12,Fixtures!KS$25))="","",IF(INDIRECT(CONCATENATE($FK$12,Fixtures!KS$25))=Fixtures!$DN51,CONCATENATE(KS$10,", "),""))</f>
        <v/>
      </c>
      <c r="KT51" s="713" t="str">
        <f ca="1">IF(INDIRECT(CONCATENATE($FK$12,Fixtures!KT$25))="","",IF(INDIRECT(CONCATENATE($FK$12,Fixtures!KT$25))=Fixtures!$DN51,CONCATENATE(KT$10,", "),""))</f>
        <v/>
      </c>
      <c r="KU51" s="713" t="str">
        <f ca="1">IF(INDIRECT(CONCATENATE($FK$12,Fixtures!KU$25))="","",IF(INDIRECT(CONCATENATE($FK$12,Fixtures!KU$25))=Fixtures!$DN51,CONCATENATE(KU$10,", "),""))</f>
        <v/>
      </c>
      <c r="KV51" s="713" t="str">
        <f ca="1">IF(INDIRECT(CONCATENATE($FK$12,Fixtures!KV$25))="","",IF(INDIRECT(CONCATENATE($FK$12,Fixtures!KV$25))=Fixtures!$DN51,CONCATENATE(KV$10,", "),""))</f>
        <v/>
      </c>
      <c r="KW51" s="713" t="str">
        <f ca="1">IF(INDIRECT(CONCATENATE($FK$12,Fixtures!KW$25))="","",IF(INDIRECT(CONCATENATE($FK$12,Fixtures!KW$25))=Fixtures!$DN51,CONCATENATE(KW$10,", "),""))</f>
        <v/>
      </c>
      <c r="KX51" s="713" t="str">
        <f ca="1">IF(INDIRECT(CONCATENATE($FK$12,Fixtures!KX$25))="","",IF(INDIRECT(CONCATENATE($FK$12,Fixtures!KX$25))=Fixtures!$DN51,CONCATENATE(KX$10,", "),""))</f>
        <v/>
      </c>
      <c r="KY51" s="713" t="str">
        <f ca="1">IF(INDIRECT(CONCATENATE($FK$12,Fixtures!KY$25))="","",IF(INDIRECT(CONCATENATE($FK$12,Fixtures!KY$25))=Fixtures!$DN51,CONCATENATE(KY$10,", "),""))</f>
        <v/>
      </c>
      <c r="KZ51" s="46"/>
      <c r="LA51" s="46" t="str">
        <f t="shared" ca="1" si="8"/>
        <v/>
      </c>
    </row>
    <row r="52" spans="1:313" ht="28.05" customHeight="1" thickTop="1" thickBot="1">
      <c r="A52" s="471" t="str">
        <f t="shared" si="13"/>
        <v/>
      </c>
      <c r="C52" s="1328" t="str">
        <f t="shared" si="14"/>
        <v/>
      </c>
      <c r="D52" s="1329"/>
      <c r="E52" s="1256" t="str">
        <f t="shared" si="15"/>
        <v/>
      </c>
      <c r="F52" s="1257"/>
      <c r="G52" s="1257"/>
      <c r="H52" s="1257"/>
      <c r="I52" s="1257"/>
      <c r="J52" s="1257"/>
      <c r="K52" s="1257"/>
      <c r="L52" s="1257"/>
      <c r="M52" s="1330"/>
      <c r="N52" s="239" t="str">
        <f t="shared" si="16"/>
        <v/>
      </c>
      <c r="O52" s="12"/>
      <c r="P52" s="1326" t="str">
        <f t="shared" si="25"/>
        <v/>
      </c>
      <c r="Q52" s="1327"/>
      <c r="R52" s="1256" t="str">
        <f t="shared" si="31"/>
        <v/>
      </c>
      <c r="S52" s="1257"/>
      <c r="T52" s="1257"/>
      <c r="U52" s="1257"/>
      <c r="V52" s="1257"/>
      <c r="W52" s="1257"/>
      <c r="X52" s="1257"/>
      <c r="Y52" s="239" t="str">
        <f t="shared" si="27"/>
        <v/>
      </c>
      <c r="Z52" s="239" t="str">
        <f t="shared" si="28"/>
        <v/>
      </c>
      <c r="AA52" s="439" t="str">
        <f t="shared" si="29"/>
        <v/>
      </c>
      <c r="AB52" s="542"/>
      <c r="AC52" s="1253" t="str">
        <f t="shared" si="17"/>
        <v/>
      </c>
      <c r="AD52" s="1166"/>
      <c r="AE52" s="1166"/>
      <c r="AF52" s="1166"/>
      <c r="AG52" s="1166"/>
      <c r="AH52" s="1166"/>
      <c r="AK52">
        <f>SUMIFS(Installations!CS$39:CS$800,Installations!CT$39:CT$800,E52,Installations!HX$39:HX$800,TRUE)</f>
        <v>0</v>
      </c>
      <c r="AL52">
        <f>SUMIFS(Installations!CS$39:CS$800,Installations!CT$39:CT$800,R52,Installations!HX$39:HX$800,TRUE)</f>
        <v>0</v>
      </c>
      <c r="BL52" s="9"/>
      <c r="BM52" s="703" t="str">
        <f t="shared" si="18"/>
        <v/>
      </c>
      <c r="BN52" s="52"/>
      <c r="BO52" s="52"/>
      <c r="BP52" s="52"/>
      <c r="BQ52" s="52"/>
      <c r="BR52" s="52"/>
      <c r="BS52" s="52"/>
      <c r="BT52" s="52"/>
      <c r="BU52" s="414"/>
      <c r="BV52" s="255" t="str">
        <f>IF(CN52&lt;&gt;"Yes","",IFERROR(VLOOKUP(CU52,Existing!A$4:F$364,2,FALSE),""))</f>
        <v/>
      </c>
      <c r="BW52" s="9">
        <v>26</v>
      </c>
      <c r="BX52" s="1313"/>
      <c r="BY52" s="1314"/>
      <c r="BZ52" s="1314"/>
      <c r="CA52" s="1315"/>
      <c r="CB52" s="1310"/>
      <c r="CC52" s="1311"/>
      <c r="CD52" s="1311"/>
      <c r="CE52" s="1312"/>
      <c r="CF52" s="1309"/>
      <c r="CG52" s="1309"/>
      <c r="CH52" s="1309"/>
      <c r="CI52" s="1309"/>
      <c r="CJ52" s="1309"/>
      <c r="CK52" s="1309"/>
      <c r="CL52" s="1309"/>
      <c r="CM52" s="1309"/>
      <c r="CN52" s="1243" t="str">
        <f t="shared" si="0"/>
        <v/>
      </c>
      <c r="CO52" s="1244"/>
      <c r="CP52" s="265" t="str">
        <f>IFERROR(IF(CB52="Existing TLED",CR52*CW52*CY52,VLOOKUP(CU52,Existing!A$3:F$353,6,FALSE)),"")</f>
        <v/>
      </c>
      <c r="CQ52" s="9"/>
      <c r="CR52" s="1343"/>
      <c r="CS52" s="1344"/>
      <c r="CT52" s="9"/>
      <c r="CU52" s="470" t="str">
        <f t="shared" si="21"/>
        <v/>
      </c>
      <c r="CV52" s="471" t="b">
        <f t="shared" si="22"/>
        <v>0</v>
      </c>
      <c r="CW52" s="471" t="str">
        <f t="shared" si="23"/>
        <v/>
      </c>
      <c r="CX52" s="471">
        <f>IFERROR(VLOOKUP(CF52,Lookup!M$100:O$102,3,FALSE),0)</f>
        <v>0</v>
      </c>
      <c r="CY52" s="471">
        <f t="shared" si="9"/>
        <v>1.1100000000000001</v>
      </c>
      <c r="CZ52" s="707" t="b">
        <f t="shared" si="1"/>
        <v>0</v>
      </c>
      <c r="DA52" s="707" t="b">
        <f>IF(CF52&lt;&gt;"",IF(ISERROR(MATCH(CONCATENATE(CB52," - ",CF52),Existing!G$4:G$328,0))=TRUE,FALSE,TRUE),TRUE)</f>
        <v>1</v>
      </c>
      <c r="DB52" s="707" t="b">
        <f t="shared" si="2"/>
        <v>1</v>
      </c>
      <c r="DL52" s="9"/>
      <c r="DM52" s="708" t="s">
        <v>166</v>
      </c>
      <c r="DN52" s="416" t="str">
        <f t="shared" si="3"/>
        <v/>
      </c>
      <c r="DO52" s="52"/>
      <c r="DP52" s="52"/>
      <c r="DQ52" s="52"/>
      <c r="DR52" s="52"/>
      <c r="DS52" s="52"/>
      <c r="DT52" s="262"/>
      <c r="DU52" s="417"/>
      <c r="DV52" s="263" t="str">
        <f t="shared" si="4"/>
        <v/>
      </c>
      <c r="DW52" s="260">
        <v>26</v>
      </c>
      <c r="DX52" s="1306"/>
      <c r="DY52" s="1307"/>
      <c r="DZ52" s="1307"/>
      <c r="EA52" s="1308"/>
      <c r="EB52" s="1306"/>
      <c r="EC52" s="1307"/>
      <c r="ED52" s="1307"/>
      <c r="EE52" s="1308"/>
      <c r="EF52" s="1266"/>
      <c r="EG52" s="1267"/>
      <c r="EH52" s="1306"/>
      <c r="EI52" s="1307"/>
      <c r="EJ52" s="1307"/>
      <c r="EK52" s="1308"/>
      <c r="EL52" s="1263"/>
      <c r="EM52" s="1264"/>
      <c r="EN52" s="1264"/>
      <c r="EO52" s="1265"/>
      <c r="EP52" s="1266"/>
      <c r="EQ52" s="1267"/>
      <c r="ER52" s="1245"/>
      <c r="ES52" s="1246"/>
      <c r="ET52" s="1243" t="str">
        <f t="shared" si="5"/>
        <v/>
      </c>
      <c r="EU52" s="1244"/>
      <c r="EV52" s="1243" t="str">
        <f t="shared" si="30"/>
        <v/>
      </c>
      <c r="EW52" s="1244"/>
      <c r="EX52" s="438"/>
      <c r="EY52" s="261" t="str">
        <f t="shared" si="7"/>
        <v/>
      </c>
      <c r="EZ52" s="261" t="str">
        <f>IFERROR(VLOOKUP(EB52,Lookup!AM$3:AN$13,2,FALSE),"")</f>
        <v/>
      </c>
      <c r="FA52" s="471" t="b">
        <f>IFERROR(IF(VLOOKUP(EB52,Lookup!AM$6:AN$8,2,FALSE)&gt;3,TRUE,FALSE),FALSE)</f>
        <v>0</v>
      </c>
      <c r="FB52" s="471">
        <f t="shared" si="11"/>
        <v>1</v>
      </c>
      <c r="FC52" t="str">
        <f t="shared" ca="1" si="10"/>
        <v/>
      </c>
      <c r="FG52" t="str">
        <f t="shared" ca="1" si="12"/>
        <v/>
      </c>
      <c r="FI52" s="240" t="str">
        <f t="shared" ca="1" si="24"/>
        <v/>
      </c>
      <c r="FJ52" s="240"/>
      <c r="FK52" s="712" t="str">
        <f ca="1">IF(INDIRECT(CONCATENATE($FK$12,Fixtures!FK$25))="","",IF(INDIRECT(CONCATENATE($FK$12,Fixtures!FK$25))=Fixtures!$DN52,CONCATENATE(FK$10,", "),""))</f>
        <v/>
      </c>
      <c r="FL52" s="712" t="str">
        <f ca="1">IF(INDIRECT(CONCATENATE($FK$12,Fixtures!FL$25))="","",IF(INDIRECT(CONCATENATE($FK$12,Fixtures!FL$25))=Fixtures!$DN52,CONCATENATE(FL$10,", "),""))</f>
        <v/>
      </c>
      <c r="FM52" s="712" t="str">
        <f ca="1">IF(INDIRECT(CONCATENATE($FK$12,Fixtures!FM$25))="","",IF(INDIRECT(CONCATENATE($FK$12,Fixtures!FM$25))=Fixtures!$DN52,CONCATENATE(FM$10,", "),""))</f>
        <v/>
      </c>
      <c r="FN52" s="712" t="str">
        <f ca="1">IF(INDIRECT(CONCATENATE($FK$12,Fixtures!FN$25))="","",IF(INDIRECT(CONCATENATE($FK$12,Fixtures!FN$25))=Fixtures!$DN52,CONCATENATE(FN$10,", "),""))</f>
        <v/>
      </c>
      <c r="FO52" s="712" t="str">
        <f ca="1">IF(INDIRECT(CONCATENATE($FK$12,Fixtures!FO$25))="","",IF(INDIRECT(CONCATENATE($FK$12,Fixtures!FO$25))=Fixtures!$DN52,CONCATENATE(FO$10,", "),""))</f>
        <v/>
      </c>
      <c r="FP52" s="712" t="str">
        <f ca="1">IF(INDIRECT(CONCATENATE($FK$12,Fixtures!FP$25))="","",IF(INDIRECT(CONCATENATE($FK$12,Fixtures!FP$25))=Fixtures!$DN52,CONCATENATE(FP$10,", "),""))</f>
        <v/>
      </c>
      <c r="FQ52" s="712" t="str">
        <f ca="1">IF(INDIRECT(CONCATENATE($FK$12,Fixtures!FQ$25))="","",IF(INDIRECT(CONCATENATE($FK$12,Fixtures!FQ$25))=Fixtures!$DN52,CONCATENATE(FQ$10,", "),""))</f>
        <v/>
      </c>
      <c r="FR52" s="712" t="str">
        <f ca="1">IF(INDIRECT(CONCATENATE($FK$12,Fixtures!FR$25))="","",IF(INDIRECT(CONCATENATE($FK$12,Fixtures!FR$25))=Fixtures!$DN52,CONCATENATE(FR$10,", "),""))</f>
        <v/>
      </c>
      <c r="FS52" s="712" t="str">
        <f ca="1">IF(INDIRECT(CONCATENATE($FK$12,Fixtures!FS$25))="","",IF(INDIRECT(CONCATENATE($FK$12,Fixtures!FS$25))=Fixtures!$DN52,CONCATENATE(FS$10,", "),""))</f>
        <v/>
      </c>
      <c r="FT52" s="682" t="str">
        <f ca="1">IF(INDIRECT(CONCATENATE($FK$12,Fixtures!FT$25))="","",IF(INDIRECT(CONCATENATE($FK$12,Fixtures!FT$25))=Fixtures!$DN52,CONCATENATE(FT$10,", "),""))</f>
        <v/>
      </c>
      <c r="FU52" s="683" t="str">
        <f ca="1">IF(INDIRECT(CONCATENATE($FK$12,Fixtures!FU$25))="","",IF(INDIRECT(CONCATENATE($FK$12,Fixtures!FU$25))=Fixtures!$DN52,CONCATENATE(FU$10,", "),""))</f>
        <v/>
      </c>
      <c r="FV52" s="712" t="str">
        <f ca="1">IF(INDIRECT(CONCATENATE($FK$12,Fixtures!FV$25))="","",IF(INDIRECT(CONCATENATE($FK$12,Fixtures!FV$25))=Fixtures!$DN52,CONCATENATE(FV$10,", "),""))</f>
        <v/>
      </c>
      <c r="FW52" s="713" t="str">
        <f ca="1">IF(INDIRECT(CONCATENATE($FK$12,Fixtures!FW$25))="","",IF(INDIRECT(CONCATENATE($FK$12,Fixtures!FW$25))=Fixtures!$DN52,CONCATENATE(FW$10,", "),""))</f>
        <v/>
      </c>
      <c r="FX52" s="713" t="str">
        <f ca="1">IF(INDIRECT(CONCATENATE($FK$12,Fixtures!FX$25))="","",IF(INDIRECT(CONCATENATE($FK$12,Fixtures!FX$25))=Fixtures!$DN52,CONCATENATE(FX$10,", "),""))</f>
        <v/>
      </c>
      <c r="FY52" s="713" t="str">
        <f ca="1">IF(INDIRECT(CONCATENATE($FK$12,Fixtures!FY$25))="","",IF(INDIRECT(CONCATENATE($FK$12,Fixtures!FY$25))=Fixtures!$DN52,CONCATENATE(FY$10,", "),""))</f>
        <v/>
      </c>
      <c r="FZ52" s="713" t="str">
        <f ca="1">IF(INDIRECT(CONCATENATE($FK$12,Fixtures!FZ$25))="","",IF(INDIRECT(CONCATENATE($FK$12,Fixtures!FZ$25))=Fixtures!$DN52,CONCATENATE(FZ$10,", "),""))</f>
        <v/>
      </c>
      <c r="GA52" s="713" t="str">
        <f ca="1">IF(INDIRECT(CONCATENATE($FK$12,Fixtures!GA$25))="","",IF(INDIRECT(CONCATENATE($FK$12,Fixtures!GA$25))=Fixtures!$DN52,CONCATENATE(GA$10,", "),""))</f>
        <v/>
      </c>
      <c r="GB52" s="713" t="str">
        <f ca="1">IF(INDIRECT(CONCATENATE($FK$12,Fixtures!GB$25))="","",IF(INDIRECT(CONCATENATE($FK$12,Fixtures!GB$25))=Fixtures!$DN52,CONCATENATE(GB$10,", "),""))</f>
        <v/>
      </c>
      <c r="GC52" s="713" t="str">
        <f ca="1">IF(INDIRECT(CONCATENATE($FK$12,Fixtures!GC$25))="","",IF(INDIRECT(CONCATENATE($FK$12,Fixtures!GC$25))=Fixtures!$DN52,CONCATENATE(GC$10,", "),""))</f>
        <v/>
      </c>
      <c r="GD52" s="713" t="str">
        <f ca="1">IF(INDIRECT(CONCATENATE($FK$12,Fixtures!GD$25))="","",IF(INDIRECT(CONCATENATE($FK$12,Fixtures!GD$25))=Fixtures!$DN52,CONCATENATE(GD$10,", "),""))</f>
        <v/>
      </c>
      <c r="GE52" s="713" t="str">
        <f ca="1">IF(INDIRECT(CONCATENATE($FK$12,Fixtures!GE$25))="","",IF(INDIRECT(CONCATENATE($FK$12,Fixtures!GE$25))=Fixtures!$DN52,CONCATENATE(GE$10,", "),""))</f>
        <v/>
      </c>
      <c r="GF52" s="713" t="str">
        <f ca="1">IF(INDIRECT(CONCATENATE($FK$12,Fixtures!GF$25))="","",IF(INDIRECT(CONCATENATE($FK$12,Fixtures!GF$25))=Fixtures!$DN52,CONCATENATE(GF$10,", "),""))</f>
        <v/>
      </c>
      <c r="GG52" s="713" t="str">
        <f ca="1">IF(INDIRECT(CONCATENATE($FK$12,Fixtures!GG$25))="","",IF(INDIRECT(CONCATENATE($FK$12,Fixtures!GG$25))=Fixtures!$DN52,CONCATENATE(GG$10,", "),""))</f>
        <v/>
      </c>
      <c r="GH52" s="713" t="str">
        <f ca="1">IF(INDIRECT(CONCATENATE($FK$12,Fixtures!GH$25))="","",IF(INDIRECT(CONCATENATE($FK$12,Fixtures!GH$25))=Fixtures!$DN52,CONCATENATE(GH$10,", "),""))</f>
        <v/>
      </c>
      <c r="GI52" s="684" t="str">
        <f ca="1">IF(INDIRECT(CONCATENATE($FK$12,Fixtures!GI$25))="","",IF(INDIRECT(CONCATENATE($FK$12,Fixtures!GI$25))=Fixtures!$DN52,CONCATENATE(GI$10,", "),""))</f>
        <v/>
      </c>
      <c r="GJ52" s="685" t="str">
        <f ca="1">IF(INDIRECT(CONCATENATE($FK$12,Fixtures!GJ$25))="","",IF(INDIRECT(CONCATENATE($FK$12,Fixtures!GJ$25))=Fixtures!$DN52,CONCATENATE(GJ$10,", "),""))</f>
        <v/>
      </c>
      <c r="GK52" s="713" t="str">
        <f ca="1">IF(INDIRECT(CONCATENATE($FK$12,Fixtures!GK$25))="","",IF(INDIRECT(CONCATENATE($FK$12,Fixtures!GK$25))=Fixtures!$DN52,CONCATENATE(GK$10,", "),""))</f>
        <v/>
      </c>
      <c r="GL52" s="713" t="str">
        <f ca="1">IF(INDIRECT(CONCATENATE($FK$12,Fixtures!GL$25))="","",IF(INDIRECT(CONCATENATE($FK$12,Fixtures!GL$25))=Fixtures!$DN52,CONCATENATE(GL$10,", "),""))</f>
        <v/>
      </c>
      <c r="GM52" s="713" t="str">
        <f ca="1">IF(INDIRECT(CONCATENATE($FK$12,Fixtures!GM$25))="","",IF(INDIRECT(CONCATENATE($FK$12,Fixtures!GM$25))=Fixtures!$DN52,CONCATENATE(GM$10,", "),""))</f>
        <v/>
      </c>
      <c r="GN52" s="713" t="str">
        <f ca="1">IF(INDIRECT(CONCATENATE($FK$12,Fixtures!GN$25))="","",IF(INDIRECT(CONCATENATE($FK$12,Fixtures!GN$25))=Fixtures!$DN52,CONCATENATE(GN$10,", "),""))</f>
        <v/>
      </c>
      <c r="GO52" s="713" t="str">
        <f ca="1">IF(INDIRECT(CONCATENATE($FK$12,Fixtures!GO$25))="","",IF(INDIRECT(CONCATENATE($FK$12,Fixtures!GO$25))=Fixtures!$DN52,CONCATENATE(GO$10,", "),""))</f>
        <v/>
      </c>
      <c r="GP52" s="713" t="str">
        <f ca="1">IF(INDIRECT(CONCATENATE($FK$12,Fixtures!GP$25))="","",IF(INDIRECT(CONCATENATE($FK$12,Fixtures!GP$25))=Fixtures!$DN52,CONCATENATE(GP$10,", "),""))</f>
        <v/>
      </c>
      <c r="GQ52" s="713" t="str">
        <f ca="1">IF(INDIRECT(CONCATENATE($FK$12,Fixtures!GQ$25))="","",IF(INDIRECT(CONCATENATE($FK$12,Fixtures!GQ$25))=Fixtures!$DN52,CONCATENATE(GQ$10,", "),""))</f>
        <v/>
      </c>
      <c r="GR52" s="713" t="str">
        <f ca="1">IF(INDIRECT(CONCATENATE($FK$12,Fixtures!GR$25))="","",IF(INDIRECT(CONCATENATE($FK$12,Fixtures!GR$25))=Fixtures!$DN52,CONCATENATE(GR$10,", "),""))</f>
        <v/>
      </c>
      <c r="GS52" s="713" t="str">
        <f ca="1">IF(INDIRECT(CONCATENATE($FK$12,Fixtures!GS$25))="","",IF(INDIRECT(CONCATENATE($FK$12,Fixtures!GS$25))=Fixtures!$DN52,CONCATENATE(GS$10,", "),""))</f>
        <v/>
      </c>
      <c r="GT52" s="713" t="str">
        <f ca="1">IF(INDIRECT(CONCATENATE($FK$12,Fixtures!GT$25))="","",IF(INDIRECT(CONCATENATE($FK$12,Fixtures!GT$25))=Fixtures!$DN52,CONCATENATE(GT$10,", "),""))</f>
        <v/>
      </c>
      <c r="GU52" s="713" t="str">
        <f ca="1">IF(INDIRECT(CONCATENATE($FK$12,Fixtures!GU$25))="","",IF(INDIRECT(CONCATENATE($FK$12,Fixtures!GU$25))=Fixtures!$DN52,CONCATENATE(GU$10,", "),""))</f>
        <v/>
      </c>
      <c r="GV52" s="713" t="str">
        <f ca="1">IF(INDIRECT(CONCATENATE($FK$12,Fixtures!GV$25))="","",IF(INDIRECT(CONCATENATE($FK$12,Fixtures!GV$25))=Fixtures!$DN52,CONCATENATE(GV$10,", "),""))</f>
        <v/>
      </c>
      <c r="GW52" s="713" t="str">
        <f ca="1">IF(INDIRECT(CONCATENATE($FK$12,Fixtures!GW$25))="","",IF(INDIRECT(CONCATENATE($FK$12,Fixtures!GW$25))=Fixtures!$DN52,CONCATENATE(GW$10,", "),""))</f>
        <v/>
      </c>
      <c r="GX52" s="684" t="str">
        <f ca="1">IF(INDIRECT(CONCATENATE($FK$12,Fixtures!GX$25))="","",IF(INDIRECT(CONCATENATE($FK$12,Fixtures!GX$25))=Fixtures!$DN52,CONCATENATE(GX$10,", "),""))</f>
        <v/>
      </c>
      <c r="GY52" s="685" t="str">
        <f ca="1">IF(INDIRECT(CONCATENATE($FK$12,Fixtures!GY$25))="","",IF(INDIRECT(CONCATENATE($FK$12,Fixtures!GY$25))=Fixtures!$DN52,CONCATENATE(GY$10,", "),""))</f>
        <v/>
      </c>
      <c r="GZ52" s="713" t="str">
        <f ca="1">IF(INDIRECT(CONCATENATE($FK$12,Fixtures!GZ$25))="","",IF(INDIRECT(CONCATENATE($FK$12,Fixtures!GZ$25))=Fixtures!$DN52,CONCATENATE(GZ$10,", "),""))</f>
        <v/>
      </c>
      <c r="HA52" s="713" t="str">
        <f ca="1">IF(INDIRECT(CONCATENATE($FK$12,Fixtures!HA$25))="","",IF(INDIRECT(CONCATENATE($FK$12,Fixtures!HA$25))=Fixtures!$DN52,CONCATENATE(HA$10,", "),""))</f>
        <v/>
      </c>
      <c r="HB52" s="713" t="str">
        <f ca="1">IF(INDIRECT(CONCATENATE($FK$12,Fixtures!HB$25))="","",IF(INDIRECT(CONCATENATE($FK$12,Fixtures!HB$25))=Fixtures!$DN52,CONCATENATE(HB$10,", "),""))</f>
        <v/>
      </c>
      <c r="HC52" s="713" t="str">
        <f ca="1">IF(INDIRECT(CONCATENATE($FK$12,Fixtures!HC$25))="","",IF(INDIRECT(CONCATENATE($FK$12,Fixtures!HC$25))=Fixtures!$DN52,CONCATENATE(HC$10,", "),""))</f>
        <v/>
      </c>
      <c r="HD52" s="713" t="str">
        <f ca="1">IF(INDIRECT(CONCATENATE($FK$12,Fixtures!HD$25))="","",IF(INDIRECT(CONCATENATE($FK$12,Fixtures!HD$25))=Fixtures!$DN52,CONCATENATE(HD$10,", "),""))</f>
        <v/>
      </c>
      <c r="HE52" s="713" t="str">
        <f ca="1">IF(INDIRECT(CONCATENATE($FK$12,Fixtures!HE$25))="","",IF(INDIRECT(CONCATENATE($FK$12,Fixtures!HE$25))=Fixtures!$DN52,CONCATENATE(HE$10,", "),""))</f>
        <v/>
      </c>
      <c r="HF52" s="713" t="str">
        <f ca="1">IF(INDIRECT(CONCATENATE($FK$12,Fixtures!HF$25))="","",IF(INDIRECT(CONCATENATE($FK$12,Fixtures!HF$25))=Fixtures!$DN52,CONCATENATE(HF$10,", "),""))</f>
        <v/>
      </c>
      <c r="HG52" s="713" t="str">
        <f ca="1">IF(INDIRECT(CONCATENATE($FK$12,Fixtures!HG$25))="","",IF(INDIRECT(CONCATENATE($FK$12,Fixtures!HG$25))=Fixtures!$DN52,CONCATENATE(HG$10,", "),""))</f>
        <v/>
      </c>
      <c r="HH52" s="713" t="str">
        <f ca="1">IF(INDIRECT(CONCATENATE($FK$12,Fixtures!HH$25))="","",IF(INDIRECT(CONCATENATE($FK$12,Fixtures!HH$25))=Fixtures!$DN52,CONCATENATE(HH$10,", "),""))</f>
        <v/>
      </c>
      <c r="HI52" s="713" t="str">
        <f ca="1">IF(INDIRECT(CONCATENATE($FK$12,Fixtures!HI$25))="","",IF(INDIRECT(CONCATENATE($FK$12,Fixtures!HI$25))=Fixtures!$DN52,CONCATENATE(HI$10,", "),""))</f>
        <v/>
      </c>
      <c r="HJ52" s="713" t="str">
        <f ca="1">IF(INDIRECT(CONCATENATE($FK$12,Fixtures!HJ$25))="","",IF(INDIRECT(CONCATENATE($FK$12,Fixtures!HJ$25))=Fixtures!$DN52,CONCATENATE(HJ$10,", "),""))</f>
        <v/>
      </c>
      <c r="HK52" s="713" t="str">
        <f ca="1">IF(INDIRECT(CONCATENATE($FK$12,Fixtures!HK$25))="","",IF(INDIRECT(CONCATENATE($FK$12,Fixtures!HK$25))=Fixtures!$DN52,CONCATENATE(HK$10,", "),""))</f>
        <v/>
      </c>
      <c r="HL52" s="713" t="str">
        <f ca="1">IF(INDIRECT(CONCATENATE($FK$12,Fixtures!HL$25))="","",IF(INDIRECT(CONCATENATE($FK$12,Fixtures!HL$25))=Fixtures!$DN52,CONCATENATE(HL$10,", "),""))</f>
        <v/>
      </c>
      <c r="HM52" s="684" t="str">
        <f ca="1">IF(INDIRECT(CONCATENATE($FK$12,Fixtures!HM$25))="","",IF(INDIRECT(CONCATENATE($FK$12,Fixtures!HM$25))=Fixtures!$DN52,CONCATENATE(HM$10,", "),""))</f>
        <v/>
      </c>
      <c r="HN52" s="685" t="str">
        <f ca="1">IF(INDIRECT(CONCATENATE($FK$12,Fixtures!HN$25))="","",IF(INDIRECT(CONCATENATE($FK$12,Fixtures!HN$25))=Fixtures!$DN52,CONCATENATE(HN$10,", "),""))</f>
        <v/>
      </c>
      <c r="HO52" s="713" t="str">
        <f ca="1">IF(INDIRECT(CONCATENATE($FK$12,Fixtures!HO$25))="","",IF(INDIRECT(CONCATENATE($FK$12,Fixtures!HO$25))=Fixtures!$DN52,CONCATENATE(HO$10,", "),""))</f>
        <v/>
      </c>
      <c r="HP52" s="713" t="str">
        <f ca="1">IF(INDIRECT(CONCATENATE($FK$12,Fixtures!HP$25))="","",IF(INDIRECT(CONCATENATE($FK$12,Fixtures!HP$25))=Fixtures!$DN52,CONCATENATE(HP$10,", "),""))</f>
        <v/>
      </c>
      <c r="HQ52" s="713" t="str">
        <f ca="1">IF(INDIRECT(CONCATENATE($FK$12,Fixtures!HQ$25))="","",IF(INDIRECT(CONCATENATE($FK$12,Fixtures!HQ$25))=Fixtures!$DN52,CONCATENATE(HQ$10,", "),""))</f>
        <v/>
      </c>
      <c r="HR52" s="713" t="str">
        <f ca="1">IF(INDIRECT(CONCATENATE($FK$12,Fixtures!HR$25))="","",IF(INDIRECT(CONCATENATE($FK$12,Fixtures!HR$25))=Fixtures!$DN52,CONCATENATE(HR$10,", "),""))</f>
        <v/>
      </c>
      <c r="HS52" s="713" t="str">
        <f ca="1">IF(INDIRECT(CONCATENATE($FK$12,Fixtures!HS$25))="","",IF(INDIRECT(CONCATENATE($FK$12,Fixtures!HS$25))=Fixtures!$DN52,CONCATENATE(HS$10,", "),""))</f>
        <v/>
      </c>
      <c r="HT52" s="713" t="str">
        <f ca="1">IF(INDIRECT(CONCATENATE($FK$12,Fixtures!HT$25))="","",IF(INDIRECT(CONCATENATE($FK$12,Fixtures!HT$25))=Fixtures!$DN52,CONCATENATE(HT$10,", "),""))</f>
        <v/>
      </c>
      <c r="HU52" s="713" t="str">
        <f ca="1">IF(INDIRECT(CONCATENATE($FK$12,Fixtures!HU$25))="","",IF(INDIRECT(CONCATENATE($FK$12,Fixtures!HU$25))=Fixtures!$DN52,CONCATENATE(HU$10,", "),""))</f>
        <v/>
      </c>
      <c r="HV52" s="713" t="str">
        <f ca="1">IF(INDIRECT(CONCATENATE($FK$12,Fixtures!HV$25))="","",IF(INDIRECT(CONCATENATE($FK$12,Fixtures!HV$25))=Fixtures!$DN52,CONCATENATE(HV$10,", "),""))</f>
        <v/>
      </c>
      <c r="HW52" s="713" t="str">
        <f ca="1">IF(INDIRECT(CONCATENATE($FK$12,Fixtures!HW$25))="","",IF(INDIRECT(CONCATENATE($FK$12,Fixtures!HW$25))=Fixtures!$DN52,CONCATENATE(HW$10,", "),""))</f>
        <v/>
      </c>
      <c r="HX52" s="713" t="str">
        <f ca="1">IF(INDIRECT(CONCATENATE($FK$12,Fixtures!HX$25))="","",IF(INDIRECT(CONCATENATE($FK$12,Fixtures!HX$25))=Fixtures!$DN52,CONCATENATE(HX$10,", "),""))</f>
        <v/>
      </c>
      <c r="HY52" s="713" t="str">
        <f ca="1">IF(INDIRECT(CONCATENATE($FK$12,Fixtures!HY$25))="","",IF(INDIRECT(CONCATENATE($FK$12,Fixtures!HY$25))=Fixtures!$DN52,CONCATENATE(HY$10,", "),""))</f>
        <v/>
      </c>
      <c r="HZ52" s="713" t="str">
        <f ca="1">IF(INDIRECT(CONCATENATE($FK$12,Fixtures!HZ$25))="","",IF(INDIRECT(CONCATENATE($FK$12,Fixtures!HZ$25))=Fixtures!$DN52,CONCATENATE(HZ$10,", "),""))</f>
        <v/>
      </c>
      <c r="IA52" s="713" t="str">
        <f ca="1">IF(INDIRECT(CONCATENATE($FK$12,Fixtures!IA$25))="","",IF(INDIRECT(CONCATENATE($FK$12,Fixtures!IA$25))=Fixtures!$DN52,CONCATENATE(IA$10,", "),""))</f>
        <v/>
      </c>
      <c r="IB52" s="684" t="str">
        <f ca="1">IF(INDIRECT(CONCATENATE($FK$12,Fixtures!IB$25))="","",IF(INDIRECT(CONCATENATE($FK$12,Fixtures!IB$25))=Fixtures!$DN52,CONCATENATE(IB$10,", "),""))</f>
        <v/>
      </c>
      <c r="IC52" s="685" t="str">
        <f ca="1">IF(INDIRECT(CONCATENATE($FK$12,Fixtures!IC$25))="","",IF(INDIRECT(CONCATENATE($FK$12,Fixtures!IC$25))=Fixtures!$DN52,CONCATENATE(IC$10,", "),""))</f>
        <v/>
      </c>
      <c r="ID52" s="713" t="str">
        <f ca="1">IF(INDIRECT(CONCATENATE($FK$12,Fixtures!ID$25))="","",IF(INDIRECT(CONCATENATE($FK$12,Fixtures!ID$25))=Fixtures!$DN52,CONCATENATE(ID$10,", "),""))</f>
        <v/>
      </c>
      <c r="IE52" s="713" t="str">
        <f ca="1">IF(INDIRECT(CONCATENATE($FK$12,Fixtures!IE$25))="","",IF(INDIRECT(CONCATENATE($FK$12,Fixtures!IE$25))=Fixtures!$DN52,CONCATENATE(IE$10,", "),""))</f>
        <v/>
      </c>
      <c r="IF52" s="713" t="str">
        <f ca="1">IF(INDIRECT(CONCATENATE($FK$12,Fixtures!IF$25))="","",IF(INDIRECT(CONCATENATE($FK$12,Fixtures!IF$25))=Fixtures!$DN52,CONCATENATE(IF$10,", "),""))</f>
        <v/>
      </c>
      <c r="IG52" s="713" t="str">
        <f ca="1">IF(INDIRECT(CONCATENATE($FK$12,Fixtures!IG$25))="","",IF(INDIRECT(CONCATENATE($FK$12,Fixtures!IG$25))=Fixtures!$DN52,CONCATENATE(IG$10,", "),""))</f>
        <v/>
      </c>
      <c r="IH52" s="713" t="str">
        <f ca="1">IF(INDIRECT(CONCATENATE($FK$12,Fixtures!IH$25))="","",IF(INDIRECT(CONCATENATE($FK$12,Fixtures!IH$25))=Fixtures!$DN52,CONCATENATE(IH$10,", "),""))</f>
        <v/>
      </c>
      <c r="II52" s="713" t="str">
        <f ca="1">IF(INDIRECT(CONCATENATE($FK$12,Fixtures!II$25))="","",IF(INDIRECT(CONCATENATE($FK$12,Fixtures!II$25))=Fixtures!$DN52,CONCATENATE(II$10,", "),""))</f>
        <v/>
      </c>
      <c r="IJ52" s="713" t="str">
        <f ca="1">IF(INDIRECT(CONCATENATE($FK$12,Fixtures!IJ$25))="","",IF(INDIRECT(CONCATENATE($FK$12,Fixtures!IJ$25))=Fixtures!$DN52,CONCATENATE(IJ$10,", "),""))</f>
        <v/>
      </c>
      <c r="IK52" s="713" t="str">
        <f ca="1">IF(INDIRECT(CONCATENATE($FK$12,Fixtures!IK$25))="","",IF(INDIRECT(CONCATENATE($FK$12,Fixtures!IK$25))=Fixtures!$DN52,CONCATENATE(IK$10,", "),""))</f>
        <v/>
      </c>
      <c r="IL52" s="713" t="str">
        <f ca="1">IF(INDIRECT(CONCATENATE($FK$12,Fixtures!IL$25))="","",IF(INDIRECT(CONCATENATE($FK$12,Fixtures!IL$25))=Fixtures!$DN52,CONCATENATE(IL$10,", "),""))</f>
        <v/>
      </c>
      <c r="IM52" s="713" t="str">
        <f ca="1">IF(INDIRECT(CONCATENATE($FK$12,Fixtures!IM$25))="","",IF(INDIRECT(CONCATENATE($FK$12,Fixtures!IM$25))=Fixtures!$DN52,CONCATENATE(IM$10,", "),""))</f>
        <v/>
      </c>
      <c r="IN52" s="713" t="str">
        <f ca="1">IF(INDIRECT(CONCATENATE($FK$12,Fixtures!IN$25))="","",IF(INDIRECT(CONCATENATE($FK$12,Fixtures!IN$25))=Fixtures!$DN52,CONCATENATE(IN$10,", "),""))</f>
        <v/>
      </c>
      <c r="IO52" s="713" t="str">
        <f ca="1">IF(INDIRECT(CONCATENATE($FK$12,Fixtures!IO$25))="","",IF(INDIRECT(CONCATENATE($FK$12,Fixtures!IO$25))=Fixtures!$DN52,CONCATENATE(IO$10,", "),""))</f>
        <v/>
      </c>
      <c r="IP52" s="713" t="str">
        <f ca="1">IF(INDIRECT(CONCATENATE($FK$12,Fixtures!IP$25))="","",IF(INDIRECT(CONCATENATE($FK$12,Fixtures!IP$25))=Fixtures!$DN52,CONCATENATE(IP$10,", "),""))</f>
        <v/>
      </c>
      <c r="IQ52" s="684" t="str">
        <f ca="1">IF(INDIRECT(CONCATENATE($FK$12,Fixtures!IQ$25))="","",IF(INDIRECT(CONCATENATE($FK$12,Fixtures!IQ$25))=Fixtures!$DN52,CONCATENATE(IQ$10,", "),""))</f>
        <v/>
      </c>
      <c r="IR52" s="685" t="str">
        <f ca="1">IF(INDIRECT(CONCATENATE($FK$12,Fixtures!IR$25))="","",IF(INDIRECT(CONCATENATE($FK$12,Fixtures!IR$25))=Fixtures!$DN52,CONCATENATE(IR$10,", "),""))</f>
        <v/>
      </c>
      <c r="IS52" s="713" t="str">
        <f ca="1">IF(INDIRECT(CONCATENATE($FK$12,Fixtures!IS$25))="","",IF(INDIRECT(CONCATENATE($FK$12,Fixtures!IS$25))=Fixtures!$DN52,CONCATENATE(IS$10,", "),""))</f>
        <v/>
      </c>
      <c r="IT52" s="713" t="str">
        <f ca="1">IF(INDIRECT(CONCATENATE($FK$12,Fixtures!IT$25))="","",IF(INDIRECT(CONCATENATE($FK$12,Fixtures!IT$25))=Fixtures!$DN52,CONCATENATE(IT$10,", "),""))</f>
        <v/>
      </c>
      <c r="IU52" s="713" t="str">
        <f ca="1">IF(INDIRECT(CONCATENATE($FK$12,Fixtures!IU$25))="","",IF(INDIRECT(CONCATENATE($FK$12,Fixtures!IU$25))=Fixtures!$DN52,CONCATENATE(IU$10,", "),""))</f>
        <v/>
      </c>
      <c r="IV52" s="713" t="str">
        <f ca="1">IF(INDIRECT(CONCATENATE($FK$12,Fixtures!IV$25))="","",IF(INDIRECT(CONCATENATE($FK$12,Fixtures!IV$25))=Fixtures!$DN52,CONCATENATE(IV$10,", "),""))</f>
        <v/>
      </c>
      <c r="IW52" s="713" t="str">
        <f ca="1">IF(INDIRECT(CONCATENATE($FK$12,Fixtures!IW$25))="","",IF(INDIRECT(CONCATENATE($FK$12,Fixtures!IW$25))=Fixtures!$DN52,CONCATENATE(IW$10,", "),""))</f>
        <v/>
      </c>
      <c r="IX52" s="713" t="str">
        <f ca="1">IF(INDIRECT(CONCATENATE($FK$12,Fixtures!IX$25))="","",IF(INDIRECT(CONCATENATE($FK$12,Fixtures!IX$25))=Fixtures!$DN52,CONCATENATE(IX$10,", "),""))</f>
        <v/>
      </c>
      <c r="IY52" s="713" t="str">
        <f ca="1">IF(INDIRECT(CONCATENATE($FK$12,Fixtures!IY$25))="","",IF(INDIRECT(CONCATENATE($FK$12,Fixtures!IY$25))=Fixtures!$DN52,CONCATENATE(IY$10,", "),""))</f>
        <v/>
      </c>
      <c r="IZ52" s="713" t="str">
        <f ca="1">IF(INDIRECT(CONCATENATE($FK$12,Fixtures!IZ$25))="","",IF(INDIRECT(CONCATENATE($FK$12,Fixtures!IZ$25))=Fixtures!$DN52,CONCATENATE(IZ$10,", "),""))</f>
        <v/>
      </c>
      <c r="JA52" s="713" t="str">
        <f ca="1">IF(INDIRECT(CONCATENATE($FK$12,Fixtures!JA$25))="","",IF(INDIRECT(CONCATENATE($FK$12,Fixtures!JA$25))=Fixtures!$DN52,CONCATENATE(JA$10,", "),""))</f>
        <v/>
      </c>
      <c r="JB52" s="713" t="str">
        <f ca="1">IF(INDIRECT(CONCATENATE($FK$12,Fixtures!JB$25))="","",IF(INDIRECT(CONCATENATE($FK$12,Fixtures!JB$25))=Fixtures!$DN52,CONCATENATE(JB$10,", "),""))</f>
        <v/>
      </c>
      <c r="JC52" s="713" t="str">
        <f ca="1">IF(INDIRECT(CONCATENATE($FK$12,Fixtures!JC$25))="","",IF(INDIRECT(CONCATENATE($FK$12,Fixtures!JC$25))=Fixtures!$DN52,CONCATENATE(JC$10,", "),""))</f>
        <v/>
      </c>
      <c r="JD52" s="713" t="str">
        <f ca="1">IF(INDIRECT(CONCATENATE($FK$12,Fixtures!JD$25))="","",IF(INDIRECT(CONCATENATE($FK$12,Fixtures!JD$25))=Fixtures!$DN52,CONCATENATE(JD$10,", "),""))</f>
        <v/>
      </c>
      <c r="JE52" s="713" t="str">
        <f ca="1">IF(INDIRECT(CONCATENATE($FK$12,Fixtures!JE$25))="","",IF(INDIRECT(CONCATENATE($FK$12,Fixtures!JE$25))=Fixtures!$DN52,CONCATENATE(JE$10,", "),""))</f>
        <v/>
      </c>
      <c r="JF52" s="684" t="str">
        <f ca="1">IF(INDIRECT(CONCATENATE($FK$12,Fixtures!JF$25))="","",IF(INDIRECT(CONCATENATE($FK$12,Fixtures!JF$25))=Fixtures!$DN52,CONCATENATE(JF$10,", "),""))</f>
        <v/>
      </c>
      <c r="JG52" s="685" t="str">
        <f ca="1">IF(INDIRECT(CONCATENATE($FK$12,Fixtures!JG$25))="","",IF(INDIRECT(CONCATENATE($FK$12,Fixtures!JG$25))=Fixtures!$DN52,CONCATENATE(JG$10,", "),""))</f>
        <v/>
      </c>
      <c r="JH52" s="713" t="str">
        <f ca="1">IF(INDIRECT(CONCATENATE($FK$12,Fixtures!JH$25))="","",IF(INDIRECT(CONCATENATE($FK$12,Fixtures!JH$25))=Fixtures!$DN52,CONCATENATE(JH$10,", "),""))</f>
        <v/>
      </c>
      <c r="JI52" s="713" t="str">
        <f ca="1">IF(INDIRECT(CONCATENATE($FK$12,Fixtures!JI$25))="","",IF(INDIRECT(CONCATENATE($FK$12,Fixtures!JI$25))=Fixtures!$DN52,CONCATENATE(JI$10,", "),""))</f>
        <v/>
      </c>
      <c r="JJ52" s="713" t="str">
        <f ca="1">IF(INDIRECT(CONCATENATE($FK$12,Fixtures!JJ$25))="","",IF(INDIRECT(CONCATENATE($FK$12,Fixtures!JJ$25))=Fixtures!$DN52,CONCATENATE(JJ$10,", "),""))</f>
        <v/>
      </c>
      <c r="JK52" s="713" t="str">
        <f ca="1">IF(INDIRECT(CONCATENATE($FK$12,Fixtures!JK$25))="","",IF(INDIRECT(CONCATENATE($FK$12,Fixtures!JK$25))=Fixtures!$DN52,CONCATENATE(JK$10,", "),""))</f>
        <v/>
      </c>
      <c r="JL52" s="713" t="str">
        <f ca="1">IF(INDIRECT(CONCATENATE($FK$12,Fixtures!JL$25))="","",IF(INDIRECT(CONCATENATE($FK$12,Fixtures!JL$25))=Fixtures!$DN52,CONCATENATE(JL$10,", "),""))</f>
        <v/>
      </c>
      <c r="JM52" s="713" t="str">
        <f ca="1">IF(INDIRECT(CONCATENATE($FK$12,Fixtures!JM$25))="","",IF(INDIRECT(CONCATENATE($FK$12,Fixtures!JM$25))=Fixtures!$DN52,CONCATENATE(JM$10,", "),""))</f>
        <v/>
      </c>
      <c r="JN52" s="713" t="str">
        <f ca="1">IF(INDIRECT(CONCATENATE($FK$12,Fixtures!JN$25))="","",IF(INDIRECT(CONCATENATE($FK$12,Fixtures!JN$25))=Fixtures!$DN52,CONCATENATE(JN$10,", "),""))</f>
        <v/>
      </c>
      <c r="JO52" s="713" t="str">
        <f ca="1">IF(INDIRECT(CONCATENATE($FK$12,Fixtures!JO$25))="","",IF(INDIRECT(CONCATENATE($FK$12,Fixtures!JO$25))=Fixtures!$DN52,CONCATENATE(JO$10,", "),""))</f>
        <v/>
      </c>
      <c r="JP52" s="713" t="str">
        <f ca="1">IF(INDIRECT(CONCATENATE($FK$12,Fixtures!JP$25))="","",IF(INDIRECT(CONCATENATE($FK$12,Fixtures!JP$25))=Fixtures!$DN52,CONCATENATE(JP$10,", "),""))</f>
        <v/>
      </c>
      <c r="JQ52" s="713" t="str">
        <f ca="1">IF(INDIRECT(CONCATENATE($FK$12,Fixtures!JQ$25))="","",IF(INDIRECT(CONCATENATE($FK$12,Fixtures!JQ$25))=Fixtures!$DN52,CONCATENATE(JQ$10,", "),""))</f>
        <v/>
      </c>
      <c r="JR52" s="713" t="str">
        <f ca="1">IF(INDIRECT(CONCATENATE($FK$12,Fixtures!JR$25))="","",IF(INDIRECT(CONCATENATE($FK$12,Fixtures!JR$25))=Fixtures!$DN52,CONCATENATE(JR$10,", "),""))</f>
        <v/>
      </c>
      <c r="JS52" s="713" t="str">
        <f ca="1">IF(INDIRECT(CONCATENATE($FK$12,Fixtures!JS$25))="","",IF(INDIRECT(CONCATENATE($FK$12,Fixtures!JS$25))=Fixtures!$DN52,CONCATENATE(JS$10,", "),""))</f>
        <v/>
      </c>
      <c r="JT52" s="713" t="str">
        <f ca="1">IF(INDIRECT(CONCATENATE($FK$12,Fixtures!JT$25))="","",IF(INDIRECT(CONCATENATE($FK$12,Fixtures!JT$25))=Fixtures!$DN52,CONCATENATE(JT$10,", "),""))</f>
        <v/>
      </c>
      <c r="JU52" s="684" t="str">
        <f ca="1">IF(INDIRECT(CONCATENATE($FK$12,Fixtures!JU$25))="","",IF(INDIRECT(CONCATENATE($FK$12,Fixtures!JU$25))=Fixtures!$DN52,CONCATENATE(JU$10,", "),""))</f>
        <v/>
      </c>
      <c r="JV52" s="685" t="str">
        <f ca="1">IF(INDIRECT(CONCATENATE($FK$12,Fixtures!JV$25))="","",IF(INDIRECT(CONCATENATE($FK$12,Fixtures!JV$25))=Fixtures!$DN52,CONCATENATE(JV$10,", "),""))</f>
        <v/>
      </c>
      <c r="JW52" s="713" t="str">
        <f ca="1">IF(INDIRECT(CONCATENATE($FK$12,Fixtures!JW$25))="","",IF(INDIRECT(CONCATENATE($FK$12,Fixtures!JW$25))=Fixtures!$DN52,CONCATENATE(JW$10,", "),""))</f>
        <v/>
      </c>
      <c r="JX52" s="713" t="str">
        <f ca="1">IF(INDIRECT(CONCATENATE($FK$12,Fixtures!JX$25))="","",IF(INDIRECT(CONCATENATE($FK$12,Fixtures!JX$25))=Fixtures!$DN52,CONCATENATE(JX$10,", "),""))</f>
        <v/>
      </c>
      <c r="JY52" s="713" t="str">
        <f ca="1">IF(INDIRECT(CONCATENATE($FK$12,Fixtures!JY$25))="","",IF(INDIRECT(CONCATENATE($FK$12,Fixtures!JY$25))=Fixtures!$DN52,CONCATENATE(JY$10,", "),""))</f>
        <v/>
      </c>
      <c r="JZ52" s="713" t="str">
        <f ca="1">IF(INDIRECT(CONCATENATE($FK$12,Fixtures!JZ$25))="","",IF(INDIRECT(CONCATENATE($FK$12,Fixtures!JZ$25))=Fixtures!$DN52,CONCATENATE(JZ$10,", "),""))</f>
        <v/>
      </c>
      <c r="KA52" s="713" t="str">
        <f ca="1">IF(INDIRECT(CONCATENATE($FK$12,Fixtures!KA$25))="","",IF(INDIRECT(CONCATENATE($FK$12,Fixtures!KA$25))=Fixtures!$DN52,CONCATENATE(KA$10,", "),""))</f>
        <v/>
      </c>
      <c r="KB52" s="713" t="str">
        <f ca="1">IF(INDIRECT(CONCATENATE($FK$12,Fixtures!KB$25))="","",IF(INDIRECT(CONCATENATE($FK$12,Fixtures!KB$25))=Fixtures!$DN52,CONCATENATE(KB$10,", "),""))</f>
        <v/>
      </c>
      <c r="KC52" s="713" t="str">
        <f ca="1">IF(INDIRECT(CONCATENATE($FK$12,Fixtures!KC$25))="","",IF(INDIRECT(CONCATENATE($FK$12,Fixtures!KC$25))=Fixtures!$DN52,CONCATENATE(KC$10,", "),""))</f>
        <v/>
      </c>
      <c r="KD52" s="713" t="str">
        <f ca="1">IF(INDIRECT(CONCATENATE($FK$12,Fixtures!KD$25))="","",IF(INDIRECT(CONCATENATE($FK$12,Fixtures!KD$25))=Fixtures!$DN52,CONCATENATE(KD$10,", "),""))</f>
        <v/>
      </c>
      <c r="KE52" s="713" t="str">
        <f ca="1">IF(INDIRECT(CONCATENATE($FK$12,Fixtures!KE$25))="","",IF(INDIRECT(CONCATENATE($FK$12,Fixtures!KE$25))=Fixtures!$DN52,CONCATENATE(KE$10,", "),""))</f>
        <v/>
      </c>
      <c r="KF52" s="713" t="str">
        <f ca="1">IF(INDIRECT(CONCATENATE($FK$12,Fixtures!KF$25))="","",IF(INDIRECT(CONCATENATE($FK$12,Fixtures!KF$25))=Fixtures!$DN52,CONCATENATE(KF$10,", "),""))</f>
        <v/>
      </c>
      <c r="KG52" s="713" t="str">
        <f ca="1">IF(INDIRECT(CONCATENATE($FK$12,Fixtures!KG$25))="","",IF(INDIRECT(CONCATENATE($FK$12,Fixtures!KG$25))=Fixtures!$DN52,CONCATENATE(KG$10,", "),""))</f>
        <v/>
      </c>
      <c r="KH52" s="713" t="str">
        <f ca="1">IF(INDIRECT(CONCATENATE($FK$12,Fixtures!KH$25))="","",IF(INDIRECT(CONCATENATE($FK$12,Fixtures!KH$25))=Fixtures!$DN52,CONCATENATE(KH$10,", "),""))</f>
        <v/>
      </c>
      <c r="KI52" s="713" t="str">
        <f ca="1">IF(INDIRECT(CONCATENATE($FK$12,Fixtures!KI$25))="","",IF(INDIRECT(CONCATENATE($FK$12,Fixtures!KI$25))=Fixtures!$DN52,CONCATENATE(KI$10,", "),""))</f>
        <v/>
      </c>
      <c r="KJ52" s="684" t="str">
        <f ca="1">IF(INDIRECT(CONCATENATE($FK$12,Fixtures!KJ$25))="","",IF(INDIRECT(CONCATENATE($FK$12,Fixtures!KJ$25))=Fixtures!$DN52,CONCATENATE(KJ$10,", "),""))</f>
        <v/>
      </c>
      <c r="KK52" s="685" t="str">
        <f ca="1">IF(INDIRECT(CONCATENATE($FK$12,Fixtures!KK$25))="","",IF(INDIRECT(CONCATENATE($FK$12,Fixtures!KK$25))=Fixtures!$DN52,CONCATENATE(KK$10,", "),""))</f>
        <v/>
      </c>
      <c r="KL52" s="713" t="str">
        <f ca="1">IF(INDIRECT(CONCATENATE($FK$12,Fixtures!KL$25))="","",IF(INDIRECT(CONCATENATE($FK$12,Fixtures!KL$25))=Fixtures!$DN52,CONCATENATE(KL$10,", "),""))</f>
        <v/>
      </c>
      <c r="KM52" s="713" t="str">
        <f ca="1">IF(INDIRECT(CONCATENATE($FK$12,Fixtures!KM$25))="","",IF(INDIRECT(CONCATENATE($FK$12,Fixtures!KM$25))=Fixtures!$DN52,CONCATENATE(KM$10,", "),""))</f>
        <v/>
      </c>
      <c r="KN52" s="713" t="str">
        <f ca="1">IF(INDIRECT(CONCATENATE($FK$12,Fixtures!KN$25))="","",IF(INDIRECT(CONCATENATE($FK$12,Fixtures!KN$25))=Fixtures!$DN52,CONCATENATE(KN$10,", "),""))</f>
        <v/>
      </c>
      <c r="KO52" s="713" t="str">
        <f ca="1">IF(INDIRECT(CONCATENATE($FK$12,Fixtures!KO$25))="","",IF(INDIRECT(CONCATENATE($FK$12,Fixtures!KO$25))=Fixtures!$DN52,CONCATENATE(KO$10,", "),""))</f>
        <v/>
      </c>
      <c r="KP52" s="713" t="str">
        <f ca="1">IF(INDIRECT(CONCATENATE($FK$12,Fixtures!KP$25))="","",IF(INDIRECT(CONCATENATE($FK$12,Fixtures!KP$25))=Fixtures!$DN52,CONCATENATE(KP$10,", "),""))</f>
        <v/>
      </c>
      <c r="KQ52" s="713" t="str">
        <f ca="1">IF(INDIRECT(CONCATENATE($FK$12,Fixtures!KQ$25))="","",IF(INDIRECT(CONCATENATE($FK$12,Fixtures!KQ$25))=Fixtures!$DN52,CONCATENATE(KQ$10,", "),""))</f>
        <v/>
      </c>
      <c r="KR52" s="713" t="str">
        <f ca="1">IF(INDIRECT(CONCATENATE($FK$12,Fixtures!KR$25))="","",IF(INDIRECT(CONCATENATE($FK$12,Fixtures!KR$25))=Fixtures!$DN52,CONCATENATE(KR$10,", "),""))</f>
        <v/>
      </c>
      <c r="KS52" s="713" t="str">
        <f ca="1">IF(INDIRECT(CONCATENATE($FK$12,Fixtures!KS$25))="","",IF(INDIRECT(CONCATENATE($FK$12,Fixtures!KS$25))=Fixtures!$DN52,CONCATENATE(KS$10,", "),""))</f>
        <v/>
      </c>
      <c r="KT52" s="713" t="str">
        <f ca="1">IF(INDIRECT(CONCATENATE($FK$12,Fixtures!KT$25))="","",IF(INDIRECT(CONCATENATE($FK$12,Fixtures!KT$25))=Fixtures!$DN52,CONCATENATE(KT$10,", "),""))</f>
        <v/>
      </c>
      <c r="KU52" s="713" t="str">
        <f ca="1">IF(INDIRECT(CONCATENATE($FK$12,Fixtures!KU$25))="","",IF(INDIRECT(CONCATENATE($FK$12,Fixtures!KU$25))=Fixtures!$DN52,CONCATENATE(KU$10,", "),""))</f>
        <v/>
      </c>
      <c r="KV52" s="713" t="str">
        <f ca="1">IF(INDIRECT(CONCATENATE($FK$12,Fixtures!KV$25))="","",IF(INDIRECT(CONCATENATE($FK$12,Fixtures!KV$25))=Fixtures!$DN52,CONCATENATE(KV$10,", "),""))</f>
        <v/>
      </c>
      <c r="KW52" s="713" t="str">
        <f ca="1">IF(INDIRECT(CONCATENATE($FK$12,Fixtures!KW$25))="","",IF(INDIRECT(CONCATENATE($FK$12,Fixtures!KW$25))=Fixtures!$DN52,CONCATENATE(KW$10,", "),""))</f>
        <v/>
      </c>
      <c r="KX52" s="713" t="str">
        <f ca="1">IF(INDIRECT(CONCATENATE($FK$12,Fixtures!KX$25))="","",IF(INDIRECT(CONCATENATE($FK$12,Fixtures!KX$25))=Fixtures!$DN52,CONCATENATE(KX$10,", "),""))</f>
        <v/>
      </c>
      <c r="KY52" s="713" t="str">
        <f ca="1">IF(INDIRECT(CONCATENATE($FK$12,Fixtures!KY$25))="","",IF(INDIRECT(CONCATENATE($FK$12,Fixtures!KY$25))=Fixtures!$DN52,CONCATENATE(KY$10,", "),""))</f>
        <v/>
      </c>
      <c r="KZ52" s="46"/>
      <c r="LA52" s="46" t="str">
        <f t="shared" ca="1" si="8"/>
        <v/>
      </c>
    </row>
    <row r="53" spans="1:313" ht="28.05" customHeight="1" thickTop="1" thickBot="1">
      <c r="A53" s="471" t="str">
        <f t="shared" si="13"/>
        <v/>
      </c>
      <c r="C53" s="1328" t="str">
        <f t="shared" si="14"/>
        <v/>
      </c>
      <c r="D53" s="1329"/>
      <c r="E53" s="1256" t="str">
        <f t="shared" si="15"/>
        <v/>
      </c>
      <c r="F53" s="1257"/>
      <c r="G53" s="1257"/>
      <c r="H53" s="1257"/>
      <c r="I53" s="1257"/>
      <c r="J53" s="1257"/>
      <c r="K53" s="1257"/>
      <c r="L53" s="1257"/>
      <c r="M53" s="1330"/>
      <c r="N53" s="239" t="str">
        <f t="shared" si="16"/>
        <v/>
      </c>
      <c r="O53" s="12"/>
      <c r="P53" s="1326" t="str">
        <f t="shared" si="25"/>
        <v/>
      </c>
      <c r="Q53" s="1327"/>
      <c r="R53" s="1256" t="str">
        <f t="shared" si="31"/>
        <v/>
      </c>
      <c r="S53" s="1257"/>
      <c r="T53" s="1257"/>
      <c r="U53" s="1257"/>
      <c r="V53" s="1257"/>
      <c r="W53" s="1257"/>
      <c r="X53" s="1257"/>
      <c r="Y53" s="239" t="str">
        <f t="shared" si="27"/>
        <v/>
      </c>
      <c r="Z53" s="239" t="str">
        <f t="shared" si="28"/>
        <v/>
      </c>
      <c r="AA53" s="439" t="str">
        <f t="shared" si="29"/>
        <v/>
      </c>
      <c r="AB53" s="542"/>
      <c r="AC53" s="1253" t="str">
        <f t="shared" si="17"/>
        <v/>
      </c>
      <c r="AD53" s="1166"/>
      <c r="AE53" s="1166"/>
      <c r="AF53" s="1166"/>
      <c r="AG53" s="1166"/>
      <c r="AH53" s="1166"/>
      <c r="AK53">
        <f>SUMIFS(Installations!CS$39:CS$800,Installations!CT$39:CT$800,E53,Installations!HX$39:HX$800,TRUE)</f>
        <v>0</v>
      </c>
      <c r="AL53">
        <f>SUMIFS(Installations!CS$39:CS$800,Installations!CT$39:CT$800,R53,Installations!HX$39:HX$800,TRUE)</f>
        <v>0</v>
      </c>
      <c r="BL53" s="9"/>
      <c r="BM53" s="703" t="str">
        <f t="shared" si="18"/>
        <v/>
      </c>
      <c r="BN53" s="52"/>
      <c r="BO53" s="52"/>
      <c r="BP53" s="52"/>
      <c r="BQ53" s="52"/>
      <c r="BR53" s="52"/>
      <c r="BS53" s="52"/>
      <c r="BT53" s="52"/>
      <c r="BU53" s="414"/>
      <c r="BV53" s="255" t="str">
        <f>IF(CN53&lt;&gt;"Yes","",IFERROR(VLOOKUP(CU53,Existing!A$4:F$364,2,FALSE),""))</f>
        <v/>
      </c>
      <c r="BW53" s="9">
        <v>27</v>
      </c>
      <c r="BX53" s="1313"/>
      <c r="BY53" s="1314"/>
      <c r="BZ53" s="1314"/>
      <c r="CA53" s="1315"/>
      <c r="CB53" s="1310"/>
      <c r="CC53" s="1311"/>
      <c r="CD53" s="1311"/>
      <c r="CE53" s="1312"/>
      <c r="CF53" s="1309"/>
      <c r="CG53" s="1309"/>
      <c r="CH53" s="1309"/>
      <c r="CI53" s="1309"/>
      <c r="CJ53" s="1309"/>
      <c r="CK53" s="1309"/>
      <c r="CL53" s="1309"/>
      <c r="CM53" s="1309"/>
      <c r="CN53" s="1243" t="str">
        <f>IF(CB53&lt;&gt;"",IF(CB53="Existing TLED",
IF(OR(CF53="",CJ53="",BX53="",CR53=""),"NO","YES"),
IF(OR(CF53="",CJ53="",BX53=""),"NO","YES")
),"")</f>
        <v/>
      </c>
      <c r="CO53" s="1244"/>
      <c r="CP53" s="265" t="str">
        <f>IFERROR(IF(CB53="Existing TLED",CR53*CW53*CY53,VLOOKUP(CU53,Existing!A$3:F$353,6,FALSE)),"")</f>
        <v/>
      </c>
      <c r="CQ53" s="9"/>
      <c r="CR53" s="1343"/>
      <c r="CS53" s="1344"/>
      <c r="CT53" s="9"/>
      <c r="CU53" s="470" t="str">
        <f t="shared" si="21"/>
        <v/>
      </c>
      <c r="CV53" s="471" t="b">
        <f t="shared" si="22"/>
        <v>0</v>
      </c>
      <c r="CW53" s="471" t="str">
        <f t="shared" si="23"/>
        <v/>
      </c>
      <c r="CX53" s="471">
        <f>IFERROR(VLOOKUP(CF53,Lookup!M$100:O$102,3,FALSE),0)</f>
        <v>0</v>
      </c>
      <c r="CY53" s="471">
        <f t="shared" si="9"/>
        <v>1.1100000000000001</v>
      </c>
      <c r="CZ53" s="707" t="b">
        <f t="shared" si="1"/>
        <v>0</v>
      </c>
      <c r="DA53" s="707" t="b">
        <f>IF(CF53&lt;&gt;"",IF(ISERROR(MATCH(CONCATENATE(CB53," - ",CF53),Existing!G$4:G$328,0))=TRUE,FALSE,TRUE),TRUE)</f>
        <v>1</v>
      </c>
      <c r="DB53" s="707" t="b">
        <f t="shared" si="2"/>
        <v>1</v>
      </c>
      <c r="DL53" s="9"/>
      <c r="DM53" s="708" t="s">
        <v>166</v>
      </c>
      <c r="DN53" s="416" t="str">
        <f t="shared" si="3"/>
        <v/>
      </c>
      <c r="DO53" s="52"/>
      <c r="DP53" s="52"/>
      <c r="DQ53" s="52"/>
      <c r="DR53" s="52"/>
      <c r="DS53" s="52"/>
      <c r="DT53" s="262"/>
      <c r="DU53" s="417"/>
      <c r="DV53" s="263" t="str">
        <f t="shared" si="4"/>
        <v/>
      </c>
      <c r="DW53" s="260">
        <v>27</v>
      </c>
      <c r="DX53" s="1306"/>
      <c r="DY53" s="1307"/>
      <c r="DZ53" s="1307"/>
      <c r="EA53" s="1308"/>
      <c r="EB53" s="1306"/>
      <c r="EC53" s="1307"/>
      <c r="ED53" s="1307"/>
      <c r="EE53" s="1308"/>
      <c r="EF53" s="1266"/>
      <c r="EG53" s="1267"/>
      <c r="EH53" s="1306"/>
      <c r="EI53" s="1307"/>
      <c r="EJ53" s="1307"/>
      <c r="EK53" s="1308"/>
      <c r="EL53" s="1263"/>
      <c r="EM53" s="1264"/>
      <c r="EN53" s="1264"/>
      <c r="EO53" s="1265"/>
      <c r="EP53" s="1266"/>
      <c r="EQ53" s="1267"/>
      <c r="ER53" s="1245"/>
      <c r="ES53" s="1246"/>
      <c r="ET53" s="1243" t="str">
        <f t="shared" si="5"/>
        <v/>
      </c>
      <c r="EU53" s="1244"/>
      <c r="EV53" s="1243" t="str">
        <f t="shared" si="30"/>
        <v/>
      </c>
      <c r="EW53" s="1244"/>
      <c r="EX53" s="438"/>
      <c r="EY53" s="261" t="str">
        <f t="shared" si="7"/>
        <v/>
      </c>
      <c r="EZ53" s="261" t="str">
        <f>IFERROR(VLOOKUP(EB53,Lookup!AM$3:AN$13,2,FALSE),"")</f>
        <v/>
      </c>
      <c r="FA53" s="471" t="b">
        <f>IFERROR(IF(VLOOKUP(EB53,Lookup!AM$6:AN$8,2,FALSE)&gt;3,TRUE,FALSE),FALSE)</f>
        <v>0</v>
      </c>
      <c r="FB53" s="471">
        <f t="shared" si="11"/>
        <v>1</v>
      </c>
      <c r="FC53" t="str">
        <f t="shared" ca="1" si="10"/>
        <v/>
      </c>
      <c r="FG53" t="str">
        <f t="shared" ca="1" si="12"/>
        <v/>
      </c>
      <c r="FI53" s="240" t="str">
        <f t="shared" ca="1" si="24"/>
        <v/>
      </c>
      <c r="FJ53" s="240"/>
      <c r="FK53" s="712" t="str">
        <f ca="1">IF(INDIRECT(CONCATENATE($FK$12,Fixtures!FK$25))="","",IF(INDIRECT(CONCATENATE($FK$12,Fixtures!FK$25))=Fixtures!$DN53,CONCATENATE(FK$10,", "),""))</f>
        <v/>
      </c>
      <c r="FL53" s="712" t="str">
        <f ca="1">IF(INDIRECT(CONCATENATE($FK$12,Fixtures!FL$25))="","",IF(INDIRECT(CONCATENATE($FK$12,Fixtures!FL$25))=Fixtures!$DN53,CONCATENATE(FL$10,", "),""))</f>
        <v/>
      </c>
      <c r="FM53" s="712" t="str">
        <f ca="1">IF(INDIRECT(CONCATENATE($FK$12,Fixtures!FM$25))="","",IF(INDIRECT(CONCATENATE($FK$12,Fixtures!FM$25))=Fixtures!$DN53,CONCATENATE(FM$10,", "),""))</f>
        <v/>
      </c>
      <c r="FN53" s="712" t="str">
        <f ca="1">IF(INDIRECT(CONCATENATE($FK$12,Fixtures!FN$25))="","",IF(INDIRECT(CONCATENATE($FK$12,Fixtures!FN$25))=Fixtures!$DN53,CONCATENATE(FN$10,", "),""))</f>
        <v/>
      </c>
      <c r="FO53" s="712" t="str">
        <f ca="1">IF(INDIRECT(CONCATENATE($FK$12,Fixtures!FO$25))="","",IF(INDIRECT(CONCATENATE($FK$12,Fixtures!FO$25))=Fixtures!$DN53,CONCATENATE(FO$10,", "),""))</f>
        <v/>
      </c>
      <c r="FP53" s="712" t="str">
        <f ca="1">IF(INDIRECT(CONCATENATE($FK$12,Fixtures!FP$25))="","",IF(INDIRECT(CONCATENATE($FK$12,Fixtures!FP$25))=Fixtures!$DN53,CONCATENATE(FP$10,", "),""))</f>
        <v/>
      </c>
      <c r="FQ53" s="712" t="str">
        <f ca="1">IF(INDIRECT(CONCATENATE($FK$12,Fixtures!FQ$25))="","",IF(INDIRECT(CONCATENATE($FK$12,Fixtures!FQ$25))=Fixtures!$DN53,CONCATENATE(FQ$10,", "),""))</f>
        <v/>
      </c>
      <c r="FR53" s="712" t="str">
        <f ca="1">IF(INDIRECT(CONCATENATE($FK$12,Fixtures!FR$25))="","",IF(INDIRECT(CONCATENATE($FK$12,Fixtures!FR$25))=Fixtures!$DN53,CONCATENATE(FR$10,", "),""))</f>
        <v/>
      </c>
      <c r="FS53" s="712" t="str">
        <f ca="1">IF(INDIRECT(CONCATENATE($FK$12,Fixtures!FS$25))="","",IF(INDIRECT(CONCATENATE($FK$12,Fixtures!FS$25))=Fixtures!$DN53,CONCATENATE(FS$10,", "),""))</f>
        <v/>
      </c>
      <c r="FT53" s="682" t="str">
        <f ca="1">IF(INDIRECT(CONCATENATE($FK$12,Fixtures!FT$25))="","",IF(INDIRECT(CONCATENATE($FK$12,Fixtures!FT$25))=Fixtures!$DN53,CONCATENATE(FT$10,", "),""))</f>
        <v/>
      </c>
      <c r="FU53" s="683" t="str">
        <f ca="1">IF(INDIRECT(CONCATENATE($FK$12,Fixtures!FU$25))="","",IF(INDIRECT(CONCATENATE($FK$12,Fixtures!FU$25))=Fixtures!$DN53,CONCATENATE(FU$10,", "),""))</f>
        <v/>
      </c>
      <c r="FV53" s="712" t="str">
        <f ca="1">IF(INDIRECT(CONCATENATE($FK$12,Fixtures!FV$25))="","",IF(INDIRECT(CONCATENATE($FK$12,Fixtures!FV$25))=Fixtures!$DN53,CONCATENATE(FV$10,", "),""))</f>
        <v/>
      </c>
      <c r="FW53" s="713" t="str">
        <f ca="1">IF(INDIRECT(CONCATENATE($FK$12,Fixtures!FW$25))="","",IF(INDIRECT(CONCATENATE($FK$12,Fixtures!FW$25))=Fixtures!$DN53,CONCATENATE(FW$10,", "),""))</f>
        <v/>
      </c>
      <c r="FX53" s="713" t="str">
        <f ca="1">IF(INDIRECT(CONCATENATE($FK$12,Fixtures!FX$25))="","",IF(INDIRECT(CONCATENATE($FK$12,Fixtures!FX$25))=Fixtures!$DN53,CONCATENATE(FX$10,", "),""))</f>
        <v/>
      </c>
      <c r="FY53" s="713" t="str">
        <f ca="1">IF(INDIRECT(CONCATENATE($FK$12,Fixtures!FY$25))="","",IF(INDIRECT(CONCATENATE($FK$12,Fixtures!FY$25))=Fixtures!$DN53,CONCATENATE(FY$10,", "),""))</f>
        <v/>
      </c>
      <c r="FZ53" s="713" t="str">
        <f ca="1">IF(INDIRECT(CONCATENATE($FK$12,Fixtures!FZ$25))="","",IF(INDIRECT(CONCATENATE($FK$12,Fixtures!FZ$25))=Fixtures!$DN53,CONCATENATE(FZ$10,", "),""))</f>
        <v/>
      </c>
      <c r="GA53" s="713" t="str">
        <f ca="1">IF(INDIRECT(CONCATENATE($FK$12,Fixtures!GA$25))="","",IF(INDIRECT(CONCATENATE($FK$12,Fixtures!GA$25))=Fixtures!$DN53,CONCATENATE(GA$10,", "),""))</f>
        <v/>
      </c>
      <c r="GB53" s="713" t="str">
        <f ca="1">IF(INDIRECT(CONCATENATE($FK$12,Fixtures!GB$25))="","",IF(INDIRECT(CONCATENATE($FK$12,Fixtures!GB$25))=Fixtures!$DN53,CONCATENATE(GB$10,", "),""))</f>
        <v/>
      </c>
      <c r="GC53" s="713" t="str">
        <f ca="1">IF(INDIRECT(CONCATENATE($FK$12,Fixtures!GC$25))="","",IF(INDIRECT(CONCATENATE($FK$12,Fixtures!GC$25))=Fixtures!$DN53,CONCATENATE(GC$10,", "),""))</f>
        <v/>
      </c>
      <c r="GD53" s="713" t="str">
        <f ca="1">IF(INDIRECT(CONCATENATE($FK$12,Fixtures!GD$25))="","",IF(INDIRECT(CONCATENATE($FK$12,Fixtures!GD$25))=Fixtures!$DN53,CONCATENATE(GD$10,", "),""))</f>
        <v/>
      </c>
      <c r="GE53" s="713" t="str">
        <f ca="1">IF(INDIRECT(CONCATENATE($FK$12,Fixtures!GE$25))="","",IF(INDIRECT(CONCATENATE($FK$12,Fixtures!GE$25))=Fixtures!$DN53,CONCATENATE(GE$10,", "),""))</f>
        <v/>
      </c>
      <c r="GF53" s="713" t="str">
        <f ca="1">IF(INDIRECT(CONCATENATE($FK$12,Fixtures!GF$25))="","",IF(INDIRECT(CONCATENATE($FK$12,Fixtures!GF$25))=Fixtures!$DN53,CONCATENATE(GF$10,", "),""))</f>
        <v/>
      </c>
      <c r="GG53" s="713" t="str">
        <f ca="1">IF(INDIRECT(CONCATENATE($FK$12,Fixtures!GG$25))="","",IF(INDIRECT(CONCATENATE($FK$12,Fixtures!GG$25))=Fixtures!$DN53,CONCATENATE(GG$10,", "),""))</f>
        <v/>
      </c>
      <c r="GH53" s="713" t="str">
        <f ca="1">IF(INDIRECT(CONCATENATE($FK$12,Fixtures!GH$25))="","",IF(INDIRECT(CONCATENATE($FK$12,Fixtures!GH$25))=Fixtures!$DN53,CONCATENATE(GH$10,", "),""))</f>
        <v/>
      </c>
      <c r="GI53" s="684" t="str">
        <f ca="1">IF(INDIRECT(CONCATENATE($FK$12,Fixtures!GI$25))="","",IF(INDIRECT(CONCATENATE($FK$12,Fixtures!GI$25))=Fixtures!$DN53,CONCATENATE(GI$10,", "),""))</f>
        <v/>
      </c>
      <c r="GJ53" s="685" t="str">
        <f ca="1">IF(INDIRECT(CONCATENATE($FK$12,Fixtures!GJ$25))="","",IF(INDIRECT(CONCATENATE($FK$12,Fixtures!GJ$25))=Fixtures!$DN53,CONCATENATE(GJ$10,", "),""))</f>
        <v/>
      </c>
      <c r="GK53" s="713" t="str">
        <f ca="1">IF(INDIRECT(CONCATENATE($FK$12,Fixtures!GK$25))="","",IF(INDIRECT(CONCATENATE($FK$12,Fixtures!GK$25))=Fixtures!$DN53,CONCATENATE(GK$10,", "),""))</f>
        <v/>
      </c>
      <c r="GL53" s="713" t="str">
        <f ca="1">IF(INDIRECT(CONCATENATE($FK$12,Fixtures!GL$25))="","",IF(INDIRECT(CONCATENATE($FK$12,Fixtures!GL$25))=Fixtures!$DN53,CONCATENATE(GL$10,", "),""))</f>
        <v/>
      </c>
      <c r="GM53" s="713" t="str">
        <f ca="1">IF(INDIRECT(CONCATENATE($FK$12,Fixtures!GM$25))="","",IF(INDIRECT(CONCATENATE($FK$12,Fixtures!GM$25))=Fixtures!$DN53,CONCATENATE(GM$10,", "),""))</f>
        <v/>
      </c>
      <c r="GN53" s="713" t="str">
        <f ca="1">IF(INDIRECT(CONCATENATE($FK$12,Fixtures!GN$25))="","",IF(INDIRECT(CONCATENATE($FK$12,Fixtures!GN$25))=Fixtures!$DN53,CONCATENATE(GN$10,", "),""))</f>
        <v/>
      </c>
      <c r="GO53" s="713" t="str">
        <f ca="1">IF(INDIRECT(CONCATENATE($FK$12,Fixtures!GO$25))="","",IF(INDIRECT(CONCATENATE($FK$12,Fixtures!GO$25))=Fixtures!$DN53,CONCATENATE(GO$10,", "),""))</f>
        <v/>
      </c>
      <c r="GP53" s="713" t="str">
        <f ca="1">IF(INDIRECT(CONCATENATE($FK$12,Fixtures!GP$25))="","",IF(INDIRECT(CONCATENATE($FK$12,Fixtures!GP$25))=Fixtures!$DN53,CONCATENATE(GP$10,", "),""))</f>
        <v/>
      </c>
      <c r="GQ53" s="713" t="str">
        <f ca="1">IF(INDIRECT(CONCATENATE($FK$12,Fixtures!GQ$25))="","",IF(INDIRECT(CONCATENATE($FK$12,Fixtures!GQ$25))=Fixtures!$DN53,CONCATENATE(GQ$10,", "),""))</f>
        <v/>
      </c>
      <c r="GR53" s="713" t="str">
        <f ca="1">IF(INDIRECT(CONCATENATE($FK$12,Fixtures!GR$25))="","",IF(INDIRECT(CONCATENATE($FK$12,Fixtures!GR$25))=Fixtures!$DN53,CONCATENATE(GR$10,", "),""))</f>
        <v/>
      </c>
      <c r="GS53" s="713" t="str">
        <f ca="1">IF(INDIRECT(CONCATENATE($FK$12,Fixtures!GS$25))="","",IF(INDIRECT(CONCATENATE($FK$12,Fixtures!GS$25))=Fixtures!$DN53,CONCATENATE(GS$10,", "),""))</f>
        <v/>
      </c>
      <c r="GT53" s="713" t="str">
        <f ca="1">IF(INDIRECT(CONCATENATE($FK$12,Fixtures!GT$25))="","",IF(INDIRECT(CONCATENATE($FK$12,Fixtures!GT$25))=Fixtures!$DN53,CONCATENATE(GT$10,", "),""))</f>
        <v/>
      </c>
      <c r="GU53" s="713" t="str">
        <f ca="1">IF(INDIRECT(CONCATENATE($FK$12,Fixtures!GU$25))="","",IF(INDIRECT(CONCATENATE($FK$12,Fixtures!GU$25))=Fixtures!$DN53,CONCATENATE(GU$10,", "),""))</f>
        <v/>
      </c>
      <c r="GV53" s="713" t="str">
        <f ca="1">IF(INDIRECT(CONCATENATE($FK$12,Fixtures!GV$25))="","",IF(INDIRECT(CONCATENATE($FK$12,Fixtures!GV$25))=Fixtures!$DN53,CONCATENATE(GV$10,", "),""))</f>
        <v/>
      </c>
      <c r="GW53" s="713" t="str">
        <f ca="1">IF(INDIRECT(CONCATENATE($FK$12,Fixtures!GW$25))="","",IF(INDIRECT(CONCATENATE($FK$12,Fixtures!GW$25))=Fixtures!$DN53,CONCATENATE(GW$10,", "),""))</f>
        <v/>
      </c>
      <c r="GX53" s="684" t="str">
        <f ca="1">IF(INDIRECT(CONCATENATE($FK$12,Fixtures!GX$25))="","",IF(INDIRECT(CONCATENATE($FK$12,Fixtures!GX$25))=Fixtures!$DN53,CONCATENATE(GX$10,", "),""))</f>
        <v/>
      </c>
      <c r="GY53" s="685" t="str">
        <f ca="1">IF(INDIRECT(CONCATENATE($FK$12,Fixtures!GY$25))="","",IF(INDIRECT(CONCATENATE($FK$12,Fixtures!GY$25))=Fixtures!$DN53,CONCATENATE(GY$10,", "),""))</f>
        <v/>
      </c>
      <c r="GZ53" s="713" t="str">
        <f ca="1">IF(INDIRECT(CONCATENATE($FK$12,Fixtures!GZ$25))="","",IF(INDIRECT(CONCATENATE($FK$12,Fixtures!GZ$25))=Fixtures!$DN53,CONCATENATE(GZ$10,", "),""))</f>
        <v/>
      </c>
      <c r="HA53" s="713" t="str">
        <f ca="1">IF(INDIRECT(CONCATENATE($FK$12,Fixtures!HA$25))="","",IF(INDIRECT(CONCATENATE($FK$12,Fixtures!HA$25))=Fixtures!$DN53,CONCATENATE(HA$10,", "),""))</f>
        <v/>
      </c>
      <c r="HB53" s="713" t="str">
        <f ca="1">IF(INDIRECT(CONCATENATE($FK$12,Fixtures!HB$25))="","",IF(INDIRECT(CONCATENATE($FK$12,Fixtures!HB$25))=Fixtures!$DN53,CONCATENATE(HB$10,", "),""))</f>
        <v/>
      </c>
      <c r="HC53" s="713" t="str">
        <f ca="1">IF(INDIRECT(CONCATENATE($FK$12,Fixtures!HC$25))="","",IF(INDIRECT(CONCATENATE($FK$12,Fixtures!HC$25))=Fixtures!$DN53,CONCATENATE(HC$10,", "),""))</f>
        <v/>
      </c>
      <c r="HD53" s="713" t="str">
        <f ca="1">IF(INDIRECT(CONCATENATE($FK$12,Fixtures!HD$25))="","",IF(INDIRECT(CONCATENATE($FK$12,Fixtures!HD$25))=Fixtures!$DN53,CONCATENATE(HD$10,", "),""))</f>
        <v/>
      </c>
      <c r="HE53" s="713" t="str">
        <f ca="1">IF(INDIRECT(CONCATENATE($FK$12,Fixtures!HE$25))="","",IF(INDIRECT(CONCATENATE($FK$12,Fixtures!HE$25))=Fixtures!$DN53,CONCATENATE(HE$10,", "),""))</f>
        <v/>
      </c>
      <c r="HF53" s="713" t="str">
        <f ca="1">IF(INDIRECT(CONCATENATE($FK$12,Fixtures!HF$25))="","",IF(INDIRECT(CONCATENATE($FK$12,Fixtures!HF$25))=Fixtures!$DN53,CONCATENATE(HF$10,", "),""))</f>
        <v/>
      </c>
      <c r="HG53" s="713" t="str">
        <f ca="1">IF(INDIRECT(CONCATENATE($FK$12,Fixtures!HG$25))="","",IF(INDIRECT(CONCATENATE($FK$12,Fixtures!HG$25))=Fixtures!$DN53,CONCATENATE(HG$10,", "),""))</f>
        <v/>
      </c>
      <c r="HH53" s="713" t="str">
        <f ca="1">IF(INDIRECT(CONCATENATE($FK$12,Fixtures!HH$25))="","",IF(INDIRECT(CONCATENATE($FK$12,Fixtures!HH$25))=Fixtures!$DN53,CONCATENATE(HH$10,", "),""))</f>
        <v/>
      </c>
      <c r="HI53" s="713" t="str">
        <f ca="1">IF(INDIRECT(CONCATENATE($FK$12,Fixtures!HI$25))="","",IF(INDIRECT(CONCATENATE($FK$12,Fixtures!HI$25))=Fixtures!$DN53,CONCATENATE(HI$10,", "),""))</f>
        <v/>
      </c>
      <c r="HJ53" s="713" t="str">
        <f ca="1">IF(INDIRECT(CONCATENATE($FK$12,Fixtures!HJ$25))="","",IF(INDIRECT(CONCATENATE($FK$12,Fixtures!HJ$25))=Fixtures!$DN53,CONCATENATE(HJ$10,", "),""))</f>
        <v/>
      </c>
      <c r="HK53" s="713" t="str">
        <f ca="1">IF(INDIRECT(CONCATENATE($FK$12,Fixtures!HK$25))="","",IF(INDIRECT(CONCATENATE($FK$12,Fixtures!HK$25))=Fixtures!$DN53,CONCATENATE(HK$10,", "),""))</f>
        <v/>
      </c>
      <c r="HL53" s="713" t="str">
        <f ca="1">IF(INDIRECT(CONCATENATE($FK$12,Fixtures!HL$25))="","",IF(INDIRECT(CONCATENATE($FK$12,Fixtures!HL$25))=Fixtures!$DN53,CONCATENATE(HL$10,", "),""))</f>
        <v/>
      </c>
      <c r="HM53" s="684" t="str">
        <f ca="1">IF(INDIRECT(CONCATENATE($FK$12,Fixtures!HM$25))="","",IF(INDIRECT(CONCATENATE($FK$12,Fixtures!HM$25))=Fixtures!$DN53,CONCATENATE(HM$10,", "),""))</f>
        <v/>
      </c>
      <c r="HN53" s="685" t="str">
        <f ca="1">IF(INDIRECT(CONCATENATE($FK$12,Fixtures!HN$25))="","",IF(INDIRECT(CONCATENATE($FK$12,Fixtures!HN$25))=Fixtures!$DN53,CONCATENATE(HN$10,", "),""))</f>
        <v/>
      </c>
      <c r="HO53" s="713" t="str">
        <f ca="1">IF(INDIRECT(CONCATENATE($FK$12,Fixtures!HO$25))="","",IF(INDIRECT(CONCATENATE($FK$12,Fixtures!HO$25))=Fixtures!$DN53,CONCATENATE(HO$10,", "),""))</f>
        <v/>
      </c>
      <c r="HP53" s="713" t="str">
        <f ca="1">IF(INDIRECT(CONCATENATE($FK$12,Fixtures!HP$25))="","",IF(INDIRECT(CONCATENATE($FK$12,Fixtures!HP$25))=Fixtures!$DN53,CONCATENATE(HP$10,", "),""))</f>
        <v/>
      </c>
      <c r="HQ53" s="713" t="str">
        <f ca="1">IF(INDIRECT(CONCATENATE($FK$12,Fixtures!HQ$25))="","",IF(INDIRECT(CONCATENATE($FK$12,Fixtures!HQ$25))=Fixtures!$DN53,CONCATENATE(HQ$10,", "),""))</f>
        <v/>
      </c>
      <c r="HR53" s="713" t="str">
        <f ca="1">IF(INDIRECT(CONCATENATE($FK$12,Fixtures!HR$25))="","",IF(INDIRECT(CONCATENATE($FK$12,Fixtures!HR$25))=Fixtures!$DN53,CONCATENATE(HR$10,", "),""))</f>
        <v/>
      </c>
      <c r="HS53" s="713" t="str">
        <f ca="1">IF(INDIRECT(CONCATENATE($FK$12,Fixtures!HS$25))="","",IF(INDIRECT(CONCATENATE($FK$12,Fixtures!HS$25))=Fixtures!$DN53,CONCATENATE(HS$10,", "),""))</f>
        <v/>
      </c>
      <c r="HT53" s="713" t="str">
        <f ca="1">IF(INDIRECT(CONCATENATE($FK$12,Fixtures!HT$25))="","",IF(INDIRECT(CONCATENATE($FK$12,Fixtures!HT$25))=Fixtures!$DN53,CONCATENATE(HT$10,", "),""))</f>
        <v/>
      </c>
      <c r="HU53" s="713" t="str">
        <f ca="1">IF(INDIRECT(CONCATENATE($FK$12,Fixtures!HU$25))="","",IF(INDIRECT(CONCATENATE($FK$12,Fixtures!HU$25))=Fixtures!$DN53,CONCATENATE(HU$10,", "),""))</f>
        <v/>
      </c>
      <c r="HV53" s="713" t="str">
        <f ca="1">IF(INDIRECT(CONCATENATE($FK$12,Fixtures!HV$25))="","",IF(INDIRECT(CONCATENATE($FK$12,Fixtures!HV$25))=Fixtures!$DN53,CONCATENATE(HV$10,", "),""))</f>
        <v/>
      </c>
      <c r="HW53" s="713" t="str">
        <f ca="1">IF(INDIRECT(CONCATENATE($FK$12,Fixtures!HW$25))="","",IF(INDIRECT(CONCATENATE($FK$12,Fixtures!HW$25))=Fixtures!$DN53,CONCATENATE(HW$10,", "),""))</f>
        <v/>
      </c>
      <c r="HX53" s="713" t="str">
        <f ca="1">IF(INDIRECT(CONCATENATE($FK$12,Fixtures!HX$25))="","",IF(INDIRECT(CONCATENATE($FK$12,Fixtures!HX$25))=Fixtures!$DN53,CONCATENATE(HX$10,", "),""))</f>
        <v/>
      </c>
      <c r="HY53" s="713" t="str">
        <f ca="1">IF(INDIRECT(CONCATENATE($FK$12,Fixtures!HY$25))="","",IF(INDIRECT(CONCATENATE($FK$12,Fixtures!HY$25))=Fixtures!$DN53,CONCATENATE(HY$10,", "),""))</f>
        <v/>
      </c>
      <c r="HZ53" s="713" t="str">
        <f ca="1">IF(INDIRECT(CONCATENATE($FK$12,Fixtures!HZ$25))="","",IF(INDIRECT(CONCATENATE($FK$12,Fixtures!HZ$25))=Fixtures!$DN53,CONCATENATE(HZ$10,", "),""))</f>
        <v/>
      </c>
      <c r="IA53" s="713" t="str">
        <f ca="1">IF(INDIRECT(CONCATENATE($FK$12,Fixtures!IA$25))="","",IF(INDIRECT(CONCATENATE($FK$12,Fixtures!IA$25))=Fixtures!$DN53,CONCATENATE(IA$10,", "),""))</f>
        <v/>
      </c>
      <c r="IB53" s="684" t="str">
        <f ca="1">IF(INDIRECT(CONCATENATE($FK$12,Fixtures!IB$25))="","",IF(INDIRECT(CONCATENATE($FK$12,Fixtures!IB$25))=Fixtures!$DN53,CONCATENATE(IB$10,", "),""))</f>
        <v/>
      </c>
      <c r="IC53" s="685" t="str">
        <f ca="1">IF(INDIRECT(CONCATENATE($FK$12,Fixtures!IC$25))="","",IF(INDIRECT(CONCATENATE($FK$12,Fixtures!IC$25))=Fixtures!$DN53,CONCATENATE(IC$10,", "),""))</f>
        <v/>
      </c>
      <c r="ID53" s="713" t="str">
        <f ca="1">IF(INDIRECT(CONCATENATE($FK$12,Fixtures!ID$25))="","",IF(INDIRECT(CONCATENATE($FK$12,Fixtures!ID$25))=Fixtures!$DN53,CONCATENATE(ID$10,", "),""))</f>
        <v/>
      </c>
      <c r="IE53" s="713" t="str">
        <f ca="1">IF(INDIRECT(CONCATENATE($FK$12,Fixtures!IE$25))="","",IF(INDIRECT(CONCATENATE($FK$12,Fixtures!IE$25))=Fixtures!$DN53,CONCATENATE(IE$10,", "),""))</f>
        <v/>
      </c>
      <c r="IF53" s="713" t="str">
        <f ca="1">IF(INDIRECT(CONCATENATE($FK$12,Fixtures!IF$25))="","",IF(INDIRECT(CONCATENATE($FK$12,Fixtures!IF$25))=Fixtures!$DN53,CONCATENATE(IF$10,", "),""))</f>
        <v/>
      </c>
      <c r="IG53" s="713" t="str">
        <f ca="1">IF(INDIRECT(CONCATENATE($FK$12,Fixtures!IG$25))="","",IF(INDIRECT(CONCATENATE($FK$12,Fixtures!IG$25))=Fixtures!$DN53,CONCATENATE(IG$10,", "),""))</f>
        <v/>
      </c>
      <c r="IH53" s="713" t="str">
        <f ca="1">IF(INDIRECT(CONCATENATE($FK$12,Fixtures!IH$25))="","",IF(INDIRECT(CONCATENATE($FK$12,Fixtures!IH$25))=Fixtures!$DN53,CONCATENATE(IH$10,", "),""))</f>
        <v/>
      </c>
      <c r="II53" s="713" t="str">
        <f ca="1">IF(INDIRECT(CONCATENATE($FK$12,Fixtures!II$25))="","",IF(INDIRECT(CONCATENATE($FK$12,Fixtures!II$25))=Fixtures!$DN53,CONCATENATE(II$10,", "),""))</f>
        <v/>
      </c>
      <c r="IJ53" s="713" t="str">
        <f ca="1">IF(INDIRECT(CONCATENATE($FK$12,Fixtures!IJ$25))="","",IF(INDIRECT(CONCATENATE($FK$12,Fixtures!IJ$25))=Fixtures!$DN53,CONCATENATE(IJ$10,", "),""))</f>
        <v/>
      </c>
      <c r="IK53" s="713" t="str">
        <f ca="1">IF(INDIRECT(CONCATENATE($FK$12,Fixtures!IK$25))="","",IF(INDIRECT(CONCATENATE($FK$12,Fixtures!IK$25))=Fixtures!$DN53,CONCATENATE(IK$10,", "),""))</f>
        <v/>
      </c>
      <c r="IL53" s="713" t="str">
        <f ca="1">IF(INDIRECT(CONCATENATE($FK$12,Fixtures!IL$25))="","",IF(INDIRECT(CONCATENATE($FK$12,Fixtures!IL$25))=Fixtures!$DN53,CONCATENATE(IL$10,", "),""))</f>
        <v/>
      </c>
      <c r="IM53" s="713" t="str">
        <f ca="1">IF(INDIRECT(CONCATENATE($FK$12,Fixtures!IM$25))="","",IF(INDIRECT(CONCATENATE($FK$12,Fixtures!IM$25))=Fixtures!$DN53,CONCATENATE(IM$10,", "),""))</f>
        <v/>
      </c>
      <c r="IN53" s="713" t="str">
        <f ca="1">IF(INDIRECT(CONCATENATE($FK$12,Fixtures!IN$25))="","",IF(INDIRECT(CONCATENATE($FK$12,Fixtures!IN$25))=Fixtures!$DN53,CONCATENATE(IN$10,", "),""))</f>
        <v/>
      </c>
      <c r="IO53" s="713" t="str">
        <f ca="1">IF(INDIRECT(CONCATENATE($FK$12,Fixtures!IO$25))="","",IF(INDIRECT(CONCATENATE($FK$12,Fixtures!IO$25))=Fixtures!$DN53,CONCATENATE(IO$10,", "),""))</f>
        <v/>
      </c>
      <c r="IP53" s="713" t="str">
        <f ca="1">IF(INDIRECT(CONCATENATE($FK$12,Fixtures!IP$25))="","",IF(INDIRECT(CONCATENATE($FK$12,Fixtures!IP$25))=Fixtures!$DN53,CONCATENATE(IP$10,", "),""))</f>
        <v/>
      </c>
      <c r="IQ53" s="684" t="str">
        <f ca="1">IF(INDIRECT(CONCATENATE($FK$12,Fixtures!IQ$25))="","",IF(INDIRECT(CONCATENATE($FK$12,Fixtures!IQ$25))=Fixtures!$DN53,CONCATENATE(IQ$10,", "),""))</f>
        <v/>
      </c>
      <c r="IR53" s="685" t="str">
        <f ca="1">IF(INDIRECT(CONCATENATE($FK$12,Fixtures!IR$25))="","",IF(INDIRECT(CONCATENATE($FK$12,Fixtures!IR$25))=Fixtures!$DN53,CONCATENATE(IR$10,", "),""))</f>
        <v/>
      </c>
      <c r="IS53" s="713" t="str">
        <f ca="1">IF(INDIRECT(CONCATENATE($FK$12,Fixtures!IS$25))="","",IF(INDIRECT(CONCATENATE($FK$12,Fixtures!IS$25))=Fixtures!$DN53,CONCATENATE(IS$10,", "),""))</f>
        <v/>
      </c>
      <c r="IT53" s="713" t="str">
        <f ca="1">IF(INDIRECT(CONCATENATE($FK$12,Fixtures!IT$25))="","",IF(INDIRECT(CONCATENATE($FK$12,Fixtures!IT$25))=Fixtures!$DN53,CONCATENATE(IT$10,", "),""))</f>
        <v/>
      </c>
      <c r="IU53" s="713" t="str">
        <f ca="1">IF(INDIRECT(CONCATENATE($FK$12,Fixtures!IU$25))="","",IF(INDIRECT(CONCATENATE($FK$12,Fixtures!IU$25))=Fixtures!$DN53,CONCATENATE(IU$10,", "),""))</f>
        <v/>
      </c>
      <c r="IV53" s="713" t="str">
        <f ca="1">IF(INDIRECT(CONCATENATE($FK$12,Fixtures!IV$25))="","",IF(INDIRECT(CONCATENATE($FK$12,Fixtures!IV$25))=Fixtures!$DN53,CONCATENATE(IV$10,", "),""))</f>
        <v/>
      </c>
      <c r="IW53" s="713" t="str">
        <f ca="1">IF(INDIRECT(CONCATENATE($FK$12,Fixtures!IW$25))="","",IF(INDIRECT(CONCATENATE($FK$12,Fixtures!IW$25))=Fixtures!$DN53,CONCATENATE(IW$10,", "),""))</f>
        <v/>
      </c>
      <c r="IX53" s="713" t="str">
        <f ca="1">IF(INDIRECT(CONCATENATE($FK$12,Fixtures!IX$25))="","",IF(INDIRECT(CONCATENATE($FK$12,Fixtures!IX$25))=Fixtures!$DN53,CONCATENATE(IX$10,", "),""))</f>
        <v/>
      </c>
      <c r="IY53" s="713" t="str">
        <f ca="1">IF(INDIRECT(CONCATENATE($FK$12,Fixtures!IY$25))="","",IF(INDIRECT(CONCATENATE($FK$12,Fixtures!IY$25))=Fixtures!$DN53,CONCATENATE(IY$10,", "),""))</f>
        <v/>
      </c>
      <c r="IZ53" s="713" t="str">
        <f ca="1">IF(INDIRECT(CONCATENATE($FK$12,Fixtures!IZ$25))="","",IF(INDIRECT(CONCATENATE($FK$12,Fixtures!IZ$25))=Fixtures!$DN53,CONCATENATE(IZ$10,", "),""))</f>
        <v/>
      </c>
      <c r="JA53" s="713" t="str">
        <f ca="1">IF(INDIRECT(CONCATENATE($FK$12,Fixtures!JA$25))="","",IF(INDIRECT(CONCATENATE($FK$12,Fixtures!JA$25))=Fixtures!$DN53,CONCATENATE(JA$10,", "),""))</f>
        <v/>
      </c>
      <c r="JB53" s="713" t="str">
        <f ca="1">IF(INDIRECT(CONCATENATE($FK$12,Fixtures!JB$25))="","",IF(INDIRECT(CONCATENATE($FK$12,Fixtures!JB$25))=Fixtures!$DN53,CONCATENATE(JB$10,", "),""))</f>
        <v/>
      </c>
      <c r="JC53" s="713" t="str">
        <f ca="1">IF(INDIRECT(CONCATENATE($FK$12,Fixtures!JC$25))="","",IF(INDIRECT(CONCATENATE($FK$12,Fixtures!JC$25))=Fixtures!$DN53,CONCATENATE(JC$10,", "),""))</f>
        <v/>
      </c>
      <c r="JD53" s="713" t="str">
        <f ca="1">IF(INDIRECT(CONCATENATE($FK$12,Fixtures!JD$25))="","",IF(INDIRECT(CONCATENATE($FK$12,Fixtures!JD$25))=Fixtures!$DN53,CONCATENATE(JD$10,", "),""))</f>
        <v/>
      </c>
      <c r="JE53" s="713" t="str">
        <f ca="1">IF(INDIRECT(CONCATENATE($FK$12,Fixtures!JE$25))="","",IF(INDIRECT(CONCATENATE($FK$12,Fixtures!JE$25))=Fixtures!$DN53,CONCATENATE(JE$10,", "),""))</f>
        <v/>
      </c>
      <c r="JF53" s="684" t="str">
        <f ca="1">IF(INDIRECT(CONCATENATE($FK$12,Fixtures!JF$25))="","",IF(INDIRECT(CONCATENATE($FK$12,Fixtures!JF$25))=Fixtures!$DN53,CONCATENATE(JF$10,", "),""))</f>
        <v/>
      </c>
      <c r="JG53" s="685" t="str">
        <f ca="1">IF(INDIRECT(CONCATENATE($FK$12,Fixtures!JG$25))="","",IF(INDIRECT(CONCATENATE($FK$12,Fixtures!JG$25))=Fixtures!$DN53,CONCATENATE(JG$10,", "),""))</f>
        <v/>
      </c>
      <c r="JH53" s="713" t="str">
        <f ca="1">IF(INDIRECT(CONCATENATE($FK$12,Fixtures!JH$25))="","",IF(INDIRECT(CONCATENATE($FK$12,Fixtures!JH$25))=Fixtures!$DN53,CONCATENATE(JH$10,", "),""))</f>
        <v/>
      </c>
      <c r="JI53" s="713" t="str">
        <f ca="1">IF(INDIRECT(CONCATENATE($FK$12,Fixtures!JI$25))="","",IF(INDIRECT(CONCATENATE($FK$12,Fixtures!JI$25))=Fixtures!$DN53,CONCATENATE(JI$10,", "),""))</f>
        <v/>
      </c>
      <c r="JJ53" s="713" t="str">
        <f ca="1">IF(INDIRECT(CONCATENATE($FK$12,Fixtures!JJ$25))="","",IF(INDIRECT(CONCATENATE($FK$12,Fixtures!JJ$25))=Fixtures!$DN53,CONCATENATE(JJ$10,", "),""))</f>
        <v/>
      </c>
      <c r="JK53" s="713" t="str">
        <f ca="1">IF(INDIRECT(CONCATENATE($FK$12,Fixtures!JK$25))="","",IF(INDIRECT(CONCATENATE($FK$12,Fixtures!JK$25))=Fixtures!$DN53,CONCATENATE(JK$10,", "),""))</f>
        <v/>
      </c>
      <c r="JL53" s="713" t="str">
        <f ca="1">IF(INDIRECT(CONCATENATE($FK$12,Fixtures!JL$25))="","",IF(INDIRECT(CONCATENATE($FK$12,Fixtures!JL$25))=Fixtures!$DN53,CONCATENATE(JL$10,", "),""))</f>
        <v/>
      </c>
      <c r="JM53" s="713" t="str">
        <f ca="1">IF(INDIRECT(CONCATENATE($FK$12,Fixtures!JM$25))="","",IF(INDIRECT(CONCATENATE($FK$12,Fixtures!JM$25))=Fixtures!$DN53,CONCATENATE(JM$10,", "),""))</f>
        <v/>
      </c>
      <c r="JN53" s="713" t="str">
        <f ca="1">IF(INDIRECT(CONCATENATE($FK$12,Fixtures!JN$25))="","",IF(INDIRECT(CONCATENATE($FK$12,Fixtures!JN$25))=Fixtures!$DN53,CONCATENATE(JN$10,", "),""))</f>
        <v/>
      </c>
      <c r="JO53" s="713" t="str">
        <f ca="1">IF(INDIRECT(CONCATENATE($FK$12,Fixtures!JO$25))="","",IF(INDIRECT(CONCATENATE($FK$12,Fixtures!JO$25))=Fixtures!$DN53,CONCATENATE(JO$10,", "),""))</f>
        <v/>
      </c>
      <c r="JP53" s="713" t="str">
        <f ca="1">IF(INDIRECT(CONCATENATE($FK$12,Fixtures!JP$25))="","",IF(INDIRECT(CONCATENATE($FK$12,Fixtures!JP$25))=Fixtures!$DN53,CONCATENATE(JP$10,", "),""))</f>
        <v/>
      </c>
      <c r="JQ53" s="713" t="str">
        <f ca="1">IF(INDIRECT(CONCATENATE($FK$12,Fixtures!JQ$25))="","",IF(INDIRECT(CONCATENATE($FK$12,Fixtures!JQ$25))=Fixtures!$DN53,CONCATENATE(JQ$10,", "),""))</f>
        <v/>
      </c>
      <c r="JR53" s="713" t="str">
        <f ca="1">IF(INDIRECT(CONCATENATE($FK$12,Fixtures!JR$25))="","",IF(INDIRECT(CONCATENATE($FK$12,Fixtures!JR$25))=Fixtures!$DN53,CONCATENATE(JR$10,", "),""))</f>
        <v/>
      </c>
      <c r="JS53" s="713" t="str">
        <f ca="1">IF(INDIRECT(CONCATENATE($FK$12,Fixtures!JS$25))="","",IF(INDIRECT(CONCATENATE($FK$12,Fixtures!JS$25))=Fixtures!$DN53,CONCATENATE(JS$10,", "),""))</f>
        <v/>
      </c>
      <c r="JT53" s="713" t="str">
        <f ca="1">IF(INDIRECT(CONCATENATE($FK$12,Fixtures!JT$25))="","",IF(INDIRECT(CONCATENATE($FK$12,Fixtures!JT$25))=Fixtures!$DN53,CONCATENATE(JT$10,", "),""))</f>
        <v/>
      </c>
      <c r="JU53" s="684" t="str">
        <f ca="1">IF(INDIRECT(CONCATENATE($FK$12,Fixtures!JU$25))="","",IF(INDIRECT(CONCATENATE($FK$12,Fixtures!JU$25))=Fixtures!$DN53,CONCATENATE(JU$10,", "),""))</f>
        <v/>
      </c>
      <c r="JV53" s="685" t="str">
        <f ca="1">IF(INDIRECT(CONCATENATE($FK$12,Fixtures!JV$25))="","",IF(INDIRECT(CONCATENATE($FK$12,Fixtures!JV$25))=Fixtures!$DN53,CONCATENATE(JV$10,", "),""))</f>
        <v/>
      </c>
      <c r="JW53" s="713" t="str">
        <f ca="1">IF(INDIRECT(CONCATENATE($FK$12,Fixtures!JW$25))="","",IF(INDIRECT(CONCATENATE($FK$12,Fixtures!JW$25))=Fixtures!$DN53,CONCATENATE(JW$10,", "),""))</f>
        <v/>
      </c>
      <c r="JX53" s="713" t="str">
        <f ca="1">IF(INDIRECT(CONCATENATE($FK$12,Fixtures!JX$25))="","",IF(INDIRECT(CONCATENATE($FK$12,Fixtures!JX$25))=Fixtures!$DN53,CONCATENATE(JX$10,", "),""))</f>
        <v/>
      </c>
      <c r="JY53" s="713" t="str">
        <f ca="1">IF(INDIRECT(CONCATENATE($FK$12,Fixtures!JY$25))="","",IF(INDIRECT(CONCATENATE($FK$12,Fixtures!JY$25))=Fixtures!$DN53,CONCATENATE(JY$10,", "),""))</f>
        <v/>
      </c>
      <c r="JZ53" s="713" t="str">
        <f ca="1">IF(INDIRECT(CONCATENATE($FK$12,Fixtures!JZ$25))="","",IF(INDIRECT(CONCATENATE($FK$12,Fixtures!JZ$25))=Fixtures!$DN53,CONCATENATE(JZ$10,", "),""))</f>
        <v/>
      </c>
      <c r="KA53" s="713" t="str">
        <f ca="1">IF(INDIRECT(CONCATENATE($FK$12,Fixtures!KA$25))="","",IF(INDIRECT(CONCATENATE($FK$12,Fixtures!KA$25))=Fixtures!$DN53,CONCATENATE(KA$10,", "),""))</f>
        <v/>
      </c>
      <c r="KB53" s="713" t="str">
        <f ca="1">IF(INDIRECT(CONCATENATE($FK$12,Fixtures!KB$25))="","",IF(INDIRECT(CONCATENATE($FK$12,Fixtures!KB$25))=Fixtures!$DN53,CONCATENATE(KB$10,", "),""))</f>
        <v/>
      </c>
      <c r="KC53" s="713" t="str">
        <f ca="1">IF(INDIRECT(CONCATENATE($FK$12,Fixtures!KC$25))="","",IF(INDIRECT(CONCATENATE($FK$12,Fixtures!KC$25))=Fixtures!$DN53,CONCATENATE(KC$10,", "),""))</f>
        <v/>
      </c>
      <c r="KD53" s="713" t="str">
        <f ca="1">IF(INDIRECT(CONCATENATE($FK$12,Fixtures!KD$25))="","",IF(INDIRECT(CONCATENATE($FK$12,Fixtures!KD$25))=Fixtures!$DN53,CONCATENATE(KD$10,", "),""))</f>
        <v/>
      </c>
      <c r="KE53" s="713" t="str">
        <f ca="1">IF(INDIRECT(CONCATENATE($FK$12,Fixtures!KE$25))="","",IF(INDIRECT(CONCATENATE($FK$12,Fixtures!KE$25))=Fixtures!$DN53,CONCATENATE(KE$10,", "),""))</f>
        <v/>
      </c>
      <c r="KF53" s="713" t="str">
        <f ca="1">IF(INDIRECT(CONCATENATE($FK$12,Fixtures!KF$25))="","",IF(INDIRECT(CONCATENATE($FK$12,Fixtures!KF$25))=Fixtures!$DN53,CONCATENATE(KF$10,", "),""))</f>
        <v/>
      </c>
      <c r="KG53" s="713" t="str">
        <f ca="1">IF(INDIRECT(CONCATENATE($FK$12,Fixtures!KG$25))="","",IF(INDIRECT(CONCATENATE($FK$12,Fixtures!KG$25))=Fixtures!$DN53,CONCATENATE(KG$10,", "),""))</f>
        <v/>
      </c>
      <c r="KH53" s="713" t="str">
        <f ca="1">IF(INDIRECT(CONCATENATE($FK$12,Fixtures!KH$25))="","",IF(INDIRECT(CONCATENATE($FK$12,Fixtures!KH$25))=Fixtures!$DN53,CONCATENATE(KH$10,", "),""))</f>
        <v/>
      </c>
      <c r="KI53" s="713" t="str">
        <f ca="1">IF(INDIRECT(CONCATENATE($FK$12,Fixtures!KI$25))="","",IF(INDIRECT(CONCATENATE($FK$12,Fixtures!KI$25))=Fixtures!$DN53,CONCATENATE(KI$10,", "),""))</f>
        <v/>
      </c>
      <c r="KJ53" s="684" t="str">
        <f ca="1">IF(INDIRECT(CONCATENATE($FK$12,Fixtures!KJ$25))="","",IF(INDIRECT(CONCATENATE($FK$12,Fixtures!KJ$25))=Fixtures!$DN53,CONCATENATE(KJ$10,", "),""))</f>
        <v/>
      </c>
      <c r="KK53" s="685" t="str">
        <f ca="1">IF(INDIRECT(CONCATENATE($FK$12,Fixtures!KK$25))="","",IF(INDIRECT(CONCATENATE($FK$12,Fixtures!KK$25))=Fixtures!$DN53,CONCATENATE(KK$10,", "),""))</f>
        <v/>
      </c>
      <c r="KL53" s="713" t="str">
        <f ca="1">IF(INDIRECT(CONCATENATE($FK$12,Fixtures!KL$25))="","",IF(INDIRECT(CONCATENATE($FK$12,Fixtures!KL$25))=Fixtures!$DN53,CONCATENATE(KL$10,", "),""))</f>
        <v/>
      </c>
      <c r="KM53" s="713" t="str">
        <f ca="1">IF(INDIRECT(CONCATENATE($FK$12,Fixtures!KM$25))="","",IF(INDIRECT(CONCATENATE($FK$12,Fixtures!KM$25))=Fixtures!$DN53,CONCATENATE(KM$10,", "),""))</f>
        <v/>
      </c>
      <c r="KN53" s="713" t="str">
        <f ca="1">IF(INDIRECT(CONCATENATE($FK$12,Fixtures!KN$25))="","",IF(INDIRECT(CONCATENATE($FK$12,Fixtures!KN$25))=Fixtures!$DN53,CONCATENATE(KN$10,", "),""))</f>
        <v/>
      </c>
      <c r="KO53" s="713" t="str">
        <f ca="1">IF(INDIRECT(CONCATENATE($FK$12,Fixtures!KO$25))="","",IF(INDIRECT(CONCATENATE($FK$12,Fixtures!KO$25))=Fixtures!$DN53,CONCATENATE(KO$10,", "),""))</f>
        <v/>
      </c>
      <c r="KP53" s="713" t="str">
        <f ca="1">IF(INDIRECT(CONCATENATE($FK$12,Fixtures!KP$25))="","",IF(INDIRECT(CONCATENATE($FK$12,Fixtures!KP$25))=Fixtures!$DN53,CONCATENATE(KP$10,", "),""))</f>
        <v/>
      </c>
      <c r="KQ53" s="713" t="str">
        <f ca="1">IF(INDIRECT(CONCATENATE($FK$12,Fixtures!KQ$25))="","",IF(INDIRECT(CONCATENATE($FK$12,Fixtures!KQ$25))=Fixtures!$DN53,CONCATENATE(KQ$10,", "),""))</f>
        <v/>
      </c>
      <c r="KR53" s="713" t="str">
        <f ca="1">IF(INDIRECT(CONCATENATE($FK$12,Fixtures!KR$25))="","",IF(INDIRECT(CONCATENATE($FK$12,Fixtures!KR$25))=Fixtures!$DN53,CONCATENATE(KR$10,", "),""))</f>
        <v/>
      </c>
      <c r="KS53" s="713" t="str">
        <f ca="1">IF(INDIRECT(CONCATENATE($FK$12,Fixtures!KS$25))="","",IF(INDIRECT(CONCATENATE($FK$12,Fixtures!KS$25))=Fixtures!$DN53,CONCATENATE(KS$10,", "),""))</f>
        <v/>
      </c>
      <c r="KT53" s="713" t="str">
        <f ca="1">IF(INDIRECT(CONCATENATE($FK$12,Fixtures!KT$25))="","",IF(INDIRECT(CONCATENATE($FK$12,Fixtures!KT$25))=Fixtures!$DN53,CONCATENATE(KT$10,", "),""))</f>
        <v/>
      </c>
      <c r="KU53" s="713" t="str">
        <f ca="1">IF(INDIRECT(CONCATENATE($FK$12,Fixtures!KU$25))="","",IF(INDIRECT(CONCATENATE($FK$12,Fixtures!KU$25))=Fixtures!$DN53,CONCATENATE(KU$10,", "),""))</f>
        <v/>
      </c>
      <c r="KV53" s="713" t="str">
        <f ca="1">IF(INDIRECT(CONCATENATE($FK$12,Fixtures!KV$25))="","",IF(INDIRECT(CONCATENATE($FK$12,Fixtures!KV$25))=Fixtures!$DN53,CONCATENATE(KV$10,", "),""))</f>
        <v/>
      </c>
      <c r="KW53" s="713" t="str">
        <f ca="1">IF(INDIRECT(CONCATENATE($FK$12,Fixtures!KW$25))="","",IF(INDIRECT(CONCATENATE($FK$12,Fixtures!KW$25))=Fixtures!$DN53,CONCATENATE(KW$10,", "),""))</f>
        <v/>
      </c>
      <c r="KX53" s="713" t="str">
        <f ca="1">IF(INDIRECT(CONCATENATE($FK$12,Fixtures!KX$25))="","",IF(INDIRECT(CONCATENATE($FK$12,Fixtures!KX$25))=Fixtures!$DN53,CONCATENATE(KX$10,", "),""))</f>
        <v/>
      </c>
      <c r="KY53" s="713" t="str">
        <f ca="1">IF(INDIRECT(CONCATENATE($FK$12,Fixtures!KY$25))="","",IF(INDIRECT(CONCATENATE($FK$12,Fixtures!KY$25))=Fixtures!$DN53,CONCATENATE(KY$10,", "),""))</f>
        <v/>
      </c>
      <c r="KZ53" s="46"/>
      <c r="LA53" s="46" t="str">
        <f t="shared" ca="1" si="8"/>
        <v/>
      </c>
    </row>
    <row r="54" spans="1:313" ht="28.05" customHeight="1" thickTop="1" thickBot="1">
      <c r="A54" s="471" t="str">
        <f t="shared" si="13"/>
        <v/>
      </c>
      <c r="C54" s="1328" t="str">
        <f t="shared" si="14"/>
        <v/>
      </c>
      <c r="D54" s="1329"/>
      <c r="E54" s="1256" t="str">
        <f t="shared" si="15"/>
        <v/>
      </c>
      <c r="F54" s="1257"/>
      <c r="G54" s="1257"/>
      <c r="H54" s="1257"/>
      <c r="I54" s="1257"/>
      <c r="J54" s="1257"/>
      <c r="K54" s="1257"/>
      <c r="L54" s="1257"/>
      <c r="M54" s="1330"/>
      <c r="N54" s="239" t="str">
        <f t="shared" si="16"/>
        <v/>
      </c>
      <c r="O54" s="12"/>
      <c r="P54" s="1326" t="str">
        <f t="shared" si="25"/>
        <v/>
      </c>
      <c r="Q54" s="1327"/>
      <c r="R54" s="1256" t="str">
        <f t="shared" si="31"/>
        <v/>
      </c>
      <c r="S54" s="1257"/>
      <c r="T54" s="1257"/>
      <c r="U54" s="1257"/>
      <c r="V54" s="1257"/>
      <c r="W54" s="1257"/>
      <c r="X54" s="1257"/>
      <c r="Y54" s="239" t="str">
        <f t="shared" si="27"/>
        <v/>
      </c>
      <c r="Z54" s="239" t="str">
        <f t="shared" si="28"/>
        <v/>
      </c>
      <c r="AA54" s="439" t="str">
        <f t="shared" si="29"/>
        <v/>
      </c>
      <c r="AB54" s="542"/>
      <c r="AC54" s="1253" t="str">
        <f t="shared" si="17"/>
        <v/>
      </c>
      <c r="AD54" s="1166"/>
      <c r="AE54" s="1166"/>
      <c r="AF54" s="1166"/>
      <c r="AG54" s="1166"/>
      <c r="AH54" s="1166"/>
      <c r="AK54">
        <f>SUMIFS(Installations!CS$39:CS$800,Installations!CT$39:CT$800,E54,Installations!HX$39:HX$800,TRUE)</f>
        <v>0</v>
      </c>
      <c r="AL54">
        <f>SUMIFS(Installations!CS$39:CS$800,Installations!CT$39:CT$800,R54,Installations!HX$39:HX$800,TRUE)</f>
        <v>0</v>
      </c>
      <c r="BL54" s="9"/>
      <c r="BM54" s="703" t="str">
        <f t="shared" si="18"/>
        <v/>
      </c>
      <c r="BN54" s="52"/>
      <c r="BO54" s="52"/>
      <c r="BP54" s="52"/>
      <c r="BQ54" s="52"/>
      <c r="BR54" s="52"/>
      <c r="BS54" s="52"/>
      <c r="BT54" s="52"/>
      <c r="BU54" s="414"/>
      <c r="BV54" s="255" t="str">
        <f>IF(CN54&lt;&gt;"Yes","",IFERROR(VLOOKUP(CU54,Existing!A$4:F$364,2,FALSE),""))</f>
        <v/>
      </c>
      <c r="BW54" s="9">
        <v>28</v>
      </c>
      <c r="BX54" s="1313"/>
      <c r="BY54" s="1314"/>
      <c r="BZ54" s="1314"/>
      <c r="CA54" s="1315"/>
      <c r="CB54" s="1310"/>
      <c r="CC54" s="1311"/>
      <c r="CD54" s="1311"/>
      <c r="CE54" s="1312"/>
      <c r="CF54" s="1309"/>
      <c r="CG54" s="1309"/>
      <c r="CH54" s="1309"/>
      <c r="CI54" s="1309"/>
      <c r="CJ54" s="1309"/>
      <c r="CK54" s="1309"/>
      <c r="CL54" s="1309"/>
      <c r="CM54" s="1309"/>
      <c r="CN54" s="1243" t="str">
        <f t="shared" ref="CN54:CN76" si="32">IF(CB54&lt;&gt;"",IF(CB54="Existing TLED",
IF(OR(CF54="",CJ54="",BX54="",CR54=""),"NO","YES"),
IF(OR(CF54="",CJ54="",BX54=""),"NO","YES")
),"")</f>
        <v/>
      </c>
      <c r="CO54" s="1244"/>
      <c r="CP54" s="265" t="str">
        <f>IFERROR(IF(CB54="Existing TLED",CR54*CW54*CY54,VLOOKUP(CU54,Existing!A$3:F$353,6,FALSE)),"")</f>
        <v/>
      </c>
      <c r="CQ54" s="9"/>
      <c r="CR54" s="1343"/>
      <c r="CS54" s="1344"/>
      <c r="CT54" s="9"/>
      <c r="CU54" s="470" t="str">
        <f t="shared" si="21"/>
        <v/>
      </c>
      <c r="CV54" s="471" t="b">
        <f t="shared" si="22"/>
        <v>0</v>
      </c>
      <c r="CW54" s="471" t="str">
        <f t="shared" si="23"/>
        <v/>
      </c>
      <c r="CX54" s="471">
        <f>IFERROR(VLOOKUP(CF54,Lookup!M$100:O$102,3,FALSE),0)</f>
        <v>0</v>
      </c>
      <c r="CY54" s="471">
        <f t="shared" si="9"/>
        <v>1.1100000000000001</v>
      </c>
      <c r="CZ54" s="707" t="b">
        <f t="shared" si="1"/>
        <v>0</v>
      </c>
      <c r="DA54" s="707" t="b">
        <f>IF(CF54&lt;&gt;"",IF(ISERROR(MATCH(CONCATENATE(CB54," - ",CF54),Existing!G$4:G$328,0))=TRUE,FALSE,TRUE),TRUE)</f>
        <v>1</v>
      </c>
      <c r="DB54" s="707" t="b">
        <f t="shared" si="2"/>
        <v>1</v>
      </c>
      <c r="DL54" s="9"/>
      <c r="DM54" s="708" t="s">
        <v>166</v>
      </c>
      <c r="DN54" s="416" t="str">
        <f t="shared" si="3"/>
        <v/>
      </c>
      <c r="DO54" s="52"/>
      <c r="DP54" s="52"/>
      <c r="DQ54" s="52"/>
      <c r="DR54" s="52"/>
      <c r="DS54" s="52"/>
      <c r="DT54" s="262"/>
      <c r="DU54" s="417"/>
      <c r="DV54" s="263" t="str">
        <f t="shared" si="4"/>
        <v/>
      </c>
      <c r="DW54" s="260">
        <v>28</v>
      </c>
      <c r="DX54" s="1306"/>
      <c r="DY54" s="1307"/>
      <c r="DZ54" s="1307"/>
      <c r="EA54" s="1308"/>
      <c r="EB54" s="1306"/>
      <c r="EC54" s="1307"/>
      <c r="ED54" s="1307"/>
      <c r="EE54" s="1308"/>
      <c r="EF54" s="1266"/>
      <c r="EG54" s="1267"/>
      <c r="EH54" s="1306"/>
      <c r="EI54" s="1307"/>
      <c r="EJ54" s="1307"/>
      <c r="EK54" s="1308"/>
      <c r="EL54" s="1263"/>
      <c r="EM54" s="1264"/>
      <c r="EN54" s="1264"/>
      <c r="EO54" s="1265"/>
      <c r="EP54" s="1266"/>
      <c r="EQ54" s="1267"/>
      <c r="ER54" s="1245"/>
      <c r="ES54" s="1246"/>
      <c r="ET54" s="1243" t="str">
        <f t="shared" si="5"/>
        <v/>
      </c>
      <c r="EU54" s="1244"/>
      <c r="EV54" s="1243" t="str">
        <f t="shared" si="30"/>
        <v/>
      </c>
      <c r="EW54" s="1244"/>
      <c r="EX54" s="438"/>
      <c r="EY54" s="261" t="str">
        <f t="shared" si="7"/>
        <v/>
      </c>
      <c r="EZ54" s="261" t="str">
        <f>IFERROR(VLOOKUP(EB54,Lookup!AM$3:AN$13,2,FALSE),"")</f>
        <v/>
      </c>
      <c r="FA54" s="471" t="b">
        <f>IFERROR(IF(VLOOKUP(EB54,Lookup!AM$6:AN$8,2,FALSE)&gt;3,TRUE,FALSE),FALSE)</f>
        <v>0</v>
      </c>
      <c r="FB54" s="471">
        <f t="shared" si="11"/>
        <v>1</v>
      </c>
      <c r="FC54" t="str">
        <f t="shared" ca="1" si="10"/>
        <v/>
      </c>
      <c r="FG54" t="str">
        <f t="shared" ca="1" si="12"/>
        <v/>
      </c>
      <c r="FI54" s="240" t="str">
        <f t="shared" ca="1" si="24"/>
        <v/>
      </c>
      <c r="FJ54" s="240"/>
      <c r="FK54" s="712" t="str">
        <f ca="1">IF(INDIRECT(CONCATENATE($FK$12,Fixtures!FK$25))="","",IF(INDIRECT(CONCATENATE($FK$12,Fixtures!FK$25))=Fixtures!$DN54,CONCATENATE(FK$10,", "),""))</f>
        <v/>
      </c>
      <c r="FL54" s="712" t="str">
        <f ca="1">IF(INDIRECT(CONCATENATE($FK$12,Fixtures!FL$25))="","",IF(INDIRECT(CONCATENATE($FK$12,Fixtures!FL$25))=Fixtures!$DN54,CONCATENATE(FL$10,", "),""))</f>
        <v/>
      </c>
      <c r="FM54" s="712" t="str">
        <f ca="1">IF(INDIRECT(CONCATENATE($FK$12,Fixtures!FM$25))="","",IF(INDIRECT(CONCATENATE($FK$12,Fixtures!FM$25))=Fixtures!$DN54,CONCATENATE(FM$10,", "),""))</f>
        <v/>
      </c>
      <c r="FN54" s="712" t="str">
        <f ca="1">IF(INDIRECT(CONCATENATE($FK$12,Fixtures!FN$25))="","",IF(INDIRECT(CONCATENATE($FK$12,Fixtures!FN$25))=Fixtures!$DN54,CONCATENATE(FN$10,", "),""))</f>
        <v/>
      </c>
      <c r="FO54" s="712" t="str">
        <f ca="1">IF(INDIRECT(CONCATENATE($FK$12,Fixtures!FO$25))="","",IF(INDIRECT(CONCATENATE($FK$12,Fixtures!FO$25))=Fixtures!$DN54,CONCATENATE(FO$10,", "),""))</f>
        <v/>
      </c>
      <c r="FP54" s="712" t="str">
        <f ca="1">IF(INDIRECT(CONCATENATE($FK$12,Fixtures!FP$25))="","",IF(INDIRECT(CONCATENATE($FK$12,Fixtures!FP$25))=Fixtures!$DN54,CONCATENATE(FP$10,", "),""))</f>
        <v/>
      </c>
      <c r="FQ54" s="712" t="str">
        <f ca="1">IF(INDIRECT(CONCATENATE($FK$12,Fixtures!FQ$25))="","",IF(INDIRECT(CONCATENATE($FK$12,Fixtures!FQ$25))=Fixtures!$DN54,CONCATENATE(FQ$10,", "),""))</f>
        <v/>
      </c>
      <c r="FR54" s="712" t="str">
        <f ca="1">IF(INDIRECT(CONCATENATE($FK$12,Fixtures!FR$25))="","",IF(INDIRECT(CONCATENATE($FK$12,Fixtures!FR$25))=Fixtures!$DN54,CONCATENATE(FR$10,", "),""))</f>
        <v/>
      </c>
      <c r="FS54" s="712" t="str">
        <f ca="1">IF(INDIRECT(CONCATENATE($FK$12,Fixtures!FS$25))="","",IF(INDIRECT(CONCATENATE($FK$12,Fixtures!FS$25))=Fixtures!$DN54,CONCATENATE(FS$10,", "),""))</f>
        <v/>
      </c>
      <c r="FT54" s="682" t="str">
        <f ca="1">IF(INDIRECT(CONCATENATE($FK$12,Fixtures!FT$25))="","",IF(INDIRECT(CONCATENATE($FK$12,Fixtures!FT$25))=Fixtures!$DN54,CONCATENATE(FT$10,", "),""))</f>
        <v/>
      </c>
      <c r="FU54" s="683" t="str">
        <f ca="1">IF(INDIRECT(CONCATENATE($FK$12,Fixtures!FU$25))="","",IF(INDIRECT(CONCATENATE($FK$12,Fixtures!FU$25))=Fixtures!$DN54,CONCATENATE(FU$10,", "),""))</f>
        <v/>
      </c>
      <c r="FV54" s="712" t="str">
        <f ca="1">IF(INDIRECT(CONCATENATE($FK$12,Fixtures!FV$25))="","",IF(INDIRECT(CONCATENATE($FK$12,Fixtures!FV$25))=Fixtures!$DN54,CONCATENATE(FV$10,", "),""))</f>
        <v/>
      </c>
      <c r="FW54" s="713" t="str">
        <f ca="1">IF(INDIRECT(CONCATENATE($FK$12,Fixtures!FW$25))="","",IF(INDIRECT(CONCATENATE($FK$12,Fixtures!FW$25))=Fixtures!$DN54,CONCATENATE(FW$10,", "),""))</f>
        <v/>
      </c>
      <c r="FX54" s="713" t="str">
        <f ca="1">IF(INDIRECT(CONCATENATE($FK$12,Fixtures!FX$25))="","",IF(INDIRECT(CONCATENATE($FK$12,Fixtures!FX$25))=Fixtures!$DN54,CONCATENATE(FX$10,", "),""))</f>
        <v/>
      </c>
      <c r="FY54" s="713" t="str">
        <f ca="1">IF(INDIRECT(CONCATENATE($FK$12,Fixtures!FY$25))="","",IF(INDIRECT(CONCATENATE($FK$12,Fixtures!FY$25))=Fixtures!$DN54,CONCATENATE(FY$10,", "),""))</f>
        <v/>
      </c>
      <c r="FZ54" s="713" t="str">
        <f ca="1">IF(INDIRECT(CONCATENATE($FK$12,Fixtures!FZ$25))="","",IF(INDIRECT(CONCATENATE($FK$12,Fixtures!FZ$25))=Fixtures!$DN54,CONCATENATE(FZ$10,", "),""))</f>
        <v/>
      </c>
      <c r="GA54" s="713" t="str">
        <f ca="1">IF(INDIRECT(CONCATENATE($FK$12,Fixtures!GA$25))="","",IF(INDIRECT(CONCATENATE($FK$12,Fixtures!GA$25))=Fixtures!$DN54,CONCATENATE(GA$10,", "),""))</f>
        <v/>
      </c>
      <c r="GB54" s="713" t="str">
        <f ca="1">IF(INDIRECT(CONCATENATE($FK$12,Fixtures!GB$25))="","",IF(INDIRECT(CONCATENATE($FK$12,Fixtures!GB$25))=Fixtures!$DN54,CONCATENATE(GB$10,", "),""))</f>
        <v/>
      </c>
      <c r="GC54" s="713" t="str">
        <f ca="1">IF(INDIRECT(CONCATENATE($FK$12,Fixtures!GC$25))="","",IF(INDIRECT(CONCATENATE($FK$12,Fixtures!GC$25))=Fixtures!$DN54,CONCATENATE(GC$10,", "),""))</f>
        <v/>
      </c>
      <c r="GD54" s="713" t="str">
        <f ca="1">IF(INDIRECT(CONCATENATE($FK$12,Fixtures!GD$25))="","",IF(INDIRECT(CONCATENATE($FK$12,Fixtures!GD$25))=Fixtures!$DN54,CONCATENATE(GD$10,", "),""))</f>
        <v/>
      </c>
      <c r="GE54" s="713" t="str">
        <f ca="1">IF(INDIRECT(CONCATENATE($FK$12,Fixtures!GE$25))="","",IF(INDIRECT(CONCATENATE($FK$12,Fixtures!GE$25))=Fixtures!$DN54,CONCATENATE(GE$10,", "),""))</f>
        <v/>
      </c>
      <c r="GF54" s="713" t="str">
        <f ca="1">IF(INDIRECT(CONCATENATE($FK$12,Fixtures!GF$25))="","",IF(INDIRECT(CONCATENATE($FK$12,Fixtures!GF$25))=Fixtures!$DN54,CONCATENATE(GF$10,", "),""))</f>
        <v/>
      </c>
      <c r="GG54" s="713" t="str">
        <f ca="1">IF(INDIRECT(CONCATENATE($FK$12,Fixtures!GG$25))="","",IF(INDIRECT(CONCATENATE($FK$12,Fixtures!GG$25))=Fixtures!$DN54,CONCATENATE(GG$10,", "),""))</f>
        <v/>
      </c>
      <c r="GH54" s="713" t="str">
        <f ca="1">IF(INDIRECT(CONCATENATE($FK$12,Fixtures!GH$25))="","",IF(INDIRECT(CONCATENATE($FK$12,Fixtures!GH$25))=Fixtures!$DN54,CONCATENATE(GH$10,", "),""))</f>
        <v/>
      </c>
      <c r="GI54" s="684" t="str">
        <f ca="1">IF(INDIRECT(CONCATENATE($FK$12,Fixtures!GI$25))="","",IF(INDIRECT(CONCATENATE($FK$12,Fixtures!GI$25))=Fixtures!$DN54,CONCATENATE(GI$10,", "),""))</f>
        <v/>
      </c>
      <c r="GJ54" s="685" t="str">
        <f ca="1">IF(INDIRECT(CONCATENATE($FK$12,Fixtures!GJ$25))="","",IF(INDIRECT(CONCATENATE($FK$12,Fixtures!GJ$25))=Fixtures!$DN54,CONCATENATE(GJ$10,", "),""))</f>
        <v/>
      </c>
      <c r="GK54" s="713" t="str">
        <f ca="1">IF(INDIRECT(CONCATENATE($FK$12,Fixtures!GK$25))="","",IF(INDIRECT(CONCATENATE($FK$12,Fixtures!GK$25))=Fixtures!$DN54,CONCATENATE(GK$10,", "),""))</f>
        <v/>
      </c>
      <c r="GL54" s="713" t="str">
        <f ca="1">IF(INDIRECT(CONCATENATE($FK$12,Fixtures!GL$25))="","",IF(INDIRECT(CONCATENATE($FK$12,Fixtures!GL$25))=Fixtures!$DN54,CONCATENATE(GL$10,", "),""))</f>
        <v/>
      </c>
      <c r="GM54" s="713" t="str">
        <f ca="1">IF(INDIRECT(CONCATENATE($FK$12,Fixtures!GM$25))="","",IF(INDIRECT(CONCATENATE($FK$12,Fixtures!GM$25))=Fixtures!$DN54,CONCATENATE(GM$10,", "),""))</f>
        <v/>
      </c>
      <c r="GN54" s="713" t="str">
        <f ca="1">IF(INDIRECT(CONCATENATE($FK$12,Fixtures!GN$25))="","",IF(INDIRECT(CONCATENATE($FK$12,Fixtures!GN$25))=Fixtures!$DN54,CONCATENATE(GN$10,", "),""))</f>
        <v/>
      </c>
      <c r="GO54" s="713" t="str">
        <f ca="1">IF(INDIRECT(CONCATENATE($FK$12,Fixtures!GO$25))="","",IF(INDIRECT(CONCATENATE($FK$12,Fixtures!GO$25))=Fixtures!$DN54,CONCATENATE(GO$10,", "),""))</f>
        <v/>
      </c>
      <c r="GP54" s="713" t="str">
        <f ca="1">IF(INDIRECT(CONCATENATE($FK$12,Fixtures!GP$25))="","",IF(INDIRECT(CONCATENATE($FK$12,Fixtures!GP$25))=Fixtures!$DN54,CONCATENATE(GP$10,", "),""))</f>
        <v/>
      </c>
      <c r="GQ54" s="713" t="str">
        <f ca="1">IF(INDIRECT(CONCATENATE($FK$12,Fixtures!GQ$25))="","",IF(INDIRECT(CONCATENATE($FK$12,Fixtures!GQ$25))=Fixtures!$DN54,CONCATENATE(GQ$10,", "),""))</f>
        <v/>
      </c>
      <c r="GR54" s="713" t="str">
        <f ca="1">IF(INDIRECT(CONCATENATE($FK$12,Fixtures!GR$25))="","",IF(INDIRECT(CONCATENATE($FK$12,Fixtures!GR$25))=Fixtures!$DN54,CONCATENATE(GR$10,", "),""))</f>
        <v/>
      </c>
      <c r="GS54" s="713" t="str">
        <f ca="1">IF(INDIRECT(CONCATENATE($FK$12,Fixtures!GS$25))="","",IF(INDIRECT(CONCATENATE($FK$12,Fixtures!GS$25))=Fixtures!$DN54,CONCATENATE(GS$10,", "),""))</f>
        <v/>
      </c>
      <c r="GT54" s="713" t="str">
        <f ca="1">IF(INDIRECT(CONCATENATE($FK$12,Fixtures!GT$25))="","",IF(INDIRECT(CONCATENATE($FK$12,Fixtures!GT$25))=Fixtures!$DN54,CONCATENATE(GT$10,", "),""))</f>
        <v/>
      </c>
      <c r="GU54" s="713" t="str">
        <f ca="1">IF(INDIRECT(CONCATENATE($FK$12,Fixtures!GU$25))="","",IF(INDIRECT(CONCATENATE($FK$12,Fixtures!GU$25))=Fixtures!$DN54,CONCATENATE(GU$10,", "),""))</f>
        <v/>
      </c>
      <c r="GV54" s="713" t="str">
        <f ca="1">IF(INDIRECT(CONCATENATE($FK$12,Fixtures!GV$25))="","",IF(INDIRECT(CONCATENATE($FK$12,Fixtures!GV$25))=Fixtures!$DN54,CONCATENATE(GV$10,", "),""))</f>
        <v/>
      </c>
      <c r="GW54" s="713" t="str">
        <f ca="1">IF(INDIRECT(CONCATENATE($FK$12,Fixtures!GW$25))="","",IF(INDIRECT(CONCATENATE($FK$12,Fixtures!GW$25))=Fixtures!$DN54,CONCATENATE(GW$10,", "),""))</f>
        <v/>
      </c>
      <c r="GX54" s="684" t="str">
        <f ca="1">IF(INDIRECT(CONCATENATE($FK$12,Fixtures!GX$25))="","",IF(INDIRECT(CONCATENATE($FK$12,Fixtures!GX$25))=Fixtures!$DN54,CONCATENATE(GX$10,", "),""))</f>
        <v/>
      </c>
      <c r="GY54" s="685" t="str">
        <f ca="1">IF(INDIRECT(CONCATENATE($FK$12,Fixtures!GY$25))="","",IF(INDIRECT(CONCATENATE($FK$12,Fixtures!GY$25))=Fixtures!$DN54,CONCATENATE(GY$10,", "),""))</f>
        <v/>
      </c>
      <c r="GZ54" s="713" t="str">
        <f ca="1">IF(INDIRECT(CONCATENATE($FK$12,Fixtures!GZ$25))="","",IF(INDIRECT(CONCATENATE($FK$12,Fixtures!GZ$25))=Fixtures!$DN54,CONCATENATE(GZ$10,", "),""))</f>
        <v/>
      </c>
      <c r="HA54" s="713" t="str">
        <f ca="1">IF(INDIRECT(CONCATENATE($FK$12,Fixtures!HA$25))="","",IF(INDIRECT(CONCATENATE($FK$12,Fixtures!HA$25))=Fixtures!$DN54,CONCATENATE(HA$10,", "),""))</f>
        <v/>
      </c>
      <c r="HB54" s="713" t="str">
        <f ca="1">IF(INDIRECT(CONCATENATE($FK$12,Fixtures!HB$25))="","",IF(INDIRECT(CONCATENATE($FK$12,Fixtures!HB$25))=Fixtures!$DN54,CONCATENATE(HB$10,", "),""))</f>
        <v/>
      </c>
      <c r="HC54" s="713" t="str">
        <f ca="1">IF(INDIRECT(CONCATENATE($FK$12,Fixtures!HC$25))="","",IF(INDIRECT(CONCATENATE($FK$12,Fixtures!HC$25))=Fixtures!$DN54,CONCATENATE(HC$10,", "),""))</f>
        <v/>
      </c>
      <c r="HD54" s="713" t="str">
        <f ca="1">IF(INDIRECT(CONCATENATE($FK$12,Fixtures!HD$25))="","",IF(INDIRECT(CONCATENATE($FK$12,Fixtures!HD$25))=Fixtures!$DN54,CONCATENATE(HD$10,", "),""))</f>
        <v/>
      </c>
      <c r="HE54" s="713" t="str">
        <f ca="1">IF(INDIRECT(CONCATENATE($FK$12,Fixtures!HE$25))="","",IF(INDIRECT(CONCATENATE($FK$12,Fixtures!HE$25))=Fixtures!$DN54,CONCATENATE(HE$10,", "),""))</f>
        <v/>
      </c>
      <c r="HF54" s="713" t="str">
        <f ca="1">IF(INDIRECT(CONCATENATE($FK$12,Fixtures!HF$25))="","",IF(INDIRECT(CONCATENATE($FK$12,Fixtures!HF$25))=Fixtures!$DN54,CONCATENATE(HF$10,", "),""))</f>
        <v/>
      </c>
      <c r="HG54" s="713" t="str">
        <f ca="1">IF(INDIRECT(CONCATENATE($FK$12,Fixtures!HG$25))="","",IF(INDIRECT(CONCATENATE($FK$12,Fixtures!HG$25))=Fixtures!$DN54,CONCATENATE(HG$10,", "),""))</f>
        <v/>
      </c>
      <c r="HH54" s="713" t="str">
        <f ca="1">IF(INDIRECT(CONCATENATE($FK$12,Fixtures!HH$25))="","",IF(INDIRECT(CONCATENATE($FK$12,Fixtures!HH$25))=Fixtures!$DN54,CONCATENATE(HH$10,", "),""))</f>
        <v/>
      </c>
      <c r="HI54" s="713" t="str">
        <f ca="1">IF(INDIRECT(CONCATENATE($FK$12,Fixtures!HI$25))="","",IF(INDIRECT(CONCATENATE($FK$12,Fixtures!HI$25))=Fixtures!$DN54,CONCATENATE(HI$10,", "),""))</f>
        <v/>
      </c>
      <c r="HJ54" s="713" t="str">
        <f ca="1">IF(INDIRECT(CONCATENATE($FK$12,Fixtures!HJ$25))="","",IF(INDIRECT(CONCATENATE($FK$12,Fixtures!HJ$25))=Fixtures!$DN54,CONCATENATE(HJ$10,", "),""))</f>
        <v/>
      </c>
      <c r="HK54" s="713" t="str">
        <f ca="1">IF(INDIRECT(CONCATENATE($FK$12,Fixtures!HK$25))="","",IF(INDIRECT(CONCATENATE($FK$12,Fixtures!HK$25))=Fixtures!$DN54,CONCATENATE(HK$10,", "),""))</f>
        <v/>
      </c>
      <c r="HL54" s="713" t="str">
        <f ca="1">IF(INDIRECT(CONCATENATE($FK$12,Fixtures!HL$25))="","",IF(INDIRECT(CONCATENATE($FK$12,Fixtures!HL$25))=Fixtures!$DN54,CONCATENATE(HL$10,", "),""))</f>
        <v/>
      </c>
      <c r="HM54" s="684" t="str">
        <f ca="1">IF(INDIRECT(CONCATENATE($FK$12,Fixtures!HM$25))="","",IF(INDIRECT(CONCATENATE($FK$12,Fixtures!HM$25))=Fixtures!$DN54,CONCATENATE(HM$10,", "),""))</f>
        <v/>
      </c>
      <c r="HN54" s="685" t="str">
        <f ca="1">IF(INDIRECT(CONCATENATE($FK$12,Fixtures!HN$25))="","",IF(INDIRECT(CONCATENATE($FK$12,Fixtures!HN$25))=Fixtures!$DN54,CONCATENATE(HN$10,", "),""))</f>
        <v/>
      </c>
      <c r="HO54" s="713" t="str">
        <f ca="1">IF(INDIRECT(CONCATENATE($FK$12,Fixtures!HO$25))="","",IF(INDIRECT(CONCATENATE($FK$12,Fixtures!HO$25))=Fixtures!$DN54,CONCATENATE(HO$10,", "),""))</f>
        <v/>
      </c>
      <c r="HP54" s="713" t="str">
        <f ca="1">IF(INDIRECT(CONCATENATE($FK$12,Fixtures!HP$25))="","",IF(INDIRECT(CONCATENATE($FK$12,Fixtures!HP$25))=Fixtures!$DN54,CONCATENATE(HP$10,", "),""))</f>
        <v/>
      </c>
      <c r="HQ54" s="713" t="str">
        <f ca="1">IF(INDIRECT(CONCATENATE($FK$12,Fixtures!HQ$25))="","",IF(INDIRECT(CONCATENATE($FK$12,Fixtures!HQ$25))=Fixtures!$DN54,CONCATENATE(HQ$10,", "),""))</f>
        <v/>
      </c>
      <c r="HR54" s="713" t="str">
        <f ca="1">IF(INDIRECT(CONCATENATE($FK$12,Fixtures!HR$25))="","",IF(INDIRECT(CONCATENATE($FK$12,Fixtures!HR$25))=Fixtures!$DN54,CONCATENATE(HR$10,", "),""))</f>
        <v/>
      </c>
      <c r="HS54" s="713" t="str">
        <f ca="1">IF(INDIRECT(CONCATENATE($FK$12,Fixtures!HS$25))="","",IF(INDIRECT(CONCATENATE($FK$12,Fixtures!HS$25))=Fixtures!$DN54,CONCATENATE(HS$10,", "),""))</f>
        <v/>
      </c>
      <c r="HT54" s="713" t="str">
        <f ca="1">IF(INDIRECT(CONCATENATE($FK$12,Fixtures!HT$25))="","",IF(INDIRECT(CONCATENATE($FK$12,Fixtures!HT$25))=Fixtures!$DN54,CONCATENATE(HT$10,", "),""))</f>
        <v/>
      </c>
      <c r="HU54" s="713" t="str">
        <f ca="1">IF(INDIRECT(CONCATENATE($FK$12,Fixtures!HU$25))="","",IF(INDIRECT(CONCATENATE($FK$12,Fixtures!HU$25))=Fixtures!$DN54,CONCATENATE(HU$10,", "),""))</f>
        <v/>
      </c>
      <c r="HV54" s="713" t="str">
        <f ca="1">IF(INDIRECT(CONCATENATE($FK$12,Fixtures!HV$25))="","",IF(INDIRECT(CONCATENATE($FK$12,Fixtures!HV$25))=Fixtures!$DN54,CONCATENATE(HV$10,", "),""))</f>
        <v/>
      </c>
      <c r="HW54" s="713" t="str">
        <f ca="1">IF(INDIRECT(CONCATENATE($FK$12,Fixtures!HW$25))="","",IF(INDIRECT(CONCATENATE($FK$12,Fixtures!HW$25))=Fixtures!$DN54,CONCATENATE(HW$10,", "),""))</f>
        <v/>
      </c>
      <c r="HX54" s="713" t="str">
        <f ca="1">IF(INDIRECT(CONCATENATE($FK$12,Fixtures!HX$25))="","",IF(INDIRECT(CONCATENATE($FK$12,Fixtures!HX$25))=Fixtures!$DN54,CONCATENATE(HX$10,", "),""))</f>
        <v/>
      </c>
      <c r="HY54" s="713" t="str">
        <f ca="1">IF(INDIRECT(CONCATENATE($FK$12,Fixtures!HY$25))="","",IF(INDIRECT(CONCATENATE($FK$12,Fixtures!HY$25))=Fixtures!$DN54,CONCATENATE(HY$10,", "),""))</f>
        <v/>
      </c>
      <c r="HZ54" s="713" t="str">
        <f ca="1">IF(INDIRECT(CONCATENATE($FK$12,Fixtures!HZ$25))="","",IF(INDIRECT(CONCATENATE($FK$12,Fixtures!HZ$25))=Fixtures!$DN54,CONCATENATE(HZ$10,", "),""))</f>
        <v/>
      </c>
      <c r="IA54" s="713" t="str">
        <f ca="1">IF(INDIRECT(CONCATENATE($FK$12,Fixtures!IA$25))="","",IF(INDIRECT(CONCATENATE($FK$12,Fixtures!IA$25))=Fixtures!$DN54,CONCATENATE(IA$10,", "),""))</f>
        <v/>
      </c>
      <c r="IB54" s="684" t="str">
        <f ca="1">IF(INDIRECT(CONCATENATE($FK$12,Fixtures!IB$25))="","",IF(INDIRECT(CONCATENATE($FK$12,Fixtures!IB$25))=Fixtures!$DN54,CONCATENATE(IB$10,", "),""))</f>
        <v/>
      </c>
      <c r="IC54" s="685" t="str">
        <f ca="1">IF(INDIRECT(CONCATENATE($FK$12,Fixtures!IC$25))="","",IF(INDIRECT(CONCATENATE($FK$12,Fixtures!IC$25))=Fixtures!$DN54,CONCATENATE(IC$10,", "),""))</f>
        <v/>
      </c>
      <c r="ID54" s="713" t="str">
        <f ca="1">IF(INDIRECT(CONCATENATE($FK$12,Fixtures!ID$25))="","",IF(INDIRECT(CONCATENATE($FK$12,Fixtures!ID$25))=Fixtures!$DN54,CONCATENATE(ID$10,", "),""))</f>
        <v/>
      </c>
      <c r="IE54" s="713" t="str">
        <f ca="1">IF(INDIRECT(CONCATENATE($FK$12,Fixtures!IE$25))="","",IF(INDIRECT(CONCATENATE($FK$12,Fixtures!IE$25))=Fixtures!$DN54,CONCATENATE(IE$10,", "),""))</f>
        <v/>
      </c>
      <c r="IF54" s="713" t="str">
        <f ca="1">IF(INDIRECT(CONCATENATE($FK$12,Fixtures!IF$25))="","",IF(INDIRECT(CONCATENATE($FK$12,Fixtures!IF$25))=Fixtures!$DN54,CONCATENATE(IF$10,", "),""))</f>
        <v/>
      </c>
      <c r="IG54" s="713" t="str">
        <f ca="1">IF(INDIRECT(CONCATENATE($FK$12,Fixtures!IG$25))="","",IF(INDIRECT(CONCATENATE($FK$12,Fixtures!IG$25))=Fixtures!$DN54,CONCATENATE(IG$10,", "),""))</f>
        <v/>
      </c>
      <c r="IH54" s="713" t="str">
        <f ca="1">IF(INDIRECT(CONCATENATE($FK$12,Fixtures!IH$25))="","",IF(INDIRECT(CONCATENATE($FK$12,Fixtures!IH$25))=Fixtures!$DN54,CONCATENATE(IH$10,", "),""))</f>
        <v/>
      </c>
      <c r="II54" s="713" t="str">
        <f ca="1">IF(INDIRECT(CONCATENATE($FK$12,Fixtures!II$25))="","",IF(INDIRECT(CONCATENATE($FK$12,Fixtures!II$25))=Fixtures!$DN54,CONCATENATE(II$10,", "),""))</f>
        <v/>
      </c>
      <c r="IJ54" s="713" t="str">
        <f ca="1">IF(INDIRECT(CONCATENATE($FK$12,Fixtures!IJ$25))="","",IF(INDIRECT(CONCATENATE($FK$12,Fixtures!IJ$25))=Fixtures!$DN54,CONCATENATE(IJ$10,", "),""))</f>
        <v/>
      </c>
      <c r="IK54" s="713" t="str">
        <f ca="1">IF(INDIRECT(CONCATENATE($FK$12,Fixtures!IK$25))="","",IF(INDIRECT(CONCATENATE($FK$12,Fixtures!IK$25))=Fixtures!$DN54,CONCATENATE(IK$10,", "),""))</f>
        <v/>
      </c>
      <c r="IL54" s="713" t="str">
        <f ca="1">IF(INDIRECT(CONCATENATE($FK$12,Fixtures!IL$25))="","",IF(INDIRECT(CONCATENATE($FK$12,Fixtures!IL$25))=Fixtures!$DN54,CONCATENATE(IL$10,", "),""))</f>
        <v/>
      </c>
      <c r="IM54" s="713" t="str">
        <f ca="1">IF(INDIRECT(CONCATENATE($FK$12,Fixtures!IM$25))="","",IF(INDIRECT(CONCATENATE($FK$12,Fixtures!IM$25))=Fixtures!$DN54,CONCATENATE(IM$10,", "),""))</f>
        <v/>
      </c>
      <c r="IN54" s="713" t="str">
        <f ca="1">IF(INDIRECT(CONCATENATE($FK$12,Fixtures!IN$25))="","",IF(INDIRECT(CONCATENATE($FK$12,Fixtures!IN$25))=Fixtures!$DN54,CONCATENATE(IN$10,", "),""))</f>
        <v/>
      </c>
      <c r="IO54" s="713" t="str">
        <f ca="1">IF(INDIRECT(CONCATENATE($FK$12,Fixtures!IO$25))="","",IF(INDIRECT(CONCATENATE($FK$12,Fixtures!IO$25))=Fixtures!$DN54,CONCATENATE(IO$10,", "),""))</f>
        <v/>
      </c>
      <c r="IP54" s="713" t="str">
        <f ca="1">IF(INDIRECT(CONCATENATE($FK$12,Fixtures!IP$25))="","",IF(INDIRECT(CONCATENATE($FK$12,Fixtures!IP$25))=Fixtures!$DN54,CONCATENATE(IP$10,", "),""))</f>
        <v/>
      </c>
      <c r="IQ54" s="684" t="str">
        <f ca="1">IF(INDIRECT(CONCATENATE($FK$12,Fixtures!IQ$25))="","",IF(INDIRECT(CONCATENATE($FK$12,Fixtures!IQ$25))=Fixtures!$DN54,CONCATENATE(IQ$10,", "),""))</f>
        <v/>
      </c>
      <c r="IR54" s="685" t="str">
        <f ca="1">IF(INDIRECT(CONCATENATE($FK$12,Fixtures!IR$25))="","",IF(INDIRECT(CONCATENATE($FK$12,Fixtures!IR$25))=Fixtures!$DN54,CONCATENATE(IR$10,", "),""))</f>
        <v/>
      </c>
      <c r="IS54" s="713" t="str">
        <f ca="1">IF(INDIRECT(CONCATENATE($FK$12,Fixtures!IS$25))="","",IF(INDIRECT(CONCATENATE($FK$12,Fixtures!IS$25))=Fixtures!$DN54,CONCATENATE(IS$10,", "),""))</f>
        <v/>
      </c>
      <c r="IT54" s="713" t="str">
        <f ca="1">IF(INDIRECT(CONCATENATE($FK$12,Fixtures!IT$25))="","",IF(INDIRECT(CONCATENATE($FK$12,Fixtures!IT$25))=Fixtures!$DN54,CONCATENATE(IT$10,", "),""))</f>
        <v/>
      </c>
      <c r="IU54" s="713" t="str">
        <f ca="1">IF(INDIRECT(CONCATENATE($FK$12,Fixtures!IU$25))="","",IF(INDIRECT(CONCATENATE($FK$12,Fixtures!IU$25))=Fixtures!$DN54,CONCATENATE(IU$10,", "),""))</f>
        <v/>
      </c>
      <c r="IV54" s="713" t="str">
        <f ca="1">IF(INDIRECT(CONCATENATE($FK$12,Fixtures!IV$25))="","",IF(INDIRECT(CONCATENATE($FK$12,Fixtures!IV$25))=Fixtures!$DN54,CONCATENATE(IV$10,", "),""))</f>
        <v/>
      </c>
      <c r="IW54" s="713" t="str">
        <f ca="1">IF(INDIRECT(CONCATENATE($FK$12,Fixtures!IW$25))="","",IF(INDIRECT(CONCATENATE($FK$12,Fixtures!IW$25))=Fixtures!$DN54,CONCATENATE(IW$10,", "),""))</f>
        <v/>
      </c>
      <c r="IX54" s="713" t="str">
        <f ca="1">IF(INDIRECT(CONCATENATE($FK$12,Fixtures!IX$25))="","",IF(INDIRECT(CONCATENATE($FK$12,Fixtures!IX$25))=Fixtures!$DN54,CONCATENATE(IX$10,", "),""))</f>
        <v/>
      </c>
      <c r="IY54" s="713" t="str">
        <f ca="1">IF(INDIRECT(CONCATENATE($FK$12,Fixtures!IY$25))="","",IF(INDIRECT(CONCATENATE($FK$12,Fixtures!IY$25))=Fixtures!$DN54,CONCATENATE(IY$10,", "),""))</f>
        <v/>
      </c>
      <c r="IZ54" s="713" t="str">
        <f ca="1">IF(INDIRECT(CONCATENATE($FK$12,Fixtures!IZ$25))="","",IF(INDIRECT(CONCATENATE($FK$12,Fixtures!IZ$25))=Fixtures!$DN54,CONCATENATE(IZ$10,", "),""))</f>
        <v/>
      </c>
      <c r="JA54" s="713" t="str">
        <f ca="1">IF(INDIRECT(CONCATENATE($FK$12,Fixtures!JA$25))="","",IF(INDIRECT(CONCATENATE($FK$12,Fixtures!JA$25))=Fixtures!$DN54,CONCATENATE(JA$10,", "),""))</f>
        <v/>
      </c>
      <c r="JB54" s="713" t="str">
        <f ca="1">IF(INDIRECT(CONCATENATE($FK$12,Fixtures!JB$25))="","",IF(INDIRECT(CONCATENATE($FK$12,Fixtures!JB$25))=Fixtures!$DN54,CONCATENATE(JB$10,", "),""))</f>
        <v/>
      </c>
      <c r="JC54" s="713" t="str">
        <f ca="1">IF(INDIRECT(CONCATENATE($FK$12,Fixtures!JC$25))="","",IF(INDIRECT(CONCATENATE($FK$12,Fixtures!JC$25))=Fixtures!$DN54,CONCATENATE(JC$10,", "),""))</f>
        <v/>
      </c>
      <c r="JD54" s="713" t="str">
        <f ca="1">IF(INDIRECT(CONCATENATE($FK$12,Fixtures!JD$25))="","",IF(INDIRECT(CONCATENATE($FK$12,Fixtures!JD$25))=Fixtures!$DN54,CONCATENATE(JD$10,", "),""))</f>
        <v/>
      </c>
      <c r="JE54" s="713" t="str">
        <f ca="1">IF(INDIRECT(CONCATENATE($FK$12,Fixtures!JE$25))="","",IF(INDIRECT(CONCATENATE($FK$12,Fixtures!JE$25))=Fixtures!$DN54,CONCATENATE(JE$10,", "),""))</f>
        <v/>
      </c>
      <c r="JF54" s="684" t="str">
        <f ca="1">IF(INDIRECT(CONCATENATE($FK$12,Fixtures!JF$25))="","",IF(INDIRECT(CONCATENATE($FK$12,Fixtures!JF$25))=Fixtures!$DN54,CONCATENATE(JF$10,", "),""))</f>
        <v/>
      </c>
      <c r="JG54" s="685" t="str">
        <f ca="1">IF(INDIRECT(CONCATENATE($FK$12,Fixtures!JG$25))="","",IF(INDIRECT(CONCATENATE($FK$12,Fixtures!JG$25))=Fixtures!$DN54,CONCATENATE(JG$10,", "),""))</f>
        <v/>
      </c>
      <c r="JH54" s="713" t="str">
        <f ca="1">IF(INDIRECT(CONCATENATE($FK$12,Fixtures!JH$25))="","",IF(INDIRECT(CONCATENATE($FK$12,Fixtures!JH$25))=Fixtures!$DN54,CONCATENATE(JH$10,", "),""))</f>
        <v/>
      </c>
      <c r="JI54" s="713" t="str">
        <f ca="1">IF(INDIRECT(CONCATENATE($FK$12,Fixtures!JI$25))="","",IF(INDIRECT(CONCATENATE($FK$12,Fixtures!JI$25))=Fixtures!$DN54,CONCATENATE(JI$10,", "),""))</f>
        <v/>
      </c>
      <c r="JJ54" s="713" t="str">
        <f ca="1">IF(INDIRECT(CONCATENATE($FK$12,Fixtures!JJ$25))="","",IF(INDIRECT(CONCATENATE($FK$12,Fixtures!JJ$25))=Fixtures!$DN54,CONCATENATE(JJ$10,", "),""))</f>
        <v/>
      </c>
      <c r="JK54" s="713" t="str">
        <f ca="1">IF(INDIRECT(CONCATENATE($FK$12,Fixtures!JK$25))="","",IF(INDIRECT(CONCATENATE($FK$12,Fixtures!JK$25))=Fixtures!$DN54,CONCATENATE(JK$10,", "),""))</f>
        <v/>
      </c>
      <c r="JL54" s="713" t="str">
        <f ca="1">IF(INDIRECT(CONCATENATE($FK$12,Fixtures!JL$25))="","",IF(INDIRECT(CONCATENATE($FK$12,Fixtures!JL$25))=Fixtures!$DN54,CONCATENATE(JL$10,", "),""))</f>
        <v/>
      </c>
      <c r="JM54" s="713" t="str">
        <f ca="1">IF(INDIRECT(CONCATENATE($FK$12,Fixtures!JM$25))="","",IF(INDIRECT(CONCATENATE($FK$12,Fixtures!JM$25))=Fixtures!$DN54,CONCATENATE(JM$10,", "),""))</f>
        <v/>
      </c>
      <c r="JN54" s="713" t="str">
        <f ca="1">IF(INDIRECT(CONCATENATE($FK$12,Fixtures!JN$25))="","",IF(INDIRECT(CONCATENATE($FK$12,Fixtures!JN$25))=Fixtures!$DN54,CONCATENATE(JN$10,", "),""))</f>
        <v/>
      </c>
      <c r="JO54" s="713" t="str">
        <f ca="1">IF(INDIRECT(CONCATENATE($FK$12,Fixtures!JO$25))="","",IF(INDIRECT(CONCATENATE($FK$12,Fixtures!JO$25))=Fixtures!$DN54,CONCATENATE(JO$10,", "),""))</f>
        <v/>
      </c>
      <c r="JP54" s="713" t="str">
        <f ca="1">IF(INDIRECT(CONCATENATE($FK$12,Fixtures!JP$25))="","",IF(INDIRECT(CONCATENATE($FK$12,Fixtures!JP$25))=Fixtures!$DN54,CONCATENATE(JP$10,", "),""))</f>
        <v/>
      </c>
      <c r="JQ54" s="713" t="str">
        <f ca="1">IF(INDIRECT(CONCATENATE($FK$12,Fixtures!JQ$25))="","",IF(INDIRECT(CONCATENATE($FK$12,Fixtures!JQ$25))=Fixtures!$DN54,CONCATENATE(JQ$10,", "),""))</f>
        <v/>
      </c>
      <c r="JR54" s="713" t="str">
        <f ca="1">IF(INDIRECT(CONCATENATE($FK$12,Fixtures!JR$25))="","",IF(INDIRECT(CONCATENATE($FK$12,Fixtures!JR$25))=Fixtures!$DN54,CONCATENATE(JR$10,", "),""))</f>
        <v/>
      </c>
      <c r="JS54" s="713" t="str">
        <f ca="1">IF(INDIRECT(CONCATENATE($FK$12,Fixtures!JS$25))="","",IF(INDIRECT(CONCATENATE($FK$12,Fixtures!JS$25))=Fixtures!$DN54,CONCATENATE(JS$10,", "),""))</f>
        <v/>
      </c>
      <c r="JT54" s="713" t="str">
        <f ca="1">IF(INDIRECT(CONCATENATE($FK$12,Fixtures!JT$25))="","",IF(INDIRECT(CONCATENATE($FK$12,Fixtures!JT$25))=Fixtures!$DN54,CONCATENATE(JT$10,", "),""))</f>
        <v/>
      </c>
      <c r="JU54" s="684" t="str">
        <f ca="1">IF(INDIRECT(CONCATENATE($FK$12,Fixtures!JU$25))="","",IF(INDIRECT(CONCATENATE($FK$12,Fixtures!JU$25))=Fixtures!$DN54,CONCATENATE(JU$10,", "),""))</f>
        <v/>
      </c>
      <c r="JV54" s="685" t="str">
        <f ca="1">IF(INDIRECT(CONCATENATE($FK$12,Fixtures!JV$25))="","",IF(INDIRECT(CONCATENATE($FK$12,Fixtures!JV$25))=Fixtures!$DN54,CONCATENATE(JV$10,", "),""))</f>
        <v/>
      </c>
      <c r="JW54" s="713" t="str">
        <f ca="1">IF(INDIRECT(CONCATENATE($FK$12,Fixtures!JW$25))="","",IF(INDIRECT(CONCATENATE($FK$12,Fixtures!JW$25))=Fixtures!$DN54,CONCATENATE(JW$10,", "),""))</f>
        <v/>
      </c>
      <c r="JX54" s="713" t="str">
        <f ca="1">IF(INDIRECT(CONCATENATE($FK$12,Fixtures!JX$25))="","",IF(INDIRECT(CONCATENATE($FK$12,Fixtures!JX$25))=Fixtures!$DN54,CONCATENATE(JX$10,", "),""))</f>
        <v/>
      </c>
      <c r="JY54" s="713" t="str">
        <f ca="1">IF(INDIRECT(CONCATENATE($FK$12,Fixtures!JY$25))="","",IF(INDIRECT(CONCATENATE($FK$12,Fixtures!JY$25))=Fixtures!$DN54,CONCATENATE(JY$10,", "),""))</f>
        <v/>
      </c>
      <c r="JZ54" s="713" t="str">
        <f ca="1">IF(INDIRECT(CONCATENATE($FK$12,Fixtures!JZ$25))="","",IF(INDIRECT(CONCATENATE($FK$12,Fixtures!JZ$25))=Fixtures!$DN54,CONCATENATE(JZ$10,", "),""))</f>
        <v/>
      </c>
      <c r="KA54" s="713" t="str">
        <f ca="1">IF(INDIRECT(CONCATENATE($FK$12,Fixtures!KA$25))="","",IF(INDIRECT(CONCATENATE($FK$12,Fixtures!KA$25))=Fixtures!$DN54,CONCATENATE(KA$10,", "),""))</f>
        <v/>
      </c>
      <c r="KB54" s="713" t="str">
        <f ca="1">IF(INDIRECT(CONCATENATE($FK$12,Fixtures!KB$25))="","",IF(INDIRECT(CONCATENATE($FK$12,Fixtures!KB$25))=Fixtures!$DN54,CONCATENATE(KB$10,", "),""))</f>
        <v/>
      </c>
      <c r="KC54" s="713" t="str">
        <f ca="1">IF(INDIRECT(CONCATENATE($FK$12,Fixtures!KC$25))="","",IF(INDIRECT(CONCATENATE($FK$12,Fixtures!KC$25))=Fixtures!$DN54,CONCATENATE(KC$10,", "),""))</f>
        <v/>
      </c>
      <c r="KD54" s="713" t="str">
        <f ca="1">IF(INDIRECT(CONCATENATE($FK$12,Fixtures!KD$25))="","",IF(INDIRECT(CONCATENATE($FK$12,Fixtures!KD$25))=Fixtures!$DN54,CONCATENATE(KD$10,", "),""))</f>
        <v/>
      </c>
      <c r="KE54" s="713" t="str">
        <f ca="1">IF(INDIRECT(CONCATENATE($FK$12,Fixtures!KE$25))="","",IF(INDIRECT(CONCATENATE($FK$12,Fixtures!KE$25))=Fixtures!$DN54,CONCATENATE(KE$10,", "),""))</f>
        <v/>
      </c>
      <c r="KF54" s="713" t="str">
        <f ca="1">IF(INDIRECT(CONCATENATE($FK$12,Fixtures!KF$25))="","",IF(INDIRECT(CONCATENATE($FK$12,Fixtures!KF$25))=Fixtures!$DN54,CONCATENATE(KF$10,", "),""))</f>
        <v/>
      </c>
      <c r="KG54" s="713" t="str">
        <f ca="1">IF(INDIRECT(CONCATENATE($FK$12,Fixtures!KG$25))="","",IF(INDIRECT(CONCATENATE($FK$12,Fixtures!KG$25))=Fixtures!$DN54,CONCATENATE(KG$10,", "),""))</f>
        <v/>
      </c>
      <c r="KH54" s="713" t="str">
        <f ca="1">IF(INDIRECT(CONCATENATE($FK$12,Fixtures!KH$25))="","",IF(INDIRECT(CONCATENATE($FK$12,Fixtures!KH$25))=Fixtures!$DN54,CONCATENATE(KH$10,", "),""))</f>
        <v/>
      </c>
      <c r="KI54" s="713" t="str">
        <f ca="1">IF(INDIRECT(CONCATENATE($FK$12,Fixtures!KI$25))="","",IF(INDIRECT(CONCATENATE($FK$12,Fixtures!KI$25))=Fixtures!$DN54,CONCATENATE(KI$10,", "),""))</f>
        <v/>
      </c>
      <c r="KJ54" s="684" t="str">
        <f ca="1">IF(INDIRECT(CONCATENATE($FK$12,Fixtures!KJ$25))="","",IF(INDIRECT(CONCATENATE($FK$12,Fixtures!KJ$25))=Fixtures!$DN54,CONCATENATE(KJ$10,", "),""))</f>
        <v/>
      </c>
      <c r="KK54" s="685" t="str">
        <f ca="1">IF(INDIRECT(CONCATENATE($FK$12,Fixtures!KK$25))="","",IF(INDIRECT(CONCATENATE($FK$12,Fixtures!KK$25))=Fixtures!$DN54,CONCATENATE(KK$10,", "),""))</f>
        <v/>
      </c>
      <c r="KL54" s="713" t="str">
        <f ca="1">IF(INDIRECT(CONCATENATE($FK$12,Fixtures!KL$25))="","",IF(INDIRECT(CONCATENATE($FK$12,Fixtures!KL$25))=Fixtures!$DN54,CONCATENATE(KL$10,", "),""))</f>
        <v/>
      </c>
      <c r="KM54" s="713" t="str">
        <f ca="1">IF(INDIRECT(CONCATENATE($FK$12,Fixtures!KM$25))="","",IF(INDIRECT(CONCATENATE($FK$12,Fixtures!KM$25))=Fixtures!$DN54,CONCATENATE(KM$10,", "),""))</f>
        <v/>
      </c>
      <c r="KN54" s="713" t="str">
        <f ca="1">IF(INDIRECT(CONCATENATE($FK$12,Fixtures!KN$25))="","",IF(INDIRECT(CONCATENATE($FK$12,Fixtures!KN$25))=Fixtures!$DN54,CONCATENATE(KN$10,", "),""))</f>
        <v/>
      </c>
      <c r="KO54" s="713" t="str">
        <f ca="1">IF(INDIRECT(CONCATENATE($FK$12,Fixtures!KO$25))="","",IF(INDIRECT(CONCATENATE($FK$12,Fixtures!KO$25))=Fixtures!$DN54,CONCATENATE(KO$10,", "),""))</f>
        <v/>
      </c>
      <c r="KP54" s="713" t="str">
        <f ca="1">IF(INDIRECT(CONCATENATE($FK$12,Fixtures!KP$25))="","",IF(INDIRECT(CONCATENATE($FK$12,Fixtures!KP$25))=Fixtures!$DN54,CONCATENATE(KP$10,", "),""))</f>
        <v/>
      </c>
      <c r="KQ54" s="713" t="str">
        <f ca="1">IF(INDIRECT(CONCATENATE($FK$12,Fixtures!KQ$25))="","",IF(INDIRECT(CONCATENATE($FK$12,Fixtures!KQ$25))=Fixtures!$DN54,CONCATENATE(KQ$10,", "),""))</f>
        <v/>
      </c>
      <c r="KR54" s="713" t="str">
        <f ca="1">IF(INDIRECT(CONCATENATE($FK$12,Fixtures!KR$25))="","",IF(INDIRECT(CONCATENATE($FK$12,Fixtures!KR$25))=Fixtures!$DN54,CONCATENATE(KR$10,", "),""))</f>
        <v/>
      </c>
      <c r="KS54" s="713" t="str">
        <f ca="1">IF(INDIRECT(CONCATENATE($FK$12,Fixtures!KS$25))="","",IF(INDIRECT(CONCATENATE($FK$12,Fixtures!KS$25))=Fixtures!$DN54,CONCATENATE(KS$10,", "),""))</f>
        <v/>
      </c>
      <c r="KT54" s="713" t="str">
        <f ca="1">IF(INDIRECT(CONCATENATE($FK$12,Fixtures!KT$25))="","",IF(INDIRECT(CONCATENATE($FK$12,Fixtures!KT$25))=Fixtures!$DN54,CONCATENATE(KT$10,", "),""))</f>
        <v/>
      </c>
      <c r="KU54" s="713" t="str">
        <f ca="1">IF(INDIRECT(CONCATENATE($FK$12,Fixtures!KU$25))="","",IF(INDIRECT(CONCATENATE($FK$12,Fixtures!KU$25))=Fixtures!$DN54,CONCATENATE(KU$10,", "),""))</f>
        <v/>
      </c>
      <c r="KV54" s="713" t="str">
        <f ca="1">IF(INDIRECT(CONCATENATE($FK$12,Fixtures!KV$25))="","",IF(INDIRECT(CONCATENATE($FK$12,Fixtures!KV$25))=Fixtures!$DN54,CONCATENATE(KV$10,", "),""))</f>
        <v/>
      </c>
      <c r="KW54" s="713" t="str">
        <f ca="1">IF(INDIRECT(CONCATENATE($FK$12,Fixtures!KW$25))="","",IF(INDIRECT(CONCATENATE($FK$12,Fixtures!KW$25))=Fixtures!$DN54,CONCATENATE(KW$10,", "),""))</f>
        <v/>
      </c>
      <c r="KX54" s="713" t="str">
        <f ca="1">IF(INDIRECT(CONCATENATE($FK$12,Fixtures!KX$25))="","",IF(INDIRECT(CONCATENATE($FK$12,Fixtures!KX$25))=Fixtures!$DN54,CONCATENATE(KX$10,", "),""))</f>
        <v/>
      </c>
      <c r="KY54" s="713" t="str">
        <f ca="1">IF(INDIRECT(CONCATENATE($FK$12,Fixtures!KY$25))="","",IF(INDIRECT(CONCATENATE($FK$12,Fixtures!KY$25))=Fixtures!$DN54,CONCATENATE(KY$10,", "),""))</f>
        <v/>
      </c>
      <c r="KZ54" s="46"/>
      <c r="LA54" s="46" t="str">
        <f t="shared" ca="1" si="8"/>
        <v/>
      </c>
    </row>
    <row r="55" spans="1:313" ht="28.05" customHeight="1" thickTop="1" thickBot="1">
      <c r="A55" s="471" t="str">
        <f t="shared" si="13"/>
        <v/>
      </c>
      <c r="C55" s="1328" t="str">
        <f t="shared" si="14"/>
        <v/>
      </c>
      <c r="D55" s="1329"/>
      <c r="E55" s="1256" t="str">
        <f t="shared" si="15"/>
        <v/>
      </c>
      <c r="F55" s="1257"/>
      <c r="G55" s="1257"/>
      <c r="H55" s="1257"/>
      <c r="I55" s="1257"/>
      <c r="J55" s="1257"/>
      <c r="K55" s="1257"/>
      <c r="L55" s="1257"/>
      <c r="M55" s="1330"/>
      <c r="N55" s="239" t="str">
        <f t="shared" si="16"/>
        <v/>
      </c>
      <c r="O55" s="12"/>
      <c r="P55" s="1326" t="str">
        <f t="shared" si="25"/>
        <v/>
      </c>
      <c r="Q55" s="1327"/>
      <c r="R55" s="1256" t="str">
        <f t="shared" si="31"/>
        <v/>
      </c>
      <c r="S55" s="1257"/>
      <c r="T55" s="1257"/>
      <c r="U55" s="1257"/>
      <c r="V55" s="1257"/>
      <c r="W55" s="1257"/>
      <c r="X55" s="1257"/>
      <c r="Y55" s="239" t="str">
        <f t="shared" si="27"/>
        <v/>
      </c>
      <c r="Z55" s="239" t="str">
        <f t="shared" si="28"/>
        <v/>
      </c>
      <c r="AA55" s="439" t="str">
        <f t="shared" si="29"/>
        <v/>
      </c>
      <c r="AB55" s="542"/>
      <c r="AC55" s="1253" t="str">
        <f t="shared" si="17"/>
        <v/>
      </c>
      <c r="AD55" s="1166"/>
      <c r="AE55" s="1166"/>
      <c r="AF55" s="1166"/>
      <c r="AG55" s="1166"/>
      <c r="AH55" s="1166"/>
      <c r="AK55">
        <f>SUMIFS(Installations!CS$39:CS$800,Installations!CT$39:CT$800,E55,Installations!HX$39:HX$800,TRUE)</f>
        <v>0</v>
      </c>
      <c r="AL55">
        <f>SUMIFS(Installations!CS$39:CS$800,Installations!CT$39:CT$800,R55,Installations!HX$39:HX$800,TRUE)</f>
        <v>0</v>
      </c>
      <c r="BL55" s="9"/>
      <c r="BM55" s="703" t="str">
        <f t="shared" si="18"/>
        <v/>
      </c>
      <c r="BN55" s="52"/>
      <c r="BO55" s="52"/>
      <c r="BP55" s="52"/>
      <c r="BQ55" s="52"/>
      <c r="BR55" s="52"/>
      <c r="BS55" s="52"/>
      <c r="BT55" s="52"/>
      <c r="BU55" s="414"/>
      <c r="BV55" s="255" t="str">
        <f>IF(CN55&lt;&gt;"Yes","",IFERROR(VLOOKUP(CU55,Existing!A$4:F$364,2,FALSE),""))</f>
        <v/>
      </c>
      <c r="BW55" s="9">
        <v>29</v>
      </c>
      <c r="BX55" s="1313"/>
      <c r="BY55" s="1314"/>
      <c r="BZ55" s="1314"/>
      <c r="CA55" s="1315"/>
      <c r="CB55" s="1310"/>
      <c r="CC55" s="1311"/>
      <c r="CD55" s="1311"/>
      <c r="CE55" s="1312"/>
      <c r="CF55" s="1309"/>
      <c r="CG55" s="1309"/>
      <c r="CH55" s="1309"/>
      <c r="CI55" s="1309"/>
      <c r="CJ55" s="1309"/>
      <c r="CK55" s="1309"/>
      <c r="CL55" s="1309"/>
      <c r="CM55" s="1309"/>
      <c r="CN55" s="1243" t="str">
        <f t="shared" si="32"/>
        <v/>
      </c>
      <c r="CO55" s="1244"/>
      <c r="CP55" s="265" t="str">
        <f>IFERROR(IF(CB55="Existing TLED",CR55*CW55*CY55,VLOOKUP(CU55,Existing!A$3:F$353,6,FALSE)),"")</f>
        <v/>
      </c>
      <c r="CQ55" s="9"/>
      <c r="CR55" s="1343"/>
      <c r="CS55" s="1344"/>
      <c r="CT55" s="9"/>
      <c r="CU55" s="470" t="str">
        <f t="shared" si="21"/>
        <v/>
      </c>
      <c r="CV55" s="471" t="b">
        <f t="shared" si="22"/>
        <v>0</v>
      </c>
      <c r="CW55" s="471" t="str">
        <f t="shared" si="23"/>
        <v/>
      </c>
      <c r="CX55" s="471">
        <f>IFERROR(VLOOKUP(CF55,Lookup!M$100:O$102,3,FALSE),0)</f>
        <v>0</v>
      </c>
      <c r="CY55" s="471">
        <f t="shared" si="9"/>
        <v>1.1100000000000001</v>
      </c>
      <c r="CZ55" s="707" t="b">
        <f t="shared" si="1"/>
        <v>0</v>
      </c>
      <c r="DA55" s="707" t="b">
        <f>IF(CF55&lt;&gt;"",IF(ISERROR(MATCH(CONCATENATE(CB55," - ",CF55),Existing!G$4:G$328,0))=TRUE,FALSE,TRUE),TRUE)</f>
        <v>1</v>
      </c>
      <c r="DB55" s="707" t="b">
        <f t="shared" si="2"/>
        <v>1</v>
      </c>
      <c r="DL55" s="9"/>
      <c r="DM55" s="708" t="s">
        <v>166</v>
      </c>
      <c r="DN55" s="416" t="str">
        <f t="shared" si="3"/>
        <v/>
      </c>
      <c r="DO55" s="52"/>
      <c r="DP55" s="52"/>
      <c r="DQ55" s="52"/>
      <c r="DR55" s="52"/>
      <c r="DS55" s="52"/>
      <c r="DT55" s="262"/>
      <c r="DU55" s="417"/>
      <c r="DV55" s="263" t="str">
        <f t="shared" si="4"/>
        <v/>
      </c>
      <c r="DW55" s="260">
        <v>29</v>
      </c>
      <c r="DX55" s="1306"/>
      <c r="DY55" s="1307"/>
      <c r="DZ55" s="1307"/>
      <c r="EA55" s="1308"/>
      <c r="EB55" s="1306"/>
      <c r="EC55" s="1307"/>
      <c r="ED55" s="1307"/>
      <c r="EE55" s="1308"/>
      <c r="EF55" s="1266"/>
      <c r="EG55" s="1267"/>
      <c r="EH55" s="1306"/>
      <c r="EI55" s="1307"/>
      <c r="EJ55" s="1307"/>
      <c r="EK55" s="1308"/>
      <c r="EL55" s="1263"/>
      <c r="EM55" s="1264"/>
      <c r="EN55" s="1264"/>
      <c r="EO55" s="1265"/>
      <c r="EP55" s="1266"/>
      <c r="EQ55" s="1267"/>
      <c r="ER55" s="1245"/>
      <c r="ES55" s="1246"/>
      <c r="ET55" s="1243" t="str">
        <f t="shared" si="5"/>
        <v/>
      </c>
      <c r="EU55" s="1244"/>
      <c r="EV55" s="1243" t="str">
        <f t="shared" si="30"/>
        <v/>
      </c>
      <c r="EW55" s="1244"/>
      <c r="EX55" s="438"/>
      <c r="EY55" s="261" t="str">
        <f t="shared" si="7"/>
        <v/>
      </c>
      <c r="EZ55" s="261" t="str">
        <f>IFERROR(VLOOKUP(EB55,Lookup!AM$3:AN$13,2,FALSE),"")</f>
        <v/>
      </c>
      <c r="FA55" s="471" t="b">
        <f>IFERROR(IF(VLOOKUP(EB55,Lookup!AM$6:AN$8,2,FALSE)&gt;3,TRUE,FALSE),FALSE)</f>
        <v>0</v>
      </c>
      <c r="FB55" s="471">
        <f t="shared" si="11"/>
        <v>1</v>
      </c>
      <c r="FC55" t="str">
        <f t="shared" ca="1" si="10"/>
        <v/>
      </c>
      <c r="FG55" t="str">
        <f t="shared" ca="1" si="12"/>
        <v/>
      </c>
      <c r="FI55" s="240" t="str">
        <f t="shared" ca="1" si="24"/>
        <v/>
      </c>
      <c r="FJ55" s="240"/>
      <c r="FK55" s="712" t="str">
        <f ca="1">IF(INDIRECT(CONCATENATE($FK$12,Fixtures!FK$25))="","",IF(INDIRECT(CONCATENATE($FK$12,Fixtures!FK$25))=Fixtures!$DN55,CONCATENATE(FK$10,", "),""))</f>
        <v/>
      </c>
      <c r="FL55" s="712" t="str">
        <f ca="1">IF(INDIRECT(CONCATENATE($FK$12,Fixtures!FL$25))="","",IF(INDIRECT(CONCATENATE($FK$12,Fixtures!FL$25))=Fixtures!$DN55,CONCATENATE(FL$10,", "),""))</f>
        <v/>
      </c>
      <c r="FM55" s="712" t="str">
        <f ca="1">IF(INDIRECT(CONCATENATE($FK$12,Fixtures!FM$25))="","",IF(INDIRECT(CONCATENATE($FK$12,Fixtures!FM$25))=Fixtures!$DN55,CONCATENATE(FM$10,", "),""))</f>
        <v/>
      </c>
      <c r="FN55" s="712" t="str">
        <f ca="1">IF(INDIRECT(CONCATENATE($FK$12,Fixtures!FN$25))="","",IF(INDIRECT(CONCATENATE($FK$12,Fixtures!FN$25))=Fixtures!$DN55,CONCATENATE(FN$10,", "),""))</f>
        <v/>
      </c>
      <c r="FO55" s="712" t="str">
        <f ca="1">IF(INDIRECT(CONCATENATE($FK$12,Fixtures!FO$25))="","",IF(INDIRECT(CONCATENATE($FK$12,Fixtures!FO$25))=Fixtures!$DN55,CONCATENATE(FO$10,", "),""))</f>
        <v/>
      </c>
      <c r="FP55" s="712" t="str">
        <f ca="1">IF(INDIRECT(CONCATENATE($FK$12,Fixtures!FP$25))="","",IF(INDIRECT(CONCATENATE($FK$12,Fixtures!FP$25))=Fixtures!$DN55,CONCATENATE(FP$10,", "),""))</f>
        <v/>
      </c>
      <c r="FQ55" s="712" t="str">
        <f ca="1">IF(INDIRECT(CONCATENATE($FK$12,Fixtures!FQ$25))="","",IF(INDIRECT(CONCATENATE($FK$12,Fixtures!FQ$25))=Fixtures!$DN55,CONCATENATE(FQ$10,", "),""))</f>
        <v/>
      </c>
      <c r="FR55" s="712" t="str">
        <f ca="1">IF(INDIRECT(CONCATENATE($FK$12,Fixtures!FR$25))="","",IF(INDIRECT(CONCATENATE($FK$12,Fixtures!FR$25))=Fixtures!$DN55,CONCATENATE(FR$10,", "),""))</f>
        <v/>
      </c>
      <c r="FS55" s="712" t="str">
        <f ca="1">IF(INDIRECT(CONCATENATE($FK$12,Fixtures!FS$25))="","",IF(INDIRECT(CONCATENATE($FK$12,Fixtures!FS$25))=Fixtures!$DN55,CONCATENATE(FS$10,", "),""))</f>
        <v/>
      </c>
      <c r="FT55" s="682" t="str">
        <f ca="1">IF(INDIRECT(CONCATENATE($FK$12,Fixtures!FT$25))="","",IF(INDIRECT(CONCATENATE($FK$12,Fixtures!FT$25))=Fixtures!$DN55,CONCATENATE(FT$10,", "),""))</f>
        <v/>
      </c>
      <c r="FU55" s="683" t="str">
        <f ca="1">IF(INDIRECT(CONCATENATE($FK$12,Fixtures!FU$25))="","",IF(INDIRECT(CONCATENATE($FK$12,Fixtures!FU$25))=Fixtures!$DN55,CONCATENATE(FU$10,", "),""))</f>
        <v/>
      </c>
      <c r="FV55" s="712" t="str">
        <f ca="1">IF(INDIRECT(CONCATENATE($FK$12,Fixtures!FV$25))="","",IF(INDIRECT(CONCATENATE($FK$12,Fixtures!FV$25))=Fixtures!$DN55,CONCATENATE(FV$10,", "),""))</f>
        <v/>
      </c>
      <c r="FW55" s="713" t="str">
        <f ca="1">IF(INDIRECT(CONCATENATE($FK$12,Fixtures!FW$25))="","",IF(INDIRECT(CONCATENATE($FK$12,Fixtures!FW$25))=Fixtures!$DN55,CONCATENATE(FW$10,", "),""))</f>
        <v/>
      </c>
      <c r="FX55" s="713" t="str">
        <f ca="1">IF(INDIRECT(CONCATENATE($FK$12,Fixtures!FX$25))="","",IF(INDIRECT(CONCATENATE($FK$12,Fixtures!FX$25))=Fixtures!$DN55,CONCATENATE(FX$10,", "),""))</f>
        <v/>
      </c>
      <c r="FY55" s="713" t="str">
        <f ca="1">IF(INDIRECT(CONCATENATE($FK$12,Fixtures!FY$25))="","",IF(INDIRECT(CONCATENATE($FK$12,Fixtures!FY$25))=Fixtures!$DN55,CONCATENATE(FY$10,", "),""))</f>
        <v/>
      </c>
      <c r="FZ55" s="713" t="str">
        <f ca="1">IF(INDIRECT(CONCATENATE($FK$12,Fixtures!FZ$25))="","",IF(INDIRECT(CONCATENATE($FK$12,Fixtures!FZ$25))=Fixtures!$DN55,CONCATENATE(FZ$10,", "),""))</f>
        <v/>
      </c>
      <c r="GA55" s="713" t="str">
        <f ca="1">IF(INDIRECT(CONCATENATE($FK$12,Fixtures!GA$25))="","",IF(INDIRECT(CONCATENATE($FK$12,Fixtures!GA$25))=Fixtures!$DN55,CONCATENATE(GA$10,", "),""))</f>
        <v/>
      </c>
      <c r="GB55" s="713" t="str">
        <f ca="1">IF(INDIRECT(CONCATENATE($FK$12,Fixtures!GB$25))="","",IF(INDIRECT(CONCATENATE($FK$12,Fixtures!GB$25))=Fixtures!$DN55,CONCATENATE(GB$10,", "),""))</f>
        <v/>
      </c>
      <c r="GC55" s="713" t="str">
        <f ca="1">IF(INDIRECT(CONCATENATE($FK$12,Fixtures!GC$25))="","",IF(INDIRECT(CONCATENATE($FK$12,Fixtures!GC$25))=Fixtures!$DN55,CONCATENATE(GC$10,", "),""))</f>
        <v/>
      </c>
      <c r="GD55" s="713" t="str">
        <f ca="1">IF(INDIRECT(CONCATENATE($FK$12,Fixtures!GD$25))="","",IF(INDIRECT(CONCATENATE($FK$12,Fixtures!GD$25))=Fixtures!$DN55,CONCATENATE(GD$10,", "),""))</f>
        <v/>
      </c>
      <c r="GE55" s="713" t="str">
        <f ca="1">IF(INDIRECT(CONCATENATE($FK$12,Fixtures!GE$25))="","",IF(INDIRECT(CONCATENATE($FK$12,Fixtures!GE$25))=Fixtures!$DN55,CONCATENATE(GE$10,", "),""))</f>
        <v/>
      </c>
      <c r="GF55" s="713" t="str">
        <f ca="1">IF(INDIRECT(CONCATENATE($FK$12,Fixtures!GF$25))="","",IF(INDIRECT(CONCATENATE($FK$12,Fixtures!GF$25))=Fixtures!$DN55,CONCATENATE(GF$10,", "),""))</f>
        <v/>
      </c>
      <c r="GG55" s="713" t="str">
        <f ca="1">IF(INDIRECT(CONCATENATE($FK$12,Fixtures!GG$25))="","",IF(INDIRECT(CONCATENATE($FK$12,Fixtures!GG$25))=Fixtures!$DN55,CONCATENATE(GG$10,", "),""))</f>
        <v/>
      </c>
      <c r="GH55" s="713" t="str">
        <f ca="1">IF(INDIRECT(CONCATENATE($FK$12,Fixtures!GH$25))="","",IF(INDIRECT(CONCATENATE($FK$12,Fixtures!GH$25))=Fixtures!$DN55,CONCATENATE(GH$10,", "),""))</f>
        <v/>
      </c>
      <c r="GI55" s="684" t="str">
        <f ca="1">IF(INDIRECT(CONCATENATE($FK$12,Fixtures!GI$25))="","",IF(INDIRECT(CONCATENATE($FK$12,Fixtures!GI$25))=Fixtures!$DN55,CONCATENATE(GI$10,", "),""))</f>
        <v/>
      </c>
      <c r="GJ55" s="685" t="str">
        <f ca="1">IF(INDIRECT(CONCATENATE($FK$12,Fixtures!GJ$25))="","",IF(INDIRECT(CONCATENATE($FK$12,Fixtures!GJ$25))=Fixtures!$DN55,CONCATENATE(GJ$10,", "),""))</f>
        <v/>
      </c>
      <c r="GK55" s="713" t="str">
        <f ca="1">IF(INDIRECT(CONCATENATE($FK$12,Fixtures!GK$25))="","",IF(INDIRECT(CONCATENATE($FK$12,Fixtures!GK$25))=Fixtures!$DN55,CONCATENATE(GK$10,", "),""))</f>
        <v/>
      </c>
      <c r="GL55" s="713" t="str">
        <f ca="1">IF(INDIRECT(CONCATENATE($FK$12,Fixtures!GL$25))="","",IF(INDIRECT(CONCATENATE($FK$12,Fixtures!GL$25))=Fixtures!$DN55,CONCATENATE(GL$10,", "),""))</f>
        <v/>
      </c>
      <c r="GM55" s="713" t="str">
        <f ca="1">IF(INDIRECT(CONCATENATE($FK$12,Fixtures!GM$25))="","",IF(INDIRECT(CONCATENATE($FK$12,Fixtures!GM$25))=Fixtures!$DN55,CONCATENATE(GM$10,", "),""))</f>
        <v/>
      </c>
      <c r="GN55" s="713" t="str">
        <f ca="1">IF(INDIRECT(CONCATENATE($FK$12,Fixtures!GN$25))="","",IF(INDIRECT(CONCATENATE($FK$12,Fixtures!GN$25))=Fixtures!$DN55,CONCATENATE(GN$10,", "),""))</f>
        <v/>
      </c>
      <c r="GO55" s="713" t="str">
        <f ca="1">IF(INDIRECT(CONCATENATE($FK$12,Fixtures!GO$25))="","",IF(INDIRECT(CONCATENATE($FK$12,Fixtures!GO$25))=Fixtures!$DN55,CONCATENATE(GO$10,", "),""))</f>
        <v/>
      </c>
      <c r="GP55" s="713" t="str">
        <f ca="1">IF(INDIRECT(CONCATENATE($FK$12,Fixtures!GP$25))="","",IF(INDIRECT(CONCATENATE($FK$12,Fixtures!GP$25))=Fixtures!$DN55,CONCATENATE(GP$10,", "),""))</f>
        <v/>
      </c>
      <c r="GQ55" s="713" t="str">
        <f ca="1">IF(INDIRECT(CONCATENATE($FK$12,Fixtures!GQ$25))="","",IF(INDIRECT(CONCATENATE($FK$12,Fixtures!GQ$25))=Fixtures!$DN55,CONCATENATE(GQ$10,", "),""))</f>
        <v/>
      </c>
      <c r="GR55" s="713" t="str">
        <f ca="1">IF(INDIRECT(CONCATENATE($FK$12,Fixtures!GR$25))="","",IF(INDIRECT(CONCATENATE($FK$12,Fixtures!GR$25))=Fixtures!$DN55,CONCATENATE(GR$10,", "),""))</f>
        <v/>
      </c>
      <c r="GS55" s="713" t="str">
        <f ca="1">IF(INDIRECT(CONCATENATE($FK$12,Fixtures!GS$25))="","",IF(INDIRECT(CONCATENATE($FK$12,Fixtures!GS$25))=Fixtures!$DN55,CONCATENATE(GS$10,", "),""))</f>
        <v/>
      </c>
      <c r="GT55" s="713" t="str">
        <f ca="1">IF(INDIRECT(CONCATENATE($FK$12,Fixtures!GT$25))="","",IF(INDIRECT(CONCATENATE($FK$12,Fixtures!GT$25))=Fixtures!$DN55,CONCATENATE(GT$10,", "),""))</f>
        <v/>
      </c>
      <c r="GU55" s="713" t="str">
        <f ca="1">IF(INDIRECT(CONCATENATE($FK$12,Fixtures!GU$25))="","",IF(INDIRECT(CONCATENATE($FK$12,Fixtures!GU$25))=Fixtures!$DN55,CONCATENATE(GU$10,", "),""))</f>
        <v/>
      </c>
      <c r="GV55" s="713" t="str">
        <f ca="1">IF(INDIRECT(CONCATENATE($FK$12,Fixtures!GV$25))="","",IF(INDIRECT(CONCATENATE($FK$12,Fixtures!GV$25))=Fixtures!$DN55,CONCATENATE(GV$10,", "),""))</f>
        <v/>
      </c>
      <c r="GW55" s="713" t="str">
        <f ca="1">IF(INDIRECT(CONCATENATE($FK$12,Fixtures!GW$25))="","",IF(INDIRECT(CONCATENATE($FK$12,Fixtures!GW$25))=Fixtures!$DN55,CONCATENATE(GW$10,", "),""))</f>
        <v/>
      </c>
      <c r="GX55" s="684" t="str">
        <f ca="1">IF(INDIRECT(CONCATENATE($FK$12,Fixtures!GX$25))="","",IF(INDIRECT(CONCATENATE($FK$12,Fixtures!GX$25))=Fixtures!$DN55,CONCATENATE(GX$10,", "),""))</f>
        <v/>
      </c>
      <c r="GY55" s="685" t="str">
        <f ca="1">IF(INDIRECT(CONCATENATE($FK$12,Fixtures!GY$25))="","",IF(INDIRECT(CONCATENATE($FK$12,Fixtures!GY$25))=Fixtures!$DN55,CONCATENATE(GY$10,", "),""))</f>
        <v/>
      </c>
      <c r="GZ55" s="713" t="str">
        <f ca="1">IF(INDIRECT(CONCATENATE($FK$12,Fixtures!GZ$25))="","",IF(INDIRECT(CONCATENATE($FK$12,Fixtures!GZ$25))=Fixtures!$DN55,CONCATENATE(GZ$10,", "),""))</f>
        <v/>
      </c>
      <c r="HA55" s="713" t="str">
        <f ca="1">IF(INDIRECT(CONCATENATE($FK$12,Fixtures!HA$25))="","",IF(INDIRECT(CONCATENATE($FK$12,Fixtures!HA$25))=Fixtures!$DN55,CONCATENATE(HA$10,", "),""))</f>
        <v/>
      </c>
      <c r="HB55" s="713" t="str">
        <f ca="1">IF(INDIRECT(CONCATENATE($FK$12,Fixtures!HB$25))="","",IF(INDIRECT(CONCATENATE($FK$12,Fixtures!HB$25))=Fixtures!$DN55,CONCATENATE(HB$10,", "),""))</f>
        <v/>
      </c>
      <c r="HC55" s="713" t="str">
        <f ca="1">IF(INDIRECT(CONCATENATE($FK$12,Fixtures!HC$25))="","",IF(INDIRECT(CONCATENATE($FK$12,Fixtures!HC$25))=Fixtures!$DN55,CONCATENATE(HC$10,", "),""))</f>
        <v/>
      </c>
      <c r="HD55" s="713" t="str">
        <f ca="1">IF(INDIRECT(CONCATENATE($FK$12,Fixtures!HD$25))="","",IF(INDIRECT(CONCATENATE($FK$12,Fixtures!HD$25))=Fixtures!$DN55,CONCATENATE(HD$10,", "),""))</f>
        <v/>
      </c>
      <c r="HE55" s="713" t="str">
        <f ca="1">IF(INDIRECT(CONCATENATE($FK$12,Fixtures!HE$25))="","",IF(INDIRECT(CONCATENATE($FK$12,Fixtures!HE$25))=Fixtures!$DN55,CONCATENATE(HE$10,", "),""))</f>
        <v/>
      </c>
      <c r="HF55" s="713" t="str">
        <f ca="1">IF(INDIRECT(CONCATENATE($FK$12,Fixtures!HF$25))="","",IF(INDIRECT(CONCATENATE($FK$12,Fixtures!HF$25))=Fixtures!$DN55,CONCATENATE(HF$10,", "),""))</f>
        <v/>
      </c>
      <c r="HG55" s="713" t="str">
        <f ca="1">IF(INDIRECT(CONCATENATE($FK$12,Fixtures!HG$25))="","",IF(INDIRECT(CONCATENATE($FK$12,Fixtures!HG$25))=Fixtures!$DN55,CONCATENATE(HG$10,", "),""))</f>
        <v/>
      </c>
      <c r="HH55" s="713" t="str">
        <f ca="1">IF(INDIRECT(CONCATENATE($FK$12,Fixtures!HH$25))="","",IF(INDIRECT(CONCATENATE($FK$12,Fixtures!HH$25))=Fixtures!$DN55,CONCATENATE(HH$10,", "),""))</f>
        <v/>
      </c>
      <c r="HI55" s="713" t="str">
        <f ca="1">IF(INDIRECT(CONCATENATE($FK$12,Fixtures!HI$25))="","",IF(INDIRECT(CONCATENATE($FK$12,Fixtures!HI$25))=Fixtures!$DN55,CONCATENATE(HI$10,", "),""))</f>
        <v/>
      </c>
      <c r="HJ55" s="713" t="str">
        <f ca="1">IF(INDIRECT(CONCATENATE($FK$12,Fixtures!HJ$25))="","",IF(INDIRECT(CONCATENATE($FK$12,Fixtures!HJ$25))=Fixtures!$DN55,CONCATENATE(HJ$10,", "),""))</f>
        <v/>
      </c>
      <c r="HK55" s="713" t="str">
        <f ca="1">IF(INDIRECT(CONCATENATE($FK$12,Fixtures!HK$25))="","",IF(INDIRECT(CONCATENATE($FK$12,Fixtures!HK$25))=Fixtures!$DN55,CONCATENATE(HK$10,", "),""))</f>
        <v/>
      </c>
      <c r="HL55" s="713" t="str">
        <f ca="1">IF(INDIRECT(CONCATENATE($FK$12,Fixtures!HL$25))="","",IF(INDIRECT(CONCATENATE($FK$12,Fixtures!HL$25))=Fixtures!$DN55,CONCATENATE(HL$10,", "),""))</f>
        <v/>
      </c>
      <c r="HM55" s="684" t="str">
        <f ca="1">IF(INDIRECT(CONCATENATE($FK$12,Fixtures!HM$25))="","",IF(INDIRECT(CONCATENATE($FK$12,Fixtures!HM$25))=Fixtures!$DN55,CONCATENATE(HM$10,", "),""))</f>
        <v/>
      </c>
      <c r="HN55" s="685" t="str">
        <f ca="1">IF(INDIRECT(CONCATENATE($FK$12,Fixtures!HN$25))="","",IF(INDIRECT(CONCATENATE($FK$12,Fixtures!HN$25))=Fixtures!$DN55,CONCATENATE(HN$10,", "),""))</f>
        <v/>
      </c>
      <c r="HO55" s="713" t="str">
        <f ca="1">IF(INDIRECT(CONCATENATE($FK$12,Fixtures!HO$25))="","",IF(INDIRECT(CONCATENATE($FK$12,Fixtures!HO$25))=Fixtures!$DN55,CONCATENATE(HO$10,", "),""))</f>
        <v/>
      </c>
      <c r="HP55" s="713" t="str">
        <f ca="1">IF(INDIRECT(CONCATENATE($FK$12,Fixtures!HP$25))="","",IF(INDIRECT(CONCATENATE($FK$12,Fixtures!HP$25))=Fixtures!$DN55,CONCATENATE(HP$10,", "),""))</f>
        <v/>
      </c>
      <c r="HQ55" s="713" t="str">
        <f ca="1">IF(INDIRECT(CONCATENATE($FK$12,Fixtures!HQ$25))="","",IF(INDIRECT(CONCATENATE($FK$12,Fixtures!HQ$25))=Fixtures!$DN55,CONCATENATE(HQ$10,", "),""))</f>
        <v/>
      </c>
      <c r="HR55" s="713" t="str">
        <f ca="1">IF(INDIRECT(CONCATENATE($FK$12,Fixtures!HR$25))="","",IF(INDIRECT(CONCATENATE($FK$12,Fixtures!HR$25))=Fixtures!$DN55,CONCATENATE(HR$10,", "),""))</f>
        <v/>
      </c>
      <c r="HS55" s="713" t="str">
        <f ca="1">IF(INDIRECT(CONCATENATE($FK$12,Fixtures!HS$25))="","",IF(INDIRECT(CONCATENATE($FK$12,Fixtures!HS$25))=Fixtures!$DN55,CONCATENATE(HS$10,", "),""))</f>
        <v/>
      </c>
      <c r="HT55" s="713" t="str">
        <f ca="1">IF(INDIRECT(CONCATENATE($FK$12,Fixtures!HT$25))="","",IF(INDIRECT(CONCATENATE($FK$12,Fixtures!HT$25))=Fixtures!$DN55,CONCATENATE(HT$10,", "),""))</f>
        <v/>
      </c>
      <c r="HU55" s="713" t="str">
        <f ca="1">IF(INDIRECT(CONCATENATE($FK$12,Fixtures!HU$25))="","",IF(INDIRECT(CONCATENATE($FK$12,Fixtures!HU$25))=Fixtures!$DN55,CONCATENATE(HU$10,", "),""))</f>
        <v/>
      </c>
      <c r="HV55" s="713" t="str">
        <f ca="1">IF(INDIRECT(CONCATENATE($FK$12,Fixtures!HV$25))="","",IF(INDIRECT(CONCATENATE($FK$12,Fixtures!HV$25))=Fixtures!$DN55,CONCATENATE(HV$10,", "),""))</f>
        <v/>
      </c>
      <c r="HW55" s="713" t="str">
        <f ca="1">IF(INDIRECT(CONCATENATE($FK$12,Fixtures!HW$25))="","",IF(INDIRECT(CONCATENATE($FK$12,Fixtures!HW$25))=Fixtures!$DN55,CONCATENATE(HW$10,", "),""))</f>
        <v/>
      </c>
      <c r="HX55" s="713" t="str">
        <f ca="1">IF(INDIRECT(CONCATENATE($FK$12,Fixtures!HX$25))="","",IF(INDIRECT(CONCATENATE($FK$12,Fixtures!HX$25))=Fixtures!$DN55,CONCATENATE(HX$10,", "),""))</f>
        <v/>
      </c>
      <c r="HY55" s="713" t="str">
        <f ca="1">IF(INDIRECT(CONCATENATE($FK$12,Fixtures!HY$25))="","",IF(INDIRECT(CONCATENATE($FK$12,Fixtures!HY$25))=Fixtures!$DN55,CONCATENATE(HY$10,", "),""))</f>
        <v/>
      </c>
      <c r="HZ55" s="713" t="str">
        <f ca="1">IF(INDIRECT(CONCATENATE($FK$12,Fixtures!HZ$25))="","",IF(INDIRECT(CONCATENATE($FK$12,Fixtures!HZ$25))=Fixtures!$DN55,CONCATENATE(HZ$10,", "),""))</f>
        <v/>
      </c>
      <c r="IA55" s="713" t="str">
        <f ca="1">IF(INDIRECT(CONCATENATE($FK$12,Fixtures!IA$25))="","",IF(INDIRECT(CONCATENATE($FK$12,Fixtures!IA$25))=Fixtures!$DN55,CONCATENATE(IA$10,", "),""))</f>
        <v/>
      </c>
      <c r="IB55" s="684" t="str">
        <f ca="1">IF(INDIRECT(CONCATENATE($FK$12,Fixtures!IB$25))="","",IF(INDIRECT(CONCATENATE($FK$12,Fixtures!IB$25))=Fixtures!$DN55,CONCATENATE(IB$10,", "),""))</f>
        <v/>
      </c>
      <c r="IC55" s="685" t="str">
        <f ca="1">IF(INDIRECT(CONCATENATE($FK$12,Fixtures!IC$25))="","",IF(INDIRECT(CONCATENATE($FK$12,Fixtures!IC$25))=Fixtures!$DN55,CONCATENATE(IC$10,", "),""))</f>
        <v/>
      </c>
      <c r="ID55" s="713" t="str">
        <f ca="1">IF(INDIRECT(CONCATENATE($FK$12,Fixtures!ID$25))="","",IF(INDIRECT(CONCATENATE($FK$12,Fixtures!ID$25))=Fixtures!$DN55,CONCATENATE(ID$10,", "),""))</f>
        <v/>
      </c>
      <c r="IE55" s="713" t="str">
        <f ca="1">IF(INDIRECT(CONCATENATE($FK$12,Fixtures!IE$25))="","",IF(INDIRECT(CONCATENATE($FK$12,Fixtures!IE$25))=Fixtures!$DN55,CONCATENATE(IE$10,", "),""))</f>
        <v/>
      </c>
      <c r="IF55" s="713" t="str">
        <f ca="1">IF(INDIRECT(CONCATENATE($FK$12,Fixtures!IF$25))="","",IF(INDIRECT(CONCATENATE($FK$12,Fixtures!IF$25))=Fixtures!$DN55,CONCATENATE(IF$10,", "),""))</f>
        <v/>
      </c>
      <c r="IG55" s="713" t="str">
        <f ca="1">IF(INDIRECT(CONCATENATE($FK$12,Fixtures!IG$25))="","",IF(INDIRECT(CONCATENATE($FK$12,Fixtures!IG$25))=Fixtures!$DN55,CONCATENATE(IG$10,", "),""))</f>
        <v/>
      </c>
      <c r="IH55" s="713" t="str">
        <f ca="1">IF(INDIRECT(CONCATENATE($FK$12,Fixtures!IH$25))="","",IF(INDIRECT(CONCATENATE($FK$12,Fixtures!IH$25))=Fixtures!$DN55,CONCATENATE(IH$10,", "),""))</f>
        <v/>
      </c>
      <c r="II55" s="713" t="str">
        <f ca="1">IF(INDIRECT(CONCATENATE($FK$12,Fixtures!II$25))="","",IF(INDIRECT(CONCATENATE($FK$12,Fixtures!II$25))=Fixtures!$DN55,CONCATENATE(II$10,", "),""))</f>
        <v/>
      </c>
      <c r="IJ55" s="713" t="str">
        <f ca="1">IF(INDIRECT(CONCATENATE($FK$12,Fixtures!IJ$25))="","",IF(INDIRECT(CONCATENATE($FK$12,Fixtures!IJ$25))=Fixtures!$DN55,CONCATENATE(IJ$10,", "),""))</f>
        <v/>
      </c>
      <c r="IK55" s="713" t="str">
        <f ca="1">IF(INDIRECT(CONCATENATE($FK$12,Fixtures!IK$25))="","",IF(INDIRECT(CONCATENATE($FK$12,Fixtures!IK$25))=Fixtures!$DN55,CONCATENATE(IK$10,", "),""))</f>
        <v/>
      </c>
      <c r="IL55" s="713" t="str">
        <f ca="1">IF(INDIRECT(CONCATENATE($FK$12,Fixtures!IL$25))="","",IF(INDIRECT(CONCATENATE($FK$12,Fixtures!IL$25))=Fixtures!$DN55,CONCATENATE(IL$10,", "),""))</f>
        <v/>
      </c>
      <c r="IM55" s="713" t="str">
        <f ca="1">IF(INDIRECT(CONCATENATE($FK$12,Fixtures!IM$25))="","",IF(INDIRECT(CONCATENATE($FK$12,Fixtures!IM$25))=Fixtures!$DN55,CONCATENATE(IM$10,", "),""))</f>
        <v/>
      </c>
      <c r="IN55" s="713" t="str">
        <f ca="1">IF(INDIRECT(CONCATENATE($FK$12,Fixtures!IN$25))="","",IF(INDIRECT(CONCATENATE($FK$12,Fixtures!IN$25))=Fixtures!$DN55,CONCATENATE(IN$10,", "),""))</f>
        <v/>
      </c>
      <c r="IO55" s="713" t="str">
        <f ca="1">IF(INDIRECT(CONCATENATE($FK$12,Fixtures!IO$25))="","",IF(INDIRECT(CONCATENATE($FK$12,Fixtures!IO$25))=Fixtures!$DN55,CONCATENATE(IO$10,", "),""))</f>
        <v/>
      </c>
      <c r="IP55" s="713" t="str">
        <f ca="1">IF(INDIRECT(CONCATENATE($FK$12,Fixtures!IP$25))="","",IF(INDIRECT(CONCATENATE($FK$12,Fixtures!IP$25))=Fixtures!$DN55,CONCATENATE(IP$10,", "),""))</f>
        <v/>
      </c>
      <c r="IQ55" s="684" t="str">
        <f ca="1">IF(INDIRECT(CONCATENATE($FK$12,Fixtures!IQ$25))="","",IF(INDIRECT(CONCATENATE($FK$12,Fixtures!IQ$25))=Fixtures!$DN55,CONCATENATE(IQ$10,", "),""))</f>
        <v/>
      </c>
      <c r="IR55" s="685" t="str">
        <f ca="1">IF(INDIRECT(CONCATENATE($FK$12,Fixtures!IR$25))="","",IF(INDIRECT(CONCATENATE($FK$12,Fixtures!IR$25))=Fixtures!$DN55,CONCATENATE(IR$10,", "),""))</f>
        <v/>
      </c>
      <c r="IS55" s="713" t="str">
        <f ca="1">IF(INDIRECT(CONCATENATE($FK$12,Fixtures!IS$25))="","",IF(INDIRECT(CONCATENATE($FK$12,Fixtures!IS$25))=Fixtures!$DN55,CONCATENATE(IS$10,", "),""))</f>
        <v/>
      </c>
      <c r="IT55" s="713" t="str">
        <f ca="1">IF(INDIRECT(CONCATENATE($FK$12,Fixtures!IT$25))="","",IF(INDIRECT(CONCATENATE($FK$12,Fixtures!IT$25))=Fixtures!$DN55,CONCATENATE(IT$10,", "),""))</f>
        <v/>
      </c>
      <c r="IU55" s="713" t="str">
        <f ca="1">IF(INDIRECT(CONCATENATE($FK$12,Fixtures!IU$25))="","",IF(INDIRECT(CONCATENATE($FK$12,Fixtures!IU$25))=Fixtures!$DN55,CONCATENATE(IU$10,", "),""))</f>
        <v/>
      </c>
      <c r="IV55" s="713" t="str">
        <f ca="1">IF(INDIRECT(CONCATENATE($FK$12,Fixtures!IV$25))="","",IF(INDIRECT(CONCATENATE($FK$12,Fixtures!IV$25))=Fixtures!$DN55,CONCATENATE(IV$10,", "),""))</f>
        <v/>
      </c>
      <c r="IW55" s="713" t="str">
        <f ca="1">IF(INDIRECT(CONCATENATE($FK$12,Fixtures!IW$25))="","",IF(INDIRECT(CONCATENATE($FK$12,Fixtures!IW$25))=Fixtures!$DN55,CONCATENATE(IW$10,", "),""))</f>
        <v/>
      </c>
      <c r="IX55" s="713" t="str">
        <f ca="1">IF(INDIRECT(CONCATENATE($FK$12,Fixtures!IX$25))="","",IF(INDIRECT(CONCATENATE($FK$12,Fixtures!IX$25))=Fixtures!$DN55,CONCATENATE(IX$10,", "),""))</f>
        <v/>
      </c>
      <c r="IY55" s="713" t="str">
        <f ca="1">IF(INDIRECT(CONCATENATE($FK$12,Fixtures!IY$25))="","",IF(INDIRECT(CONCATENATE($FK$12,Fixtures!IY$25))=Fixtures!$DN55,CONCATENATE(IY$10,", "),""))</f>
        <v/>
      </c>
      <c r="IZ55" s="713" t="str">
        <f ca="1">IF(INDIRECT(CONCATENATE($FK$12,Fixtures!IZ$25))="","",IF(INDIRECT(CONCATENATE($FK$12,Fixtures!IZ$25))=Fixtures!$DN55,CONCATENATE(IZ$10,", "),""))</f>
        <v/>
      </c>
      <c r="JA55" s="713" t="str">
        <f ca="1">IF(INDIRECT(CONCATENATE($FK$12,Fixtures!JA$25))="","",IF(INDIRECT(CONCATENATE($FK$12,Fixtures!JA$25))=Fixtures!$DN55,CONCATENATE(JA$10,", "),""))</f>
        <v/>
      </c>
      <c r="JB55" s="713" t="str">
        <f ca="1">IF(INDIRECT(CONCATENATE($FK$12,Fixtures!JB$25))="","",IF(INDIRECT(CONCATENATE($FK$12,Fixtures!JB$25))=Fixtures!$DN55,CONCATENATE(JB$10,", "),""))</f>
        <v/>
      </c>
      <c r="JC55" s="713" t="str">
        <f ca="1">IF(INDIRECT(CONCATENATE($FK$12,Fixtures!JC$25))="","",IF(INDIRECT(CONCATENATE($FK$12,Fixtures!JC$25))=Fixtures!$DN55,CONCATENATE(JC$10,", "),""))</f>
        <v/>
      </c>
      <c r="JD55" s="713" t="str">
        <f ca="1">IF(INDIRECT(CONCATENATE($FK$12,Fixtures!JD$25))="","",IF(INDIRECT(CONCATENATE($FK$12,Fixtures!JD$25))=Fixtures!$DN55,CONCATENATE(JD$10,", "),""))</f>
        <v/>
      </c>
      <c r="JE55" s="713" t="str">
        <f ca="1">IF(INDIRECT(CONCATENATE($FK$12,Fixtures!JE$25))="","",IF(INDIRECT(CONCATENATE($FK$12,Fixtures!JE$25))=Fixtures!$DN55,CONCATENATE(JE$10,", "),""))</f>
        <v/>
      </c>
      <c r="JF55" s="684" t="str">
        <f ca="1">IF(INDIRECT(CONCATENATE($FK$12,Fixtures!JF$25))="","",IF(INDIRECT(CONCATENATE($FK$12,Fixtures!JF$25))=Fixtures!$DN55,CONCATENATE(JF$10,", "),""))</f>
        <v/>
      </c>
      <c r="JG55" s="685" t="str">
        <f ca="1">IF(INDIRECT(CONCATENATE($FK$12,Fixtures!JG$25))="","",IF(INDIRECT(CONCATENATE($FK$12,Fixtures!JG$25))=Fixtures!$DN55,CONCATENATE(JG$10,", "),""))</f>
        <v/>
      </c>
      <c r="JH55" s="713" t="str">
        <f ca="1">IF(INDIRECT(CONCATENATE($FK$12,Fixtures!JH$25))="","",IF(INDIRECT(CONCATENATE($FK$12,Fixtures!JH$25))=Fixtures!$DN55,CONCATENATE(JH$10,", "),""))</f>
        <v/>
      </c>
      <c r="JI55" s="713" t="str">
        <f ca="1">IF(INDIRECT(CONCATENATE($FK$12,Fixtures!JI$25))="","",IF(INDIRECT(CONCATENATE($FK$12,Fixtures!JI$25))=Fixtures!$DN55,CONCATENATE(JI$10,", "),""))</f>
        <v/>
      </c>
      <c r="JJ55" s="713" t="str">
        <f ca="1">IF(INDIRECT(CONCATENATE($FK$12,Fixtures!JJ$25))="","",IF(INDIRECT(CONCATENATE($FK$12,Fixtures!JJ$25))=Fixtures!$DN55,CONCATENATE(JJ$10,", "),""))</f>
        <v/>
      </c>
      <c r="JK55" s="713" t="str">
        <f ca="1">IF(INDIRECT(CONCATENATE($FK$12,Fixtures!JK$25))="","",IF(INDIRECT(CONCATENATE($FK$12,Fixtures!JK$25))=Fixtures!$DN55,CONCATENATE(JK$10,", "),""))</f>
        <v/>
      </c>
      <c r="JL55" s="713" t="str">
        <f ca="1">IF(INDIRECT(CONCATENATE($FK$12,Fixtures!JL$25))="","",IF(INDIRECT(CONCATENATE($FK$12,Fixtures!JL$25))=Fixtures!$DN55,CONCATENATE(JL$10,", "),""))</f>
        <v/>
      </c>
      <c r="JM55" s="713" t="str">
        <f ca="1">IF(INDIRECT(CONCATENATE($FK$12,Fixtures!JM$25))="","",IF(INDIRECT(CONCATENATE($FK$12,Fixtures!JM$25))=Fixtures!$DN55,CONCATENATE(JM$10,", "),""))</f>
        <v/>
      </c>
      <c r="JN55" s="713" t="str">
        <f ca="1">IF(INDIRECT(CONCATENATE($FK$12,Fixtures!JN$25))="","",IF(INDIRECT(CONCATENATE($FK$12,Fixtures!JN$25))=Fixtures!$DN55,CONCATENATE(JN$10,", "),""))</f>
        <v/>
      </c>
      <c r="JO55" s="713" t="str">
        <f ca="1">IF(INDIRECT(CONCATENATE($FK$12,Fixtures!JO$25))="","",IF(INDIRECT(CONCATENATE($FK$12,Fixtures!JO$25))=Fixtures!$DN55,CONCATENATE(JO$10,", "),""))</f>
        <v/>
      </c>
      <c r="JP55" s="713" t="str">
        <f ca="1">IF(INDIRECT(CONCATENATE($FK$12,Fixtures!JP$25))="","",IF(INDIRECT(CONCATENATE($FK$12,Fixtures!JP$25))=Fixtures!$DN55,CONCATENATE(JP$10,", "),""))</f>
        <v/>
      </c>
      <c r="JQ55" s="713" t="str">
        <f ca="1">IF(INDIRECT(CONCATENATE($FK$12,Fixtures!JQ$25))="","",IF(INDIRECT(CONCATENATE($FK$12,Fixtures!JQ$25))=Fixtures!$DN55,CONCATENATE(JQ$10,", "),""))</f>
        <v/>
      </c>
      <c r="JR55" s="713" t="str">
        <f ca="1">IF(INDIRECT(CONCATENATE($FK$12,Fixtures!JR$25))="","",IF(INDIRECT(CONCATENATE($FK$12,Fixtures!JR$25))=Fixtures!$DN55,CONCATENATE(JR$10,", "),""))</f>
        <v/>
      </c>
      <c r="JS55" s="713" t="str">
        <f ca="1">IF(INDIRECT(CONCATENATE($FK$12,Fixtures!JS$25))="","",IF(INDIRECT(CONCATENATE($FK$12,Fixtures!JS$25))=Fixtures!$DN55,CONCATENATE(JS$10,", "),""))</f>
        <v/>
      </c>
      <c r="JT55" s="713" t="str">
        <f ca="1">IF(INDIRECT(CONCATENATE($FK$12,Fixtures!JT$25))="","",IF(INDIRECT(CONCATENATE($FK$12,Fixtures!JT$25))=Fixtures!$DN55,CONCATENATE(JT$10,", "),""))</f>
        <v/>
      </c>
      <c r="JU55" s="684" t="str">
        <f ca="1">IF(INDIRECT(CONCATENATE($FK$12,Fixtures!JU$25))="","",IF(INDIRECT(CONCATENATE($FK$12,Fixtures!JU$25))=Fixtures!$DN55,CONCATENATE(JU$10,", "),""))</f>
        <v/>
      </c>
      <c r="JV55" s="685" t="str">
        <f ca="1">IF(INDIRECT(CONCATENATE($FK$12,Fixtures!JV$25))="","",IF(INDIRECT(CONCATENATE($FK$12,Fixtures!JV$25))=Fixtures!$DN55,CONCATENATE(JV$10,", "),""))</f>
        <v/>
      </c>
      <c r="JW55" s="713" t="str">
        <f ca="1">IF(INDIRECT(CONCATENATE($FK$12,Fixtures!JW$25))="","",IF(INDIRECT(CONCATENATE($FK$12,Fixtures!JW$25))=Fixtures!$DN55,CONCATENATE(JW$10,", "),""))</f>
        <v/>
      </c>
      <c r="JX55" s="713" t="str">
        <f ca="1">IF(INDIRECT(CONCATENATE($FK$12,Fixtures!JX$25))="","",IF(INDIRECT(CONCATENATE($FK$12,Fixtures!JX$25))=Fixtures!$DN55,CONCATENATE(JX$10,", "),""))</f>
        <v/>
      </c>
      <c r="JY55" s="713" t="str">
        <f ca="1">IF(INDIRECT(CONCATENATE($FK$12,Fixtures!JY$25))="","",IF(INDIRECT(CONCATENATE($FK$12,Fixtures!JY$25))=Fixtures!$DN55,CONCATENATE(JY$10,", "),""))</f>
        <v/>
      </c>
      <c r="JZ55" s="713" t="str">
        <f ca="1">IF(INDIRECT(CONCATENATE($FK$12,Fixtures!JZ$25))="","",IF(INDIRECT(CONCATENATE($FK$12,Fixtures!JZ$25))=Fixtures!$DN55,CONCATENATE(JZ$10,", "),""))</f>
        <v/>
      </c>
      <c r="KA55" s="713" t="str">
        <f ca="1">IF(INDIRECT(CONCATENATE($FK$12,Fixtures!KA$25))="","",IF(INDIRECT(CONCATENATE($FK$12,Fixtures!KA$25))=Fixtures!$DN55,CONCATENATE(KA$10,", "),""))</f>
        <v/>
      </c>
      <c r="KB55" s="713" t="str">
        <f ca="1">IF(INDIRECT(CONCATENATE($FK$12,Fixtures!KB$25))="","",IF(INDIRECT(CONCATENATE($FK$12,Fixtures!KB$25))=Fixtures!$DN55,CONCATENATE(KB$10,", "),""))</f>
        <v/>
      </c>
      <c r="KC55" s="713" t="str">
        <f ca="1">IF(INDIRECT(CONCATENATE($FK$12,Fixtures!KC$25))="","",IF(INDIRECT(CONCATENATE($FK$12,Fixtures!KC$25))=Fixtures!$DN55,CONCATENATE(KC$10,", "),""))</f>
        <v/>
      </c>
      <c r="KD55" s="713" t="str">
        <f ca="1">IF(INDIRECT(CONCATENATE($FK$12,Fixtures!KD$25))="","",IF(INDIRECT(CONCATENATE($FK$12,Fixtures!KD$25))=Fixtures!$DN55,CONCATENATE(KD$10,", "),""))</f>
        <v/>
      </c>
      <c r="KE55" s="713" t="str">
        <f ca="1">IF(INDIRECT(CONCATENATE($FK$12,Fixtures!KE$25))="","",IF(INDIRECT(CONCATENATE($FK$12,Fixtures!KE$25))=Fixtures!$DN55,CONCATENATE(KE$10,", "),""))</f>
        <v/>
      </c>
      <c r="KF55" s="713" t="str">
        <f ca="1">IF(INDIRECT(CONCATENATE($FK$12,Fixtures!KF$25))="","",IF(INDIRECT(CONCATENATE($FK$12,Fixtures!KF$25))=Fixtures!$DN55,CONCATENATE(KF$10,", "),""))</f>
        <v/>
      </c>
      <c r="KG55" s="713" t="str">
        <f ca="1">IF(INDIRECT(CONCATENATE($FK$12,Fixtures!KG$25))="","",IF(INDIRECT(CONCATENATE($FK$12,Fixtures!KG$25))=Fixtures!$DN55,CONCATENATE(KG$10,", "),""))</f>
        <v/>
      </c>
      <c r="KH55" s="713" t="str">
        <f ca="1">IF(INDIRECT(CONCATENATE($FK$12,Fixtures!KH$25))="","",IF(INDIRECT(CONCATENATE($FK$12,Fixtures!KH$25))=Fixtures!$DN55,CONCATENATE(KH$10,", "),""))</f>
        <v/>
      </c>
      <c r="KI55" s="713" t="str">
        <f ca="1">IF(INDIRECT(CONCATENATE($FK$12,Fixtures!KI$25))="","",IF(INDIRECT(CONCATENATE($FK$12,Fixtures!KI$25))=Fixtures!$DN55,CONCATENATE(KI$10,", "),""))</f>
        <v/>
      </c>
      <c r="KJ55" s="684" t="str">
        <f ca="1">IF(INDIRECT(CONCATENATE($FK$12,Fixtures!KJ$25))="","",IF(INDIRECT(CONCATENATE($FK$12,Fixtures!KJ$25))=Fixtures!$DN55,CONCATENATE(KJ$10,", "),""))</f>
        <v/>
      </c>
      <c r="KK55" s="685" t="str">
        <f ca="1">IF(INDIRECT(CONCATENATE($FK$12,Fixtures!KK$25))="","",IF(INDIRECT(CONCATENATE($FK$12,Fixtures!KK$25))=Fixtures!$DN55,CONCATENATE(KK$10,", "),""))</f>
        <v/>
      </c>
      <c r="KL55" s="713" t="str">
        <f ca="1">IF(INDIRECT(CONCATENATE($FK$12,Fixtures!KL$25))="","",IF(INDIRECT(CONCATENATE($FK$12,Fixtures!KL$25))=Fixtures!$DN55,CONCATENATE(KL$10,", "),""))</f>
        <v/>
      </c>
      <c r="KM55" s="713" t="str">
        <f ca="1">IF(INDIRECT(CONCATENATE($FK$12,Fixtures!KM$25))="","",IF(INDIRECT(CONCATENATE($FK$12,Fixtures!KM$25))=Fixtures!$DN55,CONCATENATE(KM$10,", "),""))</f>
        <v/>
      </c>
      <c r="KN55" s="713" t="str">
        <f ca="1">IF(INDIRECT(CONCATENATE($FK$12,Fixtures!KN$25))="","",IF(INDIRECT(CONCATENATE($FK$12,Fixtures!KN$25))=Fixtures!$DN55,CONCATENATE(KN$10,", "),""))</f>
        <v/>
      </c>
      <c r="KO55" s="713" t="str">
        <f ca="1">IF(INDIRECT(CONCATENATE($FK$12,Fixtures!KO$25))="","",IF(INDIRECT(CONCATENATE($FK$12,Fixtures!KO$25))=Fixtures!$DN55,CONCATENATE(KO$10,", "),""))</f>
        <v/>
      </c>
      <c r="KP55" s="713" t="str">
        <f ca="1">IF(INDIRECT(CONCATENATE($FK$12,Fixtures!KP$25))="","",IF(INDIRECT(CONCATENATE($FK$12,Fixtures!KP$25))=Fixtures!$DN55,CONCATENATE(KP$10,", "),""))</f>
        <v/>
      </c>
      <c r="KQ55" s="713" t="str">
        <f ca="1">IF(INDIRECT(CONCATENATE($FK$12,Fixtures!KQ$25))="","",IF(INDIRECT(CONCATENATE($FK$12,Fixtures!KQ$25))=Fixtures!$DN55,CONCATENATE(KQ$10,", "),""))</f>
        <v/>
      </c>
      <c r="KR55" s="713" t="str">
        <f ca="1">IF(INDIRECT(CONCATENATE($FK$12,Fixtures!KR$25))="","",IF(INDIRECT(CONCATENATE($FK$12,Fixtures!KR$25))=Fixtures!$DN55,CONCATENATE(KR$10,", "),""))</f>
        <v/>
      </c>
      <c r="KS55" s="713" t="str">
        <f ca="1">IF(INDIRECT(CONCATENATE($FK$12,Fixtures!KS$25))="","",IF(INDIRECT(CONCATENATE($FK$12,Fixtures!KS$25))=Fixtures!$DN55,CONCATENATE(KS$10,", "),""))</f>
        <v/>
      </c>
      <c r="KT55" s="713" t="str">
        <f ca="1">IF(INDIRECT(CONCATENATE($FK$12,Fixtures!KT$25))="","",IF(INDIRECT(CONCATENATE($FK$12,Fixtures!KT$25))=Fixtures!$DN55,CONCATENATE(KT$10,", "),""))</f>
        <v/>
      </c>
      <c r="KU55" s="713" t="str">
        <f ca="1">IF(INDIRECT(CONCATENATE($FK$12,Fixtures!KU$25))="","",IF(INDIRECT(CONCATENATE($FK$12,Fixtures!KU$25))=Fixtures!$DN55,CONCATENATE(KU$10,", "),""))</f>
        <v/>
      </c>
      <c r="KV55" s="713" t="str">
        <f ca="1">IF(INDIRECT(CONCATENATE($FK$12,Fixtures!KV$25))="","",IF(INDIRECT(CONCATENATE($FK$12,Fixtures!KV$25))=Fixtures!$DN55,CONCATENATE(KV$10,", "),""))</f>
        <v/>
      </c>
      <c r="KW55" s="713" t="str">
        <f ca="1">IF(INDIRECT(CONCATENATE($FK$12,Fixtures!KW$25))="","",IF(INDIRECT(CONCATENATE($FK$12,Fixtures!KW$25))=Fixtures!$DN55,CONCATENATE(KW$10,", "),""))</f>
        <v/>
      </c>
      <c r="KX55" s="713" t="str">
        <f ca="1">IF(INDIRECT(CONCATENATE($FK$12,Fixtures!KX$25))="","",IF(INDIRECT(CONCATENATE($FK$12,Fixtures!KX$25))=Fixtures!$DN55,CONCATENATE(KX$10,", "),""))</f>
        <v/>
      </c>
      <c r="KY55" s="713" t="str">
        <f ca="1">IF(INDIRECT(CONCATENATE($FK$12,Fixtures!KY$25))="","",IF(INDIRECT(CONCATENATE($FK$12,Fixtures!KY$25))=Fixtures!$DN55,CONCATENATE(KY$10,", "),""))</f>
        <v/>
      </c>
      <c r="KZ55" s="46"/>
      <c r="LA55" s="46" t="str">
        <f t="shared" ca="1" si="8"/>
        <v/>
      </c>
    </row>
    <row r="56" spans="1:313" ht="28.05" customHeight="1" thickTop="1" thickBot="1">
      <c r="A56" s="471" t="str">
        <f t="shared" si="13"/>
        <v/>
      </c>
      <c r="C56" s="1328" t="str">
        <f t="shared" si="14"/>
        <v/>
      </c>
      <c r="D56" s="1329"/>
      <c r="E56" s="1256" t="str">
        <f t="shared" si="15"/>
        <v/>
      </c>
      <c r="F56" s="1257"/>
      <c r="G56" s="1257"/>
      <c r="H56" s="1257"/>
      <c r="I56" s="1257"/>
      <c r="J56" s="1257"/>
      <c r="K56" s="1257"/>
      <c r="L56" s="1257"/>
      <c r="M56" s="1330"/>
      <c r="N56" s="239" t="str">
        <f t="shared" si="16"/>
        <v/>
      </c>
      <c r="O56" s="12"/>
      <c r="P56" s="1326" t="str">
        <f t="shared" si="25"/>
        <v/>
      </c>
      <c r="Q56" s="1327"/>
      <c r="R56" s="1256" t="str">
        <f t="shared" si="31"/>
        <v/>
      </c>
      <c r="S56" s="1257"/>
      <c r="T56" s="1257"/>
      <c r="U56" s="1257"/>
      <c r="V56" s="1257"/>
      <c r="W56" s="1257"/>
      <c r="X56" s="1257"/>
      <c r="Y56" s="239" t="str">
        <f t="shared" si="27"/>
        <v/>
      </c>
      <c r="Z56" s="239" t="str">
        <f t="shared" si="28"/>
        <v/>
      </c>
      <c r="AA56" s="439" t="str">
        <f t="shared" si="29"/>
        <v/>
      </c>
      <c r="AB56" s="542"/>
      <c r="AC56" s="1253" t="str">
        <f t="shared" si="17"/>
        <v/>
      </c>
      <c r="AD56" s="1166"/>
      <c r="AE56" s="1166"/>
      <c r="AF56" s="1166"/>
      <c r="AG56" s="1166"/>
      <c r="AH56" s="1166"/>
      <c r="AK56">
        <f>SUMIFS(Installations!CS$39:CS$800,Installations!CT$39:CT$800,E56,Installations!HX$39:HX$800,TRUE)</f>
        <v>0</v>
      </c>
      <c r="AL56">
        <f>SUMIFS(Installations!CS$39:CS$800,Installations!CT$39:CT$800,R56,Installations!HX$39:HX$800,TRUE)</f>
        <v>0</v>
      </c>
      <c r="BK56" s="48"/>
      <c r="BL56" s="9"/>
      <c r="BM56" s="703" t="str">
        <f t="shared" si="18"/>
        <v/>
      </c>
      <c r="BN56" s="52"/>
      <c r="BO56" s="52"/>
      <c r="BP56" s="52"/>
      <c r="BQ56" s="52"/>
      <c r="BR56" s="52"/>
      <c r="BS56" s="52"/>
      <c r="BT56" s="52"/>
      <c r="BU56" s="414"/>
      <c r="BV56" s="255" t="str">
        <f>IF(CN56&lt;&gt;"Yes","",IFERROR(VLOOKUP(CU56,Existing!A$4:F$364,2,FALSE),""))</f>
        <v/>
      </c>
      <c r="BW56" s="9">
        <v>30</v>
      </c>
      <c r="BX56" s="1313"/>
      <c r="BY56" s="1314"/>
      <c r="BZ56" s="1314"/>
      <c r="CA56" s="1315"/>
      <c r="CB56" s="1310"/>
      <c r="CC56" s="1311"/>
      <c r="CD56" s="1311"/>
      <c r="CE56" s="1312"/>
      <c r="CF56" s="1309"/>
      <c r="CG56" s="1309"/>
      <c r="CH56" s="1309"/>
      <c r="CI56" s="1309"/>
      <c r="CJ56" s="1309"/>
      <c r="CK56" s="1309"/>
      <c r="CL56" s="1309"/>
      <c r="CM56" s="1309"/>
      <c r="CN56" s="1243" t="str">
        <f t="shared" si="32"/>
        <v/>
      </c>
      <c r="CO56" s="1244"/>
      <c r="CP56" s="265" t="str">
        <f>IFERROR(IF(CB56="Existing TLED",CR56*CW56*CY56,VLOOKUP(CU56,Existing!A$3:F$353,6,FALSE)),"")</f>
        <v/>
      </c>
      <c r="CQ56" s="9"/>
      <c r="CR56" s="1343"/>
      <c r="CS56" s="1344"/>
      <c r="CT56" s="9"/>
      <c r="CU56" s="470" t="str">
        <f t="shared" si="21"/>
        <v/>
      </c>
      <c r="CV56" s="471" t="b">
        <f t="shared" si="22"/>
        <v>0</v>
      </c>
      <c r="CW56" s="471" t="str">
        <f t="shared" si="23"/>
        <v/>
      </c>
      <c r="CX56" s="471">
        <f>IFERROR(VLOOKUP(CF56,Lookup!M$100:O$102,3,FALSE),0)</f>
        <v>0</v>
      </c>
      <c r="CY56" s="471">
        <f t="shared" si="9"/>
        <v>1.1100000000000001</v>
      </c>
      <c r="CZ56" s="707" t="b">
        <f t="shared" si="1"/>
        <v>0</v>
      </c>
      <c r="DA56" s="707" t="b">
        <f>IF(CF56&lt;&gt;"",IF(ISERROR(MATCH(CONCATENATE(CB56," - ",CF56),Existing!G$4:G$328,0))=TRUE,FALSE,TRUE),TRUE)</f>
        <v>1</v>
      </c>
      <c r="DB56" s="707" t="b">
        <f t="shared" si="2"/>
        <v>1</v>
      </c>
      <c r="DK56" s="48"/>
      <c r="DL56" s="9"/>
      <c r="DM56" s="708" t="s">
        <v>166</v>
      </c>
      <c r="DN56" s="416" t="str">
        <f t="shared" si="3"/>
        <v/>
      </c>
      <c r="DO56" s="52"/>
      <c r="DP56" s="52"/>
      <c r="DQ56" s="52"/>
      <c r="DR56" s="52"/>
      <c r="DS56" s="52"/>
      <c r="DT56" s="262"/>
      <c r="DU56" s="417"/>
      <c r="DV56" s="263" t="str">
        <f t="shared" si="4"/>
        <v/>
      </c>
      <c r="DW56" s="260">
        <v>30</v>
      </c>
      <c r="DX56" s="1306"/>
      <c r="DY56" s="1307"/>
      <c r="DZ56" s="1307"/>
      <c r="EA56" s="1308"/>
      <c r="EB56" s="1306"/>
      <c r="EC56" s="1307"/>
      <c r="ED56" s="1307"/>
      <c r="EE56" s="1308"/>
      <c r="EF56" s="1266"/>
      <c r="EG56" s="1267"/>
      <c r="EH56" s="1306"/>
      <c r="EI56" s="1307"/>
      <c r="EJ56" s="1307"/>
      <c r="EK56" s="1308"/>
      <c r="EL56" s="1263"/>
      <c r="EM56" s="1264"/>
      <c r="EN56" s="1264"/>
      <c r="EO56" s="1265"/>
      <c r="EP56" s="1266"/>
      <c r="EQ56" s="1267"/>
      <c r="ER56" s="1245"/>
      <c r="ES56" s="1246"/>
      <c r="ET56" s="1243" t="str">
        <f t="shared" si="5"/>
        <v/>
      </c>
      <c r="EU56" s="1244"/>
      <c r="EV56" s="1243" t="str">
        <f t="shared" si="30"/>
        <v/>
      </c>
      <c r="EW56" s="1244"/>
      <c r="EX56" s="438"/>
      <c r="EY56" s="261" t="str">
        <f t="shared" si="7"/>
        <v/>
      </c>
      <c r="EZ56" s="261" t="str">
        <f>IFERROR(VLOOKUP(EB56,Lookup!AM$3:AN$13,2,FALSE),"")</f>
        <v/>
      </c>
      <c r="FA56" s="471" t="b">
        <f>IFERROR(IF(VLOOKUP(EB56,Lookup!AM$6:AN$8,2,FALSE)&gt;3,TRUE,FALSE),FALSE)</f>
        <v>0</v>
      </c>
      <c r="FB56" s="471">
        <f t="shared" si="11"/>
        <v>1</v>
      </c>
      <c r="FC56" t="str">
        <f t="shared" ca="1" si="10"/>
        <v/>
      </c>
      <c r="FG56" t="str">
        <f t="shared" ca="1" si="12"/>
        <v/>
      </c>
      <c r="FI56" s="240" t="str">
        <f t="shared" ca="1" si="24"/>
        <v/>
      </c>
      <c r="FJ56" s="240"/>
      <c r="FK56" s="712" t="str">
        <f ca="1">IF(INDIRECT(CONCATENATE($FK$12,Fixtures!FK$25))="","",IF(INDIRECT(CONCATENATE($FK$12,Fixtures!FK$25))=Fixtures!$DN56,CONCATENATE(FK$10,", "),""))</f>
        <v/>
      </c>
      <c r="FL56" s="712" t="str">
        <f ca="1">IF(INDIRECT(CONCATENATE($FK$12,Fixtures!FL$25))="","",IF(INDIRECT(CONCATENATE($FK$12,Fixtures!FL$25))=Fixtures!$DN56,CONCATENATE(FL$10,", "),""))</f>
        <v/>
      </c>
      <c r="FM56" s="712" t="str">
        <f ca="1">IF(INDIRECT(CONCATENATE($FK$12,Fixtures!FM$25))="","",IF(INDIRECT(CONCATENATE($FK$12,Fixtures!FM$25))=Fixtures!$DN56,CONCATENATE(FM$10,", "),""))</f>
        <v/>
      </c>
      <c r="FN56" s="712" t="str">
        <f ca="1">IF(INDIRECT(CONCATENATE($FK$12,Fixtures!FN$25))="","",IF(INDIRECT(CONCATENATE($FK$12,Fixtures!FN$25))=Fixtures!$DN56,CONCATENATE(FN$10,", "),""))</f>
        <v/>
      </c>
      <c r="FO56" s="712" t="str">
        <f ca="1">IF(INDIRECT(CONCATENATE($FK$12,Fixtures!FO$25))="","",IF(INDIRECT(CONCATENATE($FK$12,Fixtures!FO$25))=Fixtures!$DN56,CONCATENATE(FO$10,", "),""))</f>
        <v/>
      </c>
      <c r="FP56" s="712" t="str">
        <f ca="1">IF(INDIRECT(CONCATENATE($FK$12,Fixtures!FP$25))="","",IF(INDIRECT(CONCATENATE($FK$12,Fixtures!FP$25))=Fixtures!$DN56,CONCATENATE(FP$10,", "),""))</f>
        <v/>
      </c>
      <c r="FQ56" s="712" t="str">
        <f ca="1">IF(INDIRECT(CONCATENATE($FK$12,Fixtures!FQ$25))="","",IF(INDIRECT(CONCATENATE($FK$12,Fixtures!FQ$25))=Fixtures!$DN56,CONCATENATE(FQ$10,", "),""))</f>
        <v/>
      </c>
      <c r="FR56" s="712" t="str">
        <f ca="1">IF(INDIRECT(CONCATENATE($FK$12,Fixtures!FR$25))="","",IF(INDIRECT(CONCATENATE($FK$12,Fixtures!FR$25))=Fixtures!$DN56,CONCATENATE(FR$10,", "),""))</f>
        <v/>
      </c>
      <c r="FS56" s="712" t="str">
        <f ca="1">IF(INDIRECT(CONCATENATE($FK$12,Fixtures!FS$25))="","",IF(INDIRECT(CONCATENATE($FK$12,Fixtures!FS$25))=Fixtures!$DN56,CONCATENATE(FS$10,", "),""))</f>
        <v/>
      </c>
      <c r="FT56" s="682" t="str">
        <f ca="1">IF(INDIRECT(CONCATENATE($FK$12,Fixtures!FT$25))="","",IF(INDIRECT(CONCATENATE($FK$12,Fixtures!FT$25))=Fixtures!$DN56,CONCATENATE(FT$10,", "),""))</f>
        <v/>
      </c>
      <c r="FU56" s="683" t="str">
        <f ca="1">IF(INDIRECT(CONCATENATE($FK$12,Fixtures!FU$25))="","",IF(INDIRECT(CONCATENATE($FK$12,Fixtures!FU$25))=Fixtures!$DN56,CONCATENATE(FU$10,", "),""))</f>
        <v/>
      </c>
      <c r="FV56" s="712" t="str">
        <f ca="1">IF(INDIRECT(CONCATENATE($FK$12,Fixtures!FV$25))="","",IF(INDIRECT(CONCATENATE($FK$12,Fixtures!FV$25))=Fixtures!$DN56,CONCATENATE(FV$10,", "),""))</f>
        <v/>
      </c>
      <c r="FW56" s="713" t="str">
        <f ca="1">IF(INDIRECT(CONCATENATE($FK$12,Fixtures!FW$25))="","",IF(INDIRECT(CONCATENATE($FK$12,Fixtures!FW$25))=Fixtures!$DN56,CONCATENATE(FW$10,", "),""))</f>
        <v/>
      </c>
      <c r="FX56" s="713" t="str">
        <f ca="1">IF(INDIRECT(CONCATENATE($FK$12,Fixtures!FX$25))="","",IF(INDIRECT(CONCATENATE($FK$12,Fixtures!FX$25))=Fixtures!$DN56,CONCATENATE(FX$10,", "),""))</f>
        <v/>
      </c>
      <c r="FY56" s="713" t="str">
        <f ca="1">IF(INDIRECT(CONCATENATE($FK$12,Fixtures!FY$25))="","",IF(INDIRECT(CONCATENATE($FK$12,Fixtures!FY$25))=Fixtures!$DN56,CONCATENATE(FY$10,", "),""))</f>
        <v/>
      </c>
      <c r="FZ56" s="713" t="str">
        <f ca="1">IF(INDIRECT(CONCATENATE($FK$12,Fixtures!FZ$25))="","",IF(INDIRECT(CONCATENATE($FK$12,Fixtures!FZ$25))=Fixtures!$DN56,CONCATENATE(FZ$10,", "),""))</f>
        <v/>
      </c>
      <c r="GA56" s="713" t="str">
        <f ca="1">IF(INDIRECT(CONCATENATE($FK$12,Fixtures!GA$25))="","",IF(INDIRECT(CONCATENATE($FK$12,Fixtures!GA$25))=Fixtures!$DN56,CONCATENATE(GA$10,", "),""))</f>
        <v/>
      </c>
      <c r="GB56" s="713" t="str">
        <f ca="1">IF(INDIRECT(CONCATENATE($FK$12,Fixtures!GB$25))="","",IF(INDIRECT(CONCATENATE($FK$12,Fixtures!GB$25))=Fixtures!$DN56,CONCATENATE(GB$10,", "),""))</f>
        <v/>
      </c>
      <c r="GC56" s="713" t="str">
        <f ca="1">IF(INDIRECT(CONCATENATE($FK$12,Fixtures!GC$25))="","",IF(INDIRECT(CONCATENATE($FK$12,Fixtures!GC$25))=Fixtures!$DN56,CONCATENATE(GC$10,", "),""))</f>
        <v/>
      </c>
      <c r="GD56" s="713" t="str">
        <f ca="1">IF(INDIRECT(CONCATENATE($FK$12,Fixtures!GD$25))="","",IF(INDIRECT(CONCATENATE($FK$12,Fixtures!GD$25))=Fixtures!$DN56,CONCATENATE(GD$10,", "),""))</f>
        <v/>
      </c>
      <c r="GE56" s="713" t="str">
        <f ca="1">IF(INDIRECT(CONCATENATE($FK$12,Fixtures!GE$25))="","",IF(INDIRECT(CONCATENATE($FK$12,Fixtures!GE$25))=Fixtures!$DN56,CONCATENATE(GE$10,", "),""))</f>
        <v/>
      </c>
      <c r="GF56" s="713" t="str">
        <f ca="1">IF(INDIRECT(CONCATENATE($FK$12,Fixtures!GF$25))="","",IF(INDIRECT(CONCATENATE($FK$12,Fixtures!GF$25))=Fixtures!$DN56,CONCATENATE(GF$10,", "),""))</f>
        <v/>
      </c>
      <c r="GG56" s="713" t="str">
        <f ca="1">IF(INDIRECT(CONCATENATE($FK$12,Fixtures!GG$25))="","",IF(INDIRECT(CONCATENATE($FK$12,Fixtures!GG$25))=Fixtures!$DN56,CONCATENATE(GG$10,", "),""))</f>
        <v/>
      </c>
      <c r="GH56" s="713" t="str">
        <f ca="1">IF(INDIRECT(CONCATENATE($FK$12,Fixtures!GH$25))="","",IF(INDIRECT(CONCATENATE($FK$12,Fixtures!GH$25))=Fixtures!$DN56,CONCATENATE(GH$10,", "),""))</f>
        <v/>
      </c>
      <c r="GI56" s="684" t="str">
        <f ca="1">IF(INDIRECT(CONCATENATE($FK$12,Fixtures!GI$25))="","",IF(INDIRECT(CONCATENATE($FK$12,Fixtures!GI$25))=Fixtures!$DN56,CONCATENATE(GI$10,", "),""))</f>
        <v/>
      </c>
      <c r="GJ56" s="685" t="str">
        <f ca="1">IF(INDIRECT(CONCATENATE($FK$12,Fixtures!GJ$25))="","",IF(INDIRECT(CONCATENATE($FK$12,Fixtures!GJ$25))=Fixtures!$DN56,CONCATENATE(GJ$10,", "),""))</f>
        <v/>
      </c>
      <c r="GK56" s="713" t="str">
        <f ca="1">IF(INDIRECT(CONCATENATE($FK$12,Fixtures!GK$25))="","",IF(INDIRECT(CONCATENATE($FK$12,Fixtures!GK$25))=Fixtures!$DN56,CONCATENATE(GK$10,", "),""))</f>
        <v/>
      </c>
      <c r="GL56" s="713" t="str">
        <f ca="1">IF(INDIRECT(CONCATENATE($FK$12,Fixtures!GL$25))="","",IF(INDIRECT(CONCATENATE($FK$12,Fixtures!GL$25))=Fixtures!$DN56,CONCATENATE(GL$10,", "),""))</f>
        <v/>
      </c>
      <c r="GM56" s="713" t="str">
        <f ca="1">IF(INDIRECT(CONCATENATE($FK$12,Fixtures!GM$25))="","",IF(INDIRECT(CONCATENATE($FK$12,Fixtures!GM$25))=Fixtures!$DN56,CONCATENATE(GM$10,", "),""))</f>
        <v/>
      </c>
      <c r="GN56" s="713" t="str">
        <f ca="1">IF(INDIRECT(CONCATENATE($FK$12,Fixtures!GN$25))="","",IF(INDIRECT(CONCATENATE($FK$12,Fixtures!GN$25))=Fixtures!$DN56,CONCATENATE(GN$10,", "),""))</f>
        <v/>
      </c>
      <c r="GO56" s="713" t="str">
        <f ca="1">IF(INDIRECT(CONCATENATE($FK$12,Fixtures!GO$25))="","",IF(INDIRECT(CONCATENATE($FK$12,Fixtures!GO$25))=Fixtures!$DN56,CONCATENATE(GO$10,", "),""))</f>
        <v/>
      </c>
      <c r="GP56" s="713" t="str">
        <f ca="1">IF(INDIRECT(CONCATENATE($FK$12,Fixtures!GP$25))="","",IF(INDIRECT(CONCATENATE($FK$12,Fixtures!GP$25))=Fixtures!$DN56,CONCATENATE(GP$10,", "),""))</f>
        <v/>
      </c>
      <c r="GQ56" s="713" t="str">
        <f ca="1">IF(INDIRECT(CONCATENATE($FK$12,Fixtures!GQ$25))="","",IF(INDIRECT(CONCATENATE($FK$12,Fixtures!GQ$25))=Fixtures!$DN56,CONCATENATE(GQ$10,", "),""))</f>
        <v/>
      </c>
      <c r="GR56" s="713" t="str">
        <f ca="1">IF(INDIRECT(CONCATENATE($FK$12,Fixtures!GR$25))="","",IF(INDIRECT(CONCATENATE($FK$12,Fixtures!GR$25))=Fixtures!$DN56,CONCATENATE(GR$10,", "),""))</f>
        <v/>
      </c>
      <c r="GS56" s="713" t="str">
        <f ca="1">IF(INDIRECT(CONCATENATE($FK$12,Fixtures!GS$25))="","",IF(INDIRECT(CONCATENATE($FK$12,Fixtures!GS$25))=Fixtures!$DN56,CONCATENATE(GS$10,", "),""))</f>
        <v/>
      </c>
      <c r="GT56" s="713" t="str">
        <f ca="1">IF(INDIRECT(CONCATENATE($FK$12,Fixtures!GT$25))="","",IF(INDIRECT(CONCATENATE($FK$12,Fixtures!GT$25))=Fixtures!$DN56,CONCATENATE(GT$10,", "),""))</f>
        <v/>
      </c>
      <c r="GU56" s="713" t="str">
        <f ca="1">IF(INDIRECT(CONCATENATE($FK$12,Fixtures!GU$25))="","",IF(INDIRECT(CONCATENATE($FK$12,Fixtures!GU$25))=Fixtures!$DN56,CONCATENATE(GU$10,", "),""))</f>
        <v/>
      </c>
      <c r="GV56" s="713" t="str">
        <f ca="1">IF(INDIRECT(CONCATENATE($FK$12,Fixtures!GV$25))="","",IF(INDIRECT(CONCATENATE($FK$12,Fixtures!GV$25))=Fixtures!$DN56,CONCATENATE(GV$10,", "),""))</f>
        <v/>
      </c>
      <c r="GW56" s="713" t="str">
        <f ca="1">IF(INDIRECT(CONCATENATE($FK$12,Fixtures!GW$25))="","",IF(INDIRECT(CONCATENATE($FK$12,Fixtures!GW$25))=Fixtures!$DN56,CONCATENATE(GW$10,", "),""))</f>
        <v/>
      </c>
      <c r="GX56" s="684" t="str">
        <f ca="1">IF(INDIRECT(CONCATENATE($FK$12,Fixtures!GX$25))="","",IF(INDIRECT(CONCATENATE($FK$12,Fixtures!GX$25))=Fixtures!$DN56,CONCATENATE(GX$10,", "),""))</f>
        <v/>
      </c>
      <c r="GY56" s="685" t="str">
        <f ca="1">IF(INDIRECT(CONCATENATE($FK$12,Fixtures!GY$25))="","",IF(INDIRECT(CONCATENATE($FK$12,Fixtures!GY$25))=Fixtures!$DN56,CONCATENATE(GY$10,", "),""))</f>
        <v/>
      </c>
      <c r="GZ56" s="713" t="str">
        <f ca="1">IF(INDIRECT(CONCATENATE($FK$12,Fixtures!GZ$25))="","",IF(INDIRECT(CONCATENATE($FK$12,Fixtures!GZ$25))=Fixtures!$DN56,CONCATENATE(GZ$10,", "),""))</f>
        <v/>
      </c>
      <c r="HA56" s="713" t="str">
        <f ca="1">IF(INDIRECT(CONCATENATE($FK$12,Fixtures!HA$25))="","",IF(INDIRECT(CONCATENATE($FK$12,Fixtures!HA$25))=Fixtures!$DN56,CONCATENATE(HA$10,", "),""))</f>
        <v/>
      </c>
      <c r="HB56" s="713" t="str">
        <f ca="1">IF(INDIRECT(CONCATENATE($FK$12,Fixtures!HB$25))="","",IF(INDIRECT(CONCATENATE($FK$12,Fixtures!HB$25))=Fixtures!$DN56,CONCATENATE(HB$10,", "),""))</f>
        <v/>
      </c>
      <c r="HC56" s="713" t="str">
        <f ca="1">IF(INDIRECT(CONCATENATE($FK$12,Fixtures!HC$25))="","",IF(INDIRECT(CONCATENATE($FK$12,Fixtures!HC$25))=Fixtures!$DN56,CONCATENATE(HC$10,", "),""))</f>
        <v/>
      </c>
      <c r="HD56" s="713" t="str">
        <f ca="1">IF(INDIRECT(CONCATENATE($FK$12,Fixtures!HD$25))="","",IF(INDIRECT(CONCATENATE($FK$12,Fixtures!HD$25))=Fixtures!$DN56,CONCATENATE(HD$10,", "),""))</f>
        <v/>
      </c>
      <c r="HE56" s="713" t="str">
        <f ca="1">IF(INDIRECT(CONCATENATE($FK$12,Fixtures!HE$25))="","",IF(INDIRECT(CONCATENATE($FK$12,Fixtures!HE$25))=Fixtures!$DN56,CONCATENATE(HE$10,", "),""))</f>
        <v/>
      </c>
      <c r="HF56" s="713" t="str">
        <f ca="1">IF(INDIRECT(CONCATENATE($FK$12,Fixtures!HF$25))="","",IF(INDIRECT(CONCATENATE($FK$12,Fixtures!HF$25))=Fixtures!$DN56,CONCATENATE(HF$10,", "),""))</f>
        <v/>
      </c>
      <c r="HG56" s="713" t="str">
        <f ca="1">IF(INDIRECT(CONCATENATE($FK$12,Fixtures!HG$25))="","",IF(INDIRECT(CONCATENATE($FK$12,Fixtures!HG$25))=Fixtures!$DN56,CONCATENATE(HG$10,", "),""))</f>
        <v/>
      </c>
      <c r="HH56" s="713" t="str">
        <f ca="1">IF(INDIRECT(CONCATENATE($FK$12,Fixtures!HH$25))="","",IF(INDIRECT(CONCATENATE($FK$12,Fixtures!HH$25))=Fixtures!$DN56,CONCATENATE(HH$10,", "),""))</f>
        <v/>
      </c>
      <c r="HI56" s="713" t="str">
        <f ca="1">IF(INDIRECT(CONCATENATE($FK$12,Fixtures!HI$25))="","",IF(INDIRECT(CONCATENATE($FK$12,Fixtures!HI$25))=Fixtures!$DN56,CONCATENATE(HI$10,", "),""))</f>
        <v/>
      </c>
      <c r="HJ56" s="713" t="str">
        <f ca="1">IF(INDIRECT(CONCATENATE($FK$12,Fixtures!HJ$25))="","",IF(INDIRECT(CONCATENATE($FK$12,Fixtures!HJ$25))=Fixtures!$DN56,CONCATENATE(HJ$10,", "),""))</f>
        <v/>
      </c>
      <c r="HK56" s="713" t="str">
        <f ca="1">IF(INDIRECT(CONCATENATE($FK$12,Fixtures!HK$25))="","",IF(INDIRECT(CONCATENATE($FK$12,Fixtures!HK$25))=Fixtures!$DN56,CONCATENATE(HK$10,", "),""))</f>
        <v/>
      </c>
      <c r="HL56" s="713" t="str">
        <f ca="1">IF(INDIRECT(CONCATENATE($FK$12,Fixtures!HL$25))="","",IF(INDIRECT(CONCATENATE($FK$12,Fixtures!HL$25))=Fixtures!$DN56,CONCATENATE(HL$10,", "),""))</f>
        <v/>
      </c>
      <c r="HM56" s="684" t="str">
        <f ca="1">IF(INDIRECT(CONCATENATE($FK$12,Fixtures!HM$25))="","",IF(INDIRECT(CONCATENATE($FK$12,Fixtures!HM$25))=Fixtures!$DN56,CONCATENATE(HM$10,", "),""))</f>
        <v/>
      </c>
      <c r="HN56" s="685" t="str">
        <f ca="1">IF(INDIRECT(CONCATENATE($FK$12,Fixtures!HN$25))="","",IF(INDIRECT(CONCATENATE($FK$12,Fixtures!HN$25))=Fixtures!$DN56,CONCATENATE(HN$10,", "),""))</f>
        <v/>
      </c>
      <c r="HO56" s="713" t="str">
        <f ca="1">IF(INDIRECT(CONCATENATE($FK$12,Fixtures!HO$25))="","",IF(INDIRECT(CONCATENATE($FK$12,Fixtures!HO$25))=Fixtures!$DN56,CONCATENATE(HO$10,", "),""))</f>
        <v/>
      </c>
      <c r="HP56" s="713" t="str">
        <f ca="1">IF(INDIRECT(CONCATENATE($FK$12,Fixtures!HP$25))="","",IF(INDIRECT(CONCATENATE($FK$12,Fixtures!HP$25))=Fixtures!$DN56,CONCATENATE(HP$10,", "),""))</f>
        <v/>
      </c>
      <c r="HQ56" s="713" t="str">
        <f ca="1">IF(INDIRECT(CONCATENATE($FK$12,Fixtures!HQ$25))="","",IF(INDIRECT(CONCATENATE($FK$12,Fixtures!HQ$25))=Fixtures!$DN56,CONCATENATE(HQ$10,", "),""))</f>
        <v/>
      </c>
      <c r="HR56" s="713" t="str">
        <f ca="1">IF(INDIRECT(CONCATENATE($FK$12,Fixtures!HR$25))="","",IF(INDIRECT(CONCATENATE($FK$12,Fixtures!HR$25))=Fixtures!$DN56,CONCATENATE(HR$10,", "),""))</f>
        <v/>
      </c>
      <c r="HS56" s="713" t="str">
        <f ca="1">IF(INDIRECT(CONCATENATE($FK$12,Fixtures!HS$25))="","",IF(INDIRECT(CONCATENATE($FK$12,Fixtures!HS$25))=Fixtures!$DN56,CONCATENATE(HS$10,", "),""))</f>
        <v/>
      </c>
      <c r="HT56" s="713" t="str">
        <f ca="1">IF(INDIRECT(CONCATENATE($FK$12,Fixtures!HT$25))="","",IF(INDIRECT(CONCATENATE($FK$12,Fixtures!HT$25))=Fixtures!$DN56,CONCATENATE(HT$10,", "),""))</f>
        <v/>
      </c>
      <c r="HU56" s="713" t="str">
        <f ca="1">IF(INDIRECT(CONCATENATE($FK$12,Fixtures!HU$25))="","",IF(INDIRECT(CONCATENATE($FK$12,Fixtures!HU$25))=Fixtures!$DN56,CONCATENATE(HU$10,", "),""))</f>
        <v/>
      </c>
      <c r="HV56" s="713" t="str">
        <f ca="1">IF(INDIRECT(CONCATENATE($FK$12,Fixtures!HV$25))="","",IF(INDIRECT(CONCATENATE($FK$12,Fixtures!HV$25))=Fixtures!$DN56,CONCATENATE(HV$10,", "),""))</f>
        <v/>
      </c>
      <c r="HW56" s="713" t="str">
        <f ca="1">IF(INDIRECT(CONCATENATE($FK$12,Fixtures!HW$25))="","",IF(INDIRECT(CONCATENATE($FK$12,Fixtures!HW$25))=Fixtures!$DN56,CONCATENATE(HW$10,", "),""))</f>
        <v/>
      </c>
      <c r="HX56" s="713" t="str">
        <f ca="1">IF(INDIRECT(CONCATENATE($FK$12,Fixtures!HX$25))="","",IF(INDIRECT(CONCATENATE($FK$12,Fixtures!HX$25))=Fixtures!$DN56,CONCATENATE(HX$10,", "),""))</f>
        <v/>
      </c>
      <c r="HY56" s="713" t="str">
        <f ca="1">IF(INDIRECT(CONCATENATE($FK$12,Fixtures!HY$25))="","",IF(INDIRECT(CONCATENATE($FK$12,Fixtures!HY$25))=Fixtures!$DN56,CONCATENATE(HY$10,", "),""))</f>
        <v/>
      </c>
      <c r="HZ56" s="713" t="str">
        <f ca="1">IF(INDIRECT(CONCATENATE($FK$12,Fixtures!HZ$25))="","",IF(INDIRECT(CONCATENATE($FK$12,Fixtures!HZ$25))=Fixtures!$DN56,CONCATENATE(HZ$10,", "),""))</f>
        <v/>
      </c>
      <c r="IA56" s="713" t="str">
        <f ca="1">IF(INDIRECT(CONCATENATE($FK$12,Fixtures!IA$25))="","",IF(INDIRECT(CONCATENATE($FK$12,Fixtures!IA$25))=Fixtures!$DN56,CONCATENATE(IA$10,", "),""))</f>
        <v/>
      </c>
      <c r="IB56" s="684" t="str">
        <f ca="1">IF(INDIRECT(CONCATENATE($FK$12,Fixtures!IB$25))="","",IF(INDIRECT(CONCATENATE($FK$12,Fixtures!IB$25))=Fixtures!$DN56,CONCATENATE(IB$10,", "),""))</f>
        <v/>
      </c>
      <c r="IC56" s="685" t="str">
        <f ca="1">IF(INDIRECT(CONCATENATE($FK$12,Fixtures!IC$25))="","",IF(INDIRECT(CONCATENATE($FK$12,Fixtures!IC$25))=Fixtures!$DN56,CONCATENATE(IC$10,", "),""))</f>
        <v/>
      </c>
      <c r="ID56" s="713" t="str">
        <f ca="1">IF(INDIRECT(CONCATENATE($FK$12,Fixtures!ID$25))="","",IF(INDIRECT(CONCATENATE($FK$12,Fixtures!ID$25))=Fixtures!$DN56,CONCATENATE(ID$10,", "),""))</f>
        <v/>
      </c>
      <c r="IE56" s="713" t="str">
        <f ca="1">IF(INDIRECT(CONCATENATE($FK$12,Fixtures!IE$25))="","",IF(INDIRECT(CONCATENATE($FK$12,Fixtures!IE$25))=Fixtures!$DN56,CONCATENATE(IE$10,", "),""))</f>
        <v/>
      </c>
      <c r="IF56" s="713" t="str">
        <f ca="1">IF(INDIRECT(CONCATENATE($FK$12,Fixtures!IF$25))="","",IF(INDIRECT(CONCATENATE($FK$12,Fixtures!IF$25))=Fixtures!$DN56,CONCATENATE(IF$10,", "),""))</f>
        <v/>
      </c>
      <c r="IG56" s="713" t="str">
        <f ca="1">IF(INDIRECT(CONCATENATE($FK$12,Fixtures!IG$25))="","",IF(INDIRECT(CONCATENATE($FK$12,Fixtures!IG$25))=Fixtures!$DN56,CONCATENATE(IG$10,", "),""))</f>
        <v/>
      </c>
      <c r="IH56" s="713" t="str">
        <f ca="1">IF(INDIRECT(CONCATENATE($FK$12,Fixtures!IH$25))="","",IF(INDIRECT(CONCATENATE($FK$12,Fixtures!IH$25))=Fixtures!$DN56,CONCATENATE(IH$10,", "),""))</f>
        <v/>
      </c>
      <c r="II56" s="713" t="str">
        <f ca="1">IF(INDIRECT(CONCATENATE($FK$12,Fixtures!II$25))="","",IF(INDIRECT(CONCATENATE($FK$12,Fixtures!II$25))=Fixtures!$DN56,CONCATENATE(II$10,", "),""))</f>
        <v/>
      </c>
      <c r="IJ56" s="713" t="str">
        <f ca="1">IF(INDIRECT(CONCATENATE($FK$12,Fixtures!IJ$25))="","",IF(INDIRECT(CONCATENATE($FK$12,Fixtures!IJ$25))=Fixtures!$DN56,CONCATENATE(IJ$10,", "),""))</f>
        <v/>
      </c>
      <c r="IK56" s="713" t="str">
        <f ca="1">IF(INDIRECT(CONCATENATE($FK$12,Fixtures!IK$25))="","",IF(INDIRECT(CONCATENATE($FK$12,Fixtures!IK$25))=Fixtures!$DN56,CONCATENATE(IK$10,", "),""))</f>
        <v/>
      </c>
      <c r="IL56" s="713" t="str">
        <f ca="1">IF(INDIRECT(CONCATENATE($FK$12,Fixtures!IL$25))="","",IF(INDIRECT(CONCATENATE($FK$12,Fixtures!IL$25))=Fixtures!$DN56,CONCATENATE(IL$10,", "),""))</f>
        <v/>
      </c>
      <c r="IM56" s="713" t="str">
        <f ca="1">IF(INDIRECT(CONCATENATE($FK$12,Fixtures!IM$25))="","",IF(INDIRECT(CONCATENATE($FK$12,Fixtures!IM$25))=Fixtures!$DN56,CONCATENATE(IM$10,", "),""))</f>
        <v/>
      </c>
      <c r="IN56" s="713" t="str">
        <f ca="1">IF(INDIRECT(CONCATENATE($FK$12,Fixtures!IN$25))="","",IF(INDIRECT(CONCATENATE($FK$12,Fixtures!IN$25))=Fixtures!$DN56,CONCATENATE(IN$10,", "),""))</f>
        <v/>
      </c>
      <c r="IO56" s="713" t="str">
        <f ca="1">IF(INDIRECT(CONCATENATE($FK$12,Fixtures!IO$25))="","",IF(INDIRECT(CONCATENATE($FK$12,Fixtures!IO$25))=Fixtures!$DN56,CONCATENATE(IO$10,", "),""))</f>
        <v/>
      </c>
      <c r="IP56" s="713" t="str">
        <f ca="1">IF(INDIRECT(CONCATENATE($FK$12,Fixtures!IP$25))="","",IF(INDIRECT(CONCATENATE($FK$12,Fixtures!IP$25))=Fixtures!$DN56,CONCATENATE(IP$10,", "),""))</f>
        <v/>
      </c>
      <c r="IQ56" s="684" t="str">
        <f ca="1">IF(INDIRECT(CONCATENATE($FK$12,Fixtures!IQ$25))="","",IF(INDIRECT(CONCATENATE($FK$12,Fixtures!IQ$25))=Fixtures!$DN56,CONCATENATE(IQ$10,", "),""))</f>
        <v/>
      </c>
      <c r="IR56" s="685" t="str">
        <f ca="1">IF(INDIRECT(CONCATENATE($FK$12,Fixtures!IR$25))="","",IF(INDIRECT(CONCATENATE($FK$12,Fixtures!IR$25))=Fixtures!$DN56,CONCATENATE(IR$10,", "),""))</f>
        <v/>
      </c>
      <c r="IS56" s="713" t="str">
        <f ca="1">IF(INDIRECT(CONCATENATE($FK$12,Fixtures!IS$25))="","",IF(INDIRECT(CONCATENATE($FK$12,Fixtures!IS$25))=Fixtures!$DN56,CONCATENATE(IS$10,", "),""))</f>
        <v/>
      </c>
      <c r="IT56" s="713" t="str">
        <f ca="1">IF(INDIRECT(CONCATENATE($FK$12,Fixtures!IT$25))="","",IF(INDIRECT(CONCATENATE($FK$12,Fixtures!IT$25))=Fixtures!$DN56,CONCATENATE(IT$10,", "),""))</f>
        <v/>
      </c>
      <c r="IU56" s="713" t="str">
        <f ca="1">IF(INDIRECT(CONCATENATE($FK$12,Fixtures!IU$25))="","",IF(INDIRECT(CONCATENATE($FK$12,Fixtures!IU$25))=Fixtures!$DN56,CONCATENATE(IU$10,", "),""))</f>
        <v/>
      </c>
      <c r="IV56" s="713" t="str">
        <f ca="1">IF(INDIRECT(CONCATENATE($FK$12,Fixtures!IV$25))="","",IF(INDIRECT(CONCATENATE($FK$12,Fixtures!IV$25))=Fixtures!$DN56,CONCATENATE(IV$10,", "),""))</f>
        <v/>
      </c>
      <c r="IW56" s="713" t="str">
        <f ca="1">IF(INDIRECT(CONCATENATE($FK$12,Fixtures!IW$25))="","",IF(INDIRECT(CONCATENATE($FK$12,Fixtures!IW$25))=Fixtures!$DN56,CONCATENATE(IW$10,", "),""))</f>
        <v/>
      </c>
      <c r="IX56" s="713" t="str">
        <f ca="1">IF(INDIRECT(CONCATENATE($FK$12,Fixtures!IX$25))="","",IF(INDIRECT(CONCATENATE($FK$12,Fixtures!IX$25))=Fixtures!$DN56,CONCATENATE(IX$10,", "),""))</f>
        <v/>
      </c>
      <c r="IY56" s="713" t="str">
        <f ca="1">IF(INDIRECT(CONCATENATE($FK$12,Fixtures!IY$25))="","",IF(INDIRECT(CONCATENATE($FK$12,Fixtures!IY$25))=Fixtures!$DN56,CONCATENATE(IY$10,", "),""))</f>
        <v/>
      </c>
      <c r="IZ56" s="713" t="str">
        <f ca="1">IF(INDIRECT(CONCATENATE($FK$12,Fixtures!IZ$25))="","",IF(INDIRECT(CONCATENATE($FK$12,Fixtures!IZ$25))=Fixtures!$DN56,CONCATENATE(IZ$10,", "),""))</f>
        <v/>
      </c>
      <c r="JA56" s="713" t="str">
        <f ca="1">IF(INDIRECT(CONCATENATE($FK$12,Fixtures!JA$25))="","",IF(INDIRECT(CONCATENATE($FK$12,Fixtures!JA$25))=Fixtures!$DN56,CONCATENATE(JA$10,", "),""))</f>
        <v/>
      </c>
      <c r="JB56" s="713" t="str">
        <f ca="1">IF(INDIRECT(CONCATENATE($FK$12,Fixtures!JB$25))="","",IF(INDIRECT(CONCATENATE($FK$12,Fixtures!JB$25))=Fixtures!$DN56,CONCATENATE(JB$10,", "),""))</f>
        <v/>
      </c>
      <c r="JC56" s="713" t="str">
        <f ca="1">IF(INDIRECT(CONCATENATE($FK$12,Fixtures!JC$25))="","",IF(INDIRECT(CONCATENATE($FK$12,Fixtures!JC$25))=Fixtures!$DN56,CONCATENATE(JC$10,", "),""))</f>
        <v/>
      </c>
      <c r="JD56" s="713" t="str">
        <f ca="1">IF(INDIRECT(CONCATENATE($FK$12,Fixtures!JD$25))="","",IF(INDIRECT(CONCATENATE($FK$12,Fixtures!JD$25))=Fixtures!$DN56,CONCATENATE(JD$10,", "),""))</f>
        <v/>
      </c>
      <c r="JE56" s="713" t="str">
        <f ca="1">IF(INDIRECT(CONCATENATE($FK$12,Fixtures!JE$25))="","",IF(INDIRECT(CONCATENATE($FK$12,Fixtures!JE$25))=Fixtures!$DN56,CONCATENATE(JE$10,", "),""))</f>
        <v/>
      </c>
      <c r="JF56" s="684" t="str">
        <f ca="1">IF(INDIRECT(CONCATENATE($FK$12,Fixtures!JF$25))="","",IF(INDIRECT(CONCATENATE($FK$12,Fixtures!JF$25))=Fixtures!$DN56,CONCATENATE(JF$10,", "),""))</f>
        <v/>
      </c>
      <c r="JG56" s="685" t="str">
        <f ca="1">IF(INDIRECT(CONCATENATE($FK$12,Fixtures!JG$25))="","",IF(INDIRECT(CONCATENATE($FK$12,Fixtures!JG$25))=Fixtures!$DN56,CONCATENATE(JG$10,", "),""))</f>
        <v/>
      </c>
      <c r="JH56" s="713" t="str">
        <f ca="1">IF(INDIRECT(CONCATENATE($FK$12,Fixtures!JH$25))="","",IF(INDIRECT(CONCATENATE($FK$12,Fixtures!JH$25))=Fixtures!$DN56,CONCATENATE(JH$10,", "),""))</f>
        <v/>
      </c>
      <c r="JI56" s="713" t="str">
        <f ca="1">IF(INDIRECT(CONCATENATE($FK$12,Fixtures!JI$25))="","",IF(INDIRECT(CONCATENATE($FK$12,Fixtures!JI$25))=Fixtures!$DN56,CONCATENATE(JI$10,", "),""))</f>
        <v/>
      </c>
      <c r="JJ56" s="713" t="str">
        <f ca="1">IF(INDIRECT(CONCATENATE($FK$12,Fixtures!JJ$25))="","",IF(INDIRECT(CONCATENATE($FK$12,Fixtures!JJ$25))=Fixtures!$DN56,CONCATENATE(JJ$10,", "),""))</f>
        <v/>
      </c>
      <c r="JK56" s="713" t="str">
        <f ca="1">IF(INDIRECT(CONCATENATE($FK$12,Fixtures!JK$25))="","",IF(INDIRECT(CONCATENATE($FK$12,Fixtures!JK$25))=Fixtures!$DN56,CONCATENATE(JK$10,", "),""))</f>
        <v/>
      </c>
      <c r="JL56" s="713" t="str">
        <f ca="1">IF(INDIRECT(CONCATENATE($FK$12,Fixtures!JL$25))="","",IF(INDIRECT(CONCATENATE($FK$12,Fixtures!JL$25))=Fixtures!$DN56,CONCATENATE(JL$10,", "),""))</f>
        <v/>
      </c>
      <c r="JM56" s="713" t="str">
        <f ca="1">IF(INDIRECT(CONCATENATE($FK$12,Fixtures!JM$25))="","",IF(INDIRECT(CONCATENATE($FK$12,Fixtures!JM$25))=Fixtures!$DN56,CONCATENATE(JM$10,", "),""))</f>
        <v/>
      </c>
      <c r="JN56" s="713" t="str">
        <f ca="1">IF(INDIRECT(CONCATENATE($FK$12,Fixtures!JN$25))="","",IF(INDIRECT(CONCATENATE($FK$12,Fixtures!JN$25))=Fixtures!$DN56,CONCATENATE(JN$10,", "),""))</f>
        <v/>
      </c>
      <c r="JO56" s="713" t="str">
        <f ca="1">IF(INDIRECT(CONCATENATE($FK$12,Fixtures!JO$25))="","",IF(INDIRECT(CONCATENATE($FK$12,Fixtures!JO$25))=Fixtures!$DN56,CONCATENATE(JO$10,", "),""))</f>
        <v/>
      </c>
      <c r="JP56" s="713" t="str">
        <f ca="1">IF(INDIRECT(CONCATENATE($FK$12,Fixtures!JP$25))="","",IF(INDIRECT(CONCATENATE($FK$12,Fixtures!JP$25))=Fixtures!$DN56,CONCATENATE(JP$10,", "),""))</f>
        <v/>
      </c>
      <c r="JQ56" s="713" t="str">
        <f ca="1">IF(INDIRECT(CONCATENATE($FK$12,Fixtures!JQ$25))="","",IF(INDIRECT(CONCATENATE($FK$12,Fixtures!JQ$25))=Fixtures!$DN56,CONCATENATE(JQ$10,", "),""))</f>
        <v/>
      </c>
      <c r="JR56" s="713" t="str">
        <f ca="1">IF(INDIRECT(CONCATENATE($FK$12,Fixtures!JR$25))="","",IF(INDIRECT(CONCATENATE($FK$12,Fixtures!JR$25))=Fixtures!$DN56,CONCATENATE(JR$10,", "),""))</f>
        <v/>
      </c>
      <c r="JS56" s="713" t="str">
        <f ca="1">IF(INDIRECT(CONCATENATE($FK$12,Fixtures!JS$25))="","",IF(INDIRECT(CONCATENATE($FK$12,Fixtures!JS$25))=Fixtures!$DN56,CONCATENATE(JS$10,", "),""))</f>
        <v/>
      </c>
      <c r="JT56" s="713" t="str">
        <f ca="1">IF(INDIRECT(CONCATENATE($FK$12,Fixtures!JT$25))="","",IF(INDIRECT(CONCATENATE($FK$12,Fixtures!JT$25))=Fixtures!$DN56,CONCATENATE(JT$10,", "),""))</f>
        <v/>
      </c>
      <c r="JU56" s="684" t="str">
        <f ca="1">IF(INDIRECT(CONCATENATE($FK$12,Fixtures!JU$25))="","",IF(INDIRECT(CONCATENATE($FK$12,Fixtures!JU$25))=Fixtures!$DN56,CONCATENATE(JU$10,", "),""))</f>
        <v/>
      </c>
      <c r="JV56" s="685" t="str">
        <f ca="1">IF(INDIRECT(CONCATENATE($FK$12,Fixtures!JV$25))="","",IF(INDIRECT(CONCATENATE($FK$12,Fixtures!JV$25))=Fixtures!$DN56,CONCATENATE(JV$10,", "),""))</f>
        <v/>
      </c>
      <c r="JW56" s="713" t="str">
        <f ca="1">IF(INDIRECT(CONCATENATE($FK$12,Fixtures!JW$25))="","",IF(INDIRECT(CONCATENATE($FK$12,Fixtures!JW$25))=Fixtures!$DN56,CONCATENATE(JW$10,", "),""))</f>
        <v/>
      </c>
      <c r="JX56" s="713" t="str">
        <f ca="1">IF(INDIRECT(CONCATENATE($FK$12,Fixtures!JX$25))="","",IF(INDIRECT(CONCATENATE($FK$12,Fixtures!JX$25))=Fixtures!$DN56,CONCATENATE(JX$10,", "),""))</f>
        <v/>
      </c>
      <c r="JY56" s="713" t="str">
        <f ca="1">IF(INDIRECT(CONCATENATE($FK$12,Fixtures!JY$25))="","",IF(INDIRECT(CONCATENATE($FK$12,Fixtures!JY$25))=Fixtures!$DN56,CONCATENATE(JY$10,", "),""))</f>
        <v/>
      </c>
      <c r="JZ56" s="713" t="str">
        <f ca="1">IF(INDIRECT(CONCATENATE($FK$12,Fixtures!JZ$25))="","",IF(INDIRECT(CONCATENATE($FK$12,Fixtures!JZ$25))=Fixtures!$DN56,CONCATENATE(JZ$10,", "),""))</f>
        <v/>
      </c>
      <c r="KA56" s="713" t="str">
        <f ca="1">IF(INDIRECT(CONCATENATE($FK$12,Fixtures!KA$25))="","",IF(INDIRECT(CONCATENATE($FK$12,Fixtures!KA$25))=Fixtures!$DN56,CONCATENATE(KA$10,", "),""))</f>
        <v/>
      </c>
      <c r="KB56" s="713" t="str">
        <f ca="1">IF(INDIRECT(CONCATENATE($FK$12,Fixtures!KB$25))="","",IF(INDIRECT(CONCATENATE($FK$12,Fixtures!KB$25))=Fixtures!$DN56,CONCATENATE(KB$10,", "),""))</f>
        <v/>
      </c>
      <c r="KC56" s="713" t="str">
        <f ca="1">IF(INDIRECT(CONCATENATE($FK$12,Fixtures!KC$25))="","",IF(INDIRECT(CONCATENATE($FK$12,Fixtures!KC$25))=Fixtures!$DN56,CONCATENATE(KC$10,", "),""))</f>
        <v/>
      </c>
      <c r="KD56" s="713" t="str">
        <f ca="1">IF(INDIRECT(CONCATENATE($FK$12,Fixtures!KD$25))="","",IF(INDIRECT(CONCATENATE($FK$12,Fixtures!KD$25))=Fixtures!$DN56,CONCATENATE(KD$10,", "),""))</f>
        <v/>
      </c>
      <c r="KE56" s="713" t="str">
        <f ca="1">IF(INDIRECT(CONCATENATE($FK$12,Fixtures!KE$25))="","",IF(INDIRECT(CONCATENATE($FK$12,Fixtures!KE$25))=Fixtures!$DN56,CONCATENATE(KE$10,", "),""))</f>
        <v/>
      </c>
      <c r="KF56" s="713" t="str">
        <f ca="1">IF(INDIRECT(CONCATENATE($FK$12,Fixtures!KF$25))="","",IF(INDIRECT(CONCATENATE($FK$12,Fixtures!KF$25))=Fixtures!$DN56,CONCATENATE(KF$10,", "),""))</f>
        <v/>
      </c>
      <c r="KG56" s="713" t="str">
        <f ca="1">IF(INDIRECT(CONCATENATE($FK$12,Fixtures!KG$25))="","",IF(INDIRECT(CONCATENATE($FK$12,Fixtures!KG$25))=Fixtures!$DN56,CONCATENATE(KG$10,", "),""))</f>
        <v/>
      </c>
      <c r="KH56" s="713" t="str">
        <f ca="1">IF(INDIRECT(CONCATENATE($FK$12,Fixtures!KH$25))="","",IF(INDIRECT(CONCATENATE($FK$12,Fixtures!KH$25))=Fixtures!$DN56,CONCATENATE(KH$10,", "),""))</f>
        <v/>
      </c>
      <c r="KI56" s="713" t="str">
        <f ca="1">IF(INDIRECT(CONCATENATE($FK$12,Fixtures!KI$25))="","",IF(INDIRECT(CONCATENATE($FK$12,Fixtures!KI$25))=Fixtures!$DN56,CONCATENATE(KI$10,", "),""))</f>
        <v/>
      </c>
      <c r="KJ56" s="684" t="str">
        <f ca="1">IF(INDIRECT(CONCATENATE($FK$12,Fixtures!KJ$25))="","",IF(INDIRECT(CONCATENATE($FK$12,Fixtures!KJ$25))=Fixtures!$DN56,CONCATENATE(KJ$10,", "),""))</f>
        <v/>
      </c>
      <c r="KK56" s="685" t="str">
        <f ca="1">IF(INDIRECT(CONCATENATE($FK$12,Fixtures!KK$25))="","",IF(INDIRECT(CONCATENATE($FK$12,Fixtures!KK$25))=Fixtures!$DN56,CONCATENATE(KK$10,", "),""))</f>
        <v/>
      </c>
      <c r="KL56" s="713" t="str">
        <f ca="1">IF(INDIRECT(CONCATENATE($FK$12,Fixtures!KL$25))="","",IF(INDIRECT(CONCATENATE($FK$12,Fixtures!KL$25))=Fixtures!$DN56,CONCATENATE(KL$10,", "),""))</f>
        <v/>
      </c>
      <c r="KM56" s="713" t="str">
        <f ca="1">IF(INDIRECT(CONCATENATE($FK$12,Fixtures!KM$25))="","",IF(INDIRECT(CONCATENATE($FK$12,Fixtures!KM$25))=Fixtures!$DN56,CONCATENATE(KM$10,", "),""))</f>
        <v/>
      </c>
      <c r="KN56" s="713" t="str">
        <f ca="1">IF(INDIRECT(CONCATENATE($FK$12,Fixtures!KN$25))="","",IF(INDIRECT(CONCATENATE($FK$12,Fixtures!KN$25))=Fixtures!$DN56,CONCATENATE(KN$10,", "),""))</f>
        <v/>
      </c>
      <c r="KO56" s="713" t="str">
        <f ca="1">IF(INDIRECT(CONCATENATE($FK$12,Fixtures!KO$25))="","",IF(INDIRECT(CONCATENATE($FK$12,Fixtures!KO$25))=Fixtures!$DN56,CONCATENATE(KO$10,", "),""))</f>
        <v/>
      </c>
      <c r="KP56" s="713" t="str">
        <f ca="1">IF(INDIRECT(CONCATENATE($FK$12,Fixtures!KP$25))="","",IF(INDIRECT(CONCATENATE($FK$12,Fixtures!KP$25))=Fixtures!$DN56,CONCATENATE(KP$10,", "),""))</f>
        <v/>
      </c>
      <c r="KQ56" s="713" t="str">
        <f ca="1">IF(INDIRECT(CONCATENATE($FK$12,Fixtures!KQ$25))="","",IF(INDIRECT(CONCATENATE($FK$12,Fixtures!KQ$25))=Fixtures!$DN56,CONCATENATE(KQ$10,", "),""))</f>
        <v/>
      </c>
      <c r="KR56" s="713" t="str">
        <f ca="1">IF(INDIRECT(CONCATENATE($FK$12,Fixtures!KR$25))="","",IF(INDIRECT(CONCATENATE($FK$12,Fixtures!KR$25))=Fixtures!$DN56,CONCATENATE(KR$10,", "),""))</f>
        <v/>
      </c>
      <c r="KS56" s="713" t="str">
        <f ca="1">IF(INDIRECT(CONCATENATE($FK$12,Fixtures!KS$25))="","",IF(INDIRECT(CONCATENATE($FK$12,Fixtures!KS$25))=Fixtures!$DN56,CONCATENATE(KS$10,", "),""))</f>
        <v/>
      </c>
      <c r="KT56" s="713" t="str">
        <f ca="1">IF(INDIRECT(CONCATENATE($FK$12,Fixtures!KT$25))="","",IF(INDIRECT(CONCATENATE($FK$12,Fixtures!KT$25))=Fixtures!$DN56,CONCATENATE(KT$10,", "),""))</f>
        <v/>
      </c>
      <c r="KU56" s="713" t="str">
        <f ca="1">IF(INDIRECT(CONCATENATE($FK$12,Fixtures!KU$25))="","",IF(INDIRECT(CONCATENATE($FK$12,Fixtures!KU$25))=Fixtures!$DN56,CONCATENATE(KU$10,", "),""))</f>
        <v/>
      </c>
      <c r="KV56" s="713" t="str">
        <f ca="1">IF(INDIRECT(CONCATENATE($FK$12,Fixtures!KV$25))="","",IF(INDIRECT(CONCATENATE($FK$12,Fixtures!KV$25))=Fixtures!$DN56,CONCATENATE(KV$10,", "),""))</f>
        <v/>
      </c>
      <c r="KW56" s="713" t="str">
        <f ca="1">IF(INDIRECT(CONCATENATE($FK$12,Fixtures!KW$25))="","",IF(INDIRECT(CONCATENATE($FK$12,Fixtures!KW$25))=Fixtures!$DN56,CONCATENATE(KW$10,", "),""))</f>
        <v/>
      </c>
      <c r="KX56" s="713" t="str">
        <f ca="1">IF(INDIRECT(CONCATENATE($FK$12,Fixtures!KX$25))="","",IF(INDIRECT(CONCATENATE($FK$12,Fixtures!KX$25))=Fixtures!$DN56,CONCATENATE(KX$10,", "),""))</f>
        <v/>
      </c>
      <c r="KY56" s="713" t="str">
        <f ca="1">IF(INDIRECT(CONCATENATE($FK$12,Fixtures!KY$25))="","",IF(INDIRECT(CONCATENATE($FK$12,Fixtures!KY$25))=Fixtures!$DN56,CONCATENATE(KY$10,", "),""))</f>
        <v/>
      </c>
      <c r="KZ56" s="602"/>
      <c r="LA56" s="46" t="str">
        <f t="shared" ca="1" si="8"/>
        <v/>
      </c>
    </row>
    <row r="57" spans="1:313" ht="28.05" customHeight="1" thickTop="1" thickBot="1">
      <c r="A57" s="471" t="str">
        <f t="shared" si="13"/>
        <v/>
      </c>
      <c r="C57" s="1328" t="str">
        <f t="shared" si="14"/>
        <v/>
      </c>
      <c r="D57" s="1329"/>
      <c r="E57" s="1256" t="str">
        <f t="shared" si="15"/>
        <v/>
      </c>
      <c r="F57" s="1257"/>
      <c r="G57" s="1257"/>
      <c r="H57" s="1257"/>
      <c r="I57" s="1257"/>
      <c r="J57" s="1257"/>
      <c r="K57" s="1257"/>
      <c r="L57" s="1257"/>
      <c r="M57" s="1330"/>
      <c r="N57" s="239" t="str">
        <f t="shared" si="16"/>
        <v/>
      </c>
      <c r="O57" s="12"/>
      <c r="P57" s="1326" t="str">
        <f t="shared" si="25"/>
        <v/>
      </c>
      <c r="Q57" s="1327"/>
      <c r="R57" s="1256" t="str">
        <f t="shared" si="31"/>
        <v/>
      </c>
      <c r="S57" s="1257"/>
      <c r="T57" s="1257"/>
      <c r="U57" s="1257"/>
      <c r="V57" s="1257"/>
      <c r="W57" s="1257"/>
      <c r="X57" s="1257"/>
      <c r="Y57" s="239" t="str">
        <f t="shared" si="27"/>
        <v/>
      </c>
      <c r="Z57" s="239" t="str">
        <f t="shared" si="28"/>
        <v/>
      </c>
      <c r="AA57" s="439" t="str">
        <f t="shared" si="29"/>
        <v/>
      </c>
      <c r="AB57" s="542"/>
      <c r="AC57" s="1253" t="str">
        <f t="shared" si="17"/>
        <v/>
      </c>
      <c r="AD57" s="1166"/>
      <c r="AE57" s="1166"/>
      <c r="AF57" s="1166"/>
      <c r="AG57" s="1166"/>
      <c r="AH57" s="1166"/>
      <c r="AK57">
        <f>SUMIFS(Installations!CS$39:CS$800,Installations!CT$39:CT$800,E57,Installations!HX$39:HX$800,TRUE)</f>
        <v>0</v>
      </c>
      <c r="AL57">
        <f>SUMIFS(Installations!CS$39:CS$800,Installations!CT$39:CT$800,R57,Installations!HX$39:HX$800,TRUE)</f>
        <v>0</v>
      </c>
      <c r="BL57" s="9"/>
      <c r="BM57" s="703" t="str">
        <f t="shared" si="18"/>
        <v/>
      </c>
      <c r="BN57" s="52"/>
      <c r="BO57" s="52"/>
      <c r="BP57" s="52"/>
      <c r="BQ57" s="52"/>
      <c r="BR57" s="52"/>
      <c r="BS57" s="52"/>
      <c r="BT57" s="52"/>
      <c r="BU57" s="414"/>
      <c r="BV57" s="255" t="str">
        <f>IF(CN57&lt;&gt;"Yes","",IFERROR(VLOOKUP(CU57,Existing!A$4:F$364,2,FALSE),""))</f>
        <v/>
      </c>
      <c r="BW57" s="9">
        <v>31</v>
      </c>
      <c r="BX57" s="1313"/>
      <c r="BY57" s="1314"/>
      <c r="BZ57" s="1314"/>
      <c r="CA57" s="1315"/>
      <c r="CB57" s="1310"/>
      <c r="CC57" s="1311"/>
      <c r="CD57" s="1311"/>
      <c r="CE57" s="1312"/>
      <c r="CF57" s="1309"/>
      <c r="CG57" s="1309"/>
      <c r="CH57" s="1309"/>
      <c r="CI57" s="1309"/>
      <c r="CJ57" s="1309"/>
      <c r="CK57" s="1309"/>
      <c r="CL57" s="1309"/>
      <c r="CM57" s="1309"/>
      <c r="CN57" s="1243" t="str">
        <f t="shared" si="32"/>
        <v/>
      </c>
      <c r="CO57" s="1244"/>
      <c r="CP57" s="265" t="str">
        <f>IFERROR(IF(CB57="Existing TLED",CR57*CW57*CY57,VLOOKUP(CU57,Existing!A$3:F$353,6,FALSE)),"")</f>
        <v/>
      </c>
      <c r="CQ57" s="9"/>
      <c r="CR57" s="1343"/>
      <c r="CS57" s="1344"/>
      <c r="CT57" s="9"/>
      <c r="CU57" s="470" t="str">
        <f t="shared" si="21"/>
        <v/>
      </c>
      <c r="CV57" s="471" t="b">
        <f t="shared" si="22"/>
        <v>0</v>
      </c>
      <c r="CW57" s="471" t="str">
        <f t="shared" si="23"/>
        <v/>
      </c>
      <c r="CX57" s="471">
        <f>IFERROR(VLOOKUP(CF57,Lookup!M$100:O$102,3,FALSE),0)</f>
        <v>0</v>
      </c>
      <c r="CY57" s="471">
        <f t="shared" si="9"/>
        <v>1.1100000000000001</v>
      </c>
      <c r="CZ57" s="707" t="b">
        <f t="shared" si="1"/>
        <v>0</v>
      </c>
      <c r="DA57" s="707" t="b">
        <f>IF(CF57&lt;&gt;"",IF(ISERROR(MATCH(CONCATENATE(CB57," - ",CF57),Existing!G$4:G$328,0))=TRUE,FALSE,TRUE),TRUE)</f>
        <v>1</v>
      </c>
      <c r="DB57" s="707" t="b">
        <f t="shared" si="2"/>
        <v>1</v>
      </c>
      <c r="DL57" s="9"/>
      <c r="DM57" s="708" t="s">
        <v>166</v>
      </c>
      <c r="DN57" s="416" t="str">
        <f t="shared" si="3"/>
        <v/>
      </c>
      <c r="DO57" s="52"/>
      <c r="DP57" s="52"/>
      <c r="DQ57" s="52"/>
      <c r="DR57" s="52"/>
      <c r="DS57" s="52"/>
      <c r="DT57" s="262"/>
      <c r="DU57" s="417"/>
      <c r="DV57" s="263" t="str">
        <f t="shared" si="4"/>
        <v/>
      </c>
      <c r="DW57" s="260">
        <v>31</v>
      </c>
      <c r="DX57" s="1306"/>
      <c r="DY57" s="1307"/>
      <c r="DZ57" s="1307"/>
      <c r="EA57" s="1308"/>
      <c r="EB57" s="1306"/>
      <c r="EC57" s="1307"/>
      <c r="ED57" s="1307"/>
      <c r="EE57" s="1308"/>
      <c r="EF57" s="1266"/>
      <c r="EG57" s="1267"/>
      <c r="EH57" s="1306"/>
      <c r="EI57" s="1307"/>
      <c r="EJ57" s="1307"/>
      <c r="EK57" s="1308"/>
      <c r="EL57" s="1263"/>
      <c r="EM57" s="1264"/>
      <c r="EN57" s="1264"/>
      <c r="EO57" s="1265"/>
      <c r="EP57" s="1266"/>
      <c r="EQ57" s="1267"/>
      <c r="ER57" s="1245"/>
      <c r="ES57" s="1246"/>
      <c r="ET57" s="1243" t="str">
        <f t="shared" si="5"/>
        <v/>
      </c>
      <c r="EU57" s="1244"/>
      <c r="EV57" s="1243" t="str">
        <f t="shared" si="30"/>
        <v/>
      </c>
      <c r="EW57" s="1244"/>
      <c r="EX57" s="438"/>
      <c r="EY57" s="261" t="str">
        <f t="shared" si="7"/>
        <v/>
      </c>
      <c r="EZ57" s="261" t="str">
        <f>IFERROR(VLOOKUP(EB57,Lookup!AM$3:AN$13,2,FALSE),"")</f>
        <v/>
      </c>
      <c r="FA57" s="471" t="b">
        <f>IFERROR(IF(VLOOKUP(EB57,Lookup!AM$6:AN$8,2,FALSE)&gt;3,TRUE,FALSE),FALSE)</f>
        <v>0</v>
      </c>
      <c r="FB57" s="471">
        <f t="shared" si="11"/>
        <v>1</v>
      </c>
      <c r="FC57" t="str">
        <f t="shared" ca="1" si="10"/>
        <v/>
      </c>
      <c r="FG57" t="str">
        <f t="shared" ca="1" si="12"/>
        <v/>
      </c>
      <c r="FI57" s="240" t="str">
        <f t="shared" ca="1" si="24"/>
        <v/>
      </c>
      <c r="FK57" s="712" t="str">
        <f ca="1">IF(INDIRECT(CONCATENATE($FK$12,Fixtures!FK$25))="","",IF(INDIRECT(CONCATENATE($FK$12,Fixtures!FK$25))=Fixtures!$DN57,CONCATENATE(FK$10,", "),""))</f>
        <v/>
      </c>
      <c r="FL57" s="712" t="str">
        <f ca="1">IF(INDIRECT(CONCATENATE($FK$12,Fixtures!FL$25))="","",IF(INDIRECT(CONCATENATE($FK$12,Fixtures!FL$25))=Fixtures!$DN57,CONCATENATE(FL$10,", "),""))</f>
        <v/>
      </c>
      <c r="FM57" s="712" t="str">
        <f ca="1">IF(INDIRECT(CONCATENATE($FK$12,Fixtures!FM$25))="","",IF(INDIRECT(CONCATENATE($FK$12,Fixtures!FM$25))=Fixtures!$DN57,CONCATENATE(FM$10,", "),""))</f>
        <v/>
      </c>
      <c r="FN57" s="712" t="str">
        <f ca="1">IF(INDIRECT(CONCATENATE($FK$12,Fixtures!FN$25))="","",IF(INDIRECT(CONCATENATE($FK$12,Fixtures!FN$25))=Fixtures!$DN57,CONCATENATE(FN$10,", "),""))</f>
        <v/>
      </c>
      <c r="FO57" s="712" t="str">
        <f ca="1">IF(INDIRECT(CONCATENATE($FK$12,Fixtures!FO$25))="","",IF(INDIRECT(CONCATENATE($FK$12,Fixtures!FO$25))=Fixtures!$DN57,CONCATENATE(FO$10,", "),""))</f>
        <v/>
      </c>
      <c r="FP57" s="712" t="str">
        <f ca="1">IF(INDIRECT(CONCATENATE($FK$12,Fixtures!FP$25))="","",IF(INDIRECT(CONCATENATE($FK$12,Fixtures!FP$25))=Fixtures!$DN57,CONCATENATE(FP$10,", "),""))</f>
        <v/>
      </c>
      <c r="FQ57" s="712" t="str">
        <f ca="1">IF(INDIRECT(CONCATENATE($FK$12,Fixtures!FQ$25))="","",IF(INDIRECT(CONCATENATE($FK$12,Fixtures!FQ$25))=Fixtures!$DN57,CONCATENATE(FQ$10,", "),""))</f>
        <v/>
      </c>
      <c r="FR57" s="712" t="str">
        <f ca="1">IF(INDIRECT(CONCATENATE($FK$12,Fixtures!FR$25))="","",IF(INDIRECT(CONCATENATE($FK$12,Fixtures!FR$25))=Fixtures!$DN57,CONCATENATE(FR$10,", "),""))</f>
        <v/>
      </c>
      <c r="FS57" s="712" t="str">
        <f ca="1">IF(INDIRECT(CONCATENATE($FK$12,Fixtures!FS$25))="","",IF(INDIRECT(CONCATENATE($FK$12,Fixtures!FS$25))=Fixtures!$DN57,CONCATENATE(FS$10,", "),""))</f>
        <v/>
      </c>
      <c r="FT57" s="682" t="str">
        <f ca="1">IF(INDIRECT(CONCATENATE($FK$12,Fixtures!FT$25))="","",IF(INDIRECT(CONCATENATE($FK$12,Fixtures!FT$25))=Fixtures!$DN57,CONCATENATE(FT$10,", "),""))</f>
        <v/>
      </c>
      <c r="FU57" s="683" t="str">
        <f ca="1">IF(INDIRECT(CONCATENATE($FK$12,Fixtures!FU$25))="","",IF(INDIRECT(CONCATENATE($FK$12,Fixtures!FU$25))=Fixtures!$DN57,CONCATENATE(FU$10,", "),""))</f>
        <v/>
      </c>
      <c r="FV57" s="712" t="str">
        <f ca="1">IF(INDIRECT(CONCATENATE($FK$12,Fixtures!FV$25))="","",IF(INDIRECT(CONCATENATE($FK$12,Fixtures!FV$25))=Fixtures!$DN57,CONCATENATE(FV$10,", "),""))</f>
        <v/>
      </c>
      <c r="FW57" s="713" t="str">
        <f ca="1">IF(INDIRECT(CONCATENATE($FK$12,Fixtures!FW$25))="","",IF(INDIRECT(CONCATENATE($FK$12,Fixtures!FW$25))=Fixtures!$DN57,CONCATENATE(FW$10,", "),""))</f>
        <v/>
      </c>
      <c r="FX57" s="713" t="str">
        <f ca="1">IF(INDIRECT(CONCATENATE($FK$12,Fixtures!FX$25))="","",IF(INDIRECT(CONCATENATE($FK$12,Fixtures!FX$25))=Fixtures!$DN57,CONCATENATE(FX$10,", "),""))</f>
        <v/>
      </c>
      <c r="FY57" s="713" t="str">
        <f ca="1">IF(INDIRECT(CONCATENATE($FK$12,Fixtures!FY$25))="","",IF(INDIRECT(CONCATENATE($FK$12,Fixtures!FY$25))=Fixtures!$DN57,CONCATENATE(FY$10,", "),""))</f>
        <v/>
      </c>
      <c r="FZ57" s="713" t="str">
        <f ca="1">IF(INDIRECT(CONCATENATE($FK$12,Fixtures!FZ$25))="","",IF(INDIRECT(CONCATENATE($FK$12,Fixtures!FZ$25))=Fixtures!$DN57,CONCATENATE(FZ$10,", "),""))</f>
        <v/>
      </c>
      <c r="GA57" s="713" t="str">
        <f ca="1">IF(INDIRECT(CONCATENATE($FK$12,Fixtures!GA$25))="","",IF(INDIRECT(CONCATENATE($FK$12,Fixtures!GA$25))=Fixtures!$DN57,CONCATENATE(GA$10,", "),""))</f>
        <v/>
      </c>
      <c r="GB57" s="713" t="str">
        <f ca="1">IF(INDIRECT(CONCATENATE($FK$12,Fixtures!GB$25))="","",IF(INDIRECT(CONCATENATE($FK$12,Fixtures!GB$25))=Fixtures!$DN57,CONCATENATE(GB$10,", "),""))</f>
        <v/>
      </c>
      <c r="GC57" s="713" t="str">
        <f ca="1">IF(INDIRECT(CONCATENATE($FK$12,Fixtures!GC$25))="","",IF(INDIRECT(CONCATENATE($FK$12,Fixtures!GC$25))=Fixtures!$DN57,CONCATENATE(GC$10,", "),""))</f>
        <v/>
      </c>
      <c r="GD57" s="713" t="str">
        <f ca="1">IF(INDIRECT(CONCATENATE($FK$12,Fixtures!GD$25))="","",IF(INDIRECT(CONCATENATE($FK$12,Fixtures!GD$25))=Fixtures!$DN57,CONCATENATE(GD$10,", "),""))</f>
        <v/>
      </c>
      <c r="GE57" s="713" t="str">
        <f ca="1">IF(INDIRECT(CONCATENATE($FK$12,Fixtures!GE$25))="","",IF(INDIRECT(CONCATENATE($FK$12,Fixtures!GE$25))=Fixtures!$DN57,CONCATENATE(GE$10,", "),""))</f>
        <v/>
      </c>
      <c r="GF57" s="713" t="str">
        <f ca="1">IF(INDIRECT(CONCATENATE($FK$12,Fixtures!GF$25))="","",IF(INDIRECT(CONCATENATE($FK$12,Fixtures!GF$25))=Fixtures!$DN57,CONCATENATE(GF$10,", "),""))</f>
        <v/>
      </c>
      <c r="GG57" s="713" t="str">
        <f ca="1">IF(INDIRECT(CONCATENATE($FK$12,Fixtures!GG$25))="","",IF(INDIRECT(CONCATENATE($FK$12,Fixtures!GG$25))=Fixtures!$DN57,CONCATENATE(GG$10,", "),""))</f>
        <v/>
      </c>
      <c r="GH57" s="713" t="str">
        <f ca="1">IF(INDIRECT(CONCATENATE($FK$12,Fixtures!GH$25))="","",IF(INDIRECT(CONCATENATE($FK$12,Fixtures!GH$25))=Fixtures!$DN57,CONCATENATE(GH$10,", "),""))</f>
        <v/>
      </c>
      <c r="GI57" s="684" t="str">
        <f ca="1">IF(INDIRECT(CONCATENATE($FK$12,Fixtures!GI$25))="","",IF(INDIRECT(CONCATENATE($FK$12,Fixtures!GI$25))=Fixtures!$DN57,CONCATENATE(GI$10,", "),""))</f>
        <v/>
      </c>
      <c r="GJ57" s="685" t="str">
        <f ca="1">IF(INDIRECT(CONCATENATE($FK$12,Fixtures!GJ$25))="","",IF(INDIRECT(CONCATENATE($FK$12,Fixtures!GJ$25))=Fixtures!$DN57,CONCATENATE(GJ$10,", "),""))</f>
        <v/>
      </c>
      <c r="GK57" s="713" t="str">
        <f ca="1">IF(INDIRECT(CONCATENATE($FK$12,Fixtures!GK$25))="","",IF(INDIRECT(CONCATENATE($FK$12,Fixtures!GK$25))=Fixtures!$DN57,CONCATENATE(GK$10,", "),""))</f>
        <v/>
      </c>
      <c r="GL57" s="713" t="str">
        <f ca="1">IF(INDIRECT(CONCATENATE($FK$12,Fixtures!GL$25))="","",IF(INDIRECT(CONCATENATE($FK$12,Fixtures!GL$25))=Fixtures!$DN57,CONCATENATE(GL$10,", "),""))</f>
        <v/>
      </c>
      <c r="GM57" s="713" t="str">
        <f ca="1">IF(INDIRECT(CONCATENATE($FK$12,Fixtures!GM$25))="","",IF(INDIRECT(CONCATENATE($FK$12,Fixtures!GM$25))=Fixtures!$DN57,CONCATENATE(GM$10,", "),""))</f>
        <v/>
      </c>
      <c r="GN57" s="713" t="str">
        <f ca="1">IF(INDIRECT(CONCATENATE($FK$12,Fixtures!GN$25))="","",IF(INDIRECT(CONCATENATE($FK$12,Fixtures!GN$25))=Fixtures!$DN57,CONCATENATE(GN$10,", "),""))</f>
        <v/>
      </c>
      <c r="GO57" s="713" t="str">
        <f ca="1">IF(INDIRECT(CONCATENATE($FK$12,Fixtures!GO$25))="","",IF(INDIRECT(CONCATENATE($FK$12,Fixtures!GO$25))=Fixtures!$DN57,CONCATENATE(GO$10,", "),""))</f>
        <v/>
      </c>
      <c r="GP57" s="713" t="str">
        <f ca="1">IF(INDIRECT(CONCATENATE($FK$12,Fixtures!GP$25))="","",IF(INDIRECT(CONCATENATE($FK$12,Fixtures!GP$25))=Fixtures!$DN57,CONCATENATE(GP$10,", "),""))</f>
        <v/>
      </c>
      <c r="GQ57" s="713" t="str">
        <f ca="1">IF(INDIRECT(CONCATENATE($FK$12,Fixtures!GQ$25))="","",IF(INDIRECT(CONCATENATE($FK$12,Fixtures!GQ$25))=Fixtures!$DN57,CONCATENATE(GQ$10,", "),""))</f>
        <v/>
      </c>
      <c r="GR57" s="713" t="str">
        <f ca="1">IF(INDIRECT(CONCATENATE($FK$12,Fixtures!GR$25))="","",IF(INDIRECT(CONCATENATE($FK$12,Fixtures!GR$25))=Fixtures!$DN57,CONCATENATE(GR$10,", "),""))</f>
        <v/>
      </c>
      <c r="GS57" s="713" t="str">
        <f ca="1">IF(INDIRECT(CONCATENATE($FK$12,Fixtures!GS$25))="","",IF(INDIRECT(CONCATENATE($FK$12,Fixtures!GS$25))=Fixtures!$DN57,CONCATENATE(GS$10,", "),""))</f>
        <v/>
      </c>
      <c r="GT57" s="713" t="str">
        <f ca="1">IF(INDIRECT(CONCATENATE($FK$12,Fixtures!GT$25))="","",IF(INDIRECT(CONCATENATE($FK$12,Fixtures!GT$25))=Fixtures!$DN57,CONCATENATE(GT$10,", "),""))</f>
        <v/>
      </c>
      <c r="GU57" s="713" t="str">
        <f ca="1">IF(INDIRECT(CONCATENATE($FK$12,Fixtures!GU$25))="","",IF(INDIRECT(CONCATENATE($FK$12,Fixtures!GU$25))=Fixtures!$DN57,CONCATENATE(GU$10,", "),""))</f>
        <v/>
      </c>
      <c r="GV57" s="713" t="str">
        <f ca="1">IF(INDIRECT(CONCATENATE($FK$12,Fixtures!GV$25))="","",IF(INDIRECT(CONCATENATE($FK$12,Fixtures!GV$25))=Fixtures!$DN57,CONCATENATE(GV$10,", "),""))</f>
        <v/>
      </c>
      <c r="GW57" s="713" t="str">
        <f ca="1">IF(INDIRECT(CONCATENATE($FK$12,Fixtures!GW$25))="","",IF(INDIRECT(CONCATENATE($FK$12,Fixtures!GW$25))=Fixtures!$DN57,CONCATENATE(GW$10,", "),""))</f>
        <v/>
      </c>
      <c r="GX57" s="684" t="str">
        <f ca="1">IF(INDIRECT(CONCATENATE($FK$12,Fixtures!GX$25))="","",IF(INDIRECT(CONCATENATE($FK$12,Fixtures!GX$25))=Fixtures!$DN57,CONCATENATE(GX$10,", "),""))</f>
        <v/>
      </c>
      <c r="GY57" s="685" t="str">
        <f ca="1">IF(INDIRECT(CONCATENATE($FK$12,Fixtures!GY$25))="","",IF(INDIRECT(CONCATENATE($FK$12,Fixtures!GY$25))=Fixtures!$DN57,CONCATENATE(GY$10,", "),""))</f>
        <v/>
      </c>
      <c r="GZ57" s="713" t="str">
        <f ca="1">IF(INDIRECT(CONCATENATE($FK$12,Fixtures!GZ$25))="","",IF(INDIRECT(CONCATENATE($FK$12,Fixtures!GZ$25))=Fixtures!$DN57,CONCATENATE(GZ$10,", "),""))</f>
        <v/>
      </c>
      <c r="HA57" s="713" t="str">
        <f ca="1">IF(INDIRECT(CONCATENATE($FK$12,Fixtures!HA$25))="","",IF(INDIRECT(CONCATENATE($FK$12,Fixtures!HA$25))=Fixtures!$DN57,CONCATENATE(HA$10,", "),""))</f>
        <v/>
      </c>
      <c r="HB57" s="713" t="str">
        <f ca="1">IF(INDIRECT(CONCATENATE($FK$12,Fixtures!HB$25))="","",IF(INDIRECT(CONCATENATE($FK$12,Fixtures!HB$25))=Fixtures!$DN57,CONCATENATE(HB$10,", "),""))</f>
        <v/>
      </c>
      <c r="HC57" s="713" t="str">
        <f ca="1">IF(INDIRECT(CONCATENATE($FK$12,Fixtures!HC$25))="","",IF(INDIRECT(CONCATENATE($FK$12,Fixtures!HC$25))=Fixtures!$DN57,CONCATENATE(HC$10,", "),""))</f>
        <v/>
      </c>
      <c r="HD57" s="713" t="str">
        <f ca="1">IF(INDIRECT(CONCATENATE($FK$12,Fixtures!HD$25))="","",IF(INDIRECT(CONCATENATE($FK$12,Fixtures!HD$25))=Fixtures!$DN57,CONCATENATE(HD$10,", "),""))</f>
        <v/>
      </c>
      <c r="HE57" s="713" t="str">
        <f ca="1">IF(INDIRECT(CONCATENATE($FK$12,Fixtures!HE$25))="","",IF(INDIRECT(CONCATENATE($FK$12,Fixtures!HE$25))=Fixtures!$DN57,CONCATENATE(HE$10,", "),""))</f>
        <v/>
      </c>
      <c r="HF57" s="713" t="str">
        <f ca="1">IF(INDIRECT(CONCATENATE($FK$12,Fixtures!HF$25))="","",IF(INDIRECT(CONCATENATE($FK$12,Fixtures!HF$25))=Fixtures!$DN57,CONCATENATE(HF$10,", "),""))</f>
        <v/>
      </c>
      <c r="HG57" s="713" t="str">
        <f ca="1">IF(INDIRECT(CONCATENATE($FK$12,Fixtures!HG$25))="","",IF(INDIRECT(CONCATENATE($FK$12,Fixtures!HG$25))=Fixtures!$DN57,CONCATENATE(HG$10,", "),""))</f>
        <v/>
      </c>
      <c r="HH57" s="713" t="str">
        <f ca="1">IF(INDIRECT(CONCATENATE($FK$12,Fixtures!HH$25))="","",IF(INDIRECT(CONCATENATE($FK$12,Fixtures!HH$25))=Fixtures!$DN57,CONCATENATE(HH$10,", "),""))</f>
        <v/>
      </c>
      <c r="HI57" s="713" t="str">
        <f ca="1">IF(INDIRECT(CONCATENATE($FK$12,Fixtures!HI$25))="","",IF(INDIRECT(CONCATENATE($FK$12,Fixtures!HI$25))=Fixtures!$DN57,CONCATENATE(HI$10,", "),""))</f>
        <v/>
      </c>
      <c r="HJ57" s="713" t="str">
        <f ca="1">IF(INDIRECT(CONCATENATE($FK$12,Fixtures!HJ$25))="","",IF(INDIRECT(CONCATENATE($FK$12,Fixtures!HJ$25))=Fixtures!$DN57,CONCATENATE(HJ$10,", "),""))</f>
        <v/>
      </c>
      <c r="HK57" s="713" t="str">
        <f ca="1">IF(INDIRECT(CONCATENATE($FK$12,Fixtures!HK$25))="","",IF(INDIRECT(CONCATENATE($FK$12,Fixtures!HK$25))=Fixtures!$DN57,CONCATENATE(HK$10,", "),""))</f>
        <v/>
      </c>
      <c r="HL57" s="713" t="str">
        <f ca="1">IF(INDIRECT(CONCATENATE($FK$12,Fixtures!HL$25))="","",IF(INDIRECT(CONCATENATE($FK$12,Fixtures!HL$25))=Fixtures!$DN57,CONCATENATE(HL$10,", "),""))</f>
        <v/>
      </c>
      <c r="HM57" s="684" t="str">
        <f ca="1">IF(INDIRECT(CONCATENATE($FK$12,Fixtures!HM$25))="","",IF(INDIRECT(CONCATENATE($FK$12,Fixtures!HM$25))=Fixtures!$DN57,CONCATENATE(HM$10,", "),""))</f>
        <v/>
      </c>
      <c r="HN57" s="685" t="str">
        <f ca="1">IF(INDIRECT(CONCATENATE($FK$12,Fixtures!HN$25))="","",IF(INDIRECT(CONCATENATE($FK$12,Fixtures!HN$25))=Fixtures!$DN57,CONCATENATE(HN$10,", "),""))</f>
        <v/>
      </c>
      <c r="HO57" s="713" t="str">
        <f ca="1">IF(INDIRECT(CONCATENATE($FK$12,Fixtures!HO$25))="","",IF(INDIRECT(CONCATENATE($FK$12,Fixtures!HO$25))=Fixtures!$DN57,CONCATENATE(HO$10,", "),""))</f>
        <v/>
      </c>
      <c r="HP57" s="713" t="str">
        <f ca="1">IF(INDIRECT(CONCATENATE($FK$12,Fixtures!HP$25))="","",IF(INDIRECT(CONCATENATE($FK$12,Fixtures!HP$25))=Fixtures!$DN57,CONCATENATE(HP$10,", "),""))</f>
        <v/>
      </c>
      <c r="HQ57" s="713" t="str">
        <f ca="1">IF(INDIRECT(CONCATENATE($FK$12,Fixtures!HQ$25))="","",IF(INDIRECT(CONCATENATE($FK$12,Fixtures!HQ$25))=Fixtures!$DN57,CONCATENATE(HQ$10,", "),""))</f>
        <v/>
      </c>
      <c r="HR57" s="713" t="str">
        <f ca="1">IF(INDIRECT(CONCATENATE($FK$12,Fixtures!HR$25))="","",IF(INDIRECT(CONCATENATE($FK$12,Fixtures!HR$25))=Fixtures!$DN57,CONCATENATE(HR$10,", "),""))</f>
        <v/>
      </c>
      <c r="HS57" s="713" t="str">
        <f ca="1">IF(INDIRECT(CONCATENATE($FK$12,Fixtures!HS$25))="","",IF(INDIRECT(CONCATENATE($FK$12,Fixtures!HS$25))=Fixtures!$DN57,CONCATENATE(HS$10,", "),""))</f>
        <v/>
      </c>
      <c r="HT57" s="713" t="str">
        <f ca="1">IF(INDIRECT(CONCATENATE($FK$12,Fixtures!HT$25))="","",IF(INDIRECT(CONCATENATE($FK$12,Fixtures!HT$25))=Fixtures!$DN57,CONCATENATE(HT$10,", "),""))</f>
        <v/>
      </c>
      <c r="HU57" s="713" t="str">
        <f ca="1">IF(INDIRECT(CONCATENATE($FK$12,Fixtures!HU$25))="","",IF(INDIRECT(CONCATENATE($FK$12,Fixtures!HU$25))=Fixtures!$DN57,CONCATENATE(HU$10,", "),""))</f>
        <v/>
      </c>
      <c r="HV57" s="713" t="str">
        <f ca="1">IF(INDIRECT(CONCATENATE($FK$12,Fixtures!HV$25))="","",IF(INDIRECT(CONCATENATE($FK$12,Fixtures!HV$25))=Fixtures!$DN57,CONCATENATE(HV$10,", "),""))</f>
        <v/>
      </c>
      <c r="HW57" s="713" t="str">
        <f ca="1">IF(INDIRECT(CONCATENATE($FK$12,Fixtures!HW$25))="","",IF(INDIRECT(CONCATENATE($FK$12,Fixtures!HW$25))=Fixtures!$DN57,CONCATENATE(HW$10,", "),""))</f>
        <v/>
      </c>
      <c r="HX57" s="713" t="str">
        <f ca="1">IF(INDIRECT(CONCATENATE($FK$12,Fixtures!HX$25))="","",IF(INDIRECT(CONCATENATE($FK$12,Fixtures!HX$25))=Fixtures!$DN57,CONCATENATE(HX$10,", "),""))</f>
        <v/>
      </c>
      <c r="HY57" s="713" t="str">
        <f ca="1">IF(INDIRECT(CONCATENATE($FK$12,Fixtures!HY$25))="","",IF(INDIRECT(CONCATENATE($FK$12,Fixtures!HY$25))=Fixtures!$DN57,CONCATENATE(HY$10,", "),""))</f>
        <v/>
      </c>
      <c r="HZ57" s="713" t="str">
        <f ca="1">IF(INDIRECT(CONCATENATE($FK$12,Fixtures!HZ$25))="","",IF(INDIRECT(CONCATENATE($FK$12,Fixtures!HZ$25))=Fixtures!$DN57,CONCATENATE(HZ$10,", "),""))</f>
        <v/>
      </c>
      <c r="IA57" s="713" t="str">
        <f ca="1">IF(INDIRECT(CONCATENATE($FK$12,Fixtures!IA$25))="","",IF(INDIRECT(CONCATENATE($FK$12,Fixtures!IA$25))=Fixtures!$DN57,CONCATENATE(IA$10,", "),""))</f>
        <v/>
      </c>
      <c r="IB57" s="684" t="str">
        <f ca="1">IF(INDIRECT(CONCATENATE($FK$12,Fixtures!IB$25))="","",IF(INDIRECT(CONCATENATE($FK$12,Fixtures!IB$25))=Fixtures!$DN57,CONCATENATE(IB$10,", "),""))</f>
        <v/>
      </c>
      <c r="IC57" s="685" t="str">
        <f ca="1">IF(INDIRECT(CONCATENATE($FK$12,Fixtures!IC$25))="","",IF(INDIRECT(CONCATENATE($FK$12,Fixtures!IC$25))=Fixtures!$DN57,CONCATENATE(IC$10,", "),""))</f>
        <v/>
      </c>
      <c r="ID57" s="713" t="str">
        <f ca="1">IF(INDIRECT(CONCATENATE($FK$12,Fixtures!ID$25))="","",IF(INDIRECT(CONCATENATE($FK$12,Fixtures!ID$25))=Fixtures!$DN57,CONCATENATE(ID$10,", "),""))</f>
        <v/>
      </c>
      <c r="IE57" s="713" t="str">
        <f ca="1">IF(INDIRECT(CONCATENATE($FK$12,Fixtures!IE$25))="","",IF(INDIRECT(CONCATENATE($FK$12,Fixtures!IE$25))=Fixtures!$DN57,CONCATENATE(IE$10,", "),""))</f>
        <v/>
      </c>
      <c r="IF57" s="713" t="str">
        <f ca="1">IF(INDIRECT(CONCATENATE($FK$12,Fixtures!IF$25))="","",IF(INDIRECT(CONCATENATE($FK$12,Fixtures!IF$25))=Fixtures!$DN57,CONCATENATE(IF$10,", "),""))</f>
        <v/>
      </c>
      <c r="IG57" s="713" t="str">
        <f ca="1">IF(INDIRECT(CONCATENATE($FK$12,Fixtures!IG$25))="","",IF(INDIRECT(CONCATENATE($FK$12,Fixtures!IG$25))=Fixtures!$DN57,CONCATENATE(IG$10,", "),""))</f>
        <v/>
      </c>
      <c r="IH57" s="713" t="str">
        <f ca="1">IF(INDIRECT(CONCATENATE($FK$12,Fixtures!IH$25))="","",IF(INDIRECT(CONCATENATE($FK$12,Fixtures!IH$25))=Fixtures!$DN57,CONCATENATE(IH$10,", "),""))</f>
        <v/>
      </c>
      <c r="II57" s="713" t="str">
        <f ca="1">IF(INDIRECT(CONCATENATE($FK$12,Fixtures!II$25))="","",IF(INDIRECT(CONCATENATE($FK$12,Fixtures!II$25))=Fixtures!$DN57,CONCATENATE(II$10,", "),""))</f>
        <v/>
      </c>
      <c r="IJ57" s="713" t="str">
        <f ca="1">IF(INDIRECT(CONCATENATE($FK$12,Fixtures!IJ$25))="","",IF(INDIRECT(CONCATENATE($FK$12,Fixtures!IJ$25))=Fixtures!$DN57,CONCATENATE(IJ$10,", "),""))</f>
        <v/>
      </c>
      <c r="IK57" s="713" t="str">
        <f ca="1">IF(INDIRECT(CONCATENATE($FK$12,Fixtures!IK$25))="","",IF(INDIRECT(CONCATENATE($FK$12,Fixtures!IK$25))=Fixtures!$DN57,CONCATENATE(IK$10,", "),""))</f>
        <v/>
      </c>
      <c r="IL57" s="713" t="str">
        <f ca="1">IF(INDIRECT(CONCATENATE($FK$12,Fixtures!IL$25))="","",IF(INDIRECT(CONCATENATE($FK$12,Fixtures!IL$25))=Fixtures!$DN57,CONCATENATE(IL$10,", "),""))</f>
        <v/>
      </c>
      <c r="IM57" s="713" t="str">
        <f ca="1">IF(INDIRECT(CONCATENATE($FK$12,Fixtures!IM$25))="","",IF(INDIRECT(CONCATENATE($FK$12,Fixtures!IM$25))=Fixtures!$DN57,CONCATENATE(IM$10,", "),""))</f>
        <v/>
      </c>
      <c r="IN57" s="713" t="str">
        <f ca="1">IF(INDIRECT(CONCATENATE($FK$12,Fixtures!IN$25))="","",IF(INDIRECT(CONCATENATE($FK$12,Fixtures!IN$25))=Fixtures!$DN57,CONCATENATE(IN$10,", "),""))</f>
        <v/>
      </c>
      <c r="IO57" s="713" t="str">
        <f ca="1">IF(INDIRECT(CONCATENATE($FK$12,Fixtures!IO$25))="","",IF(INDIRECT(CONCATENATE($FK$12,Fixtures!IO$25))=Fixtures!$DN57,CONCATENATE(IO$10,", "),""))</f>
        <v/>
      </c>
      <c r="IP57" s="713" t="str">
        <f ca="1">IF(INDIRECT(CONCATENATE($FK$12,Fixtures!IP$25))="","",IF(INDIRECT(CONCATENATE($FK$12,Fixtures!IP$25))=Fixtures!$DN57,CONCATENATE(IP$10,", "),""))</f>
        <v/>
      </c>
      <c r="IQ57" s="684" t="str">
        <f ca="1">IF(INDIRECT(CONCATENATE($FK$12,Fixtures!IQ$25))="","",IF(INDIRECT(CONCATENATE($FK$12,Fixtures!IQ$25))=Fixtures!$DN57,CONCATENATE(IQ$10,", "),""))</f>
        <v/>
      </c>
      <c r="IR57" s="685" t="str">
        <f ca="1">IF(INDIRECT(CONCATENATE($FK$12,Fixtures!IR$25))="","",IF(INDIRECT(CONCATENATE($FK$12,Fixtures!IR$25))=Fixtures!$DN57,CONCATENATE(IR$10,", "),""))</f>
        <v/>
      </c>
      <c r="IS57" s="713" t="str">
        <f ca="1">IF(INDIRECT(CONCATENATE($FK$12,Fixtures!IS$25))="","",IF(INDIRECT(CONCATENATE($FK$12,Fixtures!IS$25))=Fixtures!$DN57,CONCATENATE(IS$10,", "),""))</f>
        <v/>
      </c>
      <c r="IT57" s="713" t="str">
        <f ca="1">IF(INDIRECT(CONCATENATE($FK$12,Fixtures!IT$25))="","",IF(INDIRECT(CONCATENATE($FK$12,Fixtures!IT$25))=Fixtures!$DN57,CONCATENATE(IT$10,", "),""))</f>
        <v/>
      </c>
      <c r="IU57" s="713" t="str">
        <f ca="1">IF(INDIRECT(CONCATENATE($FK$12,Fixtures!IU$25))="","",IF(INDIRECT(CONCATENATE($FK$12,Fixtures!IU$25))=Fixtures!$DN57,CONCATENATE(IU$10,", "),""))</f>
        <v/>
      </c>
      <c r="IV57" s="713" t="str">
        <f ca="1">IF(INDIRECT(CONCATENATE($FK$12,Fixtures!IV$25))="","",IF(INDIRECT(CONCATENATE($FK$12,Fixtures!IV$25))=Fixtures!$DN57,CONCATENATE(IV$10,", "),""))</f>
        <v/>
      </c>
      <c r="IW57" s="713" t="str">
        <f ca="1">IF(INDIRECT(CONCATENATE($FK$12,Fixtures!IW$25))="","",IF(INDIRECT(CONCATENATE($FK$12,Fixtures!IW$25))=Fixtures!$DN57,CONCATENATE(IW$10,", "),""))</f>
        <v/>
      </c>
      <c r="IX57" s="713" t="str">
        <f ca="1">IF(INDIRECT(CONCATENATE($FK$12,Fixtures!IX$25))="","",IF(INDIRECT(CONCATENATE($FK$12,Fixtures!IX$25))=Fixtures!$DN57,CONCATENATE(IX$10,", "),""))</f>
        <v/>
      </c>
      <c r="IY57" s="713" t="str">
        <f ca="1">IF(INDIRECT(CONCATENATE($FK$12,Fixtures!IY$25))="","",IF(INDIRECT(CONCATENATE($FK$12,Fixtures!IY$25))=Fixtures!$DN57,CONCATENATE(IY$10,", "),""))</f>
        <v/>
      </c>
      <c r="IZ57" s="713" t="str">
        <f ca="1">IF(INDIRECT(CONCATENATE($FK$12,Fixtures!IZ$25))="","",IF(INDIRECT(CONCATENATE($FK$12,Fixtures!IZ$25))=Fixtures!$DN57,CONCATENATE(IZ$10,", "),""))</f>
        <v/>
      </c>
      <c r="JA57" s="713" t="str">
        <f ca="1">IF(INDIRECT(CONCATENATE($FK$12,Fixtures!JA$25))="","",IF(INDIRECT(CONCATENATE($FK$12,Fixtures!JA$25))=Fixtures!$DN57,CONCATENATE(JA$10,", "),""))</f>
        <v/>
      </c>
      <c r="JB57" s="713" t="str">
        <f ca="1">IF(INDIRECT(CONCATENATE($FK$12,Fixtures!JB$25))="","",IF(INDIRECT(CONCATENATE($FK$12,Fixtures!JB$25))=Fixtures!$DN57,CONCATENATE(JB$10,", "),""))</f>
        <v/>
      </c>
      <c r="JC57" s="713" t="str">
        <f ca="1">IF(INDIRECT(CONCATENATE($FK$12,Fixtures!JC$25))="","",IF(INDIRECT(CONCATENATE($FK$12,Fixtures!JC$25))=Fixtures!$DN57,CONCATENATE(JC$10,", "),""))</f>
        <v/>
      </c>
      <c r="JD57" s="713" t="str">
        <f ca="1">IF(INDIRECT(CONCATENATE($FK$12,Fixtures!JD$25))="","",IF(INDIRECT(CONCATENATE($FK$12,Fixtures!JD$25))=Fixtures!$DN57,CONCATENATE(JD$10,", "),""))</f>
        <v/>
      </c>
      <c r="JE57" s="713" t="str">
        <f ca="1">IF(INDIRECT(CONCATENATE($FK$12,Fixtures!JE$25))="","",IF(INDIRECT(CONCATENATE($FK$12,Fixtures!JE$25))=Fixtures!$DN57,CONCATENATE(JE$10,", "),""))</f>
        <v/>
      </c>
      <c r="JF57" s="684" t="str">
        <f ca="1">IF(INDIRECT(CONCATENATE($FK$12,Fixtures!JF$25))="","",IF(INDIRECT(CONCATENATE($FK$12,Fixtures!JF$25))=Fixtures!$DN57,CONCATENATE(JF$10,", "),""))</f>
        <v/>
      </c>
      <c r="JG57" s="685" t="str">
        <f ca="1">IF(INDIRECT(CONCATENATE($FK$12,Fixtures!JG$25))="","",IF(INDIRECT(CONCATENATE($FK$12,Fixtures!JG$25))=Fixtures!$DN57,CONCATENATE(JG$10,", "),""))</f>
        <v/>
      </c>
      <c r="JH57" s="713" t="str">
        <f ca="1">IF(INDIRECT(CONCATENATE($FK$12,Fixtures!JH$25))="","",IF(INDIRECT(CONCATENATE($FK$12,Fixtures!JH$25))=Fixtures!$DN57,CONCATENATE(JH$10,", "),""))</f>
        <v/>
      </c>
      <c r="JI57" s="713" t="str">
        <f ca="1">IF(INDIRECT(CONCATENATE($FK$12,Fixtures!JI$25))="","",IF(INDIRECT(CONCATENATE($FK$12,Fixtures!JI$25))=Fixtures!$DN57,CONCATENATE(JI$10,", "),""))</f>
        <v/>
      </c>
      <c r="JJ57" s="713" t="str">
        <f ca="1">IF(INDIRECT(CONCATENATE($FK$12,Fixtures!JJ$25))="","",IF(INDIRECT(CONCATENATE($FK$12,Fixtures!JJ$25))=Fixtures!$DN57,CONCATENATE(JJ$10,", "),""))</f>
        <v/>
      </c>
      <c r="JK57" s="713" t="str">
        <f ca="1">IF(INDIRECT(CONCATENATE($FK$12,Fixtures!JK$25))="","",IF(INDIRECT(CONCATENATE($FK$12,Fixtures!JK$25))=Fixtures!$DN57,CONCATENATE(JK$10,", "),""))</f>
        <v/>
      </c>
      <c r="JL57" s="713" t="str">
        <f ca="1">IF(INDIRECT(CONCATENATE($FK$12,Fixtures!JL$25))="","",IF(INDIRECT(CONCATENATE($FK$12,Fixtures!JL$25))=Fixtures!$DN57,CONCATENATE(JL$10,", "),""))</f>
        <v/>
      </c>
      <c r="JM57" s="713" t="str">
        <f ca="1">IF(INDIRECT(CONCATENATE($FK$12,Fixtures!JM$25))="","",IF(INDIRECT(CONCATENATE($FK$12,Fixtures!JM$25))=Fixtures!$DN57,CONCATENATE(JM$10,", "),""))</f>
        <v/>
      </c>
      <c r="JN57" s="713" t="str">
        <f ca="1">IF(INDIRECT(CONCATENATE($FK$12,Fixtures!JN$25))="","",IF(INDIRECT(CONCATENATE($FK$12,Fixtures!JN$25))=Fixtures!$DN57,CONCATENATE(JN$10,", "),""))</f>
        <v/>
      </c>
      <c r="JO57" s="713" t="str">
        <f ca="1">IF(INDIRECT(CONCATENATE($FK$12,Fixtures!JO$25))="","",IF(INDIRECT(CONCATENATE($FK$12,Fixtures!JO$25))=Fixtures!$DN57,CONCATENATE(JO$10,", "),""))</f>
        <v/>
      </c>
      <c r="JP57" s="713" t="str">
        <f ca="1">IF(INDIRECT(CONCATENATE($FK$12,Fixtures!JP$25))="","",IF(INDIRECT(CONCATENATE($FK$12,Fixtures!JP$25))=Fixtures!$DN57,CONCATENATE(JP$10,", "),""))</f>
        <v/>
      </c>
      <c r="JQ57" s="713" t="str">
        <f ca="1">IF(INDIRECT(CONCATENATE($FK$12,Fixtures!JQ$25))="","",IF(INDIRECT(CONCATENATE($FK$12,Fixtures!JQ$25))=Fixtures!$DN57,CONCATENATE(JQ$10,", "),""))</f>
        <v/>
      </c>
      <c r="JR57" s="713" t="str">
        <f ca="1">IF(INDIRECT(CONCATENATE($FK$12,Fixtures!JR$25))="","",IF(INDIRECT(CONCATENATE($FK$12,Fixtures!JR$25))=Fixtures!$DN57,CONCATENATE(JR$10,", "),""))</f>
        <v/>
      </c>
      <c r="JS57" s="713" t="str">
        <f ca="1">IF(INDIRECT(CONCATENATE($FK$12,Fixtures!JS$25))="","",IF(INDIRECT(CONCATENATE($FK$12,Fixtures!JS$25))=Fixtures!$DN57,CONCATENATE(JS$10,", "),""))</f>
        <v/>
      </c>
      <c r="JT57" s="713" t="str">
        <f ca="1">IF(INDIRECT(CONCATENATE($FK$12,Fixtures!JT$25))="","",IF(INDIRECT(CONCATENATE($FK$12,Fixtures!JT$25))=Fixtures!$DN57,CONCATENATE(JT$10,", "),""))</f>
        <v/>
      </c>
      <c r="JU57" s="684" t="str">
        <f ca="1">IF(INDIRECT(CONCATENATE($FK$12,Fixtures!JU$25))="","",IF(INDIRECT(CONCATENATE($FK$12,Fixtures!JU$25))=Fixtures!$DN57,CONCATENATE(JU$10,", "),""))</f>
        <v/>
      </c>
      <c r="JV57" s="685" t="str">
        <f ca="1">IF(INDIRECT(CONCATENATE($FK$12,Fixtures!JV$25))="","",IF(INDIRECT(CONCATENATE($FK$12,Fixtures!JV$25))=Fixtures!$DN57,CONCATENATE(JV$10,", "),""))</f>
        <v/>
      </c>
      <c r="JW57" s="713" t="str">
        <f ca="1">IF(INDIRECT(CONCATENATE($FK$12,Fixtures!JW$25))="","",IF(INDIRECT(CONCATENATE($FK$12,Fixtures!JW$25))=Fixtures!$DN57,CONCATENATE(JW$10,", "),""))</f>
        <v/>
      </c>
      <c r="JX57" s="713" t="str">
        <f ca="1">IF(INDIRECT(CONCATENATE($FK$12,Fixtures!JX$25))="","",IF(INDIRECT(CONCATENATE($FK$12,Fixtures!JX$25))=Fixtures!$DN57,CONCATENATE(JX$10,", "),""))</f>
        <v/>
      </c>
      <c r="JY57" s="713" t="str">
        <f ca="1">IF(INDIRECT(CONCATENATE($FK$12,Fixtures!JY$25))="","",IF(INDIRECT(CONCATENATE($FK$12,Fixtures!JY$25))=Fixtures!$DN57,CONCATENATE(JY$10,", "),""))</f>
        <v/>
      </c>
      <c r="JZ57" s="713" t="str">
        <f ca="1">IF(INDIRECT(CONCATENATE($FK$12,Fixtures!JZ$25))="","",IF(INDIRECT(CONCATENATE($FK$12,Fixtures!JZ$25))=Fixtures!$DN57,CONCATENATE(JZ$10,", "),""))</f>
        <v/>
      </c>
      <c r="KA57" s="713" t="str">
        <f ca="1">IF(INDIRECT(CONCATENATE($FK$12,Fixtures!KA$25))="","",IF(INDIRECT(CONCATENATE($FK$12,Fixtures!KA$25))=Fixtures!$DN57,CONCATENATE(KA$10,", "),""))</f>
        <v/>
      </c>
      <c r="KB57" s="713" t="str">
        <f ca="1">IF(INDIRECT(CONCATENATE($FK$12,Fixtures!KB$25))="","",IF(INDIRECT(CONCATENATE($FK$12,Fixtures!KB$25))=Fixtures!$DN57,CONCATENATE(KB$10,", "),""))</f>
        <v/>
      </c>
      <c r="KC57" s="713" t="str">
        <f ca="1">IF(INDIRECT(CONCATENATE($FK$12,Fixtures!KC$25))="","",IF(INDIRECT(CONCATENATE($FK$12,Fixtures!KC$25))=Fixtures!$DN57,CONCATENATE(KC$10,", "),""))</f>
        <v/>
      </c>
      <c r="KD57" s="713" t="str">
        <f ca="1">IF(INDIRECT(CONCATENATE($FK$12,Fixtures!KD$25))="","",IF(INDIRECT(CONCATENATE($FK$12,Fixtures!KD$25))=Fixtures!$DN57,CONCATENATE(KD$10,", "),""))</f>
        <v/>
      </c>
      <c r="KE57" s="713" t="str">
        <f ca="1">IF(INDIRECT(CONCATENATE($FK$12,Fixtures!KE$25))="","",IF(INDIRECT(CONCATENATE($FK$12,Fixtures!KE$25))=Fixtures!$DN57,CONCATENATE(KE$10,", "),""))</f>
        <v/>
      </c>
      <c r="KF57" s="713" t="str">
        <f ca="1">IF(INDIRECT(CONCATENATE($FK$12,Fixtures!KF$25))="","",IF(INDIRECT(CONCATENATE($FK$12,Fixtures!KF$25))=Fixtures!$DN57,CONCATENATE(KF$10,", "),""))</f>
        <v/>
      </c>
      <c r="KG57" s="713" t="str">
        <f ca="1">IF(INDIRECT(CONCATENATE($FK$12,Fixtures!KG$25))="","",IF(INDIRECT(CONCATENATE($FK$12,Fixtures!KG$25))=Fixtures!$DN57,CONCATENATE(KG$10,", "),""))</f>
        <v/>
      </c>
      <c r="KH57" s="713" t="str">
        <f ca="1">IF(INDIRECT(CONCATENATE($FK$12,Fixtures!KH$25))="","",IF(INDIRECT(CONCATENATE($FK$12,Fixtures!KH$25))=Fixtures!$DN57,CONCATENATE(KH$10,", "),""))</f>
        <v/>
      </c>
      <c r="KI57" s="713" t="str">
        <f ca="1">IF(INDIRECT(CONCATENATE($FK$12,Fixtures!KI$25))="","",IF(INDIRECT(CONCATENATE($FK$12,Fixtures!KI$25))=Fixtures!$DN57,CONCATENATE(KI$10,", "),""))</f>
        <v/>
      </c>
      <c r="KJ57" s="684" t="str">
        <f ca="1">IF(INDIRECT(CONCATENATE($FK$12,Fixtures!KJ$25))="","",IF(INDIRECT(CONCATENATE($FK$12,Fixtures!KJ$25))=Fixtures!$DN57,CONCATENATE(KJ$10,", "),""))</f>
        <v/>
      </c>
      <c r="KK57" s="685" t="str">
        <f ca="1">IF(INDIRECT(CONCATENATE($FK$12,Fixtures!KK$25))="","",IF(INDIRECT(CONCATENATE($FK$12,Fixtures!KK$25))=Fixtures!$DN57,CONCATENATE(KK$10,", "),""))</f>
        <v/>
      </c>
      <c r="KL57" s="713" t="str">
        <f ca="1">IF(INDIRECT(CONCATENATE($FK$12,Fixtures!KL$25))="","",IF(INDIRECT(CONCATENATE($FK$12,Fixtures!KL$25))=Fixtures!$DN57,CONCATENATE(KL$10,", "),""))</f>
        <v/>
      </c>
      <c r="KM57" s="713" t="str">
        <f ca="1">IF(INDIRECT(CONCATENATE($FK$12,Fixtures!KM$25))="","",IF(INDIRECT(CONCATENATE($FK$12,Fixtures!KM$25))=Fixtures!$DN57,CONCATENATE(KM$10,", "),""))</f>
        <v/>
      </c>
      <c r="KN57" s="713" t="str">
        <f ca="1">IF(INDIRECT(CONCATENATE($FK$12,Fixtures!KN$25))="","",IF(INDIRECT(CONCATENATE($FK$12,Fixtures!KN$25))=Fixtures!$DN57,CONCATENATE(KN$10,", "),""))</f>
        <v/>
      </c>
      <c r="KO57" s="713" t="str">
        <f ca="1">IF(INDIRECT(CONCATENATE($FK$12,Fixtures!KO$25))="","",IF(INDIRECT(CONCATENATE($FK$12,Fixtures!KO$25))=Fixtures!$DN57,CONCATENATE(KO$10,", "),""))</f>
        <v/>
      </c>
      <c r="KP57" s="713" t="str">
        <f ca="1">IF(INDIRECT(CONCATENATE($FK$12,Fixtures!KP$25))="","",IF(INDIRECT(CONCATENATE($FK$12,Fixtures!KP$25))=Fixtures!$DN57,CONCATENATE(KP$10,", "),""))</f>
        <v/>
      </c>
      <c r="KQ57" s="713" t="str">
        <f ca="1">IF(INDIRECT(CONCATENATE($FK$12,Fixtures!KQ$25))="","",IF(INDIRECT(CONCATENATE($FK$12,Fixtures!KQ$25))=Fixtures!$DN57,CONCATENATE(KQ$10,", "),""))</f>
        <v/>
      </c>
      <c r="KR57" s="713" t="str">
        <f ca="1">IF(INDIRECT(CONCATENATE($FK$12,Fixtures!KR$25))="","",IF(INDIRECT(CONCATENATE($FK$12,Fixtures!KR$25))=Fixtures!$DN57,CONCATENATE(KR$10,", "),""))</f>
        <v/>
      </c>
      <c r="KS57" s="713" t="str">
        <f ca="1">IF(INDIRECT(CONCATENATE($FK$12,Fixtures!KS$25))="","",IF(INDIRECT(CONCATENATE($FK$12,Fixtures!KS$25))=Fixtures!$DN57,CONCATENATE(KS$10,", "),""))</f>
        <v/>
      </c>
      <c r="KT57" s="713" t="str">
        <f ca="1">IF(INDIRECT(CONCATENATE($FK$12,Fixtures!KT$25))="","",IF(INDIRECT(CONCATENATE($FK$12,Fixtures!KT$25))=Fixtures!$DN57,CONCATENATE(KT$10,", "),""))</f>
        <v/>
      </c>
      <c r="KU57" s="713" t="str">
        <f ca="1">IF(INDIRECT(CONCATENATE($FK$12,Fixtures!KU$25))="","",IF(INDIRECT(CONCATENATE($FK$12,Fixtures!KU$25))=Fixtures!$DN57,CONCATENATE(KU$10,", "),""))</f>
        <v/>
      </c>
      <c r="KV57" s="713" t="str">
        <f ca="1">IF(INDIRECT(CONCATENATE($FK$12,Fixtures!KV$25))="","",IF(INDIRECT(CONCATENATE($FK$12,Fixtures!KV$25))=Fixtures!$DN57,CONCATENATE(KV$10,", "),""))</f>
        <v/>
      </c>
      <c r="KW57" s="713" t="str">
        <f ca="1">IF(INDIRECT(CONCATENATE($FK$12,Fixtures!KW$25))="","",IF(INDIRECT(CONCATENATE($FK$12,Fixtures!KW$25))=Fixtures!$DN57,CONCATENATE(KW$10,", "),""))</f>
        <v/>
      </c>
      <c r="KX57" s="713" t="str">
        <f ca="1">IF(INDIRECT(CONCATENATE($FK$12,Fixtures!KX$25))="","",IF(INDIRECT(CONCATENATE($FK$12,Fixtures!KX$25))=Fixtures!$DN57,CONCATENATE(KX$10,", "),""))</f>
        <v/>
      </c>
      <c r="KY57" s="713" t="str">
        <f ca="1">IF(INDIRECT(CONCATENATE($FK$12,Fixtures!KY$25))="","",IF(INDIRECT(CONCATENATE($FK$12,Fixtures!KY$25))=Fixtures!$DN57,CONCATENATE(KY$10,", "),""))</f>
        <v/>
      </c>
      <c r="KZ57" s="602"/>
      <c r="LA57" s="46" t="str">
        <f t="shared" ca="1" si="8"/>
        <v/>
      </c>
    </row>
    <row r="58" spans="1:313" ht="28.05" customHeight="1" thickTop="1" thickBot="1">
      <c r="A58" s="471" t="str">
        <f t="shared" si="13"/>
        <v/>
      </c>
      <c r="C58" s="1328" t="str">
        <f t="shared" si="14"/>
        <v/>
      </c>
      <c r="D58" s="1329"/>
      <c r="E58" s="1256" t="str">
        <f t="shared" si="15"/>
        <v/>
      </c>
      <c r="F58" s="1257"/>
      <c r="G58" s="1257"/>
      <c r="H58" s="1257"/>
      <c r="I58" s="1257"/>
      <c r="J58" s="1257"/>
      <c r="K58" s="1257"/>
      <c r="L58" s="1257"/>
      <c r="M58" s="1330"/>
      <c r="N58" s="239" t="str">
        <f t="shared" si="16"/>
        <v/>
      </c>
      <c r="O58" s="12"/>
      <c r="P58" s="1326" t="str">
        <f t="shared" si="25"/>
        <v/>
      </c>
      <c r="Q58" s="1327"/>
      <c r="R58" s="1256" t="str">
        <f t="shared" si="31"/>
        <v/>
      </c>
      <c r="S58" s="1257"/>
      <c r="T58" s="1257"/>
      <c r="U58" s="1257"/>
      <c r="V58" s="1257"/>
      <c r="W58" s="1257"/>
      <c r="X58" s="1257"/>
      <c r="Y58" s="239" t="str">
        <f t="shared" si="27"/>
        <v/>
      </c>
      <c r="Z58" s="239" t="str">
        <f t="shared" si="28"/>
        <v/>
      </c>
      <c r="AA58" s="439" t="str">
        <f t="shared" si="29"/>
        <v/>
      </c>
      <c r="AB58" s="542"/>
      <c r="AC58" s="1253" t="str">
        <f t="shared" si="17"/>
        <v/>
      </c>
      <c r="AD58" s="1166"/>
      <c r="AE58" s="1166"/>
      <c r="AF58" s="1166"/>
      <c r="AG58" s="1166"/>
      <c r="AH58" s="1166"/>
      <c r="AK58">
        <f>SUMIFS(Installations!CS$39:CS$800,Installations!CT$39:CT$800,E58,Installations!HX$39:HX$800,TRUE)</f>
        <v>0</v>
      </c>
      <c r="AL58">
        <f>SUMIFS(Installations!CS$39:CS$800,Installations!CT$39:CT$800,R58,Installations!HX$39:HX$800,TRUE)</f>
        <v>0</v>
      </c>
      <c r="BL58" s="9"/>
      <c r="BM58" s="703" t="str">
        <f t="shared" si="18"/>
        <v/>
      </c>
      <c r="BN58" s="52"/>
      <c r="BO58" s="52"/>
      <c r="BP58" s="52"/>
      <c r="BQ58" s="52"/>
      <c r="BR58" s="52"/>
      <c r="BS58" s="52"/>
      <c r="BT58" s="52"/>
      <c r="BU58" s="414"/>
      <c r="BV58" s="255" t="str">
        <f>IF(CN58&lt;&gt;"Yes","",IFERROR(VLOOKUP(CU58,Existing!A$4:F$364,2,FALSE),""))</f>
        <v/>
      </c>
      <c r="BW58" s="9">
        <v>32</v>
      </c>
      <c r="BX58" s="1313"/>
      <c r="BY58" s="1314"/>
      <c r="BZ58" s="1314"/>
      <c r="CA58" s="1315"/>
      <c r="CB58" s="1310"/>
      <c r="CC58" s="1311"/>
      <c r="CD58" s="1311"/>
      <c r="CE58" s="1312"/>
      <c r="CF58" s="1309"/>
      <c r="CG58" s="1309"/>
      <c r="CH58" s="1309"/>
      <c r="CI58" s="1309"/>
      <c r="CJ58" s="1309"/>
      <c r="CK58" s="1309"/>
      <c r="CL58" s="1309"/>
      <c r="CM58" s="1309"/>
      <c r="CN58" s="1243" t="str">
        <f t="shared" si="32"/>
        <v/>
      </c>
      <c r="CO58" s="1244"/>
      <c r="CP58" s="265" t="str">
        <f>IFERROR(IF(CB58="Existing TLED",CR58*CW58*CY58,VLOOKUP(CU58,Existing!A$3:F$353,6,FALSE)),"")</f>
        <v/>
      </c>
      <c r="CQ58" s="9"/>
      <c r="CR58" s="1343"/>
      <c r="CS58" s="1344"/>
      <c r="CT58" s="9"/>
      <c r="CU58" s="470" t="str">
        <f t="shared" si="21"/>
        <v/>
      </c>
      <c r="CV58" s="471" t="b">
        <f t="shared" si="22"/>
        <v>0</v>
      </c>
      <c r="CW58" s="471" t="str">
        <f t="shared" si="23"/>
        <v/>
      </c>
      <c r="CX58" s="471">
        <f>IFERROR(VLOOKUP(CF58,Lookup!M$100:O$102,3,FALSE),0)</f>
        <v>0</v>
      </c>
      <c r="CY58" s="471">
        <f t="shared" si="9"/>
        <v>1.1100000000000001</v>
      </c>
      <c r="CZ58" s="707" t="b">
        <f t="shared" si="1"/>
        <v>0</v>
      </c>
      <c r="DA58" s="707" t="b">
        <f>IF(CF58&lt;&gt;"",IF(ISERROR(MATCH(CONCATENATE(CB58," - ",CF58),Existing!G$4:G$328,0))=TRUE,FALSE,TRUE),TRUE)</f>
        <v>1</v>
      </c>
      <c r="DB58" s="707" t="b">
        <f t="shared" si="2"/>
        <v>1</v>
      </c>
      <c r="DL58" s="9"/>
      <c r="DM58" s="708" t="s">
        <v>166</v>
      </c>
      <c r="DN58" s="416" t="str">
        <f t="shared" si="3"/>
        <v/>
      </c>
      <c r="DO58" s="52"/>
      <c r="DP58" s="52"/>
      <c r="DQ58" s="52"/>
      <c r="DR58" s="52"/>
      <c r="DS58" s="52"/>
      <c r="DT58" s="262"/>
      <c r="DU58" s="417"/>
      <c r="DV58" s="263" t="str">
        <f t="shared" si="4"/>
        <v/>
      </c>
      <c r="DW58" s="260">
        <v>32</v>
      </c>
      <c r="DX58" s="1306"/>
      <c r="DY58" s="1307"/>
      <c r="DZ58" s="1307"/>
      <c r="EA58" s="1308"/>
      <c r="EB58" s="1306"/>
      <c r="EC58" s="1307"/>
      <c r="ED58" s="1307"/>
      <c r="EE58" s="1308"/>
      <c r="EF58" s="1266"/>
      <c r="EG58" s="1267"/>
      <c r="EH58" s="1306"/>
      <c r="EI58" s="1307"/>
      <c r="EJ58" s="1307"/>
      <c r="EK58" s="1308"/>
      <c r="EL58" s="1263"/>
      <c r="EM58" s="1264"/>
      <c r="EN58" s="1264"/>
      <c r="EO58" s="1265"/>
      <c r="EP58" s="1266"/>
      <c r="EQ58" s="1267"/>
      <c r="ER58" s="1245"/>
      <c r="ES58" s="1246"/>
      <c r="ET58" s="1243" t="str">
        <f t="shared" si="5"/>
        <v/>
      </c>
      <c r="EU58" s="1244"/>
      <c r="EV58" s="1243" t="str">
        <f t="shared" si="30"/>
        <v/>
      </c>
      <c r="EW58" s="1244"/>
      <c r="EX58" s="438"/>
      <c r="EY58" s="261" t="str">
        <f t="shared" si="7"/>
        <v/>
      </c>
      <c r="EZ58" s="261" t="str">
        <f>IFERROR(VLOOKUP(EB58,Lookup!AM$3:AN$13,2,FALSE),"")</f>
        <v/>
      </c>
      <c r="FA58" s="471" t="b">
        <f>IFERROR(IF(VLOOKUP(EB58,Lookup!AM$6:AN$8,2,FALSE)&gt;3,TRUE,FALSE),FALSE)</f>
        <v>0</v>
      </c>
      <c r="FB58" s="471">
        <f t="shared" si="11"/>
        <v>1</v>
      </c>
      <c r="FC58" t="str">
        <f t="shared" ca="1" si="10"/>
        <v/>
      </c>
      <c r="FG58" t="str">
        <f t="shared" ca="1" si="12"/>
        <v/>
      </c>
      <c r="FI58" s="240" t="str">
        <f t="shared" ca="1" si="24"/>
        <v/>
      </c>
      <c r="FK58" s="712" t="str">
        <f ca="1">IF(INDIRECT(CONCATENATE($FK$12,Fixtures!FK$25))="","",IF(INDIRECT(CONCATENATE($FK$12,Fixtures!FK$25))=Fixtures!$DN58,CONCATENATE(FK$10,", "),""))</f>
        <v/>
      </c>
      <c r="FL58" s="712" t="str">
        <f ca="1">IF(INDIRECT(CONCATENATE($FK$12,Fixtures!FL$25))="","",IF(INDIRECT(CONCATENATE($FK$12,Fixtures!FL$25))=Fixtures!$DN58,CONCATENATE(FL$10,", "),""))</f>
        <v/>
      </c>
      <c r="FM58" s="712" t="str">
        <f ca="1">IF(INDIRECT(CONCATENATE($FK$12,Fixtures!FM$25))="","",IF(INDIRECT(CONCATENATE($FK$12,Fixtures!FM$25))=Fixtures!$DN58,CONCATENATE(FM$10,", "),""))</f>
        <v/>
      </c>
      <c r="FN58" s="712" t="str">
        <f ca="1">IF(INDIRECT(CONCATENATE($FK$12,Fixtures!FN$25))="","",IF(INDIRECT(CONCATENATE($FK$12,Fixtures!FN$25))=Fixtures!$DN58,CONCATENATE(FN$10,", "),""))</f>
        <v/>
      </c>
      <c r="FO58" s="712" t="str">
        <f ca="1">IF(INDIRECT(CONCATENATE($FK$12,Fixtures!FO$25))="","",IF(INDIRECT(CONCATENATE($FK$12,Fixtures!FO$25))=Fixtures!$DN58,CONCATENATE(FO$10,", "),""))</f>
        <v/>
      </c>
      <c r="FP58" s="712" t="str">
        <f ca="1">IF(INDIRECT(CONCATENATE($FK$12,Fixtures!FP$25))="","",IF(INDIRECT(CONCATENATE($FK$12,Fixtures!FP$25))=Fixtures!$DN58,CONCATENATE(FP$10,", "),""))</f>
        <v/>
      </c>
      <c r="FQ58" s="712" t="str">
        <f ca="1">IF(INDIRECT(CONCATENATE($FK$12,Fixtures!FQ$25))="","",IF(INDIRECT(CONCATENATE($FK$12,Fixtures!FQ$25))=Fixtures!$DN58,CONCATENATE(FQ$10,", "),""))</f>
        <v/>
      </c>
      <c r="FR58" s="712" t="str">
        <f ca="1">IF(INDIRECT(CONCATENATE($FK$12,Fixtures!FR$25))="","",IF(INDIRECT(CONCATENATE($FK$12,Fixtures!FR$25))=Fixtures!$DN58,CONCATENATE(FR$10,", "),""))</f>
        <v/>
      </c>
      <c r="FS58" s="712" t="str">
        <f ca="1">IF(INDIRECT(CONCATENATE($FK$12,Fixtures!FS$25))="","",IF(INDIRECT(CONCATENATE($FK$12,Fixtures!FS$25))=Fixtures!$DN58,CONCATENATE(FS$10,", "),""))</f>
        <v/>
      </c>
      <c r="FT58" s="682" t="str">
        <f ca="1">IF(INDIRECT(CONCATENATE($FK$12,Fixtures!FT$25))="","",IF(INDIRECT(CONCATENATE($FK$12,Fixtures!FT$25))=Fixtures!$DN58,CONCATENATE(FT$10,", "),""))</f>
        <v/>
      </c>
      <c r="FU58" s="683" t="str">
        <f ca="1">IF(INDIRECT(CONCATENATE($FK$12,Fixtures!FU$25))="","",IF(INDIRECT(CONCATENATE($FK$12,Fixtures!FU$25))=Fixtures!$DN58,CONCATENATE(FU$10,", "),""))</f>
        <v/>
      </c>
      <c r="FV58" s="712" t="str">
        <f ca="1">IF(INDIRECT(CONCATENATE($FK$12,Fixtures!FV$25))="","",IF(INDIRECT(CONCATENATE($FK$12,Fixtures!FV$25))=Fixtures!$DN58,CONCATENATE(FV$10,", "),""))</f>
        <v/>
      </c>
      <c r="FW58" s="713" t="str">
        <f ca="1">IF(INDIRECT(CONCATENATE($FK$12,Fixtures!FW$25))="","",IF(INDIRECT(CONCATENATE($FK$12,Fixtures!FW$25))=Fixtures!$DN58,CONCATENATE(FW$10,", "),""))</f>
        <v/>
      </c>
      <c r="FX58" s="713" t="str">
        <f ca="1">IF(INDIRECT(CONCATENATE($FK$12,Fixtures!FX$25))="","",IF(INDIRECT(CONCATENATE($FK$12,Fixtures!FX$25))=Fixtures!$DN58,CONCATENATE(FX$10,", "),""))</f>
        <v/>
      </c>
      <c r="FY58" s="713" t="str">
        <f ca="1">IF(INDIRECT(CONCATENATE($FK$12,Fixtures!FY$25))="","",IF(INDIRECT(CONCATENATE($FK$12,Fixtures!FY$25))=Fixtures!$DN58,CONCATENATE(FY$10,", "),""))</f>
        <v/>
      </c>
      <c r="FZ58" s="713" t="str">
        <f ca="1">IF(INDIRECT(CONCATENATE($FK$12,Fixtures!FZ$25))="","",IF(INDIRECT(CONCATENATE($FK$12,Fixtures!FZ$25))=Fixtures!$DN58,CONCATENATE(FZ$10,", "),""))</f>
        <v/>
      </c>
      <c r="GA58" s="713" t="str">
        <f ca="1">IF(INDIRECT(CONCATENATE($FK$12,Fixtures!GA$25))="","",IF(INDIRECT(CONCATENATE($FK$12,Fixtures!GA$25))=Fixtures!$DN58,CONCATENATE(GA$10,", "),""))</f>
        <v/>
      </c>
      <c r="GB58" s="713" t="str">
        <f ca="1">IF(INDIRECT(CONCATENATE($FK$12,Fixtures!GB$25))="","",IF(INDIRECT(CONCATENATE($FK$12,Fixtures!GB$25))=Fixtures!$DN58,CONCATENATE(GB$10,", "),""))</f>
        <v/>
      </c>
      <c r="GC58" s="713" t="str">
        <f ca="1">IF(INDIRECT(CONCATENATE($FK$12,Fixtures!GC$25))="","",IF(INDIRECT(CONCATENATE($FK$12,Fixtures!GC$25))=Fixtures!$DN58,CONCATENATE(GC$10,", "),""))</f>
        <v/>
      </c>
      <c r="GD58" s="713" t="str">
        <f ca="1">IF(INDIRECT(CONCATENATE($FK$12,Fixtures!GD$25))="","",IF(INDIRECT(CONCATENATE($FK$12,Fixtures!GD$25))=Fixtures!$DN58,CONCATENATE(GD$10,", "),""))</f>
        <v/>
      </c>
      <c r="GE58" s="713" t="str">
        <f ca="1">IF(INDIRECT(CONCATENATE($FK$12,Fixtures!GE$25))="","",IF(INDIRECT(CONCATENATE($FK$12,Fixtures!GE$25))=Fixtures!$DN58,CONCATENATE(GE$10,", "),""))</f>
        <v/>
      </c>
      <c r="GF58" s="713" t="str">
        <f ca="1">IF(INDIRECT(CONCATENATE($FK$12,Fixtures!GF$25))="","",IF(INDIRECT(CONCATENATE($FK$12,Fixtures!GF$25))=Fixtures!$DN58,CONCATENATE(GF$10,", "),""))</f>
        <v/>
      </c>
      <c r="GG58" s="713" t="str">
        <f ca="1">IF(INDIRECT(CONCATENATE($FK$12,Fixtures!GG$25))="","",IF(INDIRECT(CONCATENATE($FK$12,Fixtures!GG$25))=Fixtures!$DN58,CONCATENATE(GG$10,", "),""))</f>
        <v/>
      </c>
      <c r="GH58" s="713" t="str">
        <f ca="1">IF(INDIRECT(CONCATENATE($FK$12,Fixtures!GH$25))="","",IF(INDIRECT(CONCATENATE($FK$12,Fixtures!GH$25))=Fixtures!$DN58,CONCATENATE(GH$10,", "),""))</f>
        <v/>
      </c>
      <c r="GI58" s="684" t="str">
        <f ca="1">IF(INDIRECT(CONCATENATE($FK$12,Fixtures!GI$25))="","",IF(INDIRECT(CONCATENATE($FK$12,Fixtures!GI$25))=Fixtures!$DN58,CONCATENATE(GI$10,", "),""))</f>
        <v/>
      </c>
      <c r="GJ58" s="685" t="str">
        <f ca="1">IF(INDIRECT(CONCATENATE($FK$12,Fixtures!GJ$25))="","",IF(INDIRECT(CONCATENATE($FK$12,Fixtures!GJ$25))=Fixtures!$DN58,CONCATENATE(GJ$10,", "),""))</f>
        <v/>
      </c>
      <c r="GK58" s="713" t="str">
        <f ca="1">IF(INDIRECT(CONCATENATE($FK$12,Fixtures!GK$25))="","",IF(INDIRECT(CONCATENATE($FK$12,Fixtures!GK$25))=Fixtures!$DN58,CONCATENATE(GK$10,", "),""))</f>
        <v/>
      </c>
      <c r="GL58" s="713" t="str">
        <f ca="1">IF(INDIRECT(CONCATENATE($FK$12,Fixtures!GL$25))="","",IF(INDIRECT(CONCATENATE($FK$12,Fixtures!GL$25))=Fixtures!$DN58,CONCATENATE(GL$10,", "),""))</f>
        <v/>
      </c>
      <c r="GM58" s="713" t="str">
        <f ca="1">IF(INDIRECT(CONCATENATE($FK$12,Fixtures!GM$25))="","",IF(INDIRECT(CONCATENATE($FK$12,Fixtures!GM$25))=Fixtures!$DN58,CONCATENATE(GM$10,", "),""))</f>
        <v/>
      </c>
      <c r="GN58" s="713" t="str">
        <f ca="1">IF(INDIRECT(CONCATENATE($FK$12,Fixtures!GN$25))="","",IF(INDIRECT(CONCATENATE($FK$12,Fixtures!GN$25))=Fixtures!$DN58,CONCATENATE(GN$10,", "),""))</f>
        <v/>
      </c>
      <c r="GO58" s="713" t="str">
        <f ca="1">IF(INDIRECT(CONCATENATE($FK$12,Fixtures!GO$25))="","",IF(INDIRECT(CONCATENATE($FK$12,Fixtures!GO$25))=Fixtures!$DN58,CONCATENATE(GO$10,", "),""))</f>
        <v/>
      </c>
      <c r="GP58" s="713" t="str">
        <f ca="1">IF(INDIRECT(CONCATENATE($FK$12,Fixtures!GP$25))="","",IF(INDIRECT(CONCATENATE($FK$12,Fixtures!GP$25))=Fixtures!$DN58,CONCATENATE(GP$10,", "),""))</f>
        <v/>
      </c>
      <c r="GQ58" s="713" t="str">
        <f ca="1">IF(INDIRECT(CONCATENATE($FK$12,Fixtures!GQ$25))="","",IF(INDIRECT(CONCATENATE($FK$12,Fixtures!GQ$25))=Fixtures!$DN58,CONCATENATE(GQ$10,", "),""))</f>
        <v/>
      </c>
      <c r="GR58" s="713" t="str">
        <f ca="1">IF(INDIRECT(CONCATENATE($FK$12,Fixtures!GR$25))="","",IF(INDIRECT(CONCATENATE($FK$12,Fixtures!GR$25))=Fixtures!$DN58,CONCATENATE(GR$10,", "),""))</f>
        <v/>
      </c>
      <c r="GS58" s="713" t="str">
        <f ca="1">IF(INDIRECT(CONCATENATE($FK$12,Fixtures!GS$25))="","",IF(INDIRECT(CONCATENATE($FK$12,Fixtures!GS$25))=Fixtures!$DN58,CONCATENATE(GS$10,", "),""))</f>
        <v/>
      </c>
      <c r="GT58" s="713" t="str">
        <f ca="1">IF(INDIRECT(CONCATENATE($FK$12,Fixtures!GT$25))="","",IF(INDIRECT(CONCATENATE($FK$12,Fixtures!GT$25))=Fixtures!$DN58,CONCATENATE(GT$10,", "),""))</f>
        <v/>
      </c>
      <c r="GU58" s="713" t="str">
        <f ca="1">IF(INDIRECT(CONCATENATE($FK$12,Fixtures!GU$25))="","",IF(INDIRECT(CONCATENATE($FK$12,Fixtures!GU$25))=Fixtures!$DN58,CONCATENATE(GU$10,", "),""))</f>
        <v/>
      </c>
      <c r="GV58" s="713" t="str">
        <f ca="1">IF(INDIRECT(CONCATENATE($FK$12,Fixtures!GV$25))="","",IF(INDIRECT(CONCATENATE($FK$12,Fixtures!GV$25))=Fixtures!$DN58,CONCATENATE(GV$10,", "),""))</f>
        <v/>
      </c>
      <c r="GW58" s="713" t="str">
        <f ca="1">IF(INDIRECT(CONCATENATE($FK$12,Fixtures!GW$25))="","",IF(INDIRECT(CONCATENATE($FK$12,Fixtures!GW$25))=Fixtures!$DN58,CONCATENATE(GW$10,", "),""))</f>
        <v/>
      </c>
      <c r="GX58" s="684" t="str">
        <f ca="1">IF(INDIRECT(CONCATENATE($FK$12,Fixtures!GX$25))="","",IF(INDIRECT(CONCATENATE($FK$12,Fixtures!GX$25))=Fixtures!$DN58,CONCATENATE(GX$10,", "),""))</f>
        <v/>
      </c>
      <c r="GY58" s="685" t="str">
        <f ca="1">IF(INDIRECT(CONCATENATE($FK$12,Fixtures!GY$25))="","",IF(INDIRECT(CONCATENATE($FK$12,Fixtures!GY$25))=Fixtures!$DN58,CONCATENATE(GY$10,", "),""))</f>
        <v/>
      </c>
      <c r="GZ58" s="713" t="str">
        <f ca="1">IF(INDIRECT(CONCATENATE($FK$12,Fixtures!GZ$25))="","",IF(INDIRECT(CONCATENATE($FK$12,Fixtures!GZ$25))=Fixtures!$DN58,CONCATENATE(GZ$10,", "),""))</f>
        <v/>
      </c>
      <c r="HA58" s="713" t="str">
        <f ca="1">IF(INDIRECT(CONCATENATE($FK$12,Fixtures!HA$25))="","",IF(INDIRECT(CONCATENATE($FK$12,Fixtures!HA$25))=Fixtures!$DN58,CONCATENATE(HA$10,", "),""))</f>
        <v/>
      </c>
      <c r="HB58" s="713" t="str">
        <f ca="1">IF(INDIRECT(CONCATENATE($FK$12,Fixtures!HB$25))="","",IF(INDIRECT(CONCATENATE($FK$12,Fixtures!HB$25))=Fixtures!$DN58,CONCATENATE(HB$10,", "),""))</f>
        <v/>
      </c>
      <c r="HC58" s="713" t="str">
        <f ca="1">IF(INDIRECT(CONCATENATE($FK$12,Fixtures!HC$25))="","",IF(INDIRECT(CONCATENATE($FK$12,Fixtures!HC$25))=Fixtures!$DN58,CONCATENATE(HC$10,", "),""))</f>
        <v/>
      </c>
      <c r="HD58" s="713" t="str">
        <f ca="1">IF(INDIRECT(CONCATENATE($FK$12,Fixtures!HD$25))="","",IF(INDIRECT(CONCATENATE($FK$12,Fixtures!HD$25))=Fixtures!$DN58,CONCATENATE(HD$10,", "),""))</f>
        <v/>
      </c>
      <c r="HE58" s="713" t="str">
        <f ca="1">IF(INDIRECT(CONCATENATE($FK$12,Fixtures!HE$25))="","",IF(INDIRECT(CONCATENATE($FK$12,Fixtures!HE$25))=Fixtures!$DN58,CONCATENATE(HE$10,", "),""))</f>
        <v/>
      </c>
      <c r="HF58" s="713" t="str">
        <f ca="1">IF(INDIRECT(CONCATENATE($FK$12,Fixtures!HF$25))="","",IF(INDIRECT(CONCATENATE($FK$12,Fixtures!HF$25))=Fixtures!$DN58,CONCATENATE(HF$10,", "),""))</f>
        <v/>
      </c>
      <c r="HG58" s="713" t="str">
        <f ca="1">IF(INDIRECT(CONCATENATE($FK$12,Fixtures!HG$25))="","",IF(INDIRECT(CONCATENATE($FK$12,Fixtures!HG$25))=Fixtures!$DN58,CONCATENATE(HG$10,", "),""))</f>
        <v/>
      </c>
      <c r="HH58" s="713" t="str">
        <f ca="1">IF(INDIRECT(CONCATENATE($FK$12,Fixtures!HH$25))="","",IF(INDIRECT(CONCATENATE($FK$12,Fixtures!HH$25))=Fixtures!$DN58,CONCATENATE(HH$10,", "),""))</f>
        <v/>
      </c>
      <c r="HI58" s="713" t="str">
        <f ca="1">IF(INDIRECT(CONCATENATE($FK$12,Fixtures!HI$25))="","",IF(INDIRECT(CONCATENATE($FK$12,Fixtures!HI$25))=Fixtures!$DN58,CONCATENATE(HI$10,", "),""))</f>
        <v/>
      </c>
      <c r="HJ58" s="713" t="str">
        <f ca="1">IF(INDIRECT(CONCATENATE($FK$12,Fixtures!HJ$25))="","",IF(INDIRECT(CONCATENATE($FK$12,Fixtures!HJ$25))=Fixtures!$DN58,CONCATENATE(HJ$10,", "),""))</f>
        <v/>
      </c>
      <c r="HK58" s="713" t="str">
        <f ca="1">IF(INDIRECT(CONCATENATE($FK$12,Fixtures!HK$25))="","",IF(INDIRECT(CONCATENATE($FK$12,Fixtures!HK$25))=Fixtures!$DN58,CONCATENATE(HK$10,", "),""))</f>
        <v/>
      </c>
      <c r="HL58" s="713" t="str">
        <f ca="1">IF(INDIRECT(CONCATENATE($FK$12,Fixtures!HL$25))="","",IF(INDIRECT(CONCATENATE($FK$12,Fixtures!HL$25))=Fixtures!$DN58,CONCATENATE(HL$10,", "),""))</f>
        <v/>
      </c>
      <c r="HM58" s="684" t="str">
        <f ca="1">IF(INDIRECT(CONCATENATE($FK$12,Fixtures!HM$25))="","",IF(INDIRECT(CONCATENATE($FK$12,Fixtures!HM$25))=Fixtures!$DN58,CONCATENATE(HM$10,", "),""))</f>
        <v/>
      </c>
      <c r="HN58" s="685" t="str">
        <f ca="1">IF(INDIRECT(CONCATENATE($FK$12,Fixtures!HN$25))="","",IF(INDIRECT(CONCATENATE($FK$12,Fixtures!HN$25))=Fixtures!$DN58,CONCATENATE(HN$10,", "),""))</f>
        <v/>
      </c>
      <c r="HO58" s="713" t="str">
        <f ca="1">IF(INDIRECT(CONCATENATE($FK$12,Fixtures!HO$25))="","",IF(INDIRECT(CONCATENATE($FK$12,Fixtures!HO$25))=Fixtures!$DN58,CONCATENATE(HO$10,", "),""))</f>
        <v/>
      </c>
      <c r="HP58" s="713" t="str">
        <f ca="1">IF(INDIRECT(CONCATENATE($FK$12,Fixtures!HP$25))="","",IF(INDIRECT(CONCATENATE($FK$12,Fixtures!HP$25))=Fixtures!$DN58,CONCATENATE(HP$10,", "),""))</f>
        <v/>
      </c>
      <c r="HQ58" s="713" t="str">
        <f ca="1">IF(INDIRECT(CONCATENATE($FK$12,Fixtures!HQ$25))="","",IF(INDIRECT(CONCATENATE($FK$12,Fixtures!HQ$25))=Fixtures!$DN58,CONCATENATE(HQ$10,", "),""))</f>
        <v/>
      </c>
      <c r="HR58" s="713" t="str">
        <f ca="1">IF(INDIRECT(CONCATENATE($FK$12,Fixtures!HR$25))="","",IF(INDIRECT(CONCATENATE($FK$12,Fixtures!HR$25))=Fixtures!$DN58,CONCATENATE(HR$10,", "),""))</f>
        <v/>
      </c>
      <c r="HS58" s="713" t="str">
        <f ca="1">IF(INDIRECT(CONCATENATE($FK$12,Fixtures!HS$25))="","",IF(INDIRECT(CONCATENATE($FK$12,Fixtures!HS$25))=Fixtures!$DN58,CONCATENATE(HS$10,", "),""))</f>
        <v/>
      </c>
      <c r="HT58" s="713" t="str">
        <f ca="1">IF(INDIRECT(CONCATENATE($FK$12,Fixtures!HT$25))="","",IF(INDIRECT(CONCATENATE($FK$12,Fixtures!HT$25))=Fixtures!$DN58,CONCATENATE(HT$10,", "),""))</f>
        <v/>
      </c>
      <c r="HU58" s="713" t="str">
        <f ca="1">IF(INDIRECT(CONCATENATE($FK$12,Fixtures!HU$25))="","",IF(INDIRECT(CONCATENATE($FK$12,Fixtures!HU$25))=Fixtures!$DN58,CONCATENATE(HU$10,", "),""))</f>
        <v/>
      </c>
      <c r="HV58" s="713" t="str">
        <f ca="1">IF(INDIRECT(CONCATENATE($FK$12,Fixtures!HV$25))="","",IF(INDIRECT(CONCATENATE($FK$12,Fixtures!HV$25))=Fixtures!$DN58,CONCATENATE(HV$10,", "),""))</f>
        <v/>
      </c>
      <c r="HW58" s="713" t="str">
        <f ca="1">IF(INDIRECT(CONCATENATE($FK$12,Fixtures!HW$25))="","",IF(INDIRECT(CONCATENATE($FK$12,Fixtures!HW$25))=Fixtures!$DN58,CONCATENATE(HW$10,", "),""))</f>
        <v/>
      </c>
      <c r="HX58" s="713" t="str">
        <f ca="1">IF(INDIRECT(CONCATENATE($FK$12,Fixtures!HX$25))="","",IF(INDIRECT(CONCATENATE($FK$12,Fixtures!HX$25))=Fixtures!$DN58,CONCATENATE(HX$10,", "),""))</f>
        <v/>
      </c>
      <c r="HY58" s="713" t="str">
        <f ca="1">IF(INDIRECT(CONCATENATE($FK$12,Fixtures!HY$25))="","",IF(INDIRECT(CONCATENATE($FK$12,Fixtures!HY$25))=Fixtures!$DN58,CONCATENATE(HY$10,", "),""))</f>
        <v/>
      </c>
      <c r="HZ58" s="713" t="str">
        <f ca="1">IF(INDIRECT(CONCATENATE($FK$12,Fixtures!HZ$25))="","",IF(INDIRECT(CONCATENATE($FK$12,Fixtures!HZ$25))=Fixtures!$DN58,CONCATENATE(HZ$10,", "),""))</f>
        <v/>
      </c>
      <c r="IA58" s="713" t="str">
        <f ca="1">IF(INDIRECT(CONCATENATE($FK$12,Fixtures!IA$25))="","",IF(INDIRECT(CONCATENATE($FK$12,Fixtures!IA$25))=Fixtures!$DN58,CONCATENATE(IA$10,", "),""))</f>
        <v/>
      </c>
      <c r="IB58" s="684" t="str">
        <f ca="1">IF(INDIRECT(CONCATENATE($FK$12,Fixtures!IB$25))="","",IF(INDIRECT(CONCATENATE($FK$12,Fixtures!IB$25))=Fixtures!$DN58,CONCATENATE(IB$10,", "),""))</f>
        <v/>
      </c>
      <c r="IC58" s="685" t="str">
        <f ca="1">IF(INDIRECT(CONCATENATE($FK$12,Fixtures!IC$25))="","",IF(INDIRECT(CONCATENATE($FK$12,Fixtures!IC$25))=Fixtures!$DN58,CONCATENATE(IC$10,", "),""))</f>
        <v/>
      </c>
      <c r="ID58" s="713" t="str">
        <f ca="1">IF(INDIRECT(CONCATENATE($FK$12,Fixtures!ID$25))="","",IF(INDIRECT(CONCATENATE($FK$12,Fixtures!ID$25))=Fixtures!$DN58,CONCATENATE(ID$10,", "),""))</f>
        <v/>
      </c>
      <c r="IE58" s="713" t="str">
        <f ca="1">IF(INDIRECT(CONCATENATE($FK$12,Fixtures!IE$25))="","",IF(INDIRECT(CONCATENATE($FK$12,Fixtures!IE$25))=Fixtures!$DN58,CONCATENATE(IE$10,", "),""))</f>
        <v/>
      </c>
      <c r="IF58" s="713" t="str">
        <f ca="1">IF(INDIRECT(CONCATENATE($FK$12,Fixtures!IF$25))="","",IF(INDIRECT(CONCATENATE($FK$12,Fixtures!IF$25))=Fixtures!$DN58,CONCATENATE(IF$10,", "),""))</f>
        <v/>
      </c>
      <c r="IG58" s="713" t="str">
        <f ca="1">IF(INDIRECT(CONCATENATE($FK$12,Fixtures!IG$25))="","",IF(INDIRECT(CONCATENATE($FK$12,Fixtures!IG$25))=Fixtures!$DN58,CONCATENATE(IG$10,", "),""))</f>
        <v/>
      </c>
      <c r="IH58" s="713" t="str">
        <f ca="1">IF(INDIRECT(CONCATENATE($FK$12,Fixtures!IH$25))="","",IF(INDIRECT(CONCATENATE($FK$12,Fixtures!IH$25))=Fixtures!$DN58,CONCATENATE(IH$10,", "),""))</f>
        <v/>
      </c>
      <c r="II58" s="713" t="str">
        <f ca="1">IF(INDIRECT(CONCATENATE($FK$12,Fixtures!II$25))="","",IF(INDIRECT(CONCATENATE($FK$12,Fixtures!II$25))=Fixtures!$DN58,CONCATENATE(II$10,", "),""))</f>
        <v/>
      </c>
      <c r="IJ58" s="713" t="str">
        <f ca="1">IF(INDIRECT(CONCATENATE($FK$12,Fixtures!IJ$25))="","",IF(INDIRECT(CONCATENATE($FK$12,Fixtures!IJ$25))=Fixtures!$DN58,CONCATENATE(IJ$10,", "),""))</f>
        <v/>
      </c>
      <c r="IK58" s="713" t="str">
        <f ca="1">IF(INDIRECT(CONCATENATE($FK$12,Fixtures!IK$25))="","",IF(INDIRECT(CONCATENATE($FK$12,Fixtures!IK$25))=Fixtures!$DN58,CONCATENATE(IK$10,", "),""))</f>
        <v/>
      </c>
      <c r="IL58" s="713" t="str">
        <f ca="1">IF(INDIRECT(CONCATENATE($FK$12,Fixtures!IL$25))="","",IF(INDIRECT(CONCATENATE($FK$12,Fixtures!IL$25))=Fixtures!$DN58,CONCATENATE(IL$10,", "),""))</f>
        <v/>
      </c>
      <c r="IM58" s="713" t="str">
        <f ca="1">IF(INDIRECT(CONCATENATE($FK$12,Fixtures!IM$25))="","",IF(INDIRECT(CONCATENATE($FK$12,Fixtures!IM$25))=Fixtures!$DN58,CONCATENATE(IM$10,", "),""))</f>
        <v/>
      </c>
      <c r="IN58" s="713" t="str">
        <f ca="1">IF(INDIRECT(CONCATENATE($FK$12,Fixtures!IN$25))="","",IF(INDIRECT(CONCATENATE($FK$12,Fixtures!IN$25))=Fixtures!$DN58,CONCATENATE(IN$10,", "),""))</f>
        <v/>
      </c>
      <c r="IO58" s="713" t="str">
        <f ca="1">IF(INDIRECT(CONCATENATE($FK$12,Fixtures!IO$25))="","",IF(INDIRECT(CONCATENATE($FK$12,Fixtures!IO$25))=Fixtures!$DN58,CONCATENATE(IO$10,", "),""))</f>
        <v/>
      </c>
      <c r="IP58" s="713" t="str">
        <f ca="1">IF(INDIRECT(CONCATENATE($FK$12,Fixtures!IP$25))="","",IF(INDIRECT(CONCATENATE($FK$12,Fixtures!IP$25))=Fixtures!$DN58,CONCATENATE(IP$10,", "),""))</f>
        <v/>
      </c>
      <c r="IQ58" s="684" t="str">
        <f ca="1">IF(INDIRECT(CONCATENATE($FK$12,Fixtures!IQ$25))="","",IF(INDIRECT(CONCATENATE($FK$12,Fixtures!IQ$25))=Fixtures!$DN58,CONCATENATE(IQ$10,", "),""))</f>
        <v/>
      </c>
      <c r="IR58" s="685" t="str">
        <f ca="1">IF(INDIRECT(CONCATENATE($FK$12,Fixtures!IR$25))="","",IF(INDIRECT(CONCATENATE($FK$12,Fixtures!IR$25))=Fixtures!$DN58,CONCATENATE(IR$10,", "),""))</f>
        <v/>
      </c>
      <c r="IS58" s="713" t="str">
        <f ca="1">IF(INDIRECT(CONCATENATE($FK$12,Fixtures!IS$25))="","",IF(INDIRECT(CONCATENATE($FK$12,Fixtures!IS$25))=Fixtures!$DN58,CONCATENATE(IS$10,", "),""))</f>
        <v/>
      </c>
      <c r="IT58" s="713" t="str">
        <f ca="1">IF(INDIRECT(CONCATENATE($FK$12,Fixtures!IT$25))="","",IF(INDIRECT(CONCATENATE($FK$12,Fixtures!IT$25))=Fixtures!$DN58,CONCATENATE(IT$10,", "),""))</f>
        <v/>
      </c>
      <c r="IU58" s="713" t="str">
        <f ca="1">IF(INDIRECT(CONCATENATE($FK$12,Fixtures!IU$25))="","",IF(INDIRECT(CONCATENATE($FK$12,Fixtures!IU$25))=Fixtures!$DN58,CONCATENATE(IU$10,", "),""))</f>
        <v/>
      </c>
      <c r="IV58" s="713" t="str">
        <f ca="1">IF(INDIRECT(CONCATENATE($FK$12,Fixtures!IV$25))="","",IF(INDIRECT(CONCATENATE($FK$12,Fixtures!IV$25))=Fixtures!$DN58,CONCATENATE(IV$10,", "),""))</f>
        <v/>
      </c>
      <c r="IW58" s="713" t="str">
        <f ca="1">IF(INDIRECT(CONCATENATE($FK$12,Fixtures!IW$25))="","",IF(INDIRECT(CONCATENATE($FK$12,Fixtures!IW$25))=Fixtures!$DN58,CONCATENATE(IW$10,", "),""))</f>
        <v/>
      </c>
      <c r="IX58" s="713" t="str">
        <f ca="1">IF(INDIRECT(CONCATENATE($FK$12,Fixtures!IX$25))="","",IF(INDIRECT(CONCATENATE($FK$12,Fixtures!IX$25))=Fixtures!$DN58,CONCATENATE(IX$10,", "),""))</f>
        <v/>
      </c>
      <c r="IY58" s="713" t="str">
        <f ca="1">IF(INDIRECT(CONCATENATE($FK$12,Fixtures!IY$25))="","",IF(INDIRECT(CONCATENATE($FK$12,Fixtures!IY$25))=Fixtures!$DN58,CONCATENATE(IY$10,", "),""))</f>
        <v/>
      </c>
      <c r="IZ58" s="713" t="str">
        <f ca="1">IF(INDIRECT(CONCATENATE($FK$12,Fixtures!IZ$25))="","",IF(INDIRECT(CONCATENATE($FK$12,Fixtures!IZ$25))=Fixtures!$DN58,CONCATENATE(IZ$10,", "),""))</f>
        <v/>
      </c>
      <c r="JA58" s="713" t="str">
        <f ca="1">IF(INDIRECT(CONCATENATE($FK$12,Fixtures!JA$25))="","",IF(INDIRECT(CONCATENATE($FK$12,Fixtures!JA$25))=Fixtures!$DN58,CONCATENATE(JA$10,", "),""))</f>
        <v/>
      </c>
      <c r="JB58" s="713" t="str">
        <f ca="1">IF(INDIRECT(CONCATENATE($FK$12,Fixtures!JB$25))="","",IF(INDIRECT(CONCATENATE($FK$12,Fixtures!JB$25))=Fixtures!$DN58,CONCATENATE(JB$10,", "),""))</f>
        <v/>
      </c>
      <c r="JC58" s="713" t="str">
        <f ca="1">IF(INDIRECT(CONCATENATE($FK$12,Fixtures!JC$25))="","",IF(INDIRECT(CONCATENATE($FK$12,Fixtures!JC$25))=Fixtures!$DN58,CONCATENATE(JC$10,", "),""))</f>
        <v/>
      </c>
      <c r="JD58" s="713" t="str">
        <f ca="1">IF(INDIRECT(CONCATENATE($FK$12,Fixtures!JD$25))="","",IF(INDIRECT(CONCATENATE($FK$12,Fixtures!JD$25))=Fixtures!$DN58,CONCATENATE(JD$10,", "),""))</f>
        <v/>
      </c>
      <c r="JE58" s="713" t="str">
        <f ca="1">IF(INDIRECT(CONCATENATE($FK$12,Fixtures!JE$25))="","",IF(INDIRECT(CONCATENATE($FK$12,Fixtures!JE$25))=Fixtures!$DN58,CONCATENATE(JE$10,", "),""))</f>
        <v/>
      </c>
      <c r="JF58" s="684" t="str">
        <f ca="1">IF(INDIRECT(CONCATENATE($FK$12,Fixtures!JF$25))="","",IF(INDIRECT(CONCATENATE($FK$12,Fixtures!JF$25))=Fixtures!$DN58,CONCATENATE(JF$10,", "),""))</f>
        <v/>
      </c>
      <c r="JG58" s="685" t="str">
        <f ca="1">IF(INDIRECT(CONCATENATE($FK$12,Fixtures!JG$25))="","",IF(INDIRECT(CONCATENATE($FK$12,Fixtures!JG$25))=Fixtures!$DN58,CONCATENATE(JG$10,", "),""))</f>
        <v/>
      </c>
      <c r="JH58" s="713" t="str">
        <f ca="1">IF(INDIRECT(CONCATENATE($FK$12,Fixtures!JH$25))="","",IF(INDIRECT(CONCATENATE($FK$12,Fixtures!JH$25))=Fixtures!$DN58,CONCATENATE(JH$10,", "),""))</f>
        <v/>
      </c>
      <c r="JI58" s="713" t="str">
        <f ca="1">IF(INDIRECT(CONCATENATE($FK$12,Fixtures!JI$25))="","",IF(INDIRECT(CONCATENATE($FK$12,Fixtures!JI$25))=Fixtures!$DN58,CONCATENATE(JI$10,", "),""))</f>
        <v/>
      </c>
      <c r="JJ58" s="713" t="str">
        <f ca="1">IF(INDIRECT(CONCATENATE($FK$12,Fixtures!JJ$25))="","",IF(INDIRECT(CONCATENATE($FK$12,Fixtures!JJ$25))=Fixtures!$DN58,CONCATENATE(JJ$10,", "),""))</f>
        <v/>
      </c>
      <c r="JK58" s="713" t="str">
        <f ca="1">IF(INDIRECT(CONCATENATE($FK$12,Fixtures!JK$25))="","",IF(INDIRECT(CONCATENATE($FK$12,Fixtures!JK$25))=Fixtures!$DN58,CONCATENATE(JK$10,", "),""))</f>
        <v/>
      </c>
      <c r="JL58" s="713" t="str">
        <f ca="1">IF(INDIRECT(CONCATENATE($FK$12,Fixtures!JL$25))="","",IF(INDIRECT(CONCATENATE($FK$12,Fixtures!JL$25))=Fixtures!$DN58,CONCATENATE(JL$10,", "),""))</f>
        <v/>
      </c>
      <c r="JM58" s="713" t="str">
        <f ca="1">IF(INDIRECT(CONCATENATE($FK$12,Fixtures!JM$25))="","",IF(INDIRECT(CONCATENATE($FK$12,Fixtures!JM$25))=Fixtures!$DN58,CONCATENATE(JM$10,", "),""))</f>
        <v/>
      </c>
      <c r="JN58" s="713" t="str">
        <f ca="1">IF(INDIRECT(CONCATENATE($FK$12,Fixtures!JN$25))="","",IF(INDIRECT(CONCATENATE($FK$12,Fixtures!JN$25))=Fixtures!$DN58,CONCATENATE(JN$10,", "),""))</f>
        <v/>
      </c>
      <c r="JO58" s="713" t="str">
        <f ca="1">IF(INDIRECT(CONCATENATE($FK$12,Fixtures!JO$25))="","",IF(INDIRECT(CONCATENATE($FK$12,Fixtures!JO$25))=Fixtures!$DN58,CONCATENATE(JO$10,", "),""))</f>
        <v/>
      </c>
      <c r="JP58" s="713" t="str">
        <f ca="1">IF(INDIRECT(CONCATENATE($FK$12,Fixtures!JP$25))="","",IF(INDIRECT(CONCATENATE($FK$12,Fixtures!JP$25))=Fixtures!$DN58,CONCATENATE(JP$10,", "),""))</f>
        <v/>
      </c>
      <c r="JQ58" s="713" t="str">
        <f ca="1">IF(INDIRECT(CONCATENATE($FK$12,Fixtures!JQ$25))="","",IF(INDIRECT(CONCATENATE($FK$12,Fixtures!JQ$25))=Fixtures!$DN58,CONCATENATE(JQ$10,", "),""))</f>
        <v/>
      </c>
      <c r="JR58" s="713" t="str">
        <f ca="1">IF(INDIRECT(CONCATENATE($FK$12,Fixtures!JR$25))="","",IF(INDIRECT(CONCATENATE($FK$12,Fixtures!JR$25))=Fixtures!$DN58,CONCATENATE(JR$10,", "),""))</f>
        <v/>
      </c>
      <c r="JS58" s="713" t="str">
        <f ca="1">IF(INDIRECT(CONCATENATE($FK$12,Fixtures!JS$25))="","",IF(INDIRECT(CONCATENATE($FK$12,Fixtures!JS$25))=Fixtures!$DN58,CONCATENATE(JS$10,", "),""))</f>
        <v/>
      </c>
      <c r="JT58" s="713" t="str">
        <f ca="1">IF(INDIRECT(CONCATENATE($FK$12,Fixtures!JT$25))="","",IF(INDIRECT(CONCATENATE($FK$12,Fixtures!JT$25))=Fixtures!$DN58,CONCATENATE(JT$10,", "),""))</f>
        <v/>
      </c>
      <c r="JU58" s="684" t="str">
        <f ca="1">IF(INDIRECT(CONCATENATE($FK$12,Fixtures!JU$25))="","",IF(INDIRECT(CONCATENATE($FK$12,Fixtures!JU$25))=Fixtures!$DN58,CONCATENATE(JU$10,", "),""))</f>
        <v/>
      </c>
      <c r="JV58" s="685" t="str">
        <f ca="1">IF(INDIRECT(CONCATENATE($FK$12,Fixtures!JV$25))="","",IF(INDIRECT(CONCATENATE($FK$12,Fixtures!JV$25))=Fixtures!$DN58,CONCATENATE(JV$10,", "),""))</f>
        <v/>
      </c>
      <c r="JW58" s="713" t="str">
        <f ca="1">IF(INDIRECT(CONCATENATE($FK$12,Fixtures!JW$25))="","",IF(INDIRECT(CONCATENATE($FK$12,Fixtures!JW$25))=Fixtures!$DN58,CONCATENATE(JW$10,", "),""))</f>
        <v/>
      </c>
      <c r="JX58" s="713" t="str">
        <f ca="1">IF(INDIRECT(CONCATENATE($FK$12,Fixtures!JX$25))="","",IF(INDIRECT(CONCATENATE($FK$12,Fixtures!JX$25))=Fixtures!$DN58,CONCATENATE(JX$10,", "),""))</f>
        <v/>
      </c>
      <c r="JY58" s="713" t="str">
        <f ca="1">IF(INDIRECT(CONCATENATE($FK$12,Fixtures!JY$25))="","",IF(INDIRECT(CONCATENATE($FK$12,Fixtures!JY$25))=Fixtures!$DN58,CONCATENATE(JY$10,", "),""))</f>
        <v/>
      </c>
      <c r="JZ58" s="713" t="str">
        <f ca="1">IF(INDIRECT(CONCATENATE($FK$12,Fixtures!JZ$25))="","",IF(INDIRECT(CONCATENATE($FK$12,Fixtures!JZ$25))=Fixtures!$DN58,CONCATENATE(JZ$10,", "),""))</f>
        <v/>
      </c>
      <c r="KA58" s="713" t="str">
        <f ca="1">IF(INDIRECT(CONCATENATE($FK$12,Fixtures!KA$25))="","",IF(INDIRECT(CONCATENATE($FK$12,Fixtures!KA$25))=Fixtures!$DN58,CONCATENATE(KA$10,", "),""))</f>
        <v/>
      </c>
      <c r="KB58" s="713" t="str">
        <f ca="1">IF(INDIRECT(CONCATENATE($FK$12,Fixtures!KB$25))="","",IF(INDIRECT(CONCATENATE($FK$12,Fixtures!KB$25))=Fixtures!$DN58,CONCATENATE(KB$10,", "),""))</f>
        <v/>
      </c>
      <c r="KC58" s="713" t="str">
        <f ca="1">IF(INDIRECT(CONCATENATE($FK$12,Fixtures!KC$25))="","",IF(INDIRECT(CONCATENATE($FK$12,Fixtures!KC$25))=Fixtures!$DN58,CONCATENATE(KC$10,", "),""))</f>
        <v/>
      </c>
      <c r="KD58" s="713" t="str">
        <f ca="1">IF(INDIRECT(CONCATENATE($FK$12,Fixtures!KD$25))="","",IF(INDIRECT(CONCATENATE($FK$12,Fixtures!KD$25))=Fixtures!$DN58,CONCATENATE(KD$10,", "),""))</f>
        <v/>
      </c>
      <c r="KE58" s="713" t="str">
        <f ca="1">IF(INDIRECT(CONCATENATE($FK$12,Fixtures!KE$25))="","",IF(INDIRECT(CONCATENATE($FK$12,Fixtures!KE$25))=Fixtures!$DN58,CONCATENATE(KE$10,", "),""))</f>
        <v/>
      </c>
      <c r="KF58" s="713" t="str">
        <f ca="1">IF(INDIRECT(CONCATENATE($FK$12,Fixtures!KF$25))="","",IF(INDIRECT(CONCATENATE($FK$12,Fixtures!KF$25))=Fixtures!$DN58,CONCATENATE(KF$10,", "),""))</f>
        <v/>
      </c>
      <c r="KG58" s="713" t="str">
        <f ca="1">IF(INDIRECT(CONCATENATE($FK$12,Fixtures!KG$25))="","",IF(INDIRECT(CONCATENATE($FK$12,Fixtures!KG$25))=Fixtures!$DN58,CONCATENATE(KG$10,", "),""))</f>
        <v/>
      </c>
      <c r="KH58" s="713" t="str">
        <f ca="1">IF(INDIRECT(CONCATENATE($FK$12,Fixtures!KH$25))="","",IF(INDIRECT(CONCATENATE($FK$12,Fixtures!KH$25))=Fixtures!$DN58,CONCATENATE(KH$10,", "),""))</f>
        <v/>
      </c>
      <c r="KI58" s="713" t="str">
        <f ca="1">IF(INDIRECT(CONCATENATE($FK$12,Fixtures!KI$25))="","",IF(INDIRECT(CONCATENATE($FK$12,Fixtures!KI$25))=Fixtures!$DN58,CONCATENATE(KI$10,", "),""))</f>
        <v/>
      </c>
      <c r="KJ58" s="684" t="str">
        <f ca="1">IF(INDIRECT(CONCATENATE($FK$12,Fixtures!KJ$25))="","",IF(INDIRECT(CONCATENATE($FK$12,Fixtures!KJ$25))=Fixtures!$DN58,CONCATENATE(KJ$10,", "),""))</f>
        <v/>
      </c>
      <c r="KK58" s="685" t="str">
        <f ca="1">IF(INDIRECT(CONCATENATE($FK$12,Fixtures!KK$25))="","",IF(INDIRECT(CONCATENATE($FK$12,Fixtures!KK$25))=Fixtures!$DN58,CONCATENATE(KK$10,", "),""))</f>
        <v/>
      </c>
      <c r="KL58" s="713" t="str">
        <f ca="1">IF(INDIRECT(CONCATENATE($FK$12,Fixtures!KL$25))="","",IF(INDIRECT(CONCATENATE($FK$12,Fixtures!KL$25))=Fixtures!$DN58,CONCATENATE(KL$10,", "),""))</f>
        <v/>
      </c>
      <c r="KM58" s="713" t="str">
        <f ca="1">IF(INDIRECT(CONCATENATE($FK$12,Fixtures!KM$25))="","",IF(INDIRECT(CONCATENATE($FK$12,Fixtures!KM$25))=Fixtures!$DN58,CONCATENATE(KM$10,", "),""))</f>
        <v/>
      </c>
      <c r="KN58" s="713" t="str">
        <f ca="1">IF(INDIRECT(CONCATENATE($FK$12,Fixtures!KN$25))="","",IF(INDIRECT(CONCATENATE($FK$12,Fixtures!KN$25))=Fixtures!$DN58,CONCATENATE(KN$10,", "),""))</f>
        <v/>
      </c>
      <c r="KO58" s="713" t="str">
        <f ca="1">IF(INDIRECT(CONCATENATE($FK$12,Fixtures!KO$25))="","",IF(INDIRECT(CONCATENATE($FK$12,Fixtures!KO$25))=Fixtures!$DN58,CONCATENATE(KO$10,", "),""))</f>
        <v/>
      </c>
      <c r="KP58" s="713" t="str">
        <f ca="1">IF(INDIRECT(CONCATENATE($FK$12,Fixtures!KP$25))="","",IF(INDIRECT(CONCATENATE($FK$12,Fixtures!KP$25))=Fixtures!$DN58,CONCATENATE(KP$10,", "),""))</f>
        <v/>
      </c>
      <c r="KQ58" s="713" t="str">
        <f ca="1">IF(INDIRECT(CONCATENATE($FK$12,Fixtures!KQ$25))="","",IF(INDIRECT(CONCATENATE($FK$12,Fixtures!KQ$25))=Fixtures!$DN58,CONCATENATE(KQ$10,", "),""))</f>
        <v/>
      </c>
      <c r="KR58" s="713" t="str">
        <f ca="1">IF(INDIRECT(CONCATENATE($FK$12,Fixtures!KR$25))="","",IF(INDIRECT(CONCATENATE($FK$12,Fixtures!KR$25))=Fixtures!$DN58,CONCATENATE(KR$10,", "),""))</f>
        <v/>
      </c>
      <c r="KS58" s="713" t="str">
        <f ca="1">IF(INDIRECT(CONCATENATE($FK$12,Fixtures!KS$25))="","",IF(INDIRECT(CONCATENATE($FK$12,Fixtures!KS$25))=Fixtures!$DN58,CONCATENATE(KS$10,", "),""))</f>
        <v/>
      </c>
      <c r="KT58" s="713" t="str">
        <f ca="1">IF(INDIRECT(CONCATENATE($FK$12,Fixtures!KT$25))="","",IF(INDIRECT(CONCATENATE($FK$12,Fixtures!KT$25))=Fixtures!$DN58,CONCATENATE(KT$10,", "),""))</f>
        <v/>
      </c>
      <c r="KU58" s="713" t="str">
        <f ca="1">IF(INDIRECT(CONCATENATE($FK$12,Fixtures!KU$25))="","",IF(INDIRECT(CONCATENATE($FK$12,Fixtures!KU$25))=Fixtures!$DN58,CONCATENATE(KU$10,", "),""))</f>
        <v/>
      </c>
      <c r="KV58" s="713" t="str">
        <f ca="1">IF(INDIRECT(CONCATENATE($FK$12,Fixtures!KV$25))="","",IF(INDIRECT(CONCATENATE($FK$12,Fixtures!KV$25))=Fixtures!$DN58,CONCATENATE(KV$10,", "),""))</f>
        <v/>
      </c>
      <c r="KW58" s="713" t="str">
        <f ca="1">IF(INDIRECT(CONCATENATE($FK$12,Fixtures!KW$25))="","",IF(INDIRECT(CONCATENATE($FK$12,Fixtures!KW$25))=Fixtures!$DN58,CONCATENATE(KW$10,", "),""))</f>
        <v/>
      </c>
      <c r="KX58" s="713" t="str">
        <f ca="1">IF(INDIRECT(CONCATENATE($FK$12,Fixtures!KX$25))="","",IF(INDIRECT(CONCATENATE($FK$12,Fixtures!KX$25))=Fixtures!$DN58,CONCATENATE(KX$10,", "),""))</f>
        <v/>
      </c>
      <c r="KY58" s="713" t="str">
        <f ca="1">IF(INDIRECT(CONCATENATE($FK$12,Fixtures!KY$25))="","",IF(INDIRECT(CONCATENATE($FK$12,Fixtures!KY$25))=Fixtures!$DN58,CONCATENATE(KY$10,", "),""))</f>
        <v/>
      </c>
      <c r="KZ58" s="602"/>
      <c r="LA58" s="46" t="str">
        <f t="shared" ca="1" si="8"/>
        <v/>
      </c>
    </row>
    <row r="59" spans="1:313" ht="28.05" customHeight="1" thickTop="1" thickBot="1">
      <c r="A59" s="471" t="str">
        <f t="shared" si="13"/>
        <v/>
      </c>
      <c r="C59" s="1328" t="str">
        <f t="shared" si="14"/>
        <v/>
      </c>
      <c r="D59" s="1329"/>
      <c r="E59" s="1256" t="str">
        <f t="shared" si="15"/>
        <v/>
      </c>
      <c r="F59" s="1257"/>
      <c r="G59" s="1257"/>
      <c r="H59" s="1257"/>
      <c r="I59" s="1257"/>
      <c r="J59" s="1257"/>
      <c r="K59" s="1257"/>
      <c r="L59" s="1257"/>
      <c r="M59" s="1330"/>
      <c r="N59" s="239" t="str">
        <f t="shared" si="16"/>
        <v/>
      </c>
      <c r="O59" s="12"/>
      <c r="P59" s="1326" t="str">
        <f t="shared" si="25"/>
        <v/>
      </c>
      <c r="Q59" s="1327"/>
      <c r="R59" s="1256" t="str">
        <f t="shared" si="31"/>
        <v/>
      </c>
      <c r="S59" s="1257"/>
      <c r="T59" s="1257"/>
      <c r="U59" s="1257"/>
      <c r="V59" s="1257"/>
      <c r="W59" s="1257"/>
      <c r="X59" s="1257"/>
      <c r="Y59" s="239" t="str">
        <f t="shared" si="27"/>
        <v/>
      </c>
      <c r="Z59" s="239" t="str">
        <f t="shared" si="28"/>
        <v/>
      </c>
      <c r="AA59" s="439" t="str">
        <f t="shared" si="29"/>
        <v/>
      </c>
      <c r="AB59" s="542"/>
      <c r="AC59" s="1253" t="str">
        <f t="shared" si="17"/>
        <v/>
      </c>
      <c r="AD59" s="1166"/>
      <c r="AE59" s="1166"/>
      <c r="AF59" s="1166"/>
      <c r="AG59" s="1166"/>
      <c r="AH59" s="1166"/>
      <c r="AK59">
        <f>SUMIFS(Installations!CS$39:CS$800,Installations!CT$39:CT$800,E59,Installations!HX$39:HX$800,TRUE)</f>
        <v>0</v>
      </c>
      <c r="AL59">
        <f>SUMIFS(Installations!CS$39:CS$800,Installations!CT$39:CT$800,R59,Installations!HX$39:HX$800,TRUE)</f>
        <v>0</v>
      </c>
      <c r="BL59" s="9"/>
      <c r="BM59" s="703" t="str">
        <f t="shared" si="18"/>
        <v/>
      </c>
      <c r="BN59" s="52"/>
      <c r="BO59" s="52"/>
      <c r="BP59" s="52"/>
      <c r="BQ59" s="52"/>
      <c r="BR59" s="52"/>
      <c r="BS59" s="52"/>
      <c r="BT59" s="52"/>
      <c r="BU59" s="414"/>
      <c r="BV59" s="255" t="str">
        <f>IF(CN59&lt;&gt;"Yes","",IFERROR(VLOOKUP(CU59,Existing!A$4:F$364,2,FALSE),""))</f>
        <v/>
      </c>
      <c r="BW59" s="9">
        <v>33</v>
      </c>
      <c r="BX59" s="1313"/>
      <c r="BY59" s="1314"/>
      <c r="BZ59" s="1314"/>
      <c r="CA59" s="1315"/>
      <c r="CB59" s="1310"/>
      <c r="CC59" s="1311"/>
      <c r="CD59" s="1311"/>
      <c r="CE59" s="1312"/>
      <c r="CF59" s="1309"/>
      <c r="CG59" s="1309"/>
      <c r="CH59" s="1309"/>
      <c r="CI59" s="1309"/>
      <c r="CJ59" s="1309"/>
      <c r="CK59" s="1309"/>
      <c r="CL59" s="1309"/>
      <c r="CM59" s="1309"/>
      <c r="CN59" s="1243" t="str">
        <f t="shared" si="32"/>
        <v/>
      </c>
      <c r="CO59" s="1244"/>
      <c r="CP59" s="265" t="str">
        <f>IFERROR(IF(CB59="Existing TLED",CR59*CW59*CY59,VLOOKUP(CU59,Existing!A$3:F$353,6,FALSE)),"")</f>
        <v/>
      </c>
      <c r="CQ59" s="9"/>
      <c r="CR59" s="1343"/>
      <c r="CS59" s="1344"/>
      <c r="CT59" s="9"/>
      <c r="CU59" s="470" t="str">
        <f t="shared" si="21"/>
        <v/>
      </c>
      <c r="CV59" s="471" t="b">
        <f t="shared" si="22"/>
        <v>0</v>
      </c>
      <c r="CW59" s="471" t="str">
        <f t="shared" si="23"/>
        <v/>
      </c>
      <c r="CX59" s="471">
        <f>IFERROR(VLOOKUP(CF59,Lookup!M$100:O$102,3,FALSE),0)</f>
        <v>0</v>
      </c>
      <c r="CY59" s="471">
        <f t="shared" si="9"/>
        <v>1.1100000000000001</v>
      </c>
      <c r="CZ59" s="707" t="b">
        <f t="shared" ref="CZ59:CZ76" si="33">IF(OR(BX59="",CB59="",CF59="",CJ59="")=TRUE,FALSE,TRUE)</f>
        <v>0</v>
      </c>
      <c r="DA59" s="707" t="b">
        <f>IF(CF59&lt;&gt;"",IF(ISERROR(MATCH(CONCATENATE(CB59," - ",CF59),Existing!G$4:G$328,0))=TRUE,FALSE,TRUE),TRUE)</f>
        <v>1</v>
      </c>
      <c r="DB59" s="707" t="b">
        <f t="shared" ref="DB59:DB76" si="34">IF(AND(CZ59=TRUE,CP59=""),FALSE,TRUE)</f>
        <v>1</v>
      </c>
      <c r="DL59" s="9"/>
      <c r="DM59" s="708" t="s">
        <v>166</v>
      </c>
      <c r="DN59" s="416" t="str">
        <f t="shared" ref="DN59:DN76" si="35">IF(EV59="YES",CONCATENATE(DX59," ",DV59),"")</f>
        <v/>
      </c>
      <c r="DO59" s="52"/>
      <c r="DP59" s="52"/>
      <c r="DQ59" s="52"/>
      <c r="DR59" s="52"/>
      <c r="DS59" s="52"/>
      <c r="DT59" s="262"/>
      <c r="DU59" s="417"/>
      <c r="DV59" s="263" t="str">
        <f t="shared" ref="DV59:DV76" si="36">IF(EV59&lt;&gt;"Yes","",IF(EB59="Removed","Fixture Removed",CONCATENATE(EB59,", (",EF59,") ",EH59," #",EL59)))</f>
        <v/>
      </c>
      <c r="DW59" s="260">
        <v>33</v>
      </c>
      <c r="DX59" s="1306"/>
      <c r="DY59" s="1307"/>
      <c r="DZ59" s="1307"/>
      <c r="EA59" s="1308"/>
      <c r="EB59" s="1306"/>
      <c r="EC59" s="1307"/>
      <c r="ED59" s="1307"/>
      <c r="EE59" s="1308"/>
      <c r="EF59" s="1266"/>
      <c r="EG59" s="1267"/>
      <c r="EH59" s="1306"/>
      <c r="EI59" s="1307"/>
      <c r="EJ59" s="1307"/>
      <c r="EK59" s="1308"/>
      <c r="EL59" s="1263"/>
      <c r="EM59" s="1264"/>
      <c r="EN59" s="1264"/>
      <c r="EO59" s="1265"/>
      <c r="EP59" s="1266"/>
      <c r="EQ59" s="1267"/>
      <c r="ER59" s="1245"/>
      <c r="ES59" s="1246"/>
      <c r="ET59" s="1243" t="str">
        <f t="shared" si="5"/>
        <v/>
      </c>
      <c r="EU59" s="1244"/>
      <c r="EV59" s="1243" t="str">
        <f t="shared" si="30"/>
        <v/>
      </c>
      <c r="EW59" s="1244"/>
      <c r="EX59" s="438"/>
      <c r="EY59" s="261" t="str">
        <f t="shared" ref="EY59:EY76" si="37">IFERROR(IF(OR(LEFT(EB59,4)="TLED",LEFT(EB59,3)="CFL",LEFT(EB59,3)="HID",LEFT(EB59,8)="Existing"),VLOOKUP(EB59,_Fixture_Measure_Life,2,FALSE),VLOOKUP(DX59,_Fixture_Measure_Life,2,FALSE)),"")</f>
        <v/>
      </c>
      <c r="EZ59" s="261" t="str">
        <f>IFERROR(VLOOKUP(EB59,Lookup!AM$3:AN$13,2,FALSE),"")</f>
        <v/>
      </c>
      <c r="FA59" s="471" t="b">
        <f>IFERROR(IF(VLOOKUP(EB59,Lookup!AM$6:AN$8,2,FALSE)&gt;3,TRUE,FALSE),FALSE)</f>
        <v>0</v>
      </c>
      <c r="FB59" s="471">
        <f t="shared" si="11"/>
        <v>1</v>
      </c>
      <c r="FC59" t="str">
        <f t="shared" ca="1" si="10"/>
        <v/>
      </c>
      <c r="FG59" t="str">
        <f t="shared" ca="1" si="12"/>
        <v/>
      </c>
      <c r="FI59" s="240" t="str">
        <f t="shared" ca="1" si="24"/>
        <v/>
      </c>
      <c r="FK59" s="712" t="str">
        <f ca="1">IF(INDIRECT(CONCATENATE($FK$12,Fixtures!FK$25))="","",IF(INDIRECT(CONCATENATE($FK$12,Fixtures!FK$25))=Fixtures!$DN59,CONCATENATE(FK$10,", "),""))</f>
        <v/>
      </c>
      <c r="FL59" s="712" t="str">
        <f ca="1">IF(INDIRECT(CONCATENATE($FK$12,Fixtures!FL$25))="","",IF(INDIRECT(CONCATENATE($FK$12,Fixtures!FL$25))=Fixtures!$DN59,CONCATENATE(FL$10,", "),""))</f>
        <v/>
      </c>
      <c r="FM59" s="712" t="str">
        <f ca="1">IF(INDIRECT(CONCATENATE($FK$12,Fixtures!FM$25))="","",IF(INDIRECT(CONCATENATE($FK$12,Fixtures!FM$25))=Fixtures!$DN59,CONCATENATE(FM$10,", "),""))</f>
        <v/>
      </c>
      <c r="FN59" s="712" t="str">
        <f ca="1">IF(INDIRECT(CONCATENATE($FK$12,Fixtures!FN$25))="","",IF(INDIRECT(CONCATENATE($FK$12,Fixtures!FN$25))=Fixtures!$DN59,CONCATENATE(FN$10,", "),""))</f>
        <v/>
      </c>
      <c r="FO59" s="712" t="str">
        <f ca="1">IF(INDIRECT(CONCATENATE($FK$12,Fixtures!FO$25))="","",IF(INDIRECT(CONCATENATE($FK$12,Fixtures!FO$25))=Fixtures!$DN59,CONCATENATE(FO$10,", "),""))</f>
        <v/>
      </c>
      <c r="FP59" s="712" t="str">
        <f ca="1">IF(INDIRECT(CONCATENATE($FK$12,Fixtures!FP$25))="","",IF(INDIRECT(CONCATENATE($FK$12,Fixtures!FP$25))=Fixtures!$DN59,CONCATENATE(FP$10,", "),""))</f>
        <v/>
      </c>
      <c r="FQ59" s="712" t="str">
        <f ca="1">IF(INDIRECT(CONCATENATE($FK$12,Fixtures!FQ$25))="","",IF(INDIRECT(CONCATENATE($FK$12,Fixtures!FQ$25))=Fixtures!$DN59,CONCATENATE(FQ$10,", "),""))</f>
        <v/>
      </c>
      <c r="FR59" s="712" t="str">
        <f ca="1">IF(INDIRECT(CONCATENATE($FK$12,Fixtures!FR$25))="","",IF(INDIRECT(CONCATENATE($FK$12,Fixtures!FR$25))=Fixtures!$DN59,CONCATENATE(FR$10,", "),""))</f>
        <v/>
      </c>
      <c r="FS59" s="712" t="str">
        <f ca="1">IF(INDIRECT(CONCATENATE($FK$12,Fixtures!FS$25))="","",IF(INDIRECT(CONCATENATE($FK$12,Fixtures!FS$25))=Fixtures!$DN59,CONCATENATE(FS$10,", "),""))</f>
        <v/>
      </c>
      <c r="FT59" s="682" t="str">
        <f ca="1">IF(INDIRECT(CONCATENATE($FK$12,Fixtures!FT$25))="","",IF(INDIRECT(CONCATENATE($FK$12,Fixtures!FT$25))=Fixtures!$DN59,CONCATENATE(FT$10,", "),""))</f>
        <v/>
      </c>
      <c r="FU59" s="683" t="str">
        <f ca="1">IF(INDIRECT(CONCATENATE($FK$12,Fixtures!FU$25))="","",IF(INDIRECT(CONCATENATE($FK$12,Fixtures!FU$25))=Fixtures!$DN59,CONCATENATE(FU$10,", "),""))</f>
        <v/>
      </c>
      <c r="FV59" s="712" t="str">
        <f ca="1">IF(INDIRECT(CONCATENATE($FK$12,Fixtures!FV$25))="","",IF(INDIRECT(CONCATENATE($FK$12,Fixtures!FV$25))=Fixtures!$DN59,CONCATENATE(FV$10,", "),""))</f>
        <v/>
      </c>
      <c r="FW59" s="713" t="str">
        <f ca="1">IF(INDIRECT(CONCATENATE($FK$12,Fixtures!FW$25))="","",IF(INDIRECT(CONCATENATE($FK$12,Fixtures!FW$25))=Fixtures!$DN59,CONCATENATE(FW$10,", "),""))</f>
        <v/>
      </c>
      <c r="FX59" s="713" t="str">
        <f ca="1">IF(INDIRECT(CONCATENATE($FK$12,Fixtures!FX$25))="","",IF(INDIRECT(CONCATENATE($FK$12,Fixtures!FX$25))=Fixtures!$DN59,CONCATENATE(FX$10,", "),""))</f>
        <v/>
      </c>
      <c r="FY59" s="713" t="str">
        <f ca="1">IF(INDIRECT(CONCATENATE($FK$12,Fixtures!FY$25))="","",IF(INDIRECT(CONCATENATE($FK$12,Fixtures!FY$25))=Fixtures!$DN59,CONCATENATE(FY$10,", "),""))</f>
        <v/>
      </c>
      <c r="FZ59" s="713" t="str">
        <f ca="1">IF(INDIRECT(CONCATENATE($FK$12,Fixtures!FZ$25))="","",IF(INDIRECT(CONCATENATE($FK$12,Fixtures!FZ$25))=Fixtures!$DN59,CONCATENATE(FZ$10,", "),""))</f>
        <v/>
      </c>
      <c r="GA59" s="713" t="str">
        <f ca="1">IF(INDIRECT(CONCATENATE($FK$12,Fixtures!GA$25))="","",IF(INDIRECT(CONCATENATE($FK$12,Fixtures!GA$25))=Fixtures!$DN59,CONCATENATE(GA$10,", "),""))</f>
        <v/>
      </c>
      <c r="GB59" s="713" t="str">
        <f ca="1">IF(INDIRECT(CONCATENATE($FK$12,Fixtures!GB$25))="","",IF(INDIRECT(CONCATENATE($FK$12,Fixtures!GB$25))=Fixtures!$DN59,CONCATENATE(GB$10,", "),""))</f>
        <v/>
      </c>
      <c r="GC59" s="713" t="str">
        <f ca="1">IF(INDIRECT(CONCATENATE($FK$12,Fixtures!GC$25))="","",IF(INDIRECT(CONCATENATE($FK$12,Fixtures!GC$25))=Fixtures!$DN59,CONCATENATE(GC$10,", "),""))</f>
        <v/>
      </c>
      <c r="GD59" s="713" t="str">
        <f ca="1">IF(INDIRECT(CONCATENATE($FK$12,Fixtures!GD$25))="","",IF(INDIRECT(CONCATENATE($FK$12,Fixtures!GD$25))=Fixtures!$DN59,CONCATENATE(GD$10,", "),""))</f>
        <v/>
      </c>
      <c r="GE59" s="713" t="str">
        <f ca="1">IF(INDIRECT(CONCATENATE($FK$12,Fixtures!GE$25))="","",IF(INDIRECT(CONCATENATE($FK$12,Fixtures!GE$25))=Fixtures!$DN59,CONCATENATE(GE$10,", "),""))</f>
        <v/>
      </c>
      <c r="GF59" s="713" t="str">
        <f ca="1">IF(INDIRECT(CONCATENATE($FK$12,Fixtures!GF$25))="","",IF(INDIRECT(CONCATENATE($FK$12,Fixtures!GF$25))=Fixtures!$DN59,CONCATENATE(GF$10,", "),""))</f>
        <v/>
      </c>
      <c r="GG59" s="713" t="str">
        <f ca="1">IF(INDIRECT(CONCATENATE($FK$12,Fixtures!GG$25))="","",IF(INDIRECT(CONCATENATE($FK$12,Fixtures!GG$25))=Fixtures!$DN59,CONCATENATE(GG$10,", "),""))</f>
        <v/>
      </c>
      <c r="GH59" s="713" t="str">
        <f ca="1">IF(INDIRECT(CONCATENATE($FK$12,Fixtures!GH$25))="","",IF(INDIRECT(CONCATENATE($FK$12,Fixtures!GH$25))=Fixtures!$DN59,CONCATENATE(GH$10,", "),""))</f>
        <v/>
      </c>
      <c r="GI59" s="684" t="str">
        <f ca="1">IF(INDIRECT(CONCATENATE($FK$12,Fixtures!GI$25))="","",IF(INDIRECT(CONCATENATE($FK$12,Fixtures!GI$25))=Fixtures!$DN59,CONCATENATE(GI$10,", "),""))</f>
        <v/>
      </c>
      <c r="GJ59" s="685" t="str">
        <f ca="1">IF(INDIRECT(CONCATENATE($FK$12,Fixtures!GJ$25))="","",IF(INDIRECT(CONCATENATE($FK$12,Fixtures!GJ$25))=Fixtures!$DN59,CONCATENATE(GJ$10,", "),""))</f>
        <v/>
      </c>
      <c r="GK59" s="713" t="str">
        <f ca="1">IF(INDIRECT(CONCATENATE($FK$12,Fixtures!GK$25))="","",IF(INDIRECT(CONCATENATE($FK$12,Fixtures!GK$25))=Fixtures!$DN59,CONCATENATE(GK$10,", "),""))</f>
        <v/>
      </c>
      <c r="GL59" s="713" t="str">
        <f ca="1">IF(INDIRECT(CONCATENATE($FK$12,Fixtures!GL$25))="","",IF(INDIRECT(CONCATENATE($FK$12,Fixtures!GL$25))=Fixtures!$DN59,CONCATENATE(GL$10,", "),""))</f>
        <v/>
      </c>
      <c r="GM59" s="713" t="str">
        <f ca="1">IF(INDIRECT(CONCATENATE($FK$12,Fixtures!GM$25))="","",IF(INDIRECT(CONCATENATE($FK$12,Fixtures!GM$25))=Fixtures!$DN59,CONCATENATE(GM$10,", "),""))</f>
        <v/>
      </c>
      <c r="GN59" s="713" t="str">
        <f ca="1">IF(INDIRECT(CONCATENATE($FK$12,Fixtures!GN$25))="","",IF(INDIRECT(CONCATENATE($FK$12,Fixtures!GN$25))=Fixtures!$DN59,CONCATENATE(GN$10,", "),""))</f>
        <v/>
      </c>
      <c r="GO59" s="713" t="str">
        <f ca="1">IF(INDIRECT(CONCATENATE($FK$12,Fixtures!GO$25))="","",IF(INDIRECT(CONCATENATE($FK$12,Fixtures!GO$25))=Fixtures!$DN59,CONCATENATE(GO$10,", "),""))</f>
        <v/>
      </c>
      <c r="GP59" s="713" t="str">
        <f ca="1">IF(INDIRECT(CONCATENATE($FK$12,Fixtures!GP$25))="","",IF(INDIRECT(CONCATENATE($FK$12,Fixtures!GP$25))=Fixtures!$DN59,CONCATENATE(GP$10,", "),""))</f>
        <v/>
      </c>
      <c r="GQ59" s="713" t="str">
        <f ca="1">IF(INDIRECT(CONCATENATE($FK$12,Fixtures!GQ$25))="","",IF(INDIRECT(CONCATENATE($FK$12,Fixtures!GQ$25))=Fixtures!$DN59,CONCATENATE(GQ$10,", "),""))</f>
        <v/>
      </c>
      <c r="GR59" s="713" t="str">
        <f ca="1">IF(INDIRECT(CONCATENATE($FK$12,Fixtures!GR$25))="","",IF(INDIRECT(CONCATENATE($FK$12,Fixtures!GR$25))=Fixtures!$DN59,CONCATENATE(GR$10,", "),""))</f>
        <v/>
      </c>
      <c r="GS59" s="713" t="str">
        <f ca="1">IF(INDIRECT(CONCATENATE($FK$12,Fixtures!GS$25))="","",IF(INDIRECT(CONCATENATE($FK$12,Fixtures!GS$25))=Fixtures!$DN59,CONCATENATE(GS$10,", "),""))</f>
        <v/>
      </c>
      <c r="GT59" s="713" t="str">
        <f ca="1">IF(INDIRECT(CONCATENATE($FK$12,Fixtures!GT$25))="","",IF(INDIRECT(CONCATENATE($FK$12,Fixtures!GT$25))=Fixtures!$DN59,CONCATENATE(GT$10,", "),""))</f>
        <v/>
      </c>
      <c r="GU59" s="713" t="str">
        <f ca="1">IF(INDIRECT(CONCATENATE($FK$12,Fixtures!GU$25))="","",IF(INDIRECT(CONCATENATE($FK$12,Fixtures!GU$25))=Fixtures!$DN59,CONCATENATE(GU$10,", "),""))</f>
        <v/>
      </c>
      <c r="GV59" s="713" t="str">
        <f ca="1">IF(INDIRECT(CONCATENATE($FK$12,Fixtures!GV$25))="","",IF(INDIRECT(CONCATENATE($FK$12,Fixtures!GV$25))=Fixtures!$DN59,CONCATENATE(GV$10,", "),""))</f>
        <v/>
      </c>
      <c r="GW59" s="713" t="str">
        <f ca="1">IF(INDIRECT(CONCATENATE($FK$12,Fixtures!GW$25))="","",IF(INDIRECT(CONCATENATE($FK$12,Fixtures!GW$25))=Fixtures!$DN59,CONCATENATE(GW$10,", "),""))</f>
        <v/>
      </c>
      <c r="GX59" s="684" t="str">
        <f ca="1">IF(INDIRECT(CONCATENATE($FK$12,Fixtures!GX$25))="","",IF(INDIRECT(CONCATENATE($FK$12,Fixtures!GX$25))=Fixtures!$DN59,CONCATENATE(GX$10,", "),""))</f>
        <v/>
      </c>
      <c r="GY59" s="685" t="str">
        <f ca="1">IF(INDIRECT(CONCATENATE($FK$12,Fixtures!GY$25))="","",IF(INDIRECT(CONCATENATE($FK$12,Fixtures!GY$25))=Fixtures!$DN59,CONCATENATE(GY$10,", "),""))</f>
        <v/>
      </c>
      <c r="GZ59" s="713" t="str">
        <f ca="1">IF(INDIRECT(CONCATENATE($FK$12,Fixtures!GZ$25))="","",IF(INDIRECT(CONCATENATE($FK$12,Fixtures!GZ$25))=Fixtures!$DN59,CONCATENATE(GZ$10,", "),""))</f>
        <v/>
      </c>
      <c r="HA59" s="713" t="str">
        <f ca="1">IF(INDIRECT(CONCATENATE($FK$12,Fixtures!HA$25))="","",IF(INDIRECT(CONCATENATE($FK$12,Fixtures!HA$25))=Fixtures!$DN59,CONCATENATE(HA$10,", "),""))</f>
        <v/>
      </c>
      <c r="HB59" s="713" t="str">
        <f ca="1">IF(INDIRECT(CONCATENATE($FK$12,Fixtures!HB$25))="","",IF(INDIRECT(CONCATENATE($FK$12,Fixtures!HB$25))=Fixtures!$DN59,CONCATENATE(HB$10,", "),""))</f>
        <v/>
      </c>
      <c r="HC59" s="713" t="str">
        <f ca="1">IF(INDIRECT(CONCATENATE($FK$12,Fixtures!HC$25))="","",IF(INDIRECT(CONCATENATE($FK$12,Fixtures!HC$25))=Fixtures!$DN59,CONCATENATE(HC$10,", "),""))</f>
        <v/>
      </c>
      <c r="HD59" s="713" t="str">
        <f ca="1">IF(INDIRECT(CONCATENATE($FK$12,Fixtures!HD$25))="","",IF(INDIRECT(CONCATENATE($FK$12,Fixtures!HD$25))=Fixtures!$DN59,CONCATENATE(HD$10,", "),""))</f>
        <v/>
      </c>
      <c r="HE59" s="713" t="str">
        <f ca="1">IF(INDIRECT(CONCATENATE($FK$12,Fixtures!HE$25))="","",IF(INDIRECT(CONCATENATE($FK$12,Fixtures!HE$25))=Fixtures!$DN59,CONCATENATE(HE$10,", "),""))</f>
        <v/>
      </c>
      <c r="HF59" s="713" t="str">
        <f ca="1">IF(INDIRECT(CONCATENATE($FK$12,Fixtures!HF$25))="","",IF(INDIRECT(CONCATENATE($FK$12,Fixtures!HF$25))=Fixtures!$DN59,CONCATENATE(HF$10,", "),""))</f>
        <v/>
      </c>
      <c r="HG59" s="713" t="str">
        <f ca="1">IF(INDIRECT(CONCATENATE($FK$12,Fixtures!HG$25))="","",IF(INDIRECT(CONCATENATE($FK$12,Fixtures!HG$25))=Fixtures!$DN59,CONCATENATE(HG$10,", "),""))</f>
        <v/>
      </c>
      <c r="HH59" s="713" t="str">
        <f ca="1">IF(INDIRECT(CONCATENATE($FK$12,Fixtures!HH$25))="","",IF(INDIRECT(CONCATENATE($FK$12,Fixtures!HH$25))=Fixtures!$DN59,CONCATENATE(HH$10,", "),""))</f>
        <v/>
      </c>
      <c r="HI59" s="713" t="str">
        <f ca="1">IF(INDIRECT(CONCATENATE($FK$12,Fixtures!HI$25))="","",IF(INDIRECT(CONCATENATE($FK$12,Fixtures!HI$25))=Fixtures!$DN59,CONCATENATE(HI$10,", "),""))</f>
        <v/>
      </c>
      <c r="HJ59" s="713" t="str">
        <f ca="1">IF(INDIRECT(CONCATENATE($FK$12,Fixtures!HJ$25))="","",IF(INDIRECT(CONCATENATE($FK$12,Fixtures!HJ$25))=Fixtures!$DN59,CONCATENATE(HJ$10,", "),""))</f>
        <v/>
      </c>
      <c r="HK59" s="713" t="str">
        <f ca="1">IF(INDIRECT(CONCATENATE($FK$12,Fixtures!HK$25))="","",IF(INDIRECT(CONCATENATE($FK$12,Fixtures!HK$25))=Fixtures!$DN59,CONCATENATE(HK$10,", "),""))</f>
        <v/>
      </c>
      <c r="HL59" s="713" t="str">
        <f ca="1">IF(INDIRECT(CONCATENATE($FK$12,Fixtures!HL$25))="","",IF(INDIRECT(CONCATENATE($FK$12,Fixtures!HL$25))=Fixtures!$DN59,CONCATENATE(HL$10,", "),""))</f>
        <v/>
      </c>
      <c r="HM59" s="684" t="str">
        <f ca="1">IF(INDIRECT(CONCATENATE($FK$12,Fixtures!HM$25))="","",IF(INDIRECT(CONCATENATE($FK$12,Fixtures!HM$25))=Fixtures!$DN59,CONCATENATE(HM$10,", "),""))</f>
        <v/>
      </c>
      <c r="HN59" s="685" t="str">
        <f ca="1">IF(INDIRECT(CONCATENATE($FK$12,Fixtures!HN$25))="","",IF(INDIRECT(CONCATENATE($FK$12,Fixtures!HN$25))=Fixtures!$DN59,CONCATENATE(HN$10,", "),""))</f>
        <v/>
      </c>
      <c r="HO59" s="713" t="str">
        <f ca="1">IF(INDIRECT(CONCATENATE($FK$12,Fixtures!HO$25))="","",IF(INDIRECT(CONCATENATE($FK$12,Fixtures!HO$25))=Fixtures!$DN59,CONCATENATE(HO$10,", "),""))</f>
        <v/>
      </c>
      <c r="HP59" s="713" t="str">
        <f ca="1">IF(INDIRECT(CONCATENATE($FK$12,Fixtures!HP$25))="","",IF(INDIRECT(CONCATENATE($FK$12,Fixtures!HP$25))=Fixtures!$DN59,CONCATENATE(HP$10,", "),""))</f>
        <v/>
      </c>
      <c r="HQ59" s="713" t="str">
        <f ca="1">IF(INDIRECT(CONCATENATE($FK$12,Fixtures!HQ$25))="","",IF(INDIRECT(CONCATENATE($FK$12,Fixtures!HQ$25))=Fixtures!$DN59,CONCATENATE(HQ$10,", "),""))</f>
        <v/>
      </c>
      <c r="HR59" s="713" t="str">
        <f ca="1">IF(INDIRECT(CONCATENATE($FK$12,Fixtures!HR$25))="","",IF(INDIRECT(CONCATENATE($FK$12,Fixtures!HR$25))=Fixtures!$DN59,CONCATENATE(HR$10,", "),""))</f>
        <v/>
      </c>
      <c r="HS59" s="713" t="str">
        <f ca="1">IF(INDIRECT(CONCATENATE($FK$12,Fixtures!HS$25))="","",IF(INDIRECT(CONCATENATE($FK$12,Fixtures!HS$25))=Fixtures!$DN59,CONCATENATE(HS$10,", "),""))</f>
        <v/>
      </c>
      <c r="HT59" s="713" t="str">
        <f ca="1">IF(INDIRECT(CONCATENATE($FK$12,Fixtures!HT$25))="","",IF(INDIRECT(CONCATENATE($FK$12,Fixtures!HT$25))=Fixtures!$DN59,CONCATENATE(HT$10,", "),""))</f>
        <v/>
      </c>
      <c r="HU59" s="713" t="str">
        <f ca="1">IF(INDIRECT(CONCATENATE($FK$12,Fixtures!HU$25))="","",IF(INDIRECT(CONCATENATE($FK$12,Fixtures!HU$25))=Fixtures!$DN59,CONCATENATE(HU$10,", "),""))</f>
        <v/>
      </c>
      <c r="HV59" s="713" t="str">
        <f ca="1">IF(INDIRECT(CONCATENATE($FK$12,Fixtures!HV$25))="","",IF(INDIRECT(CONCATENATE($FK$12,Fixtures!HV$25))=Fixtures!$DN59,CONCATENATE(HV$10,", "),""))</f>
        <v/>
      </c>
      <c r="HW59" s="713" t="str">
        <f ca="1">IF(INDIRECT(CONCATENATE($FK$12,Fixtures!HW$25))="","",IF(INDIRECT(CONCATENATE($FK$12,Fixtures!HW$25))=Fixtures!$DN59,CONCATENATE(HW$10,", "),""))</f>
        <v/>
      </c>
      <c r="HX59" s="713" t="str">
        <f ca="1">IF(INDIRECT(CONCATENATE($FK$12,Fixtures!HX$25))="","",IF(INDIRECT(CONCATENATE($FK$12,Fixtures!HX$25))=Fixtures!$DN59,CONCATENATE(HX$10,", "),""))</f>
        <v/>
      </c>
      <c r="HY59" s="713" t="str">
        <f ca="1">IF(INDIRECT(CONCATENATE($FK$12,Fixtures!HY$25))="","",IF(INDIRECT(CONCATENATE($FK$12,Fixtures!HY$25))=Fixtures!$DN59,CONCATENATE(HY$10,", "),""))</f>
        <v/>
      </c>
      <c r="HZ59" s="713" t="str">
        <f ca="1">IF(INDIRECT(CONCATENATE($FK$12,Fixtures!HZ$25))="","",IF(INDIRECT(CONCATENATE($FK$12,Fixtures!HZ$25))=Fixtures!$DN59,CONCATENATE(HZ$10,", "),""))</f>
        <v/>
      </c>
      <c r="IA59" s="713" t="str">
        <f ca="1">IF(INDIRECT(CONCATENATE($FK$12,Fixtures!IA$25))="","",IF(INDIRECT(CONCATENATE($FK$12,Fixtures!IA$25))=Fixtures!$DN59,CONCATENATE(IA$10,", "),""))</f>
        <v/>
      </c>
      <c r="IB59" s="684" t="str">
        <f ca="1">IF(INDIRECT(CONCATENATE($FK$12,Fixtures!IB$25))="","",IF(INDIRECT(CONCATENATE($FK$12,Fixtures!IB$25))=Fixtures!$DN59,CONCATENATE(IB$10,", "),""))</f>
        <v/>
      </c>
      <c r="IC59" s="685" t="str">
        <f ca="1">IF(INDIRECT(CONCATENATE($FK$12,Fixtures!IC$25))="","",IF(INDIRECT(CONCATENATE($FK$12,Fixtures!IC$25))=Fixtures!$DN59,CONCATENATE(IC$10,", "),""))</f>
        <v/>
      </c>
      <c r="ID59" s="713" t="str">
        <f ca="1">IF(INDIRECT(CONCATENATE($FK$12,Fixtures!ID$25))="","",IF(INDIRECT(CONCATENATE($FK$12,Fixtures!ID$25))=Fixtures!$DN59,CONCATENATE(ID$10,", "),""))</f>
        <v/>
      </c>
      <c r="IE59" s="713" t="str">
        <f ca="1">IF(INDIRECT(CONCATENATE($FK$12,Fixtures!IE$25))="","",IF(INDIRECT(CONCATENATE($FK$12,Fixtures!IE$25))=Fixtures!$DN59,CONCATENATE(IE$10,", "),""))</f>
        <v/>
      </c>
      <c r="IF59" s="713" t="str">
        <f ca="1">IF(INDIRECT(CONCATENATE($FK$12,Fixtures!IF$25))="","",IF(INDIRECT(CONCATENATE($FK$12,Fixtures!IF$25))=Fixtures!$DN59,CONCATENATE(IF$10,", "),""))</f>
        <v/>
      </c>
      <c r="IG59" s="713" t="str">
        <f ca="1">IF(INDIRECT(CONCATENATE($FK$12,Fixtures!IG$25))="","",IF(INDIRECT(CONCATENATE($FK$12,Fixtures!IG$25))=Fixtures!$DN59,CONCATENATE(IG$10,", "),""))</f>
        <v/>
      </c>
      <c r="IH59" s="713" t="str">
        <f ca="1">IF(INDIRECT(CONCATENATE($FK$12,Fixtures!IH$25))="","",IF(INDIRECT(CONCATENATE($FK$12,Fixtures!IH$25))=Fixtures!$DN59,CONCATENATE(IH$10,", "),""))</f>
        <v/>
      </c>
      <c r="II59" s="713" t="str">
        <f ca="1">IF(INDIRECT(CONCATENATE($FK$12,Fixtures!II$25))="","",IF(INDIRECT(CONCATENATE($FK$12,Fixtures!II$25))=Fixtures!$DN59,CONCATENATE(II$10,", "),""))</f>
        <v/>
      </c>
      <c r="IJ59" s="713" t="str">
        <f ca="1">IF(INDIRECT(CONCATENATE($FK$12,Fixtures!IJ$25))="","",IF(INDIRECT(CONCATENATE($FK$12,Fixtures!IJ$25))=Fixtures!$DN59,CONCATENATE(IJ$10,", "),""))</f>
        <v/>
      </c>
      <c r="IK59" s="713" t="str">
        <f ca="1">IF(INDIRECT(CONCATENATE($FK$12,Fixtures!IK$25))="","",IF(INDIRECT(CONCATENATE($FK$12,Fixtures!IK$25))=Fixtures!$DN59,CONCATENATE(IK$10,", "),""))</f>
        <v/>
      </c>
      <c r="IL59" s="713" t="str">
        <f ca="1">IF(INDIRECT(CONCATENATE($FK$12,Fixtures!IL$25))="","",IF(INDIRECT(CONCATENATE($FK$12,Fixtures!IL$25))=Fixtures!$DN59,CONCATENATE(IL$10,", "),""))</f>
        <v/>
      </c>
      <c r="IM59" s="713" t="str">
        <f ca="1">IF(INDIRECT(CONCATENATE($FK$12,Fixtures!IM$25))="","",IF(INDIRECT(CONCATENATE($FK$12,Fixtures!IM$25))=Fixtures!$DN59,CONCATENATE(IM$10,", "),""))</f>
        <v/>
      </c>
      <c r="IN59" s="713" t="str">
        <f ca="1">IF(INDIRECT(CONCATENATE($FK$12,Fixtures!IN$25))="","",IF(INDIRECT(CONCATENATE($FK$12,Fixtures!IN$25))=Fixtures!$DN59,CONCATENATE(IN$10,", "),""))</f>
        <v/>
      </c>
      <c r="IO59" s="713" t="str">
        <f ca="1">IF(INDIRECT(CONCATENATE($FK$12,Fixtures!IO$25))="","",IF(INDIRECT(CONCATENATE($FK$12,Fixtures!IO$25))=Fixtures!$DN59,CONCATENATE(IO$10,", "),""))</f>
        <v/>
      </c>
      <c r="IP59" s="713" t="str">
        <f ca="1">IF(INDIRECT(CONCATENATE($FK$12,Fixtures!IP$25))="","",IF(INDIRECT(CONCATENATE($FK$12,Fixtures!IP$25))=Fixtures!$DN59,CONCATENATE(IP$10,", "),""))</f>
        <v/>
      </c>
      <c r="IQ59" s="684" t="str">
        <f ca="1">IF(INDIRECT(CONCATENATE($FK$12,Fixtures!IQ$25))="","",IF(INDIRECT(CONCATENATE($FK$12,Fixtures!IQ$25))=Fixtures!$DN59,CONCATENATE(IQ$10,", "),""))</f>
        <v/>
      </c>
      <c r="IR59" s="685" t="str">
        <f ca="1">IF(INDIRECT(CONCATENATE($FK$12,Fixtures!IR$25))="","",IF(INDIRECT(CONCATENATE($FK$12,Fixtures!IR$25))=Fixtures!$DN59,CONCATENATE(IR$10,", "),""))</f>
        <v/>
      </c>
      <c r="IS59" s="713" t="str">
        <f ca="1">IF(INDIRECT(CONCATENATE($FK$12,Fixtures!IS$25))="","",IF(INDIRECT(CONCATENATE($FK$12,Fixtures!IS$25))=Fixtures!$DN59,CONCATENATE(IS$10,", "),""))</f>
        <v/>
      </c>
      <c r="IT59" s="713" t="str">
        <f ca="1">IF(INDIRECT(CONCATENATE($FK$12,Fixtures!IT$25))="","",IF(INDIRECT(CONCATENATE($FK$12,Fixtures!IT$25))=Fixtures!$DN59,CONCATENATE(IT$10,", "),""))</f>
        <v/>
      </c>
      <c r="IU59" s="713" t="str">
        <f ca="1">IF(INDIRECT(CONCATENATE($FK$12,Fixtures!IU$25))="","",IF(INDIRECT(CONCATENATE($FK$12,Fixtures!IU$25))=Fixtures!$DN59,CONCATENATE(IU$10,", "),""))</f>
        <v/>
      </c>
      <c r="IV59" s="713" t="str">
        <f ca="1">IF(INDIRECT(CONCATENATE($FK$12,Fixtures!IV$25))="","",IF(INDIRECT(CONCATENATE($FK$12,Fixtures!IV$25))=Fixtures!$DN59,CONCATENATE(IV$10,", "),""))</f>
        <v/>
      </c>
      <c r="IW59" s="713" t="str">
        <f ca="1">IF(INDIRECT(CONCATENATE($FK$12,Fixtures!IW$25))="","",IF(INDIRECT(CONCATENATE($FK$12,Fixtures!IW$25))=Fixtures!$DN59,CONCATENATE(IW$10,", "),""))</f>
        <v/>
      </c>
      <c r="IX59" s="713" t="str">
        <f ca="1">IF(INDIRECT(CONCATENATE($FK$12,Fixtures!IX$25))="","",IF(INDIRECT(CONCATENATE($FK$12,Fixtures!IX$25))=Fixtures!$DN59,CONCATENATE(IX$10,", "),""))</f>
        <v/>
      </c>
      <c r="IY59" s="713" t="str">
        <f ca="1">IF(INDIRECT(CONCATENATE($FK$12,Fixtures!IY$25))="","",IF(INDIRECT(CONCATENATE($FK$12,Fixtures!IY$25))=Fixtures!$DN59,CONCATENATE(IY$10,", "),""))</f>
        <v/>
      </c>
      <c r="IZ59" s="713" t="str">
        <f ca="1">IF(INDIRECT(CONCATENATE($FK$12,Fixtures!IZ$25))="","",IF(INDIRECT(CONCATENATE($FK$12,Fixtures!IZ$25))=Fixtures!$DN59,CONCATENATE(IZ$10,", "),""))</f>
        <v/>
      </c>
      <c r="JA59" s="713" t="str">
        <f ca="1">IF(INDIRECT(CONCATENATE($FK$12,Fixtures!JA$25))="","",IF(INDIRECT(CONCATENATE($FK$12,Fixtures!JA$25))=Fixtures!$DN59,CONCATENATE(JA$10,", "),""))</f>
        <v/>
      </c>
      <c r="JB59" s="713" t="str">
        <f ca="1">IF(INDIRECT(CONCATENATE($FK$12,Fixtures!JB$25))="","",IF(INDIRECT(CONCATENATE($FK$12,Fixtures!JB$25))=Fixtures!$DN59,CONCATENATE(JB$10,", "),""))</f>
        <v/>
      </c>
      <c r="JC59" s="713" t="str">
        <f ca="1">IF(INDIRECT(CONCATENATE($FK$12,Fixtures!JC$25))="","",IF(INDIRECT(CONCATENATE($FK$12,Fixtures!JC$25))=Fixtures!$DN59,CONCATENATE(JC$10,", "),""))</f>
        <v/>
      </c>
      <c r="JD59" s="713" t="str">
        <f ca="1">IF(INDIRECT(CONCATENATE($FK$12,Fixtures!JD$25))="","",IF(INDIRECT(CONCATENATE($FK$12,Fixtures!JD$25))=Fixtures!$DN59,CONCATENATE(JD$10,", "),""))</f>
        <v/>
      </c>
      <c r="JE59" s="713" t="str">
        <f ca="1">IF(INDIRECT(CONCATENATE($FK$12,Fixtures!JE$25))="","",IF(INDIRECT(CONCATENATE($FK$12,Fixtures!JE$25))=Fixtures!$DN59,CONCATENATE(JE$10,", "),""))</f>
        <v/>
      </c>
      <c r="JF59" s="684" t="str">
        <f ca="1">IF(INDIRECT(CONCATENATE($FK$12,Fixtures!JF$25))="","",IF(INDIRECT(CONCATENATE($FK$12,Fixtures!JF$25))=Fixtures!$DN59,CONCATENATE(JF$10,", "),""))</f>
        <v/>
      </c>
      <c r="JG59" s="685" t="str">
        <f ca="1">IF(INDIRECT(CONCATENATE($FK$12,Fixtures!JG$25))="","",IF(INDIRECT(CONCATENATE($FK$12,Fixtures!JG$25))=Fixtures!$DN59,CONCATENATE(JG$10,", "),""))</f>
        <v/>
      </c>
      <c r="JH59" s="713" t="str">
        <f ca="1">IF(INDIRECT(CONCATENATE($FK$12,Fixtures!JH$25))="","",IF(INDIRECT(CONCATENATE($FK$12,Fixtures!JH$25))=Fixtures!$DN59,CONCATENATE(JH$10,", "),""))</f>
        <v/>
      </c>
      <c r="JI59" s="713" t="str">
        <f ca="1">IF(INDIRECT(CONCATENATE($FK$12,Fixtures!JI$25))="","",IF(INDIRECT(CONCATENATE($FK$12,Fixtures!JI$25))=Fixtures!$DN59,CONCATENATE(JI$10,", "),""))</f>
        <v/>
      </c>
      <c r="JJ59" s="713" t="str">
        <f ca="1">IF(INDIRECT(CONCATENATE($FK$12,Fixtures!JJ$25))="","",IF(INDIRECT(CONCATENATE($FK$12,Fixtures!JJ$25))=Fixtures!$DN59,CONCATENATE(JJ$10,", "),""))</f>
        <v/>
      </c>
      <c r="JK59" s="713" t="str">
        <f ca="1">IF(INDIRECT(CONCATENATE($FK$12,Fixtures!JK$25))="","",IF(INDIRECT(CONCATENATE($FK$12,Fixtures!JK$25))=Fixtures!$DN59,CONCATENATE(JK$10,", "),""))</f>
        <v/>
      </c>
      <c r="JL59" s="713" t="str">
        <f ca="1">IF(INDIRECT(CONCATENATE($FK$12,Fixtures!JL$25))="","",IF(INDIRECT(CONCATENATE($FK$12,Fixtures!JL$25))=Fixtures!$DN59,CONCATENATE(JL$10,", "),""))</f>
        <v/>
      </c>
      <c r="JM59" s="713" t="str">
        <f ca="1">IF(INDIRECT(CONCATENATE($FK$12,Fixtures!JM$25))="","",IF(INDIRECT(CONCATENATE($FK$12,Fixtures!JM$25))=Fixtures!$DN59,CONCATENATE(JM$10,", "),""))</f>
        <v/>
      </c>
      <c r="JN59" s="713" t="str">
        <f ca="1">IF(INDIRECT(CONCATENATE($FK$12,Fixtures!JN$25))="","",IF(INDIRECT(CONCATENATE($FK$12,Fixtures!JN$25))=Fixtures!$DN59,CONCATENATE(JN$10,", "),""))</f>
        <v/>
      </c>
      <c r="JO59" s="713" t="str">
        <f ca="1">IF(INDIRECT(CONCATENATE($FK$12,Fixtures!JO$25))="","",IF(INDIRECT(CONCATENATE($FK$12,Fixtures!JO$25))=Fixtures!$DN59,CONCATENATE(JO$10,", "),""))</f>
        <v/>
      </c>
      <c r="JP59" s="713" t="str">
        <f ca="1">IF(INDIRECT(CONCATENATE($FK$12,Fixtures!JP$25))="","",IF(INDIRECT(CONCATENATE($FK$12,Fixtures!JP$25))=Fixtures!$DN59,CONCATENATE(JP$10,", "),""))</f>
        <v/>
      </c>
      <c r="JQ59" s="713" t="str">
        <f ca="1">IF(INDIRECT(CONCATENATE($FK$12,Fixtures!JQ$25))="","",IF(INDIRECT(CONCATENATE($FK$12,Fixtures!JQ$25))=Fixtures!$DN59,CONCATENATE(JQ$10,", "),""))</f>
        <v/>
      </c>
      <c r="JR59" s="713" t="str">
        <f ca="1">IF(INDIRECT(CONCATENATE($FK$12,Fixtures!JR$25))="","",IF(INDIRECT(CONCATENATE($FK$12,Fixtures!JR$25))=Fixtures!$DN59,CONCATENATE(JR$10,", "),""))</f>
        <v/>
      </c>
      <c r="JS59" s="713" t="str">
        <f ca="1">IF(INDIRECT(CONCATENATE($FK$12,Fixtures!JS$25))="","",IF(INDIRECT(CONCATENATE($FK$12,Fixtures!JS$25))=Fixtures!$DN59,CONCATENATE(JS$10,", "),""))</f>
        <v/>
      </c>
      <c r="JT59" s="713" t="str">
        <f ca="1">IF(INDIRECT(CONCATENATE($FK$12,Fixtures!JT$25))="","",IF(INDIRECT(CONCATENATE($FK$12,Fixtures!JT$25))=Fixtures!$DN59,CONCATENATE(JT$10,", "),""))</f>
        <v/>
      </c>
      <c r="JU59" s="684" t="str">
        <f ca="1">IF(INDIRECT(CONCATENATE($FK$12,Fixtures!JU$25))="","",IF(INDIRECT(CONCATENATE($FK$12,Fixtures!JU$25))=Fixtures!$DN59,CONCATENATE(JU$10,", "),""))</f>
        <v/>
      </c>
      <c r="JV59" s="685" t="str">
        <f ca="1">IF(INDIRECT(CONCATENATE($FK$12,Fixtures!JV$25))="","",IF(INDIRECT(CONCATENATE($FK$12,Fixtures!JV$25))=Fixtures!$DN59,CONCATENATE(JV$10,", "),""))</f>
        <v/>
      </c>
      <c r="JW59" s="713" t="str">
        <f ca="1">IF(INDIRECT(CONCATENATE($FK$12,Fixtures!JW$25))="","",IF(INDIRECT(CONCATENATE($FK$12,Fixtures!JW$25))=Fixtures!$DN59,CONCATENATE(JW$10,", "),""))</f>
        <v/>
      </c>
      <c r="JX59" s="713" t="str">
        <f ca="1">IF(INDIRECT(CONCATENATE($FK$12,Fixtures!JX$25))="","",IF(INDIRECT(CONCATENATE($FK$12,Fixtures!JX$25))=Fixtures!$DN59,CONCATENATE(JX$10,", "),""))</f>
        <v/>
      </c>
      <c r="JY59" s="713" t="str">
        <f ca="1">IF(INDIRECT(CONCATENATE($FK$12,Fixtures!JY$25))="","",IF(INDIRECT(CONCATENATE($FK$12,Fixtures!JY$25))=Fixtures!$DN59,CONCATENATE(JY$10,", "),""))</f>
        <v/>
      </c>
      <c r="JZ59" s="713" t="str">
        <f ca="1">IF(INDIRECT(CONCATENATE($FK$12,Fixtures!JZ$25))="","",IF(INDIRECT(CONCATENATE($FK$12,Fixtures!JZ$25))=Fixtures!$DN59,CONCATENATE(JZ$10,", "),""))</f>
        <v/>
      </c>
      <c r="KA59" s="713" t="str">
        <f ca="1">IF(INDIRECT(CONCATENATE($FK$12,Fixtures!KA$25))="","",IF(INDIRECT(CONCATENATE($FK$12,Fixtures!KA$25))=Fixtures!$DN59,CONCATENATE(KA$10,", "),""))</f>
        <v/>
      </c>
      <c r="KB59" s="713" t="str">
        <f ca="1">IF(INDIRECT(CONCATENATE($FK$12,Fixtures!KB$25))="","",IF(INDIRECT(CONCATENATE($FK$12,Fixtures!KB$25))=Fixtures!$DN59,CONCATENATE(KB$10,", "),""))</f>
        <v/>
      </c>
      <c r="KC59" s="713" t="str">
        <f ca="1">IF(INDIRECT(CONCATENATE($FK$12,Fixtures!KC$25))="","",IF(INDIRECT(CONCATENATE($FK$12,Fixtures!KC$25))=Fixtures!$DN59,CONCATENATE(KC$10,", "),""))</f>
        <v/>
      </c>
      <c r="KD59" s="713" t="str">
        <f ca="1">IF(INDIRECT(CONCATENATE($FK$12,Fixtures!KD$25))="","",IF(INDIRECT(CONCATENATE($FK$12,Fixtures!KD$25))=Fixtures!$DN59,CONCATENATE(KD$10,", "),""))</f>
        <v/>
      </c>
      <c r="KE59" s="713" t="str">
        <f ca="1">IF(INDIRECT(CONCATENATE($FK$12,Fixtures!KE$25))="","",IF(INDIRECT(CONCATENATE($FK$12,Fixtures!KE$25))=Fixtures!$DN59,CONCATENATE(KE$10,", "),""))</f>
        <v/>
      </c>
      <c r="KF59" s="713" t="str">
        <f ca="1">IF(INDIRECT(CONCATENATE($FK$12,Fixtures!KF$25))="","",IF(INDIRECT(CONCATENATE($FK$12,Fixtures!KF$25))=Fixtures!$DN59,CONCATENATE(KF$10,", "),""))</f>
        <v/>
      </c>
      <c r="KG59" s="713" t="str">
        <f ca="1">IF(INDIRECT(CONCATENATE($FK$12,Fixtures!KG$25))="","",IF(INDIRECT(CONCATENATE($FK$12,Fixtures!KG$25))=Fixtures!$DN59,CONCATENATE(KG$10,", "),""))</f>
        <v/>
      </c>
      <c r="KH59" s="713" t="str">
        <f ca="1">IF(INDIRECT(CONCATENATE($FK$12,Fixtures!KH$25))="","",IF(INDIRECT(CONCATENATE($FK$12,Fixtures!KH$25))=Fixtures!$DN59,CONCATENATE(KH$10,", "),""))</f>
        <v/>
      </c>
      <c r="KI59" s="713" t="str">
        <f ca="1">IF(INDIRECT(CONCATENATE($FK$12,Fixtures!KI$25))="","",IF(INDIRECT(CONCATENATE($FK$12,Fixtures!KI$25))=Fixtures!$DN59,CONCATENATE(KI$10,", "),""))</f>
        <v/>
      </c>
      <c r="KJ59" s="684" t="str">
        <f ca="1">IF(INDIRECT(CONCATENATE($FK$12,Fixtures!KJ$25))="","",IF(INDIRECT(CONCATENATE($FK$12,Fixtures!KJ$25))=Fixtures!$DN59,CONCATENATE(KJ$10,", "),""))</f>
        <v/>
      </c>
      <c r="KK59" s="685" t="str">
        <f ca="1">IF(INDIRECT(CONCATENATE($FK$12,Fixtures!KK$25))="","",IF(INDIRECT(CONCATENATE($FK$12,Fixtures!KK$25))=Fixtures!$DN59,CONCATENATE(KK$10,", "),""))</f>
        <v/>
      </c>
      <c r="KL59" s="713" t="str">
        <f ca="1">IF(INDIRECT(CONCATENATE($FK$12,Fixtures!KL$25))="","",IF(INDIRECT(CONCATENATE($FK$12,Fixtures!KL$25))=Fixtures!$DN59,CONCATENATE(KL$10,", "),""))</f>
        <v/>
      </c>
      <c r="KM59" s="713" t="str">
        <f ca="1">IF(INDIRECT(CONCATENATE($FK$12,Fixtures!KM$25))="","",IF(INDIRECT(CONCATENATE($FK$12,Fixtures!KM$25))=Fixtures!$DN59,CONCATENATE(KM$10,", "),""))</f>
        <v/>
      </c>
      <c r="KN59" s="713" t="str">
        <f ca="1">IF(INDIRECT(CONCATENATE($FK$12,Fixtures!KN$25))="","",IF(INDIRECT(CONCATENATE($FK$12,Fixtures!KN$25))=Fixtures!$DN59,CONCATENATE(KN$10,", "),""))</f>
        <v/>
      </c>
      <c r="KO59" s="713" t="str">
        <f ca="1">IF(INDIRECT(CONCATENATE($FK$12,Fixtures!KO$25))="","",IF(INDIRECT(CONCATENATE($FK$12,Fixtures!KO$25))=Fixtures!$DN59,CONCATENATE(KO$10,", "),""))</f>
        <v/>
      </c>
      <c r="KP59" s="713" t="str">
        <f ca="1">IF(INDIRECT(CONCATENATE($FK$12,Fixtures!KP$25))="","",IF(INDIRECT(CONCATENATE($FK$12,Fixtures!KP$25))=Fixtures!$DN59,CONCATENATE(KP$10,", "),""))</f>
        <v/>
      </c>
      <c r="KQ59" s="713" t="str">
        <f ca="1">IF(INDIRECT(CONCATENATE($FK$12,Fixtures!KQ$25))="","",IF(INDIRECT(CONCATENATE($FK$12,Fixtures!KQ$25))=Fixtures!$DN59,CONCATENATE(KQ$10,", "),""))</f>
        <v/>
      </c>
      <c r="KR59" s="713" t="str">
        <f ca="1">IF(INDIRECT(CONCATENATE($FK$12,Fixtures!KR$25))="","",IF(INDIRECT(CONCATENATE($FK$12,Fixtures!KR$25))=Fixtures!$DN59,CONCATENATE(KR$10,", "),""))</f>
        <v/>
      </c>
      <c r="KS59" s="713" t="str">
        <f ca="1">IF(INDIRECT(CONCATENATE($FK$12,Fixtures!KS$25))="","",IF(INDIRECT(CONCATENATE($FK$12,Fixtures!KS$25))=Fixtures!$DN59,CONCATENATE(KS$10,", "),""))</f>
        <v/>
      </c>
      <c r="KT59" s="713" t="str">
        <f ca="1">IF(INDIRECT(CONCATENATE($FK$12,Fixtures!KT$25))="","",IF(INDIRECT(CONCATENATE($FK$12,Fixtures!KT$25))=Fixtures!$DN59,CONCATENATE(KT$10,", "),""))</f>
        <v/>
      </c>
      <c r="KU59" s="713" t="str">
        <f ca="1">IF(INDIRECT(CONCATENATE($FK$12,Fixtures!KU$25))="","",IF(INDIRECT(CONCATENATE($FK$12,Fixtures!KU$25))=Fixtures!$DN59,CONCATENATE(KU$10,", "),""))</f>
        <v/>
      </c>
      <c r="KV59" s="713" t="str">
        <f ca="1">IF(INDIRECT(CONCATENATE($FK$12,Fixtures!KV$25))="","",IF(INDIRECT(CONCATENATE($FK$12,Fixtures!KV$25))=Fixtures!$DN59,CONCATENATE(KV$10,", "),""))</f>
        <v/>
      </c>
      <c r="KW59" s="713" t="str">
        <f ca="1">IF(INDIRECT(CONCATENATE($FK$12,Fixtures!KW$25))="","",IF(INDIRECT(CONCATENATE($FK$12,Fixtures!KW$25))=Fixtures!$DN59,CONCATENATE(KW$10,", "),""))</f>
        <v/>
      </c>
      <c r="KX59" s="713" t="str">
        <f ca="1">IF(INDIRECT(CONCATENATE($FK$12,Fixtures!KX$25))="","",IF(INDIRECT(CONCATENATE($FK$12,Fixtures!KX$25))=Fixtures!$DN59,CONCATENATE(KX$10,", "),""))</f>
        <v/>
      </c>
      <c r="KY59" s="713" t="str">
        <f ca="1">IF(INDIRECT(CONCATENATE($FK$12,Fixtures!KY$25))="","",IF(INDIRECT(CONCATENATE($FK$12,Fixtures!KY$25))=Fixtures!$DN59,CONCATENATE(KY$10,", "),""))</f>
        <v/>
      </c>
      <c r="KZ59" s="602"/>
      <c r="LA59" s="46" t="str">
        <f t="shared" ref="LA59:LA76" ca="1" si="38">CONCATENATE(FK59,FL59,FM59,FN59,FO59,FP59,FQ59,FR59,FS59,FT59,FU59,FV59,FW59,FX59,FY59,FZ59,GA59,GB59,GC59,GD59,GE59,GF59,GG59,GH59,GI59,GJ59,GK59,GL59,GM59,GN59,GO59,GP59,GQ59,GR59,GS59,GT59,GU59,GV59,GW59,GX59,GY59,GZ59,HA59,HB59,HC59,HD59,HE59,HF59,HG59,HH59,HI59,HJ59,HK59,HL59,HM59,HN59,HO59,HP59,HQ59,HR59,HS59,HT59,HU59,HV59,HW59,HX59,HY59,HZ59,IA59,IB59,IC59,ID59,IE59,IF59,IG59,IH59,II59,IJ59,IK59,IL59,IM59,IN59,IO59,IP59,IQ59,IR59,IS59,IT59,IU59,IV59,IW59,IX59,IY59,IZ59,JA59,JB59,JC59,JD59,JE59,JF59,JG59,JH59,JI59,JJ59,JK59,JL59,JM59,JN59,JO59,JP59,JQ59,JR59,JS59,JT59,JU59,JV59,JW59,JX59,JY59,JZ59,KA59,KB59,KC59,KD59,KE59,KF59,KG59,KI59,KJ59,KK59,KL59,KM59,KN59,KO59,KP59,KQ59,KR59,KS59,KT59,KU59,KV59,KW59,KX59,KY59)</f>
        <v/>
      </c>
    </row>
    <row r="60" spans="1:313" ht="28.05" customHeight="1" thickTop="1" thickBot="1">
      <c r="A60" s="471" t="str">
        <f t="shared" si="13"/>
        <v/>
      </c>
      <c r="C60" s="1328" t="str">
        <f t="shared" si="14"/>
        <v/>
      </c>
      <c r="D60" s="1329"/>
      <c r="E60" s="1256" t="str">
        <f t="shared" si="15"/>
        <v/>
      </c>
      <c r="F60" s="1257"/>
      <c r="G60" s="1257"/>
      <c r="H60" s="1257"/>
      <c r="I60" s="1257"/>
      <c r="J60" s="1257"/>
      <c r="K60" s="1257"/>
      <c r="L60" s="1257"/>
      <c r="M60" s="1330"/>
      <c r="N60" s="239" t="str">
        <f t="shared" si="16"/>
        <v/>
      </c>
      <c r="O60" s="12"/>
      <c r="P60" s="1326" t="str">
        <f t="shared" si="25"/>
        <v/>
      </c>
      <c r="Q60" s="1327"/>
      <c r="R60" s="1256" t="str">
        <f t="shared" si="31"/>
        <v/>
      </c>
      <c r="S60" s="1257"/>
      <c r="T60" s="1257"/>
      <c r="U60" s="1257"/>
      <c r="V60" s="1257"/>
      <c r="W60" s="1257"/>
      <c r="X60" s="1257"/>
      <c r="Y60" s="239" t="str">
        <f t="shared" si="27"/>
        <v/>
      </c>
      <c r="Z60" s="239" t="str">
        <f t="shared" si="28"/>
        <v/>
      </c>
      <c r="AA60" s="439" t="str">
        <f t="shared" si="29"/>
        <v/>
      </c>
      <c r="AB60" s="542"/>
      <c r="AC60" s="1253" t="str">
        <f t="shared" si="17"/>
        <v/>
      </c>
      <c r="AD60" s="1166"/>
      <c r="AE60" s="1166"/>
      <c r="AF60" s="1166"/>
      <c r="AG60" s="1166"/>
      <c r="AH60" s="1166"/>
      <c r="AK60">
        <f>SUMIFS(Installations!CS$39:CS$800,Installations!CT$39:CT$800,E60,Installations!HX$39:HX$800,TRUE)</f>
        <v>0</v>
      </c>
      <c r="AL60">
        <f>SUMIFS(Installations!CS$39:CS$800,Installations!CT$39:CT$800,R60,Installations!HX$39:HX$800,TRUE)</f>
        <v>0</v>
      </c>
      <c r="BL60" s="9"/>
      <c r="BM60" s="703" t="str">
        <f t="shared" si="18"/>
        <v/>
      </c>
      <c r="BN60" s="52"/>
      <c r="BO60" s="52"/>
      <c r="BP60" s="52"/>
      <c r="BQ60" s="52"/>
      <c r="BR60" s="52"/>
      <c r="BS60" s="52"/>
      <c r="BT60" s="52"/>
      <c r="BU60" s="414"/>
      <c r="BV60" s="255" t="str">
        <f>IF(CN60&lt;&gt;"Yes","",IFERROR(VLOOKUP(CU60,Existing!A$4:F$364,2,FALSE),""))</f>
        <v/>
      </c>
      <c r="BW60" s="9">
        <v>34</v>
      </c>
      <c r="BX60" s="1313"/>
      <c r="BY60" s="1314"/>
      <c r="BZ60" s="1314"/>
      <c r="CA60" s="1315"/>
      <c r="CB60" s="1310"/>
      <c r="CC60" s="1311"/>
      <c r="CD60" s="1311"/>
      <c r="CE60" s="1312"/>
      <c r="CF60" s="1309"/>
      <c r="CG60" s="1309"/>
      <c r="CH60" s="1309"/>
      <c r="CI60" s="1309"/>
      <c r="CJ60" s="1309"/>
      <c r="CK60" s="1309"/>
      <c r="CL60" s="1309"/>
      <c r="CM60" s="1309"/>
      <c r="CN60" s="1243" t="str">
        <f t="shared" si="32"/>
        <v/>
      </c>
      <c r="CO60" s="1244"/>
      <c r="CP60" s="265" t="str">
        <f>IFERROR(IF(CB60="Existing TLED",CR60*CW60*CY60,VLOOKUP(CU60,Existing!A$3:F$353,6,FALSE)),"")</f>
        <v/>
      </c>
      <c r="CQ60" s="9"/>
      <c r="CR60" s="1343"/>
      <c r="CS60" s="1344"/>
      <c r="CT60" s="9"/>
      <c r="CU60" s="470" t="str">
        <f t="shared" si="21"/>
        <v/>
      </c>
      <c r="CV60" s="471" t="b">
        <f t="shared" si="22"/>
        <v>0</v>
      </c>
      <c r="CW60" s="471" t="str">
        <f t="shared" si="23"/>
        <v/>
      </c>
      <c r="CX60" s="471">
        <f>IFERROR(VLOOKUP(CF60,Lookup!M$100:O$102,3,FALSE),0)</f>
        <v>0</v>
      </c>
      <c r="CY60" s="471">
        <f t="shared" si="9"/>
        <v>1.1100000000000001</v>
      </c>
      <c r="CZ60" s="707" t="b">
        <f t="shared" si="33"/>
        <v>0</v>
      </c>
      <c r="DA60" s="707" t="b">
        <f>IF(CF60&lt;&gt;"",IF(ISERROR(MATCH(CONCATENATE(CB60," - ",CF60),Existing!G$4:G$328,0))=TRUE,FALSE,TRUE),TRUE)</f>
        <v>1</v>
      </c>
      <c r="DB60" s="707" t="b">
        <f t="shared" si="34"/>
        <v>1</v>
      </c>
      <c r="DL60" s="9"/>
      <c r="DM60" s="708" t="s">
        <v>166</v>
      </c>
      <c r="DN60" s="416" t="str">
        <f t="shared" si="35"/>
        <v/>
      </c>
      <c r="DO60" s="52"/>
      <c r="DP60" s="52"/>
      <c r="DQ60" s="52"/>
      <c r="DR60" s="52"/>
      <c r="DS60" s="52"/>
      <c r="DT60" s="262"/>
      <c r="DU60" s="417"/>
      <c r="DV60" s="263" t="str">
        <f t="shared" si="36"/>
        <v/>
      </c>
      <c r="DW60" s="260">
        <v>34</v>
      </c>
      <c r="DX60" s="1306"/>
      <c r="DY60" s="1307"/>
      <c r="DZ60" s="1307"/>
      <c r="EA60" s="1308"/>
      <c r="EB60" s="1306"/>
      <c r="EC60" s="1307"/>
      <c r="ED60" s="1307"/>
      <c r="EE60" s="1308"/>
      <c r="EF60" s="1266"/>
      <c r="EG60" s="1267"/>
      <c r="EH60" s="1306"/>
      <c r="EI60" s="1307"/>
      <c r="EJ60" s="1307"/>
      <c r="EK60" s="1308"/>
      <c r="EL60" s="1263"/>
      <c r="EM60" s="1264"/>
      <c r="EN60" s="1264"/>
      <c r="EO60" s="1265"/>
      <c r="EP60" s="1266"/>
      <c r="EQ60" s="1267"/>
      <c r="ER60" s="1245"/>
      <c r="ES60" s="1246"/>
      <c r="ET60" s="1243" t="str">
        <f t="shared" si="5"/>
        <v/>
      </c>
      <c r="EU60" s="1244"/>
      <c r="EV60" s="1243" t="str">
        <f t="shared" si="30"/>
        <v/>
      </c>
      <c r="EW60" s="1244"/>
      <c r="EX60" s="438"/>
      <c r="EY60" s="261" t="str">
        <f t="shared" si="37"/>
        <v/>
      </c>
      <c r="EZ60" s="261" t="str">
        <f>IFERROR(VLOOKUP(EB60,Lookup!AM$3:AN$13,2,FALSE),"")</f>
        <v/>
      </c>
      <c r="FA60" s="471" t="b">
        <f>IFERROR(IF(VLOOKUP(EB60,Lookup!AM$6:AN$8,2,FALSE)&gt;3,TRUE,FALSE),FALSE)</f>
        <v>0</v>
      </c>
      <c r="FB60" s="471">
        <f t="shared" si="11"/>
        <v>1</v>
      </c>
      <c r="FC60" t="str">
        <f t="shared" ca="1" si="10"/>
        <v/>
      </c>
      <c r="FG60" t="str">
        <f t="shared" ca="1" si="12"/>
        <v/>
      </c>
      <c r="FI60" s="240" t="str">
        <f t="shared" ca="1" si="24"/>
        <v/>
      </c>
      <c r="FK60" s="712" t="str">
        <f ca="1">IF(INDIRECT(CONCATENATE($FK$12,Fixtures!FK$25))="","",IF(INDIRECT(CONCATENATE($FK$12,Fixtures!FK$25))=Fixtures!$DN60,CONCATENATE(FK$10,", "),""))</f>
        <v/>
      </c>
      <c r="FL60" s="712" t="str">
        <f ca="1">IF(INDIRECT(CONCATENATE($FK$12,Fixtures!FL$25))="","",IF(INDIRECT(CONCATENATE($FK$12,Fixtures!FL$25))=Fixtures!$DN60,CONCATENATE(FL$10,", "),""))</f>
        <v/>
      </c>
      <c r="FM60" s="712" t="str">
        <f ca="1">IF(INDIRECT(CONCATENATE($FK$12,Fixtures!FM$25))="","",IF(INDIRECT(CONCATENATE($FK$12,Fixtures!FM$25))=Fixtures!$DN60,CONCATENATE(FM$10,", "),""))</f>
        <v/>
      </c>
      <c r="FN60" s="712" t="str">
        <f ca="1">IF(INDIRECT(CONCATENATE($FK$12,Fixtures!FN$25))="","",IF(INDIRECT(CONCATENATE($FK$12,Fixtures!FN$25))=Fixtures!$DN60,CONCATENATE(FN$10,", "),""))</f>
        <v/>
      </c>
      <c r="FO60" s="712" t="str">
        <f ca="1">IF(INDIRECT(CONCATENATE($FK$12,Fixtures!FO$25))="","",IF(INDIRECT(CONCATENATE($FK$12,Fixtures!FO$25))=Fixtures!$DN60,CONCATENATE(FO$10,", "),""))</f>
        <v/>
      </c>
      <c r="FP60" s="712" t="str">
        <f ca="1">IF(INDIRECT(CONCATENATE($FK$12,Fixtures!FP$25))="","",IF(INDIRECT(CONCATENATE($FK$12,Fixtures!FP$25))=Fixtures!$DN60,CONCATENATE(FP$10,", "),""))</f>
        <v/>
      </c>
      <c r="FQ60" s="712" t="str">
        <f ca="1">IF(INDIRECT(CONCATENATE($FK$12,Fixtures!FQ$25))="","",IF(INDIRECT(CONCATENATE($FK$12,Fixtures!FQ$25))=Fixtures!$DN60,CONCATENATE(FQ$10,", "),""))</f>
        <v/>
      </c>
      <c r="FR60" s="712" t="str">
        <f ca="1">IF(INDIRECT(CONCATENATE($FK$12,Fixtures!FR$25))="","",IF(INDIRECT(CONCATENATE($FK$12,Fixtures!FR$25))=Fixtures!$DN60,CONCATENATE(FR$10,", "),""))</f>
        <v/>
      </c>
      <c r="FS60" s="712" t="str">
        <f ca="1">IF(INDIRECT(CONCATENATE($FK$12,Fixtures!FS$25))="","",IF(INDIRECT(CONCATENATE($FK$12,Fixtures!FS$25))=Fixtures!$DN60,CONCATENATE(FS$10,", "),""))</f>
        <v/>
      </c>
      <c r="FT60" s="682" t="str">
        <f ca="1">IF(INDIRECT(CONCATENATE($FK$12,Fixtures!FT$25))="","",IF(INDIRECT(CONCATENATE($FK$12,Fixtures!FT$25))=Fixtures!$DN60,CONCATENATE(FT$10,", "),""))</f>
        <v/>
      </c>
      <c r="FU60" s="683" t="str">
        <f ca="1">IF(INDIRECT(CONCATENATE($FK$12,Fixtures!FU$25))="","",IF(INDIRECT(CONCATENATE($FK$12,Fixtures!FU$25))=Fixtures!$DN60,CONCATENATE(FU$10,", "),""))</f>
        <v/>
      </c>
      <c r="FV60" s="712" t="str">
        <f ca="1">IF(INDIRECT(CONCATENATE($FK$12,Fixtures!FV$25))="","",IF(INDIRECT(CONCATENATE($FK$12,Fixtures!FV$25))=Fixtures!$DN60,CONCATENATE(FV$10,", "),""))</f>
        <v/>
      </c>
      <c r="FW60" s="713" t="str">
        <f ca="1">IF(INDIRECT(CONCATENATE($FK$12,Fixtures!FW$25))="","",IF(INDIRECT(CONCATENATE($FK$12,Fixtures!FW$25))=Fixtures!$DN60,CONCATENATE(FW$10,", "),""))</f>
        <v/>
      </c>
      <c r="FX60" s="713" t="str">
        <f ca="1">IF(INDIRECT(CONCATENATE($FK$12,Fixtures!FX$25))="","",IF(INDIRECT(CONCATENATE($FK$12,Fixtures!FX$25))=Fixtures!$DN60,CONCATENATE(FX$10,", "),""))</f>
        <v/>
      </c>
      <c r="FY60" s="713" t="str">
        <f ca="1">IF(INDIRECT(CONCATENATE($FK$12,Fixtures!FY$25))="","",IF(INDIRECT(CONCATENATE($FK$12,Fixtures!FY$25))=Fixtures!$DN60,CONCATENATE(FY$10,", "),""))</f>
        <v/>
      </c>
      <c r="FZ60" s="713" t="str">
        <f ca="1">IF(INDIRECT(CONCATENATE($FK$12,Fixtures!FZ$25))="","",IF(INDIRECT(CONCATENATE($FK$12,Fixtures!FZ$25))=Fixtures!$DN60,CONCATENATE(FZ$10,", "),""))</f>
        <v/>
      </c>
      <c r="GA60" s="713" t="str">
        <f ca="1">IF(INDIRECT(CONCATENATE($FK$12,Fixtures!GA$25))="","",IF(INDIRECT(CONCATENATE($FK$12,Fixtures!GA$25))=Fixtures!$DN60,CONCATENATE(GA$10,", "),""))</f>
        <v/>
      </c>
      <c r="GB60" s="713" t="str">
        <f ca="1">IF(INDIRECT(CONCATENATE($FK$12,Fixtures!GB$25))="","",IF(INDIRECT(CONCATENATE($FK$12,Fixtures!GB$25))=Fixtures!$DN60,CONCATENATE(GB$10,", "),""))</f>
        <v/>
      </c>
      <c r="GC60" s="713" t="str">
        <f ca="1">IF(INDIRECT(CONCATENATE($FK$12,Fixtures!GC$25))="","",IF(INDIRECT(CONCATENATE($FK$12,Fixtures!GC$25))=Fixtures!$DN60,CONCATENATE(GC$10,", "),""))</f>
        <v/>
      </c>
      <c r="GD60" s="713" t="str">
        <f ca="1">IF(INDIRECT(CONCATENATE($FK$12,Fixtures!GD$25))="","",IF(INDIRECT(CONCATENATE($FK$12,Fixtures!GD$25))=Fixtures!$DN60,CONCATENATE(GD$10,", "),""))</f>
        <v/>
      </c>
      <c r="GE60" s="713" t="str">
        <f ca="1">IF(INDIRECT(CONCATENATE($FK$12,Fixtures!GE$25))="","",IF(INDIRECT(CONCATENATE($FK$12,Fixtures!GE$25))=Fixtures!$DN60,CONCATENATE(GE$10,", "),""))</f>
        <v/>
      </c>
      <c r="GF60" s="713" t="str">
        <f ca="1">IF(INDIRECT(CONCATENATE($FK$12,Fixtures!GF$25))="","",IF(INDIRECT(CONCATENATE($FK$12,Fixtures!GF$25))=Fixtures!$DN60,CONCATENATE(GF$10,", "),""))</f>
        <v/>
      </c>
      <c r="GG60" s="713" t="str">
        <f ca="1">IF(INDIRECT(CONCATENATE($FK$12,Fixtures!GG$25))="","",IF(INDIRECT(CONCATENATE($FK$12,Fixtures!GG$25))=Fixtures!$DN60,CONCATENATE(GG$10,", "),""))</f>
        <v/>
      </c>
      <c r="GH60" s="713" t="str">
        <f ca="1">IF(INDIRECT(CONCATENATE($FK$12,Fixtures!GH$25))="","",IF(INDIRECT(CONCATENATE($FK$12,Fixtures!GH$25))=Fixtures!$DN60,CONCATENATE(GH$10,", "),""))</f>
        <v/>
      </c>
      <c r="GI60" s="684" t="str">
        <f ca="1">IF(INDIRECT(CONCATENATE($FK$12,Fixtures!GI$25))="","",IF(INDIRECT(CONCATENATE($FK$12,Fixtures!GI$25))=Fixtures!$DN60,CONCATENATE(GI$10,", "),""))</f>
        <v/>
      </c>
      <c r="GJ60" s="685" t="str">
        <f ca="1">IF(INDIRECT(CONCATENATE($FK$12,Fixtures!GJ$25))="","",IF(INDIRECT(CONCATENATE($FK$12,Fixtures!GJ$25))=Fixtures!$DN60,CONCATENATE(GJ$10,", "),""))</f>
        <v/>
      </c>
      <c r="GK60" s="713" t="str">
        <f ca="1">IF(INDIRECT(CONCATENATE($FK$12,Fixtures!GK$25))="","",IF(INDIRECT(CONCATENATE($FK$12,Fixtures!GK$25))=Fixtures!$DN60,CONCATENATE(GK$10,", "),""))</f>
        <v/>
      </c>
      <c r="GL60" s="713" t="str">
        <f ca="1">IF(INDIRECT(CONCATENATE($FK$12,Fixtures!GL$25))="","",IF(INDIRECT(CONCATENATE($FK$12,Fixtures!GL$25))=Fixtures!$DN60,CONCATENATE(GL$10,", "),""))</f>
        <v/>
      </c>
      <c r="GM60" s="713" t="str">
        <f ca="1">IF(INDIRECT(CONCATENATE($FK$12,Fixtures!GM$25))="","",IF(INDIRECT(CONCATENATE($FK$12,Fixtures!GM$25))=Fixtures!$DN60,CONCATENATE(GM$10,", "),""))</f>
        <v/>
      </c>
      <c r="GN60" s="713" t="str">
        <f ca="1">IF(INDIRECT(CONCATENATE($FK$12,Fixtures!GN$25))="","",IF(INDIRECT(CONCATENATE($FK$12,Fixtures!GN$25))=Fixtures!$DN60,CONCATENATE(GN$10,", "),""))</f>
        <v/>
      </c>
      <c r="GO60" s="713" t="str">
        <f ca="1">IF(INDIRECT(CONCATENATE($FK$12,Fixtures!GO$25))="","",IF(INDIRECT(CONCATENATE($FK$12,Fixtures!GO$25))=Fixtures!$DN60,CONCATENATE(GO$10,", "),""))</f>
        <v/>
      </c>
      <c r="GP60" s="713" t="str">
        <f ca="1">IF(INDIRECT(CONCATENATE($FK$12,Fixtures!GP$25))="","",IF(INDIRECT(CONCATENATE($FK$12,Fixtures!GP$25))=Fixtures!$DN60,CONCATENATE(GP$10,", "),""))</f>
        <v/>
      </c>
      <c r="GQ60" s="713" t="str">
        <f ca="1">IF(INDIRECT(CONCATENATE($FK$12,Fixtures!GQ$25))="","",IF(INDIRECT(CONCATENATE($FK$12,Fixtures!GQ$25))=Fixtures!$DN60,CONCATENATE(GQ$10,", "),""))</f>
        <v/>
      </c>
      <c r="GR60" s="713" t="str">
        <f ca="1">IF(INDIRECT(CONCATENATE($FK$12,Fixtures!GR$25))="","",IF(INDIRECT(CONCATENATE($FK$12,Fixtures!GR$25))=Fixtures!$DN60,CONCATENATE(GR$10,", "),""))</f>
        <v/>
      </c>
      <c r="GS60" s="713" t="str">
        <f ca="1">IF(INDIRECT(CONCATENATE($FK$12,Fixtures!GS$25))="","",IF(INDIRECT(CONCATENATE($FK$12,Fixtures!GS$25))=Fixtures!$DN60,CONCATENATE(GS$10,", "),""))</f>
        <v/>
      </c>
      <c r="GT60" s="713" t="str">
        <f ca="1">IF(INDIRECT(CONCATENATE($FK$12,Fixtures!GT$25))="","",IF(INDIRECT(CONCATENATE($FK$12,Fixtures!GT$25))=Fixtures!$DN60,CONCATENATE(GT$10,", "),""))</f>
        <v/>
      </c>
      <c r="GU60" s="713" t="str">
        <f ca="1">IF(INDIRECT(CONCATENATE($FK$12,Fixtures!GU$25))="","",IF(INDIRECT(CONCATENATE($FK$12,Fixtures!GU$25))=Fixtures!$DN60,CONCATENATE(GU$10,", "),""))</f>
        <v/>
      </c>
      <c r="GV60" s="713" t="str">
        <f ca="1">IF(INDIRECT(CONCATENATE($FK$12,Fixtures!GV$25))="","",IF(INDIRECT(CONCATENATE($FK$12,Fixtures!GV$25))=Fixtures!$DN60,CONCATENATE(GV$10,", "),""))</f>
        <v/>
      </c>
      <c r="GW60" s="713" t="str">
        <f ca="1">IF(INDIRECT(CONCATENATE($FK$12,Fixtures!GW$25))="","",IF(INDIRECT(CONCATENATE($FK$12,Fixtures!GW$25))=Fixtures!$DN60,CONCATENATE(GW$10,", "),""))</f>
        <v/>
      </c>
      <c r="GX60" s="684" t="str">
        <f ca="1">IF(INDIRECT(CONCATENATE($FK$12,Fixtures!GX$25))="","",IF(INDIRECT(CONCATENATE($FK$12,Fixtures!GX$25))=Fixtures!$DN60,CONCATENATE(GX$10,", "),""))</f>
        <v/>
      </c>
      <c r="GY60" s="685" t="str">
        <f ca="1">IF(INDIRECT(CONCATENATE($FK$12,Fixtures!GY$25))="","",IF(INDIRECT(CONCATENATE($FK$12,Fixtures!GY$25))=Fixtures!$DN60,CONCATENATE(GY$10,", "),""))</f>
        <v/>
      </c>
      <c r="GZ60" s="713" t="str">
        <f ca="1">IF(INDIRECT(CONCATENATE($FK$12,Fixtures!GZ$25))="","",IF(INDIRECT(CONCATENATE($FK$12,Fixtures!GZ$25))=Fixtures!$DN60,CONCATENATE(GZ$10,", "),""))</f>
        <v/>
      </c>
      <c r="HA60" s="713" t="str">
        <f ca="1">IF(INDIRECT(CONCATENATE($FK$12,Fixtures!HA$25))="","",IF(INDIRECT(CONCATENATE($FK$12,Fixtures!HA$25))=Fixtures!$DN60,CONCATENATE(HA$10,", "),""))</f>
        <v/>
      </c>
      <c r="HB60" s="713" t="str">
        <f ca="1">IF(INDIRECT(CONCATENATE($FK$12,Fixtures!HB$25))="","",IF(INDIRECT(CONCATENATE($FK$12,Fixtures!HB$25))=Fixtures!$DN60,CONCATENATE(HB$10,", "),""))</f>
        <v/>
      </c>
      <c r="HC60" s="713" t="str">
        <f ca="1">IF(INDIRECT(CONCATENATE($FK$12,Fixtures!HC$25))="","",IF(INDIRECT(CONCATENATE($FK$12,Fixtures!HC$25))=Fixtures!$DN60,CONCATENATE(HC$10,", "),""))</f>
        <v/>
      </c>
      <c r="HD60" s="713" t="str">
        <f ca="1">IF(INDIRECT(CONCATENATE($FK$12,Fixtures!HD$25))="","",IF(INDIRECT(CONCATENATE($FK$12,Fixtures!HD$25))=Fixtures!$DN60,CONCATENATE(HD$10,", "),""))</f>
        <v/>
      </c>
      <c r="HE60" s="713" t="str">
        <f ca="1">IF(INDIRECT(CONCATENATE($FK$12,Fixtures!HE$25))="","",IF(INDIRECT(CONCATENATE($FK$12,Fixtures!HE$25))=Fixtures!$DN60,CONCATENATE(HE$10,", "),""))</f>
        <v/>
      </c>
      <c r="HF60" s="713" t="str">
        <f ca="1">IF(INDIRECT(CONCATENATE($FK$12,Fixtures!HF$25))="","",IF(INDIRECT(CONCATENATE($FK$12,Fixtures!HF$25))=Fixtures!$DN60,CONCATENATE(HF$10,", "),""))</f>
        <v/>
      </c>
      <c r="HG60" s="713" t="str">
        <f ca="1">IF(INDIRECT(CONCATENATE($FK$12,Fixtures!HG$25))="","",IF(INDIRECT(CONCATENATE($FK$12,Fixtures!HG$25))=Fixtures!$DN60,CONCATENATE(HG$10,", "),""))</f>
        <v/>
      </c>
      <c r="HH60" s="713" t="str">
        <f ca="1">IF(INDIRECT(CONCATENATE($FK$12,Fixtures!HH$25))="","",IF(INDIRECT(CONCATENATE($FK$12,Fixtures!HH$25))=Fixtures!$DN60,CONCATENATE(HH$10,", "),""))</f>
        <v/>
      </c>
      <c r="HI60" s="713" t="str">
        <f ca="1">IF(INDIRECT(CONCATENATE($FK$12,Fixtures!HI$25))="","",IF(INDIRECT(CONCATENATE($FK$12,Fixtures!HI$25))=Fixtures!$DN60,CONCATENATE(HI$10,", "),""))</f>
        <v/>
      </c>
      <c r="HJ60" s="713" t="str">
        <f ca="1">IF(INDIRECT(CONCATENATE($FK$12,Fixtures!HJ$25))="","",IF(INDIRECT(CONCATENATE($FK$12,Fixtures!HJ$25))=Fixtures!$DN60,CONCATENATE(HJ$10,", "),""))</f>
        <v/>
      </c>
      <c r="HK60" s="713" t="str">
        <f ca="1">IF(INDIRECT(CONCATENATE($FK$12,Fixtures!HK$25))="","",IF(INDIRECT(CONCATENATE($FK$12,Fixtures!HK$25))=Fixtures!$DN60,CONCATENATE(HK$10,", "),""))</f>
        <v/>
      </c>
      <c r="HL60" s="713" t="str">
        <f ca="1">IF(INDIRECT(CONCATENATE($FK$12,Fixtures!HL$25))="","",IF(INDIRECT(CONCATENATE($FK$12,Fixtures!HL$25))=Fixtures!$DN60,CONCATENATE(HL$10,", "),""))</f>
        <v/>
      </c>
      <c r="HM60" s="684" t="str">
        <f ca="1">IF(INDIRECT(CONCATENATE($FK$12,Fixtures!HM$25))="","",IF(INDIRECT(CONCATENATE($FK$12,Fixtures!HM$25))=Fixtures!$DN60,CONCATENATE(HM$10,", "),""))</f>
        <v/>
      </c>
      <c r="HN60" s="685" t="str">
        <f ca="1">IF(INDIRECT(CONCATENATE($FK$12,Fixtures!HN$25))="","",IF(INDIRECT(CONCATENATE($FK$12,Fixtures!HN$25))=Fixtures!$DN60,CONCATENATE(HN$10,", "),""))</f>
        <v/>
      </c>
      <c r="HO60" s="713" t="str">
        <f ca="1">IF(INDIRECT(CONCATENATE($FK$12,Fixtures!HO$25))="","",IF(INDIRECT(CONCATENATE($FK$12,Fixtures!HO$25))=Fixtures!$DN60,CONCATENATE(HO$10,", "),""))</f>
        <v/>
      </c>
      <c r="HP60" s="713" t="str">
        <f ca="1">IF(INDIRECT(CONCATENATE($FK$12,Fixtures!HP$25))="","",IF(INDIRECT(CONCATENATE($FK$12,Fixtures!HP$25))=Fixtures!$DN60,CONCATENATE(HP$10,", "),""))</f>
        <v/>
      </c>
      <c r="HQ60" s="713" t="str">
        <f ca="1">IF(INDIRECT(CONCATENATE($FK$12,Fixtures!HQ$25))="","",IF(INDIRECT(CONCATENATE($FK$12,Fixtures!HQ$25))=Fixtures!$DN60,CONCATENATE(HQ$10,", "),""))</f>
        <v/>
      </c>
      <c r="HR60" s="713" t="str">
        <f ca="1">IF(INDIRECT(CONCATENATE($FK$12,Fixtures!HR$25))="","",IF(INDIRECT(CONCATENATE($FK$12,Fixtures!HR$25))=Fixtures!$DN60,CONCATENATE(HR$10,", "),""))</f>
        <v/>
      </c>
      <c r="HS60" s="713" t="str">
        <f ca="1">IF(INDIRECT(CONCATENATE($FK$12,Fixtures!HS$25))="","",IF(INDIRECT(CONCATENATE($FK$12,Fixtures!HS$25))=Fixtures!$DN60,CONCATENATE(HS$10,", "),""))</f>
        <v/>
      </c>
      <c r="HT60" s="713" t="str">
        <f ca="1">IF(INDIRECT(CONCATENATE($FK$12,Fixtures!HT$25))="","",IF(INDIRECT(CONCATENATE($FK$12,Fixtures!HT$25))=Fixtures!$DN60,CONCATENATE(HT$10,", "),""))</f>
        <v/>
      </c>
      <c r="HU60" s="713" t="str">
        <f ca="1">IF(INDIRECT(CONCATENATE($FK$12,Fixtures!HU$25))="","",IF(INDIRECT(CONCATENATE($FK$12,Fixtures!HU$25))=Fixtures!$DN60,CONCATENATE(HU$10,", "),""))</f>
        <v/>
      </c>
      <c r="HV60" s="713" t="str">
        <f ca="1">IF(INDIRECT(CONCATENATE($FK$12,Fixtures!HV$25))="","",IF(INDIRECT(CONCATENATE($FK$12,Fixtures!HV$25))=Fixtures!$DN60,CONCATENATE(HV$10,", "),""))</f>
        <v/>
      </c>
      <c r="HW60" s="713" t="str">
        <f ca="1">IF(INDIRECT(CONCATENATE($FK$12,Fixtures!HW$25))="","",IF(INDIRECT(CONCATENATE($FK$12,Fixtures!HW$25))=Fixtures!$DN60,CONCATENATE(HW$10,", "),""))</f>
        <v/>
      </c>
      <c r="HX60" s="713" t="str">
        <f ca="1">IF(INDIRECT(CONCATENATE($FK$12,Fixtures!HX$25))="","",IF(INDIRECT(CONCATENATE($FK$12,Fixtures!HX$25))=Fixtures!$DN60,CONCATENATE(HX$10,", "),""))</f>
        <v/>
      </c>
      <c r="HY60" s="713" t="str">
        <f ca="1">IF(INDIRECT(CONCATENATE($FK$12,Fixtures!HY$25))="","",IF(INDIRECT(CONCATENATE($FK$12,Fixtures!HY$25))=Fixtures!$DN60,CONCATENATE(HY$10,", "),""))</f>
        <v/>
      </c>
      <c r="HZ60" s="713" t="str">
        <f ca="1">IF(INDIRECT(CONCATENATE($FK$12,Fixtures!HZ$25))="","",IF(INDIRECT(CONCATENATE($FK$12,Fixtures!HZ$25))=Fixtures!$DN60,CONCATENATE(HZ$10,", "),""))</f>
        <v/>
      </c>
      <c r="IA60" s="713" t="str">
        <f ca="1">IF(INDIRECT(CONCATENATE($FK$12,Fixtures!IA$25))="","",IF(INDIRECT(CONCATENATE($FK$12,Fixtures!IA$25))=Fixtures!$DN60,CONCATENATE(IA$10,", "),""))</f>
        <v/>
      </c>
      <c r="IB60" s="684" t="str">
        <f ca="1">IF(INDIRECT(CONCATENATE($FK$12,Fixtures!IB$25))="","",IF(INDIRECT(CONCATENATE($FK$12,Fixtures!IB$25))=Fixtures!$DN60,CONCATENATE(IB$10,", "),""))</f>
        <v/>
      </c>
      <c r="IC60" s="685" t="str">
        <f ca="1">IF(INDIRECT(CONCATENATE($FK$12,Fixtures!IC$25))="","",IF(INDIRECT(CONCATENATE($FK$12,Fixtures!IC$25))=Fixtures!$DN60,CONCATENATE(IC$10,", "),""))</f>
        <v/>
      </c>
      <c r="ID60" s="713" t="str">
        <f ca="1">IF(INDIRECT(CONCATENATE($FK$12,Fixtures!ID$25))="","",IF(INDIRECT(CONCATENATE($FK$12,Fixtures!ID$25))=Fixtures!$DN60,CONCATENATE(ID$10,", "),""))</f>
        <v/>
      </c>
      <c r="IE60" s="713" t="str">
        <f ca="1">IF(INDIRECT(CONCATENATE($FK$12,Fixtures!IE$25))="","",IF(INDIRECT(CONCATENATE($FK$12,Fixtures!IE$25))=Fixtures!$DN60,CONCATENATE(IE$10,", "),""))</f>
        <v/>
      </c>
      <c r="IF60" s="713" t="str">
        <f ca="1">IF(INDIRECT(CONCATENATE($FK$12,Fixtures!IF$25))="","",IF(INDIRECT(CONCATENATE($FK$12,Fixtures!IF$25))=Fixtures!$DN60,CONCATENATE(IF$10,", "),""))</f>
        <v/>
      </c>
      <c r="IG60" s="713" t="str">
        <f ca="1">IF(INDIRECT(CONCATENATE($FK$12,Fixtures!IG$25))="","",IF(INDIRECT(CONCATENATE($FK$12,Fixtures!IG$25))=Fixtures!$DN60,CONCATENATE(IG$10,", "),""))</f>
        <v/>
      </c>
      <c r="IH60" s="713" t="str">
        <f ca="1">IF(INDIRECT(CONCATENATE($FK$12,Fixtures!IH$25))="","",IF(INDIRECT(CONCATENATE($FK$12,Fixtures!IH$25))=Fixtures!$DN60,CONCATENATE(IH$10,", "),""))</f>
        <v/>
      </c>
      <c r="II60" s="713" t="str">
        <f ca="1">IF(INDIRECT(CONCATENATE($FK$12,Fixtures!II$25))="","",IF(INDIRECT(CONCATENATE($FK$12,Fixtures!II$25))=Fixtures!$DN60,CONCATENATE(II$10,", "),""))</f>
        <v/>
      </c>
      <c r="IJ60" s="713" t="str">
        <f ca="1">IF(INDIRECT(CONCATENATE($FK$12,Fixtures!IJ$25))="","",IF(INDIRECT(CONCATENATE($FK$12,Fixtures!IJ$25))=Fixtures!$DN60,CONCATENATE(IJ$10,", "),""))</f>
        <v/>
      </c>
      <c r="IK60" s="713" t="str">
        <f ca="1">IF(INDIRECT(CONCATENATE($FK$12,Fixtures!IK$25))="","",IF(INDIRECT(CONCATENATE($FK$12,Fixtures!IK$25))=Fixtures!$DN60,CONCATENATE(IK$10,", "),""))</f>
        <v/>
      </c>
      <c r="IL60" s="713" t="str">
        <f ca="1">IF(INDIRECT(CONCATENATE($FK$12,Fixtures!IL$25))="","",IF(INDIRECT(CONCATENATE($FK$12,Fixtures!IL$25))=Fixtures!$DN60,CONCATENATE(IL$10,", "),""))</f>
        <v/>
      </c>
      <c r="IM60" s="713" t="str">
        <f ca="1">IF(INDIRECT(CONCATENATE($FK$12,Fixtures!IM$25))="","",IF(INDIRECT(CONCATENATE($FK$12,Fixtures!IM$25))=Fixtures!$DN60,CONCATENATE(IM$10,", "),""))</f>
        <v/>
      </c>
      <c r="IN60" s="713" t="str">
        <f ca="1">IF(INDIRECT(CONCATENATE($FK$12,Fixtures!IN$25))="","",IF(INDIRECT(CONCATENATE($FK$12,Fixtures!IN$25))=Fixtures!$DN60,CONCATENATE(IN$10,", "),""))</f>
        <v/>
      </c>
      <c r="IO60" s="713" t="str">
        <f ca="1">IF(INDIRECT(CONCATENATE($FK$12,Fixtures!IO$25))="","",IF(INDIRECT(CONCATENATE($FK$12,Fixtures!IO$25))=Fixtures!$DN60,CONCATENATE(IO$10,", "),""))</f>
        <v/>
      </c>
      <c r="IP60" s="713" t="str">
        <f ca="1">IF(INDIRECT(CONCATENATE($FK$12,Fixtures!IP$25))="","",IF(INDIRECT(CONCATENATE($FK$12,Fixtures!IP$25))=Fixtures!$DN60,CONCATENATE(IP$10,", "),""))</f>
        <v/>
      </c>
      <c r="IQ60" s="684" t="str">
        <f ca="1">IF(INDIRECT(CONCATENATE($FK$12,Fixtures!IQ$25))="","",IF(INDIRECT(CONCATENATE($FK$12,Fixtures!IQ$25))=Fixtures!$DN60,CONCATENATE(IQ$10,", "),""))</f>
        <v/>
      </c>
      <c r="IR60" s="685" t="str">
        <f ca="1">IF(INDIRECT(CONCATENATE($FK$12,Fixtures!IR$25))="","",IF(INDIRECT(CONCATENATE($FK$12,Fixtures!IR$25))=Fixtures!$DN60,CONCATENATE(IR$10,", "),""))</f>
        <v/>
      </c>
      <c r="IS60" s="713" t="str">
        <f ca="1">IF(INDIRECT(CONCATENATE($FK$12,Fixtures!IS$25))="","",IF(INDIRECT(CONCATENATE($FK$12,Fixtures!IS$25))=Fixtures!$DN60,CONCATENATE(IS$10,", "),""))</f>
        <v/>
      </c>
      <c r="IT60" s="713" t="str">
        <f ca="1">IF(INDIRECT(CONCATENATE($FK$12,Fixtures!IT$25))="","",IF(INDIRECT(CONCATENATE($FK$12,Fixtures!IT$25))=Fixtures!$DN60,CONCATENATE(IT$10,", "),""))</f>
        <v/>
      </c>
      <c r="IU60" s="713" t="str">
        <f ca="1">IF(INDIRECT(CONCATENATE($FK$12,Fixtures!IU$25))="","",IF(INDIRECT(CONCATENATE($FK$12,Fixtures!IU$25))=Fixtures!$DN60,CONCATENATE(IU$10,", "),""))</f>
        <v/>
      </c>
      <c r="IV60" s="713" t="str">
        <f ca="1">IF(INDIRECT(CONCATENATE($FK$12,Fixtures!IV$25))="","",IF(INDIRECT(CONCATENATE($FK$12,Fixtures!IV$25))=Fixtures!$DN60,CONCATENATE(IV$10,", "),""))</f>
        <v/>
      </c>
      <c r="IW60" s="713" t="str">
        <f ca="1">IF(INDIRECT(CONCATENATE($FK$12,Fixtures!IW$25))="","",IF(INDIRECT(CONCATENATE($FK$12,Fixtures!IW$25))=Fixtures!$DN60,CONCATENATE(IW$10,", "),""))</f>
        <v/>
      </c>
      <c r="IX60" s="713" t="str">
        <f ca="1">IF(INDIRECT(CONCATENATE($FK$12,Fixtures!IX$25))="","",IF(INDIRECT(CONCATENATE($FK$12,Fixtures!IX$25))=Fixtures!$DN60,CONCATENATE(IX$10,", "),""))</f>
        <v/>
      </c>
      <c r="IY60" s="713" t="str">
        <f ca="1">IF(INDIRECT(CONCATENATE($FK$12,Fixtures!IY$25))="","",IF(INDIRECT(CONCATENATE($FK$12,Fixtures!IY$25))=Fixtures!$DN60,CONCATENATE(IY$10,", "),""))</f>
        <v/>
      </c>
      <c r="IZ60" s="713" t="str">
        <f ca="1">IF(INDIRECT(CONCATENATE($FK$12,Fixtures!IZ$25))="","",IF(INDIRECT(CONCATENATE($FK$12,Fixtures!IZ$25))=Fixtures!$DN60,CONCATENATE(IZ$10,", "),""))</f>
        <v/>
      </c>
      <c r="JA60" s="713" t="str">
        <f ca="1">IF(INDIRECT(CONCATENATE($FK$12,Fixtures!JA$25))="","",IF(INDIRECT(CONCATENATE($FK$12,Fixtures!JA$25))=Fixtures!$DN60,CONCATENATE(JA$10,", "),""))</f>
        <v/>
      </c>
      <c r="JB60" s="713" t="str">
        <f ca="1">IF(INDIRECT(CONCATENATE($FK$12,Fixtures!JB$25))="","",IF(INDIRECT(CONCATENATE($FK$12,Fixtures!JB$25))=Fixtures!$DN60,CONCATENATE(JB$10,", "),""))</f>
        <v/>
      </c>
      <c r="JC60" s="713" t="str">
        <f ca="1">IF(INDIRECT(CONCATENATE($FK$12,Fixtures!JC$25))="","",IF(INDIRECT(CONCATENATE($FK$12,Fixtures!JC$25))=Fixtures!$DN60,CONCATENATE(JC$10,", "),""))</f>
        <v/>
      </c>
      <c r="JD60" s="713" t="str">
        <f ca="1">IF(INDIRECT(CONCATENATE($FK$12,Fixtures!JD$25))="","",IF(INDIRECT(CONCATENATE($FK$12,Fixtures!JD$25))=Fixtures!$DN60,CONCATENATE(JD$10,", "),""))</f>
        <v/>
      </c>
      <c r="JE60" s="713" t="str">
        <f ca="1">IF(INDIRECT(CONCATENATE($FK$12,Fixtures!JE$25))="","",IF(INDIRECT(CONCATENATE($FK$12,Fixtures!JE$25))=Fixtures!$DN60,CONCATENATE(JE$10,", "),""))</f>
        <v/>
      </c>
      <c r="JF60" s="684" t="str">
        <f ca="1">IF(INDIRECT(CONCATENATE($FK$12,Fixtures!JF$25))="","",IF(INDIRECT(CONCATENATE($FK$12,Fixtures!JF$25))=Fixtures!$DN60,CONCATENATE(JF$10,", "),""))</f>
        <v/>
      </c>
      <c r="JG60" s="685" t="str">
        <f ca="1">IF(INDIRECT(CONCATENATE($FK$12,Fixtures!JG$25))="","",IF(INDIRECT(CONCATENATE($FK$12,Fixtures!JG$25))=Fixtures!$DN60,CONCATENATE(JG$10,", "),""))</f>
        <v/>
      </c>
      <c r="JH60" s="713" t="str">
        <f ca="1">IF(INDIRECT(CONCATENATE($FK$12,Fixtures!JH$25))="","",IF(INDIRECT(CONCATENATE($FK$12,Fixtures!JH$25))=Fixtures!$DN60,CONCATENATE(JH$10,", "),""))</f>
        <v/>
      </c>
      <c r="JI60" s="713" t="str">
        <f ca="1">IF(INDIRECT(CONCATENATE($FK$12,Fixtures!JI$25))="","",IF(INDIRECT(CONCATENATE($FK$12,Fixtures!JI$25))=Fixtures!$DN60,CONCATENATE(JI$10,", "),""))</f>
        <v/>
      </c>
      <c r="JJ60" s="713" t="str">
        <f ca="1">IF(INDIRECT(CONCATENATE($FK$12,Fixtures!JJ$25))="","",IF(INDIRECT(CONCATENATE($FK$12,Fixtures!JJ$25))=Fixtures!$DN60,CONCATENATE(JJ$10,", "),""))</f>
        <v/>
      </c>
      <c r="JK60" s="713" t="str">
        <f ca="1">IF(INDIRECT(CONCATENATE($FK$12,Fixtures!JK$25))="","",IF(INDIRECT(CONCATENATE($FK$12,Fixtures!JK$25))=Fixtures!$DN60,CONCATENATE(JK$10,", "),""))</f>
        <v/>
      </c>
      <c r="JL60" s="713" t="str">
        <f ca="1">IF(INDIRECT(CONCATENATE($FK$12,Fixtures!JL$25))="","",IF(INDIRECT(CONCATENATE($FK$12,Fixtures!JL$25))=Fixtures!$DN60,CONCATENATE(JL$10,", "),""))</f>
        <v/>
      </c>
      <c r="JM60" s="713" t="str">
        <f ca="1">IF(INDIRECT(CONCATENATE($FK$12,Fixtures!JM$25))="","",IF(INDIRECT(CONCATENATE($FK$12,Fixtures!JM$25))=Fixtures!$DN60,CONCATENATE(JM$10,", "),""))</f>
        <v/>
      </c>
      <c r="JN60" s="713" t="str">
        <f ca="1">IF(INDIRECT(CONCATENATE($FK$12,Fixtures!JN$25))="","",IF(INDIRECT(CONCATENATE($FK$12,Fixtures!JN$25))=Fixtures!$DN60,CONCATENATE(JN$10,", "),""))</f>
        <v/>
      </c>
      <c r="JO60" s="713" t="str">
        <f ca="1">IF(INDIRECT(CONCATENATE($FK$12,Fixtures!JO$25))="","",IF(INDIRECT(CONCATENATE($FK$12,Fixtures!JO$25))=Fixtures!$DN60,CONCATENATE(JO$10,", "),""))</f>
        <v/>
      </c>
      <c r="JP60" s="713" t="str">
        <f ca="1">IF(INDIRECT(CONCATENATE($FK$12,Fixtures!JP$25))="","",IF(INDIRECT(CONCATENATE($FK$12,Fixtures!JP$25))=Fixtures!$DN60,CONCATENATE(JP$10,", "),""))</f>
        <v/>
      </c>
      <c r="JQ60" s="713" t="str">
        <f ca="1">IF(INDIRECT(CONCATENATE($FK$12,Fixtures!JQ$25))="","",IF(INDIRECT(CONCATENATE($FK$12,Fixtures!JQ$25))=Fixtures!$DN60,CONCATENATE(JQ$10,", "),""))</f>
        <v/>
      </c>
      <c r="JR60" s="713" t="str">
        <f ca="1">IF(INDIRECT(CONCATENATE($FK$12,Fixtures!JR$25))="","",IF(INDIRECT(CONCATENATE($FK$12,Fixtures!JR$25))=Fixtures!$DN60,CONCATENATE(JR$10,", "),""))</f>
        <v/>
      </c>
      <c r="JS60" s="713" t="str">
        <f ca="1">IF(INDIRECT(CONCATENATE($FK$12,Fixtures!JS$25))="","",IF(INDIRECT(CONCATENATE($FK$12,Fixtures!JS$25))=Fixtures!$DN60,CONCATENATE(JS$10,", "),""))</f>
        <v/>
      </c>
      <c r="JT60" s="713" t="str">
        <f ca="1">IF(INDIRECT(CONCATENATE($FK$12,Fixtures!JT$25))="","",IF(INDIRECT(CONCATENATE($FK$12,Fixtures!JT$25))=Fixtures!$DN60,CONCATENATE(JT$10,", "),""))</f>
        <v/>
      </c>
      <c r="JU60" s="684" t="str">
        <f ca="1">IF(INDIRECT(CONCATENATE($FK$12,Fixtures!JU$25))="","",IF(INDIRECT(CONCATENATE($FK$12,Fixtures!JU$25))=Fixtures!$DN60,CONCATENATE(JU$10,", "),""))</f>
        <v/>
      </c>
      <c r="JV60" s="685" t="str">
        <f ca="1">IF(INDIRECT(CONCATENATE($FK$12,Fixtures!JV$25))="","",IF(INDIRECT(CONCATENATE($FK$12,Fixtures!JV$25))=Fixtures!$DN60,CONCATENATE(JV$10,", "),""))</f>
        <v/>
      </c>
      <c r="JW60" s="713" t="str">
        <f ca="1">IF(INDIRECT(CONCATENATE($FK$12,Fixtures!JW$25))="","",IF(INDIRECT(CONCATENATE($FK$12,Fixtures!JW$25))=Fixtures!$DN60,CONCATENATE(JW$10,", "),""))</f>
        <v/>
      </c>
      <c r="JX60" s="713" t="str">
        <f ca="1">IF(INDIRECT(CONCATENATE($FK$12,Fixtures!JX$25))="","",IF(INDIRECT(CONCATENATE($FK$12,Fixtures!JX$25))=Fixtures!$DN60,CONCATENATE(JX$10,", "),""))</f>
        <v/>
      </c>
      <c r="JY60" s="713" t="str">
        <f ca="1">IF(INDIRECT(CONCATENATE($FK$12,Fixtures!JY$25))="","",IF(INDIRECT(CONCATENATE($FK$12,Fixtures!JY$25))=Fixtures!$DN60,CONCATENATE(JY$10,", "),""))</f>
        <v/>
      </c>
      <c r="JZ60" s="713" t="str">
        <f ca="1">IF(INDIRECT(CONCATENATE($FK$12,Fixtures!JZ$25))="","",IF(INDIRECT(CONCATENATE($FK$12,Fixtures!JZ$25))=Fixtures!$DN60,CONCATENATE(JZ$10,", "),""))</f>
        <v/>
      </c>
      <c r="KA60" s="713" t="str">
        <f ca="1">IF(INDIRECT(CONCATENATE($FK$12,Fixtures!KA$25))="","",IF(INDIRECT(CONCATENATE($FK$12,Fixtures!KA$25))=Fixtures!$DN60,CONCATENATE(KA$10,", "),""))</f>
        <v/>
      </c>
      <c r="KB60" s="713" t="str">
        <f ca="1">IF(INDIRECT(CONCATENATE($FK$12,Fixtures!KB$25))="","",IF(INDIRECT(CONCATENATE($FK$12,Fixtures!KB$25))=Fixtures!$DN60,CONCATENATE(KB$10,", "),""))</f>
        <v/>
      </c>
      <c r="KC60" s="713" t="str">
        <f ca="1">IF(INDIRECT(CONCATENATE($FK$12,Fixtures!KC$25))="","",IF(INDIRECT(CONCATENATE($FK$12,Fixtures!KC$25))=Fixtures!$DN60,CONCATENATE(KC$10,", "),""))</f>
        <v/>
      </c>
      <c r="KD60" s="713" t="str">
        <f ca="1">IF(INDIRECT(CONCATENATE($FK$12,Fixtures!KD$25))="","",IF(INDIRECT(CONCATENATE($FK$12,Fixtures!KD$25))=Fixtures!$DN60,CONCATENATE(KD$10,", "),""))</f>
        <v/>
      </c>
      <c r="KE60" s="713" t="str">
        <f ca="1">IF(INDIRECT(CONCATENATE($FK$12,Fixtures!KE$25))="","",IF(INDIRECT(CONCATENATE($FK$12,Fixtures!KE$25))=Fixtures!$DN60,CONCATENATE(KE$10,", "),""))</f>
        <v/>
      </c>
      <c r="KF60" s="713" t="str">
        <f ca="1">IF(INDIRECT(CONCATENATE($FK$12,Fixtures!KF$25))="","",IF(INDIRECT(CONCATENATE($FK$12,Fixtures!KF$25))=Fixtures!$DN60,CONCATENATE(KF$10,", "),""))</f>
        <v/>
      </c>
      <c r="KG60" s="713" t="str">
        <f ca="1">IF(INDIRECT(CONCATENATE($FK$12,Fixtures!KG$25))="","",IF(INDIRECT(CONCATENATE($FK$12,Fixtures!KG$25))=Fixtures!$DN60,CONCATENATE(KG$10,", "),""))</f>
        <v/>
      </c>
      <c r="KH60" s="713" t="str">
        <f ca="1">IF(INDIRECT(CONCATENATE($FK$12,Fixtures!KH$25))="","",IF(INDIRECT(CONCATENATE($FK$12,Fixtures!KH$25))=Fixtures!$DN60,CONCATENATE(KH$10,", "),""))</f>
        <v/>
      </c>
      <c r="KI60" s="713" t="str">
        <f ca="1">IF(INDIRECT(CONCATENATE($FK$12,Fixtures!KI$25))="","",IF(INDIRECT(CONCATENATE($FK$12,Fixtures!KI$25))=Fixtures!$DN60,CONCATENATE(KI$10,", "),""))</f>
        <v/>
      </c>
      <c r="KJ60" s="684" t="str">
        <f ca="1">IF(INDIRECT(CONCATENATE($FK$12,Fixtures!KJ$25))="","",IF(INDIRECT(CONCATENATE($FK$12,Fixtures!KJ$25))=Fixtures!$DN60,CONCATENATE(KJ$10,", "),""))</f>
        <v/>
      </c>
      <c r="KK60" s="685" t="str">
        <f ca="1">IF(INDIRECT(CONCATENATE($FK$12,Fixtures!KK$25))="","",IF(INDIRECT(CONCATENATE($FK$12,Fixtures!KK$25))=Fixtures!$DN60,CONCATENATE(KK$10,", "),""))</f>
        <v/>
      </c>
      <c r="KL60" s="713" t="str">
        <f ca="1">IF(INDIRECT(CONCATENATE($FK$12,Fixtures!KL$25))="","",IF(INDIRECT(CONCATENATE($FK$12,Fixtures!KL$25))=Fixtures!$DN60,CONCATENATE(KL$10,", "),""))</f>
        <v/>
      </c>
      <c r="KM60" s="713" t="str">
        <f ca="1">IF(INDIRECT(CONCATENATE($FK$12,Fixtures!KM$25))="","",IF(INDIRECT(CONCATENATE($FK$12,Fixtures!KM$25))=Fixtures!$DN60,CONCATENATE(KM$10,", "),""))</f>
        <v/>
      </c>
      <c r="KN60" s="713" t="str">
        <f ca="1">IF(INDIRECT(CONCATENATE($FK$12,Fixtures!KN$25))="","",IF(INDIRECT(CONCATENATE($FK$12,Fixtures!KN$25))=Fixtures!$DN60,CONCATENATE(KN$10,", "),""))</f>
        <v/>
      </c>
      <c r="KO60" s="713" t="str">
        <f ca="1">IF(INDIRECT(CONCATENATE($FK$12,Fixtures!KO$25))="","",IF(INDIRECT(CONCATENATE($FK$12,Fixtures!KO$25))=Fixtures!$DN60,CONCATENATE(KO$10,", "),""))</f>
        <v/>
      </c>
      <c r="KP60" s="713" t="str">
        <f ca="1">IF(INDIRECT(CONCATENATE($FK$12,Fixtures!KP$25))="","",IF(INDIRECT(CONCATENATE($FK$12,Fixtures!KP$25))=Fixtures!$DN60,CONCATENATE(KP$10,", "),""))</f>
        <v/>
      </c>
      <c r="KQ60" s="713" t="str">
        <f ca="1">IF(INDIRECT(CONCATENATE($FK$12,Fixtures!KQ$25))="","",IF(INDIRECT(CONCATENATE($FK$12,Fixtures!KQ$25))=Fixtures!$DN60,CONCATENATE(KQ$10,", "),""))</f>
        <v/>
      </c>
      <c r="KR60" s="713" t="str">
        <f ca="1">IF(INDIRECT(CONCATENATE($FK$12,Fixtures!KR$25))="","",IF(INDIRECT(CONCATENATE($FK$12,Fixtures!KR$25))=Fixtures!$DN60,CONCATENATE(KR$10,", "),""))</f>
        <v/>
      </c>
      <c r="KS60" s="713" t="str">
        <f ca="1">IF(INDIRECT(CONCATENATE($FK$12,Fixtures!KS$25))="","",IF(INDIRECT(CONCATENATE($FK$12,Fixtures!KS$25))=Fixtures!$DN60,CONCATENATE(KS$10,", "),""))</f>
        <v/>
      </c>
      <c r="KT60" s="713" t="str">
        <f ca="1">IF(INDIRECT(CONCATENATE($FK$12,Fixtures!KT$25))="","",IF(INDIRECT(CONCATENATE($FK$12,Fixtures!KT$25))=Fixtures!$DN60,CONCATENATE(KT$10,", "),""))</f>
        <v/>
      </c>
      <c r="KU60" s="713" t="str">
        <f ca="1">IF(INDIRECT(CONCATENATE($FK$12,Fixtures!KU$25))="","",IF(INDIRECT(CONCATENATE($FK$12,Fixtures!KU$25))=Fixtures!$DN60,CONCATENATE(KU$10,", "),""))</f>
        <v/>
      </c>
      <c r="KV60" s="713" t="str">
        <f ca="1">IF(INDIRECT(CONCATENATE($FK$12,Fixtures!KV$25))="","",IF(INDIRECT(CONCATENATE($FK$12,Fixtures!KV$25))=Fixtures!$DN60,CONCATENATE(KV$10,", "),""))</f>
        <v/>
      </c>
      <c r="KW60" s="713" t="str">
        <f ca="1">IF(INDIRECT(CONCATENATE($FK$12,Fixtures!KW$25))="","",IF(INDIRECT(CONCATENATE($FK$12,Fixtures!KW$25))=Fixtures!$DN60,CONCATENATE(KW$10,", "),""))</f>
        <v/>
      </c>
      <c r="KX60" s="713" t="str">
        <f ca="1">IF(INDIRECT(CONCATENATE($FK$12,Fixtures!KX$25))="","",IF(INDIRECT(CONCATENATE($FK$12,Fixtures!KX$25))=Fixtures!$DN60,CONCATENATE(KX$10,", "),""))</f>
        <v/>
      </c>
      <c r="KY60" s="713" t="str">
        <f ca="1">IF(INDIRECT(CONCATENATE($FK$12,Fixtures!KY$25))="","",IF(INDIRECT(CONCATENATE($FK$12,Fixtures!KY$25))=Fixtures!$DN60,CONCATENATE(KY$10,", "),""))</f>
        <v/>
      </c>
      <c r="KZ60" s="602"/>
      <c r="LA60" s="46" t="str">
        <f t="shared" ca="1" si="38"/>
        <v/>
      </c>
    </row>
    <row r="61" spans="1:313" ht="28.05" customHeight="1" thickTop="1" thickBot="1">
      <c r="A61" s="471" t="str">
        <f t="shared" si="13"/>
        <v/>
      </c>
      <c r="C61" s="1328" t="str">
        <f t="shared" si="14"/>
        <v/>
      </c>
      <c r="D61" s="1329"/>
      <c r="E61" s="1256" t="str">
        <f t="shared" si="15"/>
        <v/>
      </c>
      <c r="F61" s="1257"/>
      <c r="G61" s="1257"/>
      <c r="H61" s="1257"/>
      <c r="I61" s="1257"/>
      <c r="J61" s="1257"/>
      <c r="K61" s="1257"/>
      <c r="L61" s="1257"/>
      <c r="M61" s="1330"/>
      <c r="N61" s="239" t="str">
        <f t="shared" si="16"/>
        <v/>
      </c>
      <c r="O61" s="12"/>
      <c r="P61" s="1326" t="str">
        <f t="shared" si="25"/>
        <v/>
      </c>
      <c r="Q61" s="1327"/>
      <c r="R61" s="1256" t="str">
        <f t="shared" si="31"/>
        <v/>
      </c>
      <c r="S61" s="1257"/>
      <c r="T61" s="1257"/>
      <c r="U61" s="1257"/>
      <c r="V61" s="1257"/>
      <c r="W61" s="1257"/>
      <c r="X61" s="1257"/>
      <c r="Y61" s="239" t="str">
        <f t="shared" si="27"/>
        <v/>
      </c>
      <c r="Z61" s="239" t="str">
        <f t="shared" si="28"/>
        <v/>
      </c>
      <c r="AA61" s="439" t="str">
        <f t="shared" si="29"/>
        <v/>
      </c>
      <c r="AB61" s="542"/>
      <c r="AC61" s="1253" t="str">
        <f t="shared" si="17"/>
        <v/>
      </c>
      <c r="AD61" s="1166"/>
      <c r="AE61" s="1166"/>
      <c r="AF61" s="1166"/>
      <c r="AG61" s="1166"/>
      <c r="AH61" s="1166"/>
      <c r="AK61">
        <f>SUMIFS(Installations!CS$39:CS$800,Installations!CT$39:CT$800,E61,Installations!HX$39:HX$800,TRUE)</f>
        <v>0</v>
      </c>
      <c r="AL61">
        <f>SUMIFS(Installations!CS$39:CS$800,Installations!CT$39:CT$800,R61,Installations!HX$39:HX$800,TRUE)</f>
        <v>0</v>
      </c>
      <c r="BL61" s="9"/>
      <c r="BM61" s="703" t="str">
        <f t="shared" si="18"/>
        <v/>
      </c>
      <c r="BN61" s="52"/>
      <c r="BO61" s="52"/>
      <c r="BP61" s="52"/>
      <c r="BQ61" s="52"/>
      <c r="BR61" s="52"/>
      <c r="BS61" s="52"/>
      <c r="BT61" s="52"/>
      <c r="BU61" s="414"/>
      <c r="BV61" s="255" t="str">
        <f>IF(CN61&lt;&gt;"Yes","",IFERROR(VLOOKUP(CU61,Existing!A$4:F$364,2,FALSE),""))</f>
        <v/>
      </c>
      <c r="BW61" s="9">
        <v>35</v>
      </c>
      <c r="BX61" s="1313"/>
      <c r="BY61" s="1314"/>
      <c r="BZ61" s="1314"/>
      <c r="CA61" s="1315"/>
      <c r="CB61" s="1310"/>
      <c r="CC61" s="1311"/>
      <c r="CD61" s="1311"/>
      <c r="CE61" s="1312"/>
      <c r="CF61" s="1309"/>
      <c r="CG61" s="1309"/>
      <c r="CH61" s="1309"/>
      <c r="CI61" s="1309"/>
      <c r="CJ61" s="1309"/>
      <c r="CK61" s="1309"/>
      <c r="CL61" s="1309"/>
      <c r="CM61" s="1309"/>
      <c r="CN61" s="1243" t="str">
        <f t="shared" si="32"/>
        <v/>
      </c>
      <c r="CO61" s="1244"/>
      <c r="CP61" s="265" t="str">
        <f>IFERROR(IF(CB61="Existing TLED",CR61*CW61*CY61,VLOOKUP(CU61,Existing!A$3:F$353,6,FALSE)),"")</f>
        <v/>
      </c>
      <c r="CQ61" s="9"/>
      <c r="CR61" s="1343"/>
      <c r="CS61" s="1344"/>
      <c r="CT61" s="9"/>
      <c r="CU61" s="470" t="str">
        <f t="shared" si="21"/>
        <v/>
      </c>
      <c r="CV61" s="471" t="b">
        <f t="shared" si="22"/>
        <v>0</v>
      </c>
      <c r="CW61" s="471" t="str">
        <f t="shared" si="23"/>
        <v/>
      </c>
      <c r="CX61" s="471">
        <f>IFERROR(VLOOKUP(CF61,Lookup!M$100:O$102,3,FALSE),0)</f>
        <v>0</v>
      </c>
      <c r="CY61" s="471">
        <f t="shared" si="9"/>
        <v>1.1100000000000001</v>
      </c>
      <c r="CZ61" s="707" t="b">
        <f t="shared" si="33"/>
        <v>0</v>
      </c>
      <c r="DA61" s="707" t="b">
        <f>IF(CF61&lt;&gt;"",IF(ISERROR(MATCH(CONCATENATE(CB61," - ",CF61),Existing!G$4:G$328,0))=TRUE,FALSE,TRUE),TRUE)</f>
        <v>1</v>
      </c>
      <c r="DB61" s="707" t="b">
        <f t="shared" si="34"/>
        <v>1</v>
      </c>
      <c r="DL61" s="9"/>
      <c r="DM61" s="708" t="s">
        <v>166</v>
      </c>
      <c r="DN61" s="416" t="str">
        <f t="shared" si="35"/>
        <v/>
      </c>
      <c r="DO61" s="52"/>
      <c r="DP61" s="52"/>
      <c r="DQ61" s="52"/>
      <c r="DR61" s="52"/>
      <c r="DS61" s="52"/>
      <c r="DT61" s="262"/>
      <c r="DU61" s="417"/>
      <c r="DV61" s="263" t="str">
        <f t="shared" si="36"/>
        <v/>
      </c>
      <c r="DW61" s="260">
        <v>35</v>
      </c>
      <c r="DX61" s="1306"/>
      <c r="DY61" s="1307"/>
      <c r="DZ61" s="1307"/>
      <c r="EA61" s="1308"/>
      <c r="EB61" s="1306"/>
      <c r="EC61" s="1307"/>
      <c r="ED61" s="1307"/>
      <c r="EE61" s="1308"/>
      <c r="EF61" s="1266"/>
      <c r="EG61" s="1267"/>
      <c r="EH61" s="1306"/>
      <c r="EI61" s="1307"/>
      <c r="EJ61" s="1307"/>
      <c r="EK61" s="1308"/>
      <c r="EL61" s="1263"/>
      <c r="EM61" s="1264"/>
      <c r="EN61" s="1264"/>
      <c r="EO61" s="1265"/>
      <c r="EP61" s="1266"/>
      <c r="EQ61" s="1267"/>
      <c r="ER61" s="1245"/>
      <c r="ES61" s="1246"/>
      <c r="ET61" s="1243" t="str">
        <f t="shared" si="5"/>
        <v/>
      </c>
      <c r="EU61" s="1244"/>
      <c r="EV61" s="1243" t="str">
        <f t="shared" si="30"/>
        <v/>
      </c>
      <c r="EW61" s="1244"/>
      <c r="EX61" s="438"/>
      <c r="EY61" s="261" t="str">
        <f t="shared" si="37"/>
        <v/>
      </c>
      <c r="EZ61" s="261" t="str">
        <f>IFERROR(VLOOKUP(EB61,Lookup!AM$3:AN$13,2,FALSE),"")</f>
        <v/>
      </c>
      <c r="FA61" s="471" t="b">
        <f>IFERROR(IF(VLOOKUP(EB61,Lookup!AM$6:AN$8,2,FALSE)&gt;3,TRUE,FALSE),FALSE)</f>
        <v>0</v>
      </c>
      <c r="FB61" s="471">
        <f t="shared" si="11"/>
        <v>1</v>
      </c>
      <c r="FC61" t="str">
        <f t="shared" ca="1" si="10"/>
        <v/>
      </c>
      <c r="FG61" t="str">
        <f t="shared" ca="1" si="12"/>
        <v/>
      </c>
      <c r="FI61" s="240" t="str">
        <f t="shared" ca="1" si="24"/>
        <v/>
      </c>
      <c r="FK61" s="712" t="str">
        <f ca="1">IF(INDIRECT(CONCATENATE($FK$12,Fixtures!FK$25))="","",IF(INDIRECT(CONCATENATE($FK$12,Fixtures!FK$25))=Fixtures!$DN61,CONCATENATE(FK$10,", "),""))</f>
        <v/>
      </c>
      <c r="FL61" s="712" t="str">
        <f ca="1">IF(INDIRECT(CONCATENATE($FK$12,Fixtures!FL$25))="","",IF(INDIRECT(CONCATENATE($FK$12,Fixtures!FL$25))=Fixtures!$DN61,CONCATENATE(FL$10,", "),""))</f>
        <v/>
      </c>
      <c r="FM61" s="712" t="str">
        <f ca="1">IF(INDIRECT(CONCATENATE($FK$12,Fixtures!FM$25))="","",IF(INDIRECT(CONCATENATE($FK$12,Fixtures!FM$25))=Fixtures!$DN61,CONCATENATE(FM$10,", "),""))</f>
        <v/>
      </c>
      <c r="FN61" s="712" t="str">
        <f ca="1">IF(INDIRECT(CONCATENATE($FK$12,Fixtures!FN$25))="","",IF(INDIRECT(CONCATENATE($FK$12,Fixtures!FN$25))=Fixtures!$DN61,CONCATENATE(FN$10,", "),""))</f>
        <v/>
      </c>
      <c r="FO61" s="712" t="str">
        <f ca="1">IF(INDIRECT(CONCATENATE($FK$12,Fixtures!FO$25))="","",IF(INDIRECT(CONCATENATE($FK$12,Fixtures!FO$25))=Fixtures!$DN61,CONCATENATE(FO$10,", "),""))</f>
        <v/>
      </c>
      <c r="FP61" s="712" t="str">
        <f ca="1">IF(INDIRECT(CONCATENATE($FK$12,Fixtures!FP$25))="","",IF(INDIRECT(CONCATENATE($FK$12,Fixtures!FP$25))=Fixtures!$DN61,CONCATENATE(FP$10,", "),""))</f>
        <v/>
      </c>
      <c r="FQ61" s="712" t="str">
        <f ca="1">IF(INDIRECT(CONCATENATE($FK$12,Fixtures!FQ$25))="","",IF(INDIRECT(CONCATENATE($FK$12,Fixtures!FQ$25))=Fixtures!$DN61,CONCATENATE(FQ$10,", "),""))</f>
        <v/>
      </c>
      <c r="FR61" s="712" t="str">
        <f ca="1">IF(INDIRECT(CONCATENATE($FK$12,Fixtures!FR$25))="","",IF(INDIRECT(CONCATENATE($FK$12,Fixtures!FR$25))=Fixtures!$DN61,CONCATENATE(FR$10,", "),""))</f>
        <v/>
      </c>
      <c r="FS61" s="712" t="str">
        <f ca="1">IF(INDIRECT(CONCATENATE($FK$12,Fixtures!FS$25))="","",IF(INDIRECT(CONCATENATE($FK$12,Fixtures!FS$25))=Fixtures!$DN61,CONCATENATE(FS$10,", "),""))</f>
        <v/>
      </c>
      <c r="FT61" s="682" t="str">
        <f ca="1">IF(INDIRECT(CONCATENATE($FK$12,Fixtures!FT$25))="","",IF(INDIRECT(CONCATENATE($FK$12,Fixtures!FT$25))=Fixtures!$DN61,CONCATENATE(FT$10,", "),""))</f>
        <v/>
      </c>
      <c r="FU61" s="683" t="str">
        <f ca="1">IF(INDIRECT(CONCATENATE($FK$12,Fixtures!FU$25))="","",IF(INDIRECT(CONCATENATE($FK$12,Fixtures!FU$25))=Fixtures!$DN61,CONCATENATE(FU$10,", "),""))</f>
        <v/>
      </c>
      <c r="FV61" s="712" t="str">
        <f ca="1">IF(INDIRECT(CONCATENATE($FK$12,Fixtures!FV$25))="","",IF(INDIRECT(CONCATENATE($FK$12,Fixtures!FV$25))=Fixtures!$DN61,CONCATENATE(FV$10,", "),""))</f>
        <v/>
      </c>
      <c r="FW61" s="713" t="str">
        <f ca="1">IF(INDIRECT(CONCATENATE($FK$12,Fixtures!FW$25))="","",IF(INDIRECT(CONCATENATE($FK$12,Fixtures!FW$25))=Fixtures!$DN61,CONCATENATE(FW$10,", "),""))</f>
        <v/>
      </c>
      <c r="FX61" s="713" t="str">
        <f ca="1">IF(INDIRECT(CONCATENATE($FK$12,Fixtures!FX$25))="","",IF(INDIRECT(CONCATENATE($FK$12,Fixtures!FX$25))=Fixtures!$DN61,CONCATENATE(FX$10,", "),""))</f>
        <v/>
      </c>
      <c r="FY61" s="713" t="str">
        <f ca="1">IF(INDIRECT(CONCATENATE($FK$12,Fixtures!FY$25))="","",IF(INDIRECT(CONCATENATE($FK$12,Fixtures!FY$25))=Fixtures!$DN61,CONCATENATE(FY$10,", "),""))</f>
        <v/>
      </c>
      <c r="FZ61" s="713" t="str">
        <f ca="1">IF(INDIRECT(CONCATENATE($FK$12,Fixtures!FZ$25))="","",IF(INDIRECT(CONCATENATE($FK$12,Fixtures!FZ$25))=Fixtures!$DN61,CONCATENATE(FZ$10,", "),""))</f>
        <v/>
      </c>
      <c r="GA61" s="713" t="str">
        <f ca="1">IF(INDIRECT(CONCATENATE($FK$12,Fixtures!GA$25))="","",IF(INDIRECT(CONCATENATE($FK$12,Fixtures!GA$25))=Fixtures!$DN61,CONCATENATE(GA$10,", "),""))</f>
        <v/>
      </c>
      <c r="GB61" s="713" t="str">
        <f ca="1">IF(INDIRECT(CONCATENATE($FK$12,Fixtures!GB$25))="","",IF(INDIRECT(CONCATENATE($FK$12,Fixtures!GB$25))=Fixtures!$DN61,CONCATENATE(GB$10,", "),""))</f>
        <v/>
      </c>
      <c r="GC61" s="713" t="str">
        <f ca="1">IF(INDIRECT(CONCATENATE($FK$12,Fixtures!GC$25))="","",IF(INDIRECT(CONCATENATE($FK$12,Fixtures!GC$25))=Fixtures!$DN61,CONCATENATE(GC$10,", "),""))</f>
        <v/>
      </c>
      <c r="GD61" s="713" t="str">
        <f ca="1">IF(INDIRECT(CONCATENATE($FK$12,Fixtures!GD$25))="","",IF(INDIRECT(CONCATENATE($FK$12,Fixtures!GD$25))=Fixtures!$DN61,CONCATENATE(GD$10,", "),""))</f>
        <v/>
      </c>
      <c r="GE61" s="713" t="str">
        <f ca="1">IF(INDIRECT(CONCATENATE($FK$12,Fixtures!GE$25))="","",IF(INDIRECT(CONCATENATE($FK$12,Fixtures!GE$25))=Fixtures!$DN61,CONCATENATE(GE$10,", "),""))</f>
        <v/>
      </c>
      <c r="GF61" s="713" t="str">
        <f ca="1">IF(INDIRECT(CONCATENATE($FK$12,Fixtures!GF$25))="","",IF(INDIRECT(CONCATENATE($FK$12,Fixtures!GF$25))=Fixtures!$DN61,CONCATENATE(GF$10,", "),""))</f>
        <v/>
      </c>
      <c r="GG61" s="713" t="str">
        <f ca="1">IF(INDIRECT(CONCATENATE($FK$12,Fixtures!GG$25))="","",IF(INDIRECT(CONCATENATE($FK$12,Fixtures!GG$25))=Fixtures!$DN61,CONCATENATE(GG$10,", "),""))</f>
        <v/>
      </c>
      <c r="GH61" s="713" t="str">
        <f ca="1">IF(INDIRECT(CONCATENATE($FK$12,Fixtures!GH$25))="","",IF(INDIRECT(CONCATENATE($FK$12,Fixtures!GH$25))=Fixtures!$DN61,CONCATENATE(GH$10,", "),""))</f>
        <v/>
      </c>
      <c r="GI61" s="684" t="str">
        <f ca="1">IF(INDIRECT(CONCATENATE($FK$12,Fixtures!GI$25))="","",IF(INDIRECT(CONCATENATE($FK$12,Fixtures!GI$25))=Fixtures!$DN61,CONCATENATE(GI$10,", "),""))</f>
        <v/>
      </c>
      <c r="GJ61" s="685" t="str">
        <f ca="1">IF(INDIRECT(CONCATENATE($FK$12,Fixtures!GJ$25))="","",IF(INDIRECT(CONCATENATE($FK$12,Fixtures!GJ$25))=Fixtures!$DN61,CONCATENATE(GJ$10,", "),""))</f>
        <v/>
      </c>
      <c r="GK61" s="713" t="str">
        <f ca="1">IF(INDIRECT(CONCATENATE($FK$12,Fixtures!GK$25))="","",IF(INDIRECT(CONCATENATE($FK$12,Fixtures!GK$25))=Fixtures!$DN61,CONCATENATE(GK$10,", "),""))</f>
        <v/>
      </c>
      <c r="GL61" s="713" t="str">
        <f ca="1">IF(INDIRECT(CONCATENATE($FK$12,Fixtures!GL$25))="","",IF(INDIRECT(CONCATENATE($FK$12,Fixtures!GL$25))=Fixtures!$DN61,CONCATENATE(GL$10,", "),""))</f>
        <v/>
      </c>
      <c r="GM61" s="713" t="str">
        <f ca="1">IF(INDIRECT(CONCATENATE($FK$12,Fixtures!GM$25))="","",IF(INDIRECT(CONCATENATE($FK$12,Fixtures!GM$25))=Fixtures!$DN61,CONCATENATE(GM$10,", "),""))</f>
        <v/>
      </c>
      <c r="GN61" s="713" t="str">
        <f ca="1">IF(INDIRECT(CONCATENATE($FK$12,Fixtures!GN$25))="","",IF(INDIRECT(CONCATENATE($FK$12,Fixtures!GN$25))=Fixtures!$DN61,CONCATENATE(GN$10,", "),""))</f>
        <v/>
      </c>
      <c r="GO61" s="713" t="str">
        <f ca="1">IF(INDIRECT(CONCATENATE($FK$12,Fixtures!GO$25))="","",IF(INDIRECT(CONCATENATE($FK$12,Fixtures!GO$25))=Fixtures!$DN61,CONCATENATE(GO$10,", "),""))</f>
        <v/>
      </c>
      <c r="GP61" s="713" t="str">
        <f ca="1">IF(INDIRECT(CONCATENATE($FK$12,Fixtures!GP$25))="","",IF(INDIRECT(CONCATENATE($FK$12,Fixtures!GP$25))=Fixtures!$DN61,CONCATENATE(GP$10,", "),""))</f>
        <v/>
      </c>
      <c r="GQ61" s="713" t="str">
        <f ca="1">IF(INDIRECT(CONCATENATE($FK$12,Fixtures!GQ$25))="","",IF(INDIRECT(CONCATENATE($FK$12,Fixtures!GQ$25))=Fixtures!$DN61,CONCATENATE(GQ$10,", "),""))</f>
        <v/>
      </c>
      <c r="GR61" s="713" t="str">
        <f ca="1">IF(INDIRECT(CONCATENATE($FK$12,Fixtures!GR$25))="","",IF(INDIRECT(CONCATENATE($FK$12,Fixtures!GR$25))=Fixtures!$DN61,CONCATENATE(GR$10,", "),""))</f>
        <v/>
      </c>
      <c r="GS61" s="713" t="str">
        <f ca="1">IF(INDIRECT(CONCATENATE($FK$12,Fixtures!GS$25))="","",IF(INDIRECT(CONCATENATE($FK$12,Fixtures!GS$25))=Fixtures!$DN61,CONCATENATE(GS$10,", "),""))</f>
        <v/>
      </c>
      <c r="GT61" s="713" t="str">
        <f ca="1">IF(INDIRECT(CONCATENATE($FK$12,Fixtures!GT$25))="","",IF(INDIRECT(CONCATENATE($FK$12,Fixtures!GT$25))=Fixtures!$DN61,CONCATENATE(GT$10,", "),""))</f>
        <v/>
      </c>
      <c r="GU61" s="713" t="str">
        <f ca="1">IF(INDIRECT(CONCATENATE($FK$12,Fixtures!GU$25))="","",IF(INDIRECT(CONCATENATE($FK$12,Fixtures!GU$25))=Fixtures!$DN61,CONCATENATE(GU$10,", "),""))</f>
        <v/>
      </c>
      <c r="GV61" s="713" t="str">
        <f ca="1">IF(INDIRECT(CONCATENATE($FK$12,Fixtures!GV$25))="","",IF(INDIRECT(CONCATENATE($FK$12,Fixtures!GV$25))=Fixtures!$DN61,CONCATENATE(GV$10,", "),""))</f>
        <v/>
      </c>
      <c r="GW61" s="713" t="str">
        <f ca="1">IF(INDIRECT(CONCATENATE($FK$12,Fixtures!GW$25))="","",IF(INDIRECT(CONCATENATE($FK$12,Fixtures!GW$25))=Fixtures!$DN61,CONCATENATE(GW$10,", "),""))</f>
        <v/>
      </c>
      <c r="GX61" s="684" t="str">
        <f ca="1">IF(INDIRECT(CONCATENATE($FK$12,Fixtures!GX$25))="","",IF(INDIRECT(CONCATENATE($FK$12,Fixtures!GX$25))=Fixtures!$DN61,CONCATENATE(GX$10,", "),""))</f>
        <v/>
      </c>
      <c r="GY61" s="685" t="str">
        <f ca="1">IF(INDIRECT(CONCATENATE($FK$12,Fixtures!GY$25))="","",IF(INDIRECT(CONCATENATE($FK$12,Fixtures!GY$25))=Fixtures!$DN61,CONCATENATE(GY$10,", "),""))</f>
        <v/>
      </c>
      <c r="GZ61" s="713" t="str">
        <f ca="1">IF(INDIRECT(CONCATENATE($FK$12,Fixtures!GZ$25))="","",IF(INDIRECT(CONCATENATE($FK$12,Fixtures!GZ$25))=Fixtures!$DN61,CONCATENATE(GZ$10,", "),""))</f>
        <v/>
      </c>
      <c r="HA61" s="713" t="str">
        <f ca="1">IF(INDIRECT(CONCATENATE($FK$12,Fixtures!HA$25))="","",IF(INDIRECT(CONCATENATE($FK$12,Fixtures!HA$25))=Fixtures!$DN61,CONCATENATE(HA$10,", "),""))</f>
        <v/>
      </c>
      <c r="HB61" s="713" t="str">
        <f ca="1">IF(INDIRECT(CONCATENATE($FK$12,Fixtures!HB$25))="","",IF(INDIRECT(CONCATENATE($FK$12,Fixtures!HB$25))=Fixtures!$DN61,CONCATENATE(HB$10,", "),""))</f>
        <v/>
      </c>
      <c r="HC61" s="713" t="str">
        <f ca="1">IF(INDIRECT(CONCATENATE($FK$12,Fixtures!HC$25))="","",IF(INDIRECT(CONCATENATE($FK$12,Fixtures!HC$25))=Fixtures!$DN61,CONCATENATE(HC$10,", "),""))</f>
        <v/>
      </c>
      <c r="HD61" s="713" t="str">
        <f ca="1">IF(INDIRECT(CONCATENATE($FK$12,Fixtures!HD$25))="","",IF(INDIRECT(CONCATENATE($FK$12,Fixtures!HD$25))=Fixtures!$DN61,CONCATENATE(HD$10,", "),""))</f>
        <v/>
      </c>
      <c r="HE61" s="713" t="str">
        <f ca="1">IF(INDIRECT(CONCATENATE($FK$12,Fixtures!HE$25))="","",IF(INDIRECT(CONCATENATE($FK$12,Fixtures!HE$25))=Fixtures!$DN61,CONCATENATE(HE$10,", "),""))</f>
        <v/>
      </c>
      <c r="HF61" s="713" t="str">
        <f ca="1">IF(INDIRECT(CONCATENATE($FK$12,Fixtures!HF$25))="","",IF(INDIRECT(CONCATENATE($FK$12,Fixtures!HF$25))=Fixtures!$DN61,CONCATENATE(HF$10,", "),""))</f>
        <v/>
      </c>
      <c r="HG61" s="713" t="str">
        <f ca="1">IF(INDIRECT(CONCATENATE($FK$12,Fixtures!HG$25))="","",IF(INDIRECT(CONCATENATE($FK$12,Fixtures!HG$25))=Fixtures!$DN61,CONCATENATE(HG$10,", "),""))</f>
        <v/>
      </c>
      <c r="HH61" s="713" t="str">
        <f ca="1">IF(INDIRECT(CONCATENATE($FK$12,Fixtures!HH$25))="","",IF(INDIRECT(CONCATENATE($FK$12,Fixtures!HH$25))=Fixtures!$DN61,CONCATENATE(HH$10,", "),""))</f>
        <v/>
      </c>
      <c r="HI61" s="713" t="str">
        <f ca="1">IF(INDIRECT(CONCATENATE($FK$12,Fixtures!HI$25))="","",IF(INDIRECT(CONCATENATE($FK$12,Fixtures!HI$25))=Fixtures!$DN61,CONCATENATE(HI$10,", "),""))</f>
        <v/>
      </c>
      <c r="HJ61" s="713" t="str">
        <f ca="1">IF(INDIRECT(CONCATENATE($FK$12,Fixtures!HJ$25))="","",IF(INDIRECT(CONCATENATE($FK$12,Fixtures!HJ$25))=Fixtures!$DN61,CONCATENATE(HJ$10,", "),""))</f>
        <v/>
      </c>
      <c r="HK61" s="713" t="str">
        <f ca="1">IF(INDIRECT(CONCATENATE($FK$12,Fixtures!HK$25))="","",IF(INDIRECT(CONCATENATE($FK$12,Fixtures!HK$25))=Fixtures!$DN61,CONCATENATE(HK$10,", "),""))</f>
        <v/>
      </c>
      <c r="HL61" s="713" t="str">
        <f ca="1">IF(INDIRECT(CONCATENATE($FK$12,Fixtures!HL$25))="","",IF(INDIRECT(CONCATENATE($FK$12,Fixtures!HL$25))=Fixtures!$DN61,CONCATENATE(HL$10,", "),""))</f>
        <v/>
      </c>
      <c r="HM61" s="684" t="str">
        <f ca="1">IF(INDIRECT(CONCATENATE($FK$12,Fixtures!HM$25))="","",IF(INDIRECT(CONCATENATE($FK$12,Fixtures!HM$25))=Fixtures!$DN61,CONCATENATE(HM$10,", "),""))</f>
        <v/>
      </c>
      <c r="HN61" s="685" t="str">
        <f ca="1">IF(INDIRECT(CONCATENATE($FK$12,Fixtures!HN$25))="","",IF(INDIRECT(CONCATENATE($FK$12,Fixtures!HN$25))=Fixtures!$DN61,CONCATENATE(HN$10,", "),""))</f>
        <v/>
      </c>
      <c r="HO61" s="713" t="str">
        <f ca="1">IF(INDIRECT(CONCATENATE($FK$12,Fixtures!HO$25))="","",IF(INDIRECT(CONCATENATE($FK$12,Fixtures!HO$25))=Fixtures!$DN61,CONCATENATE(HO$10,", "),""))</f>
        <v/>
      </c>
      <c r="HP61" s="713" t="str">
        <f ca="1">IF(INDIRECT(CONCATENATE($FK$12,Fixtures!HP$25))="","",IF(INDIRECT(CONCATENATE($FK$12,Fixtures!HP$25))=Fixtures!$DN61,CONCATENATE(HP$10,", "),""))</f>
        <v/>
      </c>
      <c r="HQ61" s="713" t="str">
        <f ca="1">IF(INDIRECT(CONCATENATE($FK$12,Fixtures!HQ$25))="","",IF(INDIRECT(CONCATENATE($FK$12,Fixtures!HQ$25))=Fixtures!$DN61,CONCATENATE(HQ$10,", "),""))</f>
        <v/>
      </c>
      <c r="HR61" s="713" t="str">
        <f ca="1">IF(INDIRECT(CONCATENATE($FK$12,Fixtures!HR$25))="","",IF(INDIRECT(CONCATENATE($FK$12,Fixtures!HR$25))=Fixtures!$DN61,CONCATENATE(HR$10,", "),""))</f>
        <v/>
      </c>
      <c r="HS61" s="713" t="str">
        <f ca="1">IF(INDIRECT(CONCATENATE($FK$12,Fixtures!HS$25))="","",IF(INDIRECT(CONCATENATE($FK$12,Fixtures!HS$25))=Fixtures!$DN61,CONCATENATE(HS$10,", "),""))</f>
        <v/>
      </c>
      <c r="HT61" s="713" t="str">
        <f ca="1">IF(INDIRECT(CONCATENATE($FK$12,Fixtures!HT$25))="","",IF(INDIRECT(CONCATENATE($FK$12,Fixtures!HT$25))=Fixtures!$DN61,CONCATENATE(HT$10,", "),""))</f>
        <v/>
      </c>
      <c r="HU61" s="713" t="str">
        <f ca="1">IF(INDIRECT(CONCATENATE($FK$12,Fixtures!HU$25))="","",IF(INDIRECT(CONCATENATE($FK$12,Fixtures!HU$25))=Fixtures!$DN61,CONCATENATE(HU$10,", "),""))</f>
        <v/>
      </c>
      <c r="HV61" s="713" t="str">
        <f ca="1">IF(INDIRECT(CONCATENATE($FK$12,Fixtures!HV$25))="","",IF(INDIRECT(CONCATENATE($FK$12,Fixtures!HV$25))=Fixtures!$DN61,CONCATENATE(HV$10,", "),""))</f>
        <v/>
      </c>
      <c r="HW61" s="713" t="str">
        <f ca="1">IF(INDIRECT(CONCATENATE($FK$12,Fixtures!HW$25))="","",IF(INDIRECT(CONCATENATE($FK$12,Fixtures!HW$25))=Fixtures!$DN61,CONCATENATE(HW$10,", "),""))</f>
        <v/>
      </c>
      <c r="HX61" s="713" t="str">
        <f ca="1">IF(INDIRECT(CONCATENATE($FK$12,Fixtures!HX$25))="","",IF(INDIRECT(CONCATENATE($FK$12,Fixtures!HX$25))=Fixtures!$DN61,CONCATENATE(HX$10,", "),""))</f>
        <v/>
      </c>
      <c r="HY61" s="713" t="str">
        <f ca="1">IF(INDIRECT(CONCATENATE($FK$12,Fixtures!HY$25))="","",IF(INDIRECT(CONCATENATE($FK$12,Fixtures!HY$25))=Fixtures!$DN61,CONCATENATE(HY$10,", "),""))</f>
        <v/>
      </c>
      <c r="HZ61" s="713" t="str">
        <f ca="1">IF(INDIRECT(CONCATENATE($FK$12,Fixtures!HZ$25))="","",IF(INDIRECT(CONCATENATE($FK$12,Fixtures!HZ$25))=Fixtures!$DN61,CONCATENATE(HZ$10,", "),""))</f>
        <v/>
      </c>
      <c r="IA61" s="713" t="str">
        <f ca="1">IF(INDIRECT(CONCATENATE($FK$12,Fixtures!IA$25))="","",IF(INDIRECT(CONCATENATE($FK$12,Fixtures!IA$25))=Fixtures!$DN61,CONCATENATE(IA$10,", "),""))</f>
        <v/>
      </c>
      <c r="IB61" s="684" t="str">
        <f ca="1">IF(INDIRECT(CONCATENATE($FK$12,Fixtures!IB$25))="","",IF(INDIRECT(CONCATENATE($FK$12,Fixtures!IB$25))=Fixtures!$DN61,CONCATENATE(IB$10,", "),""))</f>
        <v/>
      </c>
      <c r="IC61" s="685" t="str">
        <f ca="1">IF(INDIRECT(CONCATENATE($FK$12,Fixtures!IC$25))="","",IF(INDIRECT(CONCATENATE($FK$12,Fixtures!IC$25))=Fixtures!$DN61,CONCATENATE(IC$10,", "),""))</f>
        <v/>
      </c>
      <c r="ID61" s="713" t="str">
        <f ca="1">IF(INDIRECT(CONCATENATE($FK$12,Fixtures!ID$25))="","",IF(INDIRECT(CONCATENATE($FK$12,Fixtures!ID$25))=Fixtures!$DN61,CONCATENATE(ID$10,", "),""))</f>
        <v/>
      </c>
      <c r="IE61" s="713" t="str">
        <f ca="1">IF(INDIRECT(CONCATENATE($FK$12,Fixtures!IE$25))="","",IF(INDIRECT(CONCATENATE($FK$12,Fixtures!IE$25))=Fixtures!$DN61,CONCATENATE(IE$10,", "),""))</f>
        <v/>
      </c>
      <c r="IF61" s="713" t="str">
        <f ca="1">IF(INDIRECT(CONCATENATE($FK$12,Fixtures!IF$25))="","",IF(INDIRECT(CONCATENATE($FK$12,Fixtures!IF$25))=Fixtures!$DN61,CONCATENATE(IF$10,", "),""))</f>
        <v/>
      </c>
      <c r="IG61" s="713" t="str">
        <f ca="1">IF(INDIRECT(CONCATENATE($FK$12,Fixtures!IG$25))="","",IF(INDIRECT(CONCATENATE($FK$12,Fixtures!IG$25))=Fixtures!$DN61,CONCATENATE(IG$10,", "),""))</f>
        <v/>
      </c>
      <c r="IH61" s="713" t="str">
        <f ca="1">IF(INDIRECT(CONCATENATE($FK$12,Fixtures!IH$25))="","",IF(INDIRECT(CONCATENATE($FK$12,Fixtures!IH$25))=Fixtures!$DN61,CONCATENATE(IH$10,", "),""))</f>
        <v/>
      </c>
      <c r="II61" s="713" t="str">
        <f ca="1">IF(INDIRECT(CONCATENATE($FK$12,Fixtures!II$25))="","",IF(INDIRECT(CONCATENATE($FK$12,Fixtures!II$25))=Fixtures!$DN61,CONCATENATE(II$10,", "),""))</f>
        <v/>
      </c>
      <c r="IJ61" s="713" t="str">
        <f ca="1">IF(INDIRECT(CONCATENATE($FK$12,Fixtures!IJ$25))="","",IF(INDIRECT(CONCATENATE($FK$12,Fixtures!IJ$25))=Fixtures!$DN61,CONCATENATE(IJ$10,", "),""))</f>
        <v/>
      </c>
      <c r="IK61" s="713" t="str">
        <f ca="1">IF(INDIRECT(CONCATENATE($FK$12,Fixtures!IK$25))="","",IF(INDIRECT(CONCATENATE($FK$12,Fixtures!IK$25))=Fixtures!$DN61,CONCATENATE(IK$10,", "),""))</f>
        <v/>
      </c>
      <c r="IL61" s="713" t="str">
        <f ca="1">IF(INDIRECT(CONCATENATE($FK$12,Fixtures!IL$25))="","",IF(INDIRECT(CONCATENATE($FK$12,Fixtures!IL$25))=Fixtures!$DN61,CONCATENATE(IL$10,", "),""))</f>
        <v/>
      </c>
      <c r="IM61" s="713" t="str">
        <f ca="1">IF(INDIRECT(CONCATENATE($FK$12,Fixtures!IM$25))="","",IF(INDIRECT(CONCATENATE($FK$12,Fixtures!IM$25))=Fixtures!$DN61,CONCATENATE(IM$10,", "),""))</f>
        <v/>
      </c>
      <c r="IN61" s="713" t="str">
        <f ca="1">IF(INDIRECT(CONCATENATE($FK$12,Fixtures!IN$25))="","",IF(INDIRECT(CONCATENATE($FK$12,Fixtures!IN$25))=Fixtures!$DN61,CONCATENATE(IN$10,", "),""))</f>
        <v/>
      </c>
      <c r="IO61" s="713" t="str">
        <f ca="1">IF(INDIRECT(CONCATENATE($FK$12,Fixtures!IO$25))="","",IF(INDIRECT(CONCATENATE($FK$12,Fixtures!IO$25))=Fixtures!$DN61,CONCATENATE(IO$10,", "),""))</f>
        <v/>
      </c>
      <c r="IP61" s="713" t="str">
        <f ca="1">IF(INDIRECT(CONCATENATE($FK$12,Fixtures!IP$25))="","",IF(INDIRECT(CONCATENATE($FK$12,Fixtures!IP$25))=Fixtures!$DN61,CONCATENATE(IP$10,", "),""))</f>
        <v/>
      </c>
      <c r="IQ61" s="684" t="str">
        <f ca="1">IF(INDIRECT(CONCATENATE($FK$12,Fixtures!IQ$25))="","",IF(INDIRECT(CONCATENATE($FK$12,Fixtures!IQ$25))=Fixtures!$DN61,CONCATENATE(IQ$10,", "),""))</f>
        <v/>
      </c>
      <c r="IR61" s="685" t="str">
        <f ca="1">IF(INDIRECT(CONCATENATE($FK$12,Fixtures!IR$25))="","",IF(INDIRECT(CONCATENATE($FK$12,Fixtures!IR$25))=Fixtures!$DN61,CONCATENATE(IR$10,", "),""))</f>
        <v/>
      </c>
      <c r="IS61" s="713" t="str">
        <f ca="1">IF(INDIRECT(CONCATENATE($FK$12,Fixtures!IS$25))="","",IF(INDIRECT(CONCATENATE($FK$12,Fixtures!IS$25))=Fixtures!$DN61,CONCATENATE(IS$10,", "),""))</f>
        <v/>
      </c>
      <c r="IT61" s="713" t="str">
        <f ca="1">IF(INDIRECT(CONCATENATE($FK$12,Fixtures!IT$25))="","",IF(INDIRECT(CONCATENATE($FK$12,Fixtures!IT$25))=Fixtures!$DN61,CONCATENATE(IT$10,", "),""))</f>
        <v/>
      </c>
      <c r="IU61" s="713" t="str">
        <f ca="1">IF(INDIRECT(CONCATENATE($FK$12,Fixtures!IU$25))="","",IF(INDIRECT(CONCATENATE($FK$12,Fixtures!IU$25))=Fixtures!$DN61,CONCATENATE(IU$10,", "),""))</f>
        <v/>
      </c>
      <c r="IV61" s="713" t="str">
        <f ca="1">IF(INDIRECT(CONCATENATE($FK$12,Fixtures!IV$25))="","",IF(INDIRECT(CONCATENATE($FK$12,Fixtures!IV$25))=Fixtures!$DN61,CONCATENATE(IV$10,", "),""))</f>
        <v/>
      </c>
      <c r="IW61" s="713" t="str">
        <f ca="1">IF(INDIRECT(CONCATENATE($FK$12,Fixtures!IW$25))="","",IF(INDIRECT(CONCATENATE($FK$12,Fixtures!IW$25))=Fixtures!$DN61,CONCATENATE(IW$10,", "),""))</f>
        <v/>
      </c>
      <c r="IX61" s="713" t="str">
        <f ca="1">IF(INDIRECT(CONCATENATE($FK$12,Fixtures!IX$25))="","",IF(INDIRECT(CONCATENATE($FK$12,Fixtures!IX$25))=Fixtures!$DN61,CONCATENATE(IX$10,", "),""))</f>
        <v/>
      </c>
      <c r="IY61" s="713" t="str">
        <f ca="1">IF(INDIRECT(CONCATENATE($FK$12,Fixtures!IY$25))="","",IF(INDIRECT(CONCATENATE($FK$12,Fixtures!IY$25))=Fixtures!$DN61,CONCATENATE(IY$10,", "),""))</f>
        <v/>
      </c>
      <c r="IZ61" s="713" t="str">
        <f ca="1">IF(INDIRECT(CONCATENATE($FK$12,Fixtures!IZ$25))="","",IF(INDIRECT(CONCATENATE($FK$12,Fixtures!IZ$25))=Fixtures!$DN61,CONCATENATE(IZ$10,", "),""))</f>
        <v/>
      </c>
      <c r="JA61" s="713" t="str">
        <f ca="1">IF(INDIRECT(CONCATENATE($FK$12,Fixtures!JA$25))="","",IF(INDIRECT(CONCATENATE($FK$12,Fixtures!JA$25))=Fixtures!$DN61,CONCATENATE(JA$10,", "),""))</f>
        <v/>
      </c>
      <c r="JB61" s="713" t="str">
        <f ca="1">IF(INDIRECT(CONCATENATE($FK$12,Fixtures!JB$25))="","",IF(INDIRECT(CONCATENATE($FK$12,Fixtures!JB$25))=Fixtures!$DN61,CONCATENATE(JB$10,", "),""))</f>
        <v/>
      </c>
      <c r="JC61" s="713" t="str">
        <f ca="1">IF(INDIRECT(CONCATENATE($FK$12,Fixtures!JC$25))="","",IF(INDIRECT(CONCATENATE($FK$12,Fixtures!JC$25))=Fixtures!$DN61,CONCATENATE(JC$10,", "),""))</f>
        <v/>
      </c>
      <c r="JD61" s="713" t="str">
        <f ca="1">IF(INDIRECT(CONCATENATE($FK$12,Fixtures!JD$25))="","",IF(INDIRECT(CONCATENATE($FK$12,Fixtures!JD$25))=Fixtures!$DN61,CONCATENATE(JD$10,", "),""))</f>
        <v/>
      </c>
      <c r="JE61" s="713" t="str">
        <f ca="1">IF(INDIRECT(CONCATENATE($FK$12,Fixtures!JE$25))="","",IF(INDIRECT(CONCATENATE($FK$12,Fixtures!JE$25))=Fixtures!$DN61,CONCATENATE(JE$10,", "),""))</f>
        <v/>
      </c>
      <c r="JF61" s="684" t="str">
        <f ca="1">IF(INDIRECT(CONCATENATE($FK$12,Fixtures!JF$25))="","",IF(INDIRECT(CONCATENATE($FK$12,Fixtures!JF$25))=Fixtures!$DN61,CONCATENATE(JF$10,", "),""))</f>
        <v/>
      </c>
      <c r="JG61" s="685" t="str">
        <f ca="1">IF(INDIRECT(CONCATENATE($FK$12,Fixtures!JG$25))="","",IF(INDIRECT(CONCATENATE($FK$12,Fixtures!JG$25))=Fixtures!$DN61,CONCATENATE(JG$10,", "),""))</f>
        <v/>
      </c>
      <c r="JH61" s="713" t="str">
        <f ca="1">IF(INDIRECT(CONCATENATE($FK$12,Fixtures!JH$25))="","",IF(INDIRECT(CONCATENATE($FK$12,Fixtures!JH$25))=Fixtures!$DN61,CONCATENATE(JH$10,", "),""))</f>
        <v/>
      </c>
      <c r="JI61" s="713" t="str">
        <f ca="1">IF(INDIRECT(CONCATENATE($FK$12,Fixtures!JI$25))="","",IF(INDIRECT(CONCATENATE($FK$12,Fixtures!JI$25))=Fixtures!$DN61,CONCATENATE(JI$10,", "),""))</f>
        <v/>
      </c>
      <c r="JJ61" s="713" t="str">
        <f ca="1">IF(INDIRECT(CONCATENATE($FK$12,Fixtures!JJ$25))="","",IF(INDIRECT(CONCATENATE($FK$12,Fixtures!JJ$25))=Fixtures!$DN61,CONCATENATE(JJ$10,", "),""))</f>
        <v/>
      </c>
      <c r="JK61" s="713" t="str">
        <f ca="1">IF(INDIRECT(CONCATENATE($FK$12,Fixtures!JK$25))="","",IF(INDIRECT(CONCATENATE($FK$12,Fixtures!JK$25))=Fixtures!$DN61,CONCATENATE(JK$10,", "),""))</f>
        <v/>
      </c>
      <c r="JL61" s="713" t="str">
        <f ca="1">IF(INDIRECT(CONCATENATE($FK$12,Fixtures!JL$25))="","",IF(INDIRECT(CONCATENATE($FK$12,Fixtures!JL$25))=Fixtures!$DN61,CONCATENATE(JL$10,", "),""))</f>
        <v/>
      </c>
      <c r="JM61" s="713" t="str">
        <f ca="1">IF(INDIRECT(CONCATENATE($FK$12,Fixtures!JM$25))="","",IF(INDIRECT(CONCATENATE($FK$12,Fixtures!JM$25))=Fixtures!$DN61,CONCATENATE(JM$10,", "),""))</f>
        <v/>
      </c>
      <c r="JN61" s="713" t="str">
        <f ca="1">IF(INDIRECT(CONCATENATE($FK$12,Fixtures!JN$25))="","",IF(INDIRECT(CONCATENATE($FK$12,Fixtures!JN$25))=Fixtures!$DN61,CONCATENATE(JN$10,", "),""))</f>
        <v/>
      </c>
      <c r="JO61" s="713" t="str">
        <f ca="1">IF(INDIRECT(CONCATENATE($FK$12,Fixtures!JO$25))="","",IF(INDIRECT(CONCATENATE($FK$12,Fixtures!JO$25))=Fixtures!$DN61,CONCATENATE(JO$10,", "),""))</f>
        <v/>
      </c>
      <c r="JP61" s="713" t="str">
        <f ca="1">IF(INDIRECT(CONCATENATE($FK$12,Fixtures!JP$25))="","",IF(INDIRECT(CONCATENATE($FK$12,Fixtures!JP$25))=Fixtures!$DN61,CONCATENATE(JP$10,", "),""))</f>
        <v/>
      </c>
      <c r="JQ61" s="713" t="str">
        <f ca="1">IF(INDIRECT(CONCATENATE($FK$12,Fixtures!JQ$25))="","",IF(INDIRECT(CONCATENATE($FK$12,Fixtures!JQ$25))=Fixtures!$DN61,CONCATENATE(JQ$10,", "),""))</f>
        <v/>
      </c>
      <c r="JR61" s="713" t="str">
        <f ca="1">IF(INDIRECT(CONCATENATE($FK$12,Fixtures!JR$25))="","",IF(INDIRECT(CONCATENATE($FK$12,Fixtures!JR$25))=Fixtures!$DN61,CONCATENATE(JR$10,", "),""))</f>
        <v/>
      </c>
      <c r="JS61" s="713" t="str">
        <f ca="1">IF(INDIRECT(CONCATENATE($FK$12,Fixtures!JS$25))="","",IF(INDIRECT(CONCATENATE($FK$12,Fixtures!JS$25))=Fixtures!$DN61,CONCATENATE(JS$10,", "),""))</f>
        <v/>
      </c>
      <c r="JT61" s="713" t="str">
        <f ca="1">IF(INDIRECT(CONCATENATE($FK$12,Fixtures!JT$25))="","",IF(INDIRECT(CONCATENATE($FK$12,Fixtures!JT$25))=Fixtures!$DN61,CONCATENATE(JT$10,", "),""))</f>
        <v/>
      </c>
      <c r="JU61" s="684" t="str">
        <f ca="1">IF(INDIRECT(CONCATENATE($FK$12,Fixtures!JU$25))="","",IF(INDIRECT(CONCATENATE($FK$12,Fixtures!JU$25))=Fixtures!$DN61,CONCATENATE(JU$10,", "),""))</f>
        <v/>
      </c>
      <c r="JV61" s="685" t="str">
        <f ca="1">IF(INDIRECT(CONCATENATE($FK$12,Fixtures!JV$25))="","",IF(INDIRECT(CONCATENATE($FK$12,Fixtures!JV$25))=Fixtures!$DN61,CONCATENATE(JV$10,", "),""))</f>
        <v/>
      </c>
      <c r="JW61" s="713" t="str">
        <f ca="1">IF(INDIRECT(CONCATENATE($FK$12,Fixtures!JW$25))="","",IF(INDIRECT(CONCATENATE($FK$12,Fixtures!JW$25))=Fixtures!$DN61,CONCATENATE(JW$10,", "),""))</f>
        <v/>
      </c>
      <c r="JX61" s="713" t="str">
        <f ca="1">IF(INDIRECT(CONCATENATE($FK$12,Fixtures!JX$25))="","",IF(INDIRECT(CONCATENATE($FK$12,Fixtures!JX$25))=Fixtures!$DN61,CONCATENATE(JX$10,", "),""))</f>
        <v/>
      </c>
      <c r="JY61" s="713" t="str">
        <f ca="1">IF(INDIRECT(CONCATENATE($FK$12,Fixtures!JY$25))="","",IF(INDIRECT(CONCATENATE($FK$12,Fixtures!JY$25))=Fixtures!$DN61,CONCATENATE(JY$10,", "),""))</f>
        <v/>
      </c>
      <c r="JZ61" s="713" t="str">
        <f ca="1">IF(INDIRECT(CONCATENATE($FK$12,Fixtures!JZ$25))="","",IF(INDIRECT(CONCATENATE($FK$12,Fixtures!JZ$25))=Fixtures!$DN61,CONCATENATE(JZ$10,", "),""))</f>
        <v/>
      </c>
      <c r="KA61" s="713" t="str">
        <f ca="1">IF(INDIRECT(CONCATENATE($FK$12,Fixtures!KA$25))="","",IF(INDIRECT(CONCATENATE($FK$12,Fixtures!KA$25))=Fixtures!$DN61,CONCATENATE(KA$10,", "),""))</f>
        <v/>
      </c>
      <c r="KB61" s="713" t="str">
        <f ca="1">IF(INDIRECT(CONCATENATE($FK$12,Fixtures!KB$25))="","",IF(INDIRECT(CONCATENATE($FK$12,Fixtures!KB$25))=Fixtures!$DN61,CONCATENATE(KB$10,", "),""))</f>
        <v/>
      </c>
      <c r="KC61" s="713" t="str">
        <f ca="1">IF(INDIRECT(CONCATENATE($FK$12,Fixtures!KC$25))="","",IF(INDIRECT(CONCATENATE($FK$12,Fixtures!KC$25))=Fixtures!$DN61,CONCATENATE(KC$10,", "),""))</f>
        <v/>
      </c>
      <c r="KD61" s="713" t="str">
        <f ca="1">IF(INDIRECT(CONCATENATE($FK$12,Fixtures!KD$25))="","",IF(INDIRECT(CONCATENATE($FK$12,Fixtures!KD$25))=Fixtures!$DN61,CONCATENATE(KD$10,", "),""))</f>
        <v/>
      </c>
      <c r="KE61" s="713" t="str">
        <f ca="1">IF(INDIRECT(CONCATENATE($FK$12,Fixtures!KE$25))="","",IF(INDIRECT(CONCATENATE($FK$12,Fixtures!KE$25))=Fixtures!$DN61,CONCATENATE(KE$10,", "),""))</f>
        <v/>
      </c>
      <c r="KF61" s="713" t="str">
        <f ca="1">IF(INDIRECT(CONCATENATE($FK$12,Fixtures!KF$25))="","",IF(INDIRECT(CONCATENATE($FK$12,Fixtures!KF$25))=Fixtures!$DN61,CONCATENATE(KF$10,", "),""))</f>
        <v/>
      </c>
      <c r="KG61" s="713" t="str">
        <f ca="1">IF(INDIRECT(CONCATENATE($FK$12,Fixtures!KG$25))="","",IF(INDIRECT(CONCATENATE($FK$12,Fixtures!KG$25))=Fixtures!$DN61,CONCATENATE(KG$10,", "),""))</f>
        <v/>
      </c>
      <c r="KH61" s="713" t="str">
        <f ca="1">IF(INDIRECT(CONCATENATE($FK$12,Fixtures!KH$25))="","",IF(INDIRECT(CONCATENATE($FK$12,Fixtures!KH$25))=Fixtures!$DN61,CONCATENATE(KH$10,", "),""))</f>
        <v/>
      </c>
      <c r="KI61" s="713" t="str">
        <f ca="1">IF(INDIRECT(CONCATENATE($FK$12,Fixtures!KI$25))="","",IF(INDIRECT(CONCATENATE($FK$12,Fixtures!KI$25))=Fixtures!$DN61,CONCATENATE(KI$10,", "),""))</f>
        <v/>
      </c>
      <c r="KJ61" s="684" t="str">
        <f ca="1">IF(INDIRECT(CONCATENATE($FK$12,Fixtures!KJ$25))="","",IF(INDIRECT(CONCATENATE($FK$12,Fixtures!KJ$25))=Fixtures!$DN61,CONCATENATE(KJ$10,", "),""))</f>
        <v/>
      </c>
      <c r="KK61" s="685" t="str">
        <f ca="1">IF(INDIRECT(CONCATENATE($FK$12,Fixtures!KK$25))="","",IF(INDIRECT(CONCATENATE($FK$12,Fixtures!KK$25))=Fixtures!$DN61,CONCATENATE(KK$10,", "),""))</f>
        <v/>
      </c>
      <c r="KL61" s="713" t="str">
        <f ca="1">IF(INDIRECT(CONCATENATE($FK$12,Fixtures!KL$25))="","",IF(INDIRECT(CONCATENATE($FK$12,Fixtures!KL$25))=Fixtures!$DN61,CONCATENATE(KL$10,", "),""))</f>
        <v/>
      </c>
      <c r="KM61" s="713" t="str">
        <f ca="1">IF(INDIRECT(CONCATENATE($FK$12,Fixtures!KM$25))="","",IF(INDIRECT(CONCATENATE($FK$12,Fixtures!KM$25))=Fixtures!$DN61,CONCATENATE(KM$10,", "),""))</f>
        <v/>
      </c>
      <c r="KN61" s="713" t="str">
        <f ca="1">IF(INDIRECT(CONCATENATE($FK$12,Fixtures!KN$25))="","",IF(INDIRECT(CONCATENATE($FK$12,Fixtures!KN$25))=Fixtures!$DN61,CONCATENATE(KN$10,", "),""))</f>
        <v/>
      </c>
      <c r="KO61" s="713" t="str">
        <f ca="1">IF(INDIRECT(CONCATENATE($FK$12,Fixtures!KO$25))="","",IF(INDIRECT(CONCATENATE($FK$12,Fixtures!KO$25))=Fixtures!$DN61,CONCATENATE(KO$10,", "),""))</f>
        <v/>
      </c>
      <c r="KP61" s="713" t="str">
        <f ca="1">IF(INDIRECT(CONCATENATE($FK$12,Fixtures!KP$25))="","",IF(INDIRECT(CONCATENATE($FK$12,Fixtures!KP$25))=Fixtures!$DN61,CONCATENATE(KP$10,", "),""))</f>
        <v/>
      </c>
      <c r="KQ61" s="713" t="str">
        <f ca="1">IF(INDIRECT(CONCATENATE($FK$12,Fixtures!KQ$25))="","",IF(INDIRECT(CONCATENATE($FK$12,Fixtures!KQ$25))=Fixtures!$DN61,CONCATENATE(KQ$10,", "),""))</f>
        <v/>
      </c>
      <c r="KR61" s="713" t="str">
        <f ca="1">IF(INDIRECT(CONCATENATE($FK$12,Fixtures!KR$25))="","",IF(INDIRECT(CONCATENATE($FK$12,Fixtures!KR$25))=Fixtures!$DN61,CONCATENATE(KR$10,", "),""))</f>
        <v/>
      </c>
      <c r="KS61" s="713" t="str">
        <f ca="1">IF(INDIRECT(CONCATENATE($FK$12,Fixtures!KS$25))="","",IF(INDIRECT(CONCATENATE($FK$12,Fixtures!KS$25))=Fixtures!$DN61,CONCATENATE(KS$10,", "),""))</f>
        <v/>
      </c>
      <c r="KT61" s="713" t="str">
        <f ca="1">IF(INDIRECT(CONCATENATE($FK$12,Fixtures!KT$25))="","",IF(INDIRECT(CONCATENATE($FK$12,Fixtures!KT$25))=Fixtures!$DN61,CONCATENATE(KT$10,", "),""))</f>
        <v/>
      </c>
      <c r="KU61" s="713" t="str">
        <f ca="1">IF(INDIRECT(CONCATENATE($FK$12,Fixtures!KU$25))="","",IF(INDIRECT(CONCATENATE($FK$12,Fixtures!KU$25))=Fixtures!$DN61,CONCATENATE(KU$10,", "),""))</f>
        <v/>
      </c>
      <c r="KV61" s="713" t="str">
        <f ca="1">IF(INDIRECT(CONCATENATE($FK$12,Fixtures!KV$25))="","",IF(INDIRECT(CONCATENATE($FK$12,Fixtures!KV$25))=Fixtures!$DN61,CONCATENATE(KV$10,", "),""))</f>
        <v/>
      </c>
      <c r="KW61" s="713" t="str">
        <f ca="1">IF(INDIRECT(CONCATENATE($FK$12,Fixtures!KW$25))="","",IF(INDIRECT(CONCATENATE($FK$12,Fixtures!KW$25))=Fixtures!$DN61,CONCATENATE(KW$10,", "),""))</f>
        <v/>
      </c>
      <c r="KX61" s="713" t="str">
        <f ca="1">IF(INDIRECT(CONCATENATE($FK$12,Fixtures!KX$25))="","",IF(INDIRECT(CONCATENATE($FK$12,Fixtures!KX$25))=Fixtures!$DN61,CONCATENATE(KX$10,", "),""))</f>
        <v/>
      </c>
      <c r="KY61" s="713" t="str">
        <f ca="1">IF(INDIRECT(CONCATENATE($FK$12,Fixtures!KY$25))="","",IF(INDIRECT(CONCATENATE($FK$12,Fixtures!KY$25))=Fixtures!$DN61,CONCATENATE(KY$10,", "),""))</f>
        <v/>
      </c>
      <c r="KZ61" s="602"/>
      <c r="LA61" s="46" t="str">
        <f t="shared" ca="1" si="38"/>
        <v/>
      </c>
    </row>
    <row r="62" spans="1:313" ht="28.05" customHeight="1" thickTop="1" thickBot="1">
      <c r="A62" s="471" t="str">
        <f t="shared" si="13"/>
        <v/>
      </c>
      <c r="C62" s="1328" t="str">
        <f t="shared" si="14"/>
        <v/>
      </c>
      <c r="D62" s="1329"/>
      <c r="E62" s="1256" t="str">
        <f t="shared" si="15"/>
        <v/>
      </c>
      <c r="F62" s="1257"/>
      <c r="G62" s="1257"/>
      <c r="H62" s="1257"/>
      <c r="I62" s="1257"/>
      <c r="J62" s="1257"/>
      <c r="K62" s="1257"/>
      <c r="L62" s="1257"/>
      <c r="M62" s="1330"/>
      <c r="N62" s="239" t="str">
        <f t="shared" si="16"/>
        <v/>
      </c>
      <c r="O62" s="12"/>
      <c r="P62" s="1326" t="str">
        <f t="shared" si="25"/>
        <v/>
      </c>
      <c r="Q62" s="1327"/>
      <c r="R62" s="1256" t="str">
        <f t="shared" si="31"/>
        <v/>
      </c>
      <c r="S62" s="1257"/>
      <c r="T62" s="1257"/>
      <c r="U62" s="1257"/>
      <c r="V62" s="1257"/>
      <c r="W62" s="1257"/>
      <c r="X62" s="1257"/>
      <c r="Y62" s="239" t="str">
        <f t="shared" si="27"/>
        <v/>
      </c>
      <c r="Z62" s="239" t="str">
        <f t="shared" si="28"/>
        <v/>
      </c>
      <c r="AA62" s="439" t="str">
        <f t="shared" si="29"/>
        <v/>
      </c>
      <c r="AB62" s="542"/>
      <c r="AC62" s="1253" t="str">
        <f t="shared" si="17"/>
        <v/>
      </c>
      <c r="AD62" s="1166"/>
      <c r="AE62" s="1166"/>
      <c r="AF62" s="1166"/>
      <c r="AG62" s="1166"/>
      <c r="AH62" s="1166"/>
      <c r="AK62">
        <f>SUMIFS(Installations!CS$39:CS$800,Installations!CT$39:CT$800,E62,Installations!HX$39:HX$800,TRUE)</f>
        <v>0</v>
      </c>
      <c r="AL62">
        <f>SUMIFS(Installations!CS$39:CS$800,Installations!CT$39:CT$800,R62,Installations!HX$39:HX$800,TRUE)</f>
        <v>0</v>
      </c>
      <c r="BL62" s="9"/>
      <c r="BM62" s="703" t="str">
        <f t="shared" si="18"/>
        <v/>
      </c>
      <c r="BN62" s="52"/>
      <c r="BO62" s="52"/>
      <c r="BP62" s="52"/>
      <c r="BQ62" s="52"/>
      <c r="BR62" s="52"/>
      <c r="BS62" s="52"/>
      <c r="BT62" s="52"/>
      <c r="BU62" s="414"/>
      <c r="BV62" s="255" t="str">
        <f>IF(CN62&lt;&gt;"Yes","",IFERROR(VLOOKUP(CU62,Existing!A$4:F$364,2,FALSE),""))</f>
        <v/>
      </c>
      <c r="BW62" s="9">
        <v>36</v>
      </c>
      <c r="BX62" s="1313"/>
      <c r="BY62" s="1314"/>
      <c r="BZ62" s="1314"/>
      <c r="CA62" s="1315"/>
      <c r="CB62" s="1310"/>
      <c r="CC62" s="1311"/>
      <c r="CD62" s="1311"/>
      <c r="CE62" s="1312"/>
      <c r="CF62" s="1309"/>
      <c r="CG62" s="1309"/>
      <c r="CH62" s="1309"/>
      <c r="CI62" s="1309"/>
      <c r="CJ62" s="1309"/>
      <c r="CK62" s="1309"/>
      <c r="CL62" s="1309"/>
      <c r="CM62" s="1309"/>
      <c r="CN62" s="1243" t="str">
        <f t="shared" si="32"/>
        <v/>
      </c>
      <c r="CO62" s="1244"/>
      <c r="CP62" s="265" t="str">
        <f>IFERROR(IF(CB62="Existing TLED",CR62*CW62*CY62,VLOOKUP(CU62,Existing!A$3:F$353,6,FALSE)),"")</f>
        <v/>
      </c>
      <c r="CQ62" s="9"/>
      <c r="CR62" s="1343"/>
      <c r="CS62" s="1344"/>
      <c r="CT62" s="9"/>
      <c r="CU62" s="470" t="str">
        <f t="shared" si="21"/>
        <v/>
      </c>
      <c r="CV62" s="471" t="b">
        <f t="shared" si="22"/>
        <v>0</v>
      </c>
      <c r="CW62" s="471" t="str">
        <f t="shared" si="23"/>
        <v/>
      </c>
      <c r="CX62" s="471">
        <f>IFERROR(VLOOKUP(CF62,Lookup!M$100:O$102,3,FALSE),0)</f>
        <v>0</v>
      </c>
      <c r="CY62" s="471">
        <f t="shared" si="9"/>
        <v>1.1100000000000001</v>
      </c>
      <c r="CZ62" s="707" t="b">
        <f t="shared" si="33"/>
        <v>0</v>
      </c>
      <c r="DA62" s="707" t="b">
        <f>IF(CF62&lt;&gt;"",IF(ISERROR(MATCH(CONCATENATE(CB62," - ",CF62),Existing!G$4:G$328,0))=TRUE,FALSE,TRUE),TRUE)</f>
        <v>1</v>
      </c>
      <c r="DB62" s="707" t="b">
        <f t="shared" si="34"/>
        <v>1</v>
      </c>
      <c r="DL62" s="9"/>
      <c r="DM62" s="708" t="s">
        <v>166</v>
      </c>
      <c r="DN62" s="416" t="str">
        <f t="shared" si="35"/>
        <v/>
      </c>
      <c r="DO62" s="52"/>
      <c r="DP62" s="52"/>
      <c r="DQ62" s="52"/>
      <c r="DR62" s="52"/>
      <c r="DS62" s="52"/>
      <c r="DT62" s="262"/>
      <c r="DU62" s="417"/>
      <c r="DV62" s="263" t="str">
        <f t="shared" si="36"/>
        <v/>
      </c>
      <c r="DW62" s="260">
        <v>36</v>
      </c>
      <c r="DX62" s="1306"/>
      <c r="DY62" s="1307"/>
      <c r="DZ62" s="1307"/>
      <c r="EA62" s="1308"/>
      <c r="EB62" s="1306"/>
      <c r="EC62" s="1307"/>
      <c r="ED62" s="1307"/>
      <c r="EE62" s="1308"/>
      <c r="EF62" s="1266"/>
      <c r="EG62" s="1267"/>
      <c r="EH62" s="1306"/>
      <c r="EI62" s="1307"/>
      <c r="EJ62" s="1307"/>
      <c r="EK62" s="1308"/>
      <c r="EL62" s="1263"/>
      <c r="EM62" s="1264"/>
      <c r="EN62" s="1264"/>
      <c r="EO62" s="1265"/>
      <c r="EP62" s="1266"/>
      <c r="EQ62" s="1267"/>
      <c r="ER62" s="1245"/>
      <c r="ES62" s="1246"/>
      <c r="ET62" s="1243" t="str">
        <f t="shared" si="5"/>
        <v/>
      </c>
      <c r="EU62" s="1244"/>
      <c r="EV62" s="1243" t="str">
        <f t="shared" si="30"/>
        <v/>
      </c>
      <c r="EW62" s="1244"/>
      <c r="EX62" s="438"/>
      <c r="EY62" s="261" t="str">
        <f t="shared" si="37"/>
        <v/>
      </c>
      <c r="EZ62" s="261" t="str">
        <f>IFERROR(VLOOKUP(EB62,Lookup!AM$3:AN$13,2,FALSE),"")</f>
        <v/>
      </c>
      <c r="FA62" s="471" t="b">
        <f>IFERROR(IF(VLOOKUP(EB62,Lookup!AM$6:AN$8,2,FALSE)&gt;3,TRUE,FALSE),FALSE)</f>
        <v>0</v>
      </c>
      <c r="FB62" s="471">
        <f t="shared" si="11"/>
        <v>1</v>
      </c>
      <c r="FC62" t="str">
        <f t="shared" ca="1" si="10"/>
        <v/>
      </c>
      <c r="FG62" t="str">
        <f t="shared" ca="1" si="12"/>
        <v/>
      </c>
      <c r="FI62" s="240" t="str">
        <f t="shared" ca="1" si="24"/>
        <v/>
      </c>
      <c r="FK62" s="712" t="str">
        <f ca="1">IF(INDIRECT(CONCATENATE($FK$12,Fixtures!FK$25))="","",IF(INDIRECT(CONCATENATE($FK$12,Fixtures!FK$25))=Fixtures!$DN62,CONCATENATE(FK$10,", "),""))</f>
        <v/>
      </c>
      <c r="FL62" s="712" t="str">
        <f ca="1">IF(INDIRECT(CONCATENATE($FK$12,Fixtures!FL$25))="","",IF(INDIRECT(CONCATENATE($FK$12,Fixtures!FL$25))=Fixtures!$DN62,CONCATENATE(FL$10,", "),""))</f>
        <v/>
      </c>
      <c r="FM62" s="712" t="str">
        <f ca="1">IF(INDIRECT(CONCATENATE($FK$12,Fixtures!FM$25))="","",IF(INDIRECT(CONCATENATE($FK$12,Fixtures!FM$25))=Fixtures!$DN62,CONCATENATE(FM$10,", "),""))</f>
        <v/>
      </c>
      <c r="FN62" s="712" t="str">
        <f ca="1">IF(INDIRECT(CONCATENATE($FK$12,Fixtures!FN$25))="","",IF(INDIRECT(CONCATENATE($FK$12,Fixtures!FN$25))=Fixtures!$DN62,CONCATENATE(FN$10,", "),""))</f>
        <v/>
      </c>
      <c r="FO62" s="712" t="str">
        <f ca="1">IF(INDIRECT(CONCATENATE($FK$12,Fixtures!FO$25))="","",IF(INDIRECT(CONCATENATE($FK$12,Fixtures!FO$25))=Fixtures!$DN62,CONCATENATE(FO$10,", "),""))</f>
        <v/>
      </c>
      <c r="FP62" s="712" t="str">
        <f ca="1">IF(INDIRECT(CONCATENATE($FK$12,Fixtures!FP$25))="","",IF(INDIRECT(CONCATENATE($FK$12,Fixtures!FP$25))=Fixtures!$DN62,CONCATENATE(FP$10,", "),""))</f>
        <v/>
      </c>
      <c r="FQ62" s="712" t="str">
        <f ca="1">IF(INDIRECT(CONCATENATE($FK$12,Fixtures!FQ$25))="","",IF(INDIRECT(CONCATENATE($FK$12,Fixtures!FQ$25))=Fixtures!$DN62,CONCATENATE(FQ$10,", "),""))</f>
        <v/>
      </c>
      <c r="FR62" s="712" t="str">
        <f ca="1">IF(INDIRECT(CONCATENATE($FK$12,Fixtures!FR$25))="","",IF(INDIRECT(CONCATENATE($FK$12,Fixtures!FR$25))=Fixtures!$DN62,CONCATENATE(FR$10,", "),""))</f>
        <v/>
      </c>
      <c r="FS62" s="712" t="str">
        <f ca="1">IF(INDIRECT(CONCATENATE($FK$12,Fixtures!FS$25))="","",IF(INDIRECT(CONCATENATE($FK$12,Fixtures!FS$25))=Fixtures!$DN62,CONCATENATE(FS$10,", "),""))</f>
        <v/>
      </c>
      <c r="FT62" s="682" t="str">
        <f ca="1">IF(INDIRECT(CONCATENATE($FK$12,Fixtures!FT$25))="","",IF(INDIRECT(CONCATENATE($FK$12,Fixtures!FT$25))=Fixtures!$DN62,CONCATENATE(FT$10,", "),""))</f>
        <v/>
      </c>
      <c r="FU62" s="683" t="str">
        <f ca="1">IF(INDIRECT(CONCATENATE($FK$12,Fixtures!FU$25))="","",IF(INDIRECT(CONCATENATE($FK$12,Fixtures!FU$25))=Fixtures!$DN62,CONCATENATE(FU$10,", "),""))</f>
        <v/>
      </c>
      <c r="FV62" s="712" t="str">
        <f ca="1">IF(INDIRECT(CONCATENATE($FK$12,Fixtures!FV$25))="","",IF(INDIRECT(CONCATENATE($FK$12,Fixtures!FV$25))=Fixtures!$DN62,CONCATENATE(FV$10,", "),""))</f>
        <v/>
      </c>
      <c r="FW62" s="713" t="str">
        <f ca="1">IF(INDIRECT(CONCATENATE($FK$12,Fixtures!FW$25))="","",IF(INDIRECT(CONCATENATE($FK$12,Fixtures!FW$25))=Fixtures!$DN62,CONCATENATE(FW$10,", "),""))</f>
        <v/>
      </c>
      <c r="FX62" s="713" t="str">
        <f ca="1">IF(INDIRECT(CONCATENATE($FK$12,Fixtures!FX$25))="","",IF(INDIRECT(CONCATENATE($FK$12,Fixtures!FX$25))=Fixtures!$DN62,CONCATENATE(FX$10,", "),""))</f>
        <v/>
      </c>
      <c r="FY62" s="713" t="str">
        <f ca="1">IF(INDIRECT(CONCATENATE($FK$12,Fixtures!FY$25))="","",IF(INDIRECT(CONCATENATE($FK$12,Fixtures!FY$25))=Fixtures!$DN62,CONCATENATE(FY$10,", "),""))</f>
        <v/>
      </c>
      <c r="FZ62" s="713" t="str">
        <f ca="1">IF(INDIRECT(CONCATENATE($FK$12,Fixtures!FZ$25))="","",IF(INDIRECT(CONCATENATE($FK$12,Fixtures!FZ$25))=Fixtures!$DN62,CONCATENATE(FZ$10,", "),""))</f>
        <v/>
      </c>
      <c r="GA62" s="713" t="str">
        <f ca="1">IF(INDIRECT(CONCATENATE($FK$12,Fixtures!GA$25))="","",IF(INDIRECT(CONCATENATE($FK$12,Fixtures!GA$25))=Fixtures!$DN62,CONCATENATE(GA$10,", "),""))</f>
        <v/>
      </c>
      <c r="GB62" s="713" t="str">
        <f ca="1">IF(INDIRECT(CONCATENATE($FK$12,Fixtures!GB$25))="","",IF(INDIRECT(CONCATENATE($FK$12,Fixtures!GB$25))=Fixtures!$DN62,CONCATENATE(GB$10,", "),""))</f>
        <v/>
      </c>
      <c r="GC62" s="713" t="str">
        <f ca="1">IF(INDIRECT(CONCATENATE($FK$12,Fixtures!GC$25))="","",IF(INDIRECT(CONCATENATE($FK$12,Fixtures!GC$25))=Fixtures!$DN62,CONCATENATE(GC$10,", "),""))</f>
        <v/>
      </c>
      <c r="GD62" s="713" t="str">
        <f ca="1">IF(INDIRECT(CONCATENATE($FK$12,Fixtures!GD$25))="","",IF(INDIRECT(CONCATENATE($FK$12,Fixtures!GD$25))=Fixtures!$DN62,CONCATENATE(GD$10,", "),""))</f>
        <v/>
      </c>
      <c r="GE62" s="713" t="str">
        <f ca="1">IF(INDIRECT(CONCATENATE($FK$12,Fixtures!GE$25))="","",IF(INDIRECT(CONCATENATE($FK$12,Fixtures!GE$25))=Fixtures!$DN62,CONCATENATE(GE$10,", "),""))</f>
        <v/>
      </c>
      <c r="GF62" s="713" t="str">
        <f ca="1">IF(INDIRECT(CONCATENATE($FK$12,Fixtures!GF$25))="","",IF(INDIRECT(CONCATENATE($FK$12,Fixtures!GF$25))=Fixtures!$DN62,CONCATENATE(GF$10,", "),""))</f>
        <v/>
      </c>
      <c r="GG62" s="713" t="str">
        <f ca="1">IF(INDIRECT(CONCATENATE($FK$12,Fixtures!GG$25))="","",IF(INDIRECT(CONCATENATE($FK$12,Fixtures!GG$25))=Fixtures!$DN62,CONCATENATE(GG$10,", "),""))</f>
        <v/>
      </c>
      <c r="GH62" s="713" t="str">
        <f ca="1">IF(INDIRECT(CONCATENATE($FK$12,Fixtures!GH$25))="","",IF(INDIRECT(CONCATENATE($FK$12,Fixtures!GH$25))=Fixtures!$DN62,CONCATENATE(GH$10,", "),""))</f>
        <v/>
      </c>
      <c r="GI62" s="684" t="str">
        <f ca="1">IF(INDIRECT(CONCATENATE($FK$12,Fixtures!GI$25))="","",IF(INDIRECT(CONCATENATE($FK$12,Fixtures!GI$25))=Fixtures!$DN62,CONCATENATE(GI$10,", "),""))</f>
        <v/>
      </c>
      <c r="GJ62" s="685" t="str">
        <f ca="1">IF(INDIRECT(CONCATENATE($FK$12,Fixtures!GJ$25))="","",IF(INDIRECT(CONCATENATE($FK$12,Fixtures!GJ$25))=Fixtures!$DN62,CONCATENATE(GJ$10,", "),""))</f>
        <v/>
      </c>
      <c r="GK62" s="713" t="str">
        <f ca="1">IF(INDIRECT(CONCATENATE($FK$12,Fixtures!GK$25))="","",IF(INDIRECT(CONCATENATE($FK$12,Fixtures!GK$25))=Fixtures!$DN62,CONCATENATE(GK$10,", "),""))</f>
        <v/>
      </c>
      <c r="GL62" s="713" t="str">
        <f ca="1">IF(INDIRECT(CONCATENATE($FK$12,Fixtures!GL$25))="","",IF(INDIRECT(CONCATENATE($FK$12,Fixtures!GL$25))=Fixtures!$DN62,CONCATENATE(GL$10,", "),""))</f>
        <v/>
      </c>
      <c r="GM62" s="713" t="str">
        <f ca="1">IF(INDIRECT(CONCATENATE($FK$12,Fixtures!GM$25))="","",IF(INDIRECT(CONCATENATE($FK$12,Fixtures!GM$25))=Fixtures!$DN62,CONCATENATE(GM$10,", "),""))</f>
        <v/>
      </c>
      <c r="GN62" s="713" t="str">
        <f ca="1">IF(INDIRECT(CONCATENATE($FK$12,Fixtures!GN$25))="","",IF(INDIRECT(CONCATENATE($FK$12,Fixtures!GN$25))=Fixtures!$DN62,CONCATENATE(GN$10,", "),""))</f>
        <v/>
      </c>
      <c r="GO62" s="713" t="str">
        <f ca="1">IF(INDIRECT(CONCATENATE($FK$12,Fixtures!GO$25))="","",IF(INDIRECT(CONCATENATE($FK$12,Fixtures!GO$25))=Fixtures!$DN62,CONCATENATE(GO$10,", "),""))</f>
        <v/>
      </c>
      <c r="GP62" s="713" t="str">
        <f ca="1">IF(INDIRECT(CONCATENATE($FK$12,Fixtures!GP$25))="","",IF(INDIRECT(CONCATENATE($FK$12,Fixtures!GP$25))=Fixtures!$DN62,CONCATENATE(GP$10,", "),""))</f>
        <v/>
      </c>
      <c r="GQ62" s="713" t="str">
        <f ca="1">IF(INDIRECT(CONCATENATE($FK$12,Fixtures!GQ$25))="","",IF(INDIRECT(CONCATENATE($FK$12,Fixtures!GQ$25))=Fixtures!$DN62,CONCATENATE(GQ$10,", "),""))</f>
        <v/>
      </c>
      <c r="GR62" s="713" t="str">
        <f ca="1">IF(INDIRECT(CONCATENATE($FK$12,Fixtures!GR$25))="","",IF(INDIRECT(CONCATENATE($FK$12,Fixtures!GR$25))=Fixtures!$DN62,CONCATENATE(GR$10,", "),""))</f>
        <v/>
      </c>
      <c r="GS62" s="713" t="str">
        <f ca="1">IF(INDIRECT(CONCATENATE($FK$12,Fixtures!GS$25))="","",IF(INDIRECT(CONCATENATE($FK$12,Fixtures!GS$25))=Fixtures!$DN62,CONCATENATE(GS$10,", "),""))</f>
        <v/>
      </c>
      <c r="GT62" s="713" t="str">
        <f ca="1">IF(INDIRECT(CONCATENATE($FK$12,Fixtures!GT$25))="","",IF(INDIRECT(CONCATENATE($FK$12,Fixtures!GT$25))=Fixtures!$DN62,CONCATENATE(GT$10,", "),""))</f>
        <v/>
      </c>
      <c r="GU62" s="713" t="str">
        <f ca="1">IF(INDIRECT(CONCATENATE($FK$12,Fixtures!GU$25))="","",IF(INDIRECT(CONCATENATE($FK$12,Fixtures!GU$25))=Fixtures!$DN62,CONCATENATE(GU$10,", "),""))</f>
        <v/>
      </c>
      <c r="GV62" s="713" t="str">
        <f ca="1">IF(INDIRECT(CONCATENATE($FK$12,Fixtures!GV$25))="","",IF(INDIRECT(CONCATENATE($FK$12,Fixtures!GV$25))=Fixtures!$DN62,CONCATENATE(GV$10,", "),""))</f>
        <v/>
      </c>
      <c r="GW62" s="713" t="str">
        <f ca="1">IF(INDIRECT(CONCATENATE($FK$12,Fixtures!GW$25))="","",IF(INDIRECT(CONCATENATE($FK$12,Fixtures!GW$25))=Fixtures!$DN62,CONCATENATE(GW$10,", "),""))</f>
        <v/>
      </c>
      <c r="GX62" s="684" t="str">
        <f ca="1">IF(INDIRECT(CONCATENATE($FK$12,Fixtures!GX$25))="","",IF(INDIRECT(CONCATENATE($FK$12,Fixtures!GX$25))=Fixtures!$DN62,CONCATENATE(GX$10,", "),""))</f>
        <v/>
      </c>
      <c r="GY62" s="685" t="str">
        <f ca="1">IF(INDIRECT(CONCATENATE($FK$12,Fixtures!GY$25))="","",IF(INDIRECT(CONCATENATE($FK$12,Fixtures!GY$25))=Fixtures!$DN62,CONCATENATE(GY$10,", "),""))</f>
        <v/>
      </c>
      <c r="GZ62" s="713" t="str">
        <f ca="1">IF(INDIRECT(CONCATENATE($FK$12,Fixtures!GZ$25))="","",IF(INDIRECT(CONCATENATE($FK$12,Fixtures!GZ$25))=Fixtures!$DN62,CONCATENATE(GZ$10,", "),""))</f>
        <v/>
      </c>
      <c r="HA62" s="713" t="str">
        <f ca="1">IF(INDIRECT(CONCATENATE($FK$12,Fixtures!HA$25))="","",IF(INDIRECT(CONCATENATE($FK$12,Fixtures!HA$25))=Fixtures!$DN62,CONCATENATE(HA$10,", "),""))</f>
        <v/>
      </c>
      <c r="HB62" s="713" t="str">
        <f ca="1">IF(INDIRECT(CONCATENATE($FK$12,Fixtures!HB$25))="","",IF(INDIRECT(CONCATENATE($FK$12,Fixtures!HB$25))=Fixtures!$DN62,CONCATENATE(HB$10,", "),""))</f>
        <v/>
      </c>
      <c r="HC62" s="713" t="str">
        <f ca="1">IF(INDIRECT(CONCATENATE($FK$12,Fixtures!HC$25))="","",IF(INDIRECT(CONCATENATE($FK$12,Fixtures!HC$25))=Fixtures!$DN62,CONCATENATE(HC$10,", "),""))</f>
        <v/>
      </c>
      <c r="HD62" s="713" t="str">
        <f ca="1">IF(INDIRECT(CONCATENATE($FK$12,Fixtures!HD$25))="","",IF(INDIRECT(CONCATENATE($FK$12,Fixtures!HD$25))=Fixtures!$DN62,CONCATENATE(HD$10,", "),""))</f>
        <v/>
      </c>
      <c r="HE62" s="713" t="str">
        <f ca="1">IF(INDIRECT(CONCATENATE($FK$12,Fixtures!HE$25))="","",IF(INDIRECT(CONCATENATE($FK$12,Fixtures!HE$25))=Fixtures!$DN62,CONCATENATE(HE$10,", "),""))</f>
        <v/>
      </c>
      <c r="HF62" s="713" t="str">
        <f ca="1">IF(INDIRECT(CONCATENATE($FK$12,Fixtures!HF$25))="","",IF(INDIRECT(CONCATENATE($FK$12,Fixtures!HF$25))=Fixtures!$DN62,CONCATENATE(HF$10,", "),""))</f>
        <v/>
      </c>
      <c r="HG62" s="713" t="str">
        <f ca="1">IF(INDIRECT(CONCATENATE($FK$12,Fixtures!HG$25))="","",IF(INDIRECT(CONCATENATE($FK$12,Fixtures!HG$25))=Fixtures!$DN62,CONCATENATE(HG$10,", "),""))</f>
        <v/>
      </c>
      <c r="HH62" s="713" t="str">
        <f ca="1">IF(INDIRECT(CONCATENATE($FK$12,Fixtures!HH$25))="","",IF(INDIRECT(CONCATENATE($FK$12,Fixtures!HH$25))=Fixtures!$DN62,CONCATENATE(HH$10,", "),""))</f>
        <v/>
      </c>
      <c r="HI62" s="713" t="str">
        <f ca="1">IF(INDIRECT(CONCATENATE($FK$12,Fixtures!HI$25))="","",IF(INDIRECT(CONCATENATE($FK$12,Fixtures!HI$25))=Fixtures!$DN62,CONCATENATE(HI$10,", "),""))</f>
        <v/>
      </c>
      <c r="HJ62" s="713" t="str">
        <f ca="1">IF(INDIRECT(CONCATENATE($FK$12,Fixtures!HJ$25))="","",IF(INDIRECT(CONCATENATE($FK$12,Fixtures!HJ$25))=Fixtures!$DN62,CONCATENATE(HJ$10,", "),""))</f>
        <v/>
      </c>
      <c r="HK62" s="713" t="str">
        <f ca="1">IF(INDIRECT(CONCATENATE($FK$12,Fixtures!HK$25))="","",IF(INDIRECT(CONCATENATE($FK$12,Fixtures!HK$25))=Fixtures!$DN62,CONCATENATE(HK$10,", "),""))</f>
        <v/>
      </c>
      <c r="HL62" s="713" t="str">
        <f ca="1">IF(INDIRECT(CONCATENATE($FK$12,Fixtures!HL$25))="","",IF(INDIRECT(CONCATENATE($FK$12,Fixtures!HL$25))=Fixtures!$DN62,CONCATENATE(HL$10,", "),""))</f>
        <v/>
      </c>
      <c r="HM62" s="684" t="str">
        <f ca="1">IF(INDIRECT(CONCATENATE($FK$12,Fixtures!HM$25))="","",IF(INDIRECT(CONCATENATE($FK$12,Fixtures!HM$25))=Fixtures!$DN62,CONCATENATE(HM$10,", "),""))</f>
        <v/>
      </c>
      <c r="HN62" s="685" t="str">
        <f ca="1">IF(INDIRECT(CONCATENATE($FK$12,Fixtures!HN$25))="","",IF(INDIRECT(CONCATENATE($FK$12,Fixtures!HN$25))=Fixtures!$DN62,CONCATENATE(HN$10,", "),""))</f>
        <v/>
      </c>
      <c r="HO62" s="713" t="str">
        <f ca="1">IF(INDIRECT(CONCATENATE($FK$12,Fixtures!HO$25))="","",IF(INDIRECT(CONCATENATE($FK$12,Fixtures!HO$25))=Fixtures!$DN62,CONCATENATE(HO$10,", "),""))</f>
        <v/>
      </c>
      <c r="HP62" s="713" t="str">
        <f ca="1">IF(INDIRECT(CONCATENATE($FK$12,Fixtures!HP$25))="","",IF(INDIRECT(CONCATENATE($FK$12,Fixtures!HP$25))=Fixtures!$DN62,CONCATENATE(HP$10,", "),""))</f>
        <v/>
      </c>
      <c r="HQ62" s="713" t="str">
        <f ca="1">IF(INDIRECT(CONCATENATE($FK$12,Fixtures!HQ$25))="","",IF(INDIRECT(CONCATENATE($FK$12,Fixtures!HQ$25))=Fixtures!$DN62,CONCATENATE(HQ$10,", "),""))</f>
        <v/>
      </c>
      <c r="HR62" s="713" t="str">
        <f ca="1">IF(INDIRECT(CONCATENATE($FK$12,Fixtures!HR$25))="","",IF(INDIRECT(CONCATENATE($FK$12,Fixtures!HR$25))=Fixtures!$DN62,CONCATENATE(HR$10,", "),""))</f>
        <v/>
      </c>
      <c r="HS62" s="713" t="str">
        <f ca="1">IF(INDIRECT(CONCATENATE($FK$12,Fixtures!HS$25))="","",IF(INDIRECT(CONCATENATE($FK$12,Fixtures!HS$25))=Fixtures!$DN62,CONCATENATE(HS$10,", "),""))</f>
        <v/>
      </c>
      <c r="HT62" s="713" t="str">
        <f ca="1">IF(INDIRECT(CONCATENATE($FK$12,Fixtures!HT$25))="","",IF(INDIRECT(CONCATENATE($FK$12,Fixtures!HT$25))=Fixtures!$DN62,CONCATENATE(HT$10,", "),""))</f>
        <v/>
      </c>
      <c r="HU62" s="713" t="str">
        <f ca="1">IF(INDIRECT(CONCATENATE($FK$12,Fixtures!HU$25))="","",IF(INDIRECT(CONCATENATE($FK$12,Fixtures!HU$25))=Fixtures!$DN62,CONCATENATE(HU$10,", "),""))</f>
        <v/>
      </c>
      <c r="HV62" s="713" t="str">
        <f ca="1">IF(INDIRECT(CONCATENATE($FK$12,Fixtures!HV$25))="","",IF(INDIRECT(CONCATENATE($FK$12,Fixtures!HV$25))=Fixtures!$DN62,CONCATENATE(HV$10,", "),""))</f>
        <v/>
      </c>
      <c r="HW62" s="713" t="str">
        <f ca="1">IF(INDIRECT(CONCATENATE($FK$12,Fixtures!HW$25))="","",IF(INDIRECT(CONCATENATE($FK$12,Fixtures!HW$25))=Fixtures!$DN62,CONCATENATE(HW$10,", "),""))</f>
        <v/>
      </c>
      <c r="HX62" s="713" t="str">
        <f ca="1">IF(INDIRECT(CONCATENATE($FK$12,Fixtures!HX$25))="","",IF(INDIRECT(CONCATENATE($FK$12,Fixtures!HX$25))=Fixtures!$DN62,CONCATENATE(HX$10,", "),""))</f>
        <v/>
      </c>
      <c r="HY62" s="713" t="str">
        <f ca="1">IF(INDIRECT(CONCATENATE($FK$12,Fixtures!HY$25))="","",IF(INDIRECT(CONCATENATE($FK$12,Fixtures!HY$25))=Fixtures!$DN62,CONCATENATE(HY$10,", "),""))</f>
        <v/>
      </c>
      <c r="HZ62" s="713" t="str">
        <f ca="1">IF(INDIRECT(CONCATENATE($FK$12,Fixtures!HZ$25))="","",IF(INDIRECT(CONCATENATE($FK$12,Fixtures!HZ$25))=Fixtures!$DN62,CONCATENATE(HZ$10,", "),""))</f>
        <v/>
      </c>
      <c r="IA62" s="713" t="str">
        <f ca="1">IF(INDIRECT(CONCATENATE($FK$12,Fixtures!IA$25))="","",IF(INDIRECT(CONCATENATE($FK$12,Fixtures!IA$25))=Fixtures!$DN62,CONCATENATE(IA$10,", "),""))</f>
        <v/>
      </c>
      <c r="IB62" s="684" t="str">
        <f ca="1">IF(INDIRECT(CONCATENATE($FK$12,Fixtures!IB$25))="","",IF(INDIRECT(CONCATENATE($FK$12,Fixtures!IB$25))=Fixtures!$DN62,CONCATENATE(IB$10,", "),""))</f>
        <v/>
      </c>
      <c r="IC62" s="685" t="str">
        <f ca="1">IF(INDIRECT(CONCATENATE($FK$12,Fixtures!IC$25))="","",IF(INDIRECT(CONCATENATE($FK$12,Fixtures!IC$25))=Fixtures!$DN62,CONCATENATE(IC$10,", "),""))</f>
        <v/>
      </c>
      <c r="ID62" s="713" t="str">
        <f ca="1">IF(INDIRECT(CONCATENATE($FK$12,Fixtures!ID$25))="","",IF(INDIRECT(CONCATENATE($FK$12,Fixtures!ID$25))=Fixtures!$DN62,CONCATENATE(ID$10,", "),""))</f>
        <v/>
      </c>
      <c r="IE62" s="713" t="str">
        <f ca="1">IF(INDIRECT(CONCATENATE($FK$12,Fixtures!IE$25))="","",IF(INDIRECT(CONCATENATE($FK$12,Fixtures!IE$25))=Fixtures!$DN62,CONCATENATE(IE$10,", "),""))</f>
        <v/>
      </c>
      <c r="IF62" s="713" t="str">
        <f ca="1">IF(INDIRECT(CONCATENATE($FK$12,Fixtures!IF$25))="","",IF(INDIRECT(CONCATENATE($FK$12,Fixtures!IF$25))=Fixtures!$DN62,CONCATENATE(IF$10,", "),""))</f>
        <v/>
      </c>
      <c r="IG62" s="713" t="str">
        <f ca="1">IF(INDIRECT(CONCATENATE($FK$12,Fixtures!IG$25))="","",IF(INDIRECT(CONCATENATE($FK$12,Fixtures!IG$25))=Fixtures!$DN62,CONCATENATE(IG$10,", "),""))</f>
        <v/>
      </c>
      <c r="IH62" s="713" t="str">
        <f ca="1">IF(INDIRECT(CONCATENATE($FK$12,Fixtures!IH$25))="","",IF(INDIRECT(CONCATENATE($FK$12,Fixtures!IH$25))=Fixtures!$DN62,CONCATENATE(IH$10,", "),""))</f>
        <v/>
      </c>
      <c r="II62" s="713" t="str">
        <f ca="1">IF(INDIRECT(CONCATENATE($FK$12,Fixtures!II$25))="","",IF(INDIRECT(CONCATENATE($FK$12,Fixtures!II$25))=Fixtures!$DN62,CONCATENATE(II$10,", "),""))</f>
        <v/>
      </c>
      <c r="IJ62" s="713" t="str">
        <f ca="1">IF(INDIRECT(CONCATENATE($FK$12,Fixtures!IJ$25))="","",IF(INDIRECT(CONCATENATE($FK$12,Fixtures!IJ$25))=Fixtures!$DN62,CONCATENATE(IJ$10,", "),""))</f>
        <v/>
      </c>
      <c r="IK62" s="713" t="str">
        <f ca="1">IF(INDIRECT(CONCATENATE($FK$12,Fixtures!IK$25))="","",IF(INDIRECT(CONCATENATE($FK$12,Fixtures!IK$25))=Fixtures!$DN62,CONCATENATE(IK$10,", "),""))</f>
        <v/>
      </c>
      <c r="IL62" s="713" t="str">
        <f ca="1">IF(INDIRECT(CONCATENATE($FK$12,Fixtures!IL$25))="","",IF(INDIRECT(CONCATENATE($FK$12,Fixtures!IL$25))=Fixtures!$DN62,CONCATENATE(IL$10,", "),""))</f>
        <v/>
      </c>
      <c r="IM62" s="713" t="str">
        <f ca="1">IF(INDIRECT(CONCATENATE($FK$12,Fixtures!IM$25))="","",IF(INDIRECT(CONCATENATE($FK$12,Fixtures!IM$25))=Fixtures!$DN62,CONCATENATE(IM$10,", "),""))</f>
        <v/>
      </c>
      <c r="IN62" s="713" t="str">
        <f ca="1">IF(INDIRECT(CONCATENATE($FK$12,Fixtures!IN$25))="","",IF(INDIRECT(CONCATENATE($FK$12,Fixtures!IN$25))=Fixtures!$DN62,CONCATENATE(IN$10,", "),""))</f>
        <v/>
      </c>
      <c r="IO62" s="713" t="str">
        <f ca="1">IF(INDIRECT(CONCATENATE($FK$12,Fixtures!IO$25))="","",IF(INDIRECT(CONCATENATE($FK$12,Fixtures!IO$25))=Fixtures!$DN62,CONCATENATE(IO$10,", "),""))</f>
        <v/>
      </c>
      <c r="IP62" s="713" t="str">
        <f ca="1">IF(INDIRECT(CONCATENATE($FK$12,Fixtures!IP$25))="","",IF(INDIRECT(CONCATENATE($FK$12,Fixtures!IP$25))=Fixtures!$DN62,CONCATENATE(IP$10,", "),""))</f>
        <v/>
      </c>
      <c r="IQ62" s="684" t="str">
        <f ca="1">IF(INDIRECT(CONCATENATE($FK$12,Fixtures!IQ$25))="","",IF(INDIRECT(CONCATENATE($FK$12,Fixtures!IQ$25))=Fixtures!$DN62,CONCATENATE(IQ$10,", "),""))</f>
        <v/>
      </c>
      <c r="IR62" s="685" t="str">
        <f ca="1">IF(INDIRECT(CONCATENATE($FK$12,Fixtures!IR$25))="","",IF(INDIRECT(CONCATENATE($FK$12,Fixtures!IR$25))=Fixtures!$DN62,CONCATENATE(IR$10,", "),""))</f>
        <v/>
      </c>
      <c r="IS62" s="713" t="str">
        <f ca="1">IF(INDIRECT(CONCATENATE($FK$12,Fixtures!IS$25))="","",IF(INDIRECT(CONCATENATE($FK$12,Fixtures!IS$25))=Fixtures!$DN62,CONCATENATE(IS$10,", "),""))</f>
        <v/>
      </c>
      <c r="IT62" s="713" t="str">
        <f ca="1">IF(INDIRECT(CONCATENATE($FK$12,Fixtures!IT$25))="","",IF(INDIRECT(CONCATENATE($FK$12,Fixtures!IT$25))=Fixtures!$DN62,CONCATENATE(IT$10,", "),""))</f>
        <v/>
      </c>
      <c r="IU62" s="713" t="str">
        <f ca="1">IF(INDIRECT(CONCATENATE($FK$12,Fixtures!IU$25))="","",IF(INDIRECT(CONCATENATE($FK$12,Fixtures!IU$25))=Fixtures!$DN62,CONCATENATE(IU$10,", "),""))</f>
        <v/>
      </c>
      <c r="IV62" s="713" t="str">
        <f ca="1">IF(INDIRECT(CONCATENATE($FK$12,Fixtures!IV$25))="","",IF(INDIRECT(CONCATENATE($FK$12,Fixtures!IV$25))=Fixtures!$DN62,CONCATENATE(IV$10,", "),""))</f>
        <v/>
      </c>
      <c r="IW62" s="713" t="str">
        <f ca="1">IF(INDIRECT(CONCATENATE($FK$12,Fixtures!IW$25))="","",IF(INDIRECT(CONCATENATE($FK$12,Fixtures!IW$25))=Fixtures!$DN62,CONCATENATE(IW$10,", "),""))</f>
        <v/>
      </c>
      <c r="IX62" s="713" t="str">
        <f ca="1">IF(INDIRECT(CONCATENATE($FK$12,Fixtures!IX$25))="","",IF(INDIRECT(CONCATENATE($FK$12,Fixtures!IX$25))=Fixtures!$DN62,CONCATENATE(IX$10,", "),""))</f>
        <v/>
      </c>
      <c r="IY62" s="713" t="str">
        <f ca="1">IF(INDIRECT(CONCATENATE($FK$12,Fixtures!IY$25))="","",IF(INDIRECT(CONCATENATE($FK$12,Fixtures!IY$25))=Fixtures!$DN62,CONCATENATE(IY$10,", "),""))</f>
        <v/>
      </c>
      <c r="IZ62" s="713" t="str">
        <f ca="1">IF(INDIRECT(CONCATENATE($FK$12,Fixtures!IZ$25))="","",IF(INDIRECT(CONCATENATE($FK$12,Fixtures!IZ$25))=Fixtures!$DN62,CONCATENATE(IZ$10,", "),""))</f>
        <v/>
      </c>
      <c r="JA62" s="713" t="str">
        <f ca="1">IF(INDIRECT(CONCATENATE($FK$12,Fixtures!JA$25))="","",IF(INDIRECT(CONCATENATE($FK$12,Fixtures!JA$25))=Fixtures!$DN62,CONCATENATE(JA$10,", "),""))</f>
        <v/>
      </c>
      <c r="JB62" s="713" t="str">
        <f ca="1">IF(INDIRECT(CONCATENATE($FK$12,Fixtures!JB$25))="","",IF(INDIRECT(CONCATENATE($FK$12,Fixtures!JB$25))=Fixtures!$DN62,CONCATENATE(JB$10,", "),""))</f>
        <v/>
      </c>
      <c r="JC62" s="713" t="str">
        <f ca="1">IF(INDIRECT(CONCATENATE($FK$12,Fixtures!JC$25))="","",IF(INDIRECT(CONCATENATE($FK$12,Fixtures!JC$25))=Fixtures!$DN62,CONCATENATE(JC$10,", "),""))</f>
        <v/>
      </c>
      <c r="JD62" s="713" t="str">
        <f ca="1">IF(INDIRECT(CONCATENATE($FK$12,Fixtures!JD$25))="","",IF(INDIRECT(CONCATENATE($FK$12,Fixtures!JD$25))=Fixtures!$DN62,CONCATENATE(JD$10,", "),""))</f>
        <v/>
      </c>
      <c r="JE62" s="713" t="str">
        <f ca="1">IF(INDIRECT(CONCATENATE($FK$12,Fixtures!JE$25))="","",IF(INDIRECT(CONCATENATE($FK$12,Fixtures!JE$25))=Fixtures!$DN62,CONCATENATE(JE$10,", "),""))</f>
        <v/>
      </c>
      <c r="JF62" s="684" t="str">
        <f ca="1">IF(INDIRECT(CONCATENATE($FK$12,Fixtures!JF$25))="","",IF(INDIRECT(CONCATENATE($FK$12,Fixtures!JF$25))=Fixtures!$DN62,CONCATENATE(JF$10,", "),""))</f>
        <v/>
      </c>
      <c r="JG62" s="685" t="str">
        <f ca="1">IF(INDIRECT(CONCATENATE($FK$12,Fixtures!JG$25))="","",IF(INDIRECT(CONCATENATE($FK$12,Fixtures!JG$25))=Fixtures!$DN62,CONCATENATE(JG$10,", "),""))</f>
        <v/>
      </c>
      <c r="JH62" s="713" t="str">
        <f ca="1">IF(INDIRECT(CONCATENATE($FK$12,Fixtures!JH$25))="","",IF(INDIRECT(CONCATENATE($FK$12,Fixtures!JH$25))=Fixtures!$DN62,CONCATENATE(JH$10,", "),""))</f>
        <v/>
      </c>
      <c r="JI62" s="713" t="str">
        <f ca="1">IF(INDIRECT(CONCATENATE($FK$12,Fixtures!JI$25))="","",IF(INDIRECT(CONCATENATE($FK$12,Fixtures!JI$25))=Fixtures!$DN62,CONCATENATE(JI$10,", "),""))</f>
        <v/>
      </c>
      <c r="JJ62" s="713" t="str">
        <f ca="1">IF(INDIRECT(CONCATENATE($FK$12,Fixtures!JJ$25))="","",IF(INDIRECT(CONCATENATE($FK$12,Fixtures!JJ$25))=Fixtures!$DN62,CONCATENATE(JJ$10,", "),""))</f>
        <v/>
      </c>
      <c r="JK62" s="713" t="str">
        <f ca="1">IF(INDIRECT(CONCATENATE($FK$12,Fixtures!JK$25))="","",IF(INDIRECT(CONCATENATE($FK$12,Fixtures!JK$25))=Fixtures!$DN62,CONCATENATE(JK$10,", "),""))</f>
        <v/>
      </c>
      <c r="JL62" s="713" t="str">
        <f ca="1">IF(INDIRECT(CONCATENATE($FK$12,Fixtures!JL$25))="","",IF(INDIRECT(CONCATENATE($FK$12,Fixtures!JL$25))=Fixtures!$DN62,CONCATENATE(JL$10,", "),""))</f>
        <v/>
      </c>
      <c r="JM62" s="713" t="str">
        <f ca="1">IF(INDIRECT(CONCATENATE($FK$12,Fixtures!JM$25))="","",IF(INDIRECT(CONCATENATE($FK$12,Fixtures!JM$25))=Fixtures!$DN62,CONCATENATE(JM$10,", "),""))</f>
        <v/>
      </c>
      <c r="JN62" s="713" t="str">
        <f ca="1">IF(INDIRECT(CONCATENATE($FK$12,Fixtures!JN$25))="","",IF(INDIRECT(CONCATENATE($FK$12,Fixtures!JN$25))=Fixtures!$DN62,CONCATENATE(JN$10,", "),""))</f>
        <v/>
      </c>
      <c r="JO62" s="713" t="str">
        <f ca="1">IF(INDIRECT(CONCATENATE($FK$12,Fixtures!JO$25))="","",IF(INDIRECT(CONCATENATE($FK$12,Fixtures!JO$25))=Fixtures!$DN62,CONCATENATE(JO$10,", "),""))</f>
        <v/>
      </c>
      <c r="JP62" s="713" t="str">
        <f ca="1">IF(INDIRECT(CONCATENATE($FK$12,Fixtures!JP$25))="","",IF(INDIRECT(CONCATENATE($FK$12,Fixtures!JP$25))=Fixtures!$DN62,CONCATENATE(JP$10,", "),""))</f>
        <v/>
      </c>
      <c r="JQ62" s="713" t="str">
        <f ca="1">IF(INDIRECT(CONCATENATE($FK$12,Fixtures!JQ$25))="","",IF(INDIRECT(CONCATENATE($FK$12,Fixtures!JQ$25))=Fixtures!$DN62,CONCATENATE(JQ$10,", "),""))</f>
        <v/>
      </c>
      <c r="JR62" s="713" t="str">
        <f ca="1">IF(INDIRECT(CONCATENATE($FK$12,Fixtures!JR$25))="","",IF(INDIRECT(CONCATENATE($FK$12,Fixtures!JR$25))=Fixtures!$DN62,CONCATENATE(JR$10,", "),""))</f>
        <v/>
      </c>
      <c r="JS62" s="713" t="str">
        <f ca="1">IF(INDIRECT(CONCATENATE($FK$12,Fixtures!JS$25))="","",IF(INDIRECT(CONCATENATE($FK$12,Fixtures!JS$25))=Fixtures!$DN62,CONCATENATE(JS$10,", "),""))</f>
        <v/>
      </c>
      <c r="JT62" s="713" t="str">
        <f ca="1">IF(INDIRECT(CONCATENATE($FK$12,Fixtures!JT$25))="","",IF(INDIRECT(CONCATENATE($FK$12,Fixtures!JT$25))=Fixtures!$DN62,CONCATENATE(JT$10,", "),""))</f>
        <v/>
      </c>
      <c r="JU62" s="684" t="str">
        <f ca="1">IF(INDIRECT(CONCATENATE($FK$12,Fixtures!JU$25))="","",IF(INDIRECT(CONCATENATE($FK$12,Fixtures!JU$25))=Fixtures!$DN62,CONCATENATE(JU$10,", "),""))</f>
        <v/>
      </c>
      <c r="JV62" s="685" t="str">
        <f ca="1">IF(INDIRECT(CONCATENATE($FK$12,Fixtures!JV$25))="","",IF(INDIRECT(CONCATENATE($FK$12,Fixtures!JV$25))=Fixtures!$DN62,CONCATENATE(JV$10,", "),""))</f>
        <v/>
      </c>
      <c r="JW62" s="713" t="str">
        <f ca="1">IF(INDIRECT(CONCATENATE($FK$12,Fixtures!JW$25))="","",IF(INDIRECT(CONCATENATE($FK$12,Fixtures!JW$25))=Fixtures!$DN62,CONCATENATE(JW$10,", "),""))</f>
        <v/>
      </c>
      <c r="JX62" s="713" t="str">
        <f ca="1">IF(INDIRECT(CONCATENATE($FK$12,Fixtures!JX$25))="","",IF(INDIRECT(CONCATENATE($FK$12,Fixtures!JX$25))=Fixtures!$DN62,CONCATENATE(JX$10,", "),""))</f>
        <v/>
      </c>
      <c r="JY62" s="713" t="str">
        <f ca="1">IF(INDIRECT(CONCATENATE($FK$12,Fixtures!JY$25))="","",IF(INDIRECT(CONCATENATE($FK$12,Fixtures!JY$25))=Fixtures!$DN62,CONCATENATE(JY$10,", "),""))</f>
        <v/>
      </c>
      <c r="JZ62" s="713" t="str">
        <f ca="1">IF(INDIRECT(CONCATENATE($FK$12,Fixtures!JZ$25))="","",IF(INDIRECT(CONCATENATE($FK$12,Fixtures!JZ$25))=Fixtures!$DN62,CONCATENATE(JZ$10,", "),""))</f>
        <v/>
      </c>
      <c r="KA62" s="713" t="str">
        <f ca="1">IF(INDIRECT(CONCATENATE($FK$12,Fixtures!KA$25))="","",IF(INDIRECT(CONCATENATE($FK$12,Fixtures!KA$25))=Fixtures!$DN62,CONCATENATE(KA$10,", "),""))</f>
        <v/>
      </c>
      <c r="KB62" s="713" t="str">
        <f ca="1">IF(INDIRECT(CONCATENATE($FK$12,Fixtures!KB$25))="","",IF(INDIRECT(CONCATENATE($FK$12,Fixtures!KB$25))=Fixtures!$DN62,CONCATENATE(KB$10,", "),""))</f>
        <v/>
      </c>
      <c r="KC62" s="713" t="str">
        <f ca="1">IF(INDIRECT(CONCATENATE($FK$12,Fixtures!KC$25))="","",IF(INDIRECT(CONCATENATE($FK$12,Fixtures!KC$25))=Fixtures!$DN62,CONCATENATE(KC$10,", "),""))</f>
        <v/>
      </c>
      <c r="KD62" s="713" t="str">
        <f ca="1">IF(INDIRECT(CONCATENATE($FK$12,Fixtures!KD$25))="","",IF(INDIRECT(CONCATENATE($FK$12,Fixtures!KD$25))=Fixtures!$DN62,CONCATENATE(KD$10,", "),""))</f>
        <v/>
      </c>
      <c r="KE62" s="713" t="str">
        <f ca="1">IF(INDIRECT(CONCATENATE($FK$12,Fixtures!KE$25))="","",IF(INDIRECT(CONCATENATE($FK$12,Fixtures!KE$25))=Fixtures!$DN62,CONCATENATE(KE$10,", "),""))</f>
        <v/>
      </c>
      <c r="KF62" s="713" t="str">
        <f ca="1">IF(INDIRECT(CONCATENATE($FK$12,Fixtures!KF$25))="","",IF(INDIRECT(CONCATENATE($FK$12,Fixtures!KF$25))=Fixtures!$DN62,CONCATENATE(KF$10,", "),""))</f>
        <v/>
      </c>
      <c r="KG62" s="713" t="str">
        <f ca="1">IF(INDIRECT(CONCATENATE($FK$12,Fixtures!KG$25))="","",IF(INDIRECT(CONCATENATE($FK$12,Fixtures!KG$25))=Fixtures!$DN62,CONCATENATE(KG$10,", "),""))</f>
        <v/>
      </c>
      <c r="KH62" s="713" t="str">
        <f ca="1">IF(INDIRECT(CONCATENATE($FK$12,Fixtures!KH$25))="","",IF(INDIRECT(CONCATENATE($FK$12,Fixtures!KH$25))=Fixtures!$DN62,CONCATENATE(KH$10,", "),""))</f>
        <v/>
      </c>
      <c r="KI62" s="713" t="str">
        <f ca="1">IF(INDIRECT(CONCATENATE($FK$12,Fixtures!KI$25))="","",IF(INDIRECT(CONCATENATE($FK$12,Fixtures!KI$25))=Fixtures!$DN62,CONCATENATE(KI$10,", "),""))</f>
        <v/>
      </c>
      <c r="KJ62" s="684" t="str">
        <f ca="1">IF(INDIRECT(CONCATENATE($FK$12,Fixtures!KJ$25))="","",IF(INDIRECT(CONCATENATE($FK$12,Fixtures!KJ$25))=Fixtures!$DN62,CONCATENATE(KJ$10,", "),""))</f>
        <v/>
      </c>
      <c r="KK62" s="685" t="str">
        <f ca="1">IF(INDIRECT(CONCATENATE($FK$12,Fixtures!KK$25))="","",IF(INDIRECT(CONCATENATE($FK$12,Fixtures!KK$25))=Fixtures!$DN62,CONCATENATE(KK$10,", "),""))</f>
        <v/>
      </c>
      <c r="KL62" s="713" t="str">
        <f ca="1">IF(INDIRECT(CONCATENATE($FK$12,Fixtures!KL$25))="","",IF(INDIRECT(CONCATENATE($FK$12,Fixtures!KL$25))=Fixtures!$DN62,CONCATENATE(KL$10,", "),""))</f>
        <v/>
      </c>
      <c r="KM62" s="713" t="str">
        <f ca="1">IF(INDIRECT(CONCATENATE($FK$12,Fixtures!KM$25))="","",IF(INDIRECT(CONCATENATE($FK$12,Fixtures!KM$25))=Fixtures!$DN62,CONCATENATE(KM$10,", "),""))</f>
        <v/>
      </c>
      <c r="KN62" s="713" t="str">
        <f ca="1">IF(INDIRECT(CONCATENATE($FK$12,Fixtures!KN$25))="","",IF(INDIRECT(CONCATENATE($FK$12,Fixtures!KN$25))=Fixtures!$DN62,CONCATENATE(KN$10,", "),""))</f>
        <v/>
      </c>
      <c r="KO62" s="713" t="str">
        <f ca="1">IF(INDIRECT(CONCATENATE($FK$12,Fixtures!KO$25))="","",IF(INDIRECT(CONCATENATE($FK$12,Fixtures!KO$25))=Fixtures!$DN62,CONCATENATE(KO$10,", "),""))</f>
        <v/>
      </c>
      <c r="KP62" s="713" t="str">
        <f ca="1">IF(INDIRECT(CONCATENATE($FK$12,Fixtures!KP$25))="","",IF(INDIRECT(CONCATENATE($FK$12,Fixtures!KP$25))=Fixtures!$DN62,CONCATENATE(KP$10,", "),""))</f>
        <v/>
      </c>
      <c r="KQ62" s="713" t="str">
        <f ca="1">IF(INDIRECT(CONCATENATE($FK$12,Fixtures!KQ$25))="","",IF(INDIRECT(CONCATENATE($FK$12,Fixtures!KQ$25))=Fixtures!$DN62,CONCATENATE(KQ$10,", "),""))</f>
        <v/>
      </c>
      <c r="KR62" s="713" t="str">
        <f ca="1">IF(INDIRECT(CONCATENATE($FK$12,Fixtures!KR$25))="","",IF(INDIRECT(CONCATENATE($FK$12,Fixtures!KR$25))=Fixtures!$DN62,CONCATENATE(KR$10,", "),""))</f>
        <v/>
      </c>
      <c r="KS62" s="713" t="str">
        <f ca="1">IF(INDIRECT(CONCATENATE($FK$12,Fixtures!KS$25))="","",IF(INDIRECT(CONCATENATE($FK$12,Fixtures!KS$25))=Fixtures!$DN62,CONCATENATE(KS$10,", "),""))</f>
        <v/>
      </c>
      <c r="KT62" s="713" t="str">
        <f ca="1">IF(INDIRECT(CONCATENATE($FK$12,Fixtures!KT$25))="","",IF(INDIRECT(CONCATENATE($FK$12,Fixtures!KT$25))=Fixtures!$DN62,CONCATENATE(KT$10,", "),""))</f>
        <v/>
      </c>
      <c r="KU62" s="713" t="str">
        <f ca="1">IF(INDIRECT(CONCATENATE($FK$12,Fixtures!KU$25))="","",IF(INDIRECT(CONCATENATE($FK$12,Fixtures!KU$25))=Fixtures!$DN62,CONCATENATE(KU$10,", "),""))</f>
        <v/>
      </c>
      <c r="KV62" s="713" t="str">
        <f ca="1">IF(INDIRECT(CONCATENATE($FK$12,Fixtures!KV$25))="","",IF(INDIRECT(CONCATENATE($FK$12,Fixtures!KV$25))=Fixtures!$DN62,CONCATENATE(KV$10,", "),""))</f>
        <v/>
      </c>
      <c r="KW62" s="713" t="str">
        <f ca="1">IF(INDIRECT(CONCATENATE($FK$12,Fixtures!KW$25))="","",IF(INDIRECT(CONCATENATE($FK$12,Fixtures!KW$25))=Fixtures!$DN62,CONCATENATE(KW$10,", "),""))</f>
        <v/>
      </c>
      <c r="KX62" s="713" t="str">
        <f ca="1">IF(INDIRECT(CONCATENATE($FK$12,Fixtures!KX$25))="","",IF(INDIRECT(CONCATENATE($FK$12,Fixtures!KX$25))=Fixtures!$DN62,CONCATENATE(KX$10,", "),""))</f>
        <v/>
      </c>
      <c r="KY62" s="713" t="str">
        <f ca="1">IF(INDIRECT(CONCATENATE($FK$12,Fixtures!KY$25))="","",IF(INDIRECT(CONCATENATE($FK$12,Fixtures!KY$25))=Fixtures!$DN62,CONCATENATE(KY$10,", "),""))</f>
        <v/>
      </c>
      <c r="KZ62" s="602"/>
      <c r="LA62" s="46" t="str">
        <f t="shared" ca="1" si="38"/>
        <v/>
      </c>
    </row>
    <row r="63" spans="1:313" ht="28.05" customHeight="1" thickTop="1" thickBot="1">
      <c r="A63" s="471" t="str">
        <f t="shared" si="13"/>
        <v/>
      </c>
      <c r="C63" s="1328" t="str">
        <f t="shared" si="14"/>
        <v/>
      </c>
      <c r="D63" s="1329"/>
      <c r="E63" s="1256" t="str">
        <f t="shared" si="15"/>
        <v/>
      </c>
      <c r="F63" s="1257"/>
      <c r="G63" s="1257"/>
      <c r="H63" s="1257"/>
      <c r="I63" s="1257"/>
      <c r="J63" s="1257"/>
      <c r="K63" s="1257"/>
      <c r="L63" s="1257"/>
      <c r="M63" s="1330"/>
      <c r="N63" s="239" t="str">
        <f t="shared" si="16"/>
        <v/>
      </c>
      <c r="O63" s="12"/>
      <c r="P63" s="1326" t="str">
        <f t="shared" si="25"/>
        <v/>
      </c>
      <c r="Q63" s="1327"/>
      <c r="R63" s="1256" t="str">
        <f t="shared" si="31"/>
        <v/>
      </c>
      <c r="S63" s="1257"/>
      <c r="T63" s="1257"/>
      <c r="U63" s="1257"/>
      <c r="V63" s="1257"/>
      <c r="W63" s="1257"/>
      <c r="X63" s="1257"/>
      <c r="Y63" s="239" t="str">
        <f t="shared" si="27"/>
        <v/>
      </c>
      <c r="Z63" s="239" t="str">
        <f t="shared" si="28"/>
        <v/>
      </c>
      <c r="AA63" s="439" t="str">
        <f t="shared" si="29"/>
        <v/>
      </c>
      <c r="AB63" s="542"/>
      <c r="AC63" s="1253" t="str">
        <f t="shared" si="17"/>
        <v/>
      </c>
      <c r="AD63" s="1166"/>
      <c r="AE63" s="1166"/>
      <c r="AF63" s="1166"/>
      <c r="AG63" s="1166"/>
      <c r="AH63" s="1166"/>
      <c r="AK63">
        <f>SUMIFS(Installations!CS$39:CS$800,Installations!CT$39:CT$800,E63,Installations!HX$39:HX$800,TRUE)</f>
        <v>0</v>
      </c>
      <c r="AL63">
        <f>SUMIFS(Installations!CS$39:CS$800,Installations!CT$39:CT$800,R63,Installations!HX$39:HX$800,TRUE)</f>
        <v>0</v>
      </c>
      <c r="BL63" s="9"/>
      <c r="BM63" s="703" t="str">
        <f t="shared" si="18"/>
        <v/>
      </c>
      <c r="BN63" s="52"/>
      <c r="BO63" s="52"/>
      <c r="BP63" s="52"/>
      <c r="BQ63" s="52"/>
      <c r="BR63" s="52"/>
      <c r="BS63" s="52"/>
      <c r="BT63" s="52"/>
      <c r="BU63" s="414"/>
      <c r="BV63" s="255" t="str">
        <f>IF(CN63&lt;&gt;"Yes","",IFERROR(VLOOKUP(CU63,Existing!A$4:F$364,2,FALSE),""))</f>
        <v/>
      </c>
      <c r="BW63" s="9">
        <v>37</v>
      </c>
      <c r="BX63" s="1313"/>
      <c r="BY63" s="1314"/>
      <c r="BZ63" s="1314"/>
      <c r="CA63" s="1315"/>
      <c r="CB63" s="1310"/>
      <c r="CC63" s="1311"/>
      <c r="CD63" s="1311"/>
      <c r="CE63" s="1312"/>
      <c r="CF63" s="1309"/>
      <c r="CG63" s="1309"/>
      <c r="CH63" s="1309"/>
      <c r="CI63" s="1309"/>
      <c r="CJ63" s="1309"/>
      <c r="CK63" s="1309"/>
      <c r="CL63" s="1309"/>
      <c r="CM63" s="1309"/>
      <c r="CN63" s="1243" t="str">
        <f t="shared" si="32"/>
        <v/>
      </c>
      <c r="CO63" s="1244"/>
      <c r="CP63" s="265" t="str">
        <f>IFERROR(IF(CB63="Existing TLED",CR63*CW63*CY63,VLOOKUP(CU63,Existing!A$3:F$353,6,FALSE)),"")</f>
        <v/>
      </c>
      <c r="CQ63" s="9"/>
      <c r="CR63" s="1343"/>
      <c r="CS63" s="1344"/>
      <c r="CT63" s="9"/>
      <c r="CU63" s="470" t="str">
        <f t="shared" si="21"/>
        <v/>
      </c>
      <c r="CV63" s="471" t="b">
        <f t="shared" si="22"/>
        <v>0</v>
      </c>
      <c r="CW63" s="471" t="str">
        <f t="shared" si="23"/>
        <v/>
      </c>
      <c r="CX63" s="471">
        <f>IFERROR(VLOOKUP(CF63,Lookup!M$100:O$102,3,FALSE),0)</f>
        <v>0</v>
      </c>
      <c r="CY63" s="471">
        <f t="shared" si="9"/>
        <v>1.1100000000000001</v>
      </c>
      <c r="CZ63" s="707" t="b">
        <f t="shared" si="33"/>
        <v>0</v>
      </c>
      <c r="DA63" s="707" t="b">
        <f>IF(CF63&lt;&gt;"",IF(ISERROR(MATCH(CONCATENATE(CB63," - ",CF63),Existing!G$4:G$328,0))=TRUE,FALSE,TRUE),TRUE)</f>
        <v>1</v>
      </c>
      <c r="DB63" s="707" t="b">
        <f t="shared" si="34"/>
        <v>1</v>
      </c>
      <c r="DL63" s="9"/>
      <c r="DM63" s="708" t="s">
        <v>166</v>
      </c>
      <c r="DN63" s="416" t="str">
        <f t="shared" si="35"/>
        <v/>
      </c>
      <c r="DO63" s="52"/>
      <c r="DP63" s="52"/>
      <c r="DQ63" s="52"/>
      <c r="DR63" s="52"/>
      <c r="DS63" s="52"/>
      <c r="DT63" s="262"/>
      <c r="DU63" s="417"/>
      <c r="DV63" s="263" t="str">
        <f t="shared" si="36"/>
        <v/>
      </c>
      <c r="DW63" s="260">
        <v>37</v>
      </c>
      <c r="DX63" s="1306"/>
      <c r="DY63" s="1307"/>
      <c r="DZ63" s="1307"/>
      <c r="EA63" s="1308"/>
      <c r="EB63" s="1306"/>
      <c r="EC63" s="1307"/>
      <c r="ED63" s="1307"/>
      <c r="EE63" s="1308"/>
      <c r="EF63" s="1266"/>
      <c r="EG63" s="1267"/>
      <c r="EH63" s="1306"/>
      <c r="EI63" s="1307"/>
      <c r="EJ63" s="1307"/>
      <c r="EK63" s="1308"/>
      <c r="EL63" s="1263"/>
      <c r="EM63" s="1264"/>
      <c r="EN63" s="1264"/>
      <c r="EO63" s="1265"/>
      <c r="EP63" s="1266"/>
      <c r="EQ63" s="1267"/>
      <c r="ER63" s="1245"/>
      <c r="ES63" s="1246"/>
      <c r="ET63" s="1243" t="str">
        <f t="shared" si="5"/>
        <v/>
      </c>
      <c r="EU63" s="1244"/>
      <c r="EV63" s="1243" t="str">
        <f t="shared" si="30"/>
        <v/>
      </c>
      <c r="EW63" s="1244"/>
      <c r="EX63" s="438"/>
      <c r="EY63" s="261" t="str">
        <f t="shared" si="37"/>
        <v/>
      </c>
      <c r="EZ63" s="261" t="str">
        <f>IFERROR(VLOOKUP(EB63,Lookup!AM$3:AN$13,2,FALSE),"")</f>
        <v/>
      </c>
      <c r="FA63" s="471" t="b">
        <f>IFERROR(IF(VLOOKUP(EB63,Lookup!AM$6:AN$8,2,FALSE)&gt;3,TRUE,FALSE),FALSE)</f>
        <v>0</v>
      </c>
      <c r="FB63" s="471">
        <f t="shared" si="11"/>
        <v>1</v>
      </c>
      <c r="FC63" t="str">
        <f t="shared" ca="1" si="10"/>
        <v/>
      </c>
      <c r="FG63" t="str">
        <f t="shared" ca="1" si="12"/>
        <v/>
      </c>
      <c r="FI63" s="240" t="str">
        <f t="shared" ca="1" si="24"/>
        <v/>
      </c>
      <c r="FK63" s="712" t="str">
        <f ca="1">IF(INDIRECT(CONCATENATE($FK$12,Fixtures!FK$25))="","",IF(INDIRECT(CONCATENATE($FK$12,Fixtures!FK$25))=Fixtures!$DN63,CONCATENATE(FK$10,", "),""))</f>
        <v/>
      </c>
      <c r="FL63" s="712" t="str">
        <f ca="1">IF(INDIRECT(CONCATENATE($FK$12,Fixtures!FL$25))="","",IF(INDIRECT(CONCATENATE($FK$12,Fixtures!FL$25))=Fixtures!$DN63,CONCATENATE(FL$10,", "),""))</f>
        <v/>
      </c>
      <c r="FM63" s="712" t="str">
        <f ca="1">IF(INDIRECT(CONCATENATE($FK$12,Fixtures!FM$25))="","",IF(INDIRECT(CONCATENATE($FK$12,Fixtures!FM$25))=Fixtures!$DN63,CONCATENATE(FM$10,", "),""))</f>
        <v/>
      </c>
      <c r="FN63" s="712" t="str">
        <f ca="1">IF(INDIRECT(CONCATENATE($FK$12,Fixtures!FN$25))="","",IF(INDIRECT(CONCATENATE($FK$12,Fixtures!FN$25))=Fixtures!$DN63,CONCATENATE(FN$10,", "),""))</f>
        <v/>
      </c>
      <c r="FO63" s="712" t="str">
        <f ca="1">IF(INDIRECT(CONCATENATE($FK$12,Fixtures!FO$25))="","",IF(INDIRECT(CONCATENATE($FK$12,Fixtures!FO$25))=Fixtures!$DN63,CONCATENATE(FO$10,", "),""))</f>
        <v/>
      </c>
      <c r="FP63" s="712" t="str">
        <f ca="1">IF(INDIRECT(CONCATENATE($FK$12,Fixtures!FP$25))="","",IF(INDIRECT(CONCATENATE($FK$12,Fixtures!FP$25))=Fixtures!$DN63,CONCATENATE(FP$10,", "),""))</f>
        <v/>
      </c>
      <c r="FQ63" s="712" t="str">
        <f ca="1">IF(INDIRECT(CONCATENATE($FK$12,Fixtures!FQ$25))="","",IF(INDIRECT(CONCATENATE($FK$12,Fixtures!FQ$25))=Fixtures!$DN63,CONCATENATE(FQ$10,", "),""))</f>
        <v/>
      </c>
      <c r="FR63" s="712" t="str">
        <f ca="1">IF(INDIRECT(CONCATENATE($FK$12,Fixtures!FR$25))="","",IF(INDIRECT(CONCATENATE($FK$12,Fixtures!FR$25))=Fixtures!$DN63,CONCATENATE(FR$10,", "),""))</f>
        <v/>
      </c>
      <c r="FS63" s="712" t="str">
        <f ca="1">IF(INDIRECT(CONCATENATE($FK$12,Fixtures!FS$25))="","",IF(INDIRECT(CONCATENATE($FK$12,Fixtures!FS$25))=Fixtures!$DN63,CONCATENATE(FS$10,", "),""))</f>
        <v/>
      </c>
      <c r="FT63" s="682" t="str">
        <f ca="1">IF(INDIRECT(CONCATENATE($FK$12,Fixtures!FT$25))="","",IF(INDIRECT(CONCATENATE($FK$12,Fixtures!FT$25))=Fixtures!$DN63,CONCATENATE(FT$10,", "),""))</f>
        <v/>
      </c>
      <c r="FU63" s="683" t="str">
        <f ca="1">IF(INDIRECT(CONCATENATE($FK$12,Fixtures!FU$25))="","",IF(INDIRECT(CONCATENATE($FK$12,Fixtures!FU$25))=Fixtures!$DN63,CONCATENATE(FU$10,", "),""))</f>
        <v/>
      </c>
      <c r="FV63" s="712" t="str">
        <f ca="1">IF(INDIRECT(CONCATENATE($FK$12,Fixtures!FV$25))="","",IF(INDIRECT(CONCATENATE($FK$12,Fixtures!FV$25))=Fixtures!$DN63,CONCATENATE(FV$10,", "),""))</f>
        <v/>
      </c>
      <c r="FW63" s="713" t="str">
        <f ca="1">IF(INDIRECT(CONCATENATE($FK$12,Fixtures!FW$25))="","",IF(INDIRECT(CONCATENATE($FK$12,Fixtures!FW$25))=Fixtures!$DN63,CONCATENATE(FW$10,", "),""))</f>
        <v/>
      </c>
      <c r="FX63" s="713" t="str">
        <f ca="1">IF(INDIRECT(CONCATENATE($FK$12,Fixtures!FX$25))="","",IF(INDIRECT(CONCATENATE($FK$12,Fixtures!FX$25))=Fixtures!$DN63,CONCATENATE(FX$10,", "),""))</f>
        <v/>
      </c>
      <c r="FY63" s="713" t="str">
        <f ca="1">IF(INDIRECT(CONCATENATE($FK$12,Fixtures!FY$25))="","",IF(INDIRECT(CONCATENATE($FK$12,Fixtures!FY$25))=Fixtures!$DN63,CONCATENATE(FY$10,", "),""))</f>
        <v/>
      </c>
      <c r="FZ63" s="713" t="str">
        <f ca="1">IF(INDIRECT(CONCATENATE($FK$12,Fixtures!FZ$25))="","",IF(INDIRECT(CONCATENATE($FK$12,Fixtures!FZ$25))=Fixtures!$DN63,CONCATENATE(FZ$10,", "),""))</f>
        <v/>
      </c>
      <c r="GA63" s="713" t="str">
        <f ca="1">IF(INDIRECT(CONCATENATE($FK$12,Fixtures!GA$25))="","",IF(INDIRECT(CONCATENATE($FK$12,Fixtures!GA$25))=Fixtures!$DN63,CONCATENATE(GA$10,", "),""))</f>
        <v/>
      </c>
      <c r="GB63" s="713" t="str">
        <f ca="1">IF(INDIRECT(CONCATENATE($FK$12,Fixtures!GB$25))="","",IF(INDIRECT(CONCATENATE($FK$12,Fixtures!GB$25))=Fixtures!$DN63,CONCATENATE(GB$10,", "),""))</f>
        <v/>
      </c>
      <c r="GC63" s="713" t="str">
        <f ca="1">IF(INDIRECT(CONCATENATE($FK$12,Fixtures!GC$25))="","",IF(INDIRECT(CONCATENATE($FK$12,Fixtures!GC$25))=Fixtures!$DN63,CONCATENATE(GC$10,", "),""))</f>
        <v/>
      </c>
      <c r="GD63" s="713" t="str">
        <f ca="1">IF(INDIRECT(CONCATENATE($FK$12,Fixtures!GD$25))="","",IF(INDIRECT(CONCATENATE($FK$12,Fixtures!GD$25))=Fixtures!$DN63,CONCATENATE(GD$10,", "),""))</f>
        <v/>
      </c>
      <c r="GE63" s="713" t="str">
        <f ca="1">IF(INDIRECT(CONCATENATE($FK$12,Fixtures!GE$25))="","",IF(INDIRECT(CONCATENATE($FK$12,Fixtures!GE$25))=Fixtures!$DN63,CONCATENATE(GE$10,", "),""))</f>
        <v/>
      </c>
      <c r="GF63" s="713" t="str">
        <f ca="1">IF(INDIRECT(CONCATENATE($FK$12,Fixtures!GF$25))="","",IF(INDIRECT(CONCATENATE($FK$12,Fixtures!GF$25))=Fixtures!$DN63,CONCATENATE(GF$10,", "),""))</f>
        <v/>
      </c>
      <c r="GG63" s="713" t="str">
        <f ca="1">IF(INDIRECT(CONCATENATE($FK$12,Fixtures!GG$25))="","",IF(INDIRECT(CONCATENATE($FK$12,Fixtures!GG$25))=Fixtures!$DN63,CONCATENATE(GG$10,", "),""))</f>
        <v/>
      </c>
      <c r="GH63" s="713" t="str">
        <f ca="1">IF(INDIRECT(CONCATENATE($FK$12,Fixtures!GH$25))="","",IF(INDIRECT(CONCATENATE($FK$12,Fixtures!GH$25))=Fixtures!$DN63,CONCATENATE(GH$10,", "),""))</f>
        <v/>
      </c>
      <c r="GI63" s="684" t="str">
        <f ca="1">IF(INDIRECT(CONCATENATE($FK$12,Fixtures!GI$25))="","",IF(INDIRECT(CONCATENATE($FK$12,Fixtures!GI$25))=Fixtures!$DN63,CONCATENATE(GI$10,", "),""))</f>
        <v/>
      </c>
      <c r="GJ63" s="685" t="str">
        <f ca="1">IF(INDIRECT(CONCATENATE($FK$12,Fixtures!GJ$25))="","",IF(INDIRECT(CONCATENATE($FK$12,Fixtures!GJ$25))=Fixtures!$DN63,CONCATENATE(GJ$10,", "),""))</f>
        <v/>
      </c>
      <c r="GK63" s="713" t="str">
        <f ca="1">IF(INDIRECT(CONCATENATE($FK$12,Fixtures!GK$25))="","",IF(INDIRECT(CONCATENATE($FK$12,Fixtures!GK$25))=Fixtures!$DN63,CONCATENATE(GK$10,", "),""))</f>
        <v/>
      </c>
      <c r="GL63" s="713" t="str">
        <f ca="1">IF(INDIRECT(CONCATENATE($FK$12,Fixtures!GL$25))="","",IF(INDIRECT(CONCATENATE($FK$12,Fixtures!GL$25))=Fixtures!$DN63,CONCATENATE(GL$10,", "),""))</f>
        <v/>
      </c>
      <c r="GM63" s="713" t="str">
        <f ca="1">IF(INDIRECT(CONCATENATE($FK$12,Fixtures!GM$25))="","",IF(INDIRECT(CONCATENATE($FK$12,Fixtures!GM$25))=Fixtures!$DN63,CONCATENATE(GM$10,", "),""))</f>
        <v/>
      </c>
      <c r="GN63" s="713" t="str">
        <f ca="1">IF(INDIRECT(CONCATENATE($FK$12,Fixtures!GN$25))="","",IF(INDIRECT(CONCATENATE($FK$12,Fixtures!GN$25))=Fixtures!$DN63,CONCATENATE(GN$10,", "),""))</f>
        <v/>
      </c>
      <c r="GO63" s="713" t="str">
        <f ca="1">IF(INDIRECT(CONCATENATE($FK$12,Fixtures!GO$25))="","",IF(INDIRECT(CONCATENATE($FK$12,Fixtures!GO$25))=Fixtures!$DN63,CONCATENATE(GO$10,", "),""))</f>
        <v/>
      </c>
      <c r="GP63" s="713" t="str">
        <f ca="1">IF(INDIRECT(CONCATENATE($FK$12,Fixtures!GP$25))="","",IF(INDIRECT(CONCATENATE($FK$12,Fixtures!GP$25))=Fixtures!$DN63,CONCATENATE(GP$10,", "),""))</f>
        <v/>
      </c>
      <c r="GQ63" s="713" t="str">
        <f ca="1">IF(INDIRECT(CONCATENATE($FK$12,Fixtures!GQ$25))="","",IF(INDIRECT(CONCATENATE($FK$12,Fixtures!GQ$25))=Fixtures!$DN63,CONCATENATE(GQ$10,", "),""))</f>
        <v/>
      </c>
      <c r="GR63" s="713" t="str">
        <f ca="1">IF(INDIRECT(CONCATENATE($FK$12,Fixtures!GR$25))="","",IF(INDIRECT(CONCATENATE($FK$12,Fixtures!GR$25))=Fixtures!$DN63,CONCATENATE(GR$10,", "),""))</f>
        <v/>
      </c>
      <c r="GS63" s="713" t="str">
        <f ca="1">IF(INDIRECT(CONCATENATE($FK$12,Fixtures!GS$25))="","",IF(INDIRECT(CONCATENATE($FK$12,Fixtures!GS$25))=Fixtures!$DN63,CONCATENATE(GS$10,", "),""))</f>
        <v/>
      </c>
      <c r="GT63" s="713" t="str">
        <f ca="1">IF(INDIRECT(CONCATENATE($FK$12,Fixtures!GT$25))="","",IF(INDIRECT(CONCATENATE($FK$12,Fixtures!GT$25))=Fixtures!$DN63,CONCATENATE(GT$10,", "),""))</f>
        <v/>
      </c>
      <c r="GU63" s="713" t="str">
        <f ca="1">IF(INDIRECT(CONCATENATE($FK$12,Fixtures!GU$25))="","",IF(INDIRECT(CONCATENATE($FK$12,Fixtures!GU$25))=Fixtures!$DN63,CONCATENATE(GU$10,", "),""))</f>
        <v/>
      </c>
      <c r="GV63" s="713" t="str">
        <f ca="1">IF(INDIRECT(CONCATENATE($FK$12,Fixtures!GV$25))="","",IF(INDIRECT(CONCATENATE($FK$12,Fixtures!GV$25))=Fixtures!$DN63,CONCATENATE(GV$10,", "),""))</f>
        <v/>
      </c>
      <c r="GW63" s="713" t="str">
        <f ca="1">IF(INDIRECT(CONCATENATE($FK$12,Fixtures!GW$25))="","",IF(INDIRECT(CONCATENATE($FK$12,Fixtures!GW$25))=Fixtures!$DN63,CONCATENATE(GW$10,", "),""))</f>
        <v/>
      </c>
      <c r="GX63" s="684" t="str">
        <f ca="1">IF(INDIRECT(CONCATENATE($FK$12,Fixtures!GX$25))="","",IF(INDIRECT(CONCATENATE($FK$12,Fixtures!GX$25))=Fixtures!$DN63,CONCATENATE(GX$10,", "),""))</f>
        <v/>
      </c>
      <c r="GY63" s="685" t="str">
        <f ca="1">IF(INDIRECT(CONCATENATE($FK$12,Fixtures!GY$25))="","",IF(INDIRECT(CONCATENATE($FK$12,Fixtures!GY$25))=Fixtures!$DN63,CONCATENATE(GY$10,", "),""))</f>
        <v/>
      </c>
      <c r="GZ63" s="713" t="str">
        <f ca="1">IF(INDIRECT(CONCATENATE($FK$12,Fixtures!GZ$25))="","",IF(INDIRECT(CONCATENATE($FK$12,Fixtures!GZ$25))=Fixtures!$DN63,CONCATENATE(GZ$10,", "),""))</f>
        <v/>
      </c>
      <c r="HA63" s="713" t="str">
        <f ca="1">IF(INDIRECT(CONCATENATE($FK$12,Fixtures!HA$25))="","",IF(INDIRECT(CONCATENATE($FK$12,Fixtures!HA$25))=Fixtures!$DN63,CONCATENATE(HA$10,", "),""))</f>
        <v/>
      </c>
      <c r="HB63" s="713" t="str">
        <f ca="1">IF(INDIRECT(CONCATENATE($FK$12,Fixtures!HB$25))="","",IF(INDIRECT(CONCATENATE($FK$12,Fixtures!HB$25))=Fixtures!$DN63,CONCATENATE(HB$10,", "),""))</f>
        <v/>
      </c>
      <c r="HC63" s="713" t="str">
        <f ca="1">IF(INDIRECT(CONCATENATE($FK$12,Fixtures!HC$25))="","",IF(INDIRECT(CONCATENATE($FK$12,Fixtures!HC$25))=Fixtures!$DN63,CONCATENATE(HC$10,", "),""))</f>
        <v/>
      </c>
      <c r="HD63" s="713" t="str">
        <f ca="1">IF(INDIRECT(CONCATENATE($FK$12,Fixtures!HD$25))="","",IF(INDIRECT(CONCATENATE($FK$12,Fixtures!HD$25))=Fixtures!$DN63,CONCATENATE(HD$10,", "),""))</f>
        <v/>
      </c>
      <c r="HE63" s="713" t="str">
        <f ca="1">IF(INDIRECT(CONCATENATE($FK$12,Fixtures!HE$25))="","",IF(INDIRECT(CONCATENATE($FK$12,Fixtures!HE$25))=Fixtures!$DN63,CONCATENATE(HE$10,", "),""))</f>
        <v/>
      </c>
      <c r="HF63" s="713" t="str">
        <f ca="1">IF(INDIRECT(CONCATENATE($FK$12,Fixtures!HF$25))="","",IF(INDIRECT(CONCATENATE($FK$12,Fixtures!HF$25))=Fixtures!$DN63,CONCATENATE(HF$10,", "),""))</f>
        <v/>
      </c>
      <c r="HG63" s="713" t="str">
        <f ca="1">IF(INDIRECT(CONCATENATE($FK$12,Fixtures!HG$25))="","",IF(INDIRECT(CONCATENATE($FK$12,Fixtures!HG$25))=Fixtures!$DN63,CONCATENATE(HG$10,", "),""))</f>
        <v/>
      </c>
      <c r="HH63" s="713" t="str">
        <f ca="1">IF(INDIRECT(CONCATENATE($FK$12,Fixtures!HH$25))="","",IF(INDIRECT(CONCATENATE($FK$12,Fixtures!HH$25))=Fixtures!$DN63,CONCATENATE(HH$10,", "),""))</f>
        <v/>
      </c>
      <c r="HI63" s="713" t="str">
        <f ca="1">IF(INDIRECT(CONCATENATE($FK$12,Fixtures!HI$25))="","",IF(INDIRECT(CONCATENATE($FK$12,Fixtures!HI$25))=Fixtures!$DN63,CONCATENATE(HI$10,", "),""))</f>
        <v/>
      </c>
      <c r="HJ63" s="713" t="str">
        <f ca="1">IF(INDIRECT(CONCATENATE($FK$12,Fixtures!HJ$25))="","",IF(INDIRECT(CONCATENATE($FK$12,Fixtures!HJ$25))=Fixtures!$DN63,CONCATENATE(HJ$10,", "),""))</f>
        <v/>
      </c>
      <c r="HK63" s="713" t="str">
        <f ca="1">IF(INDIRECT(CONCATENATE($FK$12,Fixtures!HK$25))="","",IF(INDIRECT(CONCATENATE($FK$12,Fixtures!HK$25))=Fixtures!$DN63,CONCATENATE(HK$10,", "),""))</f>
        <v/>
      </c>
      <c r="HL63" s="713" t="str">
        <f ca="1">IF(INDIRECT(CONCATENATE($FK$12,Fixtures!HL$25))="","",IF(INDIRECT(CONCATENATE($FK$12,Fixtures!HL$25))=Fixtures!$DN63,CONCATENATE(HL$10,", "),""))</f>
        <v/>
      </c>
      <c r="HM63" s="684" t="str">
        <f ca="1">IF(INDIRECT(CONCATENATE($FK$12,Fixtures!HM$25))="","",IF(INDIRECT(CONCATENATE($FK$12,Fixtures!HM$25))=Fixtures!$DN63,CONCATENATE(HM$10,", "),""))</f>
        <v/>
      </c>
      <c r="HN63" s="685" t="str">
        <f ca="1">IF(INDIRECT(CONCATENATE($FK$12,Fixtures!HN$25))="","",IF(INDIRECT(CONCATENATE($FK$12,Fixtures!HN$25))=Fixtures!$DN63,CONCATENATE(HN$10,", "),""))</f>
        <v/>
      </c>
      <c r="HO63" s="713" t="str">
        <f ca="1">IF(INDIRECT(CONCATENATE($FK$12,Fixtures!HO$25))="","",IF(INDIRECT(CONCATENATE($FK$12,Fixtures!HO$25))=Fixtures!$DN63,CONCATENATE(HO$10,", "),""))</f>
        <v/>
      </c>
      <c r="HP63" s="713" t="str">
        <f ca="1">IF(INDIRECT(CONCATENATE($FK$12,Fixtures!HP$25))="","",IF(INDIRECT(CONCATENATE($FK$12,Fixtures!HP$25))=Fixtures!$DN63,CONCATENATE(HP$10,", "),""))</f>
        <v/>
      </c>
      <c r="HQ63" s="713" t="str">
        <f ca="1">IF(INDIRECT(CONCATENATE($FK$12,Fixtures!HQ$25))="","",IF(INDIRECT(CONCATENATE($FK$12,Fixtures!HQ$25))=Fixtures!$DN63,CONCATENATE(HQ$10,", "),""))</f>
        <v/>
      </c>
      <c r="HR63" s="713" t="str">
        <f ca="1">IF(INDIRECT(CONCATENATE($FK$12,Fixtures!HR$25))="","",IF(INDIRECT(CONCATENATE($FK$12,Fixtures!HR$25))=Fixtures!$DN63,CONCATENATE(HR$10,", "),""))</f>
        <v/>
      </c>
      <c r="HS63" s="713" t="str">
        <f ca="1">IF(INDIRECT(CONCATENATE($FK$12,Fixtures!HS$25))="","",IF(INDIRECT(CONCATENATE($FK$12,Fixtures!HS$25))=Fixtures!$DN63,CONCATENATE(HS$10,", "),""))</f>
        <v/>
      </c>
      <c r="HT63" s="713" t="str">
        <f ca="1">IF(INDIRECT(CONCATENATE($FK$12,Fixtures!HT$25))="","",IF(INDIRECT(CONCATENATE($FK$12,Fixtures!HT$25))=Fixtures!$DN63,CONCATENATE(HT$10,", "),""))</f>
        <v/>
      </c>
      <c r="HU63" s="713" t="str">
        <f ca="1">IF(INDIRECT(CONCATENATE($FK$12,Fixtures!HU$25))="","",IF(INDIRECT(CONCATENATE($FK$12,Fixtures!HU$25))=Fixtures!$DN63,CONCATENATE(HU$10,", "),""))</f>
        <v/>
      </c>
      <c r="HV63" s="713" t="str">
        <f ca="1">IF(INDIRECT(CONCATENATE($FK$12,Fixtures!HV$25))="","",IF(INDIRECT(CONCATENATE($FK$12,Fixtures!HV$25))=Fixtures!$DN63,CONCATENATE(HV$10,", "),""))</f>
        <v/>
      </c>
      <c r="HW63" s="713" t="str">
        <f ca="1">IF(INDIRECT(CONCATENATE($FK$12,Fixtures!HW$25))="","",IF(INDIRECT(CONCATENATE($FK$12,Fixtures!HW$25))=Fixtures!$DN63,CONCATENATE(HW$10,", "),""))</f>
        <v/>
      </c>
      <c r="HX63" s="713" t="str">
        <f ca="1">IF(INDIRECT(CONCATENATE($FK$12,Fixtures!HX$25))="","",IF(INDIRECT(CONCATENATE($FK$12,Fixtures!HX$25))=Fixtures!$DN63,CONCATENATE(HX$10,", "),""))</f>
        <v/>
      </c>
      <c r="HY63" s="713" t="str">
        <f ca="1">IF(INDIRECT(CONCATENATE($FK$12,Fixtures!HY$25))="","",IF(INDIRECT(CONCATENATE($FK$12,Fixtures!HY$25))=Fixtures!$DN63,CONCATENATE(HY$10,", "),""))</f>
        <v/>
      </c>
      <c r="HZ63" s="713" t="str">
        <f ca="1">IF(INDIRECT(CONCATENATE($FK$12,Fixtures!HZ$25))="","",IF(INDIRECT(CONCATENATE($FK$12,Fixtures!HZ$25))=Fixtures!$DN63,CONCATENATE(HZ$10,", "),""))</f>
        <v/>
      </c>
      <c r="IA63" s="713" t="str">
        <f ca="1">IF(INDIRECT(CONCATENATE($FK$12,Fixtures!IA$25))="","",IF(INDIRECT(CONCATENATE($FK$12,Fixtures!IA$25))=Fixtures!$DN63,CONCATENATE(IA$10,", "),""))</f>
        <v/>
      </c>
      <c r="IB63" s="684" t="str">
        <f ca="1">IF(INDIRECT(CONCATENATE($FK$12,Fixtures!IB$25))="","",IF(INDIRECT(CONCATENATE($FK$12,Fixtures!IB$25))=Fixtures!$DN63,CONCATENATE(IB$10,", "),""))</f>
        <v/>
      </c>
      <c r="IC63" s="685" t="str">
        <f ca="1">IF(INDIRECT(CONCATENATE($FK$12,Fixtures!IC$25))="","",IF(INDIRECT(CONCATENATE($FK$12,Fixtures!IC$25))=Fixtures!$DN63,CONCATENATE(IC$10,", "),""))</f>
        <v/>
      </c>
      <c r="ID63" s="713" t="str">
        <f ca="1">IF(INDIRECT(CONCATENATE($FK$12,Fixtures!ID$25))="","",IF(INDIRECT(CONCATENATE($FK$12,Fixtures!ID$25))=Fixtures!$DN63,CONCATENATE(ID$10,", "),""))</f>
        <v/>
      </c>
      <c r="IE63" s="713" t="str">
        <f ca="1">IF(INDIRECT(CONCATENATE($FK$12,Fixtures!IE$25))="","",IF(INDIRECT(CONCATENATE($FK$12,Fixtures!IE$25))=Fixtures!$DN63,CONCATENATE(IE$10,", "),""))</f>
        <v/>
      </c>
      <c r="IF63" s="713" t="str">
        <f ca="1">IF(INDIRECT(CONCATENATE($FK$12,Fixtures!IF$25))="","",IF(INDIRECT(CONCATENATE($FK$12,Fixtures!IF$25))=Fixtures!$DN63,CONCATENATE(IF$10,", "),""))</f>
        <v/>
      </c>
      <c r="IG63" s="713" t="str">
        <f ca="1">IF(INDIRECT(CONCATENATE($FK$12,Fixtures!IG$25))="","",IF(INDIRECT(CONCATENATE($FK$12,Fixtures!IG$25))=Fixtures!$DN63,CONCATENATE(IG$10,", "),""))</f>
        <v/>
      </c>
      <c r="IH63" s="713" t="str">
        <f ca="1">IF(INDIRECT(CONCATENATE($FK$12,Fixtures!IH$25))="","",IF(INDIRECT(CONCATENATE($FK$12,Fixtures!IH$25))=Fixtures!$DN63,CONCATENATE(IH$10,", "),""))</f>
        <v/>
      </c>
      <c r="II63" s="713" t="str">
        <f ca="1">IF(INDIRECT(CONCATENATE($FK$12,Fixtures!II$25))="","",IF(INDIRECT(CONCATENATE($FK$12,Fixtures!II$25))=Fixtures!$DN63,CONCATENATE(II$10,", "),""))</f>
        <v/>
      </c>
      <c r="IJ63" s="713" t="str">
        <f ca="1">IF(INDIRECT(CONCATENATE($FK$12,Fixtures!IJ$25))="","",IF(INDIRECT(CONCATENATE($FK$12,Fixtures!IJ$25))=Fixtures!$DN63,CONCATENATE(IJ$10,", "),""))</f>
        <v/>
      </c>
      <c r="IK63" s="713" t="str">
        <f ca="1">IF(INDIRECT(CONCATENATE($FK$12,Fixtures!IK$25))="","",IF(INDIRECT(CONCATENATE($FK$12,Fixtures!IK$25))=Fixtures!$DN63,CONCATENATE(IK$10,", "),""))</f>
        <v/>
      </c>
      <c r="IL63" s="713" t="str">
        <f ca="1">IF(INDIRECT(CONCATENATE($FK$12,Fixtures!IL$25))="","",IF(INDIRECT(CONCATENATE($FK$12,Fixtures!IL$25))=Fixtures!$DN63,CONCATENATE(IL$10,", "),""))</f>
        <v/>
      </c>
      <c r="IM63" s="713" t="str">
        <f ca="1">IF(INDIRECT(CONCATENATE($FK$12,Fixtures!IM$25))="","",IF(INDIRECT(CONCATENATE($FK$12,Fixtures!IM$25))=Fixtures!$DN63,CONCATENATE(IM$10,", "),""))</f>
        <v/>
      </c>
      <c r="IN63" s="713" t="str">
        <f ca="1">IF(INDIRECT(CONCATENATE($FK$12,Fixtures!IN$25))="","",IF(INDIRECT(CONCATENATE($FK$12,Fixtures!IN$25))=Fixtures!$DN63,CONCATENATE(IN$10,", "),""))</f>
        <v/>
      </c>
      <c r="IO63" s="713" t="str">
        <f ca="1">IF(INDIRECT(CONCATENATE($FK$12,Fixtures!IO$25))="","",IF(INDIRECT(CONCATENATE($FK$12,Fixtures!IO$25))=Fixtures!$DN63,CONCATENATE(IO$10,", "),""))</f>
        <v/>
      </c>
      <c r="IP63" s="713" t="str">
        <f ca="1">IF(INDIRECT(CONCATENATE($FK$12,Fixtures!IP$25))="","",IF(INDIRECT(CONCATENATE($FK$12,Fixtures!IP$25))=Fixtures!$DN63,CONCATENATE(IP$10,", "),""))</f>
        <v/>
      </c>
      <c r="IQ63" s="684" t="str">
        <f ca="1">IF(INDIRECT(CONCATENATE($FK$12,Fixtures!IQ$25))="","",IF(INDIRECT(CONCATENATE($FK$12,Fixtures!IQ$25))=Fixtures!$DN63,CONCATENATE(IQ$10,", "),""))</f>
        <v/>
      </c>
      <c r="IR63" s="685" t="str">
        <f ca="1">IF(INDIRECT(CONCATENATE($FK$12,Fixtures!IR$25))="","",IF(INDIRECT(CONCATENATE($FK$12,Fixtures!IR$25))=Fixtures!$DN63,CONCATENATE(IR$10,", "),""))</f>
        <v/>
      </c>
      <c r="IS63" s="713" t="str">
        <f ca="1">IF(INDIRECT(CONCATENATE($FK$12,Fixtures!IS$25))="","",IF(INDIRECT(CONCATENATE($FK$12,Fixtures!IS$25))=Fixtures!$DN63,CONCATENATE(IS$10,", "),""))</f>
        <v/>
      </c>
      <c r="IT63" s="713" t="str">
        <f ca="1">IF(INDIRECT(CONCATENATE($FK$12,Fixtures!IT$25))="","",IF(INDIRECT(CONCATENATE($FK$12,Fixtures!IT$25))=Fixtures!$DN63,CONCATENATE(IT$10,", "),""))</f>
        <v/>
      </c>
      <c r="IU63" s="713" t="str">
        <f ca="1">IF(INDIRECT(CONCATENATE($FK$12,Fixtures!IU$25))="","",IF(INDIRECT(CONCATENATE($FK$12,Fixtures!IU$25))=Fixtures!$DN63,CONCATENATE(IU$10,", "),""))</f>
        <v/>
      </c>
      <c r="IV63" s="713" t="str">
        <f ca="1">IF(INDIRECT(CONCATENATE($FK$12,Fixtures!IV$25))="","",IF(INDIRECT(CONCATENATE($FK$12,Fixtures!IV$25))=Fixtures!$DN63,CONCATENATE(IV$10,", "),""))</f>
        <v/>
      </c>
      <c r="IW63" s="713" t="str">
        <f ca="1">IF(INDIRECT(CONCATENATE($FK$12,Fixtures!IW$25))="","",IF(INDIRECT(CONCATENATE($FK$12,Fixtures!IW$25))=Fixtures!$DN63,CONCATENATE(IW$10,", "),""))</f>
        <v/>
      </c>
      <c r="IX63" s="713" t="str">
        <f ca="1">IF(INDIRECT(CONCATENATE($FK$12,Fixtures!IX$25))="","",IF(INDIRECT(CONCATENATE($FK$12,Fixtures!IX$25))=Fixtures!$DN63,CONCATENATE(IX$10,", "),""))</f>
        <v/>
      </c>
      <c r="IY63" s="713" t="str">
        <f ca="1">IF(INDIRECT(CONCATENATE($FK$12,Fixtures!IY$25))="","",IF(INDIRECT(CONCATENATE($FK$12,Fixtures!IY$25))=Fixtures!$DN63,CONCATENATE(IY$10,", "),""))</f>
        <v/>
      </c>
      <c r="IZ63" s="713" t="str">
        <f ca="1">IF(INDIRECT(CONCATENATE($FK$12,Fixtures!IZ$25))="","",IF(INDIRECT(CONCATENATE($FK$12,Fixtures!IZ$25))=Fixtures!$DN63,CONCATENATE(IZ$10,", "),""))</f>
        <v/>
      </c>
      <c r="JA63" s="713" t="str">
        <f ca="1">IF(INDIRECT(CONCATENATE($FK$12,Fixtures!JA$25))="","",IF(INDIRECT(CONCATENATE($FK$12,Fixtures!JA$25))=Fixtures!$DN63,CONCATENATE(JA$10,", "),""))</f>
        <v/>
      </c>
      <c r="JB63" s="713" t="str">
        <f ca="1">IF(INDIRECT(CONCATENATE($FK$12,Fixtures!JB$25))="","",IF(INDIRECT(CONCATENATE($FK$12,Fixtures!JB$25))=Fixtures!$DN63,CONCATENATE(JB$10,", "),""))</f>
        <v/>
      </c>
      <c r="JC63" s="713" t="str">
        <f ca="1">IF(INDIRECT(CONCATENATE($FK$12,Fixtures!JC$25))="","",IF(INDIRECT(CONCATENATE($FK$12,Fixtures!JC$25))=Fixtures!$DN63,CONCATENATE(JC$10,", "),""))</f>
        <v/>
      </c>
      <c r="JD63" s="713" t="str">
        <f ca="1">IF(INDIRECT(CONCATENATE($FK$12,Fixtures!JD$25))="","",IF(INDIRECT(CONCATENATE($FK$12,Fixtures!JD$25))=Fixtures!$DN63,CONCATENATE(JD$10,", "),""))</f>
        <v/>
      </c>
      <c r="JE63" s="713" t="str">
        <f ca="1">IF(INDIRECT(CONCATENATE($FK$12,Fixtures!JE$25))="","",IF(INDIRECT(CONCATENATE($FK$12,Fixtures!JE$25))=Fixtures!$DN63,CONCATENATE(JE$10,", "),""))</f>
        <v/>
      </c>
      <c r="JF63" s="684" t="str">
        <f ca="1">IF(INDIRECT(CONCATENATE($FK$12,Fixtures!JF$25))="","",IF(INDIRECT(CONCATENATE($FK$12,Fixtures!JF$25))=Fixtures!$DN63,CONCATENATE(JF$10,", "),""))</f>
        <v/>
      </c>
      <c r="JG63" s="685" t="str">
        <f ca="1">IF(INDIRECT(CONCATENATE($FK$12,Fixtures!JG$25))="","",IF(INDIRECT(CONCATENATE($FK$12,Fixtures!JG$25))=Fixtures!$DN63,CONCATENATE(JG$10,", "),""))</f>
        <v/>
      </c>
      <c r="JH63" s="713" t="str">
        <f ca="1">IF(INDIRECT(CONCATENATE($FK$12,Fixtures!JH$25))="","",IF(INDIRECT(CONCATENATE($FK$12,Fixtures!JH$25))=Fixtures!$DN63,CONCATENATE(JH$10,", "),""))</f>
        <v/>
      </c>
      <c r="JI63" s="713" t="str">
        <f ca="1">IF(INDIRECT(CONCATENATE($FK$12,Fixtures!JI$25))="","",IF(INDIRECT(CONCATENATE($FK$12,Fixtures!JI$25))=Fixtures!$DN63,CONCATENATE(JI$10,", "),""))</f>
        <v/>
      </c>
      <c r="JJ63" s="713" t="str">
        <f ca="1">IF(INDIRECT(CONCATENATE($FK$12,Fixtures!JJ$25))="","",IF(INDIRECT(CONCATENATE($FK$12,Fixtures!JJ$25))=Fixtures!$DN63,CONCATENATE(JJ$10,", "),""))</f>
        <v/>
      </c>
      <c r="JK63" s="713" t="str">
        <f ca="1">IF(INDIRECT(CONCATENATE($FK$12,Fixtures!JK$25))="","",IF(INDIRECT(CONCATENATE($FK$12,Fixtures!JK$25))=Fixtures!$DN63,CONCATENATE(JK$10,", "),""))</f>
        <v/>
      </c>
      <c r="JL63" s="713" t="str">
        <f ca="1">IF(INDIRECT(CONCATENATE($FK$12,Fixtures!JL$25))="","",IF(INDIRECT(CONCATENATE($FK$12,Fixtures!JL$25))=Fixtures!$DN63,CONCATENATE(JL$10,", "),""))</f>
        <v/>
      </c>
      <c r="JM63" s="713" t="str">
        <f ca="1">IF(INDIRECT(CONCATENATE($FK$12,Fixtures!JM$25))="","",IF(INDIRECT(CONCATENATE($FK$12,Fixtures!JM$25))=Fixtures!$DN63,CONCATENATE(JM$10,", "),""))</f>
        <v/>
      </c>
      <c r="JN63" s="713" t="str">
        <f ca="1">IF(INDIRECT(CONCATENATE($FK$12,Fixtures!JN$25))="","",IF(INDIRECT(CONCATENATE($FK$12,Fixtures!JN$25))=Fixtures!$DN63,CONCATENATE(JN$10,", "),""))</f>
        <v/>
      </c>
      <c r="JO63" s="713" t="str">
        <f ca="1">IF(INDIRECT(CONCATENATE($FK$12,Fixtures!JO$25))="","",IF(INDIRECT(CONCATENATE($FK$12,Fixtures!JO$25))=Fixtures!$DN63,CONCATENATE(JO$10,", "),""))</f>
        <v/>
      </c>
      <c r="JP63" s="713" t="str">
        <f ca="1">IF(INDIRECT(CONCATENATE($FK$12,Fixtures!JP$25))="","",IF(INDIRECT(CONCATENATE($FK$12,Fixtures!JP$25))=Fixtures!$DN63,CONCATENATE(JP$10,", "),""))</f>
        <v/>
      </c>
      <c r="JQ63" s="713" t="str">
        <f ca="1">IF(INDIRECT(CONCATENATE($FK$12,Fixtures!JQ$25))="","",IF(INDIRECT(CONCATENATE($FK$12,Fixtures!JQ$25))=Fixtures!$DN63,CONCATENATE(JQ$10,", "),""))</f>
        <v/>
      </c>
      <c r="JR63" s="713" t="str">
        <f ca="1">IF(INDIRECT(CONCATENATE($FK$12,Fixtures!JR$25))="","",IF(INDIRECT(CONCATENATE($FK$12,Fixtures!JR$25))=Fixtures!$DN63,CONCATENATE(JR$10,", "),""))</f>
        <v/>
      </c>
      <c r="JS63" s="713" t="str">
        <f ca="1">IF(INDIRECT(CONCATENATE($FK$12,Fixtures!JS$25))="","",IF(INDIRECT(CONCATENATE($FK$12,Fixtures!JS$25))=Fixtures!$DN63,CONCATENATE(JS$10,", "),""))</f>
        <v/>
      </c>
      <c r="JT63" s="713" t="str">
        <f ca="1">IF(INDIRECT(CONCATENATE($FK$12,Fixtures!JT$25))="","",IF(INDIRECT(CONCATENATE($FK$12,Fixtures!JT$25))=Fixtures!$DN63,CONCATENATE(JT$10,", "),""))</f>
        <v/>
      </c>
      <c r="JU63" s="684" t="str">
        <f ca="1">IF(INDIRECT(CONCATENATE($FK$12,Fixtures!JU$25))="","",IF(INDIRECT(CONCATENATE($FK$12,Fixtures!JU$25))=Fixtures!$DN63,CONCATENATE(JU$10,", "),""))</f>
        <v/>
      </c>
      <c r="JV63" s="685" t="str">
        <f ca="1">IF(INDIRECT(CONCATENATE($FK$12,Fixtures!JV$25))="","",IF(INDIRECT(CONCATENATE($FK$12,Fixtures!JV$25))=Fixtures!$DN63,CONCATENATE(JV$10,", "),""))</f>
        <v/>
      </c>
      <c r="JW63" s="713" t="str">
        <f ca="1">IF(INDIRECT(CONCATENATE($FK$12,Fixtures!JW$25))="","",IF(INDIRECT(CONCATENATE($FK$12,Fixtures!JW$25))=Fixtures!$DN63,CONCATENATE(JW$10,", "),""))</f>
        <v/>
      </c>
      <c r="JX63" s="713" t="str">
        <f ca="1">IF(INDIRECT(CONCATENATE($FK$12,Fixtures!JX$25))="","",IF(INDIRECT(CONCATENATE($FK$12,Fixtures!JX$25))=Fixtures!$DN63,CONCATENATE(JX$10,", "),""))</f>
        <v/>
      </c>
      <c r="JY63" s="713" t="str">
        <f ca="1">IF(INDIRECT(CONCATENATE($FK$12,Fixtures!JY$25))="","",IF(INDIRECT(CONCATENATE($FK$12,Fixtures!JY$25))=Fixtures!$DN63,CONCATENATE(JY$10,", "),""))</f>
        <v/>
      </c>
      <c r="JZ63" s="713" t="str">
        <f ca="1">IF(INDIRECT(CONCATENATE($FK$12,Fixtures!JZ$25))="","",IF(INDIRECT(CONCATENATE($FK$12,Fixtures!JZ$25))=Fixtures!$DN63,CONCATENATE(JZ$10,", "),""))</f>
        <v/>
      </c>
      <c r="KA63" s="713" t="str">
        <f ca="1">IF(INDIRECT(CONCATENATE($FK$12,Fixtures!KA$25))="","",IF(INDIRECT(CONCATENATE($FK$12,Fixtures!KA$25))=Fixtures!$DN63,CONCATENATE(KA$10,", "),""))</f>
        <v/>
      </c>
      <c r="KB63" s="713" t="str">
        <f ca="1">IF(INDIRECT(CONCATENATE($FK$12,Fixtures!KB$25))="","",IF(INDIRECT(CONCATENATE($FK$12,Fixtures!KB$25))=Fixtures!$DN63,CONCATENATE(KB$10,", "),""))</f>
        <v/>
      </c>
      <c r="KC63" s="713" t="str">
        <f ca="1">IF(INDIRECT(CONCATENATE($FK$12,Fixtures!KC$25))="","",IF(INDIRECT(CONCATENATE($FK$12,Fixtures!KC$25))=Fixtures!$DN63,CONCATENATE(KC$10,", "),""))</f>
        <v/>
      </c>
      <c r="KD63" s="713" t="str">
        <f ca="1">IF(INDIRECT(CONCATENATE($FK$12,Fixtures!KD$25))="","",IF(INDIRECT(CONCATENATE($FK$12,Fixtures!KD$25))=Fixtures!$DN63,CONCATENATE(KD$10,", "),""))</f>
        <v/>
      </c>
      <c r="KE63" s="713" t="str">
        <f ca="1">IF(INDIRECT(CONCATENATE($FK$12,Fixtures!KE$25))="","",IF(INDIRECT(CONCATENATE($FK$12,Fixtures!KE$25))=Fixtures!$DN63,CONCATENATE(KE$10,", "),""))</f>
        <v/>
      </c>
      <c r="KF63" s="713" t="str">
        <f ca="1">IF(INDIRECT(CONCATENATE($FK$12,Fixtures!KF$25))="","",IF(INDIRECT(CONCATENATE($FK$12,Fixtures!KF$25))=Fixtures!$DN63,CONCATENATE(KF$10,", "),""))</f>
        <v/>
      </c>
      <c r="KG63" s="713" t="str">
        <f ca="1">IF(INDIRECT(CONCATENATE($FK$12,Fixtures!KG$25))="","",IF(INDIRECT(CONCATENATE($FK$12,Fixtures!KG$25))=Fixtures!$DN63,CONCATENATE(KG$10,", "),""))</f>
        <v/>
      </c>
      <c r="KH63" s="713" t="str">
        <f ca="1">IF(INDIRECT(CONCATENATE($FK$12,Fixtures!KH$25))="","",IF(INDIRECT(CONCATENATE($FK$12,Fixtures!KH$25))=Fixtures!$DN63,CONCATENATE(KH$10,", "),""))</f>
        <v/>
      </c>
      <c r="KI63" s="713" t="str">
        <f ca="1">IF(INDIRECT(CONCATENATE($FK$12,Fixtures!KI$25))="","",IF(INDIRECT(CONCATENATE($FK$12,Fixtures!KI$25))=Fixtures!$DN63,CONCATENATE(KI$10,", "),""))</f>
        <v/>
      </c>
      <c r="KJ63" s="684" t="str">
        <f ca="1">IF(INDIRECT(CONCATENATE($FK$12,Fixtures!KJ$25))="","",IF(INDIRECT(CONCATENATE($FK$12,Fixtures!KJ$25))=Fixtures!$DN63,CONCATENATE(KJ$10,", "),""))</f>
        <v/>
      </c>
      <c r="KK63" s="685" t="str">
        <f ca="1">IF(INDIRECT(CONCATENATE($FK$12,Fixtures!KK$25))="","",IF(INDIRECT(CONCATENATE($FK$12,Fixtures!KK$25))=Fixtures!$DN63,CONCATENATE(KK$10,", "),""))</f>
        <v/>
      </c>
      <c r="KL63" s="713" t="str">
        <f ca="1">IF(INDIRECT(CONCATENATE($FK$12,Fixtures!KL$25))="","",IF(INDIRECT(CONCATENATE($FK$12,Fixtures!KL$25))=Fixtures!$DN63,CONCATENATE(KL$10,", "),""))</f>
        <v/>
      </c>
      <c r="KM63" s="713" t="str">
        <f ca="1">IF(INDIRECT(CONCATENATE($FK$12,Fixtures!KM$25))="","",IF(INDIRECT(CONCATENATE($FK$12,Fixtures!KM$25))=Fixtures!$DN63,CONCATENATE(KM$10,", "),""))</f>
        <v/>
      </c>
      <c r="KN63" s="713" t="str">
        <f ca="1">IF(INDIRECT(CONCATENATE($FK$12,Fixtures!KN$25))="","",IF(INDIRECT(CONCATENATE($FK$12,Fixtures!KN$25))=Fixtures!$DN63,CONCATENATE(KN$10,", "),""))</f>
        <v/>
      </c>
      <c r="KO63" s="713" t="str">
        <f ca="1">IF(INDIRECT(CONCATENATE($FK$12,Fixtures!KO$25))="","",IF(INDIRECT(CONCATENATE($FK$12,Fixtures!KO$25))=Fixtures!$DN63,CONCATENATE(KO$10,", "),""))</f>
        <v/>
      </c>
      <c r="KP63" s="713" t="str">
        <f ca="1">IF(INDIRECT(CONCATENATE($FK$12,Fixtures!KP$25))="","",IF(INDIRECT(CONCATENATE($FK$12,Fixtures!KP$25))=Fixtures!$DN63,CONCATENATE(KP$10,", "),""))</f>
        <v/>
      </c>
      <c r="KQ63" s="713" t="str">
        <f ca="1">IF(INDIRECT(CONCATENATE($FK$12,Fixtures!KQ$25))="","",IF(INDIRECT(CONCATENATE($FK$12,Fixtures!KQ$25))=Fixtures!$DN63,CONCATENATE(KQ$10,", "),""))</f>
        <v/>
      </c>
      <c r="KR63" s="713" t="str">
        <f ca="1">IF(INDIRECT(CONCATENATE($FK$12,Fixtures!KR$25))="","",IF(INDIRECT(CONCATENATE($FK$12,Fixtures!KR$25))=Fixtures!$DN63,CONCATENATE(KR$10,", "),""))</f>
        <v/>
      </c>
      <c r="KS63" s="713" t="str">
        <f ca="1">IF(INDIRECT(CONCATENATE($FK$12,Fixtures!KS$25))="","",IF(INDIRECT(CONCATENATE($FK$12,Fixtures!KS$25))=Fixtures!$DN63,CONCATENATE(KS$10,", "),""))</f>
        <v/>
      </c>
      <c r="KT63" s="713" t="str">
        <f ca="1">IF(INDIRECT(CONCATENATE($FK$12,Fixtures!KT$25))="","",IF(INDIRECT(CONCATENATE($FK$12,Fixtures!KT$25))=Fixtures!$DN63,CONCATENATE(KT$10,", "),""))</f>
        <v/>
      </c>
      <c r="KU63" s="713" t="str">
        <f ca="1">IF(INDIRECT(CONCATENATE($FK$12,Fixtures!KU$25))="","",IF(INDIRECT(CONCATENATE($FK$12,Fixtures!KU$25))=Fixtures!$DN63,CONCATENATE(KU$10,", "),""))</f>
        <v/>
      </c>
      <c r="KV63" s="713" t="str">
        <f ca="1">IF(INDIRECT(CONCATENATE($FK$12,Fixtures!KV$25))="","",IF(INDIRECT(CONCATENATE($FK$12,Fixtures!KV$25))=Fixtures!$DN63,CONCATENATE(KV$10,", "),""))</f>
        <v/>
      </c>
      <c r="KW63" s="713" t="str">
        <f ca="1">IF(INDIRECT(CONCATENATE($FK$12,Fixtures!KW$25))="","",IF(INDIRECT(CONCATENATE($FK$12,Fixtures!KW$25))=Fixtures!$DN63,CONCATENATE(KW$10,", "),""))</f>
        <v/>
      </c>
      <c r="KX63" s="713" t="str">
        <f ca="1">IF(INDIRECT(CONCATENATE($FK$12,Fixtures!KX$25))="","",IF(INDIRECT(CONCATENATE($FK$12,Fixtures!KX$25))=Fixtures!$DN63,CONCATENATE(KX$10,", "),""))</f>
        <v/>
      </c>
      <c r="KY63" s="713" t="str">
        <f ca="1">IF(INDIRECT(CONCATENATE($FK$12,Fixtures!KY$25))="","",IF(INDIRECT(CONCATENATE($FK$12,Fixtures!KY$25))=Fixtures!$DN63,CONCATENATE(KY$10,", "),""))</f>
        <v/>
      </c>
      <c r="KZ63" s="602"/>
      <c r="LA63" s="46" t="str">
        <f t="shared" ca="1" si="38"/>
        <v/>
      </c>
    </row>
    <row r="64" spans="1:313" ht="28.05" customHeight="1" thickTop="1" thickBot="1">
      <c r="A64" s="471" t="str">
        <f t="shared" si="13"/>
        <v/>
      </c>
      <c r="C64" s="1328" t="str">
        <f t="shared" si="14"/>
        <v/>
      </c>
      <c r="D64" s="1329"/>
      <c r="E64" s="1256" t="str">
        <f t="shared" si="15"/>
        <v/>
      </c>
      <c r="F64" s="1257"/>
      <c r="G64" s="1257"/>
      <c r="H64" s="1257"/>
      <c r="I64" s="1257"/>
      <c r="J64" s="1257"/>
      <c r="K64" s="1257"/>
      <c r="L64" s="1257"/>
      <c r="M64" s="1330"/>
      <c r="N64" s="239" t="str">
        <f t="shared" si="16"/>
        <v/>
      </c>
      <c r="O64" s="12"/>
      <c r="P64" s="1326" t="str">
        <f t="shared" si="25"/>
        <v/>
      </c>
      <c r="Q64" s="1327"/>
      <c r="R64" s="1256" t="str">
        <f t="shared" si="31"/>
        <v/>
      </c>
      <c r="S64" s="1257"/>
      <c r="T64" s="1257"/>
      <c r="U64" s="1257"/>
      <c r="V64" s="1257"/>
      <c r="W64" s="1257"/>
      <c r="X64" s="1257"/>
      <c r="Y64" s="239" t="str">
        <f t="shared" si="27"/>
        <v/>
      </c>
      <c r="Z64" s="239" t="str">
        <f t="shared" si="28"/>
        <v/>
      </c>
      <c r="AA64" s="439" t="str">
        <f t="shared" si="29"/>
        <v/>
      </c>
      <c r="AB64" s="542"/>
      <c r="AC64" s="1253" t="str">
        <f t="shared" si="17"/>
        <v/>
      </c>
      <c r="AD64" s="1166"/>
      <c r="AE64" s="1166"/>
      <c r="AF64" s="1166"/>
      <c r="AG64" s="1166"/>
      <c r="AH64" s="1166"/>
      <c r="AK64">
        <f>SUMIFS(Installations!CS$39:CS$800,Installations!CT$39:CT$800,E64,Installations!HX$39:HX$800,TRUE)</f>
        <v>0</v>
      </c>
      <c r="AL64">
        <f>SUMIFS(Installations!CS$39:CS$800,Installations!CT$39:CT$800,R64,Installations!HX$39:HX$800,TRUE)</f>
        <v>0</v>
      </c>
      <c r="BL64" s="9"/>
      <c r="BM64" s="703" t="str">
        <f t="shared" si="18"/>
        <v/>
      </c>
      <c r="BN64" s="52"/>
      <c r="BO64" s="52"/>
      <c r="BP64" s="52"/>
      <c r="BQ64" s="52"/>
      <c r="BR64" s="52"/>
      <c r="BS64" s="52"/>
      <c r="BT64" s="52"/>
      <c r="BU64" s="414"/>
      <c r="BV64" s="255" t="str">
        <f>IF(CN64&lt;&gt;"Yes","",IFERROR(VLOOKUP(CU64,Existing!A$4:F$364,2,FALSE),""))</f>
        <v/>
      </c>
      <c r="BW64" s="9">
        <v>38</v>
      </c>
      <c r="BX64" s="1313"/>
      <c r="BY64" s="1314"/>
      <c r="BZ64" s="1314"/>
      <c r="CA64" s="1315"/>
      <c r="CB64" s="1310"/>
      <c r="CC64" s="1311"/>
      <c r="CD64" s="1311"/>
      <c r="CE64" s="1312"/>
      <c r="CF64" s="1309"/>
      <c r="CG64" s="1309"/>
      <c r="CH64" s="1309"/>
      <c r="CI64" s="1309"/>
      <c r="CJ64" s="1309"/>
      <c r="CK64" s="1309"/>
      <c r="CL64" s="1309"/>
      <c r="CM64" s="1309"/>
      <c r="CN64" s="1243" t="str">
        <f t="shared" si="32"/>
        <v/>
      </c>
      <c r="CO64" s="1244"/>
      <c r="CP64" s="265" t="str">
        <f>IFERROR(IF(CB64="Existing TLED",CR64*CW64*CY64,VLOOKUP(CU64,Existing!A$3:F$353,6,FALSE)),"")</f>
        <v/>
      </c>
      <c r="CQ64" s="9"/>
      <c r="CR64" s="1343"/>
      <c r="CS64" s="1344"/>
      <c r="CT64" s="9"/>
      <c r="CU64" s="470" t="str">
        <f t="shared" si="21"/>
        <v/>
      </c>
      <c r="CV64" s="471" t="b">
        <f t="shared" si="22"/>
        <v>0</v>
      </c>
      <c r="CW64" s="471" t="str">
        <f t="shared" si="23"/>
        <v/>
      </c>
      <c r="CX64" s="471">
        <f>IFERROR(VLOOKUP(CF64,Lookup!M$100:O$102,3,FALSE),0)</f>
        <v>0</v>
      </c>
      <c r="CY64" s="471">
        <f t="shared" si="9"/>
        <v>1.1100000000000001</v>
      </c>
      <c r="CZ64" s="707" t="b">
        <f t="shared" si="33"/>
        <v>0</v>
      </c>
      <c r="DA64" s="707" t="b">
        <f>IF(CF64&lt;&gt;"",IF(ISERROR(MATCH(CONCATENATE(CB64," - ",CF64),Existing!G$4:G$328,0))=TRUE,FALSE,TRUE),TRUE)</f>
        <v>1</v>
      </c>
      <c r="DB64" s="707" t="b">
        <f t="shared" si="34"/>
        <v>1</v>
      </c>
      <c r="DL64" s="9"/>
      <c r="DM64" s="708" t="s">
        <v>166</v>
      </c>
      <c r="DN64" s="416" t="str">
        <f t="shared" si="35"/>
        <v/>
      </c>
      <c r="DO64" s="52"/>
      <c r="DP64" s="52"/>
      <c r="DQ64" s="52"/>
      <c r="DR64" s="52"/>
      <c r="DS64" s="52"/>
      <c r="DT64" s="262"/>
      <c r="DU64" s="417"/>
      <c r="DV64" s="263" t="str">
        <f t="shared" si="36"/>
        <v/>
      </c>
      <c r="DW64" s="260">
        <v>38</v>
      </c>
      <c r="DX64" s="1306"/>
      <c r="DY64" s="1307"/>
      <c r="DZ64" s="1307"/>
      <c r="EA64" s="1308"/>
      <c r="EB64" s="1306"/>
      <c r="EC64" s="1307"/>
      <c r="ED64" s="1307"/>
      <c r="EE64" s="1308"/>
      <c r="EF64" s="1266"/>
      <c r="EG64" s="1267"/>
      <c r="EH64" s="1306"/>
      <c r="EI64" s="1307"/>
      <c r="EJ64" s="1307"/>
      <c r="EK64" s="1308"/>
      <c r="EL64" s="1263"/>
      <c r="EM64" s="1264"/>
      <c r="EN64" s="1264"/>
      <c r="EO64" s="1265"/>
      <c r="EP64" s="1266"/>
      <c r="EQ64" s="1267"/>
      <c r="ER64" s="1245"/>
      <c r="ES64" s="1246"/>
      <c r="ET64" s="1243" t="str">
        <f t="shared" si="5"/>
        <v/>
      </c>
      <c r="EU64" s="1244"/>
      <c r="EV64" s="1243" t="str">
        <f t="shared" si="30"/>
        <v/>
      </c>
      <c r="EW64" s="1244"/>
      <c r="EX64" s="438"/>
      <c r="EY64" s="261" t="str">
        <f t="shared" si="37"/>
        <v/>
      </c>
      <c r="EZ64" s="261" t="str">
        <f>IFERROR(VLOOKUP(EB64,Lookup!AM$3:AN$13,2,FALSE),"")</f>
        <v/>
      </c>
      <c r="FA64" s="471" t="b">
        <f>IFERROR(IF(VLOOKUP(EB64,Lookup!AM$6:AN$8,2,FALSE)&gt;3,TRUE,FALSE),FALSE)</f>
        <v>0</v>
      </c>
      <c r="FB64" s="471">
        <f t="shared" si="11"/>
        <v>1</v>
      </c>
      <c r="FC64" t="str">
        <f t="shared" ca="1" si="10"/>
        <v/>
      </c>
      <c r="FG64" t="str">
        <f t="shared" ca="1" si="12"/>
        <v/>
      </c>
      <c r="FI64" s="240" t="str">
        <f t="shared" ca="1" si="24"/>
        <v/>
      </c>
      <c r="FK64" s="712" t="str">
        <f ca="1">IF(INDIRECT(CONCATENATE($FK$12,Fixtures!FK$25))="","",IF(INDIRECT(CONCATENATE($FK$12,Fixtures!FK$25))=Fixtures!$DN64,CONCATENATE(FK$10,", "),""))</f>
        <v/>
      </c>
      <c r="FL64" s="712" t="str">
        <f ca="1">IF(INDIRECT(CONCATENATE($FK$12,Fixtures!FL$25))="","",IF(INDIRECT(CONCATENATE($FK$12,Fixtures!FL$25))=Fixtures!$DN64,CONCATENATE(FL$10,", "),""))</f>
        <v/>
      </c>
      <c r="FM64" s="712" t="str">
        <f ca="1">IF(INDIRECT(CONCATENATE($FK$12,Fixtures!FM$25))="","",IF(INDIRECT(CONCATENATE($FK$12,Fixtures!FM$25))=Fixtures!$DN64,CONCATENATE(FM$10,", "),""))</f>
        <v/>
      </c>
      <c r="FN64" s="712" t="str">
        <f ca="1">IF(INDIRECT(CONCATENATE($FK$12,Fixtures!FN$25))="","",IF(INDIRECT(CONCATENATE($FK$12,Fixtures!FN$25))=Fixtures!$DN64,CONCATENATE(FN$10,", "),""))</f>
        <v/>
      </c>
      <c r="FO64" s="712" t="str">
        <f ca="1">IF(INDIRECT(CONCATENATE($FK$12,Fixtures!FO$25))="","",IF(INDIRECT(CONCATENATE($FK$12,Fixtures!FO$25))=Fixtures!$DN64,CONCATENATE(FO$10,", "),""))</f>
        <v/>
      </c>
      <c r="FP64" s="712" t="str">
        <f ca="1">IF(INDIRECT(CONCATENATE($FK$12,Fixtures!FP$25))="","",IF(INDIRECT(CONCATENATE($FK$12,Fixtures!FP$25))=Fixtures!$DN64,CONCATENATE(FP$10,", "),""))</f>
        <v/>
      </c>
      <c r="FQ64" s="712" t="str">
        <f ca="1">IF(INDIRECT(CONCATENATE($FK$12,Fixtures!FQ$25))="","",IF(INDIRECT(CONCATENATE($FK$12,Fixtures!FQ$25))=Fixtures!$DN64,CONCATENATE(FQ$10,", "),""))</f>
        <v/>
      </c>
      <c r="FR64" s="712" t="str">
        <f ca="1">IF(INDIRECT(CONCATENATE($FK$12,Fixtures!FR$25))="","",IF(INDIRECT(CONCATENATE($FK$12,Fixtures!FR$25))=Fixtures!$DN64,CONCATENATE(FR$10,", "),""))</f>
        <v/>
      </c>
      <c r="FS64" s="712" t="str">
        <f ca="1">IF(INDIRECT(CONCATENATE($FK$12,Fixtures!FS$25))="","",IF(INDIRECT(CONCATENATE($FK$12,Fixtures!FS$25))=Fixtures!$DN64,CONCATENATE(FS$10,", "),""))</f>
        <v/>
      </c>
      <c r="FT64" s="682" t="str">
        <f ca="1">IF(INDIRECT(CONCATENATE($FK$12,Fixtures!FT$25))="","",IF(INDIRECT(CONCATENATE($FK$12,Fixtures!FT$25))=Fixtures!$DN64,CONCATENATE(FT$10,", "),""))</f>
        <v/>
      </c>
      <c r="FU64" s="683" t="str">
        <f ca="1">IF(INDIRECT(CONCATENATE($FK$12,Fixtures!FU$25))="","",IF(INDIRECT(CONCATENATE($FK$12,Fixtures!FU$25))=Fixtures!$DN64,CONCATENATE(FU$10,", "),""))</f>
        <v/>
      </c>
      <c r="FV64" s="712" t="str">
        <f ca="1">IF(INDIRECT(CONCATENATE($FK$12,Fixtures!FV$25))="","",IF(INDIRECT(CONCATENATE($FK$12,Fixtures!FV$25))=Fixtures!$DN64,CONCATENATE(FV$10,", "),""))</f>
        <v/>
      </c>
      <c r="FW64" s="713" t="str">
        <f ca="1">IF(INDIRECT(CONCATENATE($FK$12,Fixtures!FW$25))="","",IF(INDIRECT(CONCATENATE($FK$12,Fixtures!FW$25))=Fixtures!$DN64,CONCATENATE(FW$10,", "),""))</f>
        <v/>
      </c>
      <c r="FX64" s="713" t="str">
        <f ca="1">IF(INDIRECT(CONCATENATE($FK$12,Fixtures!FX$25))="","",IF(INDIRECT(CONCATENATE($FK$12,Fixtures!FX$25))=Fixtures!$DN64,CONCATENATE(FX$10,", "),""))</f>
        <v/>
      </c>
      <c r="FY64" s="713" t="str">
        <f ca="1">IF(INDIRECT(CONCATENATE($FK$12,Fixtures!FY$25))="","",IF(INDIRECT(CONCATENATE($FK$12,Fixtures!FY$25))=Fixtures!$DN64,CONCATENATE(FY$10,", "),""))</f>
        <v/>
      </c>
      <c r="FZ64" s="713" t="str">
        <f ca="1">IF(INDIRECT(CONCATENATE($FK$12,Fixtures!FZ$25))="","",IF(INDIRECT(CONCATENATE($FK$12,Fixtures!FZ$25))=Fixtures!$DN64,CONCATENATE(FZ$10,", "),""))</f>
        <v/>
      </c>
      <c r="GA64" s="713" t="str">
        <f ca="1">IF(INDIRECT(CONCATENATE($FK$12,Fixtures!GA$25))="","",IF(INDIRECT(CONCATENATE($FK$12,Fixtures!GA$25))=Fixtures!$DN64,CONCATENATE(GA$10,", "),""))</f>
        <v/>
      </c>
      <c r="GB64" s="713" t="str">
        <f ca="1">IF(INDIRECT(CONCATENATE($FK$12,Fixtures!GB$25))="","",IF(INDIRECT(CONCATENATE($FK$12,Fixtures!GB$25))=Fixtures!$DN64,CONCATENATE(GB$10,", "),""))</f>
        <v/>
      </c>
      <c r="GC64" s="713" t="str">
        <f ca="1">IF(INDIRECT(CONCATENATE($FK$12,Fixtures!GC$25))="","",IF(INDIRECT(CONCATENATE($FK$12,Fixtures!GC$25))=Fixtures!$DN64,CONCATENATE(GC$10,", "),""))</f>
        <v/>
      </c>
      <c r="GD64" s="713" t="str">
        <f ca="1">IF(INDIRECT(CONCATENATE($FK$12,Fixtures!GD$25))="","",IF(INDIRECT(CONCATENATE($FK$12,Fixtures!GD$25))=Fixtures!$DN64,CONCATENATE(GD$10,", "),""))</f>
        <v/>
      </c>
      <c r="GE64" s="713" t="str">
        <f ca="1">IF(INDIRECT(CONCATENATE($FK$12,Fixtures!GE$25))="","",IF(INDIRECT(CONCATENATE($FK$12,Fixtures!GE$25))=Fixtures!$DN64,CONCATENATE(GE$10,", "),""))</f>
        <v/>
      </c>
      <c r="GF64" s="713" t="str">
        <f ca="1">IF(INDIRECT(CONCATENATE($FK$12,Fixtures!GF$25))="","",IF(INDIRECT(CONCATENATE($FK$12,Fixtures!GF$25))=Fixtures!$DN64,CONCATENATE(GF$10,", "),""))</f>
        <v/>
      </c>
      <c r="GG64" s="713" t="str">
        <f ca="1">IF(INDIRECT(CONCATENATE($FK$12,Fixtures!GG$25))="","",IF(INDIRECT(CONCATENATE($FK$12,Fixtures!GG$25))=Fixtures!$DN64,CONCATENATE(GG$10,", "),""))</f>
        <v/>
      </c>
      <c r="GH64" s="713" t="str">
        <f ca="1">IF(INDIRECT(CONCATENATE($FK$12,Fixtures!GH$25))="","",IF(INDIRECT(CONCATENATE($FK$12,Fixtures!GH$25))=Fixtures!$DN64,CONCATENATE(GH$10,", "),""))</f>
        <v/>
      </c>
      <c r="GI64" s="684" t="str">
        <f ca="1">IF(INDIRECT(CONCATENATE($FK$12,Fixtures!GI$25))="","",IF(INDIRECT(CONCATENATE($FK$12,Fixtures!GI$25))=Fixtures!$DN64,CONCATENATE(GI$10,", "),""))</f>
        <v/>
      </c>
      <c r="GJ64" s="685" t="str">
        <f ca="1">IF(INDIRECT(CONCATENATE($FK$12,Fixtures!GJ$25))="","",IF(INDIRECT(CONCATENATE($FK$12,Fixtures!GJ$25))=Fixtures!$DN64,CONCATENATE(GJ$10,", "),""))</f>
        <v/>
      </c>
      <c r="GK64" s="713" t="str">
        <f ca="1">IF(INDIRECT(CONCATENATE($FK$12,Fixtures!GK$25))="","",IF(INDIRECT(CONCATENATE($FK$12,Fixtures!GK$25))=Fixtures!$DN64,CONCATENATE(GK$10,", "),""))</f>
        <v/>
      </c>
      <c r="GL64" s="713" t="str">
        <f ca="1">IF(INDIRECT(CONCATENATE($FK$12,Fixtures!GL$25))="","",IF(INDIRECT(CONCATENATE($FK$12,Fixtures!GL$25))=Fixtures!$DN64,CONCATENATE(GL$10,", "),""))</f>
        <v/>
      </c>
      <c r="GM64" s="713" t="str">
        <f ca="1">IF(INDIRECT(CONCATENATE($FK$12,Fixtures!GM$25))="","",IF(INDIRECT(CONCATENATE($FK$12,Fixtures!GM$25))=Fixtures!$DN64,CONCATENATE(GM$10,", "),""))</f>
        <v/>
      </c>
      <c r="GN64" s="713" t="str">
        <f ca="1">IF(INDIRECT(CONCATENATE($FK$12,Fixtures!GN$25))="","",IF(INDIRECT(CONCATENATE($FK$12,Fixtures!GN$25))=Fixtures!$DN64,CONCATENATE(GN$10,", "),""))</f>
        <v/>
      </c>
      <c r="GO64" s="713" t="str">
        <f ca="1">IF(INDIRECT(CONCATENATE($FK$12,Fixtures!GO$25))="","",IF(INDIRECT(CONCATENATE($FK$12,Fixtures!GO$25))=Fixtures!$DN64,CONCATENATE(GO$10,", "),""))</f>
        <v/>
      </c>
      <c r="GP64" s="713" t="str">
        <f ca="1">IF(INDIRECT(CONCATENATE($FK$12,Fixtures!GP$25))="","",IF(INDIRECT(CONCATENATE($FK$12,Fixtures!GP$25))=Fixtures!$DN64,CONCATENATE(GP$10,", "),""))</f>
        <v/>
      </c>
      <c r="GQ64" s="713" t="str">
        <f ca="1">IF(INDIRECT(CONCATENATE($FK$12,Fixtures!GQ$25))="","",IF(INDIRECT(CONCATENATE($FK$12,Fixtures!GQ$25))=Fixtures!$DN64,CONCATENATE(GQ$10,", "),""))</f>
        <v/>
      </c>
      <c r="GR64" s="713" t="str">
        <f ca="1">IF(INDIRECT(CONCATENATE($FK$12,Fixtures!GR$25))="","",IF(INDIRECT(CONCATENATE($FK$12,Fixtures!GR$25))=Fixtures!$DN64,CONCATENATE(GR$10,", "),""))</f>
        <v/>
      </c>
      <c r="GS64" s="713" t="str">
        <f ca="1">IF(INDIRECT(CONCATENATE($FK$12,Fixtures!GS$25))="","",IF(INDIRECT(CONCATENATE($FK$12,Fixtures!GS$25))=Fixtures!$DN64,CONCATENATE(GS$10,", "),""))</f>
        <v/>
      </c>
      <c r="GT64" s="713" t="str">
        <f ca="1">IF(INDIRECT(CONCATENATE($FK$12,Fixtures!GT$25))="","",IF(INDIRECT(CONCATENATE($FK$12,Fixtures!GT$25))=Fixtures!$DN64,CONCATENATE(GT$10,", "),""))</f>
        <v/>
      </c>
      <c r="GU64" s="713" t="str">
        <f ca="1">IF(INDIRECT(CONCATENATE($FK$12,Fixtures!GU$25))="","",IF(INDIRECT(CONCATENATE($FK$12,Fixtures!GU$25))=Fixtures!$DN64,CONCATENATE(GU$10,", "),""))</f>
        <v/>
      </c>
      <c r="GV64" s="713" t="str">
        <f ca="1">IF(INDIRECT(CONCATENATE($FK$12,Fixtures!GV$25))="","",IF(INDIRECT(CONCATENATE($FK$12,Fixtures!GV$25))=Fixtures!$DN64,CONCATENATE(GV$10,", "),""))</f>
        <v/>
      </c>
      <c r="GW64" s="713" t="str">
        <f ca="1">IF(INDIRECT(CONCATENATE($FK$12,Fixtures!GW$25))="","",IF(INDIRECT(CONCATENATE($FK$12,Fixtures!GW$25))=Fixtures!$DN64,CONCATENATE(GW$10,", "),""))</f>
        <v/>
      </c>
      <c r="GX64" s="684" t="str">
        <f ca="1">IF(INDIRECT(CONCATENATE($FK$12,Fixtures!GX$25))="","",IF(INDIRECT(CONCATENATE($FK$12,Fixtures!GX$25))=Fixtures!$DN64,CONCATENATE(GX$10,", "),""))</f>
        <v/>
      </c>
      <c r="GY64" s="685" t="str">
        <f ca="1">IF(INDIRECT(CONCATENATE($FK$12,Fixtures!GY$25))="","",IF(INDIRECT(CONCATENATE($FK$12,Fixtures!GY$25))=Fixtures!$DN64,CONCATENATE(GY$10,", "),""))</f>
        <v/>
      </c>
      <c r="GZ64" s="713" t="str">
        <f ca="1">IF(INDIRECT(CONCATENATE($FK$12,Fixtures!GZ$25))="","",IF(INDIRECT(CONCATENATE($FK$12,Fixtures!GZ$25))=Fixtures!$DN64,CONCATENATE(GZ$10,", "),""))</f>
        <v/>
      </c>
      <c r="HA64" s="713" t="str">
        <f ca="1">IF(INDIRECT(CONCATENATE($FK$12,Fixtures!HA$25))="","",IF(INDIRECT(CONCATENATE($FK$12,Fixtures!HA$25))=Fixtures!$DN64,CONCATENATE(HA$10,", "),""))</f>
        <v/>
      </c>
      <c r="HB64" s="713" t="str">
        <f ca="1">IF(INDIRECT(CONCATENATE($FK$12,Fixtures!HB$25))="","",IF(INDIRECT(CONCATENATE($FK$12,Fixtures!HB$25))=Fixtures!$DN64,CONCATENATE(HB$10,", "),""))</f>
        <v/>
      </c>
      <c r="HC64" s="713" t="str">
        <f ca="1">IF(INDIRECT(CONCATENATE($FK$12,Fixtures!HC$25))="","",IF(INDIRECT(CONCATENATE($FK$12,Fixtures!HC$25))=Fixtures!$DN64,CONCATENATE(HC$10,", "),""))</f>
        <v/>
      </c>
      <c r="HD64" s="713" t="str">
        <f ca="1">IF(INDIRECT(CONCATENATE($FK$12,Fixtures!HD$25))="","",IF(INDIRECT(CONCATENATE($FK$12,Fixtures!HD$25))=Fixtures!$DN64,CONCATENATE(HD$10,", "),""))</f>
        <v/>
      </c>
      <c r="HE64" s="713" t="str">
        <f ca="1">IF(INDIRECT(CONCATENATE($FK$12,Fixtures!HE$25))="","",IF(INDIRECT(CONCATENATE($FK$12,Fixtures!HE$25))=Fixtures!$DN64,CONCATENATE(HE$10,", "),""))</f>
        <v/>
      </c>
      <c r="HF64" s="713" t="str">
        <f ca="1">IF(INDIRECT(CONCATENATE($FK$12,Fixtures!HF$25))="","",IF(INDIRECT(CONCATENATE($FK$12,Fixtures!HF$25))=Fixtures!$DN64,CONCATENATE(HF$10,", "),""))</f>
        <v/>
      </c>
      <c r="HG64" s="713" t="str">
        <f ca="1">IF(INDIRECT(CONCATENATE($FK$12,Fixtures!HG$25))="","",IF(INDIRECT(CONCATENATE($FK$12,Fixtures!HG$25))=Fixtures!$DN64,CONCATENATE(HG$10,", "),""))</f>
        <v/>
      </c>
      <c r="HH64" s="713" t="str">
        <f ca="1">IF(INDIRECT(CONCATENATE($FK$12,Fixtures!HH$25))="","",IF(INDIRECT(CONCATENATE($FK$12,Fixtures!HH$25))=Fixtures!$DN64,CONCATENATE(HH$10,", "),""))</f>
        <v/>
      </c>
      <c r="HI64" s="713" t="str">
        <f ca="1">IF(INDIRECT(CONCATENATE($FK$12,Fixtures!HI$25))="","",IF(INDIRECT(CONCATENATE($FK$12,Fixtures!HI$25))=Fixtures!$DN64,CONCATENATE(HI$10,", "),""))</f>
        <v/>
      </c>
      <c r="HJ64" s="713" t="str">
        <f ca="1">IF(INDIRECT(CONCATENATE($FK$12,Fixtures!HJ$25))="","",IF(INDIRECT(CONCATENATE($FK$12,Fixtures!HJ$25))=Fixtures!$DN64,CONCATENATE(HJ$10,", "),""))</f>
        <v/>
      </c>
      <c r="HK64" s="713" t="str">
        <f ca="1">IF(INDIRECT(CONCATENATE($FK$12,Fixtures!HK$25))="","",IF(INDIRECT(CONCATENATE($FK$12,Fixtures!HK$25))=Fixtures!$DN64,CONCATENATE(HK$10,", "),""))</f>
        <v/>
      </c>
      <c r="HL64" s="713" t="str">
        <f ca="1">IF(INDIRECT(CONCATENATE($FK$12,Fixtures!HL$25))="","",IF(INDIRECT(CONCATENATE($FK$12,Fixtures!HL$25))=Fixtures!$DN64,CONCATENATE(HL$10,", "),""))</f>
        <v/>
      </c>
      <c r="HM64" s="684" t="str">
        <f ca="1">IF(INDIRECT(CONCATENATE($FK$12,Fixtures!HM$25))="","",IF(INDIRECT(CONCATENATE($FK$12,Fixtures!HM$25))=Fixtures!$DN64,CONCATENATE(HM$10,", "),""))</f>
        <v/>
      </c>
      <c r="HN64" s="685" t="str">
        <f ca="1">IF(INDIRECT(CONCATENATE($FK$12,Fixtures!HN$25))="","",IF(INDIRECT(CONCATENATE($FK$12,Fixtures!HN$25))=Fixtures!$DN64,CONCATENATE(HN$10,", "),""))</f>
        <v/>
      </c>
      <c r="HO64" s="713" t="str">
        <f ca="1">IF(INDIRECT(CONCATENATE($FK$12,Fixtures!HO$25))="","",IF(INDIRECT(CONCATENATE($FK$12,Fixtures!HO$25))=Fixtures!$DN64,CONCATENATE(HO$10,", "),""))</f>
        <v/>
      </c>
      <c r="HP64" s="713" t="str">
        <f ca="1">IF(INDIRECT(CONCATENATE($FK$12,Fixtures!HP$25))="","",IF(INDIRECT(CONCATENATE($FK$12,Fixtures!HP$25))=Fixtures!$DN64,CONCATENATE(HP$10,", "),""))</f>
        <v/>
      </c>
      <c r="HQ64" s="713" t="str">
        <f ca="1">IF(INDIRECT(CONCATENATE($FK$12,Fixtures!HQ$25))="","",IF(INDIRECT(CONCATENATE($FK$12,Fixtures!HQ$25))=Fixtures!$DN64,CONCATENATE(HQ$10,", "),""))</f>
        <v/>
      </c>
      <c r="HR64" s="713" t="str">
        <f ca="1">IF(INDIRECT(CONCATENATE($FK$12,Fixtures!HR$25))="","",IF(INDIRECT(CONCATENATE($FK$12,Fixtures!HR$25))=Fixtures!$DN64,CONCATENATE(HR$10,", "),""))</f>
        <v/>
      </c>
      <c r="HS64" s="713" t="str">
        <f ca="1">IF(INDIRECT(CONCATENATE($FK$12,Fixtures!HS$25))="","",IF(INDIRECT(CONCATENATE($FK$12,Fixtures!HS$25))=Fixtures!$DN64,CONCATENATE(HS$10,", "),""))</f>
        <v/>
      </c>
      <c r="HT64" s="713" t="str">
        <f ca="1">IF(INDIRECT(CONCATENATE($FK$12,Fixtures!HT$25))="","",IF(INDIRECT(CONCATENATE($FK$12,Fixtures!HT$25))=Fixtures!$DN64,CONCATENATE(HT$10,", "),""))</f>
        <v/>
      </c>
      <c r="HU64" s="713" t="str">
        <f ca="1">IF(INDIRECT(CONCATENATE($FK$12,Fixtures!HU$25))="","",IF(INDIRECT(CONCATENATE($FK$12,Fixtures!HU$25))=Fixtures!$DN64,CONCATENATE(HU$10,", "),""))</f>
        <v/>
      </c>
      <c r="HV64" s="713" t="str">
        <f ca="1">IF(INDIRECT(CONCATENATE($FK$12,Fixtures!HV$25))="","",IF(INDIRECT(CONCATENATE($FK$12,Fixtures!HV$25))=Fixtures!$DN64,CONCATENATE(HV$10,", "),""))</f>
        <v/>
      </c>
      <c r="HW64" s="713" t="str">
        <f ca="1">IF(INDIRECT(CONCATENATE($FK$12,Fixtures!HW$25))="","",IF(INDIRECT(CONCATENATE($FK$12,Fixtures!HW$25))=Fixtures!$DN64,CONCATENATE(HW$10,", "),""))</f>
        <v/>
      </c>
      <c r="HX64" s="713" t="str">
        <f ca="1">IF(INDIRECT(CONCATENATE($FK$12,Fixtures!HX$25))="","",IF(INDIRECT(CONCATENATE($FK$12,Fixtures!HX$25))=Fixtures!$DN64,CONCATENATE(HX$10,", "),""))</f>
        <v/>
      </c>
      <c r="HY64" s="713" t="str">
        <f ca="1">IF(INDIRECT(CONCATENATE($FK$12,Fixtures!HY$25))="","",IF(INDIRECT(CONCATENATE($FK$12,Fixtures!HY$25))=Fixtures!$DN64,CONCATENATE(HY$10,", "),""))</f>
        <v/>
      </c>
      <c r="HZ64" s="713" t="str">
        <f ca="1">IF(INDIRECT(CONCATENATE($FK$12,Fixtures!HZ$25))="","",IF(INDIRECT(CONCATENATE($FK$12,Fixtures!HZ$25))=Fixtures!$DN64,CONCATENATE(HZ$10,", "),""))</f>
        <v/>
      </c>
      <c r="IA64" s="713" t="str">
        <f ca="1">IF(INDIRECT(CONCATENATE($FK$12,Fixtures!IA$25))="","",IF(INDIRECT(CONCATENATE($FK$12,Fixtures!IA$25))=Fixtures!$DN64,CONCATENATE(IA$10,", "),""))</f>
        <v/>
      </c>
      <c r="IB64" s="684" t="str">
        <f ca="1">IF(INDIRECT(CONCATENATE($FK$12,Fixtures!IB$25))="","",IF(INDIRECT(CONCATENATE($FK$12,Fixtures!IB$25))=Fixtures!$DN64,CONCATENATE(IB$10,", "),""))</f>
        <v/>
      </c>
      <c r="IC64" s="685" t="str">
        <f ca="1">IF(INDIRECT(CONCATENATE($FK$12,Fixtures!IC$25))="","",IF(INDIRECT(CONCATENATE($FK$12,Fixtures!IC$25))=Fixtures!$DN64,CONCATENATE(IC$10,", "),""))</f>
        <v/>
      </c>
      <c r="ID64" s="713" t="str">
        <f ca="1">IF(INDIRECT(CONCATENATE($FK$12,Fixtures!ID$25))="","",IF(INDIRECT(CONCATENATE($FK$12,Fixtures!ID$25))=Fixtures!$DN64,CONCATENATE(ID$10,", "),""))</f>
        <v/>
      </c>
      <c r="IE64" s="713" t="str">
        <f ca="1">IF(INDIRECT(CONCATENATE($FK$12,Fixtures!IE$25))="","",IF(INDIRECT(CONCATENATE($FK$12,Fixtures!IE$25))=Fixtures!$DN64,CONCATENATE(IE$10,", "),""))</f>
        <v/>
      </c>
      <c r="IF64" s="713" t="str">
        <f ca="1">IF(INDIRECT(CONCATENATE($FK$12,Fixtures!IF$25))="","",IF(INDIRECT(CONCATENATE($FK$12,Fixtures!IF$25))=Fixtures!$DN64,CONCATENATE(IF$10,", "),""))</f>
        <v/>
      </c>
      <c r="IG64" s="713" t="str">
        <f ca="1">IF(INDIRECT(CONCATENATE($FK$12,Fixtures!IG$25))="","",IF(INDIRECT(CONCATENATE($FK$12,Fixtures!IG$25))=Fixtures!$DN64,CONCATENATE(IG$10,", "),""))</f>
        <v/>
      </c>
      <c r="IH64" s="713" t="str">
        <f ca="1">IF(INDIRECT(CONCATENATE($FK$12,Fixtures!IH$25))="","",IF(INDIRECT(CONCATENATE($FK$12,Fixtures!IH$25))=Fixtures!$DN64,CONCATENATE(IH$10,", "),""))</f>
        <v/>
      </c>
      <c r="II64" s="713" t="str">
        <f ca="1">IF(INDIRECT(CONCATENATE($FK$12,Fixtures!II$25))="","",IF(INDIRECT(CONCATENATE($FK$12,Fixtures!II$25))=Fixtures!$DN64,CONCATENATE(II$10,", "),""))</f>
        <v/>
      </c>
      <c r="IJ64" s="713" t="str">
        <f ca="1">IF(INDIRECT(CONCATENATE($FK$12,Fixtures!IJ$25))="","",IF(INDIRECT(CONCATENATE($FK$12,Fixtures!IJ$25))=Fixtures!$DN64,CONCATENATE(IJ$10,", "),""))</f>
        <v/>
      </c>
      <c r="IK64" s="713" t="str">
        <f ca="1">IF(INDIRECT(CONCATENATE($FK$12,Fixtures!IK$25))="","",IF(INDIRECT(CONCATENATE($FK$12,Fixtures!IK$25))=Fixtures!$DN64,CONCATENATE(IK$10,", "),""))</f>
        <v/>
      </c>
      <c r="IL64" s="713" t="str">
        <f ca="1">IF(INDIRECT(CONCATENATE($FK$12,Fixtures!IL$25))="","",IF(INDIRECT(CONCATENATE($FK$12,Fixtures!IL$25))=Fixtures!$DN64,CONCATENATE(IL$10,", "),""))</f>
        <v/>
      </c>
      <c r="IM64" s="713" t="str">
        <f ca="1">IF(INDIRECT(CONCATENATE($FK$12,Fixtures!IM$25))="","",IF(INDIRECT(CONCATENATE($FK$12,Fixtures!IM$25))=Fixtures!$DN64,CONCATENATE(IM$10,", "),""))</f>
        <v/>
      </c>
      <c r="IN64" s="713" t="str">
        <f ca="1">IF(INDIRECT(CONCATENATE($FK$12,Fixtures!IN$25))="","",IF(INDIRECT(CONCATENATE($FK$12,Fixtures!IN$25))=Fixtures!$DN64,CONCATENATE(IN$10,", "),""))</f>
        <v/>
      </c>
      <c r="IO64" s="713" t="str">
        <f ca="1">IF(INDIRECT(CONCATENATE($FK$12,Fixtures!IO$25))="","",IF(INDIRECT(CONCATENATE($FK$12,Fixtures!IO$25))=Fixtures!$DN64,CONCATENATE(IO$10,", "),""))</f>
        <v/>
      </c>
      <c r="IP64" s="713" t="str">
        <f ca="1">IF(INDIRECT(CONCATENATE($FK$12,Fixtures!IP$25))="","",IF(INDIRECT(CONCATENATE($FK$12,Fixtures!IP$25))=Fixtures!$DN64,CONCATENATE(IP$10,", "),""))</f>
        <v/>
      </c>
      <c r="IQ64" s="684" t="str">
        <f ca="1">IF(INDIRECT(CONCATENATE($FK$12,Fixtures!IQ$25))="","",IF(INDIRECT(CONCATENATE($FK$12,Fixtures!IQ$25))=Fixtures!$DN64,CONCATENATE(IQ$10,", "),""))</f>
        <v/>
      </c>
      <c r="IR64" s="685" t="str">
        <f ca="1">IF(INDIRECT(CONCATENATE($FK$12,Fixtures!IR$25))="","",IF(INDIRECT(CONCATENATE($FK$12,Fixtures!IR$25))=Fixtures!$DN64,CONCATENATE(IR$10,", "),""))</f>
        <v/>
      </c>
      <c r="IS64" s="713" t="str">
        <f ca="1">IF(INDIRECT(CONCATENATE($FK$12,Fixtures!IS$25))="","",IF(INDIRECT(CONCATENATE($FK$12,Fixtures!IS$25))=Fixtures!$DN64,CONCATENATE(IS$10,", "),""))</f>
        <v/>
      </c>
      <c r="IT64" s="713" t="str">
        <f ca="1">IF(INDIRECT(CONCATENATE($FK$12,Fixtures!IT$25))="","",IF(INDIRECT(CONCATENATE($FK$12,Fixtures!IT$25))=Fixtures!$DN64,CONCATENATE(IT$10,", "),""))</f>
        <v/>
      </c>
      <c r="IU64" s="713" t="str">
        <f ca="1">IF(INDIRECT(CONCATENATE($FK$12,Fixtures!IU$25))="","",IF(INDIRECT(CONCATENATE($FK$12,Fixtures!IU$25))=Fixtures!$DN64,CONCATENATE(IU$10,", "),""))</f>
        <v/>
      </c>
      <c r="IV64" s="713" t="str">
        <f ca="1">IF(INDIRECT(CONCATENATE($FK$12,Fixtures!IV$25))="","",IF(INDIRECT(CONCATENATE($FK$12,Fixtures!IV$25))=Fixtures!$DN64,CONCATENATE(IV$10,", "),""))</f>
        <v/>
      </c>
      <c r="IW64" s="713" t="str">
        <f ca="1">IF(INDIRECT(CONCATENATE($FK$12,Fixtures!IW$25))="","",IF(INDIRECT(CONCATENATE($FK$12,Fixtures!IW$25))=Fixtures!$DN64,CONCATENATE(IW$10,", "),""))</f>
        <v/>
      </c>
      <c r="IX64" s="713" t="str">
        <f ca="1">IF(INDIRECT(CONCATENATE($FK$12,Fixtures!IX$25))="","",IF(INDIRECT(CONCATENATE($FK$12,Fixtures!IX$25))=Fixtures!$DN64,CONCATENATE(IX$10,", "),""))</f>
        <v/>
      </c>
      <c r="IY64" s="713" t="str">
        <f ca="1">IF(INDIRECT(CONCATENATE($FK$12,Fixtures!IY$25))="","",IF(INDIRECT(CONCATENATE($FK$12,Fixtures!IY$25))=Fixtures!$DN64,CONCATENATE(IY$10,", "),""))</f>
        <v/>
      </c>
      <c r="IZ64" s="713" t="str">
        <f ca="1">IF(INDIRECT(CONCATENATE($FK$12,Fixtures!IZ$25))="","",IF(INDIRECT(CONCATENATE($FK$12,Fixtures!IZ$25))=Fixtures!$DN64,CONCATENATE(IZ$10,", "),""))</f>
        <v/>
      </c>
      <c r="JA64" s="713" t="str">
        <f ca="1">IF(INDIRECT(CONCATENATE($FK$12,Fixtures!JA$25))="","",IF(INDIRECT(CONCATENATE($FK$12,Fixtures!JA$25))=Fixtures!$DN64,CONCATENATE(JA$10,", "),""))</f>
        <v/>
      </c>
      <c r="JB64" s="713" t="str">
        <f ca="1">IF(INDIRECT(CONCATENATE($FK$12,Fixtures!JB$25))="","",IF(INDIRECT(CONCATENATE($FK$12,Fixtures!JB$25))=Fixtures!$DN64,CONCATENATE(JB$10,", "),""))</f>
        <v/>
      </c>
      <c r="JC64" s="713" t="str">
        <f ca="1">IF(INDIRECT(CONCATENATE($FK$12,Fixtures!JC$25))="","",IF(INDIRECT(CONCATENATE($FK$12,Fixtures!JC$25))=Fixtures!$DN64,CONCATENATE(JC$10,", "),""))</f>
        <v/>
      </c>
      <c r="JD64" s="713" t="str">
        <f ca="1">IF(INDIRECT(CONCATENATE($FK$12,Fixtures!JD$25))="","",IF(INDIRECT(CONCATENATE($FK$12,Fixtures!JD$25))=Fixtures!$DN64,CONCATENATE(JD$10,", "),""))</f>
        <v/>
      </c>
      <c r="JE64" s="713" t="str">
        <f ca="1">IF(INDIRECT(CONCATENATE($FK$12,Fixtures!JE$25))="","",IF(INDIRECT(CONCATENATE($FK$12,Fixtures!JE$25))=Fixtures!$DN64,CONCATENATE(JE$10,", "),""))</f>
        <v/>
      </c>
      <c r="JF64" s="684" t="str">
        <f ca="1">IF(INDIRECT(CONCATENATE($FK$12,Fixtures!JF$25))="","",IF(INDIRECT(CONCATENATE($FK$12,Fixtures!JF$25))=Fixtures!$DN64,CONCATENATE(JF$10,", "),""))</f>
        <v/>
      </c>
      <c r="JG64" s="685" t="str">
        <f ca="1">IF(INDIRECT(CONCATENATE($FK$12,Fixtures!JG$25))="","",IF(INDIRECT(CONCATENATE($FK$12,Fixtures!JG$25))=Fixtures!$DN64,CONCATENATE(JG$10,", "),""))</f>
        <v/>
      </c>
      <c r="JH64" s="713" t="str">
        <f ca="1">IF(INDIRECT(CONCATENATE($FK$12,Fixtures!JH$25))="","",IF(INDIRECT(CONCATENATE($FK$12,Fixtures!JH$25))=Fixtures!$DN64,CONCATENATE(JH$10,", "),""))</f>
        <v/>
      </c>
      <c r="JI64" s="713" t="str">
        <f ca="1">IF(INDIRECT(CONCATENATE($FK$12,Fixtures!JI$25))="","",IF(INDIRECT(CONCATENATE($FK$12,Fixtures!JI$25))=Fixtures!$DN64,CONCATENATE(JI$10,", "),""))</f>
        <v/>
      </c>
      <c r="JJ64" s="713" t="str">
        <f ca="1">IF(INDIRECT(CONCATENATE($FK$12,Fixtures!JJ$25))="","",IF(INDIRECT(CONCATENATE($FK$12,Fixtures!JJ$25))=Fixtures!$DN64,CONCATENATE(JJ$10,", "),""))</f>
        <v/>
      </c>
      <c r="JK64" s="713" t="str">
        <f ca="1">IF(INDIRECT(CONCATENATE($FK$12,Fixtures!JK$25))="","",IF(INDIRECT(CONCATENATE($FK$12,Fixtures!JK$25))=Fixtures!$DN64,CONCATENATE(JK$10,", "),""))</f>
        <v/>
      </c>
      <c r="JL64" s="713" t="str">
        <f ca="1">IF(INDIRECT(CONCATENATE($FK$12,Fixtures!JL$25))="","",IF(INDIRECT(CONCATENATE($FK$12,Fixtures!JL$25))=Fixtures!$DN64,CONCATENATE(JL$10,", "),""))</f>
        <v/>
      </c>
      <c r="JM64" s="713" t="str">
        <f ca="1">IF(INDIRECT(CONCATENATE($FK$12,Fixtures!JM$25))="","",IF(INDIRECT(CONCATENATE($FK$12,Fixtures!JM$25))=Fixtures!$DN64,CONCATENATE(JM$10,", "),""))</f>
        <v/>
      </c>
      <c r="JN64" s="713" t="str">
        <f ca="1">IF(INDIRECT(CONCATENATE($FK$12,Fixtures!JN$25))="","",IF(INDIRECT(CONCATENATE($FK$12,Fixtures!JN$25))=Fixtures!$DN64,CONCATENATE(JN$10,", "),""))</f>
        <v/>
      </c>
      <c r="JO64" s="713" t="str">
        <f ca="1">IF(INDIRECT(CONCATENATE($FK$12,Fixtures!JO$25))="","",IF(INDIRECT(CONCATENATE($FK$12,Fixtures!JO$25))=Fixtures!$DN64,CONCATENATE(JO$10,", "),""))</f>
        <v/>
      </c>
      <c r="JP64" s="713" t="str">
        <f ca="1">IF(INDIRECT(CONCATENATE($FK$12,Fixtures!JP$25))="","",IF(INDIRECT(CONCATENATE($FK$12,Fixtures!JP$25))=Fixtures!$DN64,CONCATENATE(JP$10,", "),""))</f>
        <v/>
      </c>
      <c r="JQ64" s="713" t="str">
        <f ca="1">IF(INDIRECT(CONCATENATE($FK$12,Fixtures!JQ$25))="","",IF(INDIRECT(CONCATENATE($FK$12,Fixtures!JQ$25))=Fixtures!$DN64,CONCATENATE(JQ$10,", "),""))</f>
        <v/>
      </c>
      <c r="JR64" s="713" t="str">
        <f ca="1">IF(INDIRECT(CONCATENATE($FK$12,Fixtures!JR$25))="","",IF(INDIRECT(CONCATENATE($FK$12,Fixtures!JR$25))=Fixtures!$DN64,CONCATENATE(JR$10,", "),""))</f>
        <v/>
      </c>
      <c r="JS64" s="713" t="str">
        <f ca="1">IF(INDIRECT(CONCATENATE($FK$12,Fixtures!JS$25))="","",IF(INDIRECT(CONCATENATE($FK$12,Fixtures!JS$25))=Fixtures!$DN64,CONCATENATE(JS$10,", "),""))</f>
        <v/>
      </c>
      <c r="JT64" s="713" t="str">
        <f ca="1">IF(INDIRECT(CONCATENATE($FK$12,Fixtures!JT$25))="","",IF(INDIRECT(CONCATENATE($FK$12,Fixtures!JT$25))=Fixtures!$DN64,CONCATENATE(JT$10,", "),""))</f>
        <v/>
      </c>
      <c r="JU64" s="684" t="str">
        <f ca="1">IF(INDIRECT(CONCATENATE($FK$12,Fixtures!JU$25))="","",IF(INDIRECT(CONCATENATE($FK$12,Fixtures!JU$25))=Fixtures!$DN64,CONCATENATE(JU$10,", "),""))</f>
        <v/>
      </c>
      <c r="JV64" s="685" t="str">
        <f ca="1">IF(INDIRECT(CONCATENATE($FK$12,Fixtures!JV$25))="","",IF(INDIRECT(CONCATENATE($FK$12,Fixtures!JV$25))=Fixtures!$DN64,CONCATENATE(JV$10,", "),""))</f>
        <v/>
      </c>
      <c r="JW64" s="713" t="str">
        <f ca="1">IF(INDIRECT(CONCATENATE($FK$12,Fixtures!JW$25))="","",IF(INDIRECT(CONCATENATE($FK$12,Fixtures!JW$25))=Fixtures!$DN64,CONCATENATE(JW$10,", "),""))</f>
        <v/>
      </c>
      <c r="JX64" s="713" t="str">
        <f ca="1">IF(INDIRECT(CONCATENATE($FK$12,Fixtures!JX$25))="","",IF(INDIRECT(CONCATENATE($FK$12,Fixtures!JX$25))=Fixtures!$DN64,CONCATENATE(JX$10,", "),""))</f>
        <v/>
      </c>
      <c r="JY64" s="713" t="str">
        <f ca="1">IF(INDIRECT(CONCATENATE($FK$12,Fixtures!JY$25))="","",IF(INDIRECT(CONCATENATE($FK$12,Fixtures!JY$25))=Fixtures!$DN64,CONCATENATE(JY$10,", "),""))</f>
        <v/>
      </c>
      <c r="JZ64" s="713" t="str">
        <f ca="1">IF(INDIRECT(CONCATENATE($FK$12,Fixtures!JZ$25))="","",IF(INDIRECT(CONCATENATE($FK$12,Fixtures!JZ$25))=Fixtures!$DN64,CONCATENATE(JZ$10,", "),""))</f>
        <v/>
      </c>
      <c r="KA64" s="713" t="str">
        <f ca="1">IF(INDIRECT(CONCATENATE($FK$12,Fixtures!KA$25))="","",IF(INDIRECT(CONCATENATE($FK$12,Fixtures!KA$25))=Fixtures!$DN64,CONCATENATE(KA$10,", "),""))</f>
        <v/>
      </c>
      <c r="KB64" s="713" t="str">
        <f ca="1">IF(INDIRECT(CONCATENATE($FK$12,Fixtures!KB$25))="","",IF(INDIRECT(CONCATENATE($FK$12,Fixtures!KB$25))=Fixtures!$DN64,CONCATENATE(KB$10,", "),""))</f>
        <v/>
      </c>
      <c r="KC64" s="713" t="str">
        <f ca="1">IF(INDIRECT(CONCATENATE($FK$12,Fixtures!KC$25))="","",IF(INDIRECT(CONCATENATE($FK$12,Fixtures!KC$25))=Fixtures!$DN64,CONCATENATE(KC$10,", "),""))</f>
        <v/>
      </c>
      <c r="KD64" s="713" t="str">
        <f ca="1">IF(INDIRECT(CONCATENATE($FK$12,Fixtures!KD$25))="","",IF(INDIRECT(CONCATENATE($FK$12,Fixtures!KD$25))=Fixtures!$DN64,CONCATENATE(KD$10,", "),""))</f>
        <v/>
      </c>
      <c r="KE64" s="713" t="str">
        <f ca="1">IF(INDIRECT(CONCATENATE($FK$12,Fixtures!KE$25))="","",IF(INDIRECT(CONCATENATE($FK$12,Fixtures!KE$25))=Fixtures!$DN64,CONCATENATE(KE$10,", "),""))</f>
        <v/>
      </c>
      <c r="KF64" s="713" t="str">
        <f ca="1">IF(INDIRECT(CONCATENATE($FK$12,Fixtures!KF$25))="","",IF(INDIRECT(CONCATENATE($FK$12,Fixtures!KF$25))=Fixtures!$DN64,CONCATENATE(KF$10,", "),""))</f>
        <v/>
      </c>
      <c r="KG64" s="713" t="str">
        <f ca="1">IF(INDIRECT(CONCATENATE($FK$12,Fixtures!KG$25))="","",IF(INDIRECT(CONCATENATE($FK$12,Fixtures!KG$25))=Fixtures!$DN64,CONCATENATE(KG$10,", "),""))</f>
        <v/>
      </c>
      <c r="KH64" s="713" t="str">
        <f ca="1">IF(INDIRECT(CONCATENATE($FK$12,Fixtures!KH$25))="","",IF(INDIRECT(CONCATENATE($FK$12,Fixtures!KH$25))=Fixtures!$DN64,CONCATENATE(KH$10,", "),""))</f>
        <v/>
      </c>
      <c r="KI64" s="713" t="str">
        <f ca="1">IF(INDIRECT(CONCATENATE($FK$12,Fixtures!KI$25))="","",IF(INDIRECT(CONCATENATE($FK$12,Fixtures!KI$25))=Fixtures!$DN64,CONCATENATE(KI$10,", "),""))</f>
        <v/>
      </c>
      <c r="KJ64" s="684" t="str">
        <f ca="1">IF(INDIRECT(CONCATENATE($FK$12,Fixtures!KJ$25))="","",IF(INDIRECT(CONCATENATE($FK$12,Fixtures!KJ$25))=Fixtures!$DN64,CONCATENATE(KJ$10,", "),""))</f>
        <v/>
      </c>
      <c r="KK64" s="685" t="str">
        <f ca="1">IF(INDIRECT(CONCATENATE($FK$12,Fixtures!KK$25))="","",IF(INDIRECT(CONCATENATE($FK$12,Fixtures!KK$25))=Fixtures!$DN64,CONCATENATE(KK$10,", "),""))</f>
        <v/>
      </c>
      <c r="KL64" s="713" t="str">
        <f ca="1">IF(INDIRECT(CONCATENATE($FK$12,Fixtures!KL$25))="","",IF(INDIRECT(CONCATENATE($FK$12,Fixtures!KL$25))=Fixtures!$DN64,CONCATENATE(KL$10,", "),""))</f>
        <v/>
      </c>
      <c r="KM64" s="713" t="str">
        <f ca="1">IF(INDIRECT(CONCATENATE($FK$12,Fixtures!KM$25))="","",IF(INDIRECT(CONCATENATE($FK$12,Fixtures!KM$25))=Fixtures!$DN64,CONCATENATE(KM$10,", "),""))</f>
        <v/>
      </c>
      <c r="KN64" s="713" t="str">
        <f ca="1">IF(INDIRECT(CONCATENATE($FK$12,Fixtures!KN$25))="","",IF(INDIRECT(CONCATENATE($FK$12,Fixtures!KN$25))=Fixtures!$DN64,CONCATENATE(KN$10,", "),""))</f>
        <v/>
      </c>
      <c r="KO64" s="713" t="str">
        <f ca="1">IF(INDIRECT(CONCATENATE($FK$12,Fixtures!KO$25))="","",IF(INDIRECT(CONCATENATE($FK$12,Fixtures!KO$25))=Fixtures!$DN64,CONCATENATE(KO$10,", "),""))</f>
        <v/>
      </c>
      <c r="KP64" s="713" t="str">
        <f ca="1">IF(INDIRECT(CONCATENATE($FK$12,Fixtures!KP$25))="","",IF(INDIRECT(CONCATENATE($FK$12,Fixtures!KP$25))=Fixtures!$DN64,CONCATENATE(KP$10,", "),""))</f>
        <v/>
      </c>
      <c r="KQ64" s="713" t="str">
        <f ca="1">IF(INDIRECT(CONCATENATE($FK$12,Fixtures!KQ$25))="","",IF(INDIRECT(CONCATENATE($FK$12,Fixtures!KQ$25))=Fixtures!$DN64,CONCATENATE(KQ$10,", "),""))</f>
        <v/>
      </c>
      <c r="KR64" s="713" t="str">
        <f ca="1">IF(INDIRECT(CONCATENATE($FK$12,Fixtures!KR$25))="","",IF(INDIRECT(CONCATENATE($FK$12,Fixtures!KR$25))=Fixtures!$DN64,CONCATENATE(KR$10,", "),""))</f>
        <v/>
      </c>
      <c r="KS64" s="713" t="str">
        <f ca="1">IF(INDIRECT(CONCATENATE($FK$12,Fixtures!KS$25))="","",IF(INDIRECT(CONCATENATE($FK$12,Fixtures!KS$25))=Fixtures!$DN64,CONCATENATE(KS$10,", "),""))</f>
        <v/>
      </c>
      <c r="KT64" s="713" t="str">
        <f ca="1">IF(INDIRECT(CONCATENATE($FK$12,Fixtures!KT$25))="","",IF(INDIRECT(CONCATENATE($FK$12,Fixtures!KT$25))=Fixtures!$DN64,CONCATENATE(KT$10,", "),""))</f>
        <v/>
      </c>
      <c r="KU64" s="713" t="str">
        <f ca="1">IF(INDIRECT(CONCATENATE($FK$12,Fixtures!KU$25))="","",IF(INDIRECT(CONCATENATE($FK$12,Fixtures!KU$25))=Fixtures!$DN64,CONCATENATE(KU$10,", "),""))</f>
        <v/>
      </c>
      <c r="KV64" s="713" t="str">
        <f ca="1">IF(INDIRECT(CONCATENATE($FK$12,Fixtures!KV$25))="","",IF(INDIRECT(CONCATENATE($FK$12,Fixtures!KV$25))=Fixtures!$DN64,CONCATENATE(KV$10,", "),""))</f>
        <v/>
      </c>
      <c r="KW64" s="713" t="str">
        <f ca="1">IF(INDIRECT(CONCATENATE($FK$12,Fixtures!KW$25))="","",IF(INDIRECT(CONCATENATE($FK$12,Fixtures!KW$25))=Fixtures!$DN64,CONCATENATE(KW$10,", "),""))</f>
        <v/>
      </c>
      <c r="KX64" s="713" t="str">
        <f ca="1">IF(INDIRECT(CONCATENATE($FK$12,Fixtures!KX$25))="","",IF(INDIRECT(CONCATENATE($FK$12,Fixtures!KX$25))=Fixtures!$DN64,CONCATENATE(KX$10,", "),""))</f>
        <v/>
      </c>
      <c r="KY64" s="713" t="str">
        <f ca="1">IF(INDIRECT(CONCATENATE($FK$12,Fixtures!KY$25))="","",IF(INDIRECT(CONCATENATE($FK$12,Fixtures!KY$25))=Fixtures!$DN64,CONCATENATE(KY$10,", "),""))</f>
        <v/>
      </c>
      <c r="KZ64" s="602"/>
      <c r="LA64" s="46" t="str">
        <f t="shared" ca="1" si="38"/>
        <v/>
      </c>
    </row>
    <row r="65" spans="1:313" ht="28.05" customHeight="1" thickTop="1" thickBot="1">
      <c r="A65" s="471" t="str">
        <f t="shared" si="13"/>
        <v/>
      </c>
      <c r="C65" s="1328" t="str">
        <f t="shared" si="14"/>
        <v/>
      </c>
      <c r="D65" s="1329"/>
      <c r="E65" s="1256" t="str">
        <f t="shared" si="15"/>
        <v/>
      </c>
      <c r="F65" s="1257"/>
      <c r="G65" s="1257"/>
      <c r="H65" s="1257"/>
      <c r="I65" s="1257"/>
      <c r="J65" s="1257"/>
      <c r="K65" s="1257"/>
      <c r="L65" s="1257"/>
      <c r="M65" s="1330"/>
      <c r="N65" s="239" t="str">
        <f t="shared" si="16"/>
        <v/>
      </c>
      <c r="O65" s="12"/>
      <c r="P65" s="1326" t="str">
        <f t="shared" si="25"/>
        <v/>
      </c>
      <c r="Q65" s="1327"/>
      <c r="R65" s="1256" t="str">
        <f t="shared" si="31"/>
        <v/>
      </c>
      <c r="S65" s="1257"/>
      <c r="T65" s="1257"/>
      <c r="U65" s="1257"/>
      <c r="V65" s="1257"/>
      <c r="W65" s="1257"/>
      <c r="X65" s="1257"/>
      <c r="Y65" s="239" t="str">
        <f t="shared" si="27"/>
        <v/>
      </c>
      <c r="Z65" s="239" t="str">
        <f t="shared" si="28"/>
        <v/>
      </c>
      <c r="AA65" s="439" t="str">
        <f t="shared" si="29"/>
        <v/>
      </c>
      <c r="AB65" s="542"/>
      <c r="AC65" s="1253" t="str">
        <f t="shared" si="17"/>
        <v/>
      </c>
      <c r="AD65" s="1166"/>
      <c r="AE65" s="1166"/>
      <c r="AF65" s="1166"/>
      <c r="AG65" s="1166"/>
      <c r="AH65" s="1166"/>
      <c r="AK65">
        <f>SUMIFS(Installations!CS$39:CS$800,Installations!CT$39:CT$800,E65,Installations!HX$39:HX$800,TRUE)</f>
        <v>0</v>
      </c>
      <c r="AL65">
        <f>SUMIFS(Installations!CS$39:CS$800,Installations!CT$39:CT$800,R65,Installations!HX$39:HX$800,TRUE)</f>
        <v>0</v>
      </c>
      <c r="BL65" s="9"/>
      <c r="BM65" s="703" t="str">
        <f t="shared" si="18"/>
        <v/>
      </c>
      <c r="BN65" s="52"/>
      <c r="BO65" s="52"/>
      <c r="BP65" s="52"/>
      <c r="BQ65" s="52"/>
      <c r="BR65" s="52"/>
      <c r="BS65" s="52"/>
      <c r="BT65" s="52"/>
      <c r="BU65" s="414"/>
      <c r="BV65" s="255" t="str">
        <f>IF(CN65&lt;&gt;"Yes","",IFERROR(VLOOKUP(CU65,Existing!A$4:F$364,2,FALSE),""))</f>
        <v/>
      </c>
      <c r="BW65" s="9">
        <v>39</v>
      </c>
      <c r="BX65" s="1313"/>
      <c r="BY65" s="1314"/>
      <c r="BZ65" s="1314"/>
      <c r="CA65" s="1315"/>
      <c r="CB65" s="1310"/>
      <c r="CC65" s="1311"/>
      <c r="CD65" s="1311"/>
      <c r="CE65" s="1312"/>
      <c r="CF65" s="1309"/>
      <c r="CG65" s="1309"/>
      <c r="CH65" s="1309"/>
      <c r="CI65" s="1309"/>
      <c r="CJ65" s="1309"/>
      <c r="CK65" s="1309"/>
      <c r="CL65" s="1309"/>
      <c r="CM65" s="1309"/>
      <c r="CN65" s="1243" t="str">
        <f t="shared" si="32"/>
        <v/>
      </c>
      <c r="CO65" s="1244"/>
      <c r="CP65" s="265" t="str">
        <f>IFERROR(IF(CB65="Existing TLED",CR65*CW65*CY65,VLOOKUP(CU65,Existing!A$3:F$353,6,FALSE)),"")</f>
        <v/>
      </c>
      <c r="CQ65" s="9"/>
      <c r="CR65" s="1343"/>
      <c r="CS65" s="1344"/>
      <c r="CT65" s="9"/>
      <c r="CU65" s="470" t="str">
        <f t="shared" si="21"/>
        <v/>
      </c>
      <c r="CV65" s="471" t="b">
        <f t="shared" si="22"/>
        <v>0</v>
      </c>
      <c r="CW65" s="471" t="str">
        <f t="shared" si="23"/>
        <v/>
      </c>
      <c r="CX65" s="471">
        <f>IFERROR(VLOOKUP(CF65,Lookup!M$100:O$102,3,FALSE),0)</f>
        <v>0</v>
      </c>
      <c r="CY65" s="471">
        <f t="shared" si="9"/>
        <v>1.1100000000000001</v>
      </c>
      <c r="CZ65" s="707" t="b">
        <f t="shared" si="33"/>
        <v>0</v>
      </c>
      <c r="DA65" s="707" t="b">
        <f>IF(CF65&lt;&gt;"",IF(ISERROR(MATCH(CONCATENATE(CB65," - ",CF65),Existing!G$4:G$328,0))=TRUE,FALSE,TRUE),TRUE)</f>
        <v>1</v>
      </c>
      <c r="DB65" s="707" t="b">
        <f t="shared" si="34"/>
        <v>1</v>
      </c>
      <c r="DL65" s="9"/>
      <c r="DM65" s="708" t="s">
        <v>166</v>
      </c>
      <c r="DN65" s="416" t="str">
        <f t="shared" si="35"/>
        <v/>
      </c>
      <c r="DO65" s="52"/>
      <c r="DP65" s="52"/>
      <c r="DQ65" s="52"/>
      <c r="DR65" s="52"/>
      <c r="DS65" s="52"/>
      <c r="DT65" s="262"/>
      <c r="DU65" s="417"/>
      <c r="DV65" s="263" t="str">
        <f t="shared" si="36"/>
        <v/>
      </c>
      <c r="DW65" s="260">
        <v>39</v>
      </c>
      <c r="DX65" s="1306"/>
      <c r="DY65" s="1307"/>
      <c r="DZ65" s="1307"/>
      <c r="EA65" s="1308"/>
      <c r="EB65" s="1306"/>
      <c r="EC65" s="1307"/>
      <c r="ED65" s="1307"/>
      <c r="EE65" s="1308"/>
      <c r="EF65" s="1266"/>
      <c r="EG65" s="1267"/>
      <c r="EH65" s="1306"/>
      <c r="EI65" s="1307"/>
      <c r="EJ65" s="1307"/>
      <c r="EK65" s="1308"/>
      <c r="EL65" s="1263"/>
      <c r="EM65" s="1264"/>
      <c r="EN65" s="1264"/>
      <c r="EO65" s="1265"/>
      <c r="EP65" s="1266"/>
      <c r="EQ65" s="1267"/>
      <c r="ER65" s="1245"/>
      <c r="ES65" s="1246"/>
      <c r="ET65" s="1243" t="str">
        <f t="shared" si="5"/>
        <v/>
      </c>
      <c r="EU65" s="1244"/>
      <c r="EV65" s="1243" t="str">
        <f t="shared" si="30"/>
        <v/>
      </c>
      <c r="EW65" s="1244"/>
      <c r="EX65" s="438"/>
      <c r="EY65" s="261" t="str">
        <f t="shared" si="37"/>
        <v/>
      </c>
      <c r="EZ65" s="261" t="str">
        <f>IFERROR(VLOOKUP(EB65,Lookup!AM$3:AN$13,2,FALSE),"")</f>
        <v/>
      </c>
      <c r="FA65" s="471" t="b">
        <f>IFERROR(IF(VLOOKUP(EB65,Lookup!AM$6:AN$8,2,FALSE)&gt;3,TRUE,FALSE),FALSE)</f>
        <v>0</v>
      </c>
      <c r="FB65" s="471">
        <f t="shared" si="11"/>
        <v>1</v>
      </c>
      <c r="FC65" t="str">
        <f t="shared" ca="1" si="10"/>
        <v/>
      </c>
      <c r="FG65" t="str">
        <f t="shared" ca="1" si="12"/>
        <v/>
      </c>
      <c r="FI65" s="240" t="str">
        <f t="shared" ca="1" si="24"/>
        <v/>
      </c>
      <c r="FK65" s="712" t="str">
        <f ca="1">IF(INDIRECT(CONCATENATE($FK$12,Fixtures!FK$25))="","",IF(INDIRECT(CONCATENATE($FK$12,Fixtures!FK$25))=Fixtures!$DN65,CONCATENATE(FK$10,", "),""))</f>
        <v/>
      </c>
      <c r="FL65" s="712" t="str">
        <f ca="1">IF(INDIRECT(CONCATENATE($FK$12,Fixtures!FL$25))="","",IF(INDIRECT(CONCATENATE($FK$12,Fixtures!FL$25))=Fixtures!$DN65,CONCATENATE(FL$10,", "),""))</f>
        <v/>
      </c>
      <c r="FM65" s="712" t="str">
        <f ca="1">IF(INDIRECT(CONCATENATE($FK$12,Fixtures!FM$25))="","",IF(INDIRECT(CONCATENATE($FK$12,Fixtures!FM$25))=Fixtures!$DN65,CONCATENATE(FM$10,", "),""))</f>
        <v/>
      </c>
      <c r="FN65" s="712" t="str">
        <f ca="1">IF(INDIRECT(CONCATENATE($FK$12,Fixtures!FN$25))="","",IF(INDIRECT(CONCATENATE($FK$12,Fixtures!FN$25))=Fixtures!$DN65,CONCATENATE(FN$10,", "),""))</f>
        <v/>
      </c>
      <c r="FO65" s="712" t="str">
        <f ca="1">IF(INDIRECT(CONCATENATE($FK$12,Fixtures!FO$25))="","",IF(INDIRECT(CONCATENATE($FK$12,Fixtures!FO$25))=Fixtures!$DN65,CONCATENATE(FO$10,", "),""))</f>
        <v/>
      </c>
      <c r="FP65" s="712" t="str">
        <f ca="1">IF(INDIRECT(CONCATENATE($FK$12,Fixtures!FP$25))="","",IF(INDIRECT(CONCATENATE($FK$12,Fixtures!FP$25))=Fixtures!$DN65,CONCATENATE(FP$10,", "),""))</f>
        <v/>
      </c>
      <c r="FQ65" s="712" t="str">
        <f ca="1">IF(INDIRECT(CONCATENATE($FK$12,Fixtures!FQ$25))="","",IF(INDIRECT(CONCATENATE($FK$12,Fixtures!FQ$25))=Fixtures!$DN65,CONCATENATE(FQ$10,", "),""))</f>
        <v/>
      </c>
      <c r="FR65" s="712" t="str">
        <f ca="1">IF(INDIRECT(CONCATENATE($FK$12,Fixtures!FR$25))="","",IF(INDIRECT(CONCATENATE($FK$12,Fixtures!FR$25))=Fixtures!$DN65,CONCATENATE(FR$10,", "),""))</f>
        <v/>
      </c>
      <c r="FS65" s="712" t="str">
        <f ca="1">IF(INDIRECT(CONCATENATE($FK$12,Fixtures!FS$25))="","",IF(INDIRECT(CONCATENATE($FK$12,Fixtures!FS$25))=Fixtures!$DN65,CONCATENATE(FS$10,", "),""))</f>
        <v/>
      </c>
      <c r="FT65" s="682" t="str">
        <f ca="1">IF(INDIRECT(CONCATENATE($FK$12,Fixtures!FT$25))="","",IF(INDIRECT(CONCATENATE($FK$12,Fixtures!FT$25))=Fixtures!$DN65,CONCATENATE(FT$10,", "),""))</f>
        <v/>
      </c>
      <c r="FU65" s="683" t="str">
        <f ca="1">IF(INDIRECT(CONCATENATE($FK$12,Fixtures!FU$25))="","",IF(INDIRECT(CONCATENATE($FK$12,Fixtures!FU$25))=Fixtures!$DN65,CONCATENATE(FU$10,", "),""))</f>
        <v/>
      </c>
      <c r="FV65" s="712" t="str">
        <f ca="1">IF(INDIRECT(CONCATENATE($FK$12,Fixtures!FV$25))="","",IF(INDIRECT(CONCATENATE($FK$12,Fixtures!FV$25))=Fixtures!$DN65,CONCATENATE(FV$10,", "),""))</f>
        <v/>
      </c>
      <c r="FW65" s="713" t="str">
        <f ca="1">IF(INDIRECT(CONCATENATE($FK$12,Fixtures!FW$25))="","",IF(INDIRECT(CONCATENATE($FK$12,Fixtures!FW$25))=Fixtures!$DN65,CONCATENATE(FW$10,", "),""))</f>
        <v/>
      </c>
      <c r="FX65" s="713" t="str">
        <f ca="1">IF(INDIRECT(CONCATENATE($FK$12,Fixtures!FX$25))="","",IF(INDIRECT(CONCATENATE($FK$12,Fixtures!FX$25))=Fixtures!$DN65,CONCATENATE(FX$10,", "),""))</f>
        <v/>
      </c>
      <c r="FY65" s="713" t="str">
        <f ca="1">IF(INDIRECT(CONCATENATE($FK$12,Fixtures!FY$25))="","",IF(INDIRECT(CONCATENATE($FK$12,Fixtures!FY$25))=Fixtures!$DN65,CONCATENATE(FY$10,", "),""))</f>
        <v/>
      </c>
      <c r="FZ65" s="713" t="str">
        <f ca="1">IF(INDIRECT(CONCATENATE($FK$12,Fixtures!FZ$25))="","",IF(INDIRECT(CONCATENATE($FK$12,Fixtures!FZ$25))=Fixtures!$DN65,CONCATENATE(FZ$10,", "),""))</f>
        <v/>
      </c>
      <c r="GA65" s="713" t="str">
        <f ca="1">IF(INDIRECT(CONCATENATE($FK$12,Fixtures!GA$25))="","",IF(INDIRECT(CONCATENATE($FK$12,Fixtures!GA$25))=Fixtures!$DN65,CONCATENATE(GA$10,", "),""))</f>
        <v/>
      </c>
      <c r="GB65" s="713" t="str">
        <f ca="1">IF(INDIRECT(CONCATENATE($FK$12,Fixtures!GB$25))="","",IF(INDIRECT(CONCATENATE($FK$12,Fixtures!GB$25))=Fixtures!$DN65,CONCATENATE(GB$10,", "),""))</f>
        <v/>
      </c>
      <c r="GC65" s="713" t="str">
        <f ca="1">IF(INDIRECT(CONCATENATE($FK$12,Fixtures!GC$25))="","",IF(INDIRECT(CONCATENATE($FK$12,Fixtures!GC$25))=Fixtures!$DN65,CONCATENATE(GC$10,", "),""))</f>
        <v/>
      </c>
      <c r="GD65" s="713" t="str">
        <f ca="1">IF(INDIRECT(CONCATENATE($FK$12,Fixtures!GD$25))="","",IF(INDIRECT(CONCATENATE($FK$12,Fixtures!GD$25))=Fixtures!$DN65,CONCATENATE(GD$10,", "),""))</f>
        <v/>
      </c>
      <c r="GE65" s="713" t="str">
        <f ca="1">IF(INDIRECT(CONCATENATE($FK$12,Fixtures!GE$25))="","",IF(INDIRECT(CONCATENATE($FK$12,Fixtures!GE$25))=Fixtures!$DN65,CONCATENATE(GE$10,", "),""))</f>
        <v/>
      </c>
      <c r="GF65" s="713" t="str">
        <f ca="1">IF(INDIRECT(CONCATENATE($FK$12,Fixtures!GF$25))="","",IF(INDIRECT(CONCATENATE($FK$12,Fixtures!GF$25))=Fixtures!$DN65,CONCATENATE(GF$10,", "),""))</f>
        <v/>
      </c>
      <c r="GG65" s="713" t="str">
        <f ca="1">IF(INDIRECT(CONCATENATE($FK$12,Fixtures!GG$25))="","",IF(INDIRECT(CONCATENATE($FK$12,Fixtures!GG$25))=Fixtures!$DN65,CONCATENATE(GG$10,", "),""))</f>
        <v/>
      </c>
      <c r="GH65" s="713" t="str">
        <f ca="1">IF(INDIRECT(CONCATENATE($FK$12,Fixtures!GH$25))="","",IF(INDIRECT(CONCATENATE($FK$12,Fixtures!GH$25))=Fixtures!$DN65,CONCATENATE(GH$10,", "),""))</f>
        <v/>
      </c>
      <c r="GI65" s="684" t="str">
        <f ca="1">IF(INDIRECT(CONCATENATE($FK$12,Fixtures!GI$25))="","",IF(INDIRECT(CONCATENATE($FK$12,Fixtures!GI$25))=Fixtures!$DN65,CONCATENATE(GI$10,", "),""))</f>
        <v/>
      </c>
      <c r="GJ65" s="685" t="str">
        <f ca="1">IF(INDIRECT(CONCATENATE($FK$12,Fixtures!GJ$25))="","",IF(INDIRECT(CONCATENATE($FK$12,Fixtures!GJ$25))=Fixtures!$DN65,CONCATENATE(GJ$10,", "),""))</f>
        <v/>
      </c>
      <c r="GK65" s="713" t="str">
        <f ca="1">IF(INDIRECT(CONCATENATE($FK$12,Fixtures!GK$25))="","",IF(INDIRECT(CONCATENATE($FK$12,Fixtures!GK$25))=Fixtures!$DN65,CONCATENATE(GK$10,", "),""))</f>
        <v/>
      </c>
      <c r="GL65" s="713" t="str">
        <f ca="1">IF(INDIRECT(CONCATENATE($FK$12,Fixtures!GL$25))="","",IF(INDIRECT(CONCATENATE($FK$12,Fixtures!GL$25))=Fixtures!$DN65,CONCATENATE(GL$10,", "),""))</f>
        <v/>
      </c>
      <c r="GM65" s="713" t="str">
        <f ca="1">IF(INDIRECT(CONCATENATE($FK$12,Fixtures!GM$25))="","",IF(INDIRECT(CONCATENATE($FK$12,Fixtures!GM$25))=Fixtures!$DN65,CONCATENATE(GM$10,", "),""))</f>
        <v/>
      </c>
      <c r="GN65" s="713" t="str">
        <f ca="1">IF(INDIRECT(CONCATENATE($FK$12,Fixtures!GN$25))="","",IF(INDIRECT(CONCATENATE($FK$12,Fixtures!GN$25))=Fixtures!$DN65,CONCATENATE(GN$10,", "),""))</f>
        <v/>
      </c>
      <c r="GO65" s="713" t="str">
        <f ca="1">IF(INDIRECT(CONCATENATE($FK$12,Fixtures!GO$25))="","",IF(INDIRECT(CONCATENATE($FK$12,Fixtures!GO$25))=Fixtures!$DN65,CONCATENATE(GO$10,", "),""))</f>
        <v/>
      </c>
      <c r="GP65" s="713" t="str">
        <f ca="1">IF(INDIRECT(CONCATENATE($FK$12,Fixtures!GP$25))="","",IF(INDIRECT(CONCATENATE($FK$12,Fixtures!GP$25))=Fixtures!$DN65,CONCATENATE(GP$10,", "),""))</f>
        <v/>
      </c>
      <c r="GQ65" s="713" t="str">
        <f ca="1">IF(INDIRECT(CONCATENATE($FK$12,Fixtures!GQ$25))="","",IF(INDIRECT(CONCATENATE($FK$12,Fixtures!GQ$25))=Fixtures!$DN65,CONCATENATE(GQ$10,", "),""))</f>
        <v/>
      </c>
      <c r="GR65" s="713" t="str">
        <f ca="1">IF(INDIRECT(CONCATENATE($FK$12,Fixtures!GR$25))="","",IF(INDIRECT(CONCATENATE($FK$12,Fixtures!GR$25))=Fixtures!$DN65,CONCATENATE(GR$10,", "),""))</f>
        <v/>
      </c>
      <c r="GS65" s="713" t="str">
        <f ca="1">IF(INDIRECT(CONCATENATE($FK$12,Fixtures!GS$25))="","",IF(INDIRECT(CONCATENATE($FK$12,Fixtures!GS$25))=Fixtures!$DN65,CONCATENATE(GS$10,", "),""))</f>
        <v/>
      </c>
      <c r="GT65" s="713" t="str">
        <f ca="1">IF(INDIRECT(CONCATENATE($FK$12,Fixtures!GT$25))="","",IF(INDIRECT(CONCATENATE($FK$12,Fixtures!GT$25))=Fixtures!$DN65,CONCATENATE(GT$10,", "),""))</f>
        <v/>
      </c>
      <c r="GU65" s="713" t="str">
        <f ca="1">IF(INDIRECT(CONCATENATE($FK$12,Fixtures!GU$25))="","",IF(INDIRECT(CONCATENATE($FK$12,Fixtures!GU$25))=Fixtures!$DN65,CONCATENATE(GU$10,", "),""))</f>
        <v/>
      </c>
      <c r="GV65" s="713" t="str">
        <f ca="1">IF(INDIRECT(CONCATENATE($FK$12,Fixtures!GV$25))="","",IF(INDIRECT(CONCATENATE($FK$12,Fixtures!GV$25))=Fixtures!$DN65,CONCATENATE(GV$10,", "),""))</f>
        <v/>
      </c>
      <c r="GW65" s="713" t="str">
        <f ca="1">IF(INDIRECT(CONCATENATE($FK$12,Fixtures!GW$25))="","",IF(INDIRECT(CONCATENATE($FK$12,Fixtures!GW$25))=Fixtures!$DN65,CONCATENATE(GW$10,", "),""))</f>
        <v/>
      </c>
      <c r="GX65" s="684" t="str">
        <f ca="1">IF(INDIRECT(CONCATENATE($FK$12,Fixtures!GX$25))="","",IF(INDIRECT(CONCATENATE($FK$12,Fixtures!GX$25))=Fixtures!$DN65,CONCATENATE(GX$10,", "),""))</f>
        <v/>
      </c>
      <c r="GY65" s="685" t="str">
        <f ca="1">IF(INDIRECT(CONCATENATE($FK$12,Fixtures!GY$25))="","",IF(INDIRECT(CONCATENATE($FK$12,Fixtures!GY$25))=Fixtures!$DN65,CONCATENATE(GY$10,", "),""))</f>
        <v/>
      </c>
      <c r="GZ65" s="713" t="str">
        <f ca="1">IF(INDIRECT(CONCATENATE($FK$12,Fixtures!GZ$25))="","",IF(INDIRECT(CONCATENATE($FK$12,Fixtures!GZ$25))=Fixtures!$DN65,CONCATENATE(GZ$10,", "),""))</f>
        <v/>
      </c>
      <c r="HA65" s="713" t="str">
        <f ca="1">IF(INDIRECT(CONCATENATE($FK$12,Fixtures!HA$25))="","",IF(INDIRECT(CONCATENATE($FK$12,Fixtures!HA$25))=Fixtures!$DN65,CONCATENATE(HA$10,", "),""))</f>
        <v/>
      </c>
      <c r="HB65" s="713" t="str">
        <f ca="1">IF(INDIRECT(CONCATENATE($FK$12,Fixtures!HB$25))="","",IF(INDIRECT(CONCATENATE($FK$12,Fixtures!HB$25))=Fixtures!$DN65,CONCATENATE(HB$10,", "),""))</f>
        <v/>
      </c>
      <c r="HC65" s="713" t="str">
        <f ca="1">IF(INDIRECT(CONCATENATE($FK$12,Fixtures!HC$25))="","",IF(INDIRECT(CONCATENATE($FK$12,Fixtures!HC$25))=Fixtures!$DN65,CONCATENATE(HC$10,", "),""))</f>
        <v/>
      </c>
      <c r="HD65" s="713" t="str">
        <f ca="1">IF(INDIRECT(CONCATENATE($FK$12,Fixtures!HD$25))="","",IF(INDIRECT(CONCATENATE($FK$12,Fixtures!HD$25))=Fixtures!$DN65,CONCATENATE(HD$10,", "),""))</f>
        <v/>
      </c>
      <c r="HE65" s="713" t="str">
        <f ca="1">IF(INDIRECT(CONCATENATE($FK$12,Fixtures!HE$25))="","",IF(INDIRECT(CONCATENATE($FK$12,Fixtures!HE$25))=Fixtures!$DN65,CONCATENATE(HE$10,", "),""))</f>
        <v/>
      </c>
      <c r="HF65" s="713" t="str">
        <f ca="1">IF(INDIRECT(CONCATENATE($FK$12,Fixtures!HF$25))="","",IF(INDIRECT(CONCATENATE($FK$12,Fixtures!HF$25))=Fixtures!$DN65,CONCATENATE(HF$10,", "),""))</f>
        <v/>
      </c>
      <c r="HG65" s="713" t="str">
        <f ca="1">IF(INDIRECT(CONCATENATE($FK$12,Fixtures!HG$25))="","",IF(INDIRECT(CONCATENATE($FK$12,Fixtures!HG$25))=Fixtures!$DN65,CONCATENATE(HG$10,", "),""))</f>
        <v/>
      </c>
      <c r="HH65" s="713" t="str">
        <f ca="1">IF(INDIRECT(CONCATENATE($FK$12,Fixtures!HH$25))="","",IF(INDIRECT(CONCATENATE($FK$12,Fixtures!HH$25))=Fixtures!$DN65,CONCATENATE(HH$10,", "),""))</f>
        <v/>
      </c>
      <c r="HI65" s="713" t="str">
        <f ca="1">IF(INDIRECT(CONCATENATE($FK$12,Fixtures!HI$25))="","",IF(INDIRECT(CONCATENATE($FK$12,Fixtures!HI$25))=Fixtures!$DN65,CONCATENATE(HI$10,", "),""))</f>
        <v/>
      </c>
      <c r="HJ65" s="713" t="str">
        <f ca="1">IF(INDIRECT(CONCATENATE($FK$12,Fixtures!HJ$25))="","",IF(INDIRECT(CONCATENATE($FK$12,Fixtures!HJ$25))=Fixtures!$DN65,CONCATENATE(HJ$10,", "),""))</f>
        <v/>
      </c>
      <c r="HK65" s="713" t="str">
        <f ca="1">IF(INDIRECT(CONCATENATE($FK$12,Fixtures!HK$25))="","",IF(INDIRECT(CONCATENATE($FK$12,Fixtures!HK$25))=Fixtures!$DN65,CONCATENATE(HK$10,", "),""))</f>
        <v/>
      </c>
      <c r="HL65" s="713" t="str">
        <f ca="1">IF(INDIRECT(CONCATENATE($FK$12,Fixtures!HL$25))="","",IF(INDIRECT(CONCATENATE($FK$12,Fixtures!HL$25))=Fixtures!$DN65,CONCATENATE(HL$10,", "),""))</f>
        <v/>
      </c>
      <c r="HM65" s="684" t="str">
        <f ca="1">IF(INDIRECT(CONCATENATE($FK$12,Fixtures!HM$25))="","",IF(INDIRECT(CONCATENATE($FK$12,Fixtures!HM$25))=Fixtures!$DN65,CONCATENATE(HM$10,", "),""))</f>
        <v/>
      </c>
      <c r="HN65" s="685" t="str">
        <f ca="1">IF(INDIRECT(CONCATENATE($FK$12,Fixtures!HN$25))="","",IF(INDIRECT(CONCATENATE($FK$12,Fixtures!HN$25))=Fixtures!$DN65,CONCATENATE(HN$10,", "),""))</f>
        <v/>
      </c>
      <c r="HO65" s="713" t="str">
        <f ca="1">IF(INDIRECT(CONCATENATE($FK$12,Fixtures!HO$25))="","",IF(INDIRECT(CONCATENATE($FK$12,Fixtures!HO$25))=Fixtures!$DN65,CONCATENATE(HO$10,", "),""))</f>
        <v/>
      </c>
      <c r="HP65" s="713" t="str">
        <f ca="1">IF(INDIRECT(CONCATENATE($FK$12,Fixtures!HP$25))="","",IF(INDIRECT(CONCATENATE($FK$12,Fixtures!HP$25))=Fixtures!$DN65,CONCATENATE(HP$10,", "),""))</f>
        <v/>
      </c>
      <c r="HQ65" s="713" t="str">
        <f ca="1">IF(INDIRECT(CONCATENATE($FK$12,Fixtures!HQ$25))="","",IF(INDIRECT(CONCATENATE($FK$12,Fixtures!HQ$25))=Fixtures!$DN65,CONCATENATE(HQ$10,", "),""))</f>
        <v/>
      </c>
      <c r="HR65" s="713" t="str">
        <f ca="1">IF(INDIRECT(CONCATENATE($FK$12,Fixtures!HR$25))="","",IF(INDIRECT(CONCATENATE($FK$12,Fixtures!HR$25))=Fixtures!$DN65,CONCATENATE(HR$10,", "),""))</f>
        <v/>
      </c>
      <c r="HS65" s="713" t="str">
        <f ca="1">IF(INDIRECT(CONCATENATE($FK$12,Fixtures!HS$25))="","",IF(INDIRECT(CONCATENATE($FK$12,Fixtures!HS$25))=Fixtures!$DN65,CONCATENATE(HS$10,", "),""))</f>
        <v/>
      </c>
      <c r="HT65" s="713" t="str">
        <f ca="1">IF(INDIRECT(CONCATENATE($FK$12,Fixtures!HT$25))="","",IF(INDIRECT(CONCATENATE($FK$12,Fixtures!HT$25))=Fixtures!$DN65,CONCATENATE(HT$10,", "),""))</f>
        <v/>
      </c>
      <c r="HU65" s="713" t="str">
        <f ca="1">IF(INDIRECT(CONCATENATE($FK$12,Fixtures!HU$25))="","",IF(INDIRECT(CONCATENATE($FK$12,Fixtures!HU$25))=Fixtures!$DN65,CONCATENATE(HU$10,", "),""))</f>
        <v/>
      </c>
      <c r="HV65" s="713" t="str">
        <f ca="1">IF(INDIRECT(CONCATENATE($FK$12,Fixtures!HV$25))="","",IF(INDIRECT(CONCATENATE($FK$12,Fixtures!HV$25))=Fixtures!$DN65,CONCATENATE(HV$10,", "),""))</f>
        <v/>
      </c>
      <c r="HW65" s="713" t="str">
        <f ca="1">IF(INDIRECT(CONCATENATE($FK$12,Fixtures!HW$25))="","",IF(INDIRECT(CONCATENATE($FK$12,Fixtures!HW$25))=Fixtures!$DN65,CONCATENATE(HW$10,", "),""))</f>
        <v/>
      </c>
      <c r="HX65" s="713" t="str">
        <f ca="1">IF(INDIRECT(CONCATENATE($FK$12,Fixtures!HX$25))="","",IF(INDIRECT(CONCATENATE($FK$12,Fixtures!HX$25))=Fixtures!$DN65,CONCATENATE(HX$10,", "),""))</f>
        <v/>
      </c>
      <c r="HY65" s="713" t="str">
        <f ca="1">IF(INDIRECT(CONCATENATE($FK$12,Fixtures!HY$25))="","",IF(INDIRECT(CONCATENATE($FK$12,Fixtures!HY$25))=Fixtures!$DN65,CONCATENATE(HY$10,", "),""))</f>
        <v/>
      </c>
      <c r="HZ65" s="713" t="str">
        <f ca="1">IF(INDIRECT(CONCATENATE($FK$12,Fixtures!HZ$25))="","",IF(INDIRECT(CONCATENATE($FK$12,Fixtures!HZ$25))=Fixtures!$DN65,CONCATENATE(HZ$10,", "),""))</f>
        <v/>
      </c>
      <c r="IA65" s="713" t="str">
        <f ca="1">IF(INDIRECT(CONCATENATE($FK$12,Fixtures!IA$25))="","",IF(INDIRECT(CONCATENATE($FK$12,Fixtures!IA$25))=Fixtures!$DN65,CONCATENATE(IA$10,", "),""))</f>
        <v/>
      </c>
      <c r="IB65" s="684" t="str">
        <f ca="1">IF(INDIRECT(CONCATENATE($FK$12,Fixtures!IB$25))="","",IF(INDIRECT(CONCATENATE($FK$12,Fixtures!IB$25))=Fixtures!$DN65,CONCATENATE(IB$10,", "),""))</f>
        <v/>
      </c>
      <c r="IC65" s="685" t="str">
        <f ca="1">IF(INDIRECT(CONCATENATE($FK$12,Fixtures!IC$25))="","",IF(INDIRECT(CONCATENATE($FK$12,Fixtures!IC$25))=Fixtures!$DN65,CONCATENATE(IC$10,", "),""))</f>
        <v/>
      </c>
      <c r="ID65" s="713" t="str">
        <f ca="1">IF(INDIRECT(CONCATENATE($FK$12,Fixtures!ID$25))="","",IF(INDIRECT(CONCATENATE($FK$12,Fixtures!ID$25))=Fixtures!$DN65,CONCATENATE(ID$10,", "),""))</f>
        <v/>
      </c>
      <c r="IE65" s="713" t="str">
        <f ca="1">IF(INDIRECT(CONCATENATE($FK$12,Fixtures!IE$25))="","",IF(INDIRECT(CONCATENATE($FK$12,Fixtures!IE$25))=Fixtures!$DN65,CONCATENATE(IE$10,", "),""))</f>
        <v/>
      </c>
      <c r="IF65" s="713" t="str">
        <f ca="1">IF(INDIRECT(CONCATENATE($FK$12,Fixtures!IF$25))="","",IF(INDIRECT(CONCATENATE($FK$12,Fixtures!IF$25))=Fixtures!$DN65,CONCATENATE(IF$10,", "),""))</f>
        <v/>
      </c>
      <c r="IG65" s="713" t="str">
        <f ca="1">IF(INDIRECT(CONCATENATE($FK$12,Fixtures!IG$25))="","",IF(INDIRECT(CONCATENATE($FK$12,Fixtures!IG$25))=Fixtures!$DN65,CONCATENATE(IG$10,", "),""))</f>
        <v/>
      </c>
      <c r="IH65" s="713" t="str">
        <f ca="1">IF(INDIRECT(CONCATENATE($FK$12,Fixtures!IH$25))="","",IF(INDIRECT(CONCATENATE($FK$12,Fixtures!IH$25))=Fixtures!$DN65,CONCATENATE(IH$10,", "),""))</f>
        <v/>
      </c>
      <c r="II65" s="713" t="str">
        <f ca="1">IF(INDIRECT(CONCATENATE($FK$12,Fixtures!II$25))="","",IF(INDIRECT(CONCATENATE($FK$12,Fixtures!II$25))=Fixtures!$DN65,CONCATENATE(II$10,", "),""))</f>
        <v/>
      </c>
      <c r="IJ65" s="713" t="str">
        <f ca="1">IF(INDIRECT(CONCATENATE($FK$12,Fixtures!IJ$25))="","",IF(INDIRECT(CONCATENATE($FK$12,Fixtures!IJ$25))=Fixtures!$DN65,CONCATENATE(IJ$10,", "),""))</f>
        <v/>
      </c>
      <c r="IK65" s="713" t="str">
        <f ca="1">IF(INDIRECT(CONCATENATE($FK$12,Fixtures!IK$25))="","",IF(INDIRECT(CONCATENATE($FK$12,Fixtures!IK$25))=Fixtures!$DN65,CONCATENATE(IK$10,", "),""))</f>
        <v/>
      </c>
      <c r="IL65" s="713" t="str">
        <f ca="1">IF(INDIRECT(CONCATENATE($FK$12,Fixtures!IL$25))="","",IF(INDIRECT(CONCATENATE($FK$12,Fixtures!IL$25))=Fixtures!$DN65,CONCATENATE(IL$10,", "),""))</f>
        <v/>
      </c>
      <c r="IM65" s="713" t="str">
        <f ca="1">IF(INDIRECT(CONCATENATE($FK$12,Fixtures!IM$25))="","",IF(INDIRECT(CONCATENATE($FK$12,Fixtures!IM$25))=Fixtures!$DN65,CONCATENATE(IM$10,", "),""))</f>
        <v/>
      </c>
      <c r="IN65" s="713" t="str">
        <f ca="1">IF(INDIRECT(CONCATENATE($FK$12,Fixtures!IN$25))="","",IF(INDIRECT(CONCATENATE($FK$12,Fixtures!IN$25))=Fixtures!$DN65,CONCATENATE(IN$10,", "),""))</f>
        <v/>
      </c>
      <c r="IO65" s="713" t="str">
        <f ca="1">IF(INDIRECT(CONCATENATE($FK$12,Fixtures!IO$25))="","",IF(INDIRECT(CONCATENATE($FK$12,Fixtures!IO$25))=Fixtures!$DN65,CONCATENATE(IO$10,", "),""))</f>
        <v/>
      </c>
      <c r="IP65" s="713" t="str">
        <f ca="1">IF(INDIRECT(CONCATENATE($FK$12,Fixtures!IP$25))="","",IF(INDIRECT(CONCATENATE($FK$12,Fixtures!IP$25))=Fixtures!$DN65,CONCATENATE(IP$10,", "),""))</f>
        <v/>
      </c>
      <c r="IQ65" s="684" t="str">
        <f ca="1">IF(INDIRECT(CONCATENATE($FK$12,Fixtures!IQ$25))="","",IF(INDIRECT(CONCATENATE($FK$12,Fixtures!IQ$25))=Fixtures!$DN65,CONCATENATE(IQ$10,", "),""))</f>
        <v/>
      </c>
      <c r="IR65" s="685" t="str">
        <f ca="1">IF(INDIRECT(CONCATENATE($FK$12,Fixtures!IR$25))="","",IF(INDIRECT(CONCATENATE($FK$12,Fixtures!IR$25))=Fixtures!$DN65,CONCATENATE(IR$10,", "),""))</f>
        <v/>
      </c>
      <c r="IS65" s="713" t="str">
        <f ca="1">IF(INDIRECT(CONCATENATE($FK$12,Fixtures!IS$25))="","",IF(INDIRECT(CONCATENATE($FK$12,Fixtures!IS$25))=Fixtures!$DN65,CONCATENATE(IS$10,", "),""))</f>
        <v/>
      </c>
      <c r="IT65" s="713" t="str">
        <f ca="1">IF(INDIRECT(CONCATENATE($FK$12,Fixtures!IT$25))="","",IF(INDIRECT(CONCATENATE($FK$12,Fixtures!IT$25))=Fixtures!$DN65,CONCATENATE(IT$10,", "),""))</f>
        <v/>
      </c>
      <c r="IU65" s="713" t="str">
        <f ca="1">IF(INDIRECT(CONCATENATE($FK$12,Fixtures!IU$25))="","",IF(INDIRECT(CONCATENATE($FK$12,Fixtures!IU$25))=Fixtures!$DN65,CONCATENATE(IU$10,", "),""))</f>
        <v/>
      </c>
      <c r="IV65" s="713" t="str">
        <f ca="1">IF(INDIRECT(CONCATENATE($FK$12,Fixtures!IV$25))="","",IF(INDIRECT(CONCATENATE($FK$12,Fixtures!IV$25))=Fixtures!$DN65,CONCATENATE(IV$10,", "),""))</f>
        <v/>
      </c>
      <c r="IW65" s="713" t="str">
        <f ca="1">IF(INDIRECT(CONCATENATE($FK$12,Fixtures!IW$25))="","",IF(INDIRECT(CONCATENATE($FK$12,Fixtures!IW$25))=Fixtures!$DN65,CONCATENATE(IW$10,", "),""))</f>
        <v/>
      </c>
      <c r="IX65" s="713" t="str">
        <f ca="1">IF(INDIRECT(CONCATENATE($FK$12,Fixtures!IX$25))="","",IF(INDIRECT(CONCATENATE($FK$12,Fixtures!IX$25))=Fixtures!$DN65,CONCATENATE(IX$10,", "),""))</f>
        <v/>
      </c>
      <c r="IY65" s="713" t="str">
        <f ca="1">IF(INDIRECT(CONCATENATE($FK$12,Fixtures!IY$25))="","",IF(INDIRECT(CONCATENATE($FK$12,Fixtures!IY$25))=Fixtures!$DN65,CONCATENATE(IY$10,", "),""))</f>
        <v/>
      </c>
      <c r="IZ65" s="713" t="str">
        <f ca="1">IF(INDIRECT(CONCATENATE($FK$12,Fixtures!IZ$25))="","",IF(INDIRECT(CONCATENATE($FK$12,Fixtures!IZ$25))=Fixtures!$DN65,CONCATENATE(IZ$10,", "),""))</f>
        <v/>
      </c>
      <c r="JA65" s="713" t="str">
        <f ca="1">IF(INDIRECT(CONCATENATE($FK$12,Fixtures!JA$25))="","",IF(INDIRECT(CONCATENATE($FK$12,Fixtures!JA$25))=Fixtures!$DN65,CONCATENATE(JA$10,", "),""))</f>
        <v/>
      </c>
      <c r="JB65" s="713" t="str">
        <f ca="1">IF(INDIRECT(CONCATENATE($FK$12,Fixtures!JB$25))="","",IF(INDIRECT(CONCATENATE($FK$12,Fixtures!JB$25))=Fixtures!$DN65,CONCATENATE(JB$10,", "),""))</f>
        <v/>
      </c>
      <c r="JC65" s="713" t="str">
        <f ca="1">IF(INDIRECT(CONCATENATE($FK$12,Fixtures!JC$25))="","",IF(INDIRECT(CONCATENATE($FK$12,Fixtures!JC$25))=Fixtures!$DN65,CONCATENATE(JC$10,", "),""))</f>
        <v/>
      </c>
      <c r="JD65" s="713" t="str">
        <f ca="1">IF(INDIRECT(CONCATENATE($FK$12,Fixtures!JD$25))="","",IF(INDIRECT(CONCATENATE($FK$12,Fixtures!JD$25))=Fixtures!$DN65,CONCATENATE(JD$10,", "),""))</f>
        <v/>
      </c>
      <c r="JE65" s="713" t="str">
        <f ca="1">IF(INDIRECT(CONCATENATE($FK$12,Fixtures!JE$25))="","",IF(INDIRECT(CONCATENATE($FK$12,Fixtures!JE$25))=Fixtures!$DN65,CONCATENATE(JE$10,", "),""))</f>
        <v/>
      </c>
      <c r="JF65" s="684" t="str">
        <f ca="1">IF(INDIRECT(CONCATENATE($FK$12,Fixtures!JF$25))="","",IF(INDIRECT(CONCATENATE($FK$12,Fixtures!JF$25))=Fixtures!$DN65,CONCATENATE(JF$10,", "),""))</f>
        <v/>
      </c>
      <c r="JG65" s="685" t="str">
        <f ca="1">IF(INDIRECT(CONCATENATE($FK$12,Fixtures!JG$25))="","",IF(INDIRECT(CONCATENATE($FK$12,Fixtures!JG$25))=Fixtures!$DN65,CONCATENATE(JG$10,", "),""))</f>
        <v/>
      </c>
      <c r="JH65" s="713" t="str">
        <f ca="1">IF(INDIRECT(CONCATENATE($FK$12,Fixtures!JH$25))="","",IF(INDIRECT(CONCATENATE($FK$12,Fixtures!JH$25))=Fixtures!$DN65,CONCATENATE(JH$10,", "),""))</f>
        <v/>
      </c>
      <c r="JI65" s="713" t="str">
        <f ca="1">IF(INDIRECT(CONCATENATE($FK$12,Fixtures!JI$25))="","",IF(INDIRECT(CONCATENATE($FK$12,Fixtures!JI$25))=Fixtures!$DN65,CONCATENATE(JI$10,", "),""))</f>
        <v/>
      </c>
      <c r="JJ65" s="713" t="str">
        <f ca="1">IF(INDIRECT(CONCATENATE($FK$12,Fixtures!JJ$25))="","",IF(INDIRECT(CONCATENATE($FK$12,Fixtures!JJ$25))=Fixtures!$DN65,CONCATENATE(JJ$10,", "),""))</f>
        <v/>
      </c>
      <c r="JK65" s="713" t="str">
        <f ca="1">IF(INDIRECT(CONCATENATE($FK$12,Fixtures!JK$25))="","",IF(INDIRECT(CONCATENATE($FK$12,Fixtures!JK$25))=Fixtures!$DN65,CONCATENATE(JK$10,", "),""))</f>
        <v/>
      </c>
      <c r="JL65" s="713" t="str">
        <f ca="1">IF(INDIRECT(CONCATENATE($FK$12,Fixtures!JL$25))="","",IF(INDIRECT(CONCATENATE($FK$12,Fixtures!JL$25))=Fixtures!$DN65,CONCATENATE(JL$10,", "),""))</f>
        <v/>
      </c>
      <c r="JM65" s="713" t="str">
        <f ca="1">IF(INDIRECT(CONCATENATE($FK$12,Fixtures!JM$25))="","",IF(INDIRECT(CONCATENATE($FK$12,Fixtures!JM$25))=Fixtures!$DN65,CONCATENATE(JM$10,", "),""))</f>
        <v/>
      </c>
      <c r="JN65" s="713" t="str">
        <f ca="1">IF(INDIRECT(CONCATENATE($FK$12,Fixtures!JN$25))="","",IF(INDIRECT(CONCATENATE($FK$12,Fixtures!JN$25))=Fixtures!$DN65,CONCATENATE(JN$10,", "),""))</f>
        <v/>
      </c>
      <c r="JO65" s="713" t="str">
        <f ca="1">IF(INDIRECT(CONCATENATE($FK$12,Fixtures!JO$25))="","",IF(INDIRECT(CONCATENATE($FK$12,Fixtures!JO$25))=Fixtures!$DN65,CONCATENATE(JO$10,", "),""))</f>
        <v/>
      </c>
      <c r="JP65" s="713" t="str">
        <f ca="1">IF(INDIRECT(CONCATENATE($FK$12,Fixtures!JP$25))="","",IF(INDIRECT(CONCATENATE($FK$12,Fixtures!JP$25))=Fixtures!$DN65,CONCATENATE(JP$10,", "),""))</f>
        <v/>
      </c>
      <c r="JQ65" s="713" t="str">
        <f ca="1">IF(INDIRECT(CONCATENATE($FK$12,Fixtures!JQ$25))="","",IF(INDIRECT(CONCATENATE($FK$12,Fixtures!JQ$25))=Fixtures!$DN65,CONCATENATE(JQ$10,", "),""))</f>
        <v/>
      </c>
      <c r="JR65" s="713" t="str">
        <f ca="1">IF(INDIRECT(CONCATENATE($FK$12,Fixtures!JR$25))="","",IF(INDIRECT(CONCATENATE($FK$12,Fixtures!JR$25))=Fixtures!$DN65,CONCATENATE(JR$10,", "),""))</f>
        <v/>
      </c>
      <c r="JS65" s="713" t="str">
        <f ca="1">IF(INDIRECT(CONCATENATE($FK$12,Fixtures!JS$25))="","",IF(INDIRECT(CONCATENATE($FK$12,Fixtures!JS$25))=Fixtures!$DN65,CONCATENATE(JS$10,", "),""))</f>
        <v/>
      </c>
      <c r="JT65" s="713" t="str">
        <f ca="1">IF(INDIRECT(CONCATENATE($FK$12,Fixtures!JT$25))="","",IF(INDIRECT(CONCATENATE($FK$12,Fixtures!JT$25))=Fixtures!$DN65,CONCATENATE(JT$10,", "),""))</f>
        <v/>
      </c>
      <c r="JU65" s="684" t="str">
        <f ca="1">IF(INDIRECT(CONCATENATE($FK$12,Fixtures!JU$25))="","",IF(INDIRECT(CONCATENATE($FK$12,Fixtures!JU$25))=Fixtures!$DN65,CONCATENATE(JU$10,", "),""))</f>
        <v/>
      </c>
      <c r="JV65" s="685" t="str">
        <f ca="1">IF(INDIRECT(CONCATENATE($FK$12,Fixtures!JV$25))="","",IF(INDIRECT(CONCATENATE($FK$12,Fixtures!JV$25))=Fixtures!$DN65,CONCATENATE(JV$10,", "),""))</f>
        <v/>
      </c>
      <c r="JW65" s="713" t="str">
        <f ca="1">IF(INDIRECT(CONCATENATE($FK$12,Fixtures!JW$25))="","",IF(INDIRECT(CONCATENATE($FK$12,Fixtures!JW$25))=Fixtures!$DN65,CONCATENATE(JW$10,", "),""))</f>
        <v/>
      </c>
      <c r="JX65" s="713" t="str">
        <f ca="1">IF(INDIRECT(CONCATENATE($FK$12,Fixtures!JX$25))="","",IF(INDIRECT(CONCATENATE($FK$12,Fixtures!JX$25))=Fixtures!$DN65,CONCATENATE(JX$10,", "),""))</f>
        <v/>
      </c>
      <c r="JY65" s="713" t="str">
        <f ca="1">IF(INDIRECT(CONCATENATE($FK$12,Fixtures!JY$25))="","",IF(INDIRECT(CONCATENATE($FK$12,Fixtures!JY$25))=Fixtures!$DN65,CONCATENATE(JY$10,", "),""))</f>
        <v/>
      </c>
      <c r="JZ65" s="713" t="str">
        <f ca="1">IF(INDIRECT(CONCATENATE($FK$12,Fixtures!JZ$25))="","",IF(INDIRECT(CONCATENATE($FK$12,Fixtures!JZ$25))=Fixtures!$DN65,CONCATENATE(JZ$10,", "),""))</f>
        <v/>
      </c>
      <c r="KA65" s="713" t="str">
        <f ca="1">IF(INDIRECT(CONCATENATE($FK$12,Fixtures!KA$25))="","",IF(INDIRECT(CONCATENATE($FK$12,Fixtures!KA$25))=Fixtures!$DN65,CONCATENATE(KA$10,", "),""))</f>
        <v/>
      </c>
      <c r="KB65" s="713" t="str">
        <f ca="1">IF(INDIRECT(CONCATENATE($FK$12,Fixtures!KB$25))="","",IF(INDIRECT(CONCATENATE($FK$12,Fixtures!KB$25))=Fixtures!$DN65,CONCATENATE(KB$10,", "),""))</f>
        <v/>
      </c>
      <c r="KC65" s="713" t="str">
        <f ca="1">IF(INDIRECT(CONCATENATE($FK$12,Fixtures!KC$25))="","",IF(INDIRECT(CONCATENATE($FK$12,Fixtures!KC$25))=Fixtures!$DN65,CONCATENATE(KC$10,", "),""))</f>
        <v/>
      </c>
      <c r="KD65" s="713" t="str">
        <f ca="1">IF(INDIRECT(CONCATENATE($FK$12,Fixtures!KD$25))="","",IF(INDIRECT(CONCATENATE($FK$12,Fixtures!KD$25))=Fixtures!$DN65,CONCATENATE(KD$10,", "),""))</f>
        <v/>
      </c>
      <c r="KE65" s="713" t="str">
        <f ca="1">IF(INDIRECT(CONCATENATE($FK$12,Fixtures!KE$25))="","",IF(INDIRECT(CONCATENATE($FK$12,Fixtures!KE$25))=Fixtures!$DN65,CONCATENATE(KE$10,", "),""))</f>
        <v/>
      </c>
      <c r="KF65" s="713" t="str">
        <f ca="1">IF(INDIRECT(CONCATENATE($FK$12,Fixtures!KF$25))="","",IF(INDIRECT(CONCATENATE($FK$12,Fixtures!KF$25))=Fixtures!$DN65,CONCATENATE(KF$10,", "),""))</f>
        <v/>
      </c>
      <c r="KG65" s="713" t="str">
        <f ca="1">IF(INDIRECT(CONCATENATE($FK$12,Fixtures!KG$25))="","",IF(INDIRECT(CONCATENATE($FK$12,Fixtures!KG$25))=Fixtures!$DN65,CONCATENATE(KG$10,", "),""))</f>
        <v/>
      </c>
      <c r="KH65" s="713" t="str">
        <f ca="1">IF(INDIRECT(CONCATENATE($FK$12,Fixtures!KH$25))="","",IF(INDIRECT(CONCATENATE($FK$12,Fixtures!KH$25))=Fixtures!$DN65,CONCATENATE(KH$10,", "),""))</f>
        <v/>
      </c>
      <c r="KI65" s="713" t="str">
        <f ca="1">IF(INDIRECT(CONCATENATE($FK$12,Fixtures!KI$25))="","",IF(INDIRECT(CONCATENATE($FK$12,Fixtures!KI$25))=Fixtures!$DN65,CONCATENATE(KI$10,", "),""))</f>
        <v/>
      </c>
      <c r="KJ65" s="684" t="str">
        <f ca="1">IF(INDIRECT(CONCATENATE($FK$12,Fixtures!KJ$25))="","",IF(INDIRECT(CONCATENATE($FK$12,Fixtures!KJ$25))=Fixtures!$DN65,CONCATENATE(KJ$10,", "),""))</f>
        <v/>
      </c>
      <c r="KK65" s="685" t="str">
        <f ca="1">IF(INDIRECT(CONCATENATE($FK$12,Fixtures!KK$25))="","",IF(INDIRECT(CONCATENATE($FK$12,Fixtures!KK$25))=Fixtures!$DN65,CONCATENATE(KK$10,", "),""))</f>
        <v/>
      </c>
      <c r="KL65" s="713" t="str">
        <f ca="1">IF(INDIRECT(CONCATENATE($FK$12,Fixtures!KL$25))="","",IF(INDIRECT(CONCATENATE($FK$12,Fixtures!KL$25))=Fixtures!$DN65,CONCATENATE(KL$10,", "),""))</f>
        <v/>
      </c>
      <c r="KM65" s="713" t="str">
        <f ca="1">IF(INDIRECT(CONCATENATE($FK$12,Fixtures!KM$25))="","",IF(INDIRECT(CONCATENATE($FK$12,Fixtures!KM$25))=Fixtures!$DN65,CONCATENATE(KM$10,", "),""))</f>
        <v/>
      </c>
      <c r="KN65" s="713" t="str">
        <f ca="1">IF(INDIRECT(CONCATENATE($FK$12,Fixtures!KN$25))="","",IF(INDIRECT(CONCATENATE($FK$12,Fixtures!KN$25))=Fixtures!$DN65,CONCATENATE(KN$10,", "),""))</f>
        <v/>
      </c>
      <c r="KO65" s="713" t="str">
        <f ca="1">IF(INDIRECT(CONCATENATE($FK$12,Fixtures!KO$25))="","",IF(INDIRECT(CONCATENATE($FK$12,Fixtures!KO$25))=Fixtures!$DN65,CONCATENATE(KO$10,", "),""))</f>
        <v/>
      </c>
      <c r="KP65" s="713" t="str">
        <f ca="1">IF(INDIRECT(CONCATENATE($FK$12,Fixtures!KP$25))="","",IF(INDIRECT(CONCATENATE($FK$12,Fixtures!KP$25))=Fixtures!$DN65,CONCATENATE(KP$10,", "),""))</f>
        <v/>
      </c>
      <c r="KQ65" s="713" t="str">
        <f ca="1">IF(INDIRECT(CONCATENATE($FK$12,Fixtures!KQ$25))="","",IF(INDIRECT(CONCATENATE($FK$12,Fixtures!KQ$25))=Fixtures!$DN65,CONCATENATE(KQ$10,", "),""))</f>
        <v/>
      </c>
      <c r="KR65" s="713" t="str">
        <f ca="1">IF(INDIRECT(CONCATENATE($FK$12,Fixtures!KR$25))="","",IF(INDIRECT(CONCATENATE($FK$12,Fixtures!KR$25))=Fixtures!$DN65,CONCATENATE(KR$10,", "),""))</f>
        <v/>
      </c>
      <c r="KS65" s="713" t="str">
        <f ca="1">IF(INDIRECT(CONCATENATE($FK$12,Fixtures!KS$25))="","",IF(INDIRECT(CONCATENATE($FK$12,Fixtures!KS$25))=Fixtures!$DN65,CONCATENATE(KS$10,", "),""))</f>
        <v/>
      </c>
      <c r="KT65" s="713" t="str">
        <f ca="1">IF(INDIRECT(CONCATENATE($FK$12,Fixtures!KT$25))="","",IF(INDIRECT(CONCATENATE($FK$12,Fixtures!KT$25))=Fixtures!$DN65,CONCATENATE(KT$10,", "),""))</f>
        <v/>
      </c>
      <c r="KU65" s="713" t="str">
        <f ca="1">IF(INDIRECT(CONCATENATE($FK$12,Fixtures!KU$25))="","",IF(INDIRECT(CONCATENATE($FK$12,Fixtures!KU$25))=Fixtures!$DN65,CONCATENATE(KU$10,", "),""))</f>
        <v/>
      </c>
      <c r="KV65" s="713" t="str">
        <f ca="1">IF(INDIRECT(CONCATENATE($FK$12,Fixtures!KV$25))="","",IF(INDIRECT(CONCATENATE($FK$12,Fixtures!KV$25))=Fixtures!$DN65,CONCATENATE(KV$10,", "),""))</f>
        <v/>
      </c>
      <c r="KW65" s="713" t="str">
        <f ca="1">IF(INDIRECT(CONCATENATE($FK$12,Fixtures!KW$25))="","",IF(INDIRECT(CONCATENATE($FK$12,Fixtures!KW$25))=Fixtures!$DN65,CONCATENATE(KW$10,", "),""))</f>
        <v/>
      </c>
      <c r="KX65" s="713" t="str">
        <f ca="1">IF(INDIRECT(CONCATENATE($FK$12,Fixtures!KX$25))="","",IF(INDIRECT(CONCATENATE($FK$12,Fixtures!KX$25))=Fixtures!$DN65,CONCATENATE(KX$10,", "),""))</f>
        <v/>
      </c>
      <c r="KY65" s="713" t="str">
        <f ca="1">IF(INDIRECT(CONCATENATE($FK$12,Fixtures!KY$25))="","",IF(INDIRECT(CONCATENATE($FK$12,Fixtures!KY$25))=Fixtures!$DN65,CONCATENATE(KY$10,", "),""))</f>
        <v/>
      </c>
      <c r="KZ65" s="602"/>
      <c r="LA65" s="46" t="str">
        <f t="shared" ca="1" si="38"/>
        <v/>
      </c>
    </row>
    <row r="66" spans="1:313" ht="28.05" customHeight="1" thickTop="1" thickBot="1">
      <c r="A66" s="471" t="str">
        <f t="shared" si="13"/>
        <v/>
      </c>
      <c r="C66" s="1328" t="str">
        <f t="shared" si="14"/>
        <v/>
      </c>
      <c r="D66" s="1329"/>
      <c r="E66" s="1256" t="str">
        <f t="shared" si="15"/>
        <v/>
      </c>
      <c r="F66" s="1257"/>
      <c r="G66" s="1257"/>
      <c r="H66" s="1257"/>
      <c r="I66" s="1257"/>
      <c r="J66" s="1257"/>
      <c r="K66" s="1257"/>
      <c r="L66" s="1257"/>
      <c r="M66" s="1330"/>
      <c r="N66" s="239" t="str">
        <f t="shared" si="16"/>
        <v/>
      </c>
      <c r="O66" s="12"/>
      <c r="P66" s="1326" t="str">
        <f t="shared" si="25"/>
        <v/>
      </c>
      <c r="Q66" s="1327"/>
      <c r="R66" s="1256" t="str">
        <f t="shared" si="31"/>
        <v/>
      </c>
      <c r="S66" s="1257"/>
      <c r="T66" s="1257"/>
      <c r="U66" s="1257"/>
      <c r="V66" s="1257"/>
      <c r="W66" s="1257"/>
      <c r="X66" s="1257"/>
      <c r="Y66" s="239" t="str">
        <f t="shared" si="27"/>
        <v/>
      </c>
      <c r="Z66" s="239" t="str">
        <f t="shared" si="28"/>
        <v/>
      </c>
      <c r="AA66" s="439" t="str">
        <f t="shared" si="29"/>
        <v/>
      </c>
      <c r="AB66" s="542"/>
      <c r="AC66" s="1253" t="str">
        <f t="shared" si="17"/>
        <v/>
      </c>
      <c r="AD66" s="1166"/>
      <c r="AE66" s="1166"/>
      <c r="AF66" s="1166"/>
      <c r="AG66" s="1166"/>
      <c r="AH66" s="1166"/>
      <c r="AK66">
        <f>SUMIFS(Installations!CS$39:CS$800,Installations!CT$39:CT$800,E66,Installations!HX$39:HX$800,TRUE)</f>
        <v>0</v>
      </c>
      <c r="AL66">
        <f>SUMIFS(Installations!CS$39:CS$800,Installations!CT$39:CT$800,R66,Installations!HX$39:HX$800,TRUE)</f>
        <v>0</v>
      </c>
      <c r="BL66" s="9"/>
      <c r="BM66" s="703" t="str">
        <f t="shared" si="18"/>
        <v/>
      </c>
      <c r="BN66" s="52"/>
      <c r="BO66" s="52"/>
      <c r="BP66" s="52"/>
      <c r="BQ66" s="52"/>
      <c r="BR66" s="52"/>
      <c r="BS66" s="52"/>
      <c r="BT66" s="52"/>
      <c r="BU66" s="414"/>
      <c r="BV66" s="255" t="str">
        <f>IF(CN66&lt;&gt;"Yes","",IFERROR(VLOOKUP(CU66,Existing!A$4:F$364,2,FALSE),""))</f>
        <v/>
      </c>
      <c r="BW66" s="9">
        <v>40</v>
      </c>
      <c r="BX66" s="1313"/>
      <c r="BY66" s="1314"/>
      <c r="BZ66" s="1314"/>
      <c r="CA66" s="1315"/>
      <c r="CB66" s="1310"/>
      <c r="CC66" s="1311"/>
      <c r="CD66" s="1311"/>
      <c r="CE66" s="1312"/>
      <c r="CF66" s="1309"/>
      <c r="CG66" s="1309"/>
      <c r="CH66" s="1309"/>
      <c r="CI66" s="1309"/>
      <c r="CJ66" s="1309"/>
      <c r="CK66" s="1309"/>
      <c r="CL66" s="1309"/>
      <c r="CM66" s="1309"/>
      <c r="CN66" s="1243" t="str">
        <f t="shared" si="32"/>
        <v/>
      </c>
      <c r="CO66" s="1244"/>
      <c r="CP66" s="265" t="str">
        <f>IFERROR(IF(CB66="Existing TLED",CR66*CW66*CY66,VLOOKUP(CU66,Existing!A$3:F$353,6,FALSE)),"")</f>
        <v/>
      </c>
      <c r="CQ66" s="9"/>
      <c r="CR66" s="1343"/>
      <c r="CS66" s="1344"/>
      <c r="CT66" s="9"/>
      <c r="CU66" s="470" t="str">
        <f t="shared" si="21"/>
        <v/>
      </c>
      <c r="CV66" s="471" t="b">
        <f t="shared" si="22"/>
        <v>0</v>
      </c>
      <c r="CW66" s="471" t="str">
        <f t="shared" si="23"/>
        <v/>
      </c>
      <c r="CX66" s="471">
        <f>IFERROR(VLOOKUP(CF66,Lookup!M$100:O$102,3,FALSE),0)</f>
        <v>0</v>
      </c>
      <c r="CY66" s="471">
        <f t="shared" si="9"/>
        <v>1.1100000000000001</v>
      </c>
      <c r="CZ66" s="707" t="b">
        <f t="shared" si="33"/>
        <v>0</v>
      </c>
      <c r="DA66" s="707" t="b">
        <f>IF(CF66&lt;&gt;"",IF(ISERROR(MATCH(CONCATENATE(CB66," - ",CF66),Existing!G$4:G$328,0))=TRUE,FALSE,TRUE),TRUE)</f>
        <v>1</v>
      </c>
      <c r="DB66" s="707" t="b">
        <f t="shared" si="34"/>
        <v>1</v>
      </c>
      <c r="DK66" s="48"/>
      <c r="DL66" s="9"/>
      <c r="DM66" s="708" t="s">
        <v>166</v>
      </c>
      <c r="DN66" s="416" t="str">
        <f t="shared" si="35"/>
        <v/>
      </c>
      <c r="DO66" s="52"/>
      <c r="DP66" s="52"/>
      <c r="DQ66" s="52"/>
      <c r="DR66" s="52"/>
      <c r="DS66" s="52"/>
      <c r="DT66" s="262"/>
      <c r="DU66" s="417"/>
      <c r="DV66" s="263" t="str">
        <f t="shared" si="36"/>
        <v/>
      </c>
      <c r="DW66" s="260">
        <v>40</v>
      </c>
      <c r="DX66" s="1306"/>
      <c r="DY66" s="1307"/>
      <c r="DZ66" s="1307"/>
      <c r="EA66" s="1308"/>
      <c r="EB66" s="1306"/>
      <c r="EC66" s="1307"/>
      <c r="ED66" s="1307"/>
      <c r="EE66" s="1308"/>
      <c r="EF66" s="1266"/>
      <c r="EG66" s="1267"/>
      <c r="EH66" s="1306"/>
      <c r="EI66" s="1307"/>
      <c r="EJ66" s="1307"/>
      <c r="EK66" s="1308"/>
      <c r="EL66" s="1263"/>
      <c r="EM66" s="1264"/>
      <c r="EN66" s="1264"/>
      <c r="EO66" s="1265"/>
      <c r="EP66" s="1266"/>
      <c r="EQ66" s="1267"/>
      <c r="ER66" s="1245"/>
      <c r="ES66" s="1246"/>
      <c r="ET66" s="1243" t="str">
        <f t="shared" si="5"/>
        <v/>
      </c>
      <c r="EU66" s="1244"/>
      <c r="EV66" s="1243" t="str">
        <f t="shared" si="30"/>
        <v/>
      </c>
      <c r="EW66" s="1244"/>
      <c r="EX66" s="438"/>
      <c r="EY66" s="261" t="str">
        <f t="shared" si="37"/>
        <v/>
      </c>
      <c r="EZ66" s="261" t="str">
        <f>IFERROR(VLOOKUP(EB66,Lookup!AM$3:AN$13,2,FALSE),"")</f>
        <v/>
      </c>
      <c r="FA66" s="471" t="b">
        <f>IFERROR(IF(VLOOKUP(EB66,Lookup!AM$6:AN$8,2,FALSE)&gt;3,TRUE,FALSE),FALSE)</f>
        <v>0</v>
      </c>
      <c r="FB66" s="471">
        <f t="shared" si="11"/>
        <v>1</v>
      </c>
      <c r="FC66" t="str">
        <f t="shared" ca="1" si="10"/>
        <v/>
      </c>
      <c r="FG66" t="str">
        <f t="shared" ca="1" si="12"/>
        <v/>
      </c>
      <c r="FI66" s="240" t="str">
        <f t="shared" ca="1" si="24"/>
        <v/>
      </c>
      <c r="FK66" s="712" t="str">
        <f ca="1">IF(INDIRECT(CONCATENATE($FK$12,Fixtures!FK$25))="","",IF(INDIRECT(CONCATENATE($FK$12,Fixtures!FK$25))=Fixtures!$DN66,CONCATENATE(FK$10,", "),""))</f>
        <v/>
      </c>
      <c r="FL66" s="712" t="str">
        <f ca="1">IF(INDIRECT(CONCATENATE($FK$12,Fixtures!FL$25))="","",IF(INDIRECT(CONCATENATE($FK$12,Fixtures!FL$25))=Fixtures!$DN66,CONCATENATE(FL$10,", "),""))</f>
        <v/>
      </c>
      <c r="FM66" s="712" t="str">
        <f ca="1">IF(INDIRECT(CONCATENATE($FK$12,Fixtures!FM$25))="","",IF(INDIRECT(CONCATENATE($FK$12,Fixtures!FM$25))=Fixtures!$DN66,CONCATENATE(FM$10,", "),""))</f>
        <v/>
      </c>
      <c r="FN66" s="712" t="str">
        <f ca="1">IF(INDIRECT(CONCATENATE($FK$12,Fixtures!FN$25))="","",IF(INDIRECT(CONCATENATE($FK$12,Fixtures!FN$25))=Fixtures!$DN66,CONCATENATE(FN$10,", "),""))</f>
        <v/>
      </c>
      <c r="FO66" s="712" t="str">
        <f ca="1">IF(INDIRECT(CONCATENATE($FK$12,Fixtures!FO$25))="","",IF(INDIRECT(CONCATENATE($FK$12,Fixtures!FO$25))=Fixtures!$DN66,CONCATENATE(FO$10,", "),""))</f>
        <v/>
      </c>
      <c r="FP66" s="712" t="str">
        <f ca="1">IF(INDIRECT(CONCATENATE($FK$12,Fixtures!FP$25))="","",IF(INDIRECT(CONCATENATE($FK$12,Fixtures!FP$25))=Fixtures!$DN66,CONCATENATE(FP$10,", "),""))</f>
        <v/>
      </c>
      <c r="FQ66" s="712" t="str">
        <f ca="1">IF(INDIRECT(CONCATENATE($FK$12,Fixtures!FQ$25))="","",IF(INDIRECT(CONCATENATE($FK$12,Fixtures!FQ$25))=Fixtures!$DN66,CONCATENATE(FQ$10,", "),""))</f>
        <v/>
      </c>
      <c r="FR66" s="712" t="str">
        <f ca="1">IF(INDIRECT(CONCATENATE($FK$12,Fixtures!FR$25))="","",IF(INDIRECT(CONCATENATE($FK$12,Fixtures!FR$25))=Fixtures!$DN66,CONCATENATE(FR$10,", "),""))</f>
        <v/>
      </c>
      <c r="FS66" s="712" t="str">
        <f ca="1">IF(INDIRECT(CONCATENATE($FK$12,Fixtures!FS$25))="","",IF(INDIRECT(CONCATENATE($FK$12,Fixtures!FS$25))=Fixtures!$DN66,CONCATENATE(FS$10,", "),""))</f>
        <v/>
      </c>
      <c r="FT66" s="682" t="str">
        <f ca="1">IF(INDIRECT(CONCATENATE($FK$12,Fixtures!FT$25))="","",IF(INDIRECT(CONCATENATE($FK$12,Fixtures!FT$25))=Fixtures!$DN66,CONCATENATE(FT$10,", "),""))</f>
        <v/>
      </c>
      <c r="FU66" s="683" t="str">
        <f ca="1">IF(INDIRECT(CONCATENATE($FK$12,Fixtures!FU$25))="","",IF(INDIRECT(CONCATENATE($FK$12,Fixtures!FU$25))=Fixtures!$DN66,CONCATENATE(FU$10,", "),""))</f>
        <v/>
      </c>
      <c r="FV66" s="712" t="str">
        <f ca="1">IF(INDIRECT(CONCATENATE($FK$12,Fixtures!FV$25))="","",IF(INDIRECT(CONCATENATE($FK$12,Fixtures!FV$25))=Fixtures!$DN66,CONCATENATE(FV$10,", "),""))</f>
        <v/>
      </c>
      <c r="FW66" s="713" t="str">
        <f ca="1">IF(INDIRECT(CONCATENATE($FK$12,Fixtures!FW$25))="","",IF(INDIRECT(CONCATENATE($FK$12,Fixtures!FW$25))=Fixtures!$DN66,CONCATENATE(FW$10,", "),""))</f>
        <v/>
      </c>
      <c r="FX66" s="713" t="str">
        <f ca="1">IF(INDIRECT(CONCATENATE($FK$12,Fixtures!FX$25))="","",IF(INDIRECT(CONCATENATE($FK$12,Fixtures!FX$25))=Fixtures!$DN66,CONCATENATE(FX$10,", "),""))</f>
        <v/>
      </c>
      <c r="FY66" s="713" t="str">
        <f ca="1">IF(INDIRECT(CONCATENATE($FK$12,Fixtures!FY$25))="","",IF(INDIRECT(CONCATENATE($FK$12,Fixtures!FY$25))=Fixtures!$DN66,CONCATENATE(FY$10,", "),""))</f>
        <v/>
      </c>
      <c r="FZ66" s="713" t="str">
        <f ca="1">IF(INDIRECT(CONCATENATE($FK$12,Fixtures!FZ$25))="","",IF(INDIRECT(CONCATENATE($FK$12,Fixtures!FZ$25))=Fixtures!$DN66,CONCATENATE(FZ$10,", "),""))</f>
        <v/>
      </c>
      <c r="GA66" s="713" t="str">
        <f ca="1">IF(INDIRECT(CONCATENATE($FK$12,Fixtures!GA$25))="","",IF(INDIRECT(CONCATENATE($FK$12,Fixtures!GA$25))=Fixtures!$DN66,CONCATENATE(GA$10,", "),""))</f>
        <v/>
      </c>
      <c r="GB66" s="713" t="str">
        <f ca="1">IF(INDIRECT(CONCATENATE($FK$12,Fixtures!GB$25))="","",IF(INDIRECT(CONCATENATE($FK$12,Fixtures!GB$25))=Fixtures!$DN66,CONCATENATE(GB$10,", "),""))</f>
        <v/>
      </c>
      <c r="GC66" s="713" t="str">
        <f ca="1">IF(INDIRECT(CONCATENATE($FK$12,Fixtures!GC$25))="","",IF(INDIRECT(CONCATENATE($FK$12,Fixtures!GC$25))=Fixtures!$DN66,CONCATENATE(GC$10,", "),""))</f>
        <v/>
      </c>
      <c r="GD66" s="713" t="str">
        <f ca="1">IF(INDIRECT(CONCATENATE($FK$12,Fixtures!GD$25))="","",IF(INDIRECT(CONCATENATE($FK$12,Fixtures!GD$25))=Fixtures!$DN66,CONCATENATE(GD$10,", "),""))</f>
        <v/>
      </c>
      <c r="GE66" s="713" t="str">
        <f ca="1">IF(INDIRECT(CONCATENATE($FK$12,Fixtures!GE$25))="","",IF(INDIRECT(CONCATENATE($FK$12,Fixtures!GE$25))=Fixtures!$DN66,CONCATENATE(GE$10,", "),""))</f>
        <v/>
      </c>
      <c r="GF66" s="713" t="str">
        <f ca="1">IF(INDIRECT(CONCATENATE($FK$12,Fixtures!GF$25))="","",IF(INDIRECT(CONCATENATE($FK$12,Fixtures!GF$25))=Fixtures!$DN66,CONCATENATE(GF$10,", "),""))</f>
        <v/>
      </c>
      <c r="GG66" s="713" t="str">
        <f ca="1">IF(INDIRECT(CONCATENATE($FK$12,Fixtures!GG$25))="","",IF(INDIRECT(CONCATENATE($FK$12,Fixtures!GG$25))=Fixtures!$DN66,CONCATENATE(GG$10,", "),""))</f>
        <v/>
      </c>
      <c r="GH66" s="713" t="str">
        <f ca="1">IF(INDIRECT(CONCATENATE($FK$12,Fixtures!GH$25))="","",IF(INDIRECT(CONCATENATE($FK$12,Fixtures!GH$25))=Fixtures!$DN66,CONCATENATE(GH$10,", "),""))</f>
        <v/>
      </c>
      <c r="GI66" s="684" t="str">
        <f ca="1">IF(INDIRECT(CONCATENATE($FK$12,Fixtures!GI$25))="","",IF(INDIRECT(CONCATENATE($FK$12,Fixtures!GI$25))=Fixtures!$DN66,CONCATENATE(GI$10,", "),""))</f>
        <v/>
      </c>
      <c r="GJ66" s="685" t="str">
        <f ca="1">IF(INDIRECT(CONCATENATE($FK$12,Fixtures!GJ$25))="","",IF(INDIRECT(CONCATENATE($FK$12,Fixtures!GJ$25))=Fixtures!$DN66,CONCATENATE(GJ$10,", "),""))</f>
        <v/>
      </c>
      <c r="GK66" s="713" t="str">
        <f ca="1">IF(INDIRECT(CONCATENATE($FK$12,Fixtures!GK$25))="","",IF(INDIRECT(CONCATENATE($FK$12,Fixtures!GK$25))=Fixtures!$DN66,CONCATENATE(GK$10,", "),""))</f>
        <v/>
      </c>
      <c r="GL66" s="713" t="str">
        <f ca="1">IF(INDIRECT(CONCATENATE($FK$12,Fixtures!GL$25))="","",IF(INDIRECT(CONCATENATE($FK$12,Fixtures!GL$25))=Fixtures!$DN66,CONCATENATE(GL$10,", "),""))</f>
        <v/>
      </c>
      <c r="GM66" s="713" t="str">
        <f ca="1">IF(INDIRECT(CONCATENATE($FK$12,Fixtures!GM$25))="","",IF(INDIRECT(CONCATENATE($FK$12,Fixtures!GM$25))=Fixtures!$DN66,CONCATENATE(GM$10,", "),""))</f>
        <v/>
      </c>
      <c r="GN66" s="713" t="str">
        <f ca="1">IF(INDIRECT(CONCATENATE($FK$12,Fixtures!GN$25))="","",IF(INDIRECT(CONCATENATE($FK$12,Fixtures!GN$25))=Fixtures!$DN66,CONCATENATE(GN$10,", "),""))</f>
        <v/>
      </c>
      <c r="GO66" s="713" t="str">
        <f ca="1">IF(INDIRECT(CONCATENATE($FK$12,Fixtures!GO$25))="","",IF(INDIRECT(CONCATENATE($FK$12,Fixtures!GO$25))=Fixtures!$DN66,CONCATENATE(GO$10,", "),""))</f>
        <v/>
      </c>
      <c r="GP66" s="713" t="str">
        <f ca="1">IF(INDIRECT(CONCATENATE($FK$12,Fixtures!GP$25))="","",IF(INDIRECT(CONCATENATE($FK$12,Fixtures!GP$25))=Fixtures!$DN66,CONCATENATE(GP$10,", "),""))</f>
        <v/>
      </c>
      <c r="GQ66" s="713" t="str">
        <f ca="1">IF(INDIRECT(CONCATENATE($FK$12,Fixtures!GQ$25))="","",IF(INDIRECT(CONCATENATE($FK$12,Fixtures!GQ$25))=Fixtures!$DN66,CONCATENATE(GQ$10,", "),""))</f>
        <v/>
      </c>
      <c r="GR66" s="713" t="str">
        <f ca="1">IF(INDIRECT(CONCATENATE($FK$12,Fixtures!GR$25))="","",IF(INDIRECT(CONCATENATE($FK$12,Fixtures!GR$25))=Fixtures!$DN66,CONCATENATE(GR$10,", "),""))</f>
        <v/>
      </c>
      <c r="GS66" s="713" t="str">
        <f ca="1">IF(INDIRECT(CONCATENATE($FK$12,Fixtures!GS$25))="","",IF(INDIRECT(CONCATENATE($FK$12,Fixtures!GS$25))=Fixtures!$DN66,CONCATENATE(GS$10,", "),""))</f>
        <v/>
      </c>
      <c r="GT66" s="713" t="str">
        <f ca="1">IF(INDIRECT(CONCATENATE($FK$12,Fixtures!GT$25))="","",IF(INDIRECT(CONCATENATE($FK$12,Fixtures!GT$25))=Fixtures!$DN66,CONCATENATE(GT$10,", "),""))</f>
        <v/>
      </c>
      <c r="GU66" s="713" t="str">
        <f ca="1">IF(INDIRECT(CONCATENATE($FK$12,Fixtures!GU$25))="","",IF(INDIRECT(CONCATENATE($FK$12,Fixtures!GU$25))=Fixtures!$DN66,CONCATENATE(GU$10,", "),""))</f>
        <v/>
      </c>
      <c r="GV66" s="713" t="str">
        <f ca="1">IF(INDIRECT(CONCATENATE($FK$12,Fixtures!GV$25))="","",IF(INDIRECT(CONCATENATE($FK$12,Fixtures!GV$25))=Fixtures!$DN66,CONCATENATE(GV$10,", "),""))</f>
        <v/>
      </c>
      <c r="GW66" s="713" t="str">
        <f ca="1">IF(INDIRECT(CONCATENATE($FK$12,Fixtures!GW$25))="","",IF(INDIRECT(CONCATENATE($FK$12,Fixtures!GW$25))=Fixtures!$DN66,CONCATENATE(GW$10,", "),""))</f>
        <v/>
      </c>
      <c r="GX66" s="684" t="str">
        <f ca="1">IF(INDIRECT(CONCATENATE($FK$12,Fixtures!GX$25))="","",IF(INDIRECT(CONCATENATE($FK$12,Fixtures!GX$25))=Fixtures!$DN66,CONCATENATE(GX$10,", "),""))</f>
        <v/>
      </c>
      <c r="GY66" s="685" t="str">
        <f ca="1">IF(INDIRECT(CONCATENATE($FK$12,Fixtures!GY$25))="","",IF(INDIRECT(CONCATENATE($FK$12,Fixtures!GY$25))=Fixtures!$DN66,CONCATENATE(GY$10,", "),""))</f>
        <v/>
      </c>
      <c r="GZ66" s="713" t="str">
        <f ca="1">IF(INDIRECT(CONCATENATE($FK$12,Fixtures!GZ$25))="","",IF(INDIRECT(CONCATENATE($FK$12,Fixtures!GZ$25))=Fixtures!$DN66,CONCATENATE(GZ$10,", "),""))</f>
        <v/>
      </c>
      <c r="HA66" s="713" t="str">
        <f ca="1">IF(INDIRECT(CONCATENATE($FK$12,Fixtures!HA$25))="","",IF(INDIRECT(CONCATENATE($FK$12,Fixtures!HA$25))=Fixtures!$DN66,CONCATENATE(HA$10,", "),""))</f>
        <v/>
      </c>
      <c r="HB66" s="713" t="str">
        <f ca="1">IF(INDIRECT(CONCATENATE($FK$12,Fixtures!HB$25))="","",IF(INDIRECT(CONCATENATE($FK$12,Fixtures!HB$25))=Fixtures!$DN66,CONCATENATE(HB$10,", "),""))</f>
        <v/>
      </c>
      <c r="HC66" s="713" t="str">
        <f ca="1">IF(INDIRECT(CONCATENATE($FK$12,Fixtures!HC$25))="","",IF(INDIRECT(CONCATENATE($FK$12,Fixtures!HC$25))=Fixtures!$DN66,CONCATENATE(HC$10,", "),""))</f>
        <v/>
      </c>
      <c r="HD66" s="713" t="str">
        <f ca="1">IF(INDIRECT(CONCATENATE($FK$12,Fixtures!HD$25))="","",IF(INDIRECT(CONCATENATE($FK$12,Fixtures!HD$25))=Fixtures!$DN66,CONCATENATE(HD$10,", "),""))</f>
        <v/>
      </c>
      <c r="HE66" s="713" t="str">
        <f ca="1">IF(INDIRECT(CONCATENATE($FK$12,Fixtures!HE$25))="","",IF(INDIRECT(CONCATENATE($FK$12,Fixtures!HE$25))=Fixtures!$DN66,CONCATENATE(HE$10,", "),""))</f>
        <v/>
      </c>
      <c r="HF66" s="713" t="str">
        <f ca="1">IF(INDIRECT(CONCATENATE($FK$12,Fixtures!HF$25))="","",IF(INDIRECT(CONCATENATE($FK$12,Fixtures!HF$25))=Fixtures!$DN66,CONCATENATE(HF$10,", "),""))</f>
        <v/>
      </c>
      <c r="HG66" s="713" t="str">
        <f ca="1">IF(INDIRECT(CONCATENATE($FK$12,Fixtures!HG$25))="","",IF(INDIRECT(CONCATENATE($FK$12,Fixtures!HG$25))=Fixtures!$DN66,CONCATENATE(HG$10,", "),""))</f>
        <v/>
      </c>
      <c r="HH66" s="713" t="str">
        <f ca="1">IF(INDIRECT(CONCATENATE($FK$12,Fixtures!HH$25))="","",IF(INDIRECT(CONCATENATE($FK$12,Fixtures!HH$25))=Fixtures!$DN66,CONCATENATE(HH$10,", "),""))</f>
        <v/>
      </c>
      <c r="HI66" s="713" t="str">
        <f ca="1">IF(INDIRECT(CONCATENATE($FK$12,Fixtures!HI$25))="","",IF(INDIRECT(CONCATENATE($FK$12,Fixtures!HI$25))=Fixtures!$DN66,CONCATENATE(HI$10,", "),""))</f>
        <v/>
      </c>
      <c r="HJ66" s="713" t="str">
        <f ca="1">IF(INDIRECT(CONCATENATE($FK$12,Fixtures!HJ$25))="","",IF(INDIRECT(CONCATENATE($FK$12,Fixtures!HJ$25))=Fixtures!$DN66,CONCATENATE(HJ$10,", "),""))</f>
        <v/>
      </c>
      <c r="HK66" s="713" t="str">
        <f ca="1">IF(INDIRECT(CONCATENATE($FK$12,Fixtures!HK$25))="","",IF(INDIRECT(CONCATENATE($FK$12,Fixtures!HK$25))=Fixtures!$DN66,CONCATENATE(HK$10,", "),""))</f>
        <v/>
      </c>
      <c r="HL66" s="713" t="str">
        <f ca="1">IF(INDIRECT(CONCATENATE($FK$12,Fixtures!HL$25))="","",IF(INDIRECT(CONCATENATE($FK$12,Fixtures!HL$25))=Fixtures!$DN66,CONCATENATE(HL$10,", "),""))</f>
        <v/>
      </c>
      <c r="HM66" s="684" t="str">
        <f ca="1">IF(INDIRECT(CONCATENATE($FK$12,Fixtures!HM$25))="","",IF(INDIRECT(CONCATENATE($FK$12,Fixtures!HM$25))=Fixtures!$DN66,CONCATENATE(HM$10,", "),""))</f>
        <v/>
      </c>
      <c r="HN66" s="685" t="str">
        <f ca="1">IF(INDIRECT(CONCATENATE($FK$12,Fixtures!HN$25))="","",IF(INDIRECT(CONCATENATE($FK$12,Fixtures!HN$25))=Fixtures!$DN66,CONCATENATE(HN$10,", "),""))</f>
        <v/>
      </c>
      <c r="HO66" s="713" t="str">
        <f ca="1">IF(INDIRECT(CONCATENATE($FK$12,Fixtures!HO$25))="","",IF(INDIRECT(CONCATENATE($FK$12,Fixtures!HO$25))=Fixtures!$DN66,CONCATENATE(HO$10,", "),""))</f>
        <v/>
      </c>
      <c r="HP66" s="713" t="str">
        <f ca="1">IF(INDIRECT(CONCATENATE($FK$12,Fixtures!HP$25))="","",IF(INDIRECT(CONCATENATE($FK$12,Fixtures!HP$25))=Fixtures!$DN66,CONCATENATE(HP$10,", "),""))</f>
        <v/>
      </c>
      <c r="HQ66" s="713" t="str">
        <f ca="1">IF(INDIRECT(CONCATENATE($FK$12,Fixtures!HQ$25))="","",IF(INDIRECT(CONCATENATE($FK$12,Fixtures!HQ$25))=Fixtures!$DN66,CONCATENATE(HQ$10,", "),""))</f>
        <v/>
      </c>
      <c r="HR66" s="713" t="str">
        <f ca="1">IF(INDIRECT(CONCATENATE($FK$12,Fixtures!HR$25))="","",IF(INDIRECT(CONCATENATE($FK$12,Fixtures!HR$25))=Fixtures!$DN66,CONCATENATE(HR$10,", "),""))</f>
        <v/>
      </c>
      <c r="HS66" s="713" t="str">
        <f ca="1">IF(INDIRECT(CONCATENATE($FK$12,Fixtures!HS$25))="","",IF(INDIRECT(CONCATENATE($FK$12,Fixtures!HS$25))=Fixtures!$DN66,CONCATENATE(HS$10,", "),""))</f>
        <v/>
      </c>
      <c r="HT66" s="713" t="str">
        <f ca="1">IF(INDIRECT(CONCATENATE($FK$12,Fixtures!HT$25))="","",IF(INDIRECT(CONCATENATE($FK$12,Fixtures!HT$25))=Fixtures!$DN66,CONCATENATE(HT$10,", "),""))</f>
        <v/>
      </c>
      <c r="HU66" s="713" t="str">
        <f ca="1">IF(INDIRECT(CONCATENATE($FK$12,Fixtures!HU$25))="","",IF(INDIRECT(CONCATENATE($FK$12,Fixtures!HU$25))=Fixtures!$DN66,CONCATENATE(HU$10,", "),""))</f>
        <v/>
      </c>
      <c r="HV66" s="713" t="str">
        <f ca="1">IF(INDIRECT(CONCATENATE($FK$12,Fixtures!HV$25))="","",IF(INDIRECT(CONCATENATE($FK$12,Fixtures!HV$25))=Fixtures!$DN66,CONCATENATE(HV$10,", "),""))</f>
        <v/>
      </c>
      <c r="HW66" s="713" t="str">
        <f ca="1">IF(INDIRECT(CONCATENATE($FK$12,Fixtures!HW$25))="","",IF(INDIRECT(CONCATENATE($FK$12,Fixtures!HW$25))=Fixtures!$DN66,CONCATENATE(HW$10,", "),""))</f>
        <v/>
      </c>
      <c r="HX66" s="713" t="str">
        <f ca="1">IF(INDIRECT(CONCATENATE($FK$12,Fixtures!HX$25))="","",IF(INDIRECT(CONCATENATE($FK$12,Fixtures!HX$25))=Fixtures!$DN66,CONCATENATE(HX$10,", "),""))</f>
        <v/>
      </c>
      <c r="HY66" s="713" t="str">
        <f ca="1">IF(INDIRECT(CONCATENATE($FK$12,Fixtures!HY$25))="","",IF(INDIRECT(CONCATENATE($FK$12,Fixtures!HY$25))=Fixtures!$DN66,CONCATENATE(HY$10,", "),""))</f>
        <v/>
      </c>
      <c r="HZ66" s="713" t="str">
        <f ca="1">IF(INDIRECT(CONCATENATE($FK$12,Fixtures!HZ$25))="","",IF(INDIRECT(CONCATENATE($FK$12,Fixtures!HZ$25))=Fixtures!$DN66,CONCATENATE(HZ$10,", "),""))</f>
        <v/>
      </c>
      <c r="IA66" s="713" t="str">
        <f ca="1">IF(INDIRECT(CONCATENATE($FK$12,Fixtures!IA$25))="","",IF(INDIRECT(CONCATENATE($FK$12,Fixtures!IA$25))=Fixtures!$DN66,CONCATENATE(IA$10,", "),""))</f>
        <v/>
      </c>
      <c r="IB66" s="684" t="str">
        <f ca="1">IF(INDIRECT(CONCATENATE($FK$12,Fixtures!IB$25))="","",IF(INDIRECT(CONCATENATE($FK$12,Fixtures!IB$25))=Fixtures!$DN66,CONCATENATE(IB$10,", "),""))</f>
        <v/>
      </c>
      <c r="IC66" s="685" t="str">
        <f ca="1">IF(INDIRECT(CONCATENATE($FK$12,Fixtures!IC$25))="","",IF(INDIRECT(CONCATENATE($FK$12,Fixtures!IC$25))=Fixtures!$DN66,CONCATENATE(IC$10,", "),""))</f>
        <v/>
      </c>
      <c r="ID66" s="713" t="str">
        <f ca="1">IF(INDIRECT(CONCATENATE($FK$12,Fixtures!ID$25))="","",IF(INDIRECT(CONCATENATE($FK$12,Fixtures!ID$25))=Fixtures!$DN66,CONCATENATE(ID$10,", "),""))</f>
        <v/>
      </c>
      <c r="IE66" s="713" t="str">
        <f ca="1">IF(INDIRECT(CONCATENATE($FK$12,Fixtures!IE$25))="","",IF(INDIRECT(CONCATENATE($FK$12,Fixtures!IE$25))=Fixtures!$DN66,CONCATENATE(IE$10,", "),""))</f>
        <v/>
      </c>
      <c r="IF66" s="713" t="str">
        <f ca="1">IF(INDIRECT(CONCATENATE($FK$12,Fixtures!IF$25))="","",IF(INDIRECT(CONCATENATE($FK$12,Fixtures!IF$25))=Fixtures!$DN66,CONCATENATE(IF$10,", "),""))</f>
        <v/>
      </c>
      <c r="IG66" s="713" t="str">
        <f ca="1">IF(INDIRECT(CONCATENATE($FK$12,Fixtures!IG$25))="","",IF(INDIRECT(CONCATENATE($FK$12,Fixtures!IG$25))=Fixtures!$DN66,CONCATENATE(IG$10,", "),""))</f>
        <v/>
      </c>
      <c r="IH66" s="713" t="str">
        <f ca="1">IF(INDIRECT(CONCATENATE($FK$12,Fixtures!IH$25))="","",IF(INDIRECT(CONCATENATE($FK$12,Fixtures!IH$25))=Fixtures!$DN66,CONCATENATE(IH$10,", "),""))</f>
        <v/>
      </c>
      <c r="II66" s="713" t="str">
        <f ca="1">IF(INDIRECT(CONCATENATE($FK$12,Fixtures!II$25))="","",IF(INDIRECT(CONCATENATE($FK$12,Fixtures!II$25))=Fixtures!$DN66,CONCATENATE(II$10,", "),""))</f>
        <v/>
      </c>
      <c r="IJ66" s="713" t="str">
        <f ca="1">IF(INDIRECT(CONCATENATE($FK$12,Fixtures!IJ$25))="","",IF(INDIRECT(CONCATENATE($FK$12,Fixtures!IJ$25))=Fixtures!$DN66,CONCATENATE(IJ$10,", "),""))</f>
        <v/>
      </c>
      <c r="IK66" s="713" t="str">
        <f ca="1">IF(INDIRECT(CONCATENATE($FK$12,Fixtures!IK$25))="","",IF(INDIRECT(CONCATENATE($FK$12,Fixtures!IK$25))=Fixtures!$DN66,CONCATENATE(IK$10,", "),""))</f>
        <v/>
      </c>
      <c r="IL66" s="713" t="str">
        <f ca="1">IF(INDIRECT(CONCATENATE($FK$12,Fixtures!IL$25))="","",IF(INDIRECT(CONCATENATE($FK$12,Fixtures!IL$25))=Fixtures!$DN66,CONCATENATE(IL$10,", "),""))</f>
        <v/>
      </c>
      <c r="IM66" s="713" t="str">
        <f ca="1">IF(INDIRECT(CONCATENATE($FK$12,Fixtures!IM$25))="","",IF(INDIRECT(CONCATENATE($FK$12,Fixtures!IM$25))=Fixtures!$DN66,CONCATENATE(IM$10,", "),""))</f>
        <v/>
      </c>
      <c r="IN66" s="713" t="str">
        <f ca="1">IF(INDIRECT(CONCATENATE($FK$12,Fixtures!IN$25))="","",IF(INDIRECT(CONCATENATE($FK$12,Fixtures!IN$25))=Fixtures!$DN66,CONCATENATE(IN$10,", "),""))</f>
        <v/>
      </c>
      <c r="IO66" s="713" t="str">
        <f ca="1">IF(INDIRECT(CONCATENATE($FK$12,Fixtures!IO$25))="","",IF(INDIRECT(CONCATENATE($FK$12,Fixtures!IO$25))=Fixtures!$DN66,CONCATENATE(IO$10,", "),""))</f>
        <v/>
      </c>
      <c r="IP66" s="713" t="str">
        <f ca="1">IF(INDIRECT(CONCATENATE($FK$12,Fixtures!IP$25))="","",IF(INDIRECT(CONCATENATE($FK$12,Fixtures!IP$25))=Fixtures!$DN66,CONCATENATE(IP$10,", "),""))</f>
        <v/>
      </c>
      <c r="IQ66" s="684" t="str">
        <f ca="1">IF(INDIRECT(CONCATENATE($FK$12,Fixtures!IQ$25))="","",IF(INDIRECT(CONCATENATE($FK$12,Fixtures!IQ$25))=Fixtures!$DN66,CONCATENATE(IQ$10,", "),""))</f>
        <v/>
      </c>
      <c r="IR66" s="685" t="str">
        <f ca="1">IF(INDIRECT(CONCATENATE($FK$12,Fixtures!IR$25))="","",IF(INDIRECT(CONCATENATE($FK$12,Fixtures!IR$25))=Fixtures!$DN66,CONCATENATE(IR$10,", "),""))</f>
        <v/>
      </c>
      <c r="IS66" s="713" t="str">
        <f ca="1">IF(INDIRECT(CONCATENATE($FK$12,Fixtures!IS$25))="","",IF(INDIRECT(CONCATENATE($FK$12,Fixtures!IS$25))=Fixtures!$DN66,CONCATENATE(IS$10,", "),""))</f>
        <v/>
      </c>
      <c r="IT66" s="713" t="str">
        <f ca="1">IF(INDIRECT(CONCATENATE($FK$12,Fixtures!IT$25))="","",IF(INDIRECT(CONCATENATE($FK$12,Fixtures!IT$25))=Fixtures!$DN66,CONCATENATE(IT$10,", "),""))</f>
        <v/>
      </c>
      <c r="IU66" s="713" t="str">
        <f ca="1">IF(INDIRECT(CONCATENATE($FK$12,Fixtures!IU$25))="","",IF(INDIRECT(CONCATENATE($FK$12,Fixtures!IU$25))=Fixtures!$DN66,CONCATENATE(IU$10,", "),""))</f>
        <v/>
      </c>
      <c r="IV66" s="713" t="str">
        <f ca="1">IF(INDIRECT(CONCATENATE($FK$12,Fixtures!IV$25))="","",IF(INDIRECT(CONCATENATE($FK$12,Fixtures!IV$25))=Fixtures!$DN66,CONCATENATE(IV$10,", "),""))</f>
        <v/>
      </c>
      <c r="IW66" s="713" t="str">
        <f ca="1">IF(INDIRECT(CONCATENATE($FK$12,Fixtures!IW$25))="","",IF(INDIRECT(CONCATENATE($FK$12,Fixtures!IW$25))=Fixtures!$DN66,CONCATENATE(IW$10,", "),""))</f>
        <v/>
      </c>
      <c r="IX66" s="713" t="str">
        <f ca="1">IF(INDIRECT(CONCATENATE($FK$12,Fixtures!IX$25))="","",IF(INDIRECT(CONCATENATE($FK$12,Fixtures!IX$25))=Fixtures!$DN66,CONCATENATE(IX$10,", "),""))</f>
        <v/>
      </c>
      <c r="IY66" s="713" t="str">
        <f ca="1">IF(INDIRECT(CONCATENATE($FK$12,Fixtures!IY$25))="","",IF(INDIRECT(CONCATENATE($FK$12,Fixtures!IY$25))=Fixtures!$DN66,CONCATENATE(IY$10,", "),""))</f>
        <v/>
      </c>
      <c r="IZ66" s="713" t="str">
        <f ca="1">IF(INDIRECT(CONCATENATE($FK$12,Fixtures!IZ$25))="","",IF(INDIRECT(CONCATENATE($FK$12,Fixtures!IZ$25))=Fixtures!$DN66,CONCATENATE(IZ$10,", "),""))</f>
        <v/>
      </c>
      <c r="JA66" s="713" t="str">
        <f ca="1">IF(INDIRECT(CONCATENATE($FK$12,Fixtures!JA$25))="","",IF(INDIRECT(CONCATENATE($FK$12,Fixtures!JA$25))=Fixtures!$DN66,CONCATENATE(JA$10,", "),""))</f>
        <v/>
      </c>
      <c r="JB66" s="713" t="str">
        <f ca="1">IF(INDIRECT(CONCATENATE($FK$12,Fixtures!JB$25))="","",IF(INDIRECT(CONCATENATE($FK$12,Fixtures!JB$25))=Fixtures!$DN66,CONCATENATE(JB$10,", "),""))</f>
        <v/>
      </c>
      <c r="JC66" s="713" t="str">
        <f ca="1">IF(INDIRECT(CONCATENATE($FK$12,Fixtures!JC$25))="","",IF(INDIRECT(CONCATENATE($FK$12,Fixtures!JC$25))=Fixtures!$DN66,CONCATENATE(JC$10,", "),""))</f>
        <v/>
      </c>
      <c r="JD66" s="713" t="str">
        <f ca="1">IF(INDIRECT(CONCATENATE($FK$12,Fixtures!JD$25))="","",IF(INDIRECT(CONCATENATE($FK$12,Fixtures!JD$25))=Fixtures!$DN66,CONCATENATE(JD$10,", "),""))</f>
        <v/>
      </c>
      <c r="JE66" s="713" t="str">
        <f ca="1">IF(INDIRECT(CONCATENATE($FK$12,Fixtures!JE$25))="","",IF(INDIRECT(CONCATENATE($FK$12,Fixtures!JE$25))=Fixtures!$DN66,CONCATENATE(JE$10,", "),""))</f>
        <v/>
      </c>
      <c r="JF66" s="684" t="str">
        <f ca="1">IF(INDIRECT(CONCATENATE($FK$12,Fixtures!JF$25))="","",IF(INDIRECT(CONCATENATE($FK$12,Fixtures!JF$25))=Fixtures!$DN66,CONCATENATE(JF$10,", "),""))</f>
        <v/>
      </c>
      <c r="JG66" s="685" t="str">
        <f ca="1">IF(INDIRECT(CONCATENATE($FK$12,Fixtures!JG$25))="","",IF(INDIRECT(CONCATENATE($FK$12,Fixtures!JG$25))=Fixtures!$DN66,CONCATENATE(JG$10,", "),""))</f>
        <v/>
      </c>
      <c r="JH66" s="713" t="str">
        <f ca="1">IF(INDIRECT(CONCATENATE($FK$12,Fixtures!JH$25))="","",IF(INDIRECT(CONCATENATE($FK$12,Fixtures!JH$25))=Fixtures!$DN66,CONCATENATE(JH$10,", "),""))</f>
        <v/>
      </c>
      <c r="JI66" s="713" t="str">
        <f ca="1">IF(INDIRECT(CONCATENATE($FK$12,Fixtures!JI$25))="","",IF(INDIRECT(CONCATENATE($FK$12,Fixtures!JI$25))=Fixtures!$DN66,CONCATENATE(JI$10,", "),""))</f>
        <v/>
      </c>
      <c r="JJ66" s="713" t="str">
        <f ca="1">IF(INDIRECT(CONCATENATE($FK$12,Fixtures!JJ$25))="","",IF(INDIRECT(CONCATENATE($FK$12,Fixtures!JJ$25))=Fixtures!$DN66,CONCATENATE(JJ$10,", "),""))</f>
        <v/>
      </c>
      <c r="JK66" s="713" t="str">
        <f ca="1">IF(INDIRECT(CONCATENATE($FK$12,Fixtures!JK$25))="","",IF(INDIRECT(CONCATENATE($FK$12,Fixtures!JK$25))=Fixtures!$DN66,CONCATENATE(JK$10,", "),""))</f>
        <v/>
      </c>
      <c r="JL66" s="713" t="str">
        <f ca="1">IF(INDIRECT(CONCATENATE($FK$12,Fixtures!JL$25))="","",IF(INDIRECT(CONCATENATE($FK$12,Fixtures!JL$25))=Fixtures!$DN66,CONCATENATE(JL$10,", "),""))</f>
        <v/>
      </c>
      <c r="JM66" s="713" t="str">
        <f ca="1">IF(INDIRECT(CONCATENATE($FK$12,Fixtures!JM$25))="","",IF(INDIRECT(CONCATENATE($FK$12,Fixtures!JM$25))=Fixtures!$DN66,CONCATENATE(JM$10,", "),""))</f>
        <v/>
      </c>
      <c r="JN66" s="713" t="str">
        <f ca="1">IF(INDIRECT(CONCATENATE($FK$12,Fixtures!JN$25))="","",IF(INDIRECT(CONCATENATE($FK$12,Fixtures!JN$25))=Fixtures!$DN66,CONCATENATE(JN$10,", "),""))</f>
        <v/>
      </c>
      <c r="JO66" s="713" t="str">
        <f ca="1">IF(INDIRECT(CONCATENATE($FK$12,Fixtures!JO$25))="","",IF(INDIRECT(CONCATENATE($FK$12,Fixtures!JO$25))=Fixtures!$DN66,CONCATENATE(JO$10,", "),""))</f>
        <v/>
      </c>
      <c r="JP66" s="713" t="str">
        <f ca="1">IF(INDIRECT(CONCATENATE($FK$12,Fixtures!JP$25))="","",IF(INDIRECT(CONCATENATE($FK$12,Fixtures!JP$25))=Fixtures!$DN66,CONCATENATE(JP$10,", "),""))</f>
        <v/>
      </c>
      <c r="JQ66" s="713" t="str">
        <f ca="1">IF(INDIRECT(CONCATENATE($FK$12,Fixtures!JQ$25))="","",IF(INDIRECT(CONCATENATE($FK$12,Fixtures!JQ$25))=Fixtures!$DN66,CONCATENATE(JQ$10,", "),""))</f>
        <v/>
      </c>
      <c r="JR66" s="713" t="str">
        <f ca="1">IF(INDIRECT(CONCATENATE($FK$12,Fixtures!JR$25))="","",IF(INDIRECT(CONCATENATE($FK$12,Fixtures!JR$25))=Fixtures!$DN66,CONCATENATE(JR$10,", "),""))</f>
        <v/>
      </c>
      <c r="JS66" s="713" t="str">
        <f ca="1">IF(INDIRECT(CONCATENATE($FK$12,Fixtures!JS$25))="","",IF(INDIRECT(CONCATENATE($FK$12,Fixtures!JS$25))=Fixtures!$DN66,CONCATENATE(JS$10,", "),""))</f>
        <v/>
      </c>
      <c r="JT66" s="713" t="str">
        <f ca="1">IF(INDIRECT(CONCATENATE($FK$12,Fixtures!JT$25))="","",IF(INDIRECT(CONCATENATE($FK$12,Fixtures!JT$25))=Fixtures!$DN66,CONCATENATE(JT$10,", "),""))</f>
        <v/>
      </c>
      <c r="JU66" s="684" t="str">
        <f ca="1">IF(INDIRECT(CONCATENATE($FK$12,Fixtures!JU$25))="","",IF(INDIRECT(CONCATENATE($FK$12,Fixtures!JU$25))=Fixtures!$DN66,CONCATENATE(JU$10,", "),""))</f>
        <v/>
      </c>
      <c r="JV66" s="685" t="str">
        <f ca="1">IF(INDIRECT(CONCATENATE($FK$12,Fixtures!JV$25))="","",IF(INDIRECT(CONCATENATE($FK$12,Fixtures!JV$25))=Fixtures!$DN66,CONCATENATE(JV$10,", "),""))</f>
        <v/>
      </c>
      <c r="JW66" s="713" t="str">
        <f ca="1">IF(INDIRECT(CONCATENATE($FK$12,Fixtures!JW$25))="","",IF(INDIRECT(CONCATENATE($FK$12,Fixtures!JW$25))=Fixtures!$DN66,CONCATENATE(JW$10,", "),""))</f>
        <v/>
      </c>
      <c r="JX66" s="713" t="str">
        <f ca="1">IF(INDIRECT(CONCATENATE($FK$12,Fixtures!JX$25))="","",IF(INDIRECT(CONCATENATE($FK$12,Fixtures!JX$25))=Fixtures!$DN66,CONCATENATE(JX$10,", "),""))</f>
        <v/>
      </c>
      <c r="JY66" s="713" t="str">
        <f ca="1">IF(INDIRECT(CONCATENATE($FK$12,Fixtures!JY$25))="","",IF(INDIRECT(CONCATENATE($FK$12,Fixtures!JY$25))=Fixtures!$DN66,CONCATENATE(JY$10,", "),""))</f>
        <v/>
      </c>
      <c r="JZ66" s="713" t="str">
        <f ca="1">IF(INDIRECT(CONCATENATE($FK$12,Fixtures!JZ$25))="","",IF(INDIRECT(CONCATENATE($FK$12,Fixtures!JZ$25))=Fixtures!$DN66,CONCATENATE(JZ$10,", "),""))</f>
        <v/>
      </c>
      <c r="KA66" s="713" t="str">
        <f ca="1">IF(INDIRECT(CONCATENATE($FK$12,Fixtures!KA$25))="","",IF(INDIRECT(CONCATENATE($FK$12,Fixtures!KA$25))=Fixtures!$DN66,CONCATENATE(KA$10,", "),""))</f>
        <v/>
      </c>
      <c r="KB66" s="713" t="str">
        <f ca="1">IF(INDIRECT(CONCATENATE($FK$12,Fixtures!KB$25))="","",IF(INDIRECT(CONCATENATE($FK$12,Fixtures!KB$25))=Fixtures!$DN66,CONCATENATE(KB$10,", "),""))</f>
        <v/>
      </c>
      <c r="KC66" s="713" t="str">
        <f ca="1">IF(INDIRECT(CONCATENATE($FK$12,Fixtures!KC$25))="","",IF(INDIRECT(CONCATENATE($FK$12,Fixtures!KC$25))=Fixtures!$DN66,CONCATENATE(KC$10,", "),""))</f>
        <v/>
      </c>
      <c r="KD66" s="713" t="str">
        <f ca="1">IF(INDIRECT(CONCATENATE($FK$12,Fixtures!KD$25))="","",IF(INDIRECT(CONCATENATE($FK$12,Fixtures!KD$25))=Fixtures!$DN66,CONCATENATE(KD$10,", "),""))</f>
        <v/>
      </c>
      <c r="KE66" s="713" t="str">
        <f ca="1">IF(INDIRECT(CONCATENATE($FK$12,Fixtures!KE$25))="","",IF(INDIRECT(CONCATENATE($FK$12,Fixtures!KE$25))=Fixtures!$DN66,CONCATENATE(KE$10,", "),""))</f>
        <v/>
      </c>
      <c r="KF66" s="713" t="str">
        <f ca="1">IF(INDIRECT(CONCATENATE($FK$12,Fixtures!KF$25))="","",IF(INDIRECT(CONCATENATE($FK$12,Fixtures!KF$25))=Fixtures!$DN66,CONCATENATE(KF$10,", "),""))</f>
        <v/>
      </c>
      <c r="KG66" s="713" t="str">
        <f ca="1">IF(INDIRECT(CONCATENATE($FK$12,Fixtures!KG$25))="","",IF(INDIRECT(CONCATENATE($FK$12,Fixtures!KG$25))=Fixtures!$DN66,CONCATENATE(KG$10,", "),""))</f>
        <v/>
      </c>
      <c r="KH66" s="713" t="str">
        <f ca="1">IF(INDIRECT(CONCATENATE($FK$12,Fixtures!KH$25))="","",IF(INDIRECT(CONCATENATE($FK$12,Fixtures!KH$25))=Fixtures!$DN66,CONCATENATE(KH$10,", "),""))</f>
        <v/>
      </c>
      <c r="KI66" s="713" t="str">
        <f ca="1">IF(INDIRECT(CONCATENATE($FK$12,Fixtures!KI$25))="","",IF(INDIRECT(CONCATENATE($FK$12,Fixtures!KI$25))=Fixtures!$DN66,CONCATENATE(KI$10,", "),""))</f>
        <v/>
      </c>
      <c r="KJ66" s="684" t="str">
        <f ca="1">IF(INDIRECT(CONCATENATE($FK$12,Fixtures!KJ$25))="","",IF(INDIRECT(CONCATENATE($FK$12,Fixtures!KJ$25))=Fixtures!$DN66,CONCATENATE(KJ$10,", "),""))</f>
        <v/>
      </c>
      <c r="KK66" s="685" t="str">
        <f ca="1">IF(INDIRECT(CONCATENATE($FK$12,Fixtures!KK$25))="","",IF(INDIRECT(CONCATENATE($FK$12,Fixtures!KK$25))=Fixtures!$DN66,CONCATENATE(KK$10,", "),""))</f>
        <v/>
      </c>
      <c r="KL66" s="713" t="str">
        <f ca="1">IF(INDIRECT(CONCATENATE($FK$12,Fixtures!KL$25))="","",IF(INDIRECT(CONCATENATE($FK$12,Fixtures!KL$25))=Fixtures!$DN66,CONCATENATE(KL$10,", "),""))</f>
        <v/>
      </c>
      <c r="KM66" s="713" t="str">
        <f ca="1">IF(INDIRECT(CONCATENATE($FK$12,Fixtures!KM$25))="","",IF(INDIRECT(CONCATENATE($FK$12,Fixtures!KM$25))=Fixtures!$DN66,CONCATENATE(KM$10,", "),""))</f>
        <v/>
      </c>
      <c r="KN66" s="713" t="str">
        <f ca="1">IF(INDIRECT(CONCATENATE($FK$12,Fixtures!KN$25))="","",IF(INDIRECT(CONCATENATE($FK$12,Fixtures!KN$25))=Fixtures!$DN66,CONCATENATE(KN$10,", "),""))</f>
        <v/>
      </c>
      <c r="KO66" s="713" t="str">
        <f ca="1">IF(INDIRECT(CONCATENATE($FK$12,Fixtures!KO$25))="","",IF(INDIRECT(CONCATENATE($FK$12,Fixtures!KO$25))=Fixtures!$DN66,CONCATENATE(KO$10,", "),""))</f>
        <v/>
      </c>
      <c r="KP66" s="713" t="str">
        <f ca="1">IF(INDIRECT(CONCATENATE($FK$12,Fixtures!KP$25))="","",IF(INDIRECT(CONCATENATE($FK$12,Fixtures!KP$25))=Fixtures!$DN66,CONCATENATE(KP$10,", "),""))</f>
        <v/>
      </c>
      <c r="KQ66" s="713" t="str">
        <f ca="1">IF(INDIRECT(CONCATENATE($FK$12,Fixtures!KQ$25))="","",IF(INDIRECT(CONCATENATE($FK$12,Fixtures!KQ$25))=Fixtures!$DN66,CONCATENATE(KQ$10,", "),""))</f>
        <v/>
      </c>
      <c r="KR66" s="713" t="str">
        <f ca="1">IF(INDIRECT(CONCATENATE($FK$12,Fixtures!KR$25))="","",IF(INDIRECT(CONCATENATE($FK$12,Fixtures!KR$25))=Fixtures!$DN66,CONCATENATE(KR$10,", "),""))</f>
        <v/>
      </c>
      <c r="KS66" s="713" t="str">
        <f ca="1">IF(INDIRECT(CONCATENATE($FK$12,Fixtures!KS$25))="","",IF(INDIRECT(CONCATENATE($FK$12,Fixtures!KS$25))=Fixtures!$DN66,CONCATENATE(KS$10,", "),""))</f>
        <v/>
      </c>
      <c r="KT66" s="713" t="str">
        <f ca="1">IF(INDIRECT(CONCATENATE($FK$12,Fixtures!KT$25))="","",IF(INDIRECT(CONCATENATE($FK$12,Fixtures!KT$25))=Fixtures!$DN66,CONCATENATE(KT$10,", "),""))</f>
        <v/>
      </c>
      <c r="KU66" s="713" t="str">
        <f ca="1">IF(INDIRECT(CONCATENATE($FK$12,Fixtures!KU$25))="","",IF(INDIRECT(CONCATENATE($FK$12,Fixtures!KU$25))=Fixtures!$DN66,CONCATENATE(KU$10,", "),""))</f>
        <v/>
      </c>
      <c r="KV66" s="713" t="str">
        <f ca="1">IF(INDIRECT(CONCATENATE($FK$12,Fixtures!KV$25))="","",IF(INDIRECT(CONCATENATE($FK$12,Fixtures!KV$25))=Fixtures!$DN66,CONCATENATE(KV$10,", "),""))</f>
        <v/>
      </c>
      <c r="KW66" s="713" t="str">
        <f ca="1">IF(INDIRECT(CONCATENATE($FK$12,Fixtures!KW$25))="","",IF(INDIRECT(CONCATENATE($FK$12,Fixtures!KW$25))=Fixtures!$DN66,CONCATENATE(KW$10,", "),""))</f>
        <v/>
      </c>
      <c r="KX66" s="713" t="str">
        <f ca="1">IF(INDIRECT(CONCATENATE($FK$12,Fixtures!KX$25))="","",IF(INDIRECT(CONCATENATE($FK$12,Fixtures!KX$25))=Fixtures!$DN66,CONCATENATE(KX$10,", "),""))</f>
        <v/>
      </c>
      <c r="KY66" s="713" t="str">
        <f ca="1">IF(INDIRECT(CONCATENATE($FK$12,Fixtures!KY$25))="","",IF(INDIRECT(CONCATENATE($FK$12,Fixtures!KY$25))=Fixtures!$DN66,CONCATENATE(KY$10,", "),""))</f>
        <v/>
      </c>
      <c r="KZ66" s="602"/>
      <c r="LA66" s="46" t="str">
        <f t="shared" ca="1" si="38"/>
        <v/>
      </c>
    </row>
    <row r="67" spans="1:313" ht="28.05" customHeight="1" thickTop="1" thickBot="1">
      <c r="A67" s="471" t="str">
        <f t="shared" si="13"/>
        <v/>
      </c>
      <c r="C67" s="1328" t="str">
        <f t="shared" si="14"/>
        <v/>
      </c>
      <c r="D67" s="1329"/>
      <c r="E67" s="1256" t="str">
        <f t="shared" si="15"/>
        <v/>
      </c>
      <c r="F67" s="1257"/>
      <c r="G67" s="1257"/>
      <c r="H67" s="1257"/>
      <c r="I67" s="1257"/>
      <c r="J67" s="1257"/>
      <c r="K67" s="1257"/>
      <c r="L67" s="1257"/>
      <c r="M67" s="1330"/>
      <c r="N67" s="239" t="str">
        <f t="shared" si="16"/>
        <v/>
      </c>
      <c r="O67" s="12"/>
      <c r="P67" s="1326" t="str">
        <f t="shared" si="25"/>
        <v/>
      </c>
      <c r="Q67" s="1327"/>
      <c r="R67" s="1256" t="str">
        <f t="shared" si="31"/>
        <v/>
      </c>
      <c r="S67" s="1257"/>
      <c r="T67" s="1257"/>
      <c r="U67" s="1257"/>
      <c r="V67" s="1257"/>
      <c r="W67" s="1257"/>
      <c r="X67" s="1257"/>
      <c r="Y67" s="239" t="str">
        <f t="shared" si="27"/>
        <v/>
      </c>
      <c r="Z67" s="239" t="str">
        <f t="shared" si="28"/>
        <v/>
      </c>
      <c r="AA67" s="439" t="str">
        <f t="shared" si="29"/>
        <v/>
      </c>
      <c r="AB67" s="542"/>
      <c r="AC67" s="1253" t="str">
        <f t="shared" si="17"/>
        <v/>
      </c>
      <c r="AD67" s="1166"/>
      <c r="AE67" s="1166"/>
      <c r="AF67" s="1166"/>
      <c r="AG67" s="1166"/>
      <c r="AH67" s="1166"/>
      <c r="AK67">
        <f>SUMIFS(Installations!CS$39:CS$800,Installations!CT$39:CT$800,E67,Installations!HX$39:HX$800,TRUE)</f>
        <v>0</v>
      </c>
      <c r="AL67">
        <f>SUMIFS(Installations!CS$39:CS$800,Installations!CT$39:CT$800,R67,Installations!HX$39:HX$800,TRUE)</f>
        <v>0</v>
      </c>
      <c r="BL67" s="9"/>
      <c r="BM67" s="703" t="str">
        <f t="shared" si="18"/>
        <v/>
      </c>
      <c r="BN67" s="52"/>
      <c r="BO67" s="52"/>
      <c r="BP67" s="52"/>
      <c r="BQ67" s="52"/>
      <c r="BR67" s="52"/>
      <c r="BS67" s="52"/>
      <c r="BT67" s="52"/>
      <c r="BU67" s="414"/>
      <c r="BV67" s="255" t="str">
        <f>IF(CN67&lt;&gt;"Yes","",IFERROR(VLOOKUP(CU67,Existing!A$4:F$364,2,FALSE),""))</f>
        <v/>
      </c>
      <c r="BW67" s="9">
        <v>41</v>
      </c>
      <c r="BX67" s="1313"/>
      <c r="BY67" s="1314"/>
      <c r="BZ67" s="1314"/>
      <c r="CA67" s="1315"/>
      <c r="CB67" s="1310"/>
      <c r="CC67" s="1311"/>
      <c r="CD67" s="1311"/>
      <c r="CE67" s="1312"/>
      <c r="CF67" s="1309"/>
      <c r="CG67" s="1309"/>
      <c r="CH67" s="1309"/>
      <c r="CI67" s="1309"/>
      <c r="CJ67" s="1309"/>
      <c r="CK67" s="1309"/>
      <c r="CL67" s="1309"/>
      <c r="CM67" s="1309"/>
      <c r="CN67" s="1243" t="str">
        <f t="shared" si="32"/>
        <v/>
      </c>
      <c r="CO67" s="1244"/>
      <c r="CP67" s="265" t="str">
        <f>IFERROR(IF(CB67="Existing TLED",CR67*CW67*CY67,VLOOKUP(CU67,Existing!A$3:F$353,6,FALSE)),"")</f>
        <v/>
      </c>
      <c r="CQ67" s="9"/>
      <c r="CR67" s="1343"/>
      <c r="CS67" s="1344"/>
      <c r="CT67" s="9"/>
      <c r="CU67" s="470" t="str">
        <f t="shared" si="21"/>
        <v/>
      </c>
      <c r="CV67" s="471" t="b">
        <f t="shared" si="22"/>
        <v>0</v>
      </c>
      <c r="CW67" s="471" t="str">
        <f t="shared" si="23"/>
        <v/>
      </c>
      <c r="CX67" s="471">
        <f>IFERROR(VLOOKUP(CF67,Lookup!M$100:O$102,3,FALSE),0)</f>
        <v>0</v>
      </c>
      <c r="CY67" s="471">
        <f t="shared" si="9"/>
        <v>1.1100000000000001</v>
      </c>
      <c r="CZ67" s="707" t="b">
        <f t="shared" si="33"/>
        <v>0</v>
      </c>
      <c r="DA67" s="707" t="b">
        <f>IF(CF67&lt;&gt;"",IF(ISERROR(MATCH(CONCATENATE(CB67," - ",CF67),Existing!G$4:G$328,0))=TRUE,FALSE,TRUE),TRUE)</f>
        <v>1</v>
      </c>
      <c r="DB67" s="707" t="b">
        <f t="shared" si="34"/>
        <v>1</v>
      </c>
      <c r="DL67" s="9"/>
      <c r="DM67" s="708" t="s">
        <v>166</v>
      </c>
      <c r="DN67" s="416" t="str">
        <f t="shared" si="35"/>
        <v/>
      </c>
      <c r="DO67" s="52"/>
      <c r="DP67" s="52"/>
      <c r="DQ67" s="52"/>
      <c r="DR67" s="52"/>
      <c r="DS67" s="52"/>
      <c r="DT67" s="262"/>
      <c r="DU67" s="417"/>
      <c r="DV67" s="263" t="str">
        <f t="shared" si="36"/>
        <v/>
      </c>
      <c r="DW67" s="260">
        <v>41</v>
      </c>
      <c r="DX67" s="1306"/>
      <c r="DY67" s="1307"/>
      <c r="DZ67" s="1307"/>
      <c r="EA67" s="1308"/>
      <c r="EB67" s="1306"/>
      <c r="EC67" s="1307"/>
      <c r="ED67" s="1307"/>
      <c r="EE67" s="1308"/>
      <c r="EF67" s="1266"/>
      <c r="EG67" s="1267"/>
      <c r="EH67" s="1306"/>
      <c r="EI67" s="1307"/>
      <c r="EJ67" s="1307"/>
      <c r="EK67" s="1308"/>
      <c r="EL67" s="1263"/>
      <c r="EM67" s="1264"/>
      <c r="EN67" s="1264"/>
      <c r="EO67" s="1265"/>
      <c r="EP67" s="1266"/>
      <c r="EQ67" s="1267"/>
      <c r="ER67" s="1245"/>
      <c r="ES67" s="1246"/>
      <c r="ET67" s="1243" t="str">
        <f t="shared" si="5"/>
        <v/>
      </c>
      <c r="EU67" s="1244"/>
      <c r="EV67" s="1243" t="str">
        <f t="shared" si="30"/>
        <v/>
      </c>
      <c r="EW67" s="1244"/>
      <c r="EX67" s="438"/>
      <c r="EY67" s="261" t="str">
        <f t="shared" si="37"/>
        <v/>
      </c>
      <c r="EZ67" s="261" t="str">
        <f>IFERROR(VLOOKUP(EB67,Lookup!AM$3:AN$13,2,FALSE),"")</f>
        <v/>
      </c>
      <c r="FA67" s="471" t="b">
        <f>IFERROR(IF(VLOOKUP(EB67,Lookup!AM$6:AN$8,2,FALSE)&gt;3,TRUE,FALSE),FALSE)</f>
        <v>0</v>
      </c>
      <c r="FB67" s="471">
        <f t="shared" si="11"/>
        <v>1</v>
      </c>
      <c r="FC67" t="str">
        <f t="shared" ca="1" si="10"/>
        <v/>
      </c>
      <c r="FG67" t="str">
        <f t="shared" ca="1" si="12"/>
        <v/>
      </c>
      <c r="FI67" s="240" t="str">
        <f t="shared" ca="1" si="24"/>
        <v/>
      </c>
      <c r="FK67" s="712" t="str">
        <f ca="1">IF(INDIRECT(CONCATENATE($FK$12,Fixtures!FK$25))="","",IF(INDIRECT(CONCATENATE($FK$12,Fixtures!FK$25))=Fixtures!$DN67,CONCATENATE(FK$10,", "),""))</f>
        <v/>
      </c>
      <c r="FL67" s="712" t="str">
        <f ca="1">IF(INDIRECT(CONCATENATE($FK$12,Fixtures!FL$25))="","",IF(INDIRECT(CONCATENATE($FK$12,Fixtures!FL$25))=Fixtures!$DN67,CONCATENATE(FL$10,", "),""))</f>
        <v/>
      </c>
      <c r="FM67" s="712" t="str">
        <f ca="1">IF(INDIRECT(CONCATENATE($FK$12,Fixtures!FM$25))="","",IF(INDIRECT(CONCATENATE($FK$12,Fixtures!FM$25))=Fixtures!$DN67,CONCATENATE(FM$10,", "),""))</f>
        <v/>
      </c>
      <c r="FN67" s="712" t="str">
        <f ca="1">IF(INDIRECT(CONCATENATE($FK$12,Fixtures!FN$25))="","",IF(INDIRECT(CONCATENATE($FK$12,Fixtures!FN$25))=Fixtures!$DN67,CONCATENATE(FN$10,", "),""))</f>
        <v/>
      </c>
      <c r="FO67" s="712" t="str">
        <f ca="1">IF(INDIRECT(CONCATENATE($FK$12,Fixtures!FO$25))="","",IF(INDIRECT(CONCATENATE($FK$12,Fixtures!FO$25))=Fixtures!$DN67,CONCATENATE(FO$10,", "),""))</f>
        <v/>
      </c>
      <c r="FP67" s="712" t="str">
        <f ca="1">IF(INDIRECT(CONCATENATE($FK$12,Fixtures!FP$25))="","",IF(INDIRECT(CONCATENATE($FK$12,Fixtures!FP$25))=Fixtures!$DN67,CONCATENATE(FP$10,", "),""))</f>
        <v/>
      </c>
      <c r="FQ67" s="712" t="str">
        <f ca="1">IF(INDIRECT(CONCATENATE($FK$12,Fixtures!FQ$25))="","",IF(INDIRECT(CONCATENATE($FK$12,Fixtures!FQ$25))=Fixtures!$DN67,CONCATENATE(FQ$10,", "),""))</f>
        <v/>
      </c>
      <c r="FR67" s="712" t="str">
        <f ca="1">IF(INDIRECT(CONCATENATE($FK$12,Fixtures!FR$25))="","",IF(INDIRECT(CONCATENATE($FK$12,Fixtures!FR$25))=Fixtures!$DN67,CONCATENATE(FR$10,", "),""))</f>
        <v/>
      </c>
      <c r="FS67" s="712" t="str">
        <f ca="1">IF(INDIRECT(CONCATENATE($FK$12,Fixtures!FS$25))="","",IF(INDIRECT(CONCATENATE($FK$12,Fixtures!FS$25))=Fixtures!$DN67,CONCATENATE(FS$10,", "),""))</f>
        <v/>
      </c>
      <c r="FT67" s="682" t="str">
        <f ca="1">IF(INDIRECT(CONCATENATE($FK$12,Fixtures!FT$25))="","",IF(INDIRECT(CONCATENATE($FK$12,Fixtures!FT$25))=Fixtures!$DN67,CONCATENATE(FT$10,", "),""))</f>
        <v/>
      </c>
      <c r="FU67" s="683" t="str">
        <f ca="1">IF(INDIRECT(CONCATENATE($FK$12,Fixtures!FU$25))="","",IF(INDIRECT(CONCATENATE($FK$12,Fixtures!FU$25))=Fixtures!$DN67,CONCATENATE(FU$10,", "),""))</f>
        <v/>
      </c>
      <c r="FV67" s="712" t="str">
        <f ca="1">IF(INDIRECT(CONCATENATE($FK$12,Fixtures!FV$25))="","",IF(INDIRECT(CONCATENATE($FK$12,Fixtures!FV$25))=Fixtures!$DN67,CONCATENATE(FV$10,", "),""))</f>
        <v/>
      </c>
      <c r="FW67" s="713" t="str">
        <f ca="1">IF(INDIRECT(CONCATENATE($FK$12,Fixtures!FW$25))="","",IF(INDIRECT(CONCATENATE($FK$12,Fixtures!FW$25))=Fixtures!$DN67,CONCATENATE(FW$10,", "),""))</f>
        <v/>
      </c>
      <c r="FX67" s="713" t="str">
        <f ca="1">IF(INDIRECT(CONCATENATE($FK$12,Fixtures!FX$25))="","",IF(INDIRECT(CONCATENATE($FK$12,Fixtures!FX$25))=Fixtures!$DN67,CONCATENATE(FX$10,", "),""))</f>
        <v/>
      </c>
      <c r="FY67" s="713" t="str">
        <f ca="1">IF(INDIRECT(CONCATENATE($FK$12,Fixtures!FY$25))="","",IF(INDIRECT(CONCATENATE($FK$12,Fixtures!FY$25))=Fixtures!$DN67,CONCATENATE(FY$10,", "),""))</f>
        <v/>
      </c>
      <c r="FZ67" s="713" t="str">
        <f ca="1">IF(INDIRECT(CONCATENATE($FK$12,Fixtures!FZ$25))="","",IF(INDIRECT(CONCATENATE($FK$12,Fixtures!FZ$25))=Fixtures!$DN67,CONCATENATE(FZ$10,", "),""))</f>
        <v/>
      </c>
      <c r="GA67" s="713" t="str">
        <f ca="1">IF(INDIRECT(CONCATENATE($FK$12,Fixtures!GA$25))="","",IF(INDIRECT(CONCATENATE($FK$12,Fixtures!GA$25))=Fixtures!$DN67,CONCATENATE(GA$10,", "),""))</f>
        <v/>
      </c>
      <c r="GB67" s="713" t="str">
        <f ca="1">IF(INDIRECT(CONCATENATE($FK$12,Fixtures!GB$25))="","",IF(INDIRECT(CONCATENATE($FK$12,Fixtures!GB$25))=Fixtures!$DN67,CONCATENATE(GB$10,", "),""))</f>
        <v/>
      </c>
      <c r="GC67" s="713" t="str">
        <f ca="1">IF(INDIRECT(CONCATENATE($FK$12,Fixtures!GC$25))="","",IF(INDIRECT(CONCATENATE($FK$12,Fixtures!GC$25))=Fixtures!$DN67,CONCATENATE(GC$10,", "),""))</f>
        <v/>
      </c>
      <c r="GD67" s="713" t="str">
        <f ca="1">IF(INDIRECT(CONCATENATE($FK$12,Fixtures!GD$25))="","",IF(INDIRECT(CONCATENATE($FK$12,Fixtures!GD$25))=Fixtures!$DN67,CONCATENATE(GD$10,", "),""))</f>
        <v/>
      </c>
      <c r="GE67" s="713" t="str">
        <f ca="1">IF(INDIRECT(CONCATENATE($FK$12,Fixtures!GE$25))="","",IF(INDIRECT(CONCATENATE($FK$12,Fixtures!GE$25))=Fixtures!$DN67,CONCATENATE(GE$10,", "),""))</f>
        <v/>
      </c>
      <c r="GF67" s="713" t="str">
        <f ca="1">IF(INDIRECT(CONCATENATE($FK$12,Fixtures!GF$25))="","",IF(INDIRECT(CONCATENATE($FK$12,Fixtures!GF$25))=Fixtures!$DN67,CONCATENATE(GF$10,", "),""))</f>
        <v/>
      </c>
      <c r="GG67" s="713" t="str">
        <f ca="1">IF(INDIRECT(CONCATENATE($FK$12,Fixtures!GG$25))="","",IF(INDIRECT(CONCATENATE($FK$12,Fixtures!GG$25))=Fixtures!$DN67,CONCATENATE(GG$10,", "),""))</f>
        <v/>
      </c>
      <c r="GH67" s="713" t="str">
        <f ca="1">IF(INDIRECT(CONCATENATE($FK$12,Fixtures!GH$25))="","",IF(INDIRECT(CONCATENATE($FK$12,Fixtures!GH$25))=Fixtures!$DN67,CONCATENATE(GH$10,", "),""))</f>
        <v/>
      </c>
      <c r="GI67" s="684" t="str">
        <f ca="1">IF(INDIRECT(CONCATENATE($FK$12,Fixtures!GI$25))="","",IF(INDIRECT(CONCATENATE($FK$12,Fixtures!GI$25))=Fixtures!$DN67,CONCATENATE(GI$10,", "),""))</f>
        <v/>
      </c>
      <c r="GJ67" s="685" t="str">
        <f ca="1">IF(INDIRECT(CONCATENATE($FK$12,Fixtures!GJ$25))="","",IF(INDIRECT(CONCATENATE($FK$12,Fixtures!GJ$25))=Fixtures!$DN67,CONCATENATE(GJ$10,", "),""))</f>
        <v/>
      </c>
      <c r="GK67" s="713" t="str">
        <f ca="1">IF(INDIRECT(CONCATENATE($FK$12,Fixtures!GK$25))="","",IF(INDIRECT(CONCATENATE($FK$12,Fixtures!GK$25))=Fixtures!$DN67,CONCATENATE(GK$10,", "),""))</f>
        <v/>
      </c>
      <c r="GL67" s="713" t="str">
        <f ca="1">IF(INDIRECT(CONCATENATE($FK$12,Fixtures!GL$25))="","",IF(INDIRECT(CONCATENATE($FK$12,Fixtures!GL$25))=Fixtures!$DN67,CONCATENATE(GL$10,", "),""))</f>
        <v/>
      </c>
      <c r="GM67" s="713" t="str">
        <f ca="1">IF(INDIRECT(CONCATENATE($FK$12,Fixtures!GM$25))="","",IF(INDIRECT(CONCATENATE($FK$12,Fixtures!GM$25))=Fixtures!$DN67,CONCATENATE(GM$10,", "),""))</f>
        <v/>
      </c>
      <c r="GN67" s="713" t="str">
        <f ca="1">IF(INDIRECT(CONCATENATE($FK$12,Fixtures!GN$25))="","",IF(INDIRECT(CONCATENATE($FK$12,Fixtures!GN$25))=Fixtures!$DN67,CONCATENATE(GN$10,", "),""))</f>
        <v/>
      </c>
      <c r="GO67" s="713" t="str">
        <f ca="1">IF(INDIRECT(CONCATENATE($FK$12,Fixtures!GO$25))="","",IF(INDIRECT(CONCATENATE($FK$12,Fixtures!GO$25))=Fixtures!$DN67,CONCATENATE(GO$10,", "),""))</f>
        <v/>
      </c>
      <c r="GP67" s="713" t="str">
        <f ca="1">IF(INDIRECT(CONCATENATE($FK$12,Fixtures!GP$25))="","",IF(INDIRECT(CONCATENATE($FK$12,Fixtures!GP$25))=Fixtures!$DN67,CONCATENATE(GP$10,", "),""))</f>
        <v/>
      </c>
      <c r="GQ67" s="713" t="str">
        <f ca="1">IF(INDIRECT(CONCATENATE($FK$12,Fixtures!GQ$25))="","",IF(INDIRECT(CONCATENATE($FK$12,Fixtures!GQ$25))=Fixtures!$DN67,CONCATENATE(GQ$10,", "),""))</f>
        <v/>
      </c>
      <c r="GR67" s="713" t="str">
        <f ca="1">IF(INDIRECT(CONCATENATE($FK$12,Fixtures!GR$25))="","",IF(INDIRECT(CONCATENATE($FK$12,Fixtures!GR$25))=Fixtures!$DN67,CONCATENATE(GR$10,", "),""))</f>
        <v/>
      </c>
      <c r="GS67" s="713" t="str">
        <f ca="1">IF(INDIRECT(CONCATENATE($FK$12,Fixtures!GS$25))="","",IF(INDIRECT(CONCATENATE($FK$12,Fixtures!GS$25))=Fixtures!$DN67,CONCATENATE(GS$10,", "),""))</f>
        <v/>
      </c>
      <c r="GT67" s="713" t="str">
        <f ca="1">IF(INDIRECT(CONCATENATE($FK$12,Fixtures!GT$25))="","",IF(INDIRECT(CONCATENATE($FK$12,Fixtures!GT$25))=Fixtures!$DN67,CONCATENATE(GT$10,", "),""))</f>
        <v/>
      </c>
      <c r="GU67" s="713" t="str">
        <f ca="1">IF(INDIRECT(CONCATENATE($FK$12,Fixtures!GU$25))="","",IF(INDIRECT(CONCATENATE($FK$12,Fixtures!GU$25))=Fixtures!$DN67,CONCATENATE(GU$10,", "),""))</f>
        <v/>
      </c>
      <c r="GV67" s="713" t="str">
        <f ca="1">IF(INDIRECT(CONCATENATE($FK$12,Fixtures!GV$25))="","",IF(INDIRECT(CONCATENATE($FK$12,Fixtures!GV$25))=Fixtures!$DN67,CONCATENATE(GV$10,", "),""))</f>
        <v/>
      </c>
      <c r="GW67" s="713" t="str">
        <f ca="1">IF(INDIRECT(CONCATENATE($FK$12,Fixtures!GW$25))="","",IF(INDIRECT(CONCATENATE($FK$12,Fixtures!GW$25))=Fixtures!$DN67,CONCATENATE(GW$10,", "),""))</f>
        <v/>
      </c>
      <c r="GX67" s="684" t="str">
        <f ca="1">IF(INDIRECT(CONCATENATE($FK$12,Fixtures!GX$25))="","",IF(INDIRECT(CONCATENATE($FK$12,Fixtures!GX$25))=Fixtures!$DN67,CONCATENATE(GX$10,", "),""))</f>
        <v/>
      </c>
      <c r="GY67" s="685" t="str">
        <f ca="1">IF(INDIRECT(CONCATENATE($FK$12,Fixtures!GY$25))="","",IF(INDIRECT(CONCATENATE($FK$12,Fixtures!GY$25))=Fixtures!$DN67,CONCATENATE(GY$10,", "),""))</f>
        <v/>
      </c>
      <c r="GZ67" s="713" t="str">
        <f ca="1">IF(INDIRECT(CONCATENATE($FK$12,Fixtures!GZ$25))="","",IF(INDIRECT(CONCATENATE($FK$12,Fixtures!GZ$25))=Fixtures!$DN67,CONCATENATE(GZ$10,", "),""))</f>
        <v/>
      </c>
      <c r="HA67" s="713" t="str">
        <f ca="1">IF(INDIRECT(CONCATENATE($FK$12,Fixtures!HA$25))="","",IF(INDIRECT(CONCATENATE($FK$12,Fixtures!HA$25))=Fixtures!$DN67,CONCATENATE(HA$10,", "),""))</f>
        <v/>
      </c>
      <c r="HB67" s="713" t="str">
        <f ca="1">IF(INDIRECT(CONCATENATE($FK$12,Fixtures!HB$25))="","",IF(INDIRECT(CONCATENATE($FK$12,Fixtures!HB$25))=Fixtures!$DN67,CONCATENATE(HB$10,", "),""))</f>
        <v/>
      </c>
      <c r="HC67" s="713" t="str">
        <f ca="1">IF(INDIRECT(CONCATENATE($FK$12,Fixtures!HC$25))="","",IF(INDIRECT(CONCATENATE($FK$12,Fixtures!HC$25))=Fixtures!$DN67,CONCATENATE(HC$10,", "),""))</f>
        <v/>
      </c>
      <c r="HD67" s="713" t="str">
        <f ca="1">IF(INDIRECT(CONCATENATE($FK$12,Fixtures!HD$25))="","",IF(INDIRECT(CONCATENATE($FK$12,Fixtures!HD$25))=Fixtures!$DN67,CONCATENATE(HD$10,", "),""))</f>
        <v/>
      </c>
      <c r="HE67" s="713" t="str">
        <f ca="1">IF(INDIRECT(CONCATENATE($FK$12,Fixtures!HE$25))="","",IF(INDIRECT(CONCATENATE($FK$12,Fixtures!HE$25))=Fixtures!$DN67,CONCATENATE(HE$10,", "),""))</f>
        <v/>
      </c>
      <c r="HF67" s="713" t="str">
        <f ca="1">IF(INDIRECT(CONCATENATE($FK$12,Fixtures!HF$25))="","",IF(INDIRECT(CONCATENATE($FK$12,Fixtures!HF$25))=Fixtures!$DN67,CONCATENATE(HF$10,", "),""))</f>
        <v/>
      </c>
      <c r="HG67" s="713" t="str">
        <f ca="1">IF(INDIRECT(CONCATENATE($FK$12,Fixtures!HG$25))="","",IF(INDIRECT(CONCATENATE($FK$12,Fixtures!HG$25))=Fixtures!$DN67,CONCATENATE(HG$10,", "),""))</f>
        <v/>
      </c>
      <c r="HH67" s="713" t="str">
        <f ca="1">IF(INDIRECT(CONCATENATE($FK$12,Fixtures!HH$25))="","",IF(INDIRECT(CONCATENATE($FK$12,Fixtures!HH$25))=Fixtures!$DN67,CONCATENATE(HH$10,", "),""))</f>
        <v/>
      </c>
      <c r="HI67" s="713" t="str">
        <f ca="1">IF(INDIRECT(CONCATENATE($FK$12,Fixtures!HI$25))="","",IF(INDIRECT(CONCATENATE($FK$12,Fixtures!HI$25))=Fixtures!$DN67,CONCATENATE(HI$10,", "),""))</f>
        <v/>
      </c>
      <c r="HJ67" s="713" t="str">
        <f ca="1">IF(INDIRECT(CONCATENATE($FK$12,Fixtures!HJ$25))="","",IF(INDIRECT(CONCATENATE($FK$12,Fixtures!HJ$25))=Fixtures!$DN67,CONCATENATE(HJ$10,", "),""))</f>
        <v/>
      </c>
      <c r="HK67" s="713" t="str">
        <f ca="1">IF(INDIRECT(CONCATENATE($FK$12,Fixtures!HK$25))="","",IF(INDIRECT(CONCATENATE($FK$12,Fixtures!HK$25))=Fixtures!$DN67,CONCATENATE(HK$10,", "),""))</f>
        <v/>
      </c>
      <c r="HL67" s="713" t="str">
        <f ca="1">IF(INDIRECT(CONCATENATE($FK$12,Fixtures!HL$25))="","",IF(INDIRECT(CONCATENATE($FK$12,Fixtures!HL$25))=Fixtures!$DN67,CONCATENATE(HL$10,", "),""))</f>
        <v/>
      </c>
      <c r="HM67" s="684" t="str">
        <f ca="1">IF(INDIRECT(CONCATENATE($FK$12,Fixtures!HM$25))="","",IF(INDIRECT(CONCATENATE($FK$12,Fixtures!HM$25))=Fixtures!$DN67,CONCATENATE(HM$10,", "),""))</f>
        <v/>
      </c>
      <c r="HN67" s="685" t="str">
        <f ca="1">IF(INDIRECT(CONCATENATE($FK$12,Fixtures!HN$25))="","",IF(INDIRECT(CONCATENATE($FK$12,Fixtures!HN$25))=Fixtures!$DN67,CONCATENATE(HN$10,", "),""))</f>
        <v/>
      </c>
      <c r="HO67" s="713" t="str">
        <f ca="1">IF(INDIRECT(CONCATENATE($FK$12,Fixtures!HO$25))="","",IF(INDIRECT(CONCATENATE($FK$12,Fixtures!HO$25))=Fixtures!$DN67,CONCATENATE(HO$10,", "),""))</f>
        <v/>
      </c>
      <c r="HP67" s="713" t="str">
        <f ca="1">IF(INDIRECT(CONCATENATE($FK$12,Fixtures!HP$25))="","",IF(INDIRECT(CONCATENATE($FK$12,Fixtures!HP$25))=Fixtures!$DN67,CONCATENATE(HP$10,", "),""))</f>
        <v/>
      </c>
      <c r="HQ67" s="713" t="str">
        <f ca="1">IF(INDIRECT(CONCATENATE($FK$12,Fixtures!HQ$25))="","",IF(INDIRECT(CONCATENATE($FK$12,Fixtures!HQ$25))=Fixtures!$DN67,CONCATENATE(HQ$10,", "),""))</f>
        <v/>
      </c>
      <c r="HR67" s="713" t="str">
        <f ca="1">IF(INDIRECT(CONCATENATE($FK$12,Fixtures!HR$25))="","",IF(INDIRECT(CONCATENATE($FK$12,Fixtures!HR$25))=Fixtures!$DN67,CONCATENATE(HR$10,", "),""))</f>
        <v/>
      </c>
      <c r="HS67" s="713" t="str">
        <f ca="1">IF(INDIRECT(CONCATENATE($FK$12,Fixtures!HS$25))="","",IF(INDIRECT(CONCATENATE($FK$12,Fixtures!HS$25))=Fixtures!$DN67,CONCATENATE(HS$10,", "),""))</f>
        <v/>
      </c>
      <c r="HT67" s="713" t="str">
        <f ca="1">IF(INDIRECT(CONCATENATE($FK$12,Fixtures!HT$25))="","",IF(INDIRECT(CONCATENATE($FK$12,Fixtures!HT$25))=Fixtures!$DN67,CONCATENATE(HT$10,", "),""))</f>
        <v/>
      </c>
      <c r="HU67" s="713" t="str">
        <f ca="1">IF(INDIRECT(CONCATENATE($FK$12,Fixtures!HU$25))="","",IF(INDIRECT(CONCATENATE($FK$12,Fixtures!HU$25))=Fixtures!$DN67,CONCATENATE(HU$10,", "),""))</f>
        <v/>
      </c>
      <c r="HV67" s="713" t="str">
        <f ca="1">IF(INDIRECT(CONCATENATE($FK$12,Fixtures!HV$25))="","",IF(INDIRECT(CONCATENATE($FK$12,Fixtures!HV$25))=Fixtures!$DN67,CONCATENATE(HV$10,", "),""))</f>
        <v/>
      </c>
      <c r="HW67" s="713" t="str">
        <f ca="1">IF(INDIRECT(CONCATENATE($FK$12,Fixtures!HW$25))="","",IF(INDIRECT(CONCATENATE($FK$12,Fixtures!HW$25))=Fixtures!$DN67,CONCATENATE(HW$10,", "),""))</f>
        <v/>
      </c>
      <c r="HX67" s="713" t="str">
        <f ca="1">IF(INDIRECT(CONCATENATE($FK$12,Fixtures!HX$25))="","",IF(INDIRECT(CONCATENATE($FK$12,Fixtures!HX$25))=Fixtures!$DN67,CONCATENATE(HX$10,", "),""))</f>
        <v/>
      </c>
      <c r="HY67" s="713" t="str">
        <f ca="1">IF(INDIRECT(CONCATENATE($FK$12,Fixtures!HY$25))="","",IF(INDIRECT(CONCATENATE($FK$12,Fixtures!HY$25))=Fixtures!$DN67,CONCATENATE(HY$10,", "),""))</f>
        <v/>
      </c>
      <c r="HZ67" s="713" t="str">
        <f ca="1">IF(INDIRECT(CONCATENATE($FK$12,Fixtures!HZ$25))="","",IF(INDIRECT(CONCATENATE($FK$12,Fixtures!HZ$25))=Fixtures!$DN67,CONCATENATE(HZ$10,", "),""))</f>
        <v/>
      </c>
      <c r="IA67" s="713" t="str">
        <f ca="1">IF(INDIRECT(CONCATENATE($FK$12,Fixtures!IA$25))="","",IF(INDIRECT(CONCATENATE($FK$12,Fixtures!IA$25))=Fixtures!$DN67,CONCATENATE(IA$10,", "),""))</f>
        <v/>
      </c>
      <c r="IB67" s="684" t="str">
        <f ca="1">IF(INDIRECT(CONCATENATE($FK$12,Fixtures!IB$25))="","",IF(INDIRECT(CONCATENATE($FK$12,Fixtures!IB$25))=Fixtures!$DN67,CONCATENATE(IB$10,", "),""))</f>
        <v/>
      </c>
      <c r="IC67" s="685" t="str">
        <f ca="1">IF(INDIRECT(CONCATENATE($FK$12,Fixtures!IC$25))="","",IF(INDIRECT(CONCATENATE($FK$12,Fixtures!IC$25))=Fixtures!$DN67,CONCATENATE(IC$10,", "),""))</f>
        <v/>
      </c>
      <c r="ID67" s="713" t="str">
        <f ca="1">IF(INDIRECT(CONCATENATE($FK$12,Fixtures!ID$25))="","",IF(INDIRECT(CONCATENATE($FK$12,Fixtures!ID$25))=Fixtures!$DN67,CONCATENATE(ID$10,", "),""))</f>
        <v/>
      </c>
      <c r="IE67" s="713" t="str">
        <f ca="1">IF(INDIRECT(CONCATENATE($FK$12,Fixtures!IE$25))="","",IF(INDIRECT(CONCATENATE($FK$12,Fixtures!IE$25))=Fixtures!$DN67,CONCATENATE(IE$10,", "),""))</f>
        <v/>
      </c>
      <c r="IF67" s="713" t="str">
        <f ca="1">IF(INDIRECT(CONCATENATE($FK$12,Fixtures!IF$25))="","",IF(INDIRECT(CONCATENATE($FK$12,Fixtures!IF$25))=Fixtures!$DN67,CONCATENATE(IF$10,", "),""))</f>
        <v/>
      </c>
      <c r="IG67" s="713" t="str">
        <f ca="1">IF(INDIRECT(CONCATENATE($FK$12,Fixtures!IG$25))="","",IF(INDIRECT(CONCATENATE($FK$12,Fixtures!IG$25))=Fixtures!$DN67,CONCATENATE(IG$10,", "),""))</f>
        <v/>
      </c>
      <c r="IH67" s="713" t="str">
        <f ca="1">IF(INDIRECT(CONCATENATE($FK$12,Fixtures!IH$25))="","",IF(INDIRECT(CONCATENATE($FK$12,Fixtures!IH$25))=Fixtures!$DN67,CONCATENATE(IH$10,", "),""))</f>
        <v/>
      </c>
      <c r="II67" s="713" t="str">
        <f ca="1">IF(INDIRECT(CONCATENATE($FK$12,Fixtures!II$25))="","",IF(INDIRECT(CONCATENATE($FK$12,Fixtures!II$25))=Fixtures!$DN67,CONCATENATE(II$10,", "),""))</f>
        <v/>
      </c>
      <c r="IJ67" s="713" t="str">
        <f ca="1">IF(INDIRECT(CONCATENATE($FK$12,Fixtures!IJ$25))="","",IF(INDIRECT(CONCATENATE($FK$12,Fixtures!IJ$25))=Fixtures!$DN67,CONCATENATE(IJ$10,", "),""))</f>
        <v/>
      </c>
      <c r="IK67" s="713" t="str">
        <f ca="1">IF(INDIRECT(CONCATENATE($FK$12,Fixtures!IK$25))="","",IF(INDIRECT(CONCATENATE($FK$12,Fixtures!IK$25))=Fixtures!$DN67,CONCATENATE(IK$10,", "),""))</f>
        <v/>
      </c>
      <c r="IL67" s="713" t="str">
        <f ca="1">IF(INDIRECT(CONCATENATE($FK$12,Fixtures!IL$25))="","",IF(INDIRECT(CONCATENATE($FK$12,Fixtures!IL$25))=Fixtures!$DN67,CONCATENATE(IL$10,", "),""))</f>
        <v/>
      </c>
      <c r="IM67" s="713" t="str">
        <f ca="1">IF(INDIRECT(CONCATENATE($FK$12,Fixtures!IM$25))="","",IF(INDIRECT(CONCATENATE($FK$12,Fixtures!IM$25))=Fixtures!$DN67,CONCATENATE(IM$10,", "),""))</f>
        <v/>
      </c>
      <c r="IN67" s="713" t="str">
        <f ca="1">IF(INDIRECT(CONCATENATE($FK$12,Fixtures!IN$25))="","",IF(INDIRECT(CONCATENATE($FK$12,Fixtures!IN$25))=Fixtures!$DN67,CONCATENATE(IN$10,", "),""))</f>
        <v/>
      </c>
      <c r="IO67" s="713" t="str">
        <f ca="1">IF(INDIRECT(CONCATENATE($FK$12,Fixtures!IO$25))="","",IF(INDIRECT(CONCATENATE($FK$12,Fixtures!IO$25))=Fixtures!$DN67,CONCATENATE(IO$10,", "),""))</f>
        <v/>
      </c>
      <c r="IP67" s="713" t="str">
        <f ca="1">IF(INDIRECT(CONCATENATE($FK$12,Fixtures!IP$25))="","",IF(INDIRECT(CONCATENATE($FK$12,Fixtures!IP$25))=Fixtures!$DN67,CONCATENATE(IP$10,", "),""))</f>
        <v/>
      </c>
      <c r="IQ67" s="684" t="str">
        <f ca="1">IF(INDIRECT(CONCATENATE($FK$12,Fixtures!IQ$25))="","",IF(INDIRECT(CONCATENATE($FK$12,Fixtures!IQ$25))=Fixtures!$DN67,CONCATENATE(IQ$10,", "),""))</f>
        <v/>
      </c>
      <c r="IR67" s="685" t="str">
        <f ca="1">IF(INDIRECT(CONCATENATE($FK$12,Fixtures!IR$25))="","",IF(INDIRECT(CONCATENATE($FK$12,Fixtures!IR$25))=Fixtures!$DN67,CONCATENATE(IR$10,", "),""))</f>
        <v/>
      </c>
      <c r="IS67" s="713" t="str">
        <f ca="1">IF(INDIRECT(CONCATENATE($FK$12,Fixtures!IS$25))="","",IF(INDIRECT(CONCATENATE($FK$12,Fixtures!IS$25))=Fixtures!$DN67,CONCATENATE(IS$10,", "),""))</f>
        <v/>
      </c>
      <c r="IT67" s="713" t="str">
        <f ca="1">IF(INDIRECT(CONCATENATE($FK$12,Fixtures!IT$25))="","",IF(INDIRECT(CONCATENATE($FK$12,Fixtures!IT$25))=Fixtures!$DN67,CONCATENATE(IT$10,", "),""))</f>
        <v/>
      </c>
      <c r="IU67" s="713" t="str">
        <f ca="1">IF(INDIRECT(CONCATENATE($FK$12,Fixtures!IU$25))="","",IF(INDIRECT(CONCATENATE($FK$12,Fixtures!IU$25))=Fixtures!$DN67,CONCATENATE(IU$10,", "),""))</f>
        <v/>
      </c>
      <c r="IV67" s="713" t="str">
        <f ca="1">IF(INDIRECT(CONCATENATE($FK$12,Fixtures!IV$25))="","",IF(INDIRECT(CONCATENATE($FK$12,Fixtures!IV$25))=Fixtures!$DN67,CONCATENATE(IV$10,", "),""))</f>
        <v/>
      </c>
      <c r="IW67" s="713" t="str">
        <f ca="1">IF(INDIRECT(CONCATENATE($FK$12,Fixtures!IW$25))="","",IF(INDIRECT(CONCATENATE($FK$12,Fixtures!IW$25))=Fixtures!$DN67,CONCATENATE(IW$10,", "),""))</f>
        <v/>
      </c>
      <c r="IX67" s="713" t="str">
        <f ca="1">IF(INDIRECT(CONCATENATE($FK$12,Fixtures!IX$25))="","",IF(INDIRECT(CONCATENATE($FK$12,Fixtures!IX$25))=Fixtures!$DN67,CONCATENATE(IX$10,", "),""))</f>
        <v/>
      </c>
      <c r="IY67" s="713" t="str">
        <f ca="1">IF(INDIRECT(CONCATENATE($FK$12,Fixtures!IY$25))="","",IF(INDIRECT(CONCATENATE($FK$12,Fixtures!IY$25))=Fixtures!$DN67,CONCATENATE(IY$10,", "),""))</f>
        <v/>
      </c>
      <c r="IZ67" s="713" t="str">
        <f ca="1">IF(INDIRECT(CONCATENATE($FK$12,Fixtures!IZ$25))="","",IF(INDIRECT(CONCATENATE($FK$12,Fixtures!IZ$25))=Fixtures!$DN67,CONCATENATE(IZ$10,", "),""))</f>
        <v/>
      </c>
      <c r="JA67" s="713" t="str">
        <f ca="1">IF(INDIRECT(CONCATENATE($FK$12,Fixtures!JA$25))="","",IF(INDIRECT(CONCATENATE($FK$12,Fixtures!JA$25))=Fixtures!$DN67,CONCATENATE(JA$10,", "),""))</f>
        <v/>
      </c>
      <c r="JB67" s="713" t="str">
        <f ca="1">IF(INDIRECT(CONCATENATE($FK$12,Fixtures!JB$25))="","",IF(INDIRECT(CONCATENATE($FK$12,Fixtures!JB$25))=Fixtures!$DN67,CONCATENATE(JB$10,", "),""))</f>
        <v/>
      </c>
      <c r="JC67" s="713" t="str">
        <f ca="1">IF(INDIRECT(CONCATENATE($FK$12,Fixtures!JC$25))="","",IF(INDIRECT(CONCATENATE($FK$12,Fixtures!JC$25))=Fixtures!$DN67,CONCATENATE(JC$10,", "),""))</f>
        <v/>
      </c>
      <c r="JD67" s="713" t="str">
        <f ca="1">IF(INDIRECT(CONCATENATE($FK$12,Fixtures!JD$25))="","",IF(INDIRECT(CONCATENATE($FK$12,Fixtures!JD$25))=Fixtures!$DN67,CONCATENATE(JD$10,", "),""))</f>
        <v/>
      </c>
      <c r="JE67" s="713" t="str">
        <f ca="1">IF(INDIRECT(CONCATENATE($FK$12,Fixtures!JE$25))="","",IF(INDIRECT(CONCATENATE($FK$12,Fixtures!JE$25))=Fixtures!$DN67,CONCATENATE(JE$10,", "),""))</f>
        <v/>
      </c>
      <c r="JF67" s="684" t="str">
        <f ca="1">IF(INDIRECT(CONCATENATE($FK$12,Fixtures!JF$25))="","",IF(INDIRECT(CONCATENATE($FK$12,Fixtures!JF$25))=Fixtures!$DN67,CONCATENATE(JF$10,", "),""))</f>
        <v/>
      </c>
      <c r="JG67" s="685" t="str">
        <f ca="1">IF(INDIRECT(CONCATENATE($FK$12,Fixtures!JG$25))="","",IF(INDIRECT(CONCATENATE($FK$12,Fixtures!JG$25))=Fixtures!$DN67,CONCATENATE(JG$10,", "),""))</f>
        <v/>
      </c>
      <c r="JH67" s="713" t="str">
        <f ca="1">IF(INDIRECT(CONCATENATE($FK$12,Fixtures!JH$25))="","",IF(INDIRECT(CONCATENATE($FK$12,Fixtures!JH$25))=Fixtures!$DN67,CONCATENATE(JH$10,", "),""))</f>
        <v/>
      </c>
      <c r="JI67" s="713" t="str">
        <f ca="1">IF(INDIRECT(CONCATENATE($FK$12,Fixtures!JI$25))="","",IF(INDIRECT(CONCATENATE($FK$12,Fixtures!JI$25))=Fixtures!$DN67,CONCATENATE(JI$10,", "),""))</f>
        <v/>
      </c>
      <c r="JJ67" s="713" t="str">
        <f ca="1">IF(INDIRECT(CONCATENATE($FK$12,Fixtures!JJ$25))="","",IF(INDIRECT(CONCATENATE($FK$12,Fixtures!JJ$25))=Fixtures!$DN67,CONCATENATE(JJ$10,", "),""))</f>
        <v/>
      </c>
      <c r="JK67" s="713" t="str">
        <f ca="1">IF(INDIRECT(CONCATENATE($FK$12,Fixtures!JK$25))="","",IF(INDIRECT(CONCATENATE($FK$12,Fixtures!JK$25))=Fixtures!$DN67,CONCATENATE(JK$10,", "),""))</f>
        <v/>
      </c>
      <c r="JL67" s="713" t="str">
        <f ca="1">IF(INDIRECT(CONCATENATE($FK$12,Fixtures!JL$25))="","",IF(INDIRECT(CONCATENATE($FK$12,Fixtures!JL$25))=Fixtures!$DN67,CONCATENATE(JL$10,", "),""))</f>
        <v/>
      </c>
      <c r="JM67" s="713" t="str">
        <f ca="1">IF(INDIRECT(CONCATENATE($FK$12,Fixtures!JM$25))="","",IF(INDIRECT(CONCATENATE($FK$12,Fixtures!JM$25))=Fixtures!$DN67,CONCATENATE(JM$10,", "),""))</f>
        <v/>
      </c>
      <c r="JN67" s="713" t="str">
        <f ca="1">IF(INDIRECT(CONCATENATE($FK$12,Fixtures!JN$25))="","",IF(INDIRECT(CONCATENATE($FK$12,Fixtures!JN$25))=Fixtures!$DN67,CONCATENATE(JN$10,", "),""))</f>
        <v/>
      </c>
      <c r="JO67" s="713" t="str">
        <f ca="1">IF(INDIRECT(CONCATENATE($FK$12,Fixtures!JO$25))="","",IF(INDIRECT(CONCATENATE($FK$12,Fixtures!JO$25))=Fixtures!$DN67,CONCATENATE(JO$10,", "),""))</f>
        <v/>
      </c>
      <c r="JP67" s="713" t="str">
        <f ca="1">IF(INDIRECT(CONCATENATE($FK$12,Fixtures!JP$25))="","",IF(INDIRECT(CONCATENATE($FK$12,Fixtures!JP$25))=Fixtures!$DN67,CONCATENATE(JP$10,", "),""))</f>
        <v/>
      </c>
      <c r="JQ67" s="713" t="str">
        <f ca="1">IF(INDIRECT(CONCATENATE($FK$12,Fixtures!JQ$25))="","",IF(INDIRECT(CONCATENATE($FK$12,Fixtures!JQ$25))=Fixtures!$DN67,CONCATENATE(JQ$10,", "),""))</f>
        <v/>
      </c>
      <c r="JR67" s="713" t="str">
        <f ca="1">IF(INDIRECT(CONCATENATE($FK$12,Fixtures!JR$25))="","",IF(INDIRECT(CONCATENATE($FK$12,Fixtures!JR$25))=Fixtures!$DN67,CONCATENATE(JR$10,", "),""))</f>
        <v/>
      </c>
      <c r="JS67" s="713" t="str">
        <f ca="1">IF(INDIRECT(CONCATENATE($FK$12,Fixtures!JS$25))="","",IF(INDIRECT(CONCATENATE($FK$12,Fixtures!JS$25))=Fixtures!$DN67,CONCATENATE(JS$10,", "),""))</f>
        <v/>
      </c>
      <c r="JT67" s="713" t="str">
        <f ca="1">IF(INDIRECT(CONCATENATE($FK$12,Fixtures!JT$25))="","",IF(INDIRECT(CONCATENATE($FK$12,Fixtures!JT$25))=Fixtures!$DN67,CONCATENATE(JT$10,", "),""))</f>
        <v/>
      </c>
      <c r="JU67" s="684" t="str">
        <f ca="1">IF(INDIRECT(CONCATENATE($FK$12,Fixtures!JU$25))="","",IF(INDIRECT(CONCATENATE($FK$12,Fixtures!JU$25))=Fixtures!$DN67,CONCATENATE(JU$10,", "),""))</f>
        <v/>
      </c>
      <c r="JV67" s="685" t="str">
        <f ca="1">IF(INDIRECT(CONCATENATE($FK$12,Fixtures!JV$25))="","",IF(INDIRECT(CONCATENATE($FK$12,Fixtures!JV$25))=Fixtures!$DN67,CONCATENATE(JV$10,", "),""))</f>
        <v/>
      </c>
      <c r="JW67" s="713" t="str">
        <f ca="1">IF(INDIRECT(CONCATENATE($FK$12,Fixtures!JW$25))="","",IF(INDIRECT(CONCATENATE($FK$12,Fixtures!JW$25))=Fixtures!$DN67,CONCATENATE(JW$10,", "),""))</f>
        <v/>
      </c>
      <c r="JX67" s="713" t="str">
        <f ca="1">IF(INDIRECT(CONCATENATE($FK$12,Fixtures!JX$25))="","",IF(INDIRECT(CONCATENATE($FK$12,Fixtures!JX$25))=Fixtures!$DN67,CONCATENATE(JX$10,", "),""))</f>
        <v/>
      </c>
      <c r="JY67" s="713" t="str">
        <f ca="1">IF(INDIRECT(CONCATENATE($FK$12,Fixtures!JY$25))="","",IF(INDIRECT(CONCATENATE($FK$12,Fixtures!JY$25))=Fixtures!$DN67,CONCATENATE(JY$10,", "),""))</f>
        <v/>
      </c>
      <c r="JZ67" s="713" t="str">
        <f ca="1">IF(INDIRECT(CONCATENATE($FK$12,Fixtures!JZ$25))="","",IF(INDIRECT(CONCATENATE($FK$12,Fixtures!JZ$25))=Fixtures!$DN67,CONCATENATE(JZ$10,", "),""))</f>
        <v/>
      </c>
      <c r="KA67" s="713" t="str">
        <f ca="1">IF(INDIRECT(CONCATENATE($FK$12,Fixtures!KA$25))="","",IF(INDIRECT(CONCATENATE($FK$12,Fixtures!KA$25))=Fixtures!$DN67,CONCATENATE(KA$10,", "),""))</f>
        <v/>
      </c>
      <c r="KB67" s="713" t="str">
        <f ca="1">IF(INDIRECT(CONCATENATE($FK$12,Fixtures!KB$25))="","",IF(INDIRECT(CONCATENATE($FK$12,Fixtures!KB$25))=Fixtures!$DN67,CONCATENATE(KB$10,", "),""))</f>
        <v/>
      </c>
      <c r="KC67" s="713" t="str">
        <f ca="1">IF(INDIRECT(CONCATENATE($FK$12,Fixtures!KC$25))="","",IF(INDIRECT(CONCATENATE($FK$12,Fixtures!KC$25))=Fixtures!$DN67,CONCATENATE(KC$10,", "),""))</f>
        <v/>
      </c>
      <c r="KD67" s="713" t="str">
        <f ca="1">IF(INDIRECT(CONCATENATE($FK$12,Fixtures!KD$25))="","",IF(INDIRECT(CONCATENATE($FK$12,Fixtures!KD$25))=Fixtures!$DN67,CONCATENATE(KD$10,", "),""))</f>
        <v/>
      </c>
      <c r="KE67" s="713" t="str">
        <f ca="1">IF(INDIRECT(CONCATENATE($FK$12,Fixtures!KE$25))="","",IF(INDIRECT(CONCATENATE($FK$12,Fixtures!KE$25))=Fixtures!$DN67,CONCATENATE(KE$10,", "),""))</f>
        <v/>
      </c>
      <c r="KF67" s="713" t="str">
        <f ca="1">IF(INDIRECT(CONCATENATE($FK$12,Fixtures!KF$25))="","",IF(INDIRECT(CONCATENATE($FK$12,Fixtures!KF$25))=Fixtures!$DN67,CONCATENATE(KF$10,", "),""))</f>
        <v/>
      </c>
      <c r="KG67" s="713" t="str">
        <f ca="1">IF(INDIRECT(CONCATENATE($FK$12,Fixtures!KG$25))="","",IF(INDIRECT(CONCATENATE($FK$12,Fixtures!KG$25))=Fixtures!$DN67,CONCATENATE(KG$10,", "),""))</f>
        <v/>
      </c>
      <c r="KH67" s="713" t="str">
        <f ca="1">IF(INDIRECT(CONCATENATE($FK$12,Fixtures!KH$25))="","",IF(INDIRECT(CONCATENATE($FK$12,Fixtures!KH$25))=Fixtures!$DN67,CONCATENATE(KH$10,", "),""))</f>
        <v/>
      </c>
      <c r="KI67" s="713" t="str">
        <f ca="1">IF(INDIRECT(CONCATENATE($FK$12,Fixtures!KI$25))="","",IF(INDIRECT(CONCATENATE($FK$12,Fixtures!KI$25))=Fixtures!$DN67,CONCATENATE(KI$10,", "),""))</f>
        <v/>
      </c>
      <c r="KJ67" s="684" t="str">
        <f ca="1">IF(INDIRECT(CONCATENATE($FK$12,Fixtures!KJ$25))="","",IF(INDIRECT(CONCATENATE($FK$12,Fixtures!KJ$25))=Fixtures!$DN67,CONCATENATE(KJ$10,", "),""))</f>
        <v/>
      </c>
      <c r="KK67" s="685" t="str">
        <f ca="1">IF(INDIRECT(CONCATENATE($FK$12,Fixtures!KK$25))="","",IF(INDIRECT(CONCATENATE($FK$12,Fixtures!KK$25))=Fixtures!$DN67,CONCATENATE(KK$10,", "),""))</f>
        <v/>
      </c>
      <c r="KL67" s="713" t="str">
        <f ca="1">IF(INDIRECT(CONCATENATE($FK$12,Fixtures!KL$25))="","",IF(INDIRECT(CONCATENATE($FK$12,Fixtures!KL$25))=Fixtures!$DN67,CONCATENATE(KL$10,", "),""))</f>
        <v/>
      </c>
      <c r="KM67" s="713" t="str">
        <f ca="1">IF(INDIRECT(CONCATENATE($FK$12,Fixtures!KM$25))="","",IF(INDIRECT(CONCATENATE($FK$12,Fixtures!KM$25))=Fixtures!$DN67,CONCATENATE(KM$10,", "),""))</f>
        <v/>
      </c>
      <c r="KN67" s="713" t="str">
        <f ca="1">IF(INDIRECT(CONCATENATE($FK$12,Fixtures!KN$25))="","",IF(INDIRECT(CONCATENATE($FK$12,Fixtures!KN$25))=Fixtures!$DN67,CONCATENATE(KN$10,", "),""))</f>
        <v/>
      </c>
      <c r="KO67" s="713" t="str">
        <f ca="1">IF(INDIRECT(CONCATENATE($FK$12,Fixtures!KO$25))="","",IF(INDIRECT(CONCATENATE($FK$12,Fixtures!KO$25))=Fixtures!$DN67,CONCATENATE(KO$10,", "),""))</f>
        <v/>
      </c>
      <c r="KP67" s="713" t="str">
        <f ca="1">IF(INDIRECT(CONCATENATE($FK$12,Fixtures!KP$25))="","",IF(INDIRECT(CONCATENATE($FK$12,Fixtures!KP$25))=Fixtures!$DN67,CONCATENATE(KP$10,", "),""))</f>
        <v/>
      </c>
      <c r="KQ67" s="713" t="str">
        <f ca="1">IF(INDIRECT(CONCATENATE($FK$12,Fixtures!KQ$25))="","",IF(INDIRECT(CONCATENATE($FK$12,Fixtures!KQ$25))=Fixtures!$DN67,CONCATENATE(KQ$10,", "),""))</f>
        <v/>
      </c>
      <c r="KR67" s="713" t="str">
        <f ca="1">IF(INDIRECT(CONCATENATE($FK$12,Fixtures!KR$25))="","",IF(INDIRECT(CONCATENATE($FK$12,Fixtures!KR$25))=Fixtures!$DN67,CONCATENATE(KR$10,", "),""))</f>
        <v/>
      </c>
      <c r="KS67" s="713" t="str">
        <f ca="1">IF(INDIRECT(CONCATENATE($FK$12,Fixtures!KS$25))="","",IF(INDIRECT(CONCATENATE($FK$12,Fixtures!KS$25))=Fixtures!$DN67,CONCATENATE(KS$10,", "),""))</f>
        <v/>
      </c>
      <c r="KT67" s="713" t="str">
        <f ca="1">IF(INDIRECT(CONCATENATE($FK$12,Fixtures!KT$25))="","",IF(INDIRECT(CONCATENATE($FK$12,Fixtures!KT$25))=Fixtures!$DN67,CONCATENATE(KT$10,", "),""))</f>
        <v/>
      </c>
      <c r="KU67" s="713" t="str">
        <f ca="1">IF(INDIRECT(CONCATENATE($FK$12,Fixtures!KU$25))="","",IF(INDIRECT(CONCATENATE($FK$12,Fixtures!KU$25))=Fixtures!$DN67,CONCATENATE(KU$10,", "),""))</f>
        <v/>
      </c>
      <c r="KV67" s="713" t="str">
        <f ca="1">IF(INDIRECT(CONCATENATE($FK$12,Fixtures!KV$25))="","",IF(INDIRECT(CONCATENATE($FK$12,Fixtures!KV$25))=Fixtures!$DN67,CONCATENATE(KV$10,", "),""))</f>
        <v/>
      </c>
      <c r="KW67" s="713" t="str">
        <f ca="1">IF(INDIRECT(CONCATENATE($FK$12,Fixtures!KW$25))="","",IF(INDIRECT(CONCATENATE($FK$12,Fixtures!KW$25))=Fixtures!$DN67,CONCATENATE(KW$10,", "),""))</f>
        <v/>
      </c>
      <c r="KX67" s="713" t="str">
        <f ca="1">IF(INDIRECT(CONCATENATE($FK$12,Fixtures!KX$25))="","",IF(INDIRECT(CONCATENATE($FK$12,Fixtures!KX$25))=Fixtures!$DN67,CONCATENATE(KX$10,", "),""))</f>
        <v/>
      </c>
      <c r="KY67" s="713" t="str">
        <f ca="1">IF(INDIRECT(CONCATENATE($FK$12,Fixtures!KY$25))="","",IF(INDIRECT(CONCATENATE($FK$12,Fixtures!KY$25))=Fixtures!$DN67,CONCATENATE(KY$10,", "),""))</f>
        <v/>
      </c>
      <c r="KZ67" s="602"/>
      <c r="LA67" s="46" t="str">
        <f t="shared" ca="1" si="38"/>
        <v/>
      </c>
    </row>
    <row r="68" spans="1:313" ht="28.05" customHeight="1" thickTop="1" thickBot="1">
      <c r="A68" s="471" t="str">
        <f t="shared" si="13"/>
        <v/>
      </c>
      <c r="C68" s="1328" t="str">
        <f t="shared" si="14"/>
        <v/>
      </c>
      <c r="D68" s="1329"/>
      <c r="E68" s="1256" t="str">
        <f t="shared" si="15"/>
        <v/>
      </c>
      <c r="F68" s="1257"/>
      <c r="G68" s="1257"/>
      <c r="H68" s="1257"/>
      <c r="I68" s="1257"/>
      <c r="J68" s="1257"/>
      <c r="K68" s="1257"/>
      <c r="L68" s="1257"/>
      <c r="M68" s="1330"/>
      <c r="N68" s="239" t="str">
        <f t="shared" si="16"/>
        <v/>
      </c>
      <c r="O68" s="12"/>
      <c r="P68" s="1326" t="str">
        <f t="shared" si="25"/>
        <v/>
      </c>
      <c r="Q68" s="1327"/>
      <c r="R68" s="1256" t="str">
        <f t="shared" si="31"/>
        <v/>
      </c>
      <c r="S68" s="1257"/>
      <c r="T68" s="1257"/>
      <c r="U68" s="1257"/>
      <c r="V68" s="1257"/>
      <c r="W68" s="1257"/>
      <c r="X68" s="1257"/>
      <c r="Y68" s="239" t="str">
        <f t="shared" si="27"/>
        <v/>
      </c>
      <c r="Z68" s="239" t="str">
        <f t="shared" si="28"/>
        <v/>
      </c>
      <c r="AA68" s="439" t="str">
        <f t="shared" si="29"/>
        <v/>
      </c>
      <c r="AB68" s="542"/>
      <c r="AC68" s="1253" t="str">
        <f t="shared" si="17"/>
        <v/>
      </c>
      <c r="AD68" s="1166"/>
      <c r="AE68" s="1166"/>
      <c r="AF68" s="1166"/>
      <c r="AG68" s="1166"/>
      <c r="AH68" s="1166"/>
      <c r="AK68">
        <f>SUMIFS(Installations!CS$39:CS$800,Installations!CT$39:CT$800,E68,Installations!HX$39:HX$800,TRUE)</f>
        <v>0</v>
      </c>
      <c r="AL68">
        <f>SUMIFS(Installations!CS$39:CS$800,Installations!CT$39:CT$800,R68,Installations!HX$39:HX$800,TRUE)</f>
        <v>0</v>
      </c>
      <c r="BL68" s="9"/>
      <c r="BM68" s="703" t="str">
        <f t="shared" si="18"/>
        <v/>
      </c>
      <c r="BN68" s="52"/>
      <c r="BO68" s="52"/>
      <c r="BP68" s="52"/>
      <c r="BQ68" s="52"/>
      <c r="BR68" s="52"/>
      <c r="BS68" s="52"/>
      <c r="BT68" s="52"/>
      <c r="BU68" s="414"/>
      <c r="BV68" s="255" t="str">
        <f>IF(CN68&lt;&gt;"Yes","",IFERROR(VLOOKUP(CU68,Existing!A$4:F$364,2,FALSE),""))</f>
        <v/>
      </c>
      <c r="BW68" s="9">
        <v>42</v>
      </c>
      <c r="BX68" s="1313"/>
      <c r="BY68" s="1314"/>
      <c r="BZ68" s="1314"/>
      <c r="CA68" s="1315"/>
      <c r="CB68" s="1310"/>
      <c r="CC68" s="1311"/>
      <c r="CD68" s="1311"/>
      <c r="CE68" s="1312"/>
      <c r="CF68" s="1309"/>
      <c r="CG68" s="1309"/>
      <c r="CH68" s="1309"/>
      <c r="CI68" s="1309"/>
      <c r="CJ68" s="1309"/>
      <c r="CK68" s="1309"/>
      <c r="CL68" s="1309"/>
      <c r="CM68" s="1309"/>
      <c r="CN68" s="1243" t="str">
        <f t="shared" si="32"/>
        <v/>
      </c>
      <c r="CO68" s="1244"/>
      <c r="CP68" s="265" t="str">
        <f>IFERROR(IF(CB68="Existing TLED",CR68*CW68*CY68,VLOOKUP(CU68,Existing!A$3:F$353,6,FALSE)),"")</f>
        <v/>
      </c>
      <c r="CQ68" s="9"/>
      <c r="CR68" s="1343"/>
      <c r="CS68" s="1344"/>
      <c r="CT68" s="9"/>
      <c r="CU68" s="470" t="str">
        <f t="shared" si="21"/>
        <v/>
      </c>
      <c r="CV68" s="471" t="b">
        <f t="shared" si="22"/>
        <v>0</v>
      </c>
      <c r="CW68" s="471" t="str">
        <f t="shared" si="23"/>
        <v/>
      </c>
      <c r="CX68" s="471">
        <f>IFERROR(VLOOKUP(CF68,Lookup!M$100:O$102,3,FALSE),0)</f>
        <v>0</v>
      </c>
      <c r="CY68" s="471">
        <f t="shared" si="9"/>
        <v>1.1100000000000001</v>
      </c>
      <c r="CZ68" s="707" t="b">
        <f t="shared" si="33"/>
        <v>0</v>
      </c>
      <c r="DA68" s="707" t="b">
        <f>IF(CF68&lt;&gt;"",IF(ISERROR(MATCH(CONCATENATE(CB68," - ",CF68),Existing!G$4:G$328,0))=TRUE,FALSE,TRUE),TRUE)</f>
        <v>1</v>
      </c>
      <c r="DB68" s="707" t="b">
        <f t="shared" si="34"/>
        <v>1</v>
      </c>
      <c r="DL68" s="9"/>
      <c r="DM68" s="708" t="s">
        <v>166</v>
      </c>
      <c r="DN68" s="416" t="str">
        <f t="shared" si="35"/>
        <v/>
      </c>
      <c r="DO68" s="52"/>
      <c r="DP68" s="52"/>
      <c r="DQ68" s="52"/>
      <c r="DR68" s="52"/>
      <c r="DS68" s="52"/>
      <c r="DT68" s="262"/>
      <c r="DU68" s="417"/>
      <c r="DV68" s="263" t="str">
        <f t="shared" si="36"/>
        <v/>
      </c>
      <c r="DW68" s="260">
        <v>42</v>
      </c>
      <c r="DX68" s="1306"/>
      <c r="DY68" s="1307"/>
      <c r="DZ68" s="1307"/>
      <c r="EA68" s="1308"/>
      <c r="EB68" s="1306"/>
      <c r="EC68" s="1307"/>
      <c r="ED68" s="1307"/>
      <c r="EE68" s="1308"/>
      <c r="EF68" s="1266"/>
      <c r="EG68" s="1267"/>
      <c r="EH68" s="1306"/>
      <c r="EI68" s="1307"/>
      <c r="EJ68" s="1307"/>
      <c r="EK68" s="1308"/>
      <c r="EL68" s="1263"/>
      <c r="EM68" s="1264"/>
      <c r="EN68" s="1264"/>
      <c r="EO68" s="1265"/>
      <c r="EP68" s="1266"/>
      <c r="EQ68" s="1267"/>
      <c r="ER68" s="1245"/>
      <c r="ES68" s="1246"/>
      <c r="ET68" s="1243" t="str">
        <f t="shared" si="5"/>
        <v/>
      </c>
      <c r="EU68" s="1244"/>
      <c r="EV68" s="1243" t="str">
        <f t="shared" si="30"/>
        <v/>
      </c>
      <c r="EW68" s="1244"/>
      <c r="EX68" s="438"/>
      <c r="EY68" s="261" t="str">
        <f t="shared" si="37"/>
        <v/>
      </c>
      <c r="EZ68" s="261" t="str">
        <f>IFERROR(VLOOKUP(EB68,Lookup!AM$3:AN$13,2,FALSE),"")</f>
        <v/>
      </c>
      <c r="FA68" s="471" t="b">
        <f>IFERROR(IF(VLOOKUP(EB68,Lookup!AM$6:AN$8,2,FALSE)&gt;3,TRUE,FALSE),FALSE)</f>
        <v>0</v>
      </c>
      <c r="FB68" s="471">
        <f t="shared" si="11"/>
        <v>1</v>
      </c>
      <c r="FC68" t="str">
        <f t="shared" ca="1" si="10"/>
        <v/>
      </c>
      <c r="FG68" t="str">
        <f t="shared" ca="1" si="12"/>
        <v/>
      </c>
      <c r="FI68" s="240" t="str">
        <f t="shared" ca="1" si="24"/>
        <v/>
      </c>
      <c r="FK68" s="712" t="str">
        <f ca="1">IF(INDIRECT(CONCATENATE($FK$12,Fixtures!FK$25))="","",IF(INDIRECT(CONCATENATE($FK$12,Fixtures!FK$25))=Fixtures!$DN68,CONCATENATE(FK$10,", "),""))</f>
        <v/>
      </c>
      <c r="FL68" s="712" t="str">
        <f ca="1">IF(INDIRECT(CONCATENATE($FK$12,Fixtures!FL$25))="","",IF(INDIRECT(CONCATENATE($FK$12,Fixtures!FL$25))=Fixtures!$DN68,CONCATENATE(FL$10,", "),""))</f>
        <v/>
      </c>
      <c r="FM68" s="712" t="str">
        <f ca="1">IF(INDIRECT(CONCATENATE($FK$12,Fixtures!FM$25))="","",IF(INDIRECT(CONCATENATE($FK$12,Fixtures!FM$25))=Fixtures!$DN68,CONCATENATE(FM$10,", "),""))</f>
        <v/>
      </c>
      <c r="FN68" s="712" t="str">
        <f ca="1">IF(INDIRECT(CONCATENATE($FK$12,Fixtures!FN$25))="","",IF(INDIRECT(CONCATENATE($FK$12,Fixtures!FN$25))=Fixtures!$DN68,CONCATENATE(FN$10,", "),""))</f>
        <v/>
      </c>
      <c r="FO68" s="712" t="str">
        <f ca="1">IF(INDIRECT(CONCATENATE($FK$12,Fixtures!FO$25))="","",IF(INDIRECT(CONCATENATE($FK$12,Fixtures!FO$25))=Fixtures!$DN68,CONCATENATE(FO$10,", "),""))</f>
        <v/>
      </c>
      <c r="FP68" s="712" t="str">
        <f ca="1">IF(INDIRECT(CONCATENATE($FK$12,Fixtures!FP$25))="","",IF(INDIRECT(CONCATENATE($FK$12,Fixtures!FP$25))=Fixtures!$DN68,CONCATENATE(FP$10,", "),""))</f>
        <v/>
      </c>
      <c r="FQ68" s="712" t="str">
        <f ca="1">IF(INDIRECT(CONCATENATE($FK$12,Fixtures!FQ$25))="","",IF(INDIRECT(CONCATENATE($FK$12,Fixtures!FQ$25))=Fixtures!$DN68,CONCATENATE(FQ$10,", "),""))</f>
        <v/>
      </c>
      <c r="FR68" s="712" t="str">
        <f ca="1">IF(INDIRECT(CONCATENATE($FK$12,Fixtures!FR$25))="","",IF(INDIRECT(CONCATENATE($FK$12,Fixtures!FR$25))=Fixtures!$DN68,CONCATENATE(FR$10,", "),""))</f>
        <v/>
      </c>
      <c r="FS68" s="712" t="str">
        <f ca="1">IF(INDIRECT(CONCATENATE($FK$12,Fixtures!FS$25))="","",IF(INDIRECT(CONCATENATE($FK$12,Fixtures!FS$25))=Fixtures!$DN68,CONCATENATE(FS$10,", "),""))</f>
        <v/>
      </c>
      <c r="FT68" s="682" t="str">
        <f ca="1">IF(INDIRECT(CONCATENATE($FK$12,Fixtures!FT$25))="","",IF(INDIRECT(CONCATENATE($FK$12,Fixtures!FT$25))=Fixtures!$DN68,CONCATENATE(FT$10,", "),""))</f>
        <v/>
      </c>
      <c r="FU68" s="683" t="str">
        <f ca="1">IF(INDIRECT(CONCATENATE($FK$12,Fixtures!FU$25))="","",IF(INDIRECT(CONCATENATE($FK$12,Fixtures!FU$25))=Fixtures!$DN68,CONCATENATE(FU$10,", "),""))</f>
        <v/>
      </c>
      <c r="FV68" s="712" t="str">
        <f ca="1">IF(INDIRECT(CONCATENATE($FK$12,Fixtures!FV$25))="","",IF(INDIRECT(CONCATENATE($FK$12,Fixtures!FV$25))=Fixtures!$DN68,CONCATENATE(FV$10,", "),""))</f>
        <v/>
      </c>
      <c r="FW68" s="713" t="str">
        <f ca="1">IF(INDIRECT(CONCATENATE($FK$12,Fixtures!FW$25))="","",IF(INDIRECT(CONCATENATE($FK$12,Fixtures!FW$25))=Fixtures!$DN68,CONCATENATE(FW$10,", "),""))</f>
        <v/>
      </c>
      <c r="FX68" s="713" t="str">
        <f ca="1">IF(INDIRECT(CONCATENATE($FK$12,Fixtures!FX$25))="","",IF(INDIRECT(CONCATENATE($FK$12,Fixtures!FX$25))=Fixtures!$DN68,CONCATENATE(FX$10,", "),""))</f>
        <v/>
      </c>
      <c r="FY68" s="713" t="str">
        <f ca="1">IF(INDIRECT(CONCATENATE($FK$12,Fixtures!FY$25))="","",IF(INDIRECT(CONCATENATE($FK$12,Fixtures!FY$25))=Fixtures!$DN68,CONCATENATE(FY$10,", "),""))</f>
        <v/>
      </c>
      <c r="FZ68" s="713" t="str">
        <f ca="1">IF(INDIRECT(CONCATENATE($FK$12,Fixtures!FZ$25))="","",IF(INDIRECT(CONCATENATE($FK$12,Fixtures!FZ$25))=Fixtures!$DN68,CONCATENATE(FZ$10,", "),""))</f>
        <v/>
      </c>
      <c r="GA68" s="713" t="str">
        <f ca="1">IF(INDIRECT(CONCATENATE($FK$12,Fixtures!GA$25))="","",IF(INDIRECT(CONCATENATE($FK$12,Fixtures!GA$25))=Fixtures!$DN68,CONCATENATE(GA$10,", "),""))</f>
        <v/>
      </c>
      <c r="GB68" s="713" t="str">
        <f ca="1">IF(INDIRECT(CONCATENATE($FK$12,Fixtures!GB$25))="","",IF(INDIRECT(CONCATENATE($FK$12,Fixtures!GB$25))=Fixtures!$DN68,CONCATENATE(GB$10,", "),""))</f>
        <v/>
      </c>
      <c r="GC68" s="713" t="str">
        <f ca="1">IF(INDIRECT(CONCATENATE($FK$12,Fixtures!GC$25))="","",IF(INDIRECT(CONCATENATE($FK$12,Fixtures!GC$25))=Fixtures!$DN68,CONCATENATE(GC$10,", "),""))</f>
        <v/>
      </c>
      <c r="GD68" s="713" t="str">
        <f ca="1">IF(INDIRECT(CONCATENATE($FK$12,Fixtures!GD$25))="","",IF(INDIRECT(CONCATENATE($FK$12,Fixtures!GD$25))=Fixtures!$DN68,CONCATENATE(GD$10,", "),""))</f>
        <v/>
      </c>
      <c r="GE68" s="713" t="str">
        <f ca="1">IF(INDIRECT(CONCATENATE($FK$12,Fixtures!GE$25))="","",IF(INDIRECT(CONCATENATE($FK$12,Fixtures!GE$25))=Fixtures!$DN68,CONCATENATE(GE$10,", "),""))</f>
        <v/>
      </c>
      <c r="GF68" s="713" t="str">
        <f ca="1">IF(INDIRECT(CONCATENATE($FK$12,Fixtures!GF$25))="","",IF(INDIRECT(CONCATENATE($FK$12,Fixtures!GF$25))=Fixtures!$DN68,CONCATENATE(GF$10,", "),""))</f>
        <v/>
      </c>
      <c r="GG68" s="713" t="str">
        <f ca="1">IF(INDIRECT(CONCATENATE($FK$12,Fixtures!GG$25))="","",IF(INDIRECT(CONCATENATE($FK$12,Fixtures!GG$25))=Fixtures!$DN68,CONCATENATE(GG$10,", "),""))</f>
        <v/>
      </c>
      <c r="GH68" s="713" t="str">
        <f ca="1">IF(INDIRECT(CONCATENATE($FK$12,Fixtures!GH$25))="","",IF(INDIRECT(CONCATENATE($FK$12,Fixtures!GH$25))=Fixtures!$DN68,CONCATENATE(GH$10,", "),""))</f>
        <v/>
      </c>
      <c r="GI68" s="684" t="str">
        <f ca="1">IF(INDIRECT(CONCATENATE($FK$12,Fixtures!GI$25))="","",IF(INDIRECT(CONCATENATE($FK$12,Fixtures!GI$25))=Fixtures!$DN68,CONCATENATE(GI$10,", "),""))</f>
        <v/>
      </c>
      <c r="GJ68" s="685" t="str">
        <f ca="1">IF(INDIRECT(CONCATENATE($FK$12,Fixtures!GJ$25))="","",IF(INDIRECT(CONCATENATE($FK$12,Fixtures!GJ$25))=Fixtures!$DN68,CONCATENATE(GJ$10,", "),""))</f>
        <v/>
      </c>
      <c r="GK68" s="713" t="str">
        <f ca="1">IF(INDIRECT(CONCATENATE($FK$12,Fixtures!GK$25))="","",IF(INDIRECT(CONCATENATE($FK$12,Fixtures!GK$25))=Fixtures!$DN68,CONCATENATE(GK$10,", "),""))</f>
        <v/>
      </c>
      <c r="GL68" s="713" t="str">
        <f ca="1">IF(INDIRECT(CONCATENATE($FK$12,Fixtures!GL$25))="","",IF(INDIRECT(CONCATENATE($FK$12,Fixtures!GL$25))=Fixtures!$DN68,CONCATENATE(GL$10,", "),""))</f>
        <v/>
      </c>
      <c r="GM68" s="713" t="str">
        <f ca="1">IF(INDIRECT(CONCATENATE($FK$12,Fixtures!GM$25))="","",IF(INDIRECT(CONCATENATE($FK$12,Fixtures!GM$25))=Fixtures!$DN68,CONCATENATE(GM$10,", "),""))</f>
        <v/>
      </c>
      <c r="GN68" s="713" t="str">
        <f ca="1">IF(INDIRECT(CONCATENATE($FK$12,Fixtures!GN$25))="","",IF(INDIRECT(CONCATENATE($FK$12,Fixtures!GN$25))=Fixtures!$DN68,CONCATENATE(GN$10,", "),""))</f>
        <v/>
      </c>
      <c r="GO68" s="713" t="str">
        <f ca="1">IF(INDIRECT(CONCATENATE($FK$12,Fixtures!GO$25))="","",IF(INDIRECT(CONCATENATE($FK$12,Fixtures!GO$25))=Fixtures!$DN68,CONCATENATE(GO$10,", "),""))</f>
        <v/>
      </c>
      <c r="GP68" s="713" t="str">
        <f ca="1">IF(INDIRECT(CONCATENATE($FK$12,Fixtures!GP$25))="","",IF(INDIRECT(CONCATENATE($FK$12,Fixtures!GP$25))=Fixtures!$DN68,CONCATENATE(GP$10,", "),""))</f>
        <v/>
      </c>
      <c r="GQ68" s="713" t="str">
        <f ca="1">IF(INDIRECT(CONCATENATE($FK$12,Fixtures!GQ$25))="","",IF(INDIRECT(CONCATENATE($FK$12,Fixtures!GQ$25))=Fixtures!$DN68,CONCATENATE(GQ$10,", "),""))</f>
        <v/>
      </c>
      <c r="GR68" s="713" t="str">
        <f ca="1">IF(INDIRECT(CONCATENATE($FK$12,Fixtures!GR$25))="","",IF(INDIRECT(CONCATENATE($FK$12,Fixtures!GR$25))=Fixtures!$DN68,CONCATENATE(GR$10,", "),""))</f>
        <v/>
      </c>
      <c r="GS68" s="713" t="str">
        <f ca="1">IF(INDIRECT(CONCATENATE($FK$12,Fixtures!GS$25))="","",IF(INDIRECT(CONCATENATE($FK$12,Fixtures!GS$25))=Fixtures!$DN68,CONCATENATE(GS$10,", "),""))</f>
        <v/>
      </c>
      <c r="GT68" s="713" t="str">
        <f ca="1">IF(INDIRECT(CONCATENATE($FK$12,Fixtures!GT$25))="","",IF(INDIRECT(CONCATENATE($FK$12,Fixtures!GT$25))=Fixtures!$DN68,CONCATENATE(GT$10,", "),""))</f>
        <v/>
      </c>
      <c r="GU68" s="713" t="str">
        <f ca="1">IF(INDIRECT(CONCATENATE($FK$12,Fixtures!GU$25))="","",IF(INDIRECT(CONCATENATE($FK$12,Fixtures!GU$25))=Fixtures!$DN68,CONCATENATE(GU$10,", "),""))</f>
        <v/>
      </c>
      <c r="GV68" s="713" t="str">
        <f ca="1">IF(INDIRECT(CONCATENATE($FK$12,Fixtures!GV$25))="","",IF(INDIRECT(CONCATENATE($FK$12,Fixtures!GV$25))=Fixtures!$DN68,CONCATENATE(GV$10,", "),""))</f>
        <v/>
      </c>
      <c r="GW68" s="713" t="str">
        <f ca="1">IF(INDIRECT(CONCATENATE($FK$12,Fixtures!GW$25))="","",IF(INDIRECT(CONCATENATE($FK$12,Fixtures!GW$25))=Fixtures!$DN68,CONCATENATE(GW$10,", "),""))</f>
        <v/>
      </c>
      <c r="GX68" s="684" t="str">
        <f ca="1">IF(INDIRECT(CONCATENATE($FK$12,Fixtures!GX$25))="","",IF(INDIRECT(CONCATENATE($FK$12,Fixtures!GX$25))=Fixtures!$DN68,CONCATENATE(GX$10,", "),""))</f>
        <v/>
      </c>
      <c r="GY68" s="685" t="str">
        <f ca="1">IF(INDIRECT(CONCATENATE($FK$12,Fixtures!GY$25))="","",IF(INDIRECT(CONCATENATE($FK$12,Fixtures!GY$25))=Fixtures!$DN68,CONCATENATE(GY$10,", "),""))</f>
        <v/>
      </c>
      <c r="GZ68" s="713" t="str">
        <f ca="1">IF(INDIRECT(CONCATENATE($FK$12,Fixtures!GZ$25))="","",IF(INDIRECT(CONCATENATE($FK$12,Fixtures!GZ$25))=Fixtures!$DN68,CONCATENATE(GZ$10,", "),""))</f>
        <v/>
      </c>
      <c r="HA68" s="713" t="str">
        <f ca="1">IF(INDIRECT(CONCATENATE($FK$12,Fixtures!HA$25))="","",IF(INDIRECT(CONCATENATE($FK$12,Fixtures!HA$25))=Fixtures!$DN68,CONCATENATE(HA$10,", "),""))</f>
        <v/>
      </c>
      <c r="HB68" s="713" t="str">
        <f ca="1">IF(INDIRECT(CONCATENATE($FK$12,Fixtures!HB$25))="","",IF(INDIRECT(CONCATENATE($FK$12,Fixtures!HB$25))=Fixtures!$DN68,CONCATENATE(HB$10,", "),""))</f>
        <v/>
      </c>
      <c r="HC68" s="713" t="str">
        <f ca="1">IF(INDIRECT(CONCATENATE($FK$12,Fixtures!HC$25))="","",IF(INDIRECT(CONCATENATE($FK$12,Fixtures!HC$25))=Fixtures!$DN68,CONCATENATE(HC$10,", "),""))</f>
        <v/>
      </c>
      <c r="HD68" s="713" t="str">
        <f ca="1">IF(INDIRECT(CONCATENATE($FK$12,Fixtures!HD$25))="","",IF(INDIRECT(CONCATENATE($FK$12,Fixtures!HD$25))=Fixtures!$DN68,CONCATENATE(HD$10,", "),""))</f>
        <v/>
      </c>
      <c r="HE68" s="713" t="str">
        <f ca="1">IF(INDIRECT(CONCATENATE($FK$12,Fixtures!HE$25))="","",IF(INDIRECT(CONCATENATE($FK$12,Fixtures!HE$25))=Fixtures!$DN68,CONCATENATE(HE$10,", "),""))</f>
        <v/>
      </c>
      <c r="HF68" s="713" t="str">
        <f ca="1">IF(INDIRECT(CONCATENATE($FK$12,Fixtures!HF$25))="","",IF(INDIRECT(CONCATENATE($FK$12,Fixtures!HF$25))=Fixtures!$DN68,CONCATENATE(HF$10,", "),""))</f>
        <v/>
      </c>
      <c r="HG68" s="713" t="str">
        <f ca="1">IF(INDIRECT(CONCATENATE($FK$12,Fixtures!HG$25))="","",IF(INDIRECT(CONCATENATE($FK$12,Fixtures!HG$25))=Fixtures!$DN68,CONCATENATE(HG$10,", "),""))</f>
        <v/>
      </c>
      <c r="HH68" s="713" t="str">
        <f ca="1">IF(INDIRECT(CONCATENATE($FK$12,Fixtures!HH$25))="","",IF(INDIRECT(CONCATENATE($FK$12,Fixtures!HH$25))=Fixtures!$DN68,CONCATENATE(HH$10,", "),""))</f>
        <v/>
      </c>
      <c r="HI68" s="713" t="str">
        <f ca="1">IF(INDIRECT(CONCATENATE($FK$12,Fixtures!HI$25))="","",IF(INDIRECT(CONCATENATE($FK$12,Fixtures!HI$25))=Fixtures!$DN68,CONCATENATE(HI$10,", "),""))</f>
        <v/>
      </c>
      <c r="HJ68" s="713" t="str">
        <f ca="1">IF(INDIRECT(CONCATENATE($FK$12,Fixtures!HJ$25))="","",IF(INDIRECT(CONCATENATE($FK$12,Fixtures!HJ$25))=Fixtures!$DN68,CONCATENATE(HJ$10,", "),""))</f>
        <v/>
      </c>
      <c r="HK68" s="713" t="str">
        <f ca="1">IF(INDIRECT(CONCATENATE($FK$12,Fixtures!HK$25))="","",IF(INDIRECT(CONCATENATE($FK$12,Fixtures!HK$25))=Fixtures!$DN68,CONCATENATE(HK$10,", "),""))</f>
        <v/>
      </c>
      <c r="HL68" s="713" t="str">
        <f ca="1">IF(INDIRECT(CONCATENATE($FK$12,Fixtures!HL$25))="","",IF(INDIRECT(CONCATENATE($FK$12,Fixtures!HL$25))=Fixtures!$DN68,CONCATENATE(HL$10,", "),""))</f>
        <v/>
      </c>
      <c r="HM68" s="684" t="str">
        <f ca="1">IF(INDIRECT(CONCATENATE($FK$12,Fixtures!HM$25))="","",IF(INDIRECT(CONCATENATE($FK$12,Fixtures!HM$25))=Fixtures!$DN68,CONCATENATE(HM$10,", "),""))</f>
        <v/>
      </c>
      <c r="HN68" s="685" t="str">
        <f ca="1">IF(INDIRECT(CONCATENATE($FK$12,Fixtures!HN$25))="","",IF(INDIRECT(CONCATENATE($FK$12,Fixtures!HN$25))=Fixtures!$DN68,CONCATENATE(HN$10,", "),""))</f>
        <v/>
      </c>
      <c r="HO68" s="713" t="str">
        <f ca="1">IF(INDIRECT(CONCATENATE($FK$12,Fixtures!HO$25))="","",IF(INDIRECT(CONCATENATE($FK$12,Fixtures!HO$25))=Fixtures!$DN68,CONCATENATE(HO$10,", "),""))</f>
        <v/>
      </c>
      <c r="HP68" s="713" t="str">
        <f ca="1">IF(INDIRECT(CONCATENATE($FK$12,Fixtures!HP$25))="","",IF(INDIRECT(CONCATENATE($FK$12,Fixtures!HP$25))=Fixtures!$DN68,CONCATENATE(HP$10,", "),""))</f>
        <v/>
      </c>
      <c r="HQ68" s="713" t="str">
        <f ca="1">IF(INDIRECT(CONCATENATE($FK$12,Fixtures!HQ$25))="","",IF(INDIRECT(CONCATENATE($FK$12,Fixtures!HQ$25))=Fixtures!$DN68,CONCATENATE(HQ$10,", "),""))</f>
        <v/>
      </c>
      <c r="HR68" s="713" t="str">
        <f ca="1">IF(INDIRECT(CONCATENATE($FK$12,Fixtures!HR$25))="","",IF(INDIRECT(CONCATENATE($FK$12,Fixtures!HR$25))=Fixtures!$DN68,CONCATENATE(HR$10,", "),""))</f>
        <v/>
      </c>
      <c r="HS68" s="713" t="str">
        <f ca="1">IF(INDIRECT(CONCATENATE($FK$12,Fixtures!HS$25))="","",IF(INDIRECT(CONCATENATE($FK$12,Fixtures!HS$25))=Fixtures!$DN68,CONCATENATE(HS$10,", "),""))</f>
        <v/>
      </c>
      <c r="HT68" s="713" t="str">
        <f ca="1">IF(INDIRECT(CONCATENATE($FK$12,Fixtures!HT$25))="","",IF(INDIRECT(CONCATENATE($FK$12,Fixtures!HT$25))=Fixtures!$DN68,CONCATENATE(HT$10,", "),""))</f>
        <v/>
      </c>
      <c r="HU68" s="713" t="str">
        <f ca="1">IF(INDIRECT(CONCATENATE($FK$12,Fixtures!HU$25))="","",IF(INDIRECT(CONCATENATE($FK$12,Fixtures!HU$25))=Fixtures!$DN68,CONCATENATE(HU$10,", "),""))</f>
        <v/>
      </c>
      <c r="HV68" s="713" t="str">
        <f ca="1">IF(INDIRECT(CONCATENATE($FK$12,Fixtures!HV$25))="","",IF(INDIRECT(CONCATENATE($FK$12,Fixtures!HV$25))=Fixtures!$DN68,CONCATENATE(HV$10,", "),""))</f>
        <v/>
      </c>
      <c r="HW68" s="713" t="str">
        <f ca="1">IF(INDIRECT(CONCATENATE($FK$12,Fixtures!HW$25))="","",IF(INDIRECT(CONCATENATE($FK$12,Fixtures!HW$25))=Fixtures!$DN68,CONCATENATE(HW$10,", "),""))</f>
        <v/>
      </c>
      <c r="HX68" s="713" t="str">
        <f ca="1">IF(INDIRECT(CONCATENATE($FK$12,Fixtures!HX$25))="","",IF(INDIRECT(CONCATENATE($FK$12,Fixtures!HX$25))=Fixtures!$DN68,CONCATENATE(HX$10,", "),""))</f>
        <v/>
      </c>
      <c r="HY68" s="713" t="str">
        <f ca="1">IF(INDIRECT(CONCATENATE($FK$12,Fixtures!HY$25))="","",IF(INDIRECT(CONCATENATE($FK$12,Fixtures!HY$25))=Fixtures!$DN68,CONCATENATE(HY$10,", "),""))</f>
        <v/>
      </c>
      <c r="HZ68" s="713" t="str">
        <f ca="1">IF(INDIRECT(CONCATENATE($FK$12,Fixtures!HZ$25))="","",IF(INDIRECT(CONCATENATE($FK$12,Fixtures!HZ$25))=Fixtures!$DN68,CONCATENATE(HZ$10,", "),""))</f>
        <v/>
      </c>
      <c r="IA68" s="713" t="str">
        <f ca="1">IF(INDIRECT(CONCATENATE($FK$12,Fixtures!IA$25))="","",IF(INDIRECT(CONCATENATE($FK$12,Fixtures!IA$25))=Fixtures!$DN68,CONCATENATE(IA$10,", "),""))</f>
        <v/>
      </c>
      <c r="IB68" s="684" t="str">
        <f ca="1">IF(INDIRECT(CONCATENATE($FK$12,Fixtures!IB$25))="","",IF(INDIRECT(CONCATENATE($FK$12,Fixtures!IB$25))=Fixtures!$DN68,CONCATENATE(IB$10,", "),""))</f>
        <v/>
      </c>
      <c r="IC68" s="685" t="str">
        <f ca="1">IF(INDIRECT(CONCATENATE($FK$12,Fixtures!IC$25))="","",IF(INDIRECT(CONCATENATE($FK$12,Fixtures!IC$25))=Fixtures!$DN68,CONCATENATE(IC$10,", "),""))</f>
        <v/>
      </c>
      <c r="ID68" s="713" t="str">
        <f ca="1">IF(INDIRECT(CONCATENATE($FK$12,Fixtures!ID$25))="","",IF(INDIRECT(CONCATENATE($FK$12,Fixtures!ID$25))=Fixtures!$DN68,CONCATENATE(ID$10,", "),""))</f>
        <v/>
      </c>
      <c r="IE68" s="713" t="str">
        <f ca="1">IF(INDIRECT(CONCATENATE($FK$12,Fixtures!IE$25))="","",IF(INDIRECT(CONCATENATE($FK$12,Fixtures!IE$25))=Fixtures!$DN68,CONCATENATE(IE$10,", "),""))</f>
        <v/>
      </c>
      <c r="IF68" s="713" t="str">
        <f ca="1">IF(INDIRECT(CONCATENATE($FK$12,Fixtures!IF$25))="","",IF(INDIRECT(CONCATENATE($FK$12,Fixtures!IF$25))=Fixtures!$DN68,CONCATENATE(IF$10,", "),""))</f>
        <v/>
      </c>
      <c r="IG68" s="713" t="str">
        <f ca="1">IF(INDIRECT(CONCATENATE($FK$12,Fixtures!IG$25))="","",IF(INDIRECT(CONCATENATE($FK$12,Fixtures!IG$25))=Fixtures!$DN68,CONCATENATE(IG$10,", "),""))</f>
        <v/>
      </c>
      <c r="IH68" s="713" t="str">
        <f ca="1">IF(INDIRECT(CONCATENATE($FK$12,Fixtures!IH$25))="","",IF(INDIRECT(CONCATENATE($FK$12,Fixtures!IH$25))=Fixtures!$DN68,CONCATENATE(IH$10,", "),""))</f>
        <v/>
      </c>
      <c r="II68" s="713" t="str">
        <f ca="1">IF(INDIRECT(CONCATENATE($FK$12,Fixtures!II$25))="","",IF(INDIRECT(CONCATENATE($FK$12,Fixtures!II$25))=Fixtures!$DN68,CONCATENATE(II$10,", "),""))</f>
        <v/>
      </c>
      <c r="IJ68" s="713" t="str">
        <f ca="1">IF(INDIRECT(CONCATENATE($FK$12,Fixtures!IJ$25))="","",IF(INDIRECT(CONCATENATE($FK$12,Fixtures!IJ$25))=Fixtures!$DN68,CONCATENATE(IJ$10,", "),""))</f>
        <v/>
      </c>
      <c r="IK68" s="713" t="str">
        <f ca="1">IF(INDIRECT(CONCATENATE($FK$12,Fixtures!IK$25))="","",IF(INDIRECT(CONCATENATE($FK$12,Fixtures!IK$25))=Fixtures!$DN68,CONCATENATE(IK$10,", "),""))</f>
        <v/>
      </c>
      <c r="IL68" s="713" t="str">
        <f ca="1">IF(INDIRECT(CONCATENATE($FK$12,Fixtures!IL$25))="","",IF(INDIRECT(CONCATENATE($FK$12,Fixtures!IL$25))=Fixtures!$DN68,CONCATENATE(IL$10,", "),""))</f>
        <v/>
      </c>
      <c r="IM68" s="713" t="str">
        <f ca="1">IF(INDIRECT(CONCATENATE($FK$12,Fixtures!IM$25))="","",IF(INDIRECT(CONCATENATE($FK$12,Fixtures!IM$25))=Fixtures!$DN68,CONCATENATE(IM$10,", "),""))</f>
        <v/>
      </c>
      <c r="IN68" s="713" t="str">
        <f ca="1">IF(INDIRECT(CONCATENATE($FK$12,Fixtures!IN$25))="","",IF(INDIRECT(CONCATENATE($FK$12,Fixtures!IN$25))=Fixtures!$DN68,CONCATENATE(IN$10,", "),""))</f>
        <v/>
      </c>
      <c r="IO68" s="713" t="str">
        <f ca="1">IF(INDIRECT(CONCATENATE($FK$12,Fixtures!IO$25))="","",IF(INDIRECT(CONCATENATE($FK$12,Fixtures!IO$25))=Fixtures!$DN68,CONCATENATE(IO$10,", "),""))</f>
        <v/>
      </c>
      <c r="IP68" s="713" t="str">
        <f ca="1">IF(INDIRECT(CONCATENATE($FK$12,Fixtures!IP$25))="","",IF(INDIRECT(CONCATENATE($FK$12,Fixtures!IP$25))=Fixtures!$DN68,CONCATENATE(IP$10,", "),""))</f>
        <v/>
      </c>
      <c r="IQ68" s="684" t="str">
        <f ca="1">IF(INDIRECT(CONCATENATE($FK$12,Fixtures!IQ$25))="","",IF(INDIRECT(CONCATENATE($FK$12,Fixtures!IQ$25))=Fixtures!$DN68,CONCATENATE(IQ$10,", "),""))</f>
        <v/>
      </c>
      <c r="IR68" s="685" t="str">
        <f ca="1">IF(INDIRECT(CONCATENATE($FK$12,Fixtures!IR$25))="","",IF(INDIRECT(CONCATENATE($FK$12,Fixtures!IR$25))=Fixtures!$DN68,CONCATENATE(IR$10,", "),""))</f>
        <v/>
      </c>
      <c r="IS68" s="713" t="str">
        <f ca="1">IF(INDIRECT(CONCATENATE($FK$12,Fixtures!IS$25))="","",IF(INDIRECT(CONCATENATE($FK$12,Fixtures!IS$25))=Fixtures!$DN68,CONCATENATE(IS$10,", "),""))</f>
        <v/>
      </c>
      <c r="IT68" s="713" t="str">
        <f ca="1">IF(INDIRECT(CONCATENATE($FK$12,Fixtures!IT$25))="","",IF(INDIRECT(CONCATENATE($FK$12,Fixtures!IT$25))=Fixtures!$DN68,CONCATENATE(IT$10,", "),""))</f>
        <v/>
      </c>
      <c r="IU68" s="713" t="str">
        <f ca="1">IF(INDIRECT(CONCATENATE($FK$12,Fixtures!IU$25))="","",IF(INDIRECT(CONCATENATE($FK$12,Fixtures!IU$25))=Fixtures!$DN68,CONCATENATE(IU$10,", "),""))</f>
        <v/>
      </c>
      <c r="IV68" s="713" t="str">
        <f ca="1">IF(INDIRECT(CONCATENATE($FK$12,Fixtures!IV$25))="","",IF(INDIRECT(CONCATENATE($FK$12,Fixtures!IV$25))=Fixtures!$DN68,CONCATENATE(IV$10,", "),""))</f>
        <v/>
      </c>
      <c r="IW68" s="713" t="str">
        <f ca="1">IF(INDIRECT(CONCATENATE($FK$12,Fixtures!IW$25))="","",IF(INDIRECT(CONCATENATE($FK$12,Fixtures!IW$25))=Fixtures!$DN68,CONCATENATE(IW$10,", "),""))</f>
        <v/>
      </c>
      <c r="IX68" s="713" t="str">
        <f ca="1">IF(INDIRECT(CONCATENATE($FK$12,Fixtures!IX$25))="","",IF(INDIRECT(CONCATENATE($FK$12,Fixtures!IX$25))=Fixtures!$DN68,CONCATENATE(IX$10,", "),""))</f>
        <v/>
      </c>
      <c r="IY68" s="713" t="str">
        <f ca="1">IF(INDIRECT(CONCATENATE($FK$12,Fixtures!IY$25))="","",IF(INDIRECT(CONCATENATE($FK$12,Fixtures!IY$25))=Fixtures!$DN68,CONCATENATE(IY$10,", "),""))</f>
        <v/>
      </c>
      <c r="IZ68" s="713" t="str">
        <f ca="1">IF(INDIRECT(CONCATENATE($FK$12,Fixtures!IZ$25))="","",IF(INDIRECT(CONCATENATE($FK$12,Fixtures!IZ$25))=Fixtures!$DN68,CONCATENATE(IZ$10,", "),""))</f>
        <v/>
      </c>
      <c r="JA68" s="713" t="str">
        <f ca="1">IF(INDIRECT(CONCATENATE($FK$12,Fixtures!JA$25))="","",IF(INDIRECT(CONCATENATE($FK$12,Fixtures!JA$25))=Fixtures!$DN68,CONCATENATE(JA$10,", "),""))</f>
        <v/>
      </c>
      <c r="JB68" s="713" t="str">
        <f ca="1">IF(INDIRECT(CONCATENATE($FK$12,Fixtures!JB$25))="","",IF(INDIRECT(CONCATENATE($FK$12,Fixtures!JB$25))=Fixtures!$DN68,CONCATENATE(JB$10,", "),""))</f>
        <v/>
      </c>
      <c r="JC68" s="713" t="str">
        <f ca="1">IF(INDIRECT(CONCATENATE($FK$12,Fixtures!JC$25))="","",IF(INDIRECT(CONCATENATE($FK$12,Fixtures!JC$25))=Fixtures!$DN68,CONCATENATE(JC$10,", "),""))</f>
        <v/>
      </c>
      <c r="JD68" s="713" t="str">
        <f ca="1">IF(INDIRECT(CONCATENATE($FK$12,Fixtures!JD$25))="","",IF(INDIRECT(CONCATENATE($FK$12,Fixtures!JD$25))=Fixtures!$DN68,CONCATENATE(JD$10,", "),""))</f>
        <v/>
      </c>
      <c r="JE68" s="713" t="str">
        <f ca="1">IF(INDIRECT(CONCATENATE($FK$12,Fixtures!JE$25))="","",IF(INDIRECT(CONCATENATE($FK$12,Fixtures!JE$25))=Fixtures!$DN68,CONCATENATE(JE$10,", "),""))</f>
        <v/>
      </c>
      <c r="JF68" s="684" t="str">
        <f ca="1">IF(INDIRECT(CONCATENATE($FK$12,Fixtures!JF$25))="","",IF(INDIRECT(CONCATENATE($FK$12,Fixtures!JF$25))=Fixtures!$DN68,CONCATENATE(JF$10,", "),""))</f>
        <v/>
      </c>
      <c r="JG68" s="685" t="str">
        <f ca="1">IF(INDIRECT(CONCATENATE($FK$12,Fixtures!JG$25))="","",IF(INDIRECT(CONCATENATE($FK$12,Fixtures!JG$25))=Fixtures!$DN68,CONCATENATE(JG$10,", "),""))</f>
        <v/>
      </c>
      <c r="JH68" s="713" t="str">
        <f ca="1">IF(INDIRECT(CONCATENATE($FK$12,Fixtures!JH$25))="","",IF(INDIRECT(CONCATENATE($FK$12,Fixtures!JH$25))=Fixtures!$DN68,CONCATENATE(JH$10,", "),""))</f>
        <v/>
      </c>
      <c r="JI68" s="713" t="str">
        <f ca="1">IF(INDIRECT(CONCATENATE($FK$12,Fixtures!JI$25))="","",IF(INDIRECT(CONCATENATE($FK$12,Fixtures!JI$25))=Fixtures!$DN68,CONCATENATE(JI$10,", "),""))</f>
        <v/>
      </c>
      <c r="JJ68" s="713" t="str">
        <f ca="1">IF(INDIRECT(CONCATENATE($FK$12,Fixtures!JJ$25))="","",IF(INDIRECT(CONCATENATE($FK$12,Fixtures!JJ$25))=Fixtures!$DN68,CONCATENATE(JJ$10,", "),""))</f>
        <v/>
      </c>
      <c r="JK68" s="713" t="str">
        <f ca="1">IF(INDIRECT(CONCATENATE($FK$12,Fixtures!JK$25))="","",IF(INDIRECT(CONCATENATE($FK$12,Fixtures!JK$25))=Fixtures!$DN68,CONCATENATE(JK$10,", "),""))</f>
        <v/>
      </c>
      <c r="JL68" s="713" t="str">
        <f ca="1">IF(INDIRECT(CONCATENATE($FK$12,Fixtures!JL$25))="","",IF(INDIRECT(CONCATENATE($FK$12,Fixtures!JL$25))=Fixtures!$DN68,CONCATENATE(JL$10,", "),""))</f>
        <v/>
      </c>
      <c r="JM68" s="713" t="str">
        <f ca="1">IF(INDIRECT(CONCATENATE($FK$12,Fixtures!JM$25))="","",IF(INDIRECT(CONCATENATE($FK$12,Fixtures!JM$25))=Fixtures!$DN68,CONCATENATE(JM$10,", "),""))</f>
        <v/>
      </c>
      <c r="JN68" s="713" t="str">
        <f ca="1">IF(INDIRECT(CONCATENATE($FK$12,Fixtures!JN$25))="","",IF(INDIRECT(CONCATENATE($FK$12,Fixtures!JN$25))=Fixtures!$DN68,CONCATENATE(JN$10,", "),""))</f>
        <v/>
      </c>
      <c r="JO68" s="713" t="str">
        <f ca="1">IF(INDIRECT(CONCATENATE($FK$12,Fixtures!JO$25))="","",IF(INDIRECT(CONCATENATE($FK$12,Fixtures!JO$25))=Fixtures!$DN68,CONCATENATE(JO$10,", "),""))</f>
        <v/>
      </c>
      <c r="JP68" s="713" t="str">
        <f ca="1">IF(INDIRECT(CONCATENATE($FK$12,Fixtures!JP$25))="","",IF(INDIRECT(CONCATENATE($FK$12,Fixtures!JP$25))=Fixtures!$DN68,CONCATENATE(JP$10,", "),""))</f>
        <v/>
      </c>
      <c r="JQ68" s="713" t="str">
        <f ca="1">IF(INDIRECT(CONCATENATE($FK$12,Fixtures!JQ$25))="","",IF(INDIRECT(CONCATENATE($FK$12,Fixtures!JQ$25))=Fixtures!$DN68,CONCATENATE(JQ$10,", "),""))</f>
        <v/>
      </c>
      <c r="JR68" s="713" t="str">
        <f ca="1">IF(INDIRECT(CONCATENATE($FK$12,Fixtures!JR$25))="","",IF(INDIRECT(CONCATENATE($FK$12,Fixtures!JR$25))=Fixtures!$DN68,CONCATENATE(JR$10,", "),""))</f>
        <v/>
      </c>
      <c r="JS68" s="713" t="str">
        <f ca="1">IF(INDIRECT(CONCATENATE($FK$12,Fixtures!JS$25))="","",IF(INDIRECT(CONCATENATE($FK$12,Fixtures!JS$25))=Fixtures!$DN68,CONCATENATE(JS$10,", "),""))</f>
        <v/>
      </c>
      <c r="JT68" s="713" t="str">
        <f ca="1">IF(INDIRECT(CONCATENATE($FK$12,Fixtures!JT$25))="","",IF(INDIRECT(CONCATENATE($FK$12,Fixtures!JT$25))=Fixtures!$DN68,CONCATENATE(JT$10,", "),""))</f>
        <v/>
      </c>
      <c r="JU68" s="684" t="str">
        <f ca="1">IF(INDIRECT(CONCATENATE($FK$12,Fixtures!JU$25))="","",IF(INDIRECT(CONCATENATE($FK$12,Fixtures!JU$25))=Fixtures!$DN68,CONCATENATE(JU$10,", "),""))</f>
        <v/>
      </c>
      <c r="JV68" s="685" t="str">
        <f ca="1">IF(INDIRECT(CONCATENATE($FK$12,Fixtures!JV$25))="","",IF(INDIRECT(CONCATENATE($FK$12,Fixtures!JV$25))=Fixtures!$DN68,CONCATENATE(JV$10,", "),""))</f>
        <v/>
      </c>
      <c r="JW68" s="713" t="str">
        <f ca="1">IF(INDIRECT(CONCATENATE($FK$12,Fixtures!JW$25))="","",IF(INDIRECT(CONCATENATE($FK$12,Fixtures!JW$25))=Fixtures!$DN68,CONCATENATE(JW$10,", "),""))</f>
        <v/>
      </c>
      <c r="JX68" s="713" t="str">
        <f ca="1">IF(INDIRECT(CONCATENATE($FK$12,Fixtures!JX$25))="","",IF(INDIRECT(CONCATENATE($FK$12,Fixtures!JX$25))=Fixtures!$DN68,CONCATENATE(JX$10,", "),""))</f>
        <v/>
      </c>
      <c r="JY68" s="713" t="str">
        <f ca="1">IF(INDIRECT(CONCATENATE($FK$12,Fixtures!JY$25))="","",IF(INDIRECT(CONCATENATE($FK$12,Fixtures!JY$25))=Fixtures!$DN68,CONCATENATE(JY$10,", "),""))</f>
        <v/>
      </c>
      <c r="JZ68" s="713" t="str">
        <f ca="1">IF(INDIRECT(CONCATENATE($FK$12,Fixtures!JZ$25))="","",IF(INDIRECT(CONCATENATE($FK$12,Fixtures!JZ$25))=Fixtures!$DN68,CONCATENATE(JZ$10,", "),""))</f>
        <v/>
      </c>
      <c r="KA68" s="713" t="str">
        <f ca="1">IF(INDIRECT(CONCATENATE($FK$12,Fixtures!KA$25))="","",IF(INDIRECT(CONCATENATE($FK$12,Fixtures!KA$25))=Fixtures!$DN68,CONCATENATE(KA$10,", "),""))</f>
        <v/>
      </c>
      <c r="KB68" s="713" t="str">
        <f ca="1">IF(INDIRECT(CONCATENATE($FK$12,Fixtures!KB$25))="","",IF(INDIRECT(CONCATENATE($FK$12,Fixtures!KB$25))=Fixtures!$DN68,CONCATENATE(KB$10,", "),""))</f>
        <v/>
      </c>
      <c r="KC68" s="713" t="str">
        <f ca="1">IF(INDIRECT(CONCATENATE($FK$12,Fixtures!KC$25))="","",IF(INDIRECT(CONCATENATE($FK$12,Fixtures!KC$25))=Fixtures!$DN68,CONCATENATE(KC$10,", "),""))</f>
        <v/>
      </c>
      <c r="KD68" s="713" t="str">
        <f ca="1">IF(INDIRECT(CONCATENATE($FK$12,Fixtures!KD$25))="","",IF(INDIRECT(CONCATENATE($FK$12,Fixtures!KD$25))=Fixtures!$DN68,CONCATENATE(KD$10,", "),""))</f>
        <v/>
      </c>
      <c r="KE68" s="713" t="str">
        <f ca="1">IF(INDIRECT(CONCATENATE($FK$12,Fixtures!KE$25))="","",IF(INDIRECT(CONCATENATE($FK$12,Fixtures!KE$25))=Fixtures!$DN68,CONCATENATE(KE$10,", "),""))</f>
        <v/>
      </c>
      <c r="KF68" s="713" t="str">
        <f ca="1">IF(INDIRECT(CONCATENATE($FK$12,Fixtures!KF$25))="","",IF(INDIRECT(CONCATENATE($FK$12,Fixtures!KF$25))=Fixtures!$DN68,CONCATENATE(KF$10,", "),""))</f>
        <v/>
      </c>
      <c r="KG68" s="713" t="str">
        <f ca="1">IF(INDIRECT(CONCATENATE($FK$12,Fixtures!KG$25))="","",IF(INDIRECT(CONCATENATE($FK$12,Fixtures!KG$25))=Fixtures!$DN68,CONCATENATE(KG$10,", "),""))</f>
        <v/>
      </c>
      <c r="KH68" s="713" t="str">
        <f ca="1">IF(INDIRECT(CONCATENATE($FK$12,Fixtures!KH$25))="","",IF(INDIRECT(CONCATENATE($FK$12,Fixtures!KH$25))=Fixtures!$DN68,CONCATENATE(KH$10,", "),""))</f>
        <v/>
      </c>
      <c r="KI68" s="713" t="str">
        <f ca="1">IF(INDIRECT(CONCATENATE($FK$12,Fixtures!KI$25))="","",IF(INDIRECT(CONCATENATE($FK$12,Fixtures!KI$25))=Fixtures!$DN68,CONCATENATE(KI$10,", "),""))</f>
        <v/>
      </c>
      <c r="KJ68" s="684" t="str">
        <f ca="1">IF(INDIRECT(CONCATENATE($FK$12,Fixtures!KJ$25))="","",IF(INDIRECT(CONCATENATE($FK$12,Fixtures!KJ$25))=Fixtures!$DN68,CONCATENATE(KJ$10,", "),""))</f>
        <v/>
      </c>
      <c r="KK68" s="685" t="str">
        <f ca="1">IF(INDIRECT(CONCATENATE($FK$12,Fixtures!KK$25))="","",IF(INDIRECT(CONCATENATE($FK$12,Fixtures!KK$25))=Fixtures!$DN68,CONCATENATE(KK$10,", "),""))</f>
        <v/>
      </c>
      <c r="KL68" s="713" t="str">
        <f ca="1">IF(INDIRECT(CONCATENATE($FK$12,Fixtures!KL$25))="","",IF(INDIRECT(CONCATENATE($FK$12,Fixtures!KL$25))=Fixtures!$DN68,CONCATENATE(KL$10,", "),""))</f>
        <v/>
      </c>
      <c r="KM68" s="713" t="str">
        <f ca="1">IF(INDIRECT(CONCATENATE($FK$12,Fixtures!KM$25))="","",IF(INDIRECT(CONCATENATE($FK$12,Fixtures!KM$25))=Fixtures!$DN68,CONCATENATE(KM$10,", "),""))</f>
        <v/>
      </c>
      <c r="KN68" s="713" t="str">
        <f ca="1">IF(INDIRECT(CONCATENATE($FK$12,Fixtures!KN$25))="","",IF(INDIRECT(CONCATENATE($FK$12,Fixtures!KN$25))=Fixtures!$DN68,CONCATENATE(KN$10,", "),""))</f>
        <v/>
      </c>
      <c r="KO68" s="713" t="str">
        <f ca="1">IF(INDIRECT(CONCATENATE($FK$12,Fixtures!KO$25))="","",IF(INDIRECT(CONCATENATE($FK$12,Fixtures!KO$25))=Fixtures!$DN68,CONCATENATE(KO$10,", "),""))</f>
        <v/>
      </c>
      <c r="KP68" s="713" t="str">
        <f ca="1">IF(INDIRECT(CONCATENATE($FK$12,Fixtures!KP$25))="","",IF(INDIRECT(CONCATENATE($FK$12,Fixtures!KP$25))=Fixtures!$DN68,CONCATENATE(KP$10,", "),""))</f>
        <v/>
      </c>
      <c r="KQ68" s="713" t="str">
        <f ca="1">IF(INDIRECT(CONCATENATE($FK$12,Fixtures!KQ$25))="","",IF(INDIRECT(CONCATENATE($FK$12,Fixtures!KQ$25))=Fixtures!$DN68,CONCATENATE(KQ$10,", "),""))</f>
        <v/>
      </c>
      <c r="KR68" s="713" t="str">
        <f ca="1">IF(INDIRECT(CONCATENATE($FK$12,Fixtures!KR$25))="","",IF(INDIRECT(CONCATENATE($FK$12,Fixtures!KR$25))=Fixtures!$DN68,CONCATENATE(KR$10,", "),""))</f>
        <v/>
      </c>
      <c r="KS68" s="713" t="str">
        <f ca="1">IF(INDIRECT(CONCATENATE($FK$12,Fixtures!KS$25))="","",IF(INDIRECT(CONCATENATE($FK$12,Fixtures!KS$25))=Fixtures!$DN68,CONCATENATE(KS$10,", "),""))</f>
        <v/>
      </c>
      <c r="KT68" s="713" t="str">
        <f ca="1">IF(INDIRECT(CONCATENATE($FK$12,Fixtures!KT$25))="","",IF(INDIRECT(CONCATENATE($FK$12,Fixtures!KT$25))=Fixtures!$DN68,CONCATENATE(KT$10,", "),""))</f>
        <v/>
      </c>
      <c r="KU68" s="713" t="str">
        <f ca="1">IF(INDIRECT(CONCATENATE($FK$12,Fixtures!KU$25))="","",IF(INDIRECT(CONCATENATE($FK$12,Fixtures!KU$25))=Fixtures!$DN68,CONCATENATE(KU$10,", "),""))</f>
        <v/>
      </c>
      <c r="KV68" s="713" t="str">
        <f ca="1">IF(INDIRECT(CONCATENATE($FK$12,Fixtures!KV$25))="","",IF(INDIRECT(CONCATENATE($FK$12,Fixtures!KV$25))=Fixtures!$DN68,CONCATENATE(KV$10,", "),""))</f>
        <v/>
      </c>
      <c r="KW68" s="713" t="str">
        <f ca="1">IF(INDIRECT(CONCATENATE($FK$12,Fixtures!KW$25))="","",IF(INDIRECT(CONCATENATE($FK$12,Fixtures!KW$25))=Fixtures!$DN68,CONCATENATE(KW$10,", "),""))</f>
        <v/>
      </c>
      <c r="KX68" s="713" t="str">
        <f ca="1">IF(INDIRECT(CONCATENATE($FK$12,Fixtures!KX$25))="","",IF(INDIRECT(CONCATENATE($FK$12,Fixtures!KX$25))=Fixtures!$DN68,CONCATENATE(KX$10,", "),""))</f>
        <v/>
      </c>
      <c r="KY68" s="713" t="str">
        <f ca="1">IF(INDIRECT(CONCATENATE($FK$12,Fixtures!KY$25))="","",IF(INDIRECT(CONCATENATE($FK$12,Fixtures!KY$25))=Fixtures!$DN68,CONCATENATE(KY$10,", "),""))</f>
        <v/>
      </c>
      <c r="KZ68" s="602"/>
      <c r="LA68" s="46" t="str">
        <f t="shared" ca="1" si="38"/>
        <v/>
      </c>
    </row>
    <row r="69" spans="1:313" ht="28.05" customHeight="1" thickTop="1" thickBot="1">
      <c r="A69" s="471" t="str">
        <f t="shared" si="13"/>
        <v/>
      </c>
      <c r="C69" s="1328" t="str">
        <f t="shared" si="14"/>
        <v/>
      </c>
      <c r="D69" s="1329"/>
      <c r="E69" s="1256" t="str">
        <f t="shared" si="15"/>
        <v/>
      </c>
      <c r="F69" s="1257"/>
      <c r="G69" s="1257"/>
      <c r="H69" s="1257"/>
      <c r="I69" s="1257"/>
      <c r="J69" s="1257"/>
      <c r="K69" s="1257"/>
      <c r="L69" s="1257"/>
      <c r="M69" s="1330"/>
      <c r="N69" s="239" t="str">
        <f t="shared" si="16"/>
        <v/>
      </c>
      <c r="O69" s="12"/>
      <c r="P69" s="1326" t="str">
        <f t="shared" si="25"/>
        <v/>
      </c>
      <c r="Q69" s="1327"/>
      <c r="R69" s="1256" t="str">
        <f t="shared" si="31"/>
        <v/>
      </c>
      <c r="S69" s="1257"/>
      <c r="T69" s="1257"/>
      <c r="U69" s="1257"/>
      <c r="V69" s="1257"/>
      <c r="W69" s="1257"/>
      <c r="X69" s="1257"/>
      <c r="Y69" s="239" t="str">
        <f t="shared" si="27"/>
        <v/>
      </c>
      <c r="Z69" s="239" t="str">
        <f t="shared" si="28"/>
        <v/>
      </c>
      <c r="AA69" s="439" t="str">
        <f t="shared" si="29"/>
        <v/>
      </c>
      <c r="AB69" s="542"/>
      <c r="AC69" s="1253" t="str">
        <f t="shared" si="17"/>
        <v/>
      </c>
      <c r="AD69" s="1166"/>
      <c r="AE69" s="1166"/>
      <c r="AF69" s="1166"/>
      <c r="AG69" s="1166"/>
      <c r="AH69" s="1166"/>
      <c r="AK69">
        <f>SUMIFS(Installations!CS$39:CS$800,Installations!CT$39:CT$800,E69,Installations!HX$39:HX$800,TRUE)</f>
        <v>0</v>
      </c>
      <c r="AL69">
        <f>SUMIFS(Installations!CS$39:CS$800,Installations!CT$39:CT$800,R69,Installations!HX$39:HX$800,TRUE)</f>
        <v>0</v>
      </c>
      <c r="BL69" s="9"/>
      <c r="BM69" s="703" t="str">
        <f t="shared" si="18"/>
        <v/>
      </c>
      <c r="BN69" s="52"/>
      <c r="BO69" s="52"/>
      <c r="BP69" s="52"/>
      <c r="BQ69" s="52"/>
      <c r="BR69" s="52"/>
      <c r="BS69" s="52"/>
      <c r="BT69" s="52"/>
      <c r="BU69" s="414"/>
      <c r="BV69" s="255" t="str">
        <f>IF(CN69&lt;&gt;"Yes","",IFERROR(VLOOKUP(CU69,Existing!A$4:F$364,2,FALSE),""))</f>
        <v/>
      </c>
      <c r="BW69" s="9">
        <v>43</v>
      </c>
      <c r="BX69" s="1313"/>
      <c r="BY69" s="1314"/>
      <c r="BZ69" s="1314"/>
      <c r="CA69" s="1315"/>
      <c r="CB69" s="1310"/>
      <c r="CC69" s="1311"/>
      <c r="CD69" s="1311"/>
      <c r="CE69" s="1312"/>
      <c r="CF69" s="1309"/>
      <c r="CG69" s="1309"/>
      <c r="CH69" s="1309"/>
      <c r="CI69" s="1309"/>
      <c r="CJ69" s="1309"/>
      <c r="CK69" s="1309"/>
      <c r="CL69" s="1309"/>
      <c r="CM69" s="1309"/>
      <c r="CN69" s="1243" t="str">
        <f t="shared" si="32"/>
        <v/>
      </c>
      <c r="CO69" s="1244"/>
      <c r="CP69" s="265" t="str">
        <f>IFERROR(IF(CB69="Existing TLED",CR69*CW69*CY69,VLOOKUP(CU69,Existing!A$3:F$353,6,FALSE)),"")</f>
        <v/>
      </c>
      <c r="CQ69" s="9"/>
      <c r="CR69" s="1343"/>
      <c r="CS69" s="1344"/>
      <c r="CT69" s="9"/>
      <c r="CU69" s="470" t="str">
        <f t="shared" si="21"/>
        <v/>
      </c>
      <c r="CV69" s="471" t="b">
        <f t="shared" si="22"/>
        <v>0</v>
      </c>
      <c r="CW69" s="471" t="str">
        <f t="shared" si="23"/>
        <v/>
      </c>
      <c r="CX69" s="471">
        <f>IFERROR(VLOOKUP(CF69,Lookup!M$100:O$102,3,FALSE),0)</f>
        <v>0</v>
      </c>
      <c r="CY69" s="471">
        <f t="shared" si="9"/>
        <v>1.1100000000000001</v>
      </c>
      <c r="CZ69" s="707" t="b">
        <f t="shared" si="33"/>
        <v>0</v>
      </c>
      <c r="DA69" s="707" t="b">
        <f>IF(CF69&lt;&gt;"",IF(ISERROR(MATCH(CONCATENATE(CB69," - ",CF69),Existing!G$4:G$328,0))=TRUE,FALSE,TRUE),TRUE)</f>
        <v>1</v>
      </c>
      <c r="DB69" s="707" t="b">
        <f t="shared" si="34"/>
        <v>1</v>
      </c>
      <c r="DL69" s="9"/>
      <c r="DM69" s="708" t="s">
        <v>166</v>
      </c>
      <c r="DN69" s="416" t="str">
        <f t="shared" si="35"/>
        <v/>
      </c>
      <c r="DO69" s="52"/>
      <c r="DP69" s="52"/>
      <c r="DQ69" s="52"/>
      <c r="DR69" s="52"/>
      <c r="DS69" s="52"/>
      <c r="DT69" s="262"/>
      <c r="DU69" s="417"/>
      <c r="DV69" s="263" t="str">
        <f t="shared" si="36"/>
        <v/>
      </c>
      <c r="DW69" s="260">
        <v>43</v>
      </c>
      <c r="DX69" s="1306"/>
      <c r="DY69" s="1307"/>
      <c r="DZ69" s="1307"/>
      <c r="EA69" s="1308"/>
      <c r="EB69" s="1306"/>
      <c r="EC69" s="1307"/>
      <c r="ED69" s="1307"/>
      <c r="EE69" s="1308"/>
      <c r="EF69" s="1266"/>
      <c r="EG69" s="1267"/>
      <c r="EH69" s="1306"/>
      <c r="EI69" s="1307"/>
      <c r="EJ69" s="1307"/>
      <c r="EK69" s="1308"/>
      <c r="EL69" s="1263"/>
      <c r="EM69" s="1264"/>
      <c r="EN69" s="1264"/>
      <c r="EO69" s="1265"/>
      <c r="EP69" s="1266"/>
      <c r="EQ69" s="1267"/>
      <c r="ER69" s="1245"/>
      <c r="ES69" s="1246"/>
      <c r="ET69" s="1243" t="str">
        <f t="shared" si="5"/>
        <v/>
      </c>
      <c r="EU69" s="1244"/>
      <c r="EV69" s="1243" t="str">
        <f t="shared" si="30"/>
        <v/>
      </c>
      <c r="EW69" s="1244"/>
      <c r="EX69" s="438"/>
      <c r="EY69" s="261" t="str">
        <f t="shared" si="37"/>
        <v/>
      </c>
      <c r="EZ69" s="261" t="str">
        <f>IFERROR(VLOOKUP(EB69,Lookup!AM$3:AN$13,2,FALSE),"")</f>
        <v/>
      </c>
      <c r="FA69" s="471" t="b">
        <f>IFERROR(IF(VLOOKUP(EB69,Lookup!AM$6:AN$8,2,FALSE)&gt;3,TRUE,FALSE),FALSE)</f>
        <v>0</v>
      </c>
      <c r="FB69" s="471">
        <f t="shared" si="11"/>
        <v>1</v>
      </c>
      <c r="FC69" t="str">
        <f t="shared" ca="1" si="10"/>
        <v/>
      </c>
      <c r="FG69" t="str">
        <f t="shared" ca="1" si="12"/>
        <v/>
      </c>
      <c r="FI69" s="240" t="str">
        <f t="shared" ca="1" si="24"/>
        <v/>
      </c>
      <c r="FK69" s="712" t="str">
        <f ca="1">IF(INDIRECT(CONCATENATE($FK$12,Fixtures!FK$25))="","",IF(INDIRECT(CONCATENATE($FK$12,Fixtures!FK$25))=Fixtures!$DN69,CONCATENATE(FK$10,", "),""))</f>
        <v/>
      </c>
      <c r="FL69" s="712" t="str">
        <f ca="1">IF(INDIRECT(CONCATENATE($FK$12,Fixtures!FL$25))="","",IF(INDIRECT(CONCATENATE($FK$12,Fixtures!FL$25))=Fixtures!$DN69,CONCATENATE(FL$10,", "),""))</f>
        <v/>
      </c>
      <c r="FM69" s="712" t="str">
        <f ca="1">IF(INDIRECT(CONCATENATE($FK$12,Fixtures!FM$25))="","",IF(INDIRECT(CONCATENATE($FK$12,Fixtures!FM$25))=Fixtures!$DN69,CONCATENATE(FM$10,", "),""))</f>
        <v/>
      </c>
      <c r="FN69" s="712" t="str">
        <f ca="1">IF(INDIRECT(CONCATENATE($FK$12,Fixtures!FN$25))="","",IF(INDIRECT(CONCATENATE($FK$12,Fixtures!FN$25))=Fixtures!$DN69,CONCATENATE(FN$10,", "),""))</f>
        <v/>
      </c>
      <c r="FO69" s="712" t="str">
        <f ca="1">IF(INDIRECT(CONCATENATE($FK$12,Fixtures!FO$25))="","",IF(INDIRECT(CONCATENATE($FK$12,Fixtures!FO$25))=Fixtures!$DN69,CONCATENATE(FO$10,", "),""))</f>
        <v/>
      </c>
      <c r="FP69" s="712" t="str">
        <f ca="1">IF(INDIRECT(CONCATENATE($FK$12,Fixtures!FP$25))="","",IF(INDIRECT(CONCATENATE($FK$12,Fixtures!FP$25))=Fixtures!$DN69,CONCATENATE(FP$10,", "),""))</f>
        <v/>
      </c>
      <c r="FQ69" s="712" t="str">
        <f ca="1">IF(INDIRECT(CONCATENATE($FK$12,Fixtures!FQ$25))="","",IF(INDIRECT(CONCATENATE($FK$12,Fixtures!FQ$25))=Fixtures!$DN69,CONCATENATE(FQ$10,", "),""))</f>
        <v/>
      </c>
      <c r="FR69" s="712" t="str">
        <f ca="1">IF(INDIRECT(CONCATENATE($FK$12,Fixtures!FR$25))="","",IF(INDIRECT(CONCATENATE($FK$12,Fixtures!FR$25))=Fixtures!$DN69,CONCATENATE(FR$10,", "),""))</f>
        <v/>
      </c>
      <c r="FS69" s="712" t="str">
        <f ca="1">IF(INDIRECT(CONCATENATE($FK$12,Fixtures!FS$25))="","",IF(INDIRECT(CONCATENATE($FK$12,Fixtures!FS$25))=Fixtures!$DN69,CONCATENATE(FS$10,", "),""))</f>
        <v/>
      </c>
      <c r="FT69" s="682" t="str">
        <f ca="1">IF(INDIRECT(CONCATENATE($FK$12,Fixtures!FT$25))="","",IF(INDIRECT(CONCATENATE($FK$12,Fixtures!FT$25))=Fixtures!$DN69,CONCATENATE(FT$10,", "),""))</f>
        <v/>
      </c>
      <c r="FU69" s="683" t="str">
        <f ca="1">IF(INDIRECT(CONCATENATE($FK$12,Fixtures!FU$25))="","",IF(INDIRECT(CONCATENATE($FK$12,Fixtures!FU$25))=Fixtures!$DN69,CONCATENATE(FU$10,", "),""))</f>
        <v/>
      </c>
      <c r="FV69" s="712" t="str">
        <f ca="1">IF(INDIRECT(CONCATENATE($FK$12,Fixtures!FV$25))="","",IF(INDIRECT(CONCATENATE($FK$12,Fixtures!FV$25))=Fixtures!$DN69,CONCATENATE(FV$10,", "),""))</f>
        <v/>
      </c>
      <c r="FW69" s="713" t="str">
        <f ca="1">IF(INDIRECT(CONCATENATE($FK$12,Fixtures!FW$25))="","",IF(INDIRECT(CONCATENATE($FK$12,Fixtures!FW$25))=Fixtures!$DN69,CONCATENATE(FW$10,", "),""))</f>
        <v/>
      </c>
      <c r="FX69" s="713" t="str">
        <f ca="1">IF(INDIRECT(CONCATENATE($FK$12,Fixtures!FX$25))="","",IF(INDIRECT(CONCATENATE($FK$12,Fixtures!FX$25))=Fixtures!$DN69,CONCATENATE(FX$10,", "),""))</f>
        <v/>
      </c>
      <c r="FY69" s="713" t="str">
        <f ca="1">IF(INDIRECT(CONCATENATE($FK$12,Fixtures!FY$25))="","",IF(INDIRECT(CONCATENATE($FK$12,Fixtures!FY$25))=Fixtures!$DN69,CONCATENATE(FY$10,", "),""))</f>
        <v/>
      </c>
      <c r="FZ69" s="713" t="str">
        <f ca="1">IF(INDIRECT(CONCATENATE($FK$12,Fixtures!FZ$25))="","",IF(INDIRECT(CONCATENATE($FK$12,Fixtures!FZ$25))=Fixtures!$DN69,CONCATENATE(FZ$10,", "),""))</f>
        <v/>
      </c>
      <c r="GA69" s="713" t="str">
        <f ca="1">IF(INDIRECT(CONCATENATE($FK$12,Fixtures!GA$25))="","",IF(INDIRECT(CONCATENATE($FK$12,Fixtures!GA$25))=Fixtures!$DN69,CONCATENATE(GA$10,", "),""))</f>
        <v/>
      </c>
      <c r="GB69" s="713" t="str">
        <f ca="1">IF(INDIRECT(CONCATENATE($FK$12,Fixtures!GB$25))="","",IF(INDIRECT(CONCATENATE($FK$12,Fixtures!GB$25))=Fixtures!$DN69,CONCATENATE(GB$10,", "),""))</f>
        <v/>
      </c>
      <c r="GC69" s="713" t="str">
        <f ca="1">IF(INDIRECT(CONCATENATE($FK$12,Fixtures!GC$25))="","",IF(INDIRECT(CONCATENATE($FK$12,Fixtures!GC$25))=Fixtures!$DN69,CONCATENATE(GC$10,", "),""))</f>
        <v/>
      </c>
      <c r="GD69" s="713" t="str">
        <f ca="1">IF(INDIRECT(CONCATENATE($FK$12,Fixtures!GD$25))="","",IF(INDIRECT(CONCATENATE($FK$12,Fixtures!GD$25))=Fixtures!$DN69,CONCATENATE(GD$10,", "),""))</f>
        <v/>
      </c>
      <c r="GE69" s="713" t="str">
        <f ca="1">IF(INDIRECT(CONCATENATE($FK$12,Fixtures!GE$25))="","",IF(INDIRECT(CONCATENATE($FK$12,Fixtures!GE$25))=Fixtures!$DN69,CONCATENATE(GE$10,", "),""))</f>
        <v/>
      </c>
      <c r="GF69" s="713" t="str">
        <f ca="1">IF(INDIRECT(CONCATENATE($FK$12,Fixtures!GF$25))="","",IF(INDIRECT(CONCATENATE($FK$12,Fixtures!GF$25))=Fixtures!$DN69,CONCATENATE(GF$10,", "),""))</f>
        <v/>
      </c>
      <c r="GG69" s="713" t="str">
        <f ca="1">IF(INDIRECT(CONCATENATE($FK$12,Fixtures!GG$25))="","",IF(INDIRECT(CONCATENATE($FK$12,Fixtures!GG$25))=Fixtures!$DN69,CONCATENATE(GG$10,", "),""))</f>
        <v/>
      </c>
      <c r="GH69" s="713" t="str">
        <f ca="1">IF(INDIRECT(CONCATENATE($FK$12,Fixtures!GH$25))="","",IF(INDIRECT(CONCATENATE($FK$12,Fixtures!GH$25))=Fixtures!$DN69,CONCATENATE(GH$10,", "),""))</f>
        <v/>
      </c>
      <c r="GI69" s="684" t="str">
        <f ca="1">IF(INDIRECT(CONCATENATE($FK$12,Fixtures!GI$25))="","",IF(INDIRECT(CONCATENATE($FK$12,Fixtures!GI$25))=Fixtures!$DN69,CONCATENATE(GI$10,", "),""))</f>
        <v/>
      </c>
      <c r="GJ69" s="685" t="str">
        <f ca="1">IF(INDIRECT(CONCATENATE($FK$12,Fixtures!GJ$25))="","",IF(INDIRECT(CONCATENATE($FK$12,Fixtures!GJ$25))=Fixtures!$DN69,CONCATENATE(GJ$10,", "),""))</f>
        <v/>
      </c>
      <c r="GK69" s="713" t="str">
        <f ca="1">IF(INDIRECT(CONCATENATE($FK$12,Fixtures!GK$25))="","",IF(INDIRECT(CONCATENATE($FK$12,Fixtures!GK$25))=Fixtures!$DN69,CONCATENATE(GK$10,", "),""))</f>
        <v/>
      </c>
      <c r="GL69" s="713" t="str">
        <f ca="1">IF(INDIRECT(CONCATENATE($FK$12,Fixtures!GL$25))="","",IF(INDIRECT(CONCATENATE($FK$12,Fixtures!GL$25))=Fixtures!$DN69,CONCATENATE(GL$10,", "),""))</f>
        <v/>
      </c>
      <c r="GM69" s="713" t="str">
        <f ca="1">IF(INDIRECT(CONCATENATE($FK$12,Fixtures!GM$25))="","",IF(INDIRECT(CONCATENATE($FK$12,Fixtures!GM$25))=Fixtures!$DN69,CONCATENATE(GM$10,", "),""))</f>
        <v/>
      </c>
      <c r="GN69" s="713" t="str">
        <f ca="1">IF(INDIRECT(CONCATENATE($FK$12,Fixtures!GN$25))="","",IF(INDIRECT(CONCATENATE($FK$12,Fixtures!GN$25))=Fixtures!$DN69,CONCATENATE(GN$10,", "),""))</f>
        <v/>
      </c>
      <c r="GO69" s="713" t="str">
        <f ca="1">IF(INDIRECT(CONCATENATE($FK$12,Fixtures!GO$25))="","",IF(INDIRECT(CONCATENATE($FK$12,Fixtures!GO$25))=Fixtures!$DN69,CONCATENATE(GO$10,", "),""))</f>
        <v/>
      </c>
      <c r="GP69" s="713" t="str">
        <f ca="1">IF(INDIRECT(CONCATENATE($FK$12,Fixtures!GP$25))="","",IF(INDIRECT(CONCATENATE($FK$12,Fixtures!GP$25))=Fixtures!$DN69,CONCATENATE(GP$10,", "),""))</f>
        <v/>
      </c>
      <c r="GQ69" s="713" t="str">
        <f ca="1">IF(INDIRECT(CONCATENATE($FK$12,Fixtures!GQ$25))="","",IF(INDIRECT(CONCATENATE($FK$12,Fixtures!GQ$25))=Fixtures!$DN69,CONCATENATE(GQ$10,", "),""))</f>
        <v/>
      </c>
      <c r="GR69" s="713" t="str">
        <f ca="1">IF(INDIRECT(CONCATENATE($FK$12,Fixtures!GR$25))="","",IF(INDIRECT(CONCATENATE($FK$12,Fixtures!GR$25))=Fixtures!$DN69,CONCATENATE(GR$10,", "),""))</f>
        <v/>
      </c>
      <c r="GS69" s="713" t="str">
        <f ca="1">IF(INDIRECT(CONCATENATE($FK$12,Fixtures!GS$25))="","",IF(INDIRECT(CONCATENATE($FK$12,Fixtures!GS$25))=Fixtures!$DN69,CONCATENATE(GS$10,", "),""))</f>
        <v/>
      </c>
      <c r="GT69" s="713" t="str">
        <f ca="1">IF(INDIRECT(CONCATENATE($FK$12,Fixtures!GT$25))="","",IF(INDIRECT(CONCATENATE($FK$12,Fixtures!GT$25))=Fixtures!$DN69,CONCATENATE(GT$10,", "),""))</f>
        <v/>
      </c>
      <c r="GU69" s="713" t="str">
        <f ca="1">IF(INDIRECT(CONCATENATE($FK$12,Fixtures!GU$25))="","",IF(INDIRECT(CONCATENATE($FK$12,Fixtures!GU$25))=Fixtures!$DN69,CONCATENATE(GU$10,", "),""))</f>
        <v/>
      </c>
      <c r="GV69" s="713" t="str">
        <f ca="1">IF(INDIRECT(CONCATENATE($FK$12,Fixtures!GV$25))="","",IF(INDIRECT(CONCATENATE($FK$12,Fixtures!GV$25))=Fixtures!$DN69,CONCATENATE(GV$10,", "),""))</f>
        <v/>
      </c>
      <c r="GW69" s="713" t="str">
        <f ca="1">IF(INDIRECT(CONCATENATE($FK$12,Fixtures!GW$25))="","",IF(INDIRECT(CONCATENATE($FK$12,Fixtures!GW$25))=Fixtures!$DN69,CONCATENATE(GW$10,", "),""))</f>
        <v/>
      </c>
      <c r="GX69" s="684" t="str">
        <f ca="1">IF(INDIRECT(CONCATENATE($FK$12,Fixtures!GX$25))="","",IF(INDIRECT(CONCATENATE($FK$12,Fixtures!GX$25))=Fixtures!$DN69,CONCATENATE(GX$10,", "),""))</f>
        <v/>
      </c>
      <c r="GY69" s="685" t="str">
        <f ca="1">IF(INDIRECT(CONCATENATE($FK$12,Fixtures!GY$25))="","",IF(INDIRECT(CONCATENATE($FK$12,Fixtures!GY$25))=Fixtures!$DN69,CONCATENATE(GY$10,", "),""))</f>
        <v/>
      </c>
      <c r="GZ69" s="713" t="str">
        <f ca="1">IF(INDIRECT(CONCATENATE($FK$12,Fixtures!GZ$25))="","",IF(INDIRECT(CONCATENATE($FK$12,Fixtures!GZ$25))=Fixtures!$DN69,CONCATENATE(GZ$10,", "),""))</f>
        <v/>
      </c>
      <c r="HA69" s="713" t="str">
        <f ca="1">IF(INDIRECT(CONCATENATE($FK$12,Fixtures!HA$25))="","",IF(INDIRECT(CONCATENATE($FK$12,Fixtures!HA$25))=Fixtures!$DN69,CONCATENATE(HA$10,", "),""))</f>
        <v/>
      </c>
      <c r="HB69" s="713" t="str">
        <f ca="1">IF(INDIRECT(CONCATENATE($FK$12,Fixtures!HB$25))="","",IF(INDIRECT(CONCATENATE($FK$12,Fixtures!HB$25))=Fixtures!$DN69,CONCATENATE(HB$10,", "),""))</f>
        <v/>
      </c>
      <c r="HC69" s="713" t="str">
        <f ca="1">IF(INDIRECT(CONCATENATE($FK$12,Fixtures!HC$25))="","",IF(INDIRECT(CONCATENATE($FK$12,Fixtures!HC$25))=Fixtures!$DN69,CONCATENATE(HC$10,", "),""))</f>
        <v/>
      </c>
      <c r="HD69" s="713" t="str">
        <f ca="1">IF(INDIRECT(CONCATENATE($FK$12,Fixtures!HD$25))="","",IF(INDIRECT(CONCATENATE($FK$12,Fixtures!HD$25))=Fixtures!$DN69,CONCATENATE(HD$10,", "),""))</f>
        <v/>
      </c>
      <c r="HE69" s="713" t="str">
        <f ca="1">IF(INDIRECT(CONCATENATE($FK$12,Fixtures!HE$25))="","",IF(INDIRECT(CONCATENATE($FK$12,Fixtures!HE$25))=Fixtures!$DN69,CONCATENATE(HE$10,", "),""))</f>
        <v/>
      </c>
      <c r="HF69" s="713" t="str">
        <f ca="1">IF(INDIRECT(CONCATENATE($FK$12,Fixtures!HF$25))="","",IF(INDIRECT(CONCATENATE($FK$12,Fixtures!HF$25))=Fixtures!$DN69,CONCATENATE(HF$10,", "),""))</f>
        <v/>
      </c>
      <c r="HG69" s="713" t="str">
        <f ca="1">IF(INDIRECT(CONCATENATE($FK$12,Fixtures!HG$25))="","",IF(INDIRECT(CONCATENATE($FK$12,Fixtures!HG$25))=Fixtures!$DN69,CONCATENATE(HG$10,", "),""))</f>
        <v/>
      </c>
      <c r="HH69" s="713" t="str">
        <f ca="1">IF(INDIRECT(CONCATENATE($FK$12,Fixtures!HH$25))="","",IF(INDIRECT(CONCATENATE($FK$12,Fixtures!HH$25))=Fixtures!$DN69,CONCATENATE(HH$10,", "),""))</f>
        <v/>
      </c>
      <c r="HI69" s="713" t="str">
        <f ca="1">IF(INDIRECT(CONCATENATE($FK$12,Fixtures!HI$25))="","",IF(INDIRECT(CONCATENATE($FK$12,Fixtures!HI$25))=Fixtures!$DN69,CONCATENATE(HI$10,", "),""))</f>
        <v/>
      </c>
      <c r="HJ69" s="713" t="str">
        <f ca="1">IF(INDIRECT(CONCATENATE($FK$12,Fixtures!HJ$25))="","",IF(INDIRECT(CONCATENATE($FK$12,Fixtures!HJ$25))=Fixtures!$DN69,CONCATENATE(HJ$10,", "),""))</f>
        <v/>
      </c>
      <c r="HK69" s="713" t="str">
        <f ca="1">IF(INDIRECT(CONCATENATE($FK$12,Fixtures!HK$25))="","",IF(INDIRECT(CONCATENATE($FK$12,Fixtures!HK$25))=Fixtures!$DN69,CONCATENATE(HK$10,", "),""))</f>
        <v/>
      </c>
      <c r="HL69" s="713" t="str">
        <f ca="1">IF(INDIRECT(CONCATENATE($FK$12,Fixtures!HL$25))="","",IF(INDIRECT(CONCATENATE($FK$12,Fixtures!HL$25))=Fixtures!$DN69,CONCATENATE(HL$10,", "),""))</f>
        <v/>
      </c>
      <c r="HM69" s="684" t="str">
        <f ca="1">IF(INDIRECT(CONCATENATE($FK$12,Fixtures!HM$25))="","",IF(INDIRECT(CONCATENATE($FK$12,Fixtures!HM$25))=Fixtures!$DN69,CONCATENATE(HM$10,", "),""))</f>
        <v/>
      </c>
      <c r="HN69" s="685" t="str">
        <f ca="1">IF(INDIRECT(CONCATENATE($FK$12,Fixtures!HN$25))="","",IF(INDIRECT(CONCATENATE($FK$12,Fixtures!HN$25))=Fixtures!$DN69,CONCATENATE(HN$10,", "),""))</f>
        <v/>
      </c>
      <c r="HO69" s="713" t="str">
        <f ca="1">IF(INDIRECT(CONCATENATE($FK$12,Fixtures!HO$25))="","",IF(INDIRECT(CONCATENATE($FK$12,Fixtures!HO$25))=Fixtures!$DN69,CONCATENATE(HO$10,", "),""))</f>
        <v/>
      </c>
      <c r="HP69" s="713" t="str">
        <f ca="1">IF(INDIRECT(CONCATENATE($FK$12,Fixtures!HP$25))="","",IF(INDIRECT(CONCATENATE($FK$12,Fixtures!HP$25))=Fixtures!$DN69,CONCATENATE(HP$10,", "),""))</f>
        <v/>
      </c>
      <c r="HQ69" s="713" t="str">
        <f ca="1">IF(INDIRECT(CONCATENATE($FK$12,Fixtures!HQ$25))="","",IF(INDIRECT(CONCATENATE($FK$12,Fixtures!HQ$25))=Fixtures!$DN69,CONCATENATE(HQ$10,", "),""))</f>
        <v/>
      </c>
      <c r="HR69" s="713" t="str">
        <f ca="1">IF(INDIRECT(CONCATENATE($FK$12,Fixtures!HR$25))="","",IF(INDIRECT(CONCATENATE($FK$12,Fixtures!HR$25))=Fixtures!$DN69,CONCATENATE(HR$10,", "),""))</f>
        <v/>
      </c>
      <c r="HS69" s="713" t="str">
        <f ca="1">IF(INDIRECT(CONCATENATE($FK$12,Fixtures!HS$25))="","",IF(INDIRECT(CONCATENATE($FK$12,Fixtures!HS$25))=Fixtures!$DN69,CONCATENATE(HS$10,", "),""))</f>
        <v/>
      </c>
      <c r="HT69" s="713" t="str">
        <f ca="1">IF(INDIRECT(CONCATENATE($FK$12,Fixtures!HT$25))="","",IF(INDIRECT(CONCATENATE($FK$12,Fixtures!HT$25))=Fixtures!$DN69,CONCATENATE(HT$10,", "),""))</f>
        <v/>
      </c>
      <c r="HU69" s="713" t="str">
        <f ca="1">IF(INDIRECT(CONCATENATE($FK$12,Fixtures!HU$25))="","",IF(INDIRECT(CONCATENATE($FK$12,Fixtures!HU$25))=Fixtures!$DN69,CONCATENATE(HU$10,", "),""))</f>
        <v/>
      </c>
      <c r="HV69" s="713" t="str">
        <f ca="1">IF(INDIRECT(CONCATENATE($FK$12,Fixtures!HV$25))="","",IF(INDIRECT(CONCATENATE($FK$12,Fixtures!HV$25))=Fixtures!$DN69,CONCATENATE(HV$10,", "),""))</f>
        <v/>
      </c>
      <c r="HW69" s="713" t="str">
        <f ca="1">IF(INDIRECT(CONCATENATE($FK$12,Fixtures!HW$25))="","",IF(INDIRECT(CONCATENATE($FK$12,Fixtures!HW$25))=Fixtures!$DN69,CONCATENATE(HW$10,", "),""))</f>
        <v/>
      </c>
      <c r="HX69" s="713" t="str">
        <f ca="1">IF(INDIRECT(CONCATENATE($FK$12,Fixtures!HX$25))="","",IF(INDIRECT(CONCATENATE($FK$12,Fixtures!HX$25))=Fixtures!$DN69,CONCATENATE(HX$10,", "),""))</f>
        <v/>
      </c>
      <c r="HY69" s="713" t="str">
        <f ca="1">IF(INDIRECT(CONCATENATE($FK$12,Fixtures!HY$25))="","",IF(INDIRECT(CONCATENATE($FK$12,Fixtures!HY$25))=Fixtures!$DN69,CONCATENATE(HY$10,", "),""))</f>
        <v/>
      </c>
      <c r="HZ69" s="713" t="str">
        <f ca="1">IF(INDIRECT(CONCATENATE($FK$12,Fixtures!HZ$25))="","",IF(INDIRECT(CONCATENATE($FK$12,Fixtures!HZ$25))=Fixtures!$DN69,CONCATENATE(HZ$10,", "),""))</f>
        <v/>
      </c>
      <c r="IA69" s="713" t="str">
        <f ca="1">IF(INDIRECT(CONCATENATE($FK$12,Fixtures!IA$25))="","",IF(INDIRECT(CONCATENATE($FK$12,Fixtures!IA$25))=Fixtures!$DN69,CONCATENATE(IA$10,", "),""))</f>
        <v/>
      </c>
      <c r="IB69" s="684" t="str">
        <f ca="1">IF(INDIRECT(CONCATENATE($FK$12,Fixtures!IB$25))="","",IF(INDIRECT(CONCATENATE($FK$12,Fixtures!IB$25))=Fixtures!$DN69,CONCATENATE(IB$10,", "),""))</f>
        <v/>
      </c>
      <c r="IC69" s="685" t="str">
        <f ca="1">IF(INDIRECT(CONCATENATE($FK$12,Fixtures!IC$25))="","",IF(INDIRECT(CONCATENATE($FK$12,Fixtures!IC$25))=Fixtures!$DN69,CONCATENATE(IC$10,", "),""))</f>
        <v/>
      </c>
      <c r="ID69" s="713" t="str">
        <f ca="1">IF(INDIRECT(CONCATENATE($FK$12,Fixtures!ID$25))="","",IF(INDIRECT(CONCATENATE($FK$12,Fixtures!ID$25))=Fixtures!$DN69,CONCATENATE(ID$10,", "),""))</f>
        <v/>
      </c>
      <c r="IE69" s="713" t="str">
        <f ca="1">IF(INDIRECT(CONCATENATE($FK$12,Fixtures!IE$25))="","",IF(INDIRECT(CONCATENATE($FK$12,Fixtures!IE$25))=Fixtures!$DN69,CONCATENATE(IE$10,", "),""))</f>
        <v/>
      </c>
      <c r="IF69" s="713" t="str">
        <f ca="1">IF(INDIRECT(CONCATENATE($FK$12,Fixtures!IF$25))="","",IF(INDIRECT(CONCATENATE($FK$12,Fixtures!IF$25))=Fixtures!$DN69,CONCATENATE(IF$10,", "),""))</f>
        <v/>
      </c>
      <c r="IG69" s="713" t="str">
        <f ca="1">IF(INDIRECT(CONCATENATE($FK$12,Fixtures!IG$25))="","",IF(INDIRECT(CONCATENATE($FK$12,Fixtures!IG$25))=Fixtures!$DN69,CONCATENATE(IG$10,", "),""))</f>
        <v/>
      </c>
      <c r="IH69" s="713" t="str">
        <f ca="1">IF(INDIRECT(CONCATENATE($FK$12,Fixtures!IH$25))="","",IF(INDIRECT(CONCATENATE($FK$12,Fixtures!IH$25))=Fixtures!$DN69,CONCATENATE(IH$10,", "),""))</f>
        <v/>
      </c>
      <c r="II69" s="713" t="str">
        <f ca="1">IF(INDIRECT(CONCATENATE($FK$12,Fixtures!II$25))="","",IF(INDIRECT(CONCATENATE($FK$12,Fixtures!II$25))=Fixtures!$DN69,CONCATENATE(II$10,", "),""))</f>
        <v/>
      </c>
      <c r="IJ69" s="713" t="str">
        <f ca="1">IF(INDIRECT(CONCATENATE($FK$12,Fixtures!IJ$25))="","",IF(INDIRECT(CONCATENATE($FK$12,Fixtures!IJ$25))=Fixtures!$DN69,CONCATENATE(IJ$10,", "),""))</f>
        <v/>
      </c>
      <c r="IK69" s="713" t="str">
        <f ca="1">IF(INDIRECT(CONCATENATE($FK$12,Fixtures!IK$25))="","",IF(INDIRECT(CONCATENATE($FK$12,Fixtures!IK$25))=Fixtures!$DN69,CONCATENATE(IK$10,", "),""))</f>
        <v/>
      </c>
      <c r="IL69" s="713" t="str">
        <f ca="1">IF(INDIRECT(CONCATENATE($FK$12,Fixtures!IL$25))="","",IF(INDIRECT(CONCATENATE($FK$12,Fixtures!IL$25))=Fixtures!$DN69,CONCATENATE(IL$10,", "),""))</f>
        <v/>
      </c>
      <c r="IM69" s="713" t="str">
        <f ca="1">IF(INDIRECT(CONCATENATE($FK$12,Fixtures!IM$25))="","",IF(INDIRECT(CONCATENATE($FK$12,Fixtures!IM$25))=Fixtures!$DN69,CONCATENATE(IM$10,", "),""))</f>
        <v/>
      </c>
      <c r="IN69" s="713" t="str">
        <f ca="1">IF(INDIRECT(CONCATENATE($FK$12,Fixtures!IN$25))="","",IF(INDIRECT(CONCATENATE($FK$12,Fixtures!IN$25))=Fixtures!$DN69,CONCATENATE(IN$10,", "),""))</f>
        <v/>
      </c>
      <c r="IO69" s="713" t="str">
        <f ca="1">IF(INDIRECT(CONCATENATE($FK$12,Fixtures!IO$25))="","",IF(INDIRECT(CONCATENATE($FK$12,Fixtures!IO$25))=Fixtures!$DN69,CONCATENATE(IO$10,", "),""))</f>
        <v/>
      </c>
      <c r="IP69" s="713" t="str">
        <f ca="1">IF(INDIRECT(CONCATENATE($FK$12,Fixtures!IP$25))="","",IF(INDIRECT(CONCATENATE($FK$12,Fixtures!IP$25))=Fixtures!$DN69,CONCATENATE(IP$10,", "),""))</f>
        <v/>
      </c>
      <c r="IQ69" s="684" t="str">
        <f ca="1">IF(INDIRECT(CONCATENATE($FK$12,Fixtures!IQ$25))="","",IF(INDIRECT(CONCATENATE($FK$12,Fixtures!IQ$25))=Fixtures!$DN69,CONCATENATE(IQ$10,", "),""))</f>
        <v/>
      </c>
      <c r="IR69" s="685" t="str">
        <f ca="1">IF(INDIRECT(CONCATENATE($FK$12,Fixtures!IR$25))="","",IF(INDIRECT(CONCATENATE($FK$12,Fixtures!IR$25))=Fixtures!$DN69,CONCATENATE(IR$10,", "),""))</f>
        <v/>
      </c>
      <c r="IS69" s="713" t="str">
        <f ca="1">IF(INDIRECT(CONCATENATE($FK$12,Fixtures!IS$25))="","",IF(INDIRECT(CONCATENATE($FK$12,Fixtures!IS$25))=Fixtures!$DN69,CONCATENATE(IS$10,", "),""))</f>
        <v/>
      </c>
      <c r="IT69" s="713" t="str">
        <f ca="1">IF(INDIRECT(CONCATENATE($FK$12,Fixtures!IT$25))="","",IF(INDIRECT(CONCATENATE($FK$12,Fixtures!IT$25))=Fixtures!$DN69,CONCATENATE(IT$10,", "),""))</f>
        <v/>
      </c>
      <c r="IU69" s="713" t="str">
        <f ca="1">IF(INDIRECT(CONCATENATE($FK$12,Fixtures!IU$25))="","",IF(INDIRECT(CONCATENATE($FK$12,Fixtures!IU$25))=Fixtures!$DN69,CONCATENATE(IU$10,", "),""))</f>
        <v/>
      </c>
      <c r="IV69" s="713" t="str">
        <f ca="1">IF(INDIRECT(CONCATENATE($FK$12,Fixtures!IV$25))="","",IF(INDIRECT(CONCATENATE($FK$12,Fixtures!IV$25))=Fixtures!$DN69,CONCATENATE(IV$10,", "),""))</f>
        <v/>
      </c>
      <c r="IW69" s="713" t="str">
        <f ca="1">IF(INDIRECT(CONCATENATE($FK$12,Fixtures!IW$25))="","",IF(INDIRECT(CONCATENATE($FK$12,Fixtures!IW$25))=Fixtures!$DN69,CONCATENATE(IW$10,", "),""))</f>
        <v/>
      </c>
      <c r="IX69" s="713" t="str">
        <f ca="1">IF(INDIRECT(CONCATENATE($FK$12,Fixtures!IX$25))="","",IF(INDIRECT(CONCATENATE($FK$12,Fixtures!IX$25))=Fixtures!$DN69,CONCATENATE(IX$10,", "),""))</f>
        <v/>
      </c>
      <c r="IY69" s="713" t="str">
        <f ca="1">IF(INDIRECT(CONCATENATE($FK$12,Fixtures!IY$25))="","",IF(INDIRECT(CONCATENATE($FK$12,Fixtures!IY$25))=Fixtures!$DN69,CONCATENATE(IY$10,", "),""))</f>
        <v/>
      </c>
      <c r="IZ69" s="713" t="str">
        <f ca="1">IF(INDIRECT(CONCATENATE($FK$12,Fixtures!IZ$25))="","",IF(INDIRECT(CONCATENATE($FK$12,Fixtures!IZ$25))=Fixtures!$DN69,CONCATENATE(IZ$10,", "),""))</f>
        <v/>
      </c>
      <c r="JA69" s="713" t="str">
        <f ca="1">IF(INDIRECT(CONCATENATE($FK$12,Fixtures!JA$25))="","",IF(INDIRECT(CONCATENATE($FK$12,Fixtures!JA$25))=Fixtures!$DN69,CONCATENATE(JA$10,", "),""))</f>
        <v/>
      </c>
      <c r="JB69" s="713" t="str">
        <f ca="1">IF(INDIRECT(CONCATENATE($FK$12,Fixtures!JB$25))="","",IF(INDIRECT(CONCATENATE($FK$12,Fixtures!JB$25))=Fixtures!$DN69,CONCATENATE(JB$10,", "),""))</f>
        <v/>
      </c>
      <c r="JC69" s="713" t="str">
        <f ca="1">IF(INDIRECT(CONCATENATE($FK$12,Fixtures!JC$25))="","",IF(INDIRECT(CONCATENATE($FK$12,Fixtures!JC$25))=Fixtures!$DN69,CONCATENATE(JC$10,", "),""))</f>
        <v/>
      </c>
      <c r="JD69" s="713" t="str">
        <f ca="1">IF(INDIRECT(CONCATENATE($FK$12,Fixtures!JD$25))="","",IF(INDIRECT(CONCATENATE($FK$12,Fixtures!JD$25))=Fixtures!$DN69,CONCATENATE(JD$10,", "),""))</f>
        <v/>
      </c>
      <c r="JE69" s="713" t="str">
        <f ca="1">IF(INDIRECT(CONCATENATE($FK$12,Fixtures!JE$25))="","",IF(INDIRECT(CONCATENATE($FK$12,Fixtures!JE$25))=Fixtures!$DN69,CONCATENATE(JE$10,", "),""))</f>
        <v/>
      </c>
      <c r="JF69" s="684" t="str">
        <f ca="1">IF(INDIRECT(CONCATENATE($FK$12,Fixtures!JF$25))="","",IF(INDIRECT(CONCATENATE($FK$12,Fixtures!JF$25))=Fixtures!$DN69,CONCATENATE(JF$10,", "),""))</f>
        <v/>
      </c>
      <c r="JG69" s="685" t="str">
        <f ca="1">IF(INDIRECT(CONCATENATE($FK$12,Fixtures!JG$25))="","",IF(INDIRECT(CONCATENATE($FK$12,Fixtures!JG$25))=Fixtures!$DN69,CONCATENATE(JG$10,", "),""))</f>
        <v/>
      </c>
      <c r="JH69" s="713" t="str">
        <f ca="1">IF(INDIRECT(CONCATENATE($FK$12,Fixtures!JH$25))="","",IF(INDIRECT(CONCATENATE($FK$12,Fixtures!JH$25))=Fixtures!$DN69,CONCATENATE(JH$10,", "),""))</f>
        <v/>
      </c>
      <c r="JI69" s="713" t="str">
        <f ca="1">IF(INDIRECT(CONCATENATE($FK$12,Fixtures!JI$25))="","",IF(INDIRECT(CONCATENATE($FK$12,Fixtures!JI$25))=Fixtures!$DN69,CONCATENATE(JI$10,", "),""))</f>
        <v/>
      </c>
      <c r="JJ69" s="713" t="str">
        <f ca="1">IF(INDIRECT(CONCATENATE($FK$12,Fixtures!JJ$25))="","",IF(INDIRECT(CONCATENATE($FK$12,Fixtures!JJ$25))=Fixtures!$DN69,CONCATENATE(JJ$10,", "),""))</f>
        <v/>
      </c>
      <c r="JK69" s="713" t="str">
        <f ca="1">IF(INDIRECT(CONCATENATE($FK$12,Fixtures!JK$25))="","",IF(INDIRECT(CONCATENATE($FK$12,Fixtures!JK$25))=Fixtures!$DN69,CONCATENATE(JK$10,", "),""))</f>
        <v/>
      </c>
      <c r="JL69" s="713" t="str">
        <f ca="1">IF(INDIRECT(CONCATENATE($FK$12,Fixtures!JL$25))="","",IF(INDIRECT(CONCATENATE($FK$12,Fixtures!JL$25))=Fixtures!$DN69,CONCATENATE(JL$10,", "),""))</f>
        <v/>
      </c>
      <c r="JM69" s="713" t="str">
        <f ca="1">IF(INDIRECT(CONCATENATE($FK$12,Fixtures!JM$25))="","",IF(INDIRECT(CONCATENATE($FK$12,Fixtures!JM$25))=Fixtures!$DN69,CONCATENATE(JM$10,", "),""))</f>
        <v/>
      </c>
      <c r="JN69" s="713" t="str">
        <f ca="1">IF(INDIRECT(CONCATENATE($FK$12,Fixtures!JN$25))="","",IF(INDIRECT(CONCATENATE($FK$12,Fixtures!JN$25))=Fixtures!$DN69,CONCATENATE(JN$10,", "),""))</f>
        <v/>
      </c>
      <c r="JO69" s="713" t="str">
        <f ca="1">IF(INDIRECT(CONCATENATE($FK$12,Fixtures!JO$25))="","",IF(INDIRECT(CONCATENATE($FK$12,Fixtures!JO$25))=Fixtures!$DN69,CONCATENATE(JO$10,", "),""))</f>
        <v/>
      </c>
      <c r="JP69" s="713" t="str">
        <f ca="1">IF(INDIRECT(CONCATENATE($FK$12,Fixtures!JP$25))="","",IF(INDIRECT(CONCATENATE($FK$12,Fixtures!JP$25))=Fixtures!$DN69,CONCATENATE(JP$10,", "),""))</f>
        <v/>
      </c>
      <c r="JQ69" s="713" t="str">
        <f ca="1">IF(INDIRECT(CONCATENATE($FK$12,Fixtures!JQ$25))="","",IF(INDIRECT(CONCATENATE($FK$12,Fixtures!JQ$25))=Fixtures!$DN69,CONCATENATE(JQ$10,", "),""))</f>
        <v/>
      </c>
      <c r="JR69" s="713" t="str">
        <f ca="1">IF(INDIRECT(CONCATENATE($FK$12,Fixtures!JR$25))="","",IF(INDIRECT(CONCATENATE($FK$12,Fixtures!JR$25))=Fixtures!$DN69,CONCATENATE(JR$10,", "),""))</f>
        <v/>
      </c>
      <c r="JS69" s="713" t="str">
        <f ca="1">IF(INDIRECT(CONCATENATE($FK$12,Fixtures!JS$25))="","",IF(INDIRECT(CONCATENATE($FK$12,Fixtures!JS$25))=Fixtures!$DN69,CONCATENATE(JS$10,", "),""))</f>
        <v/>
      </c>
      <c r="JT69" s="713" t="str">
        <f ca="1">IF(INDIRECT(CONCATENATE($FK$12,Fixtures!JT$25))="","",IF(INDIRECT(CONCATENATE($FK$12,Fixtures!JT$25))=Fixtures!$DN69,CONCATENATE(JT$10,", "),""))</f>
        <v/>
      </c>
      <c r="JU69" s="684" t="str">
        <f ca="1">IF(INDIRECT(CONCATENATE($FK$12,Fixtures!JU$25))="","",IF(INDIRECT(CONCATENATE($FK$12,Fixtures!JU$25))=Fixtures!$DN69,CONCATENATE(JU$10,", "),""))</f>
        <v/>
      </c>
      <c r="JV69" s="685" t="str">
        <f ca="1">IF(INDIRECT(CONCATENATE($FK$12,Fixtures!JV$25))="","",IF(INDIRECT(CONCATENATE($FK$12,Fixtures!JV$25))=Fixtures!$DN69,CONCATENATE(JV$10,", "),""))</f>
        <v/>
      </c>
      <c r="JW69" s="713" t="str">
        <f ca="1">IF(INDIRECT(CONCATENATE($FK$12,Fixtures!JW$25))="","",IF(INDIRECT(CONCATENATE($FK$12,Fixtures!JW$25))=Fixtures!$DN69,CONCATENATE(JW$10,", "),""))</f>
        <v/>
      </c>
      <c r="JX69" s="713" t="str">
        <f ca="1">IF(INDIRECT(CONCATENATE($FK$12,Fixtures!JX$25))="","",IF(INDIRECT(CONCATENATE($FK$12,Fixtures!JX$25))=Fixtures!$DN69,CONCATENATE(JX$10,", "),""))</f>
        <v/>
      </c>
      <c r="JY69" s="713" t="str">
        <f ca="1">IF(INDIRECT(CONCATENATE($FK$12,Fixtures!JY$25))="","",IF(INDIRECT(CONCATENATE($FK$12,Fixtures!JY$25))=Fixtures!$DN69,CONCATENATE(JY$10,", "),""))</f>
        <v/>
      </c>
      <c r="JZ69" s="713" t="str">
        <f ca="1">IF(INDIRECT(CONCATENATE($FK$12,Fixtures!JZ$25))="","",IF(INDIRECT(CONCATENATE($FK$12,Fixtures!JZ$25))=Fixtures!$DN69,CONCATENATE(JZ$10,", "),""))</f>
        <v/>
      </c>
      <c r="KA69" s="713" t="str">
        <f ca="1">IF(INDIRECT(CONCATENATE($FK$12,Fixtures!KA$25))="","",IF(INDIRECT(CONCATENATE($FK$12,Fixtures!KA$25))=Fixtures!$DN69,CONCATENATE(KA$10,", "),""))</f>
        <v/>
      </c>
      <c r="KB69" s="713" t="str">
        <f ca="1">IF(INDIRECT(CONCATENATE($FK$12,Fixtures!KB$25))="","",IF(INDIRECT(CONCATENATE($FK$12,Fixtures!KB$25))=Fixtures!$DN69,CONCATENATE(KB$10,", "),""))</f>
        <v/>
      </c>
      <c r="KC69" s="713" t="str">
        <f ca="1">IF(INDIRECT(CONCATENATE($FK$12,Fixtures!KC$25))="","",IF(INDIRECT(CONCATENATE($FK$12,Fixtures!KC$25))=Fixtures!$DN69,CONCATENATE(KC$10,", "),""))</f>
        <v/>
      </c>
      <c r="KD69" s="713" t="str">
        <f ca="1">IF(INDIRECT(CONCATENATE($FK$12,Fixtures!KD$25))="","",IF(INDIRECT(CONCATENATE($FK$12,Fixtures!KD$25))=Fixtures!$DN69,CONCATENATE(KD$10,", "),""))</f>
        <v/>
      </c>
      <c r="KE69" s="713" t="str">
        <f ca="1">IF(INDIRECT(CONCATENATE($FK$12,Fixtures!KE$25))="","",IF(INDIRECT(CONCATENATE($FK$12,Fixtures!KE$25))=Fixtures!$DN69,CONCATENATE(KE$10,", "),""))</f>
        <v/>
      </c>
      <c r="KF69" s="713" t="str">
        <f ca="1">IF(INDIRECT(CONCATENATE($FK$12,Fixtures!KF$25))="","",IF(INDIRECT(CONCATENATE($FK$12,Fixtures!KF$25))=Fixtures!$DN69,CONCATENATE(KF$10,", "),""))</f>
        <v/>
      </c>
      <c r="KG69" s="713" t="str">
        <f ca="1">IF(INDIRECT(CONCATENATE($FK$12,Fixtures!KG$25))="","",IF(INDIRECT(CONCATENATE($FK$12,Fixtures!KG$25))=Fixtures!$DN69,CONCATENATE(KG$10,", "),""))</f>
        <v/>
      </c>
      <c r="KH69" s="713" t="str">
        <f ca="1">IF(INDIRECT(CONCATENATE($FK$12,Fixtures!KH$25))="","",IF(INDIRECT(CONCATENATE($FK$12,Fixtures!KH$25))=Fixtures!$DN69,CONCATENATE(KH$10,", "),""))</f>
        <v/>
      </c>
      <c r="KI69" s="713" t="str">
        <f ca="1">IF(INDIRECT(CONCATENATE($FK$12,Fixtures!KI$25))="","",IF(INDIRECT(CONCATENATE($FK$12,Fixtures!KI$25))=Fixtures!$DN69,CONCATENATE(KI$10,", "),""))</f>
        <v/>
      </c>
      <c r="KJ69" s="684" t="str">
        <f ca="1">IF(INDIRECT(CONCATENATE($FK$12,Fixtures!KJ$25))="","",IF(INDIRECT(CONCATENATE($FK$12,Fixtures!KJ$25))=Fixtures!$DN69,CONCATENATE(KJ$10,", "),""))</f>
        <v/>
      </c>
      <c r="KK69" s="685" t="str">
        <f ca="1">IF(INDIRECT(CONCATENATE($FK$12,Fixtures!KK$25))="","",IF(INDIRECT(CONCATENATE($FK$12,Fixtures!KK$25))=Fixtures!$DN69,CONCATENATE(KK$10,", "),""))</f>
        <v/>
      </c>
      <c r="KL69" s="713" t="str">
        <f ca="1">IF(INDIRECT(CONCATENATE($FK$12,Fixtures!KL$25))="","",IF(INDIRECT(CONCATENATE($FK$12,Fixtures!KL$25))=Fixtures!$DN69,CONCATENATE(KL$10,", "),""))</f>
        <v/>
      </c>
      <c r="KM69" s="713" t="str">
        <f ca="1">IF(INDIRECT(CONCATENATE($FK$12,Fixtures!KM$25))="","",IF(INDIRECT(CONCATENATE($FK$12,Fixtures!KM$25))=Fixtures!$DN69,CONCATENATE(KM$10,", "),""))</f>
        <v/>
      </c>
      <c r="KN69" s="713" t="str">
        <f ca="1">IF(INDIRECT(CONCATENATE($FK$12,Fixtures!KN$25))="","",IF(INDIRECT(CONCATENATE($FK$12,Fixtures!KN$25))=Fixtures!$DN69,CONCATENATE(KN$10,", "),""))</f>
        <v/>
      </c>
      <c r="KO69" s="713" t="str">
        <f ca="1">IF(INDIRECT(CONCATENATE($FK$12,Fixtures!KO$25))="","",IF(INDIRECT(CONCATENATE($FK$12,Fixtures!KO$25))=Fixtures!$DN69,CONCATENATE(KO$10,", "),""))</f>
        <v/>
      </c>
      <c r="KP69" s="713" t="str">
        <f ca="1">IF(INDIRECT(CONCATENATE($FK$12,Fixtures!KP$25))="","",IF(INDIRECT(CONCATENATE($FK$12,Fixtures!KP$25))=Fixtures!$DN69,CONCATENATE(KP$10,", "),""))</f>
        <v/>
      </c>
      <c r="KQ69" s="713" t="str">
        <f ca="1">IF(INDIRECT(CONCATENATE($FK$12,Fixtures!KQ$25))="","",IF(INDIRECT(CONCATENATE($FK$12,Fixtures!KQ$25))=Fixtures!$DN69,CONCATENATE(KQ$10,", "),""))</f>
        <v/>
      </c>
      <c r="KR69" s="713" t="str">
        <f ca="1">IF(INDIRECT(CONCATENATE($FK$12,Fixtures!KR$25))="","",IF(INDIRECT(CONCATENATE($FK$12,Fixtures!KR$25))=Fixtures!$DN69,CONCATENATE(KR$10,", "),""))</f>
        <v/>
      </c>
      <c r="KS69" s="713" t="str">
        <f ca="1">IF(INDIRECT(CONCATENATE($FK$12,Fixtures!KS$25))="","",IF(INDIRECT(CONCATENATE($FK$12,Fixtures!KS$25))=Fixtures!$DN69,CONCATENATE(KS$10,", "),""))</f>
        <v/>
      </c>
      <c r="KT69" s="713" t="str">
        <f ca="1">IF(INDIRECT(CONCATENATE($FK$12,Fixtures!KT$25))="","",IF(INDIRECT(CONCATENATE($FK$12,Fixtures!KT$25))=Fixtures!$DN69,CONCATENATE(KT$10,", "),""))</f>
        <v/>
      </c>
      <c r="KU69" s="713" t="str">
        <f ca="1">IF(INDIRECT(CONCATENATE($FK$12,Fixtures!KU$25))="","",IF(INDIRECT(CONCATENATE($FK$12,Fixtures!KU$25))=Fixtures!$DN69,CONCATENATE(KU$10,", "),""))</f>
        <v/>
      </c>
      <c r="KV69" s="713" t="str">
        <f ca="1">IF(INDIRECT(CONCATENATE($FK$12,Fixtures!KV$25))="","",IF(INDIRECT(CONCATENATE($FK$12,Fixtures!KV$25))=Fixtures!$DN69,CONCATENATE(KV$10,", "),""))</f>
        <v/>
      </c>
      <c r="KW69" s="713" t="str">
        <f ca="1">IF(INDIRECT(CONCATENATE($FK$12,Fixtures!KW$25))="","",IF(INDIRECT(CONCATENATE($FK$12,Fixtures!KW$25))=Fixtures!$DN69,CONCATENATE(KW$10,", "),""))</f>
        <v/>
      </c>
      <c r="KX69" s="713" t="str">
        <f ca="1">IF(INDIRECT(CONCATENATE($FK$12,Fixtures!KX$25))="","",IF(INDIRECT(CONCATENATE($FK$12,Fixtures!KX$25))=Fixtures!$DN69,CONCATENATE(KX$10,", "),""))</f>
        <v/>
      </c>
      <c r="KY69" s="713" t="str">
        <f ca="1">IF(INDIRECT(CONCATENATE($FK$12,Fixtures!KY$25))="","",IF(INDIRECT(CONCATENATE($FK$12,Fixtures!KY$25))=Fixtures!$DN69,CONCATENATE(KY$10,", "),""))</f>
        <v/>
      </c>
      <c r="KZ69" s="602"/>
      <c r="LA69" s="46" t="str">
        <f t="shared" ca="1" si="38"/>
        <v/>
      </c>
    </row>
    <row r="70" spans="1:313" ht="28.05" customHeight="1" thickTop="1" thickBot="1">
      <c r="A70" s="471" t="str">
        <f t="shared" si="13"/>
        <v/>
      </c>
      <c r="C70" s="1328" t="str">
        <f t="shared" si="14"/>
        <v/>
      </c>
      <c r="D70" s="1329"/>
      <c r="E70" s="1256" t="str">
        <f t="shared" si="15"/>
        <v/>
      </c>
      <c r="F70" s="1257"/>
      <c r="G70" s="1257"/>
      <c r="H70" s="1257"/>
      <c r="I70" s="1257"/>
      <c r="J70" s="1257"/>
      <c r="K70" s="1257"/>
      <c r="L70" s="1257"/>
      <c r="M70" s="1330"/>
      <c r="N70" s="239" t="str">
        <f t="shared" si="16"/>
        <v/>
      </c>
      <c r="O70" s="12"/>
      <c r="P70" s="1326" t="str">
        <f t="shared" si="25"/>
        <v/>
      </c>
      <c r="Q70" s="1327"/>
      <c r="R70" s="1256" t="str">
        <f t="shared" si="31"/>
        <v/>
      </c>
      <c r="S70" s="1257"/>
      <c r="T70" s="1257"/>
      <c r="U70" s="1257"/>
      <c r="V70" s="1257"/>
      <c r="W70" s="1257"/>
      <c r="X70" s="1257"/>
      <c r="Y70" s="239" t="str">
        <f t="shared" si="27"/>
        <v/>
      </c>
      <c r="Z70" s="239" t="str">
        <f t="shared" si="28"/>
        <v/>
      </c>
      <c r="AA70" s="439" t="str">
        <f t="shared" si="29"/>
        <v/>
      </c>
      <c r="AB70" s="542"/>
      <c r="AC70" s="1253" t="str">
        <f t="shared" si="17"/>
        <v/>
      </c>
      <c r="AD70" s="1166"/>
      <c r="AE70" s="1166"/>
      <c r="AF70" s="1166"/>
      <c r="AG70" s="1166"/>
      <c r="AH70" s="1166"/>
      <c r="AK70">
        <f>SUMIFS(Installations!CS$39:CS$800,Installations!CT$39:CT$800,E70,Installations!HX$39:HX$800,TRUE)</f>
        <v>0</v>
      </c>
      <c r="AL70">
        <f>SUMIFS(Installations!CS$39:CS$800,Installations!CT$39:CT$800,R70,Installations!HX$39:HX$800,TRUE)</f>
        <v>0</v>
      </c>
      <c r="BL70" s="9"/>
      <c r="BM70" s="703" t="str">
        <f t="shared" si="18"/>
        <v/>
      </c>
      <c r="BN70" s="52"/>
      <c r="BO70" s="52"/>
      <c r="BP70" s="52"/>
      <c r="BQ70" s="52"/>
      <c r="BR70" s="52"/>
      <c r="BS70" s="52"/>
      <c r="BT70" s="52"/>
      <c r="BU70" s="414"/>
      <c r="BV70" s="255" t="str">
        <f>IF(CN70&lt;&gt;"Yes","",IFERROR(VLOOKUP(CU70,Existing!A$4:F$364,2,FALSE),""))</f>
        <v/>
      </c>
      <c r="BW70" s="9">
        <v>44</v>
      </c>
      <c r="BX70" s="1313"/>
      <c r="BY70" s="1314"/>
      <c r="BZ70" s="1314"/>
      <c r="CA70" s="1315"/>
      <c r="CB70" s="1310"/>
      <c r="CC70" s="1311"/>
      <c r="CD70" s="1311"/>
      <c r="CE70" s="1312"/>
      <c r="CF70" s="1309"/>
      <c r="CG70" s="1309"/>
      <c r="CH70" s="1309"/>
      <c r="CI70" s="1309"/>
      <c r="CJ70" s="1309"/>
      <c r="CK70" s="1309"/>
      <c r="CL70" s="1309"/>
      <c r="CM70" s="1309"/>
      <c r="CN70" s="1243" t="str">
        <f t="shared" si="32"/>
        <v/>
      </c>
      <c r="CO70" s="1244"/>
      <c r="CP70" s="265" t="str">
        <f>IFERROR(IF(CB70="Existing TLED",CR70*CW70*CY70,VLOOKUP(CU70,Existing!A$3:F$353,6,FALSE)),"")</f>
        <v/>
      </c>
      <c r="CQ70" s="9"/>
      <c r="CR70" s="1343"/>
      <c r="CS70" s="1344"/>
      <c r="CT70" s="9"/>
      <c r="CU70" s="470" t="str">
        <f t="shared" si="21"/>
        <v/>
      </c>
      <c r="CV70" s="471" t="b">
        <f t="shared" si="22"/>
        <v>0</v>
      </c>
      <c r="CW70" s="471" t="str">
        <f t="shared" si="23"/>
        <v/>
      </c>
      <c r="CX70" s="471">
        <f>IFERROR(VLOOKUP(CF70,Lookup!M$100:O$102,3,FALSE),0)</f>
        <v>0</v>
      </c>
      <c r="CY70" s="471">
        <f t="shared" si="9"/>
        <v>1.1100000000000001</v>
      </c>
      <c r="CZ70" s="707" t="b">
        <f t="shared" si="33"/>
        <v>0</v>
      </c>
      <c r="DA70" s="707" t="b">
        <f>IF(CF70&lt;&gt;"",IF(ISERROR(MATCH(CONCATENATE(CB70," - ",CF70),Existing!G$4:G$328,0))=TRUE,FALSE,TRUE),TRUE)</f>
        <v>1</v>
      </c>
      <c r="DB70" s="707" t="b">
        <f t="shared" si="34"/>
        <v>1</v>
      </c>
      <c r="DL70" s="9"/>
      <c r="DM70" s="708" t="s">
        <v>166</v>
      </c>
      <c r="DN70" s="416" t="str">
        <f t="shared" si="35"/>
        <v/>
      </c>
      <c r="DO70" s="52"/>
      <c r="DP70" s="52"/>
      <c r="DQ70" s="52"/>
      <c r="DR70" s="52"/>
      <c r="DS70" s="52"/>
      <c r="DT70" s="262"/>
      <c r="DU70" s="417"/>
      <c r="DV70" s="263" t="str">
        <f t="shared" si="36"/>
        <v/>
      </c>
      <c r="DW70" s="260">
        <v>44</v>
      </c>
      <c r="DX70" s="1306"/>
      <c r="DY70" s="1307"/>
      <c r="DZ70" s="1307"/>
      <c r="EA70" s="1308"/>
      <c r="EB70" s="1306"/>
      <c r="EC70" s="1307"/>
      <c r="ED70" s="1307"/>
      <c r="EE70" s="1308"/>
      <c r="EF70" s="1266"/>
      <c r="EG70" s="1267"/>
      <c r="EH70" s="1306"/>
      <c r="EI70" s="1307"/>
      <c r="EJ70" s="1307"/>
      <c r="EK70" s="1308"/>
      <c r="EL70" s="1263"/>
      <c r="EM70" s="1264"/>
      <c r="EN70" s="1264"/>
      <c r="EO70" s="1265"/>
      <c r="EP70" s="1266"/>
      <c r="EQ70" s="1267"/>
      <c r="ER70" s="1245"/>
      <c r="ES70" s="1246"/>
      <c r="ET70" s="1243" t="str">
        <f t="shared" si="5"/>
        <v/>
      </c>
      <c r="EU70" s="1244"/>
      <c r="EV70" s="1243" t="str">
        <f t="shared" si="30"/>
        <v/>
      </c>
      <c r="EW70" s="1244"/>
      <c r="EX70" s="438"/>
      <c r="EY70" s="261" t="str">
        <f t="shared" si="37"/>
        <v/>
      </c>
      <c r="EZ70" s="261" t="str">
        <f>IFERROR(VLOOKUP(EB70,Lookup!AM$3:AN$13,2,FALSE),"")</f>
        <v/>
      </c>
      <c r="FA70" s="471" t="b">
        <f>IFERROR(IF(VLOOKUP(EB70,Lookup!AM$6:AN$8,2,FALSE)&gt;3,TRUE,FALSE),FALSE)</f>
        <v>0</v>
      </c>
      <c r="FB70" s="471">
        <f t="shared" si="11"/>
        <v>1</v>
      </c>
      <c r="FC70" t="str">
        <f t="shared" ca="1" si="10"/>
        <v/>
      </c>
      <c r="FG70" t="str">
        <f t="shared" ca="1" si="12"/>
        <v/>
      </c>
      <c r="FI70" s="240" t="str">
        <f t="shared" ca="1" si="24"/>
        <v/>
      </c>
      <c r="FK70" s="712" t="str">
        <f ca="1">IF(INDIRECT(CONCATENATE($FK$12,Fixtures!FK$25))="","",IF(INDIRECT(CONCATENATE($FK$12,Fixtures!FK$25))=Fixtures!$DN70,CONCATENATE(FK$10,", "),""))</f>
        <v/>
      </c>
      <c r="FL70" s="712" t="str">
        <f ca="1">IF(INDIRECT(CONCATENATE($FK$12,Fixtures!FL$25))="","",IF(INDIRECT(CONCATENATE($FK$12,Fixtures!FL$25))=Fixtures!$DN70,CONCATENATE(FL$10,", "),""))</f>
        <v/>
      </c>
      <c r="FM70" s="712" t="str">
        <f ca="1">IF(INDIRECT(CONCATENATE($FK$12,Fixtures!FM$25))="","",IF(INDIRECT(CONCATENATE($FK$12,Fixtures!FM$25))=Fixtures!$DN70,CONCATENATE(FM$10,", "),""))</f>
        <v/>
      </c>
      <c r="FN70" s="712" t="str">
        <f ca="1">IF(INDIRECT(CONCATENATE($FK$12,Fixtures!FN$25))="","",IF(INDIRECT(CONCATENATE($FK$12,Fixtures!FN$25))=Fixtures!$DN70,CONCATENATE(FN$10,", "),""))</f>
        <v/>
      </c>
      <c r="FO70" s="712" t="str">
        <f ca="1">IF(INDIRECT(CONCATENATE($FK$12,Fixtures!FO$25))="","",IF(INDIRECT(CONCATENATE($FK$12,Fixtures!FO$25))=Fixtures!$DN70,CONCATENATE(FO$10,", "),""))</f>
        <v/>
      </c>
      <c r="FP70" s="712" t="str">
        <f ca="1">IF(INDIRECT(CONCATENATE($FK$12,Fixtures!FP$25))="","",IF(INDIRECT(CONCATENATE($FK$12,Fixtures!FP$25))=Fixtures!$DN70,CONCATENATE(FP$10,", "),""))</f>
        <v/>
      </c>
      <c r="FQ70" s="712" t="str">
        <f ca="1">IF(INDIRECT(CONCATENATE($FK$12,Fixtures!FQ$25))="","",IF(INDIRECT(CONCATENATE($FK$12,Fixtures!FQ$25))=Fixtures!$DN70,CONCATENATE(FQ$10,", "),""))</f>
        <v/>
      </c>
      <c r="FR70" s="712" t="str">
        <f ca="1">IF(INDIRECT(CONCATENATE($FK$12,Fixtures!FR$25))="","",IF(INDIRECT(CONCATENATE($FK$12,Fixtures!FR$25))=Fixtures!$DN70,CONCATENATE(FR$10,", "),""))</f>
        <v/>
      </c>
      <c r="FS70" s="712" t="str">
        <f ca="1">IF(INDIRECT(CONCATENATE($FK$12,Fixtures!FS$25))="","",IF(INDIRECT(CONCATENATE($FK$12,Fixtures!FS$25))=Fixtures!$DN70,CONCATENATE(FS$10,", "),""))</f>
        <v/>
      </c>
      <c r="FT70" s="682" t="str">
        <f ca="1">IF(INDIRECT(CONCATENATE($FK$12,Fixtures!FT$25))="","",IF(INDIRECT(CONCATENATE($FK$12,Fixtures!FT$25))=Fixtures!$DN70,CONCATENATE(FT$10,", "),""))</f>
        <v/>
      </c>
      <c r="FU70" s="683" t="str">
        <f ca="1">IF(INDIRECT(CONCATENATE($FK$12,Fixtures!FU$25))="","",IF(INDIRECT(CONCATENATE($FK$12,Fixtures!FU$25))=Fixtures!$DN70,CONCATENATE(FU$10,", "),""))</f>
        <v/>
      </c>
      <c r="FV70" s="712" t="str">
        <f ca="1">IF(INDIRECT(CONCATENATE($FK$12,Fixtures!FV$25))="","",IF(INDIRECT(CONCATENATE($FK$12,Fixtures!FV$25))=Fixtures!$DN70,CONCATENATE(FV$10,", "),""))</f>
        <v/>
      </c>
      <c r="FW70" s="713" t="str">
        <f ca="1">IF(INDIRECT(CONCATENATE($FK$12,Fixtures!FW$25))="","",IF(INDIRECT(CONCATENATE($FK$12,Fixtures!FW$25))=Fixtures!$DN70,CONCATENATE(FW$10,", "),""))</f>
        <v/>
      </c>
      <c r="FX70" s="713" t="str">
        <f ca="1">IF(INDIRECT(CONCATENATE($FK$12,Fixtures!FX$25))="","",IF(INDIRECT(CONCATENATE($FK$12,Fixtures!FX$25))=Fixtures!$DN70,CONCATENATE(FX$10,", "),""))</f>
        <v/>
      </c>
      <c r="FY70" s="713" t="str">
        <f ca="1">IF(INDIRECT(CONCATENATE($FK$12,Fixtures!FY$25))="","",IF(INDIRECT(CONCATENATE($FK$12,Fixtures!FY$25))=Fixtures!$DN70,CONCATENATE(FY$10,", "),""))</f>
        <v/>
      </c>
      <c r="FZ70" s="713" t="str">
        <f ca="1">IF(INDIRECT(CONCATENATE($FK$12,Fixtures!FZ$25))="","",IF(INDIRECT(CONCATENATE($FK$12,Fixtures!FZ$25))=Fixtures!$DN70,CONCATENATE(FZ$10,", "),""))</f>
        <v/>
      </c>
      <c r="GA70" s="713" t="str">
        <f ca="1">IF(INDIRECT(CONCATENATE($FK$12,Fixtures!GA$25))="","",IF(INDIRECT(CONCATENATE($FK$12,Fixtures!GA$25))=Fixtures!$DN70,CONCATENATE(GA$10,", "),""))</f>
        <v/>
      </c>
      <c r="GB70" s="713" t="str">
        <f ca="1">IF(INDIRECT(CONCATENATE($FK$12,Fixtures!GB$25))="","",IF(INDIRECT(CONCATENATE($FK$12,Fixtures!GB$25))=Fixtures!$DN70,CONCATENATE(GB$10,", "),""))</f>
        <v/>
      </c>
      <c r="GC70" s="713" t="str">
        <f ca="1">IF(INDIRECT(CONCATENATE($FK$12,Fixtures!GC$25))="","",IF(INDIRECT(CONCATENATE($FK$12,Fixtures!GC$25))=Fixtures!$DN70,CONCATENATE(GC$10,", "),""))</f>
        <v/>
      </c>
      <c r="GD70" s="713" t="str">
        <f ca="1">IF(INDIRECT(CONCATENATE($FK$12,Fixtures!GD$25))="","",IF(INDIRECT(CONCATENATE($FK$12,Fixtures!GD$25))=Fixtures!$DN70,CONCATENATE(GD$10,", "),""))</f>
        <v/>
      </c>
      <c r="GE70" s="713" t="str">
        <f ca="1">IF(INDIRECT(CONCATENATE($FK$12,Fixtures!GE$25))="","",IF(INDIRECT(CONCATENATE($FK$12,Fixtures!GE$25))=Fixtures!$DN70,CONCATENATE(GE$10,", "),""))</f>
        <v/>
      </c>
      <c r="GF70" s="713" t="str">
        <f ca="1">IF(INDIRECT(CONCATENATE($FK$12,Fixtures!GF$25))="","",IF(INDIRECT(CONCATENATE($FK$12,Fixtures!GF$25))=Fixtures!$DN70,CONCATENATE(GF$10,", "),""))</f>
        <v/>
      </c>
      <c r="GG70" s="713" t="str">
        <f ca="1">IF(INDIRECT(CONCATENATE($FK$12,Fixtures!GG$25))="","",IF(INDIRECT(CONCATENATE($FK$12,Fixtures!GG$25))=Fixtures!$DN70,CONCATENATE(GG$10,", "),""))</f>
        <v/>
      </c>
      <c r="GH70" s="713" t="str">
        <f ca="1">IF(INDIRECT(CONCATENATE($FK$12,Fixtures!GH$25))="","",IF(INDIRECT(CONCATENATE($FK$12,Fixtures!GH$25))=Fixtures!$DN70,CONCATENATE(GH$10,", "),""))</f>
        <v/>
      </c>
      <c r="GI70" s="684" t="str">
        <f ca="1">IF(INDIRECT(CONCATENATE($FK$12,Fixtures!GI$25))="","",IF(INDIRECT(CONCATENATE($FK$12,Fixtures!GI$25))=Fixtures!$DN70,CONCATENATE(GI$10,", "),""))</f>
        <v/>
      </c>
      <c r="GJ70" s="685" t="str">
        <f ca="1">IF(INDIRECT(CONCATENATE($FK$12,Fixtures!GJ$25))="","",IF(INDIRECT(CONCATENATE($FK$12,Fixtures!GJ$25))=Fixtures!$DN70,CONCATENATE(GJ$10,", "),""))</f>
        <v/>
      </c>
      <c r="GK70" s="713" t="str">
        <f ca="1">IF(INDIRECT(CONCATENATE($FK$12,Fixtures!GK$25))="","",IF(INDIRECT(CONCATENATE($FK$12,Fixtures!GK$25))=Fixtures!$DN70,CONCATENATE(GK$10,", "),""))</f>
        <v/>
      </c>
      <c r="GL70" s="713" t="str">
        <f ca="1">IF(INDIRECT(CONCATENATE($FK$12,Fixtures!GL$25))="","",IF(INDIRECT(CONCATENATE($FK$12,Fixtures!GL$25))=Fixtures!$DN70,CONCATENATE(GL$10,", "),""))</f>
        <v/>
      </c>
      <c r="GM70" s="713" t="str">
        <f ca="1">IF(INDIRECT(CONCATENATE($FK$12,Fixtures!GM$25))="","",IF(INDIRECT(CONCATENATE($FK$12,Fixtures!GM$25))=Fixtures!$DN70,CONCATENATE(GM$10,", "),""))</f>
        <v/>
      </c>
      <c r="GN70" s="713" t="str">
        <f ca="1">IF(INDIRECT(CONCATENATE($FK$12,Fixtures!GN$25))="","",IF(INDIRECT(CONCATENATE($FK$12,Fixtures!GN$25))=Fixtures!$DN70,CONCATENATE(GN$10,", "),""))</f>
        <v/>
      </c>
      <c r="GO70" s="713" t="str">
        <f ca="1">IF(INDIRECT(CONCATENATE($FK$12,Fixtures!GO$25))="","",IF(INDIRECT(CONCATENATE($FK$12,Fixtures!GO$25))=Fixtures!$DN70,CONCATENATE(GO$10,", "),""))</f>
        <v/>
      </c>
      <c r="GP70" s="713" t="str">
        <f ca="1">IF(INDIRECT(CONCATENATE($FK$12,Fixtures!GP$25))="","",IF(INDIRECT(CONCATENATE($FK$12,Fixtures!GP$25))=Fixtures!$DN70,CONCATENATE(GP$10,", "),""))</f>
        <v/>
      </c>
      <c r="GQ70" s="713" t="str">
        <f ca="1">IF(INDIRECT(CONCATENATE($FK$12,Fixtures!GQ$25))="","",IF(INDIRECT(CONCATENATE($FK$12,Fixtures!GQ$25))=Fixtures!$DN70,CONCATENATE(GQ$10,", "),""))</f>
        <v/>
      </c>
      <c r="GR70" s="713" t="str">
        <f ca="1">IF(INDIRECT(CONCATENATE($FK$12,Fixtures!GR$25))="","",IF(INDIRECT(CONCATENATE($FK$12,Fixtures!GR$25))=Fixtures!$DN70,CONCATENATE(GR$10,", "),""))</f>
        <v/>
      </c>
      <c r="GS70" s="713" t="str">
        <f ca="1">IF(INDIRECT(CONCATENATE($FK$12,Fixtures!GS$25))="","",IF(INDIRECT(CONCATENATE($FK$12,Fixtures!GS$25))=Fixtures!$DN70,CONCATENATE(GS$10,", "),""))</f>
        <v/>
      </c>
      <c r="GT70" s="713" t="str">
        <f ca="1">IF(INDIRECT(CONCATENATE($FK$12,Fixtures!GT$25))="","",IF(INDIRECT(CONCATENATE($FK$12,Fixtures!GT$25))=Fixtures!$DN70,CONCATENATE(GT$10,", "),""))</f>
        <v/>
      </c>
      <c r="GU70" s="713" t="str">
        <f ca="1">IF(INDIRECT(CONCATENATE($FK$12,Fixtures!GU$25))="","",IF(INDIRECT(CONCATENATE($FK$12,Fixtures!GU$25))=Fixtures!$DN70,CONCATENATE(GU$10,", "),""))</f>
        <v/>
      </c>
      <c r="GV70" s="713" t="str">
        <f ca="1">IF(INDIRECT(CONCATENATE($FK$12,Fixtures!GV$25))="","",IF(INDIRECT(CONCATENATE($FK$12,Fixtures!GV$25))=Fixtures!$DN70,CONCATENATE(GV$10,", "),""))</f>
        <v/>
      </c>
      <c r="GW70" s="713" t="str">
        <f ca="1">IF(INDIRECT(CONCATENATE($FK$12,Fixtures!GW$25))="","",IF(INDIRECT(CONCATENATE($FK$12,Fixtures!GW$25))=Fixtures!$DN70,CONCATENATE(GW$10,", "),""))</f>
        <v/>
      </c>
      <c r="GX70" s="684" t="str">
        <f ca="1">IF(INDIRECT(CONCATENATE($FK$12,Fixtures!GX$25))="","",IF(INDIRECT(CONCATENATE($FK$12,Fixtures!GX$25))=Fixtures!$DN70,CONCATENATE(GX$10,", "),""))</f>
        <v/>
      </c>
      <c r="GY70" s="685" t="str">
        <f ca="1">IF(INDIRECT(CONCATENATE($FK$12,Fixtures!GY$25))="","",IF(INDIRECT(CONCATENATE($FK$12,Fixtures!GY$25))=Fixtures!$DN70,CONCATENATE(GY$10,", "),""))</f>
        <v/>
      </c>
      <c r="GZ70" s="713" t="str">
        <f ca="1">IF(INDIRECT(CONCATENATE($FK$12,Fixtures!GZ$25))="","",IF(INDIRECT(CONCATENATE($FK$12,Fixtures!GZ$25))=Fixtures!$DN70,CONCATENATE(GZ$10,", "),""))</f>
        <v/>
      </c>
      <c r="HA70" s="713" t="str">
        <f ca="1">IF(INDIRECT(CONCATENATE($FK$12,Fixtures!HA$25))="","",IF(INDIRECT(CONCATENATE($FK$12,Fixtures!HA$25))=Fixtures!$DN70,CONCATENATE(HA$10,", "),""))</f>
        <v/>
      </c>
      <c r="HB70" s="713" t="str">
        <f ca="1">IF(INDIRECT(CONCATENATE($FK$12,Fixtures!HB$25))="","",IF(INDIRECT(CONCATENATE($FK$12,Fixtures!HB$25))=Fixtures!$DN70,CONCATENATE(HB$10,", "),""))</f>
        <v/>
      </c>
      <c r="HC70" s="713" t="str">
        <f ca="1">IF(INDIRECT(CONCATENATE($FK$12,Fixtures!HC$25))="","",IF(INDIRECT(CONCATENATE($FK$12,Fixtures!HC$25))=Fixtures!$DN70,CONCATENATE(HC$10,", "),""))</f>
        <v/>
      </c>
      <c r="HD70" s="713" t="str">
        <f ca="1">IF(INDIRECT(CONCATENATE($FK$12,Fixtures!HD$25))="","",IF(INDIRECT(CONCATENATE($FK$12,Fixtures!HD$25))=Fixtures!$DN70,CONCATENATE(HD$10,", "),""))</f>
        <v/>
      </c>
      <c r="HE70" s="713" t="str">
        <f ca="1">IF(INDIRECT(CONCATENATE($FK$12,Fixtures!HE$25))="","",IF(INDIRECT(CONCATENATE($FK$12,Fixtures!HE$25))=Fixtures!$DN70,CONCATENATE(HE$10,", "),""))</f>
        <v/>
      </c>
      <c r="HF70" s="713" t="str">
        <f ca="1">IF(INDIRECT(CONCATENATE($FK$12,Fixtures!HF$25))="","",IF(INDIRECT(CONCATENATE($FK$12,Fixtures!HF$25))=Fixtures!$DN70,CONCATENATE(HF$10,", "),""))</f>
        <v/>
      </c>
      <c r="HG70" s="713" t="str">
        <f ca="1">IF(INDIRECT(CONCATENATE($FK$12,Fixtures!HG$25))="","",IF(INDIRECT(CONCATENATE($FK$12,Fixtures!HG$25))=Fixtures!$DN70,CONCATENATE(HG$10,", "),""))</f>
        <v/>
      </c>
      <c r="HH70" s="713" t="str">
        <f ca="1">IF(INDIRECT(CONCATENATE($FK$12,Fixtures!HH$25))="","",IF(INDIRECT(CONCATENATE($FK$12,Fixtures!HH$25))=Fixtures!$DN70,CONCATENATE(HH$10,", "),""))</f>
        <v/>
      </c>
      <c r="HI70" s="713" t="str">
        <f ca="1">IF(INDIRECT(CONCATENATE($FK$12,Fixtures!HI$25))="","",IF(INDIRECT(CONCATENATE($FK$12,Fixtures!HI$25))=Fixtures!$DN70,CONCATENATE(HI$10,", "),""))</f>
        <v/>
      </c>
      <c r="HJ70" s="713" t="str">
        <f ca="1">IF(INDIRECT(CONCATENATE($FK$12,Fixtures!HJ$25))="","",IF(INDIRECT(CONCATENATE($FK$12,Fixtures!HJ$25))=Fixtures!$DN70,CONCATENATE(HJ$10,", "),""))</f>
        <v/>
      </c>
      <c r="HK70" s="713" t="str">
        <f ca="1">IF(INDIRECT(CONCATENATE($FK$12,Fixtures!HK$25))="","",IF(INDIRECT(CONCATENATE($FK$12,Fixtures!HK$25))=Fixtures!$DN70,CONCATENATE(HK$10,", "),""))</f>
        <v/>
      </c>
      <c r="HL70" s="713" t="str">
        <f ca="1">IF(INDIRECT(CONCATENATE($FK$12,Fixtures!HL$25))="","",IF(INDIRECT(CONCATENATE($FK$12,Fixtures!HL$25))=Fixtures!$DN70,CONCATENATE(HL$10,", "),""))</f>
        <v/>
      </c>
      <c r="HM70" s="684" t="str">
        <f ca="1">IF(INDIRECT(CONCATENATE($FK$12,Fixtures!HM$25))="","",IF(INDIRECT(CONCATENATE($FK$12,Fixtures!HM$25))=Fixtures!$DN70,CONCATENATE(HM$10,", "),""))</f>
        <v/>
      </c>
      <c r="HN70" s="685" t="str">
        <f ca="1">IF(INDIRECT(CONCATENATE($FK$12,Fixtures!HN$25))="","",IF(INDIRECT(CONCATENATE($FK$12,Fixtures!HN$25))=Fixtures!$DN70,CONCATENATE(HN$10,", "),""))</f>
        <v/>
      </c>
      <c r="HO70" s="713" t="str">
        <f ca="1">IF(INDIRECT(CONCATENATE($FK$12,Fixtures!HO$25))="","",IF(INDIRECT(CONCATENATE($FK$12,Fixtures!HO$25))=Fixtures!$DN70,CONCATENATE(HO$10,", "),""))</f>
        <v/>
      </c>
      <c r="HP70" s="713" t="str">
        <f ca="1">IF(INDIRECT(CONCATENATE($FK$12,Fixtures!HP$25))="","",IF(INDIRECT(CONCATENATE($FK$12,Fixtures!HP$25))=Fixtures!$DN70,CONCATENATE(HP$10,", "),""))</f>
        <v/>
      </c>
      <c r="HQ70" s="713" t="str">
        <f ca="1">IF(INDIRECT(CONCATENATE($FK$12,Fixtures!HQ$25))="","",IF(INDIRECT(CONCATENATE($FK$12,Fixtures!HQ$25))=Fixtures!$DN70,CONCATENATE(HQ$10,", "),""))</f>
        <v/>
      </c>
      <c r="HR70" s="713" t="str">
        <f ca="1">IF(INDIRECT(CONCATENATE($FK$12,Fixtures!HR$25))="","",IF(INDIRECT(CONCATENATE($FK$12,Fixtures!HR$25))=Fixtures!$DN70,CONCATENATE(HR$10,", "),""))</f>
        <v/>
      </c>
      <c r="HS70" s="713" t="str">
        <f ca="1">IF(INDIRECT(CONCATENATE($FK$12,Fixtures!HS$25))="","",IF(INDIRECT(CONCATENATE($FK$12,Fixtures!HS$25))=Fixtures!$DN70,CONCATENATE(HS$10,", "),""))</f>
        <v/>
      </c>
      <c r="HT70" s="713" t="str">
        <f ca="1">IF(INDIRECT(CONCATENATE($FK$12,Fixtures!HT$25))="","",IF(INDIRECT(CONCATENATE($FK$12,Fixtures!HT$25))=Fixtures!$DN70,CONCATENATE(HT$10,", "),""))</f>
        <v/>
      </c>
      <c r="HU70" s="713" t="str">
        <f ca="1">IF(INDIRECT(CONCATENATE($FK$12,Fixtures!HU$25))="","",IF(INDIRECT(CONCATENATE($FK$12,Fixtures!HU$25))=Fixtures!$DN70,CONCATENATE(HU$10,", "),""))</f>
        <v/>
      </c>
      <c r="HV70" s="713" t="str">
        <f ca="1">IF(INDIRECT(CONCATENATE($FK$12,Fixtures!HV$25))="","",IF(INDIRECT(CONCATENATE($FK$12,Fixtures!HV$25))=Fixtures!$DN70,CONCATENATE(HV$10,", "),""))</f>
        <v/>
      </c>
      <c r="HW70" s="713" t="str">
        <f ca="1">IF(INDIRECT(CONCATENATE($FK$12,Fixtures!HW$25))="","",IF(INDIRECT(CONCATENATE($FK$12,Fixtures!HW$25))=Fixtures!$DN70,CONCATENATE(HW$10,", "),""))</f>
        <v/>
      </c>
      <c r="HX70" s="713" t="str">
        <f ca="1">IF(INDIRECT(CONCATENATE($FK$12,Fixtures!HX$25))="","",IF(INDIRECT(CONCATENATE($FK$12,Fixtures!HX$25))=Fixtures!$DN70,CONCATENATE(HX$10,", "),""))</f>
        <v/>
      </c>
      <c r="HY70" s="713" t="str">
        <f ca="1">IF(INDIRECT(CONCATENATE($FK$12,Fixtures!HY$25))="","",IF(INDIRECT(CONCATENATE($FK$12,Fixtures!HY$25))=Fixtures!$DN70,CONCATENATE(HY$10,", "),""))</f>
        <v/>
      </c>
      <c r="HZ70" s="713" t="str">
        <f ca="1">IF(INDIRECT(CONCATENATE($FK$12,Fixtures!HZ$25))="","",IF(INDIRECT(CONCATENATE($FK$12,Fixtures!HZ$25))=Fixtures!$DN70,CONCATENATE(HZ$10,", "),""))</f>
        <v/>
      </c>
      <c r="IA70" s="713" t="str">
        <f ca="1">IF(INDIRECT(CONCATENATE($FK$12,Fixtures!IA$25))="","",IF(INDIRECT(CONCATENATE($FK$12,Fixtures!IA$25))=Fixtures!$DN70,CONCATENATE(IA$10,", "),""))</f>
        <v/>
      </c>
      <c r="IB70" s="684" t="str">
        <f ca="1">IF(INDIRECT(CONCATENATE($FK$12,Fixtures!IB$25))="","",IF(INDIRECT(CONCATENATE($FK$12,Fixtures!IB$25))=Fixtures!$DN70,CONCATENATE(IB$10,", "),""))</f>
        <v/>
      </c>
      <c r="IC70" s="685" t="str">
        <f ca="1">IF(INDIRECT(CONCATENATE($FK$12,Fixtures!IC$25))="","",IF(INDIRECT(CONCATENATE($FK$12,Fixtures!IC$25))=Fixtures!$DN70,CONCATENATE(IC$10,", "),""))</f>
        <v/>
      </c>
      <c r="ID70" s="713" t="str">
        <f ca="1">IF(INDIRECT(CONCATENATE($FK$12,Fixtures!ID$25))="","",IF(INDIRECT(CONCATENATE($FK$12,Fixtures!ID$25))=Fixtures!$DN70,CONCATENATE(ID$10,", "),""))</f>
        <v/>
      </c>
      <c r="IE70" s="713" t="str">
        <f ca="1">IF(INDIRECT(CONCATENATE($FK$12,Fixtures!IE$25))="","",IF(INDIRECT(CONCATENATE($FK$12,Fixtures!IE$25))=Fixtures!$DN70,CONCATENATE(IE$10,", "),""))</f>
        <v/>
      </c>
      <c r="IF70" s="713" t="str">
        <f ca="1">IF(INDIRECT(CONCATENATE($FK$12,Fixtures!IF$25))="","",IF(INDIRECT(CONCATENATE($FK$12,Fixtures!IF$25))=Fixtures!$DN70,CONCATENATE(IF$10,", "),""))</f>
        <v/>
      </c>
      <c r="IG70" s="713" t="str">
        <f ca="1">IF(INDIRECT(CONCATENATE($FK$12,Fixtures!IG$25))="","",IF(INDIRECT(CONCATENATE($FK$12,Fixtures!IG$25))=Fixtures!$DN70,CONCATENATE(IG$10,", "),""))</f>
        <v/>
      </c>
      <c r="IH70" s="713" t="str">
        <f ca="1">IF(INDIRECT(CONCATENATE($FK$12,Fixtures!IH$25))="","",IF(INDIRECT(CONCATENATE($FK$12,Fixtures!IH$25))=Fixtures!$DN70,CONCATENATE(IH$10,", "),""))</f>
        <v/>
      </c>
      <c r="II70" s="713" t="str">
        <f ca="1">IF(INDIRECT(CONCATENATE($FK$12,Fixtures!II$25))="","",IF(INDIRECT(CONCATENATE($FK$12,Fixtures!II$25))=Fixtures!$DN70,CONCATENATE(II$10,", "),""))</f>
        <v/>
      </c>
      <c r="IJ70" s="713" t="str">
        <f ca="1">IF(INDIRECT(CONCATENATE($FK$12,Fixtures!IJ$25))="","",IF(INDIRECT(CONCATENATE($FK$12,Fixtures!IJ$25))=Fixtures!$DN70,CONCATENATE(IJ$10,", "),""))</f>
        <v/>
      </c>
      <c r="IK70" s="713" t="str">
        <f ca="1">IF(INDIRECT(CONCATENATE($FK$12,Fixtures!IK$25))="","",IF(INDIRECT(CONCATENATE($FK$12,Fixtures!IK$25))=Fixtures!$DN70,CONCATENATE(IK$10,", "),""))</f>
        <v/>
      </c>
      <c r="IL70" s="713" t="str">
        <f ca="1">IF(INDIRECT(CONCATENATE($FK$12,Fixtures!IL$25))="","",IF(INDIRECT(CONCATENATE($FK$12,Fixtures!IL$25))=Fixtures!$DN70,CONCATENATE(IL$10,", "),""))</f>
        <v/>
      </c>
      <c r="IM70" s="713" t="str">
        <f ca="1">IF(INDIRECT(CONCATENATE($FK$12,Fixtures!IM$25))="","",IF(INDIRECT(CONCATENATE($FK$12,Fixtures!IM$25))=Fixtures!$DN70,CONCATENATE(IM$10,", "),""))</f>
        <v/>
      </c>
      <c r="IN70" s="713" t="str">
        <f ca="1">IF(INDIRECT(CONCATENATE($FK$12,Fixtures!IN$25))="","",IF(INDIRECT(CONCATENATE($FK$12,Fixtures!IN$25))=Fixtures!$DN70,CONCATENATE(IN$10,", "),""))</f>
        <v/>
      </c>
      <c r="IO70" s="713" t="str">
        <f ca="1">IF(INDIRECT(CONCATENATE($FK$12,Fixtures!IO$25))="","",IF(INDIRECT(CONCATENATE($FK$12,Fixtures!IO$25))=Fixtures!$DN70,CONCATENATE(IO$10,", "),""))</f>
        <v/>
      </c>
      <c r="IP70" s="713" t="str">
        <f ca="1">IF(INDIRECT(CONCATENATE($FK$12,Fixtures!IP$25))="","",IF(INDIRECT(CONCATENATE($FK$12,Fixtures!IP$25))=Fixtures!$DN70,CONCATENATE(IP$10,", "),""))</f>
        <v/>
      </c>
      <c r="IQ70" s="684" t="str">
        <f ca="1">IF(INDIRECT(CONCATENATE($FK$12,Fixtures!IQ$25))="","",IF(INDIRECT(CONCATENATE($FK$12,Fixtures!IQ$25))=Fixtures!$DN70,CONCATENATE(IQ$10,", "),""))</f>
        <v/>
      </c>
      <c r="IR70" s="685" t="str">
        <f ca="1">IF(INDIRECT(CONCATENATE($FK$12,Fixtures!IR$25))="","",IF(INDIRECT(CONCATENATE($FK$12,Fixtures!IR$25))=Fixtures!$DN70,CONCATENATE(IR$10,", "),""))</f>
        <v/>
      </c>
      <c r="IS70" s="713" t="str">
        <f ca="1">IF(INDIRECT(CONCATENATE($FK$12,Fixtures!IS$25))="","",IF(INDIRECT(CONCATENATE($FK$12,Fixtures!IS$25))=Fixtures!$DN70,CONCATENATE(IS$10,", "),""))</f>
        <v/>
      </c>
      <c r="IT70" s="713" t="str">
        <f ca="1">IF(INDIRECT(CONCATENATE($FK$12,Fixtures!IT$25))="","",IF(INDIRECT(CONCATENATE($FK$12,Fixtures!IT$25))=Fixtures!$DN70,CONCATENATE(IT$10,", "),""))</f>
        <v/>
      </c>
      <c r="IU70" s="713" t="str">
        <f ca="1">IF(INDIRECT(CONCATENATE($FK$12,Fixtures!IU$25))="","",IF(INDIRECT(CONCATENATE($FK$12,Fixtures!IU$25))=Fixtures!$DN70,CONCATENATE(IU$10,", "),""))</f>
        <v/>
      </c>
      <c r="IV70" s="713" t="str">
        <f ca="1">IF(INDIRECT(CONCATENATE($FK$12,Fixtures!IV$25))="","",IF(INDIRECT(CONCATENATE($FK$12,Fixtures!IV$25))=Fixtures!$DN70,CONCATENATE(IV$10,", "),""))</f>
        <v/>
      </c>
      <c r="IW70" s="713" t="str">
        <f ca="1">IF(INDIRECT(CONCATENATE($FK$12,Fixtures!IW$25))="","",IF(INDIRECT(CONCATENATE($FK$12,Fixtures!IW$25))=Fixtures!$DN70,CONCATENATE(IW$10,", "),""))</f>
        <v/>
      </c>
      <c r="IX70" s="713" t="str">
        <f ca="1">IF(INDIRECT(CONCATENATE($FK$12,Fixtures!IX$25))="","",IF(INDIRECT(CONCATENATE($FK$12,Fixtures!IX$25))=Fixtures!$DN70,CONCATENATE(IX$10,", "),""))</f>
        <v/>
      </c>
      <c r="IY70" s="713" t="str">
        <f ca="1">IF(INDIRECT(CONCATENATE($FK$12,Fixtures!IY$25))="","",IF(INDIRECT(CONCATENATE($FK$12,Fixtures!IY$25))=Fixtures!$DN70,CONCATENATE(IY$10,", "),""))</f>
        <v/>
      </c>
      <c r="IZ70" s="713" t="str">
        <f ca="1">IF(INDIRECT(CONCATENATE($FK$12,Fixtures!IZ$25))="","",IF(INDIRECT(CONCATENATE($FK$12,Fixtures!IZ$25))=Fixtures!$DN70,CONCATENATE(IZ$10,", "),""))</f>
        <v/>
      </c>
      <c r="JA70" s="713" t="str">
        <f ca="1">IF(INDIRECT(CONCATENATE($FK$12,Fixtures!JA$25))="","",IF(INDIRECT(CONCATENATE($FK$12,Fixtures!JA$25))=Fixtures!$DN70,CONCATENATE(JA$10,", "),""))</f>
        <v/>
      </c>
      <c r="JB70" s="713" t="str">
        <f ca="1">IF(INDIRECT(CONCATENATE($FK$12,Fixtures!JB$25))="","",IF(INDIRECT(CONCATENATE($FK$12,Fixtures!JB$25))=Fixtures!$DN70,CONCATENATE(JB$10,", "),""))</f>
        <v/>
      </c>
      <c r="JC70" s="713" t="str">
        <f ca="1">IF(INDIRECT(CONCATENATE($FK$12,Fixtures!JC$25))="","",IF(INDIRECT(CONCATENATE($FK$12,Fixtures!JC$25))=Fixtures!$DN70,CONCATENATE(JC$10,", "),""))</f>
        <v/>
      </c>
      <c r="JD70" s="713" t="str">
        <f ca="1">IF(INDIRECT(CONCATENATE($FK$12,Fixtures!JD$25))="","",IF(INDIRECT(CONCATENATE($FK$12,Fixtures!JD$25))=Fixtures!$DN70,CONCATENATE(JD$10,", "),""))</f>
        <v/>
      </c>
      <c r="JE70" s="713" t="str">
        <f ca="1">IF(INDIRECT(CONCATENATE($FK$12,Fixtures!JE$25))="","",IF(INDIRECT(CONCATENATE($FK$12,Fixtures!JE$25))=Fixtures!$DN70,CONCATENATE(JE$10,", "),""))</f>
        <v/>
      </c>
      <c r="JF70" s="684" t="str">
        <f ca="1">IF(INDIRECT(CONCATENATE($FK$12,Fixtures!JF$25))="","",IF(INDIRECT(CONCATENATE($FK$12,Fixtures!JF$25))=Fixtures!$DN70,CONCATENATE(JF$10,", "),""))</f>
        <v/>
      </c>
      <c r="JG70" s="685" t="str">
        <f ca="1">IF(INDIRECT(CONCATENATE($FK$12,Fixtures!JG$25))="","",IF(INDIRECT(CONCATENATE($FK$12,Fixtures!JG$25))=Fixtures!$DN70,CONCATENATE(JG$10,", "),""))</f>
        <v/>
      </c>
      <c r="JH70" s="713" t="str">
        <f ca="1">IF(INDIRECT(CONCATENATE($FK$12,Fixtures!JH$25))="","",IF(INDIRECT(CONCATENATE($FK$12,Fixtures!JH$25))=Fixtures!$DN70,CONCATENATE(JH$10,", "),""))</f>
        <v/>
      </c>
      <c r="JI70" s="713" t="str">
        <f ca="1">IF(INDIRECT(CONCATENATE($FK$12,Fixtures!JI$25))="","",IF(INDIRECT(CONCATENATE($FK$12,Fixtures!JI$25))=Fixtures!$DN70,CONCATENATE(JI$10,", "),""))</f>
        <v/>
      </c>
      <c r="JJ70" s="713" t="str">
        <f ca="1">IF(INDIRECT(CONCATENATE($FK$12,Fixtures!JJ$25))="","",IF(INDIRECT(CONCATENATE($FK$12,Fixtures!JJ$25))=Fixtures!$DN70,CONCATENATE(JJ$10,", "),""))</f>
        <v/>
      </c>
      <c r="JK70" s="713" t="str">
        <f ca="1">IF(INDIRECT(CONCATENATE($FK$12,Fixtures!JK$25))="","",IF(INDIRECT(CONCATENATE($FK$12,Fixtures!JK$25))=Fixtures!$DN70,CONCATENATE(JK$10,", "),""))</f>
        <v/>
      </c>
      <c r="JL70" s="713" t="str">
        <f ca="1">IF(INDIRECT(CONCATENATE($FK$12,Fixtures!JL$25))="","",IF(INDIRECT(CONCATENATE($FK$12,Fixtures!JL$25))=Fixtures!$DN70,CONCATENATE(JL$10,", "),""))</f>
        <v/>
      </c>
      <c r="JM70" s="713" t="str">
        <f ca="1">IF(INDIRECT(CONCATENATE($FK$12,Fixtures!JM$25))="","",IF(INDIRECT(CONCATENATE($FK$12,Fixtures!JM$25))=Fixtures!$DN70,CONCATENATE(JM$10,", "),""))</f>
        <v/>
      </c>
      <c r="JN70" s="713" t="str">
        <f ca="1">IF(INDIRECT(CONCATENATE($FK$12,Fixtures!JN$25))="","",IF(INDIRECT(CONCATENATE($FK$12,Fixtures!JN$25))=Fixtures!$DN70,CONCATENATE(JN$10,", "),""))</f>
        <v/>
      </c>
      <c r="JO70" s="713" t="str">
        <f ca="1">IF(INDIRECT(CONCATENATE($FK$12,Fixtures!JO$25))="","",IF(INDIRECT(CONCATENATE($FK$12,Fixtures!JO$25))=Fixtures!$DN70,CONCATENATE(JO$10,", "),""))</f>
        <v/>
      </c>
      <c r="JP70" s="713" t="str">
        <f ca="1">IF(INDIRECT(CONCATENATE($FK$12,Fixtures!JP$25))="","",IF(INDIRECT(CONCATENATE($FK$12,Fixtures!JP$25))=Fixtures!$DN70,CONCATENATE(JP$10,", "),""))</f>
        <v/>
      </c>
      <c r="JQ70" s="713" t="str">
        <f ca="1">IF(INDIRECT(CONCATENATE($FK$12,Fixtures!JQ$25))="","",IF(INDIRECT(CONCATENATE($FK$12,Fixtures!JQ$25))=Fixtures!$DN70,CONCATENATE(JQ$10,", "),""))</f>
        <v/>
      </c>
      <c r="JR70" s="713" t="str">
        <f ca="1">IF(INDIRECT(CONCATENATE($FK$12,Fixtures!JR$25))="","",IF(INDIRECT(CONCATENATE($FK$12,Fixtures!JR$25))=Fixtures!$DN70,CONCATENATE(JR$10,", "),""))</f>
        <v/>
      </c>
      <c r="JS70" s="713" t="str">
        <f ca="1">IF(INDIRECT(CONCATENATE($FK$12,Fixtures!JS$25))="","",IF(INDIRECT(CONCATENATE($FK$12,Fixtures!JS$25))=Fixtures!$DN70,CONCATENATE(JS$10,", "),""))</f>
        <v/>
      </c>
      <c r="JT70" s="713" t="str">
        <f ca="1">IF(INDIRECT(CONCATENATE($FK$12,Fixtures!JT$25))="","",IF(INDIRECT(CONCATENATE($FK$12,Fixtures!JT$25))=Fixtures!$DN70,CONCATENATE(JT$10,", "),""))</f>
        <v/>
      </c>
      <c r="JU70" s="684" t="str">
        <f ca="1">IF(INDIRECT(CONCATENATE($FK$12,Fixtures!JU$25))="","",IF(INDIRECT(CONCATENATE($FK$12,Fixtures!JU$25))=Fixtures!$DN70,CONCATENATE(JU$10,", "),""))</f>
        <v/>
      </c>
      <c r="JV70" s="685" t="str">
        <f ca="1">IF(INDIRECT(CONCATENATE($FK$12,Fixtures!JV$25))="","",IF(INDIRECT(CONCATENATE($FK$12,Fixtures!JV$25))=Fixtures!$DN70,CONCATENATE(JV$10,", "),""))</f>
        <v/>
      </c>
      <c r="JW70" s="713" t="str">
        <f ca="1">IF(INDIRECT(CONCATENATE($FK$12,Fixtures!JW$25))="","",IF(INDIRECT(CONCATENATE($FK$12,Fixtures!JW$25))=Fixtures!$DN70,CONCATENATE(JW$10,", "),""))</f>
        <v/>
      </c>
      <c r="JX70" s="713" t="str">
        <f ca="1">IF(INDIRECT(CONCATENATE($FK$12,Fixtures!JX$25))="","",IF(INDIRECT(CONCATENATE($FK$12,Fixtures!JX$25))=Fixtures!$DN70,CONCATENATE(JX$10,", "),""))</f>
        <v/>
      </c>
      <c r="JY70" s="713" t="str">
        <f ca="1">IF(INDIRECT(CONCATENATE($FK$12,Fixtures!JY$25))="","",IF(INDIRECT(CONCATENATE($FK$12,Fixtures!JY$25))=Fixtures!$DN70,CONCATENATE(JY$10,", "),""))</f>
        <v/>
      </c>
      <c r="JZ70" s="713" t="str">
        <f ca="1">IF(INDIRECT(CONCATENATE($FK$12,Fixtures!JZ$25))="","",IF(INDIRECT(CONCATENATE($FK$12,Fixtures!JZ$25))=Fixtures!$DN70,CONCATENATE(JZ$10,", "),""))</f>
        <v/>
      </c>
      <c r="KA70" s="713" t="str">
        <f ca="1">IF(INDIRECT(CONCATENATE($FK$12,Fixtures!KA$25))="","",IF(INDIRECT(CONCATENATE($FK$12,Fixtures!KA$25))=Fixtures!$DN70,CONCATENATE(KA$10,", "),""))</f>
        <v/>
      </c>
      <c r="KB70" s="713" t="str">
        <f ca="1">IF(INDIRECT(CONCATENATE($FK$12,Fixtures!KB$25))="","",IF(INDIRECT(CONCATENATE($FK$12,Fixtures!KB$25))=Fixtures!$DN70,CONCATENATE(KB$10,", "),""))</f>
        <v/>
      </c>
      <c r="KC70" s="713" t="str">
        <f ca="1">IF(INDIRECT(CONCATENATE($FK$12,Fixtures!KC$25))="","",IF(INDIRECT(CONCATENATE($FK$12,Fixtures!KC$25))=Fixtures!$DN70,CONCATENATE(KC$10,", "),""))</f>
        <v/>
      </c>
      <c r="KD70" s="713" t="str">
        <f ca="1">IF(INDIRECT(CONCATENATE($FK$12,Fixtures!KD$25))="","",IF(INDIRECT(CONCATENATE($FK$12,Fixtures!KD$25))=Fixtures!$DN70,CONCATENATE(KD$10,", "),""))</f>
        <v/>
      </c>
      <c r="KE70" s="713" t="str">
        <f ca="1">IF(INDIRECT(CONCATENATE($FK$12,Fixtures!KE$25))="","",IF(INDIRECT(CONCATENATE($FK$12,Fixtures!KE$25))=Fixtures!$DN70,CONCATENATE(KE$10,", "),""))</f>
        <v/>
      </c>
      <c r="KF70" s="713" t="str">
        <f ca="1">IF(INDIRECT(CONCATENATE($FK$12,Fixtures!KF$25))="","",IF(INDIRECT(CONCATENATE($FK$12,Fixtures!KF$25))=Fixtures!$DN70,CONCATENATE(KF$10,", "),""))</f>
        <v/>
      </c>
      <c r="KG70" s="713" t="str">
        <f ca="1">IF(INDIRECT(CONCATENATE($FK$12,Fixtures!KG$25))="","",IF(INDIRECT(CONCATENATE($FK$12,Fixtures!KG$25))=Fixtures!$DN70,CONCATENATE(KG$10,", "),""))</f>
        <v/>
      </c>
      <c r="KH70" s="713" t="str">
        <f ca="1">IF(INDIRECT(CONCATENATE($FK$12,Fixtures!KH$25))="","",IF(INDIRECT(CONCATENATE($FK$12,Fixtures!KH$25))=Fixtures!$DN70,CONCATENATE(KH$10,", "),""))</f>
        <v/>
      </c>
      <c r="KI70" s="713" t="str">
        <f ca="1">IF(INDIRECT(CONCATENATE($FK$12,Fixtures!KI$25))="","",IF(INDIRECT(CONCATENATE($FK$12,Fixtures!KI$25))=Fixtures!$DN70,CONCATENATE(KI$10,", "),""))</f>
        <v/>
      </c>
      <c r="KJ70" s="684" t="str">
        <f ca="1">IF(INDIRECT(CONCATENATE($FK$12,Fixtures!KJ$25))="","",IF(INDIRECT(CONCATENATE($FK$12,Fixtures!KJ$25))=Fixtures!$DN70,CONCATENATE(KJ$10,", "),""))</f>
        <v/>
      </c>
      <c r="KK70" s="685" t="str">
        <f ca="1">IF(INDIRECT(CONCATENATE($FK$12,Fixtures!KK$25))="","",IF(INDIRECT(CONCATENATE($FK$12,Fixtures!KK$25))=Fixtures!$DN70,CONCATENATE(KK$10,", "),""))</f>
        <v/>
      </c>
      <c r="KL70" s="713" t="str">
        <f ca="1">IF(INDIRECT(CONCATENATE($FK$12,Fixtures!KL$25))="","",IF(INDIRECT(CONCATENATE($FK$12,Fixtures!KL$25))=Fixtures!$DN70,CONCATENATE(KL$10,", "),""))</f>
        <v/>
      </c>
      <c r="KM70" s="713" t="str">
        <f ca="1">IF(INDIRECT(CONCATENATE($FK$12,Fixtures!KM$25))="","",IF(INDIRECT(CONCATENATE($FK$12,Fixtures!KM$25))=Fixtures!$DN70,CONCATENATE(KM$10,", "),""))</f>
        <v/>
      </c>
      <c r="KN70" s="713" t="str">
        <f ca="1">IF(INDIRECT(CONCATENATE($FK$12,Fixtures!KN$25))="","",IF(INDIRECT(CONCATENATE($FK$12,Fixtures!KN$25))=Fixtures!$DN70,CONCATENATE(KN$10,", "),""))</f>
        <v/>
      </c>
      <c r="KO70" s="713" t="str">
        <f ca="1">IF(INDIRECT(CONCATENATE($FK$12,Fixtures!KO$25))="","",IF(INDIRECT(CONCATENATE($FK$12,Fixtures!KO$25))=Fixtures!$DN70,CONCATENATE(KO$10,", "),""))</f>
        <v/>
      </c>
      <c r="KP70" s="713" t="str">
        <f ca="1">IF(INDIRECT(CONCATENATE($FK$12,Fixtures!KP$25))="","",IF(INDIRECT(CONCATENATE($FK$12,Fixtures!KP$25))=Fixtures!$DN70,CONCATENATE(KP$10,", "),""))</f>
        <v/>
      </c>
      <c r="KQ70" s="713" t="str">
        <f ca="1">IF(INDIRECT(CONCATENATE($FK$12,Fixtures!KQ$25))="","",IF(INDIRECT(CONCATENATE($FK$12,Fixtures!KQ$25))=Fixtures!$DN70,CONCATENATE(KQ$10,", "),""))</f>
        <v/>
      </c>
      <c r="KR70" s="713" t="str">
        <f ca="1">IF(INDIRECT(CONCATENATE($FK$12,Fixtures!KR$25))="","",IF(INDIRECT(CONCATENATE($FK$12,Fixtures!KR$25))=Fixtures!$DN70,CONCATENATE(KR$10,", "),""))</f>
        <v/>
      </c>
      <c r="KS70" s="713" t="str">
        <f ca="1">IF(INDIRECT(CONCATENATE($FK$12,Fixtures!KS$25))="","",IF(INDIRECT(CONCATENATE($FK$12,Fixtures!KS$25))=Fixtures!$DN70,CONCATENATE(KS$10,", "),""))</f>
        <v/>
      </c>
      <c r="KT70" s="713" t="str">
        <f ca="1">IF(INDIRECT(CONCATENATE($FK$12,Fixtures!KT$25))="","",IF(INDIRECT(CONCATENATE($FK$12,Fixtures!KT$25))=Fixtures!$DN70,CONCATENATE(KT$10,", "),""))</f>
        <v/>
      </c>
      <c r="KU70" s="713" t="str">
        <f ca="1">IF(INDIRECT(CONCATENATE($FK$12,Fixtures!KU$25))="","",IF(INDIRECT(CONCATENATE($FK$12,Fixtures!KU$25))=Fixtures!$DN70,CONCATENATE(KU$10,", "),""))</f>
        <v/>
      </c>
      <c r="KV70" s="713" t="str">
        <f ca="1">IF(INDIRECT(CONCATENATE($FK$12,Fixtures!KV$25))="","",IF(INDIRECT(CONCATENATE($FK$12,Fixtures!KV$25))=Fixtures!$DN70,CONCATENATE(KV$10,", "),""))</f>
        <v/>
      </c>
      <c r="KW70" s="713" t="str">
        <f ca="1">IF(INDIRECT(CONCATENATE($FK$12,Fixtures!KW$25))="","",IF(INDIRECT(CONCATENATE($FK$12,Fixtures!KW$25))=Fixtures!$DN70,CONCATENATE(KW$10,", "),""))</f>
        <v/>
      </c>
      <c r="KX70" s="713" t="str">
        <f ca="1">IF(INDIRECT(CONCATENATE($FK$12,Fixtures!KX$25))="","",IF(INDIRECT(CONCATENATE($FK$12,Fixtures!KX$25))=Fixtures!$DN70,CONCATENATE(KX$10,", "),""))</f>
        <v/>
      </c>
      <c r="KY70" s="713" t="str">
        <f ca="1">IF(INDIRECT(CONCATENATE($FK$12,Fixtures!KY$25))="","",IF(INDIRECT(CONCATENATE($FK$12,Fixtures!KY$25))=Fixtures!$DN70,CONCATENATE(KY$10,", "),""))</f>
        <v/>
      </c>
      <c r="KZ70" s="602"/>
      <c r="LA70" s="46" t="str">
        <f t="shared" ca="1" si="38"/>
        <v/>
      </c>
    </row>
    <row r="71" spans="1:313" ht="28.05" customHeight="1" thickTop="1" thickBot="1">
      <c r="A71" s="471" t="str">
        <f t="shared" si="13"/>
        <v/>
      </c>
      <c r="C71" s="1328" t="str">
        <f t="shared" si="14"/>
        <v/>
      </c>
      <c r="D71" s="1329"/>
      <c r="E71" s="1256" t="str">
        <f t="shared" si="15"/>
        <v/>
      </c>
      <c r="F71" s="1257"/>
      <c r="G71" s="1257"/>
      <c r="H71" s="1257"/>
      <c r="I71" s="1257"/>
      <c r="J71" s="1257"/>
      <c r="K71" s="1257"/>
      <c r="L71" s="1257"/>
      <c r="M71" s="1330"/>
      <c r="N71" s="239" t="str">
        <f t="shared" si="16"/>
        <v/>
      </c>
      <c r="O71" s="12"/>
      <c r="P71" s="1326" t="str">
        <f t="shared" si="25"/>
        <v/>
      </c>
      <c r="Q71" s="1327"/>
      <c r="R71" s="1256" t="str">
        <f t="shared" si="31"/>
        <v/>
      </c>
      <c r="S71" s="1257"/>
      <c r="T71" s="1257"/>
      <c r="U71" s="1257"/>
      <c r="V71" s="1257"/>
      <c r="W71" s="1257"/>
      <c r="X71" s="1257"/>
      <c r="Y71" s="239" t="str">
        <f t="shared" si="27"/>
        <v/>
      </c>
      <c r="Z71" s="239" t="str">
        <f t="shared" si="28"/>
        <v/>
      </c>
      <c r="AA71" s="439" t="str">
        <f t="shared" si="29"/>
        <v/>
      </c>
      <c r="AB71" s="542"/>
      <c r="AC71" s="1253" t="str">
        <f t="shared" si="17"/>
        <v/>
      </c>
      <c r="AD71" s="1166"/>
      <c r="AE71" s="1166"/>
      <c r="AF71" s="1166"/>
      <c r="AG71" s="1166"/>
      <c r="AH71" s="1166"/>
      <c r="AK71">
        <f>SUMIFS(Installations!CS$39:CS$800,Installations!CT$39:CT$800,E71,Installations!HX$39:HX$800,TRUE)</f>
        <v>0</v>
      </c>
      <c r="AL71">
        <f>SUMIFS(Installations!CS$39:CS$800,Installations!CT$39:CT$800,R71,Installations!HX$39:HX$800,TRUE)</f>
        <v>0</v>
      </c>
      <c r="BL71" s="9"/>
      <c r="BM71" s="703" t="str">
        <f t="shared" si="18"/>
        <v/>
      </c>
      <c r="BN71" s="52"/>
      <c r="BO71" s="52"/>
      <c r="BP71" s="52"/>
      <c r="BQ71" s="52"/>
      <c r="BR71" s="52"/>
      <c r="BS71" s="52"/>
      <c r="BT71" s="52"/>
      <c r="BU71" s="414"/>
      <c r="BV71" s="255" t="str">
        <f>IF(CN71&lt;&gt;"Yes","",IFERROR(VLOOKUP(CU71,Existing!A$4:F$364,2,FALSE),""))</f>
        <v/>
      </c>
      <c r="BW71" s="9">
        <v>45</v>
      </c>
      <c r="BX71" s="1313"/>
      <c r="BY71" s="1314"/>
      <c r="BZ71" s="1314"/>
      <c r="CA71" s="1315"/>
      <c r="CB71" s="1310"/>
      <c r="CC71" s="1311"/>
      <c r="CD71" s="1311"/>
      <c r="CE71" s="1312"/>
      <c r="CF71" s="1309"/>
      <c r="CG71" s="1309"/>
      <c r="CH71" s="1309"/>
      <c r="CI71" s="1309"/>
      <c r="CJ71" s="1309"/>
      <c r="CK71" s="1309"/>
      <c r="CL71" s="1309"/>
      <c r="CM71" s="1309"/>
      <c r="CN71" s="1243" t="str">
        <f t="shared" si="32"/>
        <v/>
      </c>
      <c r="CO71" s="1244"/>
      <c r="CP71" s="265" t="str">
        <f>IFERROR(IF(CB71="Existing TLED",CR71*CW71*CY71,VLOOKUP(CU71,Existing!A$3:F$353,6,FALSE)),"")</f>
        <v/>
      </c>
      <c r="CQ71" s="9"/>
      <c r="CR71" s="1343"/>
      <c r="CS71" s="1344"/>
      <c r="CT71" s="9"/>
      <c r="CU71" s="470" t="str">
        <f t="shared" si="21"/>
        <v/>
      </c>
      <c r="CV71" s="471" t="b">
        <f t="shared" si="22"/>
        <v>0</v>
      </c>
      <c r="CW71" s="471" t="str">
        <f t="shared" si="23"/>
        <v/>
      </c>
      <c r="CX71" s="471">
        <f>IFERROR(VLOOKUP(CF71,Lookup!M$100:O$102,3,FALSE),0)</f>
        <v>0</v>
      </c>
      <c r="CY71" s="471">
        <f t="shared" si="9"/>
        <v>1.1100000000000001</v>
      </c>
      <c r="CZ71" s="707" t="b">
        <f t="shared" si="33"/>
        <v>0</v>
      </c>
      <c r="DA71" s="707" t="b">
        <f>IF(CF71&lt;&gt;"",IF(ISERROR(MATCH(CONCATENATE(CB71," - ",CF71),Existing!G$4:G$328,0))=TRUE,FALSE,TRUE),TRUE)</f>
        <v>1</v>
      </c>
      <c r="DB71" s="707" t="b">
        <f t="shared" si="34"/>
        <v>1</v>
      </c>
      <c r="DL71" s="9"/>
      <c r="DM71" s="708" t="s">
        <v>166</v>
      </c>
      <c r="DN71" s="416" t="str">
        <f t="shared" si="35"/>
        <v/>
      </c>
      <c r="DO71" s="52"/>
      <c r="DP71" s="52"/>
      <c r="DQ71" s="52"/>
      <c r="DR71" s="52"/>
      <c r="DS71" s="52"/>
      <c r="DT71" s="262"/>
      <c r="DU71" s="417"/>
      <c r="DV71" s="263" t="str">
        <f t="shared" si="36"/>
        <v/>
      </c>
      <c r="DW71" s="260">
        <v>45</v>
      </c>
      <c r="DX71" s="1306"/>
      <c r="DY71" s="1307"/>
      <c r="DZ71" s="1307"/>
      <c r="EA71" s="1308"/>
      <c r="EB71" s="1306"/>
      <c r="EC71" s="1307"/>
      <c r="ED71" s="1307"/>
      <c r="EE71" s="1308"/>
      <c r="EF71" s="1266"/>
      <c r="EG71" s="1267"/>
      <c r="EH71" s="1306"/>
      <c r="EI71" s="1307"/>
      <c r="EJ71" s="1307"/>
      <c r="EK71" s="1308"/>
      <c r="EL71" s="1263"/>
      <c r="EM71" s="1264"/>
      <c r="EN71" s="1264"/>
      <c r="EO71" s="1265"/>
      <c r="EP71" s="1266"/>
      <c r="EQ71" s="1267"/>
      <c r="ER71" s="1245"/>
      <c r="ES71" s="1246"/>
      <c r="ET71" s="1243" t="str">
        <f t="shared" si="5"/>
        <v/>
      </c>
      <c r="EU71" s="1244"/>
      <c r="EV71" s="1243" t="str">
        <f t="shared" si="30"/>
        <v/>
      </c>
      <c r="EW71" s="1244"/>
      <c r="EX71" s="438"/>
      <c r="EY71" s="261" t="str">
        <f t="shared" si="37"/>
        <v/>
      </c>
      <c r="EZ71" s="261" t="str">
        <f>IFERROR(VLOOKUP(EB71,Lookup!AM$3:AN$13,2,FALSE),"")</f>
        <v/>
      </c>
      <c r="FA71" s="471" t="b">
        <f>IFERROR(IF(VLOOKUP(EB71,Lookup!AM$6:AN$8,2,FALSE)&gt;3,TRUE,FALSE),FALSE)</f>
        <v>0</v>
      </c>
      <c r="FB71" s="471">
        <f t="shared" si="11"/>
        <v>1</v>
      </c>
      <c r="FC71" t="str">
        <f t="shared" ca="1" si="10"/>
        <v/>
      </c>
      <c r="FG71" t="str">
        <f t="shared" ca="1" si="12"/>
        <v/>
      </c>
      <c r="FI71" s="240" t="str">
        <f t="shared" ca="1" si="24"/>
        <v/>
      </c>
      <c r="FK71" s="712" t="str">
        <f ca="1">IF(INDIRECT(CONCATENATE($FK$12,Fixtures!FK$25))="","",IF(INDIRECT(CONCATENATE($FK$12,Fixtures!FK$25))=Fixtures!$DN71,CONCATENATE(FK$10,", "),""))</f>
        <v/>
      </c>
      <c r="FL71" s="712" t="str">
        <f ca="1">IF(INDIRECT(CONCATENATE($FK$12,Fixtures!FL$25))="","",IF(INDIRECT(CONCATENATE($FK$12,Fixtures!FL$25))=Fixtures!$DN71,CONCATENATE(FL$10,", "),""))</f>
        <v/>
      </c>
      <c r="FM71" s="712" t="str">
        <f ca="1">IF(INDIRECT(CONCATENATE($FK$12,Fixtures!FM$25))="","",IF(INDIRECT(CONCATENATE($FK$12,Fixtures!FM$25))=Fixtures!$DN71,CONCATENATE(FM$10,", "),""))</f>
        <v/>
      </c>
      <c r="FN71" s="712" t="str">
        <f ca="1">IF(INDIRECT(CONCATENATE($FK$12,Fixtures!FN$25))="","",IF(INDIRECT(CONCATENATE($FK$12,Fixtures!FN$25))=Fixtures!$DN71,CONCATENATE(FN$10,", "),""))</f>
        <v/>
      </c>
      <c r="FO71" s="712" t="str">
        <f ca="1">IF(INDIRECT(CONCATENATE($FK$12,Fixtures!FO$25))="","",IF(INDIRECT(CONCATENATE($FK$12,Fixtures!FO$25))=Fixtures!$DN71,CONCATENATE(FO$10,", "),""))</f>
        <v/>
      </c>
      <c r="FP71" s="712" t="str">
        <f ca="1">IF(INDIRECT(CONCATENATE($FK$12,Fixtures!FP$25))="","",IF(INDIRECT(CONCATENATE($FK$12,Fixtures!FP$25))=Fixtures!$DN71,CONCATENATE(FP$10,", "),""))</f>
        <v/>
      </c>
      <c r="FQ71" s="712" t="str">
        <f ca="1">IF(INDIRECT(CONCATENATE($FK$12,Fixtures!FQ$25))="","",IF(INDIRECT(CONCATENATE($FK$12,Fixtures!FQ$25))=Fixtures!$DN71,CONCATENATE(FQ$10,", "),""))</f>
        <v/>
      </c>
      <c r="FR71" s="712" t="str">
        <f ca="1">IF(INDIRECT(CONCATENATE($FK$12,Fixtures!FR$25))="","",IF(INDIRECT(CONCATENATE($FK$12,Fixtures!FR$25))=Fixtures!$DN71,CONCATENATE(FR$10,", "),""))</f>
        <v/>
      </c>
      <c r="FS71" s="712" t="str">
        <f ca="1">IF(INDIRECT(CONCATENATE($FK$12,Fixtures!FS$25))="","",IF(INDIRECT(CONCATENATE($FK$12,Fixtures!FS$25))=Fixtures!$DN71,CONCATENATE(FS$10,", "),""))</f>
        <v/>
      </c>
      <c r="FT71" s="682" t="str">
        <f ca="1">IF(INDIRECT(CONCATENATE($FK$12,Fixtures!FT$25))="","",IF(INDIRECT(CONCATENATE($FK$12,Fixtures!FT$25))=Fixtures!$DN71,CONCATENATE(FT$10,", "),""))</f>
        <v/>
      </c>
      <c r="FU71" s="683" t="str">
        <f ca="1">IF(INDIRECT(CONCATENATE($FK$12,Fixtures!FU$25))="","",IF(INDIRECT(CONCATENATE($FK$12,Fixtures!FU$25))=Fixtures!$DN71,CONCATENATE(FU$10,", "),""))</f>
        <v/>
      </c>
      <c r="FV71" s="712" t="str">
        <f ca="1">IF(INDIRECT(CONCATENATE($FK$12,Fixtures!FV$25))="","",IF(INDIRECT(CONCATENATE($FK$12,Fixtures!FV$25))=Fixtures!$DN71,CONCATENATE(FV$10,", "),""))</f>
        <v/>
      </c>
      <c r="FW71" s="713" t="str">
        <f ca="1">IF(INDIRECT(CONCATENATE($FK$12,Fixtures!FW$25))="","",IF(INDIRECT(CONCATENATE($FK$12,Fixtures!FW$25))=Fixtures!$DN71,CONCATENATE(FW$10,", "),""))</f>
        <v/>
      </c>
      <c r="FX71" s="713" t="str">
        <f ca="1">IF(INDIRECT(CONCATENATE($FK$12,Fixtures!FX$25))="","",IF(INDIRECT(CONCATENATE($FK$12,Fixtures!FX$25))=Fixtures!$DN71,CONCATENATE(FX$10,", "),""))</f>
        <v/>
      </c>
      <c r="FY71" s="713" t="str">
        <f ca="1">IF(INDIRECT(CONCATENATE($FK$12,Fixtures!FY$25))="","",IF(INDIRECT(CONCATENATE($FK$12,Fixtures!FY$25))=Fixtures!$DN71,CONCATENATE(FY$10,", "),""))</f>
        <v/>
      </c>
      <c r="FZ71" s="713" t="str">
        <f ca="1">IF(INDIRECT(CONCATENATE($FK$12,Fixtures!FZ$25))="","",IF(INDIRECT(CONCATENATE($FK$12,Fixtures!FZ$25))=Fixtures!$DN71,CONCATENATE(FZ$10,", "),""))</f>
        <v/>
      </c>
      <c r="GA71" s="713" t="str">
        <f ca="1">IF(INDIRECT(CONCATENATE($FK$12,Fixtures!GA$25))="","",IF(INDIRECT(CONCATENATE($FK$12,Fixtures!GA$25))=Fixtures!$DN71,CONCATENATE(GA$10,", "),""))</f>
        <v/>
      </c>
      <c r="GB71" s="713" t="str">
        <f ca="1">IF(INDIRECT(CONCATENATE($FK$12,Fixtures!GB$25))="","",IF(INDIRECT(CONCATENATE($FK$12,Fixtures!GB$25))=Fixtures!$DN71,CONCATENATE(GB$10,", "),""))</f>
        <v/>
      </c>
      <c r="GC71" s="713" t="str">
        <f ca="1">IF(INDIRECT(CONCATENATE($FK$12,Fixtures!GC$25))="","",IF(INDIRECT(CONCATENATE($FK$12,Fixtures!GC$25))=Fixtures!$DN71,CONCATENATE(GC$10,", "),""))</f>
        <v/>
      </c>
      <c r="GD71" s="713" t="str">
        <f ca="1">IF(INDIRECT(CONCATENATE($FK$12,Fixtures!GD$25))="","",IF(INDIRECT(CONCATENATE($FK$12,Fixtures!GD$25))=Fixtures!$DN71,CONCATENATE(GD$10,", "),""))</f>
        <v/>
      </c>
      <c r="GE71" s="713" t="str">
        <f ca="1">IF(INDIRECT(CONCATENATE($FK$12,Fixtures!GE$25))="","",IF(INDIRECT(CONCATENATE($FK$12,Fixtures!GE$25))=Fixtures!$DN71,CONCATENATE(GE$10,", "),""))</f>
        <v/>
      </c>
      <c r="GF71" s="713" t="str">
        <f ca="1">IF(INDIRECT(CONCATENATE($FK$12,Fixtures!GF$25))="","",IF(INDIRECT(CONCATENATE($FK$12,Fixtures!GF$25))=Fixtures!$DN71,CONCATENATE(GF$10,", "),""))</f>
        <v/>
      </c>
      <c r="GG71" s="713" t="str">
        <f ca="1">IF(INDIRECT(CONCATENATE($FK$12,Fixtures!GG$25))="","",IF(INDIRECT(CONCATENATE($FK$12,Fixtures!GG$25))=Fixtures!$DN71,CONCATENATE(GG$10,", "),""))</f>
        <v/>
      </c>
      <c r="GH71" s="713" t="str">
        <f ca="1">IF(INDIRECT(CONCATENATE($FK$12,Fixtures!GH$25))="","",IF(INDIRECT(CONCATENATE($FK$12,Fixtures!GH$25))=Fixtures!$DN71,CONCATENATE(GH$10,", "),""))</f>
        <v/>
      </c>
      <c r="GI71" s="684" t="str">
        <f ca="1">IF(INDIRECT(CONCATENATE($FK$12,Fixtures!GI$25))="","",IF(INDIRECT(CONCATENATE($FK$12,Fixtures!GI$25))=Fixtures!$DN71,CONCATENATE(GI$10,", "),""))</f>
        <v/>
      </c>
      <c r="GJ71" s="685" t="str">
        <f ca="1">IF(INDIRECT(CONCATENATE($FK$12,Fixtures!GJ$25))="","",IF(INDIRECT(CONCATENATE($FK$12,Fixtures!GJ$25))=Fixtures!$DN71,CONCATENATE(GJ$10,", "),""))</f>
        <v/>
      </c>
      <c r="GK71" s="713" t="str">
        <f ca="1">IF(INDIRECT(CONCATENATE($FK$12,Fixtures!GK$25))="","",IF(INDIRECT(CONCATENATE($FK$12,Fixtures!GK$25))=Fixtures!$DN71,CONCATENATE(GK$10,", "),""))</f>
        <v/>
      </c>
      <c r="GL71" s="713" t="str">
        <f ca="1">IF(INDIRECT(CONCATENATE($FK$12,Fixtures!GL$25))="","",IF(INDIRECT(CONCATENATE($FK$12,Fixtures!GL$25))=Fixtures!$DN71,CONCATENATE(GL$10,", "),""))</f>
        <v/>
      </c>
      <c r="GM71" s="713" t="str">
        <f ca="1">IF(INDIRECT(CONCATENATE($FK$12,Fixtures!GM$25))="","",IF(INDIRECT(CONCATENATE($FK$12,Fixtures!GM$25))=Fixtures!$DN71,CONCATENATE(GM$10,", "),""))</f>
        <v/>
      </c>
      <c r="GN71" s="713" t="str">
        <f ca="1">IF(INDIRECT(CONCATENATE($FK$12,Fixtures!GN$25))="","",IF(INDIRECT(CONCATENATE($FK$12,Fixtures!GN$25))=Fixtures!$DN71,CONCATENATE(GN$10,", "),""))</f>
        <v/>
      </c>
      <c r="GO71" s="713" t="str">
        <f ca="1">IF(INDIRECT(CONCATENATE($FK$12,Fixtures!GO$25))="","",IF(INDIRECT(CONCATENATE($FK$12,Fixtures!GO$25))=Fixtures!$DN71,CONCATENATE(GO$10,", "),""))</f>
        <v/>
      </c>
      <c r="GP71" s="713" t="str">
        <f ca="1">IF(INDIRECT(CONCATENATE($FK$12,Fixtures!GP$25))="","",IF(INDIRECT(CONCATENATE($FK$12,Fixtures!GP$25))=Fixtures!$DN71,CONCATENATE(GP$10,", "),""))</f>
        <v/>
      </c>
      <c r="GQ71" s="713" t="str">
        <f ca="1">IF(INDIRECT(CONCATENATE($FK$12,Fixtures!GQ$25))="","",IF(INDIRECT(CONCATENATE($FK$12,Fixtures!GQ$25))=Fixtures!$DN71,CONCATENATE(GQ$10,", "),""))</f>
        <v/>
      </c>
      <c r="GR71" s="713" t="str">
        <f ca="1">IF(INDIRECT(CONCATENATE($FK$12,Fixtures!GR$25))="","",IF(INDIRECT(CONCATENATE($FK$12,Fixtures!GR$25))=Fixtures!$DN71,CONCATENATE(GR$10,", "),""))</f>
        <v/>
      </c>
      <c r="GS71" s="713" t="str">
        <f ca="1">IF(INDIRECT(CONCATENATE($FK$12,Fixtures!GS$25))="","",IF(INDIRECT(CONCATENATE($FK$12,Fixtures!GS$25))=Fixtures!$DN71,CONCATENATE(GS$10,", "),""))</f>
        <v/>
      </c>
      <c r="GT71" s="713" t="str">
        <f ca="1">IF(INDIRECT(CONCATENATE($FK$12,Fixtures!GT$25))="","",IF(INDIRECT(CONCATENATE($FK$12,Fixtures!GT$25))=Fixtures!$DN71,CONCATENATE(GT$10,", "),""))</f>
        <v/>
      </c>
      <c r="GU71" s="713" t="str">
        <f ca="1">IF(INDIRECT(CONCATENATE($FK$12,Fixtures!GU$25))="","",IF(INDIRECT(CONCATENATE($FK$12,Fixtures!GU$25))=Fixtures!$DN71,CONCATENATE(GU$10,", "),""))</f>
        <v/>
      </c>
      <c r="GV71" s="713" t="str">
        <f ca="1">IF(INDIRECT(CONCATENATE($FK$12,Fixtures!GV$25))="","",IF(INDIRECT(CONCATENATE($FK$12,Fixtures!GV$25))=Fixtures!$DN71,CONCATENATE(GV$10,", "),""))</f>
        <v/>
      </c>
      <c r="GW71" s="713" t="str">
        <f ca="1">IF(INDIRECT(CONCATENATE($FK$12,Fixtures!GW$25))="","",IF(INDIRECT(CONCATENATE($FK$12,Fixtures!GW$25))=Fixtures!$DN71,CONCATENATE(GW$10,", "),""))</f>
        <v/>
      </c>
      <c r="GX71" s="684" t="str">
        <f ca="1">IF(INDIRECT(CONCATENATE($FK$12,Fixtures!GX$25))="","",IF(INDIRECT(CONCATENATE($FK$12,Fixtures!GX$25))=Fixtures!$DN71,CONCATENATE(GX$10,", "),""))</f>
        <v/>
      </c>
      <c r="GY71" s="685" t="str">
        <f ca="1">IF(INDIRECT(CONCATENATE($FK$12,Fixtures!GY$25))="","",IF(INDIRECT(CONCATENATE($FK$12,Fixtures!GY$25))=Fixtures!$DN71,CONCATENATE(GY$10,", "),""))</f>
        <v/>
      </c>
      <c r="GZ71" s="713" t="str">
        <f ca="1">IF(INDIRECT(CONCATENATE($FK$12,Fixtures!GZ$25))="","",IF(INDIRECT(CONCATENATE($FK$12,Fixtures!GZ$25))=Fixtures!$DN71,CONCATENATE(GZ$10,", "),""))</f>
        <v/>
      </c>
      <c r="HA71" s="713" t="str">
        <f ca="1">IF(INDIRECT(CONCATENATE($FK$12,Fixtures!HA$25))="","",IF(INDIRECT(CONCATENATE($FK$12,Fixtures!HA$25))=Fixtures!$DN71,CONCATENATE(HA$10,", "),""))</f>
        <v/>
      </c>
      <c r="HB71" s="713" t="str">
        <f ca="1">IF(INDIRECT(CONCATENATE($FK$12,Fixtures!HB$25))="","",IF(INDIRECT(CONCATENATE($FK$12,Fixtures!HB$25))=Fixtures!$DN71,CONCATENATE(HB$10,", "),""))</f>
        <v/>
      </c>
      <c r="HC71" s="713" t="str">
        <f ca="1">IF(INDIRECT(CONCATENATE($FK$12,Fixtures!HC$25))="","",IF(INDIRECT(CONCATENATE($FK$12,Fixtures!HC$25))=Fixtures!$DN71,CONCATENATE(HC$10,", "),""))</f>
        <v/>
      </c>
      <c r="HD71" s="713" t="str">
        <f ca="1">IF(INDIRECT(CONCATENATE($FK$12,Fixtures!HD$25))="","",IF(INDIRECT(CONCATENATE($FK$12,Fixtures!HD$25))=Fixtures!$DN71,CONCATENATE(HD$10,", "),""))</f>
        <v/>
      </c>
      <c r="HE71" s="713" t="str">
        <f ca="1">IF(INDIRECT(CONCATENATE($FK$12,Fixtures!HE$25))="","",IF(INDIRECT(CONCATENATE($FK$12,Fixtures!HE$25))=Fixtures!$DN71,CONCATENATE(HE$10,", "),""))</f>
        <v/>
      </c>
      <c r="HF71" s="713" t="str">
        <f ca="1">IF(INDIRECT(CONCATENATE($FK$12,Fixtures!HF$25))="","",IF(INDIRECT(CONCATENATE($FK$12,Fixtures!HF$25))=Fixtures!$DN71,CONCATENATE(HF$10,", "),""))</f>
        <v/>
      </c>
      <c r="HG71" s="713" t="str">
        <f ca="1">IF(INDIRECT(CONCATENATE($FK$12,Fixtures!HG$25))="","",IF(INDIRECT(CONCATENATE($FK$12,Fixtures!HG$25))=Fixtures!$DN71,CONCATENATE(HG$10,", "),""))</f>
        <v/>
      </c>
      <c r="HH71" s="713" t="str">
        <f ca="1">IF(INDIRECT(CONCATENATE($FK$12,Fixtures!HH$25))="","",IF(INDIRECT(CONCATENATE($FK$12,Fixtures!HH$25))=Fixtures!$DN71,CONCATENATE(HH$10,", "),""))</f>
        <v/>
      </c>
      <c r="HI71" s="713" t="str">
        <f ca="1">IF(INDIRECT(CONCATENATE($FK$12,Fixtures!HI$25))="","",IF(INDIRECT(CONCATENATE($FK$12,Fixtures!HI$25))=Fixtures!$DN71,CONCATENATE(HI$10,", "),""))</f>
        <v/>
      </c>
      <c r="HJ71" s="713" t="str">
        <f ca="1">IF(INDIRECT(CONCATENATE($FK$12,Fixtures!HJ$25))="","",IF(INDIRECT(CONCATENATE($FK$12,Fixtures!HJ$25))=Fixtures!$DN71,CONCATENATE(HJ$10,", "),""))</f>
        <v/>
      </c>
      <c r="HK71" s="713" t="str">
        <f ca="1">IF(INDIRECT(CONCATENATE($FK$12,Fixtures!HK$25))="","",IF(INDIRECT(CONCATENATE($FK$12,Fixtures!HK$25))=Fixtures!$DN71,CONCATENATE(HK$10,", "),""))</f>
        <v/>
      </c>
      <c r="HL71" s="713" t="str">
        <f ca="1">IF(INDIRECT(CONCATENATE($FK$12,Fixtures!HL$25))="","",IF(INDIRECT(CONCATENATE($FK$12,Fixtures!HL$25))=Fixtures!$DN71,CONCATENATE(HL$10,", "),""))</f>
        <v/>
      </c>
      <c r="HM71" s="684" t="str">
        <f ca="1">IF(INDIRECT(CONCATENATE($FK$12,Fixtures!HM$25))="","",IF(INDIRECT(CONCATENATE($FK$12,Fixtures!HM$25))=Fixtures!$DN71,CONCATENATE(HM$10,", "),""))</f>
        <v/>
      </c>
      <c r="HN71" s="685" t="str">
        <f ca="1">IF(INDIRECT(CONCATENATE($FK$12,Fixtures!HN$25))="","",IF(INDIRECT(CONCATENATE($FK$12,Fixtures!HN$25))=Fixtures!$DN71,CONCATENATE(HN$10,", "),""))</f>
        <v/>
      </c>
      <c r="HO71" s="713" t="str">
        <f ca="1">IF(INDIRECT(CONCATENATE($FK$12,Fixtures!HO$25))="","",IF(INDIRECT(CONCATENATE($FK$12,Fixtures!HO$25))=Fixtures!$DN71,CONCATENATE(HO$10,", "),""))</f>
        <v/>
      </c>
      <c r="HP71" s="713" t="str">
        <f ca="1">IF(INDIRECT(CONCATENATE($FK$12,Fixtures!HP$25))="","",IF(INDIRECT(CONCATENATE($FK$12,Fixtures!HP$25))=Fixtures!$DN71,CONCATENATE(HP$10,", "),""))</f>
        <v/>
      </c>
      <c r="HQ71" s="713" t="str">
        <f ca="1">IF(INDIRECT(CONCATENATE($FK$12,Fixtures!HQ$25))="","",IF(INDIRECT(CONCATENATE($FK$12,Fixtures!HQ$25))=Fixtures!$DN71,CONCATENATE(HQ$10,", "),""))</f>
        <v/>
      </c>
      <c r="HR71" s="713" t="str">
        <f ca="1">IF(INDIRECT(CONCATENATE($FK$12,Fixtures!HR$25))="","",IF(INDIRECT(CONCATENATE($FK$12,Fixtures!HR$25))=Fixtures!$DN71,CONCATENATE(HR$10,", "),""))</f>
        <v/>
      </c>
      <c r="HS71" s="713" t="str">
        <f ca="1">IF(INDIRECT(CONCATENATE($FK$12,Fixtures!HS$25))="","",IF(INDIRECT(CONCATENATE($FK$12,Fixtures!HS$25))=Fixtures!$DN71,CONCATENATE(HS$10,", "),""))</f>
        <v/>
      </c>
      <c r="HT71" s="713" t="str">
        <f ca="1">IF(INDIRECT(CONCATENATE($FK$12,Fixtures!HT$25))="","",IF(INDIRECT(CONCATENATE($FK$12,Fixtures!HT$25))=Fixtures!$DN71,CONCATENATE(HT$10,", "),""))</f>
        <v/>
      </c>
      <c r="HU71" s="713" t="str">
        <f ca="1">IF(INDIRECT(CONCATENATE($FK$12,Fixtures!HU$25))="","",IF(INDIRECT(CONCATENATE($FK$12,Fixtures!HU$25))=Fixtures!$DN71,CONCATENATE(HU$10,", "),""))</f>
        <v/>
      </c>
      <c r="HV71" s="713" t="str">
        <f ca="1">IF(INDIRECT(CONCATENATE($FK$12,Fixtures!HV$25))="","",IF(INDIRECT(CONCATENATE($FK$12,Fixtures!HV$25))=Fixtures!$DN71,CONCATENATE(HV$10,", "),""))</f>
        <v/>
      </c>
      <c r="HW71" s="713" t="str">
        <f ca="1">IF(INDIRECT(CONCATENATE($FK$12,Fixtures!HW$25))="","",IF(INDIRECT(CONCATENATE($FK$12,Fixtures!HW$25))=Fixtures!$DN71,CONCATENATE(HW$10,", "),""))</f>
        <v/>
      </c>
      <c r="HX71" s="713" t="str">
        <f ca="1">IF(INDIRECT(CONCATENATE($FK$12,Fixtures!HX$25))="","",IF(INDIRECT(CONCATENATE($FK$12,Fixtures!HX$25))=Fixtures!$DN71,CONCATENATE(HX$10,", "),""))</f>
        <v/>
      </c>
      <c r="HY71" s="713" t="str">
        <f ca="1">IF(INDIRECT(CONCATENATE($FK$12,Fixtures!HY$25))="","",IF(INDIRECT(CONCATENATE($FK$12,Fixtures!HY$25))=Fixtures!$DN71,CONCATENATE(HY$10,", "),""))</f>
        <v/>
      </c>
      <c r="HZ71" s="713" t="str">
        <f ca="1">IF(INDIRECT(CONCATENATE($FK$12,Fixtures!HZ$25))="","",IF(INDIRECT(CONCATENATE($FK$12,Fixtures!HZ$25))=Fixtures!$DN71,CONCATENATE(HZ$10,", "),""))</f>
        <v/>
      </c>
      <c r="IA71" s="713" t="str">
        <f ca="1">IF(INDIRECT(CONCATENATE($FK$12,Fixtures!IA$25))="","",IF(INDIRECT(CONCATENATE($FK$12,Fixtures!IA$25))=Fixtures!$DN71,CONCATENATE(IA$10,", "),""))</f>
        <v/>
      </c>
      <c r="IB71" s="684" t="str">
        <f ca="1">IF(INDIRECT(CONCATENATE($FK$12,Fixtures!IB$25))="","",IF(INDIRECT(CONCATENATE($FK$12,Fixtures!IB$25))=Fixtures!$DN71,CONCATENATE(IB$10,", "),""))</f>
        <v/>
      </c>
      <c r="IC71" s="685" t="str">
        <f ca="1">IF(INDIRECT(CONCATENATE($FK$12,Fixtures!IC$25))="","",IF(INDIRECT(CONCATENATE($FK$12,Fixtures!IC$25))=Fixtures!$DN71,CONCATENATE(IC$10,", "),""))</f>
        <v/>
      </c>
      <c r="ID71" s="713" t="str">
        <f ca="1">IF(INDIRECT(CONCATENATE($FK$12,Fixtures!ID$25))="","",IF(INDIRECT(CONCATENATE($FK$12,Fixtures!ID$25))=Fixtures!$DN71,CONCATENATE(ID$10,", "),""))</f>
        <v/>
      </c>
      <c r="IE71" s="713" t="str">
        <f ca="1">IF(INDIRECT(CONCATENATE($FK$12,Fixtures!IE$25))="","",IF(INDIRECT(CONCATENATE($FK$12,Fixtures!IE$25))=Fixtures!$DN71,CONCATENATE(IE$10,", "),""))</f>
        <v/>
      </c>
      <c r="IF71" s="713" t="str">
        <f ca="1">IF(INDIRECT(CONCATENATE($FK$12,Fixtures!IF$25))="","",IF(INDIRECT(CONCATENATE($FK$12,Fixtures!IF$25))=Fixtures!$DN71,CONCATENATE(IF$10,", "),""))</f>
        <v/>
      </c>
      <c r="IG71" s="713" t="str">
        <f ca="1">IF(INDIRECT(CONCATENATE($FK$12,Fixtures!IG$25))="","",IF(INDIRECT(CONCATENATE($FK$12,Fixtures!IG$25))=Fixtures!$DN71,CONCATENATE(IG$10,", "),""))</f>
        <v/>
      </c>
      <c r="IH71" s="713" t="str">
        <f ca="1">IF(INDIRECT(CONCATENATE($FK$12,Fixtures!IH$25))="","",IF(INDIRECT(CONCATENATE($FK$12,Fixtures!IH$25))=Fixtures!$DN71,CONCATENATE(IH$10,", "),""))</f>
        <v/>
      </c>
      <c r="II71" s="713" t="str">
        <f ca="1">IF(INDIRECT(CONCATENATE($FK$12,Fixtures!II$25))="","",IF(INDIRECT(CONCATENATE($FK$12,Fixtures!II$25))=Fixtures!$DN71,CONCATENATE(II$10,", "),""))</f>
        <v/>
      </c>
      <c r="IJ71" s="713" t="str">
        <f ca="1">IF(INDIRECT(CONCATENATE($FK$12,Fixtures!IJ$25))="","",IF(INDIRECT(CONCATENATE($FK$12,Fixtures!IJ$25))=Fixtures!$DN71,CONCATENATE(IJ$10,", "),""))</f>
        <v/>
      </c>
      <c r="IK71" s="713" t="str">
        <f ca="1">IF(INDIRECT(CONCATENATE($FK$12,Fixtures!IK$25))="","",IF(INDIRECT(CONCATENATE($FK$12,Fixtures!IK$25))=Fixtures!$DN71,CONCATENATE(IK$10,", "),""))</f>
        <v/>
      </c>
      <c r="IL71" s="713" t="str">
        <f ca="1">IF(INDIRECT(CONCATENATE($FK$12,Fixtures!IL$25))="","",IF(INDIRECT(CONCATENATE($FK$12,Fixtures!IL$25))=Fixtures!$DN71,CONCATENATE(IL$10,", "),""))</f>
        <v/>
      </c>
      <c r="IM71" s="713" t="str">
        <f ca="1">IF(INDIRECT(CONCATENATE($FK$12,Fixtures!IM$25))="","",IF(INDIRECT(CONCATENATE($FK$12,Fixtures!IM$25))=Fixtures!$DN71,CONCATENATE(IM$10,", "),""))</f>
        <v/>
      </c>
      <c r="IN71" s="713" t="str">
        <f ca="1">IF(INDIRECT(CONCATENATE($FK$12,Fixtures!IN$25))="","",IF(INDIRECT(CONCATENATE($FK$12,Fixtures!IN$25))=Fixtures!$DN71,CONCATENATE(IN$10,", "),""))</f>
        <v/>
      </c>
      <c r="IO71" s="713" t="str">
        <f ca="1">IF(INDIRECT(CONCATENATE($FK$12,Fixtures!IO$25))="","",IF(INDIRECT(CONCATENATE($FK$12,Fixtures!IO$25))=Fixtures!$DN71,CONCATENATE(IO$10,", "),""))</f>
        <v/>
      </c>
      <c r="IP71" s="713" t="str">
        <f ca="1">IF(INDIRECT(CONCATENATE($FK$12,Fixtures!IP$25))="","",IF(INDIRECT(CONCATENATE($FK$12,Fixtures!IP$25))=Fixtures!$DN71,CONCATENATE(IP$10,", "),""))</f>
        <v/>
      </c>
      <c r="IQ71" s="684" t="str">
        <f ca="1">IF(INDIRECT(CONCATENATE($FK$12,Fixtures!IQ$25))="","",IF(INDIRECT(CONCATENATE($FK$12,Fixtures!IQ$25))=Fixtures!$DN71,CONCATENATE(IQ$10,", "),""))</f>
        <v/>
      </c>
      <c r="IR71" s="685" t="str">
        <f ca="1">IF(INDIRECT(CONCATENATE($FK$12,Fixtures!IR$25))="","",IF(INDIRECT(CONCATENATE($FK$12,Fixtures!IR$25))=Fixtures!$DN71,CONCATENATE(IR$10,", "),""))</f>
        <v/>
      </c>
      <c r="IS71" s="713" t="str">
        <f ca="1">IF(INDIRECT(CONCATENATE($FK$12,Fixtures!IS$25))="","",IF(INDIRECT(CONCATENATE($FK$12,Fixtures!IS$25))=Fixtures!$DN71,CONCATENATE(IS$10,", "),""))</f>
        <v/>
      </c>
      <c r="IT71" s="713" t="str">
        <f ca="1">IF(INDIRECT(CONCATENATE($FK$12,Fixtures!IT$25))="","",IF(INDIRECT(CONCATENATE($FK$12,Fixtures!IT$25))=Fixtures!$DN71,CONCATENATE(IT$10,", "),""))</f>
        <v/>
      </c>
      <c r="IU71" s="713" t="str">
        <f ca="1">IF(INDIRECT(CONCATENATE($FK$12,Fixtures!IU$25))="","",IF(INDIRECT(CONCATENATE($FK$12,Fixtures!IU$25))=Fixtures!$DN71,CONCATENATE(IU$10,", "),""))</f>
        <v/>
      </c>
      <c r="IV71" s="713" t="str">
        <f ca="1">IF(INDIRECT(CONCATENATE($FK$12,Fixtures!IV$25))="","",IF(INDIRECT(CONCATENATE($FK$12,Fixtures!IV$25))=Fixtures!$DN71,CONCATENATE(IV$10,", "),""))</f>
        <v/>
      </c>
      <c r="IW71" s="713" t="str">
        <f ca="1">IF(INDIRECT(CONCATENATE($FK$12,Fixtures!IW$25))="","",IF(INDIRECT(CONCATENATE($FK$12,Fixtures!IW$25))=Fixtures!$DN71,CONCATENATE(IW$10,", "),""))</f>
        <v/>
      </c>
      <c r="IX71" s="713" t="str">
        <f ca="1">IF(INDIRECT(CONCATENATE($FK$12,Fixtures!IX$25))="","",IF(INDIRECT(CONCATENATE($FK$12,Fixtures!IX$25))=Fixtures!$DN71,CONCATENATE(IX$10,", "),""))</f>
        <v/>
      </c>
      <c r="IY71" s="713" t="str">
        <f ca="1">IF(INDIRECT(CONCATENATE($FK$12,Fixtures!IY$25))="","",IF(INDIRECT(CONCATENATE($FK$12,Fixtures!IY$25))=Fixtures!$DN71,CONCATENATE(IY$10,", "),""))</f>
        <v/>
      </c>
      <c r="IZ71" s="713" t="str">
        <f ca="1">IF(INDIRECT(CONCATENATE($FK$12,Fixtures!IZ$25))="","",IF(INDIRECT(CONCATENATE($FK$12,Fixtures!IZ$25))=Fixtures!$DN71,CONCATENATE(IZ$10,", "),""))</f>
        <v/>
      </c>
      <c r="JA71" s="713" t="str">
        <f ca="1">IF(INDIRECT(CONCATENATE($FK$12,Fixtures!JA$25))="","",IF(INDIRECT(CONCATENATE($FK$12,Fixtures!JA$25))=Fixtures!$DN71,CONCATENATE(JA$10,", "),""))</f>
        <v/>
      </c>
      <c r="JB71" s="713" t="str">
        <f ca="1">IF(INDIRECT(CONCATENATE($FK$12,Fixtures!JB$25))="","",IF(INDIRECT(CONCATENATE($FK$12,Fixtures!JB$25))=Fixtures!$DN71,CONCATENATE(JB$10,", "),""))</f>
        <v/>
      </c>
      <c r="JC71" s="713" t="str">
        <f ca="1">IF(INDIRECT(CONCATENATE($FK$12,Fixtures!JC$25))="","",IF(INDIRECT(CONCATENATE($FK$12,Fixtures!JC$25))=Fixtures!$DN71,CONCATENATE(JC$10,", "),""))</f>
        <v/>
      </c>
      <c r="JD71" s="713" t="str">
        <f ca="1">IF(INDIRECT(CONCATENATE($FK$12,Fixtures!JD$25))="","",IF(INDIRECT(CONCATENATE($FK$12,Fixtures!JD$25))=Fixtures!$DN71,CONCATENATE(JD$10,", "),""))</f>
        <v/>
      </c>
      <c r="JE71" s="713" t="str">
        <f ca="1">IF(INDIRECT(CONCATENATE($FK$12,Fixtures!JE$25))="","",IF(INDIRECT(CONCATENATE($FK$12,Fixtures!JE$25))=Fixtures!$DN71,CONCATENATE(JE$10,", "),""))</f>
        <v/>
      </c>
      <c r="JF71" s="684" t="str">
        <f ca="1">IF(INDIRECT(CONCATENATE($FK$12,Fixtures!JF$25))="","",IF(INDIRECT(CONCATENATE($FK$12,Fixtures!JF$25))=Fixtures!$DN71,CONCATENATE(JF$10,", "),""))</f>
        <v/>
      </c>
      <c r="JG71" s="685" t="str">
        <f ca="1">IF(INDIRECT(CONCATENATE($FK$12,Fixtures!JG$25))="","",IF(INDIRECT(CONCATENATE($FK$12,Fixtures!JG$25))=Fixtures!$DN71,CONCATENATE(JG$10,", "),""))</f>
        <v/>
      </c>
      <c r="JH71" s="713" t="str">
        <f ca="1">IF(INDIRECT(CONCATENATE($FK$12,Fixtures!JH$25))="","",IF(INDIRECT(CONCATENATE($FK$12,Fixtures!JH$25))=Fixtures!$DN71,CONCATENATE(JH$10,", "),""))</f>
        <v/>
      </c>
      <c r="JI71" s="713" t="str">
        <f ca="1">IF(INDIRECT(CONCATENATE($FK$12,Fixtures!JI$25))="","",IF(INDIRECT(CONCATENATE($FK$12,Fixtures!JI$25))=Fixtures!$DN71,CONCATENATE(JI$10,", "),""))</f>
        <v/>
      </c>
      <c r="JJ71" s="713" t="str">
        <f ca="1">IF(INDIRECT(CONCATENATE($FK$12,Fixtures!JJ$25))="","",IF(INDIRECT(CONCATENATE($FK$12,Fixtures!JJ$25))=Fixtures!$DN71,CONCATENATE(JJ$10,", "),""))</f>
        <v/>
      </c>
      <c r="JK71" s="713" t="str">
        <f ca="1">IF(INDIRECT(CONCATENATE($FK$12,Fixtures!JK$25))="","",IF(INDIRECT(CONCATENATE($FK$12,Fixtures!JK$25))=Fixtures!$DN71,CONCATENATE(JK$10,", "),""))</f>
        <v/>
      </c>
      <c r="JL71" s="713" t="str">
        <f ca="1">IF(INDIRECT(CONCATENATE($FK$12,Fixtures!JL$25))="","",IF(INDIRECT(CONCATENATE($FK$12,Fixtures!JL$25))=Fixtures!$DN71,CONCATENATE(JL$10,", "),""))</f>
        <v/>
      </c>
      <c r="JM71" s="713" t="str">
        <f ca="1">IF(INDIRECT(CONCATENATE($FK$12,Fixtures!JM$25))="","",IF(INDIRECT(CONCATENATE($FK$12,Fixtures!JM$25))=Fixtures!$DN71,CONCATENATE(JM$10,", "),""))</f>
        <v/>
      </c>
      <c r="JN71" s="713" t="str">
        <f ca="1">IF(INDIRECT(CONCATENATE($FK$12,Fixtures!JN$25))="","",IF(INDIRECT(CONCATENATE($FK$12,Fixtures!JN$25))=Fixtures!$DN71,CONCATENATE(JN$10,", "),""))</f>
        <v/>
      </c>
      <c r="JO71" s="713" t="str">
        <f ca="1">IF(INDIRECT(CONCATENATE($FK$12,Fixtures!JO$25))="","",IF(INDIRECT(CONCATENATE($FK$12,Fixtures!JO$25))=Fixtures!$DN71,CONCATENATE(JO$10,", "),""))</f>
        <v/>
      </c>
      <c r="JP71" s="713" t="str">
        <f ca="1">IF(INDIRECT(CONCATENATE($FK$12,Fixtures!JP$25))="","",IF(INDIRECT(CONCATENATE($FK$12,Fixtures!JP$25))=Fixtures!$DN71,CONCATENATE(JP$10,", "),""))</f>
        <v/>
      </c>
      <c r="JQ71" s="713" t="str">
        <f ca="1">IF(INDIRECT(CONCATENATE($FK$12,Fixtures!JQ$25))="","",IF(INDIRECT(CONCATENATE($FK$12,Fixtures!JQ$25))=Fixtures!$DN71,CONCATENATE(JQ$10,", "),""))</f>
        <v/>
      </c>
      <c r="JR71" s="713" t="str">
        <f ca="1">IF(INDIRECT(CONCATENATE($FK$12,Fixtures!JR$25))="","",IF(INDIRECT(CONCATENATE($FK$12,Fixtures!JR$25))=Fixtures!$DN71,CONCATENATE(JR$10,", "),""))</f>
        <v/>
      </c>
      <c r="JS71" s="713" t="str">
        <f ca="1">IF(INDIRECT(CONCATENATE($FK$12,Fixtures!JS$25))="","",IF(INDIRECT(CONCATENATE($FK$12,Fixtures!JS$25))=Fixtures!$DN71,CONCATENATE(JS$10,", "),""))</f>
        <v/>
      </c>
      <c r="JT71" s="713" t="str">
        <f ca="1">IF(INDIRECT(CONCATENATE($FK$12,Fixtures!JT$25))="","",IF(INDIRECT(CONCATENATE($FK$12,Fixtures!JT$25))=Fixtures!$DN71,CONCATENATE(JT$10,", "),""))</f>
        <v/>
      </c>
      <c r="JU71" s="684" t="str">
        <f ca="1">IF(INDIRECT(CONCATENATE($FK$12,Fixtures!JU$25))="","",IF(INDIRECT(CONCATENATE($FK$12,Fixtures!JU$25))=Fixtures!$DN71,CONCATENATE(JU$10,", "),""))</f>
        <v/>
      </c>
      <c r="JV71" s="685" t="str">
        <f ca="1">IF(INDIRECT(CONCATENATE($FK$12,Fixtures!JV$25))="","",IF(INDIRECT(CONCATENATE($FK$12,Fixtures!JV$25))=Fixtures!$DN71,CONCATENATE(JV$10,", "),""))</f>
        <v/>
      </c>
      <c r="JW71" s="713" t="str">
        <f ca="1">IF(INDIRECT(CONCATENATE($FK$12,Fixtures!JW$25))="","",IF(INDIRECT(CONCATENATE($FK$12,Fixtures!JW$25))=Fixtures!$DN71,CONCATENATE(JW$10,", "),""))</f>
        <v/>
      </c>
      <c r="JX71" s="713" t="str">
        <f ca="1">IF(INDIRECT(CONCATENATE($FK$12,Fixtures!JX$25))="","",IF(INDIRECT(CONCATENATE($FK$12,Fixtures!JX$25))=Fixtures!$DN71,CONCATENATE(JX$10,", "),""))</f>
        <v/>
      </c>
      <c r="JY71" s="713" t="str">
        <f ca="1">IF(INDIRECT(CONCATENATE($FK$12,Fixtures!JY$25))="","",IF(INDIRECT(CONCATENATE($FK$12,Fixtures!JY$25))=Fixtures!$DN71,CONCATENATE(JY$10,", "),""))</f>
        <v/>
      </c>
      <c r="JZ71" s="713" t="str">
        <f ca="1">IF(INDIRECT(CONCATENATE($FK$12,Fixtures!JZ$25))="","",IF(INDIRECT(CONCATENATE($FK$12,Fixtures!JZ$25))=Fixtures!$DN71,CONCATENATE(JZ$10,", "),""))</f>
        <v/>
      </c>
      <c r="KA71" s="713" t="str">
        <f ca="1">IF(INDIRECT(CONCATENATE($FK$12,Fixtures!KA$25))="","",IF(INDIRECT(CONCATENATE($FK$12,Fixtures!KA$25))=Fixtures!$DN71,CONCATENATE(KA$10,", "),""))</f>
        <v/>
      </c>
      <c r="KB71" s="713" t="str">
        <f ca="1">IF(INDIRECT(CONCATENATE($FK$12,Fixtures!KB$25))="","",IF(INDIRECT(CONCATENATE($FK$12,Fixtures!KB$25))=Fixtures!$DN71,CONCATENATE(KB$10,", "),""))</f>
        <v/>
      </c>
      <c r="KC71" s="713" t="str">
        <f ca="1">IF(INDIRECT(CONCATENATE($FK$12,Fixtures!KC$25))="","",IF(INDIRECT(CONCATENATE($FK$12,Fixtures!KC$25))=Fixtures!$DN71,CONCATENATE(KC$10,", "),""))</f>
        <v/>
      </c>
      <c r="KD71" s="713" t="str">
        <f ca="1">IF(INDIRECT(CONCATENATE($FK$12,Fixtures!KD$25))="","",IF(INDIRECT(CONCATENATE($FK$12,Fixtures!KD$25))=Fixtures!$DN71,CONCATENATE(KD$10,", "),""))</f>
        <v/>
      </c>
      <c r="KE71" s="713" t="str">
        <f ca="1">IF(INDIRECT(CONCATENATE($FK$12,Fixtures!KE$25))="","",IF(INDIRECT(CONCATENATE($FK$12,Fixtures!KE$25))=Fixtures!$DN71,CONCATENATE(KE$10,", "),""))</f>
        <v/>
      </c>
      <c r="KF71" s="713" t="str">
        <f ca="1">IF(INDIRECT(CONCATENATE($FK$12,Fixtures!KF$25))="","",IF(INDIRECT(CONCATENATE($FK$12,Fixtures!KF$25))=Fixtures!$DN71,CONCATENATE(KF$10,", "),""))</f>
        <v/>
      </c>
      <c r="KG71" s="713" t="str">
        <f ca="1">IF(INDIRECT(CONCATENATE($FK$12,Fixtures!KG$25))="","",IF(INDIRECT(CONCATENATE($FK$12,Fixtures!KG$25))=Fixtures!$DN71,CONCATENATE(KG$10,", "),""))</f>
        <v/>
      </c>
      <c r="KH71" s="713" t="str">
        <f ca="1">IF(INDIRECT(CONCATENATE($FK$12,Fixtures!KH$25))="","",IF(INDIRECT(CONCATENATE($FK$12,Fixtures!KH$25))=Fixtures!$DN71,CONCATENATE(KH$10,", "),""))</f>
        <v/>
      </c>
      <c r="KI71" s="713" t="str">
        <f ca="1">IF(INDIRECT(CONCATENATE($FK$12,Fixtures!KI$25))="","",IF(INDIRECT(CONCATENATE($FK$12,Fixtures!KI$25))=Fixtures!$DN71,CONCATENATE(KI$10,", "),""))</f>
        <v/>
      </c>
      <c r="KJ71" s="684" t="str">
        <f ca="1">IF(INDIRECT(CONCATENATE($FK$12,Fixtures!KJ$25))="","",IF(INDIRECT(CONCATENATE($FK$12,Fixtures!KJ$25))=Fixtures!$DN71,CONCATENATE(KJ$10,", "),""))</f>
        <v/>
      </c>
      <c r="KK71" s="685" t="str">
        <f ca="1">IF(INDIRECT(CONCATENATE($FK$12,Fixtures!KK$25))="","",IF(INDIRECT(CONCATENATE($FK$12,Fixtures!KK$25))=Fixtures!$DN71,CONCATENATE(KK$10,", "),""))</f>
        <v/>
      </c>
      <c r="KL71" s="713" t="str">
        <f ca="1">IF(INDIRECT(CONCATENATE($FK$12,Fixtures!KL$25))="","",IF(INDIRECT(CONCATENATE($FK$12,Fixtures!KL$25))=Fixtures!$DN71,CONCATENATE(KL$10,", "),""))</f>
        <v/>
      </c>
      <c r="KM71" s="713" t="str">
        <f ca="1">IF(INDIRECT(CONCATENATE($FK$12,Fixtures!KM$25))="","",IF(INDIRECT(CONCATENATE($FK$12,Fixtures!KM$25))=Fixtures!$DN71,CONCATENATE(KM$10,", "),""))</f>
        <v/>
      </c>
      <c r="KN71" s="713" t="str">
        <f ca="1">IF(INDIRECT(CONCATENATE($FK$12,Fixtures!KN$25))="","",IF(INDIRECT(CONCATENATE($FK$12,Fixtures!KN$25))=Fixtures!$DN71,CONCATENATE(KN$10,", "),""))</f>
        <v/>
      </c>
      <c r="KO71" s="713" t="str">
        <f ca="1">IF(INDIRECT(CONCATENATE($FK$12,Fixtures!KO$25))="","",IF(INDIRECT(CONCATENATE($FK$12,Fixtures!KO$25))=Fixtures!$DN71,CONCATENATE(KO$10,", "),""))</f>
        <v/>
      </c>
      <c r="KP71" s="713" t="str">
        <f ca="1">IF(INDIRECT(CONCATENATE($FK$12,Fixtures!KP$25))="","",IF(INDIRECT(CONCATENATE($FK$12,Fixtures!KP$25))=Fixtures!$DN71,CONCATENATE(KP$10,", "),""))</f>
        <v/>
      </c>
      <c r="KQ71" s="713" t="str">
        <f ca="1">IF(INDIRECT(CONCATENATE($FK$12,Fixtures!KQ$25))="","",IF(INDIRECT(CONCATENATE($FK$12,Fixtures!KQ$25))=Fixtures!$DN71,CONCATENATE(KQ$10,", "),""))</f>
        <v/>
      </c>
      <c r="KR71" s="713" t="str">
        <f ca="1">IF(INDIRECT(CONCATENATE($FK$12,Fixtures!KR$25))="","",IF(INDIRECT(CONCATENATE($FK$12,Fixtures!KR$25))=Fixtures!$DN71,CONCATENATE(KR$10,", "),""))</f>
        <v/>
      </c>
      <c r="KS71" s="713" t="str">
        <f ca="1">IF(INDIRECT(CONCATENATE($FK$12,Fixtures!KS$25))="","",IF(INDIRECT(CONCATENATE($FK$12,Fixtures!KS$25))=Fixtures!$DN71,CONCATENATE(KS$10,", "),""))</f>
        <v/>
      </c>
      <c r="KT71" s="713" t="str">
        <f ca="1">IF(INDIRECT(CONCATENATE($FK$12,Fixtures!KT$25))="","",IF(INDIRECT(CONCATENATE($FK$12,Fixtures!KT$25))=Fixtures!$DN71,CONCATENATE(KT$10,", "),""))</f>
        <v/>
      </c>
      <c r="KU71" s="713" t="str">
        <f ca="1">IF(INDIRECT(CONCATENATE($FK$12,Fixtures!KU$25))="","",IF(INDIRECT(CONCATENATE($FK$12,Fixtures!KU$25))=Fixtures!$DN71,CONCATENATE(KU$10,", "),""))</f>
        <v/>
      </c>
      <c r="KV71" s="713" t="str">
        <f ca="1">IF(INDIRECT(CONCATENATE($FK$12,Fixtures!KV$25))="","",IF(INDIRECT(CONCATENATE($FK$12,Fixtures!KV$25))=Fixtures!$DN71,CONCATENATE(KV$10,", "),""))</f>
        <v/>
      </c>
      <c r="KW71" s="713" t="str">
        <f ca="1">IF(INDIRECT(CONCATENATE($FK$12,Fixtures!KW$25))="","",IF(INDIRECT(CONCATENATE($FK$12,Fixtures!KW$25))=Fixtures!$DN71,CONCATENATE(KW$10,", "),""))</f>
        <v/>
      </c>
      <c r="KX71" s="713" t="str">
        <f ca="1">IF(INDIRECT(CONCATENATE($FK$12,Fixtures!KX$25))="","",IF(INDIRECT(CONCATENATE($FK$12,Fixtures!KX$25))=Fixtures!$DN71,CONCATENATE(KX$10,", "),""))</f>
        <v/>
      </c>
      <c r="KY71" s="713" t="str">
        <f ca="1">IF(INDIRECT(CONCATENATE($FK$12,Fixtures!KY$25))="","",IF(INDIRECT(CONCATENATE($FK$12,Fixtures!KY$25))=Fixtures!$DN71,CONCATENATE(KY$10,", "),""))</f>
        <v/>
      </c>
      <c r="KZ71" s="602"/>
      <c r="LA71" s="46" t="str">
        <f t="shared" ca="1" si="38"/>
        <v/>
      </c>
    </row>
    <row r="72" spans="1:313" ht="28.05" customHeight="1" thickTop="1" thickBot="1">
      <c r="A72" s="471" t="str">
        <f t="shared" si="13"/>
        <v/>
      </c>
      <c r="C72" s="1328" t="str">
        <f t="shared" si="14"/>
        <v/>
      </c>
      <c r="D72" s="1329"/>
      <c r="E72" s="1256" t="str">
        <f t="shared" si="15"/>
        <v/>
      </c>
      <c r="F72" s="1257"/>
      <c r="G72" s="1257"/>
      <c r="H72" s="1257"/>
      <c r="I72" s="1257"/>
      <c r="J72" s="1257"/>
      <c r="K72" s="1257"/>
      <c r="L72" s="1257"/>
      <c r="M72" s="1330"/>
      <c r="N72" s="239" t="str">
        <f t="shared" si="16"/>
        <v/>
      </c>
      <c r="O72" s="12"/>
      <c r="P72" s="1326" t="str">
        <f t="shared" si="25"/>
        <v/>
      </c>
      <c r="Q72" s="1327"/>
      <c r="R72" s="1256" t="str">
        <f t="shared" si="31"/>
        <v/>
      </c>
      <c r="S72" s="1257"/>
      <c r="T72" s="1257"/>
      <c r="U72" s="1257"/>
      <c r="V72" s="1257"/>
      <c r="W72" s="1257"/>
      <c r="X72" s="1257"/>
      <c r="Y72" s="239" t="str">
        <f t="shared" si="27"/>
        <v/>
      </c>
      <c r="Z72" s="239" t="str">
        <f t="shared" si="28"/>
        <v/>
      </c>
      <c r="AA72" s="439" t="str">
        <f t="shared" si="29"/>
        <v/>
      </c>
      <c r="AB72" s="542"/>
      <c r="AC72" s="1253" t="str">
        <f t="shared" si="17"/>
        <v/>
      </c>
      <c r="AD72" s="1166"/>
      <c r="AE72" s="1166"/>
      <c r="AF72" s="1166"/>
      <c r="AG72" s="1166"/>
      <c r="AH72" s="1166"/>
      <c r="AK72">
        <f>SUMIFS(Installations!CS$39:CS$800,Installations!CT$39:CT$800,E72,Installations!HX$39:HX$800,TRUE)</f>
        <v>0</v>
      </c>
      <c r="AL72">
        <f>SUMIFS(Installations!CS$39:CS$800,Installations!CT$39:CT$800,R72,Installations!HX$39:HX$800,TRUE)</f>
        <v>0</v>
      </c>
      <c r="BL72" s="9"/>
      <c r="BM72" s="703" t="str">
        <f t="shared" si="18"/>
        <v/>
      </c>
      <c r="BN72" s="52"/>
      <c r="BO72" s="52"/>
      <c r="BP72" s="52"/>
      <c r="BQ72" s="52"/>
      <c r="BR72" s="52"/>
      <c r="BS72" s="52"/>
      <c r="BT72" s="52"/>
      <c r="BU72" s="414"/>
      <c r="BV72" s="255" t="str">
        <f>IF(CN72&lt;&gt;"Yes","",IFERROR(VLOOKUP(CU72,Existing!A$4:F$364,2,FALSE),""))</f>
        <v/>
      </c>
      <c r="BW72" s="9">
        <v>46</v>
      </c>
      <c r="BX72" s="1313"/>
      <c r="BY72" s="1314"/>
      <c r="BZ72" s="1314"/>
      <c r="CA72" s="1315"/>
      <c r="CB72" s="1310"/>
      <c r="CC72" s="1311"/>
      <c r="CD72" s="1311"/>
      <c r="CE72" s="1312"/>
      <c r="CF72" s="1309"/>
      <c r="CG72" s="1309"/>
      <c r="CH72" s="1309"/>
      <c r="CI72" s="1309"/>
      <c r="CJ72" s="1309"/>
      <c r="CK72" s="1309"/>
      <c r="CL72" s="1309"/>
      <c r="CM72" s="1309"/>
      <c r="CN72" s="1243" t="str">
        <f t="shared" si="32"/>
        <v/>
      </c>
      <c r="CO72" s="1244"/>
      <c r="CP72" s="265" t="str">
        <f>IFERROR(IF(CB72="Existing TLED",CR72*CW72*CY72,VLOOKUP(CU72,Existing!A$3:F$353,6,FALSE)),"")</f>
        <v/>
      </c>
      <c r="CQ72" s="9"/>
      <c r="CR72" s="1343"/>
      <c r="CS72" s="1344"/>
      <c r="CT72" s="9"/>
      <c r="CU72" s="470" t="str">
        <f t="shared" si="21"/>
        <v/>
      </c>
      <c r="CV72" s="471" t="b">
        <f t="shared" si="22"/>
        <v>0</v>
      </c>
      <c r="CW72" s="471" t="str">
        <f t="shared" si="23"/>
        <v/>
      </c>
      <c r="CX72" s="471">
        <f>IFERROR(VLOOKUP(CF72,Lookup!M$100:O$102,3,FALSE),0)</f>
        <v>0</v>
      </c>
      <c r="CY72" s="471">
        <f t="shared" si="9"/>
        <v>1.1100000000000001</v>
      </c>
      <c r="CZ72" s="707" t="b">
        <f t="shared" si="33"/>
        <v>0</v>
      </c>
      <c r="DA72" s="707" t="b">
        <f>IF(CF72&lt;&gt;"",IF(ISERROR(MATCH(CONCATENATE(CB72," - ",CF72),Existing!G$4:G$328,0))=TRUE,FALSE,TRUE),TRUE)</f>
        <v>1</v>
      </c>
      <c r="DB72" s="707" t="b">
        <f t="shared" si="34"/>
        <v>1</v>
      </c>
      <c r="DL72" s="9"/>
      <c r="DM72" s="708" t="s">
        <v>166</v>
      </c>
      <c r="DN72" s="416" t="str">
        <f t="shared" si="35"/>
        <v/>
      </c>
      <c r="DO72" s="52"/>
      <c r="DP72" s="52"/>
      <c r="DQ72" s="52"/>
      <c r="DR72" s="52"/>
      <c r="DS72" s="52"/>
      <c r="DT72" s="262"/>
      <c r="DU72" s="417"/>
      <c r="DV72" s="263" t="str">
        <f t="shared" si="36"/>
        <v/>
      </c>
      <c r="DW72" s="260">
        <v>46</v>
      </c>
      <c r="DX72" s="1306"/>
      <c r="DY72" s="1307"/>
      <c r="DZ72" s="1307"/>
      <c r="EA72" s="1308"/>
      <c r="EB72" s="1306"/>
      <c r="EC72" s="1307"/>
      <c r="ED72" s="1307"/>
      <c r="EE72" s="1308"/>
      <c r="EF72" s="1266"/>
      <c r="EG72" s="1267"/>
      <c r="EH72" s="1306"/>
      <c r="EI72" s="1307"/>
      <c r="EJ72" s="1307"/>
      <c r="EK72" s="1308"/>
      <c r="EL72" s="1263"/>
      <c r="EM72" s="1264"/>
      <c r="EN72" s="1264"/>
      <c r="EO72" s="1265"/>
      <c r="EP72" s="1266"/>
      <c r="EQ72" s="1267"/>
      <c r="ER72" s="1245"/>
      <c r="ES72" s="1246"/>
      <c r="ET72" s="1243" t="str">
        <f t="shared" si="5"/>
        <v/>
      </c>
      <c r="EU72" s="1244"/>
      <c r="EV72" s="1243" t="str">
        <f t="shared" si="30"/>
        <v/>
      </c>
      <c r="EW72" s="1244"/>
      <c r="EX72" s="438"/>
      <c r="EY72" s="261" t="str">
        <f t="shared" si="37"/>
        <v/>
      </c>
      <c r="EZ72" s="261" t="str">
        <f>IFERROR(VLOOKUP(EB72,Lookup!AM$3:AN$13,2,FALSE),"")</f>
        <v/>
      </c>
      <c r="FA72" s="471" t="b">
        <f>IFERROR(IF(VLOOKUP(EB72,Lookup!AM$6:AN$8,2,FALSE)&gt;3,TRUE,FALSE),FALSE)</f>
        <v>0</v>
      </c>
      <c r="FB72" s="471">
        <f t="shared" si="11"/>
        <v>1</v>
      </c>
      <c r="FC72" t="str">
        <f t="shared" ca="1" si="10"/>
        <v/>
      </c>
      <c r="FG72" t="str">
        <f t="shared" ca="1" si="12"/>
        <v/>
      </c>
      <c r="FI72" s="240" t="str">
        <f t="shared" ca="1" si="24"/>
        <v/>
      </c>
      <c r="FK72" s="712" t="str">
        <f ca="1">IF(INDIRECT(CONCATENATE($FK$12,Fixtures!FK$25))="","",IF(INDIRECT(CONCATENATE($FK$12,Fixtures!FK$25))=Fixtures!$DN72,CONCATENATE(FK$10,", "),""))</f>
        <v/>
      </c>
      <c r="FL72" s="712" t="str">
        <f ca="1">IF(INDIRECT(CONCATENATE($FK$12,Fixtures!FL$25))="","",IF(INDIRECT(CONCATENATE($FK$12,Fixtures!FL$25))=Fixtures!$DN72,CONCATENATE(FL$10,", "),""))</f>
        <v/>
      </c>
      <c r="FM72" s="712" t="str">
        <f ca="1">IF(INDIRECT(CONCATENATE($FK$12,Fixtures!FM$25))="","",IF(INDIRECT(CONCATENATE($FK$12,Fixtures!FM$25))=Fixtures!$DN72,CONCATENATE(FM$10,", "),""))</f>
        <v/>
      </c>
      <c r="FN72" s="712" t="str">
        <f ca="1">IF(INDIRECT(CONCATENATE($FK$12,Fixtures!FN$25))="","",IF(INDIRECT(CONCATENATE($FK$12,Fixtures!FN$25))=Fixtures!$DN72,CONCATENATE(FN$10,", "),""))</f>
        <v/>
      </c>
      <c r="FO72" s="712" t="str">
        <f ca="1">IF(INDIRECT(CONCATENATE($FK$12,Fixtures!FO$25))="","",IF(INDIRECT(CONCATENATE($FK$12,Fixtures!FO$25))=Fixtures!$DN72,CONCATENATE(FO$10,", "),""))</f>
        <v/>
      </c>
      <c r="FP72" s="712" t="str">
        <f ca="1">IF(INDIRECT(CONCATENATE($FK$12,Fixtures!FP$25))="","",IF(INDIRECT(CONCATENATE($FK$12,Fixtures!FP$25))=Fixtures!$DN72,CONCATENATE(FP$10,", "),""))</f>
        <v/>
      </c>
      <c r="FQ72" s="712" t="str">
        <f ca="1">IF(INDIRECT(CONCATENATE($FK$12,Fixtures!FQ$25))="","",IF(INDIRECT(CONCATENATE($FK$12,Fixtures!FQ$25))=Fixtures!$DN72,CONCATENATE(FQ$10,", "),""))</f>
        <v/>
      </c>
      <c r="FR72" s="712" t="str">
        <f ca="1">IF(INDIRECT(CONCATENATE($FK$12,Fixtures!FR$25))="","",IF(INDIRECT(CONCATENATE($FK$12,Fixtures!FR$25))=Fixtures!$DN72,CONCATENATE(FR$10,", "),""))</f>
        <v/>
      </c>
      <c r="FS72" s="712" t="str">
        <f ca="1">IF(INDIRECT(CONCATENATE($FK$12,Fixtures!FS$25))="","",IF(INDIRECT(CONCATENATE($FK$12,Fixtures!FS$25))=Fixtures!$DN72,CONCATENATE(FS$10,", "),""))</f>
        <v/>
      </c>
      <c r="FT72" s="682" t="str">
        <f ca="1">IF(INDIRECT(CONCATENATE($FK$12,Fixtures!FT$25))="","",IF(INDIRECT(CONCATENATE($FK$12,Fixtures!FT$25))=Fixtures!$DN72,CONCATENATE(FT$10,", "),""))</f>
        <v/>
      </c>
      <c r="FU72" s="683" t="str">
        <f ca="1">IF(INDIRECT(CONCATENATE($FK$12,Fixtures!FU$25))="","",IF(INDIRECT(CONCATENATE($FK$12,Fixtures!FU$25))=Fixtures!$DN72,CONCATENATE(FU$10,", "),""))</f>
        <v/>
      </c>
      <c r="FV72" s="712" t="str">
        <f ca="1">IF(INDIRECT(CONCATENATE($FK$12,Fixtures!FV$25))="","",IF(INDIRECT(CONCATENATE($FK$12,Fixtures!FV$25))=Fixtures!$DN72,CONCATENATE(FV$10,", "),""))</f>
        <v/>
      </c>
      <c r="FW72" s="713" t="str">
        <f ca="1">IF(INDIRECT(CONCATENATE($FK$12,Fixtures!FW$25))="","",IF(INDIRECT(CONCATENATE($FK$12,Fixtures!FW$25))=Fixtures!$DN72,CONCATENATE(FW$10,", "),""))</f>
        <v/>
      </c>
      <c r="FX72" s="713" t="str">
        <f ca="1">IF(INDIRECT(CONCATENATE($FK$12,Fixtures!FX$25))="","",IF(INDIRECT(CONCATENATE($FK$12,Fixtures!FX$25))=Fixtures!$DN72,CONCATENATE(FX$10,", "),""))</f>
        <v/>
      </c>
      <c r="FY72" s="713" t="str">
        <f ca="1">IF(INDIRECT(CONCATENATE($FK$12,Fixtures!FY$25))="","",IF(INDIRECT(CONCATENATE($FK$12,Fixtures!FY$25))=Fixtures!$DN72,CONCATENATE(FY$10,", "),""))</f>
        <v/>
      </c>
      <c r="FZ72" s="713" t="str">
        <f ca="1">IF(INDIRECT(CONCATENATE($FK$12,Fixtures!FZ$25))="","",IF(INDIRECT(CONCATENATE($FK$12,Fixtures!FZ$25))=Fixtures!$DN72,CONCATENATE(FZ$10,", "),""))</f>
        <v/>
      </c>
      <c r="GA72" s="713" t="str">
        <f ca="1">IF(INDIRECT(CONCATENATE($FK$12,Fixtures!GA$25))="","",IF(INDIRECT(CONCATENATE($FK$12,Fixtures!GA$25))=Fixtures!$DN72,CONCATENATE(GA$10,", "),""))</f>
        <v/>
      </c>
      <c r="GB72" s="713" t="str">
        <f ca="1">IF(INDIRECT(CONCATENATE($FK$12,Fixtures!GB$25))="","",IF(INDIRECT(CONCATENATE($FK$12,Fixtures!GB$25))=Fixtures!$DN72,CONCATENATE(GB$10,", "),""))</f>
        <v/>
      </c>
      <c r="GC72" s="713" t="str">
        <f ca="1">IF(INDIRECT(CONCATENATE($FK$12,Fixtures!GC$25))="","",IF(INDIRECT(CONCATENATE($FK$12,Fixtures!GC$25))=Fixtures!$DN72,CONCATENATE(GC$10,", "),""))</f>
        <v/>
      </c>
      <c r="GD72" s="713" t="str">
        <f ca="1">IF(INDIRECT(CONCATENATE($FK$12,Fixtures!GD$25))="","",IF(INDIRECT(CONCATENATE($FK$12,Fixtures!GD$25))=Fixtures!$DN72,CONCATENATE(GD$10,", "),""))</f>
        <v/>
      </c>
      <c r="GE72" s="713" t="str">
        <f ca="1">IF(INDIRECT(CONCATENATE($FK$12,Fixtures!GE$25))="","",IF(INDIRECT(CONCATENATE($FK$12,Fixtures!GE$25))=Fixtures!$DN72,CONCATENATE(GE$10,", "),""))</f>
        <v/>
      </c>
      <c r="GF72" s="713" t="str">
        <f ca="1">IF(INDIRECT(CONCATENATE($FK$12,Fixtures!GF$25))="","",IF(INDIRECT(CONCATENATE($FK$12,Fixtures!GF$25))=Fixtures!$DN72,CONCATENATE(GF$10,", "),""))</f>
        <v/>
      </c>
      <c r="GG72" s="713" t="str">
        <f ca="1">IF(INDIRECT(CONCATENATE($FK$12,Fixtures!GG$25))="","",IF(INDIRECT(CONCATENATE($FK$12,Fixtures!GG$25))=Fixtures!$DN72,CONCATENATE(GG$10,", "),""))</f>
        <v/>
      </c>
      <c r="GH72" s="713" t="str">
        <f ca="1">IF(INDIRECT(CONCATENATE($FK$12,Fixtures!GH$25))="","",IF(INDIRECT(CONCATENATE($FK$12,Fixtures!GH$25))=Fixtures!$DN72,CONCATENATE(GH$10,", "),""))</f>
        <v/>
      </c>
      <c r="GI72" s="684" t="str">
        <f ca="1">IF(INDIRECT(CONCATENATE($FK$12,Fixtures!GI$25))="","",IF(INDIRECT(CONCATENATE($FK$12,Fixtures!GI$25))=Fixtures!$DN72,CONCATENATE(GI$10,", "),""))</f>
        <v/>
      </c>
      <c r="GJ72" s="685" t="str">
        <f ca="1">IF(INDIRECT(CONCATENATE($FK$12,Fixtures!GJ$25))="","",IF(INDIRECT(CONCATENATE($FK$12,Fixtures!GJ$25))=Fixtures!$DN72,CONCATENATE(GJ$10,", "),""))</f>
        <v/>
      </c>
      <c r="GK72" s="713" t="str">
        <f ca="1">IF(INDIRECT(CONCATENATE($FK$12,Fixtures!GK$25))="","",IF(INDIRECT(CONCATENATE($FK$12,Fixtures!GK$25))=Fixtures!$DN72,CONCATENATE(GK$10,", "),""))</f>
        <v/>
      </c>
      <c r="GL72" s="713" t="str">
        <f ca="1">IF(INDIRECT(CONCATENATE($FK$12,Fixtures!GL$25))="","",IF(INDIRECT(CONCATENATE($FK$12,Fixtures!GL$25))=Fixtures!$DN72,CONCATENATE(GL$10,", "),""))</f>
        <v/>
      </c>
      <c r="GM72" s="713" t="str">
        <f ca="1">IF(INDIRECT(CONCATENATE($FK$12,Fixtures!GM$25))="","",IF(INDIRECT(CONCATENATE($FK$12,Fixtures!GM$25))=Fixtures!$DN72,CONCATENATE(GM$10,", "),""))</f>
        <v/>
      </c>
      <c r="GN72" s="713" t="str">
        <f ca="1">IF(INDIRECT(CONCATENATE($FK$12,Fixtures!GN$25))="","",IF(INDIRECT(CONCATENATE($FK$12,Fixtures!GN$25))=Fixtures!$DN72,CONCATENATE(GN$10,", "),""))</f>
        <v/>
      </c>
      <c r="GO72" s="713" t="str">
        <f ca="1">IF(INDIRECT(CONCATENATE($FK$12,Fixtures!GO$25))="","",IF(INDIRECT(CONCATENATE($FK$12,Fixtures!GO$25))=Fixtures!$DN72,CONCATENATE(GO$10,", "),""))</f>
        <v/>
      </c>
      <c r="GP72" s="713" t="str">
        <f ca="1">IF(INDIRECT(CONCATENATE($FK$12,Fixtures!GP$25))="","",IF(INDIRECT(CONCATENATE($FK$12,Fixtures!GP$25))=Fixtures!$DN72,CONCATENATE(GP$10,", "),""))</f>
        <v/>
      </c>
      <c r="GQ72" s="713" t="str">
        <f ca="1">IF(INDIRECT(CONCATENATE($FK$12,Fixtures!GQ$25))="","",IF(INDIRECT(CONCATENATE($FK$12,Fixtures!GQ$25))=Fixtures!$DN72,CONCATENATE(GQ$10,", "),""))</f>
        <v/>
      </c>
      <c r="GR72" s="713" t="str">
        <f ca="1">IF(INDIRECT(CONCATENATE($FK$12,Fixtures!GR$25))="","",IF(INDIRECT(CONCATENATE($FK$12,Fixtures!GR$25))=Fixtures!$DN72,CONCATENATE(GR$10,", "),""))</f>
        <v/>
      </c>
      <c r="GS72" s="713" t="str">
        <f ca="1">IF(INDIRECT(CONCATENATE($FK$12,Fixtures!GS$25))="","",IF(INDIRECT(CONCATENATE($FK$12,Fixtures!GS$25))=Fixtures!$DN72,CONCATENATE(GS$10,", "),""))</f>
        <v/>
      </c>
      <c r="GT72" s="713" t="str">
        <f ca="1">IF(INDIRECT(CONCATENATE($FK$12,Fixtures!GT$25))="","",IF(INDIRECT(CONCATENATE($FK$12,Fixtures!GT$25))=Fixtures!$DN72,CONCATENATE(GT$10,", "),""))</f>
        <v/>
      </c>
      <c r="GU72" s="713" t="str">
        <f ca="1">IF(INDIRECT(CONCATENATE($FK$12,Fixtures!GU$25))="","",IF(INDIRECT(CONCATENATE($FK$12,Fixtures!GU$25))=Fixtures!$DN72,CONCATENATE(GU$10,", "),""))</f>
        <v/>
      </c>
      <c r="GV72" s="713" t="str">
        <f ca="1">IF(INDIRECT(CONCATENATE($FK$12,Fixtures!GV$25))="","",IF(INDIRECT(CONCATENATE($FK$12,Fixtures!GV$25))=Fixtures!$DN72,CONCATENATE(GV$10,", "),""))</f>
        <v/>
      </c>
      <c r="GW72" s="713" t="str">
        <f ca="1">IF(INDIRECT(CONCATENATE($FK$12,Fixtures!GW$25))="","",IF(INDIRECT(CONCATENATE($FK$12,Fixtures!GW$25))=Fixtures!$DN72,CONCATENATE(GW$10,", "),""))</f>
        <v/>
      </c>
      <c r="GX72" s="684" t="str">
        <f ca="1">IF(INDIRECT(CONCATENATE($FK$12,Fixtures!GX$25))="","",IF(INDIRECT(CONCATENATE($FK$12,Fixtures!GX$25))=Fixtures!$DN72,CONCATENATE(GX$10,", "),""))</f>
        <v/>
      </c>
      <c r="GY72" s="685" t="str">
        <f ca="1">IF(INDIRECT(CONCATENATE($FK$12,Fixtures!GY$25))="","",IF(INDIRECT(CONCATENATE($FK$12,Fixtures!GY$25))=Fixtures!$DN72,CONCATENATE(GY$10,", "),""))</f>
        <v/>
      </c>
      <c r="GZ72" s="713" t="str">
        <f ca="1">IF(INDIRECT(CONCATENATE($FK$12,Fixtures!GZ$25))="","",IF(INDIRECT(CONCATENATE($FK$12,Fixtures!GZ$25))=Fixtures!$DN72,CONCATENATE(GZ$10,", "),""))</f>
        <v/>
      </c>
      <c r="HA72" s="713" t="str">
        <f ca="1">IF(INDIRECT(CONCATENATE($FK$12,Fixtures!HA$25))="","",IF(INDIRECT(CONCATENATE($FK$12,Fixtures!HA$25))=Fixtures!$DN72,CONCATENATE(HA$10,", "),""))</f>
        <v/>
      </c>
      <c r="HB72" s="713" t="str">
        <f ca="1">IF(INDIRECT(CONCATENATE($FK$12,Fixtures!HB$25))="","",IF(INDIRECT(CONCATENATE($FK$12,Fixtures!HB$25))=Fixtures!$DN72,CONCATENATE(HB$10,", "),""))</f>
        <v/>
      </c>
      <c r="HC72" s="713" t="str">
        <f ca="1">IF(INDIRECT(CONCATENATE($FK$12,Fixtures!HC$25))="","",IF(INDIRECT(CONCATENATE($FK$12,Fixtures!HC$25))=Fixtures!$DN72,CONCATENATE(HC$10,", "),""))</f>
        <v/>
      </c>
      <c r="HD72" s="713" t="str">
        <f ca="1">IF(INDIRECT(CONCATENATE($FK$12,Fixtures!HD$25))="","",IF(INDIRECT(CONCATENATE($FK$12,Fixtures!HD$25))=Fixtures!$DN72,CONCATENATE(HD$10,", "),""))</f>
        <v/>
      </c>
      <c r="HE72" s="713" t="str">
        <f ca="1">IF(INDIRECT(CONCATENATE($FK$12,Fixtures!HE$25))="","",IF(INDIRECT(CONCATENATE($FK$12,Fixtures!HE$25))=Fixtures!$DN72,CONCATENATE(HE$10,", "),""))</f>
        <v/>
      </c>
      <c r="HF72" s="713" t="str">
        <f ca="1">IF(INDIRECT(CONCATENATE($FK$12,Fixtures!HF$25))="","",IF(INDIRECT(CONCATENATE($FK$12,Fixtures!HF$25))=Fixtures!$DN72,CONCATENATE(HF$10,", "),""))</f>
        <v/>
      </c>
      <c r="HG72" s="713" t="str">
        <f ca="1">IF(INDIRECT(CONCATENATE($FK$12,Fixtures!HG$25))="","",IF(INDIRECT(CONCATENATE($FK$12,Fixtures!HG$25))=Fixtures!$DN72,CONCATENATE(HG$10,", "),""))</f>
        <v/>
      </c>
      <c r="HH72" s="713" t="str">
        <f ca="1">IF(INDIRECT(CONCATENATE($FK$12,Fixtures!HH$25))="","",IF(INDIRECT(CONCATENATE($FK$12,Fixtures!HH$25))=Fixtures!$DN72,CONCATENATE(HH$10,", "),""))</f>
        <v/>
      </c>
      <c r="HI72" s="713" t="str">
        <f ca="1">IF(INDIRECT(CONCATENATE($FK$12,Fixtures!HI$25))="","",IF(INDIRECT(CONCATENATE($FK$12,Fixtures!HI$25))=Fixtures!$DN72,CONCATENATE(HI$10,", "),""))</f>
        <v/>
      </c>
      <c r="HJ72" s="713" t="str">
        <f ca="1">IF(INDIRECT(CONCATENATE($FK$12,Fixtures!HJ$25))="","",IF(INDIRECT(CONCATENATE($FK$12,Fixtures!HJ$25))=Fixtures!$DN72,CONCATENATE(HJ$10,", "),""))</f>
        <v/>
      </c>
      <c r="HK72" s="713" t="str">
        <f ca="1">IF(INDIRECT(CONCATENATE($FK$12,Fixtures!HK$25))="","",IF(INDIRECT(CONCATENATE($FK$12,Fixtures!HK$25))=Fixtures!$DN72,CONCATENATE(HK$10,", "),""))</f>
        <v/>
      </c>
      <c r="HL72" s="713" t="str">
        <f ca="1">IF(INDIRECT(CONCATENATE($FK$12,Fixtures!HL$25))="","",IF(INDIRECT(CONCATENATE($FK$12,Fixtures!HL$25))=Fixtures!$DN72,CONCATENATE(HL$10,", "),""))</f>
        <v/>
      </c>
      <c r="HM72" s="684" t="str">
        <f ca="1">IF(INDIRECT(CONCATENATE($FK$12,Fixtures!HM$25))="","",IF(INDIRECT(CONCATENATE($FK$12,Fixtures!HM$25))=Fixtures!$DN72,CONCATENATE(HM$10,", "),""))</f>
        <v/>
      </c>
      <c r="HN72" s="685" t="str">
        <f ca="1">IF(INDIRECT(CONCATENATE($FK$12,Fixtures!HN$25))="","",IF(INDIRECT(CONCATENATE($FK$12,Fixtures!HN$25))=Fixtures!$DN72,CONCATENATE(HN$10,", "),""))</f>
        <v/>
      </c>
      <c r="HO72" s="713" t="str">
        <f ca="1">IF(INDIRECT(CONCATENATE($FK$12,Fixtures!HO$25))="","",IF(INDIRECT(CONCATENATE($FK$12,Fixtures!HO$25))=Fixtures!$DN72,CONCATENATE(HO$10,", "),""))</f>
        <v/>
      </c>
      <c r="HP72" s="713" t="str">
        <f ca="1">IF(INDIRECT(CONCATENATE($FK$12,Fixtures!HP$25))="","",IF(INDIRECT(CONCATENATE($FK$12,Fixtures!HP$25))=Fixtures!$DN72,CONCATENATE(HP$10,", "),""))</f>
        <v/>
      </c>
      <c r="HQ72" s="713" t="str">
        <f ca="1">IF(INDIRECT(CONCATENATE($FK$12,Fixtures!HQ$25))="","",IF(INDIRECT(CONCATENATE($FK$12,Fixtures!HQ$25))=Fixtures!$DN72,CONCATENATE(HQ$10,", "),""))</f>
        <v/>
      </c>
      <c r="HR72" s="713" t="str">
        <f ca="1">IF(INDIRECT(CONCATENATE($FK$12,Fixtures!HR$25))="","",IF(INDIRECT(CONCATENATE($FK$12,Fixtures!HR$25))=Fixtures!$DN72,CONCATENATE(HR$10,", "),""))</f>
        <v/>
      </c>
      <c r="HS72" s="713" t="str">
        <f ca="1">IF(INDIRECT(CONCATENATE($FK$12,Fixtures!HS$25))="","",IF(INDIRECT(CONCATENATE($FK$12,Fixtures!HS$25))=Fixtures!$DN72,CONCATENATE(HS$10,", "),""))</f>
        <v/>
      </c>
      <c r="HT72" s="713" t="str">
        <f ca="1">IF(INDIRECT(CONCATENATE($FK$12,Fixtures!HT$25))="","",IF(INDIRECT(CONCATENATE($FK$12,Fixtures!HT$25))=Fixtures!$DN72,CONCATENATE(HT$10,", "),""))</f>
        <v/>
      </c>
      <c r="HU72" s="713" t="str">
        <f ca="1">IF(INDIRECT(CONCATENATE($FK$12,Fixtures!HU$25))="","",IF(INDIRECT(CONCATENATE($FK$12,Fixtures!HU$25))=Fixtures!$DN72,CONCATENATE(HU$10,", "),""))</f>
        <v/>
      </c>
      <c r="HV72" s="713" t="str">
        <f ca="1">IF(INDIRECT(CONCATENATE($FK$12,Fixtures!HV$25))="","",IF(INDIRECT(CONCATENATE($FK$12,Fixtures!HV$25))=Fixtures!$DN72,CONCATENATE(HV$10,", "),""))</f>
        <v/>
      </c>
      <c r="HW72" s="713" t="str">
        <f ca="1">IF(INDIRECT(CONCATENATE($FK$12,Fixtures!HW$25))="","",IF(INDIRECT(CONCATENATE($FK$12,Fixtures!HW$25))=Fixtures!$DN72,CONCATENATE(HW$10,", "),""))</f>
        <v/>
      </c>
      <c r="HX72" s="713" t="str">
        <f ca="1">IF(INDIRECT(CONCATENATE($FK$12,Fixtures!HX$25))="","",IF(INDIRECT(CONCATENATE($FK$12,Fixtures!HX$25))=Fixtures!$DN72,CONCATENATE(HX$10,", "),""))</f>
        <v/>
      </c>
      <c r="HY72" s="713" t="str">
        <f ca="1">IF(INDIRECT(CONCATENATE($FK$12,Fixtures!HY$25))="","",IF(INDIRECT(CONCATENATE($FK$12,Fixtures!HY$25))=Fixtures!$DN72,CONCATENATE(HY$10,", "),""))</f>
        <v/>
      </c>
      <c r="HZ72" s="713" t="str">
        <f ca="1">IF(INDIRECT(CONCATENATE($FK$12,Fixtures!HZ$25))="","",IF(INDIRECT(CONCATENATE($FK$12,Fixtures!HZ$25))=Fixtures!$DN72,CONCATENATE(HZ$10,", "),""))</f>
        <v/>
      </c>
      <c r="IA72" s="713" t="str">
        <f ca="1">IF(INDIRECT(CONCATENATE($FK$12,Fixtures!IA$25))="","",IF(INDIRECT(CONCATENATE($FK$12,Fixtures!IA$25))=Fixtures!$DN72,CONCATENATE(IA$10,", "),""))</f>
        <v/>
      </c>
      <c r="IB72" s="684" t="str">
        <f ca="1">IF(INDIRECT(CONCATENATE($FK$12,Fixtures!IB$25))="","",IF(INDIRECT(CONCATENATE($FK$12,Fixtures!IB$25))=Fixtures!$DN72,CONCATENATE(IB$10,", "),""))</f>
        <v/>
      </c>
      <c r="IC72" s="685" t="str">
        <f ca="1">IF(INDIRECT(CONCATENATE($FK$12,Fixtures!IC$25))="","",IF(INDIRECT(CONCATENATE($FK$12,Fixtures!IC$25))=Fixtures!$DN72,CONCATENATE(IC$10,", "),""))</f>
        <v/>
      </c>
      <c r="ID72" s="713" t="str">
        <f ca="1">IF(INDIRECT(CONCATENATE($FK$12,Fixtures!ID$25))="","",IF(INDIRECT(CONCATENATE($FK$12,Fixtures!ID$25))=Fixtures!$DN72,CONCATENATE(ID$10,", "),""))</f>
        <v/>
      </c>
      <c r="IE72" s="713" t="str">
        <f ca="1">IF(INDIRECT(CONCATENATE($FK$12,Fixtures!IE$25))="","",IF(INDIRECT(CONCATENATE($FK$12,Fixtures!IE$25))=Fixtures!$DN72,CONCATENATE(IE$10,", "),""))</f>
        <v/>
      </c>
      <c r="IF72" s="713" t="str">
        <f ca="1">IF(INDIRECT(CONCATENATE($FK$12,Fixtures!IF$25))="","",IF(INDIRECT(CONCATENATE($FK$12,Fixtures!IF$25))=Fixtures!$DN72,CONCATENATE(IF$10,", "),""))</f>
        <v/>
      </c>
      <c r="IG72" s="713" t="str">
        <f ca="1">IF(INDIRECT(CONCATENATE($FK$12,Fixtures!IG$25))="","",IF(INDIRECT(CONCATENATE($FK$12,Fixtures!IG$25))=Fixtures!$DN72,CONCATENATE(IG$10,", "),""))</f>
        <v/>
      </c>
      <c r="IH72" s="713" t="str">
        <f ca="1">IF(INDIRECT(CONCATENATE($FK$12,Fixtures!IH$25))="","",IF(INDIRECT(CONCATENATE($FK$12,Fixtures!IH$25))=Fixtures!$DN72,CONCATENATE(IH$10,", "),""))</f>
        <v/>
      </c>
      <c r="II72" s="713" t="str">
        <f ca="1">IF(INDIRECT(CONCATENATE($FK$12,Fixtures!II$25))="","",IF(INDIRECT(CONCATENATE($FK$12,Fixtures!II$25))=Fixtures!$DN72,CONCATENATE(II$10,", "),""))</f>
        <v/>
      </c>
      <c r="IJ72" s="713" t="str">
        <f ca="1">IF(INDIRECT(CONCATENATE($FK$12,Fixtures!IJ$25))="","",IF(INDIRECT(CONCATENATE($FK$12,Fixtures!IJ$25))=Fixtures!$DN72,CONCATENATE(IJ$10,", "),""))</f>
        <v/>
      </c>
      <c r="IK72" s="713" t="str">
        <f ca="1">IF(INDIRECT(CONCATENATE($FK$12,Fixtures!IK$25))="","",IF(INDIRECT(CONCATENATE($FK$12,Fixtures!IK$25))=Fixtures!$DN72,CONCATENATE(IK$10,", "),""))</f>
        <v/>
      </c>
      <c r="IL72" s="713" t="str">
        <f ca="1">IF(INDIRECT(CONCATENATE($FK$12,Fixtures!IL$25))="","",IF(INDIRECT(CONCATENATE($FK$12,Fixtures!IL$25))=Fixtures!$DN72,CONCATENATE(IL$10,", "),""))</f>
        <v/>
      </c>
      <c r="IM72" s="713" t="str">
        <f ca="1">IF(INDIRECT(CONCATENATE($FK$12,Fixtures!IM$25))="","",IF(INDIRECT(CONCATENATE($FK$12,Fixtures!IM$25))=Fixtures!$DN72,CONCATENATE(IM$10,", "),""))</f>
        <v/>
      </c>
      <c r="IN72" s="713" t="str">
        <f ca="1">IF(INDIRECT(CONCATENATE($FK$12,Fixtures!IN$25))="","",IF(INDIRECT(CONCATENATE($FK$12,Fixtures!IN$25))=Fixtures!$DN72,CONCATENATE(IN$10,", "),""))</f>
        <v/>
      </c>
      <c r="IO72" s="713" t="str">
        <f ca="1">IF(INDIRECT(CONCATENATE($FK$12,Fixtures!IO$25))="","",IF(INDIRECT(CONCATENATE($FK$12,Fixtures!IO$25))=Fixtures!$DN72,CONCATENATE(IO$10,", "),""))</f>
        <v/>
      </c>
      <c r="IP72" s="713" t="str">
        <f ca="1">IF(INDIRECT(CONCATENATE($FK$12,Fixtures!IP$25))="","",IF(INDIRECT(CONCATENATE($FK$12,Fixtures!IP$25))=Fixtures!$DN72,CONCATENATE(IP$10,", "),""))</f>
        <v/>
      </c>
      <c r="IQ72" s="684" t="str">
        <f ca="1">IF(INDIRECT(CONCATENATE($FK$12,Fixtures!IQ$25))="","",IF(INDIRECT(CONCATENATE($FK$12,Fixtures!IQ$25))=Fixtures!$DN72,CONCATENATE(IQ$10,", "),""))</f>
        <v/>
      </c>
      <c r="IR72" s="685" t="str">
        <f ca="1">IF(INDIRECT(CONCATENATE($FK$12,Fixtures!IR$25))="","",IF(INDIRECT(CONCATENATE($FK$12,Fixtures!IR$25))=Fixtures!$DN72,CONCATENATE(IR$10,", "),""))</f>
        <v/>
      </c>
      <c r="IS72" s="713" t="str">
        <f ca="1">IF(INDIRECT(CONCATENATE($FK$12,Fixtures!IS$25))="","",IF(INDIRECT(CONCATENATE($FK$12,Fixtures!IS$25))=Fixtures!$DN72,CONCATENATE(IS$10,", "),""))</f>
        <v/>
      </c>
      <c r="IT72" s="713" t="str">
        <f ca="1">IF(INDIRECT(CONCATENATE($FK$12,Fixtures!IT$25))="","",IF(INDIRECT(CONCATENATE($FK$12,Fixtures!IT$25))=Fixtures!$DN72,CONCATENATE(IT$10,", "),""))</f>
        <v/>
      </c>
      <c r="IU72" s="713" t="str">
        <f ca="1">IF(INDIRECT(CONCATENATE($FK$12,Fixtures!IU$25))="","",IF(INDIRECT(CONCATENATE($FK$12,Fixtures!IU$25))=Fixtures!$DN72,CONCATENATE(IU$10,", "),""))</f>
        <v/>
      </c>
      <c r="IV72" s="713" t="str">
        <f ca="1">IF(INDIRECT(CONCATENATE($FK$12,Fixtures!IV$25))="","",IF(INDIRECT(CONCATENATE($FK$12,Fixtures!IV$25))=Fixtures!$DN72,CONCATENATE(IV$10,", "),""))</f>
        <v/>
      </c>
      <c r="IW72" s="713" t="str">
        <f ca="1">IF(INDIRECT(CONCATENATE($FK$12,Fixtures!IW$25))="","",IF(INDIRECT(CONCATENATE($FK$12,Fixtures!IW$25))=Fixtures!$DN72,CONCATENATE(IW$10,", "),""))</f>
        <v/>
      </c>
      <c r="IX72" s="713" t="str">
        <f ca="1">IF(INDIRECT(CONCATENATE($FK$12,Fixtures!IX$25))="","",IF(INDIRECT(CONCATENATE($FK$12,Fixtures!IX$25))=Fixtures!$DN72,CONCATENATE(IX$10,", "),""))</f>
        <v/>
      </c>
      <c r="IY72" s="713" t="str">
        <f ca="1">IF(INDIRECT(CONCATENATE($FK$12,Fixtures!IY$25))="","",IF(INDIRECT(CONCATENATE($FK$12,Fixtures!IY$25))=Fixtures!$DN72,CONCATENATE(IY$10,", "),""))</f>
        <v/>
      </c>
      <c r="IZ72" s="713" t="str">
        <f ca="1">IF(INDIRECT(CONCATENATE($FK$12,Fixtures!IZ$25))="","",IF(INDIRECT(CONCATENATE($FK$12,Fixtures!IZ$25))=Fixtures!$DN72,CONCATENATE(IZ$10,", "),""))</f>
        <v/>
      </c>
      <c r="JA72" s="713" t="str">
        <f ca="1">IF(INDIRECT(CONCATENATE($FK$12,Fixtures!JA$25))="","",IF(INDIRECT(CONCATENATE($FK$12,Fixtures!JA$25))=Fixtures!$DN72,CONCATENATE(JA$10,", "),""))</f>
        <v/>
      </c>
      <c r="JB72" s="713" t="str">
        <f ca="1">IF(INDIRECT(CONCATENATE($FK$12,Fixtures!JB$25))="","",IF(INDIRECT(CONCATENATE($FK$12,Fixtures!JB$25))=Fixtures!$DN72,CONCATENATE(JB$10,", "),""))</f>
        <v/>
      </c>
      <c r="JC72" s="713" t="str">
        <f ca="1">IF(INDIRECT(CONCATENATE($FK$12,Fixtures!JC$25))="","",IF(INDIRECT(CONCATENATE($FK$12,Fixtures!JC$25))=Fixtures!$DN72,CONCATENATE(JC$10,", "),""))</f>
        <v/>
      </c>
      <c r="JD72" s="713" t="str">
        <f ca="1">IF(INDIRECT(CONCATENATE($FK$12,Fixtures!JD$25))="","",IF(INDIRECT(CONCATENATE($FK$12,Fixtures!JD$25))=Fixtures!$DN72,CONCATENATE(JD$10,", "),""))</f>
        <v/>
      </c>
      <c r="JE72" s="713" t="str">
        <f ca="1">IF(INDIRECT(CONCATENATE($FK$12,Fixtures!JE$25))="","",IF(INDIRECT(CONCATENATE($FK$12,Fixtures!JE$25))=Fixtures!$DN72,CONCATENATE(JE$10,", "),""))</f>
        <v/>
      </c>
      <c r="JF72" s="684" t="str">
        <f ca="1">IF(INDIRECT(CONCATENATE($FK$12,Fixtures!JF$25))="","",IF(INDIRECT(CONCATENATE($FK$12,Fixtures!JF$25))=Fixtures!$DN72,CONCATENATE(JF$10,", "),""))</f>
        <v/>
      </c>
      <c r="JG72" s="685" t="str">
        <f ca="1">IF(INDIRECT(CONCATENATE($FK$12,Fixtures!JG$25))="","",IF(INDIRECT(CONCATENATE($FK$12,Fixtures!JG$25))=Fixtures!$DN72,CONCATENATE(JG$10,", "),""))</f>
        <v/>
      </c>
      <c r="JH72" s="713" t="str">
        <f ca="1">IF(INDIRECT(CONCATENATE($FK$12,Fixtures!JH$25))="","",IF(INDIRECT(CONCATENATE($FK$12,Fixtures!JH$25))=Fixtures!$DN72,CONCATENATE(JH$10,", "),""))</f>
        <v/>
      </c>
      <c r="JI72" s="713" t="str">
        <f ca="1">IF(INDIRECT(CONCATENATE($FK$12,Fixtures!JI$25))="","",IF(INDIRECT(CONCATENATE($FK$12,Fixtures!JI$25))=Fixtures!$DN72,CONCATENATE(JI$10,", "),""))</f>
        <v/>
      </c>
      <c r="JJ72" s="713" t="str">
        <f ca="1">IF(INDIRECT(CONCATENATE($FK$12,Fixtures!JJ$25))="","",IF(INDIRECT(CONCATENATE($FK$12,Fixtures!JJ$25))=Fixtures!$DN72,CONCATENATE(JJ$10,", "),""))</f>
        <v/>
      </c>
      <c r="JK72" s="713" t="str">
        <f ca="1">IF(INDIRECT(CONCATENATE($FK$12,Fixtures!JK$25))="","",IF(INDIRECT(CONCATENATE($FK$12,Fixtures!JK$25))=Fixtures!$DN72,CONCATENATE(JK$10,", "),""))</f>
        <v/>
      </c>
      <c r="JL72" s="713" t="str">
        <f ca="1">IF(INDIRECT(CONCATENATE($FK$12,Fixtures!JL$25))="","",IF(INDIRECT(CONCATENATE($FK$12,Fixtures!JL$25))=Fixtures!$DN72,CONCATENATE(JL$10,", "),""))</f>
        <v/>
      </c>
      <c r="JM72" s="713" t="str">
        <f ca="1">IF(INDIRECT(CONCATENATE($FK$12,Fixtures!JM$25))="","",IF(INDIRECT(CONCATENATE($FK$12,Fixtures!JM$25))=Fixtures!$DN72,CONCATENATE(JM$10,", "),""))</f>
        <v/>
      </c>
      <c r="JN72" s="713" t="str">
        <f ca="1">IF(INDIRECT(CONCATENATE($FK$12,Fixtures!JN$25))="","",IF(INDIRECT(CONCATENATE($FK$12,Fixtures!JN$25))=Fixtures!$DN72,CONCATENATE(JN$10,", "),""))</f>
        <v/>
      </c>
      <c r="JO72" s="713" t="str">
        <f ca="1">IF(INDIRECT(CONCATENATE($FK$12,Fixtures!JO$25))="","",IF(INDIRECT(CONCATENATE($FK$12,Fixtures!JO$25))=Fixtures!$DN72,CONCATENATE(JO$10,", "),""))</f>
        <v/>
      </c>
      <c r="JP72" s="713" t="str">
        <f ca="1">IF(INDIRECT(CONCATENATE($FK$12,Fixtures!JP$25))="","",IF(INDIRECT(CONCATENATE($FK$12,Fixtures!JP$25))=Fixtures!$DN72,CONCATENATE(JP$10,", "),""))</f>
        <v/>
      </c>
      <c r="JQ72" s="713" t="str">
        <f ca="1">IF(INDIRECT(CONCATENATE($FK$12,Fixtures!JQ$25))="","",IF(INDIRECT(CONCATENATE($FK$12,Fixtures!JQ$25))=Fixtures!$DN72,CONCATENATE(JQ$10,", "),""))</f>
        <v/>
      </c>
      <c r="JR72" s="713" t="str">
        <f ca="1">IF(INDIRECT(CONCATENATE($FK$12,Fixtures!JR$25))="","",IF(INDIRECT(CONCATENATE($FK$12,Fixtures!JR$25))=Fixtures!$DN72,CONCATENATE(JR$10,", "),""))</f>
        <v/>
      </c>
      <c r="JS72" s="713" t="str">
        <f ca="1">IF(INDIRECT(CONCATENATE($FK$12,Fixtures!JS$25))="","",IF(INDIRECT(CONCATENATE($FK$12,Fixtures!JS$25))=Fixtures!$DN72,CONCATENATE(JS$10,", "),""))</f>
        <v/>
      </c>
      <c r="JT72" s="713" t="str">
        <f ca="1">IF(INDIRECT(CONCATENATE($FK$12,Fixtures!JT$25))="","",IF(INDIRECT(CONCATENATE($FK$12,Fixtures!JT$25))=Fixtures!$DN72,CONCATENATE(JT$10,", "),""))</f>
        <v/>
      </c>
      <c r="JU72" s="684" t="str">
        <f ca="1">IF(INDIRECT(CONCATENATE($FK$12,Fixtures!JU$25))="","",IF(INDIRECT(CONCATENATE($FK$12,Fixtures!JU$25))=Fixtures!$DN72,CONCATENATE(JU$10,", "),""))</f>
        <v/>
      </c>
      <c r="JV72" s="685" t="str">
        <f ca="1">IF(INDIRECT(CONCATENATE($FK$12,Fixtures!JV$25))="","",IF(INDIRECT(CONCATENATE($FK$12,Fixtures!JV$25))=Fixtures!$DN72,CONCATENATE(JV$10,", "),""))</f>
        <v/>
      </c>
      <c r="JW72" s="713" t="str">
        <f ca="1">IF(INDIRECT(CONCATENATE($FK$12,Fixtures!JW$25))="","",IF(INDIRECT(CONCATENATE($FK$12,Fixtures!JW$25))=Fixtures!$DN72,CONCATENATE(JW$10,", "),""))</f>
        <v/>
      </c>
      <c r="JX72" s="713" t="str">
        <f ca="1">IF(INDIRECT(CONCATENATE($FK$12,Fixtures!JX$25))="","",IF(INDIRECT(CONCATENATE($FK$12,Fixtures!JX$25))=Fixtures!$DN72,CONCATENATE(JX$10,", "),""))</f>
        <v/>
      </c>
      <c r="JY72" s="713" t="str">
        <f ca="1">IF(INDIRECT(CONCATENATE($FK$12,Fixtures!JY$25))="","",IF(INDIRECT(CONCATENATE($FK$12,Fixtures!JY$25))=Fixtures!$DN72,CONCATENATE(JY$10,", "),""))</f>
        <v/>
      </c>
      <c r="JZ72" s="713" t="str">
        <f ca="1">IF(INDIRECT(CONCATENATE($FK$12,Fixtures!JZ$25))="","",IF(INDIRECT(CONCATENATE($FK$12,Fixtures!JZ$25))=Fixtures!$DN72,CONCATENATE(JZ$10,", "),""))</f>
        <v/>
      </c>
      <c r="KA72" s="713" t="str">
        <f ca="1">IF(INDIRECT(CONCATENATE($FK$12,Fixtures!KA$25))="","",IF(INDIRECT(CONCATENATE($FK$12,Fixtures!KA$25))=Fixtures!$DN72,CONCATENATE(KA$10,", "),""))</f>
        <v/>
      </c>
      <c r="KB72" s="713" t="str">
        <f ca="1">IF(INDIRECT(CONCATENATE($FK$12,Fixtures!KB$25))="","",IF(INDIRECT(CONCATENATE($FK$12,Fixtures!KB$25))=Fixtures!$DN72,CONCATENATE(KB$10,", "),""))</f>
        <v/>
      </c>
      <c r="KC72" s="713" t="str">
        <f ca="1">IF(INDIRECT(CONCATENATE($FK$12,Fixtures!KC$25))="","",IF(INDIRECT(CONCATENATE($FK$12,Fixtures!KC$25))=Fixtures!$DN72,CONCATENATE(KC$10,", "),""))</f>
        <v/>
      </c>
      <c r="KD72" s="713" t="str">
        <f ca="1">IF(INDIRECT(CONCATENATE($FK$12,Fixtures!KD$25))="","",IF(INDIRECT(CONCATENATE($FK$12,Fixtures!KD$25))=Fixtures!$DN72,CONCATENATE(KD$10,", "),""))</f>
        <v/>
      </c>
      <c r="KE72" s="713" t="str">
        <f ca="1">IF(INDIRECT(CONCATENATE($FK$12,Fixtures!KE$25))="","",IF(INDIRECT(CONCATENATE($FK$12,Fixtures!KE$25))=Fixtures!$DN72,CONCATENATE(KE$10,", "),""))</f>
        <v/>
      </c>
      <c r="KF72" s="713" t="str">
        <f ca="1">IF(INDIRECT(CONCATENATE($FK$12,Fixtures!KF$25))="","",IF(INDIRECT(CONCATENATE($FK$12,Fixtures!KF$25))=Fixtures!$DN72,CONCATENATE(KF$10,", "),""))</f>
        <v/>
      </c>
      <c r="KG72" s="713" t="str">
        <f ca="1">IF(INDIRECT(CONCATENATE($FK$12,Fixtures!KG$25))="","",IF(INDIRECT(CONCATENATE($FK$12,Fixtures!KG$25))=Fixtures!$DN72,CONCATENATE(KG$10,", "),""))</f>
        <v/>
      </c>
      <c r="KH72" s="713" t="str">
        <f ca="1">IF(INDIRECT(CONCATENATE($FK$12,Fixtures!KH$25))="","",IF(INDIRECT(CONCATENATE($FK$12,Fixtures!KH$25))=Fixtures!$DN72,CONCATENATE(KH$10,", "),""))</f>
        <v/>
      </c>
      <c r="KI72" s="713" t="str">
        <f ca="1">IF(INDIRECT(CONCATENATE($FK$12,Fixtures!KI$25))="","",IF(INDIRECT(CONCATENATE($FK$12,Fixtures!KI$25))=Fixtures!$DN72,CONCATENATE(KI$10,", "),""))</f>
        <v/>
      </c>
      <c r="KJ72" s="684" t="str">
        <f ca="1">IF(INDIRECT(CONCATENATE($FK$12,Fixtures!KJ$25))="","",IF(INDIRECT(CONCATENATE($FK$12,Fixtures!KJ$25))=Fixtures!$DN72,CONCATENATE(KJ$10,", "),""))</f>
        <v/>
      </c>
      <c r="KK72" s="685" t="str">
        <f ca="1">IF(INDIRECT(CONCATENATE($FK$12,Fixtures!KK$25))="","",IF(INDIRECT(CONCATENATE($FK$12,Fixtures!KK$25))=Fixtures!$DN72,CONCATENATE(KK$10,", "),""))</f>
        <v/>
      </c>
      <c r="KL72" s="713" t="str">
        <f ca="1">IF(INDIRECT(CONCATENATE($FK$12,Fixtures!KL$25))="","",IF(INDIRECT(CONCATENATE($FK$12,Fixtures!KL$25))=Fixtures!$DN72,CONCATENATE(KL$10,", "),""))</f>
        <v/>
      </c>
      <c r="KM72" s="713" t="str">
        <f ca="1">IF(INDIRECT(CONCATENATE($FK$12,Fixtures!KM$25))="","",IF(INDIRECT(CONCATENATE($FK$12,Fixtures!KM$25))=Fixtures!$DN72,CONCATENATE(KM$10,", "),""))</f>
        <v/>
      </c>
      <c r="KN72" s="713" t="str">
        <f ca="1">IF(INDIRECT(CONCATENATE($FK$12,Fixtures!KN$25))="","",IF(INDIRECT(CONCATENATE($FK$12,Fixtures!KN$25))=Fixtures!$DN72,CONCATENATE(KN$10,", "),""))</f>
        <v/>
      </c>
      <c r="KO72" s="713" t="str">
        <f ca="1">IF(INDIRECT(CONCATENATE($FK$12,Fixtures!KO$25))="","",IF(INDIRECT(CONCATENATE($FK$12,Fixtures!KO$25))=Fixtures!$DN72,CONCATENATE(KO$10,", "),""))</f>
        <v/>
      </c>
      <c r="KP72" s="713" t="str">
        <f ca="1">IF(INDIRECT(CONCATENATE($FK$12,Fixtures!KP$25))="","",IF(INDIRECT(CONCATENATE($FK$12,Fixtures!KP$25))=Fixtures!$DN72,CONCATENATE(KP$10,", "),""))</f>
        <v/>
      </c>
      <c r="KQ72" s="713" t="str">
        <f ca="1">IF(INDIRECT(CONCATENATE($FK$12,Fixtures!KQ$25))="","",IF(INDIRECT(CONCATENATE($FK$12,Fixtures!KQ$25))=Fixtures!$DN72,CONCATENATE(KQ$10,", "),""))</f>
        <v/>
      </c>
      <c r="KR72" s="713" t="str">
        <f ca="1">IF(INDIRECT(CONCATENATE($FK$12,Fixtures!KR$25))="","",IF(INDIRECT(CONCATENATE($FK$12,Fixtures!KR$25))=Fixtures!$DN72,CONCATENATE(KR$10,", "),""))</f>
        <v/>
      </c>
      <c r="KS72" s="713" t="str">
        <f ca="1">IF(INDIRECT(CONCATENATE($FK$12,Fixtures!KS$25))="","",IF(INDIRECT(CONCATENATE($FK$12,Fixtures!KS$25))=Fixtures!$DN72,CONCATENATE(KS$10,", "),""))</f>
        <v/>
      </c>
      <c r="KT72" s="713" t="str">
        <f ca="1">IF(INDIRECT(CONCATENATE($FK$12,Fixtures!KT$25))="","",IF(INDIRECT(CONCATENATE($FK$12,Fixtures!KT$25))=Fixtures!$DN72,CONCATENATE(KT$10,", "),""))</f>
        <v/>
      </c>
      <c r="KU72" s="713" t="str">
        <f ca="1">IF(INDIRECT(CONCATENATE($FK$12,Fixtures!KU$25))="","",IF(INDIRECT(CONCATENATE($FK$12,Fixtures!KU$25))=Fixtures!$DN72,CONCATENATE(KU$10,", "),""))</f>
        <v/>
      </c>
      <c r="KV72" s="713" t="str">
        <f ca="1">IF(INDIRECT(CONCATENATE($FK$12,Fixtures!KV$25))="","",IF(INDIRECT(CONCATENATE($FK$12,Fixtures!KV$25))=Fixtures!$DN72,CONCATENATE(KV$10,", "),""))</f>
        <v/>
      </c>
      <c r="KW72" s="713" t="str">
        <f ca="1">IF(INDIRECT(CONCATENATE($FK$12,Fixtures!KW$25))="","",IF(INDIRECT(CONCATENATE($FK$12,Fixtures!KW$25))=Fixtures!$DN72,CONCATENATE(KW$10,", "),""))</f>
        <v/>
      </c>
      <c r="KX72" s="713" t="str">
        <f ca="1">IF(INDIRECT(CONCATENATE($FK$12,Fixtures!KX$25))="","",IF(INDIRECT(CONCATENATE($FK$12,Fixtures!KX$25))=Fixtures!$DN72,CONCATENATE(KX$10,", "),""))</f>
        <v/>
      </c>
      <c r="KY72" s="713" t="str">
        <f ca="1">IF(INDIRECT(CONCATENATE($FK$12,Fixtures!KY$25))="","",IF(INDIRECT(CONCATENATE($FK$12,Fixtures!KY$25))=Fixtures!$DN72,CONCATENATE(KY$10,", "),""))</f>
        <v/>
      </c>
      <c r="KZ72" s="602"/>
      <c r="LA72" s="46" t="str">
        <f t="shared" ca="1" si="38"/>
        <v/>
      </c>
    </row>
    <row r="73" spans="1:313" ht="28.05" customHeight="1" thickTop="1" thickBot="1">
      <c r="A73" s="471" t="str">
        <f t="shared" si="13"/>
        <v/>
      </c>
      <c r="C73" s="1328" t="str">
        <f t="shared" si="14"/>
        <v/>
      </c>
      <c r="D73" s="1329"/>
      <c r="E73" s="1256" t="str">
        <f t="shared" si="15"/>
        <v/>
      </c>
      <c r="F73" s="1257"/>
      <c r="G73" s="1257"/>
      <c r="H73" s="1257"/>
      <c r="I73" s="1257"/>
      <c r="J73" s="1257"/>
      <c r="K73" s="1257"/>
      <c r="L73" s="1257"/>
      <c r="M73" s="1330"/>
      <c r="N73" s="239" t="str">
        <f t="shared" si="16"/>
        <v/>
      </c>
      <c r="O73" s="12"/>
      <c r="P73" s="1326" t="str">
        <f t="shared" si="25"/>
        <v/>
      </c>
      <c r="Q73" s="1327"/>
      <c r="R73" s="1256" t="str">
        <f t="shared" si="31"/>
        <v/>
      </c>
      <c r="S73" s="1257"/>
      <c r="T73" s="1257"/>
      <c r="U73" s="1257"/>
      <c r="V73" s="1257"/>
      <c r="W73" s="1257"/>
      <c r="X73" s="1257"/>
      <c r="Y73" s="239" t="str">
        <f t="shared" si="27"/>
        <v/>
      </c>
      <c r="Z73" s="239" t="str">
        <f t="shared" si="28"/>
        <v/>
      </c>
      <c r="AA73" s="439" t="str">
        <f t="shared" si="29"/>
        <v/>
      </c>
      <c r="AB73" s="542"/>
      <c r="AC73" s="1253" t="str">
        <f t="shared" si="17"/>
        <v/>
      </c>
      <c r="AD73" s="1166"/>
      <c r="AE73" s="1166"/>
      <c r="AF73" s="1166"/>
      <c r="AG73" s="1166"/>
      <c r="AH73" s="1166"/>
      <c r="AK73">
        <f>SUMIFS(Installations!CS$39:CS$800,Installations!CT$39:CT$800,E73,Installations!HX$39:HX$800,TRUE)</f>
        <v>0</v>
      </c>
      <c r="AL73">
        <f>SUMIFS(Installations!CS$39:CS$800,Installations!CT$39:CT$800,R73,Installations!HX$39:HX$800,TRUE)</f>
        <v>0</v>
      </c>
      <c r="BL73" s="9"/>
      <c r="BM73" s="703" t="str">
        <f t="shared" si="18"/>
        <v/>
      </c>
      <c r="BN73" s="52"/>
      <c r="BO73" s="52"/>
      <c r="BP73" s="52"/>
      <c r="BQ73" s="52"/>
      <c r="BR73" s="52"/>
      <c r="BS73" s="52"/>
      <c r="BT73" s="52"/>
      <c r="BU73" s="414"/>
      <c r="BV73" s="255" t="str">
        <f>IF(CN73&lt;&gt;"Yes","",IFERROR(VLOOKUP(CU73,Existing!A$4:F$364,2,FALSE),""))</f>
        <v/>
      </c>
      <c r="BW73" s="9">
        <v>47</v>
      </c>
      <c r="BX73" s="1313"/>
      <c r="BY73" s="1314"/>
      <c r="BZ73" s="1314"/>
      <c r="CA73" s="1315"/>
      <c r="CB73" s="1310"/>
      <c r="CC73" s="1311"/>
      <c r="CD73" s="1311"/>
      <c r="CE73" s="1312"/>
      <c r="CF73" s="1309"/>
      <c r="CG73" s="1309"/>
      <c r="CH73" s="1309"/>
      <c r="CI73" s="1309"/>
      <c r="CJ73" s="1309"/>
      <c r="CK73" s="1309"/>
      <c r="CL73" s="1309"/>
      <c r="CM73" s="1309"/>
      <c r="CN73" s="1243" t="str">
        <f t="shared" si="32"/>
        <v/>
      </c>
      <c r="CO73" s="1244"/>
      <c r="CP73" s="265" t="str">
        <f>IFERROR(IF(CB73="Existing TLED",CR73*CW73*CY73,VLOOKUP(CU73,Existing!A$3:F$353,6,FALSE)),"")</f>
        <v/>
      </c>
      <c r="CQ73" s="9"/>
      <c r="CR73" s="1343"/>
      <c r="CS73" s="1344"/>
      <c r="CT73" s="9"/>
      <c r="CU73" s="470" t="str">
        <f t="shared" si="21"/>
        <v/>
      </c>
      <c r="CV73" s="471" t="b">
        <f t="shared" si="22"/>
        <v>0</v>
      </c>
      <c r="CW73" s="471" t="str">
        <f t="shared" si="23"/>
        <v/>
      </c>
      <c r="CX73" s="471">
        <f>IFERROR(VLOOKUP(CF73,Lookup!M$100:O$102,3,FALSE),0)</f>
        <v>0</v>
      </c>
      <c r="CY73" s="471">
        <f t="shared" si="9"/>
        <v>1.1100000000000001</v>
      </c>
      <c r="CZ73" s="707" t="b">
        <f t="shared" si="33"/>
        <v>0</v>
      </c>
      <c r="DA73" s="707" t="b">
        <f>IF(CF73&lt;&gt;"",IF(ISERROR(MATCH(CONCATENATE(CB73," - ",CF73),Existing!G$4:G$328,0))=TRUE,FALSE,TRUE),TRUE)</f>
        <v>1</v>
      </c>
      <c r="DB73" s="707" t="b">
        <f t="shared" si="34"/>
        <v>1</v>
      </c>
      <c r="DL73" s="9"/>
      <c r="DM73" s="708" t="s">
        <v>166</v>
      </c>
      <c r="DN73" s="416" t="str">
        <f t="shared" si="35"/>
        <v/>
      </c>
      <c r="DO73" s="52"/>
      <c r="DP73" s="52"/>
      <c r="DQ73" s="52"/>
      <c r="DR73" s="52"/>
      <c r="DS73" s="52"/>
      <c r="DT73" s="262"/>
      <c r="DU73" s="417"/>
      <c r="DV73" s="263" t="str">
        <f t="shared" si="36"/>
        <v/>
      </c>
      <c r="DW73" s="260">
        <v>47</v>
      </c>
      <c r="DX73" s="1306"/>
      <c r="DY73" s="1307"/>
      <c r="DZ73" s="1307"/>
      <c r="EA73" s="1308"/>
      <c r="EB73" s="1306"/>
      <c r="EC73" s="1307"/>
      <c r="ED73" s="1307"/>
      <c r="EE73" s="1308"/>
      <c r="EF73" s="1266"/>
      <c r="EG73" s="1267"/>
      <c r="EH73" s="1306"/>
      <c r="EI73" s="1307"/>
      <c r="EJ73" s="1307"/>
      <c r="EK73" s="1308"/>
      <c r="EL73" s="1263"/>
      <c r="EM73" s="1264"/>
      <c r="EN73" s="1264"/>
      <c r="EO73" s="1265"/>
      <c r="EP73" s="1266"/>
      <c r="EQ73" s="1267"/>
      <c r="ER73" s="1245"/>
      <c r="ES73" s="1246"/>
      <c r="ET73" s="1243" t="str">
        <f t="shared" si="5"/>
        <v/>
      </c>
      <c r="EU73" s="1244"/>
      <c r="EV73" s="1243" t="str">
        <f t="shared" si="30"/>
        <v/>
      </c>
      <c r="EW73" s="1244"/>
      <c r="EX73" s="438"/>
      <c r="EY73" s="261" t="str">
        <f t="shared" si="37"/>
        <v/>
      </c>
      <c r="EZ73" s="261" t="str">
        <f>IFERROR(VLOOKUP(EB73,Lookup!AM$3:AN$13,2,FALSE),"")</f>
        <v/>
      </c>
      <c r="FA73" s="471" t="b">
        <f>IFERROR(IF(VLOOKUP(EB73,Lookup!AM$6:AN$8,2,FALSE)&gt;3,TRUE,FALSE),FALSE)</f>
        <v>0</v>
      </c>
      <c r="FB73" s="471">
        <f t="shared" si="11"/>
        <v>1</v>
      </c>
      <c r="FC73" t="str">
        <f t="shared" ca="1" si="10"/>
        <v/>
      </c>
      <c r="FG73" t="str">
        <f t="shared" ca="1" si="12"/>
        <v/>
      </c>
      <c r="FI73" s="240" t="str">
        <f t="shared" ca="1" si="24"/>
        <v/>
      </c>
      <c r="FK73" s="712" t="str">
        <f ca="1">IF(INDIRECT(CONCATENATE($FK$12,Fixtures!FK$25))="","",IF(INDIRECT(CONCATENATE($FK$12,Fixtures!FK$25))=Fixtures!$DN73,CONCATENATE(FK$10,", "),""))</f>
        <v/>
      </c>
      <c r="FL73" s="712" t="str">
        <f ca="1">IF(INDIRECT(CONCATENATE($FK$12,Fixtures!FL$25))="","",IF(INDIRECT(CONCATENATE($FK$12,Fixtures!FL$25))=Fixtures!$DN73,CONCATENATE(FL$10,", "),""))</f>
        <v/>
      </c>
      <c r="FM73" s="712" t="str">
        <f ca="1">IF(INDIRECT(CONCATENATE($FK$12,Fixtures!FM$25))="","",IF(INDIRECT(CONCATENATE($FK$12,Fixtures!FM$25))=Fixtures!$DN73,CONCATENATE(FM$10,", "),""))</f>
        <v/>
      </c>
      <c r="FN73" s="712" t="str">
        <f ca="1">IF(INDIRECT(CONCATENATE($FK$12,Fixtures!FN$25))="","",IF(INDIRECT(CONCATENATE($FK$12,Fixtures!FN$25))=Fixtures!$DN73,CONCATENATE(FN$10,", "),""))</f>
        <v/>
      </c>
      <c r="FO73" s="712" t="str">
        <f ca="1">IF(INDIRECT(CONCATENATE($FK$12,Fixtures!FO$25))="","",IF(INDIRECT(CONCATENATE($FK$12,Fixtures!FO$25))=Fixtures!$DN73,CONCATENATE(FO$10,", "),""))</f>
        <v/>
      </c>
      <c r="FP73" s="712" t="str">
        <f ca="1">IF(INDIRECT(CONCATENATE($FK$12,Fixtures!FP$25))="","",IF(INDIRECT(CONCATENATE($FK$12,Fixtures!FP$25))=Fixtures!$DN73,CONCATENATE(FP$10,", "),""))</f>
        <v/>
      </c>
      <c r="FQ73" s="712" t="str">
        <f ca="1">IF(INDIRECT(CONCATENATE($FK$12,Fixtures!FQ$25))="","",IF(INDIRECT(CONCATENATE($FK$12,Fixtures!FQ$25))=Fixtures!$DN73,CONCATENATE(FQ$10,", "),""))</f>
        <v/>
      </c>
      <c r="FR73" s="712" t="str">
        <f ca="1">IF(INDIRECT(CONCATENATE($FK$12,Fixtures!FR$25))="","",IF(INDIRECT(CONCATENATE($FK$12,Fixtures!FR$25))=Fixtures!$DN73,CONCATENATE(FR$10,", "),""))</f>
        <v/>
      </c>
      <c r="FS73" s="712" t="str">
        <f ca="1">IF(INDIRECT(CONCATENATE($FK$12,Fixtures!FS$25))="","",IF(INDIRECT(CONCATENATE($FK$12,Fixtures!FS$25))=Fixtures!$DN73,CONCATENATE(FS$10,", "),""))</f>
        <v/>
      </c>
      <c r="FT73" s="682" t="str">
        <f ca="1">IF(INDIRECT(CONCATENATE($FK$12,Fixtures!FT$25))="","",IF(INDIRECT(CONCATENATE($FK$12,Fixtures!FT$25))=Fixtures!$DN73,CONCATENATE(FT$10,", "),""))</f>
        <v/>
      </c>
      <c r="FU73" s="683" t="str">
        <f ca="1">IF(INDIRECT(CONCATENATE($FK$12,Fixtures!FU$25))="","",IF(INDIRECT(CONCATENATE($FK$12,Fixtures!FU$25))=Fixtures!$DN73,CONCATENATE(FU$10,", "),""))</f>
        <v/>
      </c>
      <c r="FV73" s="712" t="str">
        <f ca="1">IF(INDIRECT(CONCATENATE($FK$12,Fixtures!FV$25))="","",IF(INDIRECT(CONCATENATE($FK$12,Fixtures!FV$25))=Fixtures!$DN73,CONCATENATE(FV$10,", "),""))</f>
        <v/>
      </c>
      <c r="FW73" s="713" t="str">
        <f ca="1">IF(INDIRECT(CONCATENATE($FK$12,Fixtures!FW$25))="","",IF(INDIRECT(CONCATENATE($FK$12,Fixtures!FW$25))=Fixtures!$DN73,CONCATENATE(FW$10,", "),""))</f>
        <v/>
      </c>
      <c r="FX73" s="713" t="str">
        <f ca="1">IF(INDIRECT(CONCATENATE($FK$12,Fixtures!FX$25))="","",IF(INDIRECT(CONCATENATE($FK$12,Fixtures!FX$25))=Fixtures!$DN73,CONCATENATE(FX$10,", "),""))</f>
        <v/>
      </c>
      <c r="FY73" s="713" t="str">
        <f ca="1">IF(INDIRECT(CONCATENATE($FK$12,Fixtures!FY$25))="","",IF(INDIRECT(CONCATENATE($FK$12,Fixtures!FY$25))=Fixtures!$DN73,CONCATENATE(FY$10,", "),""))</f>
        <v/>
      </c>
      <c r="FZ73" s="713" t="str">
        <f ca="1">IF(INDIRECT(CONCATENATE($FK$12,Fixtures!FZ$25))="","",IF(INDIRECT(CONCATENATE($FK$12,Fixtures!FZ$25))=Fixtures!$DN73,CONCATENATE(FZ$10,", "),""))</f>
        <v/>
      </c>
      <c r="GA73" s="713" t="str">
        <f ca="1">IF(INDIRECT(CONCATENATE($FK$12,Fixtures!GA$25))="","",IF(INDIRECT(CONCATENATE($FK$12,Fixtures!GA$25))=Fixtures!$DN73,CONCATENATE(GA$10,", "),""))</f>
        <v/>
      </c>
      <c r="GB73" s="713" t="str">
        <f ca="1">IF(INDIRECT(CONCATENATE($FK$12,Fixtures!GB$25))="","",IF(INDIRECT(CONCATENATE($FK$12,Fixtures!GB$25))=Fixtures!$DN73,CONCATENATE(GB$10,", "),""))</f>
        <v/>
      </c>
      <c r="GC73" s="713" t="str">
        <f ca="1">IF(INDIRECT(CONCATENATE($FK$12,Fixtures!GC$25))="","",IF(INDIRECT(CONCATENATE($FK$12,Fixtures!GC$25))=Fixtures!$DN73,CONCATENATE(GC$10,", "),""))</f>
        <v/>
      </c>
      <c r="GD73" s="713" t="str">
        <f ca="1">IF(INDIRECT(CONCATENATE($FK$12,Fixtures!GD$25))="","",IF(INDIRECT(CONCATENATE($FK$12,Fixtures!GD$25))=Fixtures!$DN73,CONCATENATE(GD$10,", "),""))</f>
        <v/>
      </c>
      <c r="GE73" s="713" t="str">
        <f ca="1">IF(INDIRECT(CONCATENATE($FK$12,Fixtures!GE$25))="","",IF(INDIRECT(CONCATENATE($FK$12,Fixtures!GE$25))=Fixtures!$DN73,CONCATENATE(GE$10,", "),""))</f>
        <v/>
      </c>
      <c r="GF73" s="713" t="str">
        <f ca="1">IF(INDIRECT(CONCATENATE($FK$12,Fixtures!GF$25))="","",IF(INDIRECT(CONCATENATE($FK$12,Fixtures!GF$25))=Fixtures!$DN73,CONCATENATE(GF$10,", "),""))</f>
        <v/>
      </c>
      <c r="GG73" s="713" t="str">
        <f ca="1">IF(INDIRECT(CONCATENATE($FK$12,Fixtures!GG$25))="","",IF(INDIRECT(CONCATENATE($FK$12,Fixtures!GG$25))=Fixtures!$DN73,CONCATENATE(GG$10,", "),""))</f>
        <v/>
      </c>
      <c r="GH73" s="713" t="str">
        <f ca="1">IF(INDIRECT(CONCATENATE($FK$12,Fixtures!GH$25))="","",IF(INDIRECT(CONCATENATE($FK$12,Fixtures!GH$25))=Fixtures!$DN73,CONCATENATE(GH$10,", "),""))</f>
        <v/>
      </c>
      <c r="GI73" s="684" t="str">
        <f ca="1">IF(INDIRECT(CONCATENATE($FK$12,Fixtures!GI$25))="","",IF(INDIRECT(CONCATENATE($FK$12,Fixtures!GI$25))=Fixtures!$DN73,CONCATENATE(GI$10,", "),""))</f>
        <v/>
      </c>
      <c r="GJ73" s="685" t="str">
        <f ca="1">IF(INDIRECT(CONCATENATE($FK$12,Fixtures!GJ$25))="","",IF(INDIRECT(CONCATENATE($FK$12,Fixtures!GJ$25))=Fixtures!$DN73,CONCATENATE(GJ$10,", "),""))</f>
        <v/>
      </c>
      <c r="GK73" s="713" t="str">
        <f ca="1">IF(INDIRECT(CONCATENATE($FK$12,Fixtures!GK$25))="","",IF(INDIRECT(CONCATENATE($FK$12,Fixtures!GK$25))=Fixtures!$DN73,CONCATENATE(GK$10,", "),""))</f>
        <v/>
      </c>
      <c r="GL73" s="713" t="str">
        <f ca="1">IF(INDIRECT(CONCATENATE($FK$12,Fixtures!GL$25))="","",IF(INDIRECT(CONCATENATE($FK$12,Fixtures!GL$25))=Fixtures!$DN73,CONCATENATE(GL$10,", "),""))</f>
        <v/>
      </c>
      <c r="GM73" s="713" t="str">
        <f ca="1">IF(INDIRECT(CONCATENATE($FK$12,Fixtures!GM$25))="","",IF(INDIRECT(CONCATENATE($FK$12,Fixtures!GM$25))=Fixtures!$DN73,CONCATENATE(GM$10,", "),""))</f>
        <v/>
      </c>
      <c r="GN73" s="713" t="str">
        <f ca="1">IF(INDIRECT(CONCATENATE($FK$12,Fixtures!GN$25))="","",IF(INDIRECT(CONCATENATE($FK$12,Fixtures!GN$25))=Fixtures!$DN73,CONCATENATE(GN$10,", "),""))</f>
        <v/>
      </c>
      <c r="GO73" s="713" t="str">
        <f ca="1">IF(INDIRECT(CONCATENATE($FK$12,Fixtures!GO$25))="","",IF(INDIRECT(CONCATENATE($FK$12,Fixtures!GO$25))=Fixtures!$DN73,CONCATENATE(GO$10,", "),""))</f>
        <v/>
      </c>
      <c r="GP73" s="713" t="str">
        <f ca="1">IF(INDIRECT(CONCATENATE($FK$12,Fixtures!GP$25))="","",IF(INDIRECT(CONCATENATE($FK$12,Fixtures!GP$25))=Fixtures!$DN73,CONCATENATE(GP$10,", "),""))</f>
        <v/>
      </c>
      <c r="GQ73" s="713" t="str">
        <f ca="1">IF(INDIRECT(CONCATENATE($FK$12,Fixtures!GQ$25))="","",IF(INDIRECT(CONCATENATE($FK$12,Fixtures!GQ$25))=Fixtures!$DN73,CONCATENATE(GQ$10,", "),""))</f>
        <v/>
      </c>
      <c r="GR73" s="713" t="str">
        <f ca="1">IF(INDIRECT(CONCATENATE($FK$12,Fixtures!GR$25))="","",IF(INDIRECT(CONCATENATE($FK$12,Fixtures!GR$25))=Fixtures!$DN73,CONCATENATE(GR$10,", "),""))</f>
        <v/>
      </c>
      <c r="GS73" s="713" t="str">
        <f ca="1">IF(INDIRECT(CONCATENATE($FK$12,Fixtures!GS$25))="","",IF(INDIRECT(CONCATENATE($FK$12,Fixtures!GS$25))=Fixtures!$DN73,CONCATENATE(GS$10,", "),""))</f>
        <v/>
      </c>
      <c r="GT73" s="713" t="str">
        <f ca="1">IF(INDIRECT(CONCATENATE($FK$12,Fixtures!GT$25))="","",IF(INDIRECT(CONCATENATE($FK$12,Fixtures!GT$25))=Fixtures!$DN73,CONCATENATE(GT$10,", "),""))</f>
        <v/>
      </c>
      <c r="GU73" s="713" t="str">
        <f ca="1">IF(INDIRECT(CONCATENATE($FK$12,Fixtures!GU$25))="","",IF(INDIRECT(CONCATENATE($FK$12,Fixtures!GU$25))=Fixtures!$DN73,CONCATENATE(GU$10,", "),""))</f>
        <v/>
      </c>
      <c r="GV73" s="713" t="str">
        <f ca="1">IF(INDIRECT(CONCATENATE($FK$12,Fixtures!GV$25))="","",IF(INDIRECT(CONCATENATE($FK$12,Fixtures!GV$25))=Fixtures!$DN73,CONCATENATE(GV$10,", "),""))</f>
        <v/>
      </c>
      <c r="GW73" s="713" t="str">
        <f ca="1">IF(INDIRECT(CONCATENATE($FK$12,Fixtures!GW$25))="","",IF(INDIRECT(CONCATENATE($FK$12,Fixtures!GW$25))=Fixtures!$DN73,CONCATENATE(GW$10,", "),""))</f>
        <v/>
      </c>
      <c r="GX73" s="684" t="str">
        <f ca="1">IF(INDIRECT(CONCATENATE($FK$12,Fixtures!GX$25))="","",IF(INDIRECT(CONCATENATE($FK$12,Fixtures!GX$25))=Fixtures!$DN73,CONCATENATE(GX$10,", "),""))</f>
        <v/>
      </c>
      <c r="GY73" s="685" t="str">
        <f ca="1">IF(INDIRECT(CONCATENATE($FK$12,Fixtures!GY$25))="","",IF(INDIRECT(CONCATENATE($FK$12,Fixtures!GY$25))=Fixtures!$DN73,CONCATENATE(GY$10,", "),""))</f>
        <v/>
      </c>
      <c r="GZ73" s="713" t="str">
        <f ca="1">IF(INDIRECT(CONCATENATE($FK$12,Fixtures!GZ$25))="","",IF(INDIRECT(CONCATENATE($FK$12,Fixtures!GZ$25))=Fixtures!$DN73,CONCATENATE(GZ$10,", "),""))</f>
        <v/>
      </c>
      <c r="HA73" s="713" t="str">
        <f ca="1">IF(INDIRECT(CONCATENATE($FK$12,Fixtures!HA$25))="","",IF(INDIRECT(CONCATENATE($FK$12,Fixtures!HA$25))=Fixtures!$DN73,CONCATENATE(HA$10,", "),""))</f>
        <v/>
      </c>
      <c r="HB73" s="713" t="str">
        <f ca="1">IF(INDIRECT(CONCATENATE($FK$12,Fixtures!HB$25))="","",IF(INDIRECT(CONCATENATE($FK$12,Fixtures!HB$25))=Fixtures!$DN73,CONCATENATE(HB$10,", "),""))</f>
        <v/>
      </c>
      <c r="HC73" s="713" t="str">
        <f ca="1">IF(INDIRECT(CONCATENATE($FK$12,Fixtures!HC$25))="","",IF(INDIRECT(CONCATENATE($FK$12,Fixtures!HC$25))=Fixtures!$DN73,CONCATENATE(HC$10,", "),""))</f>
        <v/>
      </c>
      <c r="HD73" s="713" t="str">
        <f ca="1">IF(INDIRECT(CONCATENATE($FK$12,Fixtures!HD$25))="","",IF(INDIRECT(CONCATENATE($FK$12,Fixtures!HD$25))=Fixtures!$DN73,CONCATENATE(HD$10,", "),""))</f>
        <v/>
      </c>
      <c r="HE73" s="713" t="str">
        <f ca="1">IF(INDIRECT(CONCATENATE($FK$12,Fixtures!HE$25))="","",IF(INDIRECT(CONCATENATE($FK$12,Fixtures!HE$25))=Fixtures!$DN73,CONCATENATE(HE$10,", "),""))</f>
        <v/>
      </c>
      <c r="HF73" s="713" t="str">
        <f ca="1">IF(INDIRECT(CONCATENATE($FK$12,Fixtures!HF$25))="","",IF(INDIRECT(CONCATENATE($FK$12,Fixtures!HF$25))=Fixtures!$DN73,CONCATENATE(HF$10,", "),""))</f>
        <v/>
      </c>
      <c r="HG73" s="713" t="str">
        <f ca="1">IF(INDIRECT(CONCATENATE($FK$12,Fixtures!HG$25))="","",IF(INDIRECT(CONCATENATE($FK$12,Fixtures!HG$25))=Fixtures!$DN73,CONCATENATE(HG$10,", "),""))</f>
        <v/>
      </c>
      <c r="HH73" s="713" t="str">
        <f ca="1">IF(INDIRECT(CONCATENATE($FK$12,Fixtures!HH$25))="","",IF(INDIRECT(CONCATENATE($FK$12,Fixtures!HH$25))=Fixtures!$DN73,CONCATENATE(HH$10,", "),""))</f>
        <v/>
      </c>
      <c r="HI73" s="713" t="str">
        <f ca="1">IF(INDIRECT(CONCATENATE($FK$12,Fixtures!HI$25))="","",IF(INDIRECT(CONCATENATE($FK$12,Fixtures!HI$25))=Fixtures!$DN73,CONCATENATE(HI$10,", "),""))</f>
        <v/>
      </c>
      <c r="HJ73" s="713" t="str">
        <f ca="1">IF(INDIRECT(CONCATENATE($FK$12,Fixtures!HJ$25))="","",IF(INDIRECT(CONCATENATE($FK$12,Fixtures!HJ$25))=Fixtures!$DN73,CONCATENATE(HJ$10,", "),""))</f>
        <v/>
      </c>
      <c r="HK73" s="713" t="str">
        <f ca="1">IF(INDIRECT(CONCATENATE($FK$12,Fixtures!HK$25))="","",IF(INDIRECT(CONCATENATE($FK$12,Fixtures!HK$25))=Fixtures!$DN73,CONCATENATE(HK$10,", "),""))</f>
        <v/>
      </c>
      <c r="HL73" s="713" t="str">
        <f ca="1">IF(INDIRECT(CONCATENATE($FK$12,Fixtures!HL$25))="","",IF(INDIRECT(CONCATENATE($FK$12,Fixtures!HL$25))=Fixtures!$DN73,CONCATENATE(HL$10,", "),""))</f>
        <v/>
      </c>
      <c r="HM73" s="684" t="str">
        <f ca="1">IF(INDIRECT(CONCATENATE($FK$12,Fixtures!HM$25))="","",IF(INDIRECT(CONCATENATE($FK$12,Fixtures!HM$25))=Fixtures!$DN73,CONCATENATE(HM$10,", "),""))</f>
        <v/>
      </c>
      <c r="HN73" s="685" t="str">
        <f ca="1">IF(INDIRECT(CONCATENATE($FK$12,Fixtures!HN$25))="","",IF(INDIRECT(CONCATENATE($FK$12,Fixtures!HN$25))=Fixtures!$DN73,CONCATENATE(HN$10,", "),""))</f>
        <v/>
      </c>
      <c r="HO73" s="713" t="str">
        <f ca="1">IF(INDIRECT(CONCATENATE($FK$12,Fixtures!HO$25))="","",IF(INDIRECT(CONCATENATE($FK$12,Fixtures!HO$25))=Fixtures!$DN73,CONCATENATE(HO$10,", "),""))</f>
        <v/>
      </c>
      <c r="HP73" s="713" t="str">
        <f ca="1">IF(INDIRECT(CONCATENATE($FK$12,Fixtures!HP$25))="","",IF(INDIRECT(CONCATENATE($FK$12,Fixtures!HP$25))=Fixtures!$DN73,CONCATENATE(HP$10,", "),""))</f>
        <v/>
      </c>
      <c r="HQ73" s="713" t="str">
        <f ca="1">IF(INDIRECT(CONCATENATE($FK$12,Fixtures!HQ$25))="","",IF(INDIRECT(CONCATENATE($FK$12,Fixtures!HQ$25))=Fixtures!$DN73,CONCATENATE(HQ$10,", "),""))</f>
        <v/>
      </c>
      <c r="HR73" s="713" t="str">
        <f ca="1">IF(INDIRECT(CONCATENATE($FK$12,Fixtures!HR$25))="","",IF(INDIRECT(CONCATENATE($FK$12,Fixtures!HR$25))=Fixtures!$DN73,CONCATENATE(HR$10,", "),""))</f>
        <v/>
      </c>
      <c r="HS73" s="713" t="str">
        <f ca="1">IF(INDIRECT(CONCATENATE($FK$12,Fixtures!HS$25))="","",IF(INDIRECT(CONCATENATE($FK$12,Fixtures!HS$25))=Fixtures!$DN73,CONCATENATE(HS$10,", "),""))</f>
        <v/>
      </c>
      <c r="HT73" s="713" t="str">
        <f ca="1">IF(INDIRECT(CONCATENATE($FK$12,Fixtures!HT$25))="","",IF(INDIRECT(CONCATENATE($FK$12,Fixtures!HT$25))=Fixtures!$DN73,CONCATENATE(HT$10,", "),""))</f>
        <v/>
      </c>
      <c r="HU73" s="713" t="str">
        <f ca="1">IF(INDIRECT(CONCATENATE($FK$12,Fixtures!HU$25))="","",IF(INDIRECT(CONCATENATE($FK$12,Fixtures!HU$25))=Fixtures!$DN73,CONCATENATE(HU$10,", "),""))</f>
        <v/>
      </c>
      <c r="HV73" s="713" t="str">
        <f ca="1">IF(INDIRECT(CONCATENATE($FK$12,Fixtures!HV$25))="","",IF(INDIRECT(CONCATENATE($FK$12,Fixtures!HV$25))=Fixtures!$DN73,CONCATENATE(HV$10,", "),""))</f>
        <v/>
      </c>
      <c r="HW73" s="713" t="str">
        <f ca="1">IF(INDIRECT(CONCATENATE($FK$12,Fixtures!HW$25))="","",IF(INDIRECT(CONCATENATE($FK$12,Fixtures!HW$25))=Fixtures!$DN73,CONCATENATE(HW$10,", "),""))</f>
        <v/>
      </c>
      <c r="HX73" s="713" t="str">
        <f ca="1">IF(INDIRECT(CONCATENATE($FK$12,Fixtures!HX$25))="","",IF(INDIRECT(CONCATENATE($FK$12,Fixtures!HX$25))=Fixtures!$DN73,CONCATENATE(HX$10,", "),""))</f>
        <v/>
      </c>
      <c r="HY73" s="713" t="str">
        <f ca="1">IF(INDIRECT(CONCATENATE($FK$12,Fixtures!HY$25))="","",IF(INDIRECT(CONCATENATE($FK$12,Fixtures!HY$25))=Fixtures!$DN73,CONCATENATE(HY$10,", "),""))</f>
        <v/>
      </c>
      <c r="HZ73" s="713" t="str">
        <f ca="1">IF(INDIRECT(CONCATENATE($FK$12,Fixtures!HZ$25))="","",IF(INDIRECT(CONCATENATE($FK$12,Fixtures!HZ$25))=Fixtures!$DN73,CONCATENATE(HZ$10,", "),""))</f>
        <v/>
      </c>
      <c r="IA73" s="713" t="str">
        <f ca="1">IF(INDIRECT(CONCATENATE($FK$12,Fixtures!IA$25))="","",IF(INDIRECT(CONCATENATE($FK$12,Fixtures!IA$25))=Fixtures!$DN73,CONCATENATE(IA$10,", "),""))</f>
        <v/>
      </c>
      <c r="IB73" s="684" t="str">
        <f ca="1">IF(INDIRECT(CONCATENATE($FK$12,Fixtures!IB$25))="","",IF(INDIRECT(CONCATENATE($FK$12,Fixtures!IB$25))=Fixtures!$DN73,CONCATENATE(IB$10,", "),""))</f>
        <v/>
      </c>
      <c r="IC73" s="685" t="str">
        <f ca="1">IF(INDIRECT(CONCATENATE($FK$12,Fixtures!IC$25))="","",IF(INDIRECT(CONCATENATE($FK$12,Fixtures!IC$25))=Fixtures!$DN73,CONCATENATE(IC$10,", "),""))</f>
        <v/>
      </c>
      <c r="ID73" s="713" t="str">
        <f ca="1">IF(INDIRECT(CONCATENATE($FK$12,Fixtures!ID$25))="","",IF(INDIRECT(CONCATENATE($FK$12,Fixtures!ID$25))=Fixtures!$DN73,CONCATENATE(ID$10,", "),""))</f>
        <v/>
      </c>
      <c r="IE73" s="713" t="str">
        <f ca="1">IF(INDIRECT(CONCATENATE($FK$12,Fixtures!IE$25))="","",IF(INDIRECT(CONCATENATE($FK$12,Fixtures!IE$25))=Fixtures!$DN73,CONCATENATE(IE$10,", "),""))</f>
        <v/>
      </c>
      <c r="IF73" s="713" t="str">
        <f ca="1">IF(INDIRECT(CONCATENATE($FK$12,Fixtures!IF$25))="","",IF(INDIRECT(CONCATENATE($FK$12,Fixtures!IF$25))=Fixtures!$DN73,CONCATENATE(IF$10,", "),""))</f>
        <v/>
      </c>
      <c r="IG73" s="713" t="str">
        <f ca="1">IF(INDIRECT(CONCATENATE($FK$12,Fixtures!IG$25))="","",IF(INDIRECT(CONCATENATE($FK$12,Fixtures!IG$25))=Fixtures!$DN73,CONCATENATE(IG$10,", "),""))</f>
        <v/>
      </c>
      <c r="IH73" s="713" t="str">
        <f ca="1">IF(INDIRECT(CONCATENATE($FK$12,Fixtures!IH$25))="","",IF(INDIRECT(CONCATENATE($FK$12,Fixtures!IH$25))=Fixtures!$DN73,CONCATENATE(IH$10,", "),""))</f>
        <v/>
      </c>
      <c r="II73" s="713" t="str">
        <f ca="1">IF(INDIRECT(CONCATENATE($FK$12,Fixtures!II$25))="","",IF(INDIRECT(CONCATENATE($FK$12,Fixtures!II$25))=Fixtures!$DN73,CONCATENATE(II$10,", "),""))</f>
        <v/>
      </c>
      <c r="IJ73" s="713" t="str">
        <f ca="1">IF(INDIRECT(CONCATENATE($FK$12,Fixtures!IJ$25))="","",IF(INDIRECT(CONCATENATE($FK$12,Fixtures!IJ$25))=Fixtures!$DN73,CONCATENATE(IJ$10,", "),""))</f>
        <v/>
      </c>
      <c r="IK73" s="713" t="str">
        <f ca="1">IF(INDIRECT(CONCATENATE($FK$12,Fixtures!IK$25))="","",IF(INDIRECT(CONCATENATE($FK$12,Fixtures!IK$25))=Fixtures!$DN73,CONCATENATE(IK$10,", "),""))</f>
        <v/>
      </c>
      <c r="IL73" s="713" t="str">
        <f ca="1">IF(INDIRECT(CONCATENATE($FK$12,Fixtures!IL$25))="","",IF(INDIRECT(CONCATENATE($FK$12,Fixtures!IL$25))=Fixtures!$DN73,CONCATENATE(IL$10,", "),""))</f>
        <v/>
      </c>
      <c r="IM73" s="713" t="str">
        <f ca="1">IF(INDIRECT(CONCATENATE($FK$12,Fixtures!IM$25))="","",IF(INDIRECT(CONCATENATE($FK$12,Fixtures!IM$25))=Fixtures!$DN73,CONCATENATE(IM$10,", "),""))</f>
        <v/>
      </c>
      <c r="IN73" s="713" t="str">
        <f ca="1">IF(INDIRECT(CONCATENATE($FK$12,Fixtures!IN$25))="","",IF(INDIRECT(CONCATENATE($FK$12,Fixtures!IN$25))=Fixtures!$DN73,CONCATENATE(IN$10,", "),""))</f>
        <v/>
      </c>
      <c r="IO73" s="713" t="str">
        <f ca="1">IF(INDIRECT(CONCATENATE($FK$12,Fixtures!IO$25))="","",IF(INDIRECT(CONCATENATE($FK$12,Fixtures!IO$25))=Fixtures!$DN73,CONCATENATE(IO$10,", "),""))</f>
        <v/>
      </c>
      <c r="IP73" s="713" t="str">
        <f ca="1">IF(INDIRECT(CONCATENATE($FK$12,Fixtures!IP$25))="","",IF(INDIRECT(CONCATENATE($FK$12,Fixtures!IP$25))=Fixtures!$DN73,CONCATENATE(IP$10,", "),""))</f>
        <v/>
      </c>
      <c r="IQ73" s="684" t="str">
        <f ca="1">IF(INDIRECT(CONCATENATE($FK$12,Fixtures!IQ$25))="","",IF(INDIRECT(CONCATENATE($FK$12,Fixtures!IQ$25))=Fixtures!$DN73,CONCATENATE(IQ$10,", "),""))</f>
        <v/>
      </c>
      <c r="IR73" s="685" t="str">
        <f ca="1">IF(INDIRECT(CONCATENATE($FK$12,Fixtures!IR$25))="","",IF(INDIRECT(CONCATENATE($FK$12,Fixtures!IR$25))=Fixtures!$DN73,CONCATENATE(IR$10,", "),""))</f>
        <v/>
      </c>
      <c r="IS73" s="713" t="str">
        <f ca="1">IF(INDIRECT(CONCATENATE($FK$12,Fixtures!IS$25))="","",IF(INDIRECT(CONCATENATE($FK$12,Fixtures!IS$25))=Fixtures!$DN73,CONCATENATE(IS$10,", "),""))</f>
        <v/>
      </c>
      <c r="IT73" s="713" t="str">
        <f ca="1">IF(INDIRECT(CONCATENATE($FK$12,Fixtures!IT$25))="","",IF(INDIRECT(CONCATENATE($FK$12,Fixtures!IT$25))=Fixtures!$DN73,CONCATENATE(IT$10,", "),""))</f>
        <v/>
      </c>
      <c r="IU73" s="713" t="str">
        <f ca="1">IF(INDIRECT(CONCATENATE($FK$12,Fixtures!IU$25))="","",IF(INDIRECT(CONCATENATE($FK$12,Fixtures!IU$25))=Fixtures!$DN73,CONCATENATE(IU$10,", "),""))</f>
        <v/>
      </c>
      <c r="IV73" s="713" t="str">
        <f ca="1">IF(INDIRECT(CONCATENATE($FK$12,Fixtures!IV$25))="","",IF(INDIRECT(CONCATENATE($FK$12,Fixtures!IV$25))=Fixtures!$DN73,CONCATENATE(IV$10,", "),""))</f>
        <v/>
      </c>
      <c r="IW73" s="713" t="str">
        <f ca="1">IF(INDIRECT(CONCATENATE($FK$12,Fixtures!IW$25))="","",IF(INDIRECT(CONCATENATE($FK$12,Fixtures!IW$25))=Fixtures!$DN73,CONCATENATE(IW$10,", "),""))</f>
        <v/>
      </c>
      <c r="IX73" s="713" t="str">
        <f ca="1">IF(INDIRECT(CONCATENATE($FK$12,Fixtures!IX$25))="","",IF(INDIRECT(CONCATENATE($FK$12,Fixtures!IX$25))=Fixtures!$DN73,CONCATENATE(IX$10,", "),""))</f>
        <v/>
      </c>
      <c r="IY73" s="713" t="str">
        <f ca="1">IF(INDIRECT(CONCATENATE($FK$12,Fixtures!IY$25))="","",IF(INDIRECT(CONCATENATE($FK$12,Fixtures!IY$25))=Fixtures!$DN73,CONCATENATE(IY$10,", "),""))</f>
        <v/>
      </c>
      <c r="IZ73" s="713" t="str">
        <f ca="1">IF(INDIRECT(CONCATENATE($FK$12,Fixtures!IZ$25))="","",IF(INDIRECT(CONCATENATE($FK$12,Fixtures!IZ$25))=Fixtures!$DN73,CONCATENATE(IZ$10,", "),""))</f>
        <v/>
      </c>
      <c r="JA73" s="713" t="str">
        <f ca="1">IF(INDIRECT(CONCATENATE($FK$12,Fixtures!JA$25))="","",IF(INDIRECT(CONCATENATE($FK$12,Fixtures!JA$25))=Fixtures!$DN73,CONCATENATE(JA$10,", "),""))</f>
        <v/>
      </c>
      <c r="JB73" s="713" t="str">
        <f ca="1">IF(INDIRECT(CONCATENATE($FK$12,Fixtures!JB$25))="","",IF(INDIRECT(CONCATENATE($FK$12,Fixtures!JB$25))=Fixtures!$DN73,CONCATENATE(JB$10,", "),""))</f>
        <v/>
      </c>
      <c r="JC73" s="713" t="str">
        <f ca="1">IF(INDIRECT(CONCATENATE($FK$12,Fixtures!JC$25))="","",IF(INDIRECT(CONCATENATE($FK$12,Fixtures!JC$25))=Fixtures!$DN73,CONCATENATE(JC$10,", "),""))</f>
        <v/>
      </c>
      <c r="JD73" s="713" t="str">
        <f ca="1">IF(INDIRECT(CONCATENATE($FK$12,Fixtures!JD$25))="","",IF(INDIRECT(CONCATENATE($FK$12,Fixtures!JD$25))=Fixtures!$DN73,CONCATENATE(JD$10,", "),""))</f>
        <v/>
      </c>
      <c r="JE73" s="713" t="str">
        <f ca="1">IF(INDIRECT(CONCATENATE($FK$12,Fixtures!JE$25))="","",IF(INDIRECT(CONCATENATE($FK$12,Fixtures!JE$25))=Fixtures!$DN73,CONCATENATE(JE$10,", "),""))</f>
        <v/>
      </c>
      <c r="JF73" s="684" t="str">
        <f ca="1">IF(INDIRECT(CONCATENATE($FK$12,Fixtures!JF$25))="","",IF(INDIRECT(CONCATENATE($FK$12,Fixtures!JF$25))=Fixtures!$DN73,CONCATENATE(JF$10,", "),""))</f>
        <v/>
      </c>
      <c r="JG73" s="685" t="str">
        <f ca="1">IF(INDIRECT(CONCATENATE($FK$12,Fixtures!JG$25))="","",IF(INDIRECT(CONCATENATE($FK$12,Fixtures!JG$25))=Fixtures!$DN73,CONCATENATE(JG$10,", "),""))</f>
        <v/>
      </c>
      <c r="JH73" s="713" t="str">
        <f ca="1">IF(INDIRECT(CONCATENATE($FK$12,Fixtures!JH$25))="","",IF(INDIRECT(CONCATENATE($FK$12,Fixtures!JH$25))=Fixtures!$DN73,CONCATENATE(JH$10,", "),""))</f>
        <v/>
      </c>
      <c r="JI73" s="713" t="str">
        <f ca="1">IF(INDIRECT(CONCATENATE($FK$12,Fixtures!JI$25))="","",IF(INDIRECT(CONCATENATE($FK$12,Fixtures!JI$25))=Fixtures!$DN73,CONCATENATE(JI$10,", "),""))</f>
        <v/>
      </c>
      <c r="JJ73" s="713" t="str">
        <f ca="1">IF(INDIRECT(CONCATENATE($FK$12,Fixtures!JJ$25))="","",IF(INDIRECT(CONCATENATE($FK$12,Fixtures!JJ$25))=Fixtures!$DN73,CONCATENATE(JJ$10,", "),""))</f>
        <v/>
      </c>
      <c r="JK73" s="713" t="str">
        <f ca="1">IF(INDIRECT(CONCATENATE($FK$12,Fixtures!JK$25))="","",IF(INDIRECT(CONCATENATE($FK$12,Fixtures!JK$25))=Fixtures!$DN73,CONCATENATE(JK$10,", "),""))</f>
        <v/>
      </c>
      <c r="JL73" s="713" t="str">
        <f ca="1">IF(INDIRECT(CONCATENATE($FK$12,Fixtures!JL$25))="","",IF(INDIRECT(CONCATENATE($FK$12,Fixtures!JL$25))=Fixtures!$DN73,CONCATENATE(JL$10,", "),""))</f>
        <v/>
      </c>
      <c r="JM73" s="713" t="str">
        <f ca="1">IF(INDIRECT(CONCATENATE($FK$12,Fixtures!JM$25))="","",IF(INDIRECT(CONCATENATE($FK$12,Fixtures!JM$25))=Fixtures!$DN73,CONCATENATE(JM$10,", "),""))</f>
        <v/>
      </c>
      <c r="JN73" s="713" t="str">
        <f ca="1">IF(INDIRECT(CONCATENATE($FK$12,Fixtures!JN$25))="","",IF(INDIRECT(CONCATENATE($FK$12,Fixtures!JN$25))=Fixtures!$DN73,CONCATENATE(JN$10,", "),""))</f>
        <v/>
      </c>
      <c r="JO73" s="713" t="str">
        <f ca="1">IF(INDIRECT(CONCATENATE($FK$12,Fixtures!JO$25))="","",IF(INDIRECT(CONCATENATE($FK$12,Fixtures!JO$25))=Fixtures!$DN73,CONCATENATE(JO$10,", "),""))</f>
        <v/>
      </c>
      <c r="JP73" s="713" t="str">
        <f ca="1">IF(INDIRECT(CONCATENATE($FK$12,Fixtures!JP$25))="","",IF(INDIRECT(CONCATENATE($FK$12,Fixtures!JP$25))=Fixtures!$DN73,CONCATENATE(JP$10,", "),""))</f>
        <v/>
      </c>
      <c r="JQ73" s="713" t="str">
        <f ca="1">IF(INDIRECT(CONCATENATE($FK$12,Fixtures!JQ$25))="","",IF(INDIRECT(CONCATENATE($FK$12,Fixtures!JQ$25))=Fixtures!$DN73,CONCATENATE(JQ$10,", "),""))</f>
        <v/>
      </c>
      <c r="JR73" s="713" t="str">
        <f ca="1">IF(INDIRECT(CONCATENATE($FK$12,Fixtures!JR$25))="","",IF(INDIRECT(CONCATENATE($FK$12,Fixtures!JR$25))=Fixtures!$DN73,CONCATENATE(JR$10,", "),""))</f>
        <v/>
      </c>
      <c r="JS73" s="713" t="str">
        <f ca="1">IF(INDIRECT(CONCATENATE($FK$12,Fixtures!JS$25))="","",IF(INDIRECT(CONCATENATE($FK$12,Fixtures!JS$25))=Fixtures!$DN73,CONCATENATE(JS$10,", "),""))</f>
        <v/>
      </c>
      <c r="JT73" s="713" t="str">
        <f ca="1">IF(INDIRECT(CONCATENATE($FK$12,Fixtures!JT$25))="","",IF(INDIRECT(CONCATENATE($FK$12,Fixtures!JT$25))=Fixtures!$DN73,CONCATENATE(JT$10,", "),""))</f>
        <v/>
      </c>
      <c r="JU73" s="684" t="str">
        <f ca="1">IF(INDIRECT(CONCATENATE($FK$12,Fixtures!JU$25))="","",IF(INDIRECT(CONCATENATE($FK$12,Fixtures!JU$25))=Fixtures!$DN73,CONCATENATE(JU$10,", "),""))</f>
        <v/>
      </c>
      <c r="JV73" s="685" t="str">
        <f ca="1">IF(INDIRECT(CONCATENATE($FK$12,Fixtures!JV$25))="","",IF(INDIRECT(CONCATENATE($FK$12,Fixtures!JV$25))=Fixtures!$DN73,CONCATENATE(JV$10,", "),""))</f>
        <v/>
      </c>
      <c r="JW73" s="713" t="str">
        <f ca="1">IF(INDIRECT(CONCATENATE($FK$12,Fixtures!JW$25))="","",IF(INDIRECT(CONCATENATE($FK$12,Fixtures!JW$25))=Fixtures!$DN73,CONCATENATE(JW$10,", "),""))</f>
        <v/>
      </c>
      <c r="JX73" s="713" t="str">
        <f ca="1">IF(INDIRECT(CONCATENATE($FK$12,Fixtures!JX$25))="","",IF(INDIRECT(CONCATENATE($FK$12,Fixtures!JX$25))=Fixtures!$DN73,CONCATENATE(JX$10,", "),""))</f>
        <v/>
      </c>
      <c r="JY73" s="713" t="str">
        <f ca="1">IF(INDIRECT(CONCATENATE($FK$12,Fixtures!JY$25))="","",IF(INDIRECT(CONCATENATE($FK$12,Fixtures!JY$25))=Fixtures!$DN73,CONCATENATE(JY$10,", "),""))</f>
        <v/>
      </c>
      <c r="JZ73" s="713" t="str">
        <f ca="1">IF(INDIRECT(CONCATENATE($FK$12,Fixtures!JZ$25))="","",IF(INDIRECT(CONCATENATE($FK$12,Fixtures!JZ$25))=Fixtures!$DN73,CONCATENATE(JZ$10,", "),""))</f>
        <v/>
      </c>
      <c r="KA73" s="713" t="str">
        <f ca="1">IF(INDIRECT(CONCATENATE($FK$12,Fixtures!KA$25))="","",IF(INDIRECT(CONCATENATE($FK$12,Fixtures!KA$25))=Fixtures!$DN73,CONCATENATE(KA$10,", "),""))</f>
        <v/>
      </c>
      <c r="KB73" s="713" t="str">
        <f ca="1">IF(INDIRECT(CONCATENATE($FK$12,Fixtures!KB$25))="","",IF(INDIRECT(CONCATENATE($FK$12,Fixtures!KB$25))=Fixtures!$DN73,CONCATENATE(KB$10,", "),""))</f>
        <v/>
      </c>
      <c r="KC73" s="713" t="str">
        <f ca="1">IF(INDIRECT(CONCATENATE($FK$12,Fixtures!KC$25))="","",IF(INDIRECT(CONCATENATE($FK$12,Fixtures!KC$25))=Fixtures!$DN73,CONCATENATE(KC$10,", "),""))</f>
        <v/>
      </c>
      <c r="KD73" s="713" t="str">
        <f ca="1">IF(INDIRECT(CONCATENATE($FK$12,Fixtures!KD$25))="","",IF(INDIRECT(CONCATENATE($FK$12,Fixtures!KD$25))=Fixtures!$DN73,CONCATENATE(KD$10,", "),""))</f>
        <v/>
      </c>
      <c r="KE73" s="713" t="str">
        <f ca="1">IF(INDIRECT(CONCATENATE($FK$12,Fixtures!KE$25))="","",IF(INDIRECT(CONCATENATE($FK$12,Fixtures!KE$25))=Fixtures!$DN73,CONCATENATE(KE$10,", "),""))</f>
        <v/>
      </c>
      <c r="KF73" s="713" t="str">
        <f ca="1">IF(INDIRECT(CONCATENATE($FK$12,Fixtures!KF$25))="","",IF(INDIRECT(CONCATENATE($FK$12,Fixtures!KF$25))=Fixtures!$DN73,CONCATENATE(KF$10,", "),""))</f>
        <v/>
      </c>
      <c r="KG73" s="713" t="str">
        <f ca="1">IF(INDIRECT(CONCATENATE($FK$12,Fixtures!KG$25))="","",IF(INDIRECT(CONCATENATE($FK$12,Fixtures!KG$25))=Fixtures!$DN73,CONCATENATE(KG$10,", "),""))</f>
        <v/>
      </c>
      <c r="KH73" s="713" t="str">
        <f ca="1">IF(INDIRECT(CONCATENATE($FK$12,Fixtures!KH$25))="","",IF(INDIRECT(CONCATENATE($FK$12,Fixtures!KH$25))=Fixtures!$DN73,CONCATENATE(KH$10,", "),""))</f>
        <v/>
      </c>
      <c r="KI73" s="713" t="str">
        <f ca="1">IF(INDIRECT(CONCATENATE($FK$12,Fixtures!KI$25))="","",IF(INDIRECT(CONCATENATE($FK$12,Fixtures!KI$25))=Fixtures!$DN73,CONCATENATE(KI$10,", "),""))</f>
        <v/>
      </c>
      <c r="KJ73" s="684" t="str">
        <f ca="1">IF(INDIRECT(CONCATENATE($FK$12,Fixtures!KJ$25))="","",IF(INDIRECT(CONCATENATE($FK$12,Fixtures!KJ$25))=Fixtures!$DN73,CONCATENATE(KJ$10,", "),""))</f>
        <v/>
      </c>
      <c r="KK73" s="685" t="str">
        <f ca="1">IF(INDIRECT(CONCATENATE($FK$12,Fixtures!KK$25))="","",IF(INDIRECT(CONCATENATE($FK$12,Fixtures!KK$25))=Fixtures!$DN73,CONCATENATE(KK$10,", "),""))</f>
        <v/>
      </c>
      <c r="KL73" s="713" t="str">
        <f ca="1">IF(INDIRECT(CONCATENATE($FK$12,Fixtures!KL$25))="","",IF(INDIRECT(CONCATENATE($FK$12,Fixtures!KL$25))=Fixtures!$DN73,CONCATENATE(KL$10,", "),""))</f>
        <v/>
      </c>
      <c r="KM73" s="713" t="str">
        <f ca="1">IF(INDIRECT(CONCATENATE($FK$12,Fixtures!KM$25))="","",IF(INDIRECT(CONCATENATE($FK$12,Fixtures!KM$25))=Fixtures!$DN73,CONCATENATE(KM$10,", "),""))</f>
        <v/>
      </c>
      <c r="KN73" s="713" t="str">
        <f ca="1">IF(INDIRECT(CONCATENATE($FK$12,Fixtures!KN$25))="","",IF(INDIRECT(CONCATENATE($FK$12,Fixtures!KN$25))=Fixtures!$DN73,CONCATENATE(KN$10,", "),""))</f>
        <v/>
      </c>
      <c r="KO73" s="713" t="str">
        <f ca="1">IF(INDIRECT(CONCATENATE($FK$12,Fixtures!KO$25))="","",IF(INDIRECT(CONCATENATE($FK$12,Fixtures!KO$25))=Fixtures!$DN73,CONCATENATE(KO$10,", "),""))</f>
        <v/>
      </c>
      <c r="KP73" s="713" t="str">
        <f ca="1">IF(INDIRECT(CONCATENATE($FK$12,Fixtures!KP$25))="","",IF(INDIRECT(CONCATENATE($FK$12,Fixtures!KP$25))=Fixtures!$DN73,CONCATENATE(KP$10,", "),""))</f>
        <v/>
      </c>
      <c r="KQ73" s="713" t="str">
        <f ca="1">IF(INDIRECT(CONCATENATE($FK$12,Fixtures!KQ$25))="","",IF(INDIRECT(CONCATENATE($FK$12,Fixtures!KQ$25))=Fixtures!$DN73,CONCATENATE(KQ$10,", "),""))</f>
        <v/>
      </c>
      <c r="KR73" s="713" t="str">
        <f ca="1">IF(INDIRECT(CONCATENATE($FK$12,Fixtures!KR$25))="","",IF(INDIRECT(CONCATENATE($FK$12,Fixtures!KR$25))=Fixtures!$DN73,CONCATENATE(KR$10,", "),""))</f>
        <v/>
      </c>
      <c r="KS73" s="713" t="str">
        <f ca="1">IF(INDIRECT(CONCATENATE($FK$12,Fixtures!KS$25))="","",IF(INDIRECT(CONCATENATE($FK$12,Fixtures!KS$25))=Fixtures!$DN73,CONCATENATE(KS$10,", "),""))</f>
        <v/>
      </c>
      <c r="KT73" s="713" t="str">
        <f ca="1">IF(INDIRECT(CONCATENATE($FK$12,Fixtures!KT$25))="","",IF(INDIRECT(CONCATENATE($FK$12,Fixtures!KT$25))=Fixtures!$DN73,CONCATENATE(KT$10,", "),""))</f>
        <v/>
      </c>
      <c r="KU73" s="713" t="str">
        <f ca="1">IF(INDIRECT(CONCATENATE($FK$12,Fixtures!KU$25))="","",IF(INDIRECT(CONCATENATE($FK$12,Fixtures!KU$25))=Fixtures!$DN73,CONCATENATE(KU$10,", "),""))</f>
        <v/>
      </c>
      <c r="KV73" s="713" t="str">
        <f ca="1">IF(INDIRECT(CONCATENATE($FK$12,Fixtures!KV$25))="","",IF(INDIRECT(CONCATENATE($FK$12,Fixtures!KV$25))=Fixtures!$DN73,CONCATENATE(KV$10,", "),""))</f>
        <v/>
      </c>
      <c r="KW73" s="713" t="str">
        <f ca="1">IF(INDIRECT(CONCATENATE($FK$12,Fixtures!KW$25))="","",IF(INDIRECT(CONCATENATE($FK$12,Fixtures!KW$25))=Fixtures!$DN73,CONCATENATE(KW$10,", "),""))</f>
        <v/>
      </c>
      <c r="KX73" s="713" t="str">
        <f ca="1">IF(INDIRECT(CONCATENATE($FK$12,Fixtures!KX$25))="","",IF(INDIRECT(CONCATENATE($FK$12,Fixtures!KX$25))=Fixtures!$DN73,CONCATENATE(KX$10,", "),""))</f>
        <v/>
      </c>
      <c r="KY73" s="713" t="str">
        <f ca="1">IF(INDIRECT(CONCATENATE($FK$12,Fixtures!KY$25))="","",IF(INDIRECT(CONCATENATE($FK$12,Fixtures!KY$25))=Fixtures!$DN73,CONCATENATE(KY$10,", "),""))</f>
        <v/>
      </c>
      <c r="KZ73" s="602"/>
      <c r="LA73" s="46" t="str">
        <f t="shared" ca="1" si="38"/>
        <v/>
      </c>
    </row>
    <row r="74" spans="1:313" ht="28.05" customHeight="1" thickTop="1" thickBot="1">
      <c r="A74" s="471" t="str">
        <f t="shared" si="13"/>
        <v/>
      </c>
      <c r="C74" s="1328" t="str">
        <f t="shared" si="14"/>
        <v/>
      </c>
      <c r="D74" s="1329"/>
      <c r="E74" s="1256" t="str">
        <f t="shared" si="15"/>
        <v/>
      </c>
      <c r="F74" s="1257"/>
      <c r="G74" s="1257"/>
      <c r="H74" s="1257"/>
      <c r="I74" s="1257"/>
      <c r="J74" s="1257"/>
      <c r="K74" s="1257"/>
      <c r="L74" s="1257"/>
      <c r="M74" s="1330"/>
      <c r="N74" s="239" t="str">
        <f t="shared" si="16"/>
        <v/>
      </c>
      <c r="O74" s="12"/>
      <c r="P74" s="1326" t="str">
        <f t="shared" si="25"/>
        <v/>
      </c>
      <c r="Q74" s="1327"/>
      <c r="R74" s="1256" t="str">
        <f t="shared" si="31"/>
        <v/>
      </c>
      <c r="S74" s="1257"/>
      <c r="T74" s="1257"/>
      <c r="U74" s="1257"/>
      <c r="V74" s="1257"/>
      <c r="W74" s="1257"/>
      <c r="X74" s="1257"/>
      <c r="Y74" s="239" t="str">
        <f t="shared" si="27"/>
        <v/>
      </c>
      <c r="Z74" s="239" t="str">
        <f t="shared" si="28"/>
        <v/>
      </c>
      <c r="AA74" s="439" t="str">
        <f t="shared" si="29"/>
        <v/>
      </c>
      <c r="AB74" s="542"/>
      <c r="AC74" s="1253" t="str">
        <f t="shared" si="17"/>
        <v/>
      </c>
      <c r="AD74" s="1166"/>
      <c r="AE74" s="1166"/>
      <c r="AF74" s="1166"/>
      <c r="AG74" s="1166"/>
      <c r="AH74" s="1166"/>
      <c r="AK74">
        <f>SUMIFS(Installations!CS$39:CS$800,Installations!CT$39:CT$800,E74,Installations!HX$39:HX$800,TRUE)</f>
        <v>0</v>
      </c>
      <c r="AL74">
        <f>SUMIFS(Installations!CS$39:CS$800,Installations!CT$39:CT$800,R74,Installations!HX$39:HX$800,TRUE)</f>
        <v>0</v>
      </c>
      <c r="BL74" s="9"/>
      <c r="BM74" s="703" t="str">
        <f t="shared" si="18"/>
        <v/>
      </c>
      <c r="BN74" s="52"/>
      <c r="BO74" s="52"/>
      <c r="BP74" s="52"/>
      <c r="BQ74" s="52"/>
      <c r="BR74" s="52"/>
      <c r="BS74" s="52"/>
      <c r="BT74" s="52"/>
      <c r="BU74" s="414"/>
      <c r="BV74" s="255" t="str">
        <f>IF(CN74&lt;&gt;"Yes","",IFERROR(VLOOKUP(CU74,Existing!A$4:F$364,2,FALSE),""))</f>
        <v/>
      </c>
      <c r="BW74" s="9">
        <v>48</v>
      </c>
      <c r="BX74" s="1313"/>
      <c r="BY74" s="1314"/>
      <c r="BZ74" s="1314"/>
      <c r="CA74" s="1315"/>
      <c r="CB74" s="1310"/>
      <c r="CC74" s="1311"/>
      <c r="CD74" s="1311"/>
      <c r="CE74" s="1312"/>
      <c r="CF74" s="1309"/>
      <c r="CG74" s="1309"/>
      <c r="CH74" s="1309"/>
      <c r="CI74" s="1309"/>
      <c r="CJ74" s="1309"/>
      <c r="CK74" s="1309"/>
      <c r="CL74" s="1309"/>
      <c r="CM74" s="1309"/>
      <c r="CN74" s="1243" t="str">
        <f t="shared" si="32"/>
        <v/>
      </c>
      <c r="CO74" s="1244"/>
      <c r="CP74" s="265" t="str">
        <f>IFERROR(IF(CB74="Existing TLED",CR74*CW74*CY74,VLOOKUP(CU74,Existing!A$3:F$353,6,FALSE)),"")</f>
        <v/>
      </c>
      <c r="CQ74" s="9"/>
      <c r="CR74" s="1343"/>
      <c r="CS74" s="1344"/>
      <c r="CT74" s="9"/>
      <c r="CU74" s="470" t="str">
        <f t="shared" si="21"/>
        <v/>
      </c>
      <c r="CV74" s="471" t="b">
        <f t="shared" si="22"/>
        <v>0</v>
      </c>
      <c r="CW74" s="471" t="str">
        <f t="shared" si="23"/>
        <v/>
      </c>
      <c r="CX74" s="471">
        <f>IFERROR(VLOOKUP(CF74,Lookup!M$100:O$102,3,FALSE),0)</f>
        <v>0</v>
      </c>
      <c r="CY74" s="471">
        <f t="shared" si="9"/>
        <v>1.1100000000000001</v>
      </c>
      <c r="CZ74" s="707" t="b">
        <f t="shared" si="33"/>
        <v>0</v>
      </c>
      <c r="DA74" s="707" t="b">
        <f>IF(CF74&lt;&gt;"",IF(ISERROR(MATCH(CONCATENATE(CB74," - ",CF74),Existing!G$4:G$328,0))=TRUE,FALSE,TRUE),TRUE)</f>
        <v>1</v>
      </c>
      <c r="DB74" s="707" t="b">
        <f t="shared" si="34"/>
        <v>1</v>
      </c>
      <c r="DL74" s="9"/>
      <c r="DM74" s="708" t="s">
        <v>166</v>
      </c>
      <c r="DN74" s="416" t="str">
        <f t="shared" si="35"/>
        <v/>
      </c>
      <c r="DO74" s="52"/>
      <c r="DP74" s="52"/>
      <c r="DQ74" s="52"/>
      <c r="DR74" s="52"/>
      <c r="DS74" s="52"/>
      <c r="DT74" s="262"/>
      <c r="DU74" s="417"/>
      <c r="DV74" s="263" t="str">
        <f t="shared" si="36"/>
        <v/>
      </c>
      <c r="DW74" s="260">
        <v>48</v>
      </c>
      <c r="DX74" s="1306"/>
      <c r="DY74" s="1307"/>
      <c r="DZ74" s="1307"/>
      <c r="EA74" s="1308"/>
      <c r="EB74" s="1306"/>
      <c r="EC74" s="1307"/>
      <c r="ED74" s="1307"/>
      <c r="EE74" s="1308"/>
      <c r="EF74" s="1266"/>
      <c r="EG74" s="1267"/>
      <c r="EH74" s="1306"/>
      <c r="EI74" s="1307"/>
      <c r="EJ74" s="1307"/>
      <c r="EK74" s="1308"/>
      <c r="EL74" s="1263"/>
      <c r="EM74" s="1264"/>
      <c r="EN74" s="1264"/>
      <c r="EO74" s="1265"/>
      <c r="EP74" s="1266"/>
      <c r="EQ74" s="1267"/>
      <c r="ER74" s="1245"/>
      <c r="ES74" s="1246"/>
      <c r="ET74" s="1243" t="str">
        <f t="shared" si="5"/>
        <v/>
      </c>
      <c r="EU74" s="1244"/>
      <c r="EV74" s="1243" t="str">
        <f t="shared" si="30"/>
        <v/>
      </c>
      <c r="EW74" s="1244"/>
      <c r="EX74" s="438"/>
      <c r="EY74" s="261" t="str">
        <f t="shared" si="37"/>
        <v/>
      </c>
      <c r="EZ74" s="261" t="str">
        <f>IFERROR(VLOOKUP(EB74,Lookup!AM$3:AN$13,2,FALSE),"")</f>
        <v/>
      </c>
      <c r="FA74" s="471" t="b">
        <f>IFERROR(IF(VLOOKUP(EB74,Lookup!AM$6:AN$8,2,FALSE)&gt;3,TRUE,FALSE),FALSE)</f>
        <v>0</v>
      </c>
      <c r="FB74" s="471">
        <f t="shared" si="11"/>
        <v>1</v>
      </c>
      <c r="FC74" t="str">
        <f t="shared" ca="1" si="10"/>
        <v/>
      </c>
      <c r="FG74" t="str">
        <f t="shared" ca="1" si="12"/>
        <v/>
      </c>
      <c r="FI74" s="240" t="str">
        <f t="shared" ca="1" si="24"/>
        <v/>
      </c>
      <c r="FK74" s="712" t="str">
        <f ca="1">IF(INDIRECT(CONCATENATE($FK$12,Fixtures!FK$25))="","",IF(INDIRECT(CONCATENATE($FK$12,Fixtures!FK$25))=Fixtures!$DN74,CONCATENATE(FK$10,", "),""))</f>
        <v/>
      </c>
      <c r="FL74" s="712" t="str">
        <f ca="1">IF(INDIRECT(CONCATENATE($FK$12,Fixtures!FL$25))="","",IF(INDIRECT(CONCATENATE($FK$12,Fixtures!FL$25))=Fixtures!$DN74,CONCATENATE(FL$10,", "),""))</f>
        <v/>
      </c>
      <c r="FM74" s="712" t="str">
        <f ca="1">IF(INDIRECT(CONCATENATE($FK$12,Fixtures!FM$25))="","",IF(INDIRECT(CONCATENATE($FK$12,Fixtures!FM$25))=Fixtures!$DN74,CONCATENATE(FM$10,", "),""))</f>
        <v/>
      </c>
      <c r="FN74" s="712" t="str">
        <f ca="1">IF(INDIRECT(CONCATENATE($FK$12,Fixtures!FN$25))="","",IF(INDIRECT(CONCATENATE($FK$12,Fixtures!FN$25))=Fixtures!$DN74,CONCATENATE(FN$10,", "),""))</f>
        <v/>
      </c>
      <c r="FO74" s="712" t="str">
        <f ca="1">IF(INDIRECT(CONCATENATE($FK$12,Fixtures!FO$25))="","",IF(INDIRECT(CONCATENATE($FK$12,Fixtures!FO$25))=Fixtures!$DN74,CONCATENATE(FO$10,", "),""))</f>
        <v/>
      </c>
      <c r="FP74" s="712" t="str">
        <f ca="1">IF(INDIRECT(CONCATENATE($FK$12,Fixtures!FP$25))="","",IF(INDIRECT(CONCATENATE($FK$12,Fixtures!FP$25))=Fixtures!$DN74,CONCATENATE(FP$10,", "),""))</f>
        <v/>
      </c>
      <c r="FQ74" s="712" t="str">
        <f ca="1">IF(INDIRECT(CONCATENATE($FK$12,Fixtures!FQ$25))="","",IF(INDIRECT(CONCATENATE($FK$12,Fixtures!FQ$25))=Fixtures!$DN74,CONCATENATE(FQ$10,", "),""))</f>
        <v/>
      </c>
      <c r="FR74" s="712" t="str">
        <f ca="1">IF(INDIRECT(CONCATENATE($FK$12,Fixtures!FR$25))="","",IF(INDIRECT(CONCATENATE($FK$12,Fixtures!FR$25))=Fixtures!$DN74,CONCATENATE(FR$10,", "),""))</f>
        <v/>
      </c>
      <c r="FS74" s="712" t="str">
        <f ca="1">IF(INDIRECT(CONCATENATE($FK$12,Fixtures!FS$25))="","",IF(INDIRECT(CONCATENATE($FK$12,Fixtures!FS$25))=Fixtures!$DN74,CONCATENATE(FS$10,", "),""))</f>
        <v/>
      </c>
      <c r="FT74" s="682" t="str">
        <f ca="1">IF(INDIRECT(CONCATENATE($FK$12,Fixtures!FT$25))="","",IF(INDIRECT(CONCATENATE($FK$12,Fixtures!FT$25))=Fixtures!$DN74,CONCATENATE(FT$10,", "),""))</f>
        <v/>
      </c>
      <c r="FU74" s="683" t="str">
        <f ca="1">IF(INDIRECT(CONCATENATE($FK$12,Fixtures!FU$25))="","",IF(INDIRECT(CONCATENATE($FK$12,Fixtures!FU$25))=Fixtures!$DN74,CONCATENATE(FU$10,", "),""))</f>
        <v/>
      </c>
      <c r="FV74" s="712" t="str">
        <f ca="1">IF(INDIRECT(CONCATENATE($FK$12,Fixtures!FV$25))="","",IF(INDIRECT(CONCATENATE($FK$12,Fixtures!FV$25))=Fixtures!$DN74,CONCATENATE(FV$10,", "),""))</f>
        <v/>
      </c>
      <c r="FW74" s="713" t="str">
        <f ca="1">IF(INDIRECT(CONCATENATE($FK$12,Fixtures!FW$25))="","",IF(INDIRECT(CONCATENATE($FK$12,Fixtures!FW$25))=Fixtures!$DN74,CONCATENATE(FW$10,", "),""))</f>
        <v/>
      </c>
      <c r="FX74" s="713" t="str">
        <f ca="1">IF(INDIRECT(CONCATENATE($FK$12,Fixtures!FX$25))="","",IF(INDIRECT(CONCATENATE($FK$12,Fixtures!FX$25))=Fixtures!$DN74,CONCATENATE(FX$10,", "),""))</f>
        <v/>
      </c>
      <c r="FY74" s="713" t="str">
        <f ca="1">IF(INDIRECT(CONCATENATE($FK$12,Fixtures!FY$25))="","",IF(INDIRECT(CONCATENATE($FK$12,Fixtures!FY$25))=Fixtures!$DN74,CONCATENATE(FY$10,", "),""))</f>
        <v/>
      </c>
      <c r="FZ74" s="713" t="str">
        <f ca="1">IF(INDIRECT(CONCATENATE($FK$12,Fixtures!FZ$25))="","",IF(INDIRECT(CONCATENATE($FK$12,Fixtures!FZ$25))=Fixtures!$DN74,CONCATENATE(FZ$10,", "),""))</f>
        <v/>
      </c>
      <c r="GA74" s="713" t="str">
        <f ca="1">IF(INDIRECT(CONCATENATE($FK$12,Fixtures!GA$25))="","",IF(INDIRECT(CONCATENATE($FK$12,Fixtures!GA$25))=Fixtures!$DN74,CONCATENATE(GA$10,", "),""))</f>
        <v/>
      </c>
      <c r="GB74" s="713" t="str">
        <f ca="1">IF(INDIRECT(CONCATENATE($FK$12,Fixtures!GB$25))="","",IF(INDIRECT(CONCATENATE($FK$12,Fixtures!GB$25))=Fixtures!$DN74,CONCATENATE(GB$10,", "),""))</f>
        <v/>
      </c>
      <c r="GC74" s="713" t="str">
        <f ca="1">IF(INDIRECT(CONCATENATE($FK$12,Fixtures!GC$25))="","",IF(INDIRECT(CONCATENATE($FK$12,Fixtures!GC$25))=Fixtures!$DN74,CONCATENATE(GC$10,", "),""))</f>
        <v/>
      </c>
      <c r="GD74" s="713" t="str">
        <f ca="1">IF(INDIRECT(CONCATENATE($FK$12,Fixtures!GD$25))="","",IF(INDIRECT(CONCATENATE($FK$12,Fixtures!GD$25))=Fixtures!$DN74,CONCATENATE(GD$10,", "),""))</f>
        <v/>
      </c>
      <c r="GE74" s="713" t="str">
        <f ca="1">IF(INDIRECT(CONCATENATE($FK$12,Fixtures!GE$25))="","",IF(INDIRECT(CONCATENATE($FK$12,Fixtures!GE$25))=Fixtures!$DN74,CONCATENATE(GE$10,", "),""))</f>
        <v/>
      </c>
      <c r="GF74" s="713" t="str">
        <f ca="1">IF(INDIRECT(CONCATENATE($FK$12,Fixtures!GF$25))="","",IF(INDIRECT(CONCATENATE($FK$12,Fixtures!GF$25))=Fixtures!$DN74,CONCATENATE(GF$10,", "),""))</f>
        <v/>
      </c>
      <c r="GG74" s="713" t="str">
        <f ca="1">IF(INDIRECT(CONCATENATE($FK$12,Fixtures!GG$25))="","",IF(INDIRECT(CONCATENATE($FK$12,Fixtures!GG$25))=Fixtures!$DN74,CONCATENATE(GG$10,", "),""))</f>
        <v/>
      </c>
      <c r="GH74" s="713" t="str">
        <f ca="1">IF(INDIRECT(CONCATENATE($FK$12,Fixtures!GH$25))="","",IF(INDIRECT(CONCATENATE($FK$12,Fixtures!GH$25))=Fixtures!$DN74,CONCATENATE(GH$10,", "),""))</f>
        <v/>
      </c>
      <c r="GI74" s="684" t="str">
        <f ca="1">IF(INDIRECT(CONCATENATE($FK$12,Fixtures!GI$25))="","",IF(INDIRECT(CONCATENATE($FK$12,Fixtures!GI$25))=Fixtures!$DN74,CONCATENATE(GI$10,", "),""))</f>
        <v/>
      </c>
      <c r="GJ74" s="685" t="str">
        <f ca="1">IF(INDIRECT(CONCATENATE($FK$12,Fixtures!GJ$25))="","",IF(INDIRECT(CONCATENATE($FK$12,Fixtures!GJ$25))=Fixtures!$DN74,CONCATENATE(GJ$10,", "),""))</f>
        <v/>
      </c>
      <c r="GK74" s="713" t="str">
        <f ca="1">IF(INDIRECT(CONCATENATE($FK$12,Fixtures!GK$25))="","",IF(INDIRECT(CONCATENATE($FK$12,Fixtures!GK$25))=Fixtures!$DN74,CONCATENATE(GK$10,", "),""))</f>
        <v/>
      </c>
      <c r="GL74" s="713" t="str">
        <f ca="1">IF(INDIRECT(CONCATENATE($FK$12,Fixtures!GL$25))="","",IF(INDIRECT(CONCATENATE($FK$12,Fixtures!GL$25))=Fixtures!$DN74,CONCATENATE(GL$10,", "),""))</f>
        <v/>
      </c>
      <c r="GM74" s="713" t="str">
        <f ca="1">IF(INDIRECT(CONCATENATE($FK$12,Fixtures!GM$25))="","",IF(INDIRECT(CONCATENATE($FK$12,Fixtures!GM$25))=Fixtures!$DN74,CONCATENATE(GM$10,", "),""))</f>
        <v/>
      </c>
      <c r="GN74" s="713" t="str">
        <f ca="1">IF(INDIRECT(CONCATENATE($FK$12,Fixtures!GN$25))="","",IF(INDIRECT(CONCATENATE($FK$12,Fixtures!GN$25))=Fixtures!$DN74,CONCATENATE(GN$10,", "),""))</f>
        <v/>
      </c>
      <c r="GO74" s="713" t="str">
        <f ca="1">IF(INDIRECT(CONCATENATE($FK$12,Fixtures!GO$25))="","",IF(INDIRECT(CONCATENATE($FK$12,Fixtures!GO$25))=Fixtures!$DN74,CONCATENATE(GO$10,", "),""))</f>
        <v/>
      </c>
      <c r="GP74" s="713" t="str">
        <f ca="1">IF(INDIRECT(CONCATENATE($FK$12,Fixtures!GP$25))="","",IF(INDIRECT(CONCATENATE($FK$12,Fixtures!GP$25))=Fixtures!$DN74,CONCATENATE(GP$10,", "),""))</f>
        <v/>
      </c>
      <c r="GQ74" s="713" t="str">
        <f ca="1">IF(INDIRECT(CONCATENATE($FK$12,Fixtures!GQ$25))="","",IF(INDIRECT(CONCATENATE($FK$12,Fixtures!GQ$25))=Fixtures!$DN74,CONCATENATE(GQ$10,", "),""))</f>
        <v/>
      </c>
      <c r="GR74" s="713" t="str">
        <f ca="1">IF(INDIRECT(CONCATENATE($FK$12,Fixtures!GR$25))="","",IF(INDIRECT(CONCATENATE($FK$12,Fixtures!GR$25))=Fixtures!$DN74,CONCATENATE(GR$10,", "),""))</f>
        <v/>
      </c>
      <c r="GS74" s="713" t="str">
        <f ca="1">IF(INDIRECT(CONCATENATE($FK$12,Fixtures!GS$25))="","",IF(INDIRECT(CONCATENATE($FK$12,Fixtures!GS$25))=Fixtures!$DN74,CONCATENATE(GS$10,", "),""))</f>
        <v/>
      </c>
      <c r="GT74" s="713" t="str">
        <f ca="1">IF(INDIRECT(CONCATENATE($FK$12,Fixtures!GT$25))="","",IF(INDIRECT(CONCATENATE($FK$12,Fixtures!GT$25))=Fixtures!$DN74,CONCATENATE(GT$10,", "),""))</f>
        <v/>
      </c>
      <c r="GU74" s="713" t="str">
        <f ca="1">IF(INDIRECT(CONCATENATE($FK$12,Fixtures!GU$25))="","",IF(INDIRECT(CONCATENATE($FK$12,Fixtures!GU$25))=Fixtures!$DN74,CONCATENATE(GU$10,", "),""))</f>
        <v/>
      </c>
      <c r="GV74" s="713" t="str">
        <f ca="1">IF(INDIRECT(CONCATENATE($FK$12,Fixtures!GV$25))="","",IF(INDIRECT(CONCATENATE($FK$12,Fixtures!GV$25))=Fixtures!$DN74,CONCATENATE(GV$10,", "),""))</f>
        <v/>
      </c>
      <c r="GW74" s="713" t="str">
        <f ca="1">IF(INDIRECT(CONCATENATE($FK$12,Fixtures!GW$25))="","",IF(INDIRECT(CONCATENATE($FK$12,Fixtures!GW$25))=Fixtures!$DN74,CONCATENATE(GW$10,", "),""))</f>
        <v/>
      </c>
      <c r="GX74" s="684" t="str">
        <f ca="1">IF(INDIRECT(CONCATENATE($FK$12,Fixtures!GX$25))="","",IF(INDIRECT(CONCATENATE($FK$12,Fixtures!GX$25))=Fixtures!$DN74,CONCATENATE(GX$10,", "),""))</f>
        <v/>
      </c>
      <c r="GY74" s="685" t="str">
        <f ca="1">IF(INDIRECT(CONCATENATE($FK$12,Fixtures!GY$25))="","",IF(INDIRECT(CONCATENATE($FK$12,Fixtures!GY$25))=Fixtures!$DN74,CONCATENATE(GY$10,", "),""))</f>
        <v/>
      </c>
      <c r="GZ74" s="713" t="str">
        <f ca="1">IF(INDIRECT(CONCATENATE($FK$12,Fixtures!GZ$25))="","",IF(INDIRECT(CONCATENATE($FK$12,Fixtures!GZ$25))=Fixtures!$DN74,CONCATENATE(GZ$10,", "),""))</f>
        <v/>
      </c>
      <c r="HA74" s="713" t="str">
        <f ca="1">IF(INDIRECT(CONCATENATE($FK$12,Fixtures!HA$25))="","",IF(INDIRECT(CONCATENATE($FK$12,Fixtures!HA$25))=Fixtures!$DN74,CONCATENATE(HA$10,", "),""))</f>
        <v/>
      </c>
      <c r="HB74" s="713" t="str">
        <f ca="1">IF(INDIRECT(CONCATENATE($FK$12,Fixtures!HB$25))="","",IF(INDIRECT(CONCATENATE($FK$12,Fixtures!HB$25))=Fixtures!$DN74,CONCATENATE(HB$10,", "),""))</f>
        <v/>
      </c>
      <c r="HC74" s="713" t="str">
        <f ca="1">IF(INDIRECT(CONCATENATE($FK$12,Fixtures!HC$25))="","",IF(INDIRECT(CONCATENATE($FK$12,Fixtures!HC$25))=Fixtures!$DN74,CONCATENATE(HC$10,", "),""))</f>
        <v/>
      </c>
      <c r="HD74" s="713" t="str">
        <f ca="1">IF(INDIRECT(CONCATENATE($FK$12,Fixtures!HD$25))="","",IF(INDIRECT(CONCATENATE($FK$12,Fixtures!HD$25))=Fixtures!$DN74,CONCATENATE(HD$10,", "),""))</f>
        <v/>
      </c>
      <c r="HE74" s="713" t="str">
        <f ca="1">IF(INDIRECT(CONCATENATE($FK$12,Fixtures!HE$25))="","",IF(INDIRECT(CONCATENATE($FK$12,Fixtures!HE$25))=Fixtures!$DN74,CONCATENATE(HE$10,", "),""))</f>
        <v/>
      </c>
      <c r="HF74" s="713" t="str">
        <f ca="1">IF(INDIRECT(CONCATENATE($FK$12,Fixtures!HF$25))="","",IF(INDIRECT(CONCATENATE($FK$12,Fixtures!HF$25))=Fixtures!$DN74,CONCATENATE(HF$10,", "),""))</f>
        <v/>
      </c>
      <c r="HG74" s="713" t="str">
        <f ca="1">IF(INDIRECT(CONCATENATE($FK$12,Fixtures!HG$25))="","",IF(INDIRECT(CONCATENATE($FK$12,Fixtures!HG$25))=Fixtures!$DN74,CONCATENATE(HG$10,", "),""))</f>
        <v/>
      </c>
      <c r="HH74" s="713" t="str">
        <f ca="1">IF(INDIRECT(CONCATENATE($FK$12,Fixtures!HH$25))="","",IF(INDIRECT(CONCATENATE($FK$12,Fixtures!HH$25))=Fixtures!$DN74,CONCATENATE(HH$10,", "),""))</f>
        <v/>
      </c>
      <c r="HI74" s="713" t="str">
        <f ca="1">IF(INDIRECT(CONCATENATE($FK$12,Fixtures!HI$25))="","",IF(INDIRECT(CONCATENATE($FK$12,Fixtures!HI$25))=Fixtures!$DN74,CONCATENATE(HI$10,", "),""))</f>
        <v/>
      </c>
      <c r="HJ74" s="713" t="str">
        <f ca="1">IF(INDIRECT(CONCATENATE($FK$12,Fixtures!HJ$25))="","",IF(INDIRECT(CONCATENATE($FK$12,Fixtures!HJ$25))=Fixtures!$DN74,CONCATENATE(HJ$10,", "),""))</f>
        <v/>
      </c>
      <c r="HK74" s="713" t="str">
        <f ca="1">IF(INDIRECT(CONCATENATE($FK$12,Fixtures!HK$25))="","",IF(INDIRECT(CONCATENATE($FK$12,Fixtures!HK$25))=Fixtures!$DN74,CONCATENATE(HK$10,", "),""))</f>
        <v/>
      </c>
      <c r="HL74" s="713" t="str">
        <f ca="1">IF(INDIRECT(CONCATENATE($FK$12,Fixtures!HL$25))="","",IF(INDIRECT(CONCATENATE($FK$12,Fixtures!HL$25))=Fixtures!$DN74,CONCATENATE(HL$10,", "),""))</f>
        <v/>
      </c>
      <c r="HM74" s="684" t="str">
        <f ca="1">IF(INDIRECT(CONCATENATE($FK$12,Fixtures!HM$25))="","",IF(INDIRECT(CONCATENATE($FK$12,Fixtures!HM$25))=Fixtures!$DN74,CONCATENATE(HM$10,", "),""))</f>
        <v/>
      </c>
      <c r="HN74" s="685" t="str">
        <f ca="1">IF(INDIRECT(CONCATENATE($FK$12,Fixtures!HN$25))="","",IF(INDIRECT(CONCATENATE($FK$12,Fixtures!HN$25))=Fixtures!$DN74,CONCATENATE(HN$10,", "),""))</f>
        <v/>
      </c>
      <c r="HO74" s="713" t="str">
        <f ca="1">IF(INDIRECT(CONCATENATE($FK$12,Fixtures!HO$25))="","",IF(INDIRECT(CONCATENATE($FK$12,Fixtures!HO$25))=Fixtures!$DN74,CONCATENATE(HO$10,", "),""))</f>
        <v/>
      </c>
      <c r="HP74" s="713" t="str">
        <f ca="1">IF(INDIRECT(CONCATENATE($FK$12,Fixtures!HP$25))="","",IF(INDIRECT(CONCATENATE($FK$12,Fixtures!HP$25))=Fixtures!$DN74,CONCATENATE(HP$10,", "),""))</f>
        <v/>
      </c>
      <c r="HQ74" s="713" t="str">
        <f ca="1">IF(INDIRECT(CONCATENATE($FK$12,Fixtures!HQ$25))="","",IF(INDIRECT(CONCATENATE($FK$12,Fixtures!HQ$25))=Fixtures!$DN74,CONCATENATE(HQ$10,", "),""))</f>
        <v/>
      </c>
      <c r="HR74" s="713" t="str">
        <f ca="1">IF(INDIRECT(CONCATENATE($FK$12,Fixtures!HR$25))="","",IF(INDIRECT(CONCATENATE($FK$12,Fixtures!HR$25))=Fixtures!$DN74,CONCATENATE(HR$10,", "),""))</f>
        <v/>
      </c>
      <c r="HS74" s="713" t="str">
        <f ca="1">IF(INDIRECT(CONCATENATE($FK$12,Fixtures!HS$25))="","",IF(INDIRECT(CONCATENATE($FK$12,Fixtures!HS$25))=Fixtures!$DN74,CONCATENATE(HS$10,", "),""))</f>
        <v/>
      </c>
      <c r="HT74" s="713" t="str">
        <f ca="1">IF(INDIRECT(CONCATENATE($FK$12,Fixtures!HT$25))="","",IF(INDIRECT(CONCATENATE($FK$12,Fixtures!HT$25))=Fixtures!$DN74,CONCATENATE(HT$10,", "),""))</f>
        <v/>
      </c>
      <c r="HU74" s="713" t="str">
        <f ca="1">IF(INDIRECT(CONCATENATE($FK$12,Fixtures!HU$25))="","",IF(INDIRECT(CONCATENATE($FK$12,Fixtures!HU$25))=Fixtures!$DN74,CONCATENATE(HU$10,", "),""))</f>
        <v/>
      </c>
      <c r="HV74" s="713" t="str">
        <f ca="1">IF(INDIRECT(CONCATENATE($FK$12,Fixtures!HV$25))="","",IF(INDIRECT(CONCATENATE($FK$12,Fixtures!HV$25))=Fixtures!$DN74,CONCATENATE(HV$10,", "),""))</f>
        <v/>
      </c>
      <c r="HW74" s="713" t="str">
        <f ca="1">IF(INDIRECT(CONCATENATE($FK$12,Fixtures!HW$25))="","",IF(INDIRECT(CONCATENATE($FK$12,Fixtures!HW$25))=Fixtures!$DN74,CONCATENATE(HW$10,", "),""))</f>
        <v/>
      </c>
      <c r="HX74" s="713" t="str">
        <f ca="1">IF(INDIRECT(CONCATENATE($FK$12,Fixtures!HX$25))="","",IF(INDIRECT(CONCATENATE($FK$12,Fixtures!HX$25))=Fixtures!$DN74,CONCATENATE(HX$10,", "),""))</f>
        <v/>
      </c>
      <c r="HY74" s="713" t="str">
        <f ca="1">IF(INDIRECT(CONCATENATE($FK$12,Fixtures!HY$25))="","",IF(INDIRECT(CONCATENATE($FK$12,Fixtures!HY$25))=Fixtures!$DN74,CONCATENATE(HY$10,", "),""))</f>
        <v/>
      </c>
      <c r="HZ74" s="713" t="str">
        <f ca="1">IF(INDIRECT(CONCATENATE($FK$12,Fixtures!HZ$25))="","",IF(INDIRECT(CONCATENATE($FK$12,Fixtures!HZ$25))=Fixtures!$DN74,CONCATENATE(HZ$10,", "),""))</f>
        <v/>
      </c>
      <c r="IA74" s="713" t="str">
        <f ca="1">IF(INDIRECT(CONCATENATE($FK$12,Fixtures!IA$25))="","",IF(INDIRECT(CONCATENATE($FK$12,Fixtures!IA$25))=Fixtures!$DN74,CONCATENATE(IA$10,", "),""))</f>
        <v/>
      </c>
      <c r="IB74" s="684" t="str">
        <f ca="1">IF(INDIRECT(CONCATENATE($FK$12,Fixtures!IB$25))="","",IF(INDIRECT(CONCATENATE($FK$12,Fixtures!IB$25))=Fixtures!$DN74,CONCATENATE(IB$10,", "),""))</f>
        <v/>
      </c>
      <c r="IC74" s="685" t="str">
        <f ca="1">IF(INDIRECT(CONCATENATE($FK$12,Fixtures!IC$25))="","",IF(INDIRECT(CONCATENATE($FK$12,Fixtures!IC$25))=Fixtures!$DN74,CONCATENATE(IC$10,", "),""))</f>
        <v/>
      </c>
      <c r="ID74" s="713" t="str">
        <f ca="1">IF(INDIRECT(CONCATENATE($FK$12,Fixtures!ID$25))="","",IF(INDIRECT(CONCATENATE($FK$12,Fixtures!ID$25))=Fixtures!$DN74,CONCATENATE(ID$10,", "),""))</f>
        <v/>
      </c>
      <c r="IE74" s="713" t="str">
        <f ca="1">IF(INDIRECT(CONCATENATE($FK$12,Fixtures!IE$25))="","",IF(INDIRECT(CONCATENATE($FK$12,Fixtures!IE$25))=Fixtures!$DN74,CONCATENATE(IE$10,", "),""))</f>
        <v/>
      </c>
      <c r="IF74" s="713" t="str">
        <f ca="1">IF(INDIRECT(CONCATENATE($FK$12,Fixtures!IF$25))="","",IF(INDIRECT(CONCATENATE($FK$12,Fixtures!IF$25))=Fixtures!$DN74,CONCATENATE(IF$10,", "),""))</f>
        <v/>
      </c>
      <c r="IG74" s="713" t="str">
        <f ca="1">IF(INDIRECT(CONCATENATE($FK$12,Fixtures!IG$25))="","",IF(INDIRECT(CONCATENATE($FK$12,Fixtures!IG$25))=Fixtures!$DN74,CONCATENATE(IG$10,", "),""))</f>
        <v/>
      </c>
      <c r="IH74" s="713" t="str">
        <f ca="1">IF(INDIRECT(CONCATENATE($FK$12,Fixtures!IH$25))="","",IF(INDIRECT(CONCATENATE($FK$12,Fixtures!IH$25))=Fixtures!$DN74,CONCATENATE(IH$10,", "),""))</f>
        <v/>
      </c>
      <c r="II74" s="713" t="str">
        <f ca="1">IF(INDIRECT(CONCATENATE($FK$12,Fixtures!II$25))="","",IF(INDIRECT(CONCATENATE($FK$12,Fixtures!II$25))=Fixtures!$DN74,CONCATENATE(II$10,", "),""))</f>
        <v/>
      </c>
      <c r="IJ74" s="713" t="str">
        <f ca="1">IF(INDIRECT(CONCATENATE($FK$12,Fixtures!IJ$25))="","",IF(INDIRECT(CONCATENATE($FK$12,Fixtures!IJ$25))=Fixtures!$DN74,CONCATENATE(IJ$10,", "),""))</f>
        <v/>
      </c>
      <c r="IK74" s="713" t="str">
        <f ca="1">IF(INDIRECT(CONCATENATE($FK$12,Fixtures!IK$25))="","",IF(INDIRECT(CONCATENATE($FK$12,Fixtures!IK$25))=Fixtures!$DN74,CONCATENATE(IK$10,", "),""))</f>
        <v/>
      </c>
      <c r="IL74" s="713" t="str">
        <f ca="1">IF(INDIRECT(CONCATENATE($FK$12,Fixtures!IL$25))="","",IF(INDIRECT(CONCATENATE($FK$12,Fixtures!IL$25))=Fixtures!$DN74,CONCATENATE(IL$10,", "),""))</f>
        <v/>
      </c>
      <c r="IM74" s="713" t="str">
        <f ca="1">IF(INDIRECT(CONCATENATE($FK$12,Fixtures!IM$25))="","",IF(INDIRECT(CONCATENATE($FK$12,Fixtures!IM$25))=Fixtures!$DN74,CONCATENATE(IM$10,", "),""))</f>
        <v/>
      </c>
      <c r="IN74" s="713" t="str">
        <f ca="1">IF(INDIRECT(CONCATENATE($FK$12,Fixtures!IN$25))="","",IF(INDIRECT(CONCATENATE($FK$12,Fixtures!IN$25))=Fixtures!$DN74,CONCATENATE(IN$10,", "),""))</f>
        <v/>
      </c>
      <c r="IO74" s="713" t="str">
        <f ca="1">IF(INDIRECT(CONCATENATE($FK$12,Fixtures!IO$25))="","",IF(INDIRECT(CONCATENATE($FK$12,Fixtures!IO$25))=Fixtures!$DN74,CONCATENATE(IO$10,", "),""))</f>
        <v/>
      </c>
      <c r="IP74" s="713" t="str">
        <f ca="1">IF(INDIRECT(CONCATENATE($FK$12,Fixtures!IP$25))="","",IF(INDIRECT(CONCATENATE($FK$12,Fixtures!IP$25))=Fixtures!$DN74,CONCATENATE(IP$10,", "),""))</f>
        <v/>
      </c>
      <c r="IQ74" s="684" t="str">
        <f ca="1">IF(INDIRECT(CONCATENATE($FK$12,Fixtures!IQ$25))="","",IF(INDIRECT(CONCATENATE($FK$12,Fixtures!IQ$25))=Fixtures!$DN74,CONCATENATE(IQ$10,", "),""))</f>
        <v/>
      </c>
      <c r="IR74" s="685" t="str">
        <f ca="1">IF(INDIRECT(CONCATENATE($FK$12,Fixtures!IR$25))="","",IF(INDIRECT(CONCATENATE($FK$12,Fixtures!IR$25))=Fixtures!$DN74,CONCATENATE(IR$10,", "),""))</f>
        <v/>
      </c>
      <c r="IS74" s="713" t="str">
        <f ca="1">IF(INDIRECT(CONCATENATE($FK$12,Fixtures!IS$25))="","",IF(INDIRECT(CONCATENATE($FK$12,Fixtures!IS$25))=Fixtures!$DN74,CONCATENATE(IS$10,", "),""))</f>
        <v/>
      </c>
      <c r="IT74" s="713" t="str">
        <f ca="1">IF(INDIRECT(CONCATENATE($FK$12,Fixtures!IT$25))="","",IF(INDIRECT(CONCATENATE($FK$12,Fixtures!IT$25))=Fixtures!$DN74,CONCATENATE(IT$10,", "),""))</f>
        <v/>
      </c>
      <c r="IU74" s="713" t="str">
        <f ca="1">IF(INDIRECT(CONCATENATE($FK$12,Fixtures!IU$25))="","",IF(INDIRECT(CONCATENATE($FK$12,Fixtures!IU$25))=Fixtures!$DN74,CONCATENATE(IU$10,", "),""))</f>
        <v/>
      </c>
      <c r="IV74" s="713" t="str">
        <f ca="1">IF(INDIRECT(CONCATENATE($FK$12,Fixtures!IV$25))="","",IF(INDIRECT(CONCATENATE($FK$12,Fixtures!IV$25))=Fixtures!$DN74,CONCATENATE(IV$10,", "),""))</f>
        <v/>
      </c>
      <c r="IW74" s="713" t="str">
        <f ca="1">IF(INDIRECT(CONCATENATE($FK$12,Fixtures!IW$25))="","",IF(INDIRECT(CONCATENATE($FK$12,Fixtures!IW$25))=Fixtures!$DN74,CONCATENATE(IW$10,", "),""))</f>
        <v/>
      </c>
      <c r="IX74" s="713" t="str">
        <f ca="1">IF(INDIRECT(CONCATENATE($FK$12,Fixtures!IX$25))="","",IF(INDIRECT(CONCATENATE($FK$12,Fixtures!IX$25))=Fixtures!$DN74,CONCATENATE(IX$10,", "),""))</f>
        <v/>
      </c>
      <c r="IY74" s="713" t="str">
        <f ca="1">IF(INDIRECT(CONCATENATE($FK$12,Fixtures!IY$25))="","",IF(INDIRECT(CONCATENATE($FK$12,Fixtures!IY$25))=Fixtures!$DN74,CONCATENATE(IY$10,", "),""))</f>
        <v/>
      </c>
      <c r="IZ74" s="713" t="str">
        <f ca="1">IF(INDIRECT(CONCATENATE($FK$12,Fixtures!IZ$25))="","",IF(INDIRECT(CONCATENATE($FK$12,Fixtures!IZ$25))=Fixtures!$DN74,CONCATENATE(IZ$10,", "),""))</f>
        <v/>
      </c>
      <c r="JA74" s="713" t="str">
        <f ca="1">IF(INDIRECT(CONCATENATE($FK$12,Fixtures!JA$25))="","",IF(INDIRECT(CONCATENATE($FK$12,Fixtures!JA$25))=Fixtures!$DN74,CONCATENATE(JA$10,", "),""))</f>
        <v/>
      </c>
      <c r="JB74" s="713" t="str">
        <f ca="1">IF(INDIRECT(CONCATENATE($FK$12,Fixtures!JB$25))="","",IF(INDIRECT(CONCATENATE($FK$12,Fixtures!JB$25))=Fixtures!$DN74,CONCATENATE(JB$10,", "),""))</f>
        <v/>
      </c>
      <c r="JC74" s="713" t="str">
        <f ca="1">IF(INDIRECT(CONCATENATE($FK$12,Fixtures!JC$25))="","",IF(INDIRECT(CONCATENATE($FK$12,Fixtures!JC$25))=Fixtures!$DN74,CONCATENATE(JC$10,", "),""))</f>
        <v/>
      </c>
      <c r="JD74" s="713" t="str">
        <f ca="1">IF(INDIRECT(CONCATENATE($FK$12,Fixtures!JD$25))="","",IF(INDIRECT(CONCATENATE($FK$12,Fixtures!JD$25))=Fixtures!$DN74,CONCATENATE(JD$10,", "),""))</f>
        <v/>
      </c>
      <c r="JE74" s="713" t="str">
        <f ca="1">IF(INDIRECT(CONCATENATE($FK$12,Fixtures!JE$25))="","",IF(INDIRECT(CONCATENATE($FK$12,Fixtures!JE$25))=Fixtures!$DN74,CONCATENATE(JE$10,", "),""))</f>
        <v/>
      </c>
      <c r="JF74" s="684" t="str">
        <f ca="1">IF(INDIRECT(CONCATENATE($FK$12,Fixtures!JF$25))="","",IF(INDIRECT(CONCATENATE($FK$12,Fixtures!JF$25))=Fixtures!$DN74,CONCATENATE(JF$10,", "),""))</f>
        <v/>
      </c>
      <c r="JG74" s="685" t="str">
        <f ca="1">IF(INDIRECT(CONCATENATE($FK$12,Fixtures!JG$25))="","",IF(INDIRECT(CONCATENATE($FK$12,Fixtures!JG$25))=Fixtures!$DN74,CONCATENATE(JG$10,", "),""))</f>
        <v/>
      </c>
      <c r="JH74" s="713" t="str">
        <f ca="1">IF(INDIRECT(CONCATENATE($FK$12,Fixtures!JH$25))="","",IF(INDIRECT(CONCATENATE($FK$12,Fixtures!JH$25))=Fixtures!$DN74,CONCATENATE(JH$10,", "),""))</f>
        <v/>
      </c>
      <c r="JI74" s="713" t="str">
        <f ca="1">IF(INDIRECT(CONCATENATE($FK$12,Fixtures!JI$25))="","",IF(INDIRECT(CONCATENATE($FK$12,Fixtures!JI$25))=Fixtures!$DN74,CONCATENATE(JI$10,", "),""))</f>
        <v/>
      </c>
      <c r="JJ74" s="713" t="str">
        <f ca="1">IF(INDIRECT(CONCATENATE($FK$12,Fixtures!JJ$25))="","",IF(INDIRECT(CONCATENATE($FK$12,Fixtures!JJ$25))=Fixtures!$DN74,CONCATENATE(JJ$10,", "),""))</f>
        <v/>
      </c>
      <c r="JK74" s="713" t="str">
        <f ca="1">IF(INDIRECT(CONCATENATE($FK$12,Fixtures!JK$25))="","",IF(INDIRECT(CONCATENATE($FK$12,Fixtures!JK$25))=Fixtures!$DN74,CONCATENATE(JK$10,", "),""))</f>
        <v/>
      </c>
      <c r="JL74" s="713" t="str">
        <f ca="1">IF(INDIRECT(CONCATENATE($FK$12,Fixtures!JL$25))="","",IF(INDIRECT(CONCATENATE($FK$12,Fixtures!JL$25))=Fixtures!$DN74,CONCATENATE(JL$10,", "),""))</f>
        <v/>
      </c>
      <c r="JM74" s="713" t="str">
        <f ca="1">IF(INDIRECT(CONCATENATE($FK$12,Fixtures!JM$25))="","",IF(INDIRECT(CONCATENATE($FK$12,Fixtures!JM$25))=Fixtures!$DN74,CONCATENATE(JM$10,", "),""))</f>
        <v/>
      </c>
      <c r="JN74" s="713" t="str">
        <f ca="1">IF(INDIRECT(CONCATENATE($FK$12,Fixtures!JN$25))="","",IF(INDIRECT(CONCATENATE($FK$12,Fixtures!JN$25))=Fixtures!$DN74,CONCATENATE(JN$10,", "),""))</f>
        <v/>
      </c>
      <c r="JO74" s="713" t="str">
        <f ca="1">IF(INDIRECT(CONCATENATE($FK$12,Fixtures!JO$25))="","",IF(INDIRECT(CONCATENATE($FK$12,Fixtures!JO$25))=Fixtures!$DN74,CONCATENATE(JO$10,", "),""))</f>
        <v/>
      </c>
      <c r="JP74" s="713" t="str">
        <f ca="1">IF(INDIRECT(CONCATENATE($FK$12,Fixtures!JP$25))="","",IF(INDIRECT(CONCATENATE($FK$12,Fixtures!JP$25))=Fixtures!$DN74,CONCATENATE(JP$10,", "),""))</f>
        <v/>
      </c>
      <c r="JQ74" s="713" t="str">
        <f ca="1">IF(INDIRECT(CONCATENATE($FK$12,Fixtures!JQ$25))="","",IF(INDIRECT(CONCATENATE($FK$12,Fixtures!JQ$25))=Fixtures!$DN74,CONCATENATE(JQ$10,", "),""))</f>
        <v/>
      </c>
      <c r="JR74" s="713" t="str">
        <f ca="1">IF(INDIRECT(CONCATENATE($FK$12,Fixtures!JR$25))="","",IF(INDIRECT(CONCATENATE($FK$12,Fixtures!JR$25))=Fixtures!$DN74,CONCATENATE(JR$10,", "),""))</f>
        <v/>
      </c>
      <c r="JS74" s="713" t="str">
        <f ca="1">IF(INDIRECT(CONCATENATE($FK$12,Fixtures!JS$25))="","",IF(INDIRECT(CONCATENATE($FK$12,Fixtures!JS$25))=Fixtures!$DN74,CONCATENATE(JS$10,", "),""))</f>
        <v/>
      </c>
      <c r="JT74" s="713" t="str">
        <f ca="1">IF(INDIRECT(CONCATENATE($FK$12,Fixtures!JT$25))="","",IF(INDIRECT(CONCATENATE($FK$12,Fixtures!JT$25))=Fixtures!$DN74,CONCATENATE(JT$10,", "),""))</f>
        <v/>
      </c>
      <c r="JU74" s="684" t="str">
        <f ca="1">IF(INDIRECT(CONCATENATE($FK$12,Fixtures!JU$25))="","",IF(INDIRECT(CONCATENATE($FK$12,Fixtures!JU$25))=Fixtures!$DN74,CONCATENATE(JU$10,", "),""))</f>
        <v/>
      </c>
      <c r="JV74" s="685" t="str">
        <f ca="1">IF(INDIRECT(CONCATENATE($FK$12,Fixtures!JV$25))="","",IF(INDIRECT(CONCATENATE($FK$12,Fixtures!JV$25))=Fixtures!$DN74,CONCATENATE(JV$10,", "),""))</f>
        <v/>
      </c>
      <c r="JW74" s="713" t="str">
        <f ca="1">IF(INDIRECT(CONCATENATE($FK$12,Fixtures!JW$25))="","",IF(INDIRECT(CONCATENATE($FK$12,Fixtures!JW$25))=Fixtures!$DN74,CONCATENATE(JW$10,", "),""))</f>
        <v/>
      </c>
      <c r="JX74" s="713" t="str">
        <f ca="1">IF(INDIRECT(CONCATENATE($FK$12,Fixtures!JX$25))="","",IF(INDIRECT(CONCATENATE($FK$12,Fixtures!JX$25))=Fixtures!$DN74,CONCATENATE(JX$10,", "),""))</f>
        <v/>
      </c>
      <c r="JY74" s="713" t="str">
        <f ca="1">IF(INDIRECT(CONCATENATE($FK$12,Fixtures!JY$25))="","",IF(INDIRECT(CONCATENATE($FK$12,Fixtures!JY$25))=Fixtures!$DN74,CONCATENATE(JY$10,", "),""))</f>
        <v/>
      </c>
      <c r="JZ74" s="713" t="str">
        <f ca="1">IF(INDIRECT(CONCATENATE($FK$12,Fixtures!JZ$25))="","",IF(INDIRECT(CONCATENATE($FK$12,Fixtures!JZ$25))=Fixtures!$DN74,CONCATENATE(JZ$10,", "),""))</f>
        <v/>
      </c>
      <c r="KA74" s="713" t="str">
        <f ca="1">IF(INDIRECT(CONCATENATE($FK$12,Fixtures!KA$25))="","",IF(INDIRECT(CONCATENATE($FK$12,Fixtures!KA$25))=Fixtures!$DN74,CONCATENATE(KA$10,", "),""))</f>
        <v/>
      </c>
      <c r="KB74" s="713" t="str">
        <f ca="1">IF(INDIRECT(CONCATENATE($FK$12,Fixtures!KB$25))="","",IF(INDIRECT(CONCATENATE($FK$12,Fixtures!KB$25))=Fixtures!$DN74,CONCATENATE(KB$10,", "),""))</f>
        <v/>
      </c>
      <c r="KC74" s="713" t="str">
        <f ca="1">IF(INDIRECT(CONCATENATE($FK$12,Fixtures!KC$25))="","",IF(INDIRECT(CONCATENATE($FK$12,Fixtures!KC$25))=Fixtures!$DN74,CONCATENATE(KC$10,", "),""))</f>
        <v/>
      </c>
      <c r="KD74" s="713" t="str">
        <f ca="1">IF(INDIRECT(CONCATENATE($FK$12,Fixtures!KD$25))="","",IF(INDIRECT(CONCATENATE($FK$12,Fixtures!KD$25))=Fixtures!$DN74,CONCATENATE(KD$10,", "),""))</f>
        <v/>
      </c>
      <c r="KE74" s="713" t="str">
        <f ca="1">IF(INDIRECT(CONCATENATE($FK$12,Fixtures!KE$25))="","",IF(INDIRECT(CONCATENATE($FK$12,Fixtures!KE$25))=Fixtures!$DN74,CONCATENATE(KE$10,", "),""))</f>
        <v/>
      </c>
      <c r="KF74" s="713" t="str">
        <f ca="1">IF(INDIRECT(CONCATENATE($FK$12,Fixtures!KF$25))="","",IF(INDIRECT(CONCATENATE($FK$12,Fixtures!KF$25))=Fixtures!$DN74,CONCATENATE(KF$10,", "),""))</f>
        <v/>
      </c>
      <c r="KG74" s="713" t="str">
        <f ca="1">IF(INDIRECT(CONCATENATE($FK$12,Fixtures!KG$25))="","",IF(INDIRECT(CONCATENATE($FK$12,Fixtures!KG$25))=Fixtures!$DN74,CONCATENATE(KG$10,", "),""))</f>
        <v/>
      </c>
      <c r="KH74" s="713" t="str">
        <f ca="1">IF(INDIRECT(CONCATENATE($FK$12,Fixtures!KH$25))="","",IF(INDIRECT(CONCATENATE($FK$12,Fixtures!KH$25))=Fixtures!$DN74,CONCATENATE(KH$10,", "),""))</f>
        <v/>
      </c>
      <c r="KI74" s="713" t="str">
        <f ca="1">IF(INDIRECT(CONCATENATE($FK$12,Fixtures!KI$25))="","",IF(INDIRECT(CONCATENATE($FK$12,Fixtures!KI$25))=Fixtures!$DN74,CONCATENATE(KI$10,", "),""))</f>
        <v/>
      </c>
      <c r="KJ74" s="684" t="str">
        <f ca="1">IF(INDIRECT(CONCATENATE($FK$12,Fixtures!KJ$25))="","",IF(INDIRECT(CONCATENATE($FK$12,Fixtures!KJ$25))=Fixtures!$DN74,CONCATENATE(KJ$10,", "),""))</f>
        <v/>
      </c>
      <c r="KK74" s="685" t="str">
        <f ca="1">IF(INDIRECT(CONCATENATE($FK$12,Fixtures!KK$25))="","",IF(INDIRECT(CONCATENATE($FK$12,Fixtures!KK$25))=Fixtures!$DN74,CONCATENATE(KK$10,", "),""))</f>
        <v/>
      </c>
      <c r="KL74" s="713" t="str">
        <f ca="1">IF(INDIRECT(CONCATENATE($FK$12,Fixtures!KL$25))="","",IF(INDIRECT(CONCATENATE($FK$12,Fixtures!KL$25))=Fixtures!$DN74,CONCATENATE(KL$10,", "),""))</f>
        <v/>
      </c>
      <c r="KM74" s="713" t="str">
        <f ca="1">IF(INDIRECT(CONCATENATE($FK$12,Fixtures!KM$25))="","",IF(INDIRECT(CONCATENATE($FK$12,Fixtures!KM$25))=Fixtures!$DN74,CONCATENATE(KM$10,", "),""))</f>
        <v/>
      </c>
      <c r="KN74" s="713" t="str">
        <f ca="1">IF(INDIRECT(CONCATENATE($FK$12,Fixtures!KN$25))="","",IF(INDIRECT(CONCATENATE($FK$12,Fixtures!KN$25))=Fixtures!$DN74,CONCATENATE(KN$10,", "),""))</f>
        <v/>
      </c>
      <c r="KO74" s="713" t="str">
        <f ca="1">IF(INDIRECT(CONCATENATE($FK$12,Fixtures!KO$25))="","",IF(INDIRECT(CONCATENATE($FK$12,Fixtures!KO$25))=Fixtures!$DN74,CONCATENATE(KO$10,", "),""))</f>
        <v/>
      </c>
      <c r="KP74" s="713" t="str">
        <f ca="1">IF(INDIRECT(CONCATENATE($FK$12,Fixtures!KP$25))="","",IF(INDIRECT(CONCATENATE($FK$12,Fixtures!KP$25))=Fixtures!$DN74,CONCATENATE(KP$10,", "),""))</f>
        <v/>
      </c>
      <c r="KQ74" s="713" t="str">
        <f ca="1">IF(INDIRECT(CONCATENATE($FK$12,Fixtures!KQ$25))="","",IF(INDIRECT(CONCATENATE($FK$12,Fixtures!KQ$25))=Fixtures!$DN74,CONCATENATE(KQ$10,", "),""))</f>
        <v/>
      </c>
      <c r="KR74" s="713" t="str">
        <f ca="1">IF(INDIRECT(CONCATENATE($FK$12,Fixtures!KR$25))="","",IF(INDIRECT(CONCATENATE($FK$12,Fixtures!KR$25))=Fixtures!$DN74,CONCATENATE(KR$10,", "),""))</f>
        <v/>
      </c>
      <c r="KS74" s="713" t="str">
        <f ca="1">IF(INDIRECT(CONCATENATE($FK$12,Fixtures!KS$25))="","",IF(INDIRECT(CONCATENATE($FK$12,Fixtures!KS$25))=Fixtures!$DN74,CONCATENATE(KS$10,", "),""))</f>
        <v/>
      </c>
      <c r="KT74" s="713" t="str">
        <f ca="1">IF(INDIRECT(CONCATENATE($FK$12,Fixtures!KT$25))="","",IF(INDIRECT(CONCATENATE($FK$12,Fixtures!KT$25))=Fixtures!$DN74,CONCATENATE(KT$10,", "),""))</f>
        <v/>
      </c>
      <c r="KU74" s="713" t="str">
        <f ca="1">IF(INDIRECT(CONCATENATE($FK$12,Fixtures!KU$25))="","",IF(INDIRECT(CONCATENATE($FK$12,Fixtures!KU$25))=Fixtures!$DN74,CONCATENATE(KU$10,", "),""))</f>
        <v/>
      </c>
      <c r="KV74" s="713" t="str">
        <f ca="1">IF(INDIRECT(CONCATENATE($FK$12,Fixtures!KV$25))="","",IF(INDIRECT(CONCATENATE($FK$12,Fixtures!KV$25))=Fixtures!$DN74,CONCATENATE(KV$10,", "),""))</f>
        <v/>
      </c>
      <c r="KW74" s="713" t="str">
        <f ca="1">IF(INDIRECT(CONCATENATE($FK$12,Fixtures!KW$25))="","",IF(INDIRECT(CONCATENATE($FK$12,Fixtures!KW$25))=Fixtures!$DN74,CONCATENATE(KW$10,", "),""))</f>
        <v/>
      </c>
      <c r="KX74" s="713" t="str">
        <f ca="1">IF(INDIRECT(CONCATENATE($FK$12,Fixtures!KX$25))="","",IF(INDIRECT(CONCATENATE($FK$12,Fixtures!KX$25))=Fixtures!$DN74,CONCATENATE(KX$10,", "),""))</f>
        <v/>
      </c>
      <c r="KY74" s="713" t="str">
        <f ca="1">IF(INDIRECT(CONCATENATE($FK$12,Fixtures!KY$25))="","",IF(INDIRECT(CONCATENATE($FK$12,Fixtures!KY$25))=Fixtures!$DN74,CONCATENATE(KY$10,", "),""))</f>
        <v/>
      </c>
      <c r="KZ74" s="602"/>
      <c r="LA74" s="46" t="str">
        <f t="shared" ca="1" si="38"/>
        <v/>
      </c>
    </row>
    <row r="75" spans="1:313" ht="28.05" customHeight="1" thickTop="1" thickBot="1">
      <c r="A75" s="471" t="str">
        <f t="shared" si="13"/>
        <v/>
      </c>
      <c r="C75" s="1328" t="str">
        <f t="shared" si="14"/>
        <v/>
      </c>
      <c r="D75" s="1329"/>
      <c r="E75" s="1256" t="str">
        <f t="shared" si="15"/>
        <v/>
      </c>
      <c r="F75" s="1257"/>
      <c r="G75" s="1257"/>
      <c r="H75" s="1257"/>
      <c r="I75" s="1257"/>
      <c r="J75" s="1257"/>
      <c r="K75" s="1257"/>
      <c r="L75" s="1257"/>
      <c r="M75" s="1330"/>
      <c r="N75" s="239" t="str">
        <f t="shared" si="16"/>
        <v/>
      </c>
      <c r="O75" s="12"/>
      <c r="P75" s="1326" t="str">
        <f t="shared" si="25"/>
        <v/>
      </c>
      <c r="Q75" s="1327"/>
      <c r="R75" s="1256" t="str">
        <f t="shared" si="31"/>
        <v/>
      </c>
      <c r="S75" s="1257"/>
      <c r="T75" s="1257"/>
      <c r="U75" s="1257"/>
      <c r="V75" s="1257"/>
      <c r="W75" s="1257"/>
      <c r="X75" s="1257"/>
      <c r="Y75" s="239" t="str">
        <f t="shared" si="27"/>
        <v/>
      </c>
      <c r="Z75" s="239" t="str">
        <f t="shared" si="28"/>
        <v/>
      </c>
      <c r="AA75" s="439" t="str">
        <f t="shared" si="29"/>
        <v/>
      </c>
      <c r="AB75" s="542"/>
      <c r="AC75" s="1253" t="str">
        <f t="shared" si="17"/>
        <v/>
      </c>
      <c r="AD75" s="1166"/>
      <c r="AE75" s="1166"/>
      <c r="AF75" s="1166"/>
      <c r="AG75" s="1166"/>
      <c r="AH75" s="1166"/>
      <c r="AK75">
        <f>SUMIFS(Installations!CS$39:CS$800,Installations!CT$39:CT$800,E75,Installations!HX$39:HX$800,TRUE)</f>
        <v>0</v>
      </c>
      <c r="AL75">
        <f>SUMIFS(Installations!CS$39:CS$800,Installations!CT$39:CT$800,R75,Installations!HX$39:HX$800,TRUE)</f>
        <v>0</v>
      </c>
      <c r="BL75" s="9"/>
      <c r="BM75" s="703" t="str">
        <f t="shared" si="18"/>
        <v/>
      </c>
      <c r="BN75" s="52"/>
      <c r="BO75" s="52"/>
      <c r="BP75" s="52"/>
      <c r="BQ75" s="52"/>
      <c r="BR75" s="52"/>
      <c r="BS75" s="52"/>
      <c r="BT75" s="52"/>
      <c r="BU75" s="414"/>
      <c r="BV75" s="255" t="str">
        <f>IF(CN75&lt;&gt;"Yes","",IFERROR(VLOOKUP(CU75,Existing!A$4:F$364,2,FALSE),""))</f>
        <v/>
      </c>
      <c r="BW75" s="9">
        <v>49</v>
      </c>
      <c r="BX75" s="1313"/>
      <c r="BY75" s="1314"/>
      <c r="BZ75" s="1314"/>
      <c r="CA75" s="1315"/>
      <c r="CB75" s="1310"/>
      <c r="CC75" s="1311"/>
      <c r="CD75" s="1311"/>
      <c r="CE75" s="1312"/>
      <c r="CF75" s="1309"/>
      <c r="CG75" s="1309"/>
      <c r="CH75" s="1309"/>
      <c r="CI75" s="1309"/>
      <c r="CJ75" s="1309"/>
      <c r="CK75" s="1309"/>
      <c r="CL75" s="1309"/>
      <c r="CM75" s="1309"/>
      <c r="CN75" s="1243" t="str">
        <f t="shared" si="32"/>
        <v/>
      </c>
      <c r="CO75" s="1244"/>
      <c r="CP75" s="265" t="str">
        <f>IFERROR(IF(CB75="Existing TLED",CR75*CW75*CY75,VLOOKUP(CU75,Existing!A$3:F$353,6,FALSE)),"")</f>
        <v/>
      </c>
      <c r="CQ75" s="9"/>
      <c r="CR75" s="1343"/>
      <c r="CS75" s="1344"/>
      <c r="CT75" s="9"/>
      <c r="CU75" s="470" t="str">
        <f t="shared" si="21"/>
        <v/>
      </c>
      <c r="CV75" s="471" t="b">
        <f t="shared" si="22"/>
        <v>0</v>
      </c>
      <c r="CW75" s="471" t="str">
        <f t="shared" si="23"/>
        <v/>
      </c>
      <c r="CX75" s="471">
        <f>IFERROR(VLOOKUP(CF75,Lookup!M$100:O$102,3,FALSE),0)</f>
        <v>0</v>
      </c>
      <c r="CY75" s="471">
        <f t="shared" si="9"/>
        <v>1.1100000000000001</v>
      </c>
      <c r="CZ75" s="707" t="b">
        <f t="shared" si="33"/>
        <v>0</v>
      </c>
      <c r="DA75" s="707" t="b">
        <f>IF(CF75&lt;&gt;"",IF(ISERROR(MATCH(CONCATENATE(CB75," - ",CF75),Existing!G$4:G$328,0))=TRUE,FALSE,TRUE),TRUE)</f>
        <v>1</v>
      </c>
      <c r="DB75" s="707" t="b">
        <f t="shared" si="34"/>
        <v>1</v>
      </c>
      <c r="DL75" s="9"/>
      <c r="DM75" s="708" t="s">
        <v>166</v>
      </c>
      <c r="DN75" s="416" t="str">
        <f t="shared" si="35"/>
        <v/>
      </c>
      <c r="DO75" s="52"/>
      <c r="DP75" s="52"/>
      <c r="DQ75" s="52"/>
      <c r="DR75" s="52"/>
      <c r="DS75" s="52"/>
      <c r="DT75" s="262"/>
      <c r="DU75" s="417"/>
      <c r="DV75" s="263" t="str">
        <f t="shared" si="36"/>
        <v/>
      </c>
      <c r="DW75" s="260">
        <v>49</v>
      </c>
      <c r="DX75" s="1306"/>
      <c r="DY75" s="1307"/>
      <c r="DZ75" s="1307"/>
      <c r="EA75" s="1308"/>
      <c r="EB75" s="1306"/>
      <c r="EC75" s="1307"/>
      <c r="ED75" s="1307"/>
      <c r="EE75" s="1308"/>
      <c r="EF75" s="1266"/>
      <c r="EG75" s="1267"/>
      <c r="EH75" s="1306"/>
      <c r="EI75" s="1307"/>
      <c r="EJ75" s="1307"/>
      <c r="EK75" s="1308"/>
      <c r="EL75" s="1263"/>
      <c r="EM75" s="1264"/>
      <c r="EN75" s="1264"/>
      <c r="EO75" s="1265"/>
      <c r="EP75" s="1266"/>
      <c r="EQ75" s="1267"/>
      <c r="ER75" s="1245"/>
      <c r="ES75" s="1246"/>
      <c r="ET75" s="1243" t="str">
        <f>IF(DX75="","",IF(FA75=TRUE,EF75*ER75*FB75,EP75))</f>
        <v/>
      </c>
      <c r="EU75" s="1244"/>
      <c r="EV75" s="1243" t="str">
        <f t="shared" si="30"/>
        <v/>
      </c>
      <c r="EW75" s="1244"/>
      <c r="EX75" s="438"/>
      <c r="EY75" s="261" t="str">
        <f t="shared" si="37"/>
        <v/>
      </c>
      <c r="EZ75" s="261" t="str">
        <f>IFERROR(VLOOKUP(EB75,Lookup!AM$3:AN$13,2,FALSE),"")</f>
        <v/>
      </c>
      <c r="FA75" s="471" t="b">
        <f>IFERROR(IF(VLOOKUP(EB75,Lookup!AM$6:AN$8,2,FALSE)&gt;3,TRUE,FALSE),FALSE)</f>
        <v>0</v>
      </c>
      <c r="FB75" s="471">
        <f t="shared" si="11"/>
        <v>1</v>
      </c>
      <c r="FC75" t="str">
        <f t="shared" ca="1" si="10"/>
        <v/>
      </c>
      <c r="FG75" t="str">
        <f t="shared" ca="1" si="12"/>
        <v/>
      </c>
      <c r="FI75" s="240" t="str">
        <f t="shared" ca="1" si="24"/>
        <v/>
      </c>
      <c r="FK75" s="712" t="str">
        <f ca="1">IF(INDIRECT(CONCATENATE($FK$12,Fixtures!FK$25))="","",IF(INDIRECT(CONCATENATE($FK$12,Fixtures!FK$25))=Fixtures!$DN75,CONCATENATE(FK$10,", "),""))</f>
        <v/>
      </c>
      <c r="FL75" s="712" t="str">
        <f ca="1">IF(INDIRECT(CONCATENATE($FK$12,Fixtures!FL$25))="","",IF(INDIRECT(CONCATENATE($FK$12,Fixtures!FL$25))=Fixtures!$DN75,CONCATENATE(FL$10,", "),""))</f>
        <v/>
      </c>
      <c r="FM75" s="712" t="str">
        <f ca="1">IF(INDIRECT(CONCATENATE($FK$12,Fixtures!FM$25))="","",IF(INDIRECT(CONCATENATE($FK$12,Fixtures!FM$25))=Fixtures!$DN75,CONCATENATE(FM$10,", "),""))</f>
        <v/>
      </c>
      <c r="FN75" s="712" t="str">
        <f ca="1">IF(INDIRECT(CONCATENATE($FK$12,Fixtures!FN$25))="","",IF(INDIRECT(CONCATENATE($FK$12,Fixtures!FN$25))=Fixtures!$DN75,CONCATENATE(FN$10,", "),""))</f>
        <v/>
      </c>
      <c r="FO75" s="712" t="str">
        <f ca="1">IF(INDIRECT(CONCATENATE($FK$12,Fixtures!FO$25))="","",IF(INDIRECT(CONCATENATE($FK$12,Fixtures!FO$25))=Fixtures!$DN75,CONCATENATE(FO$10,", "),""))</f>
        <v/>
      </c>
      <c r="FP75" s="712" t="str">
        <f ca="1">IF(INDIRECT(CONCATENATE($FK$12,Fixtures!FP$25))="","",IF(INDIRECT(CONCATENATE($FK$12,Fixtures!FP$25))=Fixtures!$DN75,CONCATENATE(FP$10,", "),""))</f>
        <v/>
      </c>
      <c r="FQ75" s="712" t="str">
        <f ca="1">IF(INDIRECT(CONCATENATE($FK$12,Fixtures!FQ$25))="","",IF(INDIRECT(CONCATENATE($FK$12,Fixtures!FQ$25))=Fixtures!$DN75,CONCATENATE(FQ$10,", "),""))</f>
        <v/>
      </c>
      <c r="FR75" s="712" t="str">
        <f ca="1">IF(INDIRECT(CONCATENATE($FK$12,Fixtures!FR$25))="","",IF(INDIRECT(CONCATENATE($FK$12,Fixtures!FR$25))=Fixtures!$DN75,CONCATENATE(FR$10,", "),""))</f>
        <v/>
      </c>
      <c r="FS75" s="712" t="str">
        <f ca="1">IF(INDIRECT(CONCATENATE($FK$12,Fixtures!FS$25))="","",IF(INDIRECT(CONCATENATE($FK$12,Fixtures!FS$25))=Fixtures!$DN75,CONCATENATE(FS$10,", "),""))</f>
        <v/>
      </c>
      <c r="FT75" s="682" t="str">
        <f ca="1">IF(INDIRECT(CONCATENATE($FK$12,Fixtures!FT$25))="","",IF(INDIRECT(CONCATENATE($FK$12,Fixtures!FT$25))=Fixtures!$DN75,CONCATENATE(FT$10,", "),""))</f>
        <v/>
      </c>
      <c r="FU75" s="683" t="str">
        <f ca="1">IF(INDIRECT(CONCATENATE($FK$12,Fixtures!FU$25))="","",IF(INDIRECT(CONCATENATE($FK$12,Fixtures!FU$25))=Fixtures!$DN75,CONCATENATE(FU$10,", "),""))</f>
        <v/>
      </c>
      <c r="FV75" s="712" t="str">
        <f ca="1">IF(INDIRECT(CONCATENATE($FK$12,Fixtures!FV$25))="","",IF(INDIRECT(CONCATENATE($FK$12,Fixtures!FV$25))=Fixtures!$DN75,CONCATENATE(FV$10,", "),""))</f>
        <v/>
      </c>
      <c r="FW75" s="713" t="str">
        <f ca="1">IF(INDIRECT(CONCATENATE($FK$12,Fixtures!FW$25))="","",IF(INDIRECT(CONCATENATE($FK$12,Fixtures!FW$25))=Fixtures!$DN75,CONCATENATE(FW$10,", "),""))</f>
        <v/>
      </c>
      <c r="FX75" s="713" t="str">
        <f ca="1">IF(INDIRECT(CONCATENATE($FK$12,Fixtures!FX$25))="","",IF(INDIRECT(CONCATENATE($FK$12,Fixtures!FX$25))=Fixtures!$DN75,CONCATENATE(FX$10,", "),""))</f>
        <v/>
      </c>
      <c r="FY75" s="713" t="str">
        <f ca="1">IF(INDIRECT(CONCATENATE($FK$12,Fixtures!FY$25))="","",IF(INDIRECT(CONCATENATE($FK$12,Fixtures!FY$25))=Fixtures!$DN75,CONCATENATE(FY$10,", "),""))</f>
        <v/>
      </c>
      <c r="FZ75" s="713" t="str">
        <f ca="1">IF(INDIRECT(CONCATENATE($FK$12,Fixtures!FZ$25))="","",IF(INDIRECT(CONCATENATE($FK$12,Fixtures!FZ$25))=Fixtures!$DN75,CONCATENATE(FZ$10,", "),""))</f>
        <v/>
      </c>
      <c r="GA75" s="713" t="str">
        <f ca="1">IF(INDIRECT(CONCATENATE($FK$12,Fixtures!GA$25))="","",IF(INDIRECT(CONCATENATE($FK$12,Fixtures!GA$25))=Fixtures!$DN75,CONCATENATE(GA$10,", "),""))</f>
        <v/>
      </c>
      <c r="GB75" s="713" t="str">
        <f ca="1">IF(INDIRECT(CONCATENATE($FK$12,Fixtures!GB$25))="","",IF(INDIRECT(CONCATENATE($FK$12,Fixtures!GB$25))=Fixtures!$DN75,CONCATENATE(GB$10,", "),""))</f>
        <v/>
      </c>
      <c r="GC75" s="713" t="str">
        <f ca="1">IF(INDIRECT(CONCATENATE($FK$12,Fixtures!GC$25))="","",IF(INDIRECT(CONCATENATE($FK$12,Fixtures!GC$25))=Fixtures!$DN75,CONCATENATE(GC$10,", "),""))</f>
        <v/>
      </c>
      <c r="GD75" s="713" t="str">
        <f ca="1">IF(INDIRECT(CONCATENATE($FK$12,Fixtures!GD$25))="","",IF(INDIRECT(CONCATENATE($FK$12,Fixtures!GD$25))=Fixtures!$DN75,CONCATENATE(GD$10,", "),""))</f>
        <v/>
      </c>
      <c r="GE75" s="713" t="str">
        <f ca="1">IF(INDIRECT(CONCATENATE($FK$12,Fixtures!GE$25))="","",IF(INDIRECT(CONCATENATE($FK$12,Fixtures!GE$25))=Fixtures!$DN75,CONCATENATE(GE$10,", "),""))</f>
        <v/>
      </c>
      <c r="GF75" s="713" t="str">
        <f ca="1">IF(INDIRECT(CONCATENATE($FK$12,Fixtures!GF$25))="","",IF(INDIRECT(CONCATENATE($FK$12,Fixtures!GF$25))=Fixtures!$DN75,CONCATENATE(GF$10,", "),""))</f>
        <v/>
      </c>
      <c r="GG75" s="713" t="str">
        <f ca="1">IF(INDIRECT(CONCATENATE($FK$12,Fixtures!GG$25))="","",IF(INDIRECT(CONCATENATE($FK$12,Fixtures!GG$25))=Fixtures!$DN75,CONCATENATE(GG$10,", "),""))</f>
        <v/>
      </c>
      <c r="GH75" s="713" t="str">
        <f ca="1">IF(INDIRECT(CONCATENATE($FK$12,Fixtures!GH$25))="","",IF(INDIRECT(CONCATENATE($FK$12,Fixtures!GH$25))=Fixtures!$DN75,CONCATENATE(GH$10,", "),""))</f>
        <v/>
      </c>
      <c r="GI75" s="684" t="str">
        <f ca="1">IF(INDIRECT(CONCATENATE($FK$12,Fixtures!GI$25))="","",IF(INDIRECT(CONCATENATE($FK$12,Fixtures!GI$25))=Fixtures!$DN75,CONCATENATE(GI$10,", "),""))</f>
        <v/>
      </c>
      <c r="GJ75" s="685" t="str">
        <f ca="1">IF(INDIRECT(CONCATENATE($FK$12,Fixtures!GJ$25))="","",IF(INDIRECT(CONCATENATE($FK$12,Fixtures!GJ$25))=Fixtures!$DN75,CONCATENATE(GJ$10,", "),""))</f>
        <v/>
      </c>
      <c r="GK75" s="713" t="str">
        <f ca="1">IF(INDIRECT(CONCATENATE($FK$12,Fixtures!GK$25))="","",IF(INDIRECT(CONCATENATE($FK$12,Fixtures!GK$25))=Fixtures!$DN75,CONCATENATE(GK$10,", "),""))</f>
        <v/>
      </c>
      <c r="GL75" s="713" t="str">
        <f ca="1">IF(INDIRECT(CONCATENATE($FK$12,Fixtures!GL$25))="","",IF(INDIRECT(CONCATENATE($FK$12,Fixtures!GL$25))=Fixtures!$DN75,CONCATENATE(GL$10,", "),""))</f>
        <v/>
      </c>
      <c r="GM75" s="713" t="str">
        <f ca="1">IF(INDIRECT(CONCATENATE($FK$12,Fixtures!GM$25))="","",IF(INDIRECT(CONCATENATE($FK$12,Fixtures!GM$25))=Fixtures!$DN75,CONCATENATE(GM$10,", "),""))</f>
        <v/>
      </c>
      <c r="GN75" s="713" t="str">
        <f ca="1">IF(INDIRECT(CONCATENATE($FK$12,Fixtures!GN$25))="","",IF(INDIRECT(CONCATENATE($FK$12,Fixtures!GN$25))=Fixtures!$DN75,CONCATENATE(GN$10,", "),""))</f>
        <v/>
      </c>
      <c r="GO75" s="713" t="str">
        <f ca="1">IF(INDIRECT(CONCATENATE($FK$12,Fixtures!GO$25))="","",IF(INDIRECT(CONCATENATE($FK$12,Fixtures!GO$25))=Fixtures!$DN75,CONCATENATE(GO$10,", "),""))</f>
        <v/>
      </c>
      <c r="GP75" s="713" t="str">
        <f ca="1">IF(INDIRECT(CONCATENATE($FK$12,Fixtures!GP$25))="","",IF(INDIRECT(CONCATENATE($FK$12,Fixtures!GP$25))=Fixtures!$DN75,CONCATENATE(GP$10,", "),""))</f>
        <v/>
      </c>
      <c r="GQ75" s="713" t="str">
        <f ca="1">IF(INDIRECT(CONCATENATE($FK$12,Fixtures!GQ$25))="","",IF(INDIRECT(CONCATENATE($FK$12,Fixtures!GQ$25))=Fixtures!$DN75,CONCATENATE(GQ$10,", "),""))</f>
        <v/>
      </c>
      <c r="GR75" s="713" t="str">
        <f ca="1">IF(INDIRECT(CONCATENATE($FK$12,Fixtures!GR$25))="","",IF(INDIRECT(CONCATENATE($FK$12,Fixtures!GR$25))=Fixtures!$DN75,CONCATENATE(GR$10,", "),""))</f>
        <v/>
      </c>
      <c r="GS75" s="713" t="str">
        <f ca="1">IF(INDIRECT(CONCATENATE($FK$12,Fixtures!GS$25))="","",IF(INDIRECT(CONCATENATE($FK$12,Fixtures!GS$25))=Fixtures!$DN75,CONCATENATE(GS$10,", "),""))</f>
        <v/>
      </c>
      <c r="GT75" s="713" t="str">
        <f ca="1">IF(INDIRECT(CONCATENATE($FK$12,Fixtures!GT$25))="","",IF(INDIRECT(CONCATENATE($FK$12,Fixtures!GT$25))=Fixtures!$DN75,CONCATENATE(GT$10,", "),""))</f>
        <v/>
      </c>
      <c r="GU75" s="713" t="str">
        <f ca="1">IF(INDIRECT(CONCATENATE($FK$12,Fixtures!GU$25))="","",IF(INDIRECT(CONCATENATE($FK$12,Fixtures!GU$25))=Fixtures!$DN75,CONCATENATE(GU$10,", "),""))</f>
        <v/>
      </c>
      <c r="GV75" s="713" t="str">
        <f ca="1">IF(INDIRECT(CONCATENATE($FK$12,Fixtures!GV$25))="","",IF(INDIRECT(CONCATENATE($FK$12,Fixtures!GV$25))=Fixtures!$DN75,CONCATENATE(GV$10,", "),""))</f>
        <v/>
      </c>
      <c r="GW75" s="713" t="str">
        <f ca="1">IF(INDIRECT(CONCATENATE($FK$12,Fixtures!GW$25))="","",IF(INDIRECT(CONCATENATE($FK$12,Fixtures!GW$25))=Fixtures!$DN75,CONCATENATE(GW$10,", "),""))</f>
        <v/>
      </c>
      <c r="GX75" s="684" t="str">
        <f ca="1">IF(INDIRECT(CONCATENATE($FK$12,Fixtures!GX$25))="","",IF(INDIRECT(CONCATENATE($FK$12,Fixtures!GX$25))=Fixtures!$DN75,CONCATENATE(GX$10,", "),""))</f>
        <v/>
      </c>
      <c r="GY75" s="685" t="str">
        <f ca="1">IF(INDIRECT(CONCATENATE($FK$12,Fixtures!GY$25))="","",IF(INDIRECT(CONCATENATE($FK$12,Fixtures!GY$25))=Fixtures!$DN75,CONCATENATE(GY$10,", "),""))</f>
        <v/>
      </c>
      <c r="GZ75" s="713" t="str">
        <f ca="1">IF(INDIRECT(CONCATENATE($FK$12,Fixtures!GZ$25))="","",IF(INDIRECT(CONCATENATE($FK$12,Fixtures!GZ$25))=Fixtures!$DN75,CONCATENATE(GZ$10,", "),""))</f>
        <v/>
      </c>
      <c r="HA75" s="713" t="str">
        <f ca="1">IF(INDIRECT(CONCATENATE($FK$12,Fixtures!HA$25))="","",IF(INDIRECT(CONCATENATE($FK$12,Fixtures!HA$25))=Fixtures!$DN75,CONCATENATE(HA$10,", "),""))</f>
        <v/>
      </c>
      <c r="HB75" s="713" t="str">
        <f ca="1">IF(INDIRECT(CONCATENATE($FK$12,Fixtures!HB$25))="","",IF(INDIRECT(CONCATENATE($FK$12,Fixtures!HB$25))=Fixtures!$DN75,CONCATENATE(HB$10,", "),""))</f>
        <v/>
      </c>
      <c r="HC75" s="713" t="str">
        <f ca="1">IF(INDIRECT(CONCATENATE($FK$12,Fixtures!HC$25))="","",IF(INDIRECT(CONCATENATE($FK$12,Fixtures!HC$25))=Fixtures!$DN75,CONCATENATE(HC$10,", "),""))</f>
        <v/>
      </c>
      <c r="HD75" s="713" t="str">
        <f ca="1">IF(INDIRECT(CONCATENATE($FK$12,Fixtures!HD$25))="","",IF(INDIRECT(CONCATENATE($FK$12,Fixtures!HD$25))=Fixtures!$DN75,CONCATENATE(HD$10,", "),""))</f>
        <v/>
      </c>
      <c r="HE75" s="713" t="str">
        <f ca="1">IF(INDIRECT(CONCATENATE($FK$12,Fixtures!HE$25))="","",IF(INDIRECT(CONCATENATE($FK$12,Fixtures!HE$25))=Fixtures!$DN75,CONCATENATE(HE$10,", "),""))</f>
        <v/>
      </c>
      <c r="HF75" s="713" t="str">
        <f ca="1">IF(INDIRECT(CONCATENATE($FK$12,Fixtures!HF$25))="","",IF(INDIRECT(CONCATENATE($FK$12,Fixtures!HF$25))=Fixtures!$DN75,CONCATENATE(HF$10,", "),""))</f>
        <v/>
      </c>
      <c r="HG75" s="713" t="str">
        <f ca="1">IF(INDIRECT(CONCATENATE($FK$12,Fixtures!HG$25))="","",IF(INDIRECT(CONCATENATE($FK$12,Fixtures!HG$25))=Fixtures!$DN75,CONCATENATE(HG$10,", "),""))</f>
        <v/>
      </c>
      <c r="HH75" s="713" t="str">
        <f ca="1">IF(INDIRECT(CONCATENATE($FK$12,Fixtures!HH$25))="","",IF(INDIRECT(CONCATENATE($FK$12,Fixtures!HH$25))=Fixtures!$DN75,CONCATENATE(HH$10,", "),""))</f>
        <v/>
      </c>
      <c r="HI75" s="713" t="str">
        <f ca="1">IF(INDIRECT(CONCATENATE($FK$12,Fixtures!HI$25))="","",IF(INDIRECT(CONCATENATE($FK$12,Fixtures!HI$25))=Fixtures!$DN75,CONCATENATE(HI$10,", "),""))</f>
        <v/>
      </c>
      <c r="HJ75" s="713" t="str">
        <f ca="1">IF(INDIRECT(CONCATENATE($FK$12,Fixtures!HJ$25))="","",IF(INDIRECT(CONCATENATE($FK$12,Fixtures!HJ$25))=Fixtures!$DN75,CONCATENATE(HJ$10,", "),""))</f>
        <v/>
      </c>
      <c r="HK75" s="713" t="str">
        <f ca="1">IF(INDIRECT(CONCATENATE($FK$12,Fixtures!HK$25))="","",IF(INDIRECT(CONCATENATE($FK$12,Fixtures!HK$25))=Fixtures!$DN75,CONCATENATE(HK$10,", "),""))</f>
        <v/>
      </c>
      <c r="HL75" s="713" t="str">
        <f ca="1">IF(INDIRECT(CONCATENATE($FK$12,Fixtures!HL$25))="","",IF(INDIRECT(CONCATENATE($FK$12,Fixtures!HL$25))=Fixtures!$DN75,CONCATENATE(HL$10,", "),""))</f>
        <v/>
      </c>
      <c r="HM75" s="684" t="str">
        <f ca="1">IF(INDIRECT(CONCATENATE($FK$12,Fixtures!HM$25))="","",IF(INDIRECT(CONCATENATE($FK$12,Fixtures!HM$25))=Fixtures!$DN75,CONCATENATE(HM$10,", "),""))</f>
        <v/>
      </c>
      <c r="HN75" s="685" t="str">
        <f ca="1">IF(INDIRECT(CONCATENATE($FK$12,Fixtures!HN$25))="","",IF(INDIRECT(CONCATENATE($FK$12,Fixtures!HN$25))=Fixtures!$DN75,CONCATENATE(HN$10,", "),""))</f>
        <v/>
      </c>
      <c r="HO75" s="713" t="str">
        <f ca="1">IF(INDIRECT(CONCATENATE($FK$12,Fixtures!HO$25))="","",IF(INDIRECT(CONCATENATE($FK$12,Fixtures!HO$25))=Fixtures!$DN75,CONCATENATE(HO$10,", "),""))</f>
        <v/>
      </c>
      <c r="HP75" s="713" t="str">
        <f ca="1">IF(INDIRECT(CONCATENATE($FK$12,Fixtures!HP$25))="","",IF(INDIRECT(CONCATENATE($FK$12,Fixtures!HP$25))=Fixtures!$DN75,CONCATENATE(HP$10,", "),""))</f>
        <v/>
      </c>
      <c r="HQ75" s="713" t="str">
        <f ca="1">IF(INDIRECT(CONCATENATE($FK$12,Fixtures!HQ$25))="","",IF(INDIRECT(CONCATENATE($FK$12,Fixtures!HQ$25))=Fixtures!$DN75,CONCATENATE(HQ$10,", "),""))</f>
        <v/>
      </c>
      <c r="HR75" s="713" t="str">
        <f ca="1">IF(INDIRECT(CONCATENATE($FK$12,Fixtures!HR$25))="","",IF(INDIRECT(CONCATENATE($FK$12,Fixtures!HR$25))=Fixtures!$DN75,CONCATENATE(HR$10,", "),""))</f>
        <v/>
      </c>
      <c r="HS75" s="713" t="str">
        <f ca="1">IF(INDIRECT(CONCATENATE($FK$12,Fixtures!HS$25))="","",IF(INDIRECT(CONCATENATE($FK$12,Fixtures!HS$25))=Fixtures!$DN75,CONCATENATE(HS$10,", "),""))</f>
        <v/>
      </c>
      <c r="HT75" s="713" t="str">
        <f ca="1">IF(INDIRECT(CONCATENATE($FK$12,Fixtures!HT$25))="","",IF(INDIRECT(CONCATENATE($FK$12,Fixtures!HT$25))=Fixtures!$DN75,CONCATENATE(HT$10,", "),""))</f>
        <v/>
      </c>
      <c r="HU75" s="713" t="str">
        <f ca="1">IF(INDIRECT(CONCATENATE($FK$12,Fixtures!HU$25))="","",IF(INDIRECT(CONCATENATE($FK$12,Fixtures!HU$25))=Fixtures!$DN75,CONCATENATE(HU$10,", "),""))</f>
        <v/>
      </c>
      <c r="HV75" s="713" t="str">
        <f ca="1">IF(INDIRECT(CONCATENATE($FK$12,Fixtures!HV$25))="","",IF(INDIRECT(CONCATENATE($FK$12,Fixtures!HV$25))=Fixtures!$DN75,CONCATENATE(HV$10,", "),""))</f>
        <v/>
      </c>
      <c r="HW75" s="713" t="str">
        <f ca="1">IF(INDIRECT(CONCATENATE($FK$12,Fixtures!HW$25))="","",IF(INDIRECT(CONCATENATE($FK$12,Fixtures!HW$25))=Fixtures!$DN75,CONCATENATE(HW$10,", "),""))</f>
        <v/>
      </c>
      <c r="HX75" s="713" t="str">
        <f ca="1">IF(INDIRECT(CONCATENATE($FK$12,Fixtures!HX$25))="","",IF(INDIRECT(CONCATENATE($FK$12,Fixtures!HX$25))=Fixtures!$DN75,CONCATENATE(HX$10,", "),""))</f>
        <v/>
      </c>
      <c r="HY75" s="713" t="str">
        <f ca="1">IF(INDIRECT(CONCATENATE($FK$12,Fixtures!HY$25))="","",IF(INDIRECT(CONCATENATE($FK$12,Fixtures!HY$25))=Fixtures!$DN75,CONCATENATE(HY$10,", "),""))</f>
        <v/>
      </c>
      <c r="HZ75" s="713" t="str">
        <f ca="1">IF(INDIRECT(CONCATENATE($FK$12,Fixtures!HZ$25))="","",IF(INDIRECT(CONCATENATE($FK$12,Fixtures!HZ$25))=Fixtures!$DN75,CONCATENATE(HZ$10,", "),""))</f>
        <v/>
      </c>
      <c r="IA75" s="713" t="str">
        <f ca="1">IF(INDIRECT(CONCATENATE($FK$12,Fixtures!IA$25))="","",IF(INDIRECT(CONCATENATE($FK$12,Fixtures!IA$25))=Fixtures!$DN75,CONCATENATE(IA$10,", "),""))</f>
        <v/>
      </c>
      <c r="IB75" s="684" t="str">
        <f ca="1">IF(INDIRECT(CONCATENATE($FK$12,Fixtures!IB$25))="","",IF(INDIRECT(CONCATENATE($FK$12,Fixtures!IB$25))=Fixtures!$DN75,CONCATENATE(IB$10,", "),""))</f>
        <v/>
      </c>
      <c r="IC75" s="685" t="str">
        <f ca="1">IF(INDIRECT(CONCATENATE($FK$12,Fixtures!IC$25))="","",IF(INDIRECT(CONCATENATE($FK$12,Fixtures!IC$25))=Fixtures!$DN75,CONCATENATE(IC$10,", "),""))</f>
        <v/>
      </c>
      <c r="ID75" s="713" t="str">
        <f ca="1">IF(INDIRECT(CONCATENATE($FK$12,Fixtures!ID$25))="","",IF(INDIRECT(CONCATENATE($FK$12,Fixtures!ID$25))=Fixtures!$DN75,CONCATENATE(ID$10,", "),""))</f>
        <v/>
      </c>
      <c r="IE75" s="713" t="str">
        <f ca="1">IF(INDIRECT(CONCATENATE($FK$12,Fixtures!IE$25))="","",IF(INDIRECT(CONCATENATE($FK$12,Fixtures!IE$25))=Fixtures!$DN75,CONCATENATE(IE$10,", "),""))</f>
        <v/>
      </c>
      <c r="IF75" s="713" t="str">
        <f ca="1">IF(INDIRECT(CONCATENATE($FK$12,Fixtures!IF$25))="","",IF(INDIRECT(CONCATENATE($FK$12,Fixtures!IF$25))=Fixtures!$DN75,CONCATENATE(IF$10,", "),""))</f>
        <v/>
      </c>
      <c r="IG75" s="713" t="str">
        <f ca="1">IF(INDIRECT(CONCATENATE($FK$12,Fixtures!IG$25))="","",IF(INDIRECT(CONCATENATE($FK$12,Fixtures!IG$25))=Fixtures!$DN75,CONCATENATE(IG$10,", "),""))</f>
        <v/>
      </c>
      <c r="IH75" s="713" t="str">
        <f ca="1">IF(INDIRECT(CONCATENATE($FK$12,Fixtures!IH$25))="","",IF(INDIRECT(CONCATENATE($FK$12,Fixtures!IH$25))=Fixtures!$DN75,CONCATENATE(IH$10,", "),""))</f>
        <v/>
      </c>
      <c r="II75" s="713" t="str">
        <f ca="1">IF(INDIRECT(CONCATENATE($FK$12,Fixtures!II$25))="","",IF(INDIRECT(CONCATENATE($FK$12,Fixtures!II$25))=Fixtures!$DN75,CONCATENATE(II$10,", "),""))</f>
        <v/>
      </c>
      <c r="IJ75" s="713" t="str">
        <f ca="1">IF(INDIRECT(CONCATENATE($FK$12,Fixtures!IJ$25))="","",IF(INDIRECT(CONCATENATE($FK$12,Fixtures!IJ$25))=Fixtures!$DN75,CONCATENATE(IJ$10,", "),""))</f>
        <v/>
      </c>
      <c r="IK75" s="713" t="str">
        <f ca="1">IF(INDIRECT(CONCATENATE($FK$12,Fixtures!IK$25))="","",IF(INDIRECT(CONCATENATE($FK$12,Fixtures!IK$25))=Fixtures!$DN75,CONCATENATE(IK$10,", "),""))</f>
        <v/>
      </c>
      <c r="IL75" s="713" t="str">
        <f ca="1">IF(INDIRECT(CONCATENATE($FK$12,Fixtures!IL$25))="","",IF(INDIRECT(CONCATENATE($FK$12,Fixtures!IL$25))=Fixtures!$DN75,CONCATENATE(IL$10,", "),""))</f>
        <v/>
      </c>
      <c r="IM75" s="713" t="str">
        <f ca="1">IF(INDIRECT(CONCATENATE($FK$12,Fixtures!IM$25))="","",IF(INDIRECT(CONCATENATE($FK$12,Fixtures!IM$25))=Fixtures!$DN75,CONCATENATE(IM$10,", "),""))</f>
        <v/>
      </c>
      <c r="IN75" s="713" t="str">
        <f ca="1">IF(INDIRECT(CONCATENATE($FK$12,Fixtures!IN$25))="","",IF(INDIRECT(CONCATENATE($FK$12,Fixtures!IN$25))=Fixtures!$DN75,CONCATENATE(IN$10,", "),""))</f>
        <v/>
      </c>
      <c r="IO75" s="713" t="str">
        <f ca="1">IF(INDIRECT(CONCATENATE($FK$12,Fixtures!IO$25))="","",IF(INDIRECT(CONCATENATE($FK$12,Fixtures!IO$25))=Fixtures!$DN75,CONCATENATE(IO$10,", "),""))</f>
        <v/>
      </c>
      <c r="IP75" s="713" t="str">
        <f ca="1">IF(INDIRECT(CONCATENATE($FK$12,Fixtures!IP$25))="","",IF(INDIRECT(CONCATENATE($FK$12,Fixtures!IP$25))=Fixtures!$DN75,CONCATENATE(IP$10,", "),""))</f>
        <v/>
      </c>
      <c r="IQ75" s="684" t="str">
        <f ca="1">IF(INDIRECT(CONCATENATE($FK$12,Fixtures!IQ$25))="","",IF(INDIRECT(CONCATENATE($FK$12,Fixtures!IQ$25))=Fixtures!$DN75,CONCATENATE(IQ$10,", "),""))</f>
        <v/>
      </c>
      <c r="IR75" s="685" t="str">
        <f ca="1">IF(INDIRECT(CONCATENATE($FK$12,Fixtures!IR$25))="","",IF(INDIRECT(CONCATENATE($FK$12,Fixtures!IR$25))=Fixtures!$DN75,CONCATENATE(IR$10,", "),""))</f>
        <v/>
      </c>
      <c r="IS75" s="713" t="str">
        <f ca="1">IF(INDIRECT(CONCATENATE($FK$12,Fixtures!IS$25))="","",IF(INDIRECT(CONCATENATE($FK$12,Fixtures!IS$25))=Fixtures!$DN75,CONCATENATE(IS$10,", "),""))</f>
        <v/>
      </c>
      <c r="IT75" s="713" t="str">
        <f ca="1">IF(INDIRECT(CONCATENATE($FK$12,Fixtures!IT$25))="","",IF(INDIRECT(CONCATENATE($FK$12,Fixtures!IT$25))=Fixtures!$DN75,CONCATENATE(IT$10,", "),""))</f>
        <v/>
      </c>
      <c r="IU75" s="713" t="str">
        <f ca="1">IF(INDIRECT(CONCATENATE($FK$12,Fixtures!IU$25))="","",IF(INDIRECT(CONCATENATE($FK$12,Fixtures!IU$25))=Fixtures!$DN75,CONCATENATE(IU$10,", "),""))</f>
        <v/>
      </c>
      <c r="IV75" s="713" t="str">
        <f ca="1">IF(INDIRECT(CONCATENATE($FK$12,Fixtures!IV$25))="","",IF(INDIRECT(CONCATENATE($FK$12,Fixtures!IV$25))=Fixtures!$DN75,CONCATENATE(IV$10,", "),""))</f>
        <v/>
      </c>
      <c r="IW75" s="713" t="str">
        <f ca="1">IF(INDIRECT(CONCATENATE($FK$12,Fixtures!IW$25))="","",IF(INDIRECT(CONCATENATE($FK$12,Fixtures!IW$25))=Fixtures!$DN75,CONCATENATE(IW$10,", "),""))</f>
        <v/>
      </c>
      <c r="IX75" s="713" t="str">
        <f ca="1">IF(INDIRECT(CONCATENATE($FK$12,Fixtures!IX$25))="","",IF(INDIRECT(CONCATENATE($FK$12,Fixtures!IX$25))=Fixtures!$DN75,CONCATENATE(IX$10,", "),""))</f>
        <v/>
      </c>
      <c r="IY75" s="713" t="str">
        <f ca="1">IF(INDIRECT(CONCATENATE($FK$12,Fixtures!IY$25))="","",IF(INDIRECT(CONCATENATE($FK$12,Fixtures!IY$25))=Fixtures!$DN75,CONCATENATE(IY$10,", "),""))</f>
        <v/>
      </c>
      <c r="IZ75" s="713" t="str">
        <f ca="1">IF(INDIRECT(CONCATENATE($FK$12,Fixtures!IZ$25))="","",IF(INDIRECT(CONCATENATE($FK$12,Fixtures!IZ$25))=Fixtures!$DN75,CONCATENATE(IZ$10,", "),""))</f>
        <v/>
      </c>
      <c r="JA75" s="713" t="str">
        <f ca="1">IF(INDIRECT(CONCATENATE($FK$12,Fixtures!JA$25))="","",IF(INDIRECT(CONCATENATE($FK$12,Fixtures!JA$25))=Fixtures!$DN75,CONCATENATE(JA$10,", "),""))</f>
        <v/>
      </c>
      <c r="JB75" s="713" t="str">
        <f ca="1">IF(INDIRECT(CONCATENATE($FK$12,Fixtures!JB$25))="","",IF(INDIRECT(CONCATENATE($FK$12,Fixtures!JB$25))=Fixtures!$DN75,CONCATENATE(JB$10,", "),""))</f>
        <v/>
      </c>
      <c r="JC75" s="713" t="str">
        <f ca="1">IF(INDIRECT(CONCATENATE($FK$12,Fixtures!JC$25))="","",IF(INDIRECT(CONCATENATE($FK$12,Fixtures!JC$25))=Fixtures!$DN75,CONCATENATE(JC$10,", "),""))</f>
        <v/>
      </c>
      <c r="JD75" s="713" t="str">
        <f ca="1">IF(INDIRECT(CONCATENATE($FK$12,Fixtures!JD$25))="","",IF(INDIRECT(CONCATENATE($FK$12,Fixtures!JD$25))=Fixtures!$DN75,CONCATENATE(JD$10,", "),""))</f>
        <v/>
      </c>
      <c r="JE75" s="713" t="str">
        <f ca="1">IF(INDIRECT(CONCATENATE($FK$12,Fixtures!JE$25))="","",IF(INDIRECT(CONCATENATE($FK$12,Fixtures!JE$25))=Fixtures!$DN75,CONCATENATE(JE$10,", "),""))</f>
        <v/>
      </c>
      <c r="JF75" s="684" t="str">
        <f ca="1">IF(INDIRECT(CONCATENATE($FK$12,Fixtures!JF$25))="","",IF(INDIRECT(CONCATENATE($FK$12,Fixtures!JF$25))=Fixtures!$DN75,CONCATENATE(JF$10,", "),""))</f>
        <v/>
      </c>
      <c r="JG75" s="685" t="str">
        <f ca="1">IF(INDIRECT(CONCATENATE($FK$12,Fixtures!JG$25))="","",IF(INDIRECT(CONCATENATE($FK$12,Fixtures!JG$25))=Fixtures!$DN75,CONCATENATE(JG$10,", "),""))</f>
        <v/>
      </c>
      <c r="JH75" s="713" t="str">
        <f ca="1">IF(INDIRECT(CONCATENATE($FK$12,Fixtures!JH$25))="","",IF(INDIRECT(CONCATENATE($FK$12,Fixtures!JH$25))=Fixtures!$DN75,CONCATENATE(JH$10,", "),""))</f>
        <v/>
      </c>
      <c r="JI75" s="713" t="str">
        <f ca="1">IF(INDIRECT(CONCATENATE($FK$12,Fixtures!JI$25))="","",IF(INDIRECT(CONCATENATE($FK$12,Fixtures!JI$25))=Fixtures!$DN75,CONCATENATE(JI$10,", "),""))</f>
        <v/>
      </c>
      <c r="JJ75" s="713" t="str">
        <f ca="1">IF(INDIRECT(CONCATENATE($FK$12,Fixtures!JJ$25))="","",IF(INDIRECT(CONCATENATE($FK$12,Fixtures!JJ$25))=Fixtures!$DN75,CONCATENATE(JJ$10,", "),""))</f>
        <v/>
      </c>
      <c r="JK75" s="713" t="str">
        <f ca="1">IF(INDIRECT(CONCATENATE($FK$12,Fixtures!JK$25))="","",IF(INDIRECT(CONCATENATE($FK$12,Fixtures!JK$25))=Fixtures!$DN75,CONCATENATE(JK$10,", "),""))</f>
        <v/>
      </c>
      <c r="JL75" s="713" t="str">
        <f ca="1">IF(INDIRECT(CONCATENATE($FK$12,Fixtures!JL$25))="","",IF(INDIRECT(CONCATENATE($FK$12,Fixtures!JL$25))=Fixtures!$DN75,CONCATENATE(JL$10,", "),""))</f>
        <v/>
      </c>
      <c r="JM75" s="713" t="str">
        <f ca="1">IF(INDIRECT(CONCATENATE($FK$12,Fixtures!JM$25))="","",IF(INDIRECT(CONCATENATE($FK$12,Fixtures!JM$25))=Fixtures!$DN75,CONCATENATE(JM$10,", "),""))</f>
        <v/>
      </c>
      <c r="JN75" s="713" t="str">
        <f ca="1">IF(INDIRECT(CONCATENATE($FK$12,Fixtures!JN$25))="","",IF(INDIRECT(CONCATENATE($FK$12,Fixtures!JN$25))=Fixtures!$DN75,CONCATENATE(JN$10,", "),""))</f>
        <v/>
      </c>
      <c r="JO75" s="713" t="str">
        <f ca="1">IF(INDIRECT(CONCATENATE($FK$12,Fixtures!JO$25))="","",IF(INDIRECT(CONCATENATE($FK$12,Fixtures!JO$25))=Fixtures!$DN75,CONCATENATE(JO$10,", "),""))</f>
        <v/>
      </c>
      <c r="JP75" s="713" t="str">
        <f ca="1">IF(INDIRECT(CONCATENATE($FK$12,Fixtures!JP$25))="","",IF(INDIRECT(CONCATENATE($FK$12,Fixtures!JP$25))=Fixtures!$DN75,CONCATENATE(JP$10,", "),""))</f>
        <v/>
      </c>
      <c r="JQ75" s="713" t="str">
        <f ca="1">IF(INDIRECT(CONCATENATE($FK$12,Fixtures!JQ$25))="","",IF(INDIRECT(CONCATENATE($FK$12,Fixtures!JQ$25))=Fixtures!$DN75,CONCATENATE(JQ$10,", "),""))</f>
        <v/>
      </c>
      <c r="JR75" s="713" t="str">
        <f ca="1">IF(INDIRECT(CONCATENATE($FK$12,Fixtures!JR$25))="","",IF(INDIRECT(CONCATENATE($FK$12,Fixtures!JR$25))=Fixtures!$DN75,CONCATENATE(JR$10,", "),""))</f>
        <v/>
      </c>
      <c r="JS75" s="713" t="str">
        <f ca="1">IF(INDIRECT(CONCATENATE($FK$12,Fixtures!JS$25))="","",IF(INDIRECT(CONCATENATE($FK$12,Fixtures!JS$25))=Fixtures!$DN75,CONCATENATE(JS$10,", "),""))</f>
        <v/>
      </c>
      <c r="JT75" s="713" t="str">
        <f ca="1">IF(INDIRECT(CONCATENATE($FK$12,Fixtures!JT$25))="","",IF(INDIRECT(CONCATENATE($FK$12,Fixtures!JT$25))=Fixtures!$DN75,CONCATENATE(JT$10,", "),""))</f>
        <v/>
      </c>
      <c r="JU75" s="684" t="str">
        <f ca="1">IF(INDIRECT(CONCATENATE($FK$12,Fixtures!JU$25))="","",IF(INDIRECT(CONCATENATE($FK$12,Fixtures!JU$25))=Fixtures!$DN75,CONCATENATE(JU$10,", "),""))</f>
        <v/>
      </c>
      <c r="JV75" s="685" t="str">
        <f ca="1">IF(INDIRECT(CONCATENATE($FK$12,Fixtures!JV$25))="","",IF(INDIRECT(CONCATENATE($FK$12,Fixtures!JV$25))=Fixtures!$DN75,CONCATENATE(JV$10,", "),""))</f>
        <v/>
      </c>
      <c r="JW75" s="713" t="str">
        <f ca="1">IF(INDIRECT(CONCATENATE($FK$12,Fixtures!JW$25))="","",IF(INDIRECT(CONCATENATE($FK$12,Fixtures!JW$25))=Fixtures!$DN75,CONCATENATE(JW$10,", "),""))</f>
        <v/>
      </c>
      <c r="JX75" s="713" t="str">
        <f ca="1">IF(INDIRECT(CONCATENATE($FK$12,Fixtures!JX$25))="","",IF(INDIRECT(CONCATENATE($FK$12,Fixtures!JX$25))=Fixtures!$DN75,CONCATENATE(JX$10,", "),""))</f>
        <v/>
      </c>
      <c r="JY75" s="713" t="str">
        <f ca="1">IF(INDIRECT(CONCATENATE($FK$12,Fixtures!JY$25))="","",IF(INDIRECT(CONCATENATE($FK$12,Fixtures!JY$25))=Fixtures!$DN75,CONCATENATE(JY$10,", "),""))</f>
        <v/>
      </c>
      <c r="JZ75" s="713" t="str">
        <f ca="1">IF(INDIRECT(CONCATENATE($FK$12,Fixtures!JZ$25))="","",IF(INDIRECT(CONCATENATE($FK$12,Fixtures!JZ$25))=Fixtures!$DN75,CONCATENATE(JZ$10,", "),""))</f>
        <v/>
      </c>
      <c r="KA75" s="713" t="str">
        <f ca="1">IF(INDIRECT(CONCATENATE($FK$12,Fixtures!KA$25))="","",IF(INDIRECT(CONCATENATE($FK$12,Fixtures!KA$25))=Fixtures!$DN75,CONCATENATE(KA$10,", "),""))</f>
        <v/>
      </c>
      <c r="KB75" s="713" t="str">
        <f ca="1">IF(INDIRECT(CONCATENATE($FK$12,Fixtures!KB$25))="","",IF(INDIRECT(CONCATENATE($FK$12,Fixtures!KB$25))=Fixtures!$DN75,CONCATENATE(KB$10,", "),""))</f>
        <v/>
      </c>
      <c r="KC75" s="713" t="str">
        <f ca="1">IF(INDIRECT(CONCATENATE($FK$12,Fixtures!KC$25))="","",IF(INDIRECT(CONCATENATE($FK$12,Fixtures!KC$25))=Fixtures!$DN75,CONCATENATE(KC$10,", "),""))</f>
        <v/>
      </c>
      <c r="KD75" s="713" t="str">
        <f ca="1">IF(INDIRECT(CONCATENATE($FK$12,Fixtures!KD$25))="","",IF(INDIRECT(CONCATENATE($FK$12,Fixtures!KD$25))=Fixtures!$DN75,CONCATENATE(KD$10,", "),""))</f>
        <v/>
      </c>
      <c r="KE75" s="713" t="str">
        <f ca="1">IF(INDIRECT(CONCATENATE($FK$12,Fixtures!KE$25))="","",IF(INDIRECT(CONCATENATE($FK$12,Fixtures!KE$25))=Fixtures!$DN75,CONCATENATE(KE$10,", "),""))</f>
        <v/>
      </c>
      <c r="KF75" s="713" t="str">
        <f ca="1">IF(INDIRECT(CONCATENATE($FK$12,Fixtures!KF$25))="","",IF(INDIRECT(CONCATENATE($FK$12,Fixtures!KF$25))=Fixtures!$DN75,CONCATENATE(KF$10,", "),""))</f>
        <v/>
      </c>
      <c r="KG75" s="713" t="str">
        <f ca="1">IF(INDIRECT(CONCATENATE($FK$12,Fixtures!KG$25))="","",IF(INDIRECT(CONCATENATE($FK$12,Fixtures!KG$25))=Fixtures!$DN75,CONCATENATE(KG$10,", "),""))</f>
        <v/>
      </c>
      <c r="KH75" s="713" t="str">
        <f ca="1">IF(INDIRECT(CONCATENATE($FK$12,Fixtures!KH$25))="","",IF(INDIRECT(CONCATENATE($FK$12,Fixtures!KH$25))=Fixtures!$DN75,CONCATENATE(KH$10,", "),""))</f>
        <v/>
      </c>
      <c r="KI75" s="713" t="str">
        <f ca="1">IF(INDIRECT(CONCATENATE($FK$12,Fixtures!KI$25))="","",IF(INDIRECT(CONCATENATE($FK$12,Fixtures!KI$25))=Fixtures!$DN75,CONCATENATE(KI$10,", "),""))</f>
        <v/>
      </c>
      <c r="KJ75" s="684" t="str">
        <f ca="1">IF(INDIRECT(CONCATENATE($FK$12,Fixtures!KJ$25))="","",IF(INDIRECT(CONCATENATE($FK$12,Fixtures!KJ$25))=Fixtures!$DN75,CONCATENATE(KJ$10,", "),""))</f>
        <v/>
      </c>
      <c r="KK75" s="685" t="str">
        <f ca="1">IF(INDIRECT(CONCATENATE($FK$12,Fixtures!KK$25))="","",IF(INDIRECT(CONCATENATE($FK$12,Fixtures!KK$25))=Fixtures!$DN75,CONCATENATE(KK$10,", "),""))</f>
        <v/>
      </c>
      <c r="KL75" s="713" t="str">
        <f ca="1">IF(INDIRECT(CONCATENATE($FK$12,Fixtures!KL$25))="","",IF(INDIRECT(CONCATENATE($FK$12,Fixtures!KL$25))=Fixtures!$DN75,CONCATENATE(KL$10,", "),""))</f>
        <v/>
      </c>
      <c r="KM75" s="713" t="str">
        <f ca="1">IF(INDIRECT(CONCATENATE($FK$12,Fixtures!KM$25))="","",IF(INDIRECT(CONCATENATE($FK$12,Fixtures!KM$25))=Fixtures!$DN75,CONCATENATE(KM$10,", "),""))</f>
        <v/>
      </c>
      <c r="KN75" s="713" t="str">
        <f ca="1">IF(INDIRECT(CONCATENATE($FK$12,Fixtures!KN$25))="","",IF(INDIRECT(CONCATENATE($FK$12,Fixtures!KN$25))=Fixtures!$DN75,CONCATENATE(KN$10,", "),""))</f>
        <v/>
      </c>
      <c r="KO75" s="713" t="str">
        <f ca="1">IF(INDIRECT(CONCATENATE($FK$12,Fixtures!KO$25))="","",IF(INDIRECT(CONCATENATE($FK$12,Fixtures!KO$25))=Fixtures!$DN75,CONCATENATE(KO$10,", "),""))</f>
        <v/>
      </c>
      <c r="KP75" s="713" t="str">
        <f ca="1">IF(INDIRECT(CONCATENATE($FK$12,Fixtures!KP$25))="","",IF(INDIRECT(CONCATENATE($FK$12,Fixtures!KP$25))=Fixtures!$DN75,CONCATENATE(KP$10,", "),""))</f>
        <v/>
      </c>
      <c r="KQ75" s="713" t="str">
        <f ca="1">IF(INDIRECT(CONCATENATE($FK$12,Fixtures!KQ$25))="","",IF(INDIRECT(CONCATENATE($FK$12,Fixtures!KQ$25))=Fixtures!$DN75,CONCATENATE(KQ$10,", "),""))</f>
        <v/>
      </c>
      <c r="KR75" s="713" t="str">
        <f ca="1">IF(INDIRECT(CONCATENATE($FK$12,Fixtures!KR$25))="","",IF(INDIRECT(CONCATENATE($FK$12,Fixtures!KR$25))=Fixtures!$DN75,CONCATENATE(KR$10,", "),""))</f>
        <v/>
      </c>
      <c r="KS75" s="713" t="str">
        <f ca="1">IF(INDIRECT(CONCATENATE($FK$12,Fixtures!KS$25))="","",IF(INDIRECT(CONCATENATE($FK$12,Fixtures!KS$25))=Fixtures!$DN75,CONCATENATE(KS$10,", "),""))</f>
        <v/>
      </c>
      <c r="KT75" s="713" t="str">
        <f ca="1">IF(INDIRECT(CONCATENATE($FK$12,Fixtures!KT$25))="","",IF(INDIRECT(CONCATENATE($FK$12,Fixtures!KT$25))=Fixtures!$DN75,CONCATENATE(KT$10,", "),""))</f>
        <v/>
      </c>
      <c r="KU75" s="713" t="str">
        <f ca="1">IF(INDIRECT(CONCATENATE($FK$12,Fixtures!KU$25))="","",IF(INDIRECT(CONCATENATE($FK$12,Fixtures!KU$25))=Fixtures!$DN75,CONCATENATE(KU$10,", "),""))</f>
        <v/>
      </c>
      <c r="KV75" s="713" t="str">
        <f ca="1">IF(INDIRECT(CONCATENATE($FK$12,Fixtures!KV$25))="","",IF(INDIRECT(CONCATENATE($FK$12,Fixtures!KV$25))=Fixtures!$DN75,CONCATENATE(KV$10,", "),""))</f>
        <v/>
      </c>
      <c r="KW75" s="713" t="str">
        <f ca="1">IF(INDIRECT(CONCATENATE($FK$12,Fixtures!KW$25))="","",IF(INDIRECT(CONCATENATE($FK$12,Fixtures!KW$25))=Fixtures!$DN75,CONCATENATE(KW$10,", "),""))</f>
        <v/>
      </c>
      <c r="KX75" s="713" t="str">
        <f ca="1">IF(INDIRECT(CONCATENATE($FK$12,Fixtures!KX$25))="","",IF(INDIRECT(CONCATENATE($FK$12,Fixtures!KX$25))=Fixtures!$DN75,CONCATENATE(KX$10,", "),""))</f>
        <v/>
      </c>
      <c r="KY75" s="713" t="str">
        <f ca="1">IF(INDIRECT(CONCATENATE($FK$12,Fixtures!KY$25))="","",IF(INDIRECT(CONCATENATE($FK$12,Fixtures!KY$25))=Fixtures!$DN75,CONCATENATE(KY$10,", "),""))</f>
        <v/>
      </c>
      <c r="KZ75" s="602"/>
      <c r="LA75" s="46" t="str">
        <f t="shared" ca="1" si="38"/>
        <v/>
      </c>
    </row>
    <row r="76" spans="1:313" ht="28.05" customHeight="1" thickTop="1" thickBot="1">
      <c r="A76" s="471" t="str">
        <f t="shared" si="13"/>
        <v/>
      </c>
      <c r="C76" s="1328" t="str">
        <f t="shared" si="14"/>
        <v/>
      </c>
      <c r="D76" s="1329"/>
      <c r="E76" s="1256" t="str">
        <f t="shared" si="15"/>
        <v/>
      </c>
      <c r="F76" s="1257"/>
      <c r="G76" s="1257"/>
      <c r="H76" s="1257"/>
      <c r="I76" s="1257"/>
      <c r="J76" s="1257"/>
      <c r="K76" s="1257"/>
      <c r="L76" s="1257"/>
      <c r="M76" s="1330"/>
      <c r="N76" s="239" t="str">
        <f t="shared" si="16"/>
        <v/>
      </c>
      <c r="O76" s="12"/>
      <c r="P76" s="1326" t="str">
        <f t="shared" si="25"/>
        <v/>
      </c>
      <c r="Q76" s="1327"/>
      <c r="R76" s="1256" t="str">
        <f t="shared" si="31"/>
        <v/>
      </c>
      <c r="S76" s="1257"/>
      <c r="T76" s="1257"/>
      <c r="U76" s="1257"/>
      <c r="V76" s="1257"/>
      <c r="W76" s="1257"/>
      <c r="X76" s="1257"/>
      <c r="Y76" s="239" t="str">
        <f t="shared" si="27"/>
        <v/>
      </c>
      <c r="Z76" s="239" t="str">
        <f t="shared" si="28"/>
        <v/>
      </c>
      <c r="AA76" s="439" t="str">
        <f t="shared" si="29"/>
        <v/>
      </c>
      <c r="AB76" s="542"/>
      <c r="AC76" s="1253" t="str">
        <f t="shared" si="17"/>
        <v/>
      </c>
      <c r="AD76" s="1166"/>
      <c r="AE76" s="1166"/>
      <c r="AF76" s="1166"/>
      <c r="AG76" s="1166"/>
      <c r="AH76" s="1166"/>
      <c r="AK76">
        <f>SUMIFS(Installations!CS$39:CS$800,Installations!CT$39:CT$800,E76,Installations!HX$39:HX$800,TRUE)</f>
        <v>0</v>
      </c>
      <c r="AL76">
        <f>SUMIFS(Installations!CS$39:CS$800,Installations!CT$39:CT$800,R76,Installations!HX$39:HX$800,TRUE)</f>
        <v>0</v>
      </c>
      <c r="BL76" s="9"/>
      <c r="BM76" s="714" t="str">
        <f t="shared" si="18"/>
        <v/>
      </c>
      <c r="BN76" s="54"/>
      <c r="BO76" s="54"/>
      <c r="BP76" s="54"/>
      <c r="BQ76" s="54"/>
      <c r="BR76" s="54"/>
      <c r="BS76" s="54"/>
      <c r="BT76" s="54"/>
      <c r="BU76" s="415"/>
      <c r="BV76" s="256" t="str">
        <f>IF(CN76&lt;&gt;"Yes","",IFERROR(VLOOKUP(CU76,Existing!A$4:F$364,2,FALSE),""))</f>
        <v/>
      </c>
      <c r="BW76" s="9">
        <v>50</v>
      </c>
      <c r="BX76" s="1313"/>
      <c r="BY76" s="1314"/>
      <c r="BZ76" s="1314"/>
      <c r="CA76" s="1315"/>
      <c r="CB76" s="1310"/>
      <c r="CC76" s="1311"/>
      <c r="CD76" s="1311"/>
      <c r="CE76" s="1312"/>
      <c r="CF76" s="1309"/>
      <c r="CG76" s="1309"/>
      <c r="CH76" s="1309"/>
      <c r="CI76" s="1309"/>
      <c r="CJ76" s="1309"/>
      <c r="CK76" s="1309"/>
      <c r="CL76" s="1309"/>
      <c r="CM76" s="1309"/>
      <c r="CN76" s="1243" t="str">
        <f t="shared" si="32"/>
        <v/>
      </c>
      <c r="CO76" s="1244"/>
      <c r="CP76" s="265" t="str">
        <f>IFERROR(IF(CB76="Existing TLED",CR76*CW76*CY76,VLOOKUP(CU76,Existing!A$3:F$353,6,FALSE)),"")</f>
        <v/>
      </c>
      <c r="CQ76" s="9"/>
      <c r="CR76" s="1343"/>
      <c r="CS76" s="1344"/>
      <c r="CT76" s="9"/>
      <c r="CU76" s="470" t="str">
        <f t="shared" si="21"/>
        <v/>
      </c>
      <c r="CV76" s="471" t="b">
        <f t="shared" si="22"/>
        <v>0</v>
      </c>
      <c r="CW76" s="471" t="str">
        <f t="shared" si="23"/>
        <v/>
      </c>
      <c r="CX76" s="471">
        <f>IFERROR(VLOOKUP(CF76,Lookup!M$100:O$102,3,FALSE),0)</f>
        <v>0</v>
      </c>
      <c r="CY76" s="471">
        <f t="shared" si="9"/>
        <v>1.1100000000000001</v>
      </c>
      <c r="CZ76" s="707" t="b">
        <f t="shared" si="33"/>
        <v>0</v>
      </c>
      <c r="DA76" s="707" t="b">
        <f>IF(CF76&lt;&gt;"",IF(ISERROR(MATCH(CONCATENATE(CB76," - ",CF76),Existing!G$4:G$328,0))=TRUE,FALSE,TRUE),TRUE)</f>
        <v>1</v>
      </c>
      <c r="DB76" s="707" t="b">
        <f t="shared" si="34"/>
        <v>1</v>
      </c>
      <c r="DL76" s="9"/>
      <c r="DM76" s="418" t="s">
        <v>166</v>
      </c>
      <c r="DN76" s="419" t="str">
        <f t="shared" si="35"/>
        <v>08 Other Interior Fixture Removed, (1) Existing #Removed</v>
      </c>
      <c r="DO76" s="54"/>
      <c r="DP76" s="54"/>
      <c r="DQ76" s="54"/>
      <c r="DR76" s="54"/>
      <c r="DS76" s="54"/>
      <c r="DT76" s="264"/>
      <c r="DU76" s="420"/>
      <c r="DV76" s="263" t="str">
        <f t="shared" si="36"/>
        <v>Fixture Removed, (1) Existing #Removed</v>
      </c>
      <c r="DW76" s="260">
        <v>50</v>
      </c>
      <c r="DX76" s="1332" t="s">
        <v>179</v>
      </c>
      <c r="DY76" s="1333"/>
      <c r="DZ76" s="1333"/>
      <c r="EA76" s="1334"/>
      <c r="EB76" s="1332" t="s">
        <v>180</v>
      </c>
      <c r="EC76" s="1333"/>
      <c r="ED76" s="1333"/>
      <c r="EE76" s="1334"/>
      <c r="EF76" s="1335">
        <v>1</v>
      </c>
      <c r="EG76" s="1336"/>
      <c r="EH76" s="1332" t="s">
        <v>178</v>
      </c>
      <c r="EI76" s="1333"/>
      <c r="EJ76" s="1333"/>
      <c r="EK76" s="1334"/>
      <c r="EL76" s="1302" t="s">
        <v>181</v>
      </c>
      <c r="EM76" s="1303"/>
      <c r="EN76" s="1303"/>
      <c r="EO76" s="1304"/>
      <c r="EP76" s="1266">
        <v>0</v>
      </c>
      <c r="EQ76" s="1267"/>
      <c r="ER76" s="1245"/>
      <c r="ES76" s="1246"/>
      <c r="ET76" s="1243">
        <f>IF(DX76="","",IF(FA76=TRUE,EF76*ER76*FB76,EP76))</f>
        <v>0</v>
      </c>
      <c r="EU76" s="1244"/>
      <c r="EV76" s="1243" t="str">
        <f t="shared" si="30"/>
        <v>YES</v>
      </c>
      <c r="EW76" s="1244"/>
      <c r="EX76" s="440"/>
      <c r="EY76" s="261">
        <f t="shared" si="37"/>
        <v>15</v>
      </c>
      <c r="EZ76" s="261">
        <f>IFERROR(VLOOKUP(EB76,Lookup!AM$3:AN$13,2,FALSE),"")</f>
        <v>10</v>
      </c>
      <c r="FA76" s="471" t="b">
        <f>IFERROR(IF(VLOOKUP(EB76,Lookup!AM$6:AN$8,2,FALSE)&gt;3,TRUE,FALSE),FALSE)</f>
        <v>0</v>
      </c>
      <c r="FB76" s="471">
        <f t="shared" si="11"/>
        <v>1</v>
      </c>
      <c r="FC76" t="str">
        <f t="shared" ca="1" si="10"/>
        <v/>
      </c>
      <c r="FG76" t="str">
        <f t="shared" ca="1" si="12"/>
        <v/>
      </c>
      <c r="FI76" s="240" t="str">
        <f t="shared" ca="1" si="24"/>
        <v/>
      </c>
      <c r="FK76" s="712" t="str">
        <f ca="1">IF(INDIRECT(CONCATENATE($FK$12,Fixtures!FK$25))="","",IF(INDIRECT(CONCATENATE($FK$12,Fixtures!FK$25))=Fixtures!$DN76,CONCATENATE(FK$10,", "),""))</f>
        <v/>
      </c>
      <c r="FL76" s="712" t="str">
        <f ca="1">IF(INDIRECT(CONCATENATE($FK$12,Fixtures!FL$25))="","",IF(INDIRECT(CONCATENATE($FK$12,Fixtures!FL$25))=Fixtures!$DN76,CONCATENATE(FL$10,", "),""))</f>
        <v/>
      </c>
      <c r="FM76" s="712" t="str">
        <f ca="1">IF(INDIRECT(CONCATENATE($FK$12,Fixtures!FM$25))="","",IF(INDIRECT(CONCATENATE($FK$12,Fixtures!FM$25))=Fixtures!$DN76,CONCATENATE(FM$10,", "),""))</f>
        <v/>
      </c>
      <c r="FN76" s="712" t="str">
        <f ca="1">IF(INDIRECT(CONCATENATE($FK$12,Fixtures!FN$25))="","",IF(INDIRECT(CONCATENATE($FK$12,Fixtures!FN$25))=Fixtures!$DN76,CONCATENATE(FN$10,", "),""))</f>
        <v/>
      </c>
      <c r="FO76" s="712" t="str">
        <f ca="1">IF(INDIRECT(CONCATENATE($FK$12,Fixtures!FO$25))="","",IF(INDIRECT(CONCATENATE($FK$12,Fixtures!FO$25))=Fixtures!$DN76,CONCATENATE(FO$10,", "),""))</f>
        <v/>
      </c>
      <c r="FP76" s="712" t="str">
        <f ca="1">IF(INDIRECT(CONCATENATE($FK$12,Fixtures!FP$25))="","",IF(INDIRECT(CONCATENATE($FK$12,Fixtures!FP$25))=Fixtures!$DN76,CONCATENATE(FP$10,", "),""))</f>
        <v/>
      </c>
      <c r="FQ76" s="712" t="str">
        <f ca="1">IF(INDIRECT(CONCATENATE($FK$12,Fixtures!FQ$25))="","",IF(INDIRECT(CONCATENATE($FK$12,Fixtures!FQ$25))=Fixtures!$DN76,CONCATENATE(FQ$10,", "),""))</f>
        <v/>
      </c>
      <c r="FR76" s="712" t="str">
        <f ca="1">IF(INDIRECT(CONCATENATE($FK$12,Fixtures!FR$25))="","",IF(INDIRECT(CONCATENATE($FK$12,Fixtures!FR$25))=Fixtures!$DN76,CONCATENATE(FR$10,", "),""))</f>
        <v/>
      </c>
      <c r="FS76" s="712" t="str">
        <f ca="1">IF(INDIRECT(CONCATENATE($FK$12,Fixtures!FS$25))="","",IF(INDIRECT(CONCATENATE($FK$12,Fixtures!FS$25))=Fixtures!$DN76,CONCATENATE(FS$10,", "),""))</f>
        <v/>
      </c>
      <c r="FT76" s="682" t="str">
        <f ca="1">IF(INDIRECT(CONCATENATE($FK$12,Fixtures!FT$25))="","",IF(INDIRECT(CONCATENATE($FK$12,Fixtures!FT$25))=Fixtures!$DN76,CONCATENATE(FT$10,", "),""))</f>
        <v/>
      </c>
      <c r="FU76" s="683" t="str">
        <f ca="1">IF(INDIRECT(CONCATENATE($FK$12,Fixtures!FU$25))="","",IF(INDIRECT(CONCATENATE($FK$12,Fixtures!FU$25))=Fixtures!$DN76,CONCATENATE(FU$10,", "),""))</f>
        <v/>
      </c>
      <c r="FV76" s="712" t="str">
        <f ca="1">IF(INDIRECT(CONCATENATE($FK$12,Fixtures!FV$25))="","",IF(INDIRECT(CONCATENATE($FK$12,Fixtures!FV$25))=Fixtures!$DN76,CONCATENATE(FV$10,", "),""))</f>
        <v/>
      </c>
      <c r="FW76" s="713" t="str">
        <f ca="1">IF(INDIRECT(CONCATENATE($FK$12,Fixtures!FW$25))="","",IF(INDIRECT(CONCATENATE($FK$12,Fixtures!FW$25))=Fixtures!$DN76,CONCATENATE(FW$10,", "),""))</f>
        <v/>
      </c>
      <c r="FX76" s="713" t="str">
        <f ca="1">IF(INDIRECT(CONCATENATE($FK$12,Fixtures!FX$25))="","",IF(INDIRECT(CONCATENATE($FK$12,Fixtures!FX$25))=Fixtures!$DN76,CONCATENATE(FX$10,", "),""))</f>
        <v/>
      </c>
      <c r="FY76" s="713" t="str">
        <f ca="1">IF(INDIRECT(CONCATENATE($FK$12,Fixtures!FY$25))="","",IF(INDIRECT(CONCATENATE($FK$12,Fixtures!FY$25))=Fixtures!$DN76,CONCATENATE(FY$10,", "),""))</f>
        <v/>
      </c>
      <c r="FZ76" s="713" t="str">
        <f ca="1">IF(INDIRECT(CONCATENATE($FK$12,Fixtures!FZ$25))="","",IF(INDIRECT(CONCATENATE($FK$12,Fixtures!FZ$25))=Fixtures!$DN76,CONCATENATE(FZ$10,", "),""))</f>
        <v/>
      </c>
      <c r="GA76" s="713" t="str">
        <f ca="1">IF(INDIRECT(CONCATENATE($FK$12,Fixtures!GA$25))="","",IF(INDIRECT(CONCATENATE($FK$12,Fixtures!GA$25))=Fixtures!$DN76,CONCATENATE(GA$10,", "),""))</f>
        <v/>
      </c>
      <c r="GB76" s="713" t="str">
        <f ca="1">IF(INDIRECT(CONCATENATE($FK$12,Fixtures!GB$25))="","",IF(INDIRECT(CONCATENATE($FK$12,Fixtures!GB$25))=Fixtures!$DN76,CONCATENATE(GB$10,", "),""))</f>
        <v/>
      </c>
      <c r="GC76" s="713" t="str">
        <f ca="1">IF(INDIRECT(CONCATENATE($FK$12,Fixtures!GC$25))="","",IF(INDIRECT(CONCATENATE($FK$12,Fixtures!GC$25))=Fixtures!$DN76,CONCATENATE(GC$10,", "),""))</f>
        <v/>
      </c>
      <c r="GD76" s="713" t="str">
        <f ca="1">IF(INDIRECT(CONCATENATE($FK$12,Fixtures!GD$25))="","",IF(INDIRECT(CONCATENATE($FK$12,Fixtures!GD$25))=Fixtures!$DN76,CONCATENATE(GD$10,", "),""))</f>
        <v/>
      </c>
      <c r="GE76" s="713" t="str">
        <f ca="1">IF(INDIRECT(CONCATENATE($FK$12,Fixtures!GE$25))="","",IF(INDIRECT(CONCATENATE($FK$12,Fixtures!GE$25))=Fixtures!$DN76,CONCATENATE(GE$10,", "),""))</f>
        <v/>
      </c>
      <c r="GF76" s="713" t="str">
        <f ca="1">IF(INDIRECT(CONCATENATE($FK$12,Fixtures!GF$25))="","",IF(INDIRECT(CONCATENATE($FK$12,Fixtures!GF$25))=Fixtures!$DN76,CONCATENATE(GF$10,", "),""))</f>
        <v/>
      </c>
      <c r="GG76" s="713" t="str">
        <f ca="1">IF(INDIRECT(CONCATENATE($FK$12,Fixtures!GG$25))="","",IF(INDIRECT(CONCATENATE($FK$12,Fixtures!GG$25))=Fixtures!$DN76,CONCATENATE(GG$10,", "),""))</f>
        <v/>
      </c>
      <c r="GH76" s="713" t="str">
        <f ca="1">IF(INDIRECT(CONCATENATE($FK$12,Fixtures!GH$25))="","",IF(INDIRECT(CONCATENATE($FK$12,Fixtures!GH$25))=Fixtures!$DN76,CONCATENATE(GH$10,", "),""))</f>
        <v/>
      </c>
      <c r="GI76" s="684" t="str">
        <f ca="1">IF(INDIRECT(CONCATENATE($FK$12,Fixtures!GI$25))="","",IF(INDIRECT(CONCATENATE($FK$12,Fixtures!GI$25))=Fixtures!$DN76,CONCATENATE(GI$10,", "),""))</f>
        <v/>
      </c>
      <c r="GJ76" s="685" t="str">
        <f ca="1">IF(INDIRECT(CONCATENATE($FK$12,Fixtures!GJ$25))="","",IF(INDIRECT(CONCATENATE($FK$12,Fixtures!GJ$25))=Fixtures!$DN76,CONCATENATE(GJ$10,", "),""))</f>
        <v/>
      </c>
      <c r="GK76" s="713" t="str">
        <f ca="1">IF(INDIRECT(CONCATENATE($FK$12,Fixtures!GK$25))="","",IF(INDIRECT(CONCATENATE($FK$12,Fixtures!GK$25))=Fixtures!$DN76,CONCATENATE(GK$10,", "),""))</f>
        <v/>
      </c>
      <c r="GL76" s="713" t="str">
        <f ca="1">IF(INDIRECT(CONCATENATE($FK$12,Fixtures!GL$25))="","",IF(INDIRECT(CONCATENATE($FK$12,Fixtures!GL$25))=Fixtures!$DN76,CONCATENATE(GL$10,", "),""))</f>
        <v/>
      </c>
      <c r="GM76" s="713" t="str">
        <f ca="1">IF(INDIRECT(CONCATENATE($FK$12,Fixtures!GM$25))="","",IF(INDIRECT(CONCATENATE($FK$12,Fixtures!GM$25))=Fixtures!$DN76,CONCATENATE(GM$10,", "),""))</f>
        <v/>
      </c>
      <c r="GN76" s="713" t="str">
        <f ca="1">IF(INDIRECT(CONCATENATE($FK$12,Fixtures!GN$25))="","",IF(INDIRECT(CONCATENATE($FK$12,Fixtures!GN$25))=Fixtures!$DN76,CONCATENATE(GN$10,", "),""))</f>
        <v/>
      </c>
      <c r="GO76" s="713" t="str">
        <f ca="1">IF(INDIRECT(CONCATENATE($FK$12,Fixtures!GO$25))="","",IF(INDIRECT(CONCATENATE($FK$12,Fixtures!GO$25))=Fixtures!$DN76,CONCATENATE(GO$10,", "),""))</f>
        <v/>
      </c>
      <c r="GP76" s="713" t="str">
        <f ca="1">IF(INDIRECT(CONCATENATE($FK$12,Fixtures!GP$25))="","",IF(INDIRECT(CONCATENATE($FK$12,Fixtures!GP$25))=Fixtures!$DN76,CONCATENATE(GP$10,", "),""))</f>
        <v/>
      </c>
      <c r="GQ76" s="713" t="str">
        <f ca="1">IF(INDIRECT(CONCATENATE($FK$12,Fixtures!GQ$25))="","",IF(INDIRECT(CONCATENATE($FK$12,Fixtures!GQ$25))=Fixtures!$DN76,CONCATENATE(GQ$10,", "),""))</f>
        <v/>
      </c>
      <c r="GR76" s="713" t="str">
        <f ca="1">IF(INDIRECT(CONCATENATE($FK$12,Fixtures!GR$25))="","",IF(INDIRECT(CONCATENATE($FK$12,Fixtures!GR$25))=Fixtures!$DN76,CONCATENATE(GR$10,", "),""))</f>
        <v/>
      </c>
      <c r="GS76" s="713" t="str">
        <f ca="1">IF(INDIRECT(CONCATENATE($FK$12,Fixtures!GS$25))="","",IF(INDIRECT(CONCATENATE($FK$12,Fixtures!GS$25))=Fixtures!$DN76,CONCATENATE(GS$10,", "),""))</f>
        <v/>
      </c>
      <c r="GT76" s="713" t="str">
        <f ca="1">IF(INDIRECT(CONCATENATE($FK$12,Fixtures!GT$25))="","",IF(INDIRECT(CONCATENATE($FK$12,Fixtures!GT$25))=Fixtures!$DN76,CONCATENATE(GT$10,", "),""))</f>
        <v/>
      </c>
      <c r="GU76" s="713" t="str">
        <f ca="1">IF(INDIRECT(CONCATENATE($FK$12,Fixtures!GU$25))="","",IF(INDIRECT(CONCATENATE($FK$12,Fixtures!GU$25))=Fixtures!$DN76,CONCATENATE(GU$10,", "),""))</f>
        <v/>
      </c>
      <c r="GV76" s="713" t="str">
        <f ca="1">IF(INDIRECT(CONCATENATE($FK$12,Fixtures!GV$25))="","",IF(INDIRECT(CONCATENATE($FK$12,Fixtures!GV$25))=Fixtures!$DN76,CONCATENATE(GV$10,", "),""))</f>
        <v/>
      </c>
      <c r="GW76" s="713" t="str">
        <f ca="1">IF(INDIRECT(CONCATENATE($FK$12,Fixtures!GW$25))="","",IF(INDIRECT(CONCATENATE($FK$12,Fixtures!GW$25))=Fixtures!$DN76,CONCATENATE(GW$10,", "),""))</f>
        <v/>
      </c>
      <c r="GX76" s="684" t="str">
        <f ca="1">IF(INDIRECT(CONCATENATE($FK$12,Fixtures!GX$25))="","",IF(INDIRECT(CONCATENATE($FK$12,Fixtures!GX$25))=Fixtures!$DN76,CONCATENATE(GX$10,", "),""))</f>
        <v/>
      </c>
      <c r="GY76" s="685" t="str">
        <f ca="1">IF(INDIRECT(CONCATENATE($FK$12,Fixtures!GY$25))="","",IF(INDIRECT(CONCATENATE($FK$12,Fixtures!GY$25))=Fixtures!$DN76,CONCATENATE(GY$10,", "),""))</f>
        <v/>
      </c>
      <c r="GZ76" s="713" t="str">
        <f ca="1">IF(INDIRECT(CONCATENATE($FK$12,Fixtures!GZ$25))="","",IF(INDIRECT(CONCATENATE($FK$12,Fixtures!GZ$25))=Fixtures!$DN76,CONCATENATE(GZ$10,", "),""))</f>
        <v/>
      </c>
      <c r="HA76" s="713" t="str">
        <f ca="1">IF(INDIRECT(CONCATENATE($FK$12,Fixtures!HA$25))="","",IF(INDIRECT(CONCATENATE($FK$12,Fixtures!HA$25))=Fixtures!$DN76,CONCATENATE(HA$10,", "),""))</f>
        <v/>
      </c>
      <c r="HB76" s="713" t="str">
        <f ca="1">IF(INDIRECT(CONCATENATE($FK$12,Fixtures!HB$25))="","",IF(INDIRECT(CONCATENATE($FK$12,Fixtures!HB$25))=Fixtures!$DN76,CONCATENATE(HB$10,", "),""))</f>
        <v/>
      </c>
      <c r="HC76" s="713" t="str">
        <f ca="1">IF(INDIRECT(CONCATENATE($FK$12,Fixtures!HC$25))="","",IF(INDIRECT(CONCATENATE($FK$12,Fixtures!HC$25))=Fixtures!$DN76,CONCATENATE(HC$10,", "),""))</f>
        <v/>
      </c>
      <c r="HD76" s="713" t="str">
        <f ca="1">IF(INDIRECT(CONCATENATE($FK$12,Fixtures!HD$25))="","",IF(INDIRECT(CONCATENATE($FK$12,Fixtures!HD$25))=Fixtures!$DN76,CONCATENATE(HD$10,", "),""))</f>
        <v/>
      </c>
      <c r="HE76" s="713" t="str">
        <f ca="1">IF(INDIRECT(CONCATENATE($FK$12,Fixtures!HE$25))="","",IF(INDIRECT(CONCATENATE($FK$12,Fixtures!HE$25))=Fixtures!$DN76,CONCATENATE(HE$10,", "),""))</f>
        <v/>
      </c>
      <c r="HF76" s="713" t="str">
        <f ca="1">IF(INDIRECT(CONCATENATE($FK$12,Fixtures!HF$25))="","",IF(INDIRECT(CONCATENATE($FK$12,Fixtures!HF$25))=Fixtures!$DN76,CONCATENATE(HF$10,", "),""))</f>
        <v/>
      </c>
      <c r="HG76" s="713" t="str">
        <f ca="1">IF(INDIRECT(CONCATENATE($FK$12,Fixtures!HG$25))="","",IF(INDIRECT(CONCATENATE($FK$12,Fixtures!HG$25))=Fixtures!$DN76,CONCATENATE(HG$10,", "),""))</f>
        <v/>
      </c>
      <c r="HH76" s="713" t="str">
        <f ca="1">IF(INDIRECT(CONCATENATE($FK$12,Fixtures!HH$25))="","",IF(INDIRECT(CONCATENATE($FK$12,Fixtures!HH$25))=Fixtures!$DN76,CONCATENATE(HH$10,", "),""))</f>
        <v/>
      </c>
      <c r="HI76" s="713" t="str">
        <f ca="1">IF(INDIRECT(CONCATENATE($FK$12,Fixtures!HI$25))="","",IF(INDIRECT(CONCATENATE($FK$12,Fixtures!HI$25))=Fixtures!$DN76,CONCATENATE(HI$10,", "),""))</f>
        <v/>
      </c>
      <c r="HJ76" s="713" t="str">
        <f ca="1">IF(INDIRECT(CONCATENATE($FK$12,Fixtures!HJ$25))="","",IF(INDIRECT(CONCATENATE($FK$12,Fixtures!HJ$25))=Fixtures!$DN76,CONCATENATE(HJ$10,", "),""))</f>
        <v/>
      </c>
      <c r="HK76" s="713" t="str">
        <f ca="1">IF(INDIRECT(CONCATENATE($FK$12,Fixtures!HK$25))="","",IF(INDIRECT(CONCATENATE($FK$12,Fixtures!HK$25))=Fixtures!$DN76,CONCATENATE(HK$10,", "),""))</f>
        <v/>
      </c>
      <c r="HL76" s="713" t="str">
        <f ca="1">IF(INDIRECT(CONCATENATE($FK$12,Fixtures!HL$25))="","",IF(INDIRECT(CONCATENATE($FK$12,Fixtures!HL$25))=Fixtures!$DN76,CONCATENATE(HL$10,", "),""))</f>
        <v/>
      </c>
      <c r="HM76" s="684" t="str">
        <f ca="1">IF(INDIRECT(CONCATENATE($FK$12,Fixtures!HM$25))="","",IF(INDIRECT(CONCATENATE($FK$12,Fixtures!HM$25))=Fixtures!$DN76,CONCATENATE(HM$10,", "),""))</f>
        <v/>
      </c>
      <c r="HN76" s="685" t="str">
        <f ca="1">IF(INDIRECT(CONCATENATE($FK$12,Fixtures!HN$25))="","",IF(INDIRECT(CONCATENATE($FK$12,Fixtures!HN$25))=Fixtures!$DN76,CONCATENATE(HN$10,", "),""))</f>
        <v/>
      </c>
      <c r="HO76" s="713" t="str">
        <f ca="1">IF(INDIRECT(CONCATENATE($FK$12,Fixtures!HO$25))="","",IF(INDIRECT(CONCATENATE($FK$12,Fixtures!HO$25))=Fixtures!$DN76,CONCATENATE(HO$10,", "),""))</f>
        <v/>
      </c>
      <c r="HP76" s="713" t="str">
        <f ca="1">IF(INDIRECT(CONCATENATE($FK$12,Fixtures!HP$25))="","",IF(INDIRECT(CONCATENATE($FK$12,Fixtures!HP$25))=Fixtures!$DN76,CONCATENATE(HP$10,", "),""))</f>
        <v/>
      </c>
      <c r="HQ76" s="713" t="str">
        <f ca="1">IF(INDIRECT(CONCATENATE($FK$12,Fixtures!HQ$25))="","",IF(INDIRECT(CONCATENATE($FK$12,Fixtures!HQ$25))=Fixtures!$DN76,CONCATENATE(HQ$10,", "),""))</f>
        <v/>
      </c>
      <c r="HR76" s="713" t="str">
        <f ca="1">IF(INDIRECT(CONCATENATE($FK$12,Fixtures!HR$25))="","",IF(INDIRECT(CONCATENATE($FK$12,Fixtures!HR$25))=Fixtures!$DN76,CONCATENATE(HR$10,", "),""))</f>
        <v/>
      </c>
      <c r="HS76" s="713" t="str">
        <f ca="1">IF(INDIRECT(CONCATENATE($FK$12,Fixtures!HS$25))="","",IF(INDIRECT(CONCATENATE($FK$12,Fixtures!HS$25))=Fixtures!$DN76,CONCATENATE(HS$10,", "),""))</f>
        <v/>
      </c>
      <c r="HT76" s="713" t="str">
        <f ca="1">IF(INDIRECT(CONCATENATE($FK$12,Fixtures!HT$25))="","",IF(INDIRECT(CONCATENATE($FK$12,Fixtures!HT$25))=Fixtures!$DN76,CONCATENATE(HT$10,", "),""))</f>
        <v/>
      </c>
      <c r="HU76" s="713" t="str">
        <f ca="1">IF(INDIRECT(CONCATENATE($FK$12,Fixtures!HU$25))="","",IF(INDIRECT(CONCATENATE($FK$12,Fixtures!HU$25))=Fixtures!$DN76,CONCATENATE(HU$10,", "),""))</f>
        <v/>
      </c>
      <c r="HV76" s="713" t="str">
        <f ca="1">IF(INDIRECT(CONCATENATE($FK$12,Fixtures!HV$25))="","",IF(INDIRECT(CONCATENATE($FK$12,Fixtures!HV$25))=Fixtures!$DN76,CONCATENATE(HV$10,", "),""))</f>
        <v/>
      </c>
      <c r="HW76" s="713" t="str">
        <f ca="1">IF(INDIRECT(CONCATENATE($FK$12,Fixtures!HW$25))="","",IF(INDIRECT(CONCATENATE($FK$12,Fixtures!HW$25))=Fixtures!$DN76,CONCATENATE(HW$10,", "),""))</f>
        <v/>
      </c>
      <c r="HX76" s="713" t="str">
        <f ca="1">IF(INDIRECT(CONCATENATE($FK$12,Fixtures!HX$25))="","",IF(INDIRECT(CONCATENATE($FK$12,Fixtures!HX$25))=Fixtures!$DN76,CONCATENATE(HX$10,", "),""))</f>
        <v/>
      </c>
      <c r="HY76" s="713" t="str">
        <f ca="1">IF(INDIRECT(CONCATENATE($FK$12,Fixtures!HY$25))="","",IF(INDIRECT(CONCATENATE($FK$12,Fixtures!HY$25))=Fixtures!$DN76,CONCATENATE(HY$10,", "),""))</f>
        <v/>
      </c>
      <c r="HZ76" s="713" t="str">
        <f ca="1">IF(INDIRECT(CONCATENATE($FK$12,Fixtures!HZ$25))="","",IF(INDIRECT(CONCATENATE($FK$12,Fixtures!HZ$25))=Fixtures!$DN76,CONCATENATE(HZ$10,", "),""))</f>
        <v/>
      </c>
      <c r="IA76" s="713" t="str">
        <f ca="1">IF(INDIRECT(CONCATENATE($FK$12,Fixtures!IA$25))="","",IF(INDIRECT(CONCATENATE($FK$12,Fixtures!IA$25))=Fixtures!$DN76,CONCATENATE(IA$10,", "),""))</f>
        <v/>
      </c>
      <c r="IB76" s="684" t="str">
        <f ca="1">IF(INDIRECT(CONCATENATE($FK$12,Fixtures!IB$25))="","",IF(INDIRECT(CONCATENATE($FK$12,Fixtures!IB$25))=Fixtures!$DN76,CONCATENATE(IB$10,", "),""))</f>
        <v/>
      </c>
      <c r="IC76" s="685" t="str">
        <f ca="1">IF(INDIRECT(CONCATENATE($FK$12,Fixtures!IC$25))="","",IF(INDIRECT(CONCATENATE($FK$12,Fixtures!IC$25))=Fixtures!$DN76,CONCATENATE(IC$10,", "),""))</f>
        <v/>
      </c>
      <c r="ID76" s="713" t="str">
        <f ca="1">IF(INDIRECT(CONCATENATE($FK$12,Fixtures!ID$25))="","",IF(INDIRECT(CONCATENATE($FK$12,Fixtures!ID$25))=Fixtures!$DN76,CONCATENATE(ID$10,", "),""))</f>
        <v/>
      </c>
      <c r="IE76" s="713" t="str">
        <f ca="1">IF(INDIRECT(CONCATENATE($FK$12,Fixtures!IE$25))="","",IF(INDIRECT(CONCATENATE($FK$12,Fixtures!IE$25))=Fixtures!$DN76,CONCATENATE(IE$10,", "),""))</f>
        <v/>
      </c>
      <c r="IF76" s="713" t="str">
        <f ca="1">IF(INDIRECT(CONCATENATE($FK$12,Fixtures!IF$25))="","",IF(INDIRECT(CONCATENATE($FK$12,Fixtures!IF$25))=Fixtures!$DN76,CONCATENATE(IF$10,", "),""))</f>
        <v/>
      </c>
      <c r="IG76" s="713" t="str">
        <f ca="1">IF(INDIRECT(CONCATENATE($FK$12,Fixtures!IG$25))="","",IF(INDIRECT(CONCATENATE($FK$12,Fixtures!IG$25))=Fixtures!$DN76,CONCATENATE(IG$10,", "),""))</f>
        <v/>
      </c>
      <c r="IH76" s="713" t="str">
        <f ca="1">IF(INDIRECT(CONCATENATE($FK$12,Fixtures!IH$25))="","",IF(INDIRECT(CONCATENATE($FK$12,Fixtures!IH$25))=Fixtures!$DN76,CONCATENATE(IH$10,", "),""))</f>
        <v/>
      </c>
      <c r="II76" s="713" t="str">
        <f ca="1">IF(INDIRECT(CONCATENATE($FK$12,Fixtures!II$25))="","",IF(INDIRECT(CONCATENATE($FK$12,Fixtures!II$25))=Fixtures!$DN76,CONCATENATE(II$10,", "),""))</f>
        <v/>
      </c>
      <c r="IJ76" s="713" t="str">
        <f ca="1">IF(INDIRECT(CONCATENATE($FK$12,Fixtures!IJ$25))="","",IF(INDIRECT(CONCATENATE($FK$12,Fixtures!IJ$25))=Fixtures!$DN76,CONCATENATE(IJ$10,", "),""))</f>
        <v/>
      </c>
      <c r="IK76" s="713" t="str">
        <f ca="1">IF(INDIRECT(CONCATENATE($FK$12,Fixtures!IK$25))="","",IF(INDIRECT(CONCATENATE($FK$12,Fixtures!IK$25))=Fixtures!$DN76,CONCATENATE(IK$10,", "),""))</f>
        <v/>
      </c>
      <c r="IL76" s="713" t="str">
        <f ca="1">IF(INDIRECT(CONCATENATE($FK$12,Fixtures!IL$25))="","",IF(INDIRECT(CONCATENATE($FK$12,Fixtures!IL$25))=Fixtures!$DN76,CONCATENATE(IL$10,", "),""))</f>
        <v/>
      </c>
      <c r="IM76" s="713" t="str">
        <f ca="1">IF(INDIRECT(CONCATENATE($FK$12,Fixtures!IM$25))="","",IF(INDIRECT(CONCATENATE($FK$12,Fixtures!IM$25))=Fixtures!$DN76,CONCATENATE(IM$10,", "),""))</f>
        <v/>
      </c>
      <c r="IN76" s="713" t="str">
        <f ca="1">IF(INDIRECT(CONCATENATE($FK$12,Fixtures!IN$25))="","",IF(INDIRECT(CONCATENATE($FK$12,Fixtures!IN$25))=Fixtures!$DN76,CONCATENATE(IN$10,", "),""))</f>
        <v/>
      </c>
      <c r="IO76" s="713" t="str">
        <f ca="1">IF(INDIRECT(CONCATENATE($FK$12,Fixtures!IO$25))="","",IF(INDIRECT(CONCATENATE($FK$12,Fixtures!IO$25))=Fixtures!$DN76,CONCATENATE(IO$10,", "),""))</f>
        <v/>
      </c>
      <c r="IP76" s="713" t="str">
        <f ca="1">IF(INDIRECT(CONCATENATE($FK$12,Fixtures!IP$25))="","",IF(INDIRECT(CONCATENATE($FK$12,Fixtures!IP$25))=Fixtures!$DN76,CONCATENATE(IP$10,", "),""))</f>
        <v/>
      </c>
      <c r="IQ76" s="684" t="str">
        <f ca="1">IF(INDIRECT(CONCATENATE($FK$12,Fixtures!IQ$25))="","",IF(INDIRECT(CONCATENATE($FK$12,Fixtures!IQ$25))=Fixtures!$DN76,CONCATENATE(IQ$10,", "),""))</f>
        <v/>
      </c>
      <c r="IR76" s="685" t="str">
        <f ca="1">IF(INDIRECT(CONCATENATE($FK$12,Fixtures!IR$25))="","",IF(INDIRECT(CONCATENATE($FK$12,Fixtures!IR$25))=Fixtures!$DN76,CONCATENATE(IR$10,", "),""))</f>
        <v/>
      </c>
      <c r="IS76" s="713" t="str">
        <f ca="1">IF(INDIRECT(CONCATENATE($FK$12,Fixtures!IS$25))="","",IF(INDIRECT(CONCATENATE($FK$12,Fixtures!IS$25))=Fixtures!$DN76,CONCATENATE(IS$10,", "),""))</f>
        <v/>
      </c>
      <c r="IT76" s="713" t="str">
        <f ca="1">IF(INDIRECT(CONCATENATE($FK$12,Fixtures!IT$25))="","",IF(INDIRECT(CONCATENATE($FK$12,Fixtures!IT$25))=Fixtures!$DN76,CONCATENATE(IT$10,", "),""))</f>
        <v/>
      </c>
      <c r="IU76" s="713" t="str">
        <f ca="1">IF(INDIRECT(CONCATENATE($FK$12,Fixtures!IU$25))="","",IF(INDIRECT(CONCATENATE($FK$12,Fixtures!IU$25))=Fixtures!$DN76,CONCATENATE(IU$10,", "),""))</f>
        <v/>
      </c>
      <c r="IV76" s="713" t="str">
        <f ca="1">IF(INDIRECT(CONCATENATE($FK$12,Fixtures!IV$25))="","",IF(INDIRECT(CONCATENATE($FK$12,Fixtures!IV$25))=Fixtures!$DN76,CONCATENATE(IV$10,", "),""))</f>
        <v/>
      </c>
      <c r="IW76" s="713" t="str">
        <f ca="1">IF(INDIRECT(CONCATENATE($FK$12,Fixtures!IW$25))="","",IF(INDIRECT(CONCATENATE($FK$12,Fixtures!IW$25))=Fixtures!$DN76,CONCATENATE(IW$10,", "),""))</f>
        <v/>
      </c>
      <c r="IX76" s="713" t="str">
        <f ca="1">IF(INDIRECT(CONCATENATE($FK$12,Fixtures!IX$25))="","",IF(INDIRECT(CONCATENATE($FK$12,Fixtures!IX$25))=Fixtures!$DN76,CONCATENATE(IX$10,", "),""))</f>
        <v/>
      </c>
      <c r="IY76" s="713" t="str">
        <f ca="1">IF(INDIRECT(CONCATENATE($FK$12,Fixtures!IY$25))="","",IF(INDIRECT(CONCATENATE($FK$12,Fixtures!IY$25))=Fixtures!$DN76,CONCATENATE(IY$10,", "),""))</f>
        <v/>
      </c>
      <c r="IZ76" s="713" t="str">
        <f ca="1">IF(INDIRECT(CONCATENATE($FK$12,Fixtures!IZ$25))="","",IF(INDIRECT(CONCATENATE($FK$12,Fixtures!IZ$25))=Fixtures!$DN76,CONCATENATE(IZ$10,", "),""))</f>
        <v/>
      </c>
      <c r="JA76" s="713" t="str">
        <f ca="1">IF(INDIRECT(CONCATENATE($FK$12,Fixtures!JA$25))="","",IF(INDIRECT(CONCATENATE($FK$12,Fixtures!JA$25))=Fixtures!$DN76,CONCATENATE(JA$10,", "),""))</f>
        <v/>
      </c>
      <c r="JB76" s="713" t="str">
        <f ca="1">IF(INDIRECT(CONCATENATE($FK$12,Fixtures!JB$25))="","",IF(INDIRECT(CONCATENATE($FK$12,Fixtures!JB$25))=Fixtures!$DN76,CONCATENATE(JB$10,", "),""))</f>
        <v/>
      </c>
      <c r="JC76" s="713" t="str">
        <f ca="1">IF(INDIRECT(CONCATENATE($FK$12,Fixtures!JC$25))="","",IF(INDIRECT(CONCATENATE($FK$12,Fixtures!JC$25))=Fixtures!$DN76,CONCATENATE(JC$10,", "),""))</f>
        <v/>
      </c>
      <c r="JD76" s="713" t="str">
        <f ca="1">IF(INDIRECT(CONCATENATE($FK$12,Fixtures!JD$25))="","",IF(INDIRECT(CONCATENATE($FK$12,Fixtures!JD$25))=Fixtures!$DN76,CONCATENATE(JD$10,", "),""))</f>
        <v/>
      </c>
      <c r="JE76" s="713" t="str">
        <f ca="1">IF(INDIRECT(CONCATENATE($FK$12,Fixtures!JE$25))="","",IF(INDIRECT(CONCATENATE($FK$12,Fixtures!JE$25))=Fixtures!$DN76,CONCATENATE(JE$10,", "),""))</f>
        <v/>
      </c>
      <c r="JF76" s="684" t="str">
        <f ca="1">IF(INDIRECT(CONCATENATE($FK$12,Fixtures!JF$25))="","",IF(INDIRECT(CONCATENATE($FK$12,Fixtures!JF$25))=Fixtures!$DN76,CONCATENATE(JF$10,", "),""))</f>
        <v/>
      </c>
      <c r="JG76" s="685" t="str">
        <f ca="1">IF(INDIRECT(CONCATENATE($FK$12,Fixtures!JG$25))="","",IF(INDIRECT(CONCATENATE($FK$12,Fixtures!JG$25))=Fixtures!$DN76,CONCATENATE(JG$10,", "),""))</f>
        <v/>
      </c>
      <c r="JH76" s="713" t="str">
        <f ca="1">IF(INDIRECT(CONCATENATE($FK$12,Fixtures!JH$25))="","",IF(INDIRECT(CONCATENATE($FK$12,Fixtures!JH$25))=Fixtures!$DN76,CONCATENATE(JH$10,", "),""))</f>
        <v/>
      </c>
      <c r="JI76" s="713" t="str">
        <f ca="1">IF(INDIRECT(CONCATENATE($FK$12,Fixtures!JI$25))="","",IF(INDIRECT(CONCATENATE($FK$12,Fixtures!JI$25))=Fixtures!$DN76,CONCATENATE(JI$10,", "),""))</f>
        <v/>
      </c>
      <c r="JJ76" s="713" t="str">
        <f ca="1">IF(INDIRECT(CONCATENATE($FK$12,Fixtures!JJ$25))="","",IF(INDIRECT(CONCATENATE($FK$12,Fixtures!JJ$25))=Fixtures!$DN76,CONCATENATE(JJ$10,", "),""))</f>
        <v/>
      </c>
      <c r="JK76" s="713" t="str">
        <f ca="1">IF(INDIRECT(CONCATENATE($FK$12,Fixtures!JK$25))="","",IF(INDIRECT(CONCATENATE($FK$12,Fixtures!JK$25))=Fixtures!$DN76,CONCATENATE(JK$10,", "),""))</f>
        <v/>
      </c>
      <c r="JL76" s="713" t="str">
        <f ca="1">IF(INDIRECT(CONCATENATE($FK$12,Fixtures!JL$25))="","",IF(INDIRECT(CONCATENATE($FK$12,Fixtures!JL$25))=Fixtures!$DN76,CONCATENATE(JL$10,", "),""))</f>
        <v/>
      </c>
      <c r="JM76" s="713" t="str">
        <f ca="1">IF(INDIRECT(CONCATENATE($FK$12,Fixtures!JM$25))="","",IF(INDIRECT(CONCATENATE($FK$12,Fixtures!JM$25))=Fixtures!$DN76,CONCATENATE(JM$10,", "),""))</f>
        <v/>
      </c>
      <c r="JN76" s="713" t="str">
        <f ca="1">IF(INDIRECT(CONCATENATE($FK$12,Fixtures!JN$25))="","",IF(INDIRECT(CONCATENATE($FK$12,Fixtures!JN$25))=Fixtures!$DN76,CONCATENATE(JN$10,", "),""))</f>
        <v/>
      </c>
      <c r="JO76" s="713" t="str">
        <f ca="1">IF(INDIRECT(CONCATENATE($FK$12,Fixtures!JO$25))="","",IF(INDIRECT(CONCATENATE($FK$12,Fixtures!JO$25))=Fixtures!$DN76,CONCATENATE(JO$10,", "),""))</f>
        <v/>
      </c>
      <c r="JP76" s="713" t="str">
        <f ca="1">IF(INDIRECT(CONCATENATE($FK$12,Fixtures!JP$25))="","",IF(INDIRECT(CONCATENATE($FK$12,Fixtures!JP$25))=Fixtures!$DN76,CONCATENATE(JP$10,", "),""))</f>
        <v/>
      </c>
      <c r="JQ76" s="713" t="str">
        <f ca="1">IF(INDIRECT(CONCATENATE($FK$12,Fixtures!JQ$25))="","",IF(INDIRECT(CONCATENATE($FK$12,Fixtures!JQ$25))=Fixtures!$DN76,CONCATENATE(JQ$10,", "),""))</f>
        <v/>
      </c>
      <c r="JR76" s="713" t="str">
        <f ca="1">IF(INDIRECT(CONCATENATE($FK$12,Fixtures!JR$25))="","",IF(INDIRECT(CONCATENATE($FK$12,Fixtures!JR$25))=Fixtures!$DN76,CONCATENATE(JR$10,", "),""))</f>
        <v/>
      </c>
      <c r="JS76" s="713" t="str">
        <f ca="1">IF(INDIRECT(CONCATENATE($FK$12,Fixtures!JS$25))="","",IF(INDIRECT(CONCATENATE($FK$12,Fixtures!JS$25))=Fixtures!$DN76,CONCATENATE(JS$10,", "),""))</f>
        <v/>
      </c>
      <c r="JT76" s="713" t="str">
        <f ca="1">IF(INDIRECT(CONCATENATE($FK$12,Fixtures!JT$25))="","",IF(INDIRECT(CONCATENATE($FK$12,Fixtures!JT$25))=Fixtures!$DN76,CONCATENATE(JT$10,", "),""))</f>
        <v/>
      </c>
      <c r="JU76" s="684" t="str">
        <f ca="1">IF(INDIRECT(CONCATENATE($FK$12,Fixtures!JU$25))="","",IF(INDIRECT(CONCATENATE($FK$12,Fixtures!JU$25))=Fixtures!$DN76,CONCATENATE(JU$10,", "),""))</f>
        <v/>
      </c>
      <c r="JV76" s="685" t="str">
        <f ca="1">IF(INDIRECT(CONCATENATE($FK$12,Fixtures!JV$25))="","",IF(INDIRECT(CONCATENATE($FK$12,Fixtures!JV$25))=Fixtures!$DN76,CONCATENATE(JV$10,", "),""))</f>
        <v/>
      </c>
      <c r="JW76" s="713" t="str">
        <f ca="1">IF(INDIRECT(CONCATENATE($FK$12,Fixtures!JW$25))="","",IF(INDIRECT(CONCATENATE($FK$12,Fixtures!JW$25))=Fixtures!$DN76,CONCATENATE(JW$10,", "),""))</f>
        <v/>
      </c>
      <c r="JX76" s="713" t="str">
        <f ca="1">IF(INDIRECT(CONCATENATE($FK$12,Fixtures!JX$25))="","",IF(INDIRECT(CONCATENATE($FK$12,Fixtures!JX$25))=Fixtures!$DN76,CONCATENATE(JX$10,", "),""))</f>
        <v/>
      </c>
      <c r="JY76" s="713" t="str">
        <f ca="1">IF(INDIRECT(CONCATENATE($FK$12,Fixtures!JY$25))="","",IF(INDIRECT(CONCATENATE($FK$12,Fixtures!JY$25))=Fixtures!$DN76,CONCATENATE(JY$10,", "),""))</f>
        <v/>
      </c>
      <c r="JZ76" s="713" t="str">
        <f ca="1">IF(INDIRECT(CONCATENATE($FK$12,Fixtures!JZ$25))="","",IF(INDIRECT(CONCATENATE($FK$12,Fixtures!JZ$25))=Fixtures!$DN76,CONCATENATE(JZ$10,", "),""))</f>
        <v/>
      </c>
      <c r="KA76" s="713" t="str">
        <f ca="1">IF(INDIRECT(CONCATENATE($FK$12,Fixtures!KA$25))="","",IF(INDIRECT(CONCATENATE($FK$12,Fixtures!KA$25))=Fixtures!$DN76,CONCATENATE(KA$10,", "),""))</f>
        <v/>
      </c>
      <c r="KB76" s="713" t="str">
        <f ca="1">IF(INDIRECT(CONCATENATE($FK$12,Fixtures!KB$25))="","",IF(INDIRECT(CONCATENATE($FK$12,Fixtures!KB$25))=Fixtures!$DN76,CONCATENATE(KB$10,", "),""))</f>
        <v/>
      </c>
      <c r="KC76" s="713" t="str">
        <f ca="1">IF(INDIRECT(CONCATENATE($FK$12,Fixtures!KC$25))="","",IF(INDIRECT(CONCATENATE($FK$12,Fixtures!KC$25))=Fixtures!$DN76,CONCATENATE(KC$10,", "),""))</f>
        <v/>
      </c>
      <c r="KD76" s="713" t="str">
        <f ca="1">IF(INDIRECT(CONCATENATE($FK$12,Fixtures!KD$25))="","",IF(INDIRECT(CONCATENATE($FK$12,Fixtures!KD$25))=Fixtures!$DN76,CONCATENATE(KD$10,", "),""))</f>
        <v/>
      </c>
      <c r="KE76" s="713" t="str">
        <f ca="1">IF(INDIRECT(CONCATENATE($FK$12,Fixtures!KE$25))="","",IF(INDIRECT(CONCATENATE($FK$12,Fixtures!KE$25))=Fixtures!$DN76,CONCATENATE(KE$10,", "),""))</f>
        <v/>
      </c>
      <c r="KF76" s="713" t="str">
        <f ca="1">IF(INDIRECT(CONCATENATE($FK$12,Fixtures!KF$25))="","",IF(INDIRECT(CONCATENATE($FK$12,Fixtures!KF$25))=Fixtures!$DN76,CONCATENATE(KF$10,", "),""))</f>
        <v/>
      </c>
      <c r="KG76" s="713" t="str">
        <f ca="1">IF(INDIRECT(CONCATENATE($FK$12,Fixtures!KG$25))="","",IF(INDIRECT(CONCATENATE($FK$12,Fixtures!KG$25))=Fixtures!$DN76,CONCATENATE(KG$10,", "),""))</f>
        <v/>
      </c>
      <c r="KH76" s="713" t="str">
        <f ca="1">IF(INDIRECT(CONCATENATE($FK$12,Fixtures!KH$25))="","",IF(INDIRECT(CONCATENATE($FK$12,Fixtures!KH$25))=Fixtures!$DN76,CONCATENATE(KH$10,", "),""))</f>
        <v/>
      </c>
      <c r="KI76" s="713" t="str">
        <f ca="1">IF(INDIRECT(CONCATENATE($FK$12,Fixtures!KI$25))="","",IF(INDIRECT(CONCATENATE($FK$12,Fixtures!KI$25))=Fixtures!$DN76,CONCATENATE(KI$10,", "),""))</f>
        <v/>
      </c>
      <c r="KJ76" s="684" t="str">
        <f ca="1">IF(INDIRECT(CONCATENATE($FK$12,Fixtures!KJ$25))="","",IF(INDIRECT(CONCATENATE($FK$12,Fixtures!KJ$25))=Fixtures!$DN76,CONCATENATE(KJ$10,", "),""))</f>
        <v/>
      </c>
      <c r="KK76" s="685" t="str">
        <f ca="1">IF(INDIRECT(CONCATENATE($FK$12,Fixtures!KK$25))="","",IF(INDIRECT(CONCATENATE($FK$12,Fixtures!KK$25))=Fixtures!$DN76,CONCATENATE(KK$10,", "),""))</f>
        <v/>
      </c>
      <c r="KL76" s="713" t="str">
        <f ca="1">IF(INDIRECT(CONCATENATE($FK$12,Fixtures!KL$25))="","",IF(INDIRECT(CONCATENATE($FK$12,Fixtures!KL$25))=Fixtures!$DN76,CONCATENATE(KL$10,", "),""))</f>
        <v/>
      </c>
      <c r="KM76" s="713" t="str">
        <f ca="1">IF(INDIRECT(CONCATENATE($FK$12,Fixtures!KM$25))="","",IF(INDIRECT(CONCATENATE($FK$12,Fixtures!KM$25))=Fixtures!$DN76,CONCATENATE(KM$10,", "),""))</f>
        <v/>
      </c>
      <c r="KN76" s="713" t="str">
        <f ca="1">IF(INDIRECT(CONCATENATE($FK$12,Fixtures!KN$25))="","",IF(INDIRECT(CONCATENATE($FK$12,Fixtures!KN$25))=Fixtures!$DN76,CONCATENATE(KN$10,", "),""))</f>
        <v/>
      </c>
      <c r="KO76" s="713" t="str">
        <f ca="1">IF(INDIRECT(CONCATENATE($FK$12,Fixtures!KO$25))="","",IF(INDIRECT(CONCATENATE($FK$12,Fixtures!KO$25))=Fixtures!$DN76,CONCATENATE(KO$10,", "),""))</f>
        <v/>
      </c>
      <c r="KP76" s="713" t="str">
        <f ca="1">IF(INDIRECT(CONCATENATE($FK$12,Fixtures!KP$25))="","",IF(INDIRECT(CONCATENATE($FK$12,Fixtures!KP$25))=Fixtures!$DN76,CONCATENATE(KP$10,", "),""))</f>
        <v/>
      </c>
      <c r="KQ76" s="713" t="str">
        <f ca="1">IF(INDIRECT(CONCATENATE($FK$12,Fixtures!KQ$25))="","",IF(INDIRECT(CONCATENATE($FK$12,Fixtures!KQ$25))=Fixtures!$DN76,CONCATENATE(KQ$10,", "),""))</f>
        <v/>
      </c>
      <c r="KR76" s="713" t="str">
        <f ca="1">IF(INDIRECT(CONCATENATE($FK$12,Fixtures!KR$25))="","",IF(INDIRECT(CONCATENATE($FK$12,Fixtures!KR$25))=Fixtures!$DN76,CONCATENATE(KR$10,", "),""))</f>
        <v/>
      </c>
      <c r="KS76" s="713" t="str">
        <f ca="1">IF(INDIRECT(CONCATENATE($FK$12,Fixtures!KS$25))="","",IF(INDIRECT(CONCATENATE($FK$12,Fixtures!KS$25))=Fixtures!$DN76,CONCATENATE(KS$10,", "),""))</f>
        <v/>
      </c>
      <c r="KT76" s="713" t="str">
        <f ca="1">IF(INDIRECT(CONCATENATE($FK$12,Fixtures!KT$25))="","",IF(INDIRECT(CONCATENATE($FK$12,Fixtures!KT$25))=Fixtures!$DN76,CONCATENATE(KT$10,", "),""))</f>
        <v/>
      </c>
      <c r="KU76" s="713" t="str">
        <f ca="1">IF(INDIRECT(CONCATENATE($FK$12,Fixtures!KU$25))="","",IF(INDIRECT(CONCATENATE($FK$12,Fixtures!KU$25))=Fixtures!$DN76,CONCATENATE(KU$10,", "),""))</f>
        <v/>
      </c>
      <c r="KV76" s="713" t="str">
        <f ca="1">IF(INDIRECT(CONCATENATE($FK$12,Fixtures!KV$25))="","",IF(INDIRECT(CONCATENATE($FK$12,Fixtures!KV$25))=Fixtures!$DN76,CONCATENATE(KV$10,", "),""))</f>
        <v/>
      </c>
      <c r="KW76" s="713" t="str">
        <f ca="1">IF(INDIRECT(CONCATENATE($FK$12,Fixtures!KW$25))="","",IF(INDIRECT(CONCATENATE($FK$12,Fixtures!KW$25))=Fixtures!$DN76,CONCATENATE(KW$10,", "),""))</f>
        <v/>
      </c>
      <c r="KX76" s="713" t="str">
        <f ca="1">IF(INDIRECT(CONCATENATE($FK$12,Fixtures!KX$25))="","",IF(INDIRECT(CONCATENATE($FK$12,Fixtures!KX$25))=Fixtures!$DN76,CONCATENATE(KX$10,", "),""))</f>
        <v/>
      </c>
      <c r="KY76" s="713" t="str">
        <f ca="1">IF(INDIRECT(CONCATENATE($FK$12,Fixtures!KY$25))="","",IF(INDIRECT(CONCATENATE($FK$12,Fixtures!KY$25))=Fixtures!$DN76,CONCATENATE(KY$10,", "),""))</f>
        <v/>
      </c>
      <c r="KZ76" s="602"/>
      <c r="LA76" s="46" t="str">
        <f t="shared" ca="1" si="38"/>
        <v/>
      </c>
    </row>
    <row r="77" spans="1:313" ht="15.8" customHeight="1" thickTop="1" thickBot="1">
      <c r="A77" s="471" t="str">
        <f t="shared" si="13"/>
        <v/>
      </c>
      <c r="C77" s="1328" t="str">
        <f t="shared" ref="C77:C78" si="39">IF(AND(AK77&gt;=0,E77&lt;&gt;""),AK77,"")</f>
        <v/>
      </c>
      <c r="D77" s="1329"/>
      <c r="E77" s="1256" t="str">
        <f>BY139</f>
        <v/>
      </c>
      <c r="F77" s="1257"/>
      <c r="G77" s="1257"/>
      <c r="H77" s="1257"/>
      <c r="I77" s="1257"/>
      <c r="J77" s="1257"/>
      <c r="K77" s="1257"/>
      <c r="L77" s="1257"/>
      <c r="M77" s="1330"/>
      <c r="N77" s="239" t="str">
        <f t="shared" si="16"/>
        <v/>
      </c>
      <c r="O77" s="12"/>
      <c r="P77" s="1326" t="str">
        <f t="shared" si="25"/>
        <v/>
      </c>
      <c r="Q77" s="1327"/>
      <c r="R77" s="1256" t="str">
        <f t="shared" si="31"/>
        <v/>
      </c>
      <c r="S77" s="1257"/>
      <c r="T77" s="1257"/>
      <c r="U77" s="1257"/>
      <c r="V77" s="1257"/>
      <c r="W77" s="1257"/>
      <c r="X77" s="1257"/>
      <c r="Y77" s="239" t="str">
        <f t="shared" si="27"/>
        <v/>
      </c>
      <c r="Z77" s="239" t="str">
        <f t="shared" si="28"/>
        <v/>
      </c>
      <c r="AA77" s="439" t="str">
        <f t="shared" si="29"/>
        <v/>
      </c>
      <c r="AB77" s="542"/>
      <c r="AC77" s="1253" t="str">
        <f t="shared" si="17"/>
        <v/>
      </c>
      <c r="AD77" s="1166"/>
      <c r="AE77" s="1166"/>
      <c r="AF77" s="1166"/>
      <c r="AG77" s="1166"/>
      <c r="AH77" s="1166"/>
      <c r="AK77">
        <f>SUMIFS(Installations!CS$39:CS$800,Installations!CT$39:CT$800,E77,Installations!HX$39:HX$800,TRUE)</f>
        <v>0</v>
      </c>
      <c r="AL77">
        <f>SUMIFS(Installations!CS$39:CS$800,Installations!CT$39:CT$800,R77,Installations!HX$39:HX$800,TRUE)</f>
        <v>0</v>
      </c>
      <c r="BL77" s="9"/>
      <c r="BM77" s="9"/>
      <c r="BN77" s="9"/>
      <c r="BO77" s="9"/>
      <c r="BP77" s="9"/>
      <c r="BQ77" s="9"/>
      <c r="BR77" s="9"/>
      <c r="BS77" s="9"/>
      <c r="BT77" s="9"/>
      <c r="BU77" s="9"/>
      <c r="BV77" s="47"/>
      <c r="BW77" s="9"/>
      <c r="BX77" s="9"/>
      <c r="BY77" s="9"/>
      <c r="BZ77" s="9"/>
      <c r="CA77" s="9"/>
      <c r="CB77" s="9"/>
      <c r="CC77" s="9"/>
      <c r="CD77" s="9"/>
      <c r="CE77" s="9"/>
      <c r="CF77" s="9"/>
      <c r="CG77" s="9"/>
      <c r="CH77" s="9"/>
      <c r="CI77" s="9"/>
      <c r="CJ77" s="9"/>
      <c r="CK77" s="9"/>
      <c r="CL77" s="9"/>
      <c r="CM77" s="9"/>
      <c r="CN77" s="9"/>
      <c r="CO77" s="9"/>
      <c r="CP77" s="45"/>
      <c r="CQ77" s="9"/>
      <c r="CR77" s="9"/>
      <c r="CS77" s="9"/>
      <c r="CT77" s="9"/>
      <c r="DL77" s="9"/>
      <c r="DM77" s="9"/>
      <c r="DN77" s="9"/>
      <c r="DO77" s="9"/>
      <c r="DP77" s="9"/>
      <c r="DQ77" s="9"/>
      <c r="DR77" s="9"/>
      <c r="DS77" s="9"/>
      <c r="DT77" s="9"/>
      <c r="DU77" s="9"/>
      <c r="DV77" s="9"/>
      <c r="DW77" s="11"/>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row>
    <row r="78" spans="1:313" ht="15.8" customHeight="1" thickTop="1" thickBot="1">
      <c r="A78" s="471" t="str">
        <f t="shared" si="13"/>
        <v/>
      </c>
      <c r="C78" s="1328" t="str">
        <f t="shared" si="39"/>
        <v/>
      </c>
      <c r="D78" s="1329"/>
      <c r="E78" s="1256" t="str">
        <f>BY140</f>
        <v/>
      </c>
      <c r="F78" s="1257"/>
      <c r="G78" s="1257"/>
      <c r="H78" s="1257"/>
      <c r="I78" s="1257"/>
      <c r="J78" s="1257"/>
      <c r="K78" s="1257"/>
      <c r="L78" s="1257"/>
      <c r="M78" s="1330"/>
      <c r="N78" s="239" t="str">
        <f t="shared" si="16"/>
        <v/>
      </c>
      <c r="O78" s="12"/>
      <c r="P78" s="1326" t="str">
        <f t="shared" si="25"/>
        <v/>
      </c>
      <c r="Q78" s="1327"/>
      <c r="R78" s="1256" t="str">
        <f t="shared" si="31"/>
        <v/>
      </c>
      <c r="S78" s="1257"/>
      <c r="T78" s="1257"/>
      <c r="U78" s="1257"/>
      <c r="V78" s="1257"/>
      <c r="W78" s="1257"/>
      <c r="X78" s="1257"/>
      <c r="Y78" s="239" t="str">
        <f t="shared" si="27"/>
        <v/>
      </c>
      <c r="Z78" s="239" t="str">
        <f t="shared" si="28"/>
        <v/>
      </c>
      <c r="AA78" s="439" t="str">
        <f t="shared" si="29"/>
        <v/>
      </c>
      <c r="AB78" s="542"/>
      <c r="AC78" s="1253" t="str">
        <f t="shared" si="17"/>
        <v/>
      </c>
      <c r="AD78" s="1166"/>
      <c r="AE78" s="1166"/>
      <c r="AF78" s="1166"/>
      <c r="AG78" s="1166"/>
      <c r="AH78" s="1166"/>
      <c r="AK78">
        <f>SUMIFS(Installations!CS$39:CS$800,Installations!CT$39:CT$800,E78,Installations!HX$39:HX$800,TRUE)</f>
        <v>0</v>
      </c>
      <c r="AL78">
        <f>SUMIFS(Installations!CS$39:CS$800,Installations!CT$39:CT$800,R78,Installations!HX$39:HX$800,TRUE)</f>
        <v>0</v>
      </c>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DL78" s="9"/>
      <c r="DM78" s="9"/>
      <c r="DN78" s="9"/>
      <c r="DO78" s="9"/>
      <c r="DP78" s="9"/>
      <c r="DQ78" s="9"/>
      <c r="DR78" s="9"/>
      <c r="DS78" s="9"/>
      <c r="DT78" s="9"/>
      <c r="DU78" s="9"/>
      <c r="DV78" s="9"/>
      <c r="DW78" s="11"/>
      <c r="DX78" s="1288" t="s">
        <v>182</v>
      </c>
      <c r="DY78" s="1288"/>
      <c r="DZ78" s="1288"/>
      <c r="EA78" s="1288"/>
      <c r="EB78" s="1288"/>
      <c r="EC78" s="1288"/>
      <c r="ED78" s="1288"/>
      <c r="EE78" s="1288"/>
      <c r="EF78" s="1288"/>
      <c r="EG78" s="1288"/>
      <c r="EH78" s="1288"/>
      <c r="EI78" s="1288"/>
      <c r="EJ78" s="1288"/>
      <c r="EK78" s="1288"/>
      <c r="EL78" s="1288"/>
      <c r="EM78" s="1288"/>
      <c r="EN78" s="1288"/>
      <c r="EO78" s="1288"/>
      <c r="EP78" s="1288"/>
      <c r="EQ78" s="1288"/>
      <c r="ER78" s="1288"/>
      <c r="ES78" s="1288"/>
      <c r="ET78" s="1288"/>
      <c r="EU78" s="1288"/>
      <c r="EV78" s="1288"/>
      <c r="EW78" s="1288"/>
      <c r="EX78" s="481"/>
      <c r="EY78" s="9"/>
      <c r="EZ78" s="9"/>
    </row>
    <row r="79" spans="1:313" ht="15.8" customHeight="1" thickTop="1">
      <c r="C79" s="12"/>
      <c r="N79" s="12"/>
      <c r="P79" s="12"/>
      <c r="Z79" s="12"/>
      <c r="AA79" s="12"/>
      <c r="AB79" s="12"/>
      <c r="AC79" s="14"/>
      <c r="AD79" s="12"/>
      <c r="AE79" s="12"/>
      <c r="AF79" s="12"/>
      <c r="AG79" s="12"/>
      <c r="AH79" s="12"/>
      <c r="BW79" s="10"/>
      <c r="DL79" s="9"/>
      <c r="DM79" s="9"/>
      <c r="DN79" s="9"/>
      <c r="DO79" s="9"/>
      <c r="DP79" s="9"/>
      <c r="DQ79" s="9"/>
      <c r="DR79" s="9"/>
      <c r="DS79" s="9"/>
      <c r="DT79" s="9"/>
      <c r="DU79" s="9"/>
      <c r="DV79" s="9"/>
      <c r="DW79" s="11"/>
      <c r="DX79" s="1288"/>
      <c r="DY79" s="1288"/>
      <c r="DZ79" s="1288"/>
      <c r="EA79" s="1288"/>
      <c r="EB79" s="1288"/>
      <c r="EC79" s="1288"/>
      <c r="ED79" s="1288"/>
      <c r="EE79" s="1288"/>
      <c r="EF79" s="1288"/>
      <c r="EG79" s="1288"/>
      <c r="EH79" s="1288"/>
      <c r="EI79" s="1288"/>
      <c r="EJ79" s="1288"/>
      <c r="EK79" s="1288"/>
      <c r="EL79" s="1288"/>
      <c r="EM79" s="1288"/>
      <c r="EN79" s="1288"/>
      <c r="EO79" s="1288"/>
      <c r="EP79" s="1288"/>
      <c r="EQ79" s="1288"/>
      <c r="ER79" s="1288"/>
      <c r="ES79" s="1288"/>
      <c r="ET79" s="1288"/>
      <c r="EU79" s="1288"/>
      <c r="EV79" s="1288"/>
      <c r="EW79" s="1288"/>
      <c r="EX79" s="481"/>
      <c r="EY79" s="9"/>
      <c r="EZ79" s="9"/>
    </row>
    <row r="80" spans="1:313" ht="15.8" customHeight="1">
      <c r="N80" s="12"/>
      <c r="P80" s="12"/>
      <c r="Z80" s="12"/>
      <c r="AA80" s="12"/>
      <c r="AB80" s="12"/>
      <c r="AD80" s="12"/>
      <c r="AE80" s="12"/>
      <c r="AF80" s="12"/>
      <c r="AG80" s="12"/>
      <c r="AH80" s="12"/>
      <c r="BW80" s="10"/>
      <c r="DL80" s="9"/>
      <c r="DM80" s="9"/>
      <c r="DN80" s="9"/>
      <c r="DO80" s="9"/>
      <c r="DP80" s="9"/>
      <c r="DQ80" s="9"/>
      <c r="DR80" s="9"/>
      <c r="DS80" s="9"/>
      <c r="DT80" s="9"/>
      <c r="DU80" s="9"/>
      <c r="DV80" s="9"/>
      <c r="DW80" s="11"/>
      <c r="DX80" s="1288"/>
      <c r="DY80" s="1288"/>
      <c r="DZ80" s="1288"/>
      <c r="EA80" s="1288"/>
      <c r="EB80" s="1288"/>
      <c r="EC80" s="1288"/>
      <c r="ED80" s="1288"/>
      <c r="EE80" s="1288"/>
      <c r="EF80" s="1288"/>
      <c r="EG80" s="1288"/>
      <c r="EH80" s="1288"/>
      <c r="EI80" s="1288"/>
      <c r="EJ80" s="1288"/>
      <c r="EK80" s="1288"/>
      <c r="EL80" s="1288"/>
      <c r="EM80" s="1288"/>
      <c r="EN80" s="1288"/>
      <c r="EO80" s="1288"/>
      <c r="EP80" s="1288"/>
      <c r="EQ80" s="1288"/>
      <c r="ER80" s="1288"/>
      <c r="ES80" s="1288"/>
      <c r="ET80" s="1288"/>
      <c r="EU80" s="1288"/>
      <c r="EV80" s="1288"/>
      <c r="EW80" s="1288"/>
      <c r="EX80" s="481"/>
      <c r="EY80" s="9"/>
      <c r="EZ80" s="9"/>
    </row>
    <row r="81" spans="37:314" ht="15.8" customHeight="1">
      <c r="BW81" s="10"/>
      <c r="DL81" s="9"/>
      <c r="DM81" s="9"/>
      <c r="DN81" s="9"/>
      <c r="DO81" s="9"/>
      <c r="DP81" s="9"/>
      <c r="DQ81" s="9"/>
      <c r="DR81" s="9"/>
      <c r="DS81" s="9"/>
      <c r="DT81" s="9"/>
      <c r="DU81" s="9"/>
      <c r="DV81" s="9"/>
      <c r="DW81" s="11"/>
      <c r="DX81" s="481"/>
      <c r="DY81" s="481"/>
      <c r="DZ81" s="481"/>
      <c r="EA81" s="481"/>
      <c r="EB81" s="481"/>
      <c r="EC81" s="481"/>
      <c r="ED81" s="481"/>
      <c r="EE81" s="481"/>
      <c r="EF81" s="481"/>
      <c r="EG81" s="481"/>
      <c r="EH81" s="481"/>
      <c r="EI81" s="481"/>
      <c r="EJ81" s="481"/>
      <c r="EK81" s="481"/>
      <c r="EL81" s="481"/>
      <c r="EM81" s="481"/>
      <c r="EN81" s="481"/>
      <c r="EO81" s="481"/>
      <c r="EP81" s="481"/>
      <c r="EQ81" s="481"/>
      <c r="ER81" s="481"/>
      <c r="ES81" s="481"/>
      <c r="ET81" s="481"/>
      <c r="EU81" s="481"/>
      <c r="EV81" s="481"/>
      <c r="EW81" s="481"/>
      <c r="EX81" s="481"/>
      <c r="EY81" s="9"/>
      <c r="EZ81" s="9"/>
    </row>
    <row r="82" spans="37:314" ht="15.8" customHeight="1">
      <c r="AK82" t="s">
        <v>183</v>
      </c>
      <c r="AL82" s="715">
        <f>SUM(AK31:AL50)</f>
        <v>0</v>
      </c>
      <c r="AM82" s="715">
        <f>SUM(AK51:AL76)</f>
        <v>0</v>
      </c>
      <c r="AN82" s="715"/>
      <c r="BW82" s="10"/>
      <c r="DW82" s="10"/>
    </row>
    <row r="83" spans="37:314" ht="15.8" customHeight="1">
      <c r="AK83" s="715">
        <f t="array" ref="AK83">MAX(IF(AL82:AN82&gt;0,AL83:AN83))</f>
        <v>0</v>
      </c>
      <c r="AL83" s="715">
        <f>48-25</f>
        <v>23</v>
      </c>
      <c r="AM83" s="715">
        <f>78-25</f>
        <v>53</v>
      </c>
      <c r="AN83" s="715"/>
      <c r="BW83" s="10"/>
      <c r="DW83" s="10"/>
    </row>
    <row r="84" spans="37:314" ht="15.8" customHeight="1">
      <c r="BW84" s="10"/>
      <c r="BY84" s="31"/>
      <c r="DW84" s="10"/>
    </row>
    <row r="85" spans="37:314" ht="15.8" customHeight="1">
      <c r="AK85" t="s">
        <v>184</v>
      </c>
      <c r="DW85" s="10"/>
    </row>
    <row r="86" spans="37:314" ht="15.8" customHeight="1">
      <c r="DW86" s="10"/>
    </row>
    <row r="87" spans="37:314" ht="15.8" customHeight="1">
      <c r="DW87" s="10"/>
    </row>
    <row r="88" spans="37:314" ht="15.8" customHeight="1">
      <c r="DW88" s="10"/>
      <c r="DY88" s="31"/>
    </row>
    <row r="89" spans="37:314" ht="15.8" customHeight="1">
      <c r="DY89" s="1289" t="s">
        <v>191</v>
      </c>
      <c r="DZ89" s="1289"/>
      <c r="EA89" s="1289"/>
      <c r="EB89" s="1289"/>
      <c r="EC89" s="1289"/>
      <c r="ED89" s="1289"/>
      <c r="EE89" s="1289"/>
      <c r="EF89" s="1289"/>
      <c r="EG89" s="1289"/>
    </row>
    <row r="90" spans="37:314" ht="15.8" customHeight="1"/>
    <row r="91" spans="37:314" ht="15.8" customHeight="1">
      <c r="BM91" s="716" t="s">
        <v>185</v>
      </c>
      <c r="BN91" s="717"/>
      <c r="BO91" s="717"/>
      <c r="BP91" s="717"/>
      <c r="BQ91" s="717"/>
      <c r="BR91" s="717"/>
      <c r="BS91" s="717"/>
      <c r="BT91" s="717"/>
      <c r="BU91" s="718"/>
      <c r="CP91" s="13"/>
      <c r="DM91" s="716" t="s">
        <v>192</v>
      </c>
      <c r="DN91" s="717"/>
      <c r="DO91" s="717"/>
      <c r="DP91" s="717"/>
      <c r="DQ91" s="717"/>
      <c r="DR91" s="717"/>
      <c r="DS91" s="717"/>
      <c r="DT91" s="717"/>
      <c r="DU91" s="718"/>
      <c r="EL91" s="1150"/>
      <c r="EM91" s="1150"/>
      <c r="EN91" s="1150"/>
      <c r="EO91" s="1150"/>
      <c r="EP91" s="1150"/>
      <c r="EQ91" s="1150"/>
      <c r="ER91" s="1150"/>
      <c r="ES91" s="1150"/>
      <c r="ET91" s="1150"/>
      <c r="EU91" s="1150"/>
      <c r="EV91" s="1150"/>
      <c r="EW91" s="1150"/>
      <c r="EX91" s="1150"/>
      <c r="EY91" s="1150"/>
      <c r="EZ91" s="1150"/>
      <c r="FA91" s="1150"/>
      <c r="FB91" s="1150"/>
      <c r="FC91" s="1150"/>
      <c r="FD91" s="1150"/>
    </row>
    <row r="92" spans="37:314" ht="15.8" customHeight="1">
      <c r="BM92" s="719" t="s">
        <v>186</v>
      </c>
      <c r="BN92" s="719" t="s">
        <v>132</v>
      </c>
      <c r="BO92" s="720" t="s">
        <v>170</v>
      </c>
      <c r="BP92" s="721" t="s">
        <v>187</v>
      </c>
      <c r="BQ92" s="720"/>
      <c r="BR92" s="720" t="s">
        <v>132</v>
      </c>
      <c r="BS92" s="720" t="s">
        <v>188</v>
      </c>
      <c r="BT92" s="720" t="s">
        <v>157</v>
      </c>
      <c r="BU92" s="722"/>
      <c r="BX92" s="602">
        <f>COUNT(BX93:BX142)</f>
        <v>0</v>
      </c>
      <c r="BY92" s="603" t="s">
        <v>189</v>
      </c>
      <c r="BZ92" s="603" t="s">
        <v>132</v>
      </c>
      <c r="CA92" s="605" t="s">
        <v>190</v>
      </c>
      <c r="CE92" s="603" t="s">
        <v>189</v>
      </c>
      <c r="CF92" s="603" t="s">
        <v>132</v>
      </c>
      <c r="CG92" s="605" t="s">
        <v>190</v>
      </c>
      <c r="CI92" s="1031">
        <v>1</v>
      </c>
      <c r="CJ92" s="1031">
        <v>2</v>
      </c>
      <c r="CK92" s="1031">
        <v>3</v>
      </c>
      <c r="CL92" s="1031">
        <v>4</v>
      </c>
      <c r="CM92">
        <f>COUNT(CM93:CM142)</f>
        <v>0</v>
      </c>
      <c r="DM92" s="719" t="s">
        <v>186</v>
      </c>
      <c r="DN92" s="719" t="s">
        <v>132</v>
      </c>
      <c r="DO92" s="724" t="s">
        <v>172</v>
      </c>
      <c r="DP92" s="724" t="s">
        <v>193</v>
      </c>
      <c r="DQ92" s="724" t="s">
        <v>194</v>
      </c>
      <c r="DR92" s="724" t="s">
        <v>132</v>
      </c>
      <c r="DS92" s="720" t="s">
        <v>195</v>
      </c>
      <c r="DT92" s="720" t="s">
        <v>157</v>
      </c>
      <c r="DU92" s="726"/>
      <c r="DX92" s="602">
        <f>COUNT(DX93:DX142)</f>
        <v>1</v>
      </c>
      <c r="DY92" s="603" t="s">
        <v>189</v>
      </c>
      <c r="DZ92" s="603" t="s">
        <v>132</v>
      </c>
      <c r="EA92" s="605" t="s">
        <v>190</v>
      </c>
      <c r="EE92" s="603" t="s">
        <v>189</v>
      </c>
      <c r="EF92" s="605" t="s">
        <v>172</v>
      </c>
      <c r="EG92" s="605" t="s">
        <v>193</v>
      </c>
      <c r="EH92" s="603" t="s">
        <v>132</v>
      </c>
      <c r="EI92" s="605" t="s">
        <v>190</v>
      </c>
      <c r="EJ92" s="602"/>
      <c r="EK92" s="602"/>
      <c r="EL92">
        <v>1</v>
      </c>
      <c r="EM92">
        <v>2</v>
      </c>
      <c r="EN92">
        <v>3</v>
      </c>
      <c r="EO92">
        <v>4</v>
      </c>
      <c r="EP92">
        <f>COUNT(EP93:EP142)</f>
        <v>1</v>
      </c>
    </row>
    <row r="93" spans="37:314" ht="15.8" customHeight="1">
      <c r="BL93">
        <f t="shared" ref="BL93:BL124" si="40">BW27</f>
        <v>1</v>
      </c>
      <c r="BM93" s="723" t="str">
        <f t="shared" ref="BM93:BM124" si="41">BM27</f>
        <v/>
      </c>
      <c r="BN93" s="720" t="str">
        <f t="shared" ref="BN93:BN124" si="42">CP27</f>
        <v/>
      </c>
      <c r="BO93" s="720" t="b">
        <f>CV27</f>
        <v>0</v>
      </c>
      <c r="BP93" s="724" t="str">
        <f t="shared" ref="BP93:BP124" si="43">IF(BO93=TRUE,CF27,"")</f>
        <v/>
      </c>
      <c r="BQ93" s="720" t="str">
        <f>IFERROR(VLOOKUP(BP93,Lookup!AM$6:AN$8,2,FALSE),"")</f>
        <v/>
      </c>
      <c r="BR93" s="720" t="str">
        <f t="shared" ref="BR93:BR124" si="44">IFERROR(CP27/LEFT(CJ27,1),BN93)</f>
        <v/>
      </c>
      <c r="BS93" s="725">
        <f>SUMIFS(Installations!CS$39:CS$800,Installations!CT$39:CT$800,BM93,Installations!HX$39:HX$800,TRUE,Installations!CR$39:CR$800,"Exist")</f>
        <v>0</v>
      </c>
      <c r="BT93" s="720" t="str">
        <f>IF(BS93=0,"",BL93)</f>
        <v/>
      </c>
      <c r="BU93" s="726"/>
      <c r="BX93" s="720" t="str">
        <f t="array" ref="BX93">IFERROR(IF(ROWS(BM$93:BM93)&gt;COUNTA($BM$93:$BM$192),"",INDEX($BL$93:$BL$192,SMALL(IF($BM$93:$BM$192&lt;&gt;"",ROW($BM$93:$BM$192)-ROW($BM$93)+1),ROWS($BM$93:BM93)))),"")</f>
        <v/>
      </c>
      <c r="BY93" s="602" t="str">
        <f t="shared" ref="BY93:BY124" si="45">IFERROR(VLOOKUP(BX93,$BL$93:$BM$192,2,FALSE),"")</f>
        <v/>
      </c>
      <c r="BZ93" s="604" t="str">
        <f t="shared" ref="BZ93:BZ124" si="46">IFERROR(VLOOKUP(BX93,BL$93:BN$192,3,FALSE),"")</f>
        <v/>
      </c>
      <c r="CA93" s="604" t="str">
        <f t="shared" ref="CA93:CA124" si="47">IFERROR(VLOOKUP(BX93,BL$93:BS$192,8,FALSE),"")</f>
        <v/>
      </c>
      <c r="CD93" s="720" t="str">
        <f t="array" ref="CD93">IFERROR(IF(ROWS(BT$93:BT93)&gt;COUNTA($BT$93:$BT$192),"",INDEX($BL$93:$BL$192,SMALL(IF($BT$93:$BT$192&lt;&gt;"",ROW($BT$93:$BT$192)-ROW($BT$93)+1),ROWS($BT$93:BT93)))),"")</f>
        <v/>
      </c>
      <c r="CE93" s="602" t="str">
        <f t="shared" ref="CE93:CE124" si="48">IFERROR(VLOOKUP(CD93,$BL$93:$BM$192,2,FALSE),"")</f>
        <v/>
      </c>
      <c r="CF93" s="604" t="str">
        <f t="shared" ref="CF93:CF124" si="49">IFERROR(VLOOKUP(CD93,$BL$93:$BS$192,3,FALSE),"")</f>
        <v/>
      </c>
      <c r="CG93" s="604" t="str">
        <f t="shared" ref="CG93:CG124" si="50">IFERROR(VLOOKUP(CD93,$BL$93:$BS$192,8,FALSE),"")</f>
        <v/>
      </c>
      <c r="CI93" s="604">
        <f>COUNTIF($BY$93:$BY$142,"&lt;="&amp;BY93)</f>
        <v>0</v>
      </c>
      <c r="CJ93" s="604">
        <f>--ISNUMBER(BY93)</f>
        <v>0</v>
      </c>
      <c r="CK93" s="604">
        <f>IF(BY93="",1,0)</f>
        <v>1</v>
      </c>
      <c r="CL93" s="604">
        <f t="array" ref="CL93">IF(ISNUMBER(BY93),CI93,IF(ISBLANK(BY93),CI93,CI93+$CJ$143))+$CK$143</f>
        <v>50</v>
      </c>
      <c r="CM93" t="str">
        <f>BX93</f>
        <v/>
      </c>
      <c r="CN93" s="602" t="str">
        <f t="array" ref="CN93">IFERROR(INDEX($BY$93:$BY$142,MATCH(SMALL($CL$93:$CL$142,ROWS($CM$93:CM93)+$CK$143),$CL$93:$CL$142,0)),"")</f>
        <v/>
      </c>
      <c r="DL93" s="602">
        <v>1</v>
      </c>
      <c r="DM93" s="723" t="str">
        <f t="shared" ref="DM93:DM124" si="51">DN27</f>
        <v/>
      </c>
      <c r="DN93" s="720" t="str">
        <f>IF(ET27="","",ET27)</f>
        <v/>
      </c>
      <c r="DO93" s="720" t="str">
        <f t="shared" ref="DO93:DO124" si="52">EZ27</f>
        <v/>
      </c>
      <c r="DP93" s="727">
        <f t="shared" ref="DP93:DP124" si="53">EX27</f>
        <v>0</v>
      </c>
      <c r="DQ93" s="719" t="str">
        <f t="shared" ref="DQ93:DQ124" ca="1" si="54">FG27</f>
        <v/>
      </c>
      <c r="DR93" s="720">
        <f t="shared" ref="DR93:DR96" si="55">IFERROR(ET27/EF27,0)</f>
        <v>0</v>
      </c>
      <c r="DS93" s="720">
        <f>SUMIFS(Installations!CS$39:CS$800,Installations!CT$39:CT$800,DM93,Installations!HX$39:HX$800,TRUE,Installations!CR$39:CR$800,"New")</f>
        <v>0</v>
      </c>
      <c r="DT93" s="720" t="str">
        <f>IF(DS93=0,"",DL93)</f>
        <v/>
      </c>
      <c r="DU93" s="726"/>
      <c r="DX93" s="720">
        <f t="array" ref="DX93">IFERROR(IF(ROWS(DM$93:DM93)&gt;COUNTA($DM$93:$DM$145),"",INDEX($DL$93:$DL$142,SMALL(IF($DM$93:$DM$145&lt;&gt;"",ROW($DM$93:$DM$145)-ROW($DM$93)+1),ROWS($DM$93:DM93)))),"")</f>
        <v>50</v>
      </c>
      <c r="DY93" s="602" t="str">
        <f>IFERROR(VLOOKUP($DX93,DL$93:DS$142,2,FALSE),"")</f>
        <v>08 Other Interior Fixture Removed, (1) Existing #Removed</v>
      </c>
      <c r="DZ93" s="604">
        <f>IFERROR(VLOOKUP($DX93,DL$93:DS$142,3,FALSE),"")</f>
        <v>0</v>
      </c>
      <c r="EA93" s="604">
        <f>IFERROR(VLOOKUP($DX93,DL$93:DS$142,8,FALSE),"")</f>
        <v>0</v>
      </c>
      <c r="EB93" s="602"/>
      <c r="EC93" s="602"/>
      <c r="ED93" s="720" t="str">
        <f t="array" ref="ED93">IFERROR(IF(ROWS(DT$93:DT93)&gt;COUNTA($DT$93:$DT$145),"",INDEX($DL$93:$DL$142,SMALL(IF($DT$93:$DT$145&lt;&gt;"",ROW($DT$93:$DT$145)-ROW($DT$93)+1),ROWS($DT$93:DT93)))),"")</f>
        <v/>
      </c>
      <c r="EE93" s="602" t="str">
        <f>IFERROR(VLOOKUP($ED93,DL$93:DS$142,2,FALSE),"")</f>
        <v/>
      </c>
      <c r="EF93" s="604" t="str">
        <f>IFERROR(VLOOKUP($ED93,DL$93:DS$142,4,FALSE),"")</f>
        <v/>
      </c>
      <c r="EG93" s="606" t="str">
        <f>IFERROR(VLOOKUP($ED93,DL$93:DS$142,5,FALSE),"")</f>
        <v/>
      </c>
      <c r="EH93" s="604" t="str">
        <f>IFERROR(VLOOKUP($ED93,DL$93:DS$142,3,FALSE),"")</f>
        <v/>
      </c>
      <c r="EI93" s="604" t="str">
        <f>IFERROR(VLOOKUP($ED93,DL$93:DS$142,8,FALSE),"")</f>
        <v/>
      </c>
      <c r="EJ93" s="602">
        <v>1</v>
      </c>
      <c r="EK93" s="602"/>
      <c r="EL93" s="1033">
        <f>COUNTIF($DY$93:$DY$142,"&lt;="&amp;DY93)</f>
        <v>50</v>
      </c>
      <c r="EM93" s="602">
        <f>--ISNUMBER(DY93)</f>
        <v>0</v>
      </c>
      <c r="EN93" s="602">
        <f>IF(DY93="",1,0)</f>
        <v>0</v>
      </c>
      <c r="EO93" s="602">
        <f t="array" ref="EO93">IF(ISNUMBER(DY93),EL93,IF(ISBLANK(DY93),EL93,EL93+$EM$143))+$EN$143</f>
        <v>99</v>
      </c>
      <c r="EP93">
        <f>DX93</f>
        <v>50</v>
      </c>
      <c r="EQ93" s="602" t="str">
        <f t="array" ref="EQ93">IFERROR(INDEX($DY$93:$DY$142,MATCH(SMALL($EO$93:$EO$142,ROWS($EQ$93:EQ93)+$EN$143),$EO$93:$EO$142,0)),"")</f>
        <v>08 Other Interior Fixture Removed, (1) Existing #Removed</v>
      </c>
      <c r="EW93" s="602"/>
      <c r="LB93" s="602" t="e">
        <f>INDEX($DY$93:$DY$115,MATCH(ROWS($DY$93:DY93),COUNTIF($DY$93:$DY$115,"&lt;="&amp;$DY$93:$DY$115),0))</f>
        <v>#N/A</v>
      </c>
    </row>
    <row r="94" spans="37:314">
      <c r="BL94">
        <f t="shared" si="40"/>
        <v>2</v>
      </c>
      <c r="BM94" s="723" t="str">
        <f t="shared" si="41"/>
        <v/>
      </c>
      <c r="BN94" s="720" t="str">
        <f t="shared" si="42"/>
        <v/>
      </c>
      <c r="BO94" s="720" t="b">
        <f t="shared" ref="BO94:BO142" si="56">CV28</f>
        <v>0</v>
      </c>
      <c r="BP94" s="724" t="str">
        <f t="shared" si="43"/>
        <v/>
      </c>
      <c r="BQ94" s="720" t="str">
        <f>IFERROR(VLOOKUP(BP94,Lookup!AM$6:AN$8,2,FALSE),"")</f>
        <v/>
      </c>
      <c r="BR94" s="720" t="str">
        <f t="shared" si="44"/>
        <v/>
      </c>
      <c r="BS94" s="725">
        <f>SUMIFS(Installations!CS$39:CS$800,Installations!CT$39:CT$800,BM94,Installations!HX$39:HX$800,TRUE,Installations!CR$39:CR$800,"Exist")</f>
        <v>0</v>
      </c>
      <c r="BT94" s="720" t="str">
        <f t="shared" ref="BT94:BT157" si="57">IF(BS94=0,"",BL94)</f>
        <v/>
      </c>
      <c r="BU94" s="726"/>
      <c r="BX94" s="720" t="str">
        <f t="array" ref="BX94">IFERROR(IF(ROWS(BM$93:BM94)&gt;COUNTA($BM$93:$BM$192),"",INDEX($BL$93:$BL$192,SMALL(IF($BM$93:$BM$192&lt;&gt;"",ROW($BM$93:$BM$192)-ROW($BM$93)+1),ROWS($BM$93:BM94)))),"")</f>
        <v/>
      </c>
      <c r="BY94" s="602" t="str">
        <f t="shared" si="45"/>
        <v/>
      </c>
      <c r="BZ94" s="604" t="str">
        <f t="shared" si="46"/>
        <v/>
      </c>
      <c r="CA94" s="604" t="str">
        <f t="shared" si="47"/>
        <v/>
      </c>
      <c r="CD94" s="720" t="str">
        <f t="array" ref="CD94">IFERROR(IF(ROWS(BT$93:BT94)&gt;COUNTA($BT$93:$BT$192),"",INDEX($BL$93:$BL$192,SMALL(IF($BT$93:$BT$192&lt;&gt;"",ROW($BT$93:$BT$192)-ROW($BT$93)+1),ROWS($BT$93:BT94)))),"")</f>
        <v/>
      </c>
      <c r="CE94" s="602" t="str">
        <f t="shared" si="48"/>
        <v/>
      </c>
      <c r="CF94" s="604" t="str">
        <f t="shared" si="49"/>
        <v/>
      </c>
      <c r="CG94" s="604" t="str">
        <f t="shared" si="50"/>
        <v/>
      </c>
      <c r="CI94" s="604">
        <f t="shared" ref="CI94:CI142" si="58">COUNTIF($BY$93:$BY$142,"&lt;="&amp;BY94)</f>
        <v>0</v>
      </c>
      <c r="CJ94" s="604">
        <f t="shared" ref="CJ94:CJ142" si="59">--ISNUMBER(BY94)</f>
        <v>0</v>
      </c>
      <c r="CK94" s="604">
        <f t="shared" ref="CK94:CK142" si="60">IF(BY94="",1,0)</f>
        <v>1</v>
      </c>
      <c r="CL94" s="604">
        <f t="array" ref="CL94">IF(ISNUMBER(BY94),CI94,IF(ISBLANK(BY94),CI94,CI94+$CJ$143))+$CK$143</f>
        <v>50</v>
      </c>
      <c r="CM94" t="str">
        <f t="shared" ref="CM94:CM142" si="61">BX94</f>
        <v/>
      </c>
      <c r="CN94" s="602" t="str">
        <f t="array" ref="CN94">IFERROR(INDEX($BY$93:$BY$142,MATCH(SMALL($CL$93:$CL$142,ROWS($CM$93:CM94)+$CK$143),$CL$93:$CL$142,0)),"")</f>
        <v/>
      </c>
      <c r="DL94" s="602">
        <v>2</v>
      </c>
      <c r="DM94" s="723" t="str">
        <f t="shared" si="51"/>
        <v/>
      </c>
      <c r="DN94" s="720" t="str">
        <f t="shared" ref="DN94:DN142" si="62">IF(ET28="","",ET28)</f>
        <v/>
      </c>
      <c r="DO94" s="720" t="str">
        <f t="shared" si="52"/>
        <v/>
      </c>
      <c r="DP94" s="727">
        <f t="shared" si="53"/>
        <v>0</v>
      </c>
      <c r="DQ94" s="719" t="str">
        <f t="shared" ca="1" si="54"/>
        <v/>
      </c>
      <c r="DR94" s="720">
        <f t="shared" si="55"/>
        <v>0</v>
      </c>
      <c r="DS94" s="720">
        <f>SUMIFS(Installations!CS$39:CS$800,Installations!CT$39:CT$800,DM94,Installations!HX$39:HX$800,TRUE,Installations!CR$39:CR$800,"New")</f>
        <v>0</v>
      </c>
      <c r="DT94" s="720" t="str">
        <f t="shared" ref="DT94:DT142" si="63">IF(DS94=0,"",DL94)</f>
        <v/>
      </c>
      <c r="DU94" s="726"/>
      <c r="DX94" s="720" t="str">
        <f t="array" ref="DX94">IFERROR(IF(ROWS(DM$93:DM94)&gt;COUNTA($DM$93:$DM$145),"",INDEX($DL$93:$DL$142,SMALL(IF($DM$93:$DM$145&lt;&gt;"",ROW($DM$93:$DM$145)-ROW($DM$93)+1),ROWS($DM$93:DM94)))),"")</f>
        <v/>
      </c>
      <c r="DY94" s="602" t="str">
        <f t="shared" ref="DY94:DY98" si="64">IFERROR(VLOOKUP($DX94,DL$93:DS$142,2,FALSE),"")</f>
        <v/>
      </c>
      <c r="DZ94" s="604" t="str">
        <f t="shared" ref="DZ94:DZ98" si="65">IFERROR(VLOOKUP($DX94,DL$93:DS$142,3,FALSE),"")</f>
        <v/>
      </c>
      <c r="EA94" s="604" t="str">
        <f t="shared" ref="EA94:EA98" si="66">IFERROR(VLOOKUP($DX94,DL$93:DS$142,8,FALSE),"")</f>
        <v/>
      </c>
      <c r="EB94" s="602"/>
      <c r="EC94" s="602"/>
      <c r="ED94" s="720" t="str">
        <f t="array" ref="ED94">IFERROR(IF(ROWS(DT$93:DT94)&gt;COUNTA($DT$93:$DT$145),"",INDEX($DL$93:$DL$142,SMALL(IF($DT$93:$DT$145&lt;&gt;"",ROW($DT$93:$DT$145)-ROW($DT$93)+1),ROWS($DT$93:DT94)))),"")</f>
        <v/>
      </c>
      <c r="EE94" s="602" t="str">
        <f>IFERROR(VLOOKUP($ED94,DL$93:DS$142,2,FALSE),"")</f>
        <v/>
      </c>
      <c r="EF94" s="604" t="str">
        <f>IFERROR(VLOOKUP($ED94,DL$93:DS$142,4,FALSE),"")</f>
        <v/>
      </c>
      <c r="EG94" s="606" t="str">
        <f>IFERROR(VLOOKUP($ED94,DL$93:DS$142,5,FALSE),"")</f>
        <v/>
      </c>
      <c r="EH94" s="604" t="str">
        <f>IFERROR(VLOOKUP($ED94,DL$93:DS$142,3,FALSE),"")</f>
        <v/>
      </c>
      <c r="EI94" s="604" t="str">
        <f>IFERROR(VLOOKUP($ED94,DL$93:DS$142,8,FALSE),"")</f>
        <v/>
      </c>
      <c r="EJ94" s="602">
        <v>2</v>
      </c>
      <c r="EK94" s="602"/>
      <c r="EL94" s="1033">
        <f t="shared" ref="EL94:EL142" si="67">COUNTIF($DY$93:$DY$142,"&lt;="&amp;DY94)</f>
        <v>0</v>
      </c>
      <c r="EM94" s="602">
        <f t="array" ref="EM94">--ISNUMBER(DY94)</f>
        <v>0</v>
      </c>
      <c r="EN94" s="602">
        <f t="shared" ref="EN94:EN142" si="68">IF(DY94="",1,0)</f>
        <v>1</v>
      </c>
      <c r="EO94" s="602">
        <f t="array" ref="EO94">IF(ISNUMBER(DY94),EL94,IF(ISBLANK(DY94),EL94,EL94+$EM$143))+$EN$143</f>
        <v>49</v>
      </c>
      <c r="EP94" t="str">
        <f t="shared" ref="EP94:EP142" si="69">DX94</f>
        <v/>
      </c>
      <c r="EQ94" s="602" t="str">
        <f t="array" ref="EQ94">IFERROR(INDEX($DY$93:$DY$142,MATCH(SMALL($EO$93:$EO$142,ROWS($EQ$93:EQ94)+$EN$143),$EO$93:$EO$142,0)),"")</f>
        <v/>
      </c>
      <c r="EW94" s="602"/>
      <c r="LB94" s="602" t="e">
        <f t="array" ref="LB94">INDEX($DY$93:$DY$115,MATCH(ROWS($DY$93:DY94),COUNTIF($DY$93:$DY$115,"&lt;="&amp;$DY$93:$DY$115),0))</f>
        <v>#N/A</v>
      </c>
    </row>
    <row r="95" spans="37:314">
      <c r="BL95">
        <f t="shared" si="40"/>
        <v>3</v>
      </c>
      <c r="BM95" s="723" t="str">
        <f t="shared" si="41"/>
        <v/>
      </c>
      <c r="BN95" s="720" t="str">
        <f t="shared" si="42"/>
        <v/>
      </c>
      <c r="BO95" s="720" t="b">
        <f t="shared" si="56"/>
        <v>0</v>
      </c>
      <c r="BP95" s="724" t="str">
        <f t="shared" si="43"/>
        <v/>
      </c>
      <c r="BQ95" s="720" t="str">
        <f>IFERROR(VLOOKUP(BP95,Lookup!AM$6:AN$8,2,FALSE),"")</f>
        <v/>
      </c>
      <c r="BR95" s="720" t="str">
        <f t="shared" si="44"/>
        <v/>
      </c>
      <c r="BS95" s="725">
        <f>SUMIFS(Installations!CS$39:CS$800,Installations!CT$39:CT$800,BM95,Installations!HX$39:HX$800,TRUE,Installations!CR$39:CR$800,"Exist")</f>
        <v>0</v>
      </c>
      <c r="BT95" s="720" t="str">
        <f t="shared" si="57"/>
        <v/>
      </c>
      <c r="BU95" s="726"/>
      <c r="BX95" s="720" t="str">
        <f t="array" ref="BX95">IFERROR(IF(ROWS(BM$93:BM95)&gt;COUNTA($BM$93:$BM$192),"",INDEX($BL$93:$BL$192,SMALL(IF($BM$93:$BM$192&lt;&gt;"",ROW($BM$93:$BM$192)-ROW($BM$93)+1),ROWS($BM$93:BM95)))),"")</f>
        <v/>
      </c>
      <c r="BY95" s="602" t="str">
        <f t="shared" si="45"/>
        <v/>
      </c>
      <c r="BZ95" s="604" t="str">
        <f t="shared" si="46"/>
        <v/>
      </c>
      <c r="CA95" s="604" t="str">
        <f t="shared" si="47"/>
        <v/>
      </c>
      <c r="CD95" s="720" t="str">
        <f t="array" ref="CD95">IFERROR(IF(ROWS(BT$93:BT95)&gt;COUNTA($BT$93:$BT$192),"",INDEX($BL$93:$BL$192,SMALL(IF($BT$93:$BT$192&lt;&gt;"",ROW($BT$93:$BT$192)-ROW($BT$93)+1),ROWS($BT$93:BT95)))),"")</f>
        <v/>
      </c>
      <c r="CE95" s="602" t="str">
        <f t="shared" si="48"/>
        <v/>
      </c>
      <c r="CF95" s="604" t="str">
        <f t="shared" si="49"/>
        <v/>
      </c>
      <c r="CG95" s="604" t="str">
        <f t="shared" si="50"/>
        <v/>
      </c>
      <c r="CI95" s="604">
        <f t="shared" si="58"/>
        <v>0</v>
      </c>
      <c r="CJ95" s="604">
        <f t="shared" si="59"/>
        <v>0</v>
      </c>
      <c r="CK95" s="604">
        <f t="shared" si="60"/>
        <v>1</v>
      </c>
      <c r="CL95" s="604">
        <f t="array" ref="CL95">IF(ISNUMBER(BY95),CI95,IF(ISBLANK(BY95),CI95,CI95+$CJ$143))+$CK$143</f>
        <v>50</v>
      </c>
      <c r="CM95" t="str">
        <f t="shared" si="61"/>
        <v/>
      </c>
      <c r="CN95" s="602" t="str">
        <f t="array" ref="CN95">IFERROR(INDEX($BY$93:$BY$142,MATCH(SMALL($CL$93:$CL$142,ROWS($CM$93:CM95)+$CK$143),$CL$93:$CL$142,0)),"")</f>
        <v/>
      </c>
      <c r="DL95" s="602">
        <v>3</v>
      </c>
      <c r="DM95" s="723" t="str">
        <f t="shared" si="51"/>
        <v/>
      </c>
      <c r="DN95" s="720" t="str">
        <f t="shared" si="62"/>
        <v/>
      </c>
      <c r="DO95" s="720" t="str">
        <f t="shared" si="52"/>
        <v/>
      </c>
      <c r="DP95" s="727">
        <f t="shared" si="53"/>
        <v>0</v>
      </c>
      <c r="DQ95" s="719" t="str">
        <f t="shared" ca="1" si="54"/>
        <v/>
      </c>
      <c r="DR95" s="720">
        <f t="shared" si="55"/>
        <v>0</v>
      </c>
      <c r="DS95" s="720">
        <f>SUMIFS(Installations!CS$39:CS$800,Installations!CT$39:CT$800,DM95,Installations!HX$39:HX$800,TRUE,Installations!CR$39:CR$800,"New")</f>
        <v>0</v>
      </c>
      <c r="DT95" s="720" t="str">
        <f t="shared" si="63"/>
        <v/>
      </c>
      <c r="DU95" s="726"/>
      <c r="DX95" s="720" t="str">
        <f t="array" ref="DX95">IFERROR(IF(ROWS(DM$93:DM95)&gt;COUNTA($DM$93:$DM$145),"",INDEX($DL$93:$DL$142,SMALL(IF($DM$93:$DM$145&lt;&gt;"",ROW($DM$93:$DM$145)-ROW($DM$93)+1),ROWS($DM$93:DM95)))),"")</f>
        <v/>
      </c>
      <c r="DY95" s="602" t="str">
        <f t="shared" si="64"/>
        <v/>
      </c>
      <c r="DZ95" s="604" t="str">
        <f t="shared" si="65"/>
        <v/>
      </c>
      <c r="EA95" s="604" t="str">
        <f t="shared" si="66"/>
        <v/>
      </c>
      <c r="EB95" s="602"/>
      <c r="EC95" s="602"/>
      <c r="ED95" s="720" t="str">
        <f t="array" ref="ED95">IFERROR(IF(ROWS(DT$93:DT95)&gt;COUNTA($DT$93:$DT$145),"",INDEX($DL$93:$DL$142,SMALL(IF($DT$93:$DT$145&lt;&gt;"",ROW($DT$93:$DT$145)-ROW($DT$93)+1),ROWS($DT$93:DT95)))),"")</f>
        <v/>
      </c>
      <c r="EE95" s="602" t="str">
        <f t="shared" ref="EE95:EE142" si="70">IFERROR(VLOOKUP($ED95,DL$93:DS$142,2,FALSE),"")</f>
        <v/>
      </c>
      <c r="EF95" s="604" t="str">
        <f t="shared" ref="EF95:EF142" si="71">IFERROR(VLOOKUP($ED95,DL$93:DS$142,4,FALSE),"")</f>
        <v/>
      </c>
      <c r="EG95" s="606" t="str">
        <f t="shared" ref="EG95:EG142" si="72">IFERROR(VLOOKUP($ED95,DL$93:DS$142,5,FALSE),"")</f>
        <v/>
      </c>
      <c r="EH95" s="604" t="str">
        <f t="shared" ref="EH95:EH142" si="73">IFERROR(VLOOKUP($ED95,DL$93:DS$142,3,FALSE),"")</f>
        <v/>
      </c>
      <c r="EI95" s="604" t="str">
        <f t="shared" ref="EI95:EI142" si="74">IFERROR(VLOOKUP($ED95,DL$93:DS$142,8,FALSE),"")</f>
        <v/>
      </c>
      <c r="EJ95" s="602">
        <v>3</v>
      </c>
      <c r="EK95" s="602"/>
      <c r="EL95" s="1033">
        <f t="shared" si="67"/>
        <v>0</v>
      </c>
      <c r="EM95" s="602">
        <f t="array" ref="EM95">--ISNUMBER(DY95)</f>
        <v>0</v>
      </c>
      <c r="EN95" s="602">
        <f t="shared" si="68"/>
        <v>1</v>
      </c>
      <c r="EO95" s="602">
        <f t="array" ref="EO95">IF(ISNUMBER(DY95),EL95,IF(ISBLANK(DY95),EL95,EL95+$EM$143))+$EN$143</f>
        <v>49</v>
      </c>
      <c r="EP95" t="str">
        <f t="shared" si="69"/>
        <v/>
      </c>
      <c r="EQ95" s="602" t="str">
        <f t="array" ref="EQ95">IFERROR(INDEX($DY$93:$DY$142,MATCH(SMALL($EO$93:$EO$142,ROWS($EQ$93:EQ95)+$EN$143),$EO$93:$EO$142,0)),"")</f>
        <v/>
      </c>
      <c r="EW95" s="602"/>
      <c r="LB95" s="602" t="e">
        <f t="array" ref="LB95">INDEX($DY$93:$DY$115,MATCH(ROWS($DY$93:DY95),COUNTIF($DY$93:$DY$115,"&lt;="&amp;$DY$93:$DY$115),0))</f>
        <v>#N/A</v>
      </c>
    </row>
    <row r="96" spans="37:314">
      <c r="BL96">
        <f t="shared" si="40"/>
        <v>4</v>
      </c>
      <c r="BM96" s="723" t="str">
        <f t="shared" si="41"/>
        <v/>
      </c>
      <c r="BN96" s="720" t="str">
        <f t="shared" si="42"/>
        <v/>
      </c>
      <c r="BO96" s="720" t="b">
        <f t="shared" si="56"/>
        <v>0</v>
      </c>
      <c r="BP96" s="724" t="str">
        <f t="shared" si="43"/>
        <v/>
      </c>
      <c r="BQ96" s="720" t="str">
        <f>IFERROR(VLOOKUP(BP96,Lookup!AM$6:AN$8,2,FALSE),"")</f>
        <v/>
      </c>
      <c r="BR96" s="720" t="str">
        <f t="shared" si="44"/>
        <v/>
      </c>
      <c r="BS96" s="725">
        <f>SUMIFS(Installations!CS$39:CS$800,Installations!CT$39:CT$800,BM96,Installations!HX$39:HX$800,TRUE,Installations!CR$39:CR$800,"Exist")</f>
        <v>0</v>
      </c>
      <c r="BT96" s="720" t="str">
        <f t="shared" si="57"/>
        <v/>
      </c>
      <c r="BU96" s="726"/>
      <c r="BX96" s="720" t="str">
        <f t="array" ref="BX96">IFERROR(IF(ROWS(BM$93:BM96)&gt;COUNTA($BM$93:$BM$192),"",INDEX($BL$93:$BL$192,SMALL(IF($BM$93:$BM$192&lt;&gt;"",ROW($BM$93:$BM$192)-ROW($BM$93)+1),ROWS($BM$93:BM96)))),"")</f>
        <v/>
      </c>
      <c r="BY96" s="602" t="str">
        <f t="shared" si="45"/>
        <v/>
      </c>
      <c r="BZ96" s="604" t="str">
        <f t="shared" si="46"/>
        <v/>
      </c>
      <c r="CA96" s="604" t="str">
        <f t="shared" si="47"/>
        <v/>
      </c>
      <c r="CD96" s="720" t="str">
        <f t="array" ref="CD96">IFERROR(IF(ROWS(BT$93:BT96)&gt;COUNTA($BT$93:$BT$192),"",INDEX($BL$93:$BL$192,SMALL(IF($BT$93:$BT$192&lt;&gt;"",ROW($BT$93:$BT$192)-ROW($BT$93)+1),ROWS($BT$93:BT96)))),"")</f>
        <v/>
      </c>
      <c r="CE96" s="602" t="str">
        <f t="shared" si="48"/>
        <v/>
      </c>
      <c r="CF96" s="604" t="str">
        <f t="shared" si="49"/>
        <v/>
      </c>
      <c r="CG96" s="604" t="str">
        <f t="shared" si="50"/>
        <v/>
      </c>
      <c r="CI96" s="604">
        <f t="shared" si="58"/>
        <v>0</v>
      </c>
      <c r="CJ96" s="604">
        <f t="shared" si="59"/>
        <v>0</v>
      </c>
      <c r="CK96" s="604">
        <f t="shared" si="60"/>
        <v>1</v>
      </c>
      <c r="CL96" s="604">
        <f t="array" ref="CL96">IF(ISNUMBER(BY96),CI96,IF(ISBLANK(BY96),CI96,CI96+$CJ$143))+$CK$143</f>
        <v>50</v>
      </c>
      <c r="CM96" t="str">
        <f t="shared" si="61"/>
        <v/>
      </c>
      <c r="CN96" s="602" t="str">
        <f t="array" ref="CN96">IFERROR(INDEX($BY$93:$BY$142,MATCH(SMALL($CL$93:$CL$142,ROWS($CM$93:CM96)+$CK$143),$CL$93:$CL$142,0)),"")</f>
        <v/>
      </c>
      <c r="DL96" s="602">
        <v>4</v>
      </c>
      <c r="DM96" s="723" t="str">
        <f t="shared" si="51"/>
        <v/>
      </c>
      <c r="DN96" s="720" t="str">
        <f t="shared" si="62"/>
        <v/>
      </c>
      <c r="DO96" s="720" t="str">
        <f t="shared" si="52"/>
        <v/>
      </c>
      <c r="DP96" s="727">
        <f t="shared" si="53"/>
        <v>0</v>
      </c>
      <c r="DQ96" s="719" t="str">
        <f t="shared" ca="1" si="54"/>
        <v/>
      </c>
      <c r="DR96" s="720">
        <f t="shared" si="55"/>
        <v>0</v>
      </c>
      <c r="DS96" s="720">
        <f>SUMIFS(Installations!CS$39:CS$800,Installations!CT$39:CT$800,DM96,Installations!HX$39:HX$800,TRUE,Installations!CR$39:CR$800,"New")</f>
        <v>0</v>
      </c>
      <c r="DT96" s="720" t="str">
        <f t="shared" si="63"/>
        <v/>
      </c>
      <c r="DU96" s="726"/>
      <c r="DX96" s="720" t="str">
        <f t="array" ref="DX96">IFERROR(IF(ROWS(DM$93:DM96)&gt;COUNTA($DM$93:$DM$145),"",INDEX($DL$93:$DL$142,SMALL(IF($DM$93:$DM$145&lt;&gt;"",ROW($DM$93:$DM$145)-ROW($DM$93)+1),ROWS($DM$93:DM96)))),"")</f>
        <v/>
      </c>
      <c r="DY96" s="602" t="str">
        <f t="shared" si="64"/>
        <v/>
      </c>
      <c r="DZ96" s="604" t="str">
        <f t="shared" si="65"/>
        <v/>
      </c>
      <c r="EA96" s="604" t="str">
        <f t="shared" si="66"/>
        <v/>
      </c>
      <c r="EB96" s="602"/>
      <c r="EC96" s="602"/>
      <c r="ED96" s="720" t="str">
        <f t="array" ref="ED96">IFERROR(IF(ROWS(DT$93:DT96)&gt;COUNTA($DT$93:$DT$145),"",INDEX($DL$93:$DL$142,SMALL(IF($DT$93:$DT$145&lt;&gt;"",ROW($DT$93:$DT$145)-ROW($DT$93)+1),ROWS($DT$93:DT96)))),"")</f>
        <v/>
      </c>
      <c r="EE96" s="602" t="str">
        <f t="shared" si="70"/>
        <v/>
      </c>
      <c r="EF96" s="604" t="str">
        <f t="shared" si="71"/>
        <v/>
      </c>
      <c r="EG96" s="606" t="str">
        <f t="shared" si="72"/>
        <v/>
      </c>
      <c r="EH96" s="604" t="str">
        <f t="shared" si="73"/>
        <v/>
      </c>
      <c r="EI96" s="604" t="str">
        <f t="shared" si="74"/>
        <v/>
      </c>
      <c r="EJ96" s="602">
        <v>4</v>
      </c>
      <c r="EK96" s="602"/>
      <c r="EL96" s="1033">
        <f t="shared" si="67"/>
        <v>0</v>
      </c>
      <c r="EM96" s="602">
        <f t="array" ref="EM96">--ISNUMBER(DY96)</f>
        <v>0</v>
      </c>
      <c r="EN96" s="602">
        <f t="shared" si="68"/>
        <v>1</v>
      </c>
      <c r="EO96" s="602">
        <f t="array" ref="EO96">IF(ISNUMBER(DY96),EL96,IF(ISBLANK(DY96),EL96,EL96+$EM$143))+$EN$143</f>
        <v>49</v>
      </c>
      <c r="EP96" t="str">
        <f t="shared" si="69"/>
        <v/>
      </c>
      <c r="EQ96" s="602" t="str">
        <f t="array" ref="EQ96">IFERROR(INDEX($DY$93:$DY$142,MATCH(SMALL($EO$93:$EO$142,ROWS($EQ$93:EQ96)+$EN$143),$EO$93:$EO$142,0)),"")</f>
        <v/>
      </c>
      <c r="EW96" s="602"/>
      <c r="LB96" s="602" t="e">
        <f t="array" ref="LB96">INDEX($DY$93:$DY$115,MATCH(ROWS($DY$93:DY96),COUNTIF($DY$93:$DY$115,"&lt;="&amp;$DY$93:$DY$115),0))</f>
        <v>#N/A</v>
      </c>
    </row>
    <row r="97" spans="64:314">
      <c r="BL97">
        <f t="shared" si="40"/>
        <v>5</v>
      </c>
      <c r="BM97" s="723" t="str">
        <f t="shared" si="41"/>
        <v/>
      </c>
      <c r="BN97" s="720" t="str">
        <f t="shared" si="42"/>
        <v/>
      </c>
      <c r="BO97" s="720" t="b">
        <f t="shared" si="56"/>
        <v>0</v>
      </c>
      <c r="BP97" s="724" t="str">
        <f t="shared" si="43"/>
        <v/>
      </c>
      <c r="BQ97" s="720" t="str">
        <f>IFERROR(VLOOKUP(BP97,Lookup!AM$6:AN$8,2,FALSE),"")</f>
        <v/>
      </c>
      <c r="BR97" s="720" t="str">
        <f t="shared" si="44"/>
        <v/>
      </c>
      <c r="BS97" s="725">
        <f>SUMIFS(Installations!CS$39:CS$800,Installations!CT$39:CT$800,BM97,Installations!HX$39:HX$800,TRUE,Installations!CR$39:CR$800,"Exist")</f>
        <v>0</v>
      </c>
      <c r="BT97" s="720" t="str">
        <f t="shared" si="57"/>
        <v/>
      </c>
      <c r="BU97" s="726"/>
      <c r="BX97" s="720" t="str">
        <f t="array" ref="BX97">IFERROR(IF(ROWS(BM$93:BM97)&gt;COUNTA($BM$93:$BM$192),"",INDEX($BL$93:$BL$192,SMALL(IF($BM$93:$BM$192&lt;&gt;"",ROW($BM$93:$BM$192)-ROW($BM$93)+1),ROWS($BM$93:BM97)))),"")</f>
        <v/>
      </c>
      <c r="BY97" s="602" t="str">
        <f t="shared" si="45"/>
        <v/>
      </c>
      <c r="BZ97" s="604" t="str">
        <f t="shared" si="46"/>
        <v/>
      </c>
      <c r="CA97" s="604" t="str">
        <f t="shared" si="47"/>
        <v/>
      </c>
      <c r="CD97" s="720" t="str">
        <f t="array" ref="CD97">IFERROR(IF(ROWS(BT$93:BT97)&gt;COUNTA($BT$93:$BT$192),"",INDEX($BL$93:$BL$192,SMALL(IF($BT$93:$BT$192&lt;&gt;"",ROW($BT$93:$BT$192)-ROW($BT$93)+1),ROWS($BT$93:BT97)))),"")</f>
        <v/>
      </c>
      <c r="CE97" s="602" t="str">
        <f t="shared" si="48"/>
        <v/>
      </c>
      <c r="CF97" s="604" t="str">
        <f t="shared" si="49"/>
        <v/>
      </c>
      <c r="CG97" s="604" t="str">
        <f t="shared" si="50"/>
        <v/>
      </c>
      <c r="CI97" s="604">
        <f t="shared" si="58"/>
        <v>0</v>
      </c>
      <c r="CJ97" s="604">
        <f t="shared" si="59"/>
        <v>0</v>
      </c>
      <c r="CK97" s="604">
        <f t="shared" si="60"/>
        <v>1</v>
      </c>
      <c r="CL97" s="604">
        <f t="array" ref="CL97">IF(ISNUMBER(BY97),CI97,IF(ISBLANK(BY97),CI97,CI97+$CJ$143))+$CK$143</f>
        <v>50</v>
      </c>
      <c r="CM97" t="str">
        <f t="shared" si="61"/>
        <v/>
      </c>
      <c r="CN97" s="602" t="str">
        <f t="array" ref="CN97">IFERROR(INDEX($BY$93:$BY$142,MATCH(SMALL($CL$93:$CL$142,ROWS($CM$93:CM97)+$CK$143),$CL$93:$CL$142,0)),"")</f>
        <v/>
      </c>
      <c r="DL97" s="602">
        <v>5</v>
      </c>
      <c r="DM97" s="723" t="str">
        <f t="shared" si="51"/>
        <v/>
      </c>
      <c r="DN97" s="720" t="str">
        <f t="shared" si="62"/>
        <v/>
      </c>
      <c r="DO97" s="720" t="str">
        <f t="shared" si="52"/>
        <v/>
      </c>
      <c r="DP97" s="727">
        <f t="shared" si="53"/>
        <v>0</v>
      </c>
      <c r="DQ97" s="719" t="str">
        <f t="shared" ca="1" si="54"/>
        <v/>
      </c>
      <c r="DR97" s="720">
        <f>IFERROR(ET31/EF31,0)</f>
        <v>0</v>
      </c>
      <c r="DS97" s="720">
        <f>SUMIFS(Installations!CS$39:CS$800,Installations!CT$39:CT$800,DM97,Installations!HX$39:HX$800,TRUE,Installations!CR$39:CR$800,"New")</f>
        <v>0</v>
      </c>
      <c r="DT97" s="720" t="str">
        <f t="shared" si="63"/>
        <v/>
      </c>
      <c r="DU97" s="726"/>
      <c r="DX97" s="720" t="str">
        <f t="array" ref="DX97">IFERROR(IF(ROWS(DM$93:DM97)&gt;COUNTA($DM$93:$DM$145),"",INDEX($DL$93:$DL$142,SMALL(IF($DM$93:$DM$145&lt;&gt;"",ROW($DM$93:$DM$145)-ROW($DM$93)+1),ROWS($DM$93:DM97)))),"")</f>
        <v/>
      </c>
      <c r="DY97" s="602" t="str">
        <f t="shared" si="64"/>
        <v/>
      </c>
      <c r="DZ97" s="604" t="str">
        <f t="shared" si="65"/>
        <v/>
      </c>
      <c r="EA97" s="604" t="str">
        <f t="shared" si="66"/>
        <v/>
      </c>
      <c r="EB97" s="602"/>
      <c r="EC97" s="602"/>
      <c r="ED97" s="720" t="str">
        <f t="array" ref="ED97">IFERROR(IF(ROWS(DT$93:DT97)&gt;COUNTA($DT$93:$DT$145),"",INDEX($DL$93:$DL$142,SMALL(IF($DT$93:$DT$145&lt;&gt;"",ROW($DT$93:$DT$145)-ROW($DT$93)+1),ROWS($DT$93:DT97)))),"")</f>
        <v/>
      </c>
      <c r="EE97" s="602" t="str">
        <f t="shared" si="70"/>
        <v/>
      </c>
      <c r="EF97" s="604" t="str">
        <f t="shared" si="71"/>
        <v/>
      </c>
      <c r="EG97" s="606" t="str">
        <f t="shared" si="72"/>
        <v/>
      </c>
      <c r="EH97" s="604" t="str">
        <f t="shared" si="73"/>
        <v/>
      </c>
      <c r="EI97" s="604" t="str">
        <f t="shared" si="74"/>
        <v/>
      </c>
      <c r="EJ97" s="602">
        <v>5</v>
      </c>
      <c r="EK97" s="602"/>
      <c r="EL97" s="1033">
        <f t="shared" si="67"/>
        <v>0</v>
      </c>
      <c r="EM97" s="602">
        <f t="array" ref="EM97">--ISNUMBER(DY97)</f>
        <v>0</v>
      </c>
      <c r="EN97" s="602">
        <f t="shared" si="68"/>
        <v>1</v>
      </c>
      <c r="EO97" s="602">
        <f t="array" ref="EO97">IF(ISNUMBER(DY97),EL97,IF(ISBLANK(DY97),EL97,EL97+$EM$143))+$EN$143</f>
        <v>49</v>
      </c>
      <c r="EP97" t="str">
        <f t="shared" si="69"/>
        <v/>
      </c>
      <c r="EQ97" s="602" t="str">
        <f t="array" ref="EQ97">IFERROR(INDEX($DY$93:$DY$142,MATCH(SMALL($EO$93:$EO$142,ROWS($EQ$93:EQ97)+$EN$143),$EO$93:$EO$142,0)),"")</f>
        <v/>
      </c>
      <c r="EW97" s="602"/>
      <c r="LB97" s="602" t="e">
        <f t="array" ref="LB97">INDEX($DY$93:$DY$115,MATCH(ROWS($DY$93:DY97),COUNTIF($DY$93:$DY$115,"&lt;="&amp;$DY$93:$DY$115),0))</f>
        <v>#N/A</v>
      </c>
    </row>
    <row r="98" spans="64:314">
      <c r="BL98">
        <f t="shared" si="40"/>
        <v>6</v>
      </c>
      <c r="BM98" s="723" t="str">
        <f t="shared" si="41"/>
        <v/>
      </c>
      <c r="BN98" s="720" t="str">
        <f t="shared" si="42"/>
        <v/>
      </c>
      <c r="BO98" s="720" t="b">
        <f t="shared" si="56"/>
        <v>0</v>
      </c>
      <c r="BP98" s="724" t="str">
        <f t="shared" si="43"/>
        <v/>
      </c>
      <c r="BQ98" s="720" t="str">
        <f>IFERROR(VLOOKUP(BP98,Lookup!AM$6:AN$8,2,FALSE),"")</f>
        <v/>
      </c>
      <c r="BR98" s="720" t="str">
        <f t="shared" si="44"/>
        <v/>
      </c>
      <c r="BS98" s="725">
        <f>SUMIFS(Installations!CS$39:CS$800,Installations!CT$39:CT$800,BM98,Installations!HX$39:HX$800,TRUE,Installations!CR$39:CR$800,"Exist")</f>
        <v>0</v>
      </c>
      <c r="BT98" s="720" t="str">
        <f t="shared" si="57"/>
        <v/>
      </c>
      <c r="BU98" s="726"/>
      <c r="BX98" s="720" t="str">
        <f t="array" ref="BX98">IFERROR(IF(ROWS(BM$93:BM98)&gt;COUNTA($BM$93:$BM$192),"",INDEX($BL$93:$BL$192,SMALL(IF($BM$93:$BM$192&lt;&gt;"",ROW($BM$93:$BM$192)-ROW($BM$93)+1),ROWS($BM$93:BM98)))),"")</f>
        <v/>
      </c>
      <c r="BY98" s="602" t="str">
        <f t="shared" si="45"/>
        <v/>
      </c>
      <c r="BZ98" s="604" t="str">
        <f t="shared" si="46"/>
        <v/>
      </c>
      <c r="CA98" s="604" t="str">
        <f t="shared" si="47"/>
        <v/>
      </c>
      <c r="CD98" s="720" t="str">
        <f t="array" ref="CD98">IFERROR(IF(ROWS(BT$93:BT98)&gt;COUNTA($BT$93:$BT$192),"",INDEX($BL$93:$BL$192,SMALL(IF($BT$93:$BT$192&lt;&gt;"",ROW($BT$93:$BT$192)-ROW($BT$93)+1),ROWS($BT$93:BT98)))),"")</f>
        <v/>
      </c>
      <c r="CE98" s="602" t="str">
        <f t="shared" si="48"/>
        <v/>
      </c>
      <c r="CF98" s="604" t="str">
        <f t="shared" si="49"/>
        <v/>
      </c>
      <c r="CG98" s="604" t="str">
        <f t="shared" si="50"/>
        <v/>
      </c>
      <c r="CI98" s="604">
        <f t="shared" si="58"/>
        <v>0</v>
      </c>
      <c r="CJ98" s="604">
        <f t="shared" si="59"/>
        <v>0</v>
      </c>
      <c r="CK98" s="604">
        <f t="shared" si="60"/>
        <v>1</v>
      </c>
      <c r="CL98" s="604">
        <f t="array" ref="CL98">IF(ISNUMBER(BY98),CI98,IF(ISBLANK(BY98),CI98,CI98+$CJ$143))+$CK$143</f>
        <v>50</v>
      </c>
      <c r="CM98" t="str">
        <f t="shared" si="61"/>
        <v/>
      </c>
      <c r="CN98" s="602" t="str">
        <f t="array" ref="CN98">IFERROR(INDEX($BY$93:$BY$142,MATCH(SMALL($CL$93:$CL$142,ROWS($CM$93:CM98)+$CK$143),$CL$93:$CL$142,0)),"")</f>
        <v/>
      </c>
      <c r="DL98" s="602">
        <v>6</v>
      </c>
      <c r="DM98" s="723" t="str">
        <f t="shared" si="51"/>
        <v/>
      </c>
      <c r="DN98" s="720" t="str">
        <f t="shared" si="62"/>
        <v/>
      </c>
      <c r="DO98" s="720" t="str">
        <f t="shared" si="52"/>
        <v/>
      </c>
      <c r="DP98" s="727">
        <f t="shared" si="53"/>
        <v>0</v>
      </c>
      <c r="DQ98" s="719" t="str">
        <f t="shared" ca="1" si="54"/>
        <v/>
      </c>
      <c r="DR98" s="720">
        <f t="shared" ref="DR98:DR142" si="75">IFERROR(ET32/EF32,0)</f>
        <v>0</v>
      </c>
      <c r="DS98" s="720">
        <f>SUMIFS(Installations!CS$39:CS$800,Installations!CT$39:CT$800,DM98,Installations!HX$39:HX$800,TRUE,Installations!CR$39:CR$800,"New")</f>
        <v>0</v>
      </c>
      <c r="DT98" s="720" t="str">
        <f t="shared" si="63"/>
        <v/>
      </c>
      <c r="DU98" s="726"/>
      <c r="DX98" s="720" t="str">
        <f t="array" ref="DX98">IFERROR(IF(ROWS(DM$93:DM98)&gt;COUNTA($DM$93:$DM$145),"",INDEX($DL$93:$DL$142,SMALL(IF($DM$93:$DM$145&lt;&gt;"",ROW($DM$93:$DM$145)-ROW($DM$93)+1),ROWS($DM$93:DM98)))),"")</f>
        <v/>
      </c>
      <c r="DY98" s="602" t="str">
        <f t="shared" si="64"/>
        <v/>
      </c>
      <c r="DZ98" s="604" t="str">
        <f t="shared" si="65"/>
        <v/>
      </c>
      <c r="EA98" s="604" t="str">
        <f t="shared" si="66"/>
        <v/>
      </c>
      <c r="EB98" s="602"/>
      <c r="EC98" s="602"/>
      <c r="ED98" s="720" t="str">
        <f t="array" ref="ED98">IFERROR(IF(ROWS(DT$93:DT98)&gt;COUNTA($DT$93:$DT$145),"",INDEX($DL$93:$DL$142,SMALL(IF($DT$93:$DT$145&lt;&gt;"",ROW($DT$93:$DT$145)-ROW($DT$93)+1),ROWS($DT$93:DT98)))),"")</f>
        <v/>
      </c>
      <c r="EE98" s="602" t="str">
        <f t="shared" si="70"/>
        <v/>
      </c>
      <c r="EF98" s="604" t="str">
        <f t="shared" si="71"/>
        <v/>
      </c>
      <c r="EG98" s="606" t="str">
        <f t="shared" si="72"/>
        <v/>
      </c>
      <c r="EH98" s="604" t="str">
        <f t="shared" si="73"/>
        <v/>
      </c>
      <c r="EI98" s="604" t="str">
        <f t="shared" si="74"/>
        <v/>
      </c>
      <c r="EJ98" s="602">
        <v>6</v>
      </c>
      <c r="EK98" s="602"/>
      <c r="EL98" s="1033">
        <f t="shared" si="67"/>
        <v>0</v>
      </c>
      <c r="EM98" s="602">
        <f t="array" ref="EM98">--ISNUMBER(DY98)</f>
        <v>0</v>
      </c>
      <c r="EN98" s="602">
        <f t="shared" si="68"/>
        <v>1</v>
      </c>
      <c r="EO98" s="602">
        <f t="array" ref="EO98">IF(ISNUMBER(DY98),EL98,IF(ISBLANK(DY98),EL98,EL98+$EM$143))+$EN$143</f>
        <v>49</v>
      </c>
      <c r="EP98" t="str">
        <f t="shared" si="69"/>
        <v/>
      </c>
      <c r="EQ98" s="602" t="str">
        <f t="array" ref="EQ98">IFERROR(INDEX($DY$93:$DY$142,MATCH(SMALL($EO$93:$EO$142,ROWS($EQ$93:EQ98)+$EN$143),$EO$93:$EO$142,0)),"")</f>
        <v/>
      </c>
      <c r="EW98" s="602"/>
      <c r="LB98" s="602" t="e">
        <f t="array" ref="LB98">INDEX($DY$93:$DY$115,MATCH(ROWS($DY$93:DY98),COUNTIF($DY$93:$DY$115,"&lt;="&amp;$DY$93:$DY$115),0))</f>
        <v>#N/A</v>
      </c>
    </row>
    <row r="99" spans="64:314">
      <c r="BL99">
        <f t="shared" si="40"/>
        <v>7</v>
      </c>
      <c r="BM99" s="723" t="str">
        <f t="shared" si="41"/>
        <v/>
      </c>
      <c r="BN99" s="720" t="str">
        <f t="shared" si="42"/>
        <v/>
      </c>
      <c r="BO99" s="720" t="b">
        <f t="shared" si="56"/>
        <v>0</v>
      </c>
      <c r="BP99" s="724" t="str">
        <f t="shared" si="43"/>
        <v/>
      </c>
      <c r="BQ99" s="720" t="str">
        <f>IFERROR(VLOOKUP(BP99,Lookup!AM$6:AN$8,2,FALSE),"")</f>
        <v/>
      </c>
      <c r="BR99" s="720" t="str">
        <f t="shared" si="44"/>
        <v/>
      </c>
      <c r="BS99" s="725">
        <f>SUMIFS(Installations!CS$39:CS$800,Installations!CT$39:CT$800,BM99,Installations!HX$39:HX$800,TRUE,Installations!CR$39:CR$800,"Exist")</f>
        <v>0</v>
      </c>
      <c r="BT99" s="720" t="str">
        <f t="shared" si="57"/>
        <v/>
      </c>
      <c r="BU99" s="726"/>
      <c r="BX99" s="720" t="str">
        <f t="array" ref="BX99">IFERROR(IF(ROWS(BM$93:BM99)&gt;COUNTA($BM$93:$BM$192),"",INDEX($BL$93:$BL$192,SMALL(IF($BM$93:$BM$192&lt;&gt;"",ROW($BM$93:$BM$192)-ROW($BM$93)+1),ROWS($BM$93:BM99)))),"")</f>
        <v/>
      </c>
      <c r="BY99" s="602" t="str">
        <f t="shared" si="45"/>
        <v/>
      </c>
      <c r="BZ99" s="604" t="str">
        <f t="shared" si="46"/>
        <v/>
      </c>
      <c r="CA99" s="604" t="str">
        <f t="shared" si="47"/>
        <v/>
      </c>
      <c r="CD99" s="720" t="str">
        <f t="array" ref="CD99">IFERROR(IF(ROWS(BT$93:BT99)&gt;COUNTA($BT$93:$BT$192),"",INDEX($BL$93:$BL$192,SMALL(IF($BT$93:$BT$192&lt;&gt;"",ROW($BT$93:$BT$192)-ROW($BT$93)+1),ROWS($BT$93:BT99)))),"")</f>
        <v/>
      </c>
      <c r="CE99" s="602" t="str">
        <f t="shared" si="48"/>
        <v/>
      </c>
      <c r="CF99" s="604" t="str">
        <f t="shared" si="49"/>
        <v/>
      </c>
      <c r="CG99" s="604" t="str">
        <f t="shared" si="50"/>
        <v/>
      </c>
      <c r="CI99" s="604">
        <f t="shared" si="58"/>
        <v>0</v>
      </c>
      <c r="CJ99" s="604">
        <f t="shared" si="59"/>
        <v>0</v>
      </c>
      <c r="CK99" s="604">
        <f t="shared" si="60"/>
        <v>1</v>
      </c>
      <c r="CL99" s="604">
        <f t="array" ref="CL99">IF(ISNUMBER(BY99),CI99,IF(ISBLANK(BY99),CI99,CI99+$CJ$143))+$CK$143</f>
        <v>50</v>
      </c>
      <c r="CM99" t="str">
        <f t="shared" si="61"/>
        <v/>
      </c>
      <c r="CN99" s="602" t="str">
        <f t="array" ref="CN99">IFERROR(INDEX($BY$93:$BY$142,MATCH(SMALL($CL$93:$CL$142,ROWS($CM$93:CM99)+$CK$143),$CL$93:$CL$142,0)),"")</f>
        <v/>
      </c>
      <c r="DL99" s="602">
        <v>7</v>
      </c>
      <c r="DM99" s="723" t="str">
        <f t="shared" si="51"/>
        <v/>
      </c>
      <c r="DN99" s="720" t="str">
        <f t="shared" si="62"/>
        <v/>
      </c>
      <c r="DO99" s="720" t="str">
        <f t="shared" si="52"/>
        <v/>
      </c>
      <c r="DP99" s="727">
        <f t="shared" si="53"/>
        <v>0</v>
      </c>
      <c r="DQ99" s="719" t="str">
        <f t="shared" ca="1" si="54"/>
        <v/>
      </c>
      <c r="DR99" s="720">
        <f t="shared" si="75"/>
        <v>0</v>
      </c>
      <c r="DS99" s="720">
        <f>SUMIFS(Installations!CS$39:CS$800,Installations!CT$39:CT$800,DM99,Installations!HX$39:HX$800,TRUE,Installations!CR$39:CR$800,"New")</f>
        <v>0</v>
      </c>
      <c r="DT99" s="720" t="str">
        <f t="shared" si="63"/>
        <v/>
      </c>
      <c r="DU99" s="726"/>
      <c r="DX99" s="720" t="str">
        <f t="array" ref="DX99">IFERROR(IF(ROWS(DM$93:DM99)&gt;COUNTA($DM$93:$DM$145),"",INDEX($DL$93:$DL$142,SMALL(IF($DM$93:$DM$145&lt;&gt;"",ROW($DM$93:$DM$145)-ROW($DM$93)+1),ROWS($DM$93:DM99)))),"")</f>
        <v/>
      </c>
      <c r="DY99" s="602" t="str">
        <f t="shared" ref="DY99:DY142" si="76">IFERROR(VLOOKUP($DX99,DL$93:DS$142,2,FALSE),"")</f>
        <v/>
      </c>
      <c r="DZ99" s="604" t="str">
        <f t="shared" ref="DZ99:DZ142" si="77">IFERROR(VLOOKUP($DX99,DL$93:DS$142,3,FALSE),"")</f>
        <v/>
      </c>
      <c r="EA99" s="604" t="str">
        <f t="shared" ref="EA99:EA142" si="78">IFERROR(VLOOKUP($DX99,DL$93:DS$142,8,FALSE),"")</f>
        <v/>
      </c>
      <c r="ED99" s="720" t="str">
        <f t="array" ref="ED99">IFERROR(IF(ROWS(DT$93:DT99)&gt;COUNTA($DT$93:$DT$145),"",INDEX($DL$93:$DL$142,SMALL(IF($DT$93:$DT$145&lt;&gt;"",ROW($DT$93:$DT$145)-ROW($DT$93)+1),ROWS($DT$93:DT99)))),"")</f>
        <v/>
      </c>
      <c r="EE99" s="602" t="str">
        <f t="shared" si="70"/>
        <v/>
      </c>
      <c r="EF99" s="604" t="str">
        <f t="shared" si="71"/>
        <v/>
      </c>
      <c r="EG99" s="606" t="str">
        <f t="shared" si="72"/>
        <v/>
      </c>
      <c r="EH99" s="604" t="str">
        <f t="shared" si="73"/>
        <v/>
      </c>
      <c r="EI99" s="604" t="str">
        <f t="shared" si="74"/>
        <v/>
      </c>
      <c r="EJ99" s="602">
        <v>7</v>
      </c>
      <c r="EL99" s="1033">
        <f t="shared" si="67"/>
        <v>0</v>
      </c>
      <c r="EM99" s="602">
        <f t="array" ref="EM99">--ISNUMBER(DY99)</f>
        <v>0</v>
      </c>
      <c r="EN99" s="602">
        <f t="shared" si="68"/>
        <v>1</v>
      </c>
      <c r="EO99" s="602">
        <f t="array" ref="EO99">IF(ISNUMBER(DY99),EL99,IF(ISBLANK(DY99),EL99,EL99+$EM$143))+$EN$143</f>
        <v>49</v>
      </c>
      <c r="EP99" t="str">
        <f t="shared" si="69"/>
        <v/>
      </c>
      <c r="EQ99" s="602" t="str">
        <f t="array" ref="EQ99">IFERROR(INDEX($DY$93:$DY$142,MATCH(SMALL($EO$93:$EO$142,ROWS($EQ$93:EQ99)+$EN$143),$EO$93:$EO$142,0)),"")</f>
        <v/>
      </c>
      <c r="EW99" s="602"/>
      <c r="LB99" s="602" t="e">
        <f t="array" ref="LB99">INDEX($DY$93:$DY$115,MATCH(ROWS($DY$93:DY99),COUNTIF($DY$93:$DY$115,"&lt;="&amp;$DY$93:$DY$115),0))</f>
        <v>#N/A</v>
      </c>
    </row>
    <row r="100" spans="64:314">
      <c r="BL100">
        <f t="shared" si="40"/>
        <v>8</v>
      </c>
      <c r="BM100" s="723" t="str">
        <f t="shared" si="41"/>
        <v/>
      </c>
      <c r="BN100" s="720" t="str">
        <f t="shared" si="42"/>
        <v/>
      </c>
      <c r="BO100" s="720" t="b">
        <f t="shared" si="56"/>
        <v>0</v>
      </c>
      <c r="BP100" s="724" t="str">
        <f t="shared" si="43"/>
        <v/>
      </c>
      <c r="BQ100" s="720" t="str">
        <f>IFERROR(VLOOKUP(BP100,Lookup!AM$6:AN$8,2,FALSE),"")</f>
        <v/>
      </c>
      <c r="BR100" s="720" t="str">
        <f t="shared" si="44"/>
        <v/>
      </c>
      <c r="BS100" s="725">
        <f>SUMIFS(Installations!CS$39:CS$800,Installations!CT$39:CT$800,BM100,Installations!HX$39:HX$800,TRUE,Installations!CR$39:CR$800,"Exist")</f>
        <v>0</v>
      </c>
      <c r="BT100" s="720" t="str">
        <f t="shared" si="57"/>
        <v/>
      </c>
      <c r="BU100" s="726"/>
      <c r="BX100" s="720" t="str">
        <f t="array" ref="BX100">IFERROR(IF(ROWS(BM$93:BM100)&gt;COUNTA($BM$93:$BM$192),"",INDEX($BL$93:$BL$192,SMALL(IF($BM$93:$BM$192&lt;&gt;"",ROW($BM$93:$BM$192)-ROW($BM$93)+1),ROWS($BM$93:BM100)))),"")</f>
        <v/>
      </c>
      <c r="BY100" s="602" t="str">
        <f t="shared" si="45"/>
        <v/>
      </c>
      <c r="BZ100" s="604" t="str">
        <f t="shared" si="46"/>
        <v/>
      </c>
      <c r="CA100" s="604" t="str">
        <f t="shared" si="47"/>
        <v/>
      </c>
      <c r="CD100" s="720" t="str">
        <f t="array" ref="CD100">IFERROR(IF(ROWS(BT$93:BT100)&gt;COUNTA($BT$93:$BT$192),"",INDEX($BL$93:$BL$192,SMALL(IF($BT$93:$BT$192&lt;&gt;"",ROW($BT$93:$BT$192)-ROW($BT$93)+1),ROWS($BT$93:BT100)))),"")</f>
        <v/>
      </c>
      <c r="CE100" s="602" t="str">
        <f t="shared" si="48"/>
        <v/>
      </c>
      <c r="CF100" s="604" t="str">
        <f t="shared" si="49"/>
        <v/>
      </c>
      <c r="CG100" s="604" t="str">
        <f t="shared" si="50"/>
        <v/>
      </c>
      <c r="CI100" s="604">
        <f t="shared" si="58"/>
        <v>0</v>
      </c>
      <c r="CJ100" s="604">
        <f t="shared" si="59"/>
        <v>0</v>
      </c>
      <c r="CK100" s="604">
        <f t="shared" si="60"/>
        <v>1</v>
      </c>
      <c r="CL100" s="604">
        <f t="array" ref="CL100">IF(ISNUMBER(BY100),CI100,IF(ISBLANK(BY100),CI100,CI100+$CJ$143))+$CK$143</f>
        <v>50</v>
      </c>
      <c r="CM100" t="str">
        <f t="shared" si="61"/>
        <v/>
      </c>
      <c r="CN100" s="602" t="str">
        <f t="array" ref="CN100">IFERROR(INDEX($BY$93:$BY$142,MATCH(SMALL($CL$93:$CL$142,ROWS($CM$93:CM100)+$CK$143),$CL$93:$CL$142,0)),"")</f>
        <v/>
      </c>
      <c r="DL100" s="602">
        <v>8</v>
      </c>
      <c r="DM100" s="723" t="str">
        <f t="shared" si="51"/>
        <v/>
      </c>
      <c r="DN100" s="720" t="str">
        <f t="shared" si="62"/>
        <v/>
      </c>
      <c r="DO100" s="720" t="str">
        <f t="shared" si="52"/>
        <v/>
      </c>
      <c r="DP100" s="727">
        <f t="shared" si="53"/>
        <v>0</v>
      </c>
      <c r="DQ100" s="719" t="str">
        <f t="shared" ca="1" si="54"/>
        <v/>
      </c>
      <c r="DR100" s="720">
        <f t="shared" si="75"/>
        <v>0</v>
      </c>
      <c r="DS100" s="720">
        <f>SUMIFS(Installations!CS$39:CS$800,Installations!CT$39:CT$800,DM100,Installations!HX$39:HX$800,TRUE,Installations!CR$39:CR$800,"New")</f>
        <v>0</v>
      </c>
      <c r="DT100" s="720" t="str">
        <f t="shared" si="63"/>
        <v/>
      </c>
      <c r="DU100" s="726"/>
      <c r="DX100" s="720" t="str">
        <f t="array" ref="DX100">IFERROR(IF(ROWS(DM$93:DM100)&gt;COUNTA($DM$93:$DM$145),"",INDEX($DL$93:$DL$142,SMALL(IF($DM$93:$DM$145&lt;&gt;"",ROW($DM$93:$DM$145)-ROW($DM$93)+1),ROWS($DM$93:DM100)))),"")</f>
        <v/>
      </c>
      <c r="DY100" s="602" t="str">
        <f t="shared" si="76"/>
        <v/>
      </c>
      <c r="DZ100" s="604" t="str">
        <f t="shared" si="77"/>
        <v/>
      </c>
      <c r="EA100" s="604" t="str">
        <f t="shared" si="78"/>
        <v/>
      </c>
      <c r="ED100" s="720" t="str">
        <f t="array" ref="ED100">IFERROR(IF(ROWS(DT$93:DT100)&gt;COUNTA($DT$93:$DT$145),"",INDEX($DL$93:$DL$142,SMALL(IF($DT$93:$DT$145&lt;&gt;"",ROW($DT$93:$DT$145)-ROW($DT$93)+1),ROWS($DT$93:DT100)))),"")</f>
        <v/>
      </c>
      <c r="EE100" s="602" t="str">
        <f t="shared" si="70"/>
        <v/>
      </c>
      <c r="EF100" s="604" t="str">
        <f t="shared" si="71"/>
        <v/>
      </c>
      <c r="EG100" s="606" t="str">
        <f t="shared" si="72"/>
        <v/>
      </c>
      <c r="EH100" s="604" t="str">
        <f t="shared" si="73"/>
        <v/>
      </c>
      <c r="EI100" s="604" t="str">
        <f t="shared" si="74"/>
        <v/>
      </c>
      <c r="EJ100" s="602">
        <v>8</v>
      </c>
      <c r="EL100" s="1033">
        <f t="shared" si="67"/>
        <v>0</v>
      </c>
      <c r="EM100" s="602">
        <f t="array" ref="EM100">--ISNUMBER(DY100)</f>
        <v>0</v>
      </c>
      <c r="EN100" s="602">
        <f t="shared" si="68"/>
        <v>1</v>
      </c>
      <c r="EO100" s="602">
        <f t="array" ref="EO100">IF(ISNUMBER(DY100),EL100,IF(ISBLANK(DY100),EL100,EL100+$EM$143))+$EN$143</f>
        <v>49</v>
      </c>
      <c r="EP100" t="str">
        <f t="shared" si="69"/>
        <v/>
      </c>
      <c r="EQ100" s="602" t="str">
        <f t="array" ref="EQ100">IFERROR(INDEX($DY$93:$DY$142,MATCH(SMALL($EO$93:$EO$142,ROWS($EQ$93:EQ100)+$EN$143),$EO$93:$EO$142,0)),"")</f>
        <v/>
      </c>
      <c r="EW100" s="602"/>
      <c r="LB100" s="602" t="e">
        <f t="array" ref="LB100">INDEX($DY$93:$DY$115,MATCH(ROWS($DY$93:DY100),COUNTIF($DY$93:$DY$115,"&lt;="&amp;$DY$93:$DY$115),0))</f>
        <v>#N/A</v>
      </c>
    </row>
    <row r="101" spans="64:314">
      <c r="BL101">
        <f t="shared" si="40"/>
        <v>9</v>
      </c>
      <c r="BM101" s="723" t="str">
        <f t="shared" si="41"/>
        <v/>
      </c>
      <c r="BN101" s="720" t="str">
        <f t="shared" si="42"/>
        <v/>
      </c>
      <c r="BO101" s="720" t="b">
        <f t="shared" si="56"/>
        <v>0</v>
      </c>
      <c r="BP101" s="724" t="str">
        <f t="shared" si="43"/>
        <v/>
      </c>
      <c r="BQ101" s="720" t="str">
        <f>IFERROR(VLOOKUP(BP101,Lookup!AM$6:AN$8,2,FALSE),"")</f>
        <v/>
      </c>
      <c r="BR101" s="720" t="str">
        <f t="shared" si="44"/>
        <v/>
      </c>
      <c r="BS101" s="725">
        <f>SUMIFS(Installations!CS$39:CS$800,Installations!CT$39:CT$800,BM101,Installations!HX$39:HX$800,TRUE,Installations!CR$39:CR$800,"Exist")</f>
        <v>0</v>
      </c>
      <c r="BT101" s="720" t="str">
        <f t="shared" si="57"/>
        <v/>
      </c>
      <c r="BU101" s="726"/>
      <c r="BX101" s="720" t="str">
        <f t="array" ref="BX101">IFERROR(IF(ROWS(BM$93:BM101)&gt;COUNTA($BM$93:$BM$192),"",INDEX($BL$93:$BL$192,SMALL(IF($BM$93:$BM$192&lt;&gt;"",ROW($BM$93:$BM$192)-ROW($BM$93)+1),ROWS($BM$93:BM101)))),"")</f>
        <v/>
      </c>
      <c r="BY101" s="602" t="str">
        <f t="shared" si="45"/>
        <v/>
      </c>
      <c r="BZ101" s="604" t="str">
        <f t="shared" si="46"/>
        <v/>
      </c>
      <c r="CA101" s="604" t="str">
        <f t="shared" si="47"/>
        <v/>
      </c>
      <c r="CD101" s="720" t="str">
        <f t="array" ref="CD101">IFERROR(IF(ROWS(BT$93:BT101)&gt;COUNTA($BT$93:$BT$192),"",INDEX($BL$93:$BL$192,SMALL(IF($BT$93:$BT$192&lt;&gt;"",ROW($BT$93:$BT$192)-ROW($BT$93)+1),ROWS($BT$93:BT101)))),"")</f>
        <v/>
      </c>
      <c r="CE101" s="602" t="str">
        <f t="shared" si="48"/>
        <v/>
      </c>
      <c r="CF101" s="604" t="str">
        <f t="shared" si="49"/>
        <v/>
      </c>
      <c r="CG101" s="604" t="str">
        <f t="shared" si="50"/>
        <v/>
      </c>
      <c r="CI101" s="604">
        <f t="shared" si="58"/>
        <v>0</v>
      </c>
      <c r="CJ101" s="604">
        <f t="shared" si="59"/>
        <v>0</v>
      </c>
      <c r="CK101" s="604">
        <f t="shared" si="60"/>
        <v>1</v>
      </c>
      <c r="CL101" s="604">
        <f t="array" ref="CL101">IF(ISNUMBER(BY101),CI101,IF(ISBLANK(BY101),CI101,CI101+$CJ$143))+$CK$143</f>
        <v>50</v>
      </c>
      <c r="CM101" t="str">
        <f t="shared" si="61"/>
        <v/>
      </c>
      <c r="CN101" s="602" t="str">
        <f t="array" ref="CN101">IFERROR(INDEX($BY$93:$BY$142,MATCH(SMALL($CL$93:$CL$142,ROWS($CM$93:CM101)+$CK$143),$CL$93:$CL$142,0)),"")</f>
        <v/>
      </c>
      <c r="DL101" s="602">
        <v>9</v>
      </c>
      <c r="DM101" s="723" t="str">
        <f t="shared" si="51"/>
        <v/>
      </c>
      <c r="DN101" s="720" t="str">
        <f t="shared" si="62"/>
        <v/>
      </c>
      <c r="DO101" s="720" t="str">
        <f t="shared" si="52"/>
        <v/>
      </c>
      <c r="DP101" s="727">
        <f t="shared" si="53"/>
        <v>0</v>
      </c>
      <c r="DQ101" s="719" t="str">
        <f t="shared" ca="1" si="54"/>
        <v/>
      </c>
      <c r="DR101" s="720">
        <f t="shared" si="75"/>
        <v>0</v>
      </c>
      <c r="DS101" s="720">
        <f>SUMIFS(Installations!CS$39:CS$800,Installations!CT$39:CT$800,DM101,Installations!HX$39:HX$800,TRUE,Installations!CR$39:CR$800,"New")</f>
        <v>0</v>
      </c>
      <c r="DT101" s="720" t="str">
        <f t="shared" si="63"/>
        <v/>
      </c>
      <c r="DU101" s="726"/>
      <c r="DX101" s="720" t="str">
        <f t="array" ref="DX101">IFERROR(IF(ROWS(DM$93:DM101)&gt;COUNTA($DM$93:$DM$145),"",INDEX($DL$93:$DL$142,SMALL(IF($DM$93:$DM$145&lt;&gt;"",ROW($DM$93:$DM$145)-ROW($DM$93)+1),ROWS($DM$93:DM101)))),"")</f>
        <v/>
      </c>
      <c r="DY101" s="602" t="str">
        <f t="shared" si="76"/>
        <v/>
      </c>
      <c r="DZ101" s="604" t="str">
        <f t="shared" si="77"/>
        <v/>
      </c>
      <c r="EA101" s="604" t="str">
        <f t="shared" si="78"/>
        <v/>
      </c>
      <c r="ED101" s="720" t="str">
        <f t="array" ref="ED101">IFERROR(IF(ROWS(DT$93:DT101)&gt;COUNTA($DT$93:$DT$145),"",INDEX($DL$93:$DL$142,SMALL(IF($DT$93:$DT$145&lt;&gt;"",ROW($DT$93:$DT$145)-ROW($DT$93)+1),ROWS($DT$93:DT101)))),"")</f>
        <v/>
      </c>
      <c r="EE101" s="602" t="str">
        <f t="shared" si="70"/>
        <v/>
      </c>
      <c r="EF101" s="604" t="str">
        <f t="shared" si="71"/>
        <v/>
      </c>
      <c r="EG101" s="606" t="str">
        <f t="shared" si="72"/>
        <v/>
      </c>
      <c r="EH101" s="604" t="str">
        <f t="shared" si="73"/>
        <v/>
      </c>
      <c r="EI101" s="604" t="str">
        <f t="shared" si="74"/>
        <v/>
      </c>
      <c r="EJ101" s="602">
        <v>9</v>
      </c>
      <c r="EL101" s="1033">
        <f t="shared" si="67"/>
        <v>0</v>
      </c>
      <c r="EM101" s="602">
        <f t="array" ref="EM101">--ISNUMBER(DY101)</f>
        <v>0</v>
      </c>
      <c r="EN101" s="602">
        <f t="shared" si="68"/>
        <v>1</v>
      </c>
      <c r="EO101" s="602">
        <f t="array" ref="EO101">IF(ISNUMBER(DY101),EL101,IF(ISBLANK(DY101),EL101,EL101+$EM$143))+$EN$143</f>
        <v>49</v>
      </c>
      <c r="EP101" t="str">
        <f t="shared" si="69"/>
        <v/>
      </c>
      <c r="EQ101" s="602" t="str">
        <f t="array" ref="EQ101">IFERROR(INDEX($DY$93:$DY$142,MATCH(SMALL($EO$93:$EO$142,ROWS($EQ$93:EQ101)+$EN$143),$EO$93:$EO$142,0)),"")</f>
        <v/>
      </c>
      <c r="EW101" s="602"/>
      <c r="LB101" s="602" t="e">
        <f t="array" ref="LB101">INDEX($DY$93:$DY$115,MATCH(ROWS($DY$93:DY101),COUNTIF($DY$93:$DY$115,"&lt;="&amp;$DY$93:$DY$115),0))</f>
        <v>#N/A</v>
      </c>
    </row>
    <row r="102" spans="64:314">
      <c r="BL102">
        <f t="shared" si="40"/>
        <v>10</v>
      </c>
      <c r="BM102" s="723" t="str">
        <f t="shared" si="41"/>
        <v/>
      </c>
      <c r="BN102" s="720" t="str">
        <f t="shared" si="42"/>
        <v/>
      </c>
      <c r="BO102" s="720" t="b">
        <f t="shared" si="56"/>
        <v>0</v>
      </c>
      <c r="BP102" s="724" t="str">
        <f t="shared" si="43"/>
        <v/>
      </c>
      <c r="BQ102" s="720" t="str">
        <f>IFERROR(VLOOKUP(BP102,Lookup!AM$6:AN$8,2,FALSE),"")</f>
        <v/>
      </c>
      <c r="BR102" s="720" t="str">
        <f t="shared" si="44"/>
        <v/>
      </c>
      <c r="BS102" s="725">
        <f>SUMIFS(Installations!CS$39:CS$800,Installations!CT$39:CT$800,BM102,Installations!HX$39:HX$800,TRUE,Installations!CR$39:CR$800,"Exist")</f>
        <v>0</v>
      </c>
      <c r="BT102" s="720" t="str">
        <f t="shared" si="57"/>
        <v/>
      </c>
      <c r="BU102" s="726"/>
      <c r="BX102" s="720" t="str">
        <f t="array" ref="BX102">IFERROR(IF(ROWS(BM$93:BM102)&gt;COUNTA($BM$93:$BM$192),"",INDEX($BL$93:$BL$192,SMALL(IF($BM$93:$BM$192&lt;&gt;"",ROW($BM$93:$BM$192)-ROW($BM$93)+1),ROWS($BM$93:BM102)))),"")</f>
        <v/>
      </c>
      <c r="BY102" s="602" t="str">
        <f t="shared" si="45"/>
        <v/>
      </c>
      <c r="BZ102" s="604" t="str">
        <f t="shared" si="46"/>
        <v/>
      </c>
      <c r="CA102" s="604" t="str">
        <f t="shared" si="47"/>
        <v/>
      </c>
      <c r="CD102" s="720" t="str">
        <f t="array" ref="CD102">IFERROR(IF(ROWS(BT$93:BT102)&gt;COUNTA($BT$93:$BT$192),"",INDEX($BL$93:$BL$192,SMALL(IF($BT$93:$BT$192&lt;&gt;"",ROW($BT$93:$BT$192)-ROW($BT$93)+1),ROWS($BT$93:BT102)))),"")</f>
        <v/>
      </c>
      <c r="CE102" s="602" t="str">
        <f t="shared" si="48"/>
        <v/>
      </c>
      <c r="CF102" s="604" t="str">
        <f t="shared" si="49"/>
        <v/>
      </c>
      <c r="CG102" s="604" t="str">
        <f t="shared" si="50"/>
        <v/>
      </c>
      <c r="CI102" s="604">
        <f t="shared" si="58"/>
        <v>0</v>
      </c>
      <c r="CJ102" s="604">
        <f t="shared" si="59"/>
        <v>0</v>
      </c>
      <c r="CK102" s="604">
        <f t="shared" si="60"/>
        <v>1</v>
      </c>
      <c r="CL102" s="604">
        <f t="array" ref="CL102">IF(ISNUMBER(BY102),CI102,IF(ISBLANK(BY102),CI102,CI102+$CJ$143))+$CK$143</f>
        <v>50</v>
      </c>
      <c r="CM102" t="str">
        <f t="shared" si="61"/>
        <v/>
      </c>
      <c r="CN102" s="602" t="str">
        <f t="array" ref="CN102">IFERROR(INDEX($BY$93:$BY$142,MATCH(SMALL($CL$93:$CL$142,ROWS($CM$93:CM102)+$CK$143),$CL$93:$CL$142,0)),"")</f>
        <v/>
      </c>
      <c r="DL102" s="602">
        <v>10</v>
      </c>
      <c r="DM102" s="723" t="str">
        <f t="shared" si="51"/>
        <v/>
      </c>
      <c r="DN102" s="720" t="str">
        <f t="shared" si="62"/>
        <v/>
      </c>
      <c r="DO102" s="720" t="str">
        <f t="shared" si="52"/>
        <v/>
      </c>
      <c r="DP102" s="727">
        <f t="shared" si="53"/>
        <v>0</v>
      </c>
      <c r="DQ102" s="719" t="str">
        <f t="shared" ca="1" si="54"/>
        <v/>
      </c>
      <c r="DR102" s="720">
        <f t="shared" si="75"/>
        <v>0</v>
      </c>
      <c r="DS102" s="720">
        <f>SUMIFS(Installations!CS$39:CS$800,Installations!CT$39:CT$800,DM102,Installations!HX$39:HX$800,TRUE,Installations!CR$39:CR$800,"New")</f>
        <v>0</v>
      </c>
      <c r="DT102" s="720" t="str">
        <f t="shared" si="63"/>
        <v/>
      </c>
      <c r="DU102" s="726"/>
      <c r="DX102" s="720" t="str">
        <f t="array" ref="DX102">IFERROR(IF(ROWS(DM$93:DM102)&gt;COUNTA($DM$93:$DM$145),"",INDEX($DL$93:$DL$142,SMALL(IF($DM$93:$DM$145&lt;&gt;"",ROW($DM$93:$DM$145)-ROW($DM$93)+1),ROWS($DM$93:DM102)))),"")</f>
        <v/>
      </c>
      <c r="DY102" s="602" t="str">
        <f t="shared" si="76"/>
        <v/>
      </c>
      <c r="DZ102" s="604" t="str">
        <f t="shared" si="77"/>
        <v/>
      </c>
      <c r="EA102" s="604" t="str">
        <f t="shared" si="78"/>
        <v/>
      </c>
      <c r="ED102" s="720" t="str">
        <f t="array" ref="ED102">IFERROR(IF(ROWS(DT$93:DT102)&gt;COUNTA($DT$93:$DT$145),"",INDEX($DL$93:$DL$142,SMALL(IF($DT$93:$DT$145&lt;&gt;"",ROW($DT$93:$DT$145)-ROW($DT$93)+1),ROWS($DT$93:DT102)))),"")</f>
        <v/>
      </c>
      <c r="EE102" s="602" t="str">
        <f t="shared" si="70"/>
        <v/>
      </c>
      <c r="EF102" s="604" t="str">
        <f t="shared" si="71"/>
        <v/>
      </c>
      <c r="EG102" s="606" t="str">
        <f t="shared" si="72"/>
        <v/>
      </c>
      <c r="EH102" s="604" t="str">
        <f t="shared" si="73"/>
        <v/>
      </c>
      <c r="EI102" s="604" t="str">
        <f t="shared" si="74"/>
        <v/>
      </c>
      <c r="EJ102" s="602">
        <v>10</v>
      </c>
      <c r="EL102" s="1033">
        <f t="shared" si="67"/>
        <v>0</v>
      </c>
      <c r="EM102" s="602">
        <f t="array" ref="EM102">--ISNUMBER(DY102)</f>
        <v>0</v>
      </c>
      <c r="EN102" s="602">
        <f t="shared" si="68"/>
        <v>1</v>
      </c>
      <c r="EO102" s="602">
        <f t="array" ref="EO102">IF(ISNUMBER(DY102),EL102,IF(ISBLANK(DY102),EL102,EL102+$EM$143))+$EN$143</f>
        <v>49</v>
      </c>
      <c r="EP102" t="str">
        <f t="shared" si="69"/>
        <v/>
      </c>
      <c r="EQ102" s="602" t="str">
        <f t="array" ref="EQ102">IFERROR(INDEX($DY$93:$DY$142,MATCH(SMALL($EO$93:$EO$142,ROWS($EQ$93:EQ102)+$EN$143),$EO$93:$EO$142,0)),"")</f>
        <v/>
      </c>
      <c r="EW102" s="602"/>
      <c r="LB102" s="602" t="e">
        <f t="array" ref="LB102">INDEX($DY$93:$DY$115,MATCH(ROWS($DY$93:DY102),COUNTIF($DY$93:$DY$115,"&lt;="&amp;$DY$93:$DY$115),0))</f>
        <v>#N/A</v>
      </c>
    </row>
    <row r="103" spans="64:314">
      <c r="BL103">
        <f t="shared" si="40"/>
        <v>11</v>
      </c>
      <c r="BM103" s="723" t="str">
        <f t="shared" si="41"/>
        <v/>
      </c>
      <c r="BN103" s="720" t="str">
        <f t="shared" si="42"/>
        <v/>
      </c>
      <c r="BO103" s="720" t="b">
        <f t="shared" si="56"/>
        <v>0</v>
      </c>
      <c r="BP103" s="724" t="str">
        <f t="shared" si="43"/>
        <v/>
      </c>
      <c r="BQ103" s="720" t="str">
        <f>IFERROR(VLOOKUP(BP103,Lookup!AM$6:AN$8,2,FALSE),"")</f>
        <v/>
      </c>
      <c r="BR103" s="720" t="str">
        <f t="shared" si="44"/>
        <v/>
      </c>
      <c r="BS103" s="725">
        <f>SUMIFS(Installations!CS$39:CS$800,Installations!CT$39:CT$800,BM103,Installations!HX$39:HX$800,TRUE,Installations!CR$39:CR$800,"Exist")</f>
        <v>0</v>
      </c>
      <c r="BT103" s="720" t="str">
        <f t="shared" si="57"/>
        <v/>
      </c>
      <c r="BU103" s="726"/>
      <c r="BX103" s="720" t="str">
        <f t="array" ref="BX103">IFERROR(IF(ROWS(BM$93:BM103)&gt;COUNTA($BM$93:$BM$192),"",INDEX($BL$93:$BL$192,SMALL(IF($BM$93:$BM$192&lt;&gt;"",ROW($BM$93:$BM$192)-ROW($BM$93)+1),ROWS($BM$93:BM103)))),"")</f>
        <v/>
      </c>
      <c r="BY103" s="602" t="str">
        <f t="shared" si="45"/>
        <v/>
      </c>
      <c r="BZ103" s="604" t="str">
        <f t="shared" si="46"/>
        <v/>
      </c>
      <c r="CA103" s="604" t="str">
        <f t="shared" si="47"/>
        <v/>
      </c>
      <c r="CD103" s="720" t="str">
        <f t="array" ref="CD103">IFERROR(IF(ROWS(BT$93:BT103)&gt;COUNTA($BT$93:$BT$192),"",INDEX($BL$93:$BL$192,SMALL(IF($BT$93:$BT$192&lt;&gt;"",ROW($BT$93:$BT$192)-ROW($BT$93)+1),ROWS($BT$93:BT103)))),"")</f>
        <v/>
      </c>
      <c r="CE103" s="602" t="str">
        <f t="shared" si="48"/>
        <v/>
      </c>
      <c r="CF103" s="604" t="str">
        <f t="shared" si="49"/>
        <v/>
      </c>
      <c r="CG103" s="604" t="str">
        <f t="shared" si="50"/>
        <v/>
      </c>
      <c r="CI103" s="604">
        <f t="shared" si="58"/>
        <v>0</v>
      </c>
      <c r="CJ103" s="604">
        <f t="shared" si="59"/>
        <v>0</v>
      </c>
      <c r="CK103" s="604">
        <f t="shared" si="60"/>
        <v>1</v>
      </c>
      <c r="CL103" s="604">
        <f t="array" ref="CL103">IF(ISNUMBER(BY103),CI103,IF(ISBLANK(BY103),CI103,CI103+$CJ$143))+$CK$143</f>
        <v>50</v>
      </c>
      <c r="CM103" t="str">
        <f t="shared" si="61"/>
        <v/>
      </c>
      <c r="CN103" s="602" t="str">
        <f t="array" ref="CN103">IFERROR(INDEX($BY$93:$BY$142,MATCH(SMALL($CL$93:$CL$142,ROWS($CM$93:CM103)+$CK$143),$CL$93:$CL$142,0)),"")</f>
        <v/>
      </c>
      <c r="DL103" s="602">
        <v>11</v>
      </c>
      <c r="DM103" s="723" t="str">
        <f t="shared" si="51"/>
        <v/>
      </c>
      <c r="DN103" s="720" t="str">
        <f t="shared" si="62"/>
        <v/>
      </c>
      <c r="DO103" s="720" t="str">
        <f t="shared" si="52"/>
        <v/>
      </c>
      <c r="DP103" s="727">
        <f t="shared" si="53"/>
        <v>0</v>
      </c>
      <c r="DQ103" s="719" t="str">
        <f t="shared" ca="1" si="54"/>
        <v/>
      </c>
      <c r="DR103" s="720">
        <f t="shared" si="75"/>
        <v>0</v>
      </c>
      <c r="DS103" s="720">
        <f>SUMIFS(Installations!CS$39:CS$800,Installations!CT$39:CT$800,DM103,Installations!HX$39:HX$800,TRUE,Installations!CR$39:CR$800,"New")</f>
        <v>0</v>
      </c>
      <c r="DT103" s="720" t="str">
        <f t="shared" si="63"/>
        <v/>
      </c>
      <c r="DU103" s="726"/>
      <c r="DX103" s="720" t="str">
        <f t="array" ref="DX103">IFERROR(IF(ROWS(DM$93:DM103)&gt;COUNTA($DM$93:$DM$145),"",INDEX($DL$93:$DL$142,SMALL(IF($DM$93:$DM$145&lt;&gt;"",ROW($DM$93:$DM$145)-ROW($DM$93)+1),ROWS($DM$93:DM103)))),"")</f>
        <v/>
      </c>
      <c r="DY103" s="602" t="str">
        <f t="shared" si="76"/>
        <v/>
      </c>
      <c r="DZ103" s="604" t="str">
        <f t="shared" si="77"/>
        <v/>
      </c>
      <c r="EA103" s="604" t="str">
        <f t="shared" si="78"/>
        <v/>
      </c>
      <c r="ED103" s="720" t="str">
        <f t="array" ref="ED103">IFERROR(IF(ROWS(DT$93:DT103)&gt;COUNTA($DT$93:$DT$145),"",INDEX($DL$93:$DL$142,SMALL(IF($DT$93:$DT$145&lt;&gt;"",ROW($DT$93:$DT$145)-ROW($DT$93)+1),ROWS($DT$93:DT103)))),"")</f>
        <v/>
      </c>
      <c r="EE103" s="602" t="str">
        <f t="shared" si="70"/>
        <v/>
      </c>
      <c r="EF103" s="604" t="str">
        <f t="shared" si="71"/>
        <v/>
      </c>
      <c r="EG103" s="606" t="str">
        <f t="shared" si="72"/>
        <v/>
      </c>
      <c r="EH103" s="604" t="str">
        <f t="shared" si="73"/>
        <v/>
      </c>
      <c r="EI103" s="604" t="str">
        <f t="shared" si="74"/>
        <v/>
      </c>
      <c r="EJ103" s="602">
        <v>11</v>
      </c>
      <c r="EL103" s="1033">
        <f t="shared" si="67"/>
        <v>0</v>
      </c>
      <c r="EM103" s="602">
        <f t="array" ref="EM103">--ISNUMBER(DY103)</f>
        <v>0</v>
      </c>
      <c r="EN103" s="602">
        <f t="shared" si="68"/>
        <v>1</v>
      </c>
      <c r="EO103" s="602">
        <f t="array" ref="EO103">IF(ISNUMBER(DY103),EL103,IF(ISBLANK(DY103),EL103,EL103+$EM$143))+$EN$143</f>
        <v>49</v>
      </c>
      <c r="EP103" t="str">
        <f t="shared" si="69"/>
        <v/>
      </c>
      <c r="EQ103" s="602" t="str">
        <f t="array" ref="EQ103">IFERROR(INDEX($DY$93:$DY$142,MATCH(SMALL($EO$93:$EO$142,ROWS($EQ$93:EQ103)+$EN$143),$EO$93:$EO$142,0)),"")</f>
        <v/>
      </c>
      <c r="EW103" s="602"/>
      <c r="LB103" s="602" t="e">
        <f t="array" ref="LB103">INDEX($DY$93:$DY$115,MATCH(ROWS($DY$93:DY103),COUNTIF($DY$93:$DY$115,"&lt;="&amp;$DY$93:$DY$115),0))</f>
        <v>#N/A</v>
      </c>
    </row>
    <row r="104" spans="64:314">
      <c r="BL104">
        <f t="shared" si="40"/>
        <v>12</v>
      </c>
      <c r="BM104" s="723" t="str">
        <f t="shared" si="41"/>
        <v/>
      </c>
      <c r="BN104" s="720" t="str">
        <f t="shared" si="42"/>
        <v/>
      </c>
      <c r="BO104" s="720" t="b">
        <f t="shared" si="56"/>
        <v>0</v>
      </c>
      <c r="BP104" s="724" t="str">
        <f t="shared" si="43"/>
        <v/>
      </c>
      <c r="BQ104" s="720" t="str">
        <f>IFERROR(VLOOKUP(BP104,Lookup!AM$6:AN$8,2,FALSE),"")</f>
        <v/>
      </c>
      <c r="BR104" s="720" t="str">
        <f t="shared" si="44"/>
        <v/>
      </c>
      <c r="BS104" s="725">
        <f>SUMIFS(Installations!CS$39:CS$800,Installations!CT$39:CT$800,BM104,Installations!HX$39:HX$800,TRUE,Installations!CR$39:CR$800,"Exist")</f>
        <v>0</v>
      </c>
      <c r="BT104" s="720" t="str">
        <f t="shared" si="57"/>
        <v/>
      </c>
      <c r="BU104" s="726"/>
      <c r="BX104" s="720" t="str">
        <f t="array" ref="BX104">IFERROR(IF(ROWS(BM$93:BM104)&gt;COUNTA($BM$93:$BM$192),"",INDEX($BL$93:$BL$192,SMALL(IF($BM$93:$BM$192&lt;&gt;"",ROW($BM$93:$BM$192)-ROW($BM$93)+1),ROWS($BM$93:BM104)))),"")</f>
        <v/>
      </c>
      <c r="BY104" s="602" t="str">
        <f t="shared" si="45"/>
        <v/>
      </c>
      <c r="BZ104" s="604" t="str">
        <f t="shared" si="46"/>
        <v/>
      </c>
      <c r="CA104" s="604" t="str">
        <f t="shared" si="47"/>
        <v/>
      </c>
      <c r="CD104" s="720" t="str">
        <f t="array" ref="CD104">IFERROR(IF(ROWS(BT$93:BT104)&gt;COUNTA($BT$93:$BT$192),"",INDEX($BL$93:$BL$192,SMALL(IF($BT$93:$BT$192&lt;&gt;"",ROW($BT$93:$BT$192)-ROW($BT$93)+1),ROWS($BT$93:BT104)))),"")</f>
        <v/>
      </c>
      <c r="CE104" s="602" t="str">
        <f t="shared" si="48"/>
        <v/>
      </c>
      <c r="CF104" s="604" t="str">
        <f t="shared" si="49"/>
        <v/>
      </c>
      <c r="CG104" s="604" t="str">
        <f t="shared" si="50"/>
        <v/>
      </c>
      <c r="CI104" s="604">
        <f t="shared" si="58"/>
        <v>0</v>
      </c>
      <c r="CJ104" s="604">
        <f t="shared" si="59"/>
        <v>0</v>
      </c>
      <c r="CK104" s="604">
        <f t="shared" si="60"/>
        <v>1</v>
      </c>
      <c r="CL104" s="604">
        <f t="array" ref="CL104">IF(ISNUMBER(BY104),CI104,IF(ISBLANK(BY104),CI104,CI104+$CJ$143))+$CK$143</f>
        <v>50</v>
      </c>
      <c r="CM104" t="str">
        <f t="shared" si="61"/>
        <v/>
      </c>
      <c r="CN104" s="602" t="str">
        <f t="array" ref="CN104">IFERROR(INDEX($BY$93:$BY$142,MATCH(SMALL($CL$93:$CL$142,ROWS($CM$93:CM104)+$CK$143),$CL$93:$CL$142,0)),"")</f>
        <v/>
      </c>
      <c r="DL104" s="602">
        <v>12</v>
      </c>
      <c r="DM104" s="723" t="str">
        <f t="shared" si="51"/>
        <v/>
      </c>
      <c r="DN104" s="720" t="str">
        <f t="shared" si="62"/>
        <v/>
      </c>
      <c r="DO104" s="720" t="str">
        <f t="shared" si="52"/>
        <v/>
      </c>
      <c r="DP104" s="727">
        <f t="shared" si="53"/>
        <v>0</v>
      </c>
      <c r="DQ104" s="719" t="str">
        <f t="shared" ca="1" si="54"/>
        <v/>
      </c>
      <c r="DR104" s="720">
        <f t="shared" si="75"/>
        <v>0</v>
      </c>
      <c r="DS104" s="720">
        <f>SUMIFS(Installations!CS$39:CS$800,Installations!CT$39:CT$800,DM104,Installations!HX$39:HX$800,TRUE,Installations!CR$39:CR$800,"New")</f>
        <v>0</v>
      </c>
      <c r="DT104" s="720" t="str">
        <f t="shared" si="63"/>
        <v/>
      </c>
      <c r="DU104" s="726"/>
      <c r="DX104" s="720" t="str">
        <f t="array" ref="DX104">IFERROR(IF(ROWS(DM$93:DM104)&gt;COUNTA($DM$93:$DM$145),"",INDEX($DL$93:$DL$142,SMALL(IF($DM$93:$DM$145&lt;&gt;"",ROW($DM$93:$DM$145)-ROW($DM$93)+1),ROWS($DM$93:DM104)))),"")</f>
        <v/>
      </c>
      <c r="DY104" s="602" t="str">
        <f t="shared" si="76"/>
        <v/>
      </c>
      <c r="DZ104" s="604" t="str">
        <f t="shared" si="77"/>
        <v/>
      </c>
      <c r="EA104" s="604" t="str">
        <f t="shared" si="78"/>
        <v/>
      </c>
      <c r="ED104" s="720" t="str">
        <f t="array" ref="ED104">IFERROR(IF(ROWS(DT$93:DT104)&gt;COUNTA($DT$93:$DT$145),"",INDEX($DL$93:$DL$142,SMALL(IF($DT$93:$DT$145&lt;&gt;"",ROW($DT$93:$DT$145)-ROW($DT$93)+1),ROWS($DT$93:DT104)))),"")</f>
        <v/>
      </c>
      <c r="EE104" s="602" t="str">
        <f t="shared" si="70"/>
        <v/>
      </c>
      <c r="EF104" s="604" t="str">
        <f t="shared" si="71"/>
        <v/>
      </c>
      <c r="EG104" s="606" t="str">
        <f t="shared" si="72"/>
        <v/>
      </c>
      <c r="EH104" s="604" t="str">
        <f t="shared" si="73"/>
        <v/>
      </c>
      <c r="EI104" s="604" t="str">
        <f t="shared" si="74"/>
        <v/>
      </c>
      <c r="EJ104" s="602">
        <v>12</v>
      </c>
      <c r="EL104" s="1033">
        <f t="shared" si="67"/>
        <v>0</v>
      </c>
      <c r="EM104" s="602">
        <f t="array" ref="EM104">--ISNUMBER(DY104)</f>
        <v>0</v>
      </c>
      <c r="EN104" s="602">
        <f t="shared" si="68"/>
        <v>1</v>
      </c>
      <c r="EO104" s="602">
        <f t="array" ref="EO104">IF(ISNUMBER(DY104),EL104,IF(ISBLANK(DY104),EL104,EL104+$EM$143))+$EN$143</f>
        <v>49</v>
      </c>
      <c r="EP104" t="str">
        <f t="shared" si="69"/>
        <v/>
      </c>
      <c r="EQ104" s="602" t="str">
        <f t="array" ref="EQ104">IFERROR(INDEX($DY$93:$DY$142,MATCH(SMALL($EO$93:$EO$142,ROWS($EQ$93:EQ104)+$EN$143),$EO$93:$EO$142,0)),"")</f>
        <v/>
      </c>
      <c r="EW104" s="602"/>
      <c r="LB104" s="602" t="e">
        <f t="array" ref="LB104">INDEX($DY$93:$DY$115,MATCH(ROWS($DY$93:DY104),COUNTIF($DY$93:$DY$115,"&lt;="&amp;$DY$93:$DY$115),0))</f>
        <v>#N/A</v>
      </c>
    </row>
    <row r="105" spans="64:314">
      <c r="BL105">
        <f t="shared" si="40"/>
        <v>13</v>
      </c>
      <c r="BM105" s="723" t="str">
        <f t="shared" si="41"/>
        <v/>
      </c>
      <c r="BN105" s="720" t="str">
        <f t="shared" si="42"/>
        <v/>
      </c>
      <c r="BO105" s="720" t="b">
        <f t="shared" si="56"/>
        <v>0</v>
      </c>
      <c r="BP105" s="724" t="str">
        <f t="shared" si="43"/>
        <v/>
      </c>
      <c r="BQ105" s="720" t="str">
        <f>IFERROR(VLOOKUP(BP105,Lookup!AM$6:AN$8,2,FALSE),"")</f>
        <v/>
      </c>
      <c r="BR105" s="720" t="str">
        <f t="shared" si="44"/>
        <v/>
      </c>
      <c r="BS105" s="725">
        <f>SUMIFS(Installations!CS$39:CS$800,Installations!CT$39:CT$800,BM105,Installations!HX$39:HX$800,TRUE,Installations!CR$39:CR$800,"Exist")</f>
        <v>0</v>
      </c>
      <c r="BT105" s="720" t="str">
        <f t="shared" si="57"/>
        <v/>
      </c>
      <c r="BU105" s="726"/>
      <c r="BX105" s="720" t="str">
        <f t="array" ref="BX105">IFERROR(IF(ROWS(BM$93:BM105)&gt;COUNTA($BM$93:$BM$192),"",INDEX($BL$93:$BL$192,SMALL(IF($BM$93:$BM$192&lt;&gt;"",ROW($BM$93:$BM$192)-ROW($BM$93)+1),ROWS($BM$93:BM105)))),"")</f>
        <v/>
      </c>
      <c r="BY105" s="602" t="str">
        <f t="shared" si="45"/>
        <v/>
      </c>
      <c r="BZ105" s="604" t="str">
        <f t="shared" si="46"/>
        <v/>
      </c>
      <c r="CA105" s="604" t="str">
        <f t="shared" si="47"/>
        <v/>
      </c>
      <c r="CD105" s="720" t="str">
        <f t="array" ref="CD105">IFERROR(IF(ROWS(BT$93:BT105)&gt;COUNTA($BT$93:$BT$192),"",INDEX($BL$93:$BL$192,SMALL(IF($BT$93:$BT$192&lt;&gt;"",ROW($BT$93:$BT$192)-ROW($BT$93)+1),ROWS($BT$93:BT105)))),"")</f>
        <v/>
      </c>
      <c r="CE105" s="602" t="str">
        <f t="shared" si="48"/>
        <v/>
      </c>
      <c r="CF105" s="604" t="str">
        <f t="shared" si="49"/>
        <v/>
      </c>
      <c r="CG105" s="604" t="str">
        <f t="shared" si="50"/>
        <v/>
      </c>
      <c r="CI105" s="604">
        <f t="shared" si="58"/>
        <v>0</v>
      </c>
      <c r="CJ105" s="604">
        <f t="shared" si="59"/>
        <v>0</v>
      </c>
      <c r="CK105" s="604">
        <f t="shared" si="60"/>
        <v>1</v>
      </c>
      <c r="CL105" s="604">
        <f t="array" ref="CL105">IF(ISNUMBER(BY105),CI105,IF(ISBLANK(BY105),CI105,CI105+$CJ$143))+$CK$143</f>
        <v>50</v>
      </c>
      <c r="CM105" t="str">
        <f t="shared" si="61"/>
        <v/>
      </c>
      <c r="CN105" s="602" t="str">
        <f t="array" ref="CN105">IFERROR(INDEX($BY$93:$BY$142,MATCH(SMALL($CL$93:$CL$142,ROWS($CM$93:CM105)+$CK$143),$CL$93:$CL$142,0)),"")</f>
        <v/>
      </c>
      <c r="DL105" s="602">
        <v>13</v>
      </c>
      <c r="DM105" s="723" t="str">
        <f t="shared" si="51"/>
        <v/>
      </c>
      <c r="DN105" s="720" t="str">
        <f t="shared" si="62"/>
        <v/>
      </c>
      <c r="DO105" s="720" t="str">
        <f t="shared" si="52"/>
        <v/>
      </c>
      <c r="DP105" s="727">
        <f t="shared" si="53"/>
        <v>0</v>
      </c>
      <c r="DQ105" s="719" t="str">
        <f t="shared" ca="1" si="54"/>
        <v/>
      </c>
      <c r="DR105" s="720">
        <f t="shared" si="75"/>
        <v>0</v>
      </c>
      <c r="DS105" s="720">
        <f>SUMIFS(Installations!CS$39:CS$800,Installations!CT$39:CT$800,DM105,Installations!HX$39:HX$800,TRUE,Installations!CR$39:CR$800,"New")</f>
        <v>0</v>
      </c>
      <c r="DT105" s="720" t="str">
        <f t="shared" si="63"/>
        <v/>
      </c>
      <c r="DU105" s="726"/>
      <c r="DX105" s="720" t="str">
        <f t="array" ref="DX105">IFERROR(IF(ROWS(DM$93:DM105)&gt;COUNTA($DM$93:$DM$145),"",INDEX($DL$93:$DL$142,SMALL(IF($DM$93:$DM$145&lt;&gt;"",ROW($DM$93:$DM$145)-ROW($DM$93)+1),ROWS($DM$93:DM105)))),"")</f>
        <v/>
      </c>
      <c r="DY105" s="602" t="str">
        <f t="shared" si="76"/>
        <v/>
      </c>
      <c r="DZ105" s="604" t="str">
        <f t="shared" si="77"/>
        <v/>
      </c>
      <c r="EA105" s="604" t="str">
        <f t="shared" si="78"/>
        <v/>
      </c>
      <c r="ED105" s="720" t="str">
        <f t="array" ref="ED105">IFERROR(IF(ROWS(DT$93:DT105)&gt;COUNTA($DT$93:$DT$145),"",INDEX($DL$93:$DL$142,SMALL(IF($DT$93:$DT$145&lt;&gt;"",ROW($DT$93:$DT$145)-ROW($DT$93)+1),ROWS($DT$93:DT105)))),"")</f>
        <v/>
      </c>
      <c r="EE105" s="602" t="str">
        <f t="shared" si="70"/>
        <v/>
      </c>
      <c r="EF105" s="604" t="str">
        <f t="shared" si="71"/>
        <v/>
      </c>
      <c r="EG105" s="606" t="str">
        <f t="shared" si="72"/>
        <v/>
      </c>
      <c r="EH105" s="604" t="str">
        <f t="shared" si="73"/>
        <v/>
      </c>
      <c r="EI105" s="604" t="str">
        <f t="shared" si="74"/>
        <v/>
      </c>
      <c r="EJ105" s="602">
        <v>13</v>
      </c>
      <c r="EL105" s="1033">
        <f t="shared" si="67"/>
        <v>0</v>
      </c>
      <c r="EM105" s="602">
        <f t="array" ref="EM105">--ISNUMBER(DY105)</f>
        <v>0</v>
      </c>
      <c r="EN105" s="602">
        <f t="shared" si="68"/>
        <v>1</v>
      </c>
      <c r="EO105" s="602">
        <f t="array" ref="EO105">IF(ISNUMBER(DY105),EL105,IF(ISBLANK(DY105),EL105,EL105+$EM$143))+$EN$143</f>
        <v>49</v>
      </c>
      <c r="EP105" t="str">
        <f t="shared" si="69"/>
        <v/>
      </c>
      <c r="EQ105" s="602" t="str">
        <f t="array" ref="EQ105">IFERROR(INDEX($DY$93:$DY$142,MATCH(SMALL($EO$93:$EO$142,ROWS($EQ$93:EQ105)+$EN$143),$EO$93:$EO$142,0)),"")</f>
        <v/>
      </c>
      <c r="EW105" s="602"/>
      <c r="LB105" s="602" t="e">
        <f t="array" ref="LB105">INDEX($DY$93:$DY$115,MATCH(ROWS($DY$93:DY105),COUNTIF($DY$93:$DY$115,"&lt;="&amp;$DY$93:$DY$115),0))</f>
        <v>#N/A</v>
      </c>
    </row>
    <row r="106" spans="64:314">
      <c r="BL106">
        <f t="shared" si="40"/>
        <v>14</v>
      </c>
      <c r="BM106" s="723" t="str">
        <f t="shared" si="41"/>
        <v/>
      </c>
      <c r="BN106" s="720" t="str">
        <f t="shared" si="42"/>
        <v/>
      </c>
      <c r="BO106" s="720" t="b">
        <f t="shared" si="56"/>
        <v>0</v>
      </c>
      <c r="BP106" s="724" t="str">
        <f t="shared" si="43"/>
        <v/>
      </c>
      <c r="BQ106" s="720" t="str">
        <f>IFERROR(VLOOKUP(BP106,Lookup!AM$6:AN$8,2,FALSE),"")</f>
        <v/>
      </c>
      <c r="BR106" s="720" t="str">
        <f t="shared" si="44"/>
        <v/>
      </c>
      <c r="BS106" s="725">
        <f>SUMIFS(Installations!CS$39:CS$800,Installations!CT$39:CT$800,BM106,Installations!HX$39:HX$800,TRUE,Installations!CR$39:CR$800,"Exist")</f>
        <v>0</v>
      </c>
      <c r="BT106" s="720" t="str">
        <f t="shared" si="57"/>
        <v/>
      </c>
      <c r="BU106" s="726"/>
      <c r="BX106" s="720" t="str">
        <f t="array" ref="BX106">IFERROR(IF(ROWS(BM$93:BM106)&gt;COUNTA($BM$93:$BM$192),"",INDEX($BL$93:$BL$192,SMALL(IF($BM$93:$BM$192&lt;&gt;"",ROW($BM$93:$BM$192)-ROW($BM$93)+1),ROWS($BM$93:BM106)))),"")</f>
        <v/>
      </c>
      <c r="BY106" s="602" t="str">
        <f t="shared" si="45"/>
        <v/>
      </c>
      <c r="BZ106" s="604" t="str">
        <f t="shared" si="46"/>
        <v/>
      </c>
      <c r="CA106" s="604" t="str">
        <f t="shared" si="47"/>
        <v/>
      </c>
      <c r="CD106" s="720" t="str">
        <f t="array" ref="CD106">IFERROR(IF(ROWS(BT$93:BT106)&gt;COUNTA($BT$93:$BT$192),"",INDEX($BL$93:$BL$192,SMALL(IF($BT$93:$BT$192&lt;&gt;"",ROW($BT$93:$BT$192)-ROW($BT$93)+1),ROWS($BT$93:BT106)))),"")</f>
        <v/>
      </c>
      <c r="CE106" s="602" t="str">
        <f t="shared" si="48"/>
        <v/>
      </c>
      <c r="CF106" s="604" t="str">
        <f t="shared" si="49"/>
        <v/>
      </c>
      <c r="CG106" s="604" t="str">
        <f t="shared" si="50"/>
        <v/>
      </c>
      <c r="CI106" s="604">
        <f t="shared" si="58"/>
        <v>0</v>
      </c>
      <c r="CJ106" s="604">
        <f t="shared" si="59"/>
        <v>0</v>
      </c>
      <c r="CK106" s="604">
        <f t="shared" si="60"/>
        <v>1</v>
      </c>
      <c r="CL106" s="604">
        <f t="array" ref="CL106">IF(ISNUMBER(BY106),CI106,IF(ISBLANK(BY106),CI106,CI106+$CJ$143))+$CK$143</f>
        <v>50</v>
      </c>
      <c r="CM106" t="str">
        <f t="shared" si="61"/>
        <v/>
      </c>
      <c r="CN106" s="602" t="str">
        <f t="array" ref="CN106">IFERROR(INDEX($BY$93:$BY$142,MATCH(SMALL($CL$93:$CL$142,ROWS($CM$93:CM106)+$CK$143),$CL$93:$CL$142,0)),"")</f>
        <v/>
      </c>
      <c r="DL106" s="602">
        <v>14</v>
      </c>
      <c r="DM106" s="723" t="str">
        <f t="shared" si="51"/>
        <v/>
      </c>
      <c r="DN106" s="720" t="str">
        <f t="shared" si="62"/>
        <v/>
      </c>
      <c r="DO106" s="720" t="str">
        <f t="shared" si="52"/>
        <v/>
      </c>
      <c r="DP106" s="727">
        <f t="shared" si="53"/>
        <v>0</v>
      </c>
      <c r="DQ106" s="719" t="str">
        <f t="shared" ca="1" si="54"/>
        <v/>
      </c>
      <c r="DR106" s="720">
        <f t="shared" si="75"/>
        <v>0</v>
      </c>
      <c r="DS106" s="720">
        <f>SUMIFS(Installations!CS$39:CS$800,Installations!CT$39:CT$800,DM106,Installations!HX$39:HX$800,TRUE,Installations!CR$39:CR$800,"New")</f>
        <v>0</v>
      </c>
      <c r="DT106" s="720" t="str">
        <f t="shared" si="63"/>
        <v/>
      </c>
      <c r="DU106" s="726"/>
      <c r="DX106" s="720" t="str">
        <f t="array" ref="DX106">IFERROR(IF(ROWS(DM$93:DM106)&gt;COUNTA($DM$93:$DM$145),"",INDEX($DL$93:$DL$142,SMALL(IF($DM$93:$DM$145&lt;&gt;"",ROW($DM$93:$DM$145)-ROW($DM$93)+1),ROWS($DM$93:DM106)))),"")</f>
        <v/>
      </c>
      <c r="DY106" s="602" t="str">
        <f t="shared" si="76"/>
        <v/>
      </c>
      <c r="DZ106" s="604" t="str">
        <f t="shared" si="77"/>
        <v/>
      </c>
      <c r="EA106" s="604" t="str">
        <f t="shared" si="78"/>
        <v/>
      </c>
      <c r="ED106" s="720" t="str">
        <f t="array" ref="ED106">IFERROR(IF(ROWS(DT$93:DT106)&gt;COUNTA($DT$93:$DT$145),"",INDEX($DL$93:$DL$142,SMALL(IF($DT$93:$DT$145&lt;&gt;"",ROW($DT$93:$DT$145)-ROW($DT$93)+1),ROWS($DT$93:DT106)))),"")</f>
        <v/>
      </c>
      <c r="EE106" s="602" t="str">
        <f t="shared" si="70"/>
        <v/>
      </c>
      <c r="EF106" s="604" t="str">
        <f t="shared" si="71"/>
        <v/>
      </c>
      <c r="EG106" s="606" t="str">
        <f t="shared" si="72"/>
        <v/>
      </c>
      <c r="EH106" s="604" t="str">
        <f t="shared" si="73"/>
        <v/>
      </c>
      <c r="EI106" s="604" t="str">
        <f t="shared" si="74"/>
        <v/>
      </c>
      <c r="EJ106" s="602">
        <v>14</v>
      </c>
      <c r="EL106" s="1033">
        <f t="shared" si="67"/>
        <v>0</v>
      </c>
      <c r="EM106" s="602">
        <f t="array" ref="EM106">--ISNUMBER(DY106)</f>
        <v>0</v>
      </c>
      <c r="EN106" s="602">
        <f t="shared" si="68"/>
        <v>1</v>
      </c>
      <c r="EO106" s="602">
        <f t="array" ref="EO106">IF(ISNUMBER(DY106),EL106,IF(ISBLANK(DY106),EL106,EL106+$EM$143))+$EN$143</f>
        <v>49</v>
      </c>
      <c r="EP106" t="str">
        <f t="shared" si="69"/>
        <v/>
      </c>
      <c r="EQ106" s="602" t="str">
        <f t="array" ref="EQ106">IFERROR(INDEX($DY$93:$DY$142,MATCH(SMALL($EO$93:$EO$142,ROWS($EQ$93:EQ106)+$EN$143),$EO$93:$EO$142,0)),"")</f>
        <v/>
      </c>
      <c r="EW106" s="602"/>
      <c r="LB106" s="602" t="e">
        <f t="array" ref="LB106">INDEX($DY$93:$DY$115,MATCH(ROWS($DY$93:DY106),COUNTIF($DY$93:$DY$115,"&lt;="&amp;$DY$93:$DY$115),0))</f>
        <v>#N/A</v>
      </c>
    </row>
    <row r="107" spans="64:314">
      <c r="BL107">
        <f t="shared" si="40"/>
        <v>15</v>
      </c>
      <c r="BM107" s="723" t="str">
        <f t="shared" si="41"/>
        <v/>
      </c>
      <c r="BN107" s="720" t="str">
        <f t="shared" si="42"/>
        <v/>
      </c>
      <c r="BO107" s="720" t="b">
        <f t="shared" si="56"/>
        <v>0</v>
      </c>
      <c r="BP107" s="724" t="str">
        <f t="shared" si="43"/>
        <v/>
      </c>
      <c r="BQ107" s="720" t="str">
        <f>IFERROR(VLOOKUP(BP107,Lookup!AM$6:AN$8,2,FALSE),"")</f>
        <v/>
      </c>
      <c r="BR107" s="720" t="str">
        <f t="shared" si="44"/>
        <v/>
      </c>
      <c r="BS107" s="725">
        <f>SUMIFS(Installations!CS$39:CS$800,Installations!CT$39:CT$800,BM107,Installations!HX$39:HX$800,TRUE,Installations!CR$39:CR$800,"Exist")</f>
        <v>0</v>
      </c>
      <c r="BT107" s="720" t="str">
        <f t="shared" si="57"/>
        <v/>
      </c>
      <c r="BU107" s="726"/>
      <c r="BX107" s="720" t="str">
        <f t="array" ref="BX107">IFERROR(IF(ROWS(BM$93:BM107)&gt;COUNTA($BM$93:$BM$192),"",INDEX($BL$93:$BL$192,SMALL(IF($BM$93:$BM$192&lt;&gt;"",ROW($BM$93:$BM$192)-ROW($BM$93)+1),ROWS($BM$93:BM107)))),"")</f>
        <v/>
      </c>
      <c r="BY107" s="602" t="str">
        <f t="shared" si="45"/>
        <v/>
      </c>
      <c r="BZ107" s="604" t="str">
        <f t="shared" si="46"/>
        <v/>
      </c>
      <c r="CA107" s="604" t="str">
        <f t="shared" si="47"/>
        <v/>
      </c>
      <c r="CD107" s="720" t="str">
        <f t="array" ref="CD107">IFERROR(IF(ROWS(BT$93:BT107)&gt;COUNTA($BT$93:$BT$192),"",INDEX($BL$93:$BL$192,SMALL(IF($BT$93:$BT$192&lt;&gt;"",ROW($BT$93:$BT$192)-ROW($BT$93)+1),ROWS($BT$93:BT107)))),"")</f>
        <v/>
      </c>
      <c r="CE107" s="602" t="str">
        <f t="shared" si="48"/>
        <v/>
      </c>
      <c r="CF107" s="604" t="str">
        <f t="shared" si="49"/>
        <v/>
      </c>
      <c r="CG107" s="604" t="str">
        <f t="shared" si="50"/>
        <v/>
      </c>
      <c r="CI107" s="604">
        <f t="shared" si="58"/>
        <v>0</v>
      </c>
      <c r="CJ107" s="604">
        <f t="shared" si="59"/>
        <v>0</v>
      </c>
      <c r="CK107" s="604">
        <f t="shared" si="60"/>
        <v>1</v>
      </c>
      <c r="CL107" s="604">
        <f t="array" ref="CL107">IF(ISNUMBER(BY107),CI107,IF(ISBLANK(BY107),CI107,CI107+$CJ$143))+$CK$143</f>
        <v>50</v>
      </c>
      <c r="CM107" t="str">
        <f t="shared" si="61"/>
        <v/>
      </c>
      <c r="CN107" s="602" t="str">
        <f t="array" ref="CN107">IFERROR(INDEX($BY$93:$BY$142,MATCH(SMALL($CL$93:$CL$142,ROWS($CM$93:CM107)+$CK$143),$CL$93:$CL$142,0)),"")</f>
        <v/>
      </c>
      <c r="DL107" s="602">
        <v>15</v>
      </c>
      <c r="DM107" s="723" t="str">
        <f t="shared" si="51"/>
        <v/>
      </c>
      <c r="DN107" s="720" t="str">
        <f t="shared" si="62"/>
        <v/>
      </c>
      <c r="DO107" s="720" t="str">
        <f t="shared" si="52"/>
        <v/>
      </c>
      <c r="DP107" s="727">
        <f t="shared" si="53"/>
        <v>0</v>
      </c>
      <c r="DQ107" s="719" t="str">
        <f t="shared" ca="1" si="54"/>
        <v/>
      </c>
      <c r="DR107" s="720">
        <f t="shared" si="75"/>
        <v>0</v>
      </c>
      <c r="DS107" s="720">
        <f>SUMIFS(Installations!CS$39:CS$800,Installations!CT$39:CT$800,DM107,Installations!HX$39:HX$800,TRUE,Installations!CR$39:CR$800,"New")</f>
        <v>0</v>
      </c>
      <c r="DT107" s="720" t="str">
        <f t="shared" si="63"/>
        <v/>
      </c>
      <c r="DU107" s="726"/>
      <c r="DX107" s="720" t="str">
        <f t="array" ref="DX107">IFERROR(IF(ROWS(DM$93:DM107)&gt;COUNTA($DM$93:$DM$145),"",INDEX($DL$93:$DL$142,SMALL(IF($DM$93:$DM$145&lt;&gt;"",ROW($DM$93:$DM$145)-ROW($DM$93)+1),ROWS($DM$93:DM107)))),"")</f>
        <v/>
      </c>
      <c r="DY107" s="602" t="str">
        <f t="shared" si="76"/>
        <v/>
      </c>
      <c r="DZ107" s="604" t="str">
        <f t="shared" si="77"/>
        <v/>
      </c>
      <c r="EA107" s="604" t="str">
        <f t="shared" si="78"/>
        <v/>
      </c>
      <c r="ED107" s="720" t="str">
        <f t="array" ref="ED107">IFERROR(IF(ROWS(DT$93:DT107)&gt;COUNTA($DT$93:$DT$145),"",INDEX($DL$93:$DL$142,SMALL(IF($DT$93:$DT$145&lt;&gt;"",ROW($DT$93:$DT$145)-ROW($DT$93)+1),ROWS($DT$93:DT107)))),"")</f>
        <v/>
      </c>
      <c r="EE107" s="602" t="str">
        <f t="shared" si="70"/>
        <v/>
      </c>
      <c r="EF107" s="604" t="str">
        <f t="shared" si="71"/>
        <v/>
      </c>
      <c r="EG107" s="606" t="str">
        <f t="shared" si="72"/>
        <v/>
      </c>
      <c r="EH107" s="604" t="str">
        <f t="shared" si="73"/>
        <v/>
      </c>
      <c r="EI107" s="604" t="str">
        <f t="shared" si="74"/>
        <v/>
      </c>
      <c r="EJ107" s="602">
        <v>15</v>
      </c>
      <c r="EL107" s="1033">
        <f t="shared" si="67"/>
        <v>0</v>
      </c>
      <c r="EM107" s="602">
        <f t="array" ref="EM107">--ISNUMBER(DY107)</f>
        <v>0</v>
      </c>
      <c r="EN107" s="602">
        <f t="shared" si="68"/>
        <v>1</v>
      </c>
      <c r="EO107" s="602">
        <f t="array" ref="EO107">IF(ISNUMBER(DY107),EL107,IF(ISBLANK(DY107),EL107,EL107+$EM$143))+$EN$143</f>
        <v>49</v>
      </c>
      <c r="EP107" t="str">
        <f t="shared" si="69"/>
        <v/>
      </c>
      <c r="EQ107" s="602" t="str">
        <f t="array" ref="EQ107">IFERROR(INDEX($DY$93:$DY$142,MATCH(SMALL($EO$93:$EO$142,ROWS($EQ$93:EQ107)+$EN$143),$EO$93:$EO$142,0)),"")</f>
        <v/>
      </c>
      <c r="EW107" s="602"/>
      <c r="LB107" s="602" t="e">
        <f t="array" ref="LB107">INDEX($DY$93:$DY$115,MATCH(ROWS($DY$93:DY107),COUNTIF($DY$93:$DY$115,"&lt;="&amp;$DY$93:$DY$115),0))</f>
        <v>#N/A</v>
      </c>
    </row>
    <row r="108" spans="64:314">
      <c r="BL108">
        <f t="shared" si="40"/>
        <v>16</v>
      </c>
      <c r="BM108" s="723" t="str">
        <f t="shared" si="41"/>
        <v/>
      </c>
      <c r="BN108" s="720" t="str">
        <f t="shared" si="42"/>
        <v/>
      </c>
      <c r="BO108" s="720" t="b">
        <f t="shared" si="56"/>
        <v>0</v>
      </c>
      <c r="BP108" s="724" t="str">
        <f t="shared" si="43"/>
        <v/>
      </c>
      <c r="BQ108" s="720" t="str">
        <f>IFERROR(VLOOKUP(BP108,Lookup!AM$6:AN$8,2,FALSE),"")</f>
        <v/>
      </c>
      <c r="BR108" s="720" t="str">
        <f t="shared" si="44"/>
        <v/>
      </c>
      <c r="BS108" s="725">
        <f>SUMIFS(Installations!CS$39:CS$800,Installations!CT$39:CT$800,BM108,Installations!HX$39:HX$800,TRUE,Installations!CR$39:CR$800,"Exist")</f>
        <v>0</v>
      </c>
      <c r="BT108" s="720" t="str">
        <f t="shared" si="57"/>
        <v/>
      </c>
      <c r="BU108" s="726"/>
      <c r="BX108" s="720" t="str">
        <f t="array" ref="BX108">IFERROR(IF(ROWS(BM$93:BM108)&gt;COUNTA($BM$93:$BM$192),"",INDEX($BL$93:$BL$192,SMALL(IF($BM$93:$BM$192&lt;&gt;"",ROW($BM$93:$BM$192)-ROW($BM$93)+1),ROWS($BM$93:BM108)))),"")</f>
        <v/>
      </c>
      <c r="BY108" s="602" t="str">
        <f t="shared" si="45"/>
        <v/>
      </c>
      <c r="BZ108" s="604" t="str">
        <f t="shared" si="46"/>
        <v/>
      </c>
      <c r="CA108" s="604" t="str">
        <f t="shared" si="47"/>
        <v/>
      </c>
      <c r="CD108" s="720" t="str">
        <f t="array" ref="CD108">IFERROR(IF(ROWS(BT$93:BT108)&gt;COUNTA($BT$93:$BT$192),"",INDEX($BL$93:$BL$192,SMALL(IF($BT$93:$BT$192&lt;&gt;"",ROW($BT$93:$BT$192)-ROW($BT$93)+1),ROWS($BT$93:BT108)))),"")</f>
        <v/>
      </c>
      <c r="CE108" s="602" t="str">
        <f t="shared" si="48"/>
        <v/>
      </c>
      <c r="CF108" s="604" t="str">
        <f t="shared" si="49"/>
        <v/>
      </c>
      <c r="CG108" s="604" t="str">
        <f t="shared" si="50"/>
        <v/>
      </c>
      <c r="CI108" s="604">
        <f t="shared" si="58"/>
        <v>0</v>
      </c>
      <c r="CJ108" s="604">
        <f t="shared" si="59"/>
        <v>0</v>
      </c>
      <c r="CK108" s="604">
        <f t="shared" si="60"/>
        <v>1</v>
      </c>
      <c r="CL108" s="604">
        <f t="array" ref="CL108">IF(ISNUMBER(BY108),CI108,IF(ISBLANK(BY108),CI108,CI108+$CJ$143))+$CK$143</f>
        <v>50</v>
      </c>
      <c r="CM108" t="str">
        <f t="shared" si="61"/>
        <v/>
      </c>
      <c r="CN108" s="602" t="str">
        <f t="array" ref="CN108">IFERROR(INDEX($BY$93:$BY$142,MATCH(SMALL($CL$93:$CL$142,ROWS($CM$93:CM108)+$CK$143),$CL$93:$CL$142,0)),"")</f>
        <v/>
      </c>
      <c r="DL108" s="602">
        <v>16</v>
      </c>
      <c r="DM108" s="723" t="str">
        <f t="shared" si="51"/>
        <v/>
      </c>
      <c r="DN108" s="720" t="str">
        <f t="shared" si="62"/>
        <v/>
      </c>
      <c r="DO108" s="720" t="str">
        <f t="shared" si="52"/>
        <v/>
      </c>
      <c r="DP108" s="727">
        <f t="shared" si="53"/>
        <v>0</v>
      </c>
      <c r="DQ108" s="719" t="str">
        <f t="shared" ca="1" si="54"/>
        <v/>
      </c>
      <c r="DR108" s="720">
        <f t="shared" si="75"/>
        <v>0</v>
      </c>
      <c r="DS108" s="720">
        <f>SUMIFS(Installations!CS$39:CS$800,Installations!CT$39:CT$800,DM108,Installations!HX$39:HX$800,TRUE,Installations!CR$39:CR$800,"New")</f>
        <v>0</v>
      </c>
      <c r="DT108" s="720" t="str">
        <f t="shared" si="63"/>
        <v/>
      </c>
      <c r="DU108" s="726"/>
      <c r="DX108" s="720" t="str">
        <f t="array" ref="DX108">IFERROR(IF(ROWS(DM$93:DM108)&gt;COUNTA($DM$93:$DM$145),"",INDEX($DL$93:$DL$142,SMALL(IF($DM$93:$DM$145&lt;&gt;"",ROW($DM$93:$DM$145)-ROW($DM$93)+1),ROWS($DM$93:DM108)))),"")</f>
        <v/>
      </c>
      <c r="DY108" s="602" t="str">
        <f t="shared" si="76"/>
        <v/>
      </c>
      <c r="DZ108" s="604" t="str">
        <f t="shared" si="77"/>
        <v/>
      </c>
      <c r="EA108" s="604" t="str">
        <f t="shared" si="78"/>
        <v/>
      </c>
      <c r="ED108" s="720" t="str">
        <f t="array" ref="ED108">IFERROR(IF(ROWS(DT$93:DT108)&gt;COUNTA($DT$93:$DT$145),"",INDEX($DL$93:$DL$142,SMALL(IF($DT$93:$DT$145&lt;&gt;"",ROW($DT$93:$DT$145)-ROW($DT$93)+1),ROWS($DT$93:DT108)))),"")</f>
        <v/>
      </c>
      <c r="EE108" s="602" t="str">
        <f t="shared" si="70"/>
        <v/>
      </c>
      <c r="EF108" s="604" t="str">
        <f t="shared" si="71"/>
        <v/>
      </c>
      <c r="EG108" s="606" t="str">
        <f t="shared" si="72"/>
        <v/>
      </c>
      <c r="EH108" s="604" t="str">
        <f t="shared" si="73"/>
        <v/>
      </c>
      <c r="EI108" s="604" t="str">
        <f t="shared" si="74"/>
        <v/>
      </c>
      <c r="EJ108" s="602">
        <v>16</v>
      </c>
      <c r="EL108" s="1033">
        <f t="shared" si="67"/>
        <v>0</v>
      </c>
      <c r="EM108" s="602">
        <f t="array" ref="EM108">--ISNUMBER(DY108)</f>
        <v>0</v>
      </c>
      <c r="EN108" s="602">
        <f t="shared" si="68"/>
        <v>1</v>
      </c>
      <c r="EO108" s="602">
        <f t="array" ref="EO108">IF(ISNUMBER(DY108),EL108,IF(ISBLANK(DY108),EL108,EL108+$EM$143))+$EN$143</f>
        <v>49</v>
      </c>
      <c r="EP108" t="str">
        <f t="shared" si="69"/>
        <v/>
      </c>
      <c r="EQ108" s="602" t="str">
        <f t="array" ref="EQ108">IFERROR(INDEX($DY$93:$DY$142,MATCH(SMALL($EO$93:$EO$142,ROWS($EQ$93:EQ108)+$EN$143),$EO$93:$EO$142,0)),"")</f>
        <v/>
      </c>
      <c r="EW108" s="602"/>
      <c r="LB108" s="602" t="e">
        <f t="array" ref="LB108">INDEX($DY$93:$DY$115,MATCH(ROWS($DY$93:DY108),COUNTIF($DY$93:$DY$115,"&lt;="&amp;$DY$93:$DY$115),0))</f>
        <v>#N/A</v>
      </c>
    </row>
    <row r="109" spans="64:314">
      <c r="BL109">
        <f t="shared" si="40"/>
        <v>17</v>
      </c>
      <c r="BM109" s="723" t="str">
        <f t="shared" si="41"/>
        <v/>
      </c>
      <c r="BN109" s="720" t="str">
        <f t="shared" si="42"/>
        <v/>
      </c>
      <c r="BO109" s="720" t="b">
        <f t="shared" si="56"/>
        <v>0</v>
      </c>
      <c r="BP109" s="724" t="str">
        <f t="shared" si="43"/>
        <v/>
      </c>
      <c r="BQ109" s="720" t="str">
        <f>IFERROR(VLOOKUP(BP109,Lookup!AM$6:AN$8,2,FALSE),"")</f>
        <v/>
      </c>
      <c r="BR109" s="720" t="str">
        <f t="shared" si="44"/>
        <v/>
      </c>
      <c r="BS109" s="725">
        <f>SUMIFS(Installations!CS$39:CS$800,Installations!CT$39:CT$800,BM109,Installations!HX$39:HX$800,TRUE,Installations!CR$39:CR$800,"Exist")</f>
        <v>0</v>
      </c>
      <c r="BT109" s="720" t="str">
        <f t="shared" si="57"/>
        <v/>
      </c>
      <c r="BU109" s="726"/>
      <c r="BX109" s="720" t="str">
        <f t="array" ref="BX109">IFERROR(IF(ROWS(BM$93:BM109)&gt;COUNTA($BM$93:$BM$192),"",INDEX($BL$93:$BL$192,SMALL(IF($BM$93:$BM$192&lt;&gt;"",ROW($BM$93:$BM$192)-ROW($BM$93)+1),ROWS($BM$93:BM109)))),"")</f>
        <v/>
      </c>
      <c r="BY109" s="602" t="str">
        <f t="shared" si="45"/>
        <v/>
      </c>
      <c r="BZ109" s="604" t="str">
        <f t="shared" si="46"/>
        <v/>
      </c>
      <c r="CA109" s="604" t="str">
        <f t="shared" si="47"/>
        <v/>
      </c>
      <c r="CD109" s="720" t="str">
        <f t="array" ref="CD109">IFERROR(IF(ROWS(BT$93:BT109)&gt;COUNTA($BT$93:$BT$192),"",INDEX($BL$93:$BL$192,SMALL(IF($BT$93:$BT$192&lt;&gt;"",ROW($BT$93:$BT$192)-ROW($BT$93)+1),ROWS($BT$93:BT109)))),"")</f>
        <v/>
      </c>
      <c r="CE109" s="602" t="str">
        <f t="shared" si="48"/>
        <v/>
      </c>
      <c r="CF109" s="604" t="str">
        <f t="shared" si="49"/>
        <v/>
      </c>
      <c r="CG109" s="604" t="str">
        <f t="shared" si="50"/>
        <v/>
      </c>
      <c r="CI109" s="604">
        <f t="shared" si="58"/>
        <v>0</v>
      </c>
      <c r="CJ109" s="604">
        <f t="shared" si="59"/>
        <v>0</v>
      </c>
      <c r="CK109" s="604">
        <f t="shared" si="60"/>
        <v>1</v>
      </c>
      <c r="CL109" s="604">
        <f t="array" ref="CL109">IF(ISNUMBER(BY109),CI109,IF(ISBLANK(BY109),CI109,CI109+$CJ$143))+$CK$143</f>
        <v>50</v>
      </c>
      <c r="CM109" t="str">
        <f t="shared" si="61"/>
        <v/>
      </c>
      <c r="CN109" s="602" t="str">
        <f t="array" ref="CN109">IFERROR(INDEX($BY$93:$BY$142,MATCH(SMALL($CL$93:$CL$142,ROWS($CM$93:CM109)+$CK$143),$CL$93:$CL$142,0)),"")</f>
        <v/>
      </c>
      <c r="DL109" s="602">
        <v>17</v>
      </c>
      <c r="DM109" s="723" t="str">
        <f t="shared" si="51"/>
        <v/>
      </c>
      <c r="DN109" s="720" t="str">
        <f t="shared" si="62"/>
        <v/>
      </c>
      <c r="DO109" s="720" t="str">
        <f t="shared" si="52"/>
        <v/>
      </c>
      <c r="DP109" s="727">
        <f t="shared" si="53"/>
        <v>0</v>
      </c>
      <c r="DQ109" s="719" t="str">
        <f t="shared" ca="1" si="54"/>
        <v/>
      </c>
      <c r="DR109" s="720">
        <f t="shared" si="75"/>
        <v>0</v>
      </c>
      <c r="DS109" s="720">
        <f>SUMIFS(Installations!CS$39:CS$800,Installations!CT$39:CT$800,DM109,Installations!HX$39:HX$800,TRUE,Installations!CR$39:CR$800,"New")</f>
        <v>0</v>
      </c>
      <c r="DT109" s="720" t="str">
        <f t="shared" si="63"/>
        <v/>
      </c>
      <c r="DU109" s="726"/>
      <c r="DX109" s="720" t="str">
        <f t="array" ref="DX109">IFERROR(IF(ROWS(DM$93:DM109)&gt;COUNTA($DM$93:$DM$145),"",INDEX($DL$93:$DL$142,SMALL(IF($DM$93:$DM$145&lt;&gt;"",ROW($DM$93:$DM$145)-ROW($DM$93)+1),ROWS($DM$93:DM109)))),"")</f>
        <v/>
      </c>
      <c r="DY109" s="602" t="str">
        <f t="shared" si="76"/>
        <v/>
      </c>
      <c r="DZ109" s="604" t="str">
        <f t="shared" si="77"/>
        <v/>
      </c>
      <c r="EA109" s="604" t="str">
        <f t="shared" si="78"/>
        <v/>
      </c>
      <c r="ED109" s="720" t="str">
        <f t="array" ref="ED109">IFERROR(IF(ROWS(DT$93:DT109)&gt;COUNTA($DT$93:$DT$145),"",INDEX($DL$93:$DL$142,SMALL(IF($DT$93:$DT$145&lt;&gt;"",ROW($DT$93:$DT$145)-ROW($DT$93)+1),ROWS($DT$93:DT109)))),"")</f>
        <v/>
      </c>
      <c r="EE109" s="602" t="str">
        <f t="shared" si="70"/>
        <v/>
      </c>
      <c r="EF109" s="604" t="str">
        <f t="shared" si="71"/>
        <v/>
      </c>
      <c r="EG109" s="606" t="str">
        <f t="shared" si="72"/>
        <v/>
      </c>
      <c r="EH109" s="604" t="str">
        <f t="shared" si="73"/>
        <v/>
      </c>
      <c r="EI109" s="604" t="str">
        <f t="shared" si="74"/>
        <v/>
      </c>
      <c r="EJ109" s="602">
        <v>17</v>
      </c>
      <c r="EL109" s="1033">
        <f t="shared" si="67"/>
        <v>0</v>
      </c>
      <c r="EM109" s="602">
        <f t="array" ref="EM109">--ISNUMBER(DY109)</f>
        <v>0</v>
      </c>
      <c r="EN109" s="602">
        <f t="shared" si="68"/>
        <v>1</v>
      </c>
      <c r="EO109" s="602">
        <f t="array" ref="EO109">IF(ISNUMBER(DY109),EL109,IF(ISBLANK(DY109),EL109,EL109+$EM$143))+$EN$143</f>
        <v>49</v>
      </c>
      <c r="EP109" t="str">
        <f t="shared" si="69"/>
        <v/>
      </c>
      <c r="EQ109" s="602" t="str">
        <f t="array" ref="EQ109">IFERROR(INDEX($DY$93:$DY$142,MATCH(SMALL($EO$93:$EO$142,ROWS($EQ$93:EQ109)+$EN$143),$EO$93:$EO$142,0)),"")</f>
        <v/>
      </c>
      <c r="EW109" s="602"/>
    </row>
    <row r="110" spans="64:314">
      <c r="BL110">
        <f t="shared" si="40"/>
        <v>18</v>
      </c>
      <c r="BM110" s="723" t="str">
        <f t="shared" si="41"/>
        <v/>
      </c>
      <c r="BN110" s="720" t="str">
        <f t="shared" si="42"/>
        <v/>
      </c>
      <c r="BO110" s="720" t="b">
        <f t="shared" si="56"/>
        <v>0</v>
      </c>
      <c r="BP110" s="724" t="str">
        <f t="shared" si="43"/>
        <v/>
      </c>
      <c r="BQ110" s="720" t="str">
        <f>IFERROR(VLOOKUP(BP110,Lookup!AM$6:AN$8,2,FALSE),"")</f>
        <v/>
      </c>
      <c r="BR110" s="720" t="str">
        <f t="shared" si="44"/>
        <v/>
      </c>
      <c r="BS110" s="725">
        <f>SUMIFS(Installations!CS$39:CS$800,Installations!CT$39:CT$800,BM110,Installations!HX$39:HX$800,TRUE,Installations!CR$39:CR$800,"Exist")</f>
        <v>0</v>
      </c>
      <c r="BT110" s="720" t="str">
        <f t="shared" si="57"/>
        <v/>
      </c>
      <c r="BU110" s="726"/>
      <c r="BX110" s="720" t="str">
        <f t="array" ref="BX110">IFERROR(IF(ROWS(BM$93:BM110)&gt;COUNTA($BM$93:$BM$192),"",INDEX($BL$93:$BL$192,SMALL(IF($BM$93:$BM$192&lt;&gt;"",ROW($BM$93:$BM$192)-ROW($BM$93)+1),ROWS($BM$93:BM110)))),"")</f>
        <v/>
      </c>
      <c r="BY110" s="602" t="str">
        <f t="shared" si="45"/>
        <v/>
      </c>
      <c r="BZ110" s="604" t="str">
        <f t="shared" si="46"/>
        <v/>
      </c>
      <c r="CA110" s="604" t="str">
        <f t="shared" si="47"/>
        <v/>
      </c>
      <c r="CD110" s="720" t="str">
        <f t="array" ref="CD110">IFERROR(IF(ROWS(BT$93:BT110)&gt;COUNTA($BT$93:$BT$192),"",INDEX($BL$93:$BL$192,SMALL(IF($BT$93:$BT$192&lt;&gt;"",ROW($BT$93:$BT$192)-ROW($BT$93)+1),ROWS($BT$93:BT110)))),"")</f>
        <v/>
      </c>
      <c r="CE110" s="602" t="str">
        <f t="shared" si="48"/>
        <v/>
      </c>
      <c r="CF110" s="604" t="str">
        <f t="shared" si="49"/>
        <v/>
      </c>
      <c r="CG110" s="604" t="str">
        <f t="shared" si="50"/>
        <v/>
      </c>
      <c r="CI110" s="604">
        <f t="shared" si="58"/>
        <v>0</v>
      </c>
      <c r="CJ110" s="604">
        <f t="shared" si="59"/>
        <v>0</v>
      </c>
      <c r="CK110" s="604">
        <f t="shared" si="60"/>
        <v>1</v>
      </c>
      <c r="CL110" s="604">
        <f t="array" ref="CL110">IF(ISNUMBER(BY110),CI110,IF(ISBLANK(BY110),CI110,CI110+$CJ$143))+$CK$143</f>
        <v>50</v>
      </c>
      <c r="CM110" t="str">
        <f t="shared" si="61"/>
        <v/>
      </c>
      <c r="CN110" s="602" t="str">
        <f t="array" ref="CN110">IFERROR(INDEX($BY$93:$BY$142,MATCH(SMALL($CL$93:$CL$142,ROWS($CM$93:CM110)+$CK$143),$CL$93:$CL$142,0)),"")</f>
        <v/>
      </c>
      <c r="DL110" s="602">
        <v>18</v>
      </c>
      <c r="DM110" s="723" t="str">
        <f t="shared" si="51"/>
        <v/>
      </c>
      <c r="DN110" s="720" t="str">
        <f t="shared" si="62"/>
        <v/>
      </c>
      <c r="DO110" s="720" t="str">
        <f t="shared" si="52"/>
        <v/>
      </c>
      <c r="DP110" s="727">
        <f t="shared" si="53"/>
        <v>0</v>
      </c>
      <c r="DQ110" s="719" t="str">
        <f t="shared" ca="1" si="54"/>
        <v/>
      </c>
      <c r="DR110" s="720">
        <f t="shared" si="75"/>
        <v>0</v>
      </c>
      <c r="DS110" s="720">
        <f>SUMIFS(Installations!CS$39:CS$800,Installations!CT$39:CT$800,DM110,Installations!HX$39:HX$800,TRUE,Installations!CR$39:CR$800,"New")</f>
        <v>0</v>
      </c>
      <c r="DT110" s="720" t="str">
        <f t="shared" si="63"/>
        <v/>
      </c>
      <c r="DU110" s="726"/>
      <c r="DX110" s="720" t="str">
        <f t="array" ref="DX110">IFERROR(IF(ROWS(DM$93:DM110)&gt;COUNTA($DM$93:$DM$145),"",INDEX($DL$93:$DL$142,SMALL(IF($DM$93:$DM$145&lt;&gt;"",ROW($DM$93:$DM$145)-ROW($DM$93)+1),ROWS($DM$93:DM110)))),"")</f>
        <v/>
      </c>
      <c r="DY110" s="602" t="str">
        <f t="shared" si="76"/>
        <v/>
      </c>
      <c r="DZ110" s="604" t="str">
        <f t="shared" si="77"/>
        <v/>
      </c>
      <c r="EA110" s="604" t="str">
        <f t="shared" si="78"/>
        <v/>
      </c>
      <c r="ED110" s="720" t="str">
        <f t="array" ref="ED110">IFERROR(IF(ROWS(DT$93:DT110)&gt;COUNTA($DT$93:$DT$145),"",INDEX($DL$93:$DL$142,SMALL(IF($DT$93:$DT$145&lt;&gt;"",ROW($DT$93:$DT$145)-ROW($DT$93)+1),ROWS($DT$93:DT110)))),"")</f>
        <v/>
      </c>
      <c r="EE110" s="602" t="str">
        <f t="shared" si="70"/>
        <v/>
      </c>
      <c r="EF110" s="604" t="str">
        <f t="shared" si="71"/>
        <v/>
      </c>
      <c r="EG110" s="606" t="str">
        <f t="shared" si="72"/>
        <v/>
      </c>
      <c r="EH110" s="604" t="str">
        <f t="shared" si="73"/>
        <v/>
      </c>
      <c r="EI110" s="604" t="str">
        <f t="shared" si="74"/>
        <v/>
      </c>
      <c r="EJ110" s="602">
        <v>18</v>
      </c>
      <c r="EL110" s="1033">
        <f t="shared" si="67"/>
        <v>0</v>
      </c>
      <c r="EM110" s="602">
        <f t="array" ref="EM110">--ISNUMBER(DY110)</f>
        <v>0</v>
      </c>
      <c r="EN110" s="602">
        <f t="shared" si="68"/>
        <v>1</v>
      </c>
      <c r="EO110" s="602">
        <f t="array" ref="EO110">IF(ISNUMBER(DY110),EL110,IF(ISBLANK(DY110),EL110,EL110+$EM$143))+$EN$143</f>
        <v>49</v>
      </c>
      <c r="EP110" t="str">
        <f t="shared" si="69"/>
        <v/>
      </c>
      <c r="EQ110" s="602" t="str">
        <f t="array" ref="EQ110">IFERROR(INDEX($DY$93:$DY$142,MATCH(SMALL($EO$93:$EO$142,ROWS($EQ$93:EQ110)+$EN$143),$EO$93:$EO$142,0)),"")</f>
        <v/>
      </c>
      <c r="EW110" s="602"/>
    </row>
    <row r="111" spans="64:314">
      <c r="BL111">
        <f t="shared" si="40"/>
        <v>19</v>
      </c>
      <c r="BM111" s="723" t="str">
        <f t="shared" si="41"/>
        <v/>
      </c>
      <c r="BN111" s="720" t="str">
        <f t="shared" si="42"/>
        <v/>
      </c>
      <c r="BO111" s="720" t="b">
        <f t="shared" si="56"/>
        <v>0</v>
      </c>
      <c r="BP111" s="724" t="str">
        <f t="shared" si="43"/>
        <v/>
      </c>
      <c r="BQ111" s="720" t="str">
        <f>IFERROR(VLOOKUP(BP111,Lookup!AM$6:AN$8,2,FALSE),"")</f>
        <v/>
      </c>
      <c r="BR111" s="720" t="str">
        <f t="shared" si="44"/>
        <v/>
      </c>
      <c r="BS111" s="725">
        <f>SUMIFS(Installations!CS$39:CS$800,Installations!CT$39:CT$800,BM111,Installations!HX$39:HX$800,TRUE,Installations!CR$39:CR$800,"Exist")</f>
        <v>0</v>
      </c>
      <c r="BT111" s="720" t="str">
        <f t="shared" si="57"/>
        <v/>
      </c>
      <c r="BU111" s="726"/>
      <c r="BX111" s="720" t="str">
        <f t="array" ref="BX111">IFERROR(IF(ROWS(BM$93:BM111)&gt;COUNTA($BM$93:$BM$192),"",INDEX($BL$93:$BL$192,SMALL(IF($BM$93:$BM$192&lt;&gt;"",ROW($BM$93:$BM$192)-ROW($BM$93)+1),ROWS($BM$93:BM111)))),"")</f>
        <v/>
      </c>
      <c r="BY111" s="602" t="str">
        <f t="shared" si="45"/>
        <v/>
      </c>
      <c r="BZ111" s="604" t="str">
        <f t="shared" si="46"/>
        <v/>
      </c>
      <c r="CA111" s="604" t="str">
        <f t="shared" si="47"/>
        <v/>
      </c>
      <c r="CD111" s="720" t="str">
        <f t="array" ref="CD111">IFERROR(IF(ROWS(BT$93:BT111)&gt;COUNTA($BT$93:$BT$192),"",INDEX($BL$93:$BL$192,SMALL(IF($BT$93:$BT$192&lt;&gt;"",ROW($BT$93:$BT$192)-ROW($BT$93)+1),ROWS($BT$93:BT111)))),"")</f>
        <v/>
      </c>
      <c r="CE111" s="602" t="str">
        <f t="shared" si="48"/>
        <v/>
      </c>
      <c r="CF111" s="604" t="str">
        <f t="shared" si="49"/>
        <v/>
      </c>
      <c r="CG111" s="604" t="str">
        <f t="shared" si="50"/>
        <v/>
      </c>
      <c r="CI111" s="604">
        <f t="shared" si="58"/>
        <v>0</v>
      </c>
      <c r="CJ111" s="604">
        <f t="shared" si="59"/>
        <v>0</v>
      </c>
      <c r="CK111" s="604">
        <f t="shared" si="60"/>
        <v>1</v>
      </c>
      <c r="CL111" s="604">
        <f t="array" ref="CL111">IF(ISNUMBER(BY111),CI111,IF(ISBLANK(BY111),CI111,CI111+$CJ$143))+$CK$143</f>
        <v>50</v>
      </c>
      <c r="CM111" t="str">
        <f t="shared" si="61"/>
        <v/>
      </c>
      <c r="CN111" s="602" t="str">
        <f t="array" ref="CN111">IFERROR(INDEX($BY$93:$BY$142,MATCH(SMALL($CL$93:$CL$142,ROWS($CM$93:CM111)+$CK$143),$CL$93:$CL$142,0)),"")</f>
        <v/>
      </c>
      <c r="DL111" s="602">
        <v>19</v>
      </c>
      <c r="DM111" s="723" t="str">
        <f t="shared" si="51"/>
        <v/>
      </c>
      <c r="DN111" s="720" t="str">
        <f t="shared" si="62"/>
        <v/>
      </c>
      <c r="DO111" s="720" t="str">
        <f t="shared" si="52"/>
        <v/>
      </c>
      <c r="DP111" s="727">
        <f t="shared" si="53"/>
        <v>0</v>
      </c>
      <c r="DQ111" s="719" t="str">
        <f t="shared" ca="1" si="54"/>
        <v/>
      </c>
      <c r="DR111" s="720">
        <f t="shared" si="75"/>
        <v>0</v>
      </c>
      <c r="DS111" s="720">
        <f>SUMIFS(Installations!CS$39:CS$800,Installations!CT$39:CT$800,DM111,Installations!HX$39:HX$800,TRUE,Installations!CR$39:CR$800,"New")</f>
        <v>0</v>
      </c>
      <c r="DT111" s="720" t="str">
        <f t="shared" si="63"/>
        <v/>
      </c>
      <c r="DU111" s="726"/>
      <c r="DX111" s="720" t="str">
        <f t="array" ref="DX111">IFERROR(IF(ROWS(DM$93:DM111)&gt;COUNTA($DM$93:$DM$145),"",INDEX($DL$93:$DL$142,SMALL(IF($DM$93:$DM$145&lt;&gt;"",ROW($DM$93:$DM$145)-ROW($DM$93)+1),ROWS($DM$93:DM111)))),"")</f>
        <v/>
      </c>
      <c r="DY111" s="602" t="str">
        <f t="shared" si="76"/>
        <v/>
      </c>
      <c r="DZ111" s="604" t="str">
        <f t="shared" si="77"/>
        <v/>
      </c>
      <c r="EA111" s="604" t="str">
        <f t="shared" si="78"/>
        <v/>
      </c>
      <c r="ED111" s="720" t="str">
        <f t="array" ref="ED111">IFERROR(IF(ROWS(DT$93:DT111)&gt;COUNTA($DT$93:$DT$145),"",INDEX($DL$93:$DL$142,SMALL(IF($DT$93:$DT$145&lt;&gt;"",ROW($DT$93:$DT$145)-ROW($DT$93)+1),ROWS($DT$93:DT111)))),"")</f>
        <v/>
      </c>
      <c r="EE111" s="602" t="str">
        <f t="shared" si="70"/>
        <v/>
      </c>
      <c r="EF111" s="604" t="str">
        <f t="shared" si="71"/>
        <v/>
      </c>
      <c r="EG111" s="606" t="str">
        <f t="shared" si="72"/>
        <v/>
      </c>
      <c r="EH111" s="604" t="str">
        <f t="shared" si="73"/>
        <v/>
      </c>
      <c r="EI111" s="604" t="str">
        <f t="shared" si="74"/>
        <v/>
      </c>
      <c r="EJ111" s="602">
        <v>19</v>
      </c>
      <c r="EL111" s="1033">
        <f t="shared" si="67"/>
        <v>0</v>
      </c>
      <c r="EM111" s="602">
        <f t="array" ref="EM111">--ISNUMBER(DY111)</f>
        <v>0</v>
      </c>
      <c r="EN111" s="602">
        <f t="shared" si="68"/>
        <v>1</v>
      </c>
      <c r="EO111" s="602">
        <f t="array" ref="EO111">IF(ISNUMBER(DY111),EL111,IF(ISBLANK(DY111),EL111,EL111+$EM$143))+$EN$143</f>
        <v>49</v>
      </c>
      <c r="EP111" t="str">
        <f t="shared" si="69"/>
        <v/>
      </c>
      <c r="EQ111" s="602" t="str">
        <f t="array" ref="EQ111">IFERROR(INDEX($DY$93:$DY$142,MATCH(SMALL($EO$93:$EO$142,ROWS($EQ$93:EQ111)+$EN$143),$EO$93:$EO$142,0)),"")</f>
        <v/>
      </c>
      <c r="EW111" s="602"/>
    </row>
    <row r="112" spans="64:314">
      <c r="BL112">
        <f t="shared" si="40"/>
        <v>20</v>
      </c>
      <c r="BM112" s="723" t="str">
        <f t="shared" si="41"/>
        <v/>
      </c>
      <c r="BN112" s="720" t="str">
        <f t="shared" si="42"/>
        <v/>
      </c>
      <c r="BO112" s="720" t="b">
        <f t="shared" si="56"/>
        <v>0</v>
      </c>
      <c r="BP112" s="724" t="str">
        <f t="shared" si="43"/>
        <v/>
      </c>
      <c r="BQ112" s="720" t="str">
        <f>IFERROR(VLOOKUP(BP112,Lookup!AM$6:AN$8,2,FALSE),"")</f>
        <v/>
      </c>
      <c r="BR112" s="720" t="str">
        <f t="shared" si="44"/>
        <v/>
      </c>
      <c r="BS112" s="725">
        <f>SUMIFS(Installations!CS$39:CS$800,Installations!CT$39:CT$800,BM112,Installations!HX$39:HX$800,TRUE,Installations!CR$39:CR$800,"Exist")</f>
        <v>0</v>
      </c>
      <c r="BT112" s="720" t="str">
        <f t="shared" si="57"/>
        <v/>
      </c>
      <c r="BU112" s="726"/>
      <c r="BX112" s="720" t="str">
        <f t="array" ref="BX112">IFERROR(IF(ROWS(BM$93:BM112)&gt;COUNTA($BM$93:$BM$192),"",INDEX($BL$93:$BL$192,SMALL(IF($BM$93:$BM$192&lt;&gt;"",ROW($BM$93:$BM$192)-ROW($BM$93)+1),ROWS($BM$93:BM112)))),"")</f>
        <v/>
      </c>
      <c r="BY112" s="602" t="str">
        <f t="shared" si="45"/>
        <v/>
      </c>
      <c r="BZ112" s="604" t="str">
        <f t="shared" si="46"/>
        <v/>
      </c>
      <c r="CA112" s="604" t="str">
        <f t="shared" si="47"/>
        <v/>
      </c>
      <c r="CD112" s="720" t="str">
        <f t="array" ref="CD112">IFERROR(IF(ROWS(BT$93:BT112)&gt;COUNTA($BT$93:$BT$192),"",INDEX($BL$93:$BL$192,SMALL(IF($BT$93:$BT$192&lt;&gt;"",ROW($BT$93:$BT$192)-ROW($BT$93)+1),ROWS($BT$93:BT112)))),"")</f>
        <v/>
      </c>
      <c r="CE112" s="602" t="str">
        <f t="shared" si="48"/>
        <v/>
      </c>
      <c r="CF112" s="604" t="str">
        <f t="shared" si="49"/>
        <v/>
      </c>
      <c r="CG112" s="604" t="str">
        <f t="shared" si="50"/>
        <v/>
      </c>
      <c r="CI112" s="604">
        <f t="shared" si="58"/>
        <v>0</v>
      </c>
      <c r="CJ112" s="604">
        <f t="shared" si="59"/>
        <v>0</v>
      </c>
      <c r="CK112" s="604">
        <f t="shared" si="60"/>
        <v>1</v>
      </c>
      <c r="CL112" s="604">
        <f t="array" ref="CL112">IF(ISNUMBER(BY112),CI112,IF(ISBLANK(BY112),CI112,CI112+$CJ$143))+$CK$143</f>
        <v>50</v>
      </c>
      <c r="CM112" t="str">
        <f t="shared" si="61"/>
        <v/>
      </c>
      <c r="CN112" s="602" t="str">
        <f t="array" ref="CN112">IFERROR(INDEX($BY$93:$BY$142,MATCH(SMALL($CL$93:$CL$142,ROWS($CM$93:CM112)+$CK$143),$CL$93:$CL$142,0)),"")</f>
        <v/>
      </c>
      <c r="DL112" s="602">
        <v>20</v>
      </c>
      <c r="DM112" s="723" t="str">
        <f t="shared" si="51"/>
        <v/>
      </c>
      <c r="DN112" s="720" t="str">
        <f t="shared" si="62"/>
        <v/>
      </c>
      <c r="DO112" s="720" t="str">
        <f t="shared" si="52"/>
        <v/>
      </c>
      <c r="DP112" s="727">
        <f t="shared" si="53"/>
        <v>0</v>
      </c>
      <c r="DQ112" s="719" t="str">
        <f t="shared" ca="1" si="54"/>
        <v/>
      </c>
      <c r="DR112" s="720">
        <f t="shared" si="75"/>
        <v>0</v>
      </c>
      <c r="DS112" s="720">
        <f>SUMIFS(Installations!CS$39:CS$800,Installations!CT$39:CT$800,DM112,Installations!HX$39:HX$800,TRUE,Installations!CR$39:CR$800,"New")</f>
        <v>0</v>
      </c>
      <c r="DT112" s="720" t="str">
        <f t="shared" si="63"/>
        <v/>
      </c>
      <c r="DU112" s="726"/>
      <c r="DX112" s="720" t="str">
        <f t="array" ref="DX112">IFERROR(IF(ROWS(DM$93:DM112)&gt;COUNTA($DM$93:$DM$145),"",INDEX($DL$93:$DL$142,SMALL(IF($DM$93:$DM$145&lt;&gt;"",ROW($DM$93:$DM$145)-ROW($DM$93)+1),ROWS($DM$93:DM112)))),"")</f>
        <v/>
      </c>
      <c r="DY112" s="602" t="str">
        <f t="shared" si="76"/>
        <v/>
      </c>
      <c r="DZ112" s="604" t="str">
        <f t="shared" si="77"/>
        <v/>
      </c>
      <c r="EA112" s="604" t="str">
        <f t="shared" si="78"/>
        <v/>
      </c>
      <c r="ED112" s="720" t="str">
        <f t="array" ref="ED112">IFERROR(IF(ROWS(DT$93:DT112)&gt;COUNTA($DT$93:$DT$145),"",INDEX($DL$93:$DL$142,SMALL(IF($DT$93:$DT$145&lt;&gt;"",ROW($DT$93:$DT$145)-ROW($DT$93)+1),ROWS($DT$93:DT112)))),"")</f>
        <v/>
      </c>
      <c r="EE112" s="602" t="str">
        <f t="shared" si="70"/>
        <v/>
      </c>
      <c r="EF112" s="604" t="str">
        <f t="shared" si="71"/>
        <v/>
      </c>
      <c r="EG112" s="606" t="str">
        <f t="shared" si="72"/>
        <v/>
      </c>
      <c r="EH112" s="604" t="str">
        <f t="shared" si="73"/>
        <v/>
      </c>
      <c r="EI112" s="604" t="str">
        <f t="shared" si="74"/>
        <v/>
      </c>
      <c r="EL112" s="1033">
        <f t="shared" si="67"/>
        <v>0</v>
      </c>
      <c r="EM112" s="602">
        <f t="array" ref="EM112">--ISNUMBER(DY112)</f>
        <v>0</v>
      </c>
      <c r="EN112" s="602">
        <f t="shared" si="68"/>
        <v>1</v>
      </c>
      <c r="EO112" s="602">
        <f t="array" ref="EO112">IF(ISNUMBER(DY112),EL112,IF(ISBLANK(DY112),EL112,EL112+$EM$143))+$EN$143</f>
        <v>49</v>
      </c>
      <c r="EP112" t="str">
        <f t="shared" si="69"/>
        <v/>
      </c>
      <c r="EQ112" s="602" t="str">
        <f t="array" ref="EQ112">IFERROR(INDEX($DY$93:$DY$142,MATCH(SMALL($EO$93:$EO$142,ROWS($EQ$93:EQ112)+$EN$143),$EO$93:$EO$142,0)),"")</f>
        <v/>
      </c>
      <c r="EW112" s="602"/>
    </row>
    <row r="113" spans="64:153">
      <c r="BL113">
        <f t="shared" si="40"/>
        <v>21</v>
      </c>
      <c r="BM113" s="723" t="str">
        <f t="shared" si="41"/>
        <v/>
      </c>
      <c r="BN113" s="720" t="str">
        <f t="shared" si="42"/>
        <v/>
      </c>
      <c r="BO113" s="720" t="b">
        <f t="shared" si="56"/>
        <v>0</v>
      </c>
      <c r="BP113" s="724" t="str">
        <f t="shared" si="43"/>
        <v/>
      </c>
      <c r="BQ113" s="720" t="str">
        <f>IFERROR(VLOOKUP(BP113,Lookup!AM$6:AN$8,2,FALSE),"")</f>
        <v/>
      </c>
      <c r="BR113" s="720" t="str">
        <f t="shared" si="44"/>
        <v/>
      </c>
      <c r="BS113" s="725">
        <f>SUMIFS(Installations!CS$39:CS$800,Installations!CT$39:CT$800,BM113,Installations!HX$39:HX$800,TRUE,Installations!CR$39:CR$800,"Exist")</f>
        <v>0</v>
      </c>
      <c r="BT113" s="720" t="str">
        <f t="shared" si="57"/>
        <v/>
      </c>
      <c r="BU113" s="726"/>
      <c r="BX113" s="720" t="str">
        <f t="array" ref="BX113">IFERROR(IF(ROWS(BM$93:BM113)&gt;COUNTA($BM$93:$BM$192),"",INDEX($BL$93:$BL$192,SMALL(IF($BM$93:$BM$192&lt;&gt;"",ROW($BM$93:$BM$192)-ROW($BM$93)+1),ROWS($BM$93:BM113)))),"")</f>
        <v/>
      </c>
      <c r="BY113" s="602" t="str">
        <f t="shared" si="45"/>
        <v/>
      </c>
      <c r="BZ113" s="604" t="str">
        <f t="shared" si="46"/>
        <v/>
      </c>
      <c r="CA113" s="604" t="str">
        <f t="shared" si="47"/>
        <v/>
      </c>
      <c r="CD113" s="720" t="str">
        <f t="array" ref="CD113">IFERROR(IF(ROWS(BT$93:BT113)&gt;COUNTA($BT$93:$BT$192),"",INDEX($BL$93:$BL$192,SMALL(IF($BT$93:$BT$192&lt;&gt;"",ROW($BT$93:$BT$192)-ROW($BT$93)+1),ROWS($BT$93:BT113)))),"")</f>
        <v/>
      </c>
      <c r="CE113" s="602" t="str">
        <f t="shared" si="48"/>
        <v/>
      </c>
      <c r="CF113" s="604" t="str">
        <f t="shared" si="49"/>
        <v/>
      </c>
      <c r="CG113" s="604" t="str">
        <f t="shared" si="50"/>
        <v/>
      </c>
      <c r="CI113" s="604">
        <f t="shared" si="58"/>
        <v>0</v>
      </c>
      <c r="CJ113" s="604">
        <f t="shared" si="59"/>
        <v>0</v>
      </c>
      <c r="CK113" s="604">
        <f t="shared" si="60"/>
        <v>1</v>
      </c>
      <c r="CL113" s="604">
        <f t="array" ref="CL113">IF(ISNUMBER(BY113),CI113,IF(ISBLANK(BY113),CI113,CI113+$CJ$143))+$CK$143</f>
        <v>50</v>
      </c>
      <c r="CM113" t="str">
        <f t="shared" si="61"/>
        <v/>
      </c>
      <c r="CN113" s="602" t="str">
        <f t="array" ref="CN113">IFERROR(INDEX($BY$93:$BY$142,MATCH(SMALL($CL$93:$CL$142,ROWS($CM$93:CM113)+$CK$143),$CL$93:$CL$142,0)),"")</f>
        <v/>
      </c>
      <c r="DL113" s="602">
        <v>21</v>
      </c>
      <c r="DM113" s="723" t="str">
        <f t="shared" si="51"/>
        <v/>
      </c>
      <c r="DN113" s="720" t="str">
        <f t="shared" si="62"/>
        <v/>
      </c>
      <c r="DO113" s="720" t="str">
        <f t="shared" si="52"/>
        <v/>
      </c>
      <c r="DP113" s="727">
        <f t="shared" si="53"/>
        <v>0</v>
      </c>
      <c r="DQ113" s="719" t="str">
        <f t="shared" ca="1" si="54"/>
        <v/>
      </c>
      <c r="DR113" s="720">
        <f t="shared" si="75"/>
        <v>0</v>
      </c>
      <c r="DS113" s="720">
        <f>SUMIFS(Installations!CS$39:CS$800,Installations!CT$39:CT$800,DM113,Installations!HX$39:HX$800,TRUE,Installations!CR$39:CR$800,"New")</f>
        <v>0</v>
      </c>
      <c r="DT113" s="720" t="str">
        <f t="shared" si="63"/>
        <v/>
      </c>
      <c r="DU113" s="726"/>
      <c r="DX113" s="720" t="str">
        <f t="array" ref="DX113">IFERROR(IF(ROWS(DM$93:DM113)&gt;COUNTA($DM$93:$DM$145),"",INDEX($DL$93:$DL$142,SMALL(IF($DM$93:$DM$145&lt;&gt;"",ROW($DM$93:$DM$145)-ROW($DM$93)+1),ROWS($DM$93:DM113)))),"")</f>
        <v/>
      </c>
      <c r="DY113" s="602" t="str">
        <f t="shared" si="76"/>
        <v/>
      </c>
      <c r="DZ113" s="604" t="str">
        <f t="shared" si="77"/>
        <v/>
      </c>
      <c r="EA113" s="604" t="str">
        <f t="shared" si="78"/>
        <v/>
      </c>
      <c r="ED113" s="720" t="str">
        <f t="array" ref="ED113">IFERROR(IF(ROWS(DT$93:DT113)&gt;COUNTA($DT$93:$DT$145),"",INDEX($DL$93:$DL$142,SMALL(IF($DT$93:$DT$145&lt;&gt;"",ROW($DT$93:$DT$145)-ROW($DT$93)+1),ROWS($DT$93:DT113)))),"")</f>
        <v/>
      </c>
      <c r="EE113" s="602" t="str">
        <f t="shared" si="70"/>
        <v/>
      </c>
      <c r="EF113" s="604" t="str">
        <f t="shared" si="71"/>
        <v/>
      </c>
      <c r="EG113" s="606" t="str">
        <f t="shared" si="72"/>
        <v/>
      </c>
      <c r="EH113" s="604" t="str">
        <f t="shared" si="73"/>
        <v/>
      </c>
      <c r="EI113" s="604" t="str">
        <f t="shared" si="74"/>
        <v/>
      </c>
      <c r="EL113" s="1033">
        <f t="shared" si="67"/>
        <v>0</v>
      </c>
      <c r="EM113" s="602">
        <f t="array" ref="EM113">--ISNUMBER(DY113)</f>
        <v>0</v>
      </c>
      <c r="EN113" s="602">
        <f t="shared" si="68"/>
        <v>1</v>
      </c>
      <c r="EO113" s="602">
        <f t="array" ref="EO113">IF(ISNUMBER(DY113),EL113,IF(ISBLANK(DY113),EL113,EL113+$EM$143))+$EN$143</f>
        <v>49</v>
      </c>
      <c r="EP113" t="str">
        <f t="shared" si="69"/>
        <v/>
      </c>
      <c r="EQ113" s="602" t="str">
        <f t="array" ref="EQ113">IFERROR(INDEX($DY$93:$DY$142,MATCH(SMALL($EO$93:$EO$142,ROWS($EQ$93:EQ113)+$EN$143),$EO$93:$EO$142,0)),"")</f>
        <v/>
      </c>
      <c r="EW113" s="602"/>
    </row>
    <row r="114" spans="64:153">
      <c r="BL114">
        <f t="shared" si="40"/>
        <v>22</v>
      </c>
      <c r="BM114" s="723" t="str">
        <f t="shared" si="41"/>
        <v/>
      </c>
      <c r="BN114" s="720" t="str">
        <f t="shared" si="42"/>
        <v/>
      </c>
      <c r="BO114" s="720" t="b">
        <f t="shared" si="56"/>
        <v>0</v>
      </c>
      <c r="BP114" s="724" t="str">
        <f t="shared" si="43"/>
        <v/>
      </c>
      <c r="BQ114" s="720" t="str">
        <f>IFERROR(VLOOKUP(BP114,Lookup!AM$6:AN$8,2,FALSE),"")</f>
        <v/>
      </c>
      <c r="BR114" s="720" t="str">
        <f t="shared" si="44"/>
        <v/>
      </c>
      <c r="BS114" s="725">
        <f>SUMIFS(Installations!CS$39:CS$800,Installations!CT$39:CT$800,BM114,Installations!HX$39:HX$800,TRUE,Installations!CR$39:CR$800,"Exist")</f>
        <v>0</v>
      </c>
      <c r="BT114" s="720" t="str">
        <f t="shared" si="57"/>
        <v/>
      </c>
      <c r="BU114" s="726"/>
      <c r="BX114" s="720" t="str">
        <f t="array" ref="BX114">IFERROR(IF(ROWS(BM$93:BM114)&gt;COUNTA($BM$93:$BM$192),"",INDEX($BL$93:$BL$192,SMALL(IF($BM$93:$BM$192&lt;&gt;"",ROW($BM$93:$BM$192)-ROW($BM$93)+1),ROWS($BM$93:BM114)))),"")</f>
        <v/>
      </c>
      <c r="BY114" s="602" t="str">
        <f t="shared" si="45"/>
        <v/>
      </c>
      <c r="BZ114" s="604" t="str">
        <f t="shared" si="46"/>
        <v/>
      </c>
      <c r="CA114" s="604" t="str">
        <f t="shared" si="47"/>
        <v/>
      </c>
      <c r="CD114" s="720" t="str">
        <f t="array" ref="CD114">IFERROR(IF(ROWS(BT$93:BT114)&gt;COUNTA($BT$93:$BT$192),"",INDEX($BL$93:$BL$192,SMALL(IF($BT$93:$BT$192&lt;&gt;"",ROW($BT$93:$BT$192)-ROW($BT$93)+1),ROWS($BT$93:BT114)))),"")</f>
        <v/>
      </c>
      <c r="CE114" s="602" t="str">
        <f t="shared" si="48"/>
        <v/>
      </c>
      <c r="CF114" s="604" t="str">
        <f t="shared" si="49"/>
        <v/>
      </c>
      <c r="CG114" s="604" t="str">
        <f t="shared" si="50"/>
        <v/>
      </c>
      <c r="CI114" s="604">
        <f t="shared" si="58"/>
        <v>0</v>
      </c>
      <c r="CJ114" s="604">
        <f t="shared" si="59"/>
        <v>0</v>
      </c>
      <c r="CK114" s="604">
        <f t="shared" si="60"/>
        <v>1</v>
      </c>
      <c r="CL114" s="604">
        <f t="array" ref="CL114">IF(ISNUMBER(BY114),CI114,IF(ISBLANK(BY114),CI114,CI114+$CJ$143))+$CK$143</f>
        <v>50</v>
      </c>
      <c r="CM114" t="str">
        <f t="shared" si="61"/>
        <v/>
      </c>
      <c r="CN114" s="602" t="str">
        <f t="array" ref="CN114">IFERROR(INDEX($BY$93:$BY$142,MATCH(SMALL($CL$93:$CL$142,ROWS($CM$93:CM114)+$CK$143),$CL$93:$CL$142,0)),"")</f>
        <v/>
      </c>
      <c r="DL114" s="602">
        <v>22</v>
      </c>
      <c r="DM114" s="723" t="str">
        <f t="shared" si="51"/>
        <v/>
      </c>
      <c r="DN114" s="720" t="str">
        <f t="shared" si="62"/>
        <v/>
      </c>
      <c r="DO114" s="720" t="str">
        <f t="shared" si="52"/>
        <v/>
      </c>
      <c r="DP114" s="727">
        <f t="shared" si="53"/>
        <v>0</v>
      </c>
      <c r="DQ114" s="719" t="str">
        <f t="shared" ca="1" si="54"/>
        <v/>
      </c>
      <c r="DR114" s="720">
        <f t="shared" si="75"/>
        <v>0</v>
      </c>
      <c r="DS114" s="720">
        <f>SUMIFS(Installations!CS$39:CS$800,Installations!CT$39:CT$800,DM114,Installations!HX$39:HX$800,TRUE,Installations!CR$39:CR$800,"New")</f>
        <v>0</v>
      </c>
      <c r="DT114" s="720" t="str">
        <f t="shared" si="63"/>
        <v/>
      </c>
      <c r="DU114" s="726"/>
      <c r="DX114" s="720" t="str">
        <f t="array" ref="DX114">IFERROR(IF(ROWS(DM$93:DM114)&gt;COUNTA($DM$93:$DM$145),"",INDEX($DL$93:$DL$142,SMALL(IF($DM$93:$DM$145&lt;&gt;"",ROW($DM$93:$DM$145)-ROW($DM$93)+1),ROWS($DM$93:DM114)))),"")</f>
        <v/>
      </c>
      <c r="DY114" s="602" t="str">
        <f t="shared" si="76"/>
        <v/>
      </c>
      <c r="DZ114" s="604" t="str">
        <f t="shared" si="77"/>
        <v/>
      </c>
      <c r="EA114" s="604" t="str">
        <f t="shared" si="78"/>
        <v/>
      </c>
      <c r="ED114" s="720" t="str">
        <f t="array" ref="ED114">IFERROR(IF(ROWS(DT$93:DT114)&gt;COUNTA($DT$93:$DT$145),"",INDEX($DL$93:$DL$142,SMALL(IF($DT$93:$DT$145&lt;&gt;"",ROW($DT$93:$DT$145)-ROW($DT$93)+1),ROWS($DT$93:DT114)))),"")</f>
        <v/>
      </c>
      <c r="EE114" s="602" t="str">
        <f t="shared" si="70"/>
        <v/>
      </c>
      <c r="EF114" s="604" t="str">
        <f t="shared" si="71"/>
        <v/>
      </c>
      <c r="EG114" s="606" t="str">
        <f t="shared" si="72"/>
        <v/>
      </c>
      <c r="EH114" s="604" t="str">
        <f t="shared" si="73"/>
        <v/>
      </c>
      <c r="EI114" s="604" t="str">
        <f t="shared" si="74"/>
        <v/>
      </c>
      <c r="EL114" s="1033">
        <f t="shared" si="67"/>
        <v>0</v>
      </c>
      <c r="EM114" s="602">
        <f t="array" ref="EM114">--ISNUMBER(DY114)</f>
        <v>0</v>
      </c>
      <c r="EN114" s="602">
        <f t="shared" si="68"/>
        <v>1</v>
      </c>
      <c r="EO114" s="602">
        <f t="array" ref="EO114">IF(ISNUMBER(DY114),EL114,IF(ISBLANK(DY114),EL114,EL114+$EM$143))+$EN$143</f>
        <v>49</v>
      </c>
      <c r="EP114" t="str">
        <f t="shared" si="69"/>
        <v/>
      </c>
      <c r="EQ114" s="602" t="str">
        <f t="array" ref="EQ114">IFERROR(INDEX($DY$93:$DY$142,MATCH(SMALL($EO$93:$EO$142,ROWS($EQ$93:EQ114)+$EN$143),$EO$93:$EO$142,0)),"")</f>
        <v/>
      </c>
      <c r="EW114" s="602"/>
    </row>
    <row r="115" spans="64:153">
      <c r="BL115">
        <f t="shared" si="40"/>
        <v>23</v>
      </c>
      <c r="BM115" s="723" t="str">
        <f t="shared" si="41"/>
        <v/>
      </c>
      <c r="BN115" s="720" t="str">
        <f t="shared" si="42"/>
        <v/>
      </c>
      <c r="BO115" s="720" t="b">
        <f t="shared" si="56"/>
        <v>0</v>
      </c>
      <c r="BP115" s="724" t="str">
        <f t="shared" si="43"/>
        <v/>
      </c>
      <c r="BQ115" s="720" t="str">
        <f>IFERROR(VLOOKUP(BP115,Lookup!AM$6:AN$8,2,FALSE),"")</f>
        <v/>
      </c>
      <c r="BR115" s="720" t="str">
        <f t="shared" si="44"/>
        <v/>
      </c>
      <c r="BS115" s="725">
        <f>SUMIFS(Installations!CS$39:CS$800,Installations!CT$39:CT$800,BM115,Installations!HX$39:HX$800,TRUE,Installations!CR$39:CR$800,"Exist")</f>
        <v>0</v>
      </c>
      <c r="BT115" s="720" t="str">
        <f t="shared" si="57"/>
        <v/>
      </c>
      <c r="BU115" s="726"/>
      <c r="BX115" s="720" t="str">
        <f t="array" ref="BX115">IFERROR(IF(ROWS(BM$93:BM115)&gt;COUNTA($BM$93:$BM$192),"",INDEX($BL$93:$BL$192,SMALL(IF($BM$93:$BM$192&lt;&gt;"",ROW($BM$93:$BM$192)-ROW($BM$93)+1),ROWS($BM$93:BM115)))),"")</f>
        <v/>
      </c>
      <c r="BY115" s="602" t="str">
        <f t="shared" si="45"/>
        <v/>
      </c>
      <c r="BZ115" s="604" t="str">
        <f t="shared" si="46"/>
        <v/>
      </c>
      <c r="CA115" s="604" t="str">
        <f t="shared" si="47"/>
        <v/>
      </c>
      <c r="CD115" s="720" t="str">
        <f t="array" ref="CD115">IFERROR(IF(ROWS(BT$93:BT115)&gt;COUNTA($BT$93:$BT$192),"",INDEX($BL$93:$BL$192,SMALL(IF($BT$93:$BT$192&lt;&gt;"",ROW($BT$93:$BT$192)-ROW($BT$93)+1),ROWS($BT$93:BT115)))),"")</f>
        <v/>
      </c>
      <c r="CE115" s="602" t="str">
        <f t="shared" si="48"/>
        <v/>
      </c>
      <c r="CF115" s="604" t="str">
        <f t="shared" si="49"/>
        <v/>
      </c>
      <c r="CG115" s="604" t="str">
        <f t="shared" si="50"/>
        <v/>
      </c>
      <c r="CI115" s="604">
        <f t="shared" si="58"/>
        <v>0</v>
      </c>
      <c r="CJ115" s="604">
        <f t="shared" si="59"/>
        <v>0</v>
      </c>
      <c r="CK115" s="604">
        <f t="shared" si="60"/>
        <v>1</v>
      </c>
      <c r="CL115" s="604">
        <f t="array" ref="CL115">IF(ISNUMBER(BY115),CI115,IF(ISBLANK(BY115),CI115,CI115+$CJ$143))+$CK$143</f>
        <v>50</v>
      </c>
      <c r="CM115" t="str">
        <f t="shared" si="61"/>
        <v/>
      </c>
      <c r="CN115" s="602" t="str">
        <f t="array" ref="CN115">IFERROR(INDEX($BY$93:$BY$142,MATCH(SMALL($CL$93:$CL$142,ROWS($CM$93:CM115)+$CK$143),$CL$93:$CL$142,0)),"")</f>
        <v/>
      </c>
      <c r="DL115" s="602">
        <v>23</v>
      </c>
      <c r="DM115" s="723" t="str">
        <f t="shared" si="51"/>
        <v/>
      </c>
      <c r="DN115" s="720" t="str">
        <f t="shared" si="62"/>
        <v/>
      </c>
      <c r="DO115" s="720" t="str">
        <f t="shared" si="52"/>
        <v/>
      </c>
      <c r="DP115" s="727">
        <f t="shared" si="53"/>
        <v>0</v>
      </c>
      <c r="DQ115" s="719" t="str">
        <f t="shared" ca="1" si="54"/>
        <v/>
      </c>
      <c r="DR115" s="720">
        <f t="shared" si="75"/>
        <v>0</v>
      </c>
      <c r="DS115" s="720">
        <f>SUMIFS(Installations!CS$39:CS$800,Installations!CT$39:CT$800,DM115,Installations!HX$39:HX$800,TRUE,Installations!CR$39:CR$800,"New")</f>
        <v>0</v>
      </c>
      <c r="DT115" s="720" t="str">
        <f t="shared" si="63"/>
        <v/>
      </c>
      <c r="DU115" s="726"/>
      <c r="DX115" s="720" t="str">
        <f t="array" ref="DX115">IFERROR(IF(ROWS(DM$93:DM115)&gt;COUNTA($DM$93:$DM$145),"",INDEX($DL$93:$DL$142,SMALL(IF($DM$93:$DM$145&lt;&gt;"",ROW($DM$93:$DM$145)-ROW($DM$93)+1),ROWS($DM$93:DM115)))),"")</f>
        <v/>
      </c>
      <c r="DY115" s="602" t="str">
        <f t="shared" si="76"/>
        <v/>
      </c>
      <c r="DZ115" s="604" t="str">
        <f t="shared" si="77"/>
        <v/>
      </c>
      <c r="EA115" s="604" t="str">
        <f t="shared" si="78"/>
        <v/>
      </c>
      <c r="ED115" s="720" t="str">
        <f t="array" ref="ED115">IFERROR(IF(ROWS(DT$93:DT115)&gt;COUNTA($DT$93:$DT$145),"",INDEX($DL$93:$DL$142,SMALL(IF($DT$93:$DT$145&lt;&gt;"",ROW($DT$93:$DT$145)-ROW($DT$93)+1),ROWS($DT$93:DT115)))),"")</f>
        <v/>
      </c>
      <c r="EE115" s="602" t="str">
        <f t="shared" si="70"/>
        <v/>
      </c>
      <c r="EF115" s="604" t="str">
        <f t="shared" si="71"/>
        <v/>
      </c>
      <c r="EG115" s="606" t="str">
        <f t="shared" si="72"/>
        <v/>
      </c>
      <c r="EH115" s="604" t="str">
        <f t="shared" si="73"/>
        <v/>
      </c>
      <c r="EI115" s="604" t="str">
        <f t="shared" si="74"/>
        <v/>
      </c>
      <c r="EL115" s="1033">
        <f t="shared" si="67"/>
        <v>0</v>
      </c>
      <c r="EM115" s="602">
        <f t="array" ref="EM115">--ISNUMBER(DY115)</f>
        <v>0</v>
      </c>
      <c r="EN115" s="602">
        <f t="shared" si="68"/>
        <v>1</v>
      </c>
      <c r="EO115" s="602">
        <f t="array" ref="EO115">IF(ISNUMBER(DY115),EL115,IF(ISBLANK(DY115),EL115,EL115+$EM$143))+$EN$143</f>
        <v>49</v>
      </c>
      <c r="EP115" t="str">
        <f t="shared" si="69"/>
        <v/>
      </c>
      <c r="EQ115" s="602" t="str">
        <f t="array" ref="EQ115">IFERROR(INDEX($DY$93:$DY$142,MATCH(SMALL($EO$93:$EO$142,ROWS($EQ$93:EQ115)+$EN$143),$EO$93:$EO$142,0)),"")</f>
        <v/>
      </c>
      <c r="EW115" s="602"/>
    </row>
    <row r="116" spans="64:153">
      <c r="BL116">
        <f t="shared" si="40"/>
        <v>24</v>
      </c>
      <c r="BM116" s="723" t="str">
        <f t="shared" si="41"/>
        <v/>
      </c>
      <c r="BN116" s="720" t="str">
        <f t="shared" si="42"/>
        <v/>
      </c>
      <c r="BO116" s="720" t="b">
        <f t="shared" si="56"/>
        <v>0</v>
      </c>
      <c r="BP116" s="724" t="str">
        <f t="shared" si="43"/>
        <v/>
      </c>
      <c r="BQ116" s="720" t="str">
        <f>IFERROR(VLOOKUP(BP116,Lookup!AM$6:AN$8,2,FALSE),"")</f>
        <v/>
      </c>
      <c r="BR116" s="720" t="str">
        <f t="shared" si="44"/>
        <v/>
      </c>
      <c r="BS116" s="725">
        <f>SUMIFS(Installations!CS$39:CS$800,Installations!CT$39:CT$800,BM116,Installations!HX$39:HX$800,TRUE,Installations!CR$39:CR$800,"Exist")</f>
        <v>0</v>
      </c>
      <c r="BT116" s="720" t="str">
        <f t="shared" si="57"/>
        <v/>
      </c>
      <c r="BU116" s="726"/>
      <c r="BX116" s="720" t="str">
        <f t="array" ref="BX116">IFERROR(IF(ROWS(BM$93:BM116)&gt;COUNTA($BM$93:$BM$192),"",INDEX($BL$93:$BL$192,SMALL(IF($BM$93:$BM$192&lt;&gt;"",ROW($BM$93:$BM$192)-ROW($BM$93)+1),ROWS($BM$93:BM116)))),"")</f>
        <v/>
      </c>
      <c r="BY116" s="602" t="str">
        <f t="shared" si="45"/>
        <v/>
      </c>
      <c r="BZ116" s="604" t="str">
        <f t="shared" si="46"/>
        <v/>
      </c>
      <c r="CA116" s="604" t="str">
        <f t="shared" si="47"/>
        <v/>
      </c>
      <c r="CD116" s="720" t="str">
        <f t="array" ref="CD116">IFERROR(IF(ROWS(BT$93:BT116)&gt;COUNTA($BT$93:$BT$192),"",INDEX($BL$93:$BL$192,SMALL(IF($BT$93:$BT$192&lt;&gt;"",ROW($BT$93:$BT$192)-ROW($BT$93)+1),ROWS($BT$93:BT116)))),"")</f>
        <v/>
      </c>
      <c r="CE116" s="602" t="str">
        <f t="shared" si="48"/>
        <v/>
      </c>
      <c r="CF116" s="604" t="str">
        <f t="shared" si="49"/>
        <v/>
      </c>
      <c r="CG116" s="604" t="str">
        <f t="shared" si="50"/>
        <v/>
      </c>
      <c r="CI116" s="604">
        <f t="shared" si="58"/>
        <v>0</v>
      </c>
      <c r="CJ116" s="604">
        <f t="shared" si="59"/>
        <v>0</v>
      </c>
      <c r="CK116" s="604">
        <f t="shared" si="60"/>
        <v>1</v>
      </c>
      <c r="CL116" s="604">
        <f t="array" ref="CL116">IF(ISNUMBER(BY116),CI116,IF(ISBLANK(BY116),CI116,CI116+$CJ$143))+$CK$143</f>
        <v>50</v>
      </c>
      <c r="CM116" t="str">
        <f t="shared" si="61"/>
        <v/>
      </c>
      <c r="CN116" s="602" t="str">
        <f t="array" ref="CN116">IFERROR(INDEX($BY$93:$BY$142,MATCH(SMALL($CL$93:$CL$142,ROWS($CM$93:CM116)+$CK$143),$CL$93:$CL$142,0)),"")</f>
        <v/>
      </c>
      <c r="DL116" s="602">
        <v>24</v>
      </c>
      <c r="DM116" s="723" t="str">
        <f t="shared" si="51"/>
        <v/>
      </c>
      <c r="DN116" s="720" t="str">
        <f t="shared" si="62"/>
        <v/>
      </c>
      <c r="DO116" s="720" t="str">
        <f t="shared" si="52"/>
        <v/>
      </c>
      <c r="DP116" s="727">
        <f t="shared" si="53"/>
        <v>0</v>
      </c>
      <c r="DQ116" s="719" t="str">
        <f t="shared" ca="1" si="54"/>
        <v/>
      </c>
      <c r="DR116" s="720">
        <f t="shared" si="75"/>
        <v>0</v>
      </c>
      <c r="DS116" s="720">
        <f>SUMIFS(Installations!CS$39:CS$800,Installations!CT$39:CT$800,DM116,Installations!HX$39:HX$800,TRUE,Installations!CR$39:CR$800,"New")</f>
        <v>0</v>
      </c>
      <c r="DT116" s="720" t="str">
        <f t="shared" si="63"/>
        <v/>
      </c>
      <c r="DU116" s="726"/>
      <c r="DX116" s="720" t="str">
        <f t="array" ref="DX116">IFERROR(IF(ROWS(DM$93:DM116)&gt;COUNTA($DM$93:$DM$145),"",INDEX($DL$93:$DL$142,SMALL(IF($DM$93:$DM$145&lt;&gt;"",ROW($DM$93:$DM$145)-ROW($DM$93)+1),ROWS($DM$93:DM116)))),"")</f>
        <v/>
      </c>
      <c r="DY116" s="602" t="str">
        <f t="shared" si="76"/>
        <v/>
      </c>
      <c r="DZ116" s="604" t="str">
        <f t="shared" si="77"/>
        <v/>
      </c>
      <c r="EA116" s="604" t="str">
        <f t="shared" si="78"/>
        <v/>
      </c>
      <c r="ED116" s="720" t="str">
        <f t="array" ref="ED116">IFERROR(IF(ROWS(DT$93:DT116)&gt;COUNTA($DT$93:$DT$145),"",INDEX($DL$93:$DL$142,SMALL(IF($DT$93:$DT$145&lt;&gt;"",ROW($DT$93:$DT$145)-ROW($DT$93)+1),ROWS($DT$93:DT116)))),"")</f>
        <v/>
      </c>
      <c r="EE116" s="602" t="str">
        <f t="shared" si="70"/>
        <v/>
      </c>
      <c r="EF116" s="604" t="str">
        <f t="shared" si="71"/>
        <v/>
      </c>
      <c r="EG116" s="606" t="str">
        <f t="shared" si="72"/>
        <v/>
      </c>
      <c r="EH116" s="604" t="str">
        <f t="shared" si="73"/>
        <v/>
      </c>
      <c r="EI116" s="604" t="str">
        <f t="shared" si="74"/>
        <v/>
      </c>
      <c r="EL116" s="1033">
        <f t="shared" si="67"/>
        <v>0</v>
      </c>
      <c r="EM116" s="602">
        <f t="array" ref="EM116">--ISNUMBER(DY116)</f>
        <v>0</v>
      </c>
      <c r="EN116" s="602">
        <f t="shared" si="68"/>
        <v>1</v>
      </c>
      <c r="EO116" s="602">
        <f t="array" ref="EO116">IF(ISNUMBER(DY116),EL116,IF(ISBLANK(DY116),EL116,EL116+$EM$143))+$EN$143</f>
        <v>49</v>
      </c>
      <c r="EP116" t="str">
        <f t="shared" si="69"/>
        <v/>
      </c>
      <c r="EQ116" s="602" t="str">
        <f t="array" ref="EQ116">IFERROR(INDEX($DY$93:$DY$142,MATCH(SMALL($EO$93:$EO$142,ROWS($EQ$93:EQ116)+$EN$143),$EO$93:$EO$142,0)),"")</f>
        <v/>
      </c>
    </row>
    <row r="117" spans="64:153">
      <c r="BL117">
        <f t="shared" si="40"/>
        <v>25</v>
      </c>
      <c r="BM117" s="723" t="str">
        <f t="shared" si="41"/>
        <v/>
      </c>
      <c r="BN117" s="720" t="str">
        <f t="shared" si="42"/>
        <v/>
      </c>
      <c r="BO117" s="720" t="b">
        <f t="shared" si="56"/>
        <v>0</v>
      </c>
      <c r="BP117" s="724" t="str">
        <f t="shared" si="43"/>
        <v/>
      </c>
      <c r="BQ117" s="720" t="str">
        <f>IFERROR(VLOOKUP(BP117,Lookup!AM$6:AN$8,2,FALSE),"")</f>
        <v/>
      </c>
      <c r="BR117" s="720" t="str">
        <f t="shared" si="44"/>
        <v/>
      </c>
      <c r="BS117" s="725">
        <f>SUMIFS(Installations!CS$39:CS$800,Installations!CT$39:CT$800,BM117,Installations!HX$39:HX$800,TRUE,Installations!CR$39:CR$800,"Exist")</f>
        <v>0</v>
      </c>
      <c r="BT117" s="720" t="str">
        <f t="shared" si="57"/>
        <v/>
      </c>
      <c r="BU117" s="726"/>
      <c r="BX117" s="720" t="str">
        <f t="array" ref="BX117">IFERROR(IF(ROWS(BM$93:BM117)&gt;COUNTA($BM$93:$BM$192),"",INDEX($BL$93:$BL$192,SMALL(IF($BM$93:$BM$192&lt;&gt;"",ROW($BM$93:$BM$192)-ROW($BM$93)+1),ROWS($BM$93:BM117)))),"")</f>
        <v/>
      </c>
      <c r="BY117" s="602" t="str">
        <f t="shared" si="45"/>
        <v/>
      </c>
      <c r="BZ117" s="604" t="str">
        <f t="shared" si="46"/>
        <v/>
      </c>
      <c r="CA117" s="604" t="str">
        <f t="shared" si="47"/>
        <v/>
      </c>
      <c r="CD117" s="720" t="str">
        <f t="array" ref="CD117">IFERROR(IF(ROWS(BT$93:BT117)&gt;COUNTA($BT$93:$BT$192),"",INDEX($BL$93:$BL$192,SMALL(IF($BT$93:$BT$192&lt;&gt;"",ROW($BT$93:$BT$192)-ROW($BT$93)+1),ROWS($BT$93:BT117)))),"")</f>
        <v/>
      </c>
      <c r="CE117" s="602" t="str">
        <f t="shared" si="48"/>
        <v/>
      </c>
      <c r="CF117" s="604" t="str">
        <f t="shared" si="49"/>
        <v/>
      </c>
      <c r="CG117" s="604" t="str">
        <f t="shared" si="50"/>
        <v/>
      </c>
      <c r="CI117" s="604">
        <f t="shared" si="58"/>
        <v>0</v>
      </c>
      <c r="CJ117" s="604">
        <f t="shared" si="59"/>
        <v>0</v>
      </c>
      <c r="CK117" s="604">
        <f t="shared" si="60"/>
        <v>1</v>
      </c>
      <c r="CL117" s="604">
        <f t="array" ref="CL117">IF(ISNUMBER(BY117),CI117,IF(ISBLANK(BY117),CI117,CI117+$CJ$143))+$CK$143</f>
        <v>50</v>
      </c>
      <c r="CM117" t="str">
        <f t="shared" si="61"/>
        <v/>
      </c>
      <c r="CN117" s="602" t="str">
        <f t="array" ref="CN117">IFERROR(INDEX($BY$93:$BY$142,MATCH(SMALL($CL$93:$CL$142,ROWS($CM$93:CM117)+$CK$143),$CL$93:$CL$142,0)),"")</f>
        <v/>
      </c>
      <c r="DL117" s="602">
        <v>25</v>
      </c>
      <c r="DM117" s="723" t="str">
        <f t="shared" si="51"/>
        <v/>
      </c>
      <c r="DN117" s="720" t="str">
        <f t="shared" si="62"/>
        <v/>
      </c>
      <c r="DO117" s="720" t="str">
        <f t="shared" si="52"/>
        <v/>
      </c>
      <c r="DP117" s="727">
        <f t="shared" si="53"/>
        <v>0</v>
      </c>
      <c r="DQ117" s="719" t="str">
        <f t="shared" ca="1" si="54"/>
        <v/>
      </c>
      <c r="DR117" s="720">
        <f t="shared" si="75"/>
        <v>0</v>
      </c>
      <c r="DS117" s="720">
        <f>SUMIFS(Installations!CS$39:CS$800,Installations!CT$39:CT$800,DM117,Installations!HX$39:HX$800,TRUE,Installations!CR$39:CR$800,"New")</f>
        <v>0</v>
      </c>
      <c r="DT117" s="720" t="str">
        <f t="shared" si="63"/>
        <v/>
      </c>
      <c r="DU117" s="726"/>
      <c r="DX117" s="720" t="str">
        <f t="array" ref="DX117">IFERROR(IF(ROWS(DM$93:DM117)&gt;COUNTA($DM$93:$DM$145),"",INDEX($DL$93:$DL$142,SMALL(IF($DM$93:$DM$145&lt;&gt;"",ROW($DM$93:$DM$145)-ROW($DM$93)+1),ROWS($DM$93:DM117)))),"")</f>
        <v/>
      </c>
      <c r="DY117" s="602" t="str">
        <f t="shared" si="76"/>
        <v/>
      </c>
      <c r="DZ117" s="604" t="str">
        <f t="shared" si="77"/>
        <v/>
      </c>
      <c r="EA117" s="604" t="str">
        <f t="shared" si="78"/>
        <v/>
      </c>
      <c r="ED117" s="720" t="str">
        <f t="array" ref="ED117">IFERROR(IF(ROWS(DT$93:DT117)&gt;COUNTA($DT$93:$DT$145),"",INDEX($DL$93:$DL$142,SMALL(IF($DT$93:$DT$145&lt;&gt;"",ROW($DT$93:$DT$145)-ROW($DT$93)+1),ROWS($DT$93:DT117)))),"")</f>
        <v/>
      </c>
      <c r="EE117" s="602" t="str">
        <f t="shared" si="70"/>
        <v/>
      </c>
      <c r="EF117" s="604" t="str">
        <f t="shared" si="71"/>
        <v/>
      </c>
      <c r="EG117" s="606" t="str">
        <f t="shared" si="72"/>
        <v/>
      </c>
      <c r="EH117" s="604" t="str">
        <f t="shared" si="73"/>
        <v/>
      </c>
      <c r="EI117" s="604" t="str">
        <f t="shared" si="74"/>
        <v/>
      </c>
      <c r="EL117" s="1033">
        <f t="shared" si="67"/>
        <v>0</v>
      </c>
      <c r="EM117" s="602">
        <f t="array" ref="EM117">--ISNUMBER(DY117)</f>
        <v>0</v>
      </c>
      <c r="EN117" s="602">
        <f t="shared" si="68"/>
        <v>1</v>
      </c>
      <c r="EO117" s="602">
        <f t="array" ref="EO117">IF(ISNUMBER(DY117),EL117,IF(ISBLANK(DY117),EL117,EL117+$EM$143))+$EN$143</f>
        <v>49</v>
      </c>
      <c r="EP117" t="str">
        <f t="shared" si="69"/>
        <v/>
      </c>
      <c r="EQ117" s="602" t="str">
        <f t="array" ref="EQ117">IFERROR(INDEX($DY$93:$DY$142,MATCH(SMALL($EO$93:$EO$142,ROWS($EQ$93:EQ117)+$EN$143),$EO$93:$EO$142,0)),"")</f>
        <v/>
      </c>
    </row>
    <row r="118" spans="64:153">
      <c r="BL118">
        <f t="shared" si="40"/>
        <v>26</v>
      </c>
      <c r="BM118" s="723" t="str">
        <f t="shared" si="41"/>
        <v/>
      </c>
      <c r="BN118" s="720" t="str">
        <f t="shared" si="42"/>
        <v/>
      </c>
      <c r="BO118" s="720" t="b">
        <f t="shared" si="56"/>
        <v>0</v>
      </c>
      <c r="BP118" s="724" t="str">
        <f t="shared" si="43"/>
        <v/>
      </c>
      <c r="BQ118" s="720" t="str">
        <f>IFERROR(VLOOKUP(BP118,Lookup!AM$6:AN$8,2,FALSE),"")</f>
        <v/>
      </c>
      <c r="BR118" s="720" t="str">
        <f t="shared" si="44"/>
        <v/>
      </c>
      <c r="BS118" s="725">
        <f>SUMIFS(Installations!CS$39:CS$800,Installations!CT$39:CT$800,BM118,Installations!HX$39:HX$800,TRUE,Installations!CR$39:CR$800,"Exist")</f>
        <v>0</v>
      </c>
      <c r="BT118" s="720" t="str">
        <f t="shared" si="57"/>
        <v/>
      </c>
      <c r="BU118" s="726"/>
      <c r="BX118" s="720" t="str">
        <f t="array" ref="BX118">IFERROR(IF(ROWS(BM$93:BM118)&gt;COUNTA($BM$93:$BM$192),"",INDEX($BL$93:$BL$192,SMALL(IF($BM$93:$BM$192&lt;&gt;"",ROW($BM$93:$BM$192)-ROW($BM$93)+1),ROWS($BM$93:BM118)))),"")</f>
        <v/>
      </c>
      <c r="BY118" s="602" t="str">
        <f t="shared" si="45"/>
        <v/>
      </c>
      <c r="BZ118" s="604" t="str">
        <f t="shared" si="46"/>
        <v/>
      </c>
      <c r="CA118" s="604" t="str">
        <f t="shared" si="47"/>
        <v/>
      </c>
      <c r="CD118" s="720" t="str">
        <f t="array" ref="CD118">IFERROR(IF(ROWS(BT$93:BT118)&gt;COUNTA($BT$93:$BT$192),"",INDEX($BL$93:$BL$192,SMALL(IF($BT$93:$BT$192&lt;&gt;"",ROW($BT$93:$BT$192)-ROW($BT$93)+1),ROWS($BT$93:BT118)))),"")</f>
        <v/>
      </c>
      <c r="CE118" s="602" t="str">
        <f t="shared" si="48"/>
        <v/>
      </c>
      <c r="CF118" s="604" t="str">
        <f t="shared" si="49"/>
        <v/>
      </c>
      <c r="CG118" s="604" t="str">
        <f t="shared" si="50"/>
        <v/>
      </c>
      <c r="CI118" s="604">
        <f t="shared" si="58"/>
        <v>0</v>
      </c>
      <c r="CJ118" s="604">
        <f t="shared" si="59"/>
        <v>0</v>
      </c>
      <c r="CK118" s="604">
        <f t="shared" si="60"/>
        <v>1</v>
      </c>
      <c r="CL118" s="604">
        <f t="array" ref="CL118">IF(ISNUMBER(BY118),CI118,IF(ISBLANK(BY118),CI118,CI118+$CJ$143))+$CK$143</f>
        <v>50</v>
      </c>
      <c r="CM118" t="str">
        <f t="shared" si="61"/>
        <v/>
      </c>
      <c r="CN118" s="602" t="str">
        <f t="array" ref="CN118">IFERROR(INDEX($BY$93:$BY$142,MATCH(SMALL($CL$93:$CL$142,ROWS($CM$93:CM118)+$CK$143),$CL$93:$CL$142,0)),"")</f>
        <v/>
      </c>
      <c r="DL118" s="602">
        <v>26</v>
      </c>
      <c r="DM118" s="723" t="str">
        <f t="shared" si="51"/>
        <v/>
      </c>
      <c r="DN118" s="720" t="str">
        <f t="shared" si="62"/>
        <v/>
      </c>
      <c r="DO118" s="720" t="str">
        <f t="shared" si="52"/>
        <v/>
      </c>
      <c r="DP118" s="727">
        <f t="shared" si="53"/>
        <v>0</v>
      </c>
      <c r="DQ118" s="719" t="str">
        <f t="shared" ca="1" si="54"/>
        <v/>
      </c>
      <c r="DR118" s="720">
        <f t="shared" si="75"/>
        <v>0</v>
      </c>
      <c r="DS118" s="720">
        <f>SUMIFS(Installations!CS$39:CS$800,Installations!CT$39:CT$800,DM118,Installations!HX$39:HX$800,TRUE,Installations!CR$39:CR$800,"New")</f>
        <v>0</v>
      </c>
      <c r="DT118" s="720" t="str">
        <f t="shared" si="63"/>
        <v/>
      </c>
      <c r="DU118" s="726"/>
      <c r="DX118" s="720" t="str">
        <f t="array" ref="DX118">IFERROR(IF(ROWS(DM$93:DM118)&gt;COUNTA($DM$93:$DM$145),"",INDEX($DL$93:$DL$142,SMALL(IF($DM$93:$DM$145&lt;&gt;"",ROW($DM$93:$DM$145)-ROW($DM$93)+1),ROWS($DM$93:DM118)))),"")</f>
        <v/>
      </c>
      <c r="DY118" s="602" t="str">
        <f t="shared" si="76"/>
        <v/>
      </c>
      <c r="DZ118" s="604" t="str">
        <f t="shared" si="77"/>
        <v/>
      </c>
      <c r="EA118" s="604" t="str">
        <f t="shared" si="78"/>
        <v/>
      </c>
      <c r="ED118" s="720" t="str">
        <f t="array" ref="ED118">IFERROR(IF(ROWS(DT$93:DT118)&gt;COUNTA($DT$93:$DT$145),"",INDEX($DL$93:$DL$142,SMALL(IF($DT$93:$DT$145&lt;&gt;"",ROW($DT$93:$DT$145)-ROW($DT$93)+1),ROWS($DT$93:DT118)))),"")</f>
        <v/>
      </c>
      <c r="EE118" s="602" t="str">
        <f t="shared" si="70"/>
        <v/>
      </c>
      <c r="EF118" s="604" t="str">
        <f t="shared" si="71"/>
        <v/>
      </c>
      <c r="EG118" s="606" t="str">
        <f t="shared" si="72"/>
        <v/>
      </c>
      <c r="EH118" s="604" t="str">
        <f t="shared" si="73"/>
        <v/>
      </c>
      <c r="EI118" s="604" t="str">
        <f t="shared" si="74"/>
        <v/>
      </c>
      <c r="EL118" s="1033">
        <f t="shared" si="67"/>
        <v>0</v>
      </c>
      <c r="EM118" s="602">
        <f t="array" ref="EM118">--ISNUMBER(DY118)</f>
        <v>0</v>
      </c>
      <c r="EN118" s="602">
        <f t="shared" si="68"/>
        <v>1</v>
      </c>
      <c r="EO118" s="602">
        <f t="array" ref="EO118">IF(ISNUMBER(DY118),EL118,IF(ISBLANK(DY118),EL118,EL118+$EM$143))+$EN$143</f>
        <v>49</v>
      </c>
      <c r="EP118" t="str">
        <f t="shared" si="69"/>
        <v/>
      </c>
      <c r="EQ118" s="602" t="str">
        <f t="array" ref="EQ118">IFERROR(INDEX($DY$93:$DY$142,MATCH(SMALL($EO$93:$EO$142,ROWS($EQ$93:EQ118)+$EN$143),$EO$93:$EO$142,0)),"")</f>
        <v/>
      </c>
    </row>
    <row r="119" spans="64:153">
      <c r="BL119">
        <f t="shared" si="40"/>
        <v>27</v>
      </c>
      <c r="BM119" s="723" t="str">
        <f t="shared" si="41"/>
        <v/>
      </c>
      <c r="BN119" s="720" t="str">
        <f t="shared" si="42"/>
        <v/>
      </c>
      <c r="BO119" s="720" t="b">
        <f t="shared" si="56"/>
        <v>0</v>
      </c>
      <c r="BP119" s="724" t="str">
        <f t="shared" si="43"/>
        <v/>
      </c>
      <c r="BQ119" s="720" t="str">
        <f>IFERROR(VLOOKUP(BP119,Lookup!AM$6:AN$8,2,FALSE),"")</f>
        <v/>
      </c>
      <c r="BR119" s="720" t="str">
        <f t="shared" si="44"/>
        <v/>
      </c>
      <c r="BS119" s="725">
        <f>SUMIFS(Installations!CS$39:CS$800,Installations!CT$39:CT$800,BM119,Installations!HX$39:HX$800,TRUE,Installations!CR$39:CR$800,"Exist")</f>
        <v>0</v>
      </c>
      <c r="BT119" s="720" t="str">
        <f t="shared" si="57"/>
        <v/>
      </c>
      <c r="BU119" s="726"/>
      <c r="BX119" s="720" t="str">
        <f t="array" ref="BX119">IFERROR(IF(ROWS(BM$93:BM119)&gt;COUNTA($BM$93:$BM$192),"",INDEX($BL$93:$BL$192,SMALL(IF($BM$93:$BM$192&lt;&gt;"",ROW($BM$93:$BM$192)-ROW($BM$93)+1),ROWS($BM$93:BM119)))),"")</f>
        <v/>
      </c>
      <c r="BY119" s="602" t="str">
        <f t="shared" si="45"/>
        <v/>
      </c>
      <c r="BZ119" s="604" t="str">
        <f t="shared" si="46"/>
        <v/>
      </c>
      <c r="CA119" s="604" t="str">
        <f t="shared" si="47"/>
        <v/>
      </c>
      <c r="CD119" s="720" t="str">
        <f t="array" ref="CD119">IFERROR(IF(ROWS(BT$93:BT119)&gt;COUNTA($BT$93:$BT$192),"",INDEX($BL$93:$BL$192,SMALL(IF($BT$93:$BT$192&lt;&gt;"",ROW($BT$93:$BT$192)-ROW($BT$93)+1),ROWS($BT$93:BT119)))),"")</f>
        <v/>
      </c>
      <c r="CE119" s="602" t="str">
        <f t="shared" si="48"/>
        <v/>
      </c>
      <c r="CF119" s="604" t="str">
        <f t="shared" si="49"/>
        <v/>
      </c>
      <c r="CG119" s="604" t="str">
        <f t="shared" si="50"/>
        <v/>
      </c>
      <c r="CI119" s="604">
        <f t="shared" si="58"/>
        <v>0</v>
      </c>
      <c r="CJ119" s="604">
        <f t="shared" si="59"/>
        <v>0</v>
      </c>
      <c r="CK119" s="604">
        <f t="shared" si="60"/>
        <v>1</v>
      </c>
      <c r="CL119" s="604">
        <f t="array" ref="CL119">IF(ISNUMBER(BY119),CI119,IF(ISBLANK(BY119),CI119,CI119+$CJ$143))+$CK$143</f>
        <v>50</v>
      </c>
      <c r="CM119" t="str">
        <f t="shared" si="61"/>
        <v/>
      </c>
      <c r="CN119" s="602" t="str">
        <f t="array" ref="CN119">IFERROR(INDEX($BY$93:$BY$142,MATCH(SMALL($CL$93:$CL$142,ROWS($CM$93:CM119)+$CK$143),$CL$93:$CL$142,0)),"")</f>
        <v/>
      </c>
      <c r="DL119" s="602">
        <v>27</v>
      </c>
      <c r="DM119" s="723" t="str">
        <f t="shared" si="51"/>
        <v/>
      </c>
      <c r="DN119" s="720" t="str">
        <f t="shared" si="62"/>
        <v/>
      </c>
      <c r="DO119" s="720" t="str">
        <f t="shared" si="52"/>
        <v/>
      </c>
      <c r="DP119" s="727">
        <f t="shared" si="53"/>
        <v>0</v>
      </c>
      <c r="DQ119" s="719" t="str">
        <f t="shared" ca="1" si="54"/>
        <v/>
      </c>
      <c r="DR119" s="720">
        <f t="shared" si="75"/>
        <v>0</v>
      </c>
      <c r="DS119" s="720">
        <f>SUMIFS(Installations!CS$39:CS$800,Installations!CT$39:CT$800,DM119,Installations!HX$39:HX$800,TRUE,Installations!CR$39:CR$800,"New")</f>
        <v>0</v>
      </c>
      <c r="DT119" s="720" t="str">
        <f t="shared" si="63"/>
        <v/>
      </c>
      <c r="DU119" s="726"/>
      <c r="DX119" s="720" t="str">
        <f t="array" ref="DX119">IFERROR(IF(ROWS(DM$93:DM119)&gt;COUNTA($DM$93:$DM$145),"",INDEX($DL$93:$DL$142,SMALL(IF($DM$93:$DM$145&lt;&gt;"",ROW($DM$93:$DM$145)-ROW($DM$93)+1),ROWS($DM$93:DM119)))),"")</f>
        <v/>
      </c>
      <c r="DY119" s="602" t="str">
        <f t="shared" si="76"/>
        <v/>
      </c>
      <c r="DZ119" s="604" t="str">
        <f t="shared" si="77"/>
        <v/>
      </c>
      <c r="EA119" s="604" t="str">
        <f t="shared" si="78"/>
        <v/>
      </c>
      <c r="ED119" s="720" t="str">
        <f t="array" ref="ED119">IFERROR(IF(ROWS(DT$93:DT119)&gt;COUNTA($DT$93:$DT$145),"",INDEX($DL$93:$DL$142,SMALL(IF($DT$93:$DT$145&lt;&gt;"",ROW($DT$93:$DT$145)-ROW($DT$93)+1),ROWS($DT$93:DT119)))),"")</f>
        <v/>
      </c>
      <c r="EE119" s="602" t="str">
        <f t="shared" si="70"/>
        <v/>
      </c>
      <c r="EF119" s="604" t="str">
        <f t="shared" si="71"/>
        <v/>
      </c>
      <c r="EG119" s="606" t="str">
        <f t="shared" si="72"/>
        <v/>
      </c>
      <c r="EH119" s="604" t="str">
        <f t="shared" si="73"/>
        <v/>
      </c>
      <c r="EI119" s="604" t="str">
        <f t="shared" si="74"/>
        <v/>
      </c>
      <c r="EL119" s="1033">
        <f t="shared" si="67"/>
        <v>0</v>
      </c>
      <c r="EM119" s="602">
        <f t="array" ref="EM119">--ISNUMBER(DY119)</f>
        <v>0</v>
      </c>
      <c r="EN119" s="602">
        <f t="shared" si="68"/>
        <v>1</v>
      </c>
      <c r="EO119" s="602">
        <f t="array" ref="EO119">IF(ISNUMBER(DY119),EL119,IF(ISBLANK(DY119),EL119,EL119+$EM$143))+$EN$143</f>
        <v>49</v>
      </c>
      <c r="EP119" t="str">
        <f t="shared" si="69"/>
        <v/>
      </c>
      <c r="EQ119" s="602" t="str">
        <f t="array" ref="EQ119">IFERROR(INDEX($DY$93:$DY$142,MATCH(SMALL($EO$93:$EO$142,ROWS($EQ$93:EQ119)+$EN$143),$EO$93:$EO$142,0)),"")</f>
        <v/>
      </c>
    </row>
    <row r="120" spans="64:153">
      <c r="BL120">
        <f t="shared" si="40"/>
        <v>28</v>
      </c>
      <c r="BM120" s="723" t="str">
        <f t="shared" si="41"/>
        <v/>
      </c>
      <c r="BN120" s="720" t="str">
        <f t="shared" si="42"/>
        <v/>
      </c>
      <c r="BO120" s="720" t="b">
        <f t="shared" si="56"/>
        <v>0</v>
      </c>
      <c r="BP120" s="724" t="str">
        <f t="shared" si="43"/>
        <v/>
      </c>
      <c r="BQ120" s="720" t="str">
        <f>IFERROR(VLOOKUP(BP120,Lookup!AM$6:AN$8,2,FALSE),"")</f>
        <v/>
      </c>
      <c r="BR120" s="720" t="str">
        <f t="shared" si="44"/>
        <v/>
      </c>
      <c r="BS120" s="725">
        <f>SUMIFS(Installations!CS$39:CS$800,Installations!CT$39:CT$800,BM120,Installations!HX$39:HX$800,TRUE,Installations!CR$39:CR$800,"Exist")</f>
        <v>0</v>
      </c>
      <c r="BT120" s="720" t="str">
        <f t="shared" si="57"/>
        <v/>
      </c>
      <c r="BU120" s="726"/>
      <c r="BX120" s="720" t="str">
        <f t="array" ref="BX120">IFERROR(IF(ROWS(BM$93:BM120)&gt;COUNTA($BM$93:$BM$192),"",INDEX($BL$93:$BL$192,SMALL(IF($BM$93:$BM$192&lt;&gt;"",ROW($BM$93:$BM$192)-ROW($BM$93)+1),ROWS($BM$93:BM120)))),"")</f>
        <v/>
      </c>
      <c r="BY120" s="602" t="str">
        <f t="shared" si="45"/>
        <v/>
      </c>
      <c r="BZ120" s="604" t="str">
        <f t="shared" si="46"/>
        <v/>
      </c>
      <c r="CA120" s="604" t="str">
        <f t="shared" si="47"/>
        <v/>
      </c>
      <c r="CD120" s="720" t="str">
        <f t="array" ref="CD120">IFERROR(IF(ROWS(BT$93:BT120)&gt;COUNTA($BT$93:$BT$192),"",INDEX($BL$93:$BL$192,SMALL(IF($BT$93:$BT$192&lt;&gt;"",ROW($BT$93:$BT$192)-ROW($BT$93)+1),ROWS($BT$93:BT120)))),"")</f>
        <v/>
      </c>
      <c r="CE120" s="602" t="str">
        <f t="shared" si="48"/>
        <v/>
      </c>
      <c r="CF120" s="604" t="str">
        <f t="shared" si="49"/>
        <v/>
      </c>
      <c r="CG120" s="604" t="str">
        <f t="shared" si="50"/>
        <v/>
      </c>
      <c r="CI120" s="604">
        <f t="shared" si="58"/>
        <v>0</v>
      </c>
      <c r="CJ120" s="604">
        <f t="shared" si="59"/>
        <v>0</v>
      </c>
      <c r="CK120" s="604">
        <f t="shared" si="60"/>
        <v>1</v>
      </c>
      <c r="CL120" s="604">
        <f t="array" ref="CL120">IF(ISNUMBER(BY120),CI120,IF(ISBLANK(BY120),CI120,CI120+$CJ$143))+$CK$143</f>
        <v>50</v>
      </c>
      <c r="CM120" t="str">
        <f t="shared" si="61"/>
        <v/>
      </c>
      <c r="CN120" s="602" t="str">
        <f t="array" ref="CN120">IFERROR(INDEX($BY$93:$BY$142,MATCH(SMALL($CL$93:$CL$142,ROWS($CM$93:CM120)+$CK$143),$CL$93:$CL$142,0)),"")</f>
        <v/>
      </c>
      <c r="DL120" s="602">
        <v>28</v>
      </c>
      <c r="DM120" s="723" t="str">
        <f t="shared" si="51"/>
        <v/>
      </c>
      <c r="DN120" s="720" t="str">
        <f t="shared" si="62"/>
        <v/>
      </c>
      <c r="DO120" s="720" t="str">
        <f t="shared" si="52"/>
        <v/>
      </c>
      <c r="DP120" s="727">
        <f t="shared" si="53"/>
        <v>0</v>
      </c>
      <c r="DQ120" s="719" t="str">
        <f t="shared" ca="1" si="54"/>
        <v/>
      </c>
      <c r="DR120" s="720">
        <f t="shared" si="75"/>
        <v>0</v>
      </c>
      <c r="DS120" s="720">
        <f>SUMIFS(Installations!CS$39:CS$800,Installations!CT$39:CT$800,DM120,Installations!HX$39:HX$800,TRUE,Installations!CR$39:CR$800,"New")</f>
        <v>0</v>
      </c>
      <c r="DT120" s="720" t="str">
        <f t="shared" si="63"/>
        <v/>
      </c>
      <c r="DU120" s="726"/>
      <c r="DX120" s="720" t="str">
        <f t="array" ref="DX120">IFERROR(IF(ROWS(DM$93:DM120)&gt;COUNTA($DM$93:$DM$145),"",INDEX($DL$93:$DL$142,SMALL(IF($DM$93:$DM$145&lt;&gt;"",ROW($DM$93:$DM$145)-ROW($DM$93)+1),ROWS($DM$93:DM120)))),"")</f>
        <v/>
      </c>
      <c r="DY120" s="602" t="str">
        <f t="shared" si="76"/>
        <v/>
      </c>
      <c r="DZ120" s="604" t="str">
        <f t="shared" si="77"/>
        <v/>
      </c>
      <c r="EA120" s="604" t="str">
        <f t="shared" si="78"/>
        <v/>
      </c>
      <c r="ED120" s="720" t="str">
        <f t="array" ref="ED120">IFERROR(IF(ROWS(DT$93:DT120)&gt;COUNTA($DT$93:$DT$145),"",INDEX($DL$93:$DL$142,SMALL(IF($DT$93:$DT$145&lt;&gt;"",ROW($DT$93:$DT$145)-ROW($DT$93)+1),ROWS($DT$93:DT120)))),"")</f>
        <v/>
      </c>
      <c r="EE120" s="602" t="str">
        <f t="shared" si="70"/>
        <v/>
      </c>
      <c r="EF120" s="604" t="str">
        <f t="shared" si="71"/>
        <v/>
      </c>
      <c r="EG120" s="606" t="str">
        <f t="shared" si="72"/>
        <v/>
      </c>
      <c r="EH120" s="604" t="str">
        <f t="shared" si="73"/>
        <v/>
      </c>
      <c r="EI120" s="604" t="str">
        <f t="shared" si="74"/>
        <v/>
      </c>
      <c r="EL120" s="1033">
        <f t="shared" si="67"/>
        <v>0</v>
      </c>
      <c r="EM120" s="602">
        <f t="array" ref="EM120">--ISNUMBER(DY120)</f>
        <v>0</v>
      </c>
      <c r="EN120" s="602">
        <f t="shared" si="68"/>
        <v>1</v>
      </c>
      <c r="EO120" s="602">
        <f t="array" ref="EO120">IF(ISNUMBER(DY120),EL120,IF(ISBLANK(DY120),EL120,EL120+$EM$143))+$EN$143</f>
        <v>49</v>
      </c>
      <c r="EP120" t="str">
        <f t="shared" si="69"/>
        <v/>
      </c>
      <c r="EQ120" s="602" t="str">
        <f t="array" ref="EQ120">IFERROR(INDEX($DY$93:$DY$142,MATCH(SMALL($EO$93:$EO$142,ROWS($EQ$93:EQ120)+$EN$143),$EO$93:$EO$142,0)),"")</f>
        <v/>
      </c>
    </row>
    <row r="121" spans="64:153">
      <c r="BL121">
        <f t="shared" si="40"/>
        <v>29</v>
      </c>
      <c r="BM121" s="723" t="str">
        <f t="shared" si="41"/>
        <v/>
      </c>
      <c r="BN121" s="720" t="str">
        <f t="shared" si="42"/>
        <v/>
      </c>
      <c r="BO121" s="720" t="b">
        <f t="shared" si="56"/>
        <v>0</v>
      </c>
      <c r="BP121" s="724" t="str">
        <f t="shared" si="43"/>
        <v/>
      </c>
      <c r="BQ121" s="720" t="str">
        <f>IFERROR(VLOOKUP(BP121,Lookup!AM$6:AN$8,2,FALSE),"")</f>
        <v/>
      </c>
      <c r="BR121" s="720" t="str">
        <f t="shared" si="44"/>
        <v/>
      </c>
      <c r="BS121" s="725">
        <f>SUMIFS(Installations!CS$39:CS$800,Installations!CT$39:CT$800,BM121,Installations!HX$39:HX$800,TRUE,Installations!CR$39:CR$800,"Exist")</f>
        <v>0</v>
      </c>
      <c r="BT121" s="720" t="str">
        <f t="shared" si="57"/>
        <v/>
      </c>
      <c r="BU121" s="726"/>
      <c r="BX121" s="720" t="str">
        <f t="array" ref="BX121">IFERROR(IF(ROWS(BM$93:BM121)&gt;COUNTA($BM$93:$BM$192),"",INDEX($BL$93:$BL$192,SMALL(IF($BM$93:$BM$192&lt;&gt;"",ROW($BM$93:$BM$192)-ROW($BM$93)+1),ROWS($BM$93:BM121)))),"")</f>
        <v/>
      </c>
      <c r="BY121" s="602" t="str">
        <f t="shared" si="45"/>
        <v/>
      </c>
      <c r="BZ121" s="604" t="str">
        <f t="shared" si="46"/>
        <v/>
      </c>
      <c r="CA121" s="604" t="str">
        <f t="shared" si="47"/>
        <v/>
      </c>
      <c r="CD121" s="720" t="str">
        <f t="array" ref="CD121">IFERROR(IF(ROWS(BT$93:BT121)&gt;COUNTA($BT$93:$BT$192),"",INDEX($BL$93:$BL$192,SMALL(IF($BT$93:$BT$192&lt;&gt;"",ROW($BT$93:$BT$192)-ROW($BT$93)+1),ROWS($BT$93:BT121)))),"")</f>
        <v/>
      </c>
      <c r="CE121" s="602" t="str">
        <f t="shared" si="48"/>
        <v/>
      </c>
      <c r="CF121" s="604" t="str">
        <f t="shared" si="49"/>
        <v/>
      </c>
      <c r="CG121" s="604" t="str">
        <f t="shared" si="50"/>
        <v/>
      </c>
      <c r="CI121" s="604">
        <f t="shared" si="58"/>
        <v>0</v>
      </c>
      <c r="CJ121" s="604">
        <f t="shared" si="59"/>
        <v>0</v>
      </c>
      <c r="CK121" s="604">
        <f t="shared" si="60"/>
        <v>1</v>
      </c>
      <c r="CL121" s="604">
        <f t="array" ref="CL121">IF(ISNUMBER(BY121),CI121,IF(ISBLANK(BY121),CI121,CI121+$CJ$143))+$CK$143</f>
        <v>50</v>
      </c>
      <c r="CM121" t="str">
        <f t="shared" si="61"/>
        <v/>
      </c>
      <c r="CN121" s="602" t="str">
        <f t="array" ref="CN121">IFERROR(INDEX($BY$93:$BY$142,MATCH(SMALL($CL$93:$CL$142,ROWS($CM$93:CM121)+$CK$143),$CL$93:$CL$142,0)),"")</f>
        <v/>
      </c>
      <c r="DL121" s="602">
        <v>29</v>
      </c>
      <c r="DM121" s="723" t="str">
        <f t="shared" si="51"/>
        <v/>
      </c>
      <c r="DN121" s="720" t="str">
        <f t="shared" si="62"/>
        <v/>
      </c>
      <c r="DO121" s="720" t="str">
        <f t="shared" si="52"/>
        <v/>
      </c>
      <c r="DP121" s="727">
        <f t="shared" si="53"/>
        <v>0</v>
      </c>
      <c r="DQ121" s="719" t="str">
        <f t="shared" ca="1" si="54"/>
        <v/>
      </c>
      <c r="DR121" s="720">
        <f t="shared" si="75"/>
        <v>0</v>
      </c>
      <c r="DS121" s="720">
        <f>SUMIFS(Installations!CS$39:CS$800,Installations!CT$39:CT$800,DM121,Installations!HX$39:HX$800,TRUE,Installations!CR$39:CR$800,"New")</f>
        <v>0</v>
      </c>
      <c r="DT121" s="720" t="str">
        <f t="shared" si="63"/>
        <v/>
      </c>
      <c r="DU121" s="726"/>
      <c r="DX121" s="720" t="str">
        <f t="array" ref="DX121">IFERROR(IF(ROWS(DM$93:DM121)&gt;COUNTA($DM$93:$DM$145),"",INDEX($DL$93:$DL$142,SMALL(IF($DM$93:$DM$145&lt;&gt;"",ROW($DM$93:$DM$145)-ROW($DM$93)+1),ROWS($DM$93:DM121)))),"")</f>
        <v/>
      </c>
      <c r="DY121" s="602" t="str">
        <f t="shared" si="76"/>
        <v/>
      </c>
      <c r="DZ121" s="604" t="str">
        <f t="shared" si="77"/>
        <v/>
      </c>
      <c r="EA121" s="604" t="str">
        <f t="shared" si="78"/>
        <v/>
      </c>
      <c r="ED121" s="720" t="str">
        <f t="array" ref="ED121">IFERROR(IF(ROWS(DT$93:DT121)&gt;COUNTA($DT$93:$DT$145),"",INDEX($DL$93:$DL$142,SMALL(IF($DT$93:$DT$145&lt;&gt;"",ROW($DT$93:$DT$145)-ROW($DT$93)+1),ROWS($DT$93:DT121)))),"")</f>
        <v/>
      </c>
      <c r="EE121" s="602" t="str">
        <f t="shared" si="70"/>
        <v/>
      </c>
      <c r="EF121" s="604" t="str">
        <f t="shared" si="71"/>
        <v/>
      </c>
      <c r="EG121" s="606" t="str">
        <f t="shared" si="72"/>
        <v/>
      </c>
      <c r="EH121" s="604" t="str">
        <f t="shared" si="73"/>
        <v/>
      </c>
      <c r="EI121" s="604" t="str">
        <f t="shared" si="74"/>
        <v/>
      </c>
      <c r="EL121" s="1033">
        <f t="shared" si="67"/>
        <v>0</v>
      </c>
      <c r="EM121" s="602">
        <f t="array" ref="EM121">--ISNUMBER(DY121)</f>
        <v>0</v>
      </c>
      <c r="EN121" s="602">
        <f t="shared" si="68"/>
        <v>1</v>
      </c>
      <c r="EO121" s="602">
        <f t="array" ref="EO121">IF(ISNUMBER(DY121),EL121,IF(ISBLANK(DY121),EL121,EL121+$EM$143))+$EN$143</f>
        <v>49</v>
      </c>
      <c r="EP121" t="str">
        <f t="shared" si="69"/>
        <v/>
      </c>
      <c r="EQ121" s="602" t="str">
        <f t="array" ref="EQ121">IFERROR(INDEX($DY$93:$DY$142,MATCH(SMALL($EO$93:$EO$142,ROWS($EQ$93:EQ121)+$EN$143),$EO$93:$EO$142,0)),"")</f>
        <v/>
      </c>
    </row>
    <row r="122" spans="64:153">
      <c r="BL122">
        <f t="shared" si="40"/>
        <v>30</v>
      </c>
      <c r="BM122" s="723" t="str">
        <f t="shared" si="41"/>
        <v/>
      </c>
      <c r="BN122" s="720" t="str">
        <f t="shared" si="42"/>
        <v/>
      </c>
      <c r="BO122" s="720" t="b">
        <f t="shared" si="56"/>
        <v>0</v>
      </c>
      <c r="BP122" s="724" t="str">
        <f t="shared" si="43"/>
        <v/>
      </c>
      <c r="BQ122" s="720" t="str">
        <f>IFERROR(VLOOKUP(BP122,Lookup!AM$6:AN$8,2,FALSE),"")</f>
        <v/>
      </c>
      <c r="BR122" s="720" t="str">
        <f t="shared" si="44"/>
        <v/>
      </c>
      <c r="BS122" s="725">
        <f>SUMIFS(Installations!CS$39:CS$800,Installations!CT$39:CT$800,BM122,Installations!HX$39:HX$800,TRUE,Installations!CR$39:CR$800,"Exist")</f>
        <v>0</v>
      </c>
      <c r="BT122" s="720" t="str">
        <f t="shared" si="57"/>
        <v/>
      </c>
      <c r="BU122" s="726"/>
      <c r="BX122" s="720" t="str">
        <f t="array" ref="BX122">IFERROR(IF(ROWS(BM$93:BM122)&gt;COUNTA($BM$93:$BM$192),"",INDEX($BL$93:$BL$192,SMALL(IF($BM$93:$BM$192&lt;&gt;"",ROW($BM$93:$BM$192)-ROW($BM$93)+1),ROWS($BM$93:BM122)))),"")</f>
        <v/>
      </c>
      <c r="BY122" s="602" t="str">
        <f t="shared" si="45"/>
        <v/>
      </c>
      <c r="BZ122" s="604" t="str">
        <f t="shared" si="46"/>
        <v/>
      </c>
      <c r="CA122" s="604" t="str">
        <f t="shared" si="47"/>
        <v/>
      </c>
      <c r="CD122" s="720" t="str">
        <f t="array" ref="CD122">IFERROR(IF(ROWS(BT$93:BT122)&gt;COUNTA($BT$93:$BT$192),"",INDEX($BL$93:$BL$192,SMALL(IF($BT$93:$BT$192&lt;&gt;"",ROW($BT$93:$BT$192)-ROW($BT$93)+1),ROWS($BT$93:BT122)))),"")</f>
        <v/>
      </c>
      <c r="CE122" s="602" t="str">
        <f t="shared" si="48"/>
        <v/>
      </c>
      <c r="CF122" s="604" t="str">
        <f t="shared" si="49"/>
        <v/>
      </c>
      <c r="CG122" s="604" t="str">
        <f t="shared" si="50"/>
        <v/>
      </c>
      <c r="CI122" s="604">
        <f t="shared" si="58"/>
        <v>0</v>
      </c>
      <c r="CJ122" s="604">
        <f t="shared" si="59"/>
        <v>0</v>
      </c>
      <c r="CK122" s="604">
        <f t="shared" si="60"/>
        <v>1</v>
      </c>
      <c r="CL122" s="604">
        <f t="array" ref="CL122">IF(ISNUMBER(BY122),CI122,IF(ISBLANK(BY122),CI122,CI122+$CJ$143))+$CK$143</f>
        <v>50</v>
      </c>
      <c r="CM122" t="str">
        <f t="shared" si="61"/>
        <v/>
      </c>
      <c r="CN122" s="602" t="str">
        <f t="array" ref="CN122">IFERROR(INDEX($BY$93:$BY$142,MATCH(SMALL($CL$93:$CL$142,ROWS($CM$93:CM122)+$CK$143),$CL$93:$CL$142,0)),"")</f>
        <v/>
      </c>
      <c r="DL122" s="602">
        <v>30</v>
      </c>
      <c r="DM122" s="723" t="str">
        <f t="shared" si="51"/>
        <v/>
      </c>
      <c r="DN122" s="720" t="str">
        <f t="shared" si="62"/>
        <v/>
      </c>
      <c r="DO122" s="720" t="str">
        <f t="shared" si="52"/>
        <v/>
      </c>
      <c r="DP122" s="727">
        <f t="shared" si="53"/>
        <v>0</v>
      </c>
      <c r="DQ122" s="719" t="str">
        <f t="shared" ca="1" si="54"/>
        <v/>
      </c>
      <c r="DR122" s="720">
        <f t="shared" si="75"/>
        <v>0</v>
      </c>
      <c r="DS122" s="720">
        <f>SUMIFS(Installations!CS$39:CS$800,Installations!CT$39:CT$800,DM122,Installations!HX$39:HX$800,TRUE,Installations!CR$39:CR$800,"New")</f>
        <v>0</v>
      </c>
      <c r="DT122" s="720" t="str">
        <f t="shared" si="63"/>
        <v/>
      </c>
      <c r="DU122" s="726"/>
      <c r="DX122" s="720" t="str">
        <f t="array" ref="DX122">IFERROR(IF(ROWS(DM$93:DM122)&gt;COUNTA($DM$93:$DM$145),"",INDEX($DL$93:$DL$142,SMALL(IF($DM$93:$DM$145&lt;&gt;"",ROW($DM$93:$DM$145)-ROW($DM$93)+1),ROWS($DM$93:DM122)))),"")</f>
        <v/>
      </c>
      <c r="DY122" s="602" t="str">
        <f t="shared" si="76"/>
        <v/>
      </c>
      <c r="DZ122" s="604" t="str">
        <f t="shared" si="77"/>
        <v/>
      </c>
      <c r="EA122" s="604" t="str">
        <f t="shared" si="78"/>
        <v/>
      </c>
      <c r="ED122" s="720" t="str">
        <f t="array" ref="ED122">IFERROR(IF(ROWS(DT$93:DT122)&gt;COUNTA($DT$93:$DT$145),"",INDEX($DL$93:$DL$142,SMALL(IF($DT$93:$DT$145&lt;&gt;"",ROW($DT$93:$DT$145)-ROW($DT$93)+1),ROWS($DT$93:DT122)))),"")</f>
        <v/>
      </c>
      <c r="EE122" s="602" t="str">
        <f t="shared" si="70"/>
        <v/>
      </c>
      <c r="EF122" s="604" t="str">
        <f t="shared" si="71"/>
        <v/>
      </c>
      <c r="EG122" s="606" t="str">
        <f t="shared" si="72"/>
        <v/>
      </c>
      <c r="EH122" s="604" t="str">
        <f t="shared" si="73"/>
        <v/>
      </c>
      <c r="EI122" s="604" t="str">
        <f t="shared" si="74"/>
        <v/>
      </c>
      <c r="EL122" s="1033">
        <f t="shared" si="67"/>
        <v>0</v>
      </c>
      <c r="EM122" s="602">
        <f t="array" ref="EM122">--ISNUMBER(DY122)</f>
        <v>0</v>
      </c>
      <c r="EN122" s="602">
        <f t="shared" si="68"/>
        <v>1</v>
      </c>
      <c r="EO122" s="602">
        <f t="array" ref="EO122">IF(ISNUMBER(DY122),EL122,IF(ISBLANK(DY122),EL122,EL122+$EM$143))+$EN$143</f>
        <v>49</v>
      </c>
      <c r="EP122" t="str">
        <f t="shared" si="69"/>
        <v/>
      </c>
      <c r="EQ122" s="602" t="str">
        <f t="array" ref="EQ122">IFERROR(INDEX($DY$93:$DY$142,MATCH(SMALL($EO$93:$EO$142,ROWS($EQ$93:EQ122)+$EN$143),$EO$93:$EO$142,0)),"")</f>
        <v/>
      </c>
    </row>
    <row r="123" spans="64:153">
      <c r="BL123">
        <f t="shared" si="40"/>
        <v>31</v>
      </c>
      <c r="BM123" s="723" t="str">
        <f t="shared" si="41"/>
        <v/>
      </c>
      <c r="BN123" s="720" t="str">
        <f t="shared" si="42"/>
        <v/>
      </c>
      <c r="BO123" s="720" t="b">
        <f t="shared" si="56"/>
        <v>0</v>
      </c>
      <c r="BP123" s="724" t="str">
        <f t="shared" si="43"/>
        <v/>
      </c>
      <c r="BQ123" s="720" t="str">
        <f>IFERROR(VLOOKUP(BP123,Lookup!AM$6:AN$8,2,FALSE),"")</f>
        <v/>
      </c>
      <c r="BR123" s="720" t="str">
        <f t="shared" si="44"/>
        <v/>
      </c>
      <c r="BS123" s="725">
        <f>SUMIFS(Installations!CS$39:CS$800,Installations!CT$39:CT$800,BM123,Installations!HX$39:HX$800,TRUE,Installations!CR$39:CR$800,"Exist")</f>
        <v>0</v>
      </c>
      <c r="BT123" s="720" t="str">
        <f t="shared" si="57"/>
        <v/>
      </c>
      <c r="BU123" s="726"/>
      <c r="BX123" s="720" t="str">
        <f t="array" ref="BX123">IFERROR(IF(ROWS(BM$93:BM123)&gt;COUNTA($BM$93:$BM$192),"",INDEX($BL$93:$BL$192,SMALL(IF($BM$93:$BM$192&lt;&gt;"",ROW($BM$93:$BM$192)-ROW($BM$93)+1),ROWS($BM$93:BM123)))),"")</f>
        <v/>
      </c>
      <c r="BY123" s="602" t="str">
        <f t="shared" si="45"/>
        <v/>
      </c>
      <c r="BZ123" s="604" t="str">
        <f t="shared" si="46"/>
        <v/>
      </c>
      <c r="CA123" s="604" t="str">
        <f t="shared" si="47"/>
        <v/>
      </c>
      <c r="CD123" s="720" t="str">
        <f t="array" ref="CD123">IFERROR(IF(ROWS(BT$93:BT123)&gt;COUNTA($BT$93:$BT$192),"",INDEX($BL$93:$BL$192,SMALL(IF($BT$93:$BT$192&lt;&gt;"",ROW($BT$93:$BT$192)-ROW($BT$93)+1),ROWS($BT$93:BT123)))),"")</f>
        <v/>
      </c>
      <c r="CE123" s="602" t="str">
        <f t="shared" si="48"/>
        <v/>
      </c>
      <c r="CF123" s="604" t="str">
        <f t="shared" si="49"/>
        <v/>
      </c>
      <c r="CG123" s="604" t="str">
        <f t="shared" si="50"/>
        <v/>
      </c>
      <c r="CI123" s="604">
        <f t="shared" si="58"/>
        <v>0</v>
      </c>
      <c r="CJ123" s="604">
        <f t="shared" si="59"/>
        <v>0</v>
      </c>
      <c r="CK123" s="604">
        <f t="shared" si="60"/>
        <v>1</v>
      </c>
      <c r="CL123" s="604">
        <f t="array" ref="CL123">IF(ISNUMBER(BY123),CI123,IF(ISBLANK(BY123),CI123,CI123+$CJ$143))+$CK$143</f>
        <v>50</v>
      </c>
      <c r="CM123" t="str">
        <f t="shared" si="61"/>
        <v/>
      </c>
      <c r="CN123" s="602" t="str">
        <f t="array" ref="CN123">IFERROR(INDEX($BY$93:$BY$142,MATCH(SMALL($CL$93:$CL$142,ROWS($CM$93:CM123)+$CK$143),$CL$93:$CL$142,0)),"")</f>
        <v/>
      </c>
      <c r="DL123" s="602">
        <v>31</v>
      </c>
      <c r="DM123" s="723" t="str">
        <f t="shared" si="51"/>
        <v/>
      </c>
      <c r="DN123" s="720" t="str">
        <f t="shared" si="62"/>
        <v/>
      </c>
      <c r="DO123" s="720" t="str">
        <f t="shared" si="52"/>
        <v/>
      </c>
      <c r="DP123" s="727">
        <f t="shared" si="53"/>
        <v>0</v>
      </c>
      <c r="DQ123" s="719" t="str">
        <f t="shared" ca="1" si="54"/>
        <v/>
      </c>
      <c r="DR123" s="720">
        <f t="shared" si="75"/>
        <v>0</v>
      </c>
      <c r="DS123" s="720">
        <f>SUMIFS(Installations!CS$39:CS$800,Installations!CT$39:CT$800,DM123,Installations!HX$39:HX$800,TRUE,Installations!CR$39:CR$800,"New")</f>
        <v>0</v>
      </c>
      <c r="DT123" s="720" t="str">
        <f t="shared" si="63"/>
        <v/>
      </c>
      <c r="DU123" s="726"/>
      <c r="DX123" s="720" t="str">
        <f t="array" ref="DX123">IFERROR(IF(ROWS(DM$93:DM123)&gt;COUNTA($DM$93:$DM$145),"",INDEX($DL$93:$DL$142,SMALL(IF($DM$93:$DM$145&lt;&gt;"",ROW($DM$93:$DM$145)-ROW($DM$93)+1),ROWS($DM$93:DM123)))),"")</f>
        <v/>
      </c>
      <c r="DY123" s="602" t="str">
        <f t="shared" si="76"/>
        <v/>
      </c>
      <c r="DZ123" s="604" t="str">
        <f t="shared" si="77"/>
        <v/>
      </c>
      <c r="EA123" s="604" t="str">
        <f t="shared" si="78"/>
        <v/>
      </c>
      <c r="ED123" s="720" t="str">
        <f t="array" ref="ED123">IFERROR(IF(ROWS(DT$93:DT123)&gt;COUNTA($DT$93:$DT$145),"",INDEX($DL$93:$DL$142,SMALL(IF($DT$93:$DT$145&lt;&gt;"",ROW($DT$93:$DT$145)-ROW($DT$93)+1),ROWS($DT$93:DT123)))),"")</f>
        <v/>
      </c>
      <c r="EE123" s="602" t="str">
        <f t="shared" si="70"/>
        <v/>
      </c>
      <c r="EF123" s="604" t="str">
        <f t="shared" si="71"/>
        <v/>
      </c>
      <c r="EG123" s="606" t="str">
        <f t="shared" si="72"/>
        <v/>
      </c>
      <c r="EH123" s="604" t="str">
        <f t="shared" si="73"/>
        <v/>
      </c>
      <c r="EI123" s="604" t="str">
        <f t="shared" si="74"/>
        <v/>
      </c>
      <c r="EL123" s="1033">
        <f t="shared" si="67"/>
        <v>0</v>
      </c>
      <c r="EM123" s="602">
        <f t="array" ref="EM123">--ISNUMBER(DY123)</f>
        <v>0</v>
      </c>
      <c r="EN123" s="602">
        <f t="shared" si="68"/>
        <v>1</v>
      </c>
      <c r="EO123" s="602">
        <f t="array" ref="EO123">IF(ISNUMBER(DY123),EL123,IF(ISBLANK(DY123),EL123,EL123+$EM$143))+$EN$143</f>
        <v>49</v>
      </c>
      <c r="EP123" t="str">
        <f t="shared" si="69"/>
        <v/>
      </c>
      <c r="EQ123" s="602" t="str">
        <f t="array" ref="EQ123">IFERROR(INDEX($DY$93:$DY$142,MATCH(SMALL($EO$93:$EO$142,ROWS($EQ$93:EQ123)+$EN$143),$EO$93:$EO$142,0)),"")</f>
        <v/>
      </c>
    </row>
    <row r="124" spans="64:153">
      <c r="BL124">
        <f t="shared" si="40"/>
        <v>32</v>
      </c>
      <c r="BM124" s="723" t="str">
        <f t="shared" si="41"/>
        <v/>
      </c>
      <c r="BN124" s="720" t="str">
        <f t="shared" si="42"/>
        <v/>
      </c>
      <c r="BO124" s="720" t="b">
        <f t="shared" si="56"/>
        <v>0</v>
      </c>
      <c r="BP124" s="724" t="str">
        <f t="shared" si="43"/>
        <v/>
      </c>
      <c r="BQ124" s="720" t="str">
        <f>IFERROR(VLOOKUP(BP124,Lookup!AM$6:AN$8,2,FALSE),"")</f>
        <v/>
      </c>
      <c r="BR124" s="720" t="str">
        <f t="shared" si="44"/>
        <v/>
      </c>
      <c r="BS124" s="725">
        <f>SUMIFS(Installations!CS$39:CS$800,Installations!CT$39:CT$800,BM124,Installations!HX$39:HX$800,TRUE,Installations!CR$39:CR$800,"Exist")</f>
        <v>0</v>
      </c>
      <c r="BT124" s="720" t="str">
        <f t="shared" si="57"/>
        <v/>
      </c>
      <c r="BU124" s="726"/>
      <c r="BX124" s="720" t="str">
        <f t="array" ref="BX124">IFERROR(IF(ROWS(BM$93:BM124)&gt;COUNTA($BM$93:$BM$192),"",INDEX($BL$93:$BL$192,SMALL(IF($BM$93:$BM$192&lt;&gt;"",ROW($BM$93:$BM$192)-ROW($BM$93)+1),ROWS($BM$93:BM124)))),"")</f>
        <v/>
      </c>
      <c r="BY124" s="602" t="str">
        <f t="shared" si="45"/>
        <v/>
      </c>
      <c r="BZ124" s="604" t="str">
        <f t="shared" si="46"/>
        <v/>
      </c>
      <c r="CA124" s="604" t="str">
        <f t="shared" si="47"/>
        <v/>
      </c>
      <c r="CD124" s="720" t="str">
        <f t="array" ref="CD124">IFERROR(IF(ROWS(BT$93:BT124)&gt;COUNTA($BT$93:$BT$192),"",INDEX($BL$93:$BL$192,SMALL(IF($BT$93:$BT$192&lt;&gt;"",ROW($BT$93:$BT$192)-ROW($BT$93)+1),ROWS($BT$93:BT124)))),"")</f>
        <v/>
      </c>
      <c r="CE124" s="602" t="str">
        <f t="shared" si="48"/>
        <v/>
      </c>
      <c r="CF124" s="604" t="str">
        <f t="shared" si="49"/>
        <v/>
      </c>
      <c r="CG124" s="604" t="str">
        <f t="shared" si="50"/>
        <v/>
      </c>
      <c r="CI124" s="604">
        <f t="shared" si="58"/>
        <v>0</v>
      </c>
      <c r="CJ124" s="604">
        <f t="shared" si="59"/>
        <v>0</v>
      </c>
      <c r="CK124" s="604">
        <f t="shared" si="60"/>
        <v>1</v>
      </c>
      <c r="CL124" s="604">
        <f t="array" ref="CL124">IF(ISNUMBER(BY124),CI124,IF(ISBLANK(BY124),CI124,CI124+$CJ$143))+$CK$143</f>
        <v>50</v>
      </c>
      <c r="CM124" t="str">
        <f t="shared" si="61"/>
        <v/>
      </c>
      <c r="CN124" s="602" t="str">
        <f t="array" ref="CN124">IFERROR(INDEX($BY$93:$BY$142,MATCH(SMALL($CL$93:$CL$142,ROWS($CM$93:CM124)+$CK$143),$CL$93:$CL$142,0)),"")</f>
        <v/>
      </c>
      <c r="DL124" s="602">
        <v>32</v>
      </c>
      <c r="DM124" s="723" t="str">
        <f t="shared" si="51"/>
        <v/>
      </c>
      <c r="DN124" s="720" t="str">
        <f t="shared" si="62"/>
        <v/>
      </c>
      <c r="DO124" s="720" t="str">
        <f t="shared" si="52"/>
        <v/>
      </c>
      <c r="DP124" s="727">
        <f t="shared" si="53"/>
        <v>0</v>
      </c>
      <c r="DQ124" s="719" t="str">
        <f t="shared" ca="1" si="54"/>
        <v/>
      </c>
      <c r="DR124" s="720">
        <f t="shared" si="75"/>
        <v>0</v>
      </c>
      <c r="DS124" s="720">
        <f>SUMIFS(Installations!CS$39:CS$800,Installations!CT$39:CT$800,DM124,Installations!HX$39:HX$800,TRUE,Installations!CR$39:CR$800,"New")</f>
        <v>0</v>
      </c>
      <c r="DT124" s="720" t="str">
        <f t="shared" si="63"/>
        <v/>
      </c>
      <c r="DU124" s="726"/>
      <c r="DX124" s="720" t="str">
        <f t="array" ref="DX124">IFERROR(IF(ROWS(DM$93:DM124)&gt;COUNTA($DM$93:$DM$145),"",INDEX($DL$93:$DL$142,SMALL(IF($DM$93:$DM$145&lt;&gt;"",ROW($DM$93:$DM$145)-ROW($DM$93)+1),ROWS($DM$93:DM124)))),"")</f>
        <v/>
      </c>
      <c r="DY124" s="602" t="str">
        <f t="shared" si="76"/>
        <v/>
      </c>
      <c r="DZ124" s="604" t="str">
        <f t="shared" si="77"/>
        <v/>
      </c>
      <c r="EA124" s="604" t="str">
        <f t="shared" si="78"/>
        <v/>
      </c>
      <c r="ED124" s="720" t="str">
        <f t="array" ref="ED124">IFERROR(IF(ROWS(DT$93:DT124)&gt;COUNTA($DT$93:$DT$145),"",INDEX($DL$93:$DL$142,SMALL(IF($DT$93:$DT$145&lt;&gt;"",ROW($DT$93:$DT$145)-ROW($DT$93)+1),ROWS($DT$93:DT124)))),"")</f>
        <v/>
      </c>
      <c r="EE124" s="602" t="str">
        <f t="shared" si="70"/>
        <v/>
      </c>
      <c r="EF124" s="604" t="str">
        <f t="shared" si="71"/>
        <v/>
      </c>
      <c r="EG124" s="606" t="str">
        <f t="shared" si="72"/>
        <v/>
      </c>
      <c r="EH124" s="604" t="str">
        <f t="shared" si="73"/>
        <v/>
      </c>
      <c r="EI124" s="604" t="str">
        <f t="shared" si="74"/>
        <v/>
      </c>
      <c r="EL124" s="1033">
        <f t="shared" si="67"/>
        <v>0</v>
      </c>
      <c r="EM124" s="602">
        <f t="array" ref="EM124">--ISNUMBER(DY124)</f>
        <v>0</v>
      </c>
      <c r="EN124" s="602">
        <f t="shared" si="68"/>
        <v>1</v>
      </c>
      <c r="EO124" s="602">
        <f t="array" ref="EO124">IF(ISNUMBER(DY124),EL124,IF(ISBLANK(DY124),EL124,EL124+$EM$143))+$EN$143</f>
        <v>49</v>
      </c>
      <c r="EP124" t="str">
        <f t="shared" si="69"/>
        <v/>
      </c>
      <c r="EQ124" s="602" t="str">
        <f t="array" ref="EQ124">IFERROR(INDEX($DY$93:$DY$142,MATCH(SMALL($EO$93:$EO$142,ROWS($EQ$93:EQ124)+$EN$143),$EO$93:$EO$142,0)),"")</f>
        <v/>
      </c>
    </row>
    <row r="125" spans="64:153">
      <c r="BL125">
        <f t="shared" ref="BL125:BL142" si="79">BW59</f>
        <v>33</v>
      </c>
      <c r="BM125" s="723" t="str">
        <f t="shared" ref="BM125:BM142" si="80">BM59</f>
        <v/>
      </c>
      <c r="BN125" s="720" t="str">
        <f t="shared" ref="BN125:BN142" si="81">CP59</f>
        <v/>
      </c>
      <c r="BO125" s="720" t="b">
        <f t="shared" si="56"/>
        <v>0</v>
      </c>
      <c r="BP125" s="724" t="str">
        <f t="shared" ref="BP125:BP142" si="82">IF(BO125=TRUE,CF59,"")</f>
        <v/>
      </c>
      <c r="BQ125" s="720" t="str">
        <f>IFERROR(VLOOKUP(BP125,Lookup!AM$6:AN$8,2,FALSE),"")</f>
        <v/>
      </c>
      <c r="BR125" s="720" t="str">
        <f t="shared" ref="BR125:BR142" si="83">IFERROR(CP59/LEFT(CJ59,1),BN125)</f>
        <v/>
      </c>
      <c r="BS125" s="725">
        <f>SUMIFS(Installations!CS$39:CS$800,Installations!CT$39:CT$800,BM125,Installations!HX$39:HX$800,TRUE,Installations!CR$39:CR$800,"Exist")</f>
        <v>0</v>
      </c>
      <c r="BT125" s="720" t="str">
        <f t="shared" si="57"/>
        <v/>
      </c>
      <c r="BU125" s="726"/>
      <c r="BX125" s="720" t="str">
        <f t="array" ref="BX125">IFERROR(IF(ROWS(BM$93:BM125)&gt;COUNTA($BM$93:$BM$192),"",INDEX($BL$93:$BL$192,SMALL(IF($BM$93:$BM$192&lt;&gt;"",ROW($BM$93:$BM$192)-ROW($BM$93)+1),ROWS($BM$93:BM125)))),"")</f>
        <v/>
      </c>
      <c r="BY125" s="602" t="str">
        <f t="shared" ref="BY125:BY142" si="84">IFERROR(VLOOKUP(BX125,$BL$93:$BM$192,2,FALSE),"")</f>
        <v/>
      </c>
      <c r="BZ125" s="604" t="str">
        <f t="shared" ref="BZ125:BZ142" si="85">IFERROR(VLOOKUP(BX125,BL$93:BN$192,3,FALSE),"")</f>
        <v/>
      </c>
      <c r="CA125" s="604" t="str">
        <f t="shared" ref="CA125:CA142" si="86">IFERROR(VLOOKUP(BX125,BL$93:BS$192,8,FALSE),"")</f>
        <v/>
      </c>
      <c r="CD125" s="720" t="str">
        <f t="array" ref="CD125">IFERROR(IF(ROWS(BT$93:BT125)&gt;COUNTA($BT$93:$BT$192),"",INDEX($BL$93:$BL$192,SMALL(IF($BT$93:$BT$192&lt;&gt;"",ROW($BT$93:$BT$192)-ROW($BT$93)+1),ROWS($BT$93:BT125)))),"")</f>
        <v/>
      </c>
      <c r="CE125" s="602" t="str">
        <f t="shared" ref="CE125:CE142" si="87">IFERROR(VLOOKUP(CD125,$BL$93:$BM$192,2,FALSE),"")</f>
        <v/>
      </c>
      <c r="CF125" s="604" t="str">
        <f t="shared" ref="CF125:CF142" si="88">IFERROR(VLOOKUP(CD125,$BL$93:$BS$192,3,FALSE),"")</f>
        <v/>
      </c>
      <c r="CG125" s="604" t="str">
        <f t="shared" ref="CG125:CG142" si="89">IFERROR(VLOOKUP(CD125,$BL$93:$BS$192,8,FALSE),"")</f>
        <v/>
      </c>
      <c r="CI125" s="604">
        <f t="shared" si="58"/>
        <v>0</v>
      </c>
      <c r="CJ125" s="604">
        <f t="shared" si="59"/>
        <v>0</v>
      </c>
      <c r="CK125" s="604">
        <f t="shared" si="60"/>
        <v>1</v>
      </c>
      <c r="CL125" s="604">
        <f t="array" ref="CL125">IF(ISNUMBER(BY125),CI125,IF(ISBLANK(BY125),CI125,CI125+$CJ$143))+$CK$143</f>
        <v>50</v>
      </c>
      <c r="CM125" t="str">
        <f t="shared" si="61"/>
        <v/>
      </c>
      <c r="CN125" s="602" t="str">
        <f t="array" ref="CN125">IFERROR(INDEX($BY$93:$BY$142,MATCH(SMALL($CL$93:$CL$142,ROWS($CM$93:CM125)+$CK$143),$CL$93:$CL$142,0)),"")</f>
        <v/>
      </c>
      <c r="DL125" s="602">
        <v>33</v>
      </c>
      <c r="DM125" s="723" t="str">
        <f t="shared" ref="DM125:DM142" si="90">DN59</f>
        <v/>
      </c>
      <c r="DN125" s="720" t="str">
        <f t="shared" si="62"/>
        <v/>
      </c>
      <c r="DO125" s="720" t="str">
        <f t="shared" ref="DO125:DO142" si="91">EZ59</f>
        <v/>
      </c>
      <c r="DP125" s="727">
        <f t="shared" ref="DP125:DP142" si="92">EX59</f>
        <v>0</v>
      </c>
      <c r="DQ125" s="719" t="str">
        <f t="shared" ref="DQ125:DQ142" ca="1" si="93">FG59</f>
        <v/>
      </c>
      <c r="DR125" s="720">
        <f t="shared" si="75"/>
        <v>0</v>
      </c>
      <c r="DS125" s="720">
        <f>SUMIFS(Installations!CS$39:CS$800,Installations!CT$39:CT$800,DM125,Installations!HX$39:HX$800,TRUE,Installations!CR$39:CR$800,"New")</f>
        <v>0</v>
      </c>
      <c r="DT125" s="720" t="str">
        <f t="shared" si="63"/>
        <v/>
      </c>
      <c r="DU125" s="726"/>
      <c r="DX125" s="720" t="str">
        <f t="array" ref="DX125">IFERROR(IF(ROWS(DM$93:DM125)&gt;COUNTA($DM$93:$DM$145),"",INDEX($DL$93:$DL$142,SMALL(IF($DM$93:$DM$145&lt;&gt;"",ROW($DM$93:$DM$145)-ROW($DM$93)+1),ROWS($DM$93:DM125)))),"")</f>
        <v/>
      </c>
      <c r="DY125" s="602" t="str">
        <f t="shared" si="76"/>
        <v/>
      </c>
      <c r="DZ125" s="604" t="str">
        <f t="shared" si="77"/>
        <v/>
      </c>
      <c r="EA125" s="604" t="str">
        <f t="shared" si="78"/>
        <v/>
      </c>
      <c r="ED125" s="720" t="str">
        <f t="array" ref="ED125">IFERROR(IF(ROWS(DT$93:DT125)&gt;COUNTA($DT$93:$DT$145),"",INDEX($DL$93:$DL$142,SMALL(IF($DT$93:$DT$145&lt;&gt;"",ROW($DT$93:$DT$145)-ROW($DT$93)+1),ROWS($DT$93:DT125)))),"")</f>
        <v/>
      </c>
      <c r="EE125" s="602" t="str">
        <f t="shared" si="70"/>
        <v/>
      </c>
      <c r="EF125" s="604" t="str">
        <f t="shared" si="71"/>
        <v/>
      </c>
      <c r="EG125" s="606" t="str">
        <f t="shared" si="72"/>
        <v/>
      </c>
      <c r="EH125" s="604" t="str">
        <f t="shared" si="73"/>
        <v/>
      </c>
      <c r="EI125" s="604" t="str">
        <f t="shared" si="74"/>
        <v/>
      </c>
      <c r="EL125" s="1033">
        <f t="shared" si="67"/>
        <v>0</v>
      </c>
      <c r="EM125" s="602">
        <f t="array" ref="EM125">--ISNUMBER(DY125)</f>
        <v>0</v>
      </c>
      <c r="EN125" s="602">
        <f t="shared" si="68"/>
        <v>1</v>
      </c>
      <c r="EO125" s="602">
        <f t="array" ref="EO125">IF(ISNUMBER(DY125),EL125,IF(ISBLANK(DY125),EL125,EL125+$EM$143))+$EN$143</f>
        <v>49</v>
      </c>
      <c r="EP125" t="str">
        <f t="shared" si="69"/>
        <v/>
      </c>
      <c r="EQ125" s="602" t="str">
        <f t="array" ref="EQ125">IFERROR(INDEX($DY$93:$DY$142,MATCH(SMALL($EO$93:$EO$142,ROWS($EQ$93:EQ125)+$EN$143),$EO$93:$EO$142,0)),"")</f>
        <v/>
      </c>
    </row>
    <row r="126" spans="64:153">
      <c r="BL126">
        <f t="shared" si="79"/>
        <v>34</v>
      </c>
      <c r="BM126" s="723" t="str">
        <f t="shared" si="80"/>
        <v/>
      </c>
      <c r="BN126" s="720" t="str">
        <f t="shared" si="81"/>
        <v/>
      </c>
      <c r="BO126" s="720" t="b">
        <f t="shared" si="56"/>
        <v>0</v>
      </c>
      <c r="BP126" s="724" t="str">
        <f t="shared" si="82"/>
        <v/>
      </c>
      <c r="BQ126" s="720" t="str">
        <f>IFERROR(VLOOKUP(BP126,Lookup!AM$6:AN$8,2,FALSE),"")</f>
        <v/>
      </c>
      <c r="BR126" s="720" t="str">
        <f t="shared" si="83"/>
        <v/>
      </c>
      <c r="BS126" s="725">
        <f>SUMIFS(Installations!CS$39:CS$800,Installations!CT$39:CT$800,BM126,Installations!HX$39:HX$800,TRUE,Installations!CR$39:CR$800,"Exist")</f>
        <v>0</v>
      </c>
      <c r="BT126" s="720" t="str">
        <f t="shared" si="57"/>
        <v/>
      </c>
      <c r="BU126" s="726"/>
      <c r="BX126" s="720" t="str">
        <f t="array" ref="BX126">IFERROR(IF(ROWS(BM$93:BM126)&gt;COUNTA($BM$93:$BM$192),"",INDEX($BL$93:$BL$192,SMALL(IF($BM$93:$BM$192&lt;&gt;"",ROW($BM$93:$BM$192)-ROW($BM$93)+1),ROWS($BM$93:BM126)))),"")</f>
        <v/>
      </c>
      <c r="BY126" s="602" t="str">
        <f t="shared" si="84"/>
        <v/>
      </c>
      <c r="BZ126" s="604" t="str">
        <f t="shared" si="85"/>
        <v/>
      </c>
      <c r="CA126" s="604" t="str">
        <f t="shared" si="86"/>
        <v/>
      </c>
      <c r="CD126" s="720" t="str">
        <f t="array" ref="CD126">IFERROR(IF(ROWS(BT$93:BT126)&gt;COUNTA($BT$93:$BT$192),"",INDEX($BL$93:$BL$192,SMALL(IF($BT$93:$BT$192&lt;&gt;"",ROW($BT$93:$BT$192)-ROW($BT$93)+1),ROWS($BT$93:BT126)))),"")</f>
        <v/>
      </c>
      <c r="CE126" s="602" t="str">
        <f t="shared" si="87"/>
        <v/>
      </c>
      <c r="CF126" s="604" t="str">
        <f t="shared" si="88"/>
        <v/>
      </c>
      <c r="CG126" s="604" t="str">
        <f t="shared" si="89"/>
        <v/>
      </c>
      <c r="CI126" s="604">
        <f t="shared" si="58"/>
        <v>0</v>
      </c>
      <c r="CJ126" s="604">
        <f t="shared" si="59"/>
        <v>0</v>
      </c>
      <c r="CK126" s="604">
        <f t="shared" si="60"/>
        <v>1</v>
      </c>
      <c r="CL126" s="604">
        <f t="array" ref="CL126">IF(ISNUMBER(BY126),CI126,IF(ISBLANK(BY126),CI126,CI126+$CJ$143))+$CK$143</f>
        <v>50</v>
      </c>
      <c r="CM126" t="str">
        <f t="shared" si="61"/>
        <v/>
      </c>
      <c r="CN126" s="602" t="str">
        <f t="array" ref="CN126">IFERROR(INDEX($BY$93:$BY$142,MATCH(SMALL($CL$93:$CL$142,ROWS($CM$93:CM126)+$CK$143),$CL$93:$CL$142,0)),"")</f>
        <v/>
      </c>
      <c r="DL126" s="602">
        <v>34</v>
      </c>
      <c r="DM126" s="723" t="str">
        <f t="shared" si="90"/>
        <v/>
      </c>
      <c r="DN126" s="720" t="str">
        <f t="shared" si="62"/>
        <v/>
      </c>
      <c r="DO126" s="720" t="str">
        <f t="shared" si="91"/>
        <v/>
      </c>
      <c r="DP126" s="727">
        <f t="shared" si="92"/>
        <v>0</v>
      </c>
      <c r="DQ126" s="719" t="str">
        <f t="shared" ca="1" si="93"/>
        <v/>
      </c>
      <c r="DR126" s="720">
        <f t="shared" si="75"/>
        <v>0</v>
      </c>
      <c r="DS126" s="720">
        <f>SUMIFS(Installations!CS$39:CS$800,Installations!CT$39:CT$800,DM126,Installations!HX$39:HX$800,TRUE,Installations!CR$39:CR$800,"New")</f>
        <v>0</v>
      </c>
      <c r="DT126" s="720" t="str">
        <f t="shared" si="63"/>
        <v/>
      </c>
      <c r="DU126" s="726"/>
      <c r="DX126" s="720" t="str">
        <f t="array" ref="DX126">IFERROR(IF(ROWS(DM$93:DM126)&gt;COUNTA($DM$93:$DM$145),"",INDEX($DL$93:$DL$142,SMALL(IF($DM$93:$DM$145&lt;&gt;"",ROW($DM$93:$DM$145)-ROW($DM$93)+1),ROWS($DM$93:DM126)))),"")</f>
        <v/>
      </c>
      <c r="DY126" s="602" t="str">
        <f t="shared" si="76"/>
        <v/>
      </c>
      <c r="DZ126" s="604" t="str">
        <f t="shared" si="77"/>
        <v/>
      </c>
      <c r="EA126" s="604" t="str">
        <f t="shared" si="78"/>
        <v/>
      </c>
      <c r="ED126" s="720" t="str">
        <f t="array" ref="ED126">IFERROR(IF(ROWS(DT$93:DT126)&gt;COUNTA($DT$93:$DT$145),"",INDEX($DL$93:$DL$142,SMALL(IF($DT$93:$DT$145&lt;&gt;"",ROW($DT$93:$DT$145)-ROW($DT$93)+1),ROWS($DT$93:DT126)))),"")</f>
        <v/>
      </c>
      <c r="EE126" s="602" t="str">
        <f t="shared" si="70"/>
        <v/>
      </c>
      <c r="EF126" s="604" t="str">
        <f t="shared" si="71"/>
        <v/>
      </c>
      <c r="EG126" s="606" t="str">
        <f t="shared" si="72"/>
        <v/>
      </c>
      <c r="EH126" s="604" t="str">
        <f t="shared" si="73"/>
        <v/>
      </c>
      <c r="EI126" s="604" t="str">
        <f t="shared" si="74"/>
        <v/>
      </c>
      <c r="EL126" s="1033">
        <f t="shared" si="67"/>
        <v>0</v>
      </c>
      <c r="EM126" s="602">
        <f t="shared" ref="EM126:EM142" si="94">--ISNUMBER(DY126)</f>
        <v>0</v>
      </c>
      <c r="EN126" s="602">
        <f t="shared" si="68"/>
        <v>1</v>
      </c>
      <c r="EO126" s="602">
        <f t="array" ref="EO126">IF(ISNUMBER(DY126),EL126,IF(ISBLANK(DY126),EL126,EL126+$EM$143))+$EN$143</f>
        <v>49</v>
      </c>
      <c r="EP126" t="str">
        <f t="shared" si="69"/>
        <v/>
      </c>
      <c r="EQ126" s="602" t="str">
        <f t="array" ref="EQ126">IFERROR(INDEX($DY$93:$DY$142,MATCH(SMALL($EO$93:$EO$142,ROWS($EQ$93:EQ126)+$EN$143),$EO$93:$EO$142,0)),"")</f>
        <v/>
      </c>
    </row>
    <row r="127" spans="64:153">
      <c r="BL127">
        <f t="shared" si="79"/>
        <v>35</v>
      </c>
      <c r="BM127" s="723" t="str">
        <f t="shared" si="80"/>
        <v/>
      </c>
      <c r="BN127" s="720" t="str">
        <f t="shared" si="81"/>
        <v/>
      </c>
      <c r="BO127" s="720" t="b">
        <f t="shared" si="56"/>
        <v>0</v>
      </c>
      <c r="BP127" s="724" t="str">
        <f t="shared" si="82"/>
        <v/>
      </c>
      <c r="BQ127" s="720" t="str">
        <f>IFERROR(VLOOKUP(BP127,Lookup!AM$6:AN$8,2,FALSE),"")</f>
        <v/>
      </c>
      <c r="BR127" s="720" t="str">
        <f t="shared" si="83"/>
        <v/>
      </c>
      <c r="BS127" s="725">
        <f>SUMIFS(Installations!CS$39:CS$800,Installations!CT$39:CT$800,BM127,Installations!HX$39:HX$800,TRUE,Installations!CR$39:CR$800,"Exist")</f>
        <v>0</v>
      </c>
      <c r="BT127" s="720" t="str">
        <f t="shared" si="57"/>
        <v/>
      </c>
      <c r="BU127" s="726"/>
      <c r="BX127" s="720" t="str">
        <f t="array" ref="BX127">IFERROR(IF(ROWS(BM$93:BM127)&gt;COUNTA($BM$93:$BM$192),"",INDEX($BL$93:$BL$192,SMALL(IF($BM$93:$BM$192&lt;&gt;"",ROW($BM$93:$BM$192)-ROW($BM$93)+1),ROWS($BM$93:BM127)))),"")</f>
        <v/>
      </c>
      <c r="BY127" s="602" t="str">
        <f t="shared" si="84"/>
        <v/>
      </c>
      <c r="BZ127" s="604" t="str">
        <f t="shared" si="85"/>
        <v/>
      </c>
      <c r="CA127" s="604" t="str">
        <f t="shared" si="86"/>
        <v/>
      </c>
      <c r="CD127" s="720" t="str">
        <f t="array" ref="CD127">IFERROR(IF(ROWS(BT$93:BT127)&gt;COUNTA($BT$93:$BT$192),"",INDEX($BL$93:$BL$192,SMALL(IF($BT$93:$BT$192&lt;&gt;"",ROW($BT$93:$BT$192)-ROW($BT$93)+1),ROWS($BT$93:BT127)))),"")</f>
        <v/>
      </c>
      <c r="CE127" s="602" t="str">
        <f t="shared" si="87"/>
        <v/>
      </c>
      <c r="CF127" s="604" t="str">
        <f t="shared" si="88"/>
        <v/>
      </c>
      <c r="CG127" s="604" t="str">
        <f t="shared" si="89"/>
        <v/>
      </c>
      <c r="CI127" s="604">
        <f t="shared" si="58"/>
        <v>0</v>
      </c>
      <c r="CJ127" s="604">
        <f t="shared" si="59"/>
        <v>0</v>
      </c>
      <c r="CK127" s="604">
        <f t="shared" si="60"/>
        <v>1</v>
      </c>
      <c r="CL127" s="604">
        <f t="array" ref="CL127">IF(ISNUMBER(BY127),CI127,IF(ISBLANK(BY127),CI127,CI127+$CJ$143))+$CK$143</f>
        <v>50</v>
      </c>
      <c r="CM127" t="str">
        <f t="shared" si="61"/>
        <v/>
      </c>
      <c r="CN127" s="602" t="str">
        <f t="array" ref="CN127">IFERROR(INDEX($BY$93:$BY$142,MATCH(SMALL($CL$93:$CL$142,ROWS($CM$93:CM127)+$CK$143),$CL$93:$CL$142,0)),"")</f>
        <v/>
      </c>
      <c r="DL127" s="602">
        <v>35</v>
      </c>
      <c r="DM127" s="723" t="str">
        <f t="shared" si="90"/>
        <v/>
      </c>
      <c r="DN127" s="720" t="str">
        <f t="shared" si="62"/>
        <v/>
      </c>
      <c r="DO127" s="720" t="str">
        <f t="shared" si="91"/>
        <v/>
      </c>
      <c r="DP127" s="727">
        <f t="shared" si="92"/>
        <v>0</v>
      </c>
      <c r="DQ127" s="719" t="str">
        <f t="shared" ca="1" si="93"/>
        <v/>
      </c>
      <c r="DR127" s="720">
        <f t="shared" si="75"/>
        <v>0</v>
      </c>
      <c r="DS127" s="720">
        <f>SUMIFS(Installations!CS$39:CS$800,Installations!CT$39:CT$800,DM127,Installations!HX$39:HX$800,TRUE,Installations!CR$39:CR$800,"New")</f>
        <v>0</v>
      </c>
      <c r="DT127" s="720" t="str">
        <f t="shared" si="63"/>
        <v/>
      </c>
      <c r="DU127" s="726"/>
      <c r="DX127" s="720" t="str">
        <f t="array" ref="DX127">IFERROR(IF(ROWS(DM$93:DM127)&gt;COUNTA($DM$93:$DM$145),"",INDEX($DL$93:$DL$142,SMALL(IF($DM$93:$DM$145&lt;&gt;"",ROW($DM$93:$DM$145)-ROW($DM$93)+1),ROWS($DM$93:DM127)))),"")</f>
        <v/>
      </c>
      <c r="DY127" s="602" t="str">
        <f t="shared" si="76"/>
        <v/>
      </c>
      <c r="DZ127" s="604" t="str">
        <f t="shared" si="77"/>
        <v/>
      </c>
      <c r="EA127" s="604" t="str">
        <f t="shared" si="78"/>
        <v/>
      </c>
      <c r="ED127" s="720" t="str">
        <f t="array" ref="ED127">IFERROR(IF(ROWS(DT$93:DT127)&gt;COUNTA($DT$93:$DT$145),"",INDEX($DL$93:$DL$142,SMALL(IF($DT$93:$DT$145&lt;&gt;"",ROW($DT$93:$DT$145)-ROW($DT$93)+1),ROWS($DT$93:DT127)))),"")</f>
        <v/>
      </c>
      <c r="EE127" s="602" t="str">
        <f t="shared" si="70"/>
        <v/>
      </c>
      <c r="EF127" s="604" t="str">
        <f t="shared" si="71"/>
        <v/>
      </c>
      <c r="EG127" s="606" t="str">
        <f t="shared" si="72"/>
        <v/>
      </c>
      <c r="EH127" s="604" t="str">
        <f t="shared" si="73"/>
        <v/>
      </c>
      <c r="EI127" s="604" t="str">
        <f t="shared" si="74"/>
        <v/>
      </c>
      <c r="EL127" s="1033">
        <f t="shared" si="67"/>
        <v>0</v>
      </c>
      <c r="EM127" s="602">
        <f t="shared" si="94"/>
        <v>0</v>
      </c>
      <c r="EN127" s="602">
        <f t="shared" si="68"/>
        <v>1</v>
      </c>
      <c r="EO127" s="602">
        <f t="array" ref="EO127">IF(ISNUMBER(DY127),EL127,IF(ISBLANK(DY127),EL127,EL127+$EM$143))+$EN$143</f>
        <v>49</v>
      </c>
      <c r="EP127" t="str">
        <f t="shared" si="69"/>
        <v/>
      </c>
      <c r="EQ127" s="602" t="str">
        <f t="array" ref="EQ127">IFERROR(INDEX($DY$93:$DY$142,MATCH(SMALL($EO$93:$EO$142,ROWS($EQ$93:EQ127)+$EN$143),$EO$93:$EO$142,0)),"")</f>
        <v/>
      </c>
    </row>
    <row r="128" spans="64:153">
      <c r="BL128">
        <f t="shared" si="79"/>
        <v>36</v>
      </c>
      <c r="BM128" s="723" t="str">
        <f t="shared" si="80"/>
        <v/>
      </c>
      <c r="BN128" s="720" t="str">
        <f t="shared" si="81"/>
        <v/>
      </c>
      <c r="BO128" s="720" t="b">
        <f t="shared" si="56"/>
        <v>0</v>
      </c>
      <c r="BP128" s="724" t="str">
        <f t="shared" si="82"/>
        <v/>
      </c>
      <c r="BQ128" s="720" t="str">
        <f>IFERROR(VLOOKUP(BP128,Lookup!AM$6:AN$8,2,FALSE),"")</f>
        <v/>
      </c>
      <c r="BR128" s="720" t="str">
        <f t="shared" si="83"/>
        <v/>
      </c>
      <c r="BS128" s="725">
        <f>SUMIFS(Installations!CS$39:CS$800,Installations!CT$39:CT$800,BM128,Installations!HX$39:HX$800,TRUE,Installations!CR$39:CR$800,"Exist")</f>
        <v>0</v>
      </c>
      <c r="BT128" s="720" t="str">
        <f t="shared" si="57"/>
        <v/>
      </c>
      <c r="BU128" s="726"/>
      <c r="BX128" s="720" t="str">
        <f t="array" ref="BX128">IFERROR(IF(ROWS(BM$93:BM128)&gt;COUNTA($BM$93:$BM$192),"",INDEX($BL$93:$BL$192,SMALL(IF($BM$93:$BM$192&lt;&gt;"",ROW($BM$93:$BM$192)-ROW($BM$93)+1),ROWS($BM$93:BM128)))),"")</f>
        <v/>
      </c>
      <c r="BY128" s="602" t="str">
        <f t="shared" si="84"/>
        <v/>
      </c>
      <c r="BZ128" s="604" t="str">
        <f t="shared" si="85"/>
        <v/>
      </c>
      <c r="CA128" s="604" t="str">
        <f t="shared" si="86"/>
        <v/>
      </c>
      <c r="CD128" s="720" t="str">
        <f t="array" ref="CD128">IFERROR(IF(ROWS(BT$93:BT128)&gt;COUNTA($BT$93:$BT$192),"",INDEX($BL$93:$BL$192,SMALL(IF($BT$93:$BT$192&lt;&gt;"",ROW($BT$93:$BT$192)-ROW($BT$93)+1),ROWS($BT$93:BT128)))),"")</f>
        <v/>
      </c>
      <c r="CE128" s="602" t="str">
        <f t="shared" si="87"/>
        <v/>
      </c>
      <c r="CF128" s="604" t="str">
        <f t="shared" si="88"/>
        <v/>
      </c>
      <c r="CG128" s="604" t="str">
        <f t="shared" si="89"/>
        <v/>
      </c>
      <c r="CI128" s="604">
        <f t="shared" si="58"/>
        <v>0</v>
      </c>
      <c r="CJ128" s="604">
        <f t="shared" si="59"/>
        <v>0</v>
      </c>
      <c r="CK128" s="604">
        <f t="shared" si="60"/>
        <v>1</v>
      </c>
      <c r="CL128" s="604">
        <f t="array" ref="CL128">IF(ISNUMBER(BY128),CI128,IF(ISBLANK(BY128),CI128,CI128+$CJ$143))+$CK$143</f>
        <v>50</v>
      </c>
      <c r="CM128" t="str">
        <f t="shared" si="61"/>
        <v/>
      </c>
      <c r="CN128" s="602" t="str">
        <f t="array" ref="CN128">IFERROR(INDEX($BY$93:$BY$142,MATCH(SMALL($CL$93:$CL$142,ROWS($CM$93:CM128)+$CK$143),$CL$93:$CL$142,0)),"")</f>
        <v/>
      </c>
      <c r="DL128" s="602">
        <v>36</v>
      </c>
      <c r="DM128" s="723" t="str">
        <f t="shared" si="90"/>
        <v/>
      </c>
      <c r="DN128" s="720" t="str">
        <f t="shared" si="62"/>
        <v/>
      </c>
      <c r="DO128" s="720" t="str">
        <f t="shared" si="91"/>
        <v/>
      </c>
      <c r="DP128" s="727">
        <f t="shared" si="92"/>
        <v>0</v>
      </c>
      <c r="DQ128" s="719" t="str">
        <f t="shared" ca="1" si="93"/>
        <v/>
      </c>
      <c r="DR128" s="720">
        <f t="shared" si="75"/>
        <v>0</v>
      </c>
      <c r="DS128" s="720">
        <f>SUMIFS(Installations!CS$39:CS$800,Installations!CT$39:CT$800,DM128,Installations!HX$39:HX$800,TRUE,Installations!CR$39:CR$800,"New")</f>
        <v>0</v>
      </c>
      <c r="DT128" s="720" t="str">
        <f t="shared" si="63"/>
        <v/>
      </c>
      <c r="DU128" s="726"/>
      <c r="DX128" s="720" t="str">
        <f t="array" ref="DX128">IFERROR(IF(ROWS(DM$93:DM128)&gt;COUNTA($DM$93:$DM$145),"",INDEX($DL$93:$DL$142,SMALL(IF($DM$93:$DM$145&lt;&gt;"",ROW($DM$93:$DM$145)-ROW($DM$93)+1),ROWS($DM$93:DM128)))),"")</f>
        <v/>
      </c>
      <c r="DY128" s="602" t="str">
        <f t="shared" si="76"/>
        <v/>
      </c>
      <c r="DZ128" s="604" t="str">
        <f t="shared" si="77"/>
        <v/>
      </c>
      <c r="EA128" s="604" t="str">
        <f t="shared" si="78"/>
        <v/>
      </c>
      <c r="ED128" s="720" t="str">
        <f t="array" ref="ED128">IFERROR(IF(ROWS(DT$93:DT128)&gt;COUNTA($DT$93:$DT$145),"",INDEX($DL$93:$DL$142,SMALL(IF($DT$93:$DT$145&lt;&gt;"",ROW($DT$93:$DT$145)-ROW($DT$93)+1),ROWS($DT$93:DT128)))),"")</f>
        <v/>
      </c>
      <c r="EE128" s="602" t="str">
        <f t="shared" si="70"/>
        <v/>
      </c>
      <c r="EF128" s="604" t="str">
        <f t="shared" si="71"/>
        <v/>
      </c>
      <c r="EG128" s="606" t="str">
        <f t="shared" si="72"/>
        <v/>
      </c>
      <c r="EH128" s="604" t="str">
        <f t="shared" si="73"/>
        <v/>
      </c>
      <c r="EI128" s="604" t="str">
        <f t="shared" si="74"/>
        <v/>
      </c>
      <c r="EL128" s="1033">
        <f t="shared" si="67"/>
        <v>0</v>
      </c>
      <c r="EM128" s="602">
        <f t="shared" si="94"/>
        <v>0</v>
      </c>
      <c r="EN128" s="602">
        <f t="shared" si="68"/>
        <v>1</v>
      </c>
      <c r="EO128" s="602">
        <f t="array" ref="EO128">IF(ISNUMBER(DY128),EL128,IF(ISBLANK(DY128),EL128,EL128+$EM$143))+$EN$143</f>
        <v>49</v>
      </c>
      <c r="EP128" t="str">
        <f t="shared" si="69"/>
        <v/>
      </c>
      <c r="EQ128" s="602" t="str">
        <f t="array" ref="EQ128">IFERROR(INDEX($DY$93:$DY$142,MATCH(SMALL($EO$93:$EO$142,ROWS($EQ$93:EQ128)+$EN$143),$EO$93:$EO$142,0)),"")</f>
        <v/>
      </c>
    </row>
    <row r="129" spans="64:147">
      <c r="BL129">
        <f t="shared" si="79"/>
        <v>37</v>
      </c>
      <c r="BM129" s="723" t="str">
        <f t="shared" si="80"/>
        <v/>
      </c>
      <c r="BN129" s="720" t="str">
        <f t="shared" si="81"/>
        <v/>
      </c>
      <c r="BO129" s="720" t="b">
        <f t="shared" si="56"/>
        <v>0</v>
      </c>
      <c r="BP129" s="724" t="str">
        <f t="shared" si="82"/>
        <v/>
      </c>
      <c r="BQ129" s="720" t="str">
        <f>IFERROR(VLOOKUP(BP129,Lookup!AM$6:AN$8,2,FALSE),"")</f>
        <v/>
      </c>
      <c r="BR129" s="720" t="str">
        <f t="shared" si="83"/>
        <v/>
      </c>
      <c r="BS129" s="725">
        <f>SUMIFS(Installations!CS$39:CS$800,Installations!CT$39:CT$800,BM129,Installations!HX$39:HX$800,TRUE,Installations!CR$39:CR$800,"Exist")</f>
        <v>0</v>
      </c>
      <c r="BT129" s="720" t="str">
        <f t="shared" si="57"/>
        <v/>
      </c>
      <c r="BU129" s="726"/>
      <c r="BX129" s="720" t="str">
        <f t="array" ref="BX129">IFERROR(IF(ROWS(BM$93:BM129)&gt;COUNTA($BM$93:$BM$192),"",INDEX($BL$93:$BL$192,SMALL(IF($BM$93:$BM$192&lt;&gt;"",ROW($BM$93:$BM$192)-ROW($BM$93)+1),ROWS($BM$93:BM129)))),"")</f>
        <v/>
      </c>
      <c r="BY129" s="602" t="str">
        <f t="shared" si="84"/>
        <v/>
      </c>
      <c r="BZ129" s="604" t="str">
        <f t="shared" si="85"/>
        <v/>
      </c>
      <c r="CA129" s="604" t="str">
        <f t="shared" si="86"/>
        <v/>
      </c>
      <c r="CD129" s="720" t="str">
        <f t="array" ref="CD129">IFERROR(IF(ROWS(BT$93:BT129)&gt;COUNTA($BT$93:$BT$192),"",INDEX($BL$93:$BL$192,SMALL(IF($BT$93:$BT$192&lt;&gt;"",ROW($BT$93:$BT$192)-ROW($BT$93)+1),ROWS($BT$93:BT129)))),"")</f>
        <v/>
      </c>
      <c r="CE129" s="602" t="str">
        <f t="shared" si="87"/>
        <v/>
      </c>
      <c r="CF129" s="604" t="str">
        <f t="shared" si="88"/>
        <v/>
      </c>
      <c r="CG129" s="604" t="str">
        <f t="shared" si="89"/>
        <v/>
      </c>
      <c r="CI129" s="604">
        <f t="shared" si="58"/>
        <v>0</v>
      </c>
      <c r="CJ129" s="604">
        <f t="shared" si="59"/>
        <v>0</v>
      </c>
      <c r="CK129" s="604">
        <f t="shared" si="60"/>
        <v>1</v>
      </c>
      <c r="CL129" s="604">
        <f t="array" ref="CL129">IF(ISNUMBER(BY129),CI129,IF(ISBLANK(BY129),CI129,CI129+$CJ$143))+$CK$143</f>
        <v>50</v>
      </c>
      <c r="CM129" t="str">
        <f t="shared" si="61"/>
        <v/>
      </c>
      <c r="CN129" s="602" t="str">
        <f t="array" ref="CN129">IFERROR(INDEX($BY$93:$BY$142,MATCH(SMALL($CL$93:$CL$142,ROWS($CM$93:CM129)+$CK$143),$CL$93:$CL$142,0)),"")</f>
        <v/>
      </c>
      <c r="DL129" s="602">
        <v>37</v>
      </c>
      <c r="DM129" s="723" t="str">
        <f t="shared" si="90"/>
        <v/>
      </c>
      <c r="DN129" s="720" t="str">
        <f t="shared" si="62"/>
        <v/>
      </c>
      <c r="DO129" s="720" t="str">
        <f t="shared" si="91"/>
        <v/>
      </c>
      <c r="DP129" s="727">
        <f t="shared" si="92"/>
        <v>0</v>
      </c>
      <c r="DQ129" s="719" t="str">
        <f t="shared" ca="1" si="93"/>
        <v/>
      </c>
      <c r="DR129" s="720">
        <f t="shared" si="75"/>
        <v>0</v>
      </c>
      <c r="DS129" s="720">
        <f>SUMIFS(Installations!CS$39:CS$800,Installations!CT$39:CT$800,DM129,Installations!HX$39:HX$800,TRUE,Installations!CR$39:CR$800,"New")</f>
        <v>0</v>
      </c>
      <c r="DT129" s="720" t="str">
        <f t="shared" si="63"/>
        <v/>
      </c>
      <c r="DU129" s="726"/>
      <c r="DX129" s="720" t="str">
        <f t="array" ref="DX129">IFERROR(IF(ROWS(DM$93:DM129)&gt;COUNTA($DM$93:$DM$145),"",INDEX($DL$93:$DL$142,SMALL(IF($DM$93:$DM$145&lt;&gt;"",ROW($DM$93:$DM$145)-ROW($DM$93)+1),ROWS($DM$93:DM129)))),"")</f>
        <v/>
      </c>
      <c r="DY129" s="602" t="str">
        <f t="shared" si="76"/>
        <v/>
      </c>
      <c r="DZ129" s="604" t="str">
        <f t="shared" si="77"/>
        <v/>
      </c>
      <c r="EA129" s="604" t="str">
        <f t="shared" si="78"/>
        <v/>
      </c>
      <c r="ED129" s="720" t="str">
        <f t="array" ref="ED129">IFERROR(IF(ROWS(DT$93:DT129)&gt;COUNTA($DT$93:$DT$145),"",INDEX($DL$93:$DL$142,SMALL(IF($DT$93:$DT$145&lt;&gt;"",ROW($DT$93:$DT$145)-ROW($DT$93)+1),ROWS($DT$93:DT129)))),"")</f>
        <v/>
      </c>
      <c r="EE129" s="602" t="str">
        <f t="shared" si="70"/>
        <v/>
      </c>
      <c r="EF129" s="604" t="str">
        <f t="shared" si="71"/>
        <v/>
      </c>
      <c r="EG129" s="606" t="str">
        <f t="shared" si="72"/>
        <v/>
      </c>
      <c r="EH129" s="604" t="str">
        <f t="shared" si="73"/>
        <v/>
      </c>
      <c r="EI129" s="604" t="str">
        <f t="shared" si="74"/>
        <v/>
      </c>
      <c r="EL129" s="1033">
        <f t="shared" si="67"/>
        <v>0</v>
      </c>
      <c r="EM129" s="602">
        <f t="shared" si="94"/>
        <v>0</v>
      </c>
      <c r="EN129" s="602">
        <f t="shared" si="68"/>
        <v>1</v>
      </c>
      <c r="EO129" s="602">
        <f t="array" ref="EO129">IF(ISNUMBER(DY129),EL129,IF(ISBLANK(DY129),EL129,EL129+$EM$143))+$EN$143</f>
        <v>49</v>
      </c>
      <c r="EP129" t="str">
        <f t="shared" si="69"/>
        <v/>
      </c>
      <c r="EQ129" s="602" t="str">
        <f t="array" ref="EQ129">IFERROR(INDEX($DY$93:$DY$142,MATCH(SMALL($EO$93:$EO$142,ROWS($EQ$93:EQ129)+$EN$143),$EO$93:$EO$142,0)),"")</f>
        <v/>
      </c>
    </row>
    <row r="130" spans="64:147">
      <c r="BL130">
        <f t="shared" si="79"/>
        <v>38</v>
      </c>
      <c r="BM130" s="723" t="str">
        <f t="shared" si="80"/>
        <v/>
      </c>
      <c r="BN130" s="720" t="str">
        <f t="shared" si="81"/>
        <v/>
      </c>
      <c r="BO130" s="720" t="b">
        <f t="shared" si="56"/>
        <v>0</v>
      </c>
      <c r="BP130" s="724" t="str">
        <f t="shared" si="82"/>
        <v/>
      </c>
      <c r="BQ130" s="720" t="str">
        <f>IFERROR(VLOOKUP(BP130,Lookup!AM$6:AN$8,2,FALSE),"")</f>
        <v/>
      </c>
      <c r="BR130" s="720" t="str">
        <f t="shared" si="83"/>
        <v/>
      </c>
      <c r="BS130" s="725">
        <f>SUMIFS(Installations!CS$39:CS$800,Installations!CT$39:CT$800,BM130,Installations!HX$39:HX$800,TRUE,Installations!CR$39:CR$800,"Exist")</f>
        <v>0</v>
      </c>
      <c r="BT130" s="720" t="str">
        <f t="shared" si="57"/>
        <v/>
      </c>
      <c r="BU130" s="726"/>
      <c r="BX130" s="720" t="str">
        <f t="array" ref="BX130">IFERROR(IF(ROWS(BM$93:BM130)&gt;COUNTA($BM$93:$BM$192),"",INDEX($BL$93:$BL$192,SMALL(IF($BM$93:$BM$192&lt;&gt;"",ROW($BM$93:$BM$192)-ROW($BM$93)+1),ROWS($BM$93:BM130)))),"")</f>
        <v/>
      </c>
      <c r="BY130" s="602" t="str">
        <f t="shared" si="84"/>
        <v/>
      </c>
      <c r="BZ130" s="604" t="str">
        <f t="shared" si="85"/>
        <v/>
      </c>
      <c r="CA130" s="604" t="str">
        <f t="shared" si="86"/>
        <v/>
      </c>
      <c r="CD130" s="720" t="str">
        <f t="array" ref="CD130">IFERROR(IF(ROWS(BT$93:BT130)&gt;COUNTA($BT$93:$BT$192),"",INDEX($BL$93:$BL$192,SMALL(IF($BT$93:$BT$192&lt;&gt;"",ROW($BT$93:$BT$192)-ROW($BT$93)+1),ROWS($BT$93:BT130)))),"")</f>
        <v/>
      </c>
      <c r="CE130" s="602" t="str">
        <f t="shared" si="87"/>
        <v/>
      </c>
      <c r="CF130" s="604" t="str">
        <f t="shared" si="88"/>
        <v/>
      </c>
      <c r="CG130" s="604" t="str">
        <f t="shared" si="89"/>
        <v/>
      </c>
      <c r="CI130" s="604">
        <f t="shared" si="58"/>
        <v>0</v>
      </c>
      <c r="CJ130" s="604">
        <f t="shared" si="59"/>
        <v>0</v>
      </c>
      <c r="CK130" s="604">
        <f t="shared" si="60"/>
        <v>1</v>
      </c>
      <c r="CL130" s="604">
        <f t="array" ref="CL130">IF(ISNUMBER(BY130),CI130,IF(ISBLANK(BY130),CI130,CI130+$CJ$143))+$CK$143</f>
        <v>50</v>
      </c>
      <c r="CM130" t="str">
        <f t="shared" si="61"/>
        <v/>
      </c>
      <c r="CN130" s="602" t="str">
        <f t="array" ref="CN130">IFERROR(INDEX($BY$93:$BY$142,MATCH(SMALL($CL$93:$CL$142,ROWS($CM$93:CM130)+$CK$143),$CL$93:$CL$142,0)),"")</f>
        <v/>
      </c>
      <c r="DL130" s="602">
        <v>38</v>
      </c>
      <c r="DM130" s="723" t="str">
        <f t="shared" si="90"/>
        <v/>
      </c>
      <c r="DN130" s="720" t="str">
        <f t="shared" si="62"/>
        <v/>
      </c>
      <c r="DO130" s="720" t="str">
        <f t="shared" si="91"/>
        <v/>
      </c>
      <c r="DP130" s="727">
        <f t="shared" si="92"/>
        <v>0</v>
      </c>
      <c r="DQ130" s="719" t="str">
        <f t="shared" ca="1" si="93"/>
        <v/>
      </c>
      <c r="DR130" s="720">
        <f t="shared" si="75"/>
        <v>0</v>
      </c>
      <c r="DS130" s="720">
        <f>SUMIFS(Installations!CS$39:CS$800,Installations!CT$39:CT$800,DM130,Installations!HX$39:HX$800,TRUE,Installations!CR$39:CR$800,"New")</f>
        <v>0</v>
      </c>
      <c r="DT130" s="720" t="str">
        <f t="shared" si="63"/>
        <v/>
      </c>
      <c r="DU130" s="726"/>
      <c r="DX130" s="720" t="str">
        <f t="array" ref="DX130">IFERROR(IF(ROWS(DM$93:DM130)&gt;COUNTA($DM$93:$DM$145),"",INDEX($DL$93:$DL$142,SMALL(IF($DM$93:$DM$145&lt;&gt;"",ROW($DM$93:$DM$145)-ROW($DM$93)+1),ROWS($DM$93:DM130)))),"")</f>
        <v/>
      </c>
      <c r="DY130" s="602" t="str">
        <f t="shared" si="76"/>
        <v/>
      </c>
      <c r="DZ130" s="604" t="str">
        <f t="shared" si="77"/>
        <v/>
      </c>
      <c r="EA130" s="604" t="str">
        <f t="shared" si="78"/>
        <v/>
      </c>
      <c r="ED130" s="720" t="str">
        <f t="array" ref="ED130">IFERROR(IF(ROWS(DT$93:DT130)&gt;COUNTA($DT$93:$DT$145),"",INDEX($DL$93:$DL$142,SMALL(IF($DT$93:$DT$145&lt;&gt;"",ROW($DT$93:$DT$145)-ROW($DT$93)+1),ROWS($DT$93:DT130)))),"")</f>
        <v/>
      </c>
      <c r="EE130" s="602" t="str">
        <f t="shared" si="70"/>
        <v/>
      </c>
      <c r="EF130" s="604" t="str">
        <f t="shared" si="71"/>
        <v/>
      </c>
      <c r="EG130" s="606" t="str">
        <f t="shared" si="72"/>
        <v/>
      </c>
      <c r="EH130" s="604" t="str">
        <f t="shared" si="73"/>
        <v/>
      </c>
      <c r="EI130" s="604" t="str">
        <f t="shared" si="74"/>
        <v/>
      </c>
      <c r="EL130" s="1033">
        <f t="shared" si="67"/>
        <v>0</v>
      </c>
      <c r="EM130" s="602">
        <f t="shared" si="94"/>
        <v>0</v>
      </c>
      <c r="EN130" s="602">
        <f t="shared" si="68"/>
        <v>1</v>
      </c>
      <c r="EO130" s="602">
        <f t="array" ref="EO130">IF(ISNUMBER(DY130),EL130,IF(ISBLANK(DY130),EL130,EL130+$EM$143))+$EN$143</f>
        <v>49</v>
      </c>
      <c r="EP130" t="str">
        <f t="shared" si="69"/>
        <v/>
      </c>
      <c r="EQ130" s="602" t="str">
        <f t="array" ref="EQ130">IFERROR(INDEX($DY$93:$DY$142,MATCH(SMALL($EO$93:$EO$142,ROWS($EQ$93:EQ130)+$EN$143),$EO$93:$EO$142,0)),"")</f>
        <v/>
      </c>
    </row>
    <row r="131" spans="64:147">
      <c r="BL131">
        <f t="shared" si="79"/>
        <v>39</v>
      </c>
      <c r="BM131" s="723" t="str">
        <f t="shared" si="80"/>
        <v/>
      </c>
      <c r="BN131" s="720" t="str">
        <f t="shared" si="81"/>
        <v/>
      </c>
      <c r="BO131" s="720" t="b">
        <f t="shared" si="56"/>
        <v>0</v>
      </c>
      <c r="BP131" s="724" t="str">
        <f t="shared" si="82"/>
        <v/>
      </c>
      <c r="BQ131" s="720" t="str">
        <f>IFERROR(VLOOKUP(BP131,Lookup!AM$6:AN$8,2,FALSE),"")</f>
        <v/>
      </c>
      <c r="BR131" s="720" t="str">
        <f t="shared" si="83"/>
        <v/>
      </c>
      <c r="BS131" s="725">
        <f>SUMIFS(Installations!CS$39:CS$800,Installations!CT$39:CT$800,BM131,Installations!HX$39:HX$800,TRUE,Installations!CR$39:CR$800,"Exist")</f>
        <v>0</v>
      </c>
      <c r="BT131" s="720" t="str">
        <f t="shared" si="57"/>
        <v/>
      </c>
      <c r="BU131" s="726"/>
      <c r="BX131" s="720" t="str">
        <f t="array" ref="BX131">IFERROR(IF(ROWS(BM$93:BM131)&gt;COUNTA($BM$93:$BM$192),"",INDEX($BL$93:$BL$192,SMALL(IF($BM$93:$BM$192&lt;&gt;"",ROW($BM$93:$BM$192)-ROW($BM$93)+1),ROWS($BM$93:BM131)))),"")</f>
        <v/>
      </c>
      <c r="BY131" s="602" t="str">
        <f t="shared" si="84"/>
        <v/>
      </c>
      <c r="BZ131" s="604" t="str">
        <f t="shared" si="85"/>
        <v/>
      </c>
      <c r="CA131" s="604" t="str">
        <f t="shared" si="86"/>
        <v/>
      </c>
      <c r="CD131" s="720" t="str">
        <f t="array" ref="CD131">IFERROR(IF(ROWS(BT$93:BT131)&gt;COUNTA($BT$93:$BT$192),"",INDEX($BL$93:$BL$192,SMALL(IF($BT$93:$BT$192&lt;&gt;"",ROW($BT$93:$BT$192)-ROW($BT$93)+1),ROWS($BT$93:BT131)))),"")</f>
        <v/>
      </c>
      <c r="CE131" s="602" t="str">
        <f t="shared" si="87"/>
        <v/>
      </c>
      <c r="CF131" s="604" t="str">
        <f t="shared" si="88"/>
        <v/>
      </c>
      <c r="CG131" s="604" t="str">
        <f t="shared" si="89"/>
        <v/>
      </c>
      <c r="CI131" s="604">
        <f t="shared" si="58"/>
        <v>0</v>
      </c>
      <c r="CJ131" s="604">
        <f t="shared" si="59"/>
        <v>0</v>
      </c>
      <c r="CK131" s="604">
        <f t="shared" si="60"/>
        <v>1</v>
      </c>
      <c r="CL131" s="604">
        <f t="array" ref="CL131">IF(ISNUMBER(BY131),CI131,IF(ISBLANK(BY131),CI131,CI131+$CJ$143))+$CK$143</f>
        <v>50</v>
      </c>
      <c r="CM131" t="str">
        <f t="shared" si="61"/>
        <v/>
      </c>
      <c r="CN131" s="602" t="str">
        <f t="array" ref="CN131">IFERROR(INDEX($BY$93:$BY$142,MATCH(SMALL($CL$93:$CL$142,ROWS($CM$93:CM131)+$CK$143),$CL$93:$CL$142,0)),"")</f>
        <v/>
      </c>
      <c r="DL131" s="602">
        <v>39</v>
      </c>
      <c r="DM131" s="723" t="str">
        <f t="shared" si="90"/>
        <v/>
      </c>
      <c r="DN131" s="720" t="str">
        <f t="shared" si="62"/>
        <v/>
      </c>
      <c r="DO131" s="720" t="str">
        <f t="shared" si="91"/>
        <v/>
      </c>
      <c r="DP131" s="727">
        <f t="shared" si="92"/>
        <v>0</v>
      </c>
      <c r="DQ131" s="719" t="str">
        <f t="shared" ca="1" si="93"/>
        <v/>
      </c>
      <c r="DR131" s="720">
        <f t="shared" si="75"/>
        <v>0</v>
      </c>
      <c r="DS131" s="720">
        <f>SUMIFS(Installations!CS$39:CS$800,Installations!CT$39:CT$800,DM131,Installations!HX$39:HX$800,TRUE,Installations!CR$39:CR$800,"New")</f>
        <v>0</v>
      </c>
      <c r="DT131" s="720" t="str">
        <f t="shared" si="63"/>
        <v/>
      </c>
      <c r="DU131" s="726"/>
      <c r="DX131" s="720" t="str">
        <f t="array" ref="DX131">IFERROR(IF(ROWS(DM$93:DM131)&gt;COUNTA($DM$93:$DM$145),"",INDEX($DL$93:$DL$142,SMALL(IF($DM$93:$DM$145&lt;&gt;"",ROW($DM$93:$DM$145)-ROW($DM$93)+1),ROWS($DM$93:DM131)))),"")</f>
        <v/>
      </c>
      <c r="DY131" s="602" t="str">
        <f t="shared" si="76"/>
        <v/>
      </c>
      <c r="DZ131" s="604" t="str">
        <f t="shared" si="77"/>
        <v/>
      </c>
      <c r="EA131" s="604" t="str">
        <f t="shared" si="78"/>
        <v/>
      </c>
      <c r="ED131" s="720" t="str">
        <f t="array" ref="ED131">IFERROR(IF(ROWS(DT$93:DT131)&gt;COUNTA($DT$93:$DT$145),"",INDEX($DL$93:$DL$142,SMALL(IF($DT$93:$DT$145&lt;&gt;"",ROW($DT$93:$DT$145)-ROW($DT$93)+1),ROWS($DT$93:DT131)))),"")</f>
        <v/>
      </c>
      <c r="EE131" s="602" t="str">
        <f t="shared" si="70"/>
        <v/>
      </c>
      <c r="EF131" s="604" t="str">
        <f t="shared" si="71"/>
        <v/>
      </c>
      <c r="EG131" s="606" t="str">
        <f t="shared" si="72"/>
        <v/>
      </c>
      <c r="EH131" s="604" t="str">
        <f t="shared" si="73"/>
        <v/>
      </c>
      <c r="EI131" s="604" t="str">
        <f t="shared" si="74"/>
        <v/>
      </c>
      <c r="EL131" s="1033">
        <f t="shared" si="67"/>
        <v>0</v>
      </c>
      <c r="EM131" s="602">
        <f t="shared" si="94"/>
        <v>0</v>
      </c>
      <c r="EN131" s="602">
        <f t="shared" si="68"/>
        <v>1</v>
      </c>
      <c r="EO131" s="602">
        <f t="array" ref="EO131">IF(ISNUMBER(DY131),EL131,IF(ISBLANK(DY131),EL131,EL131+$EM$143))+$EN$143</f>
        <v>49</v>
      </c>
      <c r="EP131" t="str">
        <f t="shared" si="69"/>
        <v/>
      </c>
      <c r="EQ131" s="602" t="str">
        <f t="array" ref="EQ131">IFERROR(INDEX($DY$93:$DY$142,MATCH(SMALL($EO$93:$EO$142,ROWS($EQ$93:EQ131)+$EN$143),$EO$93:$EO$142,0)),"")</f>
        <v/>
      </c>
    </row>
    <row r="132" spans="64:147">
      <c r="BL132">
        <f t="shared" si="79"/>
        <v>40</v>
      </c>
      <c r="BM132" s="723" t="str">
        <f t="shared" si="80"/>
        <v/>
      </c>
      <c r="BN132" s="720" t="str">
        <f t="shared" si="81"/>
        <v/>
      </c>
      <c r="BO132" s="720" t="b">
        <f t="shared" si="56"/>
        <v>0</v>
      </c>
      <c r="BP132" s="724" t="str">
        <f t="shared" si="82"/>
        <v/>
      </c>
      <c r="BQ132" s="720" t="str">
        <f>IFERROR(VLOOKUP(BP132,Lookup!AM$6:AN$8,2,FALSE),"")</f>
        <v/>
      </c>
      <c r="BR132" s="720" t="str">
        <f t="shared" si="83"/>
        <v/>
      </c>
      <c r="BS132" s="725">
        <f>SUMIFS(Installations!CS$39:CS$800,Installations!CT$39:CT$800,BM132,Installations!HX$39:HX$800,TRUE,Installations!CR$39:CR$800,"Exist")</f>
        <v>0</v>
      </c>
      <c r="BT132" s="720" t="str">
        <f t="shared" si="57"/>
        <v/>
      </c>
      <c r="BU132" s="726"/>
      <c r="BX132" s="720" t="str">
        <f t="array" ref="BX132">IFERROR(IF(ROWS(BM$93:BM132)&gt;COUNTA($BM$93:$BM$192),"",INDEX($BL$93:$BL$192,SMALL(IF($BM$93:$BM$192&lt;&gt;"",ROW($BM$93:$BM$192)-ROW($BM$93)+1),ROWS($BM$93:BM132)))),"")</f>
        <v/>
      </c>
      <c r="BY132" s="602" t="str">
        <f t="shared" si="84"/>
        <v/>
      </c>
      <c r="BZ132" s="604" t="str">
        <f t="shared" si="85"/>
        <v/>
      </c>
      <c r="CA132" s="604" t="str">
        <f t="shared" si="86"/>
        <v/>
      </c>
      <c r="CD132" s="720" t="str">
        <f t="array" ref="CD132">IFERROR(IF(ROWS(BT$93:BT132)&gt;COUNTA($BT$93:$BT$192),"",INDEX($BL$93:$BL$192,SMALL(IF($BT$93:$BT$192&lt;&gt;"",ROW($BT$93:$BT$192)-ROW($BT$93)+1),ROWS($BT$93:BT132)))),"")</f>
        <v/>
      </c>
      <c r="CE132" s="602" t="str">
        <f t="shared" si="87"/>
        <v/>
      </c>
      <c r="CF132" s="604" t="str">
        <f t="shared" si="88"/>
        <v/>
      </c>
      <c r="CG132" s="604" t="str">
        <f t="shared" si="89"/>
        <v/>
      </c>
      <c r="CI132" s="604">
        <f t="shared" si="58"/>
        <v>0</v>
      </c>
      <c r="CJ132" s="604">
        <f t="shared" si="59"/>
        <v>0</v>
      </c>
      <c r="CK132" s="604">
        <f t="shared" si="60"/>
        <v>1</v>
      </c>
      <c r="CL132" s="604">
        <f t="array" ref="CL132">IF(ISNUMBER(BY132),CI132,IF(ISBLANK(BY132),CI132,CI132+$CJ$143))+$CK$143</f>
        <v>50</v>
      </c>
      <c r="CM132" t="str">
        <f t="shared" si="61"/>
        <v/>
      </c>
      <c r="CN132" s="602" t="str">
        <f t="array" ref="CN132">IFERROR(INDEX($BY$93:$BY$142,MATCH(SMALL($CL$93:$CL$142,ROWS($CM$93:CM132)+$CK$143),$CL$93:$CL$142,0)),"")</f>
        <v/>
      </c>
      <c r="DL132" s="602">
        <v>40</v>
      </c>
      <c r="DM132" s="723" t="str">
        <f t="shared" si="90"/>
        <v/>
      </c>
      <c r="DN132" s="720" t="str">
        <f t="shared" si="62"/>
        <v/>
      </c>
      <c r="DO132" s="720" t="str">
        <f t="shared" si="91"/>
        <v/>
      </c>
      <c r="DP132" s="727">
        <f t="shared" si="92"/>
        <v>0</v>
      </c>
      <c r="DQ132" s="719" t="str">
        <f t="shared" ca="1" si="93"/>
        <v/>
      </c>
      <c r="DR132" s="720">
        <f t="shared" si="75"/>
        <v>0</v>
      </c>
      <c r="DS132" s="720">
        <f>SUMIFS(Installations!CS$39:CS$800,Installations!CT$39:CT$800,DM132,Installations!HX$39:HX$800,TRUE,Installations!CR$39:CR$800,"New")</f>
        <v>0</v>
      </c>
      <c r="DT132" s="720" t="str">
        <f t="shared" si="63"/>
        <v/>
      </c>
      <c r="DU132" s="726"/>
      <c r="DX132" s="720" t="str">
        <f t="array" ref="DX132">IFERROR(IF(ROWS(DM$93:DM132)&gt;COUNTA($DM$93:$DM$145),"",INDEX($DL$93:$DL$142,SMALL(IF($DM$93:$DM$145&lt;&gt;"",ROW($DM$93:$DM$145)-ROW($DM$93)+1),ROWS($DM$93:DM132)))),"")</f>
        <v/>
      </c>
      <c r="DY132" s="602" t="str">
        <f t="shared" si="76"/>
        <v/>
      </c>
      <c r="DZ132" s="604" t="str">
        <f t="shared" si="77"/>
        <v/>
      </c>
      <c r="EA132" s="604" t="str">
        <f t="shared" si="78"/>
        <v/>
      </c>
      <c r="ED132" s="720" t="str">
        <f t="array" ref="ED132">IFERROR(IF(ROWS(DT$93:DT132)&gt;COUNTA($DT$93:$DT$145),"",INDEX($DL$93:$DL$142,SMALL(IF($DT$93:$DT$145&lt;&gt;"",ROW($DT$93:$DT$145)-ROW($DT$93)+1),ROWS($DT$93:DT132)))),"")</f>
        <v/>
      </c>
      <c r="EE132" s="602" t="str">
        <f t="shared" si="70"/>
        <v/>
      </c>
      <c r="EF132" s="604" t="str">
        <f t="shared" si="71"/>
        <v/>
      </c>
      <c r="EG132" s="606" t="str">
        <f t="shared" si="72"/>
        <v/>
      </c>
      <c r="EH132" s="604" t="str">
        <f t="shared" si="73"/>
        <v/>
      </c>
      <c r="EI132" s="604" t="str">
        <f t="shared" si="74"/>
        <v/>
      </c>
      <c r="EL132" s="1033">
        <f t="shared" si="67"/>
        <v>0</v>
      </c>
      <c r="EM132" s="602">
        <f t="shared" si="94"/>
        <v>0</v>
      </c>
      <c r="EN132" s="602">
        <f t="shared" si="68"/>
        <v>1</v>
      </c>
      <c r="EO132" s="602">
        <f t="array" ref="EO132">IF(ISNUMBER(DY132),EL132,IF(ISBLANK(DY132),EL132,EL132+$EM$143))+$EN$143</f>
        <v>49</v>
      </c>
      <c r="EP132" t="str">
        <f t="shared" si="69"/>
        <v/>
      </c>
      <c r="EQ132" s="602" t="str">
        <f t="array" ref="EQ132">IFERROR(INDEX($DY$93:$DY$142,MATCH(SMALL($EO$93:$EO$142,ROWS($EQ$93:EQ132)+$EN$143),$EO$93:$EO$142,0)),"")</f>
        <v/>
      </c>
    </row>
    <row r="133" spans="64:147">
      <c r="BL133">
        <f t="shared" si="79"/>
        <v>41</v>
      </c>
      <c r="BM133" s="723" t="str">
        <f t="shared" si="80"/>
        <v/>
      </c>
      <c r="BN133" s="720" t="str">
        <f t="shared" si="81"/>
        <v/>
      </c>
      <c r="BO133" s="720" t="b">
        <f t="shared" si="56"/>
        <v>0</v>
      </c>
      <c r="BP133" s="724" t="str">
        <f t="shared" si="82"/>
        <v/>
      </c>
      <c r="BQ133" s="720" t="str">
        <f>IFERROR(VLOOKUP(BP133,Lookup!AM$6:AN$8,2,FALSE),"")</f>
        <v/>
      </c>
      <c r="BR133" s="720" t="str">
        <f t="shared" si="83"/>
        <v/>
      </c>
      <c r="BS133" s="725">
        <f>SUMIFS(Installations!CS$39:CS$800,Installations!CT$39:CT$800,BM133,Installations!HX$39:HX$800,TRUE,Installations!CR$39:CR$800,"Exist")</f>
        <v>0</v>
      </c>
      <c r="BT133" s="720" t="str">
        <f t="shared" si="57"/>
        <v/>
      </c>
      <c r="BU133" s="726"/>
      <c r="BX133" s="720" t="str">
        <f t="array" ref="BX133">IFERROR(IF(ROWS(BM$93:BM133)&gt;COUNTA($BM$93:$BM$192),"",INDEX($BL$93:$BL$192,SMALL(IF($BM$93:$BM$192&lt;&gt;"",ROW($BM$93:$BM$192)-ROW($BM$93)+1),ROWS($BM$93:BM133)))),"")</f>
        <v/>
      </c>
      <c r="BY133" s="602" t="str">
        <f t="shared" si="84"/>
        <v/>
      </c>
      <c r="BZ133" s="604" t="str">
        <f t="shared" si="85"/>
        <v/>
      </c>
      <c r="CA133" s="604" t="str">
        <f t="shared" si="86"/>
        <v/>
      </c>
      <c r="CD133" s="720" t="str">
        <f t="array" ref="CD133">IFERROR(IF(ROWS(BT$93:BT133)&gt;COUNTA($BT$93:$BT$192),"",INDEX($BL$93:$BL$192,SMALL(IF($BT$93:$BT$192&lt;&gt;"",ROW($BT$93:$BT$192)-ROW($BT$93)+1),ROWS($BT$93:BT133)))),"")</f>
        <v/>
      </c>
      <c r="CE133" s="602" t="str">
        <f t="shared" si="87"/>
        <v/>
      </c>
      <c r="CF133" s="604" t="str">
        <f t="shared" si="88"/>
        <v/>
      </c>
      <c r="CG133" s="604" t="str">
        <f t="shared" si="89"/>
        <v/>
      </c>
      <c r="CI133" s="604">
        <f t="shared" si="58"/>
        <v>0</v>
      </c>
      <c r="CJ133" s="604">
        <f t="shared" si="59"/>
        <v>0</v>
      </c>
      <c r="CK133" s="604">
        <f t="shared" si="60"/>
        <v>1</v>
      </c>
      <c r="CL133" s="604">
        <f t="array" ref="CL133">IF(ISNUMBER(BY133),CI133,IF(ISBLANK(BY133),CI133,CI133+$CJ$143))+$CK$143</f>
        <v>50</v>
      </c>
      <c r="CM133" t="str">
        <f t="shared" si="61"/>
        <v/>
      </c>
      <c r="CN133" s="602" t="str">
        <f t="array" ref="CN133">IFERROR(INDEX($BY$93:$BY$142,MATCH(SMALL($CL$93:$CL$142,ROWS($CM$93:CM133)+$CK$143),$CL$93:$CL$142,0)),"")</f>
        <v/>
      </c>
      <c r="DL133" s="602">
        <v>41</v>
      </c>
      <c r="DM133" s="723" t="str">
        <f t="shared" si="90"/>
        <v/>
      </c>
      <c r="DN133" s="720" t="str">
        <f t="shared" si="62"/>
        <v/>
      </c>
      <c r="DO133" s="720" t="str">
        <f t="shared" si="91"/>
        <v/>
      </c>
      <c r="DP133" s="727">
        <f t="shared" si="92"/>
        <v>0</v>
      </c>
      <c r="DQ133" s="719" t="str">
        <f t="shared" ca="1" si="93"/>
        <v/>
      </c>
      <c r="DR133" s="720">
        <f t="shared" si="75"/>
        <v>0</v>
      </c>
      <c r="DS133" s="720">
        <f>SUMIFS(Installations!CS$39:CS$800,Installations!CT$39:CT$800,DM133,Installations!HX$39:HX$800,TRUE,Installations!CR$39:CR$800,"New")</f>
        <v>0</v>
      </c>
      <c r="DT133" s="720" t="str">
        <f t="shared" si="63"/>
        <v/>
      </c>
      <c r="DU133" s="726"/>
      <c r="DX133" s="720" t="str">
        <f t="array" ref="DX133">IFERROR(IF(ROWS(DM$93:DM133)&gt;COUNTA($DM$93:$DM$145),"",INDEX($DL$93:$DL$142,SMALL(IF($DM$93:$DM$145&lt;&gt;"",ROW($DM$93:$DM$145)-ROW($DM$93)+1),ROWS($DM$93:DM133)))),"")</f>
        <v/>
      </c>
      <c r="DY133" s="602" t="str">
        <f t="shared" si="76"/>
        <v/>
      </c>
      <c r="DZ133" s="604" t="str">
        <f t="shared" si="77"/>
        <v/>
      </c>
      <c r="EA133" s="604" t="str">
        <f t="shared" si="78"/>
        <v/>
      </c>
      <c r="ED133" s="720" t="str">
        <f t="array" ref="ED133">IFERROR(IF(ROWS(DT$93:DT133)&gt;COUNTA($DT$93:$DT$145),"",INDEX($DL$93:$DL$142,SMALL(IF($DT$93:$DT$145&lt;&gt;"",ROW($DT$93:$DT$145)-ROW($DT$93)+1),ROWS($DT$93:DT133)))),"")</f>
        <v/>
      </c>
      <c r="EE133" s="602" t="str">
        <f t="shared" si="70"/>
        <v/>
      </c>
      <c r="EF133" s="604" t="str">
        <f t="shared" si="71"/>
        <v/>
      </c>
      <c r="EG133" s="606" t="str">
        <f t="shared" si="72"/>
        <v/>
      </c>
      <c r="EH133" s="604" t="str">
        <f t="shared" si="73"/>
        <v/>
      </c>
      <c r="EI133" s="604" t="str">
        <f t="shared" si="74"/>
        <v/>
      </c>
      <c r="EL133" s="1033">
        <f t="shared" si="67"/>
        <v>0</v>
      </c>
      <c r="EM133" s="602">
        <f t="shared" si="94"/>
        <v>0</v>
      </c>
      <c r="EN133" s="602">
        <f t="shared" si="68"/>
        <v>1</v>
      </c>
      <c r="EO133" s="602">
        <f t="array" ref="EO133">IF(ISNUMBER(DY133),EL133,IF(ISBLANK(DY133),EL133,EL133+$EM$143))+$EN$143</f>
        <v>49</v>
      </c>
      <c r="EP133" t="str">
        <f t="shared" si="69"/>
        <v/>
      </c>
      <c r="EQ133" s="602" t="str">
        <f t="array" ref="EQ133">IFERROR(INDEX($DY$93:$DY$142,MATCH(SMALL($EO$93:$EO$142,ROWS($EQ$93:EQ133)+$EN$143),$EO$93:$EO$142,0)),"")</f>
        <v/>
      </c>
    </row>
    <row r="134" spans="64:147">
      <c r="BL134">
        <f t="shared" si="79"/>
        <v>42</v>
      </c>
      <c r="BM134" s="723" t="str">
        <f t="shared" si="80"/>
        <v/>
      </c>
      <c r="BN134" s="720" t="str">
        <f t="shared" si="81"/>
        <v/>
      </c>
      <c r="BO134" s="720" t="b">
        <f t="shared" si="56"/>
        <v>0</v>
      </c>
      <c r="BP134" s="724" t="str">
        <f t="shared" si="82"/>
        <v/>
      </c>
      <c r="BQ134" s="720" t="str">
        <f>IFERROR(VLOOKUP(BP134,Lookup!AM$6:AN$8,2,FALSE),"")</f>
        <v/>
      </c>
      <c r="BR134" s="720" t="str">
        <f t="shared" si="83"/>
        <v/>
      </c>
      <c r="BS134" s="725">
        <f>SUMIFS(Installations!CS$39:CS$800,Installations!CT$39:CT$800,BM134,Installations!HX$39:HX$800,TRUE,Installations!CR$39:CR$800,"Exist")</f>
        <v>0</v>
      </c>
      <c r="BT134" s="720" t="str">
        <f t="shared" si="57"/>
        <v/>
      </c>
      <c r="BU134" s="726"/>
      <c r="BX134" s="720" t="str">
        <f t="array" ref="BX134">IFERROR(IF(ROWS(BM$93:BM134)&gt;COUNTA($BM$93:$BM$192),"",INDEX($BL$93:$BL$192,SMALL(IF($BM$93:$BM$192&lt;&gt;"",ROW($BM$93:$BM$192)-ROW($BM$93)+1),ROWS($BM$93:BM134)))),"")</f>
        <v/>
      </c>
      <c r="BY134" s="602" t="str">
        <f t="shared" si="84"/>
        <v/>
      </c>
      <c r="BZ134" s="604" t="str">
        <f t="shared" si="85"/>
        <v/>
      </c>
      <c r="CA134" s="604" t="str">
        <f t="shared" si="86"/>
        <v/>
      </c>
      <c r="CD134" s="720" t="str">
        <f t="array" ref="CD134">IFERROR(IF(ROWS(BT$93:BT134)&gt;COUNTA($BT$93:$BT$192),"",INDEX($BL$93:$BL$192,SMALL(IF($BT$93:$BT$192&lt;&gt;"",ROW($BT$93:$BT$192)-ROW($BT$93)+1),ROWS($BT$93:BT134)))),"")</f>
        <v/>
      </c>
      <c r="CE134" s="602" t="str">
        <f t="shared" si="87"/>
        <v/>
      </c>
      <c r="CF134" s="604" t="str">
        <f t="shared" si="88"/>
        <v/>
      </c>
      <c r="CG134" s="604" t="str">
        <f t="shared" si="89"/>
        <v/>
      </c>
      <c r="CI134" s="604">
        <f t="shared" si="58"/>
        <v>0</v>
      </c>
      <c r="CJ134" s="604">
        <f t="shared" si="59"/>
        <v>0</v>
      </c>
      <c r="CK134" s="604">
        <f t="shared" si="60"/>
        <v>1</v>
      </c>
      <c r="CL134" s="604">
        <f t="array" ref="CL134">IF(ISNUMBER(BY134),CI134,IF(ISBLANK(BY134),CI134,CI134+$CJ$143))+$CK$143</f>
        <v>50</v>
      </c>
      <c r="CM134" t="str">
        <f t="shared" si="61"/>
        <v/>
      </c>
      <c r="CN134" s="602" t="str">
        <f t="array" ref="CN134">IFERROR(INDEX($BY$93:$BY$142,MATCH(SMALL($CL$93:$CL$142,ROWS($CM$93:CM134)+$CK$143),$CL$93:$CL$142,0)),"")</f>
        <v/>
      </c>
      <c r="DL134" s="602">
        <v>42</v>
      </c>
      <c r="DM134" s="723" t="str">
        <f t="shared" si="90"/>
        <v/>
      </c>
      <c r="DN134" s="720" t="str">
        <f t="shared" si="62"/>
        <v/>
      </c>
      <c r="DO134" s="720" t="str">
        <f t="shared" si="91"/>
        <v/>
      </c>
      <c r="DP134" s="727">
        <f t="shared" si="92"/>
        <v>0</v>
      </c>
      <c r="DQ134" s="719" t="str">
        <f t="shared" ca="1" si="93"/>
        <v/>
      </c>
      <c r="DR134" s="720">
        <f t="shared" si="75"/>
        <v>0</v>
      </c>
      <c r="DS134" s="720">
        <f>SUMIFS(Installations!CS$39:CS$800,Installations!CT$39:CT$800,DM134,Installations!HX$39:HX$800,TRUE,Installations!CR$39:CR$800,"New")</f>
        <v>0</v>
      </c>
      <c r="DT134" s="720" t="str">
        <f t="shared" si="63"/>
        <v/>
      </c>
      <c r="DU134" s="726"/>
      <c r="DX134" s="720" t="str">
        <f t="array" ref="DX134">IFERROR(IF(ROWS(DM$93:DM134)&gt;COUNTA($DM$93:$DM$145),"",INDEX($DL$93:$DL$142,SMALL(IF($DM$93:$DM$145&lt;&gt;"",ROW($DM$93:$DM$145)-ROW($DM$93)+1),ROWS($DM$93:DM134)))),"")</f>
        <v/>
      </c>
      <c r="DY134" s="602" t="str">
        <f t="shared" si="76"/>
        <v/>
      </c>
      <c r="DZ134" s="604" t="str">
        <f t="shared" si="77"/>
        <v/>
      </c>
      <c r="EA134" s="604" t="str">
        <f t="shared" si="78"/>
        <v/>
      </c>
      <c r="ED134" s="720" t="str">
        <f t="array" ref="ED134">IFERROR(IF(ROWS(DT$93:DT134)&gt;COUNTA($DT$93:$DT$145),"",INDEX($DL$93:$DL$142,SMALL(IF($DT$93:$DT$145&lt;&gt;"",ROW($DT$93:$DT$145)-ROW($DT$93)+1),ROWS($DT$93:DT134)))),"")</f>
        <v/>
      </c>
      <c r="EE134" s="602" t="str">
        <f t="shared" si="70"/>
        <v/>
      </c>
      <c r="EF134" s="604" t="str">
        <f t="shared" si="71"/>
        <v/>
      </c>
      <c r="EG134" s="606" t="str">
        <f t="shared" si="72"/>
        <v/>
      </c>
      <c r="EH134" s="604" t="str">
        <f t="shared" si="73"/>
        <v/>
      </c>
      <c r="EI134" s="604" t="str">
        <f t="shared" si="74"/>
        <v/>
      </c>
      <c r="EL134" s="1033">
        <f t="shared" si="67"/>
        <v>0</v>
      </c>
      <c r="EM134" s="602">
        <f t="shared" si="94"/>
        <v>0</v>
      </c>
      <c r="EN134" s="602">
        <f t="shared" si="68"/>
        <v>1</v>
      </c>
      <c r="EO134" s="602">
        <f t="array" ref="EO134">IF(ISNUMBER(DY134),EL134,IF(ISBLANK(DY134),EL134,EL134+$EM$143))+$EN$143</f>
        <v>49</v>
      </c>
      <c r="EP134" t="str">
        <f t="shared" si="69"/>
        <v/>
      </c>
      <c r="EQ134" s="602" t="str">
        <f t="array" ref="EQ134">IFERROR(INDEX($DY$93:$DY$142,MATCH(SMALL($EO$93:$EO$142,ROWS($EQ$93:EQ134)+$EN$143),$EO$93:$EO$142,0)),"")</f>
        <v/>
      </c>
    </row>
    <row r="135" spans="64:147">
      <c r="BL135">
        <f t="shared" si="79"/>
        <v>43</v>
      </c>
      <c r="BM135" s="723" t="str">
        <f t="shared" si="80"/>
        <v/>
      </c>
      <c r="BN135" s="720" t="str">
        <f t="shared" si="81"/>
        <v/>
      </c>
      <c r="BO135" s="720" t="b">
        <f t="shared" si="56"/>
        <v>0</v>
      </c>
      <c r="BP135" s="724" t="str">
        <f t="shared" si="82"/>
        <v/>
      </c>
      <c r="BQ135" s="720" t="str">
        <f>IFERROR(VLOOKUP(BP135,Lookup!AM$6:AN$8,2,FALSE),"")</f>
        <v/>
      </c>
      <c r="BR135" s="720" t="str">
        <f t="shared" si="83"/>
        <v/>
      </c>
      <c r="BS135" s="725">
        <f>SUMIFS(Installations!CS$39:CS$800,Installations!CT$39:CT$800,BM135,Installations!HX$39:HX$800,TRUE,Installations!CR$39:CR$800,"Exist")</f>
        <v>0</v>
      </c>
      <c r="BT135" s="720" t="str">
        <f t="shared" si="57"/>
        <v/>
      </c>
      <c r="BU135" s="726"/>
      <c r="BX135" s="720" t="str">
        <f t="array" ref="BX135">IFERROR(IF(ROWS(BM$93:BM135)&gt;COUNTA($BM$93:$BM$192),"",INDEX($BL$93:$BL$192,SMALL(IF($BM$93:$BM$192&lt;&gt;"",ROW($BM$93:$BM$192)-ROW($BM$93)+1),ROWS($BM$93:BM135)))),"")</f>
        <v/>
      </c>
      <c r="BY135" s="602" t="str">
        <f t="shared" si="84"/>
        <v/>
      </c>
      <c r="BZ135" s="604" t="str">
        <f t="shared" si="85"/>
        <v/>
      </c>
      <c r="CA135" s="604" t="str">
        <f t="shared" si="86"/>
        <v/>
      </c>
      <c r="CD135" s="720" t="str">
        <f t="array" ref="CD135">IFERROR(IF(ROWS(BT$93:BT135)&gt;COUNTA($BT$93:$BT$192),"",INDEX($BL$93:$BL$192,SMALL(IF($BT$93:$BT$192&lt;&gt;"",ROW($BT$93:$BT$192)-ROW($BT$93)+1),ROWS($BT$93:BT135)))),"")</f>
        <v/>
      </c>
      <c r="CE135" s="602" t="str">
        <f t="shared" si="87"/>
        <v/>
      </c>
      <c r="CF135" s="604" t="str">
        <f t="shared" si="88"/>
        <v/>
      </c>
      <c r="CG135" s="604" t="str">
        <f t="shared" si="89"/>
        <v/>
      </c>
      <c r="CI135" s="604">
        <f t="shared" si="58"/>
        <v>0</v>
      </c>
      <c r="CJ135" s="604">
        <f t="shared" si="59"/>
        <v>0</v>
      </c>
      <c r="CK135" s="604">
        <f t="shared" si="60"/>
        <v>1</v>
      </c>
      <c r="CL135" s="604">
        <f t="array" ref="CL135">IF(ISNUMBER(BY135),CI135,IF(ISBLANK(BY135),CI135,CI135+$CJ$143))+$CK$143</f>
        <v>50</v>
      </c>
      <c r="CM135" t="str">
        <f t="shared" si="61"/>
        <v/>
      </c>
      <c r="CN135" s="602" t="str">
        <f t="array" ref="CN135">IFERROR(INDEX($BY$93:$BY$142,MATCH(SMALL($CL$93:$CL$142,ROWS($CM$93:CM135)+$CK$143),$CL$93:$CL$142,0)),"")</f>
        <v/>
      </c>
      <c r="DL135" s="602">
        <v>43</v>
      </c>
      <c r="DM135" s="723" t="str">
        <f t="shared" si="90"/>
        <v/>
      </c>
      <c r="DN135" s="720" t="str">
        <f t="shared" si="62"/>
        <v/>
      </c>
      <c r="DO135" s="720" t="str">
        <f t="shared" si="91"/>
        <v/>
      </c>
      <c r="DP135" s="727">
        <f t="shared" si="92"/>
        <v>0</v>
      </c>
      <c r="DQ135" s="719" t="str">
        <f t="shared" ca="1" si="93"/>
        <v/>
      </c>
      <c r="DR135" s="720">
        <f t="shared" si="75"/>
        <v>0</v>
      </c>
      <c r="DS135" s="720">
        <f>SUMIFS(Installations!CS$39:CS$800,Installations!CT$39:CT$800,DM135,Installations!HX$39:HX$800,TRUE,Installations!CR$39:CR$800,"New")</f>
        <v>0</v>
      </c>
      <c r="DT135" s="720" t="str">
        <f t="shared" si="63"/>
        <v/>
      </c>
      <c r="DU135" s="726"/>
      <c r="DX135" s="720" t="str">
        <f t="array" ref="DX135">IFERROR(IF(ROWS(DM$93:DM135)&gt;COUNTA($DM$93:$DM$145),"",INDEX($DL$93:$DL$142,SMALL(IF($DM$93:$DM$145&lt;&gt;"",ROW($DM$93:$DM$145)-ROW($DM$93)+1),ROWS($DM$93:DM135)))),"")</f>
        <v/>
      </c>
      <c r="DY135" s="602" t="str">
        <f t="shared" si="76"/>
        <v/>
      </c>
      <c r="DZ135" s="604" t="str">
        <f t="shared" si="77"/>
        <v/>
      </c>
      <c r="EA135" s="604" t="str">
        <f t="shared" si="78"/>
        <v/>
      </c>
      <c r="ED135" s="720" t="str">
        <f t="array" ref="ED135">IFERROR(IF(ROWS(DT$93:DT135)&gt;COUNTA($DT$93:$DT$145),"",INDEX($DL$93:$DL$142,SMALL(IF($DT$93:$DT$145&lt;&gt;"",ROW($DT$93:$DT$145)-ROW($DT$93)+1),ROWS($DT$93:DT135)))),"")</f>
        <v/>
      </c>
      <c r="EE135" s="602" t="str">
        <f t="shared" si="70"/>
        <v/>
      </c>
      <c r="EF135" s="604" t="str">
        <f t="shared" si="71"/>
        <v/>
      </c>
      <c r="EG135" s="606" t="str">
        <f t="shared" si="72"/>
        <v/>
      </c>
      <c r="EH135" s="604" t="str">
        <f t="shared" si="73"/>
        <v/>
      </c>
      <c r="EI135" s="604" t="str">
        <f t="shared" si="74"/>
        <v/>
      </c>
      <c r="EL135" s="1033">
        <f t="shared" si="67"/>
        <v>0</v>
      </c>
      <c r="EM135" s="602">
        <f t="shared" si="94"/>
        <v>0</v>
      </c>
      <c r="EN135" s="602">
        <f t="shared" si="68"/>
        <v>1</v>
      </c>
      <c r="EO135" s="602">
        <f t="array" ref="EO135">IF(ISNUMBER(DY135),EL135,IF(ISBLANK(DY135),EL135,EL135+$EM$143))+$EN$143</f>
        <v>49</v>
      </c>
      <c r="EP135" t="str">
        <f t="shared" si="69"/>
        <v/>
      </c>
      <c r="EQ135" s="602" t="str">
        <f t="array" ref="EQ135">IFERROR(INDEX($DY$93:$DY$142,MATCH(SMALL($EO$93:$EO$142,ROWS($EQ$93:EQ135)+$EN$143),$EO$93:$EO$142,0)),"")</f>
        <v/>
      </c>
    </row>
    <row r="136" spans="64:147">
      <c r="BL136">
        <f t="shared" si="79"/>
        <v>44</v>
      </c>
      <c r="BM136" s="723" t="str">
        <f t="shared" si="80"/>
        <v/>
      </c>
      <c r="BN136" s="720" t="str">
        <f t="shared" si="81"/>
        <v/>
      </c>
      <c r="BO136" s="720" t="b">
        <f t="shared" si="56"/>
        <v>0</v>
      </c>
      <c r="BP136" s="724" t="str">
        <f t="shared" si="82"/>
        <v/>
      </c>
      <c r="BQ136" s="720" t="str">
        <f>IFERROR(VLOOKUP(BP136,Lookup!AM$6:AN$8,2,FALSE),"")</f>
        <v/>
      </c>
      <c r="BR136" s="720" t="str">
        <f t="shared" si="83"/>
        <v/>
      </c>
      <c r="BS136" s="725">
        <f>SUMIFS(Installations!CS$39:CS$800,Installations!CT$39:CT$800,BM136,Installations!HX$39:HX$800,TRUE,Installations!CR$39:CR$800,"Exist")</f>
        <v>0</v>
      </c>
      <c r="BT136" s="720" t="str">
        <f t="shared" si="57"/>
        <v/>
      </c>
      <c r="BU136" s="726"/>
      <c r="BX136" s="720" t="str">
        <f t="array" ref="BX136">IFERROR(IF(ROWS(BM$93:BM136)&gt;COUNTA($BM$93:$BM$192),"",INDEX($BL$93:$BL$192,SMALL(IF($BM$93:$BM$192&lt;&gt;"",ROW($BM$93:$BM$192)-ROW($BM$93)+1),ROWS($BM$93:BM136)))),"")</f>
        <v/>
      </c>
      <c r="BY136" s="602" t="str">
        <f t="shared" si="84"/>
        <v/>
      </c>
      <c r="BZ136" s="604" t="str">
        <f t="shared" si="85"/>
        <v/>
      </c>
      <c r="CA136" s="604" t="str">
        <f t="shared" si="86"/>
        <v/>
      </c>
      <c r="CD136" s="720" t="str">
        <f t="array" ref="CD136">IFERROR(IF(ROWS(BT$93:BT136)&gt;COUNTA($BT$93:$BT$192),"",INDEX($BL$93:$BL$192,SMALL(IF($BT$93:$BT$192&lt;&gt;"",ROW($BT$93:$BT$192)-ROW($BT$93)+1),ROWS($BT$93:BT136)))),"")</f>
        <v/>
      </c>
      <c r="CE136" s="602" t="str">
        <f t="shared" si="87"/>
        <v/>
      </c>
      <c r="CF136" s="604" t="str">
        <f t="shared" si="88"/>
        <v/>
      </c>
      <c r="CG136" s="604" t="str">
        <f t="shared" si="89"/>
        <v/>
      </c>
      <c r="CI136" s="604">
        <f t="shared" si="58"/>
        <v>0</v>
      </c>
      <c r="CJ136" s="604">
        <f t="shared" si="59"/>
        <v>0</v>
      </c>
      <c r="CK136" s="604">
        <f t="shared" si="60"/>
        <v>1</v>
      </c>
      <c r="CL136" s="604">
        <f t="array" ref="CL136">IF(ISNUMBER(BY136),CI136,IF(ISBLANK(BY136),CI136,CI136+$CJ$143))+$CK$143</f>
        <v>50</v>
      </c>
      <c r="CM136" t="str">
        <f t="shared" si="61"/>
        <v/>
      </c>
      <c r="CN136" s="602" t="str">
        <f t="array" ref="CN136">IFERROR(INDEX($BY$93:$BY$142,MATCH(SMALL($CL$93:$CL$142,ROWS($CM$93:CM136)+$CK$143),$CL$93:$CL$142,0)),"")</f>
        <v/>
      </c>
      <c r="DL136" s="602">
        <v>44</v>
      </c>
      <c r="DM136" s="723" t="str">
        <f t="shared" si="90"/>
        <v/>
      </c>
      <c r="DN136" s="720" t="str">
        <f t="shared" si="62"/>
        <v/>
      </c>
      <c r="DO136" s="720" t="str">
        <f t="shared" si="91"/>
        <v/>
      </c>
      <c r="DP136" s="727">
        <f t="shared" si="92"/>
        <v>0</v>
      </c>
      <c r="DQ136" s="719" t="str">
        <f t="shared" ca="1" si="93"/>
        <v/>
      </c>
      <c r="DR136" s="720">
        <f t="shared" si="75"/>
        <v>0</v>
      </c>
      <c r="DS136" s="720">
        <f>SUMIFS(Installations!CS$39:CS$800,Installations!CT$39:CT$800,DM136,Installations!HX$39:HX$800,TRUE,Installations!CR$39:CR$800,"New")</f>
        <v>0</v>
      </c>
      <c r="DT136" s="720" t="str">
        <f t="shared" si="63"/>
        <v/>
      </c>
      <c r="DU136" s="726"/>
      <c r="DX136" s="720" t="str">
        <f t="array" ref="DX136">IFERROR(IF(ROWS(DM$93:DM136)&gt;COUNTA($DM$93:$DM$145),"",INDEX($DL$93:$DL$142,SMALL(IF($DM$93:$DM$145&lt;&gt;"",ROW($DM$93:$DM$145)-ROW($DM$93)+1),ROWS($DM$93:DM136)))),"")</f>
        <v/>
      </c>
      <c r="DY136" s="602" t="str">
        <f t="shared" si="76"/>
        <v/>
      </c>
      <c r="DZ136" s="604" t="str">
        <f t="shared" si="77"/>
        <v/>
      </c>
      <c r="EA136" s="604" t="str">
        <f t="shared" si="78"/>
        <v/>
      </c>
      <c r="ED136" s="720" t="str">
        <f t="array" ref="ED136">IFERROR(IF(ROWS(DT$93:DT136)&gt;COUNTA($DT$93:$DT$145),"",INDEX($DL$93:$DL$142,SMALL(IF($DT$93:$DT$145&lt;&gt;"",ROW($DT$93:$DT$145)-ROW($DT$93)+1),ROWS($DT$93:DT136)))),"")</f>
        <v/>
      </c>
      <c r="EE136" s="602" t="str">
        <f t="shared" si="70"/>
        <v/>
      </c>
      <c r="EF136" s="604" t="str">
        <f t="shared" si="71"/>
        <v/>
      </c>
      <c r="EG136" s="606" t="str">
        <f t="shared" si="72"/>
        <v/>
      </c>
      <c r="EH136" s="604" t="str">
        <f t="shared" si="73"/>
        <v/>
      </c>
      <c r="EI136" s="604" t="str">
        <f t="shared" si="74"/>
        <v/>
      </c>
      <c r="EL136" s="1033">
        <f t="shared" si="67"/>
        <v>0</v>
      </c>
      <c r="EM136" s="602">
        <f t="shared" si="94"/>
        <v>0</v>
      </c>
      <c r="EN136" s="602">
        <f t="shared" si="68"/>
        <v>1</v>
      </c>
      <c r="EO136" s="602">
        <f t="array" ref="EO136">IF(ISNUMBER(DY136),EL136,IF(ISBLANK(DY136),EL136,EL136+$EM$143))+$EN$143</f>
        <v>49</v>
      </c>
      <c r="EP136" t="str">
        <f t="shared" si="69"/>
        <v/>
      </c>
      <c r="EQ136" s="602" t="str">
        <f t="array" ref="EQ136">IFERROR(INDEX($DY$93:$DY$142,MATCH(SMALL($EO$93:$EO$142,ROWS($EQ$93:EQ136)+$EN$143),$EO$93:$EO$142,0)),"")</f>
        <v/>
      </c>
    </row>
    <row r="137" spans="64:147">
      <c r="BL137">
        <f t="shared" si="79"/>
        <v>45</v>
      </c>
      <c r="BM137" s="723" t="str">
        <f t="shared" si="80"/>
        <v/>
      </c>
      <c r="BN137" s="720" t="str">
        <f t="shared" si="81"/>
        <v/>
      </c>
      <c r="BO137" s="720" t="b">
        <f t="shared" si="56"/>
        <v>0</v>
      </c>
      <c r="BP137" s="724" t="str">
        <f t="shared" si="82"/>
        <v/>
      </c>
      <c r="BQ137" s="720" t="str">
        <f>IFERROR(VLOOKUP(BP137,Lookup!AM$6:AN$8,2,FALSE),"")</f>
        <v/>
      </c>
      <c r="BR137" s="720" t="str">
        <f t="shared" si="83"/>
        <v/>
      </c>
      <c r="BS137" s="725">
        <f>SUMIFS(Installations!CS$39:CS$800,Installations!CT$39:CT$800,BM137,Installations!HX$39:HX$800,TRUE,Installations!CR$39:CR$800,"Exist")</f>
        <v>0</v>
      </c>
      <c r="BT137" s="720" t="str">
        <f t="shared" si="57"/>
        <v/>
      </c>
      <c r="BU137" s="726"/>
      <c r="BX137" s="720" t="str">
        <f t="array" ref="BX137">IFERROR(IF(ROWS(BM$93:BM137)&gt;COUNTA($BM$93:$BM$192),"",INDEX($BL$93:$BL$192,SMALL(IF($BM$93:$BM$192&lt;&gt;"",ROW($BM$93:$BM$192)-ROW($BM$93)+1),ROWS($BM$93:BM137)))),"")</f>
        <v/>
      </c>
      <c r="BY137" s="602" t="str">
        <f t="shared" si="84"/>
        <v/>
      </c>
      <c r="BZ137" s="604" t="str">
        <f t="shared" si="85"/>
        <v/>
      </c>
      <c r="CA137" s="604" t="str">
        <f t="shared" si="86"/>
        <v/>
      </c>
      <c r="CD137" s="720" t="str">
        <f t="array" ref="CD137">IFERROR(IF(ROWS(BT$93:BT137)&gt;COUNTA($BT$93:$BT$192),"",INDEX($BL$93:$BL$192,SMALL(IF($BT$93:$BT$192&lt;&gt;"",ROW($BT$93:$BT$192)-ROW($BT$93)+1),ROWS($BT$93:BT137)))),"")</f>
        <v/>
      </c>
      <c r="CE137" s="602" t="str">
        <f t="shared" si="87"/>
        <v/>
      </c>
      <c r="CF137" s="604" t="str">
        <f t="shared" si="88"/>
        <v/>
      </c>
      <c r="CG137" s="604" t="str">
        <f t="shared" si="89"/>
        <v/>
      </c>
      <c r="CI137" s="604">
        <f t="shared" si="58"/>
        <v>0</v>
      </c>
      <c r="CJ137" s="604">
        <f t="shared" si="59"/>
        <v>0</v>
      </c>
      <c r="CK137" s="604">
        <f t="shared" si="60"/>
        <v>1</v>
      </c>
      <c r="CL137" s="604">
        <f t="array" ref="CL137">IF(ISNUMBER(BY137),CI137,IF(ISBLANK(BY137),CI137,CI137+$CJ$143))+$CK$143</f>
        <v>50</v>
      </c>
      <c r="CM137" t="str">
        <f t="shared" si="61"/>
        <v/>
      </c>
      <c r="CN137" s="602" t="str">
        <f t="array" ref="CN137">IFERROR(INDEX($BY$93:$BY$142,MATCH(SMALL($CL$93:$CL$142,ROWS($CM$93:CM137)+$CK$143),$CL$93:$CL$142,0)),"")</f>
        <v/>
      </c>
      <c r="DL137" s="602">
        <v>45</v>
      </c>
      <c r="DM137" s="723" t="str">
        <f t="shared" si="90"/>
        <v/>
      </c>
      <c r="DN137" s="720" t="str">
        <f t="shared" si="62"/>
        <v/>
      </c>
      <c r="DO137" s="720" t="str">
        <f t="shared" si="91"/>
        <v/>
      </c>
      <c r="DP137" s="727">
        <f t="shared" si="92"/>
        <v>0</v>
      </c>
      <c r="DQ137" s="719" t="str">
        <f t="shared" ca="1" si="93"/>
        <v/>
      </c>
      <c r="DR137" s="720">
        <f t="shared" si="75"/>
        <v>0</v>
      </c>
      <c r="DS137" s="720">
        <f>SUMIFS(Installations!CS$39:CS$800,Installations!CT$39:CT$800,DM137,Installations!HX$39:HX$800,TRUE,Installations!CR$39:CR$800,"New")</f>
        <v>0</v>
      </c>
      <c r="DT137" s="720" t="str">
        <f t="shared" si="63"/>
        <v/>
      </c>
      <c r="DU137" s="726"/>
      <c r="DX137" s="720" t="str">
        <f t="array" ref="DX137">IFERROR(IF(ROWS(DM$93:DM137)&gt;COUNTA($DM$93:$DM$145),"",INDEX($DL$93:$DL$142,SMALL(IF($DM$93:$DM$145&lt;&gt;"",ROW($DM$93:$DM$145)-ROW($DM$93)+1),ROWS($DM$93:DM137)))),"")</f>
        <v/>
      </c>
      <c r="DY137" s="602" t="str">
        <f t="shared" si="76"/>
        <v/>
      </c>
      <c r="DZ137" s="604" t="str">
        <f t="shared" si="77"/>
        <v/>
      </c>
      <c r="EA137" s="604" t="str">
        <f t="shared" si="78"/>
        <v/>
      </c>
      <c r="ED137" s="720" t="str">
        <f t="array" ref="ED137">IFERROR(IF(ROWS(DT$93:DT137)&gt;COUNTA($DT$93:$DT$145),"",INDEX($DL$93:$DL$142,SMALL(IF($DT$93:$DT$145&lt;&gt;"",ROW($DT$93:$DT$145)-ROW($DT$93)+1),ROWS($DT$93:DT137)))),"")</f>
        <v/>
      </c>
      <c r="EE137" s="602" t="str">
        <f t="shared" si="70"/>
        <v/>
      </c>
      <c r="EF137" s="604" t="str">
        <f t="shared" si="71"/>
        <v/>
      </c>
      <c r="EG137" s="606" t="str">
        <f t="shared" si="72"/>
        <v/>
      </c>
      <c r="EH137" s="604" t="str">
        <f t="shared" si="73"/>
        <v/>
      </c>
      <c r="EI137" s="604" t="str">
        <f t="shared" si="74"/>
        <v/>
      </c>
      <c r="EL137" s="1033">
        <f t="shared" si="67"/>
        <v>0</v>
      </c>
      <c r="EM137" s="602">
        <f t="shared" si="94"/>
        <v>0</v>
      </c>
      <c r="EN137" s="602">
        <f t="shared" si="68"/>
        <v>1</v>
      </c>
      <c r="EO137" s="602">
        <f t="array" ref="EO137">IF(ISNUMBER(DY137),EL137,IF(ISBLANK(DY137),EL137,EL137+$EM$143))+$EN$143</f>
        <v>49</v>
      </c>
      <c r="EP137" t="str">
        <f t="shared" si="69"/>
        <v/>
      </c>
      <c r="EQ137" s="602" t="str">
        <f t="array" ref="EQ137">IFERROR(INDEX($DY$93:$DY$142,MATCH(SMALL($EO$93:$EO$142,ROWS($EQ$93:EQ137)+$EN$143),$EO$93:$EO$142,0)),"")</f>
        <v/>
      </c>
    </row>
    <row r="138" spans="64:147">
      <c r="BL138">
        <f t="shared" si="79"/>
        <v>46</v>
      </c>
      <c r="BM138" s="723" t="str">
        <f t="shared" si="80"/>
        <v/>
      </c>
      <c r="BN138" s="720" t="str">
        <f t="shared" si="81"/>
        <v/>
      </c>
      <c r="BO138" s="720" t="b">
        <f t="shared" si="56"/>
        <v>0</v>
      </c>
      <c r="BP138" s="724" t="str">
        <f t="shared" si="82"/>
        <v/>
      </c>
      <c r="BQ138" s="720" t="str">
        <f>IFERROR(VLOOKUP(BP138,Lookup!AM$6:AN$8,2,FALSE),"")</f>
        <v/>
      </c>
      <c r="BR138" s="720" t="str">
        <f t="shared" si="83"/>
        <v/>
      </c>
      <c r="BS138" s="725">
        <f>SUMIFS(Installations!CS$39:CS$800,Installations!CT$39:CT$800,BM138,Installations!HX$39:HX$800,TRUE,Installations!CR$39:CR$800,"Exist")</f>
        <v>0</v>
      </c>
      <c r="BT138" s="720" t="str">
        <f t="shared" si="57"/>
        <v/>
      </c>
      <c r="BU138" s="726"/>
      <c r="BX138" s="720" t="str">
        <f t="array" ref="BX138">IFERROR(IF(ROWS(BM$93:BM138)&gt;COUNTA($BM$93:$BM$192),"",INDEX($BL$93:$BL$192,SMALL(IF($BM$93:$BM$192&lt;&gt;"",ROW($BM$93:$BM$192)-ROW($BM$93)+1),ROWS($BM$93:BM138)))),"")</f>
        <v/>
      </c>
      <c r="BY138" s="602" t="str">
        <f t="shared" si="84"/>
        <v/>
      </c>
      <c r="BZ138" s="604" t="str">
        <f t="shared" si="85"/>
        <v/>
      </c>
      <c r="CA138" s="604" t="str">
        <f t="shared" si="86"/>
        <v/>
      </c>
      <c r="CD138" s="720" t="str">
        <f t="array" ref="CD138">IFERROR(IF(ROWS(BT$93:BT138)&gt;COUNTA($BT$93:$BT$192),"",INDEX($BL$93:$BL$192,SMALL(IF($BT$93:$BT$192&lt;&gt;"",ROW($BT$93:$BT$192)-ROW($BT$93)+1),ROWS($BT$93:BT138)))),"")</f>
        <v/>
      </c>
      <c r="CE138" s="602" t="str">
        <f t="shared" si="87"/>
        <v/>
      </c>
      <c r="CF138" s="604" t="str">
        <f t="shared" si="88"/>
        <v/>
      </c>
      <c r="CG138" s="604" t="str">
        <f t="shared" si="89"/>
        <v/>
      </c>
      <c r="CI138" s="604">
        <f t="shared" si="58"/>
        <v>0</v>
      </c>
      <c r="CJ138" s="604">
        <f t="shared" si="59"/>
        <v>0</v>
      </c>
      <c r="CK138" s="604">
        <f t="shared" si="60"/>
        <v>1</v>
      </c>
      <c r="CL138" s="604">
        <f t="array" ref="CL138">IF(ISNUMBER(BY138),CI138,IF(ISBLANK(BY138),CI138,CI138+$CJ$143))+$CK$143</f>
        <v>50</v>
      </c>
      <c r="CM138" t="str">
        <f t="shared" si="61"/>
        <v/>
      </c>
      <c r="CN138" s="602" t="str">
        <f t="array" ref="CN138">IFERROR(INDEX($BY$93:$BY$142,MATCH(SMALL($CL$93:$CL$142,ROWS($CM$93:CM138)+$CK$143),$CL$93:$CL$142,0)),"")</f>
        <v/>
      </c>
      <c r="DL138" s="602">
        <v>46</v>
      </c>
      <c r="DM138" s="723" t="str">
        <f t="shared" si="90"/>
        <v/>
      </c>
      <c r="DN138" s="720" t="str">
        <f t="shared" si="62"/>
        <v/>
      </c>
      <c r="DO138" s="720" t="str">
        <f t="shared" si="91"/>
        <v/>
      </c>
      <c r="DP138" s="727">
        <f t="shared" si="92"/>
        <v>0</v>
      </c>
      <c r="DQ138" s="719" t="str">
        <f t="shared" ca="1" si="93"/>
        <v/>
      </c>
      <c r="DR138" s="720">
        <f t="shared" si="75"/>
        <v>0</v>
      </c>
      <c r="DS138" s="720">
        <f>SUMIFS(Installations!CS$39:CS$800,Installations!CT$39:CT$800,DM138,Installations!HX$39:HX$800,TRUE,Installations!CR$39:CR$800,"New")</f>
        <v>0</v>
      </c>
      <c r="DT138" s="720" t="str">
        <f t="shared" si="63"/>
        <v/>
      </c>
      <c r="DU138" s="726"/>
      <c r="DX138" s="720" t="str">
        <f t="array" ref="DX138">IFERROR(IF(ROWS(DM$93:DM138)&gt;COUNTA($DM$93:$DM$145),"",INDEX($DL$93:$DL$142,SMALL(IF($DM$93:$DM$145&lt;&gt;"",ROW($DM$93:$DM$145)-ROW($DM$93)+1),ROWS($DM$93:DM138)))),"")</f>
        <v/>
      </c>
      <c r="DY138" s="602" t="str">
        <f t="shared" si="76"/>
        <v/>
      </c>
      <c r="DZ138" s="604" t="str">
        <f t="shared" si="77"/>
        <v/>
      </c>
      <c r="EA138" s="604" t="str">
        <f t="shared" si="78"/>
        <v/>
      </c>
      <c r="ED138" s="720" t="str">
        <f t="array" ref="ED138">IFERROR(IF(ROWS(DT$93:DT138)&gt;COUNTA($DT$93:$DT$145),"",INDEX($DL$93:$DL$142,SMALL(IF($DT$93:$DT$145&lt;&gt;"",ROW($DT$93:$DT$145)-ROW($DT$93)+1),ROWS($DT$93:DT138)))),"")</f>
        <v/>
      </c>
      <c r="EE138" s="602" t="str">
        <f t="shared" si="70"/>
        <v/>
      </c>
      <c r="EF138" s="604" t="str">
        <f t="shared" si="71"/>
        <v/>
      </c>
      <c r="EG138" s="606" t="str">
        <f t="shared" si="72"/>
        <v/>
      </c>
      <c r="EH138" s="604" t="str">
        <f t="shared" si="73"/>
        <v/>
      </c>
      <c r="EI138" s="604" t="str">
        <f t="shared" si="74"/>
        <v/>
      </c>
      <c r="EL138" s="1033">
        <f t="shared" si="67"/>
        <v>0</v>
      </c>
      <c r="EM138" s="602">
        <f t="shared" si="94"/>
        <v>0</v>
      </c>
      <c r="EN138" s="602">
        <f t="shared" si="68"/>
        <v>1</v>
      </c>
      <c r="EO138" s="602">
        <f t="array" ref="EO138">IF(ISNUMBER(DY138),EL138,IF(ISBLANK(DY138),EL138,EL138+$EM$143))+$EN$143</f>
        <v>49</v>
      </c>
      <c r="EP138" t="str">
        <f t="shared" si="69"/>
        <v/>
      </c>
      <c r="EQ138" s="602" t="str">
        <f t="array" ref="EQ138">IFERROR(INDEX($DY$93:$DY$142,MATCH(SMALL($EO$93:$EO$142,ROWS($EQ$93:EQ138)+$EN$143),$EO$93:$EO$142,0)),"")</f>
        <v/>
      </c>
    </row>
    <row r="139" spans="64:147">
      <c r="BL139">
        <f t="shared" si="79"/>
        <v>47</v>
      </c>
      <c r="BM139" s="723" t="str">
        <f t="shared" si="80"/>
        <v/>
      </c>
      <c r="BN139" s="720" t="str">
        <f t="shared" si="81"/>
        <v/>
      </c>
      <c r="BO139" s="720" t="b">
        <f t="shared" si="56"/>
        <v>0</v>
      </c>
      <c r="BP139" s="724" t="str">
        <f t="shared" si="82"/>
        <v/>
      </c>
      <c r="BQ139" s="720" t="str">
        <f>IFERROR(VLOOKUP(BP139,Lookup!AM$6:AN$8,2,FALSE),"")</f>
        <v/>
      </c>
      <c r="BR139" s="720" t="str">
        <f t="shared" si="83"/>
        <v/>
      </c>
      <c r="BS139" s="725">
        <f>SUMIFS(Installations!CS$39:CS$800,Installations!CT$39:CT$800,BM139,Installations!HX$39:HX$800,TRUE,Installations!CR$39:CR$800,"Exist")</f>
        <v>0</v>
      </c>
      <c r="BT139" s="720" t="str">
        <f t="shared" si="57"/>
        <v/>
      </c>
      <c r="BU139" s="726"/>
      <c r="BX139" s="720" t="str">
        <f t="array" ref="BX139">IFERROR(IF(ROWS(BM$93:BM139)&gt;COUNTA($BM$93:$BM$192),"",INDEX($BL$93:$BL$192,SMALL(IF($BM$93:$BM$192&lt;&gt;"",ROW($BM$93:$BM$192)-ROW($BM$93)+1),ROWS($BM$93:BM139)))),"")</f>
        <v/>
      </c>
      <c r="BY139" s="602" t="str">
        <f t="shared" si="84"/>
        <v/>
      </c>
      <c r="BZ139" s="604" t="str">
        <f t="shared" si="85"/>
        <v/>
      </c>
      <c r="CA139" s="604" t="str">
        <f t="shared" si="86"/>
        <v/>
      </c>
      <c r="CD139" s="720" t="str">
        <f t="array" ref="CD139">IFERROR(IF(ROWS(BT$93:BT139)&gt;COUNTA($BT$93:$BT$192),"",INDEX($BL$93:$BL$192,SMALL(IF($BT$93:$BT$192&lt;&gt;"",ROW($BT$93:$BT$192)-ROW($BT$93)+1),ROWS($BT$93:BT139)))),"")</f>
        <v/>
      </c>
      <c r="CE139" s="602" t="str">
        <f t="shared" si="87"/>
        <v/>
      </c>
      <c r="CF139" s="604" t="str">
        <f t="shared" si="88"/>
        <v/>
      </c>
      <c r="CG139" s="604" t="str">
        <f t="shared" si="89"/>
        <v/>
      </c>
      <c r="CI139" s="604">
        <f t="shared" si="58"/>
        <v>0</v>
      </c>
      <c r="CJ139" s="604">
        <f t="shared" si="59"/>
        <v>0</v>
      </c>
      <c r="CK139" s="604">
        <f t="shared" si="60"/>
        <v>1</v>
      </c>
      <c r="CL139" s="604">
        <f t="array" ref="CL139">IF(ISNUMBER(BY139),CI139,IF(ISBLANK(BY139),CI139,CI139+$CJ$143))+$CK$143</f>
        <v>50</v>
      </c>
      <c r="CM139" t="str">
        <f t="shared" si="61"/>
        <v/>
      </c>
      <c r="CN139" s="602" t="str">
        <f t="array" ref="CN139">IFERROR(INDEX($BY$93:$BY$142,MATCH(SMALL($CL$93:$CL$142,ROWS($CM$93:CM139)+$CK$143),$CL$93:$CL$142,0)),"")</f>
        <v/>
      </c>
      <c r="DL139" s="602">
        <v>47</v>
      </c>
      <c r="DM139" s="723" t="str">
        <f t="shared" si="90"/>
        <v/>
      </c>
      <c r="DN139" s="720" t="str">
        <f t="shared" si="62"/>
        <v/>
      </c>
      <c r="DO139" s="720" t="str">
        <f t="shared" si="91"/>
        <v/>
      </c>
      <c r="DP139" s="727">
        <f t="shared" si="92"/>
        <v>0</v>
      </c>
      <c r="DQ139" s="719" t="str">
        <f t="shared" ca="1" si="93"/>
        <v/>
      </c>
      <c r="DR139" s="720">
        <f t="shared" si="75"/>
        <v>0</v>
      </c>
      <c r="DS139" s="720">
        <f>SUMIFS(Installations!CS$39:CS$800,Installations!CT$39:CT$800,DM139,Installations!HX$39:HX$800,TRUE,Installations!CR$39:CR$800,"New")</f>
        <v>0</v>
      </c>
      <c r="DT139" s="720" t="str">
        <f t="shared" si="63"/>
        <v/>
      </c>
      <c r="DU139" s="726"/>
      <c r="DX139" s="720" t="str">
        <f t="array" ref="DX139">IFERROR(IF(ROWS(DM$93:DM139)&gt;COUNTA($DM$93:$DM$145),"",INDEX($DL$93:$DL$142,SMALL(IF($DM$93:$DM$145&lt;&gt;"",ROW($DM$93:$DM$145)-ROW($DM$93)+1),ROWS($DM$93:DM139)))),"")</f>
        <v/>
      </c>
      <c r="DY139" s="602" t="str">
        <f t="shared" si="76"/>
        <v/>
      </c>
      <c r="DZ139" s="604" t="str">
        <f t="shared" si="77"/>
        <v/>
      </c>
      <c r="EA139" s="604" t="str">
        <f t="shared" si="78"/>
        <v/>
      </c>
      <c r="ED139" s="720" t="str">
        <f t="array" ref="ED139">IFERROR(IF(ROWS(DT$93:DT139)&gt;COUNTA($DT$93:$DT$145),"",INDEX($DL$93:$DL$142,SMALL(IF($DT$93:$DT$145&lt;&gt;"",ROW($DT$93:$DT$145)-ROW($DT$93)+1),ROWS($DT$93:DT139)))),"")</f>
        <v/>
      </c>
      <c r="EE139" s="602" t="str">
        <f t="shared" si="70"/>
        <v/>
      </c>
      <c r="EF139" s="604" t="str">
        <f t="shared" si="71"/>
        <v/>
      </c>
      <c r="EG139" s="606" t="str">
        <f t="shared" si="72"/>
        <v/>
      </c>
      <c r="EH139" s="604" t="str">
        <f t="shared" si="73"/>
        <v/>
      </c>
      <c r="EI139" s="604" t="str">
        <f t="shared" si="74"/>
        <v/>
      </c>
      <c r="EL139" s="1033">
        <f t="shared" si="67"/>
        <v>0</v>
      </c>
      <c r="EM139" s="602">
        <f t="shared" si="94"/>
        <v>0</v>
      </c>
      <c r="EN139" s="602">
        <f t="shared" si="68"/>
        <v>1</v>
      </c>
      <c r="EO139" s="602">
        <f t="array" ref="EO139">IF(ISNUMBER(DY139),EL139,IF(ISBLANK(DY139),EL139,EL139+$EM$143))+$EN$143</f>
        <v>49</v>
      </c>
      <c r="EP139" t="str">
        <f t="shared" si="69"/>
        <v/>
      </c>
      <c r="EQ139" s="602" t="str">
        <f t="array" ref="EQ139">IFERROR(INDEX($DY$93:$DY$142,MATCH(SMALL($EO$93:$EO$142,ROWS($EQ$93:EQ139)+$EN$143),$EO$93:$EO$142,0)),"")</f>
        <v/>
      </c>
    </row>
    <row r="140" spans="64:147">
      <c r="BL140">
        <f t="shared" si="79"/>
        <v>48</v>
      </c>
      <c r="BM140" s="723" t="str">
        <f t="shared" si="80"/>
        <v/>
      </c>
      <c r="BN140" s="720" t="str">
        <f t="shared" si="81"/>
        <v/>
      </c>
      <c r="BO140" s="720" t="b">
        <f t="shared" si="56"/>
        <v>0</v>
      </c>
      <c r="BP140" s="724" t="str">
        <f t="shared" si="82"/>
        <v/>
      </c>
      <c r="BQ140" s="720" t="str">
        <f>IFERROR(VLOOKUP(BP140,Lookup!AM$6:AN$8,2,FALSE),"")</f>
        <v/>
      </c>
      <c r="BR140" s="720" t="str">
        <f t="shared" si="83"/>
        <v/>
      </c>
      <c r="BS140" s="725">
        <f>SUMIFS(Installations!CS$39:CS$800,Installations!CT$39:CT$800,BM140,Installations!HX$39:HX$800,TRUE,Installations!CR$39:CR$800,"Exist")</f>
        <v>0</v>
      </c>
      <c r="BT140" s="720" t="str">
        <f t="shared" si="57"/>
        <v/>
      </c>
      <c r="BU140" s="726"/>
      <c r="BX140" s="720" t="str">
        <f t="array" ref="BX140">IFERROR(IF(ROWS(BM$93:BM140)&gt;COUNTA($BM$93:$BM$192),"",INDEX($BL$93:$BL$192,SMALL(IF($BM$93:$BM$192&lt;&gt;"",ROW($BM$93:$BM$192)-ROW($BM$93)+1),ROWS($BM$93:BM140)))),"")</f>
        <v/>
      </c>
      <c r="BY140" s="602" t="str">
        <f t="shared" si="84"/>
        <v/>
      </c>
      <c r="BZ140" s="604" t="str">
        <f t="shared" si="85"/>
        <v/>
      </c>
      <c r="CA140" s="604" t="str">
        <f t="shared" si="86"/>
        <v/>
      </c>
      <c r="CD140" s="720" t="str">
        <f t="array" ref="CD140">IFERROR(IF(ROWS(BT$93:BT140)&gt;COUNTA($BT$93:$BT$192),"",INDEX($BL$93:$BL$192,SMALL(IF($BT$93:$BT$192&lt;&gt;"",ROW($BT$93:$BT$192)-ROW($BT$93)+1),ROWS($BT$93:BT140)))),"")</f>
        <v/>
      </c>
      <c r="CE140" s="602" t="str">
        <f t="shared" si="87"/>
        <v/>
      </c>
      <c r="CF140" s="604" t="str">
        <f t="shared" si="88"/>
        <v/>
      </c>
      <c r="CG140" s="604" t="str">
        <f t="shared" si="89"/>
        <v/>
      </c>
      <c r="CI140" s="604">
        <f t="shared" si="58"/>
        <v>0</v>
      </c>
      <c r="CJ140" s="604">
        <f t="shared" si="59"/>
        <v>0</v>
      </c>
      <c r="CK140" s="604">
        <f t="shared" si="60"/>
        <v>1</v>
      </c>
      <c r="CL140" s="604">
        <f t="array" ref="CL140">IF(ISNUMBER(BY140),CI140,IF(ISBLANK(BY140),CI140,CI140+$CJ$143))+$CK$143</f>
        <v>50</v>
      </c>
      <c r="CM140" t="str">
        <f t="shared" si="61"/>
        <v/>
      </c>
      <c r="CN140" s="602" t="str">
        <f t="array" ref="CN140">IFERROR(INDEX($BY$93:$BY$142,MATCH(SMALL($CL$93:$CL$142,ROWS($CM$93:CM140)+$CK$143),$CL$93:$CL$142,0)),"")</f>
        <v/>
      </c>
      <c r="DL140" s="602">
        <v>48</v>
      </c>
      <c r="DM140" s="723" t="str">
        <f t="shared" si="90"/>
        <v/>
      </c>
      <c r="DN140" s="720" t="str">
        <f t="shared" si="62"/>
        <v/>
      </c>
      <c r="DO140" s="720" t="str">
        <f t="shared" si="91"/>
        <v/>
      </c>
      <c r="DP140" s="727">
        <f t="shared" si="92"/>
        <v>0</v>
      </c>
      <c r="DQ140" s="719" t="str">
        <f t="shared" ca="1" si="93"/>
        <v/>
      </c>
      <c r="DR140" s="720">
        <f t="shared" si="75"/>
        <v>0</v>
      </c>
      <c r="DS140" s="720">
        <f>SUMIFS(Installations!CS$39:CS$800,Installations!CT$39:CT$800,DM140,Installations!HX$39:HX$800,TRUE,Installations!CR$39:CR$800,"New")</f>
        <v>0</v>
      </c>
      <c r="DT140" s="720" t="str">
        <f t="shared" si="63"/>
        <v/>
      </c>
      <c r="DU140" s="726"/>
      <c r="DX140" s="720" t="str">
        <f t="array" ref="DX140">IFERROR(IF(ROWS(DM$93:DM140)&gt;COUNTA($DM$93:$DM$145),"",INDEX($DL$93:$DL$142,SMALL(IF($DM$93:$DM$145&lt;&gt;"",ROW($DM$93:$DM$145)-ROW($DM$93)+1),ROWS($DM$93:DM140)))),"")</f>
        <v/>
      </c>
      <c r="DY140" s="602" t="str">
        <f t="shared" si="76"/>
        <v/>
      </c>
      <c r="DZ140" s="604" t="str">
        <f t="shared" si="77"/>
        <v/>
      </c>
      <c r="EA140" s="604" t="str">
        <f t="shared" si="78"/>
        <v/>
      </c>
      <c r="ED140" s="720" t="str">
        <f t="array" ref="ED140">IFERROR(IF(ROWS(DT$93:DT140)&gt;COUNTA($DT$93:$DT$145),"",INDEX($DL$93:$DL$142,SMALL(IF($DT$93:$DT$145&lt;&gt;"",ROW($DT$93:$DT$145)-ROW($DT$93)+1),ROWS($DT$93:DT140)))),"")</f>
        <v/>
      </c>
      <c r="EE140" s="602" t="str">
        <f t="shared" si="70"/>
        <v/>
      </c>
      <c r="EF140" s="604" t="str">
        <f t="shared" si="71"/>
        <v/>
      </c>
      <c r="EG140" s="606" t="str">
        <f t="shared" si="72"/>
        <v/>
      </c>
      <c r="EH140" s="604" t="str">
        <f t="shared" si="73"/>
        <v/>
      </c>
      <c r="EI140" s="604" t="str">
        <f t="shared" si="74"/>
        <v/>
      </c>
      <c r="EL140" s="1033">
        <f t="shared" si="67"/>
        <v>0</v>
      </c>
      <c r="EM140" s="602">
        <f t="shared" si="94"/>
        <v>0</v>
      </c>
      <c r="EN140" s="602">
        <f t="shared" si="68"/>
        <v>1</v>
      </c>
      <c r="EO140" s="602">
        <f t="array" ref="EO140">IF(ISNUMBER(DY140),EL140,IF(ISBLANK(DY140),EL140,EL140+$EM$143))+$EN$143</f>
        <v>49</v>
      </c>
      <c r="EP140" t="str">
        <f t="shared" si="69"/>
        <v/>
      </c>
      <c r="EQ140" s="602" t="str">
        <f t="array" ref="EQ140">IFERROR(INDEX($DY$93:$DY$142,MATCH(SMALL($EO$93:$EO$142,ROWS($EQ$93:EQ140)+$EN$143),$EO$93:$EO$142,0)),"")</f>
        <v/>
      </c>
    </row>
    <row r="141" spans="64:147">
      <c r="BL141">
        <f t="shared" si="79"/>
        <v>49</v>
      </c>
      <c r="BM141" s="723" t="str">
        <f t="shared" si="80"/>
        <v/>
      </c>
      <c r="BN141" s="720" t="str">
        <f t="shared" si="81"/>
        <v/>
      </c>
      <c r="BO141" s="720" t="b">
        <f t="shared" si="56"/>
        <v>0</v>
      </c>
      <c r="BP141" s="724" t="str">
        <f t="shared" si="82"/>
        <v/>
      </c>
      <c r="BQ141" s="720" t="str">
        <f>IFERROR(VLOOKUP(BP141,Lookup!AM$6:AN$8,2,FALSE),"")</f>
        <v/>
      </c>
      <c r="BR141" s="720" t="str">
        <f t="shared" si="83"/>
        <v/>
      </c>
      <c r="BS141" s="725">
        <f>SUMIFS(Installations!CS$39:CS$800,Installations!CT$39:CT$800,BM141,Installations!HX$39:HX$800,TRUE,Installations!CR$39:CR$800,"Exist")</f>
        <v>0</v>
      </c>
      <c r="BT141" s="720" t="str">
        <f t="shared" si="57"/>
        <v/>
      </c>
      <c r="BU141" s="726"/>
      <c r="BX141" s="720" t="str">
        <f t="array" ref="BX141">IFERROR(IF(ROWS(BM$93:BM141)&gt;COUNTA($BM$93:$BM$192),"",INDEX($BL$93:$BL$192,SMALL(IF($BM$93:$BM$192&lt;&gt;"",ROW($BM$93:$BM$192)-ROW($BM$93)+1),ROWS($BM$93:BM141)))),"")</f>
        <v/>
      </c>
      <c r="BY141" s="602" t="str">
        <f t="shared" si="84"/>
        <v/>
      </c>
      <c r="BZ141" s="604" t="str">
        <f t="shared" si="85"/>
        <v/>
      </c>
      <c r="CA141" s="604" t="str">
        <f t="shared" si="86"/>
        <v/>
      </c>
      <c r="CD141" s="720" t="str">
        <f t="array" ref="CD141">IFERROR(IF(ROWS(BT$93:BT141)&gt;COUNTA($BT$93:$BT$192),"",INDEX($BL$93:$BL$192,SMALL(IF($BT$93:$BT$192&lt;&gt;"",ROW($BT$93:$BT$192)-ROW($BT$93)+1),ROWS($BT$93:BT141)))),"")</f>
        <v/>
      </c>
      <c r="CE141" s="602" t="str">
        <f t="shared" si="87"/>
        <v/>
      </c>
      <c r="CF141" s="604" t="str">
        <f t="shared" si="88"/>
        <v/>
      </c>
      <c r="CG141" s="604" t="str">
        <f t="shared" si="89"/>
        <v/>
      </c>
      <c r="CI141" s="604">
        <f t="shared" si="58"/>
        <v>0</v>
      </c>
      <c r="CJ141" s="604">
        <f t="shared" si="59"/>
        <v>0</v>
      </c>
      <c r="CK141" s="604">
        <f t="shared" si="60"/>
        <v>1</v>
      </c>
      <c r="CL141" s="604">
        <f t="array" ref="CL141">IF(ISNUMBER(BY141),CI141,IF(ISBLANK(BY141),CI141,CI141+$CJ$143))+$CK$143</f>
        <v>50</v>
      </c>
      <c r="CM141" t="str">
        <f t="shared" si="61"/>
        <v/>
      </c>
      <c r="CN141" s="602" t="str">
        <f t="array" ref="CN141">IFERROR(INDEX($BY$93:$BY$142,MATCH(SMALL($CL$93:$CL$142,ROWS($CM$93:CM141)+$CK$143),$CL$93:$CL$142,0)),"")</f>
        <v/>
      </c>
      <c r="DL141" s="602">
        <v>49</v>
      </c>
      <c r="DM141" s="723" t="str">
        <f t="shared" si="90"/>
        <v/>
      </c>
      <c r="DN141" s="720" t="str">
        <f t="shared" si="62"/>
        <v/>
      </c>
      <c r="DO141" s="720" t="str">
        <f t="shared" si="91"/>
        <v/>
      </c>
      <c r="DP141" s="727">
        <f t="shared" si="92"/>
        <v>0</v>
      </c>
      <c r="DQ141" s="719" t="str">
        <f t="shared" ca="1" si="93"/>
        <v/>
      </c>
      <c r="DR141" s="720">
        <f t="shared" si="75"/>
        <v>0</v>
      </c>
      <c r="DS141" s="720">
        <f>SUMIFS(Installations!CS$39:CS$800,Installations!CT$39:CT$800,DM141,Installations!HX$39:HX$800,TRUE,Installations!CR$39:CR$800,"New")</f>
        <v>0</v>
      </c>
      <c r="DT141" s="720" t="str">
        <f t="shared" si="63"/>
        <v/>
      </c>
      <c r="DU141" s="726"/>
      <c r="DX141" s="720" t="str">
        <f t="array" ref="DX141">IFERROR(IF(ROWS(DM$93:DM141)&gt;COUNTA($DM$93:$DM$145),"",INDEX($DL$93:$DL$142,SMALL(IF($DM$93:$DM$145&lt;&gt;"",ROW($DM$93:$DM$145)-ROW($DM$93)+1),ROWS($DM$93:DM141)))),"")</f>
        <v/>
      </c>
      <c r="DY141" s="602" t="str">
        <f t="shared" si="76"/>
        <v/>
      </c>
      <c r="DZ141" s="604" t="str">
        <f t="shared" si="77"/>
        <v/>
      </c>
      <c r="EA141" s="604" t="str">
        <f t="shared" si="78"/>
        <v/>
      </c>
      <c r="ED141" s="720" t="str">
        <f t="array" ref="ED141">IFERROR(IF(ROWS(DT$93:DT141)&gt;COUNTA($DT$93:$DT$145),"",INDEX($DL$93:$DL$142,SMALL(IF($DT$93:$DT$145&lt;&gt;"",ROW($DT$93:$DT$145)-ROW($DT$93)+1),ROWS($DT$93:DT141)))),"")</f>
        <v/>
      </c>
      <c r="EE141" s="602" t="str">
        <f t="shared" si="70"/>
        <v/>
      </c>
      <c r="EF141" s="604" t="str">
        <f t="shared" si="71"/>
        <v/>
      </c>
      <c r="EG141" s="606" t="str">
        <f t="shared" si="72"/>
        <v/>
      </c>
      <c r="EH141" s="604" t="str">
        <f t="shared" si="73"/>
        <v/>
      </c>
      <c r="EI141" s="604" t="str">
        <f t="shared" si="74"/>
        <v/>
      </c>
      <c r="EL141" s="1033">
        <f t="shared" si="67"/>
        <v>0</v>
      </c>
      <c r="EM141" s="602">
        <f t="shared" si="94"/>
        <v>0</v>
      </c>
      <c r="EN141" s="602">
        <f t="shared" si="68"/>
        <v>1</v>
      </c>
      <c r="EO141" s="602">
        <f t="array" ref="EO141">IF(ISNUMBER(DY141),EL141,IF(ISBLANK(DY141),EL141,EL141+$EM$143))+$EN$143</f>
        <v>49</v>
      </c>
      <c r="EP141" t="str">
        <f t="shared" si="69"/>
        <v/>
      </c>
      <c r="EQ141" s="602" t="str">
        <f t="array" ref="EQ141">IFERROR(INDEX($DY$93:$DY$142,MATCH(SMALL($EO$93:$EO$142,ROWS($EQ$93:EQ141)+$EN$143),$EO$93:$EO$142,0)),"")</f>
        <v/>
      </c>
    </row>
    <row r="142" spans="64:147">
      <c r="BL142">
        <f t="shared" si="79"/>
        <v>50</v>
      </c>
      <c r="BM142" s="723" t="str">
        <f t="shared" si="80"/>
        <v/>
      </c>
      <c r="BN142" s="720" t="str">
        <f t="shared" si="81"/>
        <v/>
      </c>
      <c r="BO142" s="720" t="b">
        <f t="shared" si="56"/>
        <v>0</v>
      </c>
      <c r="BP142" s="724" t="str">
        <f t="shared" si="82"/>
        <v/>
      </c>
      <c r="BQ142" s="720" t="str">
        <f>IFERROR(VLOOKUP(BP142,Lookup!AM$6:AN$8,2,FALSE),"")</f>
        <v/>
      </c>
      <c r="BR142" s="720" t="str">
        <f t="shared" si="83"/>
        <v/>
      </c>
      <c r="BS142" s="725">
        <f>SUMIFS(Installations!CS$39:CS$800,Installations!CT$39:CT$800,BM142,Installations!HX$39:HX$800,TRUE,Installations!CR$39:CR$800,"Exist")</f>
        <v>0</v>
      </c>
      <c r="BT142" s="720" t="str">
        <f t="shared" si="57"/>
        <v/>
      </c>
      <c r="BU142" s="726"/>
      <c r="BX142" s="720" t="str">
        <f t="array" ref="BX142">IFERROR(IF(ROWS(BM$93:BM142)&gt;COUNTA($BM$93:$BM$192),"",INDEX($BL$93:$BL$192,SMALL(IF($BM$93:$BM$192&lt;&gt;"",ROW($BM$93:$BM$192)-ROW($BM$93)+1),ROWS($BM$93:BM142)))),"")</f>
        <v/>
      </c>
      <c r="BY142" s="602" t="str">
        <f t="shared" si="84"/>
        <v/>
      </c>
      <c r="BZ142" s="604" t="str">
        <f t="shared" si="85"/>
        <v/>
      </c>
      <c r="CA142" s="604" t="str">
        <f t="shared" si="86"/>
        <v/>
      </c>
      <c r="CD142" s="720" t="str">
        <f t="array" ref="CD142">IFERROR(IF(ROWS(BT$93:BT142)&gt;COUNTA($BT$93:$BT$192),"",INDEX($BL$93:$BL$192,SMALL(IF($BT$93:$BT$192&lt;&gt;"",ROW($BT$93:$BT$192)-ROW($BT$93)+1),ROWS($BT$93:BT142)))),"")</f>
        <v/>
      </c>
      <c r="CE142" s="602" t="str">
        <f t="shared" si="87"/>
        <v/>
      </c>
      <c r="CF142" s="604" t="str">
        <f t="shared" si="88"/>
        <v/>
      </c>
      <c r="CG142" s="604" t="str">
        <f t="shared" si="89"/>
        <v/>
      </c>
      <c r="CI142" s="604">
        <f t="shared" si="58"/>
        <v>0</v>
      </c>
      <c r="CJ142" s="604">
        <f t="shared" si="59"/>
        <v>0</v>
      </c>
      <c r="CK142" s="604">
        <f t="shared" si="60"/>
        <v>1</v>
      </c>
      <c r="CL142" s="604">
        <f t="array" ref="CL142">IF(ISNUMBER(BY142),CI142,IF(ISBLANK(BY142),CI142,CI142+$CJ$143))+$CK$143</f>
        <v>50</v>
      </c>
      <c r="CM142" t="str">
        <f t="shared" si="61"/>
        <v/>
      </c>
      <c r="CN142" s="602" t="str">
        <f t="array" ref="CN142">IFERROR(INDEX($BY$93:$BY$142,MATCH(SMALL($CL$93:$CL$142,ROWS($CM$93:CM142)+$CK$143),$CL$93:$CL$142,0)),"")</f>
        <v/>
      </c>
      <c r="DL142" s="602">
        <v>50</v>
      </c>
      <c r="DM142" s="723" t="str">
        <f t="shared" si="90"/>
        <v>08 Other Interior Fixture Removed, (1) Existing #Removed</v>
      </c>
      <c r="DN142" s="720">
        <f t="shared" si="62"/>
        <v>0</v>
      </c>
      <c r="DO142" s="720">
        <f t="shared" si="91"/>
        <v>10</v>
      </c>
      <c r="DP142" s="727">
        <f t="shared" si="92"/>
        <v>0</v>
      </c>
      <c r="DQ142" s="719" t="str">
        <f t="shared" ca="1" si="93"/>
        <v/>
      </c>
      <c r="DR142" s="720">
        <f t="shared" si="75"/>
        <v>0</v>
      </c>
      <c r="DS142" s="720">
        <f>SUMIFS(Installations!CS$39:CS$800,Installations!CT$39:CT$800,DM142,Installations!HX$39:HX$800,TRUE,Installations!CR$39:CR$800,"New")</f>
        <v>0</v>
      </c>
      <c r="DT142" s="720" t="str">
        <f t="shared" si="63"/>
        <v/>
      </c>
      <c r="DU142" s="726"/>
      <c r="DX142" s="720" t="str">
        <f t="array" ref="DX142">IFERROR(IF(ROWS(DM$93:DM142)&gt;COUNTA($DM$93:$DM$145),"",INDEX($DL$93:$DL$142,SMALL(IF($DM$93:$DM$145&lt;&gt;"",ROW($DM$93:$DM$145)-ROW($DM$93)+1),ROWS($DM$93:DM142)))),"")</f>
        <v/>
      </c>
      <c r="DY142" s="602" t="str">
        <f t="shared" si="76"/>
        <v/>
      </c>
      <c r="DZ142" s="604" t="str">
        <f t="shared" si="77"/>
        <v/>
      </c>
      <c r="EA142" s="604" t="str">
        <f t="shared" si="78"/>
        <v/>
      </c>
      <c r="ED142" s="720" t="str">
        <f t="array" ref="ED142">IFERROR(IF(ROWS(DT$93:DT142)&gt;COUNTA($DT$93:$DT$145),"",INDEX($DL$93:$DL$142,SMALL(IF($DT$93:$DT$145&lt;&gt;"",ROW($DT$93:$DT$145)-ROW($DT$93)+1),ROWS($DT$93:DT142)))),"")</f>
        <v/>
      </c>
      <c r="EE142" s="602" t="str">
        <f t="shared" si="70"/>
        <v/>
      </c>
      <c r="EF142" s="604" t="str">
        <f t="shared" si="71"/>
        <v/>
      </c>
      <c r="EG142" s="606" t="str">
        <f t="shared" si="72"/>
        <v/>
      </c>
      <c r="EH142" s="604" t="str">
        <f t="shared" si="73"/>
        <v/>
      </c>
      <c r="EI142" s="604" t="str">
        <f t="shared" si="74"/>
        <v/>
      </c>
      <c r="EL142" s="1033">
        <f t="shared" si="67"/>
        <v>0</v>
      </c>
      <c r="EM142" s="602">
        <f t="shared" si="94"/>
        <v>0</v>
      </c>
      <c r="EN142" s="602">
        <f t="shared" si="68"/>
        <v>1</v>
      </c>
      <c r="EO142" s="602">
        <f t="array" ref="EO142">IF(ISNUMBER(DY142),EL142,IF(ISBLANK(DY142),EL142,EL142+$EM$143))+$EN$143</f>
        <v>49</v>
      </c>
      <c r="EP142" t="str">
        <f t="shared" si="69"/>
        <v/>
      </c>
      <c r="EQ142" s="602" t="str">
        <f t="array" ref="EQ142">IFERROR(INDEX($DY$93:$DY$142,MATCH(SMALL($EO$93:$EO$142,ROWS($EQ$93:EQ142)+$EN$143),$EO$93:$EO$142,0)),"")</f>
        <v/>
      </c>
    </row>
    <row r="143" spans="64:147">
      <c r="BL143">
        <v>51</v>
      </c>
      <c r="BM143" s="719" t="str">
        <f t="shared" ref="BM143:BM168" si="95">IF(DM27="Yes",DN27,"")</f>
        <v/>
      </c>
      <c r="BN143" s="720" t="str">
        <f t="shared" ref="BN143:BN168" si="96">IF(DM27="Yes",EP27,"")</f>
        <v/>
      </c>
      <c r="BO143" s="720" t="b">
        <f>FA27</f>
        <v>0</v>
      </c>
      <c r="BP143" s="724" t="str">
        <f t="shared" ref="BP143:BP174" si="97">IF(BO143=TRUE,EB27,"")</f>
        <v/>
      </c>
      <c r="BQ143" s="720" t="str">
        <f>IFERROR(VLOOKUP(BP143,Lookup!AM$6:AN$8,2,FALSE),"")</f>
        <v/>
      </c>
      <c r="BR143" s="720" t="str">
        <f>ET27</f>
        <v/>
      </c>
      <c r="BS143" s="725">
        <f>SUMIFS(Installations!CS$39:CS$800,Installations!CT$39:CT$800,BM143,Installations!HX$39:HX$800,TRUE,Installations!CR$39:CR$800,"Exist")</f>
        <v>0</v>
      </c>
      <c r="BT143" s="720" t="str">
        <f t="shared" si="57"/>
        <v/>
      </c>
      <c r="BU143" s="726"/>
      <c r="BX143" t="str">
        <f t="array" ref="BX143">IFERROR(IF(ROWS(BM$93:BM143)&gt;COUNTA($BM$93:$BM$192),"",INDEX($BL$93:$BL$192,SMALL(IF($BM$93:$BM$192&lt;&gt;"",ROW($BM$93:$BM$192)-ROW($BM$93)+1),ROWS($BM$93:BM143)))),"")</f>
        <v/>
      </c>
      <c r="BY143" t="str">
        <f t="shared" ref="BY143:BY174" si="98">IFERROR(VLOOKUP(BX143,BL$93:BM$192,2,FALSE),"")</f>
        <v/>
      </c>
      <c r="CF143" t="str">
        <f t="shared" ref="CF143:CF174" si="99">VLOOKUP(BY143,BM$93:BN$192,2,FALSE)</f>
        <v/>
      </c>
      <c r="CJ143" s="604">
        <f>SUM(CJ93:CJ142)</f>
        <v>0</v>
      </c>
      <c r="CK143" s="604">
        <f>SUM(CK93:CK142)</f>
        <v>50</v>
      </c>
      <c r="EM143" s="602">
        <f>SUM(EM93:EM142)</f>
        <v>0</v>
      </c>
      <c r="EN143" s="602">
        <f>SUM(EN93:EN142)</f>
        <v>49</v>
      </c>
    </row>
    <row r="144" spans="64:147">
      <c r="BL144">
        <v>52</v>
      </c>
      <c r="BM144" s="719" t="str">
        <f t="shared" si="95"/>
        <v/>
      </c>
      <c r="BN144" s="720" t="str">
        <f t="shared" si="96"/>
        <v/>
      </c>
      <c r="BO144" s="720" t="b">
        <f t="shared" ref="BO144:BO192" si="100">FA28</f>
        <v>0</v>
      </c>
      <c r="BP144" s="724" t="str">
        <f t="shared" si="97"/>
        <v/>
      </c>
      <c r="BQ144" s="720" t="str">
        <f>IFERROR(VLOOKUP(BP144,Lookup!AM$6:AN$8,2,FALSE),"")</f>
        <v/>
      </c>
      <c r="BR144" s="720" t="str">
        <f t="shared" ref="BR144:BR192" si="101">ET28</f>
        <v/>
      </c>
      <c r="BS144" s="725">
        <f>SUMIFS(Installations!CS$39:CS$800,Installations!CT$39:CT$800,BM144,Installations!HX$39:HX$800,TRUE,Installations!CR$39:CR$800,"Exist")</f>
        <v>0</v>
      </c>
      <c r="BT144" s="720" t="str">
        <f t="shared" si="57"/>
        <v/>
      </c>
      <c r="BU144" s="726"/>
      <c r="BX144" t="str">
        <f t="array" ref="BX144">IFERROR(IF(ROWS(BM$93:BM144)&gt;COUNTA($BM$93:$BM$192),"",INDEX($BL$93:$BL$192,SMALL(IF($BM$93:$BM$192&lt;&gt;"",ROW($BM$93:$BM$192)-ROW($BM$93)+1),ROWS($BM$93:BM144)))),"")</f>
        <v/>
      </c>
      <c r="BY144" t="str">
        <f t="shared" si="98"/>
        <v/>
      </c>
      <c r="CF144" t="str">
        <f t="shared" si="99"/>
        <v/>
      </c>
    </row>
    <row r="145" spans="64:84">
      <c r="BL145">
        <v>53</v>
      </c>
      <c r="BM145" s="719" t="str">
        <f t="shared" si="95"/>
        <v/>
      </c>
      <c r="BN145" s="720" t="str">
        <f t="shared" si="96"/>
        <v/>
      </c>
      <c r="BO145" s="720" t="b">
        <f t="shared" si="100"/>
        <v>0</v>
      </c>
      <c r="BP145" s="724" t="str">
        <f t="shared" si="97"/>
        <v/>
      </c>
      <c r="BQ145" s="720" t="str">
        <f>IFERROR(VLOOKUP(BP145,Lookup!AM$6:AN$8,2,FALSE),"")</f>
        <v/>
      </c>
      <c r="BR145" s="720" t="str">
        <f t="shared" si="101"/>
        <v/>
      </c>
      <c r="BS145" s="725">
        <f>SUMIFS(Installations!CS$39:CS$800,Installations!CT$39:CT$800,BM145,Installations!HX$39:HX$800,TRUE,Installations!CR$39:CR$800,"Exist")</f>
        <v>0</v>
      </c>
      <c r="BT145" s="720" t="str">
        <f t="shared" si="57"/>
        <v/>
      </c>
      <c r="BU145" s="726"/>
      <c r="BX145" t="str">
        <f t="array" ref="BX145">IFERROR(IF(ROWS(BM$93:BM145)&gt;COUNTA($BM$93:$BM$192),"",INDEX($BL$93:$BL$192,SMALL(IF($BM$93:$BM$192&lt;&gt;"",ROW($BM$93:$BM$192)-ROW($BM$93)+1),ROWS($BM$93:BM145)))),"")</f>
        <v/>
      </c>
      <c r="BY145" t="str">
        <f t="shared" si="98"/>
        <v/>
      </c>
      <c r="CF145" t="str">
        <f t="shared" si="99"/>
        <v/>
      </c>
    </row>
    <row r="146" spans="64:84">
      <c r="BL146">
        <v>54</v>
      </c>
      <c r="BM146" s="719" t="str">
        <f t="shared" si="95"/>
        <v/>
      </c>
      <c r="BN146" s="720" t="str">
        <f t="shared" si="96"/>
        <v/>
      </c>
      <c r="BO146" s="720" t="b">
        <f t="shared" si="100"/>
        <v>0</v>
      </c>
      <c r="BP146" s="724" t="str">
        <f t="shared" si="97"/>
        <v/>
      </c>
      <c r="BQ146" s="720" t="str">
        <f>IFERROR(VLOOKUP(BP146,Lookup!AM$6:AN$8,2,FALSE),"")</f>
        <v/>
      </c>
      <c r="BR146" s="720" t="str">
        <f t="shared" si="101"/>
        <v/>
      </c>
      <c r="BS146" s="725">
        <f>SUMIFS(Installations!CS$39:CS$800,Installations!CT$39:CT$800,BM146,Installations!HX$39:HX$800,TRUE,Installations!CR$39:CR$800,"Exist")</f>
        <v>0</v>
      </c>
      <c r="BT146" s="720" t="str">
        <f t="shared" si="57"/>
        <v/>
      </c>
      <c r="BU146" s="726"/>
      <c r="BX146" t="str">
        <f t="array" ref="BX146">IFERROR(IF(ROWS(BM$93:BM146)&gt;COUNTA($BM$93:$BM$192),"",INDEX($BL$93:$BL$192,SMALL(IF($BM$93:$BM$192&lt;&gt;"",ROW($BM$93:$BM$192)-ROW($BM$93)+1),ROWS($BM$93:BM146)))),"")</f>
        <v/>
      </c>
      <c r="BY146" t="str">
        <f t="shared" si="98"/>
        <v/>
      </c>
      <c r="CF146" t="str">
        <f t="shared" si="99"/>
        <v/>
      </c>
    </row>
    <row r="147" spans="64:84">
      <c r="BL147">
        <v>55</v>
      </c>
      <c r="BM147" s="719" t="str">
        <f t="shared" si="95"/>
        <v/>
      </c>
      <c r="BN147" s="720" t="str">
        <f t="shared" si="96"/>
        <v/>
      </c>
      <c r="BO147" s="720" t="b">
        <f t="shared" si="100"/>
        <v>0</v>
      </c>
      <c r="BP147" s="724" t="str">
        <f t="shared" si="97"/>
        <v/>
      </c>
      <c r="BQ147" s="720" t="str">
        <f>IFERROR(VLOOKUP(BP147,Lookup!AM$6:AN$8,2,FALSE),"")</f>
        <v/>
      </c>
      <c r="BR147" s="720" t="str">
        <f t="shared" si="101"/>
        <v/>
      </c>
      <c r="BS147" s="725">
        <f>SUMIFS(Installations!CS$39:CS$800,Installations!CT$39:CT$800,BM147,Installations!HX$39:HX$800,TRUE,Installations!CR$39:CR$800,"Exist")</f>
        <v>0</v>
      </c>
      <c r="BT147" s="720" t="str">
        <f t="shared" si="57"/>
        <v/>
      </c>
      <c r="BU147" s="726"/>
      <c r="BX147" t="str">
        <f t="array" ref="BX147">IFERROR(IF(ROWS(BM$93:BM147)&gt;COUNTA($BM$93:$BM$192),"",INDEX($BL$93:$BL$192,SMALL(IF($BM$93:$BM$192&lt;&gt;"",ROW($BM$93:$BM$192)-ROW($BM$93)+1),ROWS($BM$93:BM147)))),"")</f>
        <v/>
      </c>
      <c r="BY147" t="str">
        <f t="shared" si="98"/>
        <v/>
      </c>
      <c r="CF147" t="str">
        <f t="shared" si="99"/>
        <v/>
      </c>
    </row>
    <row r="148" spans="64:84">
      <c r="BL148">
        <v>56</v>
      </c>
      <c r="BM148" s="719" t="str">
        <f t="shared" si="95"/>
        <v/>
      </c>
      <c r="BN148" s="720" t="str">
        <f t="shared" si="96"/>
        <v/>
      </c>
      <c r="BO148" s="720" t="b">
        <f t="shared" si="100"/>
        <v>0</v>
      </c>
      <c r="BP148" s="724" t="str">
        <f t="shared" si="97"/>
        <v/>
      </c>
      <c r="BQ148" s="720" t="str">
        <f>IFERROR(VLOOKUP(BP148,Lookup!AM$6:AN$8,2,FALSE),"")</f>
        <v/>
      </c>
      <c r="BR148" s="720" t="str">
        <f t="shared" si="101"/>
        <v/>
      </c>
      <c r="BS148" s="725">
        <f>SUMIFS(Installations!CS$39:CS$800,Installations!CT$39:CT$800,BM148,Installations!HX$39:HX$800,TRUE,Installations!CR$39:CR$800,"Exist")</f>
        <v>0</v>
      </c>
      <c r="BT148" s="720" t="str">
        <f t="shared" si="57"/>
        <v/>
      </c>
      <c r="BU148" s="726"/>
      <c r="BX148" t="str">
        <f t="array" ref="BX148">IFERROR(IF(ROWS(BM$93:BM148)&gt;COUNTA($BM$93:$BM$192),"",INDEX($BL$93:$BL$192,SMALL(IF($BM$93:$BM$192&lt;&gt;"",ROW($BM$93:$BM$192)-ROW($BM$93)+1),ROWS($BM$93:BM148)))),"")</f>
        <v/>
      </c>
      <c r="BY148" t="str">
        <f t="shared" si="98"/>
        <v/>
      </c>
      <c r="CF148" t="str">
        <f t="shared" si="99"/>
        <v/>
      </c>
    </row>
    <row r="149" spans="64:84">
      <c r="BL149">
        <v>57</v>
      </c>
      <c r="BM149" s="719" t="str">
        <f t="shared" si="95"/>
        <v/>
      </c>
      <c r="BN149" s="720" t="str">
        <f t="shared" si="96"/>
        <v/>
      </c>
      <c r="BO149" s="720" t="b">
        <f t="shared" si="100"/>
        <v>0</v>
      </c>
      <c r="BP149" s="724" t="str">
        <f t="shared" si="97"/>
        <v/>
      </c>
      <c r="BQ149" s="720" t="str">
        <f>IFERROR(VLOOKUP(BP149,Lookup!AM$6:AN$8,2,FALSE),"")</f>
        <v/>
      </c>
      <c r="BR149" s="720" t="str">
        <f t="shared" si="101"/>
        <v/>
      </c>
      <c r="BS149" s="725">
        <f>SUMIFS(Installations!CS$39:CS$800,Installations!CT$39:CT$800,BM149,Installations!HX$39:HX$800,TRUE,Installations!CR$39:CR$800,"Exist")</f>
        <v>0</v>
      </c>
      <c r="BT149" s="720" t="str">
        <f t="shared" si="57"/>
        <v/>
      </c>
      <c r="BU149" s="726"/>
      <c r="BY149" t="str">
        <f t="shared" si="98"/>
        <v/>
      </c>
      <c r="CF149" t="str">
        <f t="shared" si="99"/>
        <v/>
      </c>
    </row>
    <row r="150" spans="64:84">
      <c r="BL150">
        <v>58</v>
      </c>
      <c r="BM150" s="719" t="str">
        <f t="shared" si="95"/>
        <v/>
      </c>
      <c r="BN150" s="720" t="str">
        <f t="shared" si="96"/>
        <v/>
      </c>
      <c r="BO150" s="720" t="b">
        <f t="shared" si="100"/>
        <v>0</v>
      </c>
      <c r="BP150" s="724" t="str">
        <f t="shared" si="97"/>
        <v/>
      </c>
      <c r="BQ150" s="720" t="str">
        <f>IFERROR(VLOOKUP(BP150,Lookup!AM$6:AN$8,2,FALSE),"")</f>
        <v/>
      </c>
      <c r="BR150" s="720" t="str">
        <f t="shared" si="101"/>
        <v/>
      </c>
      <c r="BS150" s="725">
        <f>SUMIFS(Installations!CS$39:CS$800,Installations!CT$39:CT$800,BM150,Installations!HX$39:HX$800,TRUE,Installations!CR$39:CR$800,"Exist")</f>
        <v>0</v>
      </c>
      <c r="BT150" s="720" t="str">
        <f t="shared" si="57"/>
        <v/>
      </c>
      <c r="BU150" s="726"/>
      <c r="BY150" t="str">
        <f t="shared" si="98"/>
        <v/>
      </c>
      <c r="CF150" t="str">
        <f t="shared" si="99"/>
        <v/>
      </c>
    </row>
    <row r="151" spans="64:84">
      <c r="BL151">
        <v>59</v>
      </c>
      <c r="BM151" s="719" t="str">
        <f t="shared" si="95"/>
        <v/>
      </c>
      <c r="BN151" s="720" t="str">
        <f t="shared" si="96"/>
        <v/>
      </c>
      <c r="BO151" s="720" t="b">
        <f t="shared" si="100"/>
        <v>0</v>
      </c>
      <c r="BP151" s="724" t="str">
        <f t="shared" si="97"/>
        <v/>
      </c>
      <c r="BQ151" s="720" t="str">
        <f>IFERROR(VLOOKUP(BP151,Lookup!AM$6:AN$8,2,FALSE),"")</f>
        <v/>
      </c>
      <c r="BR151" s="720" t="str">
        <f t="shared" si="101"/>
        <v/>
      </c>
      <c r="BS151" s="725">
        <f>SUMIFS(Installations!CS$39:CS$800,Installations!CT$39:CT$800,BM151,Installations!HX$39:HX$800,TRUE,Installations!CR$39:CR$800,"Exist")</f>
        <v>0</v>
      </c>
      <c r="BT151" s="720" t="str">
        <f t="shared" si="57"/>
        <v/>
      </c>
      <c r="BU151" s="726"/>
      <c r="BY151" t="str">
        <f t="shared" si="98"/>
        <v/>
      </c>
      <c r="CF151" t="str">
        <f t="shared" si="99"/>
        <v/>
      </c>
    </row>
    <row r="152" spans="64:84">
      <c r="BL152">
        <v>60</v>
      </c>
      <c r="BM152" s="719" t="str">
        <f t="shared" si="95"/>
        <v/>
      </c>
      <c r="BN152" s="720" t="str">
        <f t="shared" si="96"/>
        <v/>
      </c>
      <c r="BO152" s="720" t="b">
        <f t="shared" si="100"/>
        <v>0</v>
      </c>
      <c r="BP152" s="724" t="str">
        <f t="shared" si="97"/>
        <v/>
      </c>
      <c r="BQ152" s="720" t="str">
        <f>IFERROR(VLOOKUP(BP152,Lookup!AM$6:AN$8,2,FALSE),"")</f>
        <v/>
      </c>
      <c r="BR152" s="720" t="str">
        <f t="shared" si="101"/>
        <v/>
      </c>
      <c r="BS152" s="725">
        <f>SUMIFS(Installations!CS$39:CS$800,Installations!CT$39:CT$800,BM152,Installations!HX$39:HX$800,TRUE,Installations!CR$39:CR$800,"Exist")</f>
        <v>0</v>
      </c>
      <c r="BT152" s="720" t="str">
        <f t="shared" si="57"/>
        <v/>
      </c>
      <c r="BU152" s="726"/>
      <c r="BY152" t="str">
        <f t="shared" si="98"/>
        <v/>
      </c>
      <c r="CF152" t="str">
        <f t="shared" si="99"/>
        <v/>
      </c>
    </row>
    <row r="153" spans="64:84">
      <c r="BL153">
        <v>61</v>
      </c>
      <c r="BM153" s="719" t="str">
        <f t="shared" si="95"/>
        <v/>
      </c>
      <c r="BN153" s="720" t="str">
        <f t="shared" si="96"/>
        <v/>
      </c>
      <c r="BO153" s="720" t="b">
        <f t="shared" si="100"/>
        <v>0</v>
      </c>
      <c r="BP153" s="724" t="str">
        <f t="shared" si="97"/>
        <v/>
      </c>
      <c r="BQ153" s="720" t="str">
        <f>IFERROR(VLOOKUP(BP153,Lookup!AM$6:AN$8,2,FALSE),"")</f>
        <v/>
      </c>
      <c r="BR153" s="720" t="str">
        <f t="shared" si="101"/>
        <v/>
      </c>
      <c r="BS153" s="725">
        <f>SUMIFS(Installations!CS$39:CS$800,Installations!CT$39:CT$800,BM153,Installations!HX$39:HX$800,TRUE,Installations!CR$39:CR$800,"Exist")</f>
        <v>0</v>
      </c>
      <c r="BT153" s="720" t="str">
        <f t="shared" si="57"/>
        <v/>
      </c>
      <c r="BU153" s="726"/>
      <c r="BY153" t="str">
        <f t="shared" si="98"/>
        <v/>
      </c>
      <c r="CF153" t="str">
        <f t="shared" si="99"/>
        <v/>
      </c>
    </row>
    <row r="154" spans="64:84">
      <c r="BL154">
        <v>62</v>
      </c>
      <c r="BM154" s="719" t="str">
        <f t="shared" si="95"/>
        <v/>
      </c>
      <c r="BN154" s="720" t="str">
        <f t="shared" si="96"/>
        <v/>
      </c>
      <c r="BO154" s="720" t="b">
        <f t="shared" si="100"/>
        <v>0</v>
      </c>
      <c r="BP154" s="724" t="str">
        <f t="shared" si="97"/>
        <v/>
      </c>
      <c r="BQ154" s="720" t="str">
        <f>IFERROR(VLOOKUP(BP154,Lookup!AM$6:AN$8,2,FALSE),"")</f>
        <v/>
      </c>
      <c r="BR154" s="720" t="str">
        <f t="shared" si="101"/>
        <v/>
      </c>
      <c r="BS154" s="725">
        <f>SUMIFS(Installations!CS$39:CS$800,Installations!CT$39:CT$800,BM154,Installations!HX$39:HX$800,TRUE,Installations!CR$39:CR$800,"Exist")</f>
        <v>0</v>
      </c>
      <c r="BT154" s="720" t="str">
        <f t="shared" si="57"/>
        <v/>
      </c>
      <c r="BU154" s="726"/>
      <c r="BY154" t="str">
        <f t="shared" si="98"/>
        <v/>
      </c>
      <c r="CF154" t="str">
        <f t="shared" si="99"/>
        <v/>
      </c>
    </row>
    <row r="155" spans="64:84">
      <c r="BL155">
        <v>63</v>
      </c>
      <c r="BM155" s="719" t="str">
        <f t="shared" si="95"/>
        <v/>
      </c>
      <c r="BN155" s="720" t="str">
        <f t="shared" si="96"/>
        <v/>
      </c>
      <c r="BO155" s="720" t="b">
        <f t="shared" si="100"/>
        <v>0</v>
      </c>
      <c r="BP155" s="724" t="str">
        <f t="shared" si="97"/>
        <v/>
      </c>
      <c r="BQ155" s="720" t="str">
        <f>IFERROR(VLOOKUP(BP155,Lookup!AM$6:AN$8,2,FALSE),"")</f>
        <v/>
      </c>
      <c r="BR155" s="720" t="str">
        <f t="shared" si="101"/>
        <v/>
      </c>
      <c r="BS155" s="725">
        <f>SUMIFS(Installations!CS$39:CS$800,Installations!CT$39:CT$800,BM155,Installations!HX$39:HX$800,TRUE,Installations!CR$39:CR$800,"Exist")</f>
        <v>0</v>
      </c>
      <c r="BT155" s="720" t="str">
        <f t="shared" si="57"/>
        <v/>
      </c>
      <c r="BU155" s="726"/>
      <c r="BY155" t="str">
        <f t="shared" si="98"/>
        <v/>
      </c>
      <c r="CF155" t="str">
        <f t="shared" si="99"/>
        <v/>
      </c>
    </row>
    <row r="156" spans="64:84">
      <c r="BL156">
        <v>64</v>
      </c>
      <c r="BM156" s="719" t="str">
        <f t="shared" si="95"/>
        <v/>
      </c>
      <c r="BN156" s="720" t="str">
        <f t="shared" si="96"/>
        <v/>
      </c>
      <c r="BO156" s="720" t="b">
        <f t="shared" si="100"/>
        <v>0</v>
      </c>
      <c r="BP156" s="724" t="str">
        <f t="shared" si="97"/>
        <v/>
      </c>
      <c r="BQ156" s="720" t="str">
        <f>IFERROR(VLOOKUP(BP156,Lookup!AM$6:AN$8,2,FALSE),"")</f>
        <v/>
      </c>
      <c r="BR156" s="720" t="str">
        <f t="shared" si="101"/>
        <v/>
      </c>
      <c r="BS156" s="725">
        <f>SUMIFS(Installations!CS$39:CS$800,Installations!CT$39:CT$800,BM156,Installations!HX$39:HX$800,TRUE,Installations!CR$39:CR$800,"Exist")</f>
        <v>0</v>
      </c>
      <c r="BT156" s="720" t="str">
        <f t="shared" si="57"/>
        <v/>
      </c>
      <c r="BU156" s="726"/>
      <c r="BY156" t="str">
        <f t="shared" si="98"/>
        <v/>
      </c>
      <c r="CF156" t="str">
        <f t="shared" si="99"/>
        <v/>
      </c>
    </row>
    <row r="157" spans="64:84">
      <c r="BL157">
        <v>65</v>
      </c>
      <c r="BM157" s="719" t="str">
        <f t="shared" si="95"/>
        <v/>
      </c>
      <c r="BN157" s="720" t="str">
        <f t="shared" si="96"/>
        <v/>
      </c>
      <c r="BO157" s="720" t="b">
        <f t="shared" si="100"/>
        <v>0</v>
      </c>
      <c r="BP157" s="724" t="str">
        <f t="shared" si="97"/>
        <v/>
      </c>
      <c r="BQ157" s="720" t="str">
        <f>IFERROR(VLOOKUP(BP157,Lookup!AM$6:AN$8,2,FALSE),"")</f>
        <v/>
      </c>
      <c r="BR157" s="720" t="str">
        <f t="shared" si="101"/>
        <v/>
      </c>
      <c r="BS157" s="725">
        <f>SUMIFS(Installations!CS$39:CS$800,Installations!CT$39:CT$800,BM157,Installations!HX$39:HX$800,TRUE,Installations!CR$39:CR$800,"Exist")</f>
        <v>0</v>
      </c>
      <c r="BT157" s="720" t="str">
        <f t="shared" si="57"/>
        <v/>
      </c>
      <c r="BU157" s="726"/>
      <c r="BY157" t="str">
        <f t="shared" si="98"/>
        <v/>
      </c>
      <c r="CF157" t="str">
        <f t="shared" si="99"/>
        <v/>
      </c>
    </row>
    <row r="158" spans="64:84">
      <c r="BL158">
        <v>66</v>
      </c>
      <c r="BM158" s="719" t="str">
        <f t="shared" si="95"/>
        <v/>
      </c>
      <c r="BN158" s="720" t="str">
        <f t="shared" si="96"/>
        <v/>
      </c>
      <c r="BO158" s="720" t="b">
        <f t="shared" si="100"/>
        <v>0</v>
      </c>
      <c r="BP158" s="724" t="str">
        <f t="shared" si="97"/>
        <v/>
      </c>
      <c r="BQ158" s="720" t="str">
        <f>IFERROR(VLOOKUP(BP158,Lookup!AM$6:AN$8,2,FALSE),"")</f>
        <v/>
      </c>
      <c r="BR158" s="720" t="str">
        <f t="shared" si="101"/>
        <v/>
      </c>
      <c r="BS158" s="725">
        <f>SUMIFS(Installations!CS$39:CS$800,Installations!CT$39:CT$800,BM158,Installations!HX$39:HX$800,TRUE,Installations!CR$39:CR$800,"Exist")</f>
        <v>0</v>
      </c>
      <c r="BT158" s="720" t="str">
        <f t="shared" ref="BT158:BT192" si="102">IF(BS158=0,"",BL158)</f>
        <v/>
      </c>
      <c r="BU158" s="726"/>
      <c r="BY158" t="str">
        <f t="shared" si="98"/>
        <v/>
      </c>
      <c r="CF158" t="str">
        <f t="shared" si="99"/>
        <v/>
      </c>
    </row>
    <row r="159" spans="64:84">
      <c r="BL159">
        <v>67</v>
      </c>
      <c r="BM159" s="719" t="str">
        <f t="shared" si="95"/>
        <v/>
      </c>
      <c r="BN159" s="720" t="str">
        <f t="shared" si="96"/>
        <v/>
      </c>
      <c r="BO159" s="720" t="b">
        <f t="shared" si="100"/>
        <v>0</v>
      </c>
      <c r="BP159" s="724" t="str">
        <f t="shared" si="97"/>
        <v/>
      </c>
      <c r="BQ159" s="720" t="str">
        <f>IFERROR(VLOOKUP(BP159,Lookup!AM$6:AN$8,2,FALSE),"")</f>
        <v/>
      </c>
      <c r="BR159" s="720" t="str">
        <f t="shared" si="101"/>
        <v/>
      </c>
      <c r="BS159" s="725">
        <f>SUMIFS(Installations!CS$39:CS$800,Installations!CT$39:CT$800,BM159,Installations!HX$39:HX$800,TRUE,Installations!CR$39:CR$800,"Exist")</f>
        <v>0</v>
      </c>
      <c r="BT159" s="720" t="str">
        <f t="shared" si="102"/>
        <v/>
      </c>
      <c r="BU159" s="726"/>
      <c r="BY159" t="str">
        <f t="shared" si="98"/>
        <v/>
      </c>
      <c r="CF159" t="str">
        <f t="shared" si="99"/>
        <v/>
      </c>
    </row>
    <row r="160" spans="64:84">
      <c r="BL160">
        <v>68</v>
      </c>
      <c r="BM160" s="719" t="str">
        <f t="shared" si="95"/>
        <v/>
      </c>
      <c r="BN160" s="720" t="str">
        <f t="shared" si="96"/>
        <v/>
      </c>
      <c r="BO160" s="720" t="b">
        <f t="shared" si="100"/>
        <v>0</v>
      </c>
      <c r="BP160" s="724" t="str">
        <f t="shared" si="97"/>
        <v/>
      </c>
      <c r="BQ160" s="720" t="str">
        <f>IFERROR(VLOOKUP(BP160,Lookup!AM$6:AN$8,2,FALSE),"")</f>
        <v/>
      </c>
      <c r="BR160" s="720" t="str">
        <f t="shared" si="101"/>
        <v/>
      </c>
      <c r="BS160" s="725">
        <f>SUMIFS(Installations!CS$39:CS$800,Installations!CT$39:CT$800,BM160,Installations!HX$39:HX$800,TRUE,Installations!CR$39:CR$800,"Exist")</f>
        <v>0</v>
      </c>
      <c r="BT160" s="720" t="str">
        <f t="shared" si="102"/>
        <v/>
      </c>
      <c r="BU160" s="726"/>
      <c r="BY160" t="str">
        <f t="shared" si="98"/>
        <v/>
      </c>
      <c r="CF160" t="str">
        <f t="shared" si="99"/>
        <v/>
      </c>
    </row>
    <row r="161" spans="64:84">
      <c r="BL161">
        <v>69</v>
      </c>
      <c r="BM161" s="719" t="str">
        <f t="shared" si="95"/>
        <v/>
      </c>
      <c r="BN161" s="720" t="str">
        <f t="shared" si="96"/>
        <v/>
      </c>
      <c r="BO161" s="720" t="b">
        <f t="shared" si="100"/>
        <v>0</v>
      </c>
      <c r="BP161" s="724" t="str">
        <f t="shared" si="97"/>
        <v/>
      </c>
      <c r="BQ161" s="720" t="str">
        <f>IFERROR(VLOOKUP(BP161,Lookup!AM$6:AN$8,2,FALSE),"")</f>
        <v/>
      </c>
      <c r="BR161" s="720" t="str">
        <f t="shared" si="101"/>
        <v/>
      </c>
      <c r="BS161" s="725">
        <f>SUMIFS(Installations!CS$39:CS$800,Installations!CT$39:CT$800,BM161,Installations!HX$39:HX$800,TRUE,Installations!CR$39:CR$800,"Exist")</f>
        <v>0</v>
      </c>
      <c r="BT161" s="720" t="str">
        <f t="shared" si="102"/>
        <v/>
      </c>
      <c r="BU161" s="726"/>
      <c r="BY161" t="str">
        <f t="shared" si="98"/>
        <v/>
      </c>
      <c r="CF161" t="str">
        <f t="shared" si="99"/>
        <v/>
      </c>
    </row>
    <row r="162" spans="64:84">
      <c r="BL162">
        <v>70</v>
      </c>
      <c r="BM162" s="719" t="str">
        <f t="shared" si="95"/>
        <v/>
      </c>
      <c r="BN162" s="720" t="str">
        <f t="shared" si="96"/>
        <v/>
      </c>
      <c r="BO162" s="720" t="b">
        <f t="shared" si="100"/>
        <v>0</v>
      </c>
      <c r="BP162" s="724" t="str">
        <f t="shared" si="97"/>
        <v/>
      </c>
      <c r="BQ162" s="720" t="str">
        <f>IFERROR(VLOOKUP(BP162,Lookup!AM$6:AN$8,2,FALSE),"")</f>
        <v/>
      </c>
      <c r="BR162" s="720" t="str">
        <f t="shared" si="101"/>
        <v/>
      </c>
      <c r="BS162" s="725">
        <f>SUMIFS(Installations!CS$39:CS$800,Installations!CT$39:CT$800,BM162,Installations!HX$39:HX$800,TRUE,Installations!CR$39:CR$800,"Exist")</f>
        <v>0</v>
      </c>
      <c r="BT162" s="720" t="str">
        <f t="shared" si="102"/>
        <v/>
      </c>
      <c r="BU162" s="726"/>
      <c r="BY162" t="str">
        <f t="shared" si="98"/>
        <v/>
      </c>
      <c r="CF162" t="str">
        <f t="shared" si="99"/>
        <v/>
      </c>
    </row>
    <row r="163" spans="64:84">
      <c r="BL163">
        <v>71</v>
      </c>
      <c r="BM163" s="719" t="str">
        <f t="shared" si="95"/>
        <v/>
      </c>
      <c r="BN163" s="720" t="str">
        <f t="shared" si="96"/>
        <v/>
      </c>
      <c r="BO163" s="720" t="b">
        <f t="shared" si="100"/>
        <v>0</v>
      </c>
      <c r="BP163" s="724" t="str">
        <f t="shared" si="97"/>
        <v/>
      </c>
      <c r="BQ163" s="720" t="str">
        <f>IFERROR(VLOOKUP(BP163,Lookup!AM$6:AN$8,2,FALSE),"")</f>
        <v/>
      </c>
      <c r="BR163" s="720" t="str">
        <f t="shared" si="101"/>
        <v/>
      </c>
      <c r="BS163" s="725">
        <f>SUMIFS(Installations!CS$39:CS$800,Installations!CT$39:CT$800,BM163,Installations!HX$39:HX$800,TRUE,Installations!CR$39:CR$800,"Exist")</f>
        <v>0</v>
      </c>
      <c r="BT163" s="720" t="str">
        <f t="shared" si="102"/>
        <v/>
      </c>
      <c r="BU163" s="726"/>
      <c r="BY163" t="str">
        <f t="shared" si="98"/>
        <v/>
      </c>
      <c r="CF163" t="str">
        <f t="shared" si="99"/>
        <v/>
      </c>
    </row>
    <row r="164" spans="64:84">
      <c r="BL164">
        <v>72</v>
      </c>
      <c r="BM164" s="719" t="str">
        <f t="shared" si="95"/>
        <v/>
      </c>
      <c r="BN164" s="720" t="str">
        <f t="shared" si="96"/>
        <v/>
      </c>
      <c r="BO164" s="720" t="b">
        <f t="shared" si="100"/>
        <v>0</v>
      </c>
      <c r="BP164" s="724" t="str">
        <f t="shared" si="97"/>
        <v/>
      </c>
      <c r="BQ164" s="720" t="str">
        <f>IFERROR(VLOOKUP(BP164,Lookup!AM$6:AN$8,2,FALSE),"")</f>
        <v/>
      </c>
      <c r="BR164" s="720" t="str">
        <f t="shared" si="101"/>
        <v/>
      </c>
      <c r="BS164" s="725">
        <f>SUMIFS(Installations!CS$39:CS$800,Installations!CT$39:CT$800,BM164,Installations!HX$39:HX$800,TRUE,Installations!CR$39:CR$800,"Exist")</f>
        <v>0</v>
      </c>
      <c r="BT164" s="720" t="str">
        <f t="shared" si="102"/>
        <v/>
      </c>
      <c r="BU164" s="726"/>
      <c r="BY164" t="str">
        <f t="shared" si="98"/>
        <v/>
      </c>
      <c r="CF164" t="str">
        <f t="shared" si="99"/>
        <v/>
      </c>
    </row>
    <row r="165" spans="64:84">
      <c r="BL165">
        <v>73</v>
      </c>
      <c r="BM165" s="719" t="str">
        <f t="shared" si="95"/>
        <v/>
      </c>
      <c r="BN165" s="720" t="str">
        <f t="shared" si="96"/>
        <v/>
      </c>
      <c r="BO165" s="720" t="b">
        <f t="shared" si="100"/>
        <v>0</v>
      </c>
      <c r="BP165" s="724" t="str">
        <f t="shared" si="97"/>
        <v/>
      </c>
      <c r="BQ165" s="720" t="str">
        <f>IFERROR(VLOOKUP(BP165,Lookup!AM$6:AN$8,2,FALSE),"")</f>
        <v/>
      </c>
      <c r="BR165" s="720" t="str">
        <f t="shared" si="101"/>
        <v/>
      </c>
      <c r="BS165" s="725">
        <f>SUMIFS(Installations!CS$39:CS$800,Installations!CT$39:CT$800,BM165,Installations!HX$39:HX$800,TRUE,Installations!CR$39:CR$800,"Exist")</f>
        <v>0</v>
      </c>
      <c r="BT165" s="720" t="str">
        <f t="shared" si="102"/>
        <v/>
      </c>
      <c r="BU165" s="726"/>
      <c r="BY165" t="str">
        <f t="shared" si="98"/>
        <v/>
      </c>
      <c r="CF165" t="str">
        <f t="shared" si="99"/>
        <v/>
      </c>
    </row>
    <row r="166" spans="64:84">
      <c r="BL166">
        <v>74</v>
      </c>
      <c r="BM166" s="719" t="str">
        <f t="shared" si="95"/>
        <v/>
      </c>
      <c r="BN166" s="720" t="str">
        <f t="shared" si="96"/>
        <v/>
      </c>
      <c r="BO166" s="720" t="b">
        <f t="shared" si="100"/>
        <v>0</v>
      </c>
      <c r="BP166" s="724" t="str">
        <f t="shared" si="97"/>
        <v/>
      </c>
      <c r="BQ166" s="720" t="str">
        <f>IFERROR(VLOOKUP(BP166,Lookup!AM$6:AN$8,2,FALSE),"")</f>
        <v/>
      </c>
      <c r="BR166" s="720" t="str">
        <f t="shared" si="101"/>
        <v/>
      </c>
      <c r="BS166" s="725">
        <f>SUMIFS(Installations!CS$39:CS$800,Installations!CT$39:CT$800,BM166,Installations!HX$39:HX$800,TRUE,Installations!CR$39:CR$800,"Exist")</f>
        <v>0</v>
      </c>
      <c r="BT166" s="720" t="str">
        <f t="shared" si="102"/>
        <v/>
      </c>
      <c r="BU166" s="726"/>
      <c r="BY166" t="str">
        <f t="shared" si="98"/>
        <v/>
      </c>
      <c r="CF166" t="str">
        <f t="shared" si="99"/>
        <v/>
      </c>
    </row>
    <row r="167" spans="64:84">
      <c r="BL167">
        <v>75</v>
      </c>
      <c r="BM167" s="719" t="str">
        <f t="shared" si="95"/>
        <v/>
      </c>
      <c r="BN167" s="720" t="str">
        <f t="shared" si="96"/>
        <v/>
      </c>
      <c r="BO167" s="720" t="b">
        <f t="shared" si="100"/>
        <v>0</v>
      </c>
      <c r="BP167" s="724" t="str">
        <f t="shared" si="97"/>
        <v/>
      </c>
      <c r="BQ167" s="720" t="str">
        <f>IFERROR(VLOOKUP(BP167,Lookup!AM$6:AN$8,2,FALSE),"")</f>
        <v/>
      </c>
      <c r="BR167" s="720" t="str">
        <f t="shared" si="101"/>
        <v/>
      </c>
      <c r="BS167" s="725">
        <f>SUMIFS(Installations!CS$39:CS$800,Installations!CT$39:CT$800,BM167,Installations!HX$39:HX$800,TRUE,Installations!CR$39:CR$800,"Exist")</f>
        <v>0</v>
      </c>
      <c r="BT167" s="720" t="str">
        <f t="shared" si="102"/>
        <v/>
      </c>
      <c r="BU167" s="726"/>
      <c r="BY167" t="str">
        <f t="shared" si="98"/>
        <v/>
      </c>
      <c r="CF167" t="str">
        <f t="shared" si="99"/>
        <v/>
      </c>
    </row>
    <row r="168" spans="64:84">
      <c r="BL168">
        <v>76</v>
      </c>
      <c r="BM168" s="719" t="str">
        <f t="shared" si="95"/>
        <v/>
      </c>
      <c r="BN168" s="720" t="str">
        <f t="shared" si="96"/>
        <v/>
      </c>
      <c r="BO168" s="720" t="b">
        <f t="shared" si="100"/>
        <v>0</v>
      </c>
      <c r="BP168" s="724" t="str">
        <f t="shared" si="97"/>
        <v/>
      </c>
      <c r="BQ168" s="720" t="str">
        <f>IFERROR(VLOOKUP(BP168,Lookup!AM$6:AN$8,2,FALSE),"")</f>
        <v/>
      </c>
      <c r="BR168" s="720" t="str">
        <f t="shared" si="101"/>
        <v/>
      </c>
      <c r="BS168" s="725">
        <f>SUMIFS(Installations!CS$39:CS$800,Installations!CT$39:CT$800,BM168,Installations!HX$39:HX$800,TRUE,Installations!CR$39:CR$800,"Exist")</f>
        <v>0</v>
      </c>
      <c r="BT168" s="720" t="str">
        <f t="shared" si="102"/>
        <v/>
      </c>
      <c r="BU168" s="726"/>
      <c r="BY168" t="str">
        <f t="shared" si="98"/>
        <v/>
      </c>
      <c r="CF168" t="str">
        <f t="shared" si="99"/>
        <v/>
      </c>
    </row>
    <row r="169" spans="64:84">
      <c r="BL169">
        <v>77</v>
      </c>
      <c r="BM169" s="719" t="str">
        <f t="shared" ref="BM169:BM174" si="103">IF(DM53="Yes",DN53,"")</f>
        <v/>
      </c>
      <c r="BN169" s="720" t="str">
        <f>IF(DM53="Yes",EP53,"")</f>
        <v/>
      </c>
      <c r="BO169" s="720" t="b">
        <f t="shared" si="100"/>
        <v>0</v>
      </c>
      <c r="BP169" s="724" t="str">
        <f t="shared" si="97"/>
        <v/>
      </c>
      <c r="BQ169" s="720" t="str">
        <f>IFERROR(VLOOKUP(BP169,Lookup!AM$6:AN$8,2,FALSE),"")</f>
        <v/>
      </c>
      <c r="BR169" s="720" t="str">
        <f t="shared" si="101"/>
        <v/>
      </c>
      <c r="BS169" s="725">
        <f>SUMIFS(Installations!CS$39:CS$800,Installations!CT$39:CT$800,BM169,Installations!HX$39:HX$800,TRUE,Installations!CR$39:CR$800,"Exist")</f>
        <v>0</v>
      </c>
      <c r="BT169" s="720" t="str">
        <f t="shared" si="102"/>
        <v/>
      </c>
      <c r="BU169" s="726"/>
      <c r="BY169" t="str">
        <f t="shared" si="98"/>
        <v/>
      </c>
      <c r="CF169" t="str">
        <f t="shared" si="99"/>
        <v/>
      </c>
    </row>
    <row r="170" spans="64:84">
      <c r="BL170">
        <v>78</v>
      </c>
      <c r="BM170" s="719" t="str">
        <f t="shared" si="103"/>
        <v/>
      </c>
      <c r="BN170" s="720" t="str">
        <f>IF(DM54="Yes",EP54,"")</f>
        <v/>
      </c>
      <c r="BO170" s="720" t="b">
        <f t="shared" si="100"/>
        <v>0</v>
      </c>
      <c r="BP170" s="724" t="str">
        <f t="shared" si="97"/>
        <v/>
      </c>
      <c r="BQ170" s="720" t="str">
        <f>IFERROR(VLOOKUP(BP170,Lookup!AM$6:AN$8,2,FALSE),"")</f>
        <v/>
      </c>
      <c r="BR170" s="720" t="str">
        <f t="shared" si="101"/>
        <v/>
      </c>
      <c r="BS170" s="725">
        <f>SUMIFS(Installations!CS$39:CS$800,Installations!CT$39:CT$800,BM170,Installations!HX$39:HX$800,TRUE,Installations!CR$39:CR$800,"Exist")</f>
        <v>0</v>
      </c>
      <c r="BT170" s="720" t="str">
        <f t="shared" si="102"/>
        <v/>
      </c>
      <c r="BU170" s="726"/>
      <c r="BY170" t="str">
        <f t="shared" si="98"/>
        <v/>
      </c>
      <c r="CF170" t="str">
        <f t="shared" si="99"/>
        <v/>
      </c>
    </row>
    <row r="171" spans="64:84">
      <c r="BL171">
        <v>79</v>
      </c>
      <c r="BM171" s="719" t="str">
        <f t="shared" si="103"/>
        <v/>
      </c>
      <c r="BN171" s="720" t="str">
        <f>IF(DM55="Yes",EP55,"")</f>
        <v/>
      </c>
      <c r="BO171" s="720" t="b">
        <f t="shared" si="100"/>
        <v>0</v>
      </c>
      <c r="BP171" s="724" t="str">
        <f t="shared" si="97"/>
        <v/>
      </c>
      <c r="BQ171" s="720" t="str">
        <f>IFERROR(VLOOKUP(BP171,Lookup!AM$6:AN$8,2,FALSE),"")</f>
        <v/>
      </c>
      <c r="BR171" s="720" t="str">
        <f t="shared" si="101"/>
        <v/>
      </c>
      <c r="BS171" s="725">
        <f>SUMIFS(Installations!CS$39:CS$800,Installations!CT$39:CT$800,BM171,Installations!HX$39:HX$800,TRUE,Installations!CR$39:CR$800,"Exist")</f>
        <v>0</v>
      </c>
      <c r="BT171" s="720" t="str">
        <f t="shared" si="102"/>
        <v/>
      </c>
      <c r="BU171" s="726"/>
      <c r="BY171" t="str">
        <f t="shared" si="98"/>
        <v/>
      </c>
      <c r="CF171" t="str">
        <f t="shared" si="99"/>
        <v/>
      </c>
    </row>
    <row r="172" spans="64:84">
      <c r="BL172">
        <v>80</v>
      </c>
      <c r="BM172" s="719" t="str">
        <f t="shared" si="103"/>
        <v/>
      </c>
      <c r="BN172" s="720" t="str">
        <f>IF(DM56="Yes",EP56,"")</f>
        <v/>
      </c>
      <c r="BO172" s="720" t="b">
        <f t="shared" si="100"/>
        <v>0</v>
      </c>
      <c r="BP172" s="724" t="str">
        <f t="shared" si="97"/>
        <v/>
      </c>
      <c r="BQ172" s="720" t="str">
        <f>IFERROR(VLOOKUP(BP172,Lookup!AM$6:AN$8,2,FALSE),"")</f>
        <v/>
      </c>
      <c r="BR172" s="720" t="str">
        <f t="shared" si="101"/>
        <v/>
      </c>
      <c r="BS172" s="725">
        <f>SUMIFS(Installations!CS$39:CS$800,Installations!CT$39:CT$800,BM172,Installations!HX$39:HX$800,TRUE,Installations!CR$39:CR$800,"Exist")</f>
        <v>0</v>
      </c>
      <c r="BT172" s="720" t="str">
        <f t="shared" si="102"/>
        <v/>
      </c>
      <c r="BU172" s="726"/>
      <c r="BY172" t="str">
        <f t="shared" si="98"/>
        <v/>
      </c>
      <c r="CF172" t="str">
        <f t="shared" si="99"/>
        <v/>
      </c>
    </row>
    <row r="173" spans="64:84">
      <c r="BL173">
        <v>81</v>
      </c>
      <c r="BM173" s="719" t="str">
        <f t="shared" si="103"/>
        <v/>
      </c>
      <c r="BN173" s="720" t="str">
        <f t="shared" ref="BN173:BN192" si="104">IF(DM57="Yes",EP57,"")</f>
        <v/>
      </c>
      <c r="BO173" s="720" t="b">
        <f t="shared" si="100"/>
        <v>0</v>
      </c>
      <c r="BP173" s="724" t="str">
        <f t="shared" si="97"/>
        <v/>
      </c>
      <c r="BQ173" s="720" t="str">
        <f>IFERROR(VLOOKUP(BP173,Lookup!AM$6:AN$8,2,FALSE),"")</f>
        <v/>
      </c>
      <c r="BR173" s="720" t="str">
        <f t="shared" si="101"/>
        <v/>
      </c>
      <c r="BS173" s="725">
        <f>SUMIFS(Installations!CS$39:CS$800,Installations!CT$39:CT$800,BM173,Installations!HX$39:HX$800,TRUE,Installations!CR$39:CR$800,"Exist")</f>
        <v>0</v>
      </c>
      <c r="BT173" s="720" t="str">
        <f t="shared" si="102"/>
        <v/>
      </c>
      <c r="BU173" s="726"/>
      <c r="BY173" t="str">
        <f t="shared" si="98"/>
        <v/>
      </c>
      <c r="CF173" t="str">
        <f t="shared" si="99"/>
        <v/>
      </c>
    </row>
    <row r="174" spans="64:84">
      <c r="BL174">
        <v>82</v>
      </c>
      <c r="BM174" s="719" t="str">
        <f t="shared" si="103"/>
        <v/>
      </c>
      <c r="BN174" s="720" t="str">
        <f t="shared" si="104"/>
        <v/>
      </c>
      <c r="BO174" s="720" t="b">
        <f t="shared" si="100"/>
        <v>0</v>
      </c>
      <c r="BP174" s="724" t="str">
        <f t="shared" si="97"/>
        <v/>
      </c>
      <c r="BQ174" s="720" t="str">
        <f>IFERROR(VLOOKUP(BP174,Lookup!AM$6:AN$8,2,FALSE),"")</f>
        <v/>
      </c>
      <c r="BR174" s="720" t="str">
        <f t="shared" si="101"/>
        <v/>
      </c>
      <c r="BS174" s="725">
        <f>SUMIFS(Installations!CS$39:CS$800,Installations!CT$39:CT$800,BM174,Installations!HX$39:HX$800,TRUE,Installations!CR$39:CR$800,"Exist")</f>
        <v>0</v>
      </c>
      <c r="BT174" s="720" t="str">
        <f t="shared" si="102"/>
        <v/>
      </c>
      <c r="BU174" s="726"/>
      <c r="BY174" t="str">
        <f t="shared" si="98"/>
        <v/>
      </c>
      <c r="CF174" t="str">
        <f t="shared" si="99"/>
        <v/>
      </c>
    </row>
    <row r="175" spans="64:84">
      <c r="BL175">
        <v>83</v>
      </c>
      <c r="BM175" s="719" t="str">
        <f t="shared" ref="BM175:BM192" si="105">IF(DM59="Yes",DN59,"")</f>
        <v/>
      </c>
      <c r="BN175" s="720" t="str">
        <f t="shared" si="104"/>
        <v/>
      </c>
      <c r="BO175" s="720" t="b">
        <f t="shared" si="100"/>
        <v>0</v>
      </c>
      <c r="BP175" s="724" t="str">
        <f t="shared" ref="BP175:BP192" si="106">IF(BO175=TRUE,EB59,"")</f>
        <v/>
      </c>
      <c r="BQ175" s="720" t="str">
        <f>IFERROR(VLOOKUP(BP175,Lookup!AM$6:AN$8,2,FALSE),"")</f>
        <v/>
      </c>
      <c r="BR175" s="720" t="str">
        <f t="shared" si="101"/>
        <v/>
      </c>
      <c r="BS175" s="725">
        <f>SUMIFS(Installations!CS$39:CS$800,Installations!CT$39:CT$800,BM175,Installations!HX$39:HX$800,TRUE,Installations!CR$39:CR$800,"Exist")</f>
        <v>0</v>
      </c>
      <c r="BT175" s="720" t="str">
        <f t="shared" si="102"/>
        <v/>
      </c>
      <c r="BU175" s="726"/>
      <c r="BY175" t="str">
        <f t="shared" ref="BY175:BY192" si="107">IFERROR(VLOOKUP(BX175,BL$93:BM$192,2,FALSE),"")</f>
        <v/>
      </c>
      <c r="CF175" t="str">
        <f t="shared" ref="CF175:CF192" si="108">VLOOKUP(BY175,BM$93:BN$192,2,FALSE)</f>
        <v/>
      </c>
    </row>
    <row r="176" spans="64:84">
      <c r="BL176">
        <v>84</v>
      </c>
      <c r="BM176" s="719" t="str">
        <f t="shared" si="105"/>
        <v/>
      </c>
      <c r="BN176" s="720" t="str">
        <f t="shared" si="104"/>
        <v/>
      </c>
      <c r="BO176" s="720" t="b">
        <f t="shared" si="100"/>
        <v>0</v>
      </c>
      <c r="BP176" s="724" t="str">
        <f t="shared" si="106"/>
        <v/>
      </c>
      <c r="BQ176" s="720" t="str">
        <f>IFERROR(VLOOKUP(BP176,Lookup!AM$6:AN$8,2,FALSE),"")</f>
        <v/>
      </c>
      <c r="BR176" s="720" t="str">
        <f t="shared" si="101"/>
        <v/>
      </c>
      <c r="BS176" s="725">
        <f>SUMIFS(Installations!CS$39:CS$800,Installations!CT$39:CT$800,BM176,Installations!HX$39:HX$800,TRUE,Installations!CR$39:CR$800,"Exist")</f>
        <v>0</v>
      </c>
      <c r="BT176" s="720" t="str">
        <f t="shared" si="102"/>
        <v/>
      </c>
      <c r="BU176" s="726"/>
      <c r="BY176" t="str">
        <f t="shared" si="107"/>
        <v/>
      </c>
      <c r="CF176" t="str">
        <f t="shared" si="108"/>
        <v/>
      </c>
    </row>
    <row r="177" spans="64:84">
      <c r="BL177">
        <v>85</v>
      </c>
      <c r="BM177" s="719" t="str">
        <f t="shared" si="105"/>
        <v/>
      </c>
      <c r="BN177" s="720" t="str">
        <f t="shared" si="104"/>
        <v/>
      </c>
      <c r="BO177" s="720" t="b">
        <f t="shared" si="100"/>
        <v>0</v>
      </c>
      <c r="BP177" s="724" t="str">
        <f t="shared" si="106"/>
        <v/>
      </c>
      <c r="BQ177" s="720" t="str">
        <f>IFERROR(VLOOKUP(BP177,Lookup!AM$6:AN$8,2,FALSE),"")</f>
        <v/>
      </c>
      <c r="BR177" s="720" t="str">
        <f t="shared" si="101"/>
        <v/>
      </c>
      <c r="BS177" s="725">
        <f>SUMIFS(Installations!CS$39:CS$800,Installations!CT$39:CT$800,BM177,Installations!HX$39:HX$800,TRUE,Installations!CR$39:CR$800,"Exist")</f>
        <v>0</v>
      </c>
      <c r="BT177" s="720" t="str">
        <f t="shared" si="102"/>
        <v/>
      </c>
      <c r="BU177" s="726"/>
      <c r="BY177" t="str">
        <f t="shared" si="107"/>
        <v/>
      </c>
      <c r="CF177" t="str">
        <f t="shared" si="108"/>
        <v/>
      </c>
    </row>
    <row r="178" spans="64:84">
      <c r="BL178">
        <v>86</v>
      </c>
      <c r="BM178" s="719" t="str">
        <f t="shared" si="105"/>
        <v/>
      </c>
      <c r="BN178" s="720" t="str">
        <f t="shared" si="104"/>
        <v/>
      </c>
      <c r="BO178" s="720" t="b">
        <f t="shared" si="100"/>
        <v>0</v>
      </c>
      <c r="BP178" s="724" t="str">
        <f t="shared" si="106"/>
        <v/>
      </c>
      <c r="BQ178" s="720" t="str">
        <f>IFERROR(VLOOKUP(BP178,Lookup!AM$6:AN$8,2,FALSE),"")</f>
        <v/>
      </c>
      <c r="BR178" s="720" t="str">
        <f t="shared" si="101"/>
        <v/>
      </c>
      <c r="BS178" s="725">
        <f>SUMIFS(Installations!CS$39:CS$800,Installations!CT$39:CT$800,BM178,Installations!HX$39:HX$800,TRUE,Installations!CR$39:CR$800,"Exist")</f>
        <v>0</v>
      </c>
      <c r="BT178" s="720" t="str">
        <f t="shared" si="102"/>
        <v/>
      </c>
      <c r="BU178" s="726"/>
      <c r="BY178" t="str">
        <f t="shared" si="107"/>
        <v/>
      </c>
      <c r="CF178" t="str">
        <f t="shared" si="108"/>
        <v/>
      </c>
    </row>
    <row r="179" spans="64:84">
      <c r="BL179">
        <v>87</v>
      </c>
      <c r="BM179" s="719" t="str">
        <f t="shared" si="105"/>
        <v/>
      </c>
      <c r="BN179" s="720" t="str">
        <f t="shared" si="104"/>
        <v/>
      </c>
      <c r="BO179" s="720" t="b">
        <f t="shared" si="100"/>
        <v>0</v>
      </c>
      <c r="BP179" s="724" t="str">
        <f t="shared" si="106"/>
        <v/>
      </c>
      <c r="BQ179" s="720" t="str">
        <f>IFERROR(VLOOKUP(BP179,Lookup!AM$6:AN$8,2,FALSE),"")</f>
        <v/>
      </c>
      <c r="BR179" s="720" t="str">
        <f t="shared" si="101"/>
        <v/>
      </c>
      <c r="BS179" s="725">
        <f>SUMIFS(Installations!CS$39:CS$800,Installations!CT$39:CT$800,BM179,Installations!HX$39:HX$800,TRUE,Installations!CR$39:CR$800,"Exist")</f>
        <v>0</v>
      </c>
      <c r="BT179" s="720" t="str">
        <f t="shared" si="102"/>
        <v/>
      </c>
      <c r="BU179" s="726"/>
      <c r="BY179" t="str">
        <f t="shared" si="107"/>
        <v/>
      </c>
      <c r="CF179" t="str">
        <f t="shared" si="108"/>
        <v/>
      </c>
    </row>
    <row r="180" spans="64:84">
      <c r="BL180">
        <v>88</v>
      </c>
      <c r="BM180" s="719" t="str">
        <f t="shared" si="105"/>
        <v/>
      </c>
      <c r="BN180" s="720" t="str">
        <f t="shared" si="104"/>
        <v/>
      </c>
      <c r="BO180" s="720" t="b">
        <f t="shared" si="100"/>
        <v>0</v>
      </c>
      <c r="BP180" s="724" t="str">
        <f t="shared" si="106"/>
        <v/>
      </c>
      <c r="BQ180" s="720" t="str">
        <f>IFERROR(VLOOKUP(BP180,Lookup!AM$6:AN$8,2,FALSE),"")</f>
        <v/>
      </c>
      <c r="BR180" s="720" t="str">
        <f t="shared" si="101"/>
        <v/>
      </c>
      <c r="BS180" s="725">
        <f>SUMIFS(Installations!CS$39:CS$800,Installations!CT$39:CT$800,BM180,Installations!HX$39:HX$800,TRUE,Installations!CR$39:CR$800,"Exist")</f>
        <v>0</v>
      </c>
      <c r="BT180" s="720" t="str">
        <f t="shared" si="102"/>
        <v/>
      </c>
      <c r="BU180" s="726"/>
      <c r="BY180" t="str">
        <f t="shared" si="107"/>
        <v/>
      </c>
      <c r="CF180" t="str">
        <f t="shared" si="108"/>
        <v/>
      </c>
    </row>
    <row r="181" spans="64:84">
      <c r="BL181">
        <v>89</v>
      </c>
      <c r="BM181" s="719" t="str">
        <f t="shared" si="105"/>
        <v/>
      </c>
      <c r="BN181" s="720" t="str">
        <f t="shared" si="104"/>
        <v/>
      </c>
      <c r="BO181" s="720" t="b">
        <f t="shared" si="100"/>
        <v>0</v>
      </c>
      <c r="BP181" s="724" t="str">
        <f t="shared" si="106"/>
        <v/>
      </c>
      <c r="BQ181" s="720" t="str">
        <f>IFERROR(VLOOKUP(BP181,Lookup!AM$6:AN$8,2,FALSE),"")</f>
        <v/>
      </c>
      <c r="BR181" s="720" t="str">
        <f t="shared" si="101"/>
        <v/>
      </c>
      <c r="BS181" s="725">
        <f>SUMIFS(Installations!CS$39:CS$800,Installations!CT$39:CT$800,BM181,Installations!HX$39:HX$800,TRUE,Installations!CR$39:CR$800,"Exist")</f>
        <v>0</v>
      </c>
      <c r="BT181" s="720" t="str">
        <f t="shared" si="102"/>
        <v/>
      </c>
      <c r="BU181" s="726"/>
      <c r="BY181" t="str">
        <f t="shared" si="107"/>
        <v/>
      </c>
      <c r="CF181" t="str">
        <f t="shared" si="108"/>
        <v/>
      </c>
    </row>
    <row r="182" spans="64:84">
      <c r="BL182">
        <v>90</v>
      </c>
      <c r="BM182" s="719" t="str">
        <f t="shared" si="105"/>
        <v/>
      </c>
      <c r="BN182" s="720" t="str">
        <f t="shared" si="104"/>
        <v/>
      </c>
      <c r="BO182" s="720" t="b">
        <f t="shared" si="100"/>
        <v>0</v>
      </c>
      <c r="BP182" s="724" t="str">
        <f t="shared" si="106"/>
        <v/>
      </c>
      <c r="BQ182" s="720" t="str">
        <f>IFERROR(VLOOKUP(BP182,Lookup!AM$6:AN$8,2,FALSE),"")</f>
        <v/>
      </c>
      <c r="BR182" s="720" t="str">
        <f t="shared" si="101"/>
        <v/>
      </c>
      <c r="BS182" s="725">
        <f>SUMIFS(Installations!CS$39:CS$800,Installations!CT$39:CT$800,BM182,Installations!HX$39:HX$800,TRUE,Installations!CR$39:CR$800,"Exist")</f>
        <v>0</v>
      </c>
      <c r="BT182" s="720" t="str">
        <f t="shared" si="102"/>
        <v/>
      </c>
      <c r="BU182" s="726"/>
      <c r="BY182" t="str">
        <f t="shared" si="107"/>
        <v/>
      </c>
      <c r="CF182" t="str">
        <f t="shared" si="108"/>
        <v/>
      </c>
    </row>
    <row r="183" spans="64:84">
      <c r="BL183">
        <v>91</v>
      </c>
      <c r="BM183" s="719" t="str">
        <f t="shared" si="105"/>
        <v/>
      </c>
      <c r="BN183" s="720" t="str">
        <f t="shared" si="104"/>
        <v/>
      </c>
      <c r="BO183" s="720" t="b">
        <f t="shared" si="100"/>
        <v>0</v>
      </c>
      <c r="BP183" s="724" t="str">
        <f t="shared" si="106"/>
        <v/>
      </c>
      <c r="BQ183" s="720" t="str">
        <f>IFERROR(VLOOKUP(BP183,Lookup!AM$6:AN$8,2,FALSE),"")</f>
        <v/>
      </c>
      <c r="BR183" s="720" t="str">
        <f t="shared" si="101"/>
        <v/>
      </c>
      <c r="BS183" s="725">
        <f>SUMIFS(Installations!CS$39:CS$800,Installations!CT$39:CT$800,BM183,Installations!HX$39:HX$800,TRUE,Installations!CR$39:CR$800,"Exist")</f>
        <v>0</v>
      </c>
      <c r="BT183" s="720" t="str">
        <f t="shared" si="102"/>
        <v/>
      </c>
      <c r="BU183" s="726"/>
      <c r="BY183" t="str">
        <f t="shared" si="107"/>
        <v/>
      </c>
      <c r="CF183" t="str">
        <f t="shared" si="108"/>
        <v/>
      </c>
    </row>
    <row r="184" spans="64:84">
      <c r="BL184">
        <v>92</v>
      </c>
      <c r="BM184" s="719" t="str">
        <f t="shared" si="105"/>
        <v/>
      </c>
      <c r="BN184" s="720" t="str">
        <f t="shared" si="104"/>
        <v/>
      </c>
      <c r="BO184" s="720" t="b">
        <f t="shared" si="100"/>
        <v>0</v>
      </c>
      <c r="BP184" s="724" t="str">
        <f t="shared" si="106"/>
        <v/>
      </c>
      <c r="BQ184" s="720" t="str">
        <f>IFERROR(VLOOKUP(BP184,Lookup!AM$6:AN$8,2,FALSE),"")</f>
        <v/>
      </c>
      <c r="BR184" s="720" t="str">
        <f t="shared" si="101"/>
        <v/>
      </c>
      <c r="BS184" s="725">
        <f>SUMIFS(Installations!CS$39:CS$800,Installations!CT$39:CT$800,BM184,Installations!HX$39:HX$800,TRUE,Installations!CR$39:CR$800,"Exist")</f>
        <v>0</v>
      </c>
      <c r="BT184" s="720" t="str">
        <f t="shared" si="102"/>
        <v/>
      </c>
      <c r="BU184" s="726"/>
      <c r="BY184" t="str">
        <f t="shared" si="107"/>
        <v/>
      </c>
      <c r="CF184" t="str">
        <f t="shared" si="108"/>
        <v/>
      </c>
    </row>
    <row r="185" spans="64:84">
      <c r="BL185">
        <v>93</v>
      </c>
      <c r="BM185" s="719" t="str">
        <f t="shared" si="105"/>
        <v/>
      </c>
      <c r="BN185" s="720" t="str">
        <f t="shared" si="104"/>
        <v/>
      </c>
      <c r="BO185" s="720" t="b">
        <f t="shared" si="100"/>
        <v>0</v>
      </c>
      <c r="BP185" s="724" t="str">
        <f t="shared" si="106"/>
        <v/>
      </c>
      <c r="BQ185" s="720" t="str">
        <f>IFERROR(VLOOKUP(BP185,Lookup!AM$6:AN$8,2,FALSE),"")</f>
        <v/>
      </c>
      <c r="BR185" s="720" t="str">
        <f t="shared" si="101"/>
        <v/>
      </c>
      <c r="BS185" s="725">
        <f>SUMIFS(Installations!CS$39:CS$800,Installations!CT$39:CT$800,BM185,Installations!HX$39:HX$800,TRUE,Installations!CR$39:CR$800,"Exist")</f>
        <v>0</v>
      </c>
      <c r="BT185" s="720" t="str">
        <f t="shared" si="102"/>
        <v/>
      </c>
      <c r="BU185" s="726"/>
      <c r="BY185" t="str">
        <f t="shared" si="107"/>
        <v/>
      </c>
      <c r="CF185" t="str">
        <f t="shared" si="108"/>
        <v/>
      </c>
    </row>
    <row r="186" spans="64:84">
      <c r="BL186">
        <v>94</v>
      </c>
      <c r="BM186" s="719" t="str">
        <f t="shared" si="105"/>
        <v/>
      </c>
      <c r="BN186" s="720" t="str">
        <f t="shared" si="104"/>
        <v/>
      </c>
      <c r="BO186" s="720" t="b">
        <f t="shared" si="100"/>
        <v>0</v>
      </c>
      <c r="BP186" s="724" t="str">
        <f t="shared" si="106"/>
        <v/>
      </c>
      <c r="BQ186" s="720" t="str">
        <f>IFERROR(VLOOKUP(BP186,Lookup!AM$6:AN$8,2,FALSE),"")</f>
        <v/>
      </c>
      <c r="BR186" s="720" t="str">
        <f t="shared" si="101"/>
        <v/>
      </c>
      <c r="BS186" s="725">
        <f>SUMIFS(Installations!CS$39:CS$800,Installations!CT$39:CT$800,BM186,Installations!HX$39:HX$800,TRUE,Installations!CR$39:CR$800,"Exist")</f>
        <v>0</v>
      </c>
      <c r="BT186" s="720" t="str">
        <f t="shared" si="102"/>
        <v/>
      </c>
      <c r="BU186" s="726"/>
      <c r="BY186" t="str">
        <f t="shared" si="107"/>
        <v/>
      </c>
      <c r="CF186" t="str">
        <f t="shared" si="108"/>
        <v/>
      </c>
    </row>
    <row r="187" spans="64:84">
      <c r="BL187">
        <v>95</v>
      </c>
      <c r="BM187" s="719" t="str">
        <f t="shared" si="105"/>
        <v/>
      </c>
      <c r="BN187" s="720" t="str">
        <f t="shared" si="104"/>
        <v/>
      </c>
      <c r="BO187" s="720" t="b">
        <f t="shared" si="100"/>
        <v>0</v>
      </c>
      <c r="BP187" s="724" t="str">
        <f t="shared" si="106"/>
        <v/>
      </c>
      <c r="BQ187" s="720" t="str">
        <f>IFERROR(VLOOKUP(BP187,Lookup!AM$6:AN$8,2,FALSE),"")</f>
        <v/>
      </c>
      <c r="BR187" s="720" t="str">
        <f t="shared" si="101"/>
        <v/>
      </c>
      <c r="BS187" s="725">
        <f>SUMIFS(Installations!CS$39:CS$800,Installations!CT$39:CT$800,BM187,Installations!HX$39:HX$800,TRUE,Installations!CR$39:CR$800,"Exist")</f>
        <v>0</v>
      </c>
      <c r="BT187" s="720" t="str">
        <f t="shared" si="102"/>
        <v/>
      </c>
      <c r="BU187" s="726"/>
      <c r="BY187" t="str">
        <f t="shared" si="107"/>
        <v/>
      </c>
      <c r="CF187" t="str">
        <f t="shared" si="108"/>
        <v/>
      </c>
    </row>
    <row r="188" spans="64:84">
      <c r="BL188">
        <v>96</v>
      </c>
      <c r="BM188" s="719" t="str">
        <f t="shared" si="105"/>
        <v/>
      </c>
      <c r="BN188" s="720" t="str">
        <f t="shared" si="104"/>
        <v/>
      </c>
      <c r="BO188" s="720" t="b">
        <f t="shared" si="100"/>
        <v>0</v>
      </c>
      <c r="BP188" s="724" t="str">
        <f t="shared" si="106"/>
        <v/>
      </c>
      <c r="BQ188" s="720" t="str">
        <f>IFERROR(VLOOKUP(BP188,Lookup!AM$6:AN$8,2,FALSE),"")</f>
        <v/>
      </c>
      <c r="BR188" s="720" t="str">
        <f t="shared" si="101"/>
        <v/>
      </c>
      <c r="BS188" s="725">
        <f>SUMIFS(Installations!CS$39:CS$800,Installations!CT$39:CT$800,BM188,Installations!HX$39:HX$800,TRUE,Installations!CR$39:CR$800,"Exist")</f>
        <v>0</v>
      </c>
      <c r="BT188" s="720" t="str">
        <f t="shared" si="102"/>
        <v/>
      </c>
      <c r="BU188" s="726"/>
      <c r="BY188" t="str">
        <f t="shared" si="107"/>
        <v/>
      </c>
      <c r="CF188" t="str">
        <f t="shared" si="108"/>
        <v/>
      </c>
    </row>
    <row r="189" spans="64:84">
      <c r="BL189">
        <v>97</v>
      </c>
      <c r="BM189" s="719" t="str">
        <f t="shared" si="105"/>
        <v/>
      </c>
      <c r="BN189" s="720" t="str">
        <f t="shared" si="104"/>
        <v/>
      </c>
      <c r="BO189" s="720" t="b">
        <f t="shared" si="100"/>
        <v>0</v>
      </c>
      <c r="BP189" s="724" t="str">
        <f t="shared" si="106"/>
        <v/>
      </c>
      <c r="BQ189" s="720" t="str">
        <f>IFERROR(VLOOKUP(BP189,Lookup!AM$6:AN$8,2,FALSE),"")</f>
        <v/>
      </c>
      <c r="BR189" s="720" t="str">
        <f t="shared" si="101"/>
        <v/>
      </c>
      <c r="BS189" s="725">
        <f>SUMIFS(Installations!CS$39:CS$800,Installations!CT$39:CT$800,BM189,Installations!HX$39:HX$800,TRUE,Installations!CR$39:CR$800,"Exist")</f>
        <v>0</v>
      </c>
      <c r="BT189" s="720" t="str">
        <f t="shared" si="102"/>
        <v/>
      </c>
      <c r="BU189" s="726"/>
      <c r="BY189" t="str">
        <f t="shared" si="107"/>
        <v/>
      </c>
      <c r="CF189" t="str">
        <f t="shared" si="108"/>
        <v/>
      </c>
    </row>
    <row r="190" spans="64:84">
      <c r="BL190">
        <v>98</v>
      </c>
      <c r="BM190" s="719" t="str">
        <f t="shared" si="105"/>
        <v/>
      </c>
      <c r="BN190" s="720" t="str">
        <f t="shared" si="104"/>
        <v/>
      </c>
      <c r="BO190" s="720" t="b">
        <f t="shared" si="100"/>
        <v>0</v>
      </c>
      <c r="BP190" s="724" t="str">
        <f t="shared" si="106"/>
        <v/>
      </c>
      <c r="BQ190" s="720" t="str">
        <f>IFERROR(VLOOKUP(BP190,Lookup!AM$6:AN$8,2,FALSE),"")</f>
        <v/>
      </c>
      <c r="BR190" s="720" t="str">
        <f t="shared" si="101"/>
        <v/>
      </c>
      <c r="BS190" s="725">
        <f>SUMIFS(Installations!CS$39:CS$800,Installations!CT$39:CT$800,BM190,Installations!HX$39:HX$800,TRUE,Installations!CR$39:CR$800,"Exist")</f>
        <v>0</v>
      </c>
      <c r="BT190" s="720" t="str">
        <f t="shared" si="102"/>
        <v/>
      </c>
      <c r="BU190" s="726"/>
      <c r="BY190" t="str">
        <f t="shared" si="107"/>
        <v/>
      </c>
      <c r="CF190" t="str">
        <f t="shared" si="108"/>
        <v/>
      </c>
    </row>
    <row r="191" spans="64:84">
      <c r="BL191">
        <v>99</v>
      </c>
      <c r="BM191" s="719" t="str">
        <f t="shared" si="105"/>
        <v/>
      </c>
      <c r="BN191" s="720" t="str">
        <f t="shared" si="104"/>
        <v/>
      </c>
      <c r="BO191" s="720" t="b">
        <f t="shared" si="100"/>
        <v>0</v>
      </c>
      <c r="BP191" s="724" t="str">
        <f t="shared" si="106"/>
        <v/>
      </c>
      <c r="BQ191" s="720" t="str">
        <f>IFERROR(VLOOKUP(BP191,Lookup!AM$6:AN$8,2,FALSE),"")</f>
        <v/>
      </c>
      <c r="BR191" s="720" t="str">
        <f t="shared" si="101"/>
        <v/>
      </c>
      <c r="BS191" s="725">
        <f>SUMIFS(Installations!CS$39:CS$800,Installations!CT$39:CT$800,BM191,Installations!HX$39:HX$800,TRUE,Installations!CR$39:CR$800,"Exist")</f>
        <v>0</v>
      </c>
      <c r="BT191" s="720" t="str">
        <f t="shared" si="102"/>
        <v/>
      </c>
      <c r="BU191" s="726"/>
      <c r="BY191" t="str">
        <f t="shared" si="107"/>
        <v/>
      </c>
      <c r="CF191" t="str">
        <f t="shared" si="108"/>
        <v/>
      </c>
    </row>
    <row r="192" spans="64:84">
      <c r="BL192">
        <v>100</v>
      </c>
      <c r="BM192" s="719" t="str">
        <f t="shared" si="105"/>
        <v/>
      </c>
      <c r="BN192" s="720" t="str">
        <f t="shared" si="104"/>
        <v/>
      </c>
      <c r="BO192" s="720" t="b">
        <f t="shared" si="100"/>
        <v>0</v>
      </c>
      <c r="BP192" s="724" t="str">
        <f t="shared" si="106"/>
        <v/>
      </c>
      <c r="BQ192" s="720" t="str">
        <f>IFERROR(VLOOKUP(BP192,Lookup!AM$6:AN$8,2,FALSE),"")</f>
        <v/>
      </c>
      <c r="BR192" s="720">
        <f t="shared" si="101"/>
        <v>0</v>
      </c>
      <c r="BS192" s="725">
        <f>SUMIFS(Installations!CS$39:CS$800,Installations!CT$39:CT$800,BM192,Installations!HX$39:HX$800,TRUE,Installations!CR$39:CR$800,"Exist")</f>
        <v>0</v>
      </c>
      <c r="BT192" s="720" t="str">
        <f t="shared" si="102"/>
        <v/>
      </c>
      <c r="BU192" s="726"/>
      <c r="BY192" t="str">
        <f t="shared" si="107"/>
        <v/>
      </c>
      <c r="CF192" t="str">
        <f t="shared" si="108"/>
        <v/>
      </c>
    </row>
    <row r="195" spans="64:70">
      <c r="BL195" s="715" t="str">
        <f t="array" ref="BL195">IFERROR(IF(ROWS(BM$93:BM93)&gt;COUNTA($BM$93:$BM$192),"",INDEX($BL$93:$BL$192,SMALL(IF($BM$93:$BM$192&lt;&gt;"",ROW($BM$93:$BM$192)-ROW($BM$93)+1),ROWS($BM$93:BM93)))),"")</f>
        <v/>
      </c>
      <c r="BM195" s="728" t="e">
        <f>VLOOKUP($BL195,$BL93:BS$192,2,FALSE)</f>
        <v>#N/A</v>
      </c>
      <c r="BN195" s="715" t="e">
        <f>IF(VLOOKUP($BL195,$BL93:BT$192,8,FALSE)=0,"",VLOOKUP($BL195,$BL93:BT$192,8,FALSE))</f>
        <v>#N/A</v>
      </c>
      <c r="BR195" s="715" t="str">
        <f t="array" ref="BR195">IFERROR(IF(ROWS(BT$93:BT93)&gt;COUNTA($BT$93:$BT$192),"",INDEX($BL$93:$BL$192,SMALL(IF($BT$93:$BT$192&lt;&gt;"",ROW($BT$93:$BT$192)-ROW($BT$93)+1),ROWS($BT$93:BT93)))),"")</f>
        <v/>
      </c>
    </row>
    <row r="196" spans="64:70">
      <c r="BL196" s="715" t="str">
        <f t="array" ref="BL196">IFERROR(IF(ROWS(BM$93:BM94)&gt;COUNTA($BM$93:$BM$192),"",INDEX($BL$93:$BL$192,SMALL(IF($BM$93:$BM$192&lt;&gt;"",ROW($BM$93:$BM$192)-ROW($BM$93)+1),ROWS($BM$93:BM94)))),"")</f>
        <v/>
      </c>
      <c r="BM196" s="728" t="e">
        <f>VLOOKUP($BL196,$BL94:BS$192,2,FALSE)</f>
        <v>#N/A</v>
      </c>
      <c r="BN196" s="715" t="e">
        <f>IF(VLOOKUP($BL196,$BL94:BT$192,8,FALSE)=0,"",VLOOKUP($BL196,$BL94:BT$192,8,FALSE))</f>
        <v>#N/A</v>
      </c>
      <c r="BR196" s="715" t="str">
        <f t="array" ref="BR196">IFERROR(IF(ROWS(BT$93:BT94)&gt;COUNTA($BT$93:$BT$192),"",INDEX($BL$93:$BL$192,SMALL(IF($BT$93:$BT$192&lt;&gt;"",ROW($BT$93:$BT$192)-ROW($BT$93)+1),ROWS($BT$93:BT94)))),"")</f>
        <v/>
      </c>
    </row>
    <row r="197" spans="64:70">
      <c r="BL197" s="715" t="str">
        <f t="array" ref="BL197">IFERROR(IF(ROWS(BM$93:BM95)&gt;COUNTA($BM$93:$BM$192),"",INDEX($BL$93:$BL$192,SMALL(IF($BM$93:$BM$192&lt;&gt;"",ROW($BM$93:$BM$192)-ROW($BM$93)+1),ROWS($BM$93:BM95)))),"")</f>
        <v/>
      </c>
      <c r="BM197" s="728" t="e">
        <f>VLOOKUP($BL197,$BL95:BS$192,2,FALSE)</f>
        <v>#N/A</v>
      </c>
      <c r="BN197" s="715" t="e">
        <f>IF(VLOOKUP($BL197,$BL95:BT$192,8,FALSE)=0,"",VLOOKUP($BL197,$BL95:BT$192,8,FALSE))</f>
        <v>#N/A</v>
      </c>
      <c r="BR197" s="715" t="str">
        <f t="array" ref="BR197">IFERROR(IF(ROWS(BT$93:BT95)&gt;COUNTA($BT$93:$BT$192),"",INDEX($BL$93:$BL$192,SMALL(IF($BT$93:$BT$192&lt;&gt;"",ROW($BT$93:$BT$192)-ROW($BT$93)+1),ROWS($BT$93:BT95)))),"")</f>
        <v/>
      </c>
    </row>
    <row r="198" spans="64:70">
      <c r="BL198" s="715" t="str">
        <f t="array" ref="BL198">IFERROR(IF(ROWS(BM$93:BM96)&gt;COUNTA($BM$93:$BM$192),"",INDEX($BL$93:$BL$192,SMALL(IF($BM$93:$BM$192&lt;&gt;"",ROW($BM$93:$BM$192)-ROW($BM$93)+1),ROWS($BM$93:BM96)))),"")</f>
        <v/>
      </c>
      <c r="BM198" s="728" t="e">
        <f>VLOOKUP($BL198,$BL96:BS$192,2,FALSE)</f>
        <v>#N/A</v>
      </c>
      <c r="BN198" s="715" t="e">
        <f>IF(VLOOKUP($BL198,$BL96:BT$192,8,FALSE)=0,"",VLOOKUP($BL198,$BL96:BT$192,8,FALSE))</f>
        <v>#N/A</v>
      </c>
      <c r="BR198" s="715" t="str">
        <f t="array" ref="BR198">IFERROR(IF(ROWS(BT$93:BT96)&gt;COUNTA($BT$93:$BT$192),"",INDEX($BL$93:$BL$192,SMALL(IF($BT$93:$BT$192&lt;&gt;"",ROW($BT$93:$BT$192)-ROW($BT$93)+1),ROWS($BT$93:BT96)))),"")</f>
        <v/>
      </c>
    </row>
    <row r="199" spans="64:70">
      <c r="BL199" s="715" t="str">
        <f t="array" ref="BL199">IFERROR(IF(ROWS(BM$93:BM97)&gt;COUNTA($BM$93:$BM$192),"",INDEX($BL$93:$BL$192,SMALL(IF($BM$93:$BM$192&lt;&gt;"",ROW($BM$93:$BM$192)-ROW($BM$93)+1),ROWS($BM$93:BM97)))),"")</f>
        <v/>
      </c>
      <c r="BM199" s="728" t="e">
        <f>VLOOKUP($BL199,$BL97:BS$192,2,FALSE)</f>
        <v>#N/A</v>
      </c>
      <c r="BN199" s="715" t="e">
        <f>IF(VLOOKUP($BL199,$BL97:BT$192,8,FALSE)=0,"",VLOOKUP($BL199,$BL97:BT$192,8,FALSE))</f>
        <v>#N/A</v>
      </c>
      <c r="BR199" s="715" t="str">
        <f t="array" ref="BR199">IFERROR(IF(ROWS(BT$93:BT97)&gt;COUNTA($BT$93:$BT$192),"",INDEX($BL$93:$BL$192,SMALL(IF($BT$93:$BT$192&lt;&gt;"",ROW($BT$93:$BT$192)-ROW($BT$93)+1),ROWS($BT$93:BT97)))),"")</f>
        <v/>
      </c>
    </row>
    <row r="200" spans="64:70">
      <c r="BL200" s="715" t="str">
        <f t="array" ref="BL200">IFERROR(IF(ROWS(BM$93:BM98)&gt;COUNTA($BM$93:$BM$192),"",INDEX($BL$93:$BL$192,SMALL(IF($BM$93:$BM$192&lt;&gt;"",ROW($BM$93:$BM$192)-ROW($BM$93)+1),ROWS($BM$93:BM98)))),"")</f>
        <v/>
      </c>
      <c r="BM200" s="728" t="e">
        <f>VLOOKUP($BL200,$BL98:BS$192,2,FALSE)</f>
        <v>#N/A</v>
      </c>
      <c r="BN200" s="715" t="e">
        <f>IF(VLOOKUP($BL200,$BL98:BT$192,8,FALSE)=0,"",VLOOKUP($BL200,$BL98:BT$192,8,FALSE))</f>
        <v>#N/A</v>
      </c>
      <c r="BR200" s="715" t="str">
        <f t="array" ref="BR200">IFERROR(IF(ROWS(BT$93:BT98)&gt;COUNTA($BT$93:$BT$192),"",INDEX($BL$93:$BL$192,SMALL(IF($BT$93:$BT$192&lt;&gt;"",ROW($BT$93:$BT$192)-ROW($BT$93)+1),ROWS($BT$93:BT98)))),"")</f>
        <v/>
      </c>
    </row>
    <row r="201" spans="64:70">
      <c r="BL201" s="728" t="str">
        <f t="array" ref="BL201">IFERROR(IF(ROWS(BM$93:BM99)&gt;COUNTA($BM$93:$BM$192),"",INDEX($BL$93:$BL$192,SMALL(IF($BM$93:$BM$192&lt;&gt;"",ROW($BM$93:$BM$192)-ROW($BM$93)+1),ROWS($BM$93:BM99)))),"")</f>
        <v/>
      </c>
      <c r="BM201" s="728" t="e">
        <f>VLOOKUP($BL201,$BL99:BS$192,2,FALSE)</f>
        <v>#N/A</v>
      </c>
      <c r="BN201" s="715" t="e">
        <f>VLOOKUP($BL201,$BL99:BT$192,8,FALSE)</f>
        <v>#N/A</v>
      </c>
      <c r="BR201" s="715" t="str">
        <f t="array" ref="BR201">IFERROR(IF(ROWS(BT$93:BT99)&gt;COUNTA($BT$93:$BT$192),"",INDEX($BL$93:$BL$192,SMALL(IF($BT$93:$BT$192&lt;&gt;"",ROW($BT$93:$BT$192)-ROW($BT$93)+1),ROWS($BT$93:BT99)))),"")</f>
        <v/>
      </c>
    </row>
    <row r="202" spans="64:70">
      <c r="BL202" s="728" t="str">
        <f t="array" ref="BL202">IFERROR(IF(ROWS(BM$93:BM100)&gt;COUNTA($BM$93:$BM$192),"",INDEX($BL$93:$BL$192,SMALL(IF($BM$93:$BM$192&lt;&gt;"",ROW($BM$93:$BM$192)-ROW($BM$93)+1),ROWS($BM$93:BM100)))),"")</f>
        <v/>
      </c>
      <c r="BM202" s="728" t="e">
        <f>VLOOKUP($BL202,$BL100:BS$192,2,FALSE)</f>
        <v>#N/A</v>
      </c>
      <c r="BN202" s="715" t="e">
        <f>VLOOKUP($BL202,$BL100:BT$192,8,FALSE)</f>
        <v>#N/A</v>
      </c>
      <c r="BR202" s="715" t="str">
        <f t="array" ref="BR202">IFERROR(IF(ROWS(BT$93:BT100)&gt;COUNTA($BT$93:$BT$192),"",INDEX($BL$93:$BL$192,SMALL(IF($BT$93:$BT$192&lt;&gt;"",ROW($BT$93:$BT$192)-ROW($BT$93)+1),ROWS($BT$93:BT100)))),"")</f>
        <v/>
      </c>
    </row>
    <row r="203" spans="64:70">
      <c r="BL203" s="728" t="str">
        <f t="array" ref="BL203">IFERROR(IF(ROWS(BM$93:BM101)&gt;COUNTA($BM$93:$BM$192),"",INDEX($BL$93:$BL$192,SMALL(IF($BM$93:$BM$192&lt;&gt;"",ROW($BM$93:$BM$192)-ROW($BM$93)+1),ROWS($BM$93:BM101)))),"")</f>
        <v/>
      </c>
      <c r="BM203" s="728" t="e">
        <f>VLOOKUP($BL203,$BL101:BS$192,2,FALSE)</f>
        <v>#N/A</v>
      </c>
      <c r="BN203" s="715" t="e">
        <f>VLOOKUP($BL203,$BL101:BT$192,8,FALSE)</f>
        <v>#N/A</v>
      </c>
      <c r="BR203" s="715" t="str">
        <f t="array" ref="BR203">IFERROR(IF(ROWS(BT$93:BT101)&gt;COUNTA($BT$93:$BT$192),"",INDEX($BL$93:$BL$192,SMALL(IF($BT$93:$BT$192&lt;&gt;"",ROW($BT$93:$BT$192)-ROW($BT$93)+1),ROWS($BT$93:BT101)))),"")</f>
        <v/>
      </c>
    </row>
    <row r="204" spans="64:70">
      <c r="BL204" s="728" t="str">
        <f t="array" ref="BL204">IFERROR(IF(ROWS(BM$93:BM102)&gt;COUNTA($BM$93:$BM$192),"",INDEX($BL$93:$BL$192,SMALL(IF($BM$93:$BM$192&lt;&gt;"",ROW($BM$93:$BM$192)-ROW($BM$93)+1),ROWS($BM$93:BM102)))),"")</f>
        <v/>
      </c>
      <c r="BM204" s="728" t="e">
        <f>VLOOKUP($BL204,$BL102:BS$192,2,FALSE)</f>
        <v>#N/A</v>
      </c>
      <c r="BN204" s="715" t="e">
        <f>VLOOKUP($BL204,$BL102:BT$192,8,FALSE)</f>
        <v>#N/A</v>
      </c>
      <c r="BR204" s="715" t="str">
        <f t="array" ref="BR204">IFERROR(IF(ROWS(BT$93:BT102)&gt;COUNTA($BT$93:$BT$192),"",INDEX($BL$93:$BL$192,SMALL(IF($BT$93:$BT$192&lt;&gt;"",ROW($BT$93:$BT$192)-ROW($BT$93)+1),ROWS($BT$93:BT102)))),"")</f>
        <v/>
      </c>
    </row>
    <row r="205" spans="64:70">
      <c r="BL205" s="728" t="str">
        <f t="array" ref="BL205">IFERROR(IF(ROWS(BM$93:BM103)&gt;COUNTA($BM$93:$BM$192),"",INDEX($BL$93:$BL$192,SMALL(IF($BM$93:$BM$192&lt;&gt;"",ROW($BM$93:$BM$192)-ROW($BM$93)+1),ROWS($BM$93:BM103)))),"")</f>
        <v/>
      </c>
      <c r="BM205" s="728" t="e">
        <f>VLOOKUP($BL205,$BL103:BS$192,2,FALSE)</f>
        <v>#N/A</v>
      </c>
      <c r="BN205" s="715" t="e">
        <f>VLOOKUP($BL205,$BL103:BT$192,8,FALSE)</f>
        <v>#N/A</v>
      </c>
      <c r="BR205" s="715" t="str">
        <f t="array" ref="BR205">IFERROR(IF(ROWS(BT$93:BT103)&gt;COUNTA($BT$93:$BT$192),"",INDEX($BL$93:$BL$192,SMALL(IF($BT$93:$BT$192&lt;&gt;"",ROW($BT$93:$BT$192)-ROW($BT$93)+1),ROWS($BT$93:BT103)))),"")</f>
        <v/>
      </c>
    </row>
    <row r="206" spans="64:70">
      <c r="BL206" s="728" t="str">
        <f t="array" ref="BL206">IFERROR(IF(ROWS(BM$93:BM104)&gt;COUNTA($BM$93:$BM$192),"",INDEX($BL$93:$BL$192,SMALL(IF($BM$93:$BM$192&lt;&gt;"",ROW($BM$93:$BM$192)-ROW($BM$93)+1),ROWS($BM$93:BM104)))),"")</f>
        <v/>
      </c>
      <c r="BM206" s="728" t="e">
        <f>VLOOKUP($BL206,$BL104:BS$192,2,FALSE)</f>
        <v>#N/A</v>
      </c>
      <c r="BN206" s="715" t="e">
        <f>VLOOKUP($BL206,$BL104:BT$192,8,FALSE)</f>
        <v>#N/A</v>
      </c>
    </row>
    <row r="207" spans="64:70">
      <c r="BL207" s="728" t="str">
        <f t="array" ref="BL207">IFERROR(IF(ROWS(BM$93:BM105)&gt;COUNTA($BM$93:$BM$192),"",INDEX($BL$93:$BL$192,SMALL(IF($BM$93:$BM$192&lt;&gt;"",ROW($BM$93:$BM$192)-ROW($BM$93)+1),ROWS($BM$93:BM105)))),"")</f>
        <v/>
      </c>
      <c r="BM207" s="728" t="e">
        <f>VLOOKUP($BL207,$BL105:BS$192,2,FALSE)</f>
        <v>#N/A</v>
      </c>
      <c r="BN207" s="715" t="e">
        <f>VLOOKUP($BL207,$BL105:BT$192,8,FALSE)</f>
        <v>#N/A</v>
      </c>
    </row>
    <row r="208" spans="64:70">
      <c r="BL208" s="728" t="str">
        <f t="array" ref="BL208">IFERROR(IF(ROWS(BM$93:BM106)&gt;COUNTA($BM$93:$BM$192),"",INDEX($BL$93:$BL$192,SMALL(IF($BM$93:$BM$192&lt;&gt;"",ROW($BM$93:$BM$192)-ROW($BM$93)+1),ROWS($BM$93:BM106)))),"")</f>
        <v/>
      </c>
      <c r="BM208" s="728" t="e">
        <f>VLOOKUP($BL208,$BL106:BS$192,2,FALSE)</f>
        <v>#N/A</v>
      </c>
      <c r="BN208" s="715" t="e">
        <f>VLOOKUP($BL208,$BL106:BT$192,8,FALSE)</f>
        <v>#N/A</v>
      </c>
    </row>
    <row r="209" spans="64:66">
      <c r="BL209" s="728" t="str">
        <f t="array" ref="BL209">IFERROR(IF(ROWS(BM$93:BM107)&gt;COUNTA($BM$93:$BM$192),"",INDEX($BL$93:$BL$192,SMALL(IF($BM$93:$BM$192&lt;&gt;"",ROW($BM$93:$BM$192)-ROW($BM$93)+1),ROWS($BM$93:BM107)))),"")</f>
        <v/>
      </c>
      <c r="BM209" s="728" t="e">
        <f>VLOOKUP($BL209,$BL107:BS$192,2,FALSE)</f>
        <v>#N/A</v>
      </c>
      <c r="BN209" s="715" t="e">
        <f>VLOOKUP($BL209,$BL107:BT$192,8,FALSE)</f>
        <v>#N/A</v>
      </c>
    </row>
    <row r="210" spans="64:66">
      <c r="BL210" s="728" t="str">
        <f t="array" ref="BL210">IFERROR(IF(ROWS(BM$93:BM108)&gt;COUNTA($BM$93:$BM$192),"",INDEX($BL$93:$BL$192,SMALL(IF($BM$93:$BM$192&lt;&gt;"",ROW($BM$93:$BM$192)-ROW($BM$93)+1),ROWS($BM$93:BM108)))),"")</f>
        <v/>
      </c>
      <c r="BM210" s="728" t="e">
        <f>VLOOKUP($BL210,$BL108:BS$192,2,FALSE)</f>
        <v>#N/A</v>
      </c>
      <c r="BN210" s="715" t="e">
        <f>VLOOKUP($BL210,$BL108:BT$192,8,FALSE)</f>
        <v>#N/A</v>
      </c>
    </row>
    <row r="211" spans="64:66">
      <c r="BL211" s="728" t="str">
        <f t="array" ref="BL211">IFERROR(IF(ROWS(BM$93:BM109)&gt;COUNTA($BM$93:$BM$192),"",INDEX($BL$93:$BL$192,SMALL(IF($BM$93:$BM$192&lt;&gt;"",ROW($BM$93:$BM$192)-ROW($BM$93)+1),ROWS($BM$93:BM109)))),"")</f>
        <v/>
      </c>
      <c r="BM211" s="728" t="e">
        <f>VLOOKUP($BL211,$BL109:BS$192,2,FALSE)</f>
        <v>#N/A</v>
      </c>
      <c r="BN211" s="715" t="e">
        <f>VLOOKUP($BL211,$BL109:BT$192,8,FALSE)</f>
        <v>#N/A</v>
      </c>
    </row>
    <row r="212" spans="64:66">
      <c r="BL212" s="728" t="str">
        <f t="array" ref="BL212">IFERROR(IF(ROWS(BM$93:BM110)&gt;COUNTA($BM$93:$BM$192),"",INDEX($BL$93:$BL$192,SMALL(IF($BM$93:$BM$192&lt;&gt;"",ROW($BM$93:$BM$192)-ROW($BM$93)+1),ROWS($BM$93:BM110)))),"")</f>
        <v/>
      </c>
      <c r="BM212" s="728" t="e">
        <f>VLOOKUP($BL212,$BL110:BS$192,2,FALSE)</f>
        <v>#N/A</v>
      </c>
      <c r="BN212" s="715" t="e">
        <f>VLOOKUP($BL212,$BL110:BT$192,8,FALSE)</f>
        <v>#N/A</v>
      </c>
    </row>
    <row r="213" spans="64:66">
      <c r="BL213" s="728" t="str">
        <f t="array" ref="BL213">IFERROR(IF(ROWS(BM$93:BM111)&gt;COUNTA($BM$93:$BM$192),"",INDEX($BL$93:$BL$192,SMALL(IF($BM$93:$BM$192&lt;&gt;"",ROW($BM$93:$BM$192)-ROW($BM$93)+1),ROWS($BM$93:BM111)))),"")</f>
        <v/>
      </c>
      <c r="BM213" s="728" t="e">
        <f>VLOOKUP($BL213,$BL111:BS$192,2,FALSE)</f>
        <v>#N/A</v>
      </c>
      <c r="BN213" s="715" t="e">
        <f>VLOOKUP($BL213,$BL111:BT$192,8,FALSE)</f>
        <v>#N/A</v>
      </c>
    </row>
    <row r="214" spans="64:66">
      <c r="BL214" s="728" t="str">
        <f t="array" ref="BL214">IFERROR(IF(ROWS(BM$93:BM112)&gt;COUNTA($BM$93:$BM$192),"",INDEX($BL$93:$BL$192,SMALL(IF($BM$93:$BM$192&lt;&gt;"",ROW($BM$93:$BM$192)-ROW($BM$93)+1),ROWS($BM$93:BM112)))),"")</f>
        <v/>
      </c>
      <c r="BM214" s="728" t="e">
        <f>VLOOKUP($BL214,$BL112:BS$192,2,FALSE)</f>
        <v>#N/A</v>
      </c>
      <c r="BN214" s="715" t="e">
        <f>VLOOKUP($BL214,$BL112:BT$192,8,FALSE)</f>
        <v>#N/A</v>
      </c>
    </row>
    <row r="215" spans="64:66">
      <c r="BL215" s="728" t="str">
        <f t="array" ref="BL215">IFERROR(IF(ROWS(BM$93:BM113)&gt;COUNTA($BM$93:$BM$192),"",INDEX($BL$93:$BL$192,SMALL(IF($BM$93:$BM$192&lt;&gt;"",ROW($BM$93:$BM$192)-ROW($BM$93)+1),ROWS($BM$93:BM113)))),"")</f>
        <v/>
      </c>
      <c r="BM215" s="728" t="e">
        <f>VLOOKUP($BL215,$BL113:BS$192,2,FALSE)</f>
        <v>#N/A</v>
      </c>
      <c r="BN215" s="715" t="e">
        <f>VLOOKUP($BL215,$BL113:BT$192,8,FALSE)</f>
        <v>#N/A</v>
      </c>
    </row>
    <row r="216" spans="64:66">
      <c r="BL216" s="728" t="str">
        <f t="array" ref="BL216">IFERROR(IF(ROWS(BM$93:BM114)&gt;COUNTA($BM$93:$BM$192),"",INDEX($BL$93:$BL$192,SMALL(IF($BM$93:$BM$192&lt;&gt;"",ROW($BM$93:$BM$192)-ROW($BM$93)+1),ROWS($BM$93:BM114)))),"")</f>
        <v/>
      </c>
      <c r="BM216" s="728" t="e">
        <f>VLOOKUP($BL216,$BL114:BS$192,2,FALSE)</f>
        <v>#N/A</v>
      </c>
      <c r="BN216" s="715" t="e">
        <f>VLOOKUP($BL216,$BL114:BT$192,8,FALSE)</f>
        <v>#N/A</v>
      </c>
    </row>
    <row r="217" spans="64:66">
      <c r="BL217" s="728" t="str">
        <f t="array" ref="BL217">IFERROR(IF(ROWS(BM$93:BM115)&gt;COUNTA($BM$93:$BM$192),"",INDEX($BL$93:$BL$192,SMALL(IF($BM$93:$BM$192&lt;&gt;"",ROW($BM$93:$BM$192)-ROW($BM$93)+1),ROWS($BM$93:BM115)))),"")</f>
        <v/>
      </c>
      <c r="BM217" s="728" t="e">
        <f>VLOOKUP($BL217,$BL115:BS$192,2,FALSE)</f>
        <v>#N/A</v>
      </c>
      <c r="BN217" s="715" t="e">
        <f>VLOOKUP($BL217,$BL115:BT$192,8,FALSE)</f>
        <v>#N/A</v>
      </c>
    </row>
    <row r="218" spans="64:66">
      <c r="BL218" s="728" t="str">
        <f t="array" ref="BL218">IFERROR(IF(ROWS(BM$93:BM116)&gt;COUNTA($BM$93:$BM$192),"",INDEX($BL$93:$BL$192,SMALL(IF($BM$93:$BM$192&lt;&gt;"",ROW($BM$93:$BM$192)-ROW($BM$93)+1),ROWS($BM$93:BM116)))),"")</f>
        <v/>
      </c>
      <c r="BM218" s="728" t="e">
        <f>VLOOKUP($BL218,$BL116:BS$192,2,FALSE)</f>
        <v>#N/A</v>
      </c>
      <c r="BN218" s="715" t="e">
        <f>VLOOKUP($BL218,$BL116:BT$192,8,FALSE)</f>
        <v>#N/A</v>
      </c>
    </row>
    <row r="219" spans="64:66">
      <c r="BL219" s="728" t="str">
        <f t="array" ref="BL219">IFERROR(IF(ROWS(BM$93:BM117)&gt;COUNTA($BM$93:$BM$192),"",INDEX($BL$93:$BL$192,SMALL(IF($BM$93:$BM$192&lt;&gt;"",ROW($BM$93:$BM$192)-ROW($BM$93)+1),ROWS($BM$93:BM117)))),"")</f>
        <v/>
      </c>
      <c r="BM219" s="728" t="e">
        <f>VLOOKUP($BL219,$BL117:BS$192,2,FALSE)</f>
        <v>#N/A</v>
      </c>
      <c r="BN219" s="715" t="e">
        <f>VLOOKUP($BL219,$BL117:BT$192,8,FALSE)</f>
        <v>#N/A</v>
      </c>
    </row>
    <row r="220" spans="64:66">
      <c r="BL220" s="728" t="str">
        <f t="array" ref="BL220">IFERROR(IF(ROWS(BM$93:BM118)&gt;COUNTA($BM$93:$BM$192),"",INDEX($BL$93:$BL$192,SMALL(IF($BM$93:$BM$192&lt;&gt;"",ROW($BM$93:$BM$192)-ROW($BM$93)+1),ROWS($BM$93:BM118)))),"")</f>
        <v/>
      </c>
      <c r="BM220" s="728" t="e">
        <f>VLOOKUP($BL220,$BL118:BS$192,2,FALSE)</f>
        <v>#N/A</v>
      </c>
      <c r="BN220" s="715" t="e">
        <f>VLOOKUP($BL220,$BL118:BT$192,8,FALSE)</f>
        <v>#N/A</v>
      </c>
    </row>
    <row r="221" spans="64:66">
      <c r="BL221" s="728" t="str">
        <f t="array" ref="BL221">IFERROR(IF(ROWS(BM$93:BM119)&gt;COUNTA($BM$93:$BM$192),"",INDEX($BL$93:$BL$192,SMALL(IF($BM$93:$BM$192&lt;&gt;"",ROW($BM$93:$BM$192)-ROW($BM$93)+1),ROWS($BM$93:BM119)))),"")</f>
        <v/>
      </c>
      <c r="BM221" s="728" t="e">
        <f>VLOOKUP($BL221,$BL119:BS$192,2,FALSE)</f>
        <v>#N/A</v>
      </c>
      <c r="BN221" s="715" t="e">
        <f>VLOOKUP($BL221,$BL119:BT$192,8,FALSE)</f>
        <v>#N/A</v>
      </c>
    </row>
    <row r="222" spans="64:66">
      <c r="BL222" s="728" t="str">
        <f t="array" ref="BL222">IFERROR(IF(ROWS(BM$93:BM120)&gt;COUNTA($BM$93:$BM$192),"",INDEX($BL$93:$BL$192,SMALL(IF($BM$93:$BM$192&lt;&gt;"",ROW($BM$93:$BM$192)-ROW($BM$93)+1),ROWS($BM$93:BM120)))),"")</f>
        <v/>
      </c>
      <c r="BM222" s="728" t="e">
        <f>VLOOKUP($BL222,$BL120:BS$192,2,FALSE)</f>
        <v>#N/A</v>
      </c>
      <c r="BN222" s="715" t="e">
        <f>VLOOKUP($BL222,$BL120:BT$192,8,FALSE)</f>
        <v>#N/A</v>
      </c>
    </row>
    <row r="223" spans="64:66">
      <c r="BL223" s="728" t="str">
        <f>IFERROR(IF(ROWS(BM$93:BM121)&gt;COUNTA($BM$93:$BM$192),"",INDEX($BL$93:$BL$192,SMALL(IF($BM$93:$BM$192&lt;&gt;"",ROW($BM$93:$BM$192)-ROW($BM$93)+1),ROWS($BM$93:BM121)))),"")</f>
        <v/>
      </c>
      <c r="BM223" s="728" t="e">
        <f>VLOOKUP($BL223,$BL121:BS$192,2,FALSE)</f>
        <v>#N/A</v>
      </c>
      <c r="BN223" s="715" t="e">
        <f>VLOOKUP($BL223,$BL121:BT$192,8,FALSE)</f>
        <v>#N/A</v>
      </c>
    </row>
    <row r="224" spans="64:66">
      <c r="BL224" s="728" t="str">
        <f>IFERROR(IF(ROWS(BM$93:BM122)&gt;COUNTA($BM$93:$BM$192),"",INDEX($BL$93:$BL$192,SMALL(IF($BM$93:$BM$192&lt;&gt;"",ROW($BM$93:$BM$192)-ROW($BM$93)+1),ROWS($BM$93:BM122)))),"")</f>
        <v/>
      </c>
      <c r="BM224" s="728" t="e">
        <f>VLOOKUP($BL224,$BL122:BS$192,2,FALSE)</f>
        <v>#N/A</v>
      </c>
      <c r="BN224" s="715" t="e">
        <f>VLOOKUP($BL224,$BL122:BT$192,8,FALSE)</f>
        <v>#N/A</v>
      </c>
    </row>
    <row r="225" spans="64:66">
      <c r="BL225" s="728" t="str">
        <f>IFERROR(IF(ROWS(BM$93:BM123)&gt;COUNTA($BM$93:$BM$192),"",INDEX($BL$93:$BL$192,SMALL(IF($BM$93:$BM$192&lt;&gt;"",ROW($BM$93:$BM$192)-ROW($BM$93)+1),ROWS($BM$93:BM123)))),"")</f>
        <v/>
      </c>
      <c r="BM225" s="728" t="e">
        <f>VLOOKUP($BL225,$BL123:BS$192,2,FALSE)</f>
        <v>#N/A</v>
      </c>
      <c r="BN225" s="715" t="e">
        <f>VLOOKUP($BL225,$BL123:BT$192,8,FALSE)</f>
        <v>#N/A</v>
      </c>
    </row>
    <row r="226" spans="64:66">
      <c r="BL226" s="728" t="str">
        <f>IFERROR(IF(ROWS(BM$93:BM124)&gt;COUNTA($BM$93:$BM$192),"",INDEX($BL$93:$BL$192,SMALL(IF($BM$93:$BM$192&lt;&gt;"",ROW($BM$93:$BM$192)-ROW($BM$93)+1),ROWS($BM$93:BM124)))),"")</f>
        <v/>
      </c>
      <c r="BM226" s="728" t="e">
        <f>VLOOKUP($BL226,$BL124:BS$192,2,FALSE)</f>
        <v>#N/A</v>
      </c>
      <c r="BN226" s="715" t="e">
        <f>VLOOKUP($BL226,$BL124:BT$192,8,FALSE)</f>
        <v>#N/A</v>
      </c>
    </row>
    <row r="227" spans="64:66">
      <c r="BL227" s="728" t="str">
        <f>IFERROR(IF(ROWS(BM$93:BM125)&gt;COUNTA($BM$93:$BM$192),"",INDEX($BL$93:$BL$192,SMALL(IF($BM$93:$BM$192&lt;&gt;"",ROW($BM$93:$BM$192)-ROW($BM$93)+1),ROWS($BM$93:BM125)))),"")</f>
        <v/>
      </c>
      <c r="BM227" s="728" t="e">
        <f>VLOOKUP($BL227,$BL125:BS$192,2,FALSE)</f>
        <v>#N/A</v>
      </c>
      <c r="BN227" s="715" t="e">
        <f>VLOOKUP($BL227,$BL125:BT$192,8,FALSE)</f>
        <v>#N/A</v>
      </c>
    </row>
    <row r="228" spans="64:66">
      <c r="BL228" s="728" t="str">
        <f>IFERROR(IF(ROWS(BM$93:BM126)&gt;COUNTA($BM$93:$BM$192),"",INDEX($BL$93:$BL$192,SMALL(IF($BM$93:$BM$192&lt;&gt;"",ROW($BM$93:$BM$192)-ROW($BM$93)+1),ROWS($BM$93:BM126)))),"")</f>
        <v/>
      </c>
      <c r="BM228" s="728" t="e">
        <f>VLOOKUP($BL228,$BL126:BS$192,2,FALSE)</f>
        <v>#N/A</v>
      </c>
      <c r="BN228" s="715" t="e">
        <f>VLOOKUP($BL228,$BL126:BT$192,8,FALSE)</f>
        <v>#N/A</v>
      </c>
    </row>
    <row r="229" spans="64:66">
      <c r="BL229" s="728" t="str">
        <f>IFERROR(IF(ROWS(BM$93:BM127)&gt;COUNTA($BM$93:$BM$192),"",INDEX($BL$93:$BL$192,SMALL(IF($BM$93:$BM$192&lt;&gt;"",ROW($BM$93:$BM$192)-ROW($BM$93)+1),ROWS($BM$93:BM127)))),"")</f>
        <v/>
      </c>
      <c r="BM229" s="728" t="e">
        <f>VLOOKUP($BL229,$BL127:BS$192,2,FALSE)</f>
        <v>#N/A</v>
      </c>
      <c r="BN229" s="715" t="e">
        <f>VLOOKUP($BL229,$BL127:BT$192,8,FALSE)</f>
        <v>#N/A</v>
      </c>
    </row>
    <row r="230" spans="64:66">
      <c r="BL230" s="728" t="str">
        <f>IFERROR(IF(ROWS(BM$93:BM128)&gt;COUNTA($BM$93:$BM$192),"",INDEX($BL$93:$BL$192,SMALL(IF($BM$93:$BM$192&lt;&gt;"",ROW($BM$93:$BM$192)-ROW($BM$93)+1),ROWS($BM$93:BM128)))),"")</f>
        <v/>
      </c>
      <c r="BM230" s="728" t="e">
        <f>VLOOKUP($BL230,$BL128:BS$192,2,FALSE)</f>
        <v>#N/A</v>
      </c>
      <c r="BN230" s="715" t="e">
        <f>VLOOKUP($BL230,$BL128:BT$192,8,FALSE)</f>
        <v>#N/A</v>
      </c>
    </row>
    <row r="231" spans="64:66">
      <c r="BL231" s="728" t="str">
        <f>IFERROR(IF(ROWS(BM$93:BM129)&gt;COUNTA($BM$93:$BM$192),"",INDEX($BL$93:$BL$192,SMALL(IF($BM$93:$BM$192&lt;&gt;"",ROW($BM$93:$BM$192)-ROW($BM$93)+1),ROWS($BM$93:BM129)))),"")</f>
        <v/>
      </c>
      <c r="BM231" s="728" t="e">
        <f>VLOOKUP($BL231,$BL129:BS$192,2,FALSE)</f>
        <v>#N/A</v>
      </c>
      <c r="BN231" s="715" t="e">
        <f>VLOOKUP($BL231,$BL129:BT$192,8,FALSE)</f>
        <v>#N/A</v>
      </c>
    </row>
    <row r="232" spans="64:66">
      <c r="BL232" s="728" t="str">
        <f>IFERROR(IF(ROWS(BM$93:BM130)&gt;COUNTA($BM$93:$BM$192),"",INDEX($BL$93:$BL$192,SMALL(IF($BM$93:$BM$192&lt;&gt;"",ROW($BM$93:$BM$192)-ROW($BM$93)+1),ROWS($BM$93:BM130)))),"")</f>
        <v/>
      </c>
      <c r="BM232" s="728" t="e">
        <f>VLOOKUP($BL232,$BL130:BS$192,2,FALSE)</f>
        <v>#N/A</v>
      </c>
      <c r="BN232" s="715" t="e">
        <f>VLOOKUP($BL232,$BL130:BT$192,8,FALSE)</f>
        <v>#N/A</v>
      </c>
    </row>
    <row r="233" spans="64:66">
      <c r="BL233" s="728" t="str">
        <f>IFERROR(IF(ROWS(BM$93:BM131)&gt;COUNTA($BM$93:$BM$192),"",INDEX($BL$93:$BL$192,SMALL(IF($BM$93:$BM$192&lt;&gt;"",ROW($BM$93:$BM$192)-ROW($BM$93)+1),ROWS($BM$93:BM131)))),"")</f>
        <v/>
      </c>
      <c r="BM233" s="728" t="e">
        <f>VLOOKUP($BL233,$BL131:BS$192,2,FALSE)</f>
        <v>#N/A</v>
      </c>
      <c r="BN233" s="715" t="e">
        <f>VLOOKUP($BL233,$BL131:BT$192,8,FALSE)</f>
        <v>#N/A</v>
      </c>
    </row>
    <row r="234" spans="64:66">
      <c r="BL234" s="728" t="str">
        <f>IFERROR(IF(ROWS(BM$93:BM132)&gt;COUNTA($BM$93:$BM$192),"",INDEX($BL$93:$BL$192,SMALL(IF($BM$93:$BM$192&lt;&gt;"",ROW($BM$93:$BM$192)-ROW($BM$93)+1),ROWS($BM$93:BM132)))),"")</f>
        <v/>
      </c>
      <c r="BM234" s="728" t="e">
        <f>VLOOKUP($BL234,$BL132:BS$192,2,FALSE)</f>
        <v>#N/A</v>
      </c>
      <c r="BN234" s="715" t="e">
        <f>VLOOKUP($BL234,$BL132:BT$192,8,FALSE)</f>
        <v>#N/A</v>
      </c>
    </row>
    <row r="235" spans="64:66">
      <c r="BL235" s="728" t="str">
        <f>IFERROR(IF(ROWS(BM$93:BM133)&gt;COUNTA($BM$93:$BM$192),"",INDEX($BL$93:$BL$192,SMALL(IF($BM$93:$BM$192&lt;&gt;"",ROW($BM$93:$BM$192)-ROW($BM$93)+1),ROWS($BM$93:BM133)))),"")</f>
        <v/>
      </c>
      <c r="BM235" s="728" t="e">
        <f>VLOOKUP($BL235,$BL133:BS$192,2,FALSE)</f>
        <v>#N/A</v>
      </c>
      <c r="BN235" s="715" t="e">
        <f>VLOOKUP($BL235,$BL133:BT$192,8,FALSE)</f>
        <v>#N/A</v>
      </c>
    </row>
    <row r="236" spans="64:66">
      <c r="BL236" s="728" t="str">
        <f>IFERROR(IF(ROWS(BM$93:BM134)&gt;COUNTA($BM$93:$BM$192),"",INDEX($BL$93:$BL$192,SMALL(IF($BM$93:$BM$192&lt;&gt;"",ROW($BM$93:$BM$192)-ROW($BM$93)+1),ROWS($BM$93:BM134)))),"")</f>
        <v/>
      </c>
      <c r="BM236" s="728" t="e">
        <f>VLOOKUP($BL236,$BL134:BS$192,2,FALSE)</f>
        <v>#N/A</v>
      </c>
      <c r="BN236" s="715" t="e">
        <f>VLOOKUP($BL236,$BL134:BT$192,8,FALSE)</f>
        <v>#N/A</v>
      </c>
    </row>
    <row r="237" spans="64:66">
      <c r="BL237" s="728" t="str">
        <f>IFERROR(IF(ROWS(BM$93:BM135)&gt;COUNTA($BM$93:$BM$192),"",INDEX($BL$93:$BL$192,SMALL(IF($BM$93:$BM$192&lt;&gt;"",ROW($BM$93:$BM$192)-ROW($BM$93)+1),ROWS($BM$93:BM135)))),"")</f>
        <v/>
      </c>
      <c r="BM237" s="728" t="e">
        <f>VLOOKUP($BL237,$BL135:BS$192,2,FALSE)</f>
        <v>#N/A</v>
      </c>
      <c r="BN237" s="715" t="e">
        <f>VLOOKUP($BL237,$BL135:BT$192,8,FALSE)</f>
        <v>#N/A</v>
      </c>
    </row>
    <row r="238" spans="64:66">
      <c r="BL238" s="728" t="str">
        <f>IFERROR(IF(ROWS(BM$93:BM136)&gt;COUNTA($BM$93:$BM$192),"",INDEX($BL$93:$BL$192,SMALL(IF($BM$93:$BM$192&lt;&gt;"",ROW($BM$93:$BM$192)-ROW($BM$93)+1),ROWS($BM$93:BM136)))),"")</f>
        <v/>
      </c>
      <c r="BM238" s="728" t="e">
        <f>VLOOKUP($BL238,$BL136:BS$192,2,FALSE)</f>
        <v>#N/A</v>
      </c>
      <c r="BN238" s="715" t="e">
        <f>VLOOKUP($BL238,$BL136:BT$192,8,FALSE)</f>
        <v>#N/A</v>
      </c>
    </row>
    <row r="239" spans="64:66">
      <c r="BL239" s="728" t="str">
        <f>IFERROR(IF(ROWS(BM$93:BM137)&gt;COUNTA($BM$93:$BM$192),"",INDEX($BL$93:$BL$192,SMALL(IF($BM$93:$BM$192&lt;&gt;"",ROW($BM$93:$BM$192)-ROW($BM$93)+1),ROWS($BM$93:BM137)))),"")</f>
        <v/>
      </c>
      <c r="BM239" s="728" t="e">
        <f>VLOOKUP($BL239,$BL137:BS$192,2,FALSE)</f>
        <v>#N/A</v>
      </c>
      <c r="BN239" s="715" t="e">
        <f>VLOOKUP($BL239,$BL137:BT$192,8,FALSE)</f>
        <v>#N/A</v>
      </c>
    </row>
    <row r="240" spans="64:66">
      <c r="BL240" s="728" t="str">
        <f>IFERROR(IF(ROWS(BM$93:BM138)&gt;COUNTA($BM$93:$BM$192),"",INDEX($BL$93:$BL$192,SMALL(IF($BM$93:$BM$192&lt;&gt;"",ROW($BM$93:$BM$192)-ROW($BM$93)+1),ROWS($BM$93:BM138)))),"")</f>
        <v/>
      </c>
      <c r="BM240" s="728" t="e">
        <f>VLOOKUP($BL240,$BL138:BS$192,2,FALSE)</f>
        <v>#N/A</v>
      </c>
      <c r="BN240" s="715" t="e">
        <f>VLOOKUP($BL240,$BL138:BT$192,8,FALSE)</f>
        <v>#N/A</v>
      </c>
    </row>
    <row r="241" spans="63:155">
      <c r="BL241" s="728" t="str">
        <f>IFERROR(IF(ROWS(BM$93:BM139)&gt;COUNTA($BM$93:$BM$192),"",INDEX($BL$93:$BL$192,SMALL(IF($BM$93:$BM$192&lt;&gt;"",ROW($BM$93:$BM$192)-ROW($BM$93)+1),ROWS($BM$93:BM139)))),"")</f>
        <v/>
      </c>
      <c r="BM241" s="728" t="e">
        <f>VLOOKUP($BL241,$BL139:BS$192,2,FALSE)</f>
        <v>#N/A</v>
      </c>
      <c r="BN241" s="715" t="e">
        <f>VLOOKUP($BL241,$BL139:BT$192,8,FALSE)</f>
        <v>#N/A</v>
      </c>
    </row>
    <row r="242" spans="63:155">
      <c r="BL242" s="728" t="str">
        <f>IFERROR(IF(ROWS(BM$93:BM140)&gt;COUNTA($BM$93:$BM$192),"",INDEX($BL$93:$BL$192,SMALL(IF($BM$93:$BM$192&lt;&gt;"",ROW($BM$93:$BM$192)-ROW($BM$93)+1),ROWS($BM$93:BM140)))),"")</f>
        <v/>
      </c>
      <c r="BM242" s="728" t="e">
        <f>VLOOKUP($BL242,$BL140:BS$192,2,FALSE)</f>
        <v>#N/A</v>
      </c>
      <c r="BN242" s="715" t="e">
        <f>VLOOKUP($BL242,$BL140:BT$192,8,FALSE)</f>
        <v>#N/A</v>
      </c>
    </row>
    <row r="243" spans="63:155">
      <c r="BL243" s="728" t="str">
        <f>IFERROR(IF(ROWS(BM$93:BM141)&gt;COUNTA($BM$93:$BM$192),"",INDEX($BL$93:$BL$192,SMALL(IF($BM$93:$BM$192&lt;&gt;"",ROW($BM$93:$BM$192)-ROW($BM$93)+1),ROWS($BM$93:BM141)))),"")</f>
        <v/>
      </c>
      <c r="BM243" s="728" t="e">
        <f>VLOOKUP($BL243,$BL141:BS$192,2,FALSE)</f>
        <v>#N/A</v>
      </c>
      <c r="BN243" s="715" t="e">
        <f>VLOOKUP($BL243,$BL141:BT$192,8,FALSE)</f>
        <v>#N/A</v>
      </c>
    </row>
    <row r="244" spans="63:155">
      <c r="BL244" s="728" t="str">
        <f>IFERROR(IF(ROWS(BM$93:BM142)&gt;COUNTA($BM$93:$BM$192),"",INDEX($BL$93:$BL$192,SMALL(IF($BM$93:$BM$192&lt;&gt;"",ROW($BM$93:$BM$192)-ROW($BM$93)+1),ROWS($BM$93:BM142)))),"")</f>
        <v/>
      </c>
      <c r="BM244" s="728" t="e">
        <f>VLOOKUP($BL244,$BL142:BS$192,2,FALSE)</f>
        <v>#N/A</v>
      </c>
      <c r="BN244" s="715" t="e">
        <f>VLOOKUP($BL244,$BL142:BT$192,8,FALSE)</f>
        <v>#N/A</v>
      </c>
    </row>
    <row r="251" spans="63:155" ht="30.1" customHeight="1">
      <c r="DK251" s="1149"/>
      <c r="DL251" s="9"/>
      <c r="DM251" s="9"/>
      <c r="DN251" s="9"/>
      <c r="DO251" s="9"/>
      <c r="DP251" s="9"/>
      <c r="DQ251" s="9"/>
      <c r="DR251" s="9"/>
      <c r="DS251" s="9"/>
      <c r="DT251" s="9"/>
      <c r="DU251" s="9"/>
      <c r="DV251" s="9"/>
      <c r="DW251" s="11"/>
      <c r="DX251" s="1252" t="s">
        <v>127</v>
      </c>
      <c r="DY251" s="1252"/>
      <c r="DZ251" s="1252"/>
      <c r="EA251" s="1252"/>
      <c r="EB251" s="1252" t="s">
        <v>196</v>
      </c>
      <c r="EC251" s="1252"/>
      <c r="ED251" s="1252"/>
      <c r="EE251" s="1252"/>
      <c r="EF251" s="1252" t="s">
        <v>197</v>
      </c>
      <c r="EG251" s="1252"/>
      <c r="EH251" s="1252" t="s">
        <v>198</v>
      </c>
      <c r="EI251" s="1252"/>
      <c r="EJ251" s="1252"/>
      <c r="EK251" s="1252"/>
      <c r="EL251" s="1252" t="s">
        <v>199</v>
      </c>
      <c r="EM251" s="1252"/>
      <c r="EN251" s="1252"/>
      <c r="EO251" s="1252"/>
      <c r="EP251" s="1252" t="s">
        <v>200</v>
      </c>
      <c r="EQ251" s="1252"/>
      <c r="ER251" s="480"/>
      <c r="ES251" s="480"/>
      <c r="ET251" s="480"/>
      <c r="EU251" s="480"/>
      <c r="EV251" s="1251" t="s">
        <v>131</v>
      </c>
      <c r="EW251" s="1251"/>
      <c r="EX251" s="479"/>
    </row>
    <row r="252" spans="63:155" ht="30.1" customHeight="1">
      <c r="DK252" s="1149"/>
      <c r="DL252" s="9"/>
      <c r="DM252" s="1258" t="s">
        <v>134</v>
      </c>
      <c r="DN252" s="9"/>
      <c r="DO252" s="9"/>
      <c r="DP252" s="9"/>
      <c r="DQ252" s="9"/>
      <c r="DR252" s="9"/>
      <c r="DS252" s="9"/>
      <c r="DT252" s="9"/>
      <c r="DU252" s="9"/>
      <c r="DV252" s="9"/>
      <c r="DW252" s="11"/>
      <c r="DX252" s="1305"/>
      <c r="DY252" s="1305"/>
      <c r="DZ252" s="1305"/>
      <c r="EA252" s="1305"/>
      <c r="EB252" s="1305"/>
      <c r="EC252" s="1305"/>
      <c r="ED252" s="1305"/>
      <c r="EE252" s="1305"/>
      <c r="EF252" s="1305"/>
      <c r="EG252" s="1305"/>
      <c r="EH252" s="1305"/>
      <c r="EI252" s="1305"/>
      <c r="EJ252" s="1305"/>
      <c r="EK252" s="1305"/>
      <c r="EL252" s="1305"/>
      <c r="EM252" s="1305"/>
      <c r="EN252" s="1305"/>
      <c r="EO252" s="1305"/>
      <c r="EP252" s="1305"/>
      <c r="EQ252" s="1305"/>
      <c r="ER252" s="625"/>
      <c r="ES252" s="625"/>
      <c r="ET252" s="625"/>
      <c r="EU252" s="625"/>
      <c r="EV252" s="1337"/>
      <c r="EW252" s="1337"/>
      <c r="EX252" s="479"/>
    </row>
    <row r="253" spans="63:155">
      <c r="DK253" s="1149"/>
      <c r="DL253" s="9"/>
      <c r="DM253" s="1258"/>
      <c r="DN253" s="9"/>
      <c r="DO253" s="9"/>
      <c r="DP253" s="9"/>
      <c r="DQ253" s="9"/>
      <c r="DR253" s="9"/>
      <c r="DS253" s="9"/>
      <c r="DT253" s="9"/>
      <c r="DU253" s="9"/>
      <c r="DV253" s="9"/>
      <c r="DW253" s="11"/>
      <c r="DX253" s="1290"/>
      <c r="DY253" s="1290"/>
      <c r="DZ253" s="1290"/>
      <c r="EA253" s="1290"/>
      <c r="EB253" s="1290"/>
      <c r="EC253" s="1290"/>
      <c r="ED253" s="1290"/>
      <c r="EE253" s="1290"/>
      <c r="EF253" s="1301"/>
      <c r="EG253" s="1301"/>
      <c r="EH253" s="1331"/>
      <c r="EI253" s="1331"/>
      <c r="EJ253" s="1331"/>
      <c r="EK253" s="1331"/>
      <c r="EL253" s="1290"/>
      <c r="EM253" s="1290"/>
      <c r="EN253" s="1290"/>
      <c r="EO253" s="1290"/>
      <c r="EP253" s="1301"/>
      <c r="EQ253" s="1301"/>
      <c r="ER253" s="624"/>
      <c r="ES253" s="624"/>
      <c r="ET253" s="624"/>
      <c r="EU253" s="624"/>
      <c r="EV253" s="1301"/>
      <c r="EW253" s="1301"/>
      <c r="EX253" s="480"/>
      <c r="EY253" s="9"/>
    </row>
    <row r="254" spans="63:155" ht="14.95" thickBot="1">
      <c r="CR254" s="9"/>
      <c r="CS254" s="9"/>
      <c r="CT254" s="9"/>
      <c r="CU254" s="32" t="str">
        <f>IF(CN258="","",CONCATENATE(CB258," - ",CF258," ",CJ258))</f>
        <v>Fluorescent - T8 4-foot (Electronic) 3-Lamp</v>
      </c>
      <c r="CZ254" s="707" t="b">
        <f>IF(OR(BX258="",CB258="",CF258="",CJ258="")=TRUE,FALSE,TRUE)</f>
        <v>1</v>
      </c>
      <c r="DA254" s="707" t="b">
        <f>IF(CF258&lt;&gt;"",IF(ISERROR(MATCH(CONCATENATE(CB258," - ",CF258),Existing!G$4:G$328,0))=TRUE,FALSE,TRUE),TRUE)</f>
        <v>1</v>
      </c>
      <c r="DB254" s="707" t="b">
        <f>IF(AND(CZ254=TRUE,CP258=""),FALSE,TRUE)</f>
        <v>1</v>
      </c>
      <c r="DK254" s="1149"/>
      <c r="DL254" s="9"/>
      <c r="DM254" s="708" t="s">
        <v>166</v>
      </c>
      <c r="DN254" s="704"/>
      <c r="DO254" s="704"/>
      <c r="DP254" s="704"/>
      <c r="DQ254" s="704"/>
      <c r="DR254" s="704"/>
      <c r="DS254" s="704"/>
      <c r="DT254" s="704"/>
      <c r="DU254" s="732"/>
      <c r="DV254" s="733" t="str">
        <f>IF(EV254&lt;&gt;"Yes","",CONCATENATE(EB254,", (",EF254,") ",EH254," #",EL254))</f>
        <v>TLED (Plug and Play), (3) ACME #75510</v>
      </c>
      <c r="DW254" s="11">
        <v>1</v>
      </c>
      <c r="DX254" s="1282" t="s">
        <v>153</v>
      </c>
      <c r="DY254" s="1283"/>
      <c r="DZ254" s="1283"/>
      <c r="EA254" s="1284"/>
      <c r="EB254" s="1285" t="s">
        <v>167</v>
      </c>
      <c r="EC254" s="1285"/>
      <c r="ED254" s="1285"/>
      <c r="EE254" s="1285"/>
      <c r="EF254" s="1286">
        <v>3</v>
      </c>
      <c r="EG254" s="1287"/>
      <c r="EH254" s="1282" t="s">
        <v>168</v>
      </c>
      <c r="EI254" s="1283"/>
      <c r="EJ254" s="1283"/>
      <c r="EK254" s="1284"/>
      <c r="EL254" s="1282">
        <v>75510</v>
      </c>
      <c r="EM254" s="1283"/>
      <c r="EN254" s="1283"/>
      <c r="EO254" s="1284"/>
      <c r="EP254" s="1286">
        <v>35</v>
      </c>
      <c r="EQ254" s="1287"/>
      <c r="ER254" s="734"/>
      <c r="ES254" s="734"/>
      <c r="ET254" s="734"/>
      <c r="EU254" s="734"/>
      <c r="EV254" s="1272" t="str">
        <f>IF(DX254&lt;&gt;"",IF(OR(EB254="",EF254="",EH254="",EL254="",EP254=""),"NO","YES"),"")</f>
        <v>YES</v>
      </c>
      <c r="EW254" s="1273"/>
      <c r="EX254" s="90"/>
      <c r="EY254" s="9"/>
    </row>
    <row r="255" spans="63:155" ht="15.65" thickTop="1" thickBot="1">
      <c r="BK255" s="1149"/>
      <c r="BX255" s="1252" t="s">
        <v>127</v>
      </c>
      <c r="BY255" s="1252"/>
      <c r="BZ255" s="1252"/>
      <c r="CA255" s="1252"/>
      <c r="CB255" s="1252" t="s">
        <v>128</v>
      </c>
      <c r="CC255" s="1252"/>
      <c r="CD255" s="1252"/>
      <c r="CE255" s="1252"/>
      <c r="CF255" s="1252" t="s">
        <v>129</v>
      </c>
      <c r="CG255" s="1252"/>
      <c r="CH255" s="1252"/>
      <c r="CI255" s="1252"/>
      <c r="CJ255" s="1252" t="s">
        <v>130</v>
      </c>
      <c r="CK255" s="1252"/>
      <c r="CL255" s="1252"/>
      <c r="CM255" s="1252"/>
      <c r="CN255" s="1251" t="s">
        <v>131</v>
      </c>
      <c r="CO255" s="1251"/>
      <c r="CP255" s="1291" t="s">
        <v>132</v>
      </c>
      <c r="CR255" s="9"/>
      <c r="CS255" s="9"/>
      <c r="CT255" s="9"/>
      <c r="DK255" s="1149"/>
      <c r="DL255" s="9"/>
      <c r="DM255" s="708" t="s">
        <v>157</v>
      </c>
      <c r="DN255" s="52"/>
      <c r="DO255" s="52"/>
      <c r="DP255" s="52"/>
      <c r="DQ255" s="52"/>
      <c r="DR255" s="52"/>
      <c r="DS255" s="52"/>
      <c r="DT255" s="52"/>
      <c r="DU255" s="414"/>
      <c r="DV255" s="53" t="str">
        <f>IF(EV255&lt;&gt;"Yes","",CONCATENATE(EB255,", (",EF255,") ",EH255," #",EL255))</f>
        <v>New Replacement Fixture, (1) ACME #85B-LED-35K</v>
      </c>
      <c r="DW255" s="11">
        <v>2</v>
      </c>
      <c r="DX255" s="1277" t="s">
        <v>202</v>
      </c>
      <c r="DY255" s="1278"/>
      <c r="DZ255" s="1278"/>
      <c r="EA255" s="1279"/>
      <c r="EB255" s="1274" t="s">
        <v>203</v>
      </c>
      <c r="EC255" s="1274"/>
      <c r="ED255" s="1274"/>
      <c r="EE255" s="1274"/>
      <c r="EF255" s="1275">
        <v>1</v>
      </c>
      <c r="EG255" s="1276"/>
      <c r="EH255" s="1277" t="s">
        <v>168</v>
      </c>
      <c r="EI255" s="1278"/>
      <c r="EJ255" s="1278"/>
      <c r="EK255" s="1279"/>
      <c r="EL255" s="1277" t="s">
        <v>204</v>
      </c>
      <c r="EM255" s="1278"/>
      <c r="EN255" s="1278"/>
      <c r="EO255" s="1279"/>
      <c r="EP255" s="1275">
        <v>105</v>
      </c>
      <c r="EQ255" s="1276"/>
      <c r="ER255" s="628"/>
      <c r="ES255" s="628"/>
      <c r="ET255" s="628"/>
      <c r="EU255" s="628"/>
      <c r="EV255" s="1280" t="str">
        <f>IF(DX255&lt;&gt;"",IF(OR(EB255="",EF255="",EH255="",EL255="",EP255=""),"NO","YES"),"")</f>
        <v>YES</v>
      </c>
      <c r="EW255" s="1281"/>
      <c r="EX255" s="90"/>
      <c r="EY255" s="9"/>
    </row>
    <row r="256" spans="63:155" ht="14.95" thickTop="1">
      <c r="BK256" s="1149"/>
      <c r="BX256" s="1252"/>
      <c r="BY256" s="1252"/>
      <c r="BZ256" s="1252"/>
      <c r="CA256" s="1252"/>
      <c r="CB256" s="1252"/>
      <c r="CC256" s="1252"/>
      <c r="CD256" s="1252"/>
      <c r="CE256" s="1252"/>
      <c r="CF256" s="1252"/>
      <c r="CG256" s="1252"/>
      <c r="CH256" s="1252"/>
      <c r="CI256" s="1252"/>
      <c r="CJ256" s="1252"/>
      <c r="CK256" s="1252"/>
      <c r="CL256" s="1252"/>
      <c r="CM256" s="1252"/>
      <c r="CN256" s="1251"/>
      <c r="CO256" s="1251"/>
      <c r="CP256" s="1291"/>
      <c r="CR256" s="9"/>
      <c r="CS256" s="9"/>
      <c r="CT256" s="9"/>
      <c r="CZ256" s="46"/>
      <c r="DA256" s="46"/>
      <c r="DB256" s="46"/>
      <c r="DK256" s="1149"/>
      <c r="DL256" s="9"/>
      <c r="DM256" s="444"/>
      <c r="DN256" s="54"/>
      <c r="DO256" s="54"/>
      <c r="DP256" s="54"/>
      <c r="DQ256" s="54"/>
      <c r="DR256" s="54"/>
      <c r="DS256" s="54"/>
      <c r="DT256" s="54"/>
      <c r="DU256" s="415"/>
      <c r="DV256" s="55" t="str">
        <f>IF(EV256&lt;&gt;"Yes","",CONCATENATE(EB256,", (",EF256,") ",EH256," #",EL256))</f>
        <v/>
      </c>
      <c r="DW256" s="11">
        <v>3</v>
      </c>
      <c r="DX256" s="1319"/>
      <c r="DY256" s="1320"/>
      <c r="DZ256" s="1320"/>
      <c r="EA256" s="1321"/>
      <c r="EB256" s="1322"/>
      <c r="EC256" s="1322"/>
      <c r="ED256" s="1322"/>
      <c r="EE256" s="1322"/>
      <c r="EF256" s="1270"/>
      <c r="EG256" s="1271"/>
      <c r="EH256" s="1319"/>
      <c r="EI256" s="1320"/>
      <c r="EJ256" s="1320"/>
      <c r="EK256" s="1321"/>
      <c r="EL256" s="1319"/>
      <c r="EM256" s="1320"/>
      <c r="EN256" s="1320"/>
      <c r="EO256" s="1321"/>
      <c r="EP256" s="1270"/>
      <c r="EQ256" s="1271"/>
      <c r="ER256" s="629"/>
      <c r="ES256" s="629"/>
      <c r="ET256" s="629"/>
      <c r="EU256" s="629"/>
      <c r="EV256" s="1268" t="str">
        <f>IF(DX256&lt;&gt;"",IF(OR(EB256="",EF256="",EH256="",EL256="",EP256=""),"NO","YES"),"")</f>
        <v/>
      </c>
      <c r="EW256" s="1269"/>
      <c r="EX256" s="90"/>
      <c r="EY256" s="9"/>
    </row>
    <row r="257" spans="63:115" ht="14.95" thickBot="1">
      <c r="BK257" s="1149"/>
      <c r="BX257" s="1299"/>
      <c r="BY257" s="1299"/>
      <c r="BZ257" s="1299"/>
      <c r="CA257" s="1299"/>
      <c r="CB257" s="1299"/>
      <c r="CC257" s="1299"/>
      <c r="CD257" s="1299"/>
      <c r="CE257" s="1299"/>
      <c r="CF257" s="1299"/>
      <c r="CG257" s="1299"/>
      <c r="CH257" s="1299"/>
      <c r="CI257" s="1299"/>
      <c r="CJ257" s="1299"/>
      <c r="CK257" s="1299"/>
      <c r="CL257" s="1299"/>
      <c r="CM257" s="1299"/>
      <c r="CN257" s="1300"/>
      <c r="CO257" s="1300"/>
      <c r="CP257" s="383"/>
      <c r="DK257" s="1149"/>
    </row>
    <row r="258" spans="63:115" ht="15.65" thickTop="1" thickBot="1">
      <c r="BK258" s="1149"/>
      <c r="BL258" s="9"/>
      <c r="BM258" s="729"/>
      <c r="BN258" s="730"/>
      <c r="BO258" s="730"/>
      <c r="BP258" s="730"/>
      <c r="BQ258" s="730"/>
      <c r="BR258" s="730"/>
      <c r="BS258" s="730"/>
      <c r="BT258" s="730"/>
      <c r="BU258" s="730"/>
      <c r="BV258" s="731" t="str">
        <f>IF(CN258&lt;&gt;"Yes","",IFERROR(VLOOKUP(CU254,Existing!A$4:F$364,2,FALSE),""))</f>
        <v>Fluorescent - T8 4-foot (Electronic) 3-Lamp</v>
      </c>
      <c r="BW258" s="9">
        <v>1</v>
      </c>
      <c r="BX258" s="1277" t="s">
        <v>153</v>
      </c>
      <c r="BY258" s="1278"/>
      <c r="BZ258" s="1278"/>
      <c r="CA258" s="1279"/>
      <c r="CB258" s="1295" t="s">
        <v>154</v>
      </c>
      <c r="CC258" s="1296"/>
      <c r="CD258" s="1296"/>
      <c r="CE258" s="1297"/>
      <c r="CF258" s="1298" t="s">
        <v>155</v>
      </c>
      <c r="CG258" s="1298"/>
      <c r="CH258" s="1298"/>
      <c r="CI258" s="1298"/>
      <c r="CJ258" s="1298" t="s">
        <v>201</v>
      </c>
      <c r="CK258" s="1298"/>
      <c r="CL258" s="1298"/>
      <c r="CM258" s="1298"/>
      <c r="CN258" s="1280" t="str">
        <f>IF(CB258&lt;&gt;"",IF(OR(CF258="",CJ258="",BX258=""),"NO","YES"),"")</f>
        <v>YES</v>
      </c>
      <c r="CO258" s="1281"/>
      <c r="CP258" s="382">
        <f>IFERROR(VLOOKUP(CU254,Existing!A$3:F$353,6,FALSE),"")</f>
        <v>90</v>
      </c>
      <c r="CQ258" s="9"/>
      <c r="DK258" s="1149"/>
    </row>
    <row r="259" spans="63:115" ht="15.65" thickTop="1" thickBot="1">
      <c r="BK259" s="1149"/>
      <c r="BL259" s="9"/>
      <c r="BM259" s="51"/>
      <c r="BN259" s="52"/>
      <c r="BO259" s="52"/>
      <c r="BP259" s="52"/>
      <c r="BQ259" s="52"/>
      <c r="BR259" s="52"/>
      <c r="BS259" s="52"/>
      <c r="BT259" s="52"/>
      <c r="BU259" s="52"/>
      <c r="BV259" s="255" t="str">
        <f>IF(CN259&lt;&gt;"Yes","",IFERROR(VLOOKUP(CU255,Existing!A$4:F$364,2,FALSE),""))</f>
        <v/>
      </c>
      <c r="BW259" s="9">
        <v>2</v>
      </c>
      <c r="BX259" s="1292"/>
      <c r="BY259" s="1293"/>
      <c r="BZ259" s="1293"/>
      <c r="CA259" s="1294"/>
      <c r="CB259" s="1295"/>
      <c r="CC259" s="1296"/>
      <c r="CD259" s="1296"/>
      <c r="CE259" s="1297"/>
      <c r="CF259" s="1298"/>
      <c r="CG259" s="1298"/>
      <c r="CH259" s="1298"/>
      <c r="CI259" s="1298"/>
      <c r="CJ259" s="1298"/>
      <c r="CK259" s="1298"/>
      <c r="CL259" s="1298"/>
      <c r="CM259" s="1298"/>
      <c r="CN259" s="1243" t="str">
        <f>IF(CB259&lt;&gt;"",IF(OR(CF259="",CJ259="",BX259=""),"NO","YES"),"")</f>
        <v/>
      </c>
      <c r="CO259" s="1244"/>
      <c r="CP259" s="265" t="str">
        <f>IFERROR(VLOOKUP(CU255,Existing!A$3:F$353,6,FALSE),"")</f>
        <v/>
      </c>
      <c r="CQ259" s="9"/>
      <c r="DK259" s="1149"/>
    </row>
    <row r="260" spans="63:115" ht="14.95" thickTop="1">
      <c r="BK260" s="1149"/>
      <c r="BL260" s="9"/>
      <c r="BM260" s="9"/>
      <c r="BN260" s="9"/>
      <c r="BO260" s="9"/>
      <c r="BP260" s="9"/>
      <c r="BQ260" s="9"/>
      <c r="BR260" s="9"/>
      <c r="BS260" s="9"/>
      <c r="BT260" s="9"/>
      <c r="BU260" s="9"/>
      <c r="BV260" s="47"/>
      <c r="BW260" s="9"/>
      <c r="BX260" s="9"/>
      <c r="BY260" s="9"/>
      <c r="BZ260" s="9"/>
      <c r="CA260" s="9"/>
      <c r="CB260" s="9"/>
      <c r="CC260" s="9"/>
      <c r="CD260" s="9"/>
      <c r="CE260" s="9"/>
      <c r="CF260" s="9"/>
      <c r="CG260" s="9"/>
      <c r="CH260" s="9"/>
      <c r="CI260" s="9"/>
      <c r="CJ260" s="9"/>
      <c r="CK260" s="9"/>
      <c r="CL260" s="9"/>
      <c r="CM260" s="9"/>
      <c r="CN260" s="9"/>
      <c r="CO260" s="9"/>
      <c r="CP260" s="45"/>
      <c r="CQ260" s="9"/>
      <c r="DK260" s="1149"/>
    </row>
    <row r="261" spans="63:115">
      <c r="BK261" s="1149"/>
      <c r="DK261" s="1149"/>
    </row>
    <row r="262" spans="63:115">
      <c r="BK262" s="1149"/>
      <c r="DK262" s="1149"/>
    </row>
    <row r="263" spans="63:115">
      <c r="BK263" s="1149"/>
      <c r="DK263" s="1149"/>
    </row>
    <row r="264" spans="63:115">
      <c r="BK264" s="1149"/>
      <c r="DK264" s="1149"/>
    </row>
    <row r="265" spans="63:115">
      <c r="BK265" s="1149"/>
      <c r="DK265" s="1149"/>
    </row>
    <row r="266" spans="63:115">
      <c r="BK266" s="1149"/>
      <c r="DK266" s="1149"/>
    </row>
    <row r="267" spans="63:115">
      <c r="BK267" s="1149"/>
      <c r="DK267" s="1149"/>
    </row>
    <row r="268" spans="63:115">
      <c r="BK268" s="1149"/>
      <c r="DK268" s="1149"/>
    </row>
    <row r="269" spans="63:115">
      <c r="BK269" s="1149"/>
      <c r="DK269" s="1149"/>
    </row>
    <row r="270" spans="63:115">
      <c r="BK270" s="1149"/>
      <c r="DK270" s="1149"/>
    </row>
    <row r="271" spans="63:115">
      <c r="BK271" s="1149"/>
      <c r="DK271" s="1149"/>
    </row>
    <row r="272" spans="63:115">
      <c r="BK272" s="1149"/>
      <c r="DK272" s="1149"/>
    </row>
    <row r="273" spans="63:63">
      <c r="BK273" s="1149"/>
    </row>
    <row r="274" spans="63:63">
      <c r="BK274" s="1149"/>
    </row>
    <row r="275" spans="63:63">
      <c r="BK275" s="1149"/>
    </row>
    <row r="276" spans="63:63">
      <c r="BK276" s="1149"/>
    </row>
    <row r="332" ht="5.0999999999999996" customHeight="1"/>
    <row r="333" ht="20.25" customHeight="1"/>
    <row r="334" ht="5.0999999999999996" customHeight="1"/>
  </sheetData>
  <sheetProtection algorithmName="SHA-512" hashValue="CDVixe0vAE7suVQ8NTl8D14zQjJ8+Xx51DTIzEcrIkiq8DcEPWooLV8BdOo1htvJ44zplj7oIN32bN4FX2/LaQ==" saltValue="K1cYF7QeZ550dTCU8f7j1g==" spinCount="100000" sheet="1" selectLockedCells="1"/>
  <sortState ref="EM85:EM90">
    <sortCondition ref="EM85"/>
  </sortState>
  <mergeCells count="1118">
    <mergeCell ref="AC30:AG30"/>
    <mergeCell ref="DJ18:FD18"/>
    <mergeCell ref="EL91:FD91"/>
    <mergeCell ref="CR62:CS62"/>
    <mergeCell ref="CR63:CS63"/>
    <mergeCell ref="CR73:CS73"/>
    <mergeCell ref="CR74:CS74"/>
    <mergeCell ref="CR75:CS75"/>
    <mergeCell ref="CR76:CS76"/>
    <mergeCell ref="CR64:CS64"/>
    <mergeCell ref="CR65:CS65"/>
    <mergeCell ref="CR66:CS66"/>
    <mergeCell ref="CR67:CS67"/>
    <mergeCell ref="CR68:CS68"/>
    <mergeCell ref="CR69:CS69"/>
    <mergeCell ref="CR70:CS70"/>
    <mergeCell ref="CR71:CS71"/>
    <mergeCell ref="CR72:CS72"/>
    <mergeCell ref="CR59:CS59"/>
    <mergeCell ref="CR60:CS60"/>
    <mergeCell ref="CR61:CS61"/>
    <mergeCell ref="CR43:CS43"/>
    <mergeCell ref="CR44:CS44"/>
    <mergeCell ref="EP35:EQ35"/>
    <mergeCell ref="EV35:EW35"/>
    <mergeCell ref="DX34:EA34"/>
    <mergeCell ref="EB34:EE34"/>
    <mergeCell ref="EF34:EG34"/>
    <mergeCell ref="EH34:EK34"/>
    <mergeCell ref="EL34:EO34"/>
    <mergeCell ref="EP34:EQ34"/>
    <mergeCell ref="EV38:EW38"/>
    <mergeCell ref="CR45:CS45"/>
    <mergeCell ref="CR46:CS46"/>
    <mergeCell ref="CR47:CS47"/>
    <mergeCell ref="CR48:CS48"/>
    <mergeCell ref="CR49:CS49"/>
    <mergeCell ref="CR50:CS50"/>
    <mergeCell ref="CR51:CS51"/>
    <mergeCell ref="CR52:CS52"/>
    <mergeCell ref="CR53:CS53"/>
    <mergeCell ref="CR54:CS54"/>
    <mergeCell ref="CR55:CS55"/>
    <mergeCell ref="CR56:CS56"/>
    <mergeCell ref="CR57:CS57"/>
    <mergeCell ref="CR58:CS58"/>
    <mergeCell ref="CR28:CS28"/>
    <mergeCell ref="CR29:CS29"/>
    <mergeCell ref="CR30:CS30"/>
    <mergeCell ref="CR31:CS31"/>
    <mergeCell ref="CR32:CS32"/>
    <mergeCell ref="CR33:CS33"/>
    <mergeCell ref="CR34:CS34"/>
    <mergeCell ref="CR35:CS35"/>
    <mergeCell ref="CR36:CS36"/>
    <mergeCell ref="CR37:CS37"/>
    <mergeCell ref="CR38:CS38"/>
    <mergeCell ref="CR39:CS39"/>
    <mergeCell ref="CR40:CS40"/>
    <mergeCell ref="CR41:CS41"/>
    <mergeCell ref="CR42:CS42"/>
    <mergeCell ref="E31:M31"/>
    <mergeCell ref="C31:D31"/>
    <mergeCell ref="C27:D27"/>
    <mergeCell ref="P31:Q31"/>
    <mergeCell ref="P27:Q27"/>
    <mergeCell ref="AC31:AH31"/>
    <mergeCell ref="BR7:CN8"/>
    <mergeCell ref="BX27:CA27"/>
    <mergeCell ref="CB27:CE27"/>
    <mergeCell ref="CF27:CI27"/>
    <mergeCell ref="CJ27:CM27"/>
    <mergeCell ref="BX28:CA28"/>
    <mergeCell ref="CB28:CE28"/>
    <mergeCell ref="CF28:CI28"/>
    <mergeCell ref="CJ28:CM28"/>
    <mergeCell ref="C32:D32"/>
    <mergeCell ref="E32:M32"/>
    <mergeCell ref="BJ19:CV19"/>
    <mergeCell ref="CR27:CS27"/>
    <mergeCell ref="R31:X31"/>
    <mergeCell ref="R32:X32"/>
    <mergeCell ref="C28:D28"/>
    <mergeCell ref="E28:M28"/>
    <mergeCell ref="P28:Q28"/>
    <mergeCell ref="R28:X28"/>
    <mergeCell ref="CN27:CO27"/>
    <mergeCell ref="CN31:CO31"/>
    <mergeCell ref="BX32:CA32"/>
    <mergeCell ref="CB32:CE32"/>
    <mergeCell ref="CF32:CI32"/>
    <mergeCell ref="CJ32:CM32"/>
    <mergeCell ref="CN32:CO32"/>
    <mergeCell ref="BX33:CA33"/>
    <mergeCell ref="CB33:CE33"/>
    <mergeCell ref="CF33:CI33"/>
    <mergeCell ref="CJ33:CM33"/>
    <mergeCell ref="CN33:CO33"/>
    <mergeCell ref="CN28:CO28"/>
    <mergeCell ref="BX29:CA29"/>
    <mergeCell ref="CB29:CE29"/>
    <mergeCell ref="CF29:CI29"/>
    <mergeCell ref="CJ29:CM29"/>
    <mergeCell ref="CN29:CO29"/>
    <mergeCell ref="BX30:CA30"/>
    <mergeCell ref="CB30:CE30"/>
    <mergeCell ref="CF30:CI30"/>
    <mergeCell ref="CJ30:CM30"/>
    <mergeCell ref="CN30:CO30"/>
    <mergeCell ref="BX31:CA31"/>
    <mergeCell ref="CB31:CE31"/>
    <mergeCell ref="CF31:CI31"/>
    <mergeCell ref="CJ31:CM31"/>
    <mergeCell ref="CN37:CO37"/>
    <mergeCell ref="BX38:CA38"/>
    <mergeCell ref="CB38:CE38"/>
    <mergeCell ref="CF38:CI38"/>
    <mergeCell ref="CJ38:CM38"/>
    <mergeCell ref="CN38:CO38"/>
    <mergeCell ref="BX39:CA39"/>
    <mergeCell ref="CB39:CE39"/>
    <mergeCell ref="CF39:CI39"/>
    <mergeCell ref="CJ39:CM39"/>
    <mergeCell ref="CN39:CO39"/>
    <mergeCell ref="CN34:CO34"/>
    <mergeCell ref="BX35:CA35"/>
    <mergeCell ref="CB35:CE35"/>
    <mergeCell ref="CF35:CI35"/>
    <mergeCell ref="CJ35:CM35"/>
    <mergeCell ref="CN35:CO35"/>
    <mergeCell ref="BX36:CA36"/>
    <mergeCell ref="CB36:CE36"/>
    <mergeCell ref="CF36:CI36"/>
    <mergeCell ref="CJ36:CM36"/>
    <mergeCell ref="CN36:CO36"/>
    <mergeCell ref="BX34:CA34"/>
    <mergeCell ref="CB34:CE34"/>
    <mergeCell ref="CF34:CI34"/>
    <mergeCell ref="CJ34:CM34"/>
    <mergeCell ref="BX37:CA37"/>
    <mergeCell ref="CB37:CE37"/>
    <mergeCell ref="CF37:CI37"/>
    <mergeCell ref="CJ37:CM37"/>
    <mergeCell ref="BX42:CA42"/>
    <mergeCell ref="CB42:CE42"/>
    <mergeCell ref="CF42:CI42"/>
    <mergeCell ref="CJ42:CM42"/>
    <mergeCell ref="CN42:CO42"/>
    <mergeCell ref="BX43:CA43"/>
    <mergeCell ref="CB43:CE43"/>
    <mergeCell ref="CF43:CI43"/>
    <mergeCell ref="CJ43:CM43"/>
    <mergeCell ref="CN43:CO43"/>
    <mergeCell ref="CB40:CE40"/>
    <mergeCell ref="CF40:CI40"/>
    <mergeCell ref="CJ40:CM40"/>
    <mergeCell ref="CN40:CO40"/>
    <mergeCell ref="BX41:CA41"/>
    <mergeCell ref="CB41:CE41"/>
    <mergeCell ref="CF41:CI41"/>
    <mergeCell ref="CJ41:CM41"/>
    <mergeCell ref="CN41:CO41"/>
    <mergeCell ref="BX40:CA40"/>
    <mergeCell ref="BX46:CA46"/>
    <mergeCell ref="CB46:CE46"/>
    <mergeCell ref="CF46:CI46"/>
    <mergeCell ref="CJ46:CM46"/>
    <mergeCell ref="CN46:CO46"/>
    <mergeCell ref="BX47:CA47"/>
    <mergeCell ref="CB47:CE47"/>
    <mergeCell ref="CF47:CI47"/>
    <mergeCell ref="CJ47:CM47"/>
    <mergeCell ref="CN47:CO47"/>
    <mergeCell ref="BX44:CA44"/>
    <mergeCell ref="CB44:CE44"/>
    <mergeCell ref="CF44:CI44"/>
    <mergeCell ref="CJ44:CM44"/>
    <mergeCell ref="CN44:CO44"/>
    <mergeCell ref="BX45:CA45"/>
    <mergeCell ref="CB45:CE45"/>
    <mergeCell ref="CF45:CI45"/>
    <mergeCell ref="CJ45:CM45"/>
    <mergeCell ref="CN45:CO45"/>
    <mergeCell ref="BX50:CA50"/>
    <mergeCell ref="CB50:CE50"/>
    <mergeCell ref="CF50:CI50"/>
    <mergeCell ref="CJ50:CM50"/>
    <mergeCell ref="CN50:CO50"/>
    <mergeCell ref="BX51:CA51"/>
    <mergeCell ref="CB51:CE51"/>
    <mergeCell ref="CF51:CI51"/>
    <mergeCell ref="CJ51:CM51"/>
    <mergeCell ref="CN51:CO51"/>
    <mergeCell ref="BX48:CA48"/>
    <mergeCell ref="CB48:CE48"/>
    <mergeCell ref="CF48:CI48"/>
    <mergeCell ref="CJ48:CM48"/>
    <mergeCell ref="CN48:CO48"/>
    <mergeCell ref="BX49:CA49"/>
    <mergeCell ref="CB49:CE49"/>
    <mergeCell ref="CF49:CI49"/>
    <mergeCell ref="CJ49:CM49"/>
    <mergeCell ref="CN49:CO49"/>
    <mergeCell ref="BX54:CA54"/>
    <mergeCell ref="CB54:CE54"/>
    <mergeCell ref="CF54:CI54"/>
    <mergeCell ref="CJ54:CM54"/>
    <mergeCell ref="CN54:CO54"/>
    <mergeCell ref="BX55:CA55"/>
    <mergeCell ref="CB55:CE55"/>
    <mergeCell ref="CF55:CI55"/>
    <mergeCell ref="CJ55:CM55"/>
    <mergeCell ref="CN55:CO55"/>
    <mergeCell ref="BX52:CA52"/>
    <mergeCell ref="CB52:CE52"/>
    <mergeCell ref="CF52:CI52"/>
    <mergeCell ref="CJ52:CM52"/>
    <mergeCell ref="CN52:CO52"/>
    <mergeCell ref="BX53:CA53"/>
    <mergeCell ref="CB53:CE53"/>
    <mergeCell ref="CF53:CI53"/>
    <mergeCell ref="CJ53:CM53"/>
    <mergeCell ref="CN53:CO53"/>
    <mergeCell ref="BX58:CA58"/>
    <mergeCell ref="CB58:CE58"/>
    <mergeCell ref="CF58:CI58"/>
    <mergeCell ref="CJ58:CM58"/>
    <mergeCell ref="CN58:CO58"/>
    <mergeCell ref="BX59:CA59"/>
    <mergeCell ref="CB59:CE59"/>
    <mergeCell ref="CF59:CI59"/>
    <mergeCell ref="CJ59:CM59"/>
    <mergeCell ref="CN59:CO59"/>
    <mergeCell ref="BX56:CA56"/>
    <mergeCell ref="CB56:CE56"/>
    <mergeCell ref="CF56:CI56"/>
    <mergeCell ref="CJ56:CM56"/>
    <mergeCell ref="CN56:CO56"/>
    <mergeCell ref="BX57:CA57"/>
    <mergeCell ref="CB57:CE57"/>
    <mergeCell ref="CF57:CI57"/>
    <mergeCell ref="CJ57:CM57"/>
    <mergeCell ref="CN57:CO57"/>
    <mergeCell ref="BX62:CA62"/>
    <mergeCell ref="CB62:CE62"/>
    <mergeCell ref="CF62:CI62"/>
    <mergeCell ref="CJ62:CM62"/>
    <mergeCell ref="CN62:CO62"/>
    <mergeCell ref="BX63:CA63"/>
    <mergeCell ref="CB63:CE63"/>
    <mergeCell ref="CF63:CI63"/>
    <mergeCell ref="CJ63:CM63"/>
    <mergeCell ref="CN63:CO63"/>
    <mergeCell ref="BX60:CA60"/>
    <mergeCell ref="CB60:CE60"/>
    <mergeCell ref="CF60:CI60"/>
    <mergeCell ref="CJ60:CM60"/>
    <mergeCell ref="CN60:CO60"/>
    <mergeCell ref="BX61:CA61"/>
    <mergeCell ref="CB61:CE61"/>
    <mergeCell ref="CF61:CI61"/>
    <mergeCell ref="CJ61:CM61"/>
    <mergeCell ref="CN61:CO61"/>
    <mergeCell ref="BX66:CA66"/>
    <mergeCell ref="CB66:CE66"/>
    <mergeCell ref="CF66:CI66"/>
    <mergeCell ref="CJ66:CM66"/>
    <mergeCell ref="CN66:CO66"/>
    <mergeCell ref="BX67:CA67"/>
    <mergeCell ref="CB67:CE67"/>
    <mergeCell ref="CF67:CI67"/>
    <mergeCell ref="BX64:CA64"/>
    <mergeCell ref="CB64:CE64"/>
    <mergeCell ref="CF64:CI64"/>
    <mergeCell ref="CJ64:CM64"/>
    <mergeCell ref="CN64:CO64"/>
    <mergeCell ref="BX65:CA65"/>
    <mergeCell ref="CB65:CE65"/>
    <mergeCell ref="CF65:CI65"/>
    <mergeCell ref="CJ65:CM65"/>
    <mergeCell ref="CN65:CO65"/>
    <mergeCell ref="CN72:CO72"/>
    <mergeCell ref="BX73:CA73"/>
    <mergeCell ref="CB73:CE73"/>
    <mergeCell ref="CF73:CI73"/>
    <mergeCell ref="CJ73:CM73"/>
    <mergeCell ref="CN73:CO73"/>
    <mergeCell ref="BX74:CA74"/>
    <mergeCell ref="CB74:CE74"/>
    <mergeCell ref="CF74:CI74"/>
    <mergeCell ref="CJ74:CM74"/>
    <mergeCell ref="CN74:CO74"/>
    <mergeCell ref="BX68:CA68"/>
    <mergeCell ref="CB68:CE68"/>
    <mergeCell ref="CF68:CI68"/>
    <mergeCell ref="CJ68:CM68"/>
    <mergeCell ref="CN68:CO68"/>
    <mergeCell ref="BX69:CA69"/>
    <mergeCell ref="CB69:CE69"/>
    <mergeCell ref="CF69:CI69"/>
    <mergeCell ref="CJ69:CM69"/>
    <mergeCell ref="CN69:CO69"/>
    <mergeCell ref="CB71:CE71"/>
    <mergeCell ref="CF71:CI71"/>
    <mergeCell ref="BX76:CA76"/>
    <mergeCell ref="CB76:CE76"/>
    <mergeCell ref="CF76:CI76"/>
    <mergeCell ref="CJ76:CM76"/>
    <mergeCell ref="CN76:CO76"/>
    <mergeCell ref="DX31:EA31"/>
    <mergeCell ref="EB31:EE31"/>
    <mergeCell ref="EF31:EG31"/>
    <mergeCell ref="DX33:EA33"/>
    <mergeCell ref="EB33:EE33"/>
    <mergeCell ref="EF33:EG33"/>
    <mergeCell ref="DX35:EA35"/>
    <mergeCell ref="EB35:EE35"/>
    <mergeCell ref="EF35:EG35"/>
    <mergeCell ref="BX75:CA75"/>
    <mergeCell ref="BX71:CA71"/>
    <mergeCell ref="EP27:EQ27"/>
    <mergeCell ref="DX29:EA29"/>
    <mergeCell ref="EB29:EE29"/>
    <mergeCell ref="EF29:EG29"/>
    <mergeCell ref="EH29:EK29"/>
    <mergeCell ref="EL29:EO29"/>
    <mergeCell ref="EP29:EQ29"/>
    <mergeCell ref="DX28:EA28"/>
    <mergeCell ref="EB28:EE28"/>
    <mergeCell ref="EF28:EG28"/>
    <mergeCell ref="EH28:EK28"/>
    <mergeCell ref="EL28:EO28"/>
    <mergeCell ref="EP28:EQ28"/>
    <mergeCell ref="DX27:EA27"/>
    <mergeCell ref="CJ67:CM67"/>
    <mergeCell ref="CN67:CO67"/>
    <mergeCell ref="DR7:EN8"/>
    <mergeCell ref="DR9:EN10"/>
    <mergeCell ref="EH32:EK32"/>
    <mergeCell ref="EL32:EO32"/>
    <mergeCell ref="EP32:EQ32"/>
    <mergeCell ref="EP33:EQ33"/>
    <mergeCell ref="EV33:EW33"/>
    <mergeCell ref="DX32:EA32"/>
    <mergeCell ref="EB32:EE32"/>
    <mergeCell ref="EF32:EG32"/>
    <mergeCell ref="EP30:EQ30"/>
    <mergeCell ref="EL31:EO31"/>
    <mergeCell ref="EV32:EW32"/>
    <mergeCell ref="EH31:EK31"/>
    <mergeCell ref="EB27:EE27"/>
    <mergeCell ref="EF27:EG27"/>
    <mergeCell ref="EV27:EW27"/>
    <mergeCell ref="EV28:EW28"/>
    <mergeCell ref="DR16:EN16"/>
    <mergeCell ref="EV29:EW29"/>
    <mergeCell ref="EH25:EK26"/>
    <mergeCell ref="DL19:FA19"/>
    <mergeCell ref="EX25:EX26"/>
    <mergeCell ref="EZ25:EZ26"/>
    <mergeCell ref="ER25:ES26"/>
    <mergeCell ref="ER27:ES27"/>
    <mergeCell ref="ER28:ES28"/>
    <mergeCell ref="ER29:ES29"/>
    <mergeCell ref="ER30:ES30"/>
    <mergeCell ref="ER31:ES31"/>
    <mergeCell ref="ER32:ES32"/>
    <mergeCell ref="ER33:ES33"/>
    <mergeCell ref="EB39:EE39"/>
    <mergeCell ref="EF39:EG39"/>
    <mergeCell ref="EH39:EK39"/>
    <mergeCell ref="EL39:EO39"/>
    <mergeCell ref="EP39:EQ39"/>
    <mergeCell ref="EV39:EW39"/>
    <mergeCell ref="DX38:EA38"/>
    <mergeCell ref="EB38:EE38"/>
    <mergeCell ref="EF38:EG38"/>
    <mergeCell ref="EH38:EK38"/>
    <mergeCell ref="EL38:EO38"/>
    <mergeCell ref="EP38:EQ38"/>
    <mergeCell ref="EV36:EW36"/>
    <mergeCell ref="DX37:EA37"/>
    <mergeCell ref="EB37:EE37"/>
    <mergeCell ref="EF37:EG37"/>
    <mergeCell ref="EH37:EK37"/>
    <mergeCell ref="EL37:EO37"/>
    <mergeCell ref="EP37:EQ37"/>
    <mergeCell ref="EV37:EW37"/>
    <mergeCell ref="DX36:EA36"/>
    <mergeCell ref="EB36:EE36"/>
    <mergeCell ref="EF36:EG36"/>
    <mergeCell ref="EH36:EK36"/>
    <mergeCell ref="EL36:EO36"/>
    <mergeCell ref="EP36:EQ36"/>
    <mergeCell ref="DX39:EA39"/>
    <mergeCell ref="EV42:EW42"/>
    <mergeCell ref="DX43:EA43"/>
    <mergeCell ref="EB43:EE43"/>
    <mergeCell ref="EF43:EG43"/>
    <mergeCell ref="EH43:EK43"/>
    <mergeCell ref="EL43:EO43"/>
    <mergeCell ref="EP43:EQ43"/>
    <mergeCell ref="EV43:EW43"/>
    <mergeCell ref="DX42:EA42"/>
    <mergeCell ref="EB42:EE42"/>
    <mergeCell ref="EF42:EG42"/>
    <mergeCell ref="EH42:EK42"/>
    <mergeCell ref="EL42:EO42"/>
    <mergeCell ref="EP42:EQ42"/>
    <mergeCell ref="EV40:EW40"/>
    <mergeCell ref="DX41:EA41"/>
    <mergeCell ref="EB41:EE41"/>
    <mergeCell ref="EF41:EG41"/>
    <mergeCell ref="EH41:EK41"/>
    <mergeCell ref="EL41:EO41"/>
    <mergeCell ref="EP41:EQ41"/>
    <mergeCell ref="EV41:EW41"/>
    <mergeCell ref="DX40:EA40"/>
    <mergeCell ref="EB40:EE40"/>
    <mergeCell ref="EF40:EG40"/>
    <mergeCell ref="EH40:EK40"/>
    <mergeCell ref="EL40:EO40"/>
    <mergeCell ref="EP40:EQ40"/>
    <mergeCell ref="ER43:ES43"/>
    <mergeCell ref="ET42:EU42"/>
    <mergeCell ref="ET43:EU43"/>
    <mergeCell ref="ET41:EU41"/>
    <mergeCell ref="EV46:EW46"/>
    <mergeCell ref="DX47:EA47"/>
    <mergeCell ref="EB47:EE47"/>
    <mergeCell ref="EF47:EG47"/>
    <mergeCell ref="EH47:EK47"/>
    <mergeCell ref="EL47:EO47"/>
    <mergeCell ref="EP47:EQ47"/>
    <mergeCell ref="EV47:EW47"/>
    <mergeCell ref="DX46:EA46"/>
    <mergeCell ref="EB46:EE46"/>
    <mergeCell ref="EF46:EG46"/>
    <mergeCell ref="EH46:EK46"/>
    <mergeCell ref="EL46:EO46"/>
    <mergeCell ref="EP46:EQ46"/>
    <mergeCell ref="EV44:EW44"/>
    <mergeCell ref="DX45:EA45"/>
    <mergeCell ref="EB45:EE45"/>
    <mergeCell ref="EF45:EG45"/>
    <mergeCell ref="EH45:EK45"/>
    <mergeCell ref="EL45:EO45"/>
    <mergeCell ref="EP45:EQ45"/>
    <mergeCell ref="EV45:EW45"/>
    <mergeCell ref="DX44:EA44"/>
    <mergeCell ref="EB44:EE44"/>
    <mergeCell ref="EF44:EG44"/>
    <mergeCell ref="EH44:EK44"/>
    <mergeCell ref="EL44:EO44"/>
    <mergeCell ref="EP44:EQ44"/>
    <mergeCell ref="ER44:ES44"/>
    <mergeCell ref="ER45:ES45"/>
    <mergeCell ref="ER46:ES46"/>
    <mergeCell ref="ER47:ES47"/>
    <mergeCell ref="EV50:EW50"/>
    <mergeCell ref="DX51:EA51"/>
    <mergeCell ref="EB51:EE51"/>
    <mergeCell ref="EF51:EG51"/>
    <mergeCell ref="EH51:EK51"/>
    <mergeCell ref="EL51:EO51"/>
    <mergeCell ref="EP51:EQ51"/>
    <mergeCell ref="EV51:EW51"/>
    <mergeCell ref="DX50:EA50"/>
    <mergeCell ref="EB50:EE50"/>
    <mergeCell ref="EF50:EG50"/>
    <mergeCell ref="EH50:EK50"/>
    <mergeCell ref="EL50:EO50"/>
    <mergeCell ref="EP50:EQ50"/>
    <mergeCell ref="EV48:EW48"/>
    <mergeCell ref="DX49:EA49"/>
    <mergeCell ref="EB49:EE49"/>
    <mergeCell ref="EF49:EG49"/>
    <mergeCell ref="EH49:EK49"/>
    <mergeCell ref="EL49:EO49"/>
    <mergeCell ref="EP49:EQ49"/>
    <mergeCell ref="EV49:EW49"/>
    <mergeCell ref="DX48:EA48"/>
    <mergeCell ref="EB48:EE48"/>
    <mergeCell ref="EF48:EG48"/>
    <mergeCell ref="EH48:EK48"/>
    <mergeCell ref="EL48:EO48"/>
    <mergeCell ref="EP48:EQ48"/>
    <mergeCell ref="ER48:ES48"/>
    <mergeCell ref="ER49:ES49"/>
    <mergeCell ref="ER50:ES50"/>
    <mergeCell ref="ER51:ES51"/>
    <mergeCell ref="EV54:EW54"/>
    <mergeCell ref="DX55:EA55"/>
    <mergeCell ref="EB55:EE55"/>
    <mergeCell ref="EF55:EG55"/>
    <mergeCell ref="EH55:EK55"/>
    <mergeCell ref="EL55:EO55"/>
    <mergeCell ref="EP55:EQ55"/>
    <mergeCell ref="EV55:EW55"/>
    <mergeCell ref="DX54:EA54"/>
    <mergeCell ref="EB54:EE54"/>
    <mergeCell ref="EF54:EG54"/>
    <mergeCell ref="EH54:EK54"/>
    <mergeCell ref="EL54:EO54"/>
    <mergeCell ref="EP54:EQ54"/>
    <mergeCell ref="EV52:EW52"/>
    <mergeCell ref="DX53:EA53"/>
    <mergeCell ref="EB53:EE53"/>
    <mergeCell ref="EF53:EG53"/>
    <mergeCell ref="EH53:EK53"/>
    <mergeCell ref="EL53:EO53"/>
    <mergeCell ref="EP53:EQ53"/>
    <mergeCell ref="EV53:EW53"/>
    <mergeCell ref="DX52:EA52"/>
    <mergeCell ref="EB52:EE52"/>
    <mergeCell ref="EF52:EG52"/>
    <mergeCell ref="EH52:EK52"/>
    <mergeCell ref="EL52:EO52"/>
    <mergeCell ref="EP52:EQ52"/>
    <mergeCell ref="ER52:ES52"/>
    <mergeCell ref="ER53:ES53"/>
    <mergeCell ref="ER54:ES54"/>
    <mergeCell ref="ER55:ES55"/>
    <mergeCell ref="EV58:EW58"/>
    <mergeCell ref="DX59:EA59"/>
    <mergeCell ref="EB59:EE59"/>
    <mergeCell ref="EF59:EG59"/>
    <mergeCell ref="EH59:EK59"/>
    <mergeCell ref="EL59:EO59"/>
    <mergeCell ref="EP59:EQ59"/>
    <mergeCell ref="EV59:EW59"/>
    <mergeCell ref="DX58:EA58"/>
    <mergeCell ref="EB58:EE58"/>
    <mergeCell ref="EF58:EG58"/>
    <mergeCell ref="EH58:EK58"/>
    <mergeCell ref="EL58:EO58"/>
    <mergeCell ref="EP58:EQ58"/>
    <mergeCell ref="EV56:EW56"/>
    <mergeCell ref="DX57:EA57"/>
    <mergeCell ref="EB57:EE57"/>
    <mergeCell ref="EF57:EG57"/>
    <mergeCell ref="EH57:EK57"/>
    <mergeCell ref="EL57:EO57"/>
    <mergeCell ref="EP57:EQ57"/>
    <mergeCell ref="EV57:EW57"/>
    <mergeCell ref="DX56:EA56"/>
    <mergeCell ref="EB56:EE56"/>
    <mergeCell ref="EF56:EG56"/>
    <mergeCell ref="EH56:EK56"/>
    <mergeCell ref="EL56:EO56"/>
    <mergeCell ref="EP56:EQ56"/>
    <mergeCell ref="ER56:ES56"/>
    <mergeCell ref="ER57:ES57"/>
    <mergeCell ref="ER58:ES58"/>
    <mergeCell ref="ER59:ES59"/>
    <mergeCell ref="EV62:EW62"/>
    <mergeCell ref="DX63:EA63"/>
    <mergeCell ref="EB63:EE63"/>
    <mergeCell ref="EF63:EG63"/>
    <mergeCell ref="EH63:EK63"/>
    <mergeCell ref="EL63:EO63"/>
    <mergeCell ref="EP63:EQ63"/>
    <mergeCell ref="EV63:EW63"/>
    <mergeCell ref="DX62:EA62"/>
    <mergeCell ref="EB62:EE62"/>
    <mergeCell ref="EF62:EG62"/>
    <mergeCell ref="EH62:EK62"/>
    <mergeCell ref="EL62:EO62"/>
    <mergeCell ref="EP62:EQ62"/>
    <mergeCell ref="EV60:EW60"/>
    <mergeCell ref="DX61:EA61"/>
    <mergeCell ref="EB61:EE61"/>
    <mergeCell ref="EF61:EG61"/>
    <mergeCell ref="EH61:EK61"/>
    <mergeCell ref="EL61:EO61"/>
    <mergeCell ref="EP61:EQ61"/>
    <mergeCell ref="EV61:EW61"/>
    <mergeCell ref="DX60:EA60"/>
    <mergeCell ref="EB60:EE60"/>
    <mergeCell ref="EF60:EG60"/>
    <mergeCell ref="EH60:EK60"/>
    <mergeCell ref="EL60:EO60"/>
    <mergeCell ref="EP60:EQ60"/>
    <mergeCell ref="ER60:ES60"/>
    <mergeCell ref="ER61:ES61"/>
    <mergeCell ref="ER62:ES62"/>
    <mergeCell ref="ER63:ES63"/>
    <mergeCell ref="EV66:EW66"/>
    <mergeCell ref="DX67:EA67"/>
    <mergeCell ref="EB67:EE67"/>
    <mergeCell ref="EF67:EG67"/>
    <mergeCell ref="EH67:EK67"/>
    <mergeCell ref="EL67:EO67"/>
    <mergeCell ref="EP67:EQ67"/>
    <mergeCell ref="EV67:EW67"/>
    <mergeCell ref="DX66:EA66"/>
    <mergeCell ref="EB66:EE66"/>
    <mergeCell ref="EF66:EG66"/>
    <mergeCell ref="EH66:EK66"/>
    <mergeCell ref="EL66:EO66"/>
    <mergeCell ref="EP66:EQ66"/>
    <mergeCell ref="EV64:EW64"/>
    <mergeCell ref="DX65:EA65"/>
    <mergeCell ref="EB65:EE65"/>
    <mergeCell ref="EF65:EG65"/>
    <mergeCell ref="EH65:EK65"/>
    <mergeCell ref="EL65:EO65"/>
    <mergeCell ref="EP65:EQ65"/>
    <mergeCell ref="EV65:EW65"/>
    <mergeCell ref="DX64:EA64"/>
    <mergeCell ref="EB64:EE64"/>
    <mergeCell ref="EF64:EG64"/>
    <mergeCell ref="EH64:EK64"/>
    <mergeCell ref="EL64:EO64"/>
    <mergeCell ref="EP64:EQ64"/>
    <mergeCell ref="ER64:ES64"/>
    <mergeCell ref="ER65:ES65"/>
    <mergeCell ref="ER66:ES66"/>
    <mergeCell ref="ER67:ES67"/>
    <mergeCell ref="EV70:EW70"/>
    <mergeCell ref="DX71:EA71"/>
    <mergeCell ref="EB71:EE71"/>
    <mergeCell ref="EF71:EG71"/>
    <mergeCell ref="EH71:EK71"/>
    <mergeCell ref="EL71:EO71"/>
    <mergeCell ref="EP71:EQ71"/>
    <mergeCell ref="EV71:EW71"/>
    <mergeCell ref="DX70:EA70"/>
    <mergeCell ref="EB70:EE70"/>
    <mergeCell ref="EF70:EG70"/>
    <mergeCell ref="EH70:EK70"/>
    <mergeCell ref="EL70:EO70"/>
    <mergeCell ref="EP70:EQ70"/>
    <mergeCell ref="EV68:EW68"/>
    <mergeCell ref="DX69:EA69"/>
    <mergeCell ref="EB69:EE69"/>
    <mergeCell ref="EF69:EG69"/>
    <mergeCell ref="EH69:EK69"/>
    <mergeCell ref="EL69:EO69"/>
    <mergeCell ref="EP69:EQ69"/>
    <mergeCell ref="EV69:EW69"/>
    <mergeCell ref="DX68:EA68"/>
    <mergeCell ref="EB68:EE68"/>
    <mergeCell ref="EF68:EG68"/>
    <mergeCell ref="EH68:EK68"/>
    <mergeCell ref="EL68:EO68"/>
    <mergeCell ref="EP68:EQ68"/>
    <mergeCell ref="ER68:ES68"/>
    <mergeCell ref="ER69:ES69"/>
    <mergeCell ref="ER70:ES70"/>
    <mergeCell ref="ER71:ES71"/>
    <mergeCell ref="EP251:EQ252"/>
    <mergeCell ref="EV251:EW252"/>
    <mergeCell ref="EV74:EW74"/>
    <mergeCell ref="DX75:EA75"/>
    <mergeCell ref="EB75:EE75"/>
    <mergeCell ref="EF75:EG75"/>
    <mergeCell ref="EH75:EK75"/>
    <mergeCell ref="EL75:EO75"/>
    <mergeCell ref="EP75:EQ75"/>
    <mergeCell ref="EV75:EW75"/>
    <mergeCell ref="DX74:EA74"/>
    <mergeCell ref="EB74:EE74"/>
    <mergeCell ref="EF74:EG74"/>
    <mergeCell ref="EH74:EK74"/>
    <mergeCell ref="EL74:EO74"/>
    <mergeCell ref="EP74:EQ74"/>
    <mergeCell ref="EV72:EW72"/>
    <mergeCell ref="DX73:EA73"/>
    <mergeCell ref="EB73:EE73"/>
    <mergeCell ref="EF73:EG73"/>
    <mergeCell ref="EH73:EK73"/>
    <mergeCell ref="EL73:EO73"/>
    <mergeCell ref="EP73:EQ73"/>
    <mergeCell ref="EV73:EW73"/>
    <mergeCell ref="DX72:EA72"/>
    <mergeCell ref="EB72:EE72"/>
    <mergeCell ref="EF72:EG72"/>
    <mergeCell ref="EH72:EK72"/>
    <mergeCell ref="EL72:EO72"/>
    <mergeCell ref="EP72:EQ72"/>
    <mergeCell ref="ER72:ES72"/>
    <mergeCell ref="ER73:ES73"/>
    <mergeCell ref="E45:M45"/>
    <mergeCell ref="C46:D46"/>
    <mergeCell ref="E46:M46"/>
    <mergeCell ref="C47:D47"/>
    <mergeCell ref="E47:M47"/>
    <mergeCell ref="C48:D48"/>
    <mergeCell ref="C53:D53"/>
    <mergeCell ref="C51:D51"/>
    <mergeCell ref="E53:M53"/>
    <mergeCell ref="C54:D54"/>
    <mergeCell ref="E54:M54"/>
    <mergeCell ref="C55:D55"/>
    <mergeCell ref="EB253:EE253"/>
    <mergeCell ref="EF253:EG253"/>
    <mergeCell ref="EH253:EK253"/>
    <mergeCell ref="DX76:EA76"/>
    <mergeCell ref="EB76:EE76"/>
    <mergeCell ref="EF76:EG76"/>
    <mergeCell ref="EH76:EK76"/>
    <mergeCell ref="DX251:EA252"/>
    <mergeCell ref="EB251:EE252"/>
    <mergeCell ref="EF251:EG252"/>
    <mergeCell ref="EH251:EK252"/>
    <mergeCell ref="CJ70:CM70"/>
    <mergeCell ref="CN70:CO70"/>
    <mergeCell ref="CF75:CI75"/>
    <mergeCell ref="CJ75:CM75"/>
    <mergeCell ref="CN75:CO75"/>
    <mergeCell ref="BX72:CA72"/>
    <mergeCell ref="CB72:CE72"/>
    <mergeCell ref="CF72:CI72"/>
    <mergeCell ref="CJ72:CM72"/>
    <mergeCell ref="C33:D33"/>
    <mergeCell ref="E33:M33"/>
    <mergeCell ref="C49:D49"/>
    <mergeCell ref="E49:M49"/>
    <mergeCell ref="C50:D50"/>
    <mergeCell ref="E50:M50"/>
    <mergeCell ref="P32:Q32"/>
    <mergeCell ref="P33:Q33"/>
    <mergeCell ref="E48:M48"/>
    <mergeCell ref="C34:D34"/>
    <mergeCell ref="E34:M34"/>
    <mergeCell ref="C35:D35"/>
    <mergeCell ref="E35:M35"/>
    <mergeCell ref="C36:D36"/>
    <mergeCell ref="E36:M36"/>
    <mergeCell ref="C37:D37"/>
    <mergeCell ref="E37:M37"/>
    <mergeCell ref="C38:D38"/>
    <mergeCell ref="E38:M38"/>
    <mergeCell ref="C39:D39"/>
    <mergeCell ref="E39:M39"/>
    <mergeCell ref="C40:D40"/>
    <mergeCell ref="E40:M40"/>
    <mergeCell ref="C41:D41"/>
    <mergeCell ref="E41:M41"/>
    <mergeCell ref="C42:D42"/>
    <mergeCell ref="E42:M42"/>
    <mergeCell ref="C43:D43"/>
    <mergeCell ref="E43:M43"/>
    <mergeCell ref="C44:D44"/>
    <mergeCell ref="E44:M44"/>
    <mergeCell ref="C45:D45"/>
    <mergeCell ref="C77:D77"/>
    <mergeCell ref="E77:M77"/>
    <mergeCell ref="P62:Q62"/>
    <mergeCell ref="C76:D76"/>
    <mergeCell ref="E76:M76"/>
    <mergeCell ref="C67:D67"/>
    <mergeCell ref="E67:M67"/>
    <mergeCell ref="C68:D68"/>
    <mergeCell ref="E68:M68"/>
    <mergeCell ref="C69:D69"/>
    <mergeCell ref="E69:M69"/>
    <mergeCell ref="C70:D70"/>
    <mergeCell ref="E70:M70"/>
    <mergeCell ref="C71:D71"/>
    <mergeCell ref="E71:M71"/>
    <mergeCell ref="C72:D72"/>
    <mergeCell ref="E72:M72"/>
    <mergeCell ref="C73:D73"/>
    <mergeCell ref="E73:M73"/>
    <mergeCell ref="C74:D74"/>
    <mergeCell ref="E74:M74"/>
    <mergeCell ref="C75:D75"/>
    <mergeCell ref="E75:M75"/>
    <mergeCell ref="C62:D62"/>
    <mergeCell ref="C65:D65"/>
    <mergeCell ref="E65:M65"/>
    <mergeCell ref="C66:D66"/>
    <mergeCell ref="E66:M66"/>
    <mergeCell ref="E62:M62"/>
    <mergeCell ref="C63:D63"/>
    <mergeCell ref="P75:Q75"/>
    <mergeCell ref="P76:Q76"/>
    <mergeCell ref="E51:M51"/>
    <mergeCell ref="C52:D52"/>
    <mergeCell ref="E52:M52"/>
    <mergeCell ref="E59:M59"/>
    <mergeCell ref="C60:D60"/>
    <mergeCell ref="E60:M60"/>
    <mergeCell ref="C61:D61"/>
    <mergeCell ref="E61:M61"/>
    <mergeCell ref="C56:D56"/>
    <mergeCell ref="E56:M56"/>
    <mergeCell ref="C57:D57"/>
    <mergeCell ref="E57:M57"/>
    <mergeCell ref="E55:M55"/>
    <mergeCell ref="C58:D58"/>
    <mergeCell ref="E58:M58"/>
    <mergeCell ref="C59:D59"/>
    <mergeCell ref="R61:X61"/>
    <mergeCell ref="R39:X39"/>
    <mergeCell ref="P57:Q57"/>
    <mergeCell ref="P58:Q58"/>
    <mergeCell ref="P59:Q59"/>
    <mergeCell ref="P60:Q60"/>
    <mergeCell ref="P61:Q61"/>
    <mergeCell ref="C78:D78"/>
    <mergeCell ref="E78:M78"/>
    <mergeCell ref="P34:Q34"/>
    <mergeCell ref="P35:Q35"/>
    <mergeCell ref="P36:Q36"/>
    <mergeCell ref="P37:Q37"/>
    <mergeCell ref="P38:Q38"/>
    <mergeCell ref="P39:Q39"/>
    <mergeCell ref="P40:Q40"/>
    <mergeCell ref="P41:Q41"/>
    <mergeCell ref="P42:Q42"/>
    <mergeCell ref="P43:Q43"/>
    <mergeCell ref="P44:Q44"/>
    <mergeCell ref="P45:Q45"/>
    <mergeCell ref="P46:Q46"/>
    <mergeCell ref="P47:Q47"/>
    <mergeCell ref="P48:Q48"/>
    <mergeCell ref="P49:Q49"/>
    <mergeCell ref="P50:Q50"/>
    <mergeCell ref="P51:Q51"/>
    <mergeCell ref="P52:Q52"/>
    <mergeCell ref="P53:Q53"/>
    <mergeCell ref="E63:M63"/>
    <mergeCell ref="C64:D64"/>
    <mergeCell ref="E64:M64"/>
    <mergeCell ref="P74:Q74"/>
    <mergeCell ref="P77:Q77"/>
    <mergeCell ref="P78:Q78"/>
    <mergeCell ref="P73:Q73"/>
    <mergeCell ref="R62:X62"/>
    <mergeCell ref="R63:X63"/>
    <mergeCell ref="R64:X64"/>
    <mergeCell ref="R65:X65"/>
    <mergeCell ref="R66:X66"/>
    <mergeCell ref="R67:X67"/>
    <mergeCell ref="R68:X68"/>
    <mergeCell ref="R69:X69"/>
    <mergeCell ref="R70:X70"/>
    <mergeCell ref="P71:Q71"/>
    <mergeCell ref="P54:Q54"/>
    <mergeCell ref="P55:Q55"/>
    <mergeCell ref="P56:Q56"/>
    <mergeCell ref="P72:Q72"/>
    <mergeCell ref="P63:Q63"/>
    <mergeCell ref="P64:Q64"/>
    <mergeCell ref="P65:Q65"/>
    <mergeCell ref="P66:Q66"/>
    <mergeCell ref="P67:Q67"/>
    <mergeCell ref="P68:Q68"/>
    <mergeCell ref="P69:Q69"/>
    <mergeCell ref="P70:Q70"/>
    <mergeCell ref="R57:X57"/>
    <mergeCell ref="R58:X58"/>
    <mergeCell ref="R59:X59"/>
    <mergeCell ref="R60:X60"/>
    <mergeCell ref="R71:X71"/>
    <mergeCell ref="R72:X72"/>
    <mergeCell ref="R73:X73"/>
    <mergeCell ref="BK255:BK276"/>
    <mergeCell ref="EL25:EO26"/>
    <mergeCell ref="EH35:EK35"/>
    <mergeCell ref="EL35:EO35"/>
    <mergeCell ref="DX30:EA30"/>
    <mergeCell ref="EB30:EE30"/>
    <mergeCell ref="EF30:EG30"/>
    <mergeCell ref="EH30:EK30"/>
    <mergeCell ref="EL30:EO30"/>
    <mergeCell ref="CJ71:CM71"/>
    <mergeCell ref="CN71:CO71"/>
    <mergeCell ref="CB75:CE75"/>
    <mergeCell ref="BX70:CA70"/>
    <mergeCell ref="EH27:EK27"/>
    <mergeCell ref="EL27:EO27"/>
    <mergeCell ref="CB70:CE70"/>
    <mergeCell ref="CF70:CI70"/>
    <mergeCell ref="DX256:EA256"/>
    <mergeCell ref="EB256:EE256"/>
    <mergeCell ref="EF256:EG256"/>
    <mergeCell ref="EH256:EK256"/>
    <mergeCell ref="EL256:EO256"/>
    <mergeCell ref="DX255:EA255"/>
    <mergeCell ref="EB25:EE26"/>
    <mergeCell ref="EF25:EG26"/>
    <mergeCell ref="BX25:CA26"/>
    <mergeCell ref="CB25:CE26"/>
    <mergeCell ref="CF25:CI26"/>
    <mergeCell ref="CJ25:CM26"/>
    <mergeCell ref="CN25:CO26"/>
    <mergeCell ref="CP25:CP26"/>
    <mergeCell ref="DX25:EA26"/>
    <mergeCell ref="EP254:EQ254"/>
    <mergeCell ref="EV76:EW76"/>
    <mergeCell ref="DX78:EW80"/>
    <mergeCell ref="DY89:EG89"/>
    <mergeCell ref="DX253:EA253"/>
    <mergeCell ref="BX255:CA256"/>
    <mergeCell ref="CB255:CE256"/>
    <mergeCell ref="CF255:CI256"/>
    <mergeCell ref="CJ255:CM256"/>
    <mergeCell ref="CN255:CO256"/>
    <mergeCell ref="CP255:CP256"/>
    <mergeCell ref="BX259:CA259"/>
    <mergeCell ref="CB259:CE259"/>
    <mergeCell ref="CF259:CI259"/>
    <mergeCell ref="CJ259:CM259"/>
    <mergeCell ref="CN259:CO259"/>
    <mergeCell ref="BX257:CA257"/>
    <mergeCell ref="CB257:CE257"/>
    <mergeCell ref="CF257:CI257"/>
    <mergeCell ref="CJ257:CM257"/>
    <mergeCell ref="CN257:CO257"/>
    <mergeCell ref="BX258:CA258"/>
    <mergeCell ref="CB258:CE258"/>
    <mergeCell ref="CF258:CI258"/>
    <mergeCell ref="CJ258:CM258"/>
    <mergeCell ref="CN258:CO258"/>
    <mergeCell ref="EL253:EO253"/>
    <mergeCell ref="EP253:EQ253"/>
    <mergeCell ref="EV253:EW253"/>
    <mergeCell ref="EL76:EO76"/>
    <mergeCell ref="EP76:EQ76"/>
    <mergeCell ref="EL251:EO252"/>
    <mergeCell ref="R33:X33"/>
    <mergeCell ref="R34:X34"/>
    <mergeCell ref="R35:X35"/>
    <mergeCell ref="R36:X36"/>
    <mergeCell ref="R37:X37"/>
    <mergeCell ref="R38:X38"/>
    <mergeCell ref="DM25:DM26"/>
    <mergeCell ref="EP25:EQ26"/>
    <mergeCell ref="EV25:EW26"/>
    <mergeCell ref="EY25:EY26"/>
    <mergeCell ref="EV34:EW34"/>
    <mergeCell ref="EH33:EK33"/>
    <mergeCell ref="EL33:EO33"/>
    <mergeCell ref="EV30:EW30"/>
    <mergeCell ref="EP31:EQ31"/>
    <mergeCell ref="EV31:EW31"/>
    <mergeCell ref="DK251:DK272"/>
    <mergeCell ref="DM252:DM253"/>
    <mergeCell ref="EV256:EW256"/>
    <mergeCell ref="EP256:EQ256"/>
    <mergeCell ref="EV254:EW254"/>
    <mergeCell ref="EB255:EE255"/>
    <mergeCell ref="EF255:EG255"/>
    <mergeCell ref="EH255:EK255"/>
    <mergeCell ref="EL255:EO255"/>
    <mergeCell ref="EP255:EQ255"/>
    <mergeCell ref="EV255:EW255"/>
    <mergeCell ref="DX254:EA254"/>
    <mergeCell ref="EB254:EE254"/>
    <mergeCell ref="EF254:EG254"/>
    <mergeCell ref="EH254:EK254"/>
    <mergeCell ref="EL254:EO254"/>
    <mergeCell ref="R74:X74"/>
    <mergeCell ref="R75:X75"/>
    <mergeCell ref="R76:X76"/>
    <mergeCell ref="R77:X77"/>
    <mergeCell ref="R78:X78"/>
    <mergeCell ref="R48:X48"/>
    <mergeCell ref="R49:X49"/>
    <mergeCell ref="R50:X50"/>
    <mergeCell ref="R51:X51"/>
    <mergeCell ref="R52:X52"/>
    <mergeCell ref="R53:X53"/>
    <mergeCell ref="R54:X54"/>
    <mergeCell ref="R55:X55"/>
    <mergeCell ref="R56:X56"/>
    <mergeCell ref="R40:X40"/>
    <mergeCell ref="R41:X41"/>
    <mergeCell ref="R42:X42"/>
    <mergeCell ref="R43:X43"/>
    <mergeCell ref="R44:X44"/>
    <mergeCell ref="R45:X45"/>
    <mergeCell ref="R46:X46"/>
    <mergeCell ref="R47:X47"/>
    <mergeCell ref="C2:G2"/>
    <mergeCell ref="C4:G4"/>
    <mergeCell ref="C6:G6"/>
    <mergeCell ref="C8:G8"/>
    <mergeCell ref="C10:G10"/>
    <mergeCell ref="C12:G12"/>
    <mergeCell ref="C14:G14"/>
    <mergeCell ref="C16:G16"/>
    <mergeCell ref="AC2:AG2"/>
    <mergeCell ref="AC4:AG4"/>
    <mergeCell ref="AC6:AG6"/>
    <mergeCell ref="AC8:AG8"/>
    <mergeCell ref="AC10:AG10"/>
    <mergeCell ref="AC12:AG12"/>
    <mergeCell ref="AC14:AG14"/>
    <mergeCell ref="AC16:AG16"/>
    <mergeCell ref="CR25:CS26"/>
    <mergeCell ref="BW20:CP24"/>
    <mergeCell ref="BR9:CN10"/>
    <mergeCell ref="BJ18:DC18"/>
    <mergeCell ref="BR16:CN16"/>
    <mergeCell ref="C20:AH24"/>
    <mergeCell ref="J13:Z14"/>
    <mergeCell ref="E26:L26"/>
    <mergeCell ref="R26:X26"/>
    <mergeCell ref="AC58:AH58"/>
    <mergeCell ref="AC41:AH41"/>
    <mergeCell ref="AC42:AH42"/>
    <mergeCell ref="AC43:AH43"/>
    <mergeCell ref="AC44:AH44"/>
    <mergeCell ref="AC45:AH45"/>
    <mergeCell ref="AC46:AH46"/>
    <mergeCell ref="AC47:AH47"/>
    <mergeCell ref="AC48:AH48"/>
    <mergeCell ref="AC49:AH49"/>
    <mergeCell ref="AC32:AH32"/>
    <mergeCell ref="AC33:AH33"/>
    <mergeCell ref="AC34:AH34"/>
    <mergeCell ref="AC35:AH35"/>
    <mergeCell ref="AC36:AH36"/>
    <mergeCell ref="AC37:AH37"/>
    <mergeCell ref="AC38:AH38"/>
    <mergeCell ref="AC39:AH39"/>
    <mergeCell ref="AC40:AH40"/>
    <mergeCell ref="AC77:AH77"/>
    <mergeCell ref="AC78:AH78"/>
    <mergeCell ref="A18:AH18"/>
    <mergeCell ref="J7:Z8"/>
    <mergeCell ref="J9:Z10"/>
    <mergeCell ref="J11:Z12"/>
    <mergeCell ref="AC68:AH68"/>
    <mergeCell ref="AC69:AH69"/>
    <mergeCell ref="AC70:AH70"/>
    <mergeCell ref="AC71:AH71"/>
    <mergeCell ref="AC72:AH72"/>
    <mergeCell ref="AC73:AH73"/>
    <mergeCell ref="AC74:AH74"/>
    <mergeCell ref="AC75:AH75"/>
    <mergeCell ref="AC76:AH76"/>
    <mergeCell ref="AC59:AH59"/>
    <mergeCell ref="AC60:AH60"/>
    <mergeCell ref="AC61:AH61"/>
    <mergeCell ref="AC62:AH62"/>
    <mergeCell ref="AC63:AH63"/>
    <mergeCell ref="AC64:AH64"/>
    <mergeCell ref="AC65:AH65"/>
    <mergeCell ref="AC66:AH66"/>
    <mergeCell ref="AC67:AH67"/>
    <mergeCell ref="AC50:AH50"/>
    <mergeCell ref="AC51:AH51"/>
    <mergeCell ref="AC52:AH52"/>
    <mergeCell ref="AC53:AH53"/>
    <mergeCell ref="AC54:AH54"/>
    <mergeCell ref="AC55:AH55"/>
    <mergeCell ref="AC56:AH56"/>
    <mergeCell ref="AC57:AH57"/>
    <mergeCell ref="ER35:ES35"/>
    <mergeCell ref="ER36:ES36"/>
    <mergeCell ref="ER37:ES37"/>
    <mergeCell ref="ER38:ES38"/>
    <mergeCell ref="ER39:ES39"/>
    <mergeCell ref="ER40:ES40"/>
    <mergeCell ref="ER41:ES41"/>
    <mergeCell ref="ER42:ES42"/>
    <mergeCell ref="ET45:EU45"/>
    <mergeCell ref="ET72:EU72"/>
    <mergeCell ref="ET73:EU73"/>
    <mergeCell ref="ET74:EU74"/>
    <mergeCell ref="ET75:EU75"/>
    <mergeCell ref="ET76:EU76"/>
    <mergeCell ref="ET25:EU26"/>
    <mergeCell ref="ET68:EU68"/>
    <mergeCell ref="ET69:EU69"/>
    <mergeCell ref="ET70:EU70"/>
    <mergeCell ref="ET71:EU71"/>
    <mergeCell ref="ET46:EU46"/>
    <mergeCell ref="ET47:EU47"/>
    <mergeCell ref="ET48:EU48"/>
    <mergeCell ref="ET49:EU49"/>
    <mergeCell ref="ET50:EU50"/>
    <mergeCell ref="ET51:EU51"/>
    <mergeCell ref="ET52:EU52"/>
    <mergeCell ref="ET53:EU53"/>
    <mergeCell ref="ET54:EU54"/>
    <mergeCell ref="ET29:EU29"/>
    <mergeCell ref="ET30:EU30"/>
    <mergeCell ref="ET44:EU44"/>
    <mergeCell ref="ET31:EU31"/>
    <mergeCell ref="ET32:EU32"/>
    <mergeCell ref="ET33:EU33"/>
    <mergeCell ref="ET34:EU34"/>
    <mergeCell ref="ER74:ES74"/>
    <mergeCell ref="ER75:ES75"/>
    <mergeCell ref="ER76:ES76"/>
    <mergeCell ref="ET27:EU27"/>
    <mergeCell ref="ET28:EU28"/>
    <mergeCell ref="DX20:EX24"/>
    <mergeCell ref="C30:D30"/>
    <mergeCell ref="P30:Q30"/>
    <mergeCell ref="C25:AH25"/>
    <mergeCell ref="ET55:EU55"/>
    <mergeCell ref="ET56:EU56"/>
    <mergeCell ref="ET57:EU57"/>
    <mergeCell ref="ET58:EU58"/>
    <mergeCell ref="ET59:EU59"/>
    <mergeCell ref="ET60:EU60"/>
    <mergeCell ref="ET61:EU61"/>
    <mergeCell ref="ET62:EU62"/>
    <mergeCell ref="ET63:EU63"/>
    <mergeCell ref="ET64:EU64"/>
    <mergeCell ref="ET65:EU65"/>
    <mergeCell ref="ET66:EU66"/>
    <mergeCell ref="ET67:EU67"/>
    <mergeCell ref="ET35:EU35"/>
    <mergeCell ref="ET36:EU36"/>
    <mergeCell ref="ET37:EU37"/>
    <mergeCell ref="ET38:EU38"/>
    <mergeCell ref="ET39:EU39"/>
    <mergeCell ref="ET40:EU40"/>
    <mergeCell ref="ER34:ES34"/>
  </mergeCells>
  <phoneticPr fontId="22" type="noConversion"/>
  <conditionalFormatting sqref="DA27">
    <cfRule type="cellIs" dxfId="10573" priority="1006" operator="equal">
      <formula>TRUE</formula>
    </cfRule>
    <cfRule type="cellIs" dxfId="10572" priority="1009" operator="equal">
      <formula>FALSE</formula>
    </cfRule>
  </conditionalFormatting>
  <conditionalFormatting sqref="CZ27">
    <cfRule type="cellIs" dxfId="10571" priority="1007" operator="equal">
      <formula>TRUE</formula>
    </cfRule>
    <cfRule type="cellIs" dxfId="10570" priority="1008" operator="equal">
      <formula>FALSE</formula>
    </cfRule>
  </conditionalFormatting>
  <conditionalFormatting sqref="DA75">
    <cfRule type="cellIs" dxfId="10569" priority="478" operator="equal">
      <formula>TRUE</formula>
    </cfRule>
    <cfRule type="cellIs" dxfId="10568" priority="481" operator="equal">
      <formula>FALSE</formula>
    </cfRule>
  </conditionalFormatting>
  <conditionalFormatting sqref="CZ75">
    <cfRule type="cellIs" dxfId="10567" priority="479" operator="equal">
      <formula>TRUE</formula>
    </cfRule>
    <cfRule type="cellIs" dxfId="10566" priority="480" operator="equal">
      <formula>FALSE</formula>
    </cfRule>
  </conditionalFormatting>
  <conditionalFormatting sqref="DB74">
    <cfRule type="cellIs" dxfId="10565" priority="486" operator="equal">
      <formula>TRUE</formula>
    </cfRule>
    <cfRule type="cellIs" dxfId="10564" priority="487" operator="equal">
      <formula>FALSE</formula>
    </cfRule>
  </conditionalFormatting>
  <conditionalFormatting sqref="DB27">
    <cfRule type="cellIs" dxfId="10563" priority="1003" operator="equal">
      <formula>TRUE</formula>
    </cfRule>
    <cfRule type="cellIs" dxfId="10562" priority="1004" operator="equal">
      <formula>FALSE</formula>
    </cfRule>
  </conditionalFormatting>
  <conditionalFormatting sqref="CZ72">
    <cfRule type="cellIs" dxfId="10561" priority="512" operator="equal">
      <formula>TRUE</formula>
    </cfRule>
    <cfRule type="cellIs" dxfId="10560" priority="513" operator="equal">
      <formula>FALSE</formula>
    </cfRule>
  </conditionalFormatting>
  <conditionalFormatting sqref="DA76">
    <cfRule type="cellIs" dxfId="10559" priority="467" operator="equal">
      <formula>TRUE</formula>
    </cfRule>
    <cfRule type="cellIs" dxfId="10558" priority="470" operator="equal">
      <formula>FALSE</formula>
    </cfRule>
  </conditionalFormatting>
  <conditionalFormatting sqref="CZ76">
    <cfRule type="cellIs" dxfId="10557" priority="468" operator="equal">
      <formula>TRUE</formula>
    </cfRule>
    <cfRule type="cellIs" dxfId="10556" priority="469" operator="equal">
      <formula>FALSE</formula>
    </cfRule>
  </conditionalFormatting>
  <conditionalFormatting sqref="DB76">
    <cfRule type="cellIs" dxfId="10555" priority="464" operator="equal">
      <formula>TRUE</formula>
    </cfRule>
    <cfRule type="cellIs" dxfId="10554" priority="465" operator="equal">
      <formula>FALSE</formula>
    </cfRule>
  </conditionalFormatting>
  <conditionalFormatting sqref="DA28">
    <cfRule type="cellIs" dxfId="10553" priority="995" operator="equal">
      <formula>TRUE</formula>
    </cfRule>
    <cfRule type="cellIs" dxfId="10552" priority="998" operator="equal">
      <formula>FALSE</formula>
    </cfRule>
  </conditionalFormatting>
  <conditionalFormatting sqref="CZ28">
    <cfRule type="cellIs" dxfId="10551" priority="996" operator="equal">
      <formula>TRUE</formula>
    </cfRule>
    <cfRule type="cellIs" dxfId="10550" priority="997" operator="equal">
      <formula>FALSE</formula>
    </cfRule>
  </conditionalFormatting>
  <conditionalFormatting sqref="DB28">
    <cfRule type="cellIs" dxfId="10549" priority="992" operator="equal">
      <formula>TRUE</formula>
    </cfRule>
    <cfRule type="cellIs" dxfId="10548" priority="993" operator="equal">
      <formula>FALSE</formula>
    </cfRule>
  </conditionalFormatting>
  <conditionalFormatting sqref="DA29">
    <cfRule type="cellIs" dxfId="10547" priority="984" operator="equal">
      <formula>TRUE</formula>
    </cfRule>
    <cfRule type="cellIs" dxfId="10546" priority="987" operator="equal">
      <formula>FALSE</formula>
    </cfRule>
  </conditionalFormatting>
  <conditionalFormatting sqref="CZ29">
    <cfRule type="cellIs" dxfId="10545" priority="985" operator="equal">
      <formula>TRUE</formula>
    </cfRule>
    <cfRule type="cellIs" dxfId="10544" priority="986" operator="equal">
      <formula>FALSE</formula>
    </cfRule>
  </conditionalFormatting>
  <conditionalFormatting sqref="DB29">
    <cfRule type="cellIs" dxfId="10543" priority="981" operator="equal">
      <formula>TRUE</formula>
    </cfRule>
    <cfRule type="cellIs" dxfId="10542" priority="982" operator="equal">
      <formula>FALSE</formula>
    </cfRule>
  </conditionalFormatting>
  <conditionalFormatting sqref="DA30">
    <cfRule type="cellIs" dxfId="10541" priority="973" operator="equal">
      <formula>TRUE</formula>
    </cfRule>
    <cfRule type="cellIs" dxfId="10540" priority="976" operator="equal">
      <formula>FALSE</formula>
    </cfRule>
  </conditionalFormatting>
  <conditionalFormatting sqref="CZ30">
    <cfRule type="cellIs" dxfId="10539" priority="974" operator="equal">
      <formula>TRUE</formula>
    </cfRule>
    <cfRule type="cellIs" dxfId="10538" priority="975" operator="equal">
      <formula>FALSE</formula>
    </cfRule>
  </conditionalFormatting>
  <conditionalFormatting sqref="DB30">
    <cfRule type="cellIs" dxfId="10537" priority="970" operator="equal">
      <formula>TRUE</formula>
    </cfRule>
    <cfRule type="cellIs" dxfId="10536" priority="971" operator="equal">
      <formula>FALSE</formula>
    </cfRule>
  </conditionalFormatting>
  <conditionalFormatting sqref="DA31">
    <cfRule type="cellIs" dxfId="10535" priority="962" operator="equal">
      <formula>TRUE</formula>
    </cfRule>
    <cfRule type="cellIs" dxfId="10534" priority="965" operator="equal">
      <formula>FALSE</formula>
    </cfRule>
  </conditionalFormatting>
  <conditionalFormatting sqref="CZ31">
    <cfRule type="cellIs" dxfId="10533" priority="963" operator="equal">
      <formula>TRUE</formula>
    </cfRule>
    <cfRule type="cellIs" dxfId="10532" priority="964" operator="equal">
      <formula>FALSE</formula>
    </cfRule>
  </conditionalFormatting>
  <conditionalFormatting sqref="DB31">
    <cfRule type="cellIs" dxfId="10531" priority="959" operator="equal">
      <formula>TRUE</formula>
    </cfRule>
    <cfRule type="cellIs" dxfId="10530" priority="960" operator="equal">
      <formula>FALSE</formula>
    </cfRule>
  </conditionalFormatting>
  <conditionalFormatting sqref="DA32">
    <cfRule type="cellIs" dxfId="10529" priority="951" operator="equal">
      <formula>TRUE</formula>
    </cfRule>
    <cfRule type="cellIs" dxfId="10528" priority="954" operator="equal">
      <formula>FALSE</formula>
    </cfRule>
  </conditionalFormatting>
  <conditionalFormatting sqref="CZ32">
    <cfRule type="cellIs" dxfId="10527" priority="952" operator="equal">
      <formula>TRUE</formula>
    </cfRule>
    <cfRule type="cellIs" dxfId="10526" priority="953" operator="equal">
      <formula>FALSE</formula>
    </cfRule>
  </conditionalFormatting>
  <conditionalFormatting sqref="DB32">
    <cfRule type="cellIs" dxfId="10525" priority="948" operator="equal">
      <formula>TRUE</formula>
    </cfRule>
    <cfRule type="cellIs" dxfId="10524" priority="949" operator="equal">
      <formula>FALSE</formula>
    </cfRule>
  </conditionalFormatting>
  <conditionalFormatting sqref="DA33">
    <cfRule type="cellIs" dxfId="10523" priority="940" operator="equal">
      <formula>TRUE</formula>
    </cfRule>
    <cfRule type="cellIs" dxfId="10522" priority="943" operator="equal">
      <formula>FALSE</formula>
    </cfRule>
  </conditionalFormatting>
  <conditionalFormatting sqref="CZ33">
    <cfRule type="cellIs" dxfId="10521" priority="941" operator="equal">
      <formula>TRUE</formula>
    </cfRule>
    <cfRule type="cellIs" dxfId="10520" priority="942" operator="equal">
      <formula>FALSE</formula>
    </cfRule>
  </conditionalFormatting>
  <conditionalFormatting sqref="DB33">
    <cfRule type="cellIs" dxfId="10519" priority="937" operator="equal">
      <formula>TRUE</formula>
    </cfRule>
    <cfRule type="cellIs" dxfId="10518" priority="938" operator="equal">
      <formula>FALSE</formula>
    </cfRule>
  </conditionalFormatting>
  <conditionalFormatting sqref="DA34">
    <cfRule type="cellIs" dxfId="10517" priority="929" operator="equal">
      <formula>TRUE</formula>
    </cfRule>
    <cfRule type="cellIs" dxfId="10516" priority="932" operator="equal">
      <formula>FALSE</formula>
    </cfRule>
  </conditionalFormatting>
  <conditionalFormatting sqref="CZ34">
    <cfRule type="cellIs" dxfId="10515" priority="930" operator="equal">
      <formula>TRUE</formula>
    </cfRule>
    <cfRule type="cellIs" dxfId="10514" priority="931" operator="equal">
      <formula>FALSE</formula>
    </cfRule>
  </conditionalFormatting>
  <conditionalFormatting sqref="DB34">
    <cfRule type="cellIs" dxfId="10513" priority="926" operator="equal">
      <formula>TRUE</formula>
    </cfRule>
    <cfRule type="cellIs" dxfId="10512" priority="927" operator="equal">
      <formula>FALSE</formula>
    </cfRule>
  </conditionalFormatting>
  <conditionalFormatting sqref="DA35">
    <cfRule type="cellIs" dxfId="10511" priority="918" operator="equal">
      <formula>TRUE</formula>
    </cfRule>
    <cfRule type="cellIs" dxfId="10510" priority="921" operator="equal">
      <formula>FALSE</formula>
    </cfRule>
  </conditionalFormatting>
  <conditionalFormatting sqref="CZ35">
    <cfRule type="cellIs" dxfId="10509" priority="919" operator="equal">
      <formula>TRUE</formula>
    </cfRule>
    <cfRule type="cellIs" dxfId="10508" priority="920" operator="equal">
      <formula>FALSE</formula>
    </cfRule>
  </conditionalFormatting>
  <conditionalFormatting sqref="DB35">
    <cfRule type="cellIs" dxfId="10507" priority="915" operator="equal">
      <formula>TRUE</formula>
    </cfRule>
    <cfRule type="cellIs" dxfId="10506" priority="916" operator="equal">
      <formula>FALSE</formula>
    </cfRule>
  </conditionalFormatting>
  <conditionalFormatting sqref="DA36">
    <cfRule type="cellIs" dxfId="10505" priority="907" operator="equal">
      <formula>TRUE</formula>
    </cfRule>
    <cfRule type="cellIs" dxfId="10504" priority="910" operator="equal">
      <formula>FALSE</formula>
    </cfRule>
  </conditionalFormatting>
  <conditionalFormatting sqref="CZ36">
    <cfRule type="cellIs" dxfId="10503" priority="908" operator="equal">
      <formula>TRUE</formula>
    </cfRule>
    <cfRule type="cellIs" dxfId="10502" priority="909" operator="equal">
      <formula>FALSE</formula>
    </cfRule>
  </conditionalFormatting>
  <conditionalFormatting sqref="DB36">
    <cfRule type="cellIs" dxfId="10501" priority="904" operator="equal">
      <formula>TRUE</formula>
    </cfRule>
    <cfRule type="cellIs" dxfId="10500" priority="905" operator="equal">
      <formula>FALSE</formula>
    </cfRule>
  </conditionalFormatting>
  <conditionalFormatting sqref="DA37">
    <cfRule type="cellIs" dxfId="10499" priority="896" operator="equal">
      <formula>TRUE</formula>
    </cfRule>
    <cfRule type="cellIs" dxfId="10498" priority="899" operator="equal">
      <formula>FALSE</formula>
    </cfRule>
  </conditionalFormatting>
  <conditionalFormatting sqref="CZ37">
    <cfRule type="cellIs" dxfId="10497" priority="897" operator="equal">
      <formula>TRUE</formula>
    </cfRule>
    <cfRule type="cellIs" dxfId="10496" priority="898" operator="equal">
      <formula>FALSE</formula>
    </cfRule>
  </conditionalFormatting>
  <conditionalFormatting sqref="DB37">
    <cfRule type="cellIs" dxfId="10495" priority="893" operator="equal">
      <formula>TRUE</formula>
    </cfRule>
    <cfRule type="cellIs" dxfId="10494" priority="894" operator="equal">
      <formula>FALSE</formula>
    </cfRule>
  </conditionalFormatting>
  <conditionalFormatting sqref="DA38">
    <cfRule type="cellIs" dxfId="10493" priority="885" operator="equal">
      <formula>TRUE</formula>
    </cfRule>
    <cfRule type="cellIs" dxfId="10492" priority="888" operator="equal">
      <formula>FALSE</formula>
    </cfRule>
  </conditionalFormatting>
  <conditionalFormatting sqref="CZ38">
    <cfRule type="cellIs" dxfId="10491" priority="886" operator="equal">
      <formula>TRUE</formula>
    </cfRule>
    <cfRule type="cellIs" dxfId="10490" priority="887" operator="equal">
      <formula>FALSE</formula>
    </cfRule>
  </conditionalFormatting>
  <conditionalFormatting sqref="DB38">
    <cfRule type="cellIs" dxfId="10489" priority="882" operator="equal">
      <formula>TRUE</formula>
    </cfRule>
    <cfRule type="cellIs" dxfId="10488" priority="883" operator="equal">
      <formula>FALSE</formula>
    </cfRule>
  </conditionalFormatting>
  <conditionalFormatting sqref="DA39">
    <cfRule type="cellIs" dxfId="10487" priority="874" operator="equal">
      <formula>TRUE</formula>
    </cfRule>
    <cfRule type="cellIs" dxfId="10486" priority="877" operator="equal">
      <formula>FALSE</formula>
    </cfRule>
  </conditionalFormatting>
  <conditionalFormatting sqref="CZ39">
    <cfRule type="cellIs" dxfId="10485" priority="875" operator="equal">
      <formula>TRUE</formula>
    </cfRule>
    <cfRule type="cellIs" dxfId="10484" priority="876" operator="equal">
      <formula>FALSE</formula>
    </cfRule>
  </conditionalFormatting>
  <conditionalFormatting sqref="DB39">
    <cfRule type="cellIs" dxfId="10483" priority="871" operator="equal">
      <formula>TRUE</formula>
    </cfRule>
    <cfRule type="cellIs" dxfId="10482" priority="872" operator="equal">
      <formula>FALSE</formula>
    </cfRule>
  </conditionalFormatting>
  <conditionalFormatting sqref="DA40">
    <cfRule type="cellIs" dxfId="10481" priority="863" operator="equal">
      <formula>TRUE</formula>
    </cfRule>
    <cfRule type="cellIs" dxfId="10480" priority="866" operator="equal">
      <formula>FALSE</formula>
    </cfRule>
  </conditionalFormatting>
  <conditionalFormatting sqref="CZ40">
    <cfRule type="cellIs" dxfId="10479" priority="864" operator="equal">
      <formula>TRUE</formula>
    </cfRule>
    <cfRule type="cellIs" dxfId="10478" priority="865" operator="equal">
      <formula>FALSE</formula>
    </cfRule>
  </conditionalFormatting>
  <conditionalFormatting sqref="DB40">
    <cfRule type="cellIs" dxfId="10477" priority="860" operator="equal">
      <formula>TRUE</formula>
    </cfRule>
    <cfRule type="cellIs" dxfId="10476" priority="861" operator="equal">
      <formula>FALSE</formula>
    </cfRule>
  </conditionalFormatting>
  <conditionalFormatting sqref="DA41">
    <cfRule type="cellIs" dxfId="10475" priority="852" operator="equal">
      <formula>TRUE</formula>
    </cfRule>
    <cfRule type="cellIs" dxfId="10474" priority="855" operator="equal">
      <formula>FALSE</formula>
    </cfRule>
  </conditionalFormatting>
  <conditionalFormatting sqref="CZ41">
    <cfRule type="cellIs" dxfId="10473" priority="853" operator="equal">
      <formula>TRUE</formula>
    </cfRule>
    <cfRule type="cellIs" dxfId="10472" priority="854" operator="equal">
      <formula>FALSE</formula>
    </cfRule>
  </conditionalFormatting>
  <conditionalFormatting sqref="DB41">
    <cfRule type="cellIs" dxfId="10471" priority="849" operator="equal">
      <formula>TRUE</formula>
    </cfRule>
    <cfRule type="cellIs" dxfId="10470" priority="850" operator="equal">
      <formula>FALSE</formula>
    </cfRule>
  </conditionalFormatting>
  <conditionalFormatting sqref="DA42">
    <cfRule type="cellIs" dxfId="10469" priority="841" operator="equal">
      <formula>TRUE</formula>
    </cfRule>
    <cfRule type="cellIs" dxfId="10468" priority="844" operator="equal">
      <formula>FALSE</formula>
    </cfRule>
  </conditionalFormatting>
  <conditionalFormatting sqref="CZ42">
    <cfRule type="cellIs" dxfId="10467" priority="842" operator="equal">
      <formula>TRUE</formula>
    </cfRule>
    <cfRule type="cellIs" dxfId="10466" priority="843" operator="equal">
      <formula>FALSE</formula>
    </cfRule>
  </conditionalFormatting>
  <conditionalFormatting sqref="DB42">
    <cfRule type="cellIs" dxfId="10465" priority="838" operator="equal">
      <formula>TRUE</formula>
    </cfRule>
    <cfRule type="cellIs" dxfId="10464" priority="839" operator="equal">
      <formula>FALSE</formula>
    </cfRule>
  </conditionalFormatting>
  <conditionalFormatting sqref="DA43">
    <cfRule type="cellIs" dxfId="10463" priority="830" operator="equal">
      <formula>TRUE</formula>
    </cfRule>
    <cfRule type="cellIs" dxfId="10462" priority="833" operator="equal">
      <formula>FALSE</formula>
    </cfRule>
  </conditionalFormatting>
  <conditionalFormatting sqref="CZ43">
    <cfRule type="cellIs" dxfId="10461" priority="831" operator="equal">
      <formula>TRUE</formula>
    </cfRule>
    <cfRule type="cellIs" dxfId="10460" priority="832" operator="equal">
      <formula>FALSE</formula>
    </cfRule>
  </conditionalFormatting>
  <conditionalFormatting sqref="DB43">
    <cfRule type="cellIs" dxfId="10459" priority="827" operator="equal">
      <formula>TRUE</formula>
    </cfRule>
    <cfRule type="cellIs" dxfId="10458" priority="828" operator="equal">
      <formula>FALSE</formula>
    </cfRule>
  </conditionalFormatting>
  <conditionalFormatting sqref="DA44">
    <cfRule type="cellIs" dxfId="10457" priority="819" operator="equal">
      <formula>TRUE</formula>
    </cfRule>
    <cfRule type="cellIs" dxfId="10456" priority="822" operator="equal">
      <formula>FALSE</formula>
    </cfRule>
  </conditionalFormatting>
  <conditionalFormatting sqref="CZ44">
    <cfRule type="cellIs" dxfId="10455" priority="820" operator="equal">
      <formula>TRUE</formula>
    </cfRule>
    <cfRule type="cellIs" dxfId="10454" priority="821" operator="equal">
      <formula>FALSE</formula>
    </cfRule>
  </conditionalFormatting>
  <conditionalFormatting sqref="DB44">
    <cfRule type="cellIs" dxfId="10453" priority="816" operator="equal">
      <formula>TRUE</formula>
    </cfRule>
    <cfRule type="cellIs" dxfId="10452" priority="817" operator="equal">
      <formula>FALSE</formula>
    </cfRule>
  </conditionalFormatting>
  <conditionalFormatting sqref="DA45">
    <cfRule type="cellIs" dxfId="10451" priority="808" operator="equal">
      <formula>TRUE</formula>
    </cfRule>
    <cfRule type="cellIs" dxfId="10450" priority="811" operator="equal">
      <formula>FALSE</formula>
    </cfRule>
  </conditionalFormatting>
  <conditionalFormatting sqref="CZ45">
    <cfRule type="cellIs" dxfId="10449" priority="809" operator="equal">
      <formula>TRUE</formula>
    </cfRule>
    <cfRule type="cellIs" dxfId="10448" priority="810" operator="equal">
      <formula>FALSE</formula>
    </cfRule>
  </conditionalFormatting>
  <conditionalFormatting sqref="DB45">
    <cfRule type="cellIs" dxfId="10447" priority="805" operator="equal">
      <formula>TRUE</formula>
    </cfRule>
    <cfRule type="cellIs" dxfId="10446" priority="806" operator="equal">
      <formula>FALSE</formula>
    </cfRule>
  </conditionalFormatting>
  <conditionalFormatting sqref="DA46">
    <cfRule type="cellIs" dxfId="10445" priority="797" operator="equal">
      <formula>TRUE</formula>
    </cfRule>
    <cfRule type="cellIs" dxfId="10444" priority="800" operator="equal">
      <formula>FALSE</formula>
    </cfRule>
  </conditionalFormatting>
  <conditionalFormatting sqref="CZ46">
    <cfRule type="cellIs" dxfId="10443" priority="798" operator="equal">
      <formula>TRUE</formula>
    </cfRule>
    <cfRule type="cellIs" dxfId="10442" priority="799" operator="equal">
      <formula>FALSE</formula>
    </cfRule>
  </conditionalFormatting>
  <conditionalFormatting sqref="DB46">
    <cfRule type="cellIs" dxfId="10441" priority="794" operator="equal">
      <formula>TRUE</formula>
    </cfRule>
    <cfRule type="cellIs" dxfId="10440" priority="795" operator="equal">
      <formula>FALSE</formula>
    </cfRule>
  </conditionalFormatting>
  <conditionalFormatting sqref="DA47">
    <cfRule type="cellIs" dxfId="10439" priority="786" operator="equal">
      <formula>TRUE</formula>
    </cfRule>
    <cfRule type="cellIs" dxfId="10438" priority="789" operator="equal">
      <formula>FALSE</formula>
    </cfRule>
  </conditionalFormatting>
  <conditionalFormatting sqref="CZ47">
    <cfRule type="cellIs" dxfId="10437" priority="787" operator="equal">
      <formula>TRUE</formula>
    </cfRule>
    <cfRule type="cellIs" dxfId="10436" priority="788" operator="equal">
      <formula>FALSE</formula>
    </cfRule>
  </conditionalFormatting>
  <conditionalFormatting sqref="DB47">
    <cfRule type="cellIs" dxfId="10435" priority="783" operator="equal">
      <formula>TRUE</formula>
    </cfRule>
    <cfRule type="cellIs" dxfId="10434" priority="784" operator="equal">
      <formula>FALSE</formula>
    </cfRule>
  </conditionalFormatting>
  <conditionalFormatting sqref="DA48">
    <cfRule type="cellIs" dxfId="10433" priority="775" operator="equal">
      <formula>TRUE</formula>
    </cfRule>
    <cfRule type="cellIs" dxfId="10432" priority="778" operator="equal">
      <formula>FALSE</formula>
    </cfRule>
  </conditionalFormatting>
  <conditionalFormatting sqref="CZ48">
    <cfRule type="cellIs" dxfId="10431" priority="776" operator="equal">
      <formula>TRUE</formula>
    </cfRule>
    <cfRule type="cellIs" dxfId="10430" priority="777" operator="equal">
      <formula>FALSE</formula>
    </cfRule>
  </conditionalFormatting>
  <conditionalFormatting sqref="DB48">
    <cfRule type="cellIs" dxfId="10429" priority="772" operator="equal">
      <formula>TRUE</formula>
    </cfRule>
    <cfRule type="cellIs" dxfId="10428" priority="773" operator="equal">
      <formula>FALSE</formula>
    </cfRule>
  </conditionalFormatting>
  <conditionalFormatting sqref="DA49">
    <cfRule type="cellIs" dxfId="10427" priority="764" operator="equal">
      <formula>TRUE</formula>
    </cfRule>
    <cfRule type="cellIs" dxfId="10426" priority="767" operator="equal">
      <formula>FALSE</formula>
    </cfRule>
  </conditionalFormatting>
  <conditionalFormatting sqref="CZ49">
    <cfRule type="cellIs" dxfId="10425" priority="765" operator="equal">
      <formula>TRUE</formula>
    </cfRule>
    <cfRule type="cellIs" dxfId="10424" priority="766" operator="equal">
      <formula>FALSE</formula>
    </cfRule>
  </conditionalFormatting>
  <conditionalFormatting sqref="DB49">
    <cfRule type="cellIs" dxfId="10423" priority="761" operator="equal">
      <formula>TRUE</formula>
    </cfRule>
    <cfRule type="cellIs" dxfId="10422" priority="762" operator="equal">
      <formula>FALSE</formula>
    </cfRule>
  </conditionalFormatting>
  <conditionalFormatting sqref="DA50">
    <cfRule type="cellIs" dxfId="10421" priority="753" operator="equal">
      <formula>TRUE</formula>
    </cfRule>
    <cfRule type="cellIs" dxfId="10420" priority="756" operator="equal">
      <formula>FALSE</formula>
    </cfRule>
  </conditionalFormatting>
  <conditionalFormatting sqref="CZ50">
    <cfRule type="cellIs" dxfId="10419" priority="754" operator="equal">
      <formula>TRUE</formula>
    </cfRule>
    <cfRule type="cellIs" dxfId="10418" priority="755" operator="equal">
      <formula>FALSE</formula>
    </cfRule>
  </conditionalFormatting>
  <conditionalFormatting sqref="DB50">
    <cfRule type="cellIs" dxfId="10417" priority="750" operator="equal">
      <formula>TRUE</formula>
    </cfRule>
    <cfRule type="cellIs" dxfId="10416" priority="751" operator="equal">
      <formula>FALSE</formula>
    </cfRule>
  </conditionalFormatting>
  <conditionalFormatting sqref="DA51">
    <cfRule type="cellIs" dxfId="10415" priority="742" operator="equal">
      <formula>TRUE</formula>
    </cfRule>
    <cfRule type="cellIs" dxfId="10414" priority="745" operator="equal">
      <formula>FALSE</formula>
    </cfRule>
  </conditionalFormatting>
  <conditionalFormatting sqref="CZ51">
    <cfRule type="cellIs" dxfId="10413" priority="743" operator="equal">
      <formula>TRUE</formula>
    </cfRule>
    <cfRule type="cellIs" dxfId="10412" priority="744" operator="equal">
      <formula>FALSE</formula>
    </cfRule>
  </conditionalFormatting>
  <conditionalFormatting sqref="DB51">
    <cfRule type="cellIs" dxfId="10411" priority="739" operator="equal">
      <formula>TRUE</formula>
    </cfRule>
    <cfRule type="cellIs" dxfId="10410" priority="740" operator="equal">
      <formula>FALSE</formula>
    </cfRule>
  </conditionalFormatting>
  <conditionalFormatting sqref="DA52">
    <cfRule type="cellIs" dxfId="10409" priority="731" operator="equal">
      <formula>TRUE</formula>
    </cfRule>
    <cfRule type="cellIs" dxfId="10408" priority="734" operator="equal">
      <formula>FALSE</formula>
    </cfRule>
  </conditionalFormatting>
  <conditionalFormatting sqref="CZ52">
    <cfRule type="cellIs" dxfId="10407" priority="732" operator="equal">
      <formula>TRUE</formula>
    </cfRule>
    <cfRule type="cellIs" dxfId="10406" priority="733" operator="equal">
      <formula>FALSE</formula>
    </cfRule>
  </conditionalFormatting>
  <conditionalFormatting sqref="DB52">
    <cfRule type="cellIs" dxfId="10405" priority="728" operator="equal">
      <formula>TRUE</formula>
    </cfRule>
    <cfRule type="cellIs" dxfId="10404" priority="729" operator="equal">
      <formula>FALSE</formula>
    </cfRule>
  </conditionalFormatting>
  <conditionalFormatting sqref="DA53">
    <cfRule type="cellIs" dxfId="10403" priority="720" operator="equal">
      <formula>TRUE</formula>
    </cfRule>
    <cfRule type="cellIs" dxfId="10402" priority="723" operator="equal">
      <formula>FALSE</formula>
    </cfRule>
  </conditionalFormatting>
  <conditionalFormatting sqref="CZ53">
    <cfRule type="cellIs" dxfId="10401" priority="721" operator="equal">
      <formula>TRUE</formula>
    </cfRule>
    <cfRule type="cellIs" dxfId="10400" priority="722" operator="equal">
      <formula>FALSE</formula>
    </cfRule>
  </conditionalFormatting>
  <conditionalFormatting sqref="DB53">
    <cfRule type="cellIs" dxfId="10399" priority="717" operator="equal">
      <formula>TRUE</formula>
    </cfRule>
    <cfRule type="cellIs" dxfId="10398" priority="718" operator="equal">
      <formula>FALSE</formula>
    </cfRule>
  </conditionalFormatting>
  <conditionalFormatting sqref="DA54">
    <cfRule type="cellIs" dxfId="10397" priority="709" operator="equal">
      <formula>TRUE</formula>
    </cfRule>
    <cfRule type="cellIs" dxfId="10396" priority="712" operator="equal">
      <formula>FALSE</formula>
    </cfRule>
  </conditionalFormatting>
  <conditionalFormatting sqref="CZ54">
    <cfRule type="cellIs" dxfId="10395" priority="710" operator="equal">
      <formula>TRUE</formula>
    </cfRule>
    <cfRule type="cellIs" dxfId="10394" priority="711" operator="equal">
      <formula>FALSE</formula>
    </cfRule>
  </conditionalFormatting>
  <conditionalFormatting sqref="DB54">
    <cfRule type="cellIs" dxfId="10393" priority="706" operator="equal">
      <formula>TRUE</formula>
    </cfRule>
    <cfRule type="cellIs" dxfId="10392" priority="707" operator="equal">
      <formula>FALSE</formula>
    </cfRule>
  </conditionalFormatting>
  <conditionalFormatting sqref="DA55">
    <cfRule type="cellIs" dxfId="10391" priority="698" operator="equal">
      <formula>TRUE</formula>
    </cfRule>
    <cfRule type="cellIs" dxfId="10390" priority="701" operator="equal">
      <formula>FALSE</formula>
    </cfRule>
  </conditionalFormatting>
  <conditionalFormatting sqref="CZ55">
    <cfRule type="cellIs" dxfId="10389" priority="699" operator="equal">
      <formula>TRUE</formula>
    </cfRule>
    <cfRule type="cellIs" dxfId="10388" priority="700" operator="equal">
      <formula>FALSE</formula>
    </cfRule>
  </conditionalFormatting>
  <conditionalFormatting sqref="DB55">
    <cfRule type="cellIs" dxfId="10387" priority="695" operator="equal">
      <formula>TRUE</formula>
    </cfRule>
    <cfRule type="cellIs" dxfId="10386" priority="696" operator="equal">
      <formula>FALSE</formula>
    </cfRule>
  </conditionalFormatting>
  <conditionalFormatting sqref="DA56">
    <cfRule type="cellIs" dxfId="10385" priority="687" operator="equal">
      <formula>TRUE</formula>
    </cfRule>
    <cfRule type="cellIs" dxfId="10384" priority="690" operator="equal">
      <formula>FALSE</formula>
    </cfRule>
  </conditionalFormatting>
  <conditionalFormatting sqref="CZ56">
    <cfRule type="cellIs" dxfId="10383" priority="688" operator="equal">
      <formula>TRUE</formula>
    </cfRule>
    <cfRule type="cellIs" dxfId="10382" priority="689" operator="equal">
      <formula>FALSE</formula>
    </cfRule>
  </conditionalFormatting>
  <conditionalFormatting sqref="DB56">
    <cfRule type="cellIs" dxfId="10381" priority="684" operator="equal">
      <formula>TRUE</formula>
    </cfRule>
    <cfRule type="cellIs" dxfId="10380" priority="685" operator="equal">
      <formula>FALSE</formula>
    </cfRule>
  </conditionalFormatting>
  <conditionalFormatting sqref="DA57">
    <cfRule type="cellIs" dxfId="10379" priority="676" operator="equal">
      <formula>TRUE</formula>
    </cfRule>
    <cfRule type="cellIs" dxfId="10378" priority="679" operator="equal">
      <formula>FALSE</formula>
    </cfRule>
  </conditionalFormatting>
  <conditionalFormatting sqref="CZ57">
    <cfRule type="cellIs" dxfId="10377" priority="677" operator="equal">
      <formula>TRUE</formula>
    </cfRule>
    <cfRule type="cellIs" dxfId="10376" priority="678" operator="equal">
      <formula>FALSE</formula>
    </cfRule>
  </conditionalFormatting>
  <conditionalFormatting sqref="DB57">
    <cfRule type="cellIs" dxfId="10375" priority="673" operator="equal">
      <formula>TRUE</formula>
    </cfRule>
    <cfRule type="cellIs" dxfId="10374" priority="674" operator="equal">
      <formula>FALSE</formula>
    </cfRule>
  </conditionalFormatting>
  <conditionalFormatting sqref="DA58">
    <cfRule type="cellIs" dxfId="10373" priority="665" operator="equal">
      <formula>TRUE</formula>
    </cfRule>
    <cfRule type="cellIs" dxfId="10372" priority="668" operator="equal">
      <formula>FALSE</formula>
    </cfRule>
  </conditionalFormatting>
  <conditionalFormatting sqref="CZ58">
    <cfRule type="cellIs" dxfId="10371" priority="666" operator="equal">
      <formula>TRUE</formula>
    </cfRule>
    <cfRule type="cellIs" dxfId="10370" priority="667" operator="equal">
      <formula>FALSE</formula>
    </cfRule>
  </conditionalFormatting>
  <conditionalFormatting sqref="DB58">
    <cfRule type="cellIs" dxfId="10369" priority="662" operator="equal">
      <formula>TRUE</formula>
    </cfRule>
    <cfRule type="cellIs" dxfId="10368" priority="663" operator="equal">
      <formula>FALSE</formula>
    </cfRule>
  </conditionalFormatting>
  <conditionalFormatting sqref="DA59">
    <cfRule type="cellIs" dxfId="10367" priority="654" operator="equal">
      <formula>TRUE</formula>
    </cfRule>
    <cfRule type="cellIs" dxfId="10366" priority="657" operator="equal">
      <formula>FALSE</formula>
    </cfRule>
  </conditionalFormatting>
  <conditionalFormatting sqref="CZ59">
    <cfRule type="cellIs" dxfId="10365" priority="655" operator="equal">
      <formula>TRUE</formula>
    </cfRule>
    <cfRule type="cellIs" dxfId="10364" priority="656" operator="equal">
      <formula>FALSE</formula>
    </cfRule>
  </conditionalFormatting>
  <conditionalFormatting sqref="DB59">
    <cfRule type="cellIs" dxfId="10363" priority="651" operator="equal">
      <formula>TRUE</formula>
    </cfRule>
    <cfRule type="cellIs" dxfId="10362" priority="652" operator="equal">
      <formula>FALSE</formula>
    </cfRule>
  </conditionalFormatting>
  <conditionalFormatting sqref="DA60">
    <cfRule type="cellIs" dxfId="10361" priority="643" operator="equal">
      <formula>TRUE</formula>
    </cfRule>
    <cfRule type="cellIs" dxfId="10360" priority="646" operator="equal">
      <formula>FALSE</formula>
    </cfRule>
  </conditionalFormatting>
  <conditionalFormatting sqref="CZ60">
    <cfRule type="cellIs" dxfId="10359" priority="644" operator="equal">
      <formula>TRUE</formula>
    </cfRule>
    <cfRule type="cellIs" dxfId="10358" priority="645" operator="equal">
      <formula>FALSE</formula>
    </cfRule>
  </conditionalFormatting>
  <conditionalFormatting sqref="DB60">
    <cfRule type="cellIs" dxfId="10357" priority="640" operator="equal">
      <formula>TRUE</formula>
    </cfRule>
    <cfRule type="cellIs" dxfId="10356" priority="641" operator="equal">
      <formula>FALSE</formula>
    </cfRule>
  </conditionalFormatting>
  <conditionalFormatting sqref="DA61">
    <cfRule type="cellIs" dxfId="10355" priority="632" operator="equal">
      <formula>TRUE</formula>
    </cfRule>
    <cfRule type="cellIs" dxfId="10354" priority="635" operator="equal">
      <formula>FALSE</formula>
    </cfRule>
  </conditionalFormatting>
  <conditionalFormatting sqref="CZ61">
    <cfRule type="cellIs" dxfId="10353" priority="633" operator="equal">
      <formula>TRUE</formula>
    </cfRule>
    <cfRule type="cellIs" dxfId="10352" priority="634" operator="equal">
      <formula>FALSE</formula>
    </cfRule>
  </conditionalFormatting>
  <conditionalFormatting sqref="DB61">
    <cfRule type="cellIs" dxfId="10351" priority="629" operator="equal">
      <formula>TRUE</formula>
    </cfRule>
    <cfRule type="cellIs" dxfId="10350" priority="630" operator="equal">
      <formula>FALSE</formula>
    </cfRule>
  </conditionalFormatting>
  <conditionalFormatting sqref="DA62">
    <cfRule type="cellIs" dxfId="10349" priority="621" operator="equal">
      <formula>TRUE</formula>
    </cfRule>
    <cfRule type="cellIs" dxfId="10348" priority="624" operator="equal">
      <formula>FALSE</formula>
    </cfRule>
  </conditionalFormatting>
  <conditionalFormatting sqref="CZ62">
    <cfRule type="cellIs" dxfId="10347" priority="622" operator="equal">
      <formula>TRUE</formula>
    </cfRule>
    <cfRule type="cellIs" dxfId="10346" priority="623" operator="equal">
      <formula>FALSE</formula>
    </cfRule>
  </conditionalFormatting>
  <conditionalFormatting sqref="DB62">
    <cfRule type="cellIs" dxfId="10345" priority="618" operator="equal">
      <formula>TRUE</formula>
    </cfRule>
    <cfRule type="cellIs" dxfId="10344" priority="619" operator="equal">
      <formula>FALSE</formula>
    </cfRule>
  </conditionalFormatting>
  <conditionalFormatting sqref="DA63">
    <cfRule type="cellIs" dxfId="10343" priority="610" operator="equal">
      <formula>TRUE</formula>
    </cfRule>
    <cfRule type="cellIs" dxfId="10342" priority="613" operator="equal">
      <formula>FALSE</formula>
    </cfRule>
  </conditionalFormatting>
  <conditionalFormatting sqref="CZ63">
    <cfRule type="cellIs" dxfId="10341" priority="611" operator="equal">
      <formula>TRUE</formula>
    </cfRule>
    <cfRule type="cellIs" dxfId="10340" priority="612" operator="equal">
      <formula>FALSE</formula>
    </cfRule>
  </conditionalFormatting>
  <conditionalFormatting sqref="DB63">
    <cfRule type="cellIs" dxfId="10339" priority="607" operator="equal">
      <formula>TRUE</formula>
    </cfRule>
    <cfRule type="cellIs" dxfId="10338" priority="608" operator="equal">
      <formula>FALSE</formula>
    </cfRule>
  </conditionalFormatting>
  <conditionalFormatting sqref="DA64">
    <cfRule type="cellIs" dxfId="10337" priority="599" operator="equal">
      <formula>TRUE</formula>
    </cfRule>
    <cfRule type="cellIs" dxfId="10336" priority="602" operator="equal">
      <formula>FALSE</formula>
    </cfRule>
  </conditionalFormatting>
  <conditionalFormatting sqref="CZ64">
    <cfRule type="cellIs" dxfId="10335" priority="600" operator="equal">
      <formula>TRUE</formula>
    </cfRule>
    <cfRule type="cellIs" dxfId="10334" priority="601" operator="equal">
      <formula>FALSE</formula>
    </cfRule>
  </conditionalFormatting>
  <conditionalFormatting sqref="DB64">
    <cfRule type="cellIs" dxfId="10333" priority="596" operator="equal">
      <formula>TRUE</formula>
    </cfRule>
    <cfRule type="cellIs" dxfId="10332" priority="597" operator="equal">
      <formula>FALSE</formula>
    </cfRule>
  </conditionalFormatting>
  <conditionalFormatting sqref="DA65">
    <cfRule type="cellIs" dxfId="10331" priority="588" operator="equal">
      <formula>TRUE</formula>
    </cfRule>
    <cfRule type="cellIs" dxfId="10330" priority="591" operator="equal">
      <formula>FALSE</formula>
    </cfRule>
  </conditionalFormatting>
  <conditionalFormatting sqref="CZ65">
    <cfRule type="cellIs" dxfId="10329" priority="589" operator="equal">
      <formula>TRUE</formula>
    </cfRule>
    <cfRule type="cellIs" dxfId="10328" priority="590" operator="equal">
      <formula>FALSE</formula>
    </cfRule>
  </conditionalFormatting>
  <conditionalFormatting sqref="DB65">
    <cfRule type="cellIs" dxfId="10327" priority="585" operator="equal">
      <formula>TRUE</formula>
    </cfRule>
    <cfRule type="cellIs" dxfId="10326" priority="586" operator="equal">
      <formula>FALSE</formula>
    </cfRule>
  </conditionalFormatting>
  <conditionalFormatting sqref="DA66">
    <cfRule type="cellIs" dxfId="10325" priority="577" operator="equal">
      <formula>TRUE</formula>
    </cfRule>
    <cfRule type="cellIs" dxfId="10324" priority="580" operator="equal">
      <formula>FALSE</formula>
    </cfRule>
  </conditionalFormatting>
  <conditionalFormatting sqref="CZ66">
    <cfRule type="cellIs" dxfId="10323" priority="578" operator="equal">
      <formula>TRUE</formula>
    </cfRule>
    <cfRule type="cellIs" dxfId="10322" priority="579" operator="equal">
      <formula>FALSE</formula>
    </cfRule>
  </conditionalFormatting>
  <conditionalFormatting sqref="DB66">
    <cfRule type="cellIs" dxfId="10321" priority="574" operator="equal">
      <formula>TRUE</formula>
    </cfRule>
    <cfRule type="cellIs" dxfId="10320" priority="575" operator="equal">
      <formula>FALSE</formula>
    </cfRule>
  </conditionalFormatting>
  <conditionalFormatting sqref="DA67">
    <cfRule type="cellIs" dxfId="10319" priority="566" operator="equal">
      <formula>TRUE</formula>
    </cfRule>
    <cfRule type="cellIs" dxfId="10318" priority="569" operator="equal">
      <formula>FALSE</formula>
    </cfRule>
  </conditionalFormatting>
  <conditionalFormatting sqref="CZ67">
    <cfRule type="cellIs" dxfId="10317" priority="567" operator="equal">
      <formula>TRUE</formula>
    </cfRule>
    <cfRule type="cellIs" dxfId="10316" priority="568" operator="equal">
      <formula>FALSE</formula>
    </cfRule>
  </conditionalFormatting>
  <conditionalFormatting sqref="DB67">
    <cfRule type="cellIs" dxfId="10315" priority="563" operator="equal">
      <formula>TRUE</formula>
    </cfRule>
    <cfRule type="cellIs" dxfId="10314" priority="564" operator="equal">
      <formula>FALSE</formula>
    </cfRule>
  </conditionalFormatting>
  <conditionalFormatting sqref="DA68">
    <cfRule type="cellIs" dxfId="10313" priority="555" operator="equal">
      <formula>TRUE</formula>
    </cfRule>
    <cfRule type="cellIs" dxfId="10312" priority="558" operator="equal">
      <formula>FALSE</formula>
    </cfRule>
  </conditionalFormatting>
  <conditionalFormatting sqref="CZ68">
    <cfRule type="cellIs" dxfId="10311" priority="556" operator="equal">
      <formula>TRUE</formula>
    </cfRule>
    <cfRule type="cellIs" dxfId="10310" priority="557" operator="equal">
      <formula>FALSE</formula>
    </cfRule>
  </conditionalFormatting>
  <conditionalFormatting sqref="DB68">
    <cfRule type="cellIs" dxfId="10309" priority="552" operator="equal">
      <formula>TRUE</formula>
    </cfRule>
    <cfRule type="cellIs" dxfId="10308" priority="553" operator="equal">
      <formula>FALSE</formula>
    </cfRule>
  </conditionalFormatting>
  <conditionalFormatting sqref="DA69">
    <cfRule type="cellIs" dxfId="10307" priority="544" operator="equal">
      <formula>TRUE</formula>
    </cfRule>
    <cfRule type="cellIs" dxfId="10306" priority="547" operator="equal">
      <formula>FALSE</formula>
    </cfRule>
  </conditionalFormatting>
  <conditionalFormatting sqref="CZ69">
    <cfRule type="cellIs" dxfId="10305" priority="545" operator="equal">
      <formula>TRUE</formula>
    </cfRule>
    <cfRule type="cellIs" dxfId="10304" priority="546" operator="equal">
      <formula>FALSE</formula>
    </cfRule>
  </conditionalFormatting>
  <conditionalFormatting sqref="DB69">
    <cfRule type="cellIs" dxfId="10303" priority="541" operator="equal">
      <formula>TRUE</formula>
    </cfRule>
    <cfRule type="cellIs" dxfId="10302" priority="542" operator="equal">
      <formula>FALSE</formula>
    </cfRule>
  </conditionalFormatting>
  <conditionalFormatting sqref="DA70">
    <cfRule type="cellIs" dxfId="10301" priority="533" operator="equal">
      <formula>TRUE</formula>
    </cfRule>
    <cfRule type="cellIs" dxfId="10300" priority="536" operator="equal">
      <formula>FALSE</formula>
    </cfRule>
  </conditionalFormatting>
  <conditionalFormatting sqref="CZ70">
    <cfRule type="cellIs" dxfId="10299" priority="534" operator="equal">
      <formula>TRUE</formula>
    </cfRule>
    <cfRule type="cellIs" dxfId="10298" priority="535" operator="equal">
      <formula>FALSE</formula>
    </cfRule>
  </conditionalFormatting>
  <conditionalFormatting sqref="DB70">
    <cfRule type="cellIs" dxfId="10297" priority="530" operator="equal">
      <formula>TRUE</formula>
    </cfRule>
    <cfRule type="cellIs" dxfId="10296" priority="531" operator="equal">
      <formula>FALSE</formula>
    </cfRule>
  </conditionalFormatting>
  <conditionalFormatting sqref="DA71">
    <cfRule type="cellIs" dxfId="10295" priority="522" operator="equal">
      <formula>TRUE</formula>
    </cfRule>
    <cfRule type="cellIs" dxfId="10294" priority="525" operator="equal">
      <formula>FALSE</formula>
    </cfRule>
  </conditionalFormatting>
  <conditionalFormatting sqref="CZ71">
    <cfRule type="cellIs" dxfId="10293" priority="523" operator="equal">
      <formula>TRUE</formula>
    </cfRule>
    <cfRule type="cellIs" dxfId="10292" priority="524" operator="equal">
      <formula>FALSE</formula>
    </cfRule>
  </conditionalFormatting>
  <conditionalFormatting sqref="DB71">
    <cfRule type="cellIs" dxfId="10291" priority="519" operator="equal">
      <formula>TRUE</formula>
    </cfRule>
    <cfRule type="cellIs" dxfId="10290" priority="520" operator="equal">
      <formula>FALSE</formula>
    </cfRule>
  </conditionalFormatting>
  <conditionalFormatting sqref="DA72">
    <cfRule type="cellIs" dxfId="10289" priority="511" operator="equal">
      <formula>TRUE</formula>
    </cfRule>
    <cfRule type="cellIs" dxfId="10288" priority="514" operator="equal">
      <formula>FALSE</formula>
    </cfRule>
  </conditionalFormatting>
  <conditionalFormatting sqref="DB72">
    <cfRule type="cellIs" dxfId="10287" priority="508" operator="equal">
      <formula>TRUE</formula>
    </cfRule>
    <cfRule type="cellIs" dxfId="10286" priority="509" operator="equal">
      <formula>FALSE</formula>
    </cfRule>
  </conditionalFormatting>
  <conditionalFormatting sqref="DA73">
    <cfRule type="cellIs" dxfId="10285" priority="500" operator="equal">
      <formula>TRUE</formula>
    </cfRule>
    <cfRule type="cellIs" dxfId="10284" priority="503" operator="equal">
      <formula>FALSE</formula>
    </cfRule>
  </conditionalFormatting>
  <conditionalFormatting sqref="CZ73">
    <cfRule type="cellIs" dxfId="10283" priority="501" operator="equal">
      <formula>TRUE</formula>
    </cfRule>
    <cfRule type="cellIs" dxfId="10282" priority="502" operator="equal">
      <formula>FALSE</formula>
    </cfRule>
  </conditionalFormatting>
  <conditionalFormatting sqref="DB73">
    <cfRule type="cellIs" dxfId="10281" priority="497" operator="equal">
      <formula>TRUE</formula>
    </cfRule>
    <cfRule type="cellIs" dxfId="10280" priority="498" operator="equal">
      <formula>FALSE</formula>
    </cfRule>
  </conditionalFormatting>
  <conditionalFormatting sqref="DA74">
    <cfRule type="cellIs" dxfId="10279" priority="489" operator="equal">
      <formula>TRUE</formula>
    </cfRule>
    <cfRule type="cellIs" dxfId="10278" priority="492" operator="equal">
      <formula>FALSE</formula>
    </cfRule>
  </conditionalFormatting>
  <conditionalFormatting sqref="CZ74">
    <cfRule type="cellIs" dxfId="10277" priority="490" operator="equal">
      <formula>TRUE</formula>
    </cfRule>
    <cfRule type="cellIs" dxfId="10276" priority="491" operator="equal">
      <formula>FALSE</formula>
    </cfRule>
  </conditionalFormatting>
  <conditionalFormatting sqref="DB75">
    <cfRule type="cellIs" dxfId="10275" priority="475" operator="equal">
      <formula>TRUE</formula>
    </cfRule>
    <cfRule type="cellIs" dxfId="10274" priority="476" operator="equal">
      <formula>FALSE</formula>
    </cfRule>
  </conditionalFormatting>
  <conditionalFormatting sqref="CJ258:CM258">
    <cfRule type="expression" dxfId="10273" priority="452">
      <formula>$DB254=FALSE</formula>
    </cfRule>
  </conditionalFormatting>
  <conditionalFormatting sqref="CN258">
    <cfRule type="cellIs" dxfId="10272" priority="461" operator="equal">
      <formula>"YES"</formula>
    </cfRule>
    <cfRule type="cellIs" dxfId="10271" priority="462" operator="equal">
      <formula>"NO"</formula>
    </cfRule>
  </conditionalFormatting>
  <conditionalFormatting sqref="BX258:CM258">
    <cfRule type="notContainsBlanks" dxfId="10270" priority="460">
      <formula>LEN(TRIM(BX258))&gt;0</formula>
    </cfRule>
  </conditionalFormatting>
  <conditionalFormatting sqref="DA254">
    <cfRule type="cellIs" dxfId="10269" priority="456" operator="equal">
      <formula>TRUE</formula>
    </cfRule>
    <cfRule type="cellIs" dxfId="10268" priority="459" operator="equal">
      <formula>FALSE</formula>
    </cfRule>
  </conditionalFormatting>
  <conditionalFormatting sqref="CZ254">
    <cfRule type="cellIs" dxfId="10267" priority="457" operator="equal">
      <formula>TRUE</formula>
    </cfRule>
    <cfRule type="cellIs" dxfId="10266" priority="458" operator="equal">
      <formula>FALSE</formula>
    </cfRule>
  </conditionalFormatting>
  <conditionalFormatting sqref="CF258:CI258">
    <cfRule type="expression" dxfId="10265" priority="455">
      <formula>$DA254=FALSE</formula>
    </cfRule>
  </conditionalFormatting>
  <conditionalFormatting sqref="DB254">
    <cfRule type="cellIs" dxfId="10264" priority="453" operator="equal">
      <formula>TRUE</formula>
    </cfRule>
    <cfRule type="cellIs" dxfId="10263" priority="454" operator="equal">
      <formula>FALSE</formula>
    </cfRule>
  </conditionalFormatting>
  <conditionalFormatting sqref="EV27:EV76">
    <cfRule type="cellIs" dxfId="10262" priority="421" operator="equal">
      <formula>"YES"</formula>
    </cfRule>
    <cfRule type="cellIs" dxfId="10261" priority="422" operator="equal">
      <formula>"NO"</formula>
    </cfRule>
  </conditionalFormatting>
  <conditionalFormatting sqref="DX254:EK255 DX256:EU256">
    <cfRule type="notContainsBlanks" dxfId="10260" priority="275">
      <formula>LEN(TRIM(DX254))&gt;0</formula>
    </cfRule>
  </conditionalFormatting>
  <conditionalFormatting sqref="EP254:EU254">
    <cfRule type="notContainsBlanks" dxfId="10259" priority="272">
      <formula>LEN(TRIM(EP254))&gt;0</formula>
    </cfRule>
  </conditionalFormatting>
  <conditionalFormatting sqref="EV256">
    <cfRule type="cellIs" dxfId="10258" priority="276" operator="equal">
      <formula>"YES"</formula>
    </cfRule>
    <cfRule type="cellIs" dxfId="10257" priority="277" operator="equal">
      <formula>"NO"</formula>
    </cfRule>
  </conditionalFormatting>
  <conditionalFormatting sqref="EP255:EU255">
    <cfRule type="notContainsBlanks" dxfId="10256" priority="274">
      <formula>LEN(TRIM(EP255))&gt;0</formula>
    </cfRule>
  </conditionalFormatting>
  <conditionalFormatting sqref="EL255:EO255">
    <cfRule type="notContainsBlanks" dxfId="10255" priority="273">
      <formula>LEN(TRIM(EL255))&gt;0</formula>
    </cfRule>
  </conditionalFormatting>
  <conditionalFormatting sqref="EL254:EO254">
    <cfRule type="notContainsBlanks" dxfId="10254" priority="271">
      <formula>LEN(TRIM(EL254))&gt;0</formula>
    </cfRule>
  </conditionalFormatting>
  <conditionalFormatting sqref="EV255">
    <cfRule type="cellIs" dxfId="10253" priority="269" operator="equal">
      <formula>"YES"</formula>
    </cfRule>
    <cfRule type="cellIs" dxfId="10252" priority="270" operator="equal">
      <formula>"NO"</formula>
    </cfRule>
  </conditionalFormatting>
  <conditionalFormatting sqref="EV254">
    <cfRule type="cellIs" dxfId="10251" priority="267" operator="equal">
      <formula>"YES"</formula>
    </cfRule>
    <cfRule type="cellIs" dxfId="10250" priority="268" operator="equal">
      <formula>"NO"</formula>
    </cfRule>
  </conditionalFormatting>
  <conditionalFormatting sqref="BX29:CA29">
    <cfRule type="notContainsBlanks" dxfId="10249" priority="151">
      <formula>LEN(TRIM(BX29))&gt;0</formula>
    </cfRule>
  </conditionalFormatting>
  <conditionalFormatting sqref="BX27:CA27">
    <cfRule type="notContainsBlanks" dxfId="10248" priority="144">
      <formula>LEN(TRIM(BX27))&gt;0</formula>
    </cfRule>
  </conditionalFormatting>
  <conditionalFormatting sqref="BX28:CA28">
    <cfRule type="notContainsBlanks" dxfId="10247" priority="138">
      <formula>LEN(TRIM(BX28))&gt;0</formula>
    </cfRule>
  </conditionalFormatting>
  <conditionalFormatting sqref="BX30:CA30">
    <cfRule type="notContainsBlanks" dxfId="10246" priority="132">
      <formula>LEN(TRIM(BX30))&gt;0</formula>
    </cfRule>
  </conditionalFormatting>
  <conditionalFormatting sqref="BX31:CA31">
    <cfRule type="notContainsBlanks" dxfId="10245" priority="126">
      <formula>LEN(TRIM(BX31))&gt;0</formula>
    </cfRule>
  </conditionalFormatting>
  <conditionalFormatting sqref="BX32:CA76">
    <cfRule type="notContainsBlanks" dxfId="10244" priority="120">
      <formula>LEN(TRIM(BX32))&gt;0</formula>
    </cfRule>
  </conditionalFormatting>
  <conditionalFormatting sqref="CB27:CM27">
    <cfRule type="expression" dxfId="10243" priority="110">
      <formula>$BX27=""</formula>
    </cfRule>
    <cfRule type="notContainsBlanks" dxfId="10242" priority="113">
      <formula>LEN(TRIM(CB27))&gt;0</formula>
    </cfRule>
  </conditionalFormatting>
  <conditionalFormatting sqref="CF27:CI27">
    <cfRule type="expression" dxfId="10241" priority="112">
      <formula>$DA27=FALSE</formula>
    </cfRule>
  </conditionalFormatting>
  <conditionalFormatting sqref="CJ27:CM27">
    <cfRule type="expression" dxfId="10240" priority="111">
      <formula>$DB27=FALSE</formula>
    </cfRule>
  </conditionalFormatting>
  <conditionalFormatting sqref="CB28:CM28">
    <cfRule type="expression" dxfId="10239" priority="106">
      <formula>$BX28=""</formula>
    </cfRule>
    <cfRule type="notContainsBlanks" dxfId="10238" priority="109">
      <formula>LEN(TRIM(CB28))&gt;0</formula>
    </cfRule>
  </conditionalFormatting>
  <conditionalFormatting sqref="CF28:CI28">
    <cfRule type="expression" dxfId="10237" priority="108">
      <formula>$DA28=FALSE</formula>
    </cfRule>
  </conditionalFormatting>
  <conditionalFormatting sqref="CJ28:CM28">
    <cfRule type="expression" dxfId="10236" priority="107">
      <formula>$DB28=FALSE</formula>
    </cfRule>
  </conditionalFormatting>
  <conditionalFormatting sqref="CB29:CM76">
    <cfRule type="expression" dxfId="10235" priority="102">
      <formula>$BX29=""</formula>
    </cfRule>
    <cfRule type="notContainsBlanks" dxfId="10234" priority="105">
      <formula>LEN(TRIM(CB29))&gt;0</formula>
    </cfRule>
  </conditionalFormatting>
  <conditionalFormatting sqref="CF29:CI76">
    <cfRule type="expression" dxfId="10233" priority="104">
      <formula>$DA29=FALSE</formula>
    </cfRule>
  </conditionalFormatting>
  <conditionalFormatting sqref="CJ29:CM76">
    <cfRule type="expression" dxfId="10232" priority="103">
      <formula>$DB29=FALSE</formula>
    </cfRule>
  </conditionalFormatting>
  <conditionalFormatting sqref="E77:M78">
    <cfRule type="containsBlanks" dxfId="10231" priority="101">
      <formula>LEN(TRIM(E77))=0</formula>
    </cfRule>
  </conditionalFormatting>
  <conditionalFormatting sqref="DX30:EA30">
    <cfRule type="containsBlanks" dxfId="10230" priority="91">
      <formula>LEN(TRIM(DX30))=0</formula>
    </cfRule>
  </conditionalFormatting>
  <conditionalFormatting sqref="EF30:EG30">
    <cfRule type="expression" dxfId="10229" priority="90">
      <formula>AND($DX30&lt;&gt;"",$EF30="")</formula>
    </cfRule>
  </conditionalFormatting>
  <conditionalFormatting sqref="EH30:EK30">
    <cfRule type="expression" dxfId="10228" priority="89">
      <formula>AND($DX30&lt;&gt;"",$EH30="")</formula>
    </cfRule>
  </conditionalFormatting>
  <conditionalFormatting sqref="EL30:EO30">
    <cfRule type="expression" dxfId="10227" priority="88">
      <formula>AND($DX30&lt;&gt;"",$EL30="")</formula>
    </cfRule>
  </conditionalFormatting>
  <conditionalFormatting sqref="DX29:EA29">
    <cfRule type="containsBlanks" dxfId="10226" priority="85">
      <formula>LEN(TRIM(DX29))=0</formula>
    </cfRule>
  </conditionalFormatting>
  <conditionalFormatting sqref="EF29:EG29">
    <cfRule type="expression" dxfId="10225" priority="84">
      <formula>AND($DX29&lt;&gt;"",$EF29="")</formula>
    </cfRule>
  </conditionalFormatting>
  <conditionalFormatting sqref="DX27:EA27">
    <cfRule type="containsBlanks" dxfId="10224" priority="79">
      <formula>LEN(TRIM(DX27))=0</formula>
    </cfRule>
  </conditionalFormatting>
  <conditionalFormatting sqref="EF27:EG27">
    <cfRule type="expression" dxfId="10223" priority="78">
      <formula>AND($DX27&lt;&gt;"",$EF27="")</formula>
    </cfRule>
  </conditionalFormatting>
  <conditionalFormatting sqref="EH27:EK28">
    <cfRule type="expression" dxfId="10222" priority="77">
      <formula>AND($DX27&lt;&gt;"",$EH27="")</formula>
    </cfRule>
  </conditionalFormatting>
  <conditionalFormatting sqref="EL27:EO27">
    <cfRule type="expression" dxfId="10221" priority="76">
      <formula>AND($DX27&lt;&gt;"",$EL27="")</formula>
    </cfRule>
  </conditionalFormatting>
  <conditionalFormatting sqref="ER27:ES76">
    <cfRule type="expression" dxfId="10220" priority="75">
      <formula>AND($DX27&lt;&gt;"",$ER27="")</formula>
    </cfRule>
  </conditionalFormatting>
  <conditionalFormatting sqref="DX28:EA28">
    <cfRule type="containsBlanks" dxfId="10219" priority="73">
      <formula>LEN(TRIM(DX28))=0</formula>
    </cfRule>
  </conditionalFormatting>
  <conditionalFormatting sqref="EF28:EG28">
    <cfRule type="expression" dxfId="10218" priority="72">
      <formula>AND($DX28&lt;&gt;"",$EF28="")</formula>
    </cfRule>
  </conditionalFormatting>
  <conditionalFormatting sqref="EL28:EO28">
    <cfRule type="expression" dxfId="10217" priority="70">
      <formula>AND($DX28&lt;&gt;"",$EL28="")</formula>
    </cfRule>
  </conditionalFormatting>
  <conditionalFormatting sqref="EP28:EQ28">
    <cfRule type="expression" dxfId="10216" priority="5">
      <formula>$FA28=TRUE</formula>
    </cfRule>
    <cfRule type="expression" dxfId="10215" priority="69">
      <formula>AND($DX28&lt;&gt;"",$EP28="")</formula>
    </cfRule>
  </conditionalFormatting>
  <conditionalFormatting sqref="DX31:EA76">
    <cfRule type="containsBlanks" dxfId="10214" priority="67">
      <formula>LEN(TRIM(DX31))=0</formula>
    </cfRule>
  </conditionalFormatting>
  <conditionalFormatting sqref="EF31:EG76">
    <cfRule type="expression" dxfId="10213" priority="66">
      <formula>AND($DX31&lt;&gt;"",$EF31="")</formula>
    </cfRule>
  </conditionalFormatting>
  <conditionalFormatting sqref="EH31:EK76">
    <cfRule type="expression" dxfId="10212" priority="65">
      <formula>AND($DX31&lt;&gt;"",$EH31="")</formula>
    </cfRule>
  </conditionalFormatting>
  <conditionalFormatting sqref="EL31:EO76">
    <cfRule type="expression" dxfId="10211" priority="64">
      <formula>AND($DX31&lt;&gt;"",$EL31="")</formula>
    </cfRule>
  </conditionalFormatting>
  <conditionalFormatting sqref="C77:D78 N31 N33:N78">
    <cfRule type="expression" dxfId="10210" priority="61">
      <formula>$E31=""</formula>
    </cfRule>
  </conditionalFormatting>
  <conditionalFormatting sqref="C31:D31">
    <cfRule type="expression" dxfId="10209" priority="60">
      <formula>$E31=""</formula>
    </cfRule>
  </conditionalFormatting>
  <conditionalFormatting sqref="Z32:AB78 P32:Q78">
    <cfRule type="expression" dxfId="10208" priority="58">
      <formula>$R32=""</formula>
    </cfRule>
  </conditionalFormatting>
  <conditionalFormatting sqref="P31:Q78">
    <cfRule type="cellIs" dxfId="10207" priority="57" operator="equal">
      <formula>0</formula>
    </cfRule>
  </conditionalFormatting>
  <conditionalFormatting sqref="BX259:CA259">
    <cfRule type="notContainsBlanks" dxfId="10206" priority="56">
      <formula>LEN(TRIM(BX259))&gt;0</formula>
    </cfRule>
  </conditionalFormatting>
  <conditionalFormatting sqref="CN259">
    <cfRule type="cellIs" dxfId="10205" priority="54" operator="equal">
      <formula>"YES"</formula>
    </cfRule>
    <cfRule type="cellIs" dxfId="10204" priority="55" operator="equal">
      <formula>"NO"</formula>
    </cfRule>
  </conditionalFormatting>
  <conditionalFormatting sqref="CB259:CM259">
    <cfRule type="expression" dxfId="10203" priority="50">
      <formula>$BX259=""</formula>
    </cfRule>
    <cfRule type="notContainsBlanks" dxfId="10202" priority="53">
      <formula>LEN(TRIM(CB259))&gt;0</formula>
    </cfRule>
  </conditionalFormatting>
  <conditionalFormatting sqref="CF259:CI259">
    <cfRule type="expression" dxfId="10201" priority="52">
      <formula>$DA255=FALSE</formula>
    </cfRule>
  </conditionalFormatting>
  <conditionalFormatting sqref="CJ259:CM259">
    <cfRule type="expression" dxfId="10200" priority="51">
      <formula>$DB255=FALSE</formula>
    </cfRule>
  </conditionalFormatting>
  <conditionalFormatting sqref="EB28:EE28">
    <cfRule type="expression" dxfId="10199" priority="48">
      <formula>AND($DX28&lt;&gt;"",$EB28="")</formula>
    </cfRule>
  </conditionalFormatting>
  <conditionalFormatting sqref="R32:Y78">
    <cfRule type="expression" dxfId="10198" priority="44">
      <formula>$R32=""</formula>
    </cfRule>
  </conditionalFormatting>
  <conditionalFormatting sqref="EB27:EE27">
    <cfRule type="expression" dxfId="10197" priority="42">
      <formula>AND($DX27&lt;&gt;"",$EB27="")</formula>
    </cfRule>
  </conditionalFormatting>
  <conditionalFormatting sqref="EB29:EE29">
    <cfRule type="expression" dxfId="10196" priority="41">
      <formula>AND($DX29&lt;&gt;"",$EB29="")</formula>
    </cfRule>
  </conditionalFormatting>
  <conditionalFormatting sqref="EB30:EE30">
    <cfRule type="expression" dxfId="10195" priority="40">
      <formula>AND($DX30&lt;&gt;"",$EB30="")</formula>
    </cfRule>
  </conditionalFormatting>
  <conditionalFormatting sqref="EB31:EE76">
    <cfRule type="expression" dxfId="10194" priority="39">
      <formula>AND($DX31&lt;&gt;"",$EB31="")</formula>
    </cfRule>
  </conditionalFormatting>
  <conditionalFormatting sqref="CR27:CS76">
    <cfRule type="expression" dxfId="10193" priority="24">
      <formula>AND($CB27="Existing TLED",$CR27="")</formula>
    </cfRule>
    <cfRule type="expression" dxfId="10192" priority="33">
      <formula>$CB27="Existing TLED"</formula>
    </cfRule>
  </conditionalFormatting>
  <conditionalFormatting sqref="EH29:EK29">
    <cfRule type="expression" dxfId="10191" priority="32">
      <formula>AND($DX29&lt;&gt;"",$EH29="")</formula>
    </cfRule>
  </conditionalFormatting>
  <conditionalFormatting sqref="EL29:EO29">
    <cfRule type="expression" dxfId="10190" priority="30">
      <formula>AND($DX29&lt;&gt;"",$EL29="")</formula>
    </cfRule>
  </conditionalFormatting>
  <conditionalFormatting sqref="CN27:CN76">
    <cfRule type="cellIs" dxfId="10189" priority="25" operator="equal">
      <formula>"YES"</formula>
    </cfRule>
    <cfRule type="cellIs" dxfId="10188" priority="26" operator="equal">
      <formula>"NO"</formula>
    </cfRule>
  </conditionalFormatting>
  <conditionalFormatting sqref="C33:D76">
    <cfRule type="expression" dxfId="10187" priority="18">
      <formula>$E33=""</formula>
    </cfRule>
  </conditionalFormatting>
  <conditionalFormatting sqref="E33:M76">
    <cfRule type="containsBlanks" dxfId="10186" priority="15">
      <formula>LEN(TRIM(E33))=0</formula>
    </cfRule>
  </conditionalFormatting>
  <conditionalFormatting sqref="N32">
    <cfRule type="expression" dxfId="10185" priority="13">
      <formula>$E32=""</formula>
    </cfRule>
  </conditionalFormatting>
  <conditionalFormatting sqref="C32:D32">
    <cfRule type="expression" dxfId="10184" priority="12">
      <formula>$E32=""</formula>
    </cfRule>
  </conditionalFormatting>
  <conditionalFormatting sqref="E32:M32">
    <cfRule type="containsBlanks" dxfId="10183" priority="11">
      <formula>LEN(TRIM(E32))=0</formula>
    </cfRule>
  </conditionalFormatting>
  <conditionalFormatting sqref="E31:M31">
    <cfRule type="containsBlanks" dxfId="10182" priority="10">
      <formula>LEN(TRIM(E31))=0</formula>
    </cfRule>
  </conditionalFormatting>
  <conditionalFormatting sqref="ER27">
    <cfRule type="expression" dxfId="10181" priority="9">
      <formula>$FA27=FALSE</formula>
    </cfRule>
  </conditionalFormatting>
  <conditionalFormatting sqref="ER28:ES76">
    <cfRule type="expression" dxfId="10180" priority="8">
      <formula>$FA28=FALSE</formula>
    </cfRule>
  </conditionalFormatting>
  <conditionalFormatting sqref="ER28:ES76">
    <cfRule type="expression" dxfId="10179" priority="7">
      <formula>$FA28=FALSE</formula>
    </cfRule>
  </conditionalFormatting>
  <conditionalFormatting sqref="EP27:EQ27">
    <cfRule type="expression" dxfId="10178" priority="3">
      <formula>$FA27=TRUE</formula>
    </cfRule>
    <cfRule type="expression" dxfId="10177" priority="4">
      <formula>AND($DX27&lt;&gt;"",$EP27="")</formula>
    </cfRule>
  </conditionalFormatting>
  <conditionalFormatting sqref="EP29:EQ76">
    <cfRule type="expression" dxfId="10176" priority="1">
      <formula>$FA29=TRUE</formula>
    </cfRule>
    <cfRule type="expression" dxfId="10175" priority="2">
      <formula>AND($DX29&lt;&gt;"",$EP29="")</formula>
    </cfRule>
  </conditionalFormatting>
  <dataValidations count="10">
    <dataValidation type="list" allowBlank="1" showInputMessage="1" showErrorMessage="1" sqref="CJ258:CM259 CJ27:CM76">
      <formula1>INDIRECT(INDEX(Lookup_Fixture_Defined_Name_Existing,MATCH(CF27,Lookup_Fixture_Existing,0)))</formula1>
    </dataValidation>
    <dataValidation type="list" allowBlank="1" showInputMessage="1" showErrorMessage="1" sqref="CF258:CI259 CF27:CI76">
      <formula1>INDIRECT(INDEX(Lookup_Fixture_Type_Defined_Name_Exist,MATCH($CB27,Lookup_Fixture_Type_Exist,0)))</formula1>
    </dataValidation>
    <dataValidation type="list" allowBlank="1" showInputMessage="1" showErrorMessage="1" sqref="CB258:CE259 CB27:CE76">
      <formula1>Lookup_Fixture_Type_Exist</formula1>
    </dataValidation>
    <dataValidation type="list" allowBlank="1" showInputMessage="1" showErrorMessage="1" sqref="BX258:CA258">
      <formula1>Lookup_Fixture_Lamp_List</formula1>
    </dataValidation>
    <dataValidation type="whole" allowBlank="1" showErrorMessage="1" errorTitle="Enter # of lamps per fixture" error="Value must be between 1 and 6." sqref="EF254:EF256">
      <formula1>1</formula1>
      <formula2>6</formula2>
    </dataValidation>
    <dataValidation type="list" allowBlank="1" showInputMessage="1" showErrorMessage="1" sqref="DY89:EG89">
      <formula1>Fixtures_Proposed_Final_List</formula1>
    </dataValidation>
    <dataValidation type="list" allowBlank="1" showInputMessage="1" showErrorMessage="1" sqref="DM27:DM76 DM254:DM255">
      <formula1>"Yes,No"</formula1>
    </dataValidation>
    <dataValidation type="whole" allowBlank="1" showErrorMessage="1" errorTitle="Enter # of lamps per fixture" error="Value must be between 1 and 6." sqref="EF27:EG76">
      <formula1>1</formula1>
      <formula2>8</formula2>
    </dataValidation>
    <dataValidation type="list" allowBlank="1" showInputMessage="1" showErrorMessage="1" sqref="DX254:EA256">
      <formula1>$R$3:$R$17</formula1>
    </dataValidation>
    <dataValidation type="list" allowBlank="1" showInputMessage="1" showErrorMessage="1" sqref="EB254:EE256">
      <formula1>$AR$3:$AR$10</formula1>
    </dataValidation>
  </dataValidations>
  <printOptions horizontalCentered="1"/>
  <pageMargins left="0.2" right="0.2" top="0.2" bottom="0.2" header="0.3" footer="0.3"/>
  <pageSetup scale="78" fitToHeight="0" orientation="landscape" r:id="rId1"/>
  <headerFooter>
    <oddFooter>&amp;CPSE Business Lighting</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Lookup!$P$3:$P$16</xm:f>
          </x14:formula1>
          <xm:sqref>BX259:CA259 BX27:CA76 DX27:EA74 DX76:EA76</xm:sqref>
        </x14:dataValidation>
        <x14:dataValidation type="list" allowBlank="1" showInputMessage="1" showErrorMessage="1">
          <x14:formula1>
            <xm:f>Lookup!$AM$3:$AM$13</xm:f>
          </x14:formula1>
          <xm:sqref>EB27:EE76</xm:sqref>
        </x14:dataValidation>
        <x14:dataValidation type="list" allowBlank="1" showInputMessage="1" showErrorMessage="1">
          <x14:formula1>
            <xm:f>Lookup!$P$3:$P$17</xm:f>
          </x14:formula1>
          <xm:sqref>DX75:EA75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92D050"/>
    <pageSetUpPr fitToPage="1"/>
  </sheetPr>
  <dimension ref="A1:IP913"/>
  <sheetViews>
    <sheetView showGridLines="0" showRowColHeaders="0" zoomScale="90" zoomScaleNormal="90" workbookViewId="0">
      <pane ySplit="18" topLeftCell="A19" activePane="bottomLeft" state="frozen"/>
      <selection pane="bottomLeft" activeCell="G40" sqref="G40:R40"/>
    </sheetView>
  </sheetViews>
  <sheetFormatPr defaultColWidth="9" defaultRowHeight="13.6"/>
  <cols>
    <col min="1" max="1" width="0.875" style="38" customWidth="1"/>
    <col min="2" max="2" width="15.875" style="38" customWidth="1"/>
    <col min="3" max="3" width="3.25" style="38" customWidth="1"/>
    <col min="4" max="4" width="0.875" style="38" customWidth="1"/>
    <col min="5" max="9" width="5.75" style="38" customWidth="1"/>
    <col min="10" max="10" width="0.875" style="38" customWidth="1"/>
    <col min="11" max="11" width="7.75" style="38" customWidth="1"/>
    <col min="12" max="12" width="5.75" style="38" customWidth="1"/>
    <col min="13" max="13" width="6" style="38" hidden="1" customWidth="1"/>
    <col min="14" max="14" width="5.75" style="38" hidden="1" customWidth="1"/>
    <col min="15" max="15" width="26.5" style="38" hidden="1" customWidth="1"/>
    <col min="16" max="17" width="4.75" style="38" customWidth="1"/>
    <col min="18" max="18" width="7.75" style="38" customWidth="1"/>
    <col min="19" max="20" width="5.75" style="38" customWidth="1"/>
    <col min="21" max="21" width="7.5" style="38" customWidth="1"/>
    <col min="22" max="24" width="8.75" style="38" customWidth="1"/>
    <col min="25" max="26" width="7.5" style="38" hidden="1" customWidth="1"/>
    <col min="27" max="30" width="8.75" style="38" customWidth="1"/>
    <col min="31" max="31" width="6.75" style="38" customWidth="1"/>
    <col min="32" max="32" width="5.75" style="38" customWidth="1"/>
    <col min="33" max="33" width="7.5" style="38" customWidth="1"/>
    <col min="34" max="34" width="6.75" style="38" customWidth="1"/>
    <col min="35" max="36" width="7.75" style="38" customWidth="1"/>
    <col min="37" max="37" width="9.75" style="38" customWidth="1"/>
    <col min="38" max="38" width="8.75" style="38" customWidth="1"/>
    <col min="39" max="39" width="9.75" style="38" customWidth="1"/>
    <col min="40" max="40" width="0.875" style="38" customWidth="1"/>
    <col min="41" max="42" width="5.75" style="38" customWidth="1"/>
    <col min="43" max="43" width="0.875" style="38" customWidth="1"/>
    <col min="44" max="44" width="5.75" style="38" customWidth="1"/>
    <col min="45" max="45" width="2.5" style="38" hidden="1" customWidth="1"/>
    <col min="46" max="46" width="5.75" style="38" customWidth="1"/>
    <col min="47" max="47" width="0.875" style="38" customWidth="1"/>
    <col min="48" max="49" width="5.75" style="38" customWidth="1"/>
    <col min="50" max="50" width="12.75" style="38" customWidth="1"/>
    <col min="51" max="54" width="7.75" style="38" customWidth="1"/>
    <col min="55" max="56" width="5.5" style="38" customWidth="1"/>
    <col min="57" max="57" width="7" style="38" customWidth="1"/>
    <col min="58" max="58" width="10.75" style="38" customWidth="1"/>
    <col min="59" max="59" width="23.875" style="38" customWidth="1"/>
    <col min="60" max="64" width="10.75" style="38" customWidth="1"/>
    <col min="65" max="65" width="11.75" style="38" customWidth="1"/>
    <col min="66" max="70" width="10.75" style="38" customWidth="1"/>
    <col min="71" max="71" width="2.5" style="38" customWidth="1"/>
    <col min="72" max="78" width="10.75" style="38" customWidth="1"/>
    <col min="79" max="79" width="11.5" style="38" bestFit="1" customWidth="1"/>
    <col min="80" max="80" width="2.75" style="38" customWidth="1"/>
    <col min="81" max="83" width="10.75" style="38" customWidth="1"/>
    <col min="84" max="84" width="2.5" style="38" customWidth="1"/>
    <col min="85" max="85" width="10.75" style="38" customWidth="1"/>
    <col min="86" max="89" width="5.5" style="38" customWidth="1"/>
    <col min="90" max="90" width="7.75" style="38" hidden="1" customWidth="1"/>
    <col min="91" max="92" width="10.75" style="38" hidden="1" customWidth="1"/>
    <col min="93" max="93" width="8.75" style="38" hidden="1" customWidth="1"/>
    <col min="94" max="94" width="13.875" style="38" hidden="1" customWidth="1"/>
    <col min="95" max="96" width="5.5" style="38" hidden="1" customWidth="1"/>
    <col min="97" max="97" width="8.75" style="38" hidden="1" customWidth="1"/>
    <col min="98" max="98" width="52" style="38" hidden="1" customWidth="1"/>
    <col min="99" max="99" width="7.5" style="38" hidden="1" customWidth="1"/>
    <col min="100" max="105" width="8.75" style="38" hidden="1" customWidth="1"/>
    <col min="106" max="106" width="2.5" style="38" hidden="1" customWidth="1"/>
    <col min="107" max="107" width="8.75" style="38" hidden="1" customWidth="1"/>
    <col min="108" max="108" width="20" style="38" hidden="1" customWidth="1"/>
    <col min="109" max="109" width="7.5" style="38" hidden="1" customWidth="1"/>
    <col min="110" max="112" width="8.75" style="38" hidden="1" customWidth="1"/>
    <col min="113" max="113" width="2.5" style="38" hidden="1" customWidth="1"/>
    <col min="114" max="116" width="8.75" style="38" hidden="1" customWidth="1"/>
    <col min="117" max="117" width="2.5" style="38" hidden="1" customWidth="1"/>
    <col min="118" max="118" width="7.5" style="38" hidden="1" customWidth="1"/>
    <col min="119" max="119" width="3.875" style="38" hidden="1" customWidth="1"/>
    <col min="120" max="123" width="7.5" style="38" hidden="1" customWidth="1"/>
    <col min="124" max="124" width="2.5" style="38" hidden="1" customWidth="1"/>
    <col min="125" max="125" width="7.75" style="38" hidden="1" customWidth="1"/>
    <col min="126" max="126" width="4.125" style="38" hidden="1" customWidth="1"/>
    <col min="127" max="128" width="7.5" style="38" hidden="1" customWidth="1"/>
    <col min="129" max="129" width="2.5" style="38" hidden="1" customWidth="1"/>
    <col min="130" max="130" width="9" style="38" hidden="1" customWidth="1"/>
    <col min="131" max="131" width="7.75" style="38" hidden="1" customWidth="1"/>
    <col min="132" max="132" width="2.5" style="38" hidden="1" customWidth="1"/>
    <col min="133" max="137" width="7.75" style="38" hidden="1" customWidth="1"/>
    <col min="138" max="139" width="7.5" style="38" hidden="1" customWidth="1"/>
    <col min="140" max="140" width="7.75" style="38" hidden="1" customWidth="1"/>
    <col min="141" max="142" width="7.5" style="38" hidden="1" customWidth="1"/>
    <col min="143" max="143" width="9.125" style="38" hidden="1" customWidth="1"/>
    <col min="144" max="144" width="7.5" style="38" hidden="1" customWidth="1"/>
    <col min="145" max="145" width="7.75" style="38" hidden="1" customWidth="1"/>
    <col min="146" max="146" width="7.5" style="38" hidden="1" customWidth="1"/>
    <col min="147" max="147" width="7.75" style="38" hidden="1" customWidth="1"/>
    <col min="148" max="148" width="2.75" style="38" hidden="1" customWidth="1"/>
    <col min="149" max="149" width="9" style="38" hidden="1" customWidth="1"/>
    <col min="150" max="150" width="2.5" style="38" hidden="1" customWidth="1"/>
    <col min="151" max="152" width="21.5" style="38" hidden="1" customWidth="1"/>
    <col min="153" max="154" width="5.75" style="38" hidden="1" customWidth="1"/>
    <col min="155" max="155" width="5" style="38" hidden="1" customWidth="1"/>
    <col min="156" max="156" width="5.5" style="38" hidden="1" customWidth="1"/>
    <col min="157" max="157" width="9" style="38" hidden="1" customWidth="1"/>
    <col min="158" max="158" width="22.5" style="38" hidden="1" customWidth="1"/>
    <col min="159" max="162" width="9" style="38" hidden="1" customWidth="1"/>
    <col min="163" max="163" width="2.5" style="38" hidden="1" customWidth="1"/>
    <col min="164" max="164" width="9" style="38" hidden="1" customWidth="1"/>
    <col min="165" max="165" width="10.875" style="38" hidden="1" customWidth="1"/>
    <col min="166" max="166" width="8.125" style="38" hidden="1" customWidth="1"/>
    <col min="167" max="168" width="10.5" style="38" hidden="1" customWidth="1"/>
    <col min="169" max="169" width="10.875" style="38" hidden="1" customWidth="1"/>
    <col min="170" max="190" width="9" style="38" hidden="1" customWidth="1"/>
    <col min="191" max="232" width="6.75" style="38" hidden="1" customWidth="1"/>
    <col min="233" max="240" width="9" style="38" hidden="1" customWidth="1"/>
    <col min="241" max="241" width="8.875" style="38" hidden="1" customWidth="1"/>
    <col min="242" max="250" width="9" style="38" hidden="1" customWidth="1"/>
    <col min="251" max="251" width="9" style="38" customWidth="1"/>
    <col min="252" max="16384" width="9" style="38"/>
  </cols>
  <sheetData>
    <row r="1" spans="2:241" customFormat="1" ht="5.0999999999999996" customHeight="1">
      <c r="BE1" s="1149"/>
      <c r="BF1" s="1149"/>
      <c r="BG1" s="1149"/>
      <c r="BH1" s="1149"/>
      <c r="BI1" s="1149"/>
      <c r="BJ1" s="1149"/>
      <c r="BK1" s="1149"/>
      <c r="BL1" s="1149"/>
      <c r="BM1" s="1149"/>
      <c r="BN1" s="1149"/>
      <c r="BO1" s="1149"/>
      <c r="BP1" s="1149"/>
      <c r="BQ1" s="1149"/>
      <c r="BR1" s="1149"/>
      <c r="BS1" s="1149"/>
      <c r="BT1" s="1149"/>
      <c r="BU1" s="1149"/>
      <c r="BV1" s="1149"/>
      <c r="BW1" s="1149"/>
      <c r="BX1" s="1149"/>
      <c r="BY1" s="1149"/>
      <c r="BZ1" s="1149"/>
      <c r="CA1" s="1149"/>
      <c r="CB1" s="1149"/>
      <c r="CC1" s="1149"/>
      <c r="CD1" s="1149"/>
      <c r="CE1" s="1149"/>
      <c r="CF1" s="1149"/>
      <c r="CG1" s="1149"/>
      <c r="FK1" s="15"/>
      <c r="FL1" s="15"/>
    </row>
    <row r="2" spans="2:241" s="3" customFormat="1" ht="14.95" customHeight="1">
      <c r="B2" s="666">
        <f>AX2</f>
        <v>0</v>
      </c>
      <c r="E2" s="547"/>
      <c r="F2" s="56"/>
      <c r="G2" s="56"/>
      <c r="H2" s="56"/>
      <c r="I2" s="56"/>
      <c r="M2" s="537"/>
      <c r="N2" s="537"/>
      <c r="O2" s="538"/>
      <c r="AX2" s="432">
        <f>T20</f>
        <v>0</v>
      </c>
      <c r="AY2" s="3" t="s">
        <v>205</v>
      </c>
      <c r="BF2" s="1532" t="s">
        <v>206</v>
      </c>
      <c r="BG2" s="1557" t="s">
        <v>207</v>
      </c>
      <c r="BH2" s="1532" t="s">
        <v>208</v>
      </c>
      <c r="BI2" s="1532" t="s">
        <v>209</v>
      </c>
      <c r="BJ2" s="1532" t="s">
        <v>210</v>
      </c>
      <c r="BK2" s="1532" t="s">
        <v>211</v>
      </c>
      <c r="BL2" s="1532" t="s">
        <v>212</v>
      </c>
      <c r="BM2" s="1532" t="s">
        <v>213</v>
      </c>
      <c r="BN2" s="1532" t="s">
        <v>214</v>
      </c>
      <c r="BO2" s="1532" t="s">
        <v>215</v>
      </c>
      <c r="BP2" s="1532" t="s">
        <v>216</v>
      </c>
      <c r="BQ2" s="1532" t="s">
        <v>217</v>
      </c>
      <c r="BR2" s="1532" t="s">
        <v>218</v>
      </c>
      <c r="BS2" s="44"/>
      <c r="BT2" s="1532" t="s">
        <v>219</v>
      </c>
      <c r="BU2" s="1532" t="s">
        <v>220</v>
      </c>
      <c r="BV2" s="1532" t="s">
        <v>221</v>
      </c>
      <c r="BW2" s="1532" t="s">
        <v>222</v>
      </c>
      <c r="BX2" s="1532" t="s">
        <v>223</v>
      </c>
      <c r="BY2" s="1560" t="s">
        <v>224</v>
      </c>
      <c r="BZ2" s="1532" t="s">
        <v>225</v>
      </c>
      <c r="CA2" s="1532" t="s">
        <v>226</v>
      </c>
      <c r="CB2" s="230"/>
      <c r="CC2" s="1532" t="s">
        <v>227</v>
      </c>
      <c r="CD2" s="1532" t="s">
        <v>228</v>
      </c>
      <c r="CE2" s="1532" t="s">
        <v>229</v>
      </c>
      <c r="CF2" s="664"/>
      <c r="CG2" s="1532" t="s">
        <v>143</v>
      </c>
      <c r="CT2" s="90" t="str">
        <f>SUBSTITUTE(ADDRESS(1,CT4,4),"1","")</f>
        <v>CT</v>
      </c>
      <c r="EF2" s="3" t="s">
        <v>230</v>
      </c>
      <c r="EG2" s="229">
        <f t="array" ref="EG2">MAX(IF(EH2:EQ2&gt;0,EH4:EQ4))</f>
        <v>0</v>
      </c>
      <c r="EH2" s="229">
        <f>ES38</f>
        <v>0</v>
      </c>
      <c r="EI2" s="229">
        <f>ES92</f>
        <v>0</v>
      </c>
      <c r="EJ2" s="229">
        <f>ES170</f>
        <v>0</v>
      </c>
      <c r="EK2" s="229">
        <f>ES248</f>
        <v>0</v>
      </c>
      <c r="EL2" s="229">
        <f>ES326</f>
        <v>0</v>
      </c>
      <c r="EM2" s="229">
        <f>ES404</f>
        <v>0</v>
      </c>
      <c r="EN2" s="229">
        <f>ES482</f>
        <v>0</v>
      </c>
      <c r="EO2" s="229">
        <f>ES560</f>
        <v>0</v>
      </c>
      <c r="EP2" s="229">
        <f>ES638</f>
        <v>0</v>
      </c>
      <c r="EQ2" s="229">
        <f>ES716</f>
        <v>0</v>
      </c>
      <c r="FG2" s="15"/>
      <c r="FN2" s="15"/>
      <c r="GD2" s="2"/>
      <c r="GE2" s="4"/>
      <c r="GF2" s="4"/>
      <c r="HW2" s="90" t="str">
        <f>SUBSTITUTE(ADDRESS(1,HW4,4),"1","")</f>
        <v>HW</v>
      </c>
    </row>
    <row r="3" spans="2:241" s="3" customFormat="1" ht="5.0999999999999996" customHeight="1">
      <c r="B3" s="44"/>
      <c r="BF3" s="1532"/>
      <c r="BG3" s="1557"/>
      <c r="BH3" s="1532"/>
      <c r="BI3" s="1532"/>
      <c r="BJ3" s="1532"/>
      <c r="BK3" s="1532"/>
      <c r="BL3" s="1532"/>
      <c r="BM3" s="1532"/>
      <c r="BN3" s="1532"/>
      <c r="BO3" s="1532"/>
      <c r="BP3" s="1532"/>
      <c r="BQ3" s="1532"/>
      <c r="BR3" s="1532"/>
      <c r="BS3" s="44"/>
      <c r="BT3" s="1532"/>
      <c r="BU3" s="1532"/>
      <c r="BV3" s="1532"/>
      <c r="BW3" s="1532"/>
      <c r="BX3" s="1532"/>
      <c r="BY3" s="1560"/>
      <c r="BZ3" s="1532"/>
      <c r="CA3" s="1532"/>
      <c r="CB3" s="230"/>
      <c r="CC3" s="1532"/>
      <c r="CD3" s="1532"/>
      <c r="CE3" s="1532"/>
      <c r="CF3" s="664"/>
      <c r="CG3" s="1532"/>
      <c r="EP3" s="229"/>
      <c r="EQ3" s="229"/>
      <c r="FG3" s="15"/>
      <c r="FN3" s="15"/>
      <c r="GD3" s="2"/>
      <c r="GE3" s="4"/>
      <c r="GF3" s="4"/>
    </row>
    <row r="4" spans="2:241" s="3" customFormat="1" ht="14.95" customHeight="1">
      <c r="B4" s="665">
        <f>AX4</f>
        <v>0</v>
      </c>
      <c r="E4"/>
      <c r="F4"/>
      <c r="G4"/>
      <c r="H4"/>
      <c r="I4"/>
      <c r="O4"/>
      <c r="AA4"/>
      <c r="AO4" s="1148"/>
      <c r="AP4" s="1148"/>
      <c r="AQ4" s="1148"/>
      <c r="AR4" s="1148"/>
      <c r="AS4" s="1148"/>
      <c r="AT4" s="1148"/>
      <c r="AX4" s="433">
        <f>K24</f>
        <v>0</v>
      </c>
      <c r="AY4" s="3" t="s">
        <v>231</v>
      </c>
      <c r="BF4" s="1532"/>
      <c r="BG4" s="1557"/>
      <c r="BH4" s="1532"/>
      <c r="BI4" s="1532"/>
      <c r="BJ4" s="1532"/>
      <c r="BK4" s="1532"/>
      <c r="BL4" s="1532"/>
      <c r="BM4" s="1532"/>
      <c r="BN4" s="1532"/>
      <c r="BO4" s="1532"/>
      <c r="BP4" s="1532"/>
      <c r="BQ4" s="1532"/>
      <c r="BR4" s="1532"/>
      <c r="BS4" s="44"/>
      <c r="BT4" s="1532"/>
      <c r="BU4" s="1532"/>
      <c r="BV4" s="1532"/>
      <c r="BW4" s="1532"/>
      <c r="BX4" s="1532"/>
      <c r="BY4" s="1560"/>
      <c r="BZ4" s="1532"/>
      <c r="CA4" s="1532"/>
      <c r="CB4" s="231"/>
      <c r="CC4" s="1532"/>
      <c r="CD4" s="1532"/>
      <c r="CE4" s="1532"/>
      <c r="CF4" s="664"/>
      <c r="CG4" s="1532"/>
      <c r="CT4" s="90">
        <f>COLUMN()</f>
        <v>98</v>
      </c>
      <c r="EF4" s="3" t="s">
        <v>183</v>
      </c>
      <c r="EG4" s="229">
        <v>47</v>
      </c>
      <c r="EH4" s="229">
        <v>90</v>
      </c>
      <c r="EI4" s="229">
        <f>ES168</f>
        <v>168</v>
      </c>
      <c r="EJ4" s="229">
        <f>ES246</f>
        <v>246</v>
      </c>
      <c r="EK4" s="229">
        <f>ES324</f>
        <v>324</v>
      </c>
      <c r="EL4" s="229">
        <f>ES402</f>
        <v>402</v>
      </c>
      <c r="EM4" s="229">
        <f>ES480</f>
        <v>480</v>
      </c>
      <c r="EN4" s="229">
        <f>ES558</f>
        <v>558</v>
      </c>
      <c r="EO4" s="229">
        <f>ES636</f>
        <v>636</v>
      </c>
      <c r="EP4" s="12">
        <f>ES714</f>
        <v>714</v>
      </c>
      <c r="EQ4" s="12">
        <f>ES792</f>
        <v>792</v>
      </c>
      <c r="FG4" s="15"/>
      <c r="FN4" s="15"/>
      <c r="GD4" s="6"/>
      <c r="GE4" s="5"/>
      <c r="GF4" s="5"/>
      <c r="HW4" s="90">
        <f>COLUMN()</f>
        <v>231</v>
      </c>
      <c r="IC4" s="591" t="s">
        <v>232</v>
      </c>
      <c r="ID4" s="591" t="s">
        <v>233</v>
      </c>
      <c r="IE4" s="591" t="s">
        <v>234</v>
      </c>
      <c r="IF4" s="591" t="s">
        <v>235</v>
      </c>
      <c r="IG4" s="592">
        <v>0.05</v>
      </c>
    </row>
    <row r="5" spans="2:241" s="3" customFormat="1" ht="5.0999999999999996" customHeight="1">
      <c r="AA5"/>
      <c r="FG5" s="15"/>
      <c r="FN5" s="15"/>
      <c r="GD5" s="6"/>
      <c r="GE5" s="5"/>
      <c r="GF5" s="5"/>
    </row>
    <row r="6" spans="2:241" s="3" customFormat="1" ht="14.95" customHeight="1">
      <c r="O6" s="504"/>
      <c r="AO6" s="1148"/>
      <c r="AP6" s="1148"/>
      <c r="AQ6" s="1148"/>
      <c r="AR6" s="1148"/>
      <c r="AS6" s="1148"/>
      <c r="AT6" s="1148"/>
      <c r="AX6" s="432">
        <f>E32</f>
        <v>0</v>
      </c>
      <c r="AY6" s="3" t="s">
        <v>236</v>
      </c>
      <c r="BF6" s="661"/>
      <c r="BG6" s="661"/>
      <c r="BH6" s="661">
        <f t="shared" ref="BH6:BP6" si="0">BH903</f>
        <v>0</v>
      </c>
      <c r="BI6" s="661">
        <f t="shared" si="0"/>
        <v>0</v>
      </c>
      <c r="BJ6" s="661">
        <f t="shared" si="0"/>
        <v>0</v>
      </c>
      <c r="BK6" s="661">
        <f t="shared" si="0"/>
        <v>0</v>
      </c>
      <c r="BL6" s="661">
        <f t="shared" si="0"/>
        <v>0</v>
      </c>
      <c r="BM6" s="661">
        <f t="shared" si="0"/>
        <v>0</v>
      </c>
      <c r="BN6" s="661">
        <f t="shared" si="0"/>
        <v>0</v>
      </c>
      <c r="BO6" s="661">
        <f t="shared" si="0"/>
        <v>0</v>
      </c>
      <c r="BP6" s="662">
        <f t="shared" si="0"/>
        <v>0</v>
      </c>
      <c r="BQ6" s="661">
        <f>BQ903</f>
        <v>0</v>
      </c>
      <c r="BR6" s="662">
        <f>BR903</f>
        <v>0</v>
      </c>
      <c r="BS6" s="2"/>
      <c r="BT6" s="661">
        <f t="shared" ref="BT6:BZ6" si="1">BT903</f>
        <v>0</v>
      </c>
      <c r="BU6" s="662">
        <f t="shared" si="1"/>
        <v>0</v>
      </c>
      <c r="BV6" s="662">
        <f t="shared" si="1"/>
        <v>0</v>
      </c>
      <c r="BW6" s="662">
        <f t="shared" si="1"/>
        <v>0</v>
      </c>
      <c r="BX6" s="662">
        <f t="shared" si="1"/>
        <v>0</v>
      </c>
      <c r="BY6" s="661">
        <f t="shared" si="1"/>
        <v>0</v>
      </c>
      <c r="BZ6" s="661">
        <f t="shared" si="1"/>
        <v>0</v>
      </c>
      <c r="CA6" s="661">
        <f>CA903</f>
        <v>0</v>
      </c>
      <c r="CB6" s="2"/>
      <c r="CC6" s="663">
        <f>CC903</f>
        <v>0</v>
      </c>
      <c r="CD6" s="663">
        <f>CD903</f>
        <v>0</v>
      </c>
      <c r="CE6" s="663">
        <f>CE903</f>
        <v>0</v>
      </c>
      <c r="CF6" s="2"/>
      <c r="CG6" s="661">
        <f>Autofund!H8</f>
        <v>0</v>
      </c>
      <c r="CM6" s="3">
        <f>Project!H26</f>
        <v>0</v>
      </c>
      <c r="FG6" s="15"/>
      <c r="FN6" s="15"/>
      <c r="FY6" s="3">
        <f>Lookup!AN6</f>
        <v>4</v>
      </c>
      <c r="FZ6" s="3" t="str">
        <f>Lookup!AM6</f>
        <v>TLED (Plug and Play)</v>
      </c>
      <c r="GD6" s="6"/>
      <c r="GE6" s="7"/>
      <c r="GF6" s="7"/>
      <c r="IB6" s="728" t="s">
        <v>237</v>
      </c>
      <c r="IC6" s="735">
        <f>SUMIFS(IB40:IB800,CR40:CR800,"Exist",CO40:CO800,IB$6)</f>
        <v>0</v>
      </c>
      <c r="ID6" s="735">
        <f>SUMIF(CN40:CN800,IB6,IC40:IC800)</f>
        <v>0</v>
      </c>
      <c r="IE6" s="736">
        <f>COUNTIF(CN40:CN800,IB6)</f>
        <v>0</v>
      </c>
      <c r="IF6" s="737">
        <f>IFERROR(ID6/IC6,0)</f>
        <v>0</v>
      </c>
      <c r="IG6" s="738" t="b">
        <f>IF(__Retrofit_TI_NC=0,TRUE,IF(IE6&gt;0,IF(IF6&gt;IG$4,TRUE,FALSE),TRUE))</f>
        <v>1</v>
      </c>
    </row>
    <row r="7" spans="2:241" s="3" customFormat="1" ht="5.0999999999999996" customHeight="1">
      <c r="L7" s="1142" t="str">
        <f>Lookup!$D$19</f>
        <v>MULTI-FAMILY LIGHTING INCENTIVE PROGRAM</v>
      </c>
      <c r="M7" s="1142"/>
      <c r="N7" s="1142"/>
      <c r="O7" s="1142"/>
      <c r="P7" s="1142"/>
      <c r="Q7" s="1142"/>
      <c r="R7" s="1142"/>
      <c r="S7" s="1142"/>
      <c r="T7" s="1142"/>
      <c r="U7" s="1142"/>
      <c r="V7" s="1142"/>
      <c r="W7" s="1142"/>
      <c r="X7" s="1142"/>
      <c r="Y7" s="1142"/>
      <c r="Z7" s="1142"/>
      <c r="AA7" s="1142"/>
      <c r="AB7" s="1142"/>
      <c r="AC7" s="1142"/>
      <c r="AD7" s="1142"/>
      <c r="AE7" s="1142"/>
      <c r="AF7" s="1142"/>
      <c r="AG7" s="1142"/>
      <c r="AH7" s="1142"/>
      <c r="AI7" s="1142"/>
      <c r="AJ7" s="1142"/>
      <c r="AK7" s="1142"/>
      <c r="AL7" s="1142"/>
      <c r="BI7" s="232"/>
      <c r="BJ7" s="232"/>
      <c r="BK7" s="232"/>
      <c r="BL7" s="232"/>
      <c r="BM7" s="232"/>
      <c r="BN7" s="232"/>
      <c r="BP7" s="234"/>
      <c r="BR7" s="234"/>
      <c r="BU7" s="234"/>
      <c r="BV7" s="234"/>
      <c r="BW7" s="234"/>
      <c r="BX7" s="234"/>
      <c r="FG7" s="15"/>
      <c r="FN7" s="15"/>
      <c r="FZ7" s="3" t="str">
        <f>Lookup!AM7</f>
        <v>TLED (Ballast ByPass)</v>
      </c>
      <c r="GD7" s="6"/>
      <c r="GE7" s="7"/>
      <c r="GF7" s="7"/>
      <c r="IF7" s="229"/>
    </row>
    <row r="8" spans="2:241" s="3" customFormat="1" ht="14.95" customHeight="1">
      <c r="L8" s="1142"/>
      <c r="M8" s="1142"/>
      <c r="N8" s="1142"/>
      <c r="O8" s="1142"/>
      <c r="P8" s="1142"/>
      <c r="Q8" s="1142"/>
      <c r="R8" s="1142"/>
      <c r="S8" s="1142"/>
      <c r="T8" s="1142"/>
      <c r="U8" s="1142"/>
      <c r="V8" s="1142"/>
      <c r="W8" s="1142"/>
      <c r="X8" s="1142"/>
      <c r="Y8" s="1142"/>
      <c r="Z8" s="1142"/>
      <c r="AA8" s="1142"/>
      <c r="AB8" s="1142"/>
      <c r="AC8" s="1142"/>
      <c r="AD8" s="1142"/>
      <c r="AE8" s="1142"/>
      <c r="AF8" s="1142"/>
      <c r="AG8" s="1142"/>
      <c r="AH8" s="1142"/>
      <c r="AI8" s="1142"/>
      <c r="AJ8" s="1142"/>
      <c r="AK8" s="1142"/>
      <c r="AL8" s="1142"/>
      <c r="AO8" s="1148"/>
      <c r="AP8" s="1148"/>
      <c r="AR8" s="1148"/>
      <c r="AS8" s="1148"/>
      <c r="AT8" s="1148"/>
      <c r="AX8" s="434">
        <f>Autofund!O8</f>
        <v>0</v>
      </c>
      <c r="AY8" s="3" t="s">
        <v>238</v>
      </c>
      <c r="BD8" s="8" t="s">
        <v>239</v>
      </c>
      <c r="BF8" s="229" t="str">
        <f>BF853</f>
        <v/>
      </c>
      <c r="BG8" s="229" t="str">
        <f t="shared" ref="BG8:CG8" si="2">BG853</f>
        <v/>
      </c>
      <c r="BH8" s="229" t="str">
        <f t="shared" si="2"/>
        <v/>
      </c>
      <c r="BI8" s="229" t="str">
        <f t="shared" si="2"/>
        <v/>
      </c>
      <c r="BJ8" s="229" t="str">
        <f t="shared" si="2"/>
        <v/>
      </c>
      <c r="BK8" s="229" t="str">
        <f t="shared" si="2"/>
        <v/>
      </c>
      <c r="BL8" s="229" t="str">
        <f t="shared" si="2"/>
        <v/>
      </c>
      <c r="BM8" s="229" t="str">
        <f t="shared" si="2"/>
        <v/>
      </c>
      <c r="BN8" s="229" t="str">
        <f t="shared" si="2"/>
        <v/>
      </c>
      <c r="BO8" s="229" t="str">
        <f t="shared" si="2"/>
        <v/>
      </c>
      <c r="BP8" s="229" t="str">
        <f t="shared" si="2"/>
        <v/>
      </c>
      <c r="BQ8" s="229" t="str">
        <f t="shared" si="2"/>
        <v/>
      </c>
      <c r="BR8" s="229" t="str">
        <f t="shared" si="2"/>
        <v/>
      </c>
      <c r="BS8" s="229" t="str">
        <f t="shared" si="2"/>
        <v/>
      </c>
      <c r="BT8" s="229" t="str">
        <f t="shared" si="2"/>
        <v/>
      </c>
      <c r="BU8" s="229" t="str">
        <f t="shared" si="2"/>
        <v/>
      </c>
      <c r="BV8" s="229" t="str">
        <f t="shared" si="2"/>
        <v/>
      </c>
      <c r="BW8" s="229" t="str">
        <f t="shared" si="2"/>
        <v/>
      </c>
      <c r="BX8" s="229" t="str">
        <f t="shared" si="2"/>
        <v/>
      </c>
      <c r="BY8" s="229" t="str">
        <f t="shared" si="2"/>
        <v/>
      </c>
      <c r="BZ8" s="229" t="str">
        <f t="shared" si="2"/>
        <v/>
      </c>
      <c r="CA8" s="229" t="str">
        <f t="shared" si="2"/>
        <v/>
      </c>
      <c r="CB8" s="229" t="str">
        <f t="shared" si="2"/>
        <v/>
      </c>
      <c r="CC8" s="229" t="str">
        <f t="shared" si="2"/>
        <v/>
      </c>
      <c r="CD8" s="229" t="str">
        <f t="shared" si="2"/>
        <v/>
      </c>
      <c r="CE8" s="229" t="str">
        <f t="shared" si="2"/>
        <v/>
      </c>
      <c r="CF8" s="229" t="str">
        <f t="shared" si="2"/>
        <v/>
      </c>
      <c r="CG8" s="229" t="str">
        <f t="shared" si="2"/>
        <v/>
      </c>
      <c r="CM8" s="3">
        <f>Project!H26</f>
        <v>0</v>
      </c>
      <c r="EF8" t="s">
        <v>240</v>
      </c>
      <c r="EJ8" s="16"/>
      <c r="EK8" s="16"/>
      <c r="EL8" s="16"/>
      <c r="EM8" s="16"/>
      <c r="EN8" s="16"/>
      <c r="EO8" s="16"/>
      <c r="ET8" s="16"/>
      <c r="EU8" s="16"/>
      <c r="EV8" s="16"/>
      <c r="EW8" s="16"/>
      <c r="EX8" s="16"/>
      <c r="EY8" s="16"/>
      <c r="EZ8" s="16"/>
      <c r="FA8" s="16"/>
      <c r="FB8" s="16"/>
      <c r="FC8" s="16"/>
      <c r="FD8" s="473"/>
      <c r="FE8" s="473"/>
      <c r="FF8" s="473"/>
      <c r="FG8" s="15"/>
      <c r="FH8" s="16"/>
      <c r="FI8" s="16"/>
      <c r="FJ8" s="16"/>
      <c r="FK8" s="16"/>
      <c r="FL8" s="16"/>
      <c r="FN8" s="15"/>
      <c r="FO8" s="16"/>
      <c r="FP8" s="16"/>
      <c r="FQ8" s="16"/>
      <c r="FR8" s="16"/>
      <c r="FS8" s="16"/>
      <c r="FT8" s="16"/>
      <c r="FU8" s="16"/>
      <c r="FY8" s="3">
        <f>Lookup!AN7</f>
        <v>5</v>
      </c>
      <c r="FZ8" s="3" t="str">
        <f>Lookup!AM7</f>
        <v>TLED (Ballast ByPass)</v>
      </c>
      <c r="GC8" s="473"/>
      <c r="GD8" s="6"/>
      <c r="GE8" s="7"/>
      <c r="GF8" s="7"/>
      <c r="GJ8" s="1492" t="s">
        <v>241</v>
      </c>
      <c r="GK8" s="1492" t="s">
        <v>183</v>
      </c>
      <c r="GL8" s="1492" t="s">
        <v>242</v>
      </c>
      <c r="GM8" s="1492" t="s">
        <v>243</v>
      </c>
      <c r="GN8" s="1492" t="s">
        <v>244</v>
      </c>
      <c r="GO8" s="1492" t="s">
        <v>245</v>
      </c>
      <c r="GP8" s="1492" t="s">
        <v>246</v>
      </c>
      <c r="GQ8" s="1492" t="s">
        <v>247</v>
      </c>
      <c r="GR8" s="1492" t="s">
        <v>248</v>
      </c>
      <c r="GS8" s="1492" t="s">
        <v>249</v>
      </c>
      <c r="GT8" s="1492" t="s">
        <v>250</v>
      </c>
      <c r="GU8" s="1492" t="s">
        <v>251</v>
      </c>
      <c r="GV8" s="1492" t="s">
        <v>158</v>
      </c>
      <c r="GW8" s="1492" t="s">
        <v>252</v>
      </c>
      <c r="GX8" s="1492" t="s">
        <v>253</v>
      </c>
      <c r="GY8" s="1492" t="s">
        <v>254</v>
      </c>
      <c r="GZ8" s="1492" t="s">
        <v>255</v>
      </c>
      <c r="HA8" s="1492" t="s">
        <v>256</v>
      </c>
      <c r="HB8" s="1492" t="s">
        <v>257</v>
      </c>
      <c r="HC8" s="1492" t="s">
        <v>258</v>
      </c>
      <c r="HD8" s="1492" t="s">
        <v>259</v>
      </c>
      <c r="HE8" s="1492" t="s">
        <v>260</v>
      </c>
      <c r="HF8" s="1492" t="s">
        <v>261</v>
      </c>
      <c r="HG8" s="1492" t="s">
        <v>262</v>
      </c>
      <c r="HH8" s="1492" t="s">
        <v>263</v>
      </c>
      <c r="HI8" s="1492" t="s">
        <v>264</v>
      </c>
      <c r="HJ8" s="1492" t="s">
        <v>265</v>
      </c>
      <c r="HK8" s="1492" t="s">
        <v>266</v>
      </c>
      <c r="HL8" s="1492" t="s">
        <v>267</v>
      </c>
      <c r="HM8" s="1492" t="s">
        <v>268</v>
      </c>
      <c r="HN8" s="1492" t="s">
        <v>224</v>
      </c>
      <c r="HO8" s="1492" t="s">
        <v>269</v>
      </c>
      <c r="HP8" s="1492" t="s">
        <v>270</v>
      </c>
      <c r="HQ8" s="1492" t="s">
        <v>271</v>
      </c>
      <c r="HR8" s="1492" t="s">
        <v>272</v>
      </c>
      <c r="HS8" s="1492" t="s">
        <v>273</v>
      </c>
      <c r="HT8" s="1492" t="s">
        <v>274</v>
      </c>
      <c r="HU8" s="1492" t="s">
        <v>275</v>
      </c>
      <c r="HV8" s="1492"/>
      <c r="HW8" s="1492" t="s">
        <v>276</v>
      </c>
      <c r="HX8" s="545"/>
      <c r="HY8" s="545"/>
      <c r="HZ8" s="545"/>
      <c r="IA8" s="545"/>
      <c r="IB8" s="728" t="s">
        <v>277</v>
      </c>
      <c r="IC8" s="735">
        <f>SUMIFS(IB40:IB800,CR40:CR800,"Exist",CO40:CO800,IB$8)</f>
        <v>0</v>
      </c>
      <c r="ID8" s="735">
        <f>SUMIF(CN40:CN800,IB8,IC40:IC800)</f>
        <v>0</v>
      </c>
      <c r="IE8" s="736">
        <f>COUNTIF(CN40:CN800,IB8)</f>
        <v>9</v>
      </c>
      <c r="IF8" s="737">
        <f>IFERROR(ID8/IC8,0)</f>
        <v>0</v>
      </c>
      <c r="IG8" s="738" t="b">
        <f>IF(__Retrofit_TI_NC=0,TRUE,IF(IE8&gt;0,IF(IF8&gt;IG$4,TRUE,FALSE),TRUE))</f>
        <v>1</v>
      </c>
    </row>
    <row r="9" spans="2:241" s="3" customFormat="1" ht="5.0999999999999996" customHeight="1">
      <c r="I9" s="473"/>
      <c r="J9" s="473"/>
      <c r="K9" s="473"/>
      <c r="L9" s="1143" t="str">
        <f>Lookup!$D$20</f>
        <v>Multi-Family Lighting 2022 STANDARD Application V2-2 - Valid through 12/31/2022</v>
      </c>
      <c r="M9" s="1143"/>
      <c r="N9" s="1143"/>
      <c r="O9" s="1143"/>
      <c r="P9" s="1143"/>
      <c r="Q9" s="1143"/>
      <c r="R9" s="1143"/>
      <c r="S9" s="1143"/>
      <c r="T9" s="1143"/>
      <c r="U9" s="1143"/>
      <c r="V9" s="1143"/>
      <c r="W9" s="1143"/>
      <c r="X9" s="1143"/>
      <c r="Y9" s="1143"/>
      <c r="Z9" s="1143"/>
      <c r="AA9" s="1143"/>
      <c r="AB9" s="1143"/>
      <c r="AC9" s="1143"/>
      <c r="AD9" s="1143"/>
      <c r="AE9" s="1143"/>
      <c r="AF9" s="1143"/>
      <c r="AG9" s="1143"/>
      <c r="AH9" s="1143"/>
      <c r="AI9" s="1143"/>
      <c r="AJ9" s="1143"/>
      <c r="AK9" s="1143"/>
      <c r="AL9" s="1143"/>
      <c r="BF9" s="229"/>
      <c r="BH9" s="229"/>
      <c r="BI9" s="233"/>
      <c r="BJ9" s="233"/>
      <c r="BK9" s="233"/>
      <c r="BL9" s="233"/>
      <c r="BM9" s="233"/>
      <c r="BN9" s="233"/>
      <c r="BO9" s="233"/>
      <c r="BP9" s="235"/>
      <c r="BQ9" s="229"/>
      <c r="BR9" s="235"/>
      <c r="BS9" s="229"/>
      <c r="BT9" s="233"/>
      <c r="BU9" s="235"/>
      <c r="BV9" s="235"/>
      <c r="BW9" s="235"/>
      <c r="BX9" s="235"/>
      <c r="BY9" s="229"/>
      <c r="BZ9" s="229"/>
      <c r="CA9" s="229"/>
      <c r="CB9" s="229"/>
      <c r="CC9" s="229"/>
      <c r="CD9" s="229"/>
      <c r="CE9" s="229"/>
      <c r="CF9" s="229"/>
      <c r="CG9" s="229"/>
      <c r="CM9" s="473"/>
      <c r="CN9" s="473"/>
      <c r="CO9" s="473"/>
      <c r="ET9" s="473"/>
      <c r="EU9" s="473"/>
      <c r="EV9" s="473"/>
      <c r="EW9" s="473"/>
      <c r="EX9" s="473"/>
      <c r="EY9" s="473"/>
      <c r="EZ9" s="473"/>
      <c r="FA9" s="473"/>
      <c r="FB9" s="473"/>
      <c r="FC9" s="473"/>
      <c r="FD9" s="473"/>
      <c r="FE9" s="473"/>
      <c r="FF9" s="473"/>
      <c r="FG9" s="15"/>
      <c r="FH9" s="473"/>
      <c r="FI9" s="473"/>
      <c r="FJ9" s="473"/>
      <c r="FN9" s="15"/>
      <c r="FO9" s="473"/>
      <c r="FP9" s="473"/>
      <c r="FQ9" s="473"/>
      <c r="FR9" s="473"/>
      <c r="FS9" s="473"/>
      <c r="FT9" s="473"/>
      <c r="FU9" s="473"/>
      <c r="FY9" s="473"/>
      <c r="GC9" s="473"/>
      <c r="GD9" s="6"/>
      <c r="GE9" s="7"/>
      <c r="GF9" s="7"/>
      <c r="GJ9" s="1492"/>
      <c r="GK9" s="1492"/>
      <c r="GL9" s="1492"/>
      <c r="GM9" s="1492"/>
      <c r="GN9" s="1492"/>
      <c r="GO9" s="1492"/>
      <c r="GP9" s="1492"/>
      <c r="GQ9" s="1492"/>
      <c r="GR9" s="1492"/>
      <c r="GS9" s="1492"/>
      <c r="GT9" s="1492"/>
      <c r="GU9" s="1492"/>
      <c r="GV9" s="1492"/>
      <c r="GW9" s="1492"/>
      <c r="GX9" s="1492"/>
      <c r="GY9" s="1492"/>
      <c r="GZ9" s="1492"/>
      <c r="HA9" s="1492"/>
      <c r="HB9" s="1492"/>
      <c r="HC9" s="1492"/>
      <c r="HD9" s="1492"/>
      <c r="HE9" s="1492"/>
      <c r="HF9" s="1492"/>
      <c r="HG9" s="1492"/>
      <c r="HH9" s="1492"/>
      <c r="HI9" s="1492"/>
      <c r="HJ9" s="1492"/>
      <c r="HK9" s="1492"/>
      <c r="HL9" s="1492"/>
      <c r="HM9" s="1492"/>
      <c r="HN9" s="1492"/>
      <c r="HO9" s="1492"/>
      <c r="HP9" s="1492"/>
      <c r="HQ9" s="1492"/>
      <c r="HR9" s="1492"/>
      <c r="HS9" s="1492"/>
      <c r="HT9" s="1492"/>
      <c r="HU9" s="1492"/>
      <c r="HV9" s="1492"/>
      <c r="HW9" s="1492"/>
      <c r="HX9" s="545"/>
      <c r="HY9" s="545"/>
      <c r="HZ9" s="545"/>
      <c r="IA9" s="545"/>
      <c r="IB9" s="545"/>
      <c r="IC9" s="545"/>
      <c r="ID9" s="545"/>
    </row>
    <row r="10" spans="2:241" s="3" customFormat="1" ht="14.95" customHeight="1">
      <c r="B10" s="1029" t="s">
        <v>2097</v>
      </c>
      <c r="L10" s="1143"/>
      <c r="M10" s="1143"/>
      <c r="N10" s="1143"/>
      <c r="O10" s="1143"/>
      <c r="P10" s="1143"/>
      <c r="Q10" s="1143"/>
      <c r="R10" s="1143"/>
      <c r="S10" s="1143"/>
      <c r="T10" s="1143"/>
      <c r="U10" s="1143"/>
      <c r="V10" s="1143"/>
      <c r="W10" s="1143"/>
      <c r="X10" s="1143"/>
      <c r="Y10" s="1143"/>
      <c r="Z10" s="1143"/>
      <c r="AA10" s="1143"/>
      <c r="AB10" s="1143"/>
      <c r="AC10" s="1143"/>
      <c r="AD10" s="1143"/>
      <c r="AE10" s="1143"/>
      <c r="AF10" s="1143"/>
      <c r="AG10" s="1143"/>
      <c r="AH10" s="1143"/>
      <c r="AI10" s="1143"/>
      <c r="AJ10" s="1143"/>
      <c r="AK10" s="1143"/>
      <c r="AL10" s="1143"/>
      <c r="AO10" s="1148"/>
      <c r="AP10" s="1148"/>
      <c r="AR10" s="1148"/>
      <c r="AS10" s="1148"/>
      <c r="AT10" s="1148"/>
      <c r="AX10" s="435">
        <f>Autofund!L8</f>
        <v>0</v>
      </c>
      <c r="AY10" s="3" t="s">
        <v>278</v>
      </c>
      <c r="BF10" s="229" t="str">
        <f>BF854</f>
        <v/>
      </c>
      <c r="BG10" s="229" t="str">
        <f t="shared" ref="BG10:CG10" si="3">BG854</f>
        <v/>
      </c>
      <c r="BH10" s="229" t="str">
        <f t="shared" si="3"/>
        <v/>
      </c>
      <c r="BI10" s="229" t="str">
        <f t="shared" si="3"/>
        <v/>
      </c>
      <c r="BJ10" s="229" t="str">
        <f t="shared" si="3"/>
        <v/>
      </c>
      <c r="BK10" s="229" t="str">
        <f t="shared" si="3"/>
        <v/>
      </c>
      <c r="BL10" s="229" t="str">
        <f t="shared" si="3"/>
        <v/>
      </c>
      <c r="BM10" s="229" t="str">
        <f t="shared" si="3"/>
        <v/>
      </c>
      <c r="BN10" s="229" t="str">
        <f t="shared" si="3"/>
        <v/>
      </c>
      <c r="BO10" s="229" t="str">
        <f t="shared" si="3"/>
        <v/>
      </c>
      <c r="BP10" s="229" t="str">
        <f t="shared" si="3"/>
        <v/>
      </c>
      <c r="BQ10" s="229" t="str">
        <f t="shared" si="3"/>
        <v/>
      </c>
      <c r="BR10" s="229" t="str">
        <f t="shared" si="3"/>
        <v/>
      </c>
      <c r="BS10" s="229" t="str">
        <f t="shared" si="3"/>
        <v/>
      </c>
      <c r="BT10" s="229" t="str">
        <f t="shared" si="3"/>
        <v/>
      </c>
      <c r="BU10" s="229" t="str">
        <f t="shared" si="3"/>
        <v/>
      </c>
      <c r="BV10" s="229" t="str">
        <f t="shared" si="3"/>
        <v/>
      </c>
      <c r="BW10" s="229" t="str">
        <f t="shared" si="3"/>
        <v/>
      </c>
      <c r="BX10" s="229" t="str">
        <f t="shared" si="3"/>
        <v/>
      </c>
      <c r="BY10" s="229" t="str">
        <f t="shared" si="3"/>
        <v/>
      </c>
      <c r="BZ10" s="229" t="str">
        <f t="shared" si="3"/>
        <v/>
      </c>
      <c r="CA10" s="229" t="str">
        <f t="shared" si="3"/>
        <v/>
      </c>
      <c r="CB10" s="229" t="str">
        <f t="shared" si="3"/>
        <v/>
      </c>
      <c r="CC10" s="229" t="str">
        <f t="shared" si="3"/>
        <v/>
      </c>
      <c r="CD10" s="229" t="str">
        <f t="shared" si="3"/>
        <v/>
      </c>
      <c r="CE10" s="229" t="str">
        <f t="shared" si="3"/>
        <v/>
      </c>
      <c r="CF10" s="229" t="str">
        <f t="shared" si="3"/>
        <v/>
      </c>
      <c r="CG10" s="229" t="str">
        <f t="shared" si="3"/>
        <v/>
      </c>
      <c r="CM10" s="3" t="b">
        <f>IF(OR(CM6&lt;&gt;0,CM8&lt;&gt;0)=TRUE,TRUE,FALSE)</f>
        <v>0</v>
      </c>
      <c r="EF10"/>
      <c r="EJ10" s="91"/>
      <c r="EK10" s="91"/>
      <c r="EL10" s="91"/>
      <c r="EM10" s="91"/>
      <c r="EN10" s="91"/>
      <c r="EO10" s="91"/>
      <c r="ET10" s="91"/>
      <c r="EU10" s="91"/>
      <c r="EV10" s="91"/>
      <c r="EW10" s="91"/>
      <c r="EX10" s="91"/>
      <c r="EY10" s="91"/>
      <c r="EZ10" s="91"/>
      <c r="FA10" s="91"/>
      <c r="FB10" s="91"/>
      <c r="FC10" s="91"/>
      <c r="FD10" s="16"/>
      <c r="FE10" s="16"/>
      <c r="FF10" s="16"/>
      <c r="FG10" s="15"/>
      <c r="FH10" s="91"/>
      <c r="FI10" s="91"/>
      <c r="FJ10" s="91"/>
      <c r="FK10" s="91"/>
      <c r="FL10" s="91"/>
      <c r="FN10" s="15"/>
      <c r="FO10" s="91"/>
      <c r="FP10" s="91"/>
      <c r="FQ10" s="91"/>
      <c r="FR10" s="91"/>
      <c r="FS10" s="91"/>
      <c r="FT10" s="91"/>
      <c r="FU10" s="91"/>
      <c r="FY10" s="3">
        <f>Lookup!AN8</f>
        <v>6</v>
      </c>
      <c r="FZ10" s="3" t="str">
        <f>Lookup!AM8</f>
        <v>TLED (External)</v>
      </c>
      <c r="GC10" s="16"/>
      <c r="GD10" s="6"/>
      <c r="GE10" s="7"/>
      <c r="GF10" s="7"/>
      <c r="GJ10" s="1492"/>
      <c r="GK10" s="1492"/>
      <c r="GL10" s="1492"/>
      <c r="GM10" s="1492"/>
      <c r="GN10" s="1492"/>
      <c r="GO10" s="1492"/>
      <c r="GP10" s="1492"/>
      <c r="GQ10" s="1492"/>
      <c r="GR10" s="1492"/>
      <c r="GS10" s="1492"/>
      <c r="GT10" s="1492"/>
      <c r="GU10" s="1492"/>
      <c r="GV10" s="1492"/>
      <c r="GW10" s="1492"/>
      <c r="GX10" s="1492"/>
      <c r="GY10" s="1492"/>
      <c r="GZ10" s="1492"/>
      <c r="HA10" s="1492"/>
      <c r="HB10" s="1492"/>
      <c r="HC10" s="1492"/>
      <c r="HD10" s="1492"/>
      <c r="HE10" s="1492"/>
      <c r="HF10" s="1492"/>
      <c r="HG10" s="1492"/>
      <c r="HH10" s="1492"/>
      <c r="HI10" s="1492"/>
      <c r="HJ10" s="1492"/>
      <c r="HK10" s="1492"/>
      <c r="HL10" s="1492"/>
      <c r="HM10" s="1492"/>
      <c r="HN10" s="1492"/>
      <c r="HO10" s="1492"/>
      <c r="HP10" s="1492"/>
      <c r="HQ10" s="1492"/>
      <c r="HR10" s="1492"/>
      <c r="HS10" s="1492"/>
      <c r="HT10" s="1492"/>
      <c r="HU10" s="1492"/>
      <c r="HV10" s="1492"/>
      <c r="HW10" s="1492"/>
      <c r="HX10" s="545"/>
      <c r="HY10" s="545"/>
      <c r="HZ10" s="545"/>
      <c r="IA10" s="545"/>
      <c r="IB10" s="545"/>
      <c r="IC10" s="545"/>
      <c r="ID10" s="545"/>
    </row>
    <row r="11" spans="2:241" s="3" customFormat="1" ht="5.0999999999999996" customHeight="1">
      <c r="I11" s="482"/>
      <c r="J11" s="482"/>
      <c r="K11" s="482"/>
      <c r="L11" s="1155" t="str">
        <f>CONCATENATE("This is a ",Lookup!D16," lighting project")</f>
        <v>This is a RETROFIT lighting project</v>
      </c>
      <c r="M11" s="1155"/>
      <c r="N11" s="1155"/>
      <c r="O11" s="1155"/>
      <c r="P11" s="1155"/>
      <c r="Q11" s="1155"/>
      <c r="R11" s="1155"/>
      <c r="S11" s="1155"/>
      <c r="T11" s="1155"/>
      <c r="U11" s="1155"/>
      <c r="V11" s="1155"/>
      <c r="W11" s="1155"/>
      <c r="X11" s="1155"/>
      <c r="Y11" s="1155"/>
      <c r="Z11" s="1155"/>
      <c r="AA11" s="1155"/>
      <c r="AB11" s="1155"/>
      <c r="AC11" s="1155"/>
      <c r="AD11" s="1155"/>
      <c r="AE11" s="1155"/>
      <c r="AF11" s="1155"/>
      <c r="AG11" s="1155"/>
      <c r="AH11" s="1155"/>
      <c r="AI11" s="1155"/>
      <c r="AJ11" s="1155"/>
      <c r="AK11" s="1155"/>
      <c r="AL11" s="1155"/>
      <c r="BF11" s="229"/>
      <c r="BH11" s="229"/>
      <c r="BI11" s="233"/>
      <c r="BJ11" s="233"/>
      <c r="BK11" s="233"/>
      <c r="BL11" s="233"/>
      <c r="BM11" s="233"/>
      <c r="BN11" s="233"/>
      <c r="BO11" s="233"/>
      <c r="BP11" s="235"/>
      <c r="BQ11" s="229"/>
      <c r="BR11" s="235"/>
      <c r="BS11" s="229"/>
      <c r="BT11" s="233"/>
      <c r="BU11" s="235"/>
      <c r="BV11" s="235"/>
      <c r="BW11" s="235"/>
      <c r="BX11" s="235"/>
      <c r="BY11" s="229"/>
      <c r="BZ11" s="229"/>
      <c r="CA11" s="229"/>
      <c r="CB11" s="229"/>
      <c r="CC11" s="229"/>
      <c r="CD11" s="229"/>
      <c r="CE11" s="229"/>
      <c r="CF11" s="229"/>
      <c r="CG11" s="229"/>
      <c r="CM11" s="482"/>
      <c r="CN11" s="482"/>
      <c r="CO11" s="482"/>
      <c r="ET11" s="482"/>
      <c r="EU11" s="482"/>
      <c r="EV11" s="482"/>
      <c r="EW11" s="482"/>
      <c r="EX11" s="482"/>
      <c r="EY11" s="482"/>
      <c r="EZ11" s="482"/>
      <c r="FA11" s="482"/>
      <c r="FB11" s="482"/>
      <c r="FC11" s="482"/>
      <c r="FD11" s="16"/>
      <c r="FE11" s="16"/>
      <c r="FF11" s="16"/>
      <c r="FG11" s="15"/>
      <c r="FH11" s="482"/>
      <c r="FI11" s="482"/>
      <c r="FJ11" s="482"/>
      <c r="FN11" s="15"/>
      <c r="FO11" s="482"/>
      <c r="FP11" s="482"/>
      <c r="FQ11" s="482"/>
      <c r="FR11" s="482"/>
      <c r="FS11" s="482"/>
      <c r="FT11" s="482"/>
      <c r="FU11" s="482"/>
      <c r="FY11" s="16"/>
      <c r="GC11" s="16"/>
      <c r="GD11" s="6"/>
      <c r="GE11" s="7"/>
      <c r="GF11" s="7"/>
      <c r="GJ11" s="1492"/>
      <c r="GK11" s="1492"/>
      <c r="GL11" s="1492"/>
      <c r="GM11" s="1492"/>
      <c r="GN11" s="1492"/>
      <c r="GO11" s="1492"/>
      <c r="GP11" s="1492"/>
      <c r="GQ11" s="1492"/>
      <c r="GR11" s="1492"/>
      <c r="GS11" s="1492"/>
      <c r="GT11" s="1492"/>
      <c r="GU11" s="1492"/>
      <c r="GV11" s="1492"/>
      <c r="GW11" s="1492"/>
      <c r="GX11" s="1492"/>
      <c r="GY11" s="1492"/>
      <c r="GZ11" s="1492"/>
      <c r="HA11" s="1492"/>
      <c r="HB11" s="1492"/>
      <c r="HC11" s="1492"/>
      <c r="HD11" s="1492"/>
      <c r="HE11" s="1492"/>
      <c r="HF11" s="1492"/>
      <c r="HG11" s="1492"/>
      <c r="HH11" s="1492"/>
      <c r="HI11" s="1492"/>
      <c r="HJ11" s="1492"/>
      <c r="HK11" s="1492"/>
      <c r="HL11" s="1492"/>
      <c r="HM11" s="1492"/>
      <c r="HN11" s="1492"/>
      <c r="HO11" s="1492"/>
      <c r="HP11" s="1492"/>
      <c r="HQ11" s="1492"/>
      <c r="HR11" s="1492"/>
      <c r="HS11" s="1492"/>
      <c r="HT11" s="1492"/>
      <c r="HU11" s="1492"/>
      <c r="HV11" s="1492"/>
      <c r="HW11" s="1492"/>
      <c r="HX11" s="545"/>
      <c r="HY11" s="545"/>
      <c r="HZ11" s="545"/>
      <c r="IA11" s="545"/>
      <c r="IB11" s="545"/>
      <c r="IC11" s="545"/>
      <c r="ID11" s="545"/>
    </row>
    <row r="12" spans="2:241" s="3" customFormat="1" ht="14.95" customHeight="1">
      <c r="B12" s="1140" t="s">
        <v>166</v>
      </c>
      <c r="J12" s="16"/>
      <c r="K12" s="16"/>
      <c r="L12" s="1155"/>
      <c r="M12" s="1155"/>
      <c r="N12" s="1155"/>
      <c r="O12" s="1155"/>
      <c r="P12" s="1155"/>
      <c r="Q12" s="1155"/>
      <c r="R12" s="1155"/>
      <c r="S12" s="1155"/>
      <c r="T12" s="1155"/>
      <c r="U12" s="1155"/>
      <c r="V12" s="1155"/>
      <c r="W12" s="1155"/>
      <c r="X12" s="1155"/>
      <c r="Y12" s="1155"/>
      <c r="Z12" s="1155"/>
      <c r="AA12" s="1155"/>
      <c r="AB12" s="1155"/>
      <c r="AC12" s="1155"/>
      <c r="AD12" s="1155"/>
      <c r="AE12" s="1155"/>
      <c r="AF12" s="1155"/>
      <c r="AG12" s="1155"/>
      <c r="AH12" s="1155"/>
      <c r="AI12" s="1155"/>
      <c r="AJ12" s="1155"/>
      <c r="AK12" s="1155"/>
      <c r="AL12" s="1155"/>
      <c r="AO12" s="1148"/>
      <c r="AP12" s="1148"/>
      <c r="AR12" s="1148"/>
      <c r="AS12" s="1148"/>
      <c r="AT12" s="1148"/>
      <c r="AW12"/>
      <c r="AX12"/>
      <c r="AY12"/>
      <c r="AZ12"/>
      <c r="BA12"/>
      <c r="BB12"/>
      <c r="BC12"/>
      <c r="BD12"/>
      <c r="BF12" s="229" t="str">
        <f>BF855</f>
        <v/>
      </c>
      <c r="BG12" s="229" t="str">
        <f t="shared" ref="BG12:CG12" si="4">BG855</f>
        <v/>
      </c>
      <c r="BH12" s="229" t="str">
        <f t="shared" si="4"/>
        <v/>
      </c>
      <c r="BI12" s="229" t="str">
        <f t="shared" si="4"/>
        <v/>
      </c>
      <c r="BJ12" s="229" t="str">
        <f t="shared" si="4"/>
        <v/>
      </c>
      <c r="BK12" s="229" t="str">
        <f t="shared" si="4"/>
        <v/>
      </c>
      <c r="BL12" s="229" t="str">
        <f t="shared" si="4"/>
        <v/>
      </c>
      <c r="BM12" s="229" t="str">
        <f t="shared" si="4"/>
        <v/>
      </c>
      <c r="BN12" s="229" t="str">
        <f t="shared" si="4"/>
        <v/>
      </c>
      <c r="BO12" s="229" t="str">
        <f t="shared" si="4"/>
        <v/>
      </c>
      <c r="BP12" s="229" t="str">
        <f t="shared" si="4"/>
        <v/>
      </c>
      <c r="BQ12" s="229" t="str">
        <f t="shared" si="4"/>
        <v/>
      </c>
      <c r="BR12" s="229" t="str">
        <f t="shared" si="4"/>
        <v/>
      </c>
      <c r="BS12" s="229" t="str">
        <f t="shared" si="4"/>
        <v/>
      </c>
      <c r="BT12" s="229" t="str">
        <f t="shared" si="4"/>
        <v/>
      </c>
      <c r="BU12" s="229" t="str">
        <f t="shared" si="4"/>
        <v/>
      </c>
      <c r="BV12" s="229" t="str">
        <f t="shared" si="4"/>
        <v/>
      </c>
      <c r="BW12" s="229" t="str">
        <f t="shared" si="4"/>
        <v/>
      </c>
      <c r="BX12" s="229" t="str">
        <f t="shared" si="4"/>
        <v/>
      </c>
      <c r="BY12" s="229" t="str">
        <f t="shared" si="4"/>
        <v/>
      </c>
      <c r="BZ12" s="229" t="str">
        <f t="shared" si="4"/>
        <v/>
      </c>
      <c r="CA12" s="229" t="str">
        <f t="shared" si="4"/>
        <v/>
      </c>
      <c r="CB12" s="229" t="str">
        <f t="shared" si="4"/>
        <v/>
      </c>
      <c r="CC12" s="229" t="str">
        <f t="shared" si="4"/>
        <v/>
      </c>
      <c r="CD12" s="229" t="str">
        <f t="shared" si="4"/>
        <v/>
      </c>
      <c r="CE12" s="229" t="str">
        <f t="shared" si="4"/>
        <v/>
      </c>
      <c r="CF12" s="229" t="str">
        <f t="shared" si="4"/>
        <v/>
      </c>
      <c r="CG12" s="229" t="str">
        <f t="shared" si="4"/>
        <v/>
      </c>
      <c r="CM12" s="16"/>
      <c r="CN12" s="16"/>
      <c r="CO12" s="16"/>
      <c r="CS12" s="38" t="s">
        <v>279</v>
      </c>
      <c r="CT12" s="38"/>
      <c r="CU12" s="38"/>
      <c r="CV12" s="38"/>
      <c r="CW12" s="38"/>
      <c r="CX12" s="38"/>
      <c r="CY12" s="38"/>
      <c r="CZ12" s="38"/>
      <c r="DA12" s="38"/>
      <c r="DB12" s="38"/>
      <c r="DC12" s="38" t="s">
        <v>279</v>
      </c>
      <c r="DD12" s="583"/>
      <c r="EF12"/>
      <c r="ET12" s="43"/>
      <c r="EU12" s="15"/>
      <c r="EW12" s="6"/>
      <c r="EX12" s="7"/>
      <c r="EY12" s="7"/>
      <c r="EZ12" s="7"/>
      <c r="FA12" s="7"/>
      <c r="FB12" s="7"/>
      <c r="FC12" s="7"/>
      <c r="FD12" s="7"/>
      <c r="GJ12" s="1492"/>
      <c r="GK12" s="1492"/>
      <c r="GL12" s="1492"/>
      <c r="GM12" s="1492"/>
      <c r="GN12" s="1492"/>
      <c r="GO12" s="1492"/>
      <c r="GP12" s="1492"/>
      <c r="GQ12" s="1492"/>
      <c r="GR12" s="1492"/>
      <c r="GS12" s="1492"/>
      <c r="GT12" s="1492"/>
      <c r="GU12" s="1492"/>
      <c r="GV12" s="1492"/>
      <c r="GW12" s="1492"/>
      <c r="GX12" s="1492"/>
      <c r="GY12" s="1492"/>
      <c r="GZ12" s="1492"/>
      <c r="HA12" s="1492"/>
      <c r="HB12" s="1492"/>
      <c r="HC12" s="1492"/>
      <c r="HD12" s="1492"/>
      <c r="HE12" s="1492"/>
      <c r="HF12" s="1492"/>
      <c r="HG12" s="1492"/>
      <c r="HH12" s="1492"/>
      <c r="HI12" s="1492"/>
      <c r="HJ12" s="1492"/>
      <c r="HK12" s="1492"/>
      <c r="HL12" s="1492"/>
      <c r="HM12" s="1492"/>
      <c r="HN12" s="1492"/>
      <c r="HO12" s="1492"/>
      <c r="HP12" s="1492"/>
      <c r="HQ12" s="1492"/>
      <c r="HR12" s="1492"/>
      <c r="HS12" s="1492"/>
      <c r="HT12" s="1492"/>
      <c r="HU12" s="1492"/>
      <c r="HV12" s="1492"/>
      <c r="HW12" s="1492"/>
      <c r="HX12" s="545"/>
      <c r="HY12" s="545"/>
      <c r="HZ12" s="545"/>
      <c r="IA12" s="545"/>
      <c r="IB12" s="545"/>
      <c r="IC12" s="545"/>
      <c r="ID12" s="545"/>
    </row>
    <row r="13" spans="2:241" s="3" customFormat="1" ht="5.0999999999999996" customHeight="1">
      <c r="I13" s="16"/>
      <c r="J13" s="16"/>
      <c r="K13" s="16"/>
      <c r="L13" s="1144" t="str">
        <f>Project!K13</f>
        <v>PSE Approval is required before the retrofit is started!</v>
      </c>
      <c r="M13" s="1144"/>
      <c r="N13" s="1144"/>
      <c r="O13" s="1144"/>
      <c r="P13" s="1144"/>
      <c r="Q13" s="1144"/>
      <c r="R13" s="1144"/>
      <c r="S13" s="1144"/>
      <c r="T13" s="1144"/>
      <c r="U13" s="1144"/>
      <c r="V13" s="1144"/>
      <c r="W13" s="1144"/>
      <c r="X13" s="1144"/>
      <c r="Y13" s="1144"/>
      <c r="Z13" s="1144"/>
      <c r="AA13" s="1144"/>
      <c r="AB13" s="1144"/>
      <c r="AC13" s="1144"/>
      <c r="AD13" s="1144"/>
      <c r="AE13" s="1144"/>
      <c r="AF13" s="1144"/>
      <c r="AG13" s="1144"/>
      <c r="AH13" s="1144"/>
      <c r="AI13" s="1144"/>
      <c r="AJ13" s="1144"/>
      <c r="AK13" s="1144"/>
      <c r="AL13" s="1144"/>
      <c r="CM13" s="16"/>
      <c r="CN13" s="16"/>
      <c r="CO13" s="16"/>
      <c r="ET13" s="43"/>
      <c r="EU13" s="15"/>
      <c r="EW13" s="6"/>
      <c r="EX13" s="7"/>
      <c r="EY13" s="7"/>
      <c r="EZ13" s="7"/>
      <c r="FA13" s="7"/>
      <c r="FB13" s="7"/>
      <c r="FC13" s="7"/>
      <c r="FD13" s="7"/>
      <c r="GJ13" s="1492"/>
      <c r="GK13" s="1492"/>
      <c r="GL13" s="1492"/>
      <c r="GM13" s="1492"/>
      <c r="GN13" s="1492"/>
      <c r="GO13" s="1492"/>
      <c r="GP13" s="1492"/>
      <c r="GQ13" s="1492"/>
      <c r="GR13" s="1492"/>
      <c r="GS13" s="1492"/>
      <c r="GT13" s="1492"/>
      <c r="GU13" s="1492"/>
      <c r="GV13" s="1492"/>
      <c r="GW13" s="1492"/>
      <c r="GX13" s="1492"/>
      <c r="GY13" s="1492"/>
      <c r="GZ13" s="1492"/>
      <c r="HA13" s="1492"/>
      <c r="HB13" s="1492"/>
      <c r="HC13" s="1492"/>
      <c r="HD13" s="1492"/>
      <c r="HE13" s="1492"/>
      <c r="HF13" s="1492"/>
      <c r="HG13" s="1492"/>
      <c r="HH13" s="1492"/>
      <c r="HI13" s="1492"/>
      <c r="HJ13" s="1492"/>
      <c r="HK13" s="1492"/>
      <c r="HL13" s="1492"/>
      <c r="HM13" s="1492"/>
      <c r="HN13" s="1492"/>
      <c r="HO13" s="1492"/>
      <c r="HP13" s="1492"/>
      <c r="HQ13" s="1492"/>
      <c r="HR13" s="1492"/>
      <c r="HS13" s="1492"/>
      <c r="HT13" s="1492"/>
      <c r="HU13" s="1492"/>
      <c r="HV13" s="1492"/>
      <c r="HW13" s="1492"/>
      <c r="HX13" s="545"/>
      <c r="HY13" s="545"/>
      <c r="HZ13" s="545"/>
      <c r="IA13" s="545"/>
      <c r="IB13" s="545"/>
      <c r="IC13" s="545"/>
      <c r="ID13" s="545"/>
    </row>
    <row r="14" spans="2:241" s="3" customFormat="1" ht="14.95" customHeight="1">
      <c r="B14" s="1141">
        <f ca="1">'Grant QC Review'!V112</f>
        <v>0</v>
      </c>
      <c r="L14" s="1144"/>
      <c r="M14" s="1144"/>
      <c r="N14" s="1144"/>
      <c r="O14" s="1144"/>
      <c r="P14" s="1144"/>
      <c r="Q14" s="1144"/>
      <c r="R14" s="1144"/>
      <c r="S14" s="1144"/>
      <c r="T14" s="1144"/>
      <c r="U14" s="1144"/>
      <c r="V14" s="1144"/>
      <c r="W14" s="1144"/>
      <c r="X14" s="1144"/>
      <c r="Y14" s="1144"/>
      <c r="Z14" s="1144"/>
      <c r="AA14" s="1144"/>
      <c r="AB14" s="1144"/>
      <c r="AC14" s="1144"/>
      <c r="AD14" s="1144"/>
      <c r="AE14" s="1144"/>
      <c r="AF14" s="1144"/>
      <c r="AG14" s="1144"/>
      <c r="AH14" s="1144"/>
      <c r="AI14" s="1144"/>
      <c r="AJ14" s="1144"/>
      <c r="AK14" s="1144"/>
      <c r="AL14" s="1144"/>
      <c r="AO14" s="1148"/>
      <c r="AP14" s="1148"/>
      <c r="AR14" s="1148"/>
      <c r="AS14" s="1148"/>
      <c r="AT14" s="1148"/>
      <c r="BF14" s="229" t="str">
        <f>BF856</f>
        <v/>
      </c>
      <c r="BG14" s="229" t="str">
        <f t="shared" ref="BG14:CG14" si="5">BG856</f>
        <v/>
      </c>
      <c r="BH14" s="229" t="str">
        <f t="shared" si="5"/>
        <v/>
      </c>
      <c r="BI14" s="229" t="str">
        <f t="shared" si="5"/>
        <v/>
      </c>
      <c r="BJ14" s="229" t="str">
        <f t="shared" si="5"/>
        <v/>
      </c>
      <c r="BK14" s="229" t="str">
        <f t="shared" si="5"/>
        <v/>
      </c>
      <c r="BL14" s="229" t="str">
        <f t="shared" si="5"/>
        <v/>
      </c>
      <c r="BM14" s="229" t="str">
        <f t="shared" si="5"/>
        <v/>
      </c>
      <c r="BN14" s="229" t="str">
        <f t="shared" si="5"/>
        <v/>
      </c>
      <c r="BO14" s="229" t="str">
        <f t="shared" si="5"/>
        <v/>
      </c>
      <c r="BP14" s="229" t="str">
        <f t="shared" si="5"/>
        <v/>
      </c>
      <c r="BQ14" s="229" t="str">
        <f t="shared" si="5"/>
        <v/>
      </c>
      <c r="BR14" s="229" t="str">
        <f t="shared" si="5"/>
        <v/>
      </c>
      <c r="BS14" s="229" t="str">
        <f t="shared" si="5"/>
        <v/>
      </c>
      <c r="BT14" s="229" t="str">
        <f t="shared" si="5"/>
        <v/>
      </c>
      <c r="BU14" s="229" t="str">
        <f t="shared" si="5"/>
        <v/>
      </c>
      <c r="BV14" s="229" t="str">
        <f t="shared" si="5"/>
        <v/>
      </c>
      <c r="BW14" s="229" t="str">
        <f t="shared" si="5"/>
        <v/>
      </c>
      <c r="BX14" s="229" t="str">
        <f t="shared" si="5"/>
        <v/>
      </c>
      <c r="BY14" s="229" t="str">
        <f t="shared" si="5"/>
        <v/>
      </c>
      <c r="BZ14" s="229" t="str">
        <f t="shared" si="5"/>
        <v/>
      </c>
      <c r="CA14" s="229" t="str">
        <f t="shared" si="5"/>
        <v/>
      </c>
      <c r="CB14" s="229" t="str">
        <f t="shared" si="5"/>
        <v/>
      </c>
      <c r="CC14" s="229" t="str">
        <f t="shared" si="5"/>
        <v/>
      </c>
      <c r="CD14" s="229" t="str">
        <f t="shared" si="5"/>
        <v/>
      </c>
      <c r="CE14" s="229" t="str">
        <f t="shared" si="5"/>
        <v/>
      </c>
      <c r="CF14" s="229" t="str">
        <f t="shared" si="5"/>
        <v/>
      </c>
      <c r="CG14" s="229" t="str">
        <f t="shared" si="5"/>
        <v/>
      </c>
      <c r="CS14" s="37" t="s">
        <v>280</v>
      </c>
      <c r="CT14" s="38"/>
      <c r="CU14" s="105" t="s">
        <v>281</v>
      </c>
      <c r="CV14" s="38"/>
      <c r="CW14" s="38"/>
      <c r="CX14" s="105" t="s">
        <v>282</v>
      </c>
      <c r="CY14" s="105" t="s">
        <v>283</v>
      </c>
      <c r="CZ14" s="105" t="s">
        <v>284</v>
      </c>
      <c r="DA14" s="105" t="s">
        <v>285</v>
      </c>
      <c r="DB14" s="38"/>
      <c r="DC14" s="38"/>
      <c r="DD14" s="38"/>
      <c r="DE14" s="38"/>
      <c r="DF14" s="38"/>
      <c r="DG14" s="38"/>
      <c r="DH14" s="38"/>
      <c r="EC14" s="105" t="s">
        <v>283</v>
      </c>
      <c r="ED14" s="105" t="s">
        <v>284</v>
      </c>
      <c r="EE14" s="105" t="s">
        <v>186</v>
      </c>
      <c r="EF14" s="105" t="s">
        <v>286</v>
      </c>
      <c r="EG14" s="105" t="s">
        <v>287</v>
      </c>
      <c r="EH14" s="38"/>
      <c r="EI14" s="38"/>
      <c r="EJ14" s="105" t="s">
        <v>288</v>
      </c>
      <c r="EK14" s="105" t="s">
        <v>186</v>
      </c>
      <c r="EL14" s="105" t="s">
        <v>286</v>
      </c>
      <c r="EM14" s="105" t="s">
        <v>186</v>
      </c>
      <c r="EN14" s="105" t="s">
        <v>286</v>
      </c>
      <c r="EO14" s="105" t="s">
        <v>186</v>
      </c>
      <c r="EP14" s="105" t="s">
        <v>286</v>
      </c>
      <c r="EQ14" s="105"/>
      <c r="ER14" s="38"/>
      <c r="ES14" s="105" t="s">
        <v>289</v>
      </c>
      <c r="ET14" s="7"/>
      <c r="EU14" s="7"/>
      <c r="EV14" s="7"/>
      <c r="GJ14" s="1492"/>
      <c r="GK14" s="1492"/>
      <c r="GL14" s="1492"/>
      <c r="GM14" s="1492">
        <f>COUNT(GN16:HB16)</f>
        <v>15</v>
      </c>
      <c r="GN14" s="1492"/>
      <c r="GO14" s="1492"/>
      <c r="GP14" s="1492"/>
      <c r="GQ14" s="1492"/>
      <c r="GR14" s="1492"/>
      <c r="GS14" s="1492"/>
      <c r="GT14" s="1492"/>
      <c r="GU14" s="1492"/>
      <c r="GV14" s="1492"/>
      <c r="GW14" s="1492"/>
      <c r="GX14" s="1492"/>
      <c r="GY14" s="1492"/>
      <c r="GZ14" s="1492"/>
      <c r="HA14" s="1492"/>
      <c r="HB14" s="1492"/>
      <c r="HC14" s="1492"/>
      <c r="HD14" s="1492"/>
      <c r="HE14" s="1492"/>
      <c r="HF14" s="1492"/>
      <c r="HG14" s="1492"/>
      <c r="HH14" s="1492"/>
      <c r="HI14" s="1492"/>
      <c r="HJ14" s="1492"/>
      <c r="HK14" s="1492"/>
      <c r="HL14" s="1492"/>
      <c r="HM14" s="1492"/>
      <c r="HN14" s="1492"/>
      <c r="HO14" s="1492"/>
      <c r="HP14" s="1492"/>
      <c r="HQ14" s="1492"/>
      <c r="HR14" s="1492"/>
      <c r="HS14" s="1492"/>
      <c r="HT14" s="1492"/>
      <c r="HU14" s="1492"/>
      <c r="HV14" s="1492"/>
      <c r="HW14" s="1492"/>
      <c r="HX14" s="545"/>
      <c r="HY14" s="545"/>
      <c r="HZ14" s="545"/>
      <c r="IA14" s="545"/>
      <c r="IB14" s="545"/>
      <c r="IC14" s="545"/>
      <c r="ID14" s="545"/>
    </row>
    <row r="15" spans="2:241" s="3" customFormat="1" ht="5.0999999999999996" customHeight="1">
      <c r="L15" s="474"/>
      <c r="M15" s="474"/>
      <c r="N15" s="474"/>
      <c r="O15" s="474"/>
      <c r="P15" s="474"/>
      <c r="Q15" s="474"/>
      <c r="R15" s="474"/>
      <c r="S15" s="474"/>
      <c r="T15" s="474"/>
      <c r="U15" s="474"/>
      <c r="V15" s="474"/>
      <c r="W15" s="474"/>
      <c r="X15" s="474"/>
      <c r="Y15" s="474"/>
      <c r="Z15" s="474"/>
      <c r="AA15" s="474"/>
      <c r="AB15" s="474"/>
      <c r="AC15" s="474"/>
      <c r="AD15" s="474"/>
      <c r="AE15" s="474"/>
      <c r="AF15" s="474"/>
      <c r="AG15" s="474"/>
      <c r="AH15" s="474"/>
      <c r="AI15" s="474"/>
      <c r="AJ15" s="474"/>
      <c r="DE15" s="38"/>
      <c r="DF15" s="38"/>
      <c r="DG15" s="38"/>
      <c r="DH15" s="38"/>
      <c r="ET15" s="7"/>
      <c r="EU15" s="7"/>
      <c r="EV15" s="7"/>
      <c r="GJ15" s="587"/>
      <c r="GK15" s="587"/>
      <c r="GL15" s="587"/>
      <c r="GM15" s="587"/>
      <c r="GN15" s="587"/>
      <c r="GO15" s="587"/>
      <c r="GP15" s="587"/>
      <c r="GQ15" s="587"/>
      <c r="GR15" s="587"/>
      <c r="GS15" s="587"/>
      <c r="GT15" s="587"/>
      <c r="GU15" s="587"/>
      <c r="GV15" s="587"/>
      <c r="GW15" s="587"/>
      <c r="GX15" s="587"/>
      <c r="GY15" s="587"/>
      <c r="GZ15" s="587"/>
      <c r="HA15" s="587"/>
      <c r="HB15" s="587"/>
      <c r="HC15" s="587"/>
      <c r="HD15" s="587"/>
      <c r="HE15" s="587"/>
      <c r="HF15" s="587"/>
      <c r="HG15" s="587"/>
      <c r="HH15" s="587"/>
      <c r="HI15" s="587"/>
      <c r="HJ15" s="587"/>
      <c r="HK15" s="587"/>
      <c r="HL15" s="587"/>
      <c r="HM15" s="587"/>
      <c r="HN15" s="587"/>
      <c r="HO15" s="587"/>
      <c r="HP15" s="587"/>
      <c r="HQ15" s="587"/>
      <c r="HR15" s="587"/>
      <c r="HS15" s="587"/>
      <c r="HT15" s="587"/>
      <c r="HU15" s="587"/>
      <c r="HV15" s="587"/>
      <c r="HW15" s="587"/>
    </row>
    <row r="16" spans="2:241" s="3" customFormat="1" ht="14.95" customHeight="1">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BF16" s="229" t="str">
        <f>BF857</f>
        <v/>
      </c>
      <c r="BG16" s="229" t="str">
        <f t="shared" ref="BG16:CG16" si="6">BG857</f>
        <v/>
      </c>
      <c r="BH16" s="229" t="str">
        <f t="shared" si="6"/>
        <v/>
      </c>
      <c r="BI16" s="229" t="str">
        <f t="shared" si="6"/>
        <v/>
      </c>
      <c r="BJ16" s="229" t="str">
        <f t="shared" si="6"/>
        <v/>
      </c>
      <c r="BK16" s="229" t="str">
        <f t="shared" si="6"/>
        <v/>
      </c>
      <c r="BL16" s="229" t="str">
        <f t="shared" si="6"/>
        <v/>
      </c>
      <c r="BM16" s="229" t="str">
        <f t="shared" si="6"/>
        <v/>
      </c>
      <c r="BN16" s="229" t="str">
        <f t="shared" si="6"/>
        <v/>
      </c>
      <c r="BO16" s="229" t="str">
        <f t="shared" si="6"/>
        <v/>
      </c>
      <c r="BP16" s="229" t="str">
        <f t="shared" si="6"/>
        <v/>
      </c>
      <c r="BQ16" s="229" t="str">
        <f t="shared" si="6"/>
        <v/>
      </c>
      <c r="BR16" s="229" t="str">
        <f t="shared" si="6"/>
        <v/>
      </c>
      <c r="BS16" s="229" t="str">
        <f t="shared" si="6"/>
        <v/>
      </c>
      <c r="BT16" s="229" t="str">
        <f t="shared" si="6"/>
        <v/>
      </c>
      <c r="BU16" s="229" t="str">
        <f t="shared" si="6"/>
        <v/>
      </c>
      <c r="BV16" s="229" t="str">
        <f t="shared" si="6"/>
        <v/>
      </c>
      <c r="BW16" s="229" t="str">
        <f t="shared" si="6"/>
        <v/>
      </c>
      <c r="BX16" s="229" t="str">
        <f t="shared" si="6"/>
        <v/>
      </c>
      <c r="BY16" s="229" t="str">
        <f t="shared" si="6"/>
        <v/>
      </c>
      <c r="BZ16" s="229" t="str">
        <f t="shared" si="6"/>
        <v/>
      </c>
      <c r="CA16" s="229" t="str">
        <f t="shared" si="6"/>
        <v/>
      </c>
      <c r="CB16" s="229" t="str">
        <f t="shared" si="6"/>
        <v/>
      </c>
      <c r="CC16" s="229" t="str">
        <f t="shared" si="6"/>
        <v/>
      </c>
      <c r="CD16" s="229" t="str">
        <f t="shared" si="6"/>
        <v/>
      </c>
      <c r="CE16" s="229" t="str">
        <f t="shared" si="6"/>
        <v/>
      </c>
      <c r="CF16" s="229" t="str">
        <f t="shared" si="6"/>
        <v/>
      </c>
      <c r="CG16" s="229" t="str">
        <f t="shared" si="6"/>
        <v/>
      </c>
      <c r="CM16" s="105" t="s">
        <v>290</v>
      </c>
      <c r="CN16" s="105" t="s">
        <v>291</v>
      </c>
      <c r="CO16" s="105"/>
      <c r="CP16" s="105" t="s">
        <v>292</v>
      </c>
      <c r="CS16" s="37" t="s">
        <v>280</v>
      </c>
      <c r="CT16" s="38"/>
      <c r="CU16" s="105" t="s">
        <v>281</v>
      </c>
      <c r="CV16" s="38"/>
      <c r="CW16" s="38"/>
      <c r="CX16" s="105" t="s">
        <v>282</v>
      </c>
      <c r="CY16" s="105" t="s">
        <v>283</v>
      </c>
      <c r="CZ16" s="105" t="s">
        <v>284</v>
      </c>
      <c r="DA16" s="105" t="s">
        <v>285</v>
      </c>
      <c r="DB16" s="38"/>
      <c r="DC16" s="37" t="s">
        <v>293</v>
      </c>
      <c r="DD16" s="38"/>
      <c r="DE16" s="105" t="s">
        <v>281</v>
      </c>
      <c r="DF16" s="37"/>
      <c r="DG16" s="105" t="s">
        <v>282</v>
      </c>
      <c r="DH16" s="105" t="s">
        <v>282</v>
      </c>
      <c r="DN16" s="1358" t="s">
        <v>186</v>
      </c>
      <c r="DO16" s="1358"/>
      <c r="DP16" s="105" t="s">
        <v>286</v>
      </c>
      <c r="DQ16" s="105"/>
      <c r="DR16" s="105" t="s">
        <v>294</v>
      </c>
      <c r="DS16" s="105" t="s">
        <v>294</v>
      </c>
      <c r="DT16" s="38"/>
      <c r="DU16" s="1358" t="s">
        <v>286</v>
      </c>
      <c r="DV16" s="1358"/>
      <c r="DW16" s="105" t="s">
        <v>294</v>
      </c>
      <c r="DX16" s="105" t="s">
        <v>295</v>
      </c>
      <c r="DY16" s="38"/>
      <c r="DZ16" s="105" t="s">
        <v>296</v>
      </c>
      <c r="EA16" s="105" t="s">
        <v>297</v>
      </c>
      <c r="EB16" s="38"/>
      <c r="EC16" s="105" t="s">
        <v>186</v>
      </c>
      <c r="ED16" s="105" t="s">
        <v>186</v>
      </c>
      <c r="EE16" s="105" t="s">
        <v>298</v>
      </c>
      <c r="EF16" s="105" t="s">
        <v>298</v>
      </c>
      <c r="EG16" s="105" t="s">
        <v>298</v>
      </c>
      <c r="EH16" s="105" t="s">
        <v>186</v>
      </c>
      <c r="EI16" s="105" t="s">
        <v>286</v>
      </c>
      <c r="EJ16" s="105" t="s">
        <v>286</v>
      </c>
      <c r="EK16" s="105" t="s">
        <v>299</v>
      </c>
      <c r="EL16" s="105" t="s">
        <v>299</v>
      </c>
      <c r="EM16" s="105" t="s">
        <v>299</v>
      </c>
      <c r="EN16" s="105" t="s">
        <v>299</v>
      </c>
      <c r="EO16" s="105" t="s">
        <v>299</v>
      </c>
      <c r="EP16" s="105" t="s">
        <v>299</v>
      </c>
      <c r="EQ16" s="105" t="s">
        <v>299</v>
      </c>
      <c r="ET16" s="7"/>
      <c r="EU16" s="7"/>
      <c r="FI16" s="105" t="s">
        <v>300</v>
      </c>
      <c r="FJ16" s="105" t="s">
        <v>301</v>
      </c>
      <c r="FK16" s="105" t="s">
        <v>302</v>
      </c>
      <c r="FL16" s="105" t="s">
        <v>303</v>
      </c>
      <c r="FM16" s="38"/>
      <c r="FN16" s="38" t="s">
        <v>304</v>
      </c>
      <c r="FO16" s="105">
        <v>3200</v>
      </c>
      <c r="FP16" s="105" t="s">
        <v>305</v>
      </c>
      <c r="FQ16" s="105" t="s">
        <v>306</v>
      </c>
      <c r="FR16" s="105" t="s">
        <v>307</v>
      </c>
      <c r="FS16" s="105" t="s">
        <v>306</v>
      </c>
      <c r="FT16" s="38"/>
      <c r="FW16" s="105" t="s">
        <v>178</v>
      </c>
      <c r="FX16" s="105"/>
      <c r="FY16" s="105" t="s">
        <v>308</v>
      </c>
      <c r="FZ16" s="105" t="s">
        <v>284</v>
      </c>
      <c r="GA16" s="105"/>
      <c r="GB16" s="105" t="s">
        <v>151</v>
      </c>
      <c r="GC16" s="105"/>
      <c r="GD16" s="1503" t="s">
        <v>309</v>
      </c>
      <c r="GF16" s="105" t="s">
        <v>132</v>
      </c>
      <c r="GG16" s="105" t="s">
        <v>170</v>
      </c>
      <c r="GJ16" s="118">
        <v>38</v>
      </c>
      <c r="GK16" s="118">
        <v>37</v>
      </c>
      <c r="GL16" s="118">
        <v>36</v>
      </c>
      <c r="GM16" s="118">
        <v>35</v>
      </c>
      <c r="GN16" s="118">
        <v>34</v>
      </c>
      <c r="GO16" s="118">
        <v>33</v>
      </c>
      <c r="GP16" s="118">
        <v>32</v>
      </c>
      <c r="GQ16" s="118">
        <v>31</v>
      </c>
      <c r="GR16" s="118">
        <v>30</v>
      </c>
      <c r="GS16" s="118">
        <v>29</v>
      </c>
      <c r="GT16" s="118">
        <v>28</v>
      </c>
      <c r="GU16" s="118">
        <v>27</v>
      </c>
      <c r="GV16" s="118">
        <v>26</v>
      </c>
      <c r="GW16" s="118">
        <v>25</v>
      </c>
      <c r="GX16" s="118">
        <v>24</v>
      </c>
      <c r="GY16" s="118">
        <v>23</v>
      </c>
      <c r="GZ16" s="118">
        <v>22</v>
      </c>
      <c r="HA16" s="118">
        <v>21</v>
      </c>
      <c r="HB16" s="118">
        <v>20</v>
      </c>
      <c r="HC16" s="118">
        <v>19</v>
      </c>
      <c r="HD16" s="118">
        <v>18</v>
      </c>
      <c r="HE16" s="118">
        <v>17</v>
      </c>
      <c r="HF16" s="118">
        <v>16</v>
      </c>
      <c r="HG16" s="118">
        <v>15</v>
      </c>
      <c r="HH16" s="118">
        <v>14</v>
      </c>
      <c r="HI16" s="118">
        <v>13</v>
      </c>
      <c r="HJ16" s="118">
        <v>12</v>
      </c>
      <c r="HK16" s="118">
        <v>11</v>
      </c>
      <c r="HL16" s="118">
        <v>10</v>
      </c>
      <c r="HM16" s="118">
        <v>9</v>
      </c>
      <c r="HN16" s="118">
        <v>8</v>
      </c>
      <c r="HO16" s="118">
        <v>7</v>
      </c>
      <c r="HP16" s="118">
        <v>6</v>
      </c>
      <c r="HQ16" s="118">
        <v>5</v>
      </c>
      <c r="HR16" s="118">
        <v>4</v>
      </c>
      <c r="HS16" s="118">
        <v>3</v>
      </c>
      <c r="HT16" s="118">
        <v>2</v>
      </c>
      <c r="HU16" s="118">
        <v>1</v>
      </c>
      <c r="HV16" s="118"/>
      <c r="HW16" s="118"/>
      <c r="HX16" s="12"/>
      <c r="HY16" s="12"/>
      <c r="HZ16" s="12"/>
      <c r="IA16" s="12"/>
      <c r="IB16" s="12"/>
      <c r="IC16" s="12"/>
      <c r="ID16" s="12"/>
    </row>
    <row r="17" spans="1:250" s="3" customFormat="1" ht="5.0999999999999996" customHeight="1">
      <c r="BF17" s="229"/>
      <c r="BG17" s="229"/>
      <c r="BH17" s="229"/>
      <c r="BI17" s="229"/>
      <c r="BJ17" s="229"/>
      <c r="BK17" s="229"/>
      <c r="BL17" s="229"/>
      <c r="BM17" s="229"/>
      <c r="BN17" s="229"/>
      <c r="BO17" s="229"/>
      <c r="BP17" s="229"/>
      <c r="BQ17" s="229"/>
      <c r="BR17" s="229"/>
      <c r="BS17" s="229"/>
      <c r="BT17" s="229"/>
      <c r="BU17" s="229"/>
      <c r="BV17" s="229"/>
      <c r="BW17" s="229"/>
      <c r="BX17" s="229"/>
      <c r="BY17" s="229"/>
      <c r="BZ17" s="229"/>
      <c r="CA17" s="229"/>
      <c r="CB17" s="229"/>
      <c r="CC17" s="229"/>
      <c r="CD17" s="229"/>
      <c r="CE17" s="229"/>
      <c r="CF17" s="229"/>
      <c r="CG17" s="229"/>
      <c r="CS17" s="38"/>
      <c r="CT17" s="38"/>
      <c r="CU17" s="38"/>
      <c r="CV17" s="38"/>
      <c r="CW17" s="38"/>
      <c r="CX17" s="38"/>
      <c r="CY17" s="38"/>
      <c r="CZ17" s="38"/>
      <c r="DA17" s="38"/>
      <c r="DB17" s="38"/>
      <c r="DC17" s="38"/>
      <c r="DD17" s="38"/>
      <c r="DE17" s="38"/>
      <c r="DF17" s="38"/>
      <c r="DG17" s="38"/>
      <c r="DH17" s="38"/>
      <c r="ET17" s="7"/>
      <c r="EU17" s="7"/>
      <c r="GD17" s="1503"/>
      <c r="GJ17" s="587"/>
      <c r="GK17" s="587"/>
      <c r="GL17" s="587"/>
      <c r="GM17" s="587"/>
      <c r="GN17" s="587"/>
      <c r="GO17" s="587"/>
      <c r="GP17" s="587"/>
      <c r="GQ17" s="587"/>
      <c r="GR17" s="587"/>
      <c r="GS17" s="587"/>
      <c r="GT17" s="587"/>
      <c r="GU17" s="587"/>
      <c r="GV17" s="587"/>
      <c r="GW17" s="587"/>
      <c r="GX17" s="587"/>
      <c r="GY17" s="587"/>
      <c r="GZ17" s="587"/>
      <c r="HA17" s="587"/>
      <c r="HB17" s="587"/>
      <c r="HC17" s="587"/>
      <c r="HD17" s="587"/>
      <c r="HE17" s="587"/>
      <c r="HF17" s="587"/>
      <c r="HG17" s="587"/>
      <c r="HH17" s="587"/>
      <c r="HI17" s="587"/>
      <c r="HJ17" s="587"/>
      <c r="HK17" s="587"/>
      <c r="HL17" s="587"/>
      <c r="HM17" s="587"/>
      <c r="HN17" s="587"/>
      <c r="HO17" s="587"/>
      <c r="HP17" s="587"/>
      <c r="HQ17" s="587"/>
      <c r="HR17" s="587"/>
      <c r="HS17" s="587"/>
      <c r="HT17" s="587"/>
      <c r="HU17" s="587"/>
      <c r="HV17" s="587"/>
      <c r="HW17" s="587"/>
    </row>
    <row r="18" spans="1:250" customFormat="1" ht="14.95" customHeight="1" thickBot="1">
      <c r="B18" s="38"/>
      <c r="E18" s="38"/>
      <c r="F18" s="38"/>
      <c r="G18" s="38"/>
      <c r="H18" s="38"/>
      <c r="I18" s="38"/>
      <c r="J18" s="38"/>
      <c r="K18" s="38"/>
      <c r="L18" s="38"/>
      <c r="M18" s="38"/>
      <c r="N18" s="38"/>
      <c r="O18" s="38"/>
      <c r="P18" s="38"/>
      <c r="Q18" s="38"/>
      <c r="R18" s="38"/>
      <c r="S18" s="38"/>
      <c r="T18" s="1520"/>
      <c r="U18" s="1520"/>
      <c r="V18" s="38"/>
      <c r="W18" s="38"/>
      <c r="X18" s="38"/>
      <c r="Y18" s="38"/>
      <c r="Z18" s="38"/>
      <c r="AA18" s="384"/>
      <c r="AC18" s="38"/>
      <c r="AD18" s="38"/>
      <c r="AE18" s="38"/>
      <c r="AF18" s="38"/>
      <c r="AG18" s="38"/>
      <c r="AH18" s="38"/>
      <c r="AI18" s="38"/>
      <c r="AN18" s="38"/>
      <c r="AO18" s="38"/>
      <c r="AP18" s="38"/>
      <c r="AQ18" s="38"/>
      <c r="AR18" s="38"/>
      <c r="AS18" s="38"/>
      <c r="AT18" s="38"/>
      <c r="AU18" s="38"/>
      <c r="AW18" s="3"/>
      <c r="AX18" s="3"/>
      <c r="AY18" s="3"/>
      <c r="AZ18" s="3"/>
      <c r="BA18" s="3"/>
      <c r="BB18" s="3"/>
      <c r="BC18" s="3"/>
      <c r="BD18" s="3"/>
      <c r="BE18" s="3"/>
      <c r="BF18" s="229" t="str">
        <f>BF858</f>
        <v/>
      </c>
      <c r="BG18" s="229" t="str">
        <f t="shared" ref="BG18:CG18" si="7">BG858</f>
        <v/>
      </c>
      <c r="BH18" s="229" t="str">
        <f t="shared" si="7"/>
        <v/>
      </c>
      <c r="BI18" s="229" t="str">
        <f t="shared" si="7"/>
        <v/>
      </c>
      <c r="BJ18" s="229" t="str">
        <f t="shared" si="7"/>
        <v/>
      </c>
      <c r="BK18" s="229" t="str">
        <f t="shared" si="7"/>
        <v/>
      </c>
      <c r="BL18" s="229" t="str">
        <f t="shared" si="7"/>
        <v/>
      </c>
      <c r="BM18" s="229" t="str">
        <f t="shared" si="7"/>
        <v/>
      </c>
      <c r="BN18" s="229" t="str">
        <f t="shared" si="7"/>
        <v/>
      </c>
      <c r="BO18" s="229" t="str">
        <f t="shared" si="7"/>
        <v/>
      </c>
      <c r="BP18" s="229" t="str">
        <f t="shared" si="7"/>
        <v/>
      </c>
      <c r="BQ18" s="229" t="str">
        <f t="shared" si="7"/>
        <v/>
      </c>
      <c r="BR18" s="229" t="str">
        <f t="shared" si="7"/>
        <v/>
      </c>
      <c r="BS18" s="229" t="str">
        <f t="shared" si="7"/>
        <v/>
      </c>
      <c r="BT18" s="229" t="str">
        <f t="shared" si="7"/>
        <v/>
      </c>
      <c r="BU18" s="229" t="str">
        <f t="shared" si="7"/>
        <v/>
      </c>
      <c r="BV18" s="229" t="str">
        <f t="shared" si="7"/>
        <v/>
      </c>
      <c r="BW18" s="229" t="str">
        <f t="shared" si="7"/>
        <v/>
      </c>
      <c r="BX18" s="229" t="str">
        <f t="shared" si="7"/>
        <v/>
      </c>
      <c r="BY18" s="229" t="str">
        <f t="shared" si="7"/>
        <v/>
      </c>
      <c r="BZ18" s="229" t="str">
        <f t="shared" si="7"/>
        <v/>
      </c>
      <c r="CA18" s="229" t="str">
        <f t="shared" si="7"/>
        <v/>
      </c>
      <c r="CB18" s="229" t="str">
        <f t="shared" si="7"/>
        <v/>
      </c>
      <c r="CC18" s="229" t="str">
        <f t="shared" si="7"/>
        <v/>
      </c>
      <c r="CD18" s="229" t="str">
        <f t="shared" si="7"/>
        <v/>
      </c>
      <c r="CE18" s="229" t="str">
        <f t="shared" si="7"/>
        <v/>
      </c>
      <c r="CF18" s="229" t="str">
        <f t="shared" si="7"/>
        <v/>
      </c>
      <c r="CG18" s="229" t="str">
        <f t="shared" si="7"/>
        <v/>
      </c>
      <c r="CM18" s="105" t="s">
        <v>310</v>
      </c>
      <c r="CN18" s="105" t="s">
        <v>277</v>
      </c>
      <c r="CO18" s="105"/>
      <c r="CP18" s="105" t="s">
        <v>172</v>
      </c>
      <c r="CS18" s="105" t="s">
        <v>190</v>
      </c>
      <c r="CT18" s="105" t="s">
        <v>186</v>
      </c>
      <c r="CU18" s="105" t="s">
        <v>311</v>
      </c>
      <c r="CV18" s="105" t="s">
        <v>132</v>
      </c>
      <c r="CW18" s="105" t="s">
        <v>282</v>
      </c>
      <c r="CX18" s="105" t="s">
        <v>285</v>
      </c>
      <c r="CY18" s="105" t="s">
        <v>312</v>
      </c>
      <c r="CZ18" s="105" t="s">
        <v>312</v>
      </c>
      <c r="DA18" s="105" t="s">
        <v>312</v>
      </c>
      <c r="DB18" s="38"/>
      <c r="DC18" s="105" t="s">
        <v>190</v>
      </c>
      <c r="DD18" s="37" t="s">
        <v>286</v>
      </c>
      <c r="DE18" s="105" t="s">
        <v>311</v>
      </c>
      <c r="DF18" s="105" t="s">
        <v>313</v>
      </c>
      <c r="DG18" s="105" t="s">
        <v>285</v>
      </c>
      <c r="DH18" s="105" t="s">
        <v>285</v>
      </c>
      <c r="DN18" s="1359" t="s">
        <v>172</v>
      </c>
      <c r="DO18" s="1359"/>
      <c r="DP18" s="105" t="s">
        <v>172</v>
      </c>
      <c r="DQ18" s="105"/>
      <c r="DR18" s="105" t="s">
        <v>186</v>
      </c>
      <c r="DS18" s="105" t="s">
        <v>314</v>
      </c>
      <c r="DT18" s="38"/>
      <c r="DU18" s="1359" t="s">
        <v>315</v>
      </c>
      <c r="DV18" s="1359"/>
      <c r="DW18" s="105" t="s">
        <v>316</v>
      </c>
      <c r="DX18" s="105" t="s">
        <v>314</v>
      </c>
      <c r="DY18" s="38"/>
      <c r="DZ18" s="105" t="s">
        <v>205</v>
      </c>
      <c r="EA18" s="105" t="s">
        <v>205</v>
      </c>
      <c r="EB18" s="38"/>
      <c r="EC18" s="111" t="s">
        <v>282</v>
      </c>
      <c r="ED18" s="111" t="s">
        <v>282</v>
      </c>
      <c r="EE18" s="111" t="s">
        <v>282</v>
      </c>
      <c r="EF18" s="111" t="s">
        <v>282</v>
      </c>
      <c r="EG18" s="111" t="s">
        <v>282</v>
      </c>
      <c r="EH18" s="105" t="s">
        <v>281</v>
      </c>
      <c r="EI18" s="105" t="s">
        <v>281</v>
      </c>
      <c r="EJ18" s="105" t="s">
        <v>281</v>
      </c>
      <c r="EK18" s="105" t="s">
        <v>317</v>
      </c>
      <c r="EL18" s="105" t="s">
        <v>317</v>
      </c>
      <c r="EM18" s="105" t="s">
        <v>318</v>
      </c>
      <c r="EN18" s="105" t="s">
        <v>318</v>
      </c>
      <c r="EO18" s="105" t="s">
        <v>281</v>
      </c>
      <c r="EP18" s="105" t="s">
        <v>281</v>
      </c>
      <c r="EQ18" s="105" t="s">
        <v>281</v>
      </c>
      <c r="ET18" s="94"/>
      <c r="EU18" s="94"/>
      <c r="EV18" s="94"/>
      <c r="EW18" s="94"/>
      <c r="EX18" s="94"/>
      <c r="EY18" s="89" t="s">
        <v>314</v>
      </c>
      <c r="EZ18" s="89" t="s">
        <v>170</v>
      </c>
      <c r="FD18" s="739" t="s">
        <v>319</v>
      </c>
      <c r="FI18" s="38"/>
      <c r="FJ18" s="105" t="s">
        <v>273</v>
      </c>
      <c r="FK18" s="38"/>
      <c r="FL18" s="38"/>
      <c r="FM18" s="38"/>
      <c r="FN18" s="38" t="s">
        <v>233</v>
      </c>
      <c r="FO18" s="105" t="s">
        <v>305</v>
      </c>
      <c r="FP18" s="105" t="s">
        <v>320</v>
      </c>
      <c r="FQ18" s="105" t="s">
        <v>305</v>
      </c>
      <c r="FR18" s="105" t="s">
        <v>286</v>
      </c>
      <c r="FS18" s="37" t="s">
        <v>321</v>
      </c>
      <c r="FT18" s="38"/>
      <c r="FU18" s="105" t="s">
        <v>322</v>
      </c>
      <c r="FW18" s="105" t="s">
        <v>170</v>
      </c>
      <c r="FX18" s="105"/>
      <c r="FY18" s="105" t="s">
        <v>323</v>
      </c>
      <c r="FZ18" s="105" t="s">
        <v>170</v>
      </c>
      <c r="GA18" s="105"/>
      <c r="GB18" s="105" t="s">
        <v>324</v>
      </c>
      <c r="GC18" s="105"/>
      <c r="GD18" s="1503"/>
      <c r="GE18" s="105" t="s">
        <v>170</v>
      </c>
      <c r="GF18" s="38"/>
      <c r="GG18" s="105" t="s">
        <v>325</v>
      </c>
      <c r="GJ18" s="95"/>
      <c r="GK18" s="95"/>
      <c r="GL18" s="95"/>
      <c r="GM18" s="95"/>
      <c r="GN18" s="95"/>
      <c r="GO18" s="95"/>
      <c r="GP18" s="95"/>
      <c r="GQ18" s="95"/>
      <c r="GR18" s="95"/>
      <c r="GS18" s="95"/>
      <c r="GT18" s="95"/>
      <c r="GU18" s="95"/>
      <c r="GV18" s="95"/>
      <c r="GW18" s="95"/>
      <c r="GX18" s="95"/>
      <c r="GY18" s="95"/>
      <c r="GZ18" s="95"/>
      <c r="HA18" s="95"/>
      <c r="HB18" s="95"/>
      <c r="HC18" s="574"/>
      <c r="HD18" s="95"/>
      <c r="HE18" s="95"/>
      <c r="HF18" s="95"/>
      <c r="HG18" s="95"/>
      <c r="HH18" s="95"/>
      <c r="HI18" s="95"/>
      <c r="HJ18" s="95"/>
      <c r="HK18" s="95"/>
      <c r="HL18" s="95"/>
      <c r="HM18" s="95"/>
      <c r="HN18" s="95"/>
      <c r="HO18" s="95"/>
      <c r="HP18" s="95"/>
      <c r="HQ18" s="588"/>
      <c r="HR18" s="588"/>
      <c r="HS18" s="588"/>
      <c r="HT18" s="95"/>
      <c r="HU18" s="736">
        <v>0.2</v>
      </c>
      <c r="HV18" s="95"/>
      <c r="HW18" s="95"/>
    </row>
    <row r="19" spans="1:250" customFormat="1" ht="2.25" customHeight="1" thickTop="1">
      <c r="A19" s="1149"/>
      <c r="B19" s="1149"/>
      <c r="C19" s="1149"/>
      <c r="D19" s="1149"/>
      <c r="E19" s="1149"/>
      <c r="F19" s="1149"/>
      <c r="G19" s="1149"/>
      <c r="H19" s="1149"/>
      <c r="I19" s="1149"/>
      <c r="J19" s="1149"/>
      <c r="K19" s="1149"/>
      <c r="L19" s="1149"/>
      <c r="M19" s="1149"/>
      <c r="N19" s="1149"/>
      <c r="O19" s="1149"/>
      <c r="P19" s="1149"/>
      <c r="Q19" s="1149"/>
      <c r="R19" s="1149"/>
      <c r="S19" s="1149"/>
      <c r="T19" s="1149"/>
      <c r="U19" s="1149"/>
      <c r="V19" s="1149"/>
      <c r="W19" s="1149"/>
      <c r="X19" s="1149"/>
      <c r="Y19" s="1149"/>
      <c r="Z19" s="1149"/>
      <c r="AA19" s="1149"/>
      <c r="AB19" s="1149"/>
      <c r="AC19" s="1149"/>
      <c r="AD19" s="1149"/>
      <c r="AE19" s="1149"/>
      <c r="AF19" s="1149"/>
      <c r="AG19" s="1149"/>
      <c r="AH19" s="1149"/>
      <c r="AI19" s="1149"/>
      <c r="AJ19" s="1149"/>
      <c r="AK19" s="1149"/>
      <c r="AL19" s="1149"/>
      <c r="AM19" s="1149"/>
      <c r="AN19" s="1149"/>
      <c r="AO19" s="1149"/>
      <c r="AP19" s="1149"/>
      <c r="AQ19" s="1149"/>
      <c r="AR19" s="1149"/>
      <c r="AS19" s="1149"/>
      <c r="AT19" s="1149"/>
      <c r="AU19" s="1149"/>
      <c r="AV19" s="1149"/>
      <c r="AW19" s="1149"/>
      <c r="AX19" s="3"/>
      <c r="AY19" s="3"/>
      <c r="AZ19" s="3"/>
      <c r="BA19" s="3"/>
      <c r="BB19" s="3"/>
      <c r="BC19" s="3"/>
      <c r="BD19" s="3"/>
      <c r="BE19" s="3"/>
      <c r="BF19" s="229"/>
      <c r="BG19" s="229"/>
      <c r="BH19" s="229"/>
      <c r="BI19" s="229"/>
      <c r="BJ19" s="229"/>
      <c r="BK19" s="229"/>
      <c r="BL19" s="229"/>
      <c r="BM19" s="229"/>
      <c r="BN19" s="229"/>
      <c r="BO19" s="229"/>
      <c r="BP19" s="229"/>
      <c r="BQ19" s="229"/>
      <c r="BR19" s="229"/>
      <c r="BS19" s="229"/>
      <c r="BT19" s="229"/>
      <c r="BU19" s="229"/>
      <c r="BV19" s="229"/>
      <c r="BW19" s="229"/>
      <c r="BX19" s="229"/>
      <c r="BY19" s="229"/>
      <c r="BZ19" s="229"/>
      <c r="CA19" s="229"/>
      <c r="CB19" s="229"/>
      <c r="CC19" s="229"/>
      <c r="CD19" s="229"/>
      <c r="CE19" s="229"/>
      <c r="CF19" s="229"/>
      <c r="CG19" s="229"/>
      <c r="ET19" s="94"/>
      <c r="EU19" s="94"/>
      <c r="EV19" s="94"/>
      <c r="EW19" s="94"/>
      <c r="EX19" s="94"/>
      <c r="GJ19" s="95"/>
      <c r="GK19" s="95"/>
      <c r="GL19" s="95"/>
      <c r="GM19" s="95"/>
      <c r="GN19" s="95"/>
      <c r="GO19" s="95"/>
      <c r="GP19" s="95"/>
      <c r="GQ19" s="95"/>
      <c r="GR19" s="95"/>
      <c r="GS19" s="95"/>
      <c r="GT19" s="95"/>
      <c r="GU19" s="95"/>
      <c r="GV19" s="95"/>
      <c r="GW19" s="95"/>
      <c r="GX19" s="95"/>
      <c r="GY19" s="95"/>
      <c r="GZ19" s="95"/>
      <c r="HA19" s="95"/>
      <c r="HB19" s="95"/>
      <c r="HC19" s="95"/>
      <c r="HD19" s="95"/>
      <c r="HE19" s="95"/>
      <c r="HF19" s="95"/>
      <c r="HG19" s="95"/>
      <c r="HH19" s="95"/>
      <c r="HI19" s="95"/>
      <c r="HJ19" s="95"/>
      <c r="HK19" s="95"/>
      <c r="HL19" s="95"/>
      <c r="HM19" s="95"/>
      <c r="HN19" s="95"/>
      <c r="HO19" s="95"/>
      <c r="HP19" s="95"/>
      <c r="HQ19" s="95"/>
      <c r="HR19" s="95"/>
      <c r="HS19" s="95"/>
      <c r="HT19" s="95"/>
      <c r="HU19" s="95"/>
      <c r="HV19" s="95"/>
      <c r="HW19" s="95"/>
    </row>
    <row r="20" spans="1:250" customFormat="1" ht="14.95" customHeight="1">
      <c r="B20" s="1530" t="str">
        <f>IF(__Retrofit_TI_NC=1,"Tenant Improvement - Code is baseline",IF(__Retrofit_TI_NC=2,"New Construction - Code is baseline","Retrofit - Existing lighting is baseline"))</f>
        <v>Retrofit - Existing lighting is baseline</v>
      </c>
      <c r="E20" s="1524"/>
      <c r="F20" s="1524"/>
      <c r="G20" s="14" t="s">
        <v>326</v>
      </c>
      <c r="H20" s="38"/>
      <c r="I20" s="38"/>
      <c r="J20" s="38"/>
      <c r="K20" s="1509">
        <f>BK6</f>
        <v>0</v>
      </c>
      <c r="L20" s="1510"/>
      <c r="M20" s="740"/>
      <c r="N20" s="740"/>
      <c r="O20" s="740"/>
      <c r="P20" s="14" t="s">
        <v>327</v>
      </c>
      <c r="Q20" s="38"/>
      <c r="R20" s="38"/>
      <c r="S20" s="38"/>
      <c r="T20" s="1548">
        <f>T26+T28+T30</f>
        <v>0</v>
      </c>
      <c r="U20" s="1549"/>
      <c r="V20" s="1555" t="s">
        <v>328</v>
      </c>
      <c r="W20" s="1556"/>
      <c r="X20" s="1554" t="str">
        <f>IF(__Retrofit_TI_NC=2,"",IF('Customer Authorization'!N35&lt;1,"Payback less than one year!",""))</f>
        <v/>
      </c>
      <c r="Y20" s="1554"/>
      <c r="Z20" s="1554"/>
      <c r="AA20" s="1554"/>
      <c r="AC20" s="38"/>
      <c r="AD20" s="38"/>
      <c r="AE20" s="202" t="str">
        <f>Project!U22</f>
        <v>Project Name</v>
      </c>
      <c r="AF20" s="1495" t="str">
        <f>IF(Project!V22="","",Project!V22)</f>
        <v/>
      </c>
      <c r="AG20" s="1495"/>
      <c r="AH20" s="1495"/>
      <c r="AI20" s="1495"/>
      <c r="AM20" s="202" t="s">
        <v>329</v>
      </c>
      <c r="AN20" s="202"/>
      <c r="AO20" s="1505" t="str">
        <f>IF(Project!AK24="","",Project!AK24)</f>
        <v/>
      </c>
      <c r="AP20" s="1505"/>
      <c r="AQ20" s="1505"/>
      <c r="AR20" s="1505"/>
      <c r="AS20" s="1505"/>
      <c r="AT20" s="1505"/>
      <c r="AU20" s="96"/>
      <c r="AW20" s="3"/>
      <c r="AX20" s="3"/>
      <c r="AY20" s="3"/>
      <c r="AZ20" s="3"/>
      <c r="BA20" s="3"/>
      <c r="BB20" s="3"/>
      <c r="BC20" s="3"/>
      <c r="BD20" s="3"/>
      <c r="BE20" s="3"/>
      <c r="BF20" s="229" t="str">
        <f>BF859</f>
        <v/>
      </c>
      <c r="BG20" s="229" t="str">
        <f t="shared" ref="BG20:CG20" si="8">BG859</f>
        <v/>
      </c>
      <c r="BH20" s="229" t="str">
        <f t="shared" si="8"/>
        <v/>
      </c>
      <c r="BI20" s="229" t="str">
        <f t="shared" si="8"/>
        <v/>
      </c>
      <c r="BJ20" s="229" t="str">
        <f t="shared" si="8"/>
        <v/>
      </c>
      <c r="BK20" s="229" t="str">
        <f t="shared" si="8"/>
        <v/>
      </c>
      <c r="BL20" s="229" t="str">
        <f t="shared" si="8"/>
        <v/>
      </c>
      <c r="BM20" s="229" t="str">
        <f t="shared" si="8"/>
        <v/>
      </c>
      <c r="BN20" s="229" t="str">
        <f t="shared" si="8"/>
        <v/>
      </c>
      <c r="BO20" s="229" t="str">
        <f t="shared" si="8"/>
        <v/>
      </c>
      <c r="BP20" s="229" t="str">
        <f t="shared" si="8"/>
        <v/>
      </c>
      <c r="BQ20" s="229" t="str">
        <f t="shared" si="8"/>
        <v/>
      </c>
      <c r="BR20" s="229" t="str">
        <f t="shared" si="8"/>
        <v/>
      </c>
      <c r="BS20" s="229" t="str">
        <f t="shared" si="8"/>
        <v/>
      </c>
      <c r="BT20" s="229" t="str">
        <f t="shared" si="8"/>
        <v/>
      </c>
      <c r="BU20" s="229" t="str">
        <f t="shared" si="8"/>
        <v/>
      </c>
      <c r="BV20" s="229" t="str">
        <f t="shared" si="8"/>
        <v/>
      </c>
      <c r="BW20" s="229" t="str">
        <f t="shared" si="8"/>
        <v/>
      </c>
      <c r="BX20" s="229" t="str">
        <f t="shared" si="8"/>
        <v/>
      </c>
      <c r="BY20" s="229" t="str">
        <f t="shared" si="8"/>
        <v/>
      </c>
      <c r="BZ20" s="229" t="str">
        <f t="shared" si="8"/>
        <v/>
      </c>
      <c r="CA20" s="229" t="str">
        <f t="shared" si="8"/>
        <v/>
      </c>
      <c r="CB20" s="229" t="str">
        <f t="shared" si="8"/>
        <v/>
      </c>
      <c r="CC20" s="229" t="str">
        <f t="shared" si="8"/>
        <v/>
      </c>
      <c r="CD20" s="229" t="str">
        <f t="shared" si="8"/>
        <v/>
      </c>
      <c r="CE20" s="229" t="str">
        <f t="shared" si="8"/>
        <v/>
      </c>
      <c r="CF20" s="229" t="str">
        <f t="shared" si="8"/>
        <v/>
      </c>
      <c r="CG20" s="229" t="str">
        <f t="shared" si="8"/>
        <v/>
      </c>
      <c r="ET20" s="94"/>
      <c r="EU20" s="94"/>
      <c r="EV20" s="94"/>
      <c r="EW20" s="94"/>
      <c r="EX20" s="94"/>
      <c r="GJ20" s="95"/>
      <c r="GK20" s="95"/>
      <c r="GL20" s="95"/>
      <c r="GM20" s="95"/>
      <c r="GN20" s="95"/>
      <c r="GO20" s="95"/>
      <c r="GP20" s="95"/>
      <c r="GQ20" s="95"/>
      <c r="GR20" s="95"/>
      <c r="GS20" s="95"/>
      <c r="GT20" s="95"/>
      <c r="GU20" s="95"/>
      <c r="GV20" s="95"/>
      <c r="GW20" s="95"/>
      <c r="GX20" s="95"/>
      <c r="GY20" s="95"/>
      <c r="GZ20" s="95"/>
      <c r="HA20" s="95"/>
      <c r="HB20" s="95"/>
      <c r="HC20" s="95"/>
      <c r="HD20" s="95"/>
      <c r="HE20" s="95"/>
      <c r="HF20" s="95"/>
      <c r="HG20" s="95"/>
      <c r="HH20" s="95"/>
      <c r="HI20" s="95"/>
      <c r="HJ20" s="95"/>
      <c r="HK20" s="95"/>
      <c r="HL20" s="95"/>
      <c r="HM20" s="95"/>
      <c r="HN20" s="95"/>
      <c r="HO20" s="95"/>
      <c r="HP20" s="95"/>
      <c r="HQ20" s="95"/>
      <c r="HR20" s="95"/>
      <c r="HS20" s="95"/>
      <c r="HT20" s="95"/>
      <c r="HU20" s="95"/>
      <c r="HV20" s="95"/>
      <c r="HW20" s="95"/>
    </row>
    <row r="21" spans="1:250" customFormat="1" ht="2.25" customHeight="1">
      <c r="B21" s="1507"/>
      <c r="E21" s="741"/>
      <c r="F21" s="741"/>
      <c r="G21" s="14"/>
      <c r="H21" s="38"/>
      <c r="I21" s="38"/>
      <c r="J21" s="38"/>
      <c r="L21" s="38"/>
      <c r="P21" s="14"/>
      <c r="Q21" s="38"/>
      <c r="R21" s="38"/>
      <c r="S21" s="38"/>
      <c r="T21" s="1550"/>
      <c r="U21" s="1551"/>
      <c r="V21" s="1555"/>
      <c r="W21" s="1556"/>
      <c r="X21" s="1554"/>
      <c r="Y21" s="1554"/>
      <c r="Z21" s="1554"/>
      <c r="AA21" s="1554"/>
      <c r="AC21" s="38"/>
      <c r="AE21" s="202"/>
      <c r="AH21" s="97"/>
      <c r="AM21" s="96"/>
      <c r="AN21" s="202"/>
      <c r="AO21" s="38"/>
      <c r="AP21" s="38"/>
      <c r="AQ21" s="38"/>
      <c r="AR21" s="38"/>
      <c r="AS21" s="38"/>
      <c r="AT21" s="38"/>
      <c r="AU21" s="38"/>
      <c r="AW21" s="3"/>
      <c r="AX21" s="3"/>
      <c r="AY21" s="3"/>
      <c r="AZ21" s="3"/>
      <c r="BA21" s="3"/>
      <c r="BB21" s="3"/>
      <c r="BC21" s="3"/>
      <c r="BD21" s="3"/>
      <c r="BE21" s="3"/>
      <c r="BF21" s="229"/>
      <c r="BG21" s="229"/>
      <c r="BH21" s="229"/>
      <c r="BI21" s="229"/>
      <c r="BJ21" s="229"/>
      <c r="BK21" s="229"/>
      <c r="BL21" s="229"/>
      <c r="BM21" s="229"/>
      <c r="BN21" s="229"/>
      <c r="BO21" s="229"/>
      <c r="BP21" s="229"/>
      <c r="BQ21" s="229"/>
      <c r="BR21" s="229"/>
      <c r="BS21" s="229"/>
      <c r="BT21" s="229"/>
      <c r="BU21" s="229"/>
      <c r="BV21" s="229"/>
      <c r="BW21" s="229"/>
      <c r="BX21" s="229"/>
      <c r="BY21" s="229"/>
      <c r="BZ21" s="229"/>
      <c r="CA21" s="229"/>
      <c r="CB21" s="229"/>
      <c r="CC21" s="229"/>
      <c r="CD21" s="229"/>
      <c r="CE21" s="229"/>
      <c r="CF21" s="229"/>
      <c r="CG21" s="229"/>
      <c r="ET21" s="94"/>
      <c r="EU21" s="94"/>
      <c r="EV21" s="94"/>
      <c r="EW21" s="94"/>
      <c r="EX21" s="94"/>
      <c r="EY21" s="94"/>
      <c r="EZ21" s="94"/>
      <c r="FA21" s="94"/>
      <c r="FB21" s="94"/>
      <c r="FC21" s="94"/>
      <c r="GJ21" s="95"/>
      <c r="GK21" s="95"/>
      <c r="GL21" s="95"/>
      <c r="GM21" s="95"/>
      <c r="GN21" s="95"/>
      <c r="GO21" s="95"/>
      <c r="GP21" s="95"/>
      <c r="GQ21" s="95"/>
      <c r="GR21" s="95"/>
      <c r="GS21" s="95"/>
      <c r="GT21" s="95"/>
      <c r="GU21" s="95"/>
      <c r="GV21" s="95"/>
      <c r="GW21" s="95"/>
      <c r="GX21" s="95"/>
      <c r="GY21" s="95"/>
      <c r="GZ21" s="95"/>
      <c r="HA21" s="95"/>
      <c r="HB21" s="95"/>
      <c r="HC21" s="95"/>
      <c r="HD21" s="95"/>
      <c r="HE21" s="95"/>
      <c r="HF21" s="95"/>
      <c r="HG21" s="95"/>
      <c r="HH21" s="95"/>
      <c r="HI21" s="95"/>
      <c r="HJ21" s="95"/>
      <c r="HK21" s="95"/>
      <c r="HL21" s="95"/>
      <c r="HM21" s="95"/>
      <c r="HN21" s="95"/>
      <c r="HO21" s="95"/>
      <c r="HP21" s="95"/>
      <c r="HQ21" s="95"/>
      <c r="HR21" s="95"/>
      <c r="HS21" s="95"/>
      <c r="HT21" s="95"/>
      <c r="HU21" s="95"/>
      <c r="HV21" s="95"/>
      <c r="HW21" s="95"/>
    </row>
    <row r="22" spans="1:250" customFormat="1" ht="14.95" customHeight="1">
      <c r="B22" s="1507"/>
      <c r="E22" s="1524"/>
      <c r="F22" s="1524"/>
      <c r="G22" s="14" t="s">
        <v>2011</v>
      </c>
      <c r="H22" s="38"/>
      <c r="I22" s="38"/>
      <c r="J22" s="38"/>
      <c r="K22" s="1509">
        <f>BN6</f>
        <v>0</v>
      </c>
      <c r="L22" s="1510"/>
      <c r="M22" s="740"/>
      <c r="N22" s="740"/>
      <c r="O22" s="740"/>
      <c r="P22" s="14" t="s">
        <v>330</v>
      </c>
      <c r="Q22" s="38"/>
      <c r="R22" s="38"/>
      <c r="S22" s="38"/>
      <c r="T22" s="1552"/>
      <c r="U22" s="1553"/>
      <c r="V22" s="1555"/>
      <c r="W22" s="1556"/>
      <c r="X22" s="1554"/>
      <c r="Y22" s="1554"/>
      <c r="Z22" s="1554"/>
      <c r="AA22" s="1554"/>
      <c r="AB22" s="10"/>
      <c r="AC22" s="38"/>
      <c r="AD22" s="38"/>
      <c r="AE22" s="202" t="str">
        <f>Project!U24</f>
        <v>Business Name</v>
      </c>
      <c r="AF22" s="1495" t="str">
        <f>IF(Project!V24="","",Project!V24)</f>
        <v/>
      </c>
      <c r="AG22" s="1495"/>
      <c r="AH22" s="1495"/>
      <c r="AI22" s="1495"/>
      <c r="AJ22" s="38"/>
      <c r="AK22" s="38"/>
      <c r="AL22" s="38"/>
      <c r="AM22" s="204" t="str">
        <f>Project!AJ26</f>
        <v>Email</v>
      </c>
      <c r="AN22" s="204"/>
      <c r="AO22" s="1505" t="str">
        <f>IF(Project!AK26="","",Project!AK26)</f>
        <v/>
      </c>
      <c r="AP22" s="1505"/>
      <c r="AQ22" s="1505"/>
      <c r="AR22" s="1505"/>
      <c r="AS22" s="1505"/>
      <c r="AT22" s="1505"/>
      <c r="AU22" s="96"/>
      <c r="AV22" s="38"/>
      <c r="AW22" s="3"/>
      <c r="AX22" s="3"/>
      <c r="AY22" s="3"/>
      <c r="AZ22" s="3"/>
      <c r="BA22" s="3"/>
      <c r="BB22" s="3"/>
      <c r="BC22" s="3"/>
      <c r="BD22" s="3"/>
      <c r="BE22" s="3"/>
      <c r="BF22" s="12" t="str">
        <f>BF860</f>
        <v/>
      </c>
      <c r="BG22" s="12" t="str">
        <f t="shared" ref="BG22:CG22" si="9">BG860</f>
        <v/>
      </c>
      <c r="BH22" s="12" t="str">
        <f t="shared" si="9"/>
        <v/>
      </c>
      <c r="BI22" s="12" t="str">
        <f t="shared" si="9"/>
        <v/>
      </c>
      <c r="BJ22" s="12" t="str">
        <f t="shared" si="9"/>
        <v/>
      </c>
      <c r="BK22" s="12" t="str">
        <f t="shared" si="9"/>
        <v/>
      </c>
      <c r="BL22" s="12" t="str">
        <f t="shared" si="9"/>
        <v/>
      </c>
      <c r="BM22" s="12" t="str">
        <f t="shared" si="9"/>
        <v/>
      </c>
      <c r="BN22" s="12" t="str">
        <f t="shared" si="9"/>
        <v/>
      </c>
      <c r="BO22" s="12" t="str">
        <f t="shared" si="9"/>
        <v/>
      </c>
      <c r="BP22" s="12" t="str">
        <f t="shared" si="9"/>
        <v/>
      </c>
      <c r="BQ22" s="12" t="str">
        <f t="shared" si="9"/>
        <v/>
      </c>
      <c r="BR22" s="12" t="str">
        <f t="shared" si="9"/>
        <v/>
      </c>
      <c r="BS22" s="12" t="str">
        <f t="shared" si="9"/>
        <v/>
      </c>
      <c r="BT22" s="12" t="str">
        <f t="shared" si="9"/>
        <v/>
      </c>
      <c r="BU22" s="12" t="str">
        <f t="shared" si="9"/>
        <v/>
      </c>
      <c r="BV22" s="12" t="str">
        <f t="shared" si="9"/>
        <v/>
      </c>
      <c r="BW22" s="12" t="str">
        <f t="shared" si="9"/>
        <v/>
      </c>
      <c r="BX22" s="12" t="str">
        <f t="shared" si="9"/>
        <v/>
      </c>
      <c r="BY22" s="12" t="str">
        <f t="shared" si="9"/>
        <v/>
      </c>
      <c r="BZ22" s="12" t="str">
        <f t="shared" si="9"/>
        <v/>
      </c>
      <c r="CA22" s="12" t="str">
        <f t="shared" si="9"/>
        <v/>
      </c>
      <c r="CB22" s="12" t="str">
        <f t="shared" si="9"/>
        <v/>
      </c>
      <c r="CC22" s="12" t="str">
        <f t="shared" si="9"/>
        <v/>
      </c>
      <c r="CD22" s="12" t="str">
        <f t="shared" si="9"/>
        <v/>
      </c>
      <c r="CE22" s="12" t="str">
        <f t="shared" si="9"/>
        <v/>
      </c>
      <c r="CF22" s="12" t="str">
        <f t="shared" si="9"/>
        <v/>
      </c>
      <c r="CG22" s="12" t="str">
        <f t="shared" si="9"/>
        <v/>
      </c>
      <c r="CH22" s="38"/>
      <c r="CI22" s="38"/>
      <c r="CJ22" s="38"/>
      <c r="CK22" s="38"/>
      <c r="CL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38"/>
      <c r="DY22" s="38"/>
      <c r="DZ22" s="38"/>
      <c r="EB22" s="38"/>
      <c r="EC22" s="38"/>
      <c r="ED22" s="38"/>
      <c r="EE22" s="38"/>
      <c r="EF22" s="38"/>
      <c r="EG22" s="38"/>
      <c r="EH22" s="38"/>
      <c r="EI22" s="38"/>
      <c r="EJ22" s="38"/>
      <c r="EK22" s="38"/>
      <c r="EL22" s="38"/>
      <c r="EM22" s="38"/>
      <c r="EN22" s="38"/>
      <c r="EO22" s="38"/>
      <c r="EP22" s="38"/>
      <c r="EQ22" s="38"/>
      <c r="ER22" s="38"/>
      <c r="ES22" s="38"/>
      <c r="ET22" s="94"/>
      <c r="EU22" s="94"/>
      <c r="EV22" s="94"/>
      <c r="EW22" s="94"/>
      <c r="EX22" s="94"/>
      <c r="EY22" s="94"/>
      <c r="EZ22" s="94"/>
      <c r="FA22" s="94"/>
      <c r="FB22" s="94"/>
      <c r="FC22" s="94"/>
      <c r="GJ22" s="95"/>
      <c r="GK22" s="95"/>
      <c r="GL22" s="95"/>
      <c r="GM22" s="95"/>
      <c r="GN22" s="95"/>
      <c r="GO22" s="95"/>
      <c r="GP22" s="95"/>
      <c r="GQ22" s="95"/>
      <c r="GR22" s="95"/>
      <c r="GS22" s="95"/>
      <c r="GT22" s="95"/>
      <c r="GU22" s="95"/>
      <c r="GV22" s="95"/>
      <c r="GW22" s="95"/>
      <c r="GX22" s="95"/>
      <c r="GY22" s="95"/>
      <c r="GZ22" s="95"/>
      <c r="HA22" s="95"/>
      <c r="HB22" s="95"/>
      <c r="HC22" s="95"/>
      <c r="HD22" s="95"/>
      <c r="HE22" s="95"/>
      <c r="HF22" s="95"/>
      <c r="HG22" s="95"/>
      <c r="HH22" s="95"/>
      <c r="HI22" s="95"/>
      <c r="HJ22" s="95"/>
      <c r="HK22" s="95"/>
      <c r="HL22" s="95"/>
      <c r="HM22" s="95"/>
      <c r="HN22" s="95"/>
      <c r="HO22" s="95"/>
      <c r="HP22" s="95"/>
      <c r="HQ22" s="95"/>
      <c r="HR22" s="95"/>
      <c r="HS22" s="95"/>
      <c r="HT22" s="95"/>
      <c r="HU22" s="95"/>
      <c r="HV22" s="95"/>
      <c r="HW22" s="95"/>
      <c r="IN22" s="1351"/>
    </row>
    <row r="23" spans="1:250" customFormat="1" ht="2.25" customHeight="1">
      <c r="B23" s="1507"/>
      <c r="E23" s="741"/>
      <c r="F23" s="741"/>
      <c r="G23" s="14"/>
      <c r="H23" s="38"/>
      <c r="I23" s="38"/>
      <c r="J23" s="38"/>
      <c r="L23" s="38"/>
      <c r="Q23" s="38"/>
      <c r="R23" s="38"/>
      <c r="S23" s="38"/>
      <c r="T23" s="38"/>
      <c r="AA23" s="10"/>
      <c r="AB23" s="10"/>
      <c r="AC23" s="38"/>
      <c r="AE23" s="203"/>
      <c r="AF23" s="38"/>
      <c r="AG23" s="38"/>
      <c r="AH23" s="38"/>
      <c r="AI23" s="38"/>
      <c r="AJ23" s="38"/>
      <c r="AK23" s="38"/>
      <c r="AL23" s="38"/>
      <c r="AM23" s="96"/>
      <c r="AN23" s="96"/>
      <c r="AO23" s="96"/>
      <c r="AP23" s="96"/>
      <c r="AQ23" s="96"/>
      <c r="AR23" s="96"/>
      <c r="AS23" s="96"/>
      <c r="AT23" s="96"/>
      <c r="AU23" s="96"/>
      <c r="AV23" s="38"/>
      <c r="AW23" s="3"/>
      <c r="AX23" s="3"/>
      <c r="AY23" s="3"/>
      <c r="AZ23" s="3"/>
      <c r="BA23" s="3"/>
      <c r="BB23" s="3"/>
      <c r="BC23" s="3"/>
      <c r="BD23" s="3"/>
      <c r="BE23" s="3"/>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38"/>
      <c r="CI23" s="38"/>
      <c r="CJ23" s="38"/>
      <c r="CK23" s="38"/>
      <c r="CL23" s="38"/>
      <c r="CN23" s="38"/>
      <c r="CO23" s="38"/>
      <c r="CP23" s="105" t="s">
        <v>292</v>
      </c>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B23" s="38"/>
      <c r="EC23" s="38"/>
      <c r="ED23" s="38"/>
      <c r="EE23" s="38"/>
      <c r="EF23" s="38"/>
      <c r="EG23" s="38"/>
      <c r="EH23" s="38"/>
      <c r="EI23" s="38"/>
      <c r="EJ23" s="38"/>
      <c r="EK23" s="38"/>
      <c r="EL23" s="38"/>
      <c r="EM23" s="38"/>
      <c r="EN23" s="38"/>
      <c r="EO23" s="38"/>
      <c r="EP23" s="38"/>
      <c r="EQ23" s="38"/>
      <c r="ER23" s="38"/>
      <c r="ES23" s="38"/>
      <c r="ET23" s="94"/>
      <c r="EU23" s="94"/>
      <c r="EV23" s="94"/>
      <c r="EW23" s="94"/>
      <c r="EX23" s="94"/>
      <c r="EY23" s="94"/>
      <c r="EZ23" s="94"/>
      <c r="FA23" s="94"/>
      <c r="FB23" s="94"/>
      <c r="FC23" s="94"/>
      <c r="GJ23" s="95"/>
      <c r="GK23" s="95"/>
      <c r="GL23" s="95"/>
      <c r="GM23" s="95"/>
      <c r="GN23" s="95"/>
      <c r="GO23" s="95"/>
      <c r="GP23" s="95"/>
      <c r="GQ23" s="95"/>
      <c r="GR23" s="95"/>
      <c r="GS23" s="95"/>
      <c r="GT23" s="95"/>
      <c r="GU23" s="95"/>
      <c r="GV23" s="95"/>
      <c r="GW23" s="95"/>
      <c r="GX23" s="95"/>
      <c r="GY23" s="95"/>
      <c r="GZ23" s="95"/>
      <c r="HA23" s="95"/>
      <c r="HB23" s="95"/>
      <c r="HC23" s="95"/>
      <c r="HD23" s="95"/>
      <c r="HE23" s="95"/>
      <c r="HF23" s="95"/>
      <c r="HG23" s="95"/>
      <c r="HH23" s="95"/>
      <c r="HI23" s="95"/>
      <c r="HJ23" s="95"/>
      <c r="HK23" s="95"/>
      <c r="HL23" s="95"/>
      <c r="HM23" s="95"/>
      <c r="HN23" s="95"/>
      <c r="HO23" s="95"/>
      <c r="HP23" s="95"/>
      <c r="HQ23" s="95"/>
      <c r="HR23" s="95"/>
      <c r="HS23" s="95"/>
      <c r="HT23" s="95"/>
      <c r="HU23" s="95"/>
      <c r="HV23" s="95"/>
      <c r="HW23" s="95"/>
      <c r="IN23" s="1351"/>
    </row>
    <row r="24" spans="1:250" customFormat="1" ht="16.3">
      <c r="B24" s="1507" t="str">
        <f>IF(__Retrofit_TI_NC=2,IF(_C406_3=2,"C406.3.2 Reduced lighting power option 2 chosen. Baseline interior lighting power reduced by 20%",IF(_C406_3=1,"C406.3.1 Reduced lighting power option 1 chosen. Baseline interior lighting power reduced by 10%","No C406.3 Reduced lighting power option chosen. Baseline lighting power not reduced")),"")</f>
        <v/>
      </c>
      <c r="E24" s="1544">
        <v>0</v>
      </c>
      <c r="F24" s="1544"/>
      <c r="G24" s="14" t="s">
        <v>331</v>
      </c>
      <c r="H24" s="38"/>
      <c r="I24" s="38"/>
      <c r="J24" s="38"/>
      <c r="K24" s="1511">
        <f>BT6</f>
        <v>0</v>
      </c>
      <c r="L24" s="1512"/>
      <c r="M24" s="742"/>
      <c r="N24" s="742"/>
      <c r="O24" s="742"/>
      <c r="P24" s="100" t="s">
        <v>332</v>
      </c>
      <c r="Q24" s="38"/>
      <c r="R24" s="38"/>
      <c r="S24" s="38"/>
      <c r="T24" s="1358" t="s">
        <v>333</v>
      </c>
      <c r="U24" s="1537"/>
      <c r="V24" s="38"/>
      <c r="W24" s="38"/>
      <c r="X24" s="38"/>
      <c r="Y24" s="38"/>
      <c r="Z24" s="38"/>
      <c r="AA24" s="104"/>
      <c r="AB24" s="104"/>
      <c r="AC24" s="38"/>
      <c r="AD24" s="38"/>
      <c r="AE24" s="202" t="str">
        <f>Project!U30</f>
        <v>Project Site Address</v>
      </c>
      <c r="AF24" s="1495" t="str">
        <f>IF(Project!V30="","",Project!V30)</f>
        <v/>
      </c>
      <c r="AG24" s="1495"/>
      <c r="AH24" s="1495"/>
      <c r="AI24" s="1495"/>
      <c r="AJ24" s="38"/>
      <c r="AK24" s="38"/>
      <c r="AL24" s="38"/>
      <c r="AM24" s="204" t="str">
        <f>Project!AJ28</f>
        <v>Phone #</v>
      </c>
      <c r="AN24" s="204"/>
      <c r="AO24" s="1506" t="str">
        <f>IF(Project!AK28="","",Project!AK28)</f>
        <v/>
      </c>
      <c r="AP24" s="1506"/>
      <c r="AQ24" s="1506"/>
      <c r="AR24" s="1506"/>
      <c r="AS24" s="1506"/>
      <c r="AT24" s="1506"/>
      <c r="AU24" s="519"/>
      <c r="AV24" s="38"/>
      <c r="AW24" s="3"/>
      <c r="AX24" s="3"/>
      <c r="AY24" s="3"/>
      <c r="AZ24" s="3"/>
      <c r="BA24" s="3"/>
      <c r="BB24" s="3"/>
      <c r="BC24" s="3"/>
      <c r="BD24" s="3"/>
      <c r="BF24" s="12" t="str">
        <f>BF861</f>
        <v/>
      </c>
      <c r="BG24" s="12" t="str">
        <f t="shared" ref="BG24:CG24" si="10">BG861</f>
        <v/>
      </c>
      <c r="BH24" s="12" t="str">
        <f t="shared" si="10"/>
        <v/>
      </c>
      <c r="BI24" s="12" t="str">
        <f t="shared" si="10"/>
        <v/>
      </c>
      <c r="BJ24" s="12" t="str">
        <f t="shared" si="10"/>
        <v/>
      </c>
      <c r="BK24" s="12" t="str">
        <f t="shared" si="10"/>
        <v/>
      </c>
      <c r="BL24" s="12" t="str">
        <f t="shared" si="10"/>
        <v/>
      </c>
      <c r="BM24" s="12" t="str">
        <f t="shared" si="10"/>
        <v/>
      </c>
      <c r="BN24" s="12" t="str">
        <f t="shared" si="10"/>
        <v/>
      </c>
      <c r="BO24" s="12" t="str">
        <f t="shared" si="10"/>
        <v/>
      </c>
      <c r="BP24" s="12" t="str">
        <f t="shared" si="10"/>
        <v/>
      </c>
      <c r="BQ24" s="12" t="str">
        <f t="shared" si="10"/>
        <v/>
      </c>
      <c r="BR24" s="12" t="str">
        <f t="shared" si="10"/>
        <v/>
      </c>
      <c r="BS24" s="12" t="str">
        <f t="shared" si="10"/>
        <v/>
      </c>
      <c r="BT24" s="12" t="str">
        <f t="shared" si="10"/>
        <v/>
      </c>
      <c r="BU24" s="12" t="str">
        <f t="shared" si="10"/>
        <v/>
      </c>
      <c r="BV24" s="12" t="str">
        <f t="shared" si="10"/>
        <v/>
      </c>
      <c r="BW24" s="12" t="str">
        <f t="shared" si="10"/>
        <v/>
      </c>
      <c r="BX24" s="12" t="str">
        <f t="shared" si="10"/>
        <v/>
      </c>
      <c r="BY24" s="12" t="str">
        <f t="shared" si="10"/>
        <v/>
      </c>
      <c r="BZ24" s="12" t="str">
        <f t="shared" si="10"/>
        <v/>
      </c>
      <c r="CA24" s="12" t="str">
        <f t="shared" si="10"/>
        <v/>
      </c>
      <c r="CB24" s="12" t="str">
        <f t="shared" si="10"/>
        <v/>
      </c>
      <c r="CC24" s="12" t="str">
        <f t="shared" si="10"/>
        <v/>
      </c>
      <c r="CD24" s="12" t="str">
        <f t="shared" si="10"/>
        <v/>
      </c>
      <c r="CE24" s="12" t="str">
        <f t="shared" si="10"/>
        <v/>
      </c>
      <c r="CF24" s="12" t="str">
        <f t="shared" si="10"/>
        <v/>
      </c>
      <c r="CG24" s="12" t="str">
        <f t="shared" si="10"/>
        <v/>
      </c>
      <c r="CH24" s="38"/>
      <c r="CI24" s="38"/>
      <c r="CJ24" s="38"/>
      <c r="CK24" s="38"/>
      <c r="CL24" s="38"/>
      <c r="CN24" s="38"/>
      <c r="CO24" s="38"/>
      <c r="CP24" s="105" t="s">
        <v>292</v>
      </c>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GJ24" s="95"/>
      <c r="GK24" s="95"/>
      <c r="GL24" s="95"/>
      <c r="GM24" s="95"/>
      <c r="GN24" s="95"/>
      <c r="GO24" s="95"/>
      <c r="GP24" s="95"/>
      <c r="GQ24" s="95"/>
      <c r="GR24" s="95"/>
      <c r="GS24" s="95"/>
      <c r="GT24" s="95"/>
      <c r="GU24" s="95"/>
      <c r="GV24" s="95"/>
      <c r="GW24" s="95"/>
      <c r="GX24" s="95"/>
      <c r="GY24" s="95"/>
      <c r="GZ24" s="95"/>
      <c r="HA24" s="95"/>
      <c r="HB24" s="95"/>
      <c r="HC24" s="95"/>
      <c r="HD24" s="95"/>
      <c r="HE24" s="95"/>
      <c r="HF24" s="95"/>
      <c r="HG24" s="95"/>
      <c r="HH24" s="95"/>
      <c r="HI24" s="95"/>
      <c r="HJ24" s="95"/>
      <c r="HK24" s="95"/>
      <c r="HL24" s="95"/>
      <c r="HM24" s="95"/>
      <c r="HN24" s="95"/>
      <c r="HO24" s="95"/>
      <c r="HP24" s="95"/>
      <c r="HQ24" s="95"/>
      <c r="HR24" s="95"/>
      <c r="HS24" s="95"/>
      <c r="HT24" s="95"/>
      <c r="HU24" s="95"/>
      <c r="HV24" s="95"/>
      <c r="HW24" s="95"/>
      <c r="IM24" s="65">
        <f>IF(R41&gt;FO$37,(IM$28*(FO$37/R41)),IM$28)*FP40</f>
        <v>0</v>
      </c>
      <c r="IN24" s="1351"/>
      <c r="IO24" s="1351"/>
    </row>
    <row r="25" spans="1:250" customFormat="1" ht="2.25" customHeight="1">
      <c r="B25" s="1507"/>
      <c r="E25" s="119"/>
      <c r="F25" s="12"/>
      <c r="G25" s="14"/>
      <c r="H25" s="38"/>
      <c r="I25" s="38"/>
      <c r="J25" s="38"/>
      <c r="L25" s="38"/>
      <c r="Q25" s="38"/>
      <c r="R25" s="38"/>
      <c r="S25" s="38"/>
      <c r="T25" s="38"/>
      <c r="X25" s="98"/>
      <c r="AA25" s="10"/>
      <c r="AB25" s="10"/>
      <c r="AC25" s="38"/>
      <c r="AE25" s="203"/>
      <c r="AF25" s="38"/>
      <c r="AG25" s="38"/>
      <c r="AH25" s="38"/>
      <c r="AI25" s="38"/>
      <c r="AJ25" s="38"/>
      <c r="AK25" s="38"/>
      <c r="AL25" s="38"/>
      <c r="AM25" s="205"/>
      <c r="AN25" s="205"/>
      <c r="AO25" s="38"/>
      <c r="AP25" s="38"/>
      <c r="AQ25" s="38"/>
      <c r="AR25" s="38"/>
      <c r="AS25" s="38"/>
      <c r="AT25" s="38"/>
      <c r="AU25" s="38"/>
      <c r="AV25" s="38"/>
      <c r="AW25" s="3"/>
      <c r="AX25" s="3"/>
      <c r="AY25" s="3"/>
      <c r="AZ25" s="3"/>
      <c r="BA25" s="3"/>
      <c r="BB25" s="3"/>
      <c r="BC25" s="3"/>
      <c r="BD25" s="3"/>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38"/>
      <c r="CI25" s="38"/>
      <c r="CJ25" s="38"/>
      <c r="CK25" s="38"/>
      <c r="CL25" s="38"/>
      <c r="CM25" s="14"/>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GJ25" s="95"/>
      <c r="GK25" s="95"/>
      <c r="GL25" s="95"/>
      <c r="GM25" s="95"/>
      <c r="GN25" s="95"/>
      <c r="GO25" s="95"/>
      <c r="GP25" s="95"/>
      <c r="GQ25" s="95"/>
      <c r="GR25" s="95"/>
      <c r="GS25" s="95"/>
      <c r="GT25" s="95"/>
      <c r="GU25" s="95"/>
      <c r="GV25" s="95"/>
      <c r="GW25" s="95"/>
      <c r="GX25" s="95"/>
      <c r="GY25" s="95"/>
      <c r="GZ25" s="95"/>
      <c r="HA25" s="95"/>
      <c r="HB25" s="95"/>
      <c r="HC25" s="95"/>
      <c r="HD25" s="95"/>
      <c r="HE25" s="95"/>
      <c r="HF25" s="95"/>
      <c r="HG25" s="95"/>
      <c r="HH25" s="95"/>
      <c r="HI25" s="95"/>
      <c r="HJ25" s="95"/>
      <c r="HK25" s="95"/>
      <c r="HL25" s="95"/>
      <c r="HM25" s="95"/>
      <c r="HN25" s="95"/>
      <c r="HO25" s="95"/>
      <c r="HP25" s="95"/>
      <c r="HQ25" s="95"/>
      <c r="HR25" s="95"/>
      <c r="HS25" s="95"/>
      <c r="HT25" s="95"/>
      <c r="HU25" s="95"/>
      <c r="HV25" s="95"/>
      <c r="HW25" s="95"/>
      <c r="IN25" s="1351"/>
      <c r="IO25" s="1351"/>
    </row>
    <row r="26" spans="1:250" customFormat="1" ht="14.3">
      <c r="B26" s="1507"/>
      <c r="E26" s="38"/>
      <c r="F26" s="38"/>
      <c r="G26" s="38"/>
      <c r="H26" s="38"/>
      <c r="I26" s="38"/>
      <c r="J26" s="38"/>
      <c r="K26" s="38"/>
      <c r="L26" s="38"/>
      <c r="M26" s="38"/>
      <c r="N26" s="38"/>
      <c r="O26" s="38"/>
      <c r="P26" s="38"/>
      <c r="Q26" s="38"/>
      <c r="R26" s="38"/>
      <c r="S26" s="38"/>
      <c r="T26" s="1542">
        <f>IF(__Retrofit_TI_NC=2,Autofund!J3,IF('Customer Authorization'!N35&gt;1,Autofund!J3,0))</f>
        <v>0</v>
      </c>
      <c r="U26" s="1543"/>
      <c r="V26" s="14" t="s">
        <v>334</v>
      </c>
      <c r="W26" s="38"/>
      <c r="X26" s="38"/>
      <c r="Y26" s="38"/>
      <c r="Z26" s="38"/>
      <c r="AA26" s="512" t="str">
        <f>IFERROR(IF(__Retrofit_TI_NC&lt;&gt;0,"",IF(Autofund!O3&lt;0.35,CONCATENATE("LOW TRC! (",ROUND(Autofund!O3,2),")"),CONCATENATE("TRC = ",ROUND(Autofund!O3,2)))),"")</f>
        <v>LOW TRC! (0)</v>
      </c>
      <c r="AB26" s="38"/>
      <c r="AC26" s="38"/>
      <c r="AD26" s="38"/>
      <c r="AE26" s="202" t="str">
        <f>Project!U34</f>
        <v>City</v>
      </c>
      <c r="AF26" s="1495" t="str">
        <f>IF(Project!V34="","",Project!V34)</f>
        <v/>
      </c>
      <c r="AG26" s="1495"/>
      <c r="AH26" s="743" t="str">
        <f>Project!V36</f>
        <v>WA</v>
      </c>
      <c r="AI26" s="744" t="str">
        <f>IF(Project!AA36="","",Project!AA36)</f>
        <v/>
      </c>
      <c r="AJ26" s="38"/>
      <c r="AK26" s="38"/>
      <c r="AL26" s="38"/>
      <c r="AM26" s="202" t="str">
        <f>Project!G63</f>
        <v>Company</v>
      </c>
      <c r="AN26" s="202"/>
      <c r="AO26" s="1517" t="str">
        <f>IF(OR(Project!H59="- Choose Type -",Project!H59=""),"Missing",IF(Project!H59="In-house (Self)","Self Install",IF(Project!H63="","",Project!H63)))</f>
        <v/>
      </c>
      <c r="AP26" s="1518"/>
      <c r="AQ26" s="1518"/>
      <c r="AR26" s="1518"/>
      <c r="AS26" s="1518"/>
      <c r="AT26" s="1519"/>
      <c r="AU26" s="96"/>
      <c r="AV26" s="38"/>
      <c r="AW26" s="3"/>
      <c r="AX26" s="3"/>
      <c r="AY26" s="3"/>
      <c r="AZ26" s="3"/>
      <c r="BA26" s="3"/>
      <c r="BB26" s="3"/>
      <c r="BC26" s="3"/>
      <c r="BD26" s="3"/>
      <c r="BF26" s="90" t="str">
        <f>BF862</f>
        <v/>
      </c>
      <c r="BG26" s="90" t="str">
        <f t="shared" ref="BG26:CG26" si="11">BG862</f>
        <v/>
      </c>
      <c r="BH26" s="90" t="str">
        <f t="shared" si="11"/>
        <v/>
      </c>
      <c r="BI26" s="90" t="str">
        <f t="shared" si="11"/>
        <v/>
      </c>
      <c r="BJ26" s="90" t="str">
        <f t="shared" si="11"/>
        <v/>
      </c>
      <c r="BK26" s="90" t="str">
        <f t="shared" si="11"/>
        <v/>
      </c>
      <c r="BL26" s="90" t="str">
        <f t="shared" si="11"/>
        <v/>
      </c>
      <c r="BM26" s="90" t="str">
        <f t="shared" si="11"/>
        <v/>
      </c>
      <c r="BN26" s="90" t="str">
        <f t="shared" si="11"/>
        <v/>
      </c>
      <c r="BO26" s="90" t="str">
        <f t="shared" si="11"/>
        <v/>
      </c>
      <c r="BP26" s="90" t="str">
        <f t="shared" si="11"/>
        <v/>
      </c>
      <c r="BQ26" s="90" t="str">
        <f t="shared" si="11"/>
        <v/>
      </c>
      <c r="BR26" s="90" t="str">
        <f t="shared" si="11"/>
        <v/>
      </c>
      <c r="BS26" s="90" t="str">
        <f t="shared" si="11"/>
        <v/>
      </c>
      <c r="BT26" s="90" t="str">
        <f t="shared" si="11"/>
        <v/>
      </c>
      <c r="BU26" s="90" t="str">
        <f t="shared" si="11"/>
        <v/>
      </c>
      <c r="BV26" s="90" t="str">
        <f t="shared" si="11"/>
        <v/>
      </c>
      <c r="BW26" s="90" t="str">
        <f t="shared" si="11"/>
        <v/>
      </c>
      <c r="BX26" s="90" t="str">
        <f t="shared" si="11"/>
        <v/>
      </c>
      <c r="BY26" s="90" t="str">
        <f t="shared" si="11"/>
        <v/>
      </c>
      <c r="BZ26" s="90" t="str">
        <f t="shared" si="11"/>
        <v/>
      </c>
      <c r="CA26" s="90" t="str">
        <f t="shared" si="11"/>
        <v/>
      </c>
      <c r="CB26" s="90" t="str">
        <f t="shared" si="11"/>
        <v/>
      </c>
      <c r="CC26" s="90" t="str">
        <f t="shared" si="11"/>
        <v/>
      </c>
      <c r="CD26" s="90" t="str">
        <f t="shared" si="11"/>
        <v/>
      </c>
      <c r="CE26" s="90" t="str">
        <f t="shared" si="11"/>
        <v/>
      </c>
      <c r="CF26" s="90" t="str">
        <f t="shared" si="11"/>
        <v/>
      </c>
      <c r="CG26" s="90" t="str">
        <f t="shared" si="11"/>
        <v/>
      </c>
      <c r="CH26" s="38"/>
      <c r="CI26" s="38"/>
      <c r="CJ26" s="38"/>
      <c r="CK26" s="38"/>
      <c r="CL26" s="38"/>
      <c r="CM26" s="14"/>
      <c r="CN26" s="38"/>
      <c r="CO26" s="38"/>
      <c r="CP26" s="105" t="s">
        <v>172</v>
      </c>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GJ26" s="95"/>
      <c r="GK26" s="95"/>
      <c r="GL26" s="95"/>
      <c r="GM26" s="95"/>
      <c r="GN26" s="95"/>
      <c r="GO26" s="95"/>
      <c r="GP26" s="95"/>
      <c r="GQ26" s="95"/>
      <c r="GR26" s="95"/>
      <c r="GS26" s="95"/>
      <c r="GT26" s="95"/>
      <c r="GU26" s="95"/>
      <c r="GV26" s="95"/>
      <c r="GW26" s="95"/>
      <c r="GX26" s="95"/>
      <c r="GY26" s="95"/>
      <c r="GZ26" s="95"/>
      <c r="HA26" s="95"/>
      <c r="HB26" s="95"/>
      <c r="HC26" s="95"/>
      <c r="HD26" s="95"/>
      <c r="HE26" s="95"/>
      <c r="HF26" s="95"/>
      <c r="HG26" s="95"/>
      <c r="HH26" s="95"/>
      <c r="HI26" s="95"/>
      <c r="HJ26" s="95"/>
      <c r="HK26" s="95"/>
      <c r="HL26" s="95"/>
      <c r="HM26" s="95"/>
      <c r="HN26" s="95"/>
      <c r="HO26" s="95"/>
      <c r="HP26" s="95"/>
      <c r="HQ26" s="95"/>
      <c r="HR26" s="95"/>
      <c r="HS26" s="95"/>
      <c r="HT26" s="95"/>
      <c r="HU26" s="95"/>
      <c r="HV26" s="95"/>
      <c r="HW26" s="95"/>
    </row>
    <row r="27" spans="1:250" customFormat="1" ht="2.25" customHeight="1">
      <c r="B27" s="1507"/>
      <c r="E27" s="101"/>
      <c r="F27" s="101"/>
      <c r="G27" s="14"/>
      <c r="H27" s="38"/>
      <c r="I27" s="38"/>
      <c r="J27" s="38"/>
      <c r="L27" s="38"/>
      <c r="Q27" s="38"/>
      <c r="R27" s="38"/>
      <c r="S27" s="38"/>
      <c r="T27" s="96"/>
      <c r="U27" s="96"/>
      <c r="V27" s="96"/>
      <c r="W27" s="38"/>
      <c r="X27" s="38"/>
      <c r="Y27" s="14"/>
      <c r="AA27" s="10"/>
      <c r="AB27" s="10"/>
      <c r="AC27" s="38"/>
      <c r="AD27" s="96"/>
      <c r="AE27" s="203"/>
      <c r="AF27" s="38"/>
      <c r="AG27" s="38"/>
      <c r="AH27" s="38"/>
      <c r="AI27" s="38"/>
      <c r="AJ27" s="38"/>
      <c r="AK27" s="38"/>
      <c r="AL27" s="38"/>
      <c r="AM27" s="205"/>
      <c r="AN27" s="205"/>
      <c r="AO27" s="38"/>
      <c r="AP27" s="38"/>
      <c r="AQ27" s="38"/>
      <c r="AR27" s="38"/>
      <c r="AS27" s="38"/>
      <c r="AT27" s="38"/>
      <c r="AU27" s="38"/>
      <c r="AV27" s="38"/>
      <c r="AW27" s="3"/>
      <c r="AX27" s="3"/>
      <c r="AY27" s="3"/>
      <c r="AZ27" s="3"/>
      <c r="BA27" s="3"/>
      <c r="BB27" s="3"/>
      <c r="BC27" s="3"/>
      <c r="BD27" s="3"/>
      <c r="BF27" s="90"/>
      <c r="BG27" s="90"/>
      <c r="BH27" s="90"/>
      <c r="BI27" s="90"/>
      <c r="BJ27" s="90"/>
      <c r="BK27" s="90"/>
      <c r="BL27" s="90"/>
      <c r="BM27" s="90"/>
      <c r="BN27" s="90"/>
      <c r="BO27" s="90"/>
      <c r="BP27" s="90"/>
      <c r="BQ27" s="90"/>
      <c r="BR27" s="90"/>
      <c r="BS27" s="90"/>
      <c r="BT27" s="90"/>
      <c r="BU27" s="90"/>
      <c r="BV27" s="90"/>
      <c r="BW27" s="90"/>
      <c r="BX27" s="90"/>
      <c r="BY27" s="90"/>
      <c r="BZ27" s="90"/>
      <c r="CA27" s="90"/>
      <c r="CB27" s="90"/>
      <c r="CC27" s="90"/>
      <c r="CD27" s="90"/>
      <c r="CE27" s="90"/>
      <c r="CF27" s="90"/>
      <c r="CG27" s="90"/>
      <c r="CH27" s="38"/>
      <c r="CI27" s="38"/>
      <c r="CJ27" s="38"/>
      <c r="CK27" s="38"/>
      <c r="CL27" s="38"/>
      <c r="CM27" s="14"/>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B27" s="38"/>
      <c r="EC27" s="38"/>
      <c r="ED27" s="38"/>
      <c r="EE27" s="38"/>
      <c r="EF27" s="38"/>
      <c r="EG27" s="38"/>
      <c r="EH27" s="38"/>
      <c r="EI27" s="38"/>
      <c r="EJ27" s="38"/>
      <c r="EK27" s="38"/>
      <c r="EL27" s="38"/>
      <c r="EM27" s="38"/>
      <c r="EN27" s="38"/>
      <c r="EO27" s="38"/>
      <c r="EP27" s="38"/>
      <c r="EQ27" s="38"/>
      <c r="ER27" s="38"/>
      <c r="ES27" s="38"/>
      <c r="EX27" s="38"/>
      <c r="EY27" s="38"/>
      <c r="EZ27" s="38"/>
      <c r="FA27" s="38"/>
      <c r="FB27" s="38"/>
      <c r="FC27" s="38"/>
      <c r="GJ27" s="95"/>
      <c r="GK27" s="95"/>
      <c r="GL27" s="95"/>
      <c r="GM27" s="95"/>
      <c r="GN27" s="95"/>
      <c r="GO27" s="95"/>
      <c r="GP27" s="95"/>
      <c r="GQ27" s="95"/>
      <c r="GR27" s="95"/>
      <c r="GS27" s="95"/>
      <c r="GT27" s="95"/>
      <c r="GU27" s="95"/>
      <c r="GV27" s="95"/>
      <c r="GW27" s="95"/>
      <c r="GX27" s="95"/>
      <c r="GY27" s="95"/>
      <c r="GZ27" s="95"/>
      <c r="HA27" s="95"/>
      <c r="HB27" s="95"/>
      <c r="HC27" s="95"/>
      <c r="HD27" s="95"/>
      <c r="HE27" s="95"/>
      <c r="HF27" s="95"/>
      <c r="HG27" s="95"/>
      <c r="HH27" s="95"/>
      <c r="HI27" s="95"/>
      <c r="HJ27" s="95"/>
      <c r="HK27" s="95"/>
      <c r="HL27" s="95"/>
      <c r="HM27" s="95"/>
      <c r="HN27" s="95"/>
      <c r="HO27" s="95"/>
      <c r="HP27" s="95"/>
      <c r="HQ27" s="95"/>
      <c r="HR27" s="95"/>
      <c r="HS27" s="95"/>
      <c r="HT27" s="95"/>
      <c r="HU27" s="95"/>
      <c r="HV27" s="95"/>
      <c r="HW27" s="95"/>
    </row>
    <row r="28" spans="1:250" customFormat="1" ht="14.3">
      <c r="B28" s="1507"/>
      <c r="E28" s="1542">
        <f>BU903</f>
        <v>0</v>
      </c>
      <c r="F28" s="1543"/>
      <c r="G28" s="14" t="s">
        <v>335</v>
      </c>
      <c r="H28" s="38"/>
      <c r="I28" s="38"/>
      <c r="J28" s="38"/>
      <c r="K28" s="1513">
        <f>CC903</f>
        <v>0</v>
      </c>
      <c r="L28" s="1514"/>
      <c r="M28" s="745"/>
      <c r="N28" s="745"/>
      <c r="O28" s="745"/>
      <c r="P28" s="14" t="s">
        <v>336</v>
      </c>
      <c r="Q28" s="38"/>
      <c r="R28" s="38"/>
      <c r="S28" s="38"/>
      <c r="T28" s="1542">
        <f>IFERROR(Autofund!J4,0)</f>
        <v>0</v>
      </c>
      <c r="U28" s="1543"/>
      <c r="V28" s="14" t="str">
        <f>IF(__Retrofit_TI_NC=2,"TLED's not incentivised","TLED")</f>
        <v>TLED</v>
      </c>
      <c r="W28" s="38"/>
      <c r="X28" s="38"/>
      <c r="Y28" s="103" t="str">
        <f>IF('Customer Authorization'!N35&lt;1,"Payback less than one year!","")</f>
        <v/>
      </c>
      <c r="AA28" s="38"/>
      <c r="AB28" s="10"/>
      <c r="AC28" s="38"/>
      <c r="AD28" s="38"/>
      <c r="AE28" s="38"/>
      <c r="AF28" s="38"/>
      <c r="AG28" s="38"/>
      <c r="AH28" s="38"/>
      <c r="AI28" s="38"/>
      <c r="AJ28" s="38"/>
      <c r="AK28" s="38"/>
      <c r="AL28" s="38"/>
      <c r="AM28" s="202" t="s">
        <v>337</v>
      </c>
      <c r="AN28" s="202"/>
      <c r="AO28" s="1517" t="str">
        <f>IF(OR(Project!H59="",Project!H59="- Choose Type -"),"Missing",IF(Project!H59="In-house (Self)","",IF(Project!H65="","",Project!H65)))</f>
        <v/>
      </c>
      <c r="AP28" s="1518"/>
      <c r="AQ28" s="1518"/>
      <c r="AR28" s="1518"/>
      <c r="AS28" s="1518"/>
      <c r="AT28" s="1519"/>
      <c r="AU28" s="96"/>
      <c r="AV28" s="38"/>
      <c r="AW28" s="3"/>
      <c r="AX28" s="3"/>
      <c r="AY28" s="3"/>
      <c r="AZ28" s="3"/>
      <c r="BA28" s="3"/>
      <c r="BB28" s="3"/>
      <c r="BC28" s="3"/>
      <c r="BD28" s="3"/>
      <c r="BE28" s="38"/>
      <c r="BF28" s="90" t="str">
        <f>BF863</f>
        <v/>
      </c>
      <c r="BG28" s="90" t="str">
        <f t="shared" ref="BG28:CG28" si="12">BG863</f>
        <v/>
      </c>
      <c r="BH28" s="90" t="str">
        <f t="shared" si="12"/>
        <v/>
      </c>
      <c r="BI28" s="90" t="str">
        <f t="shared" si="12"/>
        <v/>
      </c>
      <c r="BJ28" s="90" t="str">
        <f t="shared" si="12"/>
        <v/>
      </c>
      <c r="BK28" s="90" t="str">
        <f t="shared" si="12"/>
        <v/>
      </c>
      <c r="BL28" s="90" t="str">
        <f t="shared" si="12"/>
        <v/>
      </c>
      <c r="BM28" s="90" t="str">
        <f t="shared" si="12"/>
        <v/>
      </c>
      <c r="BN28" s="90" t="str">
        <f t="shared" si="12"/>
        <v/>
      </c>
      <c r="BO28" s="90" t="str">
        <f t="shared" si="12"/>
        <v/>
      </c>
      <c r="BP28" s="90" t="str">
        <f t="shared" si="12"/>
        <v/>
      </c>
      <c r="BQ28" s="90" t="str">
        <f t="shared" si="12"/>
        <v/>
      </c>
      <c r="BR28" s="90" t="str">
        <f t="shared" si="12"/>
        <v/>
      </c>
      <c r="BS28" s="90" t="str">
        <f t="shared" si="12"/>
        <v/>
      </c>
      <c r="BT28" s="90" t="str">
        <f t="shared" si="12"/>
        <v/>
      </c>
      <c r="BU28" s="90" t="str">
        <f t="shared" si="12"/>
        <v/>
      </c>
      <c r="BV28" s="90" t="str">
        <f t="shared" si="12"/>
        <v/>
      </c>
      <c r="BW28" s="90" t="str">
        <f t="shared" si="12"/>
        <v/>
      </c>
      <c r="BX28" s="90" t="str">
        <f t="shared" si="12"/>
        <v/>
      </c>
      <c r="BY28" s="90" t="str">
        <f t="shared" si="12"/>
        <v/>
      </c>
      <c r="BZ28" s="90" t="str">
        <f t="shared" si="12"/>
        <v/>
      </c>
      <c r="CA28" s="90" t="str">
        <f t="shared" si="12"/>
        <v/>
      </c>
      <c r="CB28" s="90" t="str">
        <f t="shared" si="12"/>
        <v/>
      </c>
      <c r="CC28" s="90" t="str">
        <f t="shared" si="12"/>
        <v/>
      </c>
      <c r="CD28" s="90" t="str">
        <f t="shared" si="12"/>
        <v/>
      </c>
      <c r="CE28" s="90" t="str">
        <f t="shared" si="12"/>
        <v/>
      </c>
      <c r="CF28" s="90" t="str">
        <f t="shared" si="12"/>
        <v/>
      </c>
      <c r="CG28" s="90" t="str">
        <f t="shared" si="12"/>
        <v/>
      </c>
      <c r="CH28" s="38"/>
      <c r="CI28" s="38"/>
      <c r="CJ28" s="38"/>
      <c r="CK28" s="38"/>
      <c r="CL28" s="38"/>
      <c r="CM28" s="14"/>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B28" s="38"/>
      <c r="EC28" s="38"/>
      <c r="ED28" s="38"/>
      <c r="EE28" s="38"/>
      <c r="EF28" s="38"/>
      <c r="EG28" s="38"/>
      <c r="EH28" s="38"/>
      <c r="EI28" s="38"/>
      <c r="EJ28" s="38"/>
      <c r="EK28" s="38"/>
      <c r="EL28" s="38"/>
      <c r="EM28" s="38"/>
      <c r="EN28" s="38"/>
      <c r="EO28" s="38"/>
      <c r="EP28" s="38"/>
      <c r="EQ28" s="38"/>
      <c r="ER28" s="38"/>
      <c r="ES28" s="38"/>
      <c r="EX28" s="38"/>
      <c r="EY28" s="38"/>
      <c r="EZ28" s="38"/>
      <c r="FA28" s="38"/>
      <c r="FB28" s="38"/>
      <c r="FC28" s="38"/>
      <c r="GJ28" s="95"/>
      <c r="GK28" s="95"/>
      <c r="GL28" s="95"/>
      <c r="GM28" s="95"/>
      <c r="GN28" s="95"/>
      <c r="GO28" s="95"/>
      <c r="GP28" s="95"/>
      <c r="GQ28" s="95"/>
      <c r="GR28" s="95"/>
      <c r="GS28" s="95"/>
      <c r="GT28" s="95"/>
      <c r="GU28" s="95"/>
      <c r="GV28" s="95"/>
      <c r="GW28" s="95"/>
      <c r="GX28" s="95"/>
      <c r="GY28" s="95"/>
      <c r="GZ28" s="95"/>
      <c r="HA28" s="95"/>
      <c r="HB28" s="95"/>
      <c r="HC28" s="95"/>
      <c r="HD28" s="95"/>
      <c r="HE28" s="95"/>
      <c r="HF28" s="95"/>
      <c r="HG28" s="95"/>
      <c r="HH28" s="95"/>
      <c r="HI28" s="95"/>
      <c r="HJ28" s="95"/>
      <c r="HK28" s="95"/>
      <c r="HL28" s="95"/>
      <c r="HM28" s="95"/>
      <c r="HN28" s="95"/>
      <c r="HO28" s="95"/>
      <c r="HP28" s="95"/>
      <c r="HQ28" s="95"/>
      <c r="HR28" s="95"/>
      <c r="HS28" s="95"/>
      <c r="HT28" s="95"/>
      <c r="HU28" s="95"/>
      <c r="HV28" s="95"/>
      <c r="HW28" s="95"/>
      <c r="IM28" s="65">
        <f>'Control Savings'!J3</f>
        <v>0.3</v>
      </c>
      <c r="IP28" s="65">
        <f>'Control Savings'!M3</f>
        <v>0.1</v>
      </c>
    </row>
    <row r="29" spans="1:250" customFormat="1" ht="2.25" customHeight="1">
      <c r="B29" s="1507"/>
      <c r="E29" s="746"/>
      <c r="F29" s="746"/>
      <c r="G29" s="14"/>
      <c r="H29" s="38"/>
      <c r="I29" s="38"/>
      <c r="J29" s="38"/>
      <c r="L29" s="38"/>
      <c r="P29" s="14"/>
      <c r="Q29" s="38"/>
      <c r="R29" s="38"/>
      <c r="S29" s="38"/>
      <c r="T29" s="38"/>
      <c r="U29" s="38"/>
      <c r="V29" s="38"/>
      <c r="W29" s="38"/>
      <c r="X29" s="38"/>
      <c r="Y29" s="38"/>
      <c r="AC29" s="38"/>
      <c r="AD29" s="96"/>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90"/>
      <c r="BG29" s="90"/>
      <c r="BH29" s="90"/>
      <c r="BI29" s="90"/>
      <c r="BJ29" s="90"/>
      <c r="BK29" s="90"/>
      <c r="BL29" s="90"/>
      <c r="BM29" s="90"/>
      <c r="BN29" s="90"/>
      <c r="BO29" s="90"/>
      <c r="BP29" s="90"/>
      <c r="BQ29" s="90"/>
      <c r="BR29" s="90"/>
      <c r="BS29" s="90"/>
      <c r="BT29" s="90"/>
      <c r="BU29" s="90"/>
      <c r="BV29" s="90"/>
      <c r="BW29" s="90"/>
      <c r="BX29" s="90"/>
      <c r="BY29" s="90"/>
      <c r="BZ29" s="90"/>
      <c r="CA29" s="90"/>
      <c r="CB29" s="90"/>
      <c r="CC29" s="90"/>
      <c r="CD29" s="90"/>
      <c r="CE29" s="90"/>
      <c r="CF29" s="90"/>
      <c r="CG29" s="90"/>
      <c r="CH29" s="38"/>
      <c r="CI29" s="38"/>
      <c r="CJ29" s="38"/>
      <c r="CK29" s="38"/>
      <c r="CL29" s="38"/>
      <c r="CM29" s="14"/>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B29" s="38"/>
      <c r="EC29" s="38"/>
      <c r="ED29" s="38"/>
      <c r="EE29" s="38"/>
      <c r="EF29" s="38"/>
      <c r="EG29" s="38"/>
      <c r="EH29" s="38"/>
      <c r="EI29" s="38"/>
      <c r="EJ29" s="38"/>
      <c r="EK29" s="38"/>
      <c r="EL29" s="38"/>
      <c r="EM29" s="38"/>
      <c r="EN29" s="38"/>
      <c r="EO29" s="38"/>
      <c r="EP29" s="38"/>
      <c r="EQ29" s="38"/>
      <c r="ER29" s="38"/>
      <c r="ES29" s="38"/>
      <c r="EX29" s="38"/>
      <c r="EY29" s="38"/>
      <c r="EZ29" s="38"/>
      <c r="FA29" s="38"/>
      <c r="FB29" s="38"/>
      <c r="FC29" s="38"/>
      <c r="FD29" s="38"/>
      <c r="FE29" s="38"/>
      <c r="FF29" s="38"/>
      <c r="FG29" s="38"/>
      <c r="FK29" s="12"/>
      <c r="FL29" s="12"/>
      <c r="FM29" s="12"/>
      <c r="FN29" s="38"/>
      <c r="FO29" s="38"/>
      <c r="FP29" s="38"/>
      <c r="FQ29" s="38"/>
      <c r="FR29" s="38"/>
      <c r="FV29" s="12"/>
      <c r="GD29" s="12"/>
      <c r="GE29" s="12"/>
      <c r="GF29" s="12"/>
      <c r="GG29" s="12"/>
      <c r="GH29" s="12"/>
      <c r="GI29" s="12"/>
      <c r="GJ29" s="118"/>
      <c r="GK29" s="118"/>
      <c r="GL29" s="118"/>
      <c r="GM29" s="118"/>
      <c r="GN29" s="118"/>
      <c r="GO29" s="118"/>
      <c r="GP29" s="118"/>
      <c r="GQ29" s="118"/>
      <c r="GR29" s="118"/>
      <c r="GS29" s="118"/>
      <c r="GT29" s="118"/>
      <c r="GU29" s="118"/>
      <c r="GV29" s="118"/>
      <c r="GW29" s="118"/>
      <c r="GX29" s="118"/>
      <c r="GY29" s="118"/>
      <c r="GZ29" s="118"/>
      <c r="HA29" s="118"/>
      <c r="HB29" s="118"/>
      <c r="HC29" s="118"/>
      <c r="HD29" s="118"/>
      <c r="HE29" s="118"/>
      <c r="HF29" s="118"/>
      <c r="HG29" s="118"/>
      <c r="HH29" s="118"/>
      <c r="HI29" s="118"/>
      <c r="HJ29" s="118"/>
      <c r="HK29" s="118"/>
      <c r="HL29" s="118"/>
      <c r="HM29" s="118"/>
      <c r="HN29" s="118"/>
      <c r="HO29" s="118"/>
      <c r="HP29" s="118"/>
      <c r="HQ29" s="118"/>
      <c r="HR29" s="118"/>
      <c r="HS29" s="118"/>
      <c r="HT29" s="118"/>
      <c r="HU29" s="118"/>
      <c r="HV29" s="118"/>
      <c r="HW29" s="118"/>
      <c r="HX29" s="12"/>
      <c r="HY29" s="12"/>
      <c r="HZ29" s="12"/>
      <c r="IA29" s="12"/>
      <c r="IB29" s="12"/>
      <c r="IC29" s="12"/>
      <c r="ID29" s="12"/>
    </row>
    <row r="30" spans="1:250" customFormat="1" ht="14.3">
      <c r="B30" s="1507"/>
      <c r="E30" s="1547">
        <f>ROUND((E20+E22+E28)*E24,0)</f>
        <v>0</v>
      </c>
      <c r="F30" s="1547"/>
      <c r="G30" s="14" t="s">
        <v>338</v>
      </c>
      <c r="H30" s="38"/>
      <c r="I30" s="38"/>
      <c r="J30" s="38"/>
      <c r="K30" s="1513">
        <f>CD903</f>
        <v>0</v>
      </c>
      <c r="L30" s="1514"/>
      <c r="M30" s="745"/>
      <c r="N30" s="745"/>
      <c r="O30" s="745"/>
      <c r="P30" s="14" t="s">
        <v>228</v>
      </c>
      <c r="Q30" s="38"/>
      <c r="R30" s="38"/>
      <c r="S30" s="38"/>
      <c r="T30" s="1522">
        <f>IF('Customer Authorization'!N35&gt;1,Autofund!J5,0)</f>
        <v>0</v>
      </c>
      <c r="U30" s="1523"/>
      <c r="V30" s="14" t="s">
        <v>206</v>
      </c>
      <c r="W30" s="38"/>
      <c r="X30" s="38"/>
      <c r="Y30" s="14"/>
      <c r="AC30" s="38"/>
      <c r="AD30" s="38"/>
      <c r="AE30" s="38"/>
      <c r="AF30" s="38"/>
      <c r="AG30" s="38"/>
      <c r="AH30" s="38"/>
      <c r="AI30" s="38"/>
      <c r="AJ30" s="38"/>
      <c r="AK30" s="38"/>
      <c r="AL30" s="38"/>
      <c r="AM30" s="202" t="str">
        <f>Project!G67</f>
        <v>Email</v>
      </c>
      <c r="AN30" s="202"/>
      <c r="AO30" s="1517" t="str">
        <f>IF(OR(Project!H59="",Project!H59="- Choose Type -"),"Missing",IF(Project!H59="In-house (Self)","",IF(Project!H67="","",Project!H67)))</f>
        <v/>
      </c>
      <c r="AP30" s="1518"/>
      <c r="AQ30" s="1518"/>
      <c r="AR30" s="1518"/>
      <c r="AS30" s="1518"/>
      <c r="AT30" s="1519"/>
      <c r="AU30" s="96"/>
      <c r="AV30" s="38"/>
      <c r="AW30" s="38"/>
      <c r="AX30" s="38"/>
      <c r="AY30" s="38"/>
      <c r="AZ30" s="38"/>
      <c r="BA30" s="38"/>
      <c r="BB30" s="38"/>
      <c r="BC30" s="38"/>
      <c r="BD30" s="38"/>
      <c r="BE30" s="38"/>
      <c r="BF30" s="90" t="str">
        <f>BF864</f>
        <v/>
      </c>
      <c r="BG30" s="90" t="str">
        <f t="shared" ref="BG30:CG30" si="13">BG864</f>
        <v/>
      </c>
      <c r="BH30" s="90" t="str">
        <f t="shared" si="13"/>
        <v/>
      </c>
      <c r="BI30" s="90" t="str">
        <f t="shared" si="13"/>
        <v/>
      </c>
      <c r="BJ30" s="90" t="str">
        <f t="shared" si="13"/>
        <v/>
      </c>
      <c r="BK30" s="90" t="str">
        <f t="shared" si="13"/>
        <v/>
      </c>
      <c r="BL30" s="90" t="str">
        <f t="shared" si="13"/>
        <v/>
      </c>
      <c r="BM30" s="90" t="str">
        <f t="shared" si="13"/>
        <v/>
      </c>
      <c r="BN30" s="90" t="str">
        <f t="shared" si="13"/>
        <v/>
      </c>
      <c r="BO30" s="90" t="str">
        <f t="shared" si="13"/>
        <v/>
      </c>
      <c r="BP30" s="90" t="str">
        <f t="shared" si="13"/>
        <v/>
      </c>
      <c r="BQ30" s="90" t="str">
        <f t="shared" si="13"/>
        <v/>
      </c>
      <c r="BR30" s="90" t="str">
        <f t="shared" si="13"/>
        <v/>
      </c>
      <c r="BS30" s="90" t="str">
        <f t="shared" si="13"/>
        <v/>
      </c>
      <c r="BT30" s="90" t="str">
        <f t="shared" si="13"/>
        <v/>
      </c>
      <c r="BU30" s="90" t="str">
        <f t="shared" si="13"/>
        <v/>
      </c>
      <c r="BV30" s="90" t="str">
        <f t="shared" si="13"/>
        <v/>
      </c>
      <c r="BW30" s="90" t="str">
        <f t="shared" si="13"/>
        <v/>
      </c>
      <c r="BX30" s="90" t="str">
        <f t="shared" si="13"/>
        <v/>
      </c>
      <c r="BY30" s="90" t="str">
        <f t="shared" si="13"/>
        <v/>
      </c>
      <c r="BZ30" s="90" t="str">
        <f t="shared" si="13"/>
        <v/>
      </c>
      <c r="CA30" s="90" t="str">
        <f t="shared" si="13"/>
        <v/>
      </c>
      <c r="CB30" s="90" t="str">
        <f t="shared" si="13"/>
        <v/>
      </c>
      <c r="CC30" s="90" t="str">
        <f t="shared" si="13"/>
        <v/>
      </c>
      <c r="CD30" s="90" t="str">
        <f t="shared" si="13"/>
        <v/>
      </c>
      <c r="CE30" s="90" t="str">
        <f t="shared" si="13"/>
        <v/>
      </c>
      <c r="CF30" s="90" t="str">
        <f t="shared" si="13"/>
        <v/>
      </c>
      <c r="CG30" s="90" t="str">
        <f t="shared" si="13"/>
        <v/>
      </c>
      <c r="CH30" s="38"/>
      <c r="CI30" s="38"/>
      <c r="CJ30" s="38"/>
      <c r="CK30" s="38"/>
      <c r="CL30" s="38"/>
      <c r="CM30" s="14"/>
      <c r="CN30" s="38"/>
      <c r="CO30" s="38"/>
      <c r="CP30" s="38"/>
      <c r="CQ30" s="38"/>
      <c r="CR30" s="38"/>
      <c r="CS30" s="38"/>
      <c r="CT30" s="38"/>
      <c r="CU30" s="38"/>
      <c r="CV30" s="38"/>
      <c r="CW30" s="38"/>
      <c r="CX30" s="38"/>
      <c r="CY30" s="38"/>
      <c r="CZ30" s="38"/>
      <c r="DA30" s="38"/>
      <c r="DB30" s="38"/>
      <c r="DC30" s="38"/>
      <c r="DD30" s="38"/>
      <c r="DE30" s="38"/>
      <c r="DF30" s="38" t="e">
        <f>IF(FL40=3,IK40,IF(FL40=4,IL40,IF(FL40=5,IM40,IF(FL40=6,IN40,IF(FL40=7,IO40,IF(FL40=8,IP40,0))))))</f>
        <v>#N/A</v>
      </c>
      <c r="DG30" s="38"/>
      <c r="DH30" s="38"/>
      <c r="DI30" s="38"/>
      <c r="DJ30" s="105" t="s">
        <v>339</v>
      </c>
      <c r="DK30" s="105" t="s">
        <v>339</v>
      </c>
      <c r="DL30" s="38"/>
      <c r="DM30" s="38"/>
      <c r="DN30" s="38"/>
      <c r="DO30" s="38"/>
      <c r="DP30" s="38"/>
      <c r="DQ30" s="38"/>
      <c r="DR30" s="38"/>
      <c r="DS30" s="38"/>
      <c r="DT30" s="38"/>
      <c r="DU30" s="38"/>
      <c r="DV30" s="38"/>
      <c r="DW30" s="38"/>
      <c r="DX30" s="38"/>
      <c r="DY30" s="38"/>
      <c r="DZ30" s="38"/>
      <c r="EB30" s="38"/>
      <c r="EC30" s="38"/>
      <c r="ED30" s="38"/>
      <c r="EE30" s="38"/>
      <c r="EF30" s="38"/>
      <c r="EG30" s="38"/>
      <c r="EH30" s="38"/>
      <c r="EI30" s="38"/>
      <c r="EJ30" s="38"/>
      <c r="EK30" s="38"/>
      <c r="EL30" s="38"/>
      <c r="EM30" s="38"/>
      <c r="EN30" s="38"/>
      <c r="EO30" s="38"/>
      <c r="EP30" s="38"/>
      <c r="EQ30" s="38"/>
      <c r="ER30" s="38"/>
      <c r="ES30" s="38"/>
      <c r="EX30" s="38"/>
      <c r="EY30" s="38"/>
      <c r="EZ30" s="38"/>
      <c r="FA30" s="38"/>
      <c r="FB30" s="38"/>
      <c r="FC30" s="38"/>
      <c r="FD30" s="38"/>
      <c r="FE30" s="38"/>
      <c r="FF30" s="38"/>
      <c r="FG30" s="38"/>
      <c r="FN30" s="38"/>
      <c r="FO30" s="38"/>
      <c r="FP30" s="38"/>
      <c r="FQ30" s="38"/>
      <c r="FR30" s="38"/>
      <c r="GJ30" s="95"/>
      <c r="GK30" s="95"/>
      <c r="GL30" s="95"/>
      <c r="GM30" s="95"/>
      <c r="GN30" s="95"/>
      <c r="GO30" s="95"/>
      <c r="GP30" s="95"/>
      <c r="GQ30" s="95"/>
      <c r="GR30" s="95"/>
      <c r="GS30" s="95"/>
      <c r="GT30" s="95"/>
      <c r="GU30" s="95"/>
      <c r="GV30" s="95"/>
      <c r="GW30" s="95"/>
      <c r="GX30" s="95"/>
      <c r="GY30" s="95"/>
      <c r="GZ30" s="95"/>
      <c r="HA30" s="95"/>
      <c r="HB30" s="95"/>
      <c r="HC30" s="95"/>
      <c r="HD30" s="95"/>
      <c r="HE30" s="95"/>
      <c r="HF30" s="95"/>
      <c r="HG30" s="95"/>
      <c r="HH30" s="95"/>
      <c r="HI30" s="95"/>
      <c r="HJ30" s="95"/>
      <c r="HK30" s="95"/>
      <c r="HL30" s="95"/>
      <c r="HM30" s="95"/>
      <c r="HN30" s="95"/>
      <c r="HO30" s="95"/>
      <c r="HP30" s="95"/>
      <c r="HQ30" s="95"/>
      <c r="HR30" s="95"/>
      <c r="HS30" s="95"/>
      <c r="HT30" s="95"/>
      <c r="HU30" s="95"/>
      <c r="HV30" s="95"/>
      <c r="HW30" s="95"/>
      <c r="IB30" t="s">
        <v>186</v>
      </c>
      <c r="ID30" t="s">
        <v>286</v>
      </c>
      <c r="IK30" s="12">
        <v>3</v>
      </c>
      <c r="IL30" s="12">
        <v>4</v>
      </c>
      <c r="IM30" s="12">
        <v>5</v>
      </c>
      <c r="IN30" s="12">
        <v>6</v>
      </c>
      <c r="IO30" s="12">
        <v>7</v>
      </c>
      <c r="IP30" s="12">
        <v>8</v>
      </c>
    </row>
    <row r="31" spans="1:250" customFormat="1" ht="2.25" customHeight="1">
      <c r="B31" s="1507"/>
      <c r="F31" s="15"/>
      <c r="G31" s="102"/>
      <c r="H31" s="102"/>
      <c r="I31" s="14"/>
      <c r="J31" s="14"/>
      <c r="K31" s="99"/>
      <c r="L31" s="38"/>
      <c r="M31" s="99"/>
      <c r="N31" s="99"/>
      <c r="O31" s="99"/>
      <c r="Q31" s="38"/>
      <c r="R31" s="38"/>
      <c r="S31" s="38"/>
      <c r="T31" s="14"/>
      <c r="U31" s="14"/>
      <c r="V31" s="98"/>
      <c r="W31" s="98"/>
      <c r="X31" s="14"/>
      <c r="Y31" s="14"/>
      <c r="AC31" s="96"/>
      <c r="AD31" s="96"/>
      <c r="AE31" s="38"/>
      <c r="AF31" s="38"/>
      <c r="AG31" s="38"/>
      <c r="AH31" s="38"/>
      <c r="AI31" s="38"/>
      <c r="AJ31" s="96"/>
      <c r="BC31" s="38"/>
      <c r="BD31" s="38"/>
      <c r="BE31" s="38"/>
      <c r="BF31" s="90"/>
      <c r="BG31" s="90"/>
      <c r="BH31" s="90"/>
      <c r="BI31" s="90"/>
      <c r="BJ31" s="90"/>
      <c r="BK31" s="90"/>
      <c r="BL31" s="90"/>
      <c r="BM31" s="90"/>
      <c r="BN31" s="90"/>
      <c r="BO31" s="90"/>
      <c r="BP31" s="90"/>
      <c r="BQ31" s="90"/>
      <c r="BR31" s="90"/>
      <c r="BS31" s="90"/>
      <c r="BT31" s="90"/>
      <c r="BU31" s="90"/>
      <c r="BV31" s="90"/>
      <c r="BW31" s="90"/>
      <c r="BX31" s="90"/>
      <c r="BY31" s="90"/>
      <c r="BZ31" s="90"/>
      <c r="CA31" s="90"/>
      <c r="CB31" s="90"/>
      <c r="CC31" s="90"/>
      <c r="CD31" s="90"/>
      <c r="CE31" s="90"/>
      <c r="CF31" s="90"/>
      <c r="CG31" s="90"/>
      <c r="CH31" s="38"/>
      <c r="CI31" s="38"/>
      <c r="CM31" s="14"/>
      <c r="EX31" s="38"/>
      <c r="EY31" s="38"/>
      <c r="EZ31" s="38"/>
      <c r="FA31" s="38"/>
      <c r="FB31" s="38"/>
      <c r="FC31" s="38"/>
      <c r="FD31" s="38"/>
      <c r="FE31" s="38"/>
      <c r="FF31" s="38"/>
      <c r="FG31" s="38"/>
      <c r="FN31" s="38"/>
      <c r="FO31" s="38"/>
      <c r="FP31" s="38"/>
      <c r="FQ31" s="38"/>
      <c r="FR31" s="38"/>
      <c r="GJ31" s="95"/>
      <c r="GK31" s="95"/>
      <c r="GL31" s="95"/>
      <c r="GM31" s="95"/>
      <c r="GN31" s="95"/>
      <c r="GO31" s="95"/>
      <c r="GP31" s="95"/>
      <c r="GQ31" s="95"/>
      <c r="GR31" s="95"/>
      <c r="GS31" s="95"/>
      <c r="GT31" s="95"/>
      <c r="GU31" s="95"/>
      <c r="GV31" s="95"/>
      <c r="GW31" s="95"/>
      <c r="GX31" s="95"/>
      <c r="GY31" s="95"/>
      <c r="GZ31" s="95"/>
      <c r="HA31" s="95"/>
      <c r="HB31" s="95"/>
      <c r="HC31" s="95"/>
      <c r="HD31" s="95"/>
      <c r="HE31" s="95"/>
      <c r="HF31" s="95"/>
      <c r="HG31" s="95"/>
      <c r="HH31" s="95"/>
      <c r="HI31" s="95"/>
      <c r="HJ31" s="95"/>
      <c r="HK31" s="95"/>
      <c r="HL31" s="95"/>
      <c r="HM31" s="95"/>
      <c r="HN31" s="95"/>
      <c r="HO31" s="95"/>
      <c r="HP31" s="95"/>
      <c r="HQ31" s="95"/>
      <c r="HR31" s="95"/>
      <c r="HS31" s="95"/>
      <c r="HT31" s="95"/>
      <c r="HU31" s="95"/>
      <c r="HV31" s="95"/>
      <c r="HW31" s="95"/>
    </row>
    <row r="32" spans="1:250" ht="16.3">
      <c r="B32" s="1508"/>
      <c r="E32" s="1545">
        <f>IF(__Retrofit_TI_NC=2,Autofund!J26,E20+E22+E28+E30)</f>
        <v>0</v>
      </c>
      <c r="F32" s="1546"/>
      <c r="G32" s="100" t="s">
        <v>236</v>
      </c>
      <c r="K32" s="1515">
        <f>K28-K30</f>
        <v>0</v>
      </c>
      <c r="L32" s="1516"/>
      <c r="M32" s="747"/>
      <c r="N32" s="747"/>
      <c r="O32" s="747"/>
      <c r="P32" s="100" t="s">
        <v>229</v>
      </c>
      <c r="T32" s="1150" t="str">
        <f>IF(T30&gt;0,"PSE Control Review Req","")</f>
        <v/>
      </c>
      <c r="U32" s="1150"/>
      <c r="V32" s="1150"/>
      <c r="W32" s="1150"/>
      <c r="X32"/>
      <c r="Y32"/>
      <c r="AM32" s="202" t="str">
        <f>Project!G69</f>
        <v>Phone #</v>
      </c>
      <c r="AN32" s="202"/>
      <c r="AO32" s="1525" t="str">
        <f>IF(OR(Project!H59="",Project!H59="- Choose Type -"),"Missing",IF(Project!H59="In-house (Self)","",IF(Project!H69="","",Project!H69)))</f>
        <v/>
      </c>
      <c r="AP32" s="1526"/>
      <c r="AQ32" s="1526"/>
      <c r="AR32" s="1526"/>
      <c r="AS32" s="1526"/>
      <c r="AT32" s="1527"/>
      <c r="AU32" s="519"/>
      <c r="BF32" s="90" t="str">
        <f>BF865</f>
        <v/>
      </c>
      <c r="BG32" s="90" t="str">
        <f t="shared" ref="BG32:CG32" si="14">BG865</f>
        <v/>
      </c>
      <c r="BH32" s="90" t="str">
        <f t="shared" si="14"/>
        <v/>
      </c>
      <c r="BI32" s="90" t="str">
        <f t="shared" si="14"/>
        <v/>
      </c>
      <c r="BJ32" s="90" t="str">
        <f t="shared" si="14"/>
        <v/>
      </c>
      <c r="BK32" s="90" t="str">
        <f t="shared" si="14"/>
        <v/>
      </c>
      <c r="BL32" s="90" t="str">
        <f t="shared" si="14"/>
        <v/>
      </c>
      <c r="BM32" s="90" t="str">
        <f t="shared" si="14"/>
        <v/>
      </c>
      <c r="BN32" s="90" t="str">
        <f t="shared" si="14"/>
        <v/>
      </c>
      <c r="BO32" s="90" t="str">
        <f t="shared" si="14"/>
        <v/>
      </c>
      <c r="BP32" s="90" t="str">
        <f t="shared" si="14"/>
        <v/>
      </c>
      <c r="BQ32" s="90" t="str">
        <f t="shared" si="14"/>
        <v/>
      </c>
      <c r="BR32" s="90" t="str">
        <f t="shared" si="14"/>
        <v/>
      </c>
      <c r="BS32" s="90" t="str">
        <f t="shared" si="14"/>
        <v/>
      </c>
      <c r="BT32" s="90" t="str">
        <f t="shared" si="14"/>
        <v/>
      </c>
      <c r="BU32" s="90" t="str">
        <f t="shared" si="14"/>
        <v/>
      </c>
      <c r="BV32" s="90" t="str">
        <f t="shared" si="14"/>
        <v/>
      </c>
      <c r="BW32" s="90" t="str">
        <f t="shared" si="14"/>
        <v/>
      </c>
      <c r="BX32" s="90" t="str">
        <f t="shared" si="14"/>
        <v/>
      </c>
      <c r="BY32" s="90" t="str">
        <f t="shared" si="14"/>
        <v/>
      </c>
      <c r="BZ32" s="90" t="str">
        <f t="shared" si="14"/>
        <v/>
      </c>
      <c r="CA32" s="90" t="str">
        <f t="shared" si="14"/>
        <v/>
      </c>
      <c r="CB32" s="90" t="str">
        <f t="shared" si="14"/>
        <v/>
      </c>
      <c r="CC32" s="90" t="str">
        <f t="shared" si="14"/>
        <v/>
      </c>
      <c r="CD32" s="90" t="str">
        <f t="shared" si="14"/>
        <v/>
      </c>
      <c r="CE32" s="90" t="str">
        <f t="shared" si="14"/>
        <v/>
      </c>
      <c r="CF32" s="90" t="str">
        <f t="shared" si="14"/>
        <v/>
      </c>
      <c r="CG32" s="90" t="str">
        <f t="shared" si="14"/>
        <v/>
      </c>
      <c r="CM32" s="521" t="s">
        <v>340</v>
      </c>
      <c r="CN32" s="521" t="s">
        <v>340</v>
      </c>
      <c r="CP32" s="521" t="s">
        <v>340</v>
      </c>
      <c r="DJ32" s="1521">
        <f>SUM(DJ39:DJ800)</f>
        <v>0</v>
      </c>
      <c r="DK32" s="1521">
        <f>SUM(DK39:DK800)</f>
        <v>0</v>
      </c>
      <c r="DL32" s="1521">
        <f>DJ32-DK800</f>
        <v>0</v>
      </c>
      <c r="GJ32" s="574"/>
      <c r="GK32" s="574"/>
      <c r="GL32" s="574"/>
      <c r="GM32" s="574"/>
      <c r="GN32" s="574"/>
      <c r="GO32" s="574"/>
      <c r="GP32" s="574"/>
      <c r="GQ32" s="574"/>
      <c r="GR32" s="574"/>
      <c r="GS32" s="574"/>
      <c r="GT32" s="574"/>
      <c r="GU32" s="574"/>
      <c r="GV32" s="574"/>
      <c r="GW32" s="574"/>
      <c r="GX32" s="574"/>
      <c r="GY32" s="574"/>
      <c r="GZ32" s="574"/>
      <c r="HA32" s="574"/>
      <c r="HB32" s="574"/>
      <c r="HC32" s="574"/>
      <c r="HD32" s="574"/>
      <c r="HE32" s="574"/>
      <c r="HF32" s="574"/>
      <c r="HG32" s="574"/>
      <c r="HH32" s="574"/>
      <c r="HI32" s="574"/>
      <c r="HJ32" s="574"/>
      <c r="HK32" s="574"/>
      <c r="HL32" s="574"/>
      <c r="HM32" s="574"/>
      <c r="HN32" s="574"/>
      <c r="HO32" s="574"/>
      <c r="HP32" s="574"/>
      <c r="HQ32" s="574"/>
      <c r="HR32" s="574"/>
      <c r="HS32" s="574"/>
      <c r="HT32" s="574"/>
      <c r="HU32" s="574"/>
      <c r="HV32" s="574"/>
      <c r="HW32" s="574"/>
    </row>
    <row r="33" spans="1:250" ht="14.95" customHeight="1">
      <c r="B33" s="1048">
        <f>IF(__Retrofit_TI_NC=2,IF(_C406_3=2,0.8,IF(_C406_3=1,0.9,1)),1)</f>
        <v>1</v>
      </c>
      <c r="E33" s="206"/>
      <c r="F33" s="206"/>
      <c r="G33" s="206"/>
      <c r="H33" s="206"/>
      <c r="I33" s="206"/>
      <c r="J33" s="206"/>
      <c r="K33" s="206"/>
      <c r="L33" s="206"/>
      <c r="M33" s="206"/>
      <c r="N33" s="206"/>
      <c r="O33" s="206"/>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442">
        <f>Lookup!B2</f>
        <v>4</v>
      </c>
      <c r="AU33" s="514"/>
      <c r="BF33" s="38" t="str">
        <f>BF866</f>
        <v/>
      </c>
      <c r="BG33" s="38" t="str">
        <f t="shared" ref="BG33:CG33" si="15">BG866</f>
        <v/>
      </c>
      <c r="BH33" s="38" t="str">
        <f t="shared" si="15"/>
        <v/>
      </c>
      <c r="BI33" s="38" t="str">
        <f t="shared" si="15"/>
        <v/>
      </c>
      <c r="BJ33" s="38" t="str">
        <f t="shared" si="15"/>
        <v/>
      </c>
      <c r="BK33" s="38" t="str">
        <f t="shared" si="15"/>
        <v/>
      </c>
      <c r="BL33" s="38" t="str">
        <f t="shared" si="15"/>
        <v/>
      </c>
      <c r="BM33" s="38" t="str">
        <f t="shared" si="15"/>
        <v/>
      </c>
      <c r="BN33" s="38" t="str">
        <f t="shared" si="15"/>
        <v/>
      </c>
      <c r="BO33" s="38" t="str">
        <f t="shared" si="15"/>
        <v/>
      </c>
      <c r="BP33" s="38" t="str">
        <f t="shared" si="15"/>
        <v/>
      </c>
      <c r="BQ33" s="38" t="str">
        <f t="shared" si="15"/>
        <v/>
      </c>
      <c r="BR33" s="38" t="str">
        <f t="shared" si="15"/>
        <v/>
      </c>
      <c r="BS33" s="38" t="str">
        <f t="shared" si="15"/>
        <v/>
      </c>
      <c r="BT33" s="38" t="str">
        <f t="shared" si="15"/>
        <v/>
      </c>
      <c r="BU33" s="38" t="str">
        <f t="shared" si="15"/>
        <v/>
      </c>
      <c r="BV33" s="38" t="str">
        <f t="shared" si="15"/>
        <v/>
      </c>
      <c r="BW33" s="38" t="str">
        <f t="shared" si="15"/>
        <v/>
      </c>
      <c r="BX33" s="38" t="str">
        <f t="shared" si="15"/>
        <v/>
      </c>
      <c r="BY33" s="38" t="str">
        <f t="shared" si="15"/>
        <v/>
      </c>
      <c r="BZ33" s="38" t="str">
        <f t="shared" si="15"/>
        <v/>
      </c>
      <c r="CA33" s="38" t="str">
        <f t="shared" si="15"/>
        <v/>
      </c>
      <c r="CB33" s="38" t="str">
        <f t="shared" si="15"/>
        <v/>
      </c>
      <c r="CC33" s="38" t="str">
        <f t="shared" si="15"/>
        <v/>
      </c>
      <c r="CD33" s="38" t="str">
        <f t="shared" si="15"/>
        <v/>
      </c>
      <c r="CE33" s="38" t="str">
        <f t="shared" si="15"/>
        <v/>
      </c>
      <c r="CF33" s="38" t="str">
        <f t="shared" si="15"/>
        <v/>
      </c>
      <c r="CG33" s="38" t="str">
        <f t="shared" si="15"/>
        <v/>
      </c>
      <c r="DJ33" s="1521"/>
      <c r="DK33" s="1521"/>
      <c r="DL33" s="1521"/>
      <c r="EK33" s="596">
        <f>SUM(EK39:EK800)</f>
        <v>0</v>
      </c>
      <c r="EL33" s="596">
        <f>SUM(EL39:EL800)</f>
        <v>0</v>
      </c>
      <c r="EM33" s="596">
        <f>EK33+EL33</f>
        <v>0</v>
      </c>
      <c r="EN33" s="596">
        <f>EK33+EL33</f>
        <v>0</v>
      </c>
      <c r="EO33" s="228"/>
      <c r="EP33" s="596"/>
      <c r="EQ33" s="597">
        <f>E20+E22</f>
        <v>0</v>
      </c>
      <c r="ER33" s="228"/>
      <c r="ES33" s="598" t="s">
        <v>183</v>
      </c>
      <c r="GJ33" s="574"/>
      <c r="GK33" s="574"/>
      <c r="GL33" s="574"/>
      <c r="GM33" s="574"/>
      <c r="GN33" s="574"/>
      <c r="GO33" s="574"/>
      <c r="GP33" s="574"/>
      <c r="GQ33" s="574"/>
      <c r="GR33" s="574"/>
      <c r="GS33" s="574"/>
      <c r="GT33" s="574"/>
      <c r="GU33" s="574"/>
      <c r="GV33" s="574"/>
      <c r="GW33" s="574"/>
      <c r="GX33" s="574"/>
      <c r="GY33" s="574"/>
      <c r="GZ33" s="574"/>
      <c r="HA33" s="574"/>
      <c r="HB33" s="574"/>
      <c r="HC33" s="574"/>
      <c r="HD33" s="574"/>
      <c r="HE33" s="574"/>
      <c r="HF33" s="574"/>
      <c r="HG33" s="574"/>
      <c r="HH33" s="574"/>
      <c r="HI33" s="574"/>
      <c r="HJ33" s="574"/>
      <c r="HK33" s="574"/>
      <c r="HL33" s="574"/>
      <c r="HM33" s="574"/>
      <c r="HN33" s="574"/>
      <c r="HO33" s="574"/>
      <c r="HP33" s="574"/>
      <c r="HQ33" s="574"/>
      <c r="HR33" s="574"/>
      <c r="HS33" s="574"/>
      <c r="HT33" s="574"/>
      <c r="HU33" s="574"/>
      <c r="HV33" s="574"/>
      <c r="HW33" s="574"/>
    </row>
    <row r="34" spans="1:250" ht="2.25" customHeight="1">
      <c r="B34" s="1536"/>
      <c r="C34" s="1536"/>
      <c r="D34" s="1536"/>
      <c r="E34" s="1536"/>
      <c r="F34" s="1536"/>
      <c r="G34" s="1536"/>
      <c r="H34" s="1536"/>
      <c r="I34" s="1536"/>
      <c r="J34" s="1536"/>
      <c r="K34" s="1536"/>
      <c r="L34" s="1536"/>
      <c r="M34" s="1536"/>
      <c r="N34" s="1536"/>
      <c r="O34" s="1536"/>
      <c r="P34" s="1536"/>
      <c r="Q34" s="1536"/>
      <c r="R34" s="1536"/>
      <c r="S34" s="1536"/>
      <c r="T34" s="1536"/>
      <c r="U34" s="1536"/>
      <c r="V34" s="1536"/>
      <c r="W34" s="1536"/>
      <c r="X34" s="1536"/>
      <c r="Y34" s="1536"/>
      <c r="Z34" s="1536"/>
      <c r="AA34" s="1536"/>
      <c r="AB34" s="1536"/>
      <c r="AC34" s="1536"/>
      <c r="AD34" s="1536"/>
      <c r="AE34" s="1536"/>
      <c r="AF34" s="1536"/>
      <c r="AG34" s="1536"/>
      <c r="AH34" s="1536"/>
      <c r="AI34" s="1536"/>
      <c r="AJ34" s="1536"/>
      <c r="AK34" s="1536"/>
      <c r="AL34" s="1536"/>
      <c r="AM34" s="1536"/>
      <c r="AN34" s="1536"/>
      <c r="AO34" s="1536"/>
      <c r="AP34" s="1536"/>
      <c r="AQ34" s="1536"/>
      <c r="AR34" s="1536"/>
      <c r="AS34" s="1536"/>
      <c r="AT34" s="1536"/>
      <c r="BE34" s="1537">
        <v>16</v>
      </c>
      <c r="BF34" s="1537"/>
      <c r="BG34" s="1537"/>
      <c r="BH34" s="1537"/>
      <c r="BI34" s="1537"/>
      <c r="BJ34" s="1537"/>
      <c r="BK34" s="1537"/>
      <c r="BL34" s="1537"/>
      <c r="BM34" s="1537"/>
      <c r="BN34" s="1537"/>
      <c r="BO34" s="1537"/>
      <c r="BP34" s="1537"/>
      <c r="BQ34" s="1537"/>
      <c r="BR34" s="1537"/>
      <c r="BS34" s="1537"/>
      <c r="BT34" s="1537"/>
      <c r="BU34" s="1537"/>
      <c r="BV34" s="1537"/>
      <c r="BW34" s="1537"/>
      <c r="BX34" s="1537"/>
      <c r="BY34" s="1537"/>
      <c r="BZ34" s="1537"/>
      <c r="CA34" s="1537"/>
      <c r="CB34" s="1537"/>
      <c r="CC34" s="1537"/>
      <c r="CD34" s="1537"/>
      <c r="CE34" s="1537"/>
      <c r="CF34" s="1537"/>
      <c r="CG34" s="1537"/>
    </row>
    <row r="35" spans="1:250" s="228" customFormat="1" ht="39.1" hidden="1" customHeight="1">
      <c r="AU35" s="595"/>
      <c r="AV35" s="1533" t="s">
        <v>341</v>
      </c>
      <c r="AW35" s="1533" t="s">
        <v>342</v>
      </c>
      <c r="EU35" s="599"/>
      <c r="EV35" s="599"/>
      <c r="EW35" s="599"/>
      <c r="EX35" s="599"/>
      <c r="EY35" s="599"/>
      <c r="EZ35" s="599"/>
    </row>
    <row r="36" spans="1:250" ht="20.25" customHeight="1">
      <c r="C36" s="1531">
        <f>IF(Project!H24="Tenant Improvement",1,IF(Project!H24="New Construction",2,0))</f>
        <v>0</v>
      </c>
      <c r="D36" s="514"/>
      <c r="E36" s="561" t="s">
        <v>343</v>
      </c>
      <c r="F36" s="81"/>
      <c r="G36" s="78"/>
      <c r="H36" s="78"/>
      <c r="I36" s="78"/>
      <c r="J36" s="78"/>
      <c r="K36" s="78"/>
      <c r="L36" s="78"/>
      <c r="M36" s="78"/>
      <c r="N36" s="78"/>
      <c r="O36" s="78"/>
      <c r="P36" s="1528" t="s">
        <v>2020</v>
      </c>
      <c r="Q36" s="1528"/>
      <c r="R36" s="570">
        <f>Project!R$53</f>
        <v>0</v>
      </c>
      <c r="S36" s="574"/>
      <c r="T36" s="572" t="s">
        <v>344</v>
      </c>
      <c r="U36" s="75"/>
      <c r="V36" s="75"/>
      <c r="W36" s="75"/>
      <c r="X36" s="75"/>
      <c r="Y36" s="75"/>
      <c r="Z36" s="75"/>
      <c r="AA36" s="75"/>
      <c r="AB36" s="75"/>
      <c r="AC36" s="75"/>
      <c r="AD36" s="75"/>
      <c r="AE36" s="648" t="s">
        <v>316</v>
      </c>
      <c r="AF36" s="649"/>
      <c r="AG36" s="649"/>
      <c r="AH36" s="649"/>
      <c r="AI36" s="649"/>
      <c r="AJ36" s="649"/>
      <c r="AK36" s="649"/>
      <c r="AL36" s="576" t="s">
        <v>345</v>
      </c>
      <c r="AM36" s="513"/>
      <c r="AN36" s="513"/>
      <c r="AO36" s="513"/>
      <c r="AP36" s="513"/>
      <c r="AQ36" s="513"/>
      <c r="AR36" s="1558" t="s">
        <v>346</v>
      </c>
      <c r="AS36" s="580"/>
      <c r="AT36" s="1558" t="s">
        <v>347</v>
      </c>
      <c r="AU36" s="515"/>
      <c r="AV36" s="1534"/>
      <c r="AW36" s="1534"/>
      <c r="CX36" s="37"/>
      <c r="DL36" s="374">
        <f>SUM(DL39:DL92)</f>
        <v>0</v>
      </c>
      <c r="DS36" s="105"/>
      <c r="EC36" s="105" t="s">
        <v>283</v>
      </c>
      <c r="ED36" s="105" t="s">
        <v>284</v>
      </c>
      <c r="EE36" s="105" t="s">
        <v>186</v>
      </c>
      <c r="EF36" s="105" t="s">
        <v>286</v>
      </c>
      <c r="EG36" s="105" t="s">
        <v>287</v>
      </c>
      <c r="EJ36" s="105" t="s">
        <v>288</v>
      </c>
      <c r="EK36" s="105" t="s">
        <v>186</v>
      </c>
      <c r="EL36" s="105" t="s">
        <v>286</v>
      </c>
      <c r="EM36" s="105" t="s">
        <v>186</v>
      </c>
      <c r="EN36" s="105" t="s">
        <v>286</v>
      </c>
      <c r="EO36" s="105" t="s">
        <v>186</v>
      </c>
      <c r="EP36" s="105" t="s">
        <v>286</v>
      </c>
      <c r="EQ36" s="105"/>
      <c r="ES36" s="105" t="s">
        <v>289</v>
      </c>
      <c r="EU36" s="88"/>
      <c r="EV36" s="88"/>
      <c r="EW36" s="88"/>
      <c r="EX36" s="88"/>
      <c r="EY36" s="88"/>
      <c r="EZ36" s="88"/>
      <c r="FE36" s="90">
        <f>SUM(FE39:FE92)</f>
        <v>0</v>
      </c>
    </row>
    <row r="37" spans="1:250">
      <c r="C37" s="1531"/>
      <c r="E37" s="562"/>
      <c r="F37" s="78"/>
      <c r="G37" s="78"/>
      <c r="H37" s="78"/>
      <c r="I37" s="78"/>
      <c r="J37" s="78"/>
      <c r="K37" s="78"/>
      <c r="L37" s="78"/>
      <c r="M37" s="78"/>
      <c r="N37" s="78"/>
      <c r="O37" s="78"/>
      <c r="P37" s="1493"/>
      <c r="Q37" s="1493"/>
      <c r="R37" s="571"/>
      <c r="S37" s="574"/>
      <c r="T37" s="564"/>
      <c r="U37" s="498"/>
      <c r="V37" s="564"/>
      <c r="W37" s="564"/>
      <c r="X37" s="564"/>
      <c r="Y37" s="564"/>
      <c r="Z37" s="564"/>
      <c r="AA37" s="564"/>
      <c r="AB37" s="499"/>
      <c r="AC37" s="499"/>
      <c r="AD37" s="564"/>
      <c r="AE37" s="650"/>
      <c r="AF37" s="651"/>
      <c r="AG37" s="652"/>
      <c r="AH37" s="652"/>
      <c r="AI37" s="652"/>
      <c r="AJ37" s="653"/>
      <c r="AK37" s="654"/>
      <c r="AL37" s="577"/>
      <c r="AM37" s="1538"/>
      <c r="AN37" s="1539"/>
      <c r="AO37" s="513"/>
      <c r="AP37" s="513"/>
      <c r="AQ37" s="513"/>
      <c r="AR37" s="1558"/>
      <c r="AS37" s="580"/>
      <c r="AT37" s="1558"/>
      <c r="AU37" s="515"/>
      <c r="AV37" s="1534"/>
      <c r="AW37" s="1534"/>
      <c r="CM37" s="105" t="s">
        <v>290</v>
      </c>
      <c r="CN37" s="105" t="s">
        <v>291</v>
      </c>
      <c r="CO37" s="105"/>
      <c r="CP37" s="105" t="s">
        <v>292</v>
      </c>
      <c r="CS37" s="37" t="s">
        <v>280</v>
      </c>
      <c r="CU37" s="105" t="s">
        <v>281</v>
      </c>
      <c r="CX37" s="105" t="s">
        <v>282</v>
      </c>
      <c r="CY37" s="105" t="s">
        <v>283</v>
      </c>
      <c r="CZ37" s="105" t="s">
        <v>284</v>
      </c>
      <c r="DA37" s="105" t="s">
        <v>285</v>
      </c>
      <c r="DB37" s="37"/>
      <c r="DC37" s="37" t="s">
        <v>293</v>
      </c>
      <c r="DE37" s="105" t="s">
        <v>281</v>
      </c>
      <c r="DF37" s="37"/>
      <c r="DG37" s="105" t="s">
        <v>282</v>
      </c>
      <c r="DH37" s="105" t="s">
        <v>282</v>
      </c>
      <c r="DJ37" s="105" t="s">
        <v>348</v>
      </c>
      <c r="DK37" s="105" t="s">
        <v>348</v>
      </c>
      <c r="DL37" s="105" t="s">
        <v>233</v>
      </c>
      <c r="DN37" s="1358" t="s">
        <v>186</v>
      </c>
      <c r="DO37" s="1358"/>
      <c r="DP37" s="105" t="s">
        <v>286</v>
      </c>
      <c r="DQ37" s="105"/>
      <c r="DR37" s="105" t="s">
        <v>294</v>
      </c>
      <c r="DS37" s="105" t="s">
        <v>294</v>
      </c>
      <c r="DU37" s="1358" t="s">
        <v>286</v>
      </c>
      <c r="DV37" s="1358"/>
      <c r="DW37" s="105" t="s">
        <v>294</v>
      </c>
      <c r="DX37" s="105" t="s">
        <v>295</v>
      </c>
      <c r="DZ37" s="105" t="s">
        <v>296</v>
      </c>
      <c r="EA37" s="105" t="s">
        <v>297</v>
      </c>
      <c r="EC37" s="105" t="s">
        <v>186</v>
      </c>
      <c r="ED37" s="105" t="s">
        <v>186</v>
      </c>
      <c r="EE37" s="105" t="s">
        <v>298</v>
      </c>
      <c r="EF37" s="105" t="s">
        <v>298</v>
      </c>
      <c r="EG37" s="105" t="s">
        <v>298</v>
      </c>
      <c r="EH37" s="105" t="s">
        <v>186</v>
      </c>
      <c r="EI37" s="105" t="s">
        <v>286</v>
      </c>
      <c r="EJ37" s="105" t="s">
        <v>286</v>
      </c>
      <c r="EK37" s="105" t="s">
        <v>299</v>
      </c>
      <c r="EL37" s="105" t="s">
        <v>299</v>
      </c>
      <c r="EM37" s="105" t="s">
        <v>299</v>
      </c>
      <c r="EN37" s="105" t="s">
        <v>299</v>
      </c>
      <c r="EO37" s="105" t="s">
        <v>299</v>
      </c>
      <c r="EP37" s="105" t="s">
        <v>299</v>
      </c>
      <c r="EQ37" s="105" t="s">
        <v>299</v>
      </c>
      <c r="ES37" s="105">
        <f>SUM(ES39:ES39)</f>
        <v>0</v>
      </c>
      <c r="EU37" s="87"/>
      <c r="EV37" s="87"/>
      <c r="EW37" s="87"/>
      <c r="EX37" s="87"/>
      <c r="EY37" s="87"/>
      <c r="EZ37" s="87"/>
      <c r="FI37" s="105" t="s">
        <v>300</v>
      </c>
      <c r="FJ37" s="105" t="s">
        <v>301</v>
      </c>
      <c r="FK37" s="105" t="s">
        <v>302</v>
      </c>
      <c r="FL37" s="105" t="s">
        <v>303</v>
      </c>
      <c r="FN37" s="38" t="s">
        <v>304</v>
      </c>
      <c r="FO37" s="105">
        <v>3200</v>
      </c>
      <c r="FP37" s="105" t="s">
        <v>305</v>
      </c>
      <c r="FQ37" s="105" t="s">
        <v>306</v>
      </c>
      <c r="FR37" s="105" t="s">
        <v>307</v>
      </c>
      <c r="FS37" s="105" t="s">
        <v>306</v>
      </c>
      <c r="FW37" s="105" t="s">
        <v>178</v>
      </c>
      <c r="FX37" s="105"/>
      <c r="FY37" s="105" t="s">
        <v>308</v>
      </c>
      <c r="FZ37" s="105" t="s">
        <v>284</v>
      </c>
      <c r="GA37" s="105"/>
      <c r="GB37" s="105" t="s">
        <v>151</v>
      </c>
      <c r="GC37" s="105"/>
      <c r="GD37" s="1503" t="s">
        <v>309</v>
      </c>
      <c r="GF37" s="105" t="s">
        <v>132</v>
      </c>
      <c r="GG37" s="105" t="s">
        <v>170</v>
      </c>
      <c r="GK37" s="105">
        <f>SUM(GK39:GK39)</f>
        <v>0</v>
      </c>
    </row>
    <row r="38" spans="1:250" ht="14.6" customHeight="1" thickBot="1">
      <c r="C38" s="1531"/>
      <c r="E38" s="563"/>
      <c r="F38" s="565"/>
      <c r="G38" s="565"/>
      <c r="H38" s="565"/>
      <c r="I38" s="1494"/>
      <c r="J38" s="1494"/>
      <c r="K38" s="1494"/>
      <c r="L38" s="1494"/>
      <c r="M38" s="566"/>
      <c r="N38" s="566"/>
      <c r="O38" s="566"/>
      <c r="P38" s="1494"/>
      <c r="Q38" s="1494"/>
      <c r="R38" s="566"/>
      <c r="S38" s="575"/>
      <c r="T38" s="573" t="s">
        <v>190</v>
      </c>
      <c r="U38" s="567" t="s">
        <v>186</v>
      </c>
      <c r="V38" s="568"/>
      <c r="W38" s="568"/>
      <c r="X38" s="568"/>
      <c r="Y38" s="568"/>
      <c r="Z38" s="568"/>
      <c r="AA38" s="568"/>
      <c r="AB38" s="569" t="s">
        <v>132</v>
      </c>
      <c r="AC38" s="569" t="s">
        <v>282</v>
      </c>
      <c r="AD38" s="573" t="s">
        <v>312</v>
      </c>
      <c r="AE38" s="655" t="s">
        <v>190</v>
      </c>
      <c r="AF38" s="656" t="s">
        <v>286</v>
      </c>
      <c r="AG38" s="657"/>
      <c r="AH38" s="657"/>
      <c r="AI38" s="657"/>
      <c r="AJ38" s="658" t="s">
        <v>233</v>
      </c>
      <c r="AK38" s="659" t="s">
        <v>332</v>
      </c>
      <c r="AL38" s="578" t="s">
        <v>349</v>
      </c>
      <c r="AM38" s="1540" t="s">
        <v>332</v>
      </c>
      <c r="AN38" s="1541"/>
      <c r="AO38" s="1529" t="s">
        <v>350</v>
      </c>
      <c r="AP38" s="1529"/>
      <c r="AQ38" s="579"/>
      <c r="AR38" s="1559"/>
      <c r="AS38" s="581"/>
      <c r="AT38" s="1559"/>
      <c r="AU38" s="580"/>
      <c r="AV38" s="1535"/>
      <c r="AW38" s="1535"/>
      <c r="CM38" s="105" t="s">
        <v>310</v>
      </c>
      <c r="CN38" s="105" t="s">
        <v>277</v>
      </c>
      <c r="CO38" s="105"/>
      <c r="CP38" s="105" t="s">
        <v>172</v>
      </c>
      <c r="CS38" s="105" t="s">
        <v>190</v>
      </c>
      <c r="CT38" s="105" t="s">
        <v>186</v>
      </c>
      <c r="CU38" s="105" t="s">
        <v>311</v>
      </c>
      <c r="CV38" s="105" t="s">
        <v>132</v>
      </c>
      <c r="CW38" s="105" t="s">
        <v>282</v>
      </c>
      <c r="CX38" s="105" t="s">
        <v>285</v>
      </c>
      <c r="CY38" s="105" t="s">
        <v>312</v>
      </c>
      <c r="CZ38" s="105" t="s">
        <v>312</v>
      </c>
      <c r="DA38" s="105" t="s">
        <v>312</v>
      </c>
      <c r="DB38" s="105"/>
      <c r="DC38" s="105" t="s">
        <v>190</v>
      </c>
      <c r="DD38" s="37" t="s">
        <v>286</v>
      </c>
      <c r="DE38" s="105" t="s">
        <v>311</v>
      </c>
      <c r="DF38" s="105" t="s">
        <v>313</v>
      </c>
      <c r="DG38" s="105" t="s">
        <v>285</v>
      </c>
      <c r="DH38" s="105" t="s">
        <v>285</v>
      </c>
      <c r="DJ38" s="105" t="s">
        <v>349</v>
      </c>
      <c r="DK38" s="105" t="s">
        <v>284</v>
      </c>
      <c r="DN38" s="1359" t="s">
        <v>172</v>
      </c>
      <c r="DO38" s="1359"/>
      <c r="DP38" s="105" t="s">
        <v>172</v>
      </c>
      <c r="DQ38" s="105"/>
      <c r="DR38" s="105" t="s">
        <v>186</v>
      </c>
      <c r="DS38" s="105" t="s">
        <v>314</v>
      </c>
      <c r="DU38" s="1359" t="s">
        <v>315</v>
      </c>
      <c r="DV38" s="1359"/>
      <c r="DW38" s="105" t="s">
        <v>316</v>
      </c>
      <c r="DX38" s="105" t="s">
        <v>314</v>
      </c>
      <c r="DZ38" s="105" t="s">
        <v>205</v>
      </c>
      <c r="EA38" s="105" t="s">
        <v>205</v>
      </c>
      <c r="EC38" s="111" t="s">
        <v>282</v>
      </c>
      <c r="ED38" s="111" t="s">
        <v>282</v>
      </c>
      <c r="EE38" s="111" t="s">
        <v>282</v>
      </c>
      <c r="EF38" s="111" t="s">
        <v>282</v>
      </c>
      <c r="EG38" s="111" t="s">
        <v>282</v>
      </c>
      <c r="EH38" s="105" t="s">
        <v>281</v>
      </c>
      <c r="EI38" s="105" t="s">
        <v>281</v>
      </c>
      <c r="EJ38" s="105" t="s">
        <v>281</v>
      </c>
      <c r="EK38" s="105" t="s">
        <v>317</v>
      </c>
      <c r="EL38" s="105" t="s">
        <v>317</v>
      </c>
      <c r="EM38" s="105" t="s">
        <v>318</v>
      </c>
      <c r="EN38" s="105" t="s">
        <v>318</v>
      </c>
      <c r="EO38" s="105" t="s">
        <v>281</v>
      </c>
      <c r="EP38" s="105" t="s">
        <v>281</v>
      </c>
      <c r="EQ38" s="105" t="s">
        <v>281</v>
      </c>
      <c r="ES38" s="748">
        <f>SUM(ES40:ES88)</f>
        <v>0</v>
      </c>
      <c r="EU38" s="89"/>
      <c r="EV38" s="89"/>
      <c r="EW38" s="89"/>
      <c r="EX38" s="89"/>
      <c r="EY38" s="89" t="s">
        <v>314</v>
      </c>
      <c r="EZ38" s="89" t="s">
        <v>170</v>
      </c>
      <c r="FD38" s="739" t="s">
        <v>319</v>
      </c>
      <c r="FE38" s="105"/>
      <c r="FF38" s="105"/>
      <c r="FJ38" s="105" t="s">
        <v>273</v>
      </c>
      <c r="FN38" s="38" t="s">
        <v>233</v>
      </c>
      <c r="FO38" s="105" t="s">
        <v>305</v>
      </c>
      <c r="FP38" s="105" t="s">
        <v>320</v>
      </c>
      <c r="FQ38" s="105" t="s">
        <v>305</v>
      </c>
      <c r="FR38" s="105" t="s">
        <v>286</v>
      </c>
      <c r="FS38" s="37" t="s">
        <v>321</v>
      </c>
      <c r="FU38" s="105" t="s">
        <v>322</v>
      </c>
      <c r="FW38" s="105" t="s">
        <v>170</v>
      </c>
      <c r="FX38" s="105"/>
      <c r="FY38" s="105" t="s">
        <v>323</v>
      </c>
      <c r="FZ38" s="105" t="s">
        <v>170</v>
      </c>
      <c r="GA38" s="105"/>
      <c r="GB38" s="105" t="s">
        <v>324</v>
      </c>
      <c r="GC38" s="105"/>
      <c r="GD38" s="1504"/>
      <c r="GE38" s="105" t="s">
        <v>170</v>
      </c>
      <c r="GG38" s="105" t="s">
        <v>325</v>
      </c>
    </row>
    <row r="39" spans="1:250" s="82" customFormat="1" ht="5.0999999999999996" customHeight="1" thickTop="1" thickBot="1">
      <c r="B39" s="520"/>
      <c r="C39" s="437"/>
      <c r="D39" s="437"/>
      <c r="E39" s="1491"/>
      <c r="F39" s="1491"/>
      <c r="G39" s="1491"/>
      <c r="H39" s="1491"/>
      <c r="I39" s="1491"/>
      <c r="J39" s="1491"/>
      <c r="K39" s="1491"/>
      <c r="L39" s="1491"/>
      <c r="M39" s="1491"/>
      <c r="N39" s="1491"/>
      <c r="O39" s="1491"/>
      <c r="P39" s="1491"/>
      <c r="Q39" s="1491"/>
      <c r="R39" s="1491"/>
      <c r="S39" s="1491"/>
      <c r="T39" s="1491"/>
      <c r="U39" s="1491"/>
      <c r="V39" s="1491"/>
      <c r="W39" s="1491"/>
      <c r="X39" s="1491"/>
      <c r="Y39" s="1491"/>
      <c r="Z39" s="1491"/>
      <c r="AA39" s="1491"/>
      <c r="AB39" s="1491"/>
      <c r="AC39" s="1491"/>
      <c r="AD39" s="1491"/>
      <c r="AE39" s="1491"/>
      <c r="AF39" s="1491"/>
      <c r="AG39" s="1491"/>
      <c r="AH39" s="1491"/>
      <c r="AI39" s="1491"/>
      <c r="AJ39" s="1491"/>
      <c r="AK39" s="1491"/>
      <c r="AL39" s="1491"/>
      <c r="AM39" s="1491"/>
      <c r="AN39" s="1491"/>
      <c r="AO39" s="1491"/>
      <c r="AP39" s="1491"/>
      <c r="AQ39" s="1491"/>
      <c r="AR39" s="1491"/>
      <c r="AS39" s="1491"/>
      <c r="AT39" s="1491"/>
      <c r="AU39" s="51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M39" s="749"/>
      <c r="CN39" s="749"/>
      <c r="CO39" s="485"/>
      <c r="CP39" s="749"/>
      <c r="CS39" s="436"/>
      <c r="CT39" s="436"/>
      <c r="CU39" s="243"/>
      <c r="CV39" s="244"/>
      <c r="CW39" s="244"/>
      <c r="CX39" s="244"/>
      <c r="CY39" s="245"/>
      <c r="CZ39" s="245"/>
      <c r="DA39" s="245"/>
      <c r="DC39" s="750"/>
      <c r="DD39" s="751"/>
      <c r="DE39" s="752"/>
      <c r="DF39" s="753"/>
      <c r="DG39" s="754"/>
      <c r="DH39" s="754"/>
      <c r="DK39" s="244"/>
      <c r="DL39" s="750"/>
      <c r="DN39" s="750"/>
      <c r="DO39" s="755"/>
      <c r="DP39" s="436"/>
      <c r="DQ39" s="750"/>
      <c r="DR39" s="750"/>
      <c r="DS39" s="750"/>
      <c r="DU39" s="750"/>
      <c r="DV39" s="750"/>
      <c r="DW39" s="750"/>
      <c r="DX39" s="750"/>
      <c r="DZ39" s="756"/>
      <c r="EA39" s="756"/>
      <c r="EC39" s="754"/>
      <c r="ED39" s="754"/>
      <c r="EE39" s="244"/>
      <c r="EF39" s="754"/>
      <c r="EG39" s="754"/>
      <c r="EH39" s="243"/>
      <c r="EI39" s="243"/>
      <c r="EJ39" s="752"/>
      <c r="EK39" s="757"/>
      <c r="EL39" s="757"/>
      <c r="EM39" s="758"/>
      <c r="EN39" s="758"/>
      <c r="EO39" s="752"/>
      <c r="EP39" s="752"/>
      <c r="EQ39" s="752"/>
      <c r="ES39" s="750"/>
      <c r="EU39" s="436"/>
      <c r="EV39" s="436"/>
      <c r="EW39" s="436"/>
      <c r="EX39" s="436"/>
      <c r="EY39" s="436"/>
      <c r="EZ39" s="436"/>
      <c r="FD39" s="436"/>
      <c r="FE39" s="436"/>
      <c r="FF39" s="436"/>
      <c r="FO39" s="750"/>
      <c r="FP39" s="436"/>
      <c r="FQ39" s="436"/>
      <c r="FR39" s="750"/>
      <c r="FS39" s="750"/>
      <c r="FW39" s="749"/>
      <c r="FX39" s="749"/>
      <c r="FY39" s="749"/>
      <c r="FZ39" s="749"/>
      <c r="GA39" s="749"/>
      <c r="GB39" s="749"/>
      <c r="GC39" s="749"/>
      <c r="GD39" s="749"/>
      <c r="GE39" s="751"/>
      <c r="GF39" s="750"/>
      <c r="GG39" s="750"/>
    </row>
    <row r="40" spans="1:250" s="82" customFormat="1" ht="14.95" customHeight="1" thickTop="1" thickBot="1">
      <c r="B40" s="1421" t="str">
        <f>HY43</f>
        <v xml:space="preserve"> </v>
      </c>
      <c r="C40" s="1422">
        <v>1</v>
      </c>
      <c r="D40" s="1423"/>
      <c r="E40" s="1424" t="s">
        <v>242</v>
      </c>
      <c r="F40" s="1425"/>
      <c r="G40" s="1426"/>
      <c r="H40" s="1427"/>
      <c r="I40" s="1427"/>
      <c r="J40" s="1427"/>
      <c r="K40" s="1427"/>
      <c r="L40" s="1427"/>
      <c r="M40" s="1427"/>
      <c r="N40" s="1427"/>
      <c r="O40" s="1427"/>
      <c r="P40" s="1427"/>
      <c r="Q40" s="1427"/>
      <c r="R40" s="1427"/>
      <c r="S40" s="1428" t="s">
        <v>283</v>
      </c>
      <c r="T40" s="668" t="s">
        <v>190</v>
      </c>
      <c r="U40" s="1430" t="s">
        <v>186</v>
      </c>
      <c r="V40" s="1431"/>
      <c r="W40" s="1431"/>
      <c r="X40" s="1431"/>
      <c r="Y40" s="1431"/>
      <c r="Z40" s="1431"/>
      <c r="AA40" s="1431"/>
      <c r="AB40" s="1088" t="str">
        <f>IFERROR(IF(__Retrofit_TI_NC=0,VLOOKUP(U41,Fixtures_Existing_List,2,FALSE),ROUND(N42*R42/T42,10)),"")</f>
        <v/>
      </c>
      <c r="AC40" s="1039" t="str">
        <f>IFERROR(IF(__Retrofit_TI_NC=0,ROUND(T41*AB40*N41*R41/1000,0),IF(CN40="Interior",N42*R42*R41*N41*_C406_reduction/1000,N42*R42*R41*N41/1000)),"")</f>
        <v/>
      </c>
      <c r="AD40" s="1040" t="str">
        <f>IFERROR(IF(C$36=0,ROUND(T41*AB40/1000,2),N42*R42/1000),"")</f>
        <v/>
      </c>
      <c r="AE40" s="1044" t="s">
        <v>190</v>
      </c>
      <c r="AF40" s="1432" t="str">
        <f>IF(__Retrofit_TI_NC=2,CONCATENATE("Code min = ",DD40),IF(__Retrofit_TI_NC=1,"Emter what you think the existing control was"," Control"))</f>
        <v xml:space="preserve"> Control</v>
      </c>
      <c r="AG40" s="1432"/>
      <c r="AH40" s="1432"/>
      <c r="AI40" s="1432"/>
      <c r="AJ40" s="1433">
        <f>DF40</f>
        <v>0</v>
      </c>
      <c r="AK40" s="1435" t="str">
        <f>IFERROR(ROUND(AJ40*AC40,0),"")</f>
        <v/>
      </c>
      <c r="AL40" s="1437">
        <f>IFERROR(IF(HW40=FALSE,0,AC40-AK40),0)</f>
        <v>0</v>
      </c>
      <c r="AM40" s="1439">
        <f>AL40-AL42</f>
        <v>0</v>
      </c>
      <c r="AN40" s="1440"/>
      <c r="AO40" s="1445">
        <f>IFERROR(IF(HW40=FALSE,0,(T42*U43)+(AE42*AF43)),0)</f>
        <v>0</v>
      </c>
      <c r="AP40" s="1445"/>
      <c r="AQ40" s="1446"/>
      <c r="AR40" s="1451" t="s">
        <v>157</v>
      </c>
      <c r="AS40" s="1454">
        <f>IF(AR40="Yes",1,0)</f>
        <v>1</v>
      </c>
      <c r="AT40" s="1457" t="str">
        <f>IF(OR(DN40=4,DN40=5,DN40=6,DN40=12),CONCATENATE("$",IF(GD40=TRUE,Lookup!$B$11,Lookup!$B$2)," /lamp"),CONCATENATE(EA40,"/ kWh"))</f>
        <v>0/ kWh</v>
      </c>
      <c r="AU40" s="516"/>
      <c r="AV40" s="1478">
        <f>IFERROR(IF(GI41=TRUE,(AB43*T42)/R42,0),"NA")</f>
        <v>0</v>
      </c>
      <c r="AW40" s="1478" t="str">
        <f>IFERROR(N42*_C406_reduction,"NA")</f>
        <v>NA</v>
      </c>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M40" s="1352" t="str">
        <f>N41</f>
        <v/>
      </c>
      <c r="CN40" s="1352" t="str">
        <f>IFERROR(VLOOKUP(G41,_Lookup_Heat_Type_Table_New,3,FALSE),"")</f>
        <v/>
      </c>
      <c r="CO40" s="1415" t="str">
        <f>CN40</f>
        <v/>
      </c>
      <c r="CP40" s="1417" t="e">
        <f>VLOOKUP(G42,'Space Table'!$B$3:$L$160,9,FALSE)</f>
        <v>#N/A</v>
      </c>
      <c r="CR40" s="1386" t="s">
        <v>283</v>
      </c>
      <c r="CS40" s="1353">
        <f>IF(HW40=TRUE,T41,0)</f>
        <v>0</v>
      </c>
      <c r="CT40" s="1353" t="str">
        <f>IF(HW40=TRUE,U41,"")</f>
        <v/>
      </c>
      <c r="CU40" s="1353"/>
      <c r="CV40" s="1370">
        <f>IF(HW40=TRUE,AB40,0)</f>
        <v>0</v>
      </c>
      <c r="CW40" s="1370">
        <f>IF(HW40=TRUE,AC40,0)</f>
        <v>0</v>
      </c>
      <c r="CX40" s="1370">
        <f>IFERROR(IF(HW40=TRUE,CW40-CW42,0),0)</f>
        <v>0</v>
      </c>
      <c r="CY40" s="1485">
        <f>IF(HW40=TRUE,AD40,0)</f>
        <v>0</v>
      </c>
      <c r="CZ40" s="1485">
        <f>IF(HW40=TRUE,AD43,0)</f>
        <v>0</v>
      </c>
      <c r="DA40" s="1485">
        <f>IFERROR(CY40-CZ40,0)</f>
        <v>0</v>
      </c>
      <c r="DC40" s="1353">
        <f>IF(HW40=TRUE,AE41,0)</f>
        <v>0</v>
      </c>
      <c r="DD40" s="1460">
        <f>IF(__Retrofit_TI_NC=2,IF(CN40="Exterior",O43,FM40),FK40)</f>
        <v>0</v>
      </c>
      <c r="DE40" s="1353"/>
      <c r="DF40" s="1406">
        <f>IFERROR(IF(FL40=3,IK40,IF(FL40=4,IL40,IF(FL40=5,IM40,IF(FL40=6,IN40,IF(FL40=7,IO40,IF(FL40=8,IP40,0)))))),0)</f>
        <v>0</v>
      </c>
      <c r="DG40" s="1370">
        <f>IF(HW40=TRUE,AK40,0)</f>
        <v>0</v>
      </c>
      <c r="DH40" s="1369">
        <f>IFERROR(IF(HW40=TRUE,DG42-DG40,0),0)</f>
        <v>0</v>
      </c>
      <c r="DJ40" s="1483">
        <f>IFERROR(CW40-DG40,0)</f>
        <v>0</v>
      </c>
      <c r="DL40" s="1419">
        <f>DJ40-DK42</f>
        <v>0</v>
      </c>
      <c r="DN40" s="1403" t="str">
        <f>IFERROR(IF(AND(OR(FY40=4,FY40=5,FY40=6),OR(GB40=4,GB40=5,GB40=6)),FY40+8,VLOOKUP(CT42,Fixtures!R$31:Y$78,8,FALSE)),"")</f>
        <v/>
      </c>
      <c r="DO40" s="1404" t="str">
        <f>DN40</f>
        <v/>
      </c>
      <c r="DP40" s="1353" t="str">
        <f>IFERROR(VLOOKUP(DD42,Lookup!AU$3:AV$15,2,FALSE),"")</f>
        <v/>
      </c>
      <c r="DQ40" s="1404" t="str">
        <f>IF(DP40=7,"LLLC","")</f>
        <v/>
      </c>
      <c r="DR40" s="1403">
        <f>IFERROR(IF(OR(DN40=4,DN40=5,DN40=6,DN40=12,DN40=13,DN40=14),VLOOKUP(CT42,Fixtures!DN$27:EG$77,19,FALSE),1)*CS42,0)</f>
        <v>0</v>
      </c>
      <c r="DS40" s="1489">
        <f>IF(DP40=7,IF(DD40=DD42,0,DC42),0)</f>
        <v>0</v>
      </c>
      <c r="DU40" s="1403" t="str">
        <f>IFERROR(IF(EW40&lt;EW42,"Yes","No"),"")</f>
        <v/>
      </c>
      <c r="DV40" s="1404" t="str">
        <f>DU40</f>
        <v/>
      </c>
      <c r="DW40" s="1403">
        <f>IF(DU40="Yes",DC42,0)</f>
        <v>0</v>
      </c>
      <c r="DX40" s="1403">
        <f>DW40-DS40</f>
        <v>0</v>
      </c>
      <c r="DZ40" s="1481">
        <f>IFERROR(VLOOKUP(DN40,Lookup!AN$3:AO$16,2,FALSE),0)</f>
        <v>0</v>
      </c>
      <c r="EA40" s="1481">
        <f>IF(HW40=FALSE,0,IF(DU40="Yes",DZ40+Lookup!B$6,DZ40))</f>
        <v>0</v>
      </c>
      <c r="EC40" s="1482">
        <f>IF(HW40=TRUE,DJ40,0)</f>
        <v>0</v>
      </c>
      <c r="ED40" s="1369">
        <f>IF(HW40=TRUE,CW42,0)</f>
        <v>0</v>
      </c>
      <c r="EE40" s="1370">
        <f>IFERROR(EC40-ED40,0)</f>
        <v>0</v>
      </c>
      <c r="EF40" s="1369">
        <f>IF(HW40=TRUE,DG42,0)</f>
        <v>0</v>
      </c>
      <c r="EG40" s="1369">
        <f>IFERROR(EC40-ED40+EF40,0)</f>
        <v>0</v>
      </c>
      <c r="EH40" s="1373">
        <f>IF(HW40=TRUE,CS42*CU42,0)</f>
        <v>0</v>
      </c>
      <c r="EI40" s="1373">
        <f>IF(HW40=TRUE,DC42*DE42,0)</f>
        <v>0</v>
      </c>
      <c r="EJ40" s="1363">
        <f>AO40</f>
        <v>0</v>
      </c>
      <c r="EK40" s="1376" t="str">
        <f>IFERROR(IF(HW40=TRUE,VLOOKUP(DN40,Lookup!AN$3:AP$16,3,FALSE)*DR40,""),0)</f>
        <v/>
      </c>
      <c r="EL40" s="1376">
        <f>IF(HW40=TRUE,DW40*Lookup!AP$12,0)</f>
        <v>0</v>
      </c>
      <c r="EM40" s="1362">
        <f>IFERROR(IF(HW40=TRUE,EK40/EM$33,0),0)</f>
        <v>0</v>
      </c>
      <c r="EN40" s="1362">
        <f>IF(HW40=TRUE,EL40/EN$33,0)</f>
        <v>0</v>
      </c>
      <c r="EO40" s="1363">
        <f>IF(HW40=TRUE,EQ$33*EM40,0)</f>
        <v>0</v>
      </c>
      <c r="EP40" s="1363">
        <f>IF(HW40=TRUE,EQ$33*EN40,0)</f>
        <v>0</v>
      </c>
      <c r="EQ40" s="1363">
        <f>EO40+EP40</f>
        <v>0</v>
      </c>
      <c r="ES40" s="1403">
        <f>IF(G40="",0,1)</f>
        <v>0</v>
      </c>
      <c r="EU40" s="1410" t="e">
        <f>VLOOKUP(CP42,'Space Table'!$B$3:$L$160,8,FALSE)</f>
        <v>#N/A</v>
      </c>
      <c r="EV40" s="1410" t="e">
        <f>IF(EY40="Yes",VLOOKUP(DD40,Lookup_Control_Type_Table2,4,FALSE),VLOOKUP(DD40,Lookup_Control_Type_Table2,3,FALSE))</f>
        <v>#N/A</v>
      </c>
      <c r="EW40" s="1410" t="e">
        <f>VLOOKUP(DD40,Lookup!AU$3:AV$15,2,FALSE)</f>
        <v>#N/A</v>
      </c>
      <c r="EX40" s="1410" t="e">
        <f>VLOOKUP(EU40,Lookup_Control_Type_Table,2,FALSE)</f>
        <v>#N/A</v>
      </c>
      <c r="EY40" s="1410" t="e">
        <f>VLOOKUP(CP42,'Space Table'!$B$3:$L$160,7,FALSE)</f>
        <v>#N/A</v>
      </c>
      <c r="EZ40" s="1412" t="b">
        <f>ISNUMBER(SEARCH("TLED",U42))</f>
        <v>0</v>
      </c>
      <c r="FB40" s="1365" t="str">
        <f>CONCATENATE(CN40," - ",DD40)</f>
        <v xml:space="preserve"> - 0</v>
      </c>
      <c r="FD40" s="1353" t="str">
        <f>VLOOKUP(CT42,Fixtures!DN$27:EZ$77,38,FALSE)</f>
        <v/>
      </c>
      <c r="FE40" s="1353">
        <f>IFERROR(FD40*EE40,0)</f>
        <v>0</v>
      </c>
      <c r="FF40" s="138"/>
      <c r="FI40" s="1356" t="str">
        <f>IF(CN40="Exterior","Not Daylighted",G43)</f>
        <v>Not Daylighted</v>
      </c>
      <c r="FJ40" s="1356">
        <f>VLOOKUP(FI40,_Daylight_Table_Codes,2,FALSE)</f>
        <v>0</v>
      </c>
      <c r="FK40" s="1365">
        <f>IF(__Retrofit_TI_NC=2,VLOOKUP(G42,'Space Table'!$B$3:$L$160,11,FALSE),AF41)</f>
        <v>0</v>
      </c>
      <c r="FL40" s="1365" t="e">
        <f>VLOOKUP(FK40,_Control_Table,2,FALSE)</f>
        <v>#N/A</v>
      </c>
      <c r="FM40" s="1365" t="e">
        <f>IF(AND(FP40&gt;0,FK40="Occupancy Sensor"),"Daylight + Occupancy",IF(AND(FP40&gt;0,FL40&lt;4),"Interior Daylight Dimming",FK40))</f>
        <v>#N/A</v>
      </c>
      <c r="FO40" s="1364">
        <f>IF(CO40="Interior",VLOOKUP(CP40,Control_Savings_Interior,5,FALSE),0)</f>
        <v>0</v>
      </c>
      <c r="FP40" s="1361">
        <f>IF(CN40="Exterior",0,IF(FJ40=2,0.5,IF(OR(FJ40=1,FJ40=3),1,0)))</f>
        <v>0</v>
      </c>
      <c r="FQ40" s="1366"/>
      <c r="FR40" s="1367"/>
      <c r="FS40" s="1364"/>
      <c r="FT40" s="1367"/>
      <c r="FU40" s="1360"/>
      <c r="FW40" s="1352" t="str">
        <f>IFERROR(VLOOKUP(U41,_Exist_Fixture_Table,3,FALSE),"")</f>
        <v/>
      </c>
      <c r="FX40" s="1352" t="str">
        <f>VLOOKUP(CT40,_Exist_Fixture_Table,4,FALSE)</f>
        <v/>
      </c>
      <c r="FY40" s="1352">
        <f>IFERROR(VLOOKUP(FX40,Lookup!AM$6:AN$8,2,FALSE),0)</f>
        <v>0</v>
      </c>
      <c r="FZ40" s="1352" t="b">
        <f>IFERROR(IF(OR(GB40=4,GB40=5,GB40=6),TRUE,FALSE),"")</f>
        <v>0</v>
      </c>
      <c r="GA40" s="1352" t="str">
        <f>IFERROR(VLOOKUP(GB40,FY$6:FZ$10,2,FALSE),"")</f>
        <v/>
      </c>
      <c r="GB40" s="1352" t="str">
        <f>VLOOKUP(CT42,Fixtures!R$31:Y$78,8,FALSE)</f>
        <v/>
      </c>
      <c r="GC40" s="1352">
        <f>IF(AND(FW40=TRUE,FZ40=TRUE,OR(DN40=12,DN40=13,DN40=14)),FY40+8,0)</f>
        <v>0</v>
      </c>
      <c r="GD40" s="1352" t="b">
        <f>IF(OR(GC40=12,GC40=13,GC40=14),TRUE,FALSE)</f>
        <v>0</v>
      </c>
      <c r="GE40" s="759" t="b">
        <f>IF(ISNUMBER(SEARCH("TLED",U41)),TRUE,FALSE)</f>
        <v>0</v>
      </c>
      <c r="GF40" s="760" t="str">
        <f>IFERROR(VLOOKUP(U41,Fixtures!BM$93:BR$142,6,FALSE),"")</f>
        <v/>
      </c>
      <c r="GG40" s="1385" t="b">
        <f>IF(OR(GE40=FALSE,GE42=FALSE),TRUE,IF(GF40-GF42&lt;5,FALSE,TRUE))</f>
        <v>1</v>
      </c>
      <c r="GK40" s="761">
        <f>GL40</f>
        <v>0</v>
      </c>
      <c r="GL40" s="761">
        <f>IF(G40="",0,1)</f>
        <v>0</v>
      </c>
      <c r="GM40" s="761">
        <f>SUM(GN40:HB40)</f>
        <v>2</v>
      </c>
      <c r="GN40" s="761">
        <f>IF(G41="",0,1)</f>
        <v>0</v>
      </c>
      <c r="GO40" s="761">
        <f>IF(G42="",0,1)</f>
        <v>0</v>
      </c>
      <c r="GP40" s="761">
        <f>IF(R41="",0,1)</f>
        <v>0</v>
      </c>
      <c r="GQ40" s="761">
        <f>IF(__Retrofit_TI_NC=0,1,IF(R42="",0,1))</f>
        <v>1</v>
      </c>
      <c r="GR40" s="761">
        <f>IF(CN40="Exterior",1,IF(G43="",0,1))</f>
        <v>1</v>
      </c>
      <c r="GS40" s="761">
        <f>IF(__Retrofit_TI_NC&lt;&gt;0,1,IF(T41="",0,1))</f>
        <v>0</v>
      </c>
      <c r="GT40" s="761">
        <f>IF(__Retrofit_TI_NC&lt;&gt;0,1,IF(U41="",0,1))</f>
        <v>0</v>
      </c>
      <c r="GU40" s="761">
        <f>IF(T42="",0,1)</f>
        <v>0</v>
      </c>
      <c r="GV40" s="761">
        <f>IF(U42="",0,1)</f>
        <v>0</v>
      </c>
      <c r="GW40" s="761">
        <f>IF(__Retrofit_TI_NC=2,1,IF(U43="",0,1))</f>
        <v>0</v>
      </c>
      <c r="GX40" s="761">
        <f>IF(__Retrofit_TI_NC&lt;&gt;0,1,IF(AE41="",0,1))</f>
        <v>0</v>
      </c>
      <c r="GY40" s="761">
        <f>IF(__Retrofit_TI_NC&lt;&gt;0,1,IF(AF41="",0,1))</f>
        <v>0</v>
      </c>
      <c r="GZ40" s="761">
        <f>IF(AE42="",0,1)</f>
        <v>0</v>
      </c>
      <c r="HA40" s="761">
        <f>IF(AF42="",0,1)</f>
        <v>0</v>
      </c>
      <c r="HB40" s="761">
        <f>IF(__Retrofit_TI_NC=2,1,IF(AF43="",0,1))</f>
        <v>0</v>
      </c>
      <c r="HV40" s="436"/>
      <c r="HW40" s="1384" t="b">
        <f>IF(OR(HW43=0,HW43=HT$16,HW43=HS$16,HW43=HU$16),TRUE,FALSE)</f>
        <v>0</v>
      </c>
      <c r="HX40" s="1377" t="b">
        <f>HW40</f>
        <v>0</v>
      </c>
      <c r="HY40" s="436"/>
      <c r="HZ40" s="436"/>
      <c r="IA40" s="1386" t="b">
        <f>IF(MAX(GJ43:HP43)&gt;5,FALSE,TRUE)</f>
        <v>0</v>
      </c>
      <c r="IB40" s="1380">
        <f>IF(IA40=TRUE,AC40,0)</f>
        <v>0</v>
      </c>
      <c r="IC40" s="1380">
        <f>IB40-IB42</f>
        <v>0</v>
      </c>
      <c r="IF40" s="1380" t="e">
        <f>ROUND(T41*VLOOKUP(U41,Fixtures_Existing_List,2,FALSE)*N41*R41/1000,0)</f>
        <v>#N/A</v>
      </c>
      <c r="IG40" s="1381" t="e">
        <f>IF40-IF42</f>
        <v>#N/A</v>
      </c>
      <c r="IH40" s="1384" t="e">
        <f>ROUND(IF(CN40="Interior",N42*R42*R41*N41*_C406_reduction/1000,N42*R42*R41*N41/1000),0)</f>
        <v>#N/A</v>
      </c>
      <c r="II40" s="1384" t="e">
        <f>IH40-IH42</f>
        <v>#N/A</v>
      </c>
      <c r="IK40" s="1351" t="e">
        <f>IF($CO40="interior",IL40/2,VLOOKUP($CP40,Control_Savings_Exterior,IK$30,FALSE))</f>
        <v>#N/A</v>
      </c>
      <c r="IL40" s="1351" t="e">
        <f>IF($CO40="interior",VLOOKUP($CP40,Control_Savings_Interior,IL$30,FALSE),VLOOKUP($CP40,Control_Savings_Exterior,IL$30,FALSE))</f>
        <v>#N/A</v>
      </c>
      <c r="IM40" s="1351" t="e">
        <f>IF($CO40="interior",IF(R41&gt;FO$37,(IM$28*(FO$37/R41)),IM$28)*FP40,VLOOKUP($CP40,Control_Savings_Exterior,IM$30,FALSE))</f>
        <v>#N/A</v>
      </c>
      <c r="IN40" s="1351" t="e">
        <f>IF($CO40="interior",ROUND(((1-IL40)*IM40)+IL40,2),VLOOKUP($CP40,Control_Savings_Exterior,IN$30,FALSE))</f>
        <v>#N/A</v>
      </c>
      <c r="IO40" s="1351" t="e">
        <f>IF($CO40="interior", ROUND(((1-IL40)*(IM40*(1-IP$28)))+IP40,2), VLOOKUP($CP40,Control_Savings_Exterior,IO$30,FALSE))</f>
        <v>#N/A</v>
      </c>
      <c r="IP40" s="1351">
        <f>IF($CO40="interior",ROUND(((1-IL40)*IP$28)+IL40,2),0)</f>
        <v>0</v>
      </c>
    </row>
    <row r="41" spans="1:250" s="82" customFormat="1" ht="14.95" customHeight="1" thickTop="1" thickBot="1">
      <c r="B41" s="1421"/>
      <c r="C41" s="1422"/>
      <c r="D41" s="1423"/>
      <c r="E41" s="1393" t="s">
        <v>244</v>
      </c>
      <c r="F41" s="1394"/>
      <c r="G41" s="1395"/>
      <c r="H41" s="1395"/>
      <c r="I41" s="1395"/>
      <c r="J41" s="1395"/>
      <c r="K41" s="1395"/>
      <c r="L41" s="1395"/>
      <c r="M41" s="509" t="e">
        <f>IF(__Retrofit_TI_NC&lt;&gt;0,IF(VLOOKUP(G42,'Space Table'!$B$3:$L$160,3,FALSE)&gt;0,1,0),IF(__Retrofit_TI_NC=VLOOKUP(G42,'Space Table'!$B$3:$L$160,3,FALSE),1,0))</f>
        <v>#N/A</v>
      </c>
      <c r="N41" s="509" t="str">
        <f>IFERROR(VLOOKUP(G41,_Lookup_Heat_Type_Table_New,2,FALSE),"")</f>
        <v/>
      </c>
      <c r="O41" s="509">
        <f>IF(__Retrofit_TI_NC=1,CONCATENATE("TI ",G41),IF(__Retrofit_TI_NC=2,CONCATENATE("NC ",G41),G41))</f>
        <v>0</v>
      </c>
      <c r="P41" s="1396" t="s">
        <v>352</v>
      </c>
      <c r="Q41" s="1396"/>
      <c r="R41" s="673"/>
      <c r="S41" s="1429"/>
      <c r="T41" s="675"/>
      <c r="U41" s="1496"/>
      <c r="V41" s="1497"/>
      <c r="W41" s="1497"/>
      <c r="X41" s="1497"/>
      <c r="Y41" s="1497"/>
      <c r="Z41" s="1497"/>
      <c r="AA41" s="1497"/>
      <c r="AB41" s="1497"/>
      <c r="AC41" s="1497"/>
      <c r="AD41" s="1498"/>
      <c r="AE41" s="675"/>
      <c r="AF41" s="1397"/>
      <c r="AG41" s="1397"/>
      <c r="AH41" s="1397"/>
      <c r="AI41" s="1397"/>
      <c r="AJ41" s="1434"/>
      <c r="AK41" s="1436"/>
      <c r="AL41" s="1438"/>
      <c r="AM41" s="1441"/>
      <c r="AN41" s="1442"/>
      <c r="AO41" s="1447"/>
      <c r="AP41" s="1447"/>
      <c r="AQ41" s="1448"/>
      <c r="AR41" s="1452"/>
      <c r="AS41" s="1455"/>
      <c r="AT41" s="1458"/>
      <c r="AU41" s="516"/>
      <c r="AV41" s="1479"/>
      <c r="AW41" s="1479"/>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M41" s="1352"/>
      <c r="CN41" s="1352"/>
      <c r="CO41" s="1416"/>
      <c r="CP41" s="1418"/>
      <c r="CR41" s="1386"/>
      <c r="CS41" s="1355"/>
      <c r="CT41" s="1355"/>
      <c r="CU41" s="1355"/>
      <c r="CV41" s="1372"/>
      <c r="CW41" s="1372"/>
      <c r="CX41" s="1371"/>
      <c r="CY41" s="1486"/>
      <c r="CZ41" s="1486"/>
      <c r="DA41" s="1486"/>
      <c r="DC41" s="1355"/>
      <c r="DD41" s="1461"/>
      <c r="DE41" s="1355"/>
      <c r="DF41" s="1407"/>
      <c r="DG41" s="1372"/>
      <c r="DH41" s="1369"/>
      <c r="DJ41" s="1484"/>
      <c r="DL41" s="1419"/>
      <c r="DN41" s="1403"/>
      <c r="DO41" s="1405"/>
      <c r="DP41" s="1354"/>
      <c r="DQ41" s="1405"/>
      <c r="DR41" s="1403"/>
      <c r="DS41" s="1489"/>
      <c r="DU41" s="1403"/>
      <c r="DV41" s="1405"/>
      <c r="DW41" s="1403"/>
      <c r="DX41" s="1403"/>
      <c r="DZ41" s="1481"/>
      <c r="EA41" s="1481"/>
      <c r="EC41" s="1482"/>
      <c r="ED41" s="1369"/>
      <c r="EE41" s="1371"/>
      <c r="EF41" s="1369"/>
      <c r="EG41" s="1369"/>
      <c r="EH41" s="1374"/>
      <c r="EI41" s="1374"/>
      <c r="EJ41" s="1363"/>
      <c r="EK41" s="1376"/>
      <c r="EL41" s="1376"/>
      <c r="EM41" s="1362"/>
      <c r="EN41" s="1362"/>
      <c r="EO41" s="1363"/>
      <c r="EP41" s="1363"/>
      <c r="EQ41" s="1363"/>
      <c r="ES41" s="1403"/>
      <c r="EU41" s="1411"/>
      <c r="EV41" s="1411"/>
      <c r="EW41" s="1411"/>
      <c r="EX41" s="1411"/>
      <c r="EY41" s="1411"/>
      <c r="EZ41" s="1413"/>
      <c r="FB41" s="1365"/>
      <c r="FD41" s="1354"/>
      <c r="FE41" s="1354"/>
      <c r="FF41" s="138"/>
      <c r="FI41" s="1357"/>
      <c r="FJ41" s="1357"/>
      <c r="FK41" s="1365"/>
      <c r="FL41" s="1365"/>
      <c r="FM41" s="1365"/>
      <c r="FO41" s="1361"/>
      <c r="FP41" s="1361"/>
      <c r="FQ41" s="1366"/>
      <c r="FR41" s="1368"/>
      <c r="FS41" s="1361"/>
      <c r="FT41" s="1368"/>
      <c r="FU41" s="1360"/>
      <c r="FW41" s="1352"/>
      <c r="FX41" s="1352"/>
      <c r="FY41" s="1352"/>
      <c r="FZ41" s="1352"/>
      <c r="GA41" s="1352"/>
      <c r="GB41" s="1352"/>
      <c r="GC41" s="1352"/>
      <c r="GD41" s="1352"/>
      <c r="GE41" s="759"/>
      <c r="GF41" s="760"/>
      <c r="GG41" s="1385"/>
      <c r="GI41" s="1384" t="b">
        <f>IF(AND(GL41=TRUE,GM41=TRUE),TRUE,FALSE)</f>
        <v>0</v>
      </c>
      <c r="GJ41" s="1379" t="b">
        <f>IFERROR(IF(__Retrofit_TI_NC=2,TRUE,IF(AR40="Yes",TRUE,FALSE)),FALSE)</f>
        <v>1</v>
      </c>
      <c r="GL41" s="1379" t="b">
        <f>IFERROR(IF(GL40=1,TRUE,FALSE),FALSE)</f>
        <v>0</v>
      </c>
      <c r="GM41" s="1379" t="b">
        <f>IFERROR(IF(GM40=GM$14,TRUE,FALSE),FALSE)</f>
        <v>0</v>
      </c>
      <c r="HC41" s="1379" t="b">
        <f>IFERROR(IF(M41=1,TRUE,FALSE),FALSE)</f>
        <v>0</v>
      </c>
      <c r="HD41" s="1379" t="b">
        <f>IFERROR(IF(M42=1,TRUE,FALSE),FALSE)</f>
        <v>0</v>
      </c>
      <c r="HE41" s="1379" t="b">
        <f>IFERROR(IF(__Retrofit_TI_NC&lt;&gt;0,TRUE,IFERROR(IF(VLOOKUP(U41,Fixtures_Existing_List,2,FALSE)&lt;&gt;"",TRUE,FALSE),FALSE)),FALSE)</f>
        <v>0</v>
      </c>
      <c r="HF41" s="1379" t="b">
        <f>IFERROR(IF(VLOOKUP(U42,Fixtures_Proposed_List,2,FALSE)&lt;&gt;"",TRUE,FALSE),FALSE)</f>
        <v>0</v>
      </c>
      <c r="HG41" s="1379" t="b">
        <f>IF(AND(__Retrofit_TI_NC=2,EZ40=TRUE),FALSE,TRUE)</f>
        <v>1</v>
      </c>
      <c r="HH41" s="1379" t="b">
        <f>GG40</f>
        <v>1</v>
      </c>
      <c r="HI41" s="1384" t="b">
        <f>IF(ISERROR(MATCH(FB40,_Control_Match[],0))=TRUE,FALSE,TRUE)</f>
        <v>0</v>
      </c>
      <c r="HJ41" s="1384" t="b">
        <f>IFERROR(IF(EU40&lt;&gt;EV40,FALSE,TRUE),FALSE)</f>
        <v>0</v>
      </c>
      <c r="HK41" s="1384" t="b">
        <f>IFERROR(IF(EU42&lt;&gt;EV42,FALSE,TRUE),FALSE)</f>
        <v>0</v>
      </c>
      <c r="HL41" s="1379" t="b">
        <f>IFERROR(IF(CN40="Exterior",TRUE,IF(OR(AND(FJ40=0,EW42&gt;4),AND(FJ40=4,EW42&gt;4,EW42&lt;7)),FALSE,TRUE)),FALSE)</f>
        <v>0</v>
      </c>
      <c r="HM41" s="1379" t="b">
        <f>IFERROR(IF(AND(FL42=7,EZ40=TRUE),FALSE,TRUE),FALSE)</f>
        <v>0</v>
      </c>
      <c r="HN41" s="1379" t="b">
        <f>IFERROR(IF(AND(T42&lt;&gt;AE42,AF42="Interior LLLC")=TRUE,FALSE,TRUE),FALSE)</f>
        <v>1</v>
      </c>
      <c r="HO41" s="1379" t="b">
        <f>IFERROR(IF(OR(AF42=Lookup!AU$13,AF42=Lookup!AU$14)=TRUE,IF(AE42&gt;T42,FALSE,TRUE),TRUE),FALSE)</f>
        <v>1</v>
      </c>
      <c r="HP41" s="1379" t="b">
        <f>IFERROR(IF(__Retrofit_TI_NC=2,IF(EW42&lt;EW40,FALSE,TRUE),TRUE),FALSE)</f>
        <v>1</v>
      </c>
      <c r="HQ41" s="1379" t="b">
        <f>IF(CN40="Interior",IG$6,TRUE)</f>
        <v>1</v>
      </c>
      <c r="HR41" s="1379" t="b">
        <f>IF(CN40="Exterior",IG$8,TRUE)</f>
        <v>1</v>
      </c>
      <c r="HS41" s="1379" t="b">
        <f>IFERROR(IF(__Retrofit_TI_NC&lt;&gt;0,IF(AW40&lt;AV40,FALSE,TRUE),TRUE),FALSE)</f>
        <v>1</v>
      </c>
      <c r="HT41" s="1379" t="b">
        <f>IFERROR(IF(AND(G41="Exterior",R41&gt;4200),FALSE,TRUE),FALSE)</f>
        <v>1</v>
      </c>
      <c r="HU41" s="1379" t="b">
        <f>IFERROR(IF(AB43/AB40&lt;HU$18,FALSE,TRUE),FALSE)</f>
        <v>0</v>
      </c>
      <c r="HW41" s="1382"/>
      <c r="HX41" s="1378"/>
      <c r="HY41" s="1377" t="str">
        <f>VLOOKUP(HW43,_Error_Table,4,FALSE)</f>
        <v>White</v>
      </c>
      <c r="HZ41" s="436"/>
      <c r="IA41" s="1386"/>
      <c r="IB41" s="1380"/>
      <c r="IC41" s="1379"/>
      <c r="IF41" s="1380"/>
      <c r="IG41" s="1382"/>
      <c r="IH41" s="1382"/>
      <c r="II41" s="1382"/>
      <c r="IK41" s="1351"/>
      <c r="IL41" s="1351"/>
      <c r="IM41" s="1351"/>
      <c r="IN41" s="1351"/>
      <c r="IO41" s="1351"/>
      <c r="IP41" s="1351"/>
    </row>
    <row r="42" spans="1:250" s="82" customFormat="1" ht="14.95" customHeight="1" thickTop="1" thickBot="1">
      <c r="A42" s="82">
        <f>ROW()</f>
        <v>42</v>
      </c>
      <c r="B42" s="1421"/>
      <c r="C42" s="1422"/>
      <c r="D42" s="1423"/>
      <c r="E42" s="1393" t="s">
        <v>245</v>
      </c>
      <c r="F42" s="1394"/>
      <c r="G42" s="1398"/>
      <c r="H42" s="1399"/>
      <c r="I42" s="1399"/>
      <c r="J42" s="1399"/>
      <c r="K42" s="1399"/>
      <c r="L42" s="1400"/>
      <c r="M42" s="509">
        <f>IFERROR(IF(IF(__Retrofit_TI_NC&lt;&gt;0,IF(CN40="Interior",MATCH(G42,Lookup_Interior_New,0),MATCH(G42,Lookup_Exterior_New,0)),IF(CN40="Interior",MATCH(G42,Lookup_Interior,0),MATCH(G42,Lookup_Exterior_Areas,0)))&gt;0,1,0),0)</f>
        <v>0</v>
      </c>
      <c r="N42" s="509" t="e">
        <f>IF(__Retrofit_TI_NC=1,
VLOOKUP(G42,'Space Table'!$B$3:$L$160,4,FALSE),
IF(__Retrofit_TI_NC=2,VLOOKUP(G42,'Space Table'!$B$3:$L$160,5,FALSE),VLOOKUP(G42,'Space Table'!$B$3:$L$160,5,FALSE)))</f>
        <v>#N/A</v>
      </c>
      <c r="O42" s="509">
        <f>G42</f>
        <v>0</v>
      </c>
      <c r="P42" s="1394" t="s">
        <v>355</v>
      </c>
      <c r="Q42" s="1394"/>
      <c r="R42" s="674"/>
      <c r="S42" s="1401" t="s">
        <v>284</v>
      </c>
      <c r="T42" s="672"/>
      <c r="U42" s="1499"/>
      <c r="V42" s="1500"/>
      <c r="W42" s="1500"/>
      <c r="X42" s="1500"/>
      <c r="Y42" s="1500"/>
      <c r="Z42" s="1500"/>
      <c r="AA42" s="1500"/>
      <c r="AB42" s="1501"/>
      <c r="AC42" s="1501"/>
      <c r="AD42" s="1502"/>
      <c r="AE42" s="672"/>
      <c r="AF42" s="1474"/>
      <c r="AG42" s="1474"/>
      <c r="AH42" s="1474"/>
      <c r="AI42" s="1474"/>
      <c r="AJ42" s="1475">
        <f>DF42</f>
        <v>0</v>
      </c>
      <c r="AK42" s="1470" t="str">
        <f>IFERROR(ROUND(AJ42*AC43,0),"")</f>
        <v/>
      </c>
      <c r="AL42" s="1472">
        <f>IFERROR(IF(HW40=FALSE,0,AC43-AK42),0)</f>
        <v>0</v>
      </c>
      <c r="AM42" s="1441"/>
      <c r="AN42" s="1442"/>
      <c r="AO42" s="1447"/>
      <c r="AP42" s="1447"/>
      <c r="AQ42" s="1448"/>
      <c r="AR42" s="1452"/>
      <c r="AS42" s="1455"/>
      <c r="AT42" s="1458"/>
      <c r="AU42" s="516"/>
      <c r="AV42" s="1479"/>
      <c r="AW42" s="1479"/>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M42" s="1352"/>
      <c r="CN42" s="1352"/>
      <c r="CO42" s="1415" t="str">
        <f>CN40</f>
        <v/>
      </c>
      <c r="CP42" s="1417" t="e">
        <f>CP40</f>
        <v>#N/A</v>
      </c>
      <c r="CR42" s="1386" t="s">
        <v>284</v>
      </c>
      <c r="CS42" s="1353">
        <f>IF(HW40=TRUE,T42,0)</f>
        <v>0</v>
      </c>
      <c r="CT42" s="1353" t="str">
        <f>IF(HW40=TRUE,U42,"")</f>
        <v/>
      </c>
      <c r="CU42" s="1373">
        <f>IF(HW40=TRUE,U43,0)</f>
        <v>0</v>
      </c>
      <c r="CV42" s="1370">
        <f>IF(HW40=TRUE,AB43,0)</f>
        <v>0</v>
      </c>
      <c r="CW42" s="1370">
        <f>IF(HW40=TRUE,AC43,0)</f>
        <v>0</v>
      </c>
      <c r="CX42" s="1371"/>
      <c r="CY42" s="1486"/>
      <c r="CZ42" s="1486"/>
      <c r="DA42" s="1486"/>
      <c r="DC42" s="1353">
        <f>IF(HW40=TRUE,AE42,0)</f>
        <v>0</v>
      </c>
      <c r="DD42" s="1353" t="str">
        <f>IF(HW40=TRUE,AF42,"")</f>
        <v/>
      </c>
      <c r="DE42" s="1373">
        <f>AF43</f>
        <v>0</v>
      </c>
      <c r="DF42" s="1406">
        <f>IFERROR(IF(FL42=3,IK42,IF(FL42=4,IL42,IF(FL42=5,IM42,IF(FL42=6,IN42,IF(FL42=7,IO42,IF(FL42=8,IP42,0)))))),0)</f>
        <v>0</v>
      </c>
      <c r="DG42" s="1370">
        <f>IF(HW40=TRUE,AK42,0)</f>
        <v>0</v>
      </c>
      <c r="DH42" s="1369"/>
      <c r="DK42" s="1483">
        <f>IFERROR(CW42-DG42,0)</f>
        <v>0</v>
      </c>
      <c r="DL42" s="1420"/>
      <c r="DN42" s="1403"/>
      <c r="DO42" s="1477" t="str">
        <f>DN40</f>
        <v/>
      </c>
      <c r="DP42" s="1354"/>
      <c r="DQ42" s="1477" t="str">
        <f>IF(DP40=7,"LLLC","")</f>
        <v/>
      </c>
      <c r="DR42" s="1403"/>
      <c r="DS42" s="1489"/>
      <c r="DU42" s="1403"/>
      <c r="DV42" s="1404" t="str">
        <f>DU40</f>
        <v/>
      </c>
      <c r="DW42" s="1403"/>
      <c r="DX42" s="1403"/>
      <c r="DZ42" s="1481"/>
      <c r="EA42" s="1481"/>
      <c r="EC42" s="1482"/>
      <c r="ED42" s="1369"/>
      <c r="EE42" s="1371"/>
      <c r="EF42" s="1369"/>
      <c r="EG42" s="1369"/>
      <c r="EH42" s="1374"/>
      <c r="EI42" s="1374"/>
      <c r="EJ42" s="1363"/>
      <c r="EK42" s="1376"/>
      <c r="EL42" s="1376"/>
      <c r="EM42" s="1362"/>
      <c r="EN42" s="1362"/>
      <c r="EO42" s="1363"/>
      <c r="EP42" s="1363"/>
      <c r="EQ42" s="1363"/>
      <c r="ES42" s="1403"/>
      <c r="EU42" s="1411" t="e">
        <f>VLOOKUP(CP42,'Space Table'!$B$3:$L$160,8,FALSE)</f>
        <v>#N/A</v>
      </c>
      <c r="EV42" s="1411" t="e">
        <f>IF(EY42="Yes",VLOOKUP(AF42,Lookup_Control_Type_Table2,4,FALSE),VLOOKUP(AF42,Lookup_Control_Type_Table2,3,FALSE))</f>
        <v>#N/A</v>
      </c>
      <c r="EW42" s="1411" t="e">
        <f>VLOOKUP(AF42,Lookup!AU$3:AV$15,2,FALSE)</f>
        <v>#N/A</v>
      </c>
      <c r="EX42" s="1411" t="e">
        <f>VLOOKUP(EU40,Lookup_Control_Type_Table,2,FALSE)</f>
        <v>#N/A</v>
      </c>
      <c r="EY42" s="1411" t="e">
        <f>VLOOKUP(CP42,'Space Table'!$B$3:$L$160,7,FALSE)</f>
        <v>#N/A</v>
      </c>
      <c r="EZ42" s="1413"/>
      <c r="FB42" s="1365" t="str">
        <f>CONCATENATE(CN40," - ",AF42)</f>
        <v xml:space="preserve"> - </v>
      </c>
      <c r="FD42" s="1354"/>
      <c r="FE42" s="1354"/>
      <c r="FF42" s="138"/>
      <c r="FI42" s="1356" t="str">
        <f>IF(CN40="Exterior","Not Daylighted",G43)</f>
        <v>Not Daylighted</v>
      </c>
      <c r="FJ42" s="1356">
        <f>VLOOKUP(FI42,_Daylight_Table_Codes,2,FALSE)</f>
        <v>0</v>
      </c>
      <c r="FK42" s="1365">
        <f>AF42</f>
        <v>0</v>
      </c>
      <c r="FL42" s="1365" t="e">
        <f>VLOOKUP(FK42,_Control_Table,2,FALSE)</f>
        <v>#N/A</v>
      </c>
      <c r="FM42" s="1365" t="e">
        <f>IF(AND(FP42&gt;0,FK42="Occupancy Sensor"),"Daylight + Occupancy",IF(AND(FP42&gt;0,FL42&lt;4),"Interior Daylight Dimming",FK42))</f>
        <v>#N/A</v>
      </c>
      <c r="FO42" s="1364">
        <f>IF(CN40="Interior",VLOOKUP(CP40,Control_Savings_Interior,5,FALSE),0)</f>
        <v>0</v>
      </c>
      <c r="FP42" s="1361">
        <f>IF(CN42="Exterior",0,IF(FJ42=2,0.5,IF(OR(FJ42=1,FJ42=3),1,0)))</f>
        <v>0</v>
      </c>
      <c r="FQ42" s="1366">
        <f>IF(R41&gt;FO$37,(FO42*(FO$37/R41)),FO42)*FP42</f>
        <v>0</v>
      </c>
      <c r="FR42" s="1364">
        <f>DF42</f>
        <v>0</v>
      </c>
      <c r="FS42" s="1364">
        <f>ROUND(FR42+((1-FR42)*FQ42),2)</f>
        <v>0</v>
      </c>
      <c r="FT42" s="1364">
        <f>IF(__Retrofit_TI_NC=2,FS42,FR42)</f>
        <v>0</v>
      </c>
      <c r="FU42" s="1360">
        <f>IF(CO42="Interior",VLOOKUP(CP42,Control_Savings_Interior,4,FALSE),0)</f>
        <v>0</v>
      </c>
      <c r="FW42" s="1352"/>
      <c r="FX42" s="1352"/>
      <c r="FY42" s="1352"/>
      <c r="FZ42" s="1352"/>
      <c r="GA42" s="1352"/>
      <c r="GB42" s="1352"/>
      <c r="GC42" s="1352"/>
      <c r="GD42" s="1352"/>
      <c r="GE42" s="759" t="b">
        <f>IF(ISNUMBER(SEARCH("TLED",U42)),TRUE,FALSE)</f>
        <v>0</v>
      </c>
      <c r="GF42" s="760" t="str">
        <f>IFERROR(VLOOKUP(U42,Fixtures!DM$93:DR$142,6,FALSE),"")</f>
        <v/>
      </c>
      <c r="GG42" s="1385"/>
      <c r="GI42" s="1383"/>
      <c r="GJ42" s="1379"/>
      <c r="GL42" s="1379"/>
      <c r="GM42" s="1379"/>
      <c r="HC42" s="1379"/>
      <c r="HD42" s="1379"/>
      <c r="HE42" s="1379"/>
      <c r="HF42" s="1379"/>
      <c r="HG42" s="1379"/>
      <c r="HH42" s="1379"/>
      <c r="HI42" s="1383"/>
      <c r="HJ42" s="1383"/>
      <c r="HK42" s="1383"/>
      <c r="HL42" s="1379"/>
      <c r="HM42" s="1379"/>
      <c r="HN42" s="1379"/>
      <c r="HO42" s="1379"/>
      <c r="HP42" s="1379"/>
      <c r="HQ42" s="1379"/>
      <c r="HR42" s="1379"/>
      <c r="HS42" s="1379"/>
      <c r="HT42" s="1379"/>
      <c r="HU42" s="1379"/>
      <c r="HW42" s="1383"/>
      <c r="HX42" s="1384" t="b">
        <f>HW40</f>
        <v>0</v>
      </c>
      <c r="HY42" s="1378"/>
      <c r="HZ42" s="436"/>
      <c r="IA42" s="1386"/>
      <c r="IB42" s="1380">
        <f>IF(IA40=TRUE,AC43,0)</f>
        <v>0</v>
      </c>
      <c r="IC42" s="1379"/>
      <c r="IF42" s="1380" t="e">
        <f>ROUND(T42*AB43*N41*R41/1000,0)</f>
        <v>#VALUE!</v>
      </c>
      <c r="IG42" s="1382"/>
      <c r="IH42" s="1384" t="e">
        <f>ROUND(T42*AB43*N41*R41/1000,0)</f>
        <v>#VALUE!</v>
      </c>
      <c r="II42" s="1382"/>
      <c r="IK42" s="1351" t="e">
        <f>IF($CO42="interior",IL42/2,VLOOKUP($CP42,Control_Savings_Exterior,IK$30,FALSE))</f>
        <v>#N/A</v>
      </c>
      <c r="IL42" s="1351" t="e">
        <f>IF($CO42="interior",VLOOKUP($CP42,Control_Savings_Interior,IL$30,FALSE),VLOOKUP($CP42,Control_Savings_Exterior,IL$30,FALSE))</f>
        <v>#N/A</v>
      </c>
      <c r="IM42" s="1351" t="e">
        <f>IF($CO42="interior",IF(R41&gt;FO$37,(IM$28*(FO$37/R41)),IM$28)*FP42,VLOOKUP($CP42,Control_Savings_Exterior,IM$30,FALSE))</f>
        <v>#N/A</v>
      </c>
      <c r="IN42" s="1351" t="e">
        <f>IF($CO42="interior",ROUND(((1-IL42)*IM42)+IL42,2),VLOOKUP($CP42,Control_Savings_Exterior,IN$30,FALSE))</f>
        <v>#N/A</v>
      </c>
      <c r="IO42" s="1351" t="e">
        <f>IF($CO42="interior", ROUND(((1-IL42)*(IM42*(1-IP$28)))+IP42,2), VLOOKUP($CP42,Control_Savings_Exterior,IO$30,FALSE))</f>
        <v>#N/A</v>
      </c>
      <c r="IP42" s="1351">
        <f>IF($CO42="interior",ROUND(((1-IL42)*IP$28)+IL42,2),0)</f>
        <v>0</v>
      </c>
    </row>
    <row r="43" spans="1:250" s="82" customFormat="1" ht="14.95" customHeight="1" thickTop="1" thickBot="1">
      <c r="B43" s="1421"/>
      <c r="C43" s="1422"/>
      <c r="D43" s="1423"/>
      <c r="E43" s="1462" t="s">
        <v>357</v>
      </c>
      <c r="F43" s="1463"/>
      <c r="G43" s="1464" t="s">
        <v>362</v>
      </c>
      <c r="H43" s="1465"/>
      <c r="I43" s="1465"/>
      <c r="J43" s="1465"/>
      <c r="K43" s="1465"/>
      <c r="L43" s="1466"/>
      <c r="M43" s="669">
        <f>IFERROR(VLOOKUP(G43,_Daylight_Table[],2,FALSE),0)</f>
        <v>0</v>
      </c>
      <c r="N43" s="670"/>
      <c r="O43" s="669" t="e">
        <f>VLOOKUP(G42,'Space Table'!$B$3:$L$160,11,FALSE)</f>
        <v>#N/A</v>
      </c>
      <c r="P43" s="1408"/>
      <c r="Q43" s="1409"/>
      <c r="R43" s="1409"/>
      <c r="S43" s="1402"/>
      <c r="T43" s="671" t="s">
        <v>281</v>
      </c>
      <c r="U43" s="1467"/>
      <c r="V43" s="1468"/>
      <c r="W43" s="1468"/>
      <c r="X43" s="1468"/>
      <c r="Y43" s="1468"/>
      <c r="Z43" s="1468"/>
      <c r="AA43" s="1468"/>
      <c r="AB43" s="1046" t="str">
        <f>IFERROR(VLOOKUP(U42,Fixtures_Proposed_List,2,FALSE),"")</f>
        <v/>
      </c>
      <c r="AC43" s="1036" t="str">
        <f>IFERROR(ROUND(T42*AB43*N41*R41/1000,0),"")</f>
        <v/>
      </c>
      <c r="AD43" s="1037" t="str">
        <f>IFERROR(ROUND(T42*AB43/1000,2),"")</f>
        <v/>
      </c>
      <c r="AE43" s="1045" t="s">
        <v>281</v>
      </c>
      <c r="AF43" s="1469"/>
      <c r="AG43" s="1469"/>
      <c r="AH43" s="1469"/>
      <c r="AI43" s="1469"/>
      <c r="AJ43" s="1476"/>
      <c r="AK43" s="1471"/>
      <c r="AL43" s="1473"/>
      <c r="AM43" s="1443"/>
      <c r="AN43" s="1444"/>
      <c r="AO43" s="1449"/>
      <c r="AP43" s="1449"/>
      <c r="AQ43" s="1450"/>
      <c r="AR43" s="1453"/>
      <c r="AS43" s="1456"/>
      <c r="AT43" s="1459"/>
      <c r="AU43" s="517"/>
      <c r="AV43" s="1480"/>
      <c r="AW43" s="1480"/>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M43" s="1352"/>
      <c r="CN43" s="1352"/>
      <c r="CO43" s="1416"/>
      <c r="CP43" s="1418"/>
      <c r="CR43" s="1386"/>
      <c r="CS43" s="1355"/>
      <c r="CT43" s="1355"/>
      <c r="CU43" s="1375"/>
      <c r="CV43" s="1372"/>
      <c r="CW43" s="1372"/>
      <c r="CX43" s="1372"/>
      <c r="CY43" s="1487"/>
      <c r="CZ43" s="1487"/>
      <c r="DA43" s="1487"/>
      <c r="DC43" s="1355"/>
      <c r="DD43" s="1355"/>
      <c r="DE43" s="1375"/>
      <c r="DF43" s="1407"/>
      <c r="DG43" s="1372"/>
      <c r="DH43" s="1369"/>
      <c r="DK43" s="1484"/>
      <c r="DL43" s="1420"/>
      <c r="DN43" s="1403"/>
      <c r="DO43" s="1405"/>
      <c r="DP43" s="1355"/>
      <c r="DQ43" s="1405"/>
      <c r="DR43" s="1403"/>
      <c r="DS43" s="1489"/>
      <c r="DU43" s="1403"/>
      <c r="DV43" s="1405"/>
      <c r="DW43" s="1403"/>
      <c r="DX43" s="1403"/>
      <c r="DZ43" s="1481"/>
      <c r="EA43" s="1481"/>
      <c r="EC43" s="1482"/>
      <c r="ED43" s="1369"/>
      <c r="EE43" s="1372"/>
      <c r="EF43" s="1369"/>
      <c r="EG43" s="1369"/>
      <c r="EH43" s="1375"/>
      <c r="EI43" s="1375"/>
      <c r="EJ43" s="1363"/>
      <c r="EK43" s="1376"/>
      <c r="EL43" s="1376"/>
      <c r="EM43" s="1362"/>
      <c r="EN43" s="1362"/>
      <c r="EO43" s="1363"/>
      <c r="EP43" s="1363"/>
      <c r="EQ43" s="1363"/>
      <c r="ES43" s="1403"/>
      <c r="EU43" s="1488"/>
      <c r="EV43" s="1488"/>
      <c r="EW43" s="1488"/>
      <c r="EX43" s="1488"/>
      <c r="EY43" s="1488"/>
      <c r="EZ43" s="1414"/>
      <c r="FB43" s="1365"/>
      <c r="FD43" s="1355"/>
      <c r="FE43" s="1355"/>
      <c r="FF43" s="138"/>
      <c r="FI43" s="1357"/>
      <c r="FJ43" s="1357"/>
      <c r="FK43" s="1365"/>
      <c r="FL43" s="1365"/>
      <c r="FM43" s="1365"/>
      <c r="FO43" s="1361"/>
      <c r="FP43" s="1361"/>
      <c r="FQ43" s="1366"/>
      <c r="FR43" s="1361"/>
      <c r="FS43" s="1361"/>
      <c r="FT43" s="1361"/>
      <c r="FU43" s="1360"/>
      <c r="FW43" s="1352"/>
      <c r="FX43" s="1352"/>
      <c r="FY43" s="1352"/>
      <c r="FZ43" s="1352"/>
      <c r="GA43" s="1352"/>
      <c r="GB43" s="1352"/>
      <c r="GC43" s="1352"/>
      <c r="GD43" s="1352"/>
      <c r="GE43" s="759"/>
      <c r="GF43" s="760"/>
      <c r="GG43" s="1385"/>
      <c r="GJ43" s="761">
        <f>IF(GJ41=TRUE,0,GJ$16)</f>
        <v>0</v>
      </c>
      <c r="GL43" s="761">
        <f>IF(GL41=TRUE,0,GL$16)</f>
        <v>36</v>
      </c>
      <c r="GM43" s="761">
        <f>IF(GM41=TRUE,0,GM$16)</f>
        <v>35</v>
      </c>
      <c r="GN43" s="436"/>
      <c r="GO43" s="436"/>
      <c r="GP43" s="436"/>
      <c r="GQ43" s="436"/>
      <c r="GR43" s="436"/>
      <c r="HC43" s="761">
        <f t="shared" ref="HC43:HR43" si="16">IF(HC41=TRUE,0,HC$16)</f>
        <v>19</v>
      </c>
      <c r="HD43" s="761">
        <f t="shared" si="16"/>
        <v>18</v>
      </c>
      <c r="HE43" s="761">
        <f t="shared" si="16"/>
        <v>17</v>
      </c>
      <c r="HF43" s="761">
        <f t="shared" si="16"/>
        <v>16</v>
      </c>
      <c r="HG43" s="761">
        <f t="shared" si="16"/>
        <v>0</v>
      </c>
      <c r="HH43" s="761">
        <f t="shared" si="16"/>
        <v>0</v>
      </c>
      <c r="HI43" s="761">
        <f>IF(HI41=TRUE,0,HI$16)</f>
        <v>13</v>
      </c>
      <c r="HJ43" s="761">
        <f t="shared" si="16"/>
        <v>12</v>
      </c>
      <c r="HK43" s="761">
        <f t="shared" si="16"/>
        <v>11</v>
      </c>
      <c r="HL43" s="761">
        <f t="shared" si="16"/>
        <v>10</v>
      </c>
      <c r="HM43" s="761">
        <f>IF(HM41=TRUE,0,HM$16)</f>
        <v>9</v>
      </c>
      <c r="HN43" s="761">
        <f t="shared" si="16"/>
        <v>0</v>
      </c>
      <c r="HO43" s="761">
        <f t="shared" si="16"/>
        <v>0</v>
      </c>
      <c r="HP43" s="761">
        <f t="shared" si="16"/>
        <v>0</v>
      </c>
      <c r="HQ43" s="761">
        <f t="shared" si="16"/>
        <v>0</v>
      </c>
      <c r="HR43" s="761">
        <f t="shared" si="16"/>
        <v>0</v>
      </c>
      <c r="HS43" s="761">
        <f>IF(HS41=TRUE,0,HS$16)</f>
        <v>0</v>
      </c>
      <c r="HT43" s="761">
        <f t="shared" ref="HT43" si="17">IF(HT41=TRUE,0,HT$16)</f>
        <v>0</v>
      </c>
      <c r="HU43" s="761">
        <f>IF(HU41=TRUE,0,HU$16)</f>
        <v>1</v>
      </c>
      <c r="HW43" s="761">
        <f>IF(GL41=FALSE,GL43,IF(GM41=FALSE,GM43,MAX(GJ43:HU43)))</f>
        <v>36</v>
      </c>
      <c r="HX43" s="1383"/>
      <c r="HY43" s="241" t="str">
        <f>VLOOKUP(HW43,_Error_Table,3,FALSE)</f>
        <v xml:space="preserve"> </v>
      </c>
      <c r="HZ43" s="241"/>
      <c r="IA43" s="1386"/>
      <c r="IB43" s="1380"/>
      <c r="IC43" s="1379"/>
      <c r="IF43" s="1380"/>
      <c r="IG43" s="1383"/>
      <c r="IH43" s="1383"/>
      <c r="II43" s="1383"/>
      <c r="IK43" s="1351"/>
      <c r="IL43" s="1351"/>
      <c r="IM43" s="1351"/>
      <c r="IN43" s="1351"/>
      <c r="IO43" s="1351"/>
      <c r="IP43" s="1351"/>
    </row>
    <row r="44" spans="1:250" s="82" customFormat="1" ht="5.0999999999999996" customHeight="1" thickBot="1">
      <c r="B44" s="762"/>
      <c r="C44" s="437"/>
      <c r="D44" s="437"/>
      <c r="E44" s="1490"/>
      <c r="F44" s="1490"/>
      <c r="G44" s="1490"/>
      <c r="H44" s="1490"/>
      <c r="I44" s="1490"/>
      <c r="J44" s="1490"/>
      <c r="K44" s="1490"/>
      <c r="L44" s="1490"/>
      <c r="M44" s="1490"/>
      <c r="N44" s="1490"/>
      <c r="O44" s="1490"/>
      <c r="P44" s="1490"/>
      <c r="Q44" s="1490"/>
      <c r="R44" s="1490"/>
      <c r="S44" s="1490"/>
      <c r="T44" s="1490"/>
      <c r="U44" s="1490"/>
      <c r="V44" s="1490"/>
      <c r="W44" s="1490"/>
      <c r="X44" s="1490"/>
      <c r="Y44" s="1490"/>
      <c r="Z44" s="1490"/>
      <c r="AA44" s="1490"/>
      <c r="AB44" s="1490"/>
      <c r="AC44" s="1490"/>
      <c r="AD44" s="1490"/>
      <c r="AE44" s="1490"/>
      <c r="AF44" s="1490"/>
      <c r="AG44" s="1490"/>
      <c r="AH44" s="1490"/>
      <c r="AI44" s="1490"/>
      <c r="AJ44" s="1490"/>
      <c r="AK44" s="1490"/>
      <c r="AL44" s="1490"/>
      <c r="AM44" s="1490"/>
      <c r="AN44" s="1490"/>
      <c r="AO44" s="1490"/>
      <c r="AP44" s="1490"/>
      <c r="AQ44" s="1490"/>
      <c r="AR44" s="1490"/>
      <c r="AS44" s="1490"/>
      <c r="AT44" s="1490"/>
      <c r="AU44" s="51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M44" s="749"/>
      <c r="CN44" s="749"/>
      <c r="CO44" s="485"/>
      <c r="CP44" s="749"/>
      <c r="CS44" s="436"/>
      <c r="CT44" s="436"/>
      <c r="CU44" s="243"/>
      <c r="CV44" s="244"/>
      <c r="CW44" s="244"/>
      <c r="CX44" s="244"/>
      <c r="CY44" s="245"/>
      <c r="CZ44" s="245"/>
      <c r="DA44" s="245"/>
      <c r="DC44" s="750"/>
      <c r="DD44" s="751"/>
      <c r="DE44" s="752"/>
      <c r="DF44" s="753"/>
      <c r="DG44" s="754"/>
      <c r="DH44" s="754"/>
      <c r="DK44" s="244"/>
      <c r="DL44" s="750"/>
      <c r="DN44" s="750"/>
      <c r="DO44" s="755"/>
      <c r="DP44" s="436"/>
      <c r="DQ44" s="750"/>
      <c r="DR44" s="750"/>
      <c r="DS44" s="750"/>
      <c r="DU44" s="750"/>
      <c r="DV44" s="750"/>
      <c r="DW44" s="750"/>
      <c r="DX44" s="750"/>
      <c r="DZ44" s="756"/>
      <c r="EA44" s="756"/>
      <c r="EC44" s="754"/>
      <c r="ED44" s="754"/>
      <c r="EE44" s="244"/>
      <c r="EF44" s="754"/>
      <c r="EG44" s="754"/>
      <c r="EH44" s="243"/>
      <c r="EI44" s="243"/>
      <c r="EJ44" s="752"/>
      <c r="EK44" s="757"/>
      <c r="EL44" s="757"/>
      <c r="EM44" s="758"/>
      <c r="EN44" s="758"/>
      <c r="EO44" s="752"/>
      <c r="EP44" s="752"/>
      <c r="EQ44" s="752"/>
      <c r="ES44" s="750"/>
      <c r="EU44" s="436"/>
      <c r="EV44" s="436"/>
      <c r="EW44" s="436"/>
      <c r="EX44" s="436"/>
      <c r="EY44" s="436"/>
      <c r="EZ44" s="436"/>
      <c r="FB44" s="643"/>
      <c r="FD44" s="436"/>
      <c r="FE44" s="436"/>
      <c r="FF44" s="436"/>
      <c r="FO44" s="750"/>
      <c r="FP44" s="436"/>
      <c r="FQ44" s="436"/>
      <c r="FR44" s="750"/>
      <c r="FS44" s="750"/>
      <c r="FW44" s="749"/>
      <c r="FX44" s="749"/>
      <c r="FY44" s="749"/>
      <c r="FZ44" s="749"/>
      <c r="GA44" s="749"/>
      <c r="GB44" s="749"/>
      <c r="GC44" s="749"/>
      <c r="GD44" s="749"/>
      <c r="GE44" s="751"/>
      <c r="GF44" s="750"/>
      <c r="GG44" s="750"/>
    </row>
    <row r="45" spans="1:250" s="82" customFormat="1" ht="14.95" customHeight="1" thickTop="1" thickBot="1">
      <c r="B45" s="1421" t="str">
        <f>HY48</f>
        <v xml:space="preserve"> </v>
      </c>
      <c r="C45" s="1422">
        <f>C40+1</f>
        <v>2</v>
      </c>
      <c r="D45" s="1423"/>
      <c r="E45" s="1424" t="s">
        <v>242</v>
      </c>
      <c r="F45" s="1425"/>
      <c r="G45" s="1426"/>
      <c r="H45" s="1427"/>
      <c r="I45" s="1427"/>
      <c r="J45" s="1427"/>
      <c r="K45" s="1427"/>
      <c r="L45" s="1427"/>
      <c r="M45" s="1427"/>
      <c r="N45" s="1427"/>
      <c r="O45" s="1427"/>
      <c r="P45" s="1427"/>
      <c r="Q45" s="1427"/>
      <c r="R45" s="1427"/>
      <c r="S45" s="1428" t="s">
        <v>283</v>
      </c>
      <c r="T45" s="668" t="s">
        <v>190</v>
      </c>
      <c r="U45" s="1430" t="s">
        <v>186</v>
      </c>
      <c r="V45" s="1431"/>
      <c r="W45" s="1431"/>
      <c r="X45" s="1431"/>
      <c r="Y45" s="1431"/>
      <c r="Z45" s="1431"/>
      <c r="AA45" s="1431"/>
      <c r="AB45" s="1088" t="str">
        <f>IFERROR(IF(__Retrofit_TI_NC=0,VLOOKUP(U46,Fixtures_Existing_List,2,FALSE),ROUND(N47*R47/T47,10)),"")</f>
        <v/>
      </c>
      <c r="AC45" s="1039" t="str">
        <f>IFERROR(IF(__Retrofit_TI_NC=0,ROUND(T46*AB45*N46*R46/1000,0),IF(CN45="Interior",N47*R47*R46*N46*_C406_reduction/1000,N47*R47*R46*N46/1000)),"")</f>
        <v/>
      </c>
      <c r="AD45" s="1040" t="str">
        <f>IFERROR(IF(C$36=0,ROUND(T46*AB45/1000,2),N47*R47/1000),"")</f>
        <v/>
      </c>
      <c r="AE45" s="1044" t="s">
        <v>190</v>
      </c>
      <c r="AF45" s="1432" t="str">
        <f>IF(__Retrofit_TI_NC=2,CONCATENATE("Code min = ",DD45),IF(__Retrofit_TI_NC=1,"Emter what you think the existing control was"," Control"))</f>
        <v xml:space="preserve"> Control</v>
      </c>
      <c r="AG45" s="1432"/>
      <c r="AH45" s="1432"/>
      <c r="AI45" s="1432"/>
      <c r="AJ45" s="1433">
        <f>DF45</f>
        <v>0</v>
      </c>
      <c r="AK45" s="1435" t="str">
        <f>IFERROR(ROUND(AJ45*AC45,0),"")</f>
        <v/>
      </c>
      <c r="AL45" s="1437">
        <f>IFERROR(IF(HW45=FALSE,0,AC45-AK45),0)</f>
        <v>0</v>
      </c>
      <c r="AM45" s="1439">
        <f>AL45-AL47</f>
        <v>0</v>
      </c>
      <c r="AN45" s="1440"/>
      <c r="AO45" s="1445">
        <f>IFERROR(IF(HW45=FALSE,0,(T47*U48)+(AE47*AF48)),0)</f>
        <v>0</v>
      </c>
      <c r="AP45" s="1445"/>
      <c r="AQ45" s="1446"/>
      <c r="AR45" s="1451" t="s">
        <v>157</v>
      </c>
      <c r="AS45" s="1454">
        <f>IF(AR45="Yes",1,0)</f>
        <v>1</v>
      </c>
      <c r="AT45" s="1457" t="str">
        <f>IF(OR(DN45=4,DN45=5,DN45=6,DN45=12),CONCATENATE("$",IF(GD45=TRUE,Lookup!$B$11,Lookup!$B$2)," /lamp"),CONCATENATE(EA45,"/ kWh"))</f>
        <v>0/ kWh</v>
      </c>
      <c r="AU45" s="516"/>
      <c r="AV45" s="1478">
        <f>IFERROR(IF(GI46=TRUE,(AB48*T47)/R47,0),"NA")</f>
        <v>0</v>
      </c>
      <c r="AW45" s="1478" t="str">
        <f>IFERROR(N47*_C406_reduction,"NA")</f>
        <v>NA</v>
      </c>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M45" s="1352" t="str">
        <f>N46</f>
        <v/>
      </c>
      <c r="CN45" s="1352" t="str">
        <f>IFERROR(VLOOKUP(G46,_Lookup_Heat_Type_Table_New,3,FALSE),"")</f>
        <v/>
      </c>
      <c r="CO45" s="1415" t="str">
        <f>CN45</f>
        <v/>
      </c>
      <c r="CP45" s="1417" t="e">
        <f>VLOOKUP(G47,'Space Table'!$B$3:$L$160,9,FALSE)</f>
        <v>#N/A</v>
      </c>
      <c r="CR45" s="1386" t="s">
        <v>283</v>
      </c>
      <c r="CS45" s="1353">
        <f>IF(HW45=TRUE,T46,0)</f>
        <v>0</v>
      </c>
      <c r="CT45" s="1353" t="str">
        <f>IF(HW45=TRUE,U46,"")</f>
        <v/>
      </c>
      <c r="CU45" s="1353"/>
      <c r="CV45" s="1370">
        <f>IF(HW45=TRUE,AB45,0)</f>
        <v>0</v>
      </c>
      <c r="CW45" s="1370">
        <f>IF(HW45=TRUE,AC45,0)</f>
        <v>0</v>
      </c>
      <c r="CX45" s="1370">
        <f>IFERROR(IF(HW45=TRUE,CW45-CW47,0),0)</f>
        <v>0</v>
      </c>
      <c r="CY45" s="1485">
        <f>IF(HW45=TRUE,AD45,0)</f>
        <v>0</v>
      </c>
      <c r="CZ45" s="1485">
        <f>IF(HW45=TRUE,AD48,0)</f>
        <v>0</v>
      </c>
      <c r="DA45" s="1485">
        <f>IFERROR(CY45-CZ45,0)</f>
        <v>0</v>
      </c>
      <c r="DC45" s="1353">
        <f>IF(HW45=TRUE,AE46,0)</f>
        <v>0</v>
      </c>
      <c r="DD45" s="1460">
        <f>IF(__Retrofit_TI_NC=2,IF(CN45="Exterior",O48,FM45),FK45)</f>
        <v>0</v>
      </c>
      <c r="DE45" s="1353"/>
      <c r="DF45" s="1406">
        <f>IFERROR(IF(FL45=3,IK45,IF(FL45=4,IL45,IF(FL45=5,IM45,IF(FL45=6,IN45,IF(FL45=7,IO45,IF(FL45=8,IP45,0)))))),0)</f>
        <v>0</v>
      </c>
      <c r="DG45" s="1370">
        <f>IF(HW45=TRUE,AK45,0)</f>
        <v>0</v>
      </c>
      <c r="DH45" s="1369">
        <f>IFERROR(IF(HW45=TRUE,DG47-DG45,0),0)</f>
        <v>0</v>
      </c>
      <c r="DJ45" s="1483">
        <f>IFERROR(CW45-DG45,0)</f>
        <v>0</v>
      </c>
      <c r="DL45" s="1419">
        <f>DJ45-DK47</f>
        <v>0</v>
      </c>
      <c r="DN45" s="1403" t="str">
        <f>IFERROR(IF(AND(OR(FY45=4,FY45=5,FY45=6),OR(GB45=4,GB45=5,GB45=6)),FY45+8,VLOOKUP(CT47,Fixtures!R$31:Y$78,8,FALSE)),"")</f>
        <v/>
      </c>
      <c r="DO45" s="1404" t="str">
        <f>DN45</f>
        <v/>
      </c>
      <c r="DP45" s="1353" t="str">
        <f>IFERROR(VLOOKUP(DD47,Lookup!AU$3:AV$15,2,FALSE),"")</f>
        <v/>
      </c>
      <c r="DQ45" s="1404" t="str">
        <f>IF(DP45=7,"LLLC","")</f>
        <v/>
      </c>
      <c r="DR45" s="1403">
        <f>IFERROR(IF(OR(DN45=4,DN45=5,DN45=6,DN45=12,DN45=13,DN45=14),VLOOKUP(CT47,Fixtures!DN$27:EG$77,19,FALSE),1)*CS47,0)</f>
        <v>0</v>
      </c>
      <c r="DS45" s="1489">
        <f>IF(DP45=7,IF(DD45=DD47,0,DC47),0)</f>
        <v>0</v>
      </c>
      <c r="DU45" s="1403" t="str">
        <f>IFERROR(IF(EW45&lt;EW47,"Yes","No"),"")</f>
        <v/>
      </c>
      <c r="DV45" s="1404" t="str">
        <f>DU45</f>
        <v/>
      </c>
      <c r="DW45" s="1403">
        <f>IF(DU45="Yes",DC47,0)</f>
        <v>0</v>
      </c>
      <c r="DX45" s="1403">
        <f>DW45-DS45</f>
        <v>0</v>
      </c>
      <c r="DZ45" s="1481">
        <f>IFERROR(VLOOKUP(DN45,Lookup!AN$3:AO$16,2,FALSE),0)</f>
        <v>0</v>
      </c>
      <c r="EA45" s="1481">
        <f>IF(HW45=FALSE,0,IF(DU45="Yes",DZ45+Lookup!B$6,DZ45))</f>
        <v>0</v>
      </c>
      <c r="EC45" s="1482">
        <f>IF(HW45=TRUE,DJ45,0)</f>
        <v>0</v>
      </c>
      <c r="ED45" s="1369">
        <f>IF(HW45=TRUE,CW47,0)</f>
        <v>0</v>
      </c>
      <c r="EE45" s="1370">
        <f>IFERROR(EC45-ED45,0)</f>
        <v>0</v>
      </c>
      <c r="EF45" s="1369">
        <f>IF(HW45=TRUE,DG47,0)</f>
        <v>0</v>
      </c>
      <c r="EG45" s="1369">
        <f>IFERROR(EC45-ED45+EF45,0)</f>
        <v>0</v>
      </c>
      <c r="EH45" s="1373">
        <f>IF(HW45=TRUE,CS47*CU47,0)</f>
        <v>0</v>
      </c>
      <c r="EI45" s="1373">
        <f>IF(HW45=TRUE,DC47*DE47,0)</f>
        <v>0</v>
      </c>
      <c r="EJ45" s="1363">
        <f>AO45</f>
        <v>0</v>
      </c>
      <c r="EK45" s="1376" t="str">
        <f>IFERROR(IF(HW45=TRUE,VLOOKUP(DN45,Lookup!AN$3:AP$16,3,FALSE)*DR45,""),0)</f>
        <v/>
      </c>
      <c r="EL45" s="1376">
        <f>IF(HW45=TRUE,DW45*Lookup!AP$12,0)</f>
        <v>0</v>
      </c>
      <c r="EM45" s="1362">
        <f>IFERROR(IF(HW45=TRUE,EK45/EM$33,0),0)</f>
        <v>0</v>
      </c>
      <c r="EN45" s="1362">
        <f>IF(HW45=TRUE,EL45/EN$33,0)</f>
        <v>0</v>
      </c>
      <c r="EO45" s="1363">
        <f>IF(HW45=TRUE,EQ$33*EM45,0)</f>
        <v>0</v>
      </c>
      <c r="EP45" s="1363">
        <f>IF(HW45=TRUE,EQ$33*EN45,0)</f>
        <v>0</v>
      </c>
      <c r="EQ45" s="1363">
        <f>EO45+EP45</f>
        <v>0</v>
      </c>
      <c r="ES45" s="1403">
        <f>IF(G45="",0,1)</f>
        <v>0</v>
      </c>
      <c r="EU45" s="1410" t="e">
        <f>VLOOKUP(CP47,'Space Table'!$B$3:$L$160,8,FALSE)</f>
        <v>#N/A</v>
      </c>
      <c r="EV45" s="1410" t="e">
        <f>IF(EY45="Yes",VLOOKUP(DD45,Lookup_Control_Type_Table2,4,FALSE),VLOOKUP(DD45,Lookup_Control_Type_Table2,3,FALSE))</f>
        <v>#N/A</v>
      </c>
      <c r="EW45" s="1410" t="e">
        <f>VLOOKUP(DD45,Lookup!AU$3:AV$15,2,FALSE)</f>
        <v>#N/A</v>
      </c>
      <c r="EX45" s="1410" t="e">
        <f>VLOOKUP(EU45,Lookup_Control_Type_Table,2,FALSE)</f>
        <v>#N/A</v>
      </c>
      <c r="EY45" s="1410" t="e">
        <f>VLOOKUP(CP47,'Space Table'!$B$3:$L$160,7,FALSE)</f>
        <v>#N/A</v>
      </c>
      <c r="EZ45" s="1412" t="b">
        <f>ISNUMBER(SEARCH("TLED",U47))</f>
        <v>0</v>
      </c>
      <c r="FB45" s="1365" t="str">
        <f>CONCATENATE(CN45," - ",DD45)</f>
        <v xml:space="preserve"> - 0</v>
      </c>
      <c r="FD45" s="1353" t="str">
        <f>VLOOKUP(CT47,Fixtures!DN$27:EZ$77,38,FALSE)</f>
        <v/>
      </c>
      <c r="FE45" s="1353">
        <f>IFERROR(FD45*EE45,0)</f>
        <v>0</v>
      </c>
      <c r="FF45" s="138"/>
      <c r="FI45" s="1356" t="str">
        <f>IF(CN45="Exterior","Not Daylighted",G48)</f>
        <v>Not Daylighted</v>
      </c>
      <c r="FJ45" s="1356">
        <f>VLOOKUP(FI45,_Daylight_Table_Codes,2,FALSE)</f>
        <v>0</v>
      </c>
      <c r="FK45" s="1365">
        <f>IF(__Retrofit_TI_NC=2,VLOOKUP(G47,'Space Table'!$B$3:$L$160,11,FALSE),AF46)</f>
        <v>0</v>
      </c>
      <c r="FL45" s="1365" t="e">
        <f>VLOOKUP(FK45,_Control_Table,2,FALSE)</f>
        <v>#N/A</v>
      </c>
      <c r="FM45" s="1365" t="e">
        <f>IF(AND(FP45&gt;0,FK45="Occupancy Sensor"),"Daylight + Occupancy",IF(AND(FP45&gt;0,FL45&lt;4),"Interior Daylight Dimming",FK45))</f>
        <v>#N/A</v>
      </c>
      <c r="FO45" s="1364">
        <f>IF(CO45="Interior",VLOOKUP(CP45,Control_Savings_Interior,5,FALSE),0)</f>
        <v>0</v>
      </c>
      <c r="FP45" s="1361">
        <f>IF(CN45="Exterior",0,IF(FJ45=2,0.5,IF(OR(FJ45=1,FJ45=3),1,0)))</f>
        <v>0</v>
      </c>
      <c r="FQ45" s="1366"/>
      <c r="FR45" s="1367"/>
      <c r="FS45" s="1364"/>
      <c r="FT45" s="1367"/>
      <c r="FU45" s="1360"/>
      <c r="FW45" s="1352" t="str">
        <f>IFERROR(VLOOKUP(U46,_Exist_Fixture_Table,3,FALSE),"")</f>
        <v/>
      </c>
      <c r="FX45" s="1352" t="str">
        <f>VLOOKUP(CT45,_Exist_Fixture_Table,4,FALSE)</f>
        <v/>
      </c>
      <c r="FY45" s="1352">
        <f>IFERROR(VLOOKUP(FX45,Lookup!AM$6:AN$8,2,FALSE),0)</f>
        <v>0</v>
      </c>
      <c r="FZ45" s="1352" t="b">
        <f>IFERROR(IF(OR(GB45=4,GB45=5,GB45=6),TRUE,FALSE),"")</f>
        <v>0</v>
      </c>
      <c r="GA45" s="1352" t="str">
        <f>IFERROR(VLOOKUP(GB45,FY$6:FZ$10,2,FALSE),"")</f>
        <v/>
      </c>
      <c r="GB45" s="1352" t="str">
        <f>VLOOKUP(CT47,Fixtures!R$31:Y$78,8,FALSE)</f>
        <v/>
      </c>
      <c r="GC45" s="1352">
        <f>IF(AND(FW45=TRUE,FZ45=TRUE,OR(DN45=12,DN45=13,DN45=14)),FY45+8,0)</f>
        <v>0</v>
      </c>
      <c r="GD45" s="1352" t="b">
        <f>IF(OR(GC45=12,GC45=13,GC45=14),TRUE,FALSE)</f>
        <v>0</v>
      </c>
      <c r="GE45" s="759" t="b">
        <f>IF(ISNUMBER(SEARCH("TLED",U46)),TRUE,FALSE)</f>
        <v>0</v>
      </c>
      <c r="GF45" s="1035" t="str">
        <f>IFERROR(VLOOKUP(U46,Fixtures!BM$93:BR$142,6,FALSE),"")</f>
        <v/>
      </c>
      <c r="GG45" s="1385" t="b">
        <f>IF(OR(GE45=FALSE,GE47=FALSE),TRUE,IF(GF45-GF47&lt;5,FALSE,TRUE))</f>
        <v>1</v>
      </c>
      <c r="GK45" s="1034">
        <f>GL45</f>
        <v>0</v>
      </c>
      <c r="GL45" s="1034">
        <f>IF(G45="",0,1)</f>
        <v>0</v>
      </c>
      <c r="GM45" s="1034">
        <f>SUM(GN45:HB45)</f>
        <v>2</v>
      </c>
      <c r="GN45" s="1034">
        <f>IF(G46="",0,1)</f>
        <v>0</v>
      </c>
      <c r="GO45" s="1034">
        <f>IF(G47="",0,1)</f>
        <v>0</v>
      </c>
      <c r="GP45" s="1034">
        <f>IF(R46="",0,1)</f>
        <v>0</v>
      </c>
      <c r="GQ45" s="1034">
        <f>IF(__Retrofit_TI_NC=0,1,IF(R47="",0,1))</f>
        <v>1</v>
      </c>
      <c r="GR45" s="1034">
        <f>IF(CN45="Exterior",1,IF(G48="",0,1))</f>
        <v>1</v>
      </c>
      <c r="GS45" s="1034">
        <f>IF(__Retrofit_TI_NC&lt;&gt;0,1,IF(T46="",0,1))</f>
        <v>0</v>
      </c>
      <c r="GT45" s="1034">
        <f>IF(__Retrofit_TI_NC&lt;&gt;0,1,IF(U46="",0,1))</f>
        <v>0</v>
      </c>
      <c r="GU45" s="1034">
        <f>IF(T47="",0,1)</f>
        <v>0</v>
      </c>
      <c r="GV45" s="1034">
        <f>IF(U47="",0,1)</f>
        <v>0</v>
      </c>
      <c r="GW45" s="1034">
        <f>IF(__Retrofit_TI_NC=2,1,IF(U48="",0,1))</f>
        <v>0</v>
      </c>
      <c r="GX45" s="1034">
        <f>IF(__Retrofit_TI_NC&lt;&gt;0,1,IF(AE46="",0,1))</f>
        <v>0</v>
      </c>
      <c r="GY45" s="1034">
        <f>IF(__Retrofit_TI_NC&lt;&gt;0,1,IF(AF46="",0,1))</f>
        <v>0</v>
      </c>
      <c r="GZ45" s="1034">
        <f>IF(AE47="",0,1)</f>
        <v>0</v>
      </c>
      <c r="HA45" s="1034">
        <f>IF(AF47="",0,1)</f>
        <v>0</v>
      </c>
      <c r="HB45" s="1034">
        <f>IF(__Retrofit_TI_NC=2,1,IF(AF48="",0,1))</f>
        <v>0</v>
      </c>
      <c r="HV45" s="436"/>
      <c r="HW45" s="1384" t="b">
        <f>IF(OR(HW48=0,HW48=HT$16,HW48=HS$16,HW48=HU$16),TRUE,FALSE)</f>
        <v>0</v>
      </c>
      <c r="HX45" s="1377" t="b">
        <f>HW45</f>
        <v>0</v>
      </c>
      <c r="HY45" s="436"/>
      <c r="HZ45" s="436"/>
      <c r="IA45" s="1386" t="b">
        <f>IF(MAX(GJ48:HP48)&gt;5,FALSE,TRUE)</f>
        <v>0</v>
      </c>
      <c r="IB45" s="1380">
        <f>IF(IA45=TRUE,AC45,0)</f>
        <v>0</v>
      </c>
      <c r="IC45" s="1380">
        <f>IB45-IB47</f>
        <v>0</v>
      </c>
      <c r="IF45" s="1380" t="e">
        <f>ROUND(T46*VLOOKUP(U46,Fixtures_Existing_List,2,FALSE)*N46*R46/1000,0)</f>
        <v>#N/A</v>
      </c>
      <c r="IG45" s="1381" t="e">
        <f>IF45-IF47</f>
        <v>#N/A</v>
      </c>
      <c r="IH45" s="1384" t="e">
        <f>ROUND(IF(CN45="Interior",N47*R47*R46*N46*_C406_reduction/1000,N47*R47*R46*N46/1000),0)</f>
        <v>#N/A</v>
      </c>
      <c r="II45" s="1384" t="e">
        <f>IH45-IH47</f>
        <v>#N/A</v>
      </c>
      <c r="IK45" s="1351" t="e">
        <f>IF($CO45="interior",IL45/2,VLOOKUP($CP45,Control_Savings_Exterior,IK$30,FALSE))</f>
        <v>#N/A</v>
      </c>
      <c r="IL45" s="1351" t="e">
        <f>IF($CO45="interior",VLOOKUP($CP45,Control_Savings_Interior,IL$30,FALSE),VLOOKUP($CP45,Control_Savings_Exterior,IL$30,FALSE))</f>
        <v>#N/A</v>
      </c>
      <c r="IM45" s="1351" t="e">
        <f>IF($CO45="interior",IF(R46&gt;FO$37,(IM$28*(FO$37/R46)),IM$28)*FP45,VLOOKUP($CP45,Control_Savings_Exterior,IM$30,FALSE))</f>
        <v>#N/A</v>
      </c>
      <c r="IN45" s="1351" t="e">
        <f>IF($CO45="interior",ROUND(((1-IL45)*IM45)+IL45,2),VLOOKUP($CP45,Control_Savings_Exterior,IN$30,FALSE))</f>
        <v>#N/A</v>
      </c>
      <c r="IO45" s="1351" t="e">
        <f>IF($CO45="interior", ROUND(((1-IL45)*(IM45*(1-IP$28)))+IP45,2), VLOOKUP($CP45,Control_Savings_Exterior,IO$30,FALSE))</f>
        <v>#N/A</v>
      </c>
      <c r="IP45" s="1351">
        <f>IF($CO45="interior",ROUND(((1-IL45)*IP$28)+IL45,2),0)</f>
        <v>0</v>
      </c>
    </row>
    <row r="46" spans="1:250" s="82" customFormat="1" ht="14.95" customHeight="1" thickTop="1" thickBot="1">
      <c r="B46" s="1421"/>
      <c r="C46" s="1422"/>
      <c r="D46" s="1423"/>
      <c r="E46" s="1393" t="s">
        <v>244</v>
      </c>
      <c r="F46" s="1394"/>
      <c r="G46" s="1395"/>
      <c r="H46" s="1395"/>
      <c r="I46" s="1395"/>
      <c r="J46" s="1395"/>
      <c r="K46" s="1395"/>
      <c r="L46" s="1395"/>
      <c r="M46" s="509" t="e">
        <f>IF(__Retrofit_TI_NC&lt;&gt;0,IF(VLOOKUP(G47,'Space Table'!$B$3:$L$160,3,FALSE)&gt;0,1,0),IF(__Retrofit_TI_NC=VLOOKUP(G47,'Space Table'!$B$3:$L$160,3,FALSE),1,0))</f>
        <v>#N/A</v>
      </c>
      <c r="N46" s="509" t="str">
        <f>IFERROR(VLOOKUP(G46,_Lookup_Heat_Type_Table_New,2,FALSE),"")</f>
        <v/>
      </c>
      <c r="O46" s="509">
        <f>IF(__Retrofit_TI_NC=1,CONCATENATE("TI ",G46),IF(__Retrofit_TI_NC=2,CONCATENATE("NC ",G46),G46))</f>
        <v>0</v>
      </c>
      <c r="P46" s="1396" t="s">
        <v>352</v>
      </c>
      <c r="Q46" s="1396"/>
      <c r="R46" s="673"/>
      <c r="S46" s="1429"/>
      <c r="T46" s="675"/>
      <c r="U46" s="1496"/>
      <c r="V46" s="1497"/>
      <c r="W46" s="1497"/>
      <c r="X46" s="1497"/>
      <c r="Y46" s="1497"/>
      <c r="Z46" s="1497"/>
      <c r="AA46" s="1497"/>
      <c r="AB46" s="1497"/>
      <c r="AC46" s="1497"/>
      <c r="AD46" s="1498"/>
      <c r="AE46" s="675"/>
      <c r="AF46" s="1397"/>
      <c r="AG46" s="1397"/>
      <c r="AH46" s="1397"/>
      <c r="AI46" s="1397"/>
      <c r="AJ46" s="1434"/>
      <c r="AK46" s="1436"/>
      <c r="AL46" s="1438"/>
      <c r="AM46" s="1441"/>
      <c r="AN46" s="1442"/>
      <c r="AO46" s="1447"/>
      <c r="AP46" s="1447"/>
      <c r="AQ46" s="1448"/>
      <c r="AR46" s="1452"/>
      <c r="AS46" s="1455"/>
      <c r="AT46" s="1458"/>
      <c r="AU46" s="516"/>
      <c r="AV46" s="1479"/>
      <c r="AW46" s="1479"/>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M46" s="1352"/>
      <c r="CN46" s="1352"/>
      <c r="CO46" s="1416"/>
      <c r="CP46" s="1418"/>
      <c r="CR46" s="1386"/>
      <c r="CS46" s="1355"/>
      <c r="CT46" s="1355"/>
      <c r="CU46" s="1355"/>
      <c r="CV46" s="1372"/>
      <c r="CW46" s="1372"/>
      <c r="CX46" s="1371"/>
      <c r="CY46" s="1486"/>
      <c r="CZ46" s="1486"/>
      <c r="DA46" s="1486"/>
      <c r="DC46" s="1355"/>
      <c r="DD46" s="1461"/>
      <c r="DE46" s="1355"/>
      <c r="DF46" s="1407"/>
      <c r="DG46" s="1372"/>
      <c r="DH46" s="1369"/>
      <c r="DJ46" s="1484"/>
      <c r="DL46" s="1419"/>
      <c r="DN46" s="1403"/>
      <c r="DO46" s="1405"/>
      <c r="DP46" s="1354"/>
      <c r="DQ46" s="1405"/>
      <c r="DR46" s="1403"/>
      <c r="DS46" s="1489"/>
      <c r="DU46" s="1403"/>
      <c r="DV46" s="1405"/>
      <c r="DW46" s="1403"/>
      <c r="DX46" s="1403"/>
      <c r="DZ46" s="1481"/>
      <c r="EA46" s="1481"/>
      <c r="EC46" s="1482"/>
      <c r="ED46" s="1369"/>
      <c r="EE46" s="1371"/>
      <c r="EF46" s="1369"/>
      <c r="EG46" s="1369"/>
      <c r="EH46" s="1374"/>
      <c r="EI46" s="1374"/>
      <c r="EJ46" s="1363"/>
      <c r="EK46" s="1376"/>
      <c r="EL46" s="1376"/>
      <c r="EM46" s="1362"/>
      <c r="EN46" s="1362"/>
      <c r="EO46" s="1363"/>
      <c r="EP46" s="1363"/>
      <c r="EQ46" s="1363"/>
      <c r="ES46" s="1403"/>
      <c r="EU46" s="1411"/>
      <c r="EV46" s="1411"/>
      <c r="EW46" s="1411"/>
      <c r="EX46" s="1411"/>
      <c r="EY46" s="1411"/>
      <c r="EZ46" s="1413"/>
      <c r="FB46" s="1365"/>
      <c r="FD46" s="1354"/>
      <c r="FE46" s="1354"/>
      <c r="FF46" s="138"/>
      <c r="FI46" s="1357"/>
      <c r="FJ46" s="1357"/>
      <c r="FK46" s="1365"/>
      <c r="FL46" s="1365"/>
      <c r="FM46" s="1365"/>
      <c r="FO46" s="1361"/>
      <c r="FP46" s="1361"/>
      <c r="FQ46" s="1366"/>
      <c r="FR46" s="1368"/>
      <c r="FS46" s="1361"/>
      <c r="FT46" s="1368"/>
      <c r="FU46" s="1360"/>
      <c r="FW46" s="1352"/>
      <c r="FX46" s="1352"/>
      <c r="FY46" s="1352"/>
      <c r="FZ46" s="1352"/>
      <c r="GA46" s="1352"/>
      <c r="GB46" s="1352"/>
      <c r="GC46" s="1352"/>
      <c r="GD46" s="1352"/>
      <c r="GE46" s="759"/>
      <c r="GF46" s="1035"/>
      <c r="GG46" s="1385"/>
      <c r="GI46" s="1384" t="b">
        <f>IF(AND(GL46=TRUE,GM46=TRUE),TRUE,FALSE)</f>
        <v>0</v>
      </c>
      <c r="GJ46" s="1379" t="b">
        <f>IFERROR(IF(__Retrofit_TI_NC=2,TRUE,IF(AR45="Yes",TRUE,FALSE)),FALSE)</f>
        <v>1</v>
      </c>
      <c r="GL46" s="1379" t="b">
        <f>IFERROR(IF(GL45=1,TRUE,FALSE),FALSE)</f>
        <v>0</v>
      </c>
      <c r="GM46" s="1379" t="b">
        <f>IFERROR(IF(GM45=GM$14,TRUE,FALSE),FALSE)</f>
        <v>0</v>
      </c>
      <c r="HC46" s="1379" t="b">
        <f>IFERROR(IF(M46=1,TRUE,FALSE),FALSE)</f>
        <v>0</v>
      </c>
      <c r="HD46" s="1379" t="b">
        <f>IFERROR(IF(M47=1,TRUE,FALSE),FALSE)</f>
        <v>0</v>
      </c>
      <c r="HE46" s="1379" t="b">
        <f>IFERROR(IF(__Retrofit_TI_NC&lt;&gt;0,TRUE,IFERROR(IF(VLOOKUP(U46,Fixtures_Existing_List,2,FALSE)&lt;&gt;"",TRUE,FALSE),FALSE)),FALSE)</f>
        <v>0</v>
      </c>
      <c r="HF46" s="1379" t="b">
        <f>IFERROR(IF(VLOOKUP(U47,Fixtures_Proposed_List,2,FALSE)&lt;&gt;"",TRUE,FALSE),FALSE)</f>
        <v>0</v>
      </c>
      <c r="HG46" s="1379" t="b">
        <f>IF(AND(__Retrofit_TI_NC=2,EZ45=TRUE),FALSE,TRUE)</f>
        <v>1</v>
      </c>
      <c r="HH46" s="1379" t="b">
        <f>GG45</f>
        <v>1</v>
      </c>
      <c r="HI46" s="1384" t="b">
        <f>IF(ISERROR(MATCH(FB45,_Control_Match[],0))=TRUE,FALSE,TRUE)</f>
        <v>0</v>
      </c>
      <c r="HJ46" s="1384" t="b">
        <f>IFERROR(IF(EU45&lt;&gt;EV45,FALSE,TRUE),FALSE)</f>
        <v>0</v>
      </c>
      <c r="HK46" s="1384" t="b">
        <f>IFERROR(IF(EU47&lt;&gt;EV47,FALSE,TRUE),FALSE)</f>
        <v>0</v>
      </c>
      <c r="HL46" s="1379" t="b">
        <f>IFERROR(IF(CN45="Exterior",TRUE,IF(OR(AND(FJ45=0,EW47&gt;4),AND(FJ45=4,EW47&gt;4,EW47&lt;7)),FALSE,TRUE)),FALSE)</f>
        <v>0</v>
      </c>
      <c r="HM46" s="1379" t="b">
        <f>IFERROR(IF(AND(FL47=7,EZ45=TRUE),FALSE,TRUE),FALSE)</f>
        <v>0</v>
      </c>
      <c r="HN46" s="1379" t="b">
        <f>IFERROR(IF(AND(T47&lt;&gt;AE47,AF47="Interior LLLC")=TRUE,FALSE,TRUE),FALSE)</f>
        <v>1</v>
      </c>
      <c r="HO46" s="1379" t="b">
        <f>IFERROR(IF(OR(AF47=Lookup!AU$13,AF47=Lookup!AU$14)=TRUE,IF(AE47&gt;T47,FALSE,TRUE),TRUE),FALSE)</f>
        <v>1</v>
      </c>
      <c r="HP46" s="1379" t="b">
        <f>IFERROR(IF(__Retrofit_TI_NC=2,IF(EW47&lt;EW45,FALSE,TRUE),TRUE),FALSE)</f>
        <v>1</v>
      </c>
      <c r="HQ46" s="1379" t="b">
        <f>IF(CN45="Interior",IG$6,TRUE)</f>
        <v>1</v>
      </c>
      <c r="HR46" s="1379" t="b">
        <f>IF(CN45="Exterior",IG$8,TRUE)</f>
        <v>1</v>
      </c>
      <c r="HS46" s="1379" t="b">
        <f>IFERROR(IF(__Retrofit_TI_NC&lt;&gt;0,IF(AW45&lt;AV45,FALSE,TRUE),TRUE),FALSE)</f>
        <v>1</v>
      </c>
      <c r="HT46" s="1379" t="b">
        <f>IFERROR(IF(AND(G46="Exterior",R46&gt;4200),FALSE,TRUE),FALSE)</f>
        <v>1</v>
      </c>
      <c r="HU46" s="1379" t="b">
        <f>IFERROR(IF(AB48/AB45&lt;HU$18,FALSE,TRUE),FALSE)</f>
        <v>0</v>
      </c>
      <c r="HW46" s="1382"/>
      <c r="HX46" s="1378"/>
      <c r="HY46" s="1377" t="str">
        <f>VLOOKUP(HW48,_Error_Table,4,FALSE)</f>
        <v>White</v>
      </c>
      <c r="HZ46" s="436"/>
      <c r="IA46" s="1386"/>
      <c r="IB46" s="1380"/>
      <c r="IC46" s="1379"/>
      <c r="IF46" s="1380"/>
      <c r="IG46" s="1382"/>
      <c r="IH46" s="1382"/>
      <c r="II46" s="1382"/>
      <c r="IK46" s="1351"/>
      <c r="IL46" s="1351"/>
      <c r="IM46" s="1351"/>
      <c r="IN46" s="1351"/>
      <c r="IO46" s="1351"/>
      <c r="IP46" s="1351"/>
    </row>
    <row r="47" spans="1:250" s="82" customFormat="1" ht="14.95" customHeight="1" thickTop="1" thickBot="1">
      <c r="A47" s="82">
        <f>ROW()</f>
        <v>47</v>
      </c>
      <c r="B47" s="1421"/>
      <c r="C47" s="1422"/>
      <c r="D47" s="1423"/>
      <c r="E47" s="1393" t="s">
        <v>245</v>
      </c>
      <c r="F47" s="1394"/>
      <c r="G47" s="1398"/>
      <c r="H47" s="1399"/>
      <c r="I47" s="1399"/>
      <c r="J47" s="1399"/>
      <c r="K47" s="1399"/>
      <c r="L47" s="1400"/>
      <c r="M47" s="509">
        <f>IFERROR(IF(IF(__Retrofit_TI_NC&lt;&gt;0,IF(CN45="Interior",MATCH(G47,Lookup_Interior_New,0),MATCH(G47,Lookup_Exterior_New,0)),IF(CN45="Interior",MATCH(G47,Lookup_Interior,0),MATCH(G47,Lookup_Exterior_Areas,0)))&gt;0,1,0),0)</f>
        <v>0</v>
      </c>
      <c r="N47" s="509" t="e">
        <f>IF(__Retrofit_TI_NC=1,
VLOOKUP(G47,'Space Table'!$B$3:$L$160,4,FALSE),
IF(__Retrofit_TI_NC=2,VLOOKUP(G47,'Space Table'!$B$3:$L$160,5,FALSE),VLOOKUP(G47,'Space Table'!$B$3:$L$160,5,FALSE)))</f>
        <v>#N/A</v>
      </c>
      <c r="O47" s="509">
        <f>G47</f>
        <v>0</v>
      </c>
      <c r="P47" s="1394" t="s">
        <v>355</v>
      </c>
      <c r="Q47" s="1394"/>
      <c r="R47" s="674"/>
      <c r="S47" s="1401" t="s">
        <v>284</v>
      </c>
      <c r="T47" s="672"/>
      <c r="U47" s="1499"/>
      <c r="V47" s="1500"/>
      <c r="W47" s="1500"/>
      <c r="X47" s="1500"/>
      <c r="Y47" s="1500"/>
      <c r="Z47" s="1500"/>
      <c r="AA47" s="1500"/>
      <c r="AB47" s="1501"/>
      <c r="AC47" s="1501"/>
      <c r="AD47" s="1502"/>
      <c r="AE47" s="672"/>
      <c r="AF47" s="1474"/>
      <c r="AG47" s="1474"/>
      <c r="AH47" s="1474"/>
      <c r="AI47" s="1474"/>
      <c r="AJ47" s="1475">
        <f>DF47</f>
        <v>0</v>
      </c>
      <c r="AK47" s="1470" t="str">
        <f>IFERROR(ROUND(AJ47*AC48,0),"")</f>
        <v/>
      </c>
      <c r="AL47" s="1472">
        <f>IFERROR(IF(HW45=FALSE,0,AC48-AK47),0)</f>
        <v>0</v>
      </c>
      <c r="AM47" s="1441"/>
      <c r="AN47" s="1442"/>
      <c r="AO47" s="1447"/>
      <c r="AP47" s="1447"/>
      <c r="AQ47" s="1448"/>
      <c r="AR47" s="1452"/>
      <c r="AS47" s="1455"/>
      <c r="AT47" s="1458"/>
      <c r="AU47" s="516"/>
      <c r="AV47" s="1479"/>
      <c r="AW47" s="1479"/>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M47" s="1352"/>
      <c r="CN47" s="1352"/>
      <c r="CO47" s="1415" t="str">
        <f>CN45</f>
        <v/>
      </c>
      <c r="CP47" s="1417" t="e">
        <f>CP45</f>
        <v>#N/A</v>
      </c>
      <c r="CR47" s="1386" t="s">
        <v>284</v>
      </c>
      <c r="CS47" s="1353">
        <f>IF(HW45=TRUE,T47,0)</f>
        <v>0</v>
      </c>
      <c r="CT47" s="1353" t="str">
        <f>IF(HW45=TRUE,U47,"")</f>
        <v/>
      </c>
      <c r="CU47" s="1373">
        <f>IF(HW45=TRUE,U48,0)</f>
        <v>0</v>
      </c>
      <c r="CV47" s="1370">
        <f>IF(HW45=TRUE,AB48,0)</f>
        <v>0</v>
      </c>
      <c r="CW47" s="1370">
        <f>IF(HW45=TRUE,AC48,0)</f>
        <v>0</v>
      </c>
      <c r="CX47" s="1371"/>
      <c r="CY47" s="1486"/>
      <c r="CZ47" s="1486"/>
      <c r="DA47" s="1486"/>
      <c r="DC47" s="1353">
        <f>IF(HW45=TRUE,AE47,0)</f>
        <v>0</v>
      </c>
      <c r="DD47" s="1353" t="str">
        <f>IF(HW45=TRUE,AF47,"")</f>
        <v/>
      </c>
      <c r="DE47" s="1373">
        <f>AF48</f>
        <v>0</v>
      </c>
      <c r="DF47" s="1406">
        <f>IFERROR(IF(FL47=3,IK47,IF(FL47=4,IL47,IF(FL47=5,IM47,IF(FL47=6,IN47,IF(FL47=7,IO47,IF(FL47=8,IP47,0)))))),0)</f>
        <v>0</v>
      </c>
      <c r="DG47" s="1370">
        <f>IF(HW45=TRUE,AK47,0)</f>
        <v>0</v>
      </c>
      <c r="DH47" s="1369"/>
      <c r="DK47" s="1483">
        <f>IFERROR(CW47-DG47,0)</f>
        <v>0</v>
      </c>
      <c r="DL47" s="1420"/>
      <c r="DN47" s="1403"/>
      <c r="DO47" s="1477" t="str">
        <f>DN45</f>
        <v/>
      </c>
      <c r="DP47" s="1354"/>
      <c r="DQ47" s="1477" t="str">
        <f>IF(DP45=7,"LLLC","")</f>
        <v/>
      </c>
      <c r="DR47" s="1403"/>
      <c r="DS47" s="1489"/>
      <c r="DU47" s="1403"/>
      <c r="DV47" s="1404" t="str">
        <f>DU45</f>
        <v/>
      </c>
      <c r="DW47" s="1403"/>
      <c r="DX47" s="1403"/>
      <c r="DZ47" s="1481"/>
      <c r="EA47" s="1481"/>
      <c r="EC47" s="1482"/>
      <c r="ED47" s="1369"/>
      <c r="EE47" s="1371"/>
      <c r="EF47" s="1369"/>
      <c r="EG47" s="1369"/>
      <c r="EH47" s="1374"/>
      <c r="EI47" s="1374"/>
      <c r="EJ47" s="1363"/>
      <c r="EK47" s="1376"/>
      <c r="EL47" s="1376"/>
      <c r="EM47" s="1362"/>
      <c r="EN47" s="1362"/>
      <c r="EO47" s="1363"/>
      <c r="EP47" s="1363"/>
      <c r="EQ47" s="1363"/>
      <c r="ES47" s="1403"/>
      <c r="EU47" s="1411" t="e">
        <f>VLOOKUP(CP47,'Space Table'!$B$3:$L$160,8,FALSE)</f>
        <v>#N/A</v>
      </c>
      <c r="EV47" s="1411" t="e">
        <f>IF(EY47="Yes",VLOOKUP(AF47,Lookup_Control_Type_Table2,4,FALSE),VLOOKUP(AF47,Lookup_Control_Type_Table2,3,FALSE))</f>
        <v>#N/A</v>
      </c>
      <c r="EW47" s="1411" t="e">
        <f>VLOOKUP(AF47,Lookup!AU$3:AV$15,2,FALSE)</f>
        <v>#N/A</v>
      </c>
      <c r="EX47" s="1411" t="e">
        <f>VLOOKUP(EU45,Lookup_Control_Type_Table,2,FALSE)</f>
        <v>#N/A</v>
      </c>
      <c r="EY47" s="1411" t="e">
        <f>VLOOKUP(CP47,'Space Table'!$B$3:$L$160,7,FALSE)</f>
        <v>#N/A</v>
      </c>
      <c r="EZ47" s="1413"/>
      <c r="FB47" s="1365" t="str">
        <f>CONCATENATE(CN45," - ",AF47)</f>
        <v xml:space="preserve"> - </v>
      </c>
      <c r="FD47" s="1354"/>
      <c r="FE47" s="1354"/>
      <c r="FF47" s="138"/>
      <c r="FI47" s="1356" t="str">
        <f>IF(CN45="Exterior","Not Daylighted",G48)</f>
        <v>Not Daylighted</v>
      </c>
      <c r="FJ47" s="1356">
        <f>VLOOKUP(FI47,_Daylight_Table_Codes,2,FALSE)</f>
        <v>0</v>
      </c>
      <c r="FK47" s="1365">
        <f>AF47</f>
        <v>0</v>
      </c>
      <c r="FL47" s="1365" t="e">
        <f>VLOOKUP(FK47,_Control_Table,2,FALSE)</f>
        <v>#N/A</v>
      </c>
      <c r="FM47" s="1365" t="e">
        <f>IF(AND(FP47&gt;0,FK47="Occupancy Sensor"),"Daylight + Occupancy",IF(AND(FP47&gt;0,FL47&lt;4),"Interior Daylight Dimming",FK47))</f>
        <v>#N/A</v>
      </c>
      <c r="FO47" s="1364">
        <f>IF(CN45="Interior",VLOOKUP(CP45,Control_Savings_Interior,5,FALSE),0)</f>
        <v>0</v>
      </c>
      <c r="FP47" s="1361">
        <f>IF(CN47="Exterior",0,IF(FJ47=2,0.5,IF(OR(FJ47=1,FJ47=3),1,0)))</f>
        <v>0</v>
      </c>
      <c r="FQ47" s="1366">
        <f>IF(R46&gt;FO$37,(FO47*(FO$37/R46)),FO47)*FP47</f>
        <v>0</v>
      </c>
      <c r="FR47" s="1364">
        <f>DF47</f>
        <v>0</v>
      </c>
      <c r="FS47" s="1364">
        <f>ROUND(FR47+((1-FR47)*FQ47),2)</f>
        <v>0</v>
      </c>
      <c r="FT47" s="1364">
        <f>IF(__Retrofit_TI_NC=2,FS47,FR47)</f>
        <v>0</v>
      </c>
      <c r="FU47" s="1360">
        <f>IF(CO47="Interior",VLOOKUP(CP47,Control_Savings_Interior,4,FALSE),0)</f>
        <v>0</v>
      </c>
      <c r="FW47" s="1352"/>
      <c r="FX47" s="1352"/>
      <c r="FY47" s="1352"/>
      <c r="FZ47" s="1352"/>
      <c r="GA47" s="1352"/>
      <c r="GB47" s="1352"/>
      <c r="GC47" s="1352"/>
      <c r="GD47" s="1352"/>
      <c r="GE47" s="759" t="b">
        <f>IF(ISNUMBER(SEARCH("TLED",U47)),TRUE,FALSE)</f>
        <v>0</v>
      </c>
      <c r="GF47" s="1035" t="str">
        <f>IFERROR(VLOOKUP(U47,Fixtures!DM$93:DR$142,6,FALSE),"")</f>
        <v/>
      </c>
      <c r="GG47" s="1385"/>
      <c r="GI47" s="1383"/>
      <c r="GJ47" s="1379"/>
      <c r="GL47" s="1379"/>
      <c r="GM47" s="1379"/>
      <c r="HC47" s="1379"/>
      <c r="HD47" s="1379"/>
      <c r="HE47" s="1379"/>
      <c r="HF47" s="1379"/>
      <c r="HG47" s="1379"/>
      <c r="HH47" s="1379"/>
      <c r="HI47" s="1383"/>
      <c r="HJ47" s="1383"/>
      <c r="HK47" s="1383"/>
      <c r="HL47" s="1379"/>
      <c r="HM47" s="1379"/>
      <c r="HN47" s="1379"/>
      <c r="HO47" s="1379"/>
      <c r="HP47" s="1379"/>
      <c r="HQ47" s="1379"/>
      <c r="HR47" s="1379"/>
      <c r="HS47" s="1379"/>
      <c r="HT47" s="1379"/>
      <c r="HU47" s="1379"/>
      <c r="HW47" s="1383"/>
      <c r="HX47" s="1384" t="b">
        <f>HW45</f>
        <v>0</v>
      </c>
      <c r="HY47" s="1378"/>
      <c r="HZ47" s="436"/>
      <c r="IA47" s="1386"/>
      <c r="IB47" s="1380">
        <f>IF(IA45=TRUE,AC48,0)</f>
        <v>0</v>
      </c>
      <c r="IC47" s="1379"/>
      <c r="IF47" s="1380" t="e">
        <f>ROUND(T47*AB48*N46*R46/1000,0)</f>
        <v>#VALUE!</v>
      </c>
      <c r="IG47" s="1382"/>
      <c r="IH47" s="1384" t="e">
        <f>ROUND(T47*AB48*N46*R46/1000,0)</f>
        <v>#VALUE!</v>
      </c>
      <c r="II47" s="1382"/>
      <c r="IK47" s="1351" t="e">
        <f>IF($CO47="interior",IL47/2,VLOOKUP($CP47,Control_Savings_Exterior,IK$30,FALSE))</f>
        <v>#N/A</v>
      </c>
      <c r="IL47" s="1351" t="e">
        <f>IF($CO47="interior",VLOOKUP($CP47,Control_Savings_Interior,IL$30,FALSE),VLOOKUP($CP47,Control_Savings_Exterior,IL$30,FALSE))</f>
        <v>#N/A</v>
      </c>
      <c r="IM47" s="1351" t="e">
        <f>IF($CO47="interior",IF(R46&gt;FO$37,(IM$28*(FO$37/R46)),IM$28)*FP47,VLOOKUP($CP47,Control_Savings_Exterior,IM$30,FALSE))</f>
        <v>#N/A</v>
      </c>
      <c r="IN47" s="1351" t="e">
        <f>IF($CO47="interior",ROUND(((1-IL47)*IM47)+IL47,2),VLOOKUP($CP47,Control_Savings_Exterior,IN$30,FALSE))</f>
        <v>#N/A</v>
      </c>
      <c r="IO47" s="1351" t="e">
        <f>IF($CO47="interior", ROUND(((1-IL47)*(IM47*(1-IP$28)))+IP47,2), VLOOKUP($CP47,Control_Savings_Exterior,IO$30,FALSE))</f>
        <v>#N/A</v>
      </c>
      <c r="IP47" s="1351">
        <f>IF($CO47="interior",ROUND(((1-IL47)*IP$28)+IL47,2),0)</f>
        <v>0</v>
      </c>
    </row>
    <row r="48" spans="1:250" s="82" customFormat="1" ht="14.95" customHeight="1" thickTop="1" thickBot="1">
      <c r="B48" s="1421"/>
      <c r="C48" s="1422"/>
      <c r="D48" s="1423"/>
      <c r="E48" s="1462" t="s">
        <v>357</v>
      </c>
      <c r="F48" s="1463"/>
      <c r="G48" s="1464" t="s">
        <v>362</v>
      </c>
      <c r="H48" s="1465"/>
      <c r="I48" s="1465"/>
      <c r="J48" s="1465"/>
      <c r="K48" s="1465"/>
      <c r="L48" s="1466"/>
      <c r="M48" s="669">
        <f>IFERROR(VLOOKUP(G48,_Daylight_Table[],2,FALSE),0)</f>
        <v>0</v>
      </c>
      <c r="N48" s="670"/>
      <c r="O48" s="669" t="e">
        <f>VLOOKUP(G47,'Space Table'!$B$3:$L$160,11,FALSE)</f>
        <v>#N/A</v>
      </c>
      <c r="P48" s="1408"/>
      <c r="Q48" s="1409"/>
      <c r="R48" s="1409"/>
      <c r="S48" s="1402"/>
      <c r="T48" s="671" t="s">
        <v>281</v>
      </c>
      <c r="U48" s="1467" t="str">
        <f>IFERROR(VLOOKUP(U47,Fixtures!DM$93:DP$142,4,FALSE),"")</f>
        <v/>
      </c>
      <c r="V48" s="1468"/>
      <c r="W48" s="1468"/>
      <c r="X48" s="1468"/>
      <c r="Y48" s="1468"/>
      <c r="Z48" s="1468"/>
      <c r="AA48" s="1468"/>
      <c r="AB48" s="1046" t="str">
        <f>IFERROR(VLOOKUP(U47,Fixtures_Proposed_List,2,FALSE),"")</f>
        <v/>
      </c>
      <c r="AC48" s="1036" t="str">
        <f>IFERROR(ROUND(T47*AB48*N46*R46/1000,0),"")</f>
        <v/>
      </c>
      <c r="AD48" s="1037" t="str">
        <f>IFERROR(ROUND(T47*AB48/1000,2),"")</f>
        <v/>
      </c>
      <c r="AE48" s="1045" t="s">
        <v>281</v>
      </c>
      <c r="AF48" s="1469"/>
      <c r="AG48" s="1469"/>
      <c r="AH48" s="1469"/>
      <c r="AI48" s="1469"/>
      <c r="AJ48" s="1476"/>
      <c r="AK48" s="1471"/>
      <c r="AL48" s="1473"/>
      <c r="AM48" s="1443"/>
      <c r="AN48" s="1444"/>
      <c r="AO48" s="1449"/>
      <c r="AP48" s="1449"/>
      <c r="AQ48" s="1450"/>
      <c r="AR48" s="1453"/>
      <c r="AS48" s="1456"/>
      <c r="AT48" s="1459"/>
      <c r="AU48" s="517"/>
      <c r="AV48" s="1480"/>
      <c r="AW48" s="1480"/>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M48" s="1352"/>
      <c r="CN48" s="1352"/>
      <c r="CO48" s="1416"/>
      <c r="CP48" s="1418"/>
      <c r="CR48" s="1386"/>
      <c r="CS48" s="1355"/>
      <c r="CT48" s="1355"/>
      <c r="CU48" s="1375"/>
      <c r="CV48" s="1372"/>
      <c r="CW48" s="1372"/>
      <c r="CX48" s="1372"/>
      <c r="CY48" s="1487"/>
      <c r="CZ48" s="1487"/>
      <c r="DA48" s="1487"/>
      <c r="DC48" s="1355"/>
      <c r="DD48" s="1355"/>
      <c r="DE48" s="1375"/>
      <c r="DF48" s="1407"/>
      <c r="DG48" s="1372"/>
      <c r="DH48" s="1369"/>
      <c r="DK48" s="1484"/>
      <c r="DL48" s="1420"/>
      <c r="DN48" s="1403"/>
      <c r="DO48" s="1405"/>
      <c r="DP48" s="1355"/>
      <c r="DQ48" s="1405"/>
      <c r="DR48" s="1403"/>
      <c r="DS48" s="1489"/>
      <c r="DU48" s="1403"/>
      <c r="DV48" s="1405"/>
      <c r="DW48" s="1403"/>
      <c r="DX48" s="1403"/>
      <c r="DZ48" s="1481"/>
      <c r="EA48" s="1481"/>
      <c r="EC48" s="1482"/>
      <c r="ED48" s="1369"/>
      <c r="EE48" s="1372"/>
      <c r="EF48" s="1369"/>
      <c r="EG48" s="1369"/>
      <c r="EH48" s="1375"/>
      <c r="EI48" s="1375"/>
      <c r="EJ48" s="1363"/>
      <c r="EK48" s="1376"/>
      <c r="EL48" s="1376"/>
      <c r="EM48" s="1362"/>
      <c r="EN48" s="1362"/>
      <c r="EO48" s="1363"/>
      <c r="EP48" s="1363"/>
      <c r="EQ48" s="1363"/>
      <c r="ES48" s="1403"/>
      <c r="EU48" s="1488"/>
      <c r="EV48" s="1488"/>
      <c r="EW48" s="1488"/>
      <c r="EX48" s="1488"/>
      <c r="EY48" s="1488"/>
      <c r="EZ48" s="1414"/>
      <c r="FB48" s="1365"/>
      <c r="FD48" s="1355"/>
      <c r="FE48" s="1355"/>
      <c r="FF48" s="138"/>
      <c r="FI48" s="1357"/>
      <c r="FJ48" s="1357"/>
      <c r="FK48" s="1365"/>
      <c r="FL48" s="1365"/>
      <c r="FM48" s="1365"/>
      <c r="FO48" s="1361"/>
      <c r="FP48" s="1361"/>
      <c r="FQ48" s="1366"/>
      <c r="FR48" s="1361"/>
      <c r="FS48" s="1361"/>
      <c r="FT48" s="1361"/>
      <c r="FU48" s="1360"/>
      <c r="FW48" s="1352"/>
      <c r="FX48" s="1352"/>
      <c r="FY48" s="1352"/>
      <c r="FZ48" s="1352"/>
      <c r="GA48" s="1352"/>
      <c r="GB48" s="1352"/>
      <c r="GC48" s="1352"/>
      <c r="GD48" s="1352"/>
      <c r="GE48" s="759"/>
      <c r="GF48" s="1035"/>
      <c r="GG48" s="1385"/>
      <c r="GJ48" s="1034">
        <f>IF(GJ46=TRUE,0,GJ$16)</f>
        <v>0</v>
      </c>
      <c r="GL48" s="1034">
        <f>IF(GL46=TRUE,0,GL$16)</f>
        <v>36</v>
      </c>
      <c r="GM48" s="1034">
        <f>IF(GM46=TRUE,0,GM$16)</f>
        <v>35</v>
      </c>
      <c r="GN48" s="436"/>
      <c r="GO48" s="436"/>
      <c r="GP48" s="436"/>
      <c r="GQ48" s="436"/>
      <c r="GR48" s="436"/>
      <c r="HC48" s="1034">
        <f t="shared" ref="HC48:HH48" si="18">IF(HC46=TRUE,0,HC$16)</f>
        <v>19</v>
      </c>
      <c r="HD48" s="1034">
        <f t="shared" si="18"/>
        <v>18</v>
      </c>
      <c r="HE48" s="1034">
        <f t="shared" si="18"/>
        <v>17</v>
      </c>
      <c r="HF48" s="1034">
        <f t="shared" si="18"/>
        <v>16</v>
      </c>
      <c r="HG48" s="1034">
        <f t="shared" si="18"/>
        <v>0</v>
      </c>
      <c r="HH48" s="1034">
        <f t="shared" si="18"/>
        <v>0</v>
      </c>
      <c r="HI48" s="1034">
        <f>IF(HI46=TRUE,0,HI$16)</f>
        <v>13</v>
      </c>
      <c r="HJ48" s="1034">
        <f t="shared" ref="HJ48:HL48" si="19">IF(HJ46=TRUE,0,HJ$16)</f>
        <v>12</v>
      </c>
      <c r="HK48" s="1034">
        <f t="shared" si="19"/>
        <v>11</v>
      </c>
      <c r="HL48" s="1034">
        <f t="shared" si="19"/>
        <v>10</v>
      </c>
      <c r="HM48" s="1034">
        <f>IF(HM46=TRUE,0,HM$16)</f>
        <v>9</v>
      </c>
      <c r="HN48" s="1034">
        <f t="shared" ref="HN48:HR48" si="20">IF(HN46=TRUE,0,HN$16)</f>
        <v>0</v>
      </c>
      <c r="HO48" s="1034">
        <f t="shared" si="20"/>
        <v>0</v>
      </c>
      <c r="HP48" s="1034">
        <f t="shared" si="20"/>
        <v>0</v>
      </c>
      <c r="HQ48" s="1034">
        <f t="shared" si="20"/>
        <v>0</v>
      </c>
      <c r="HR48" s="1034">
        <f t="shared" si="20"/>
        <v>0</v>
      </c>
      <c r="HS48" s="1034">
        <f>IF(HS46=TRUE,0,HS$16)</f>
        <v>0</v>
      </c>
      <c r="HT48" s="1034">
        <f t="shared" ref="HT48" si="21">IF(HT46=TRUE,0,HT$16)</f>
        <v>0</v>
      </c>
      <c r="HU48" s="1034">
        <f>IF(HU46=TRUE,0,HU$16)</f>
        <v>1</v>
      </c>
      <c r="HW48" s="1034">
        <f>IF(GL46=FALSE,GL48,IF(GM46=FALSE,GM48,MAX(GJ48:HU48)))</f>
        <v>36</v>
      </c>
      <c r="HX48" s="1383"/>
      <c r="HY48" s="241" t="str">
        <f>VLOOKUP(HW48,_Error_Table,3,FALSE)</f>
        <v xml:space="preserve"> </v>
      </c>
      <c r="HZ48" s="241"/>
      <c r="IA48" s="1386"/>
      <c r="IB48" s="1380"/>
      <c r="IC48" s="1379"/>
      <c r="IF48" s="1380"/>
      <c r="IG48" s="1383"/>
      <c r="IH48" s="1383"/>
      <c r="II48" s="1383"/>
      <c r="IK48" s="1351"/>
      <c r="IL48" s="1351"/>
      <c r="IM48" s="1351"/>
      <c r="IN48" s="1351"/>
      <c r="IO48" s="1351"/>
      <c r="IP48" s="1351"/>
    </row>
    <row r="49" spans="1:250" s="82" customFormat="1" ht="5.0999999999999996" customHeight="1" thickBot="1">
      <c r="B49" s="762"/>
      <c r="C49" s="437"/>
      <c r="D49" s="437"/>
      <c r="E49" s="1490"/>
      <c r="F49" s="1490"/>
      <c r="G49" s="1490"/>
      <c r="H49" s="1490"/>
      <c r="I49" s="1490"/>
      <c r="J49" s="1490"/>
      <c r="K49" s="1490"/>
      <c r="L49" s="1490"/>
      <c r="M49" s="1490"/>
      <c r="N49" s="1490"/>
      <c r="O49" s="1490"/>
      <c r="P49" s="1490"/>
      <c r="Q49" s="1490"/>
      <c r="R49" s="1490"/>
      <c r="S49" s="1490"/>
      <c r="T49" s="1490"/>
      <c r="U49" s="1490"/>
      <c r="V49" s="1490"/>
      <c r="W49" s="1490"/>
      <c r="X49" s="1490"/>
      <c r="Y49" s="1490"/>
      <c r="Z49" s="1490"/>
      <c r="AA49" s="1490"/>
      <c r="AB49" s="1490"/>
      <c r="AC49" s="1490"/>
      <c r="AD49" s="1490"/>
      <c r="AE49" s="1490"/>
      <c r="AF49" s="1490"/>
      <c r="AG49" s="1490"/>
      <c r="AH49" s="1490"/>
      <c r="AI49" s="1490"/>
      <c r="AJ49" s="1490"/>
      <c r="AK49" s="1490"/>
      <c r="AL49" s="1490"/>
      <c r="AM49" s="1490"/>
      <c r="AN49" s="1490"/>
      <c r="AO49" s="1490"/>
      <c r="AP49" s="1490"/>
      <c r="AQ49" s="1490"/>
      <c r="AR49" s="1490"/>
      <c r="AS49" s="1490"/>
      <c r="AT49" s="1490"/>
      <c r="AU49" s="51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M49" s="749"/>
      <c r="CN49" s="749"/>
      <c r="CO49" s="485"/>
      <c r="CP49" s="749"/>
      <c r="CS49" s="436"/>
      <c r="CT49" s="436"/>
      <c r="CU49" s="243"/>
      <c r="CV49" s="244"/>
      <c r="CW49" s="244"/>
      <c r="CX49" s="244"/>
      <c r="CY49" s="245"/>
      <c r="CZ49" s="245"/>
      <c r="DA49" s="245"/>
      <c r="DC49" s="750"/>
      <c r="DD49" s="751"/>
      <c r="DE49" s="752"/>
      <c r="DF49" s="753"/>
      <c r="DG49" s="754"/>
      <c r="DH49" s="754"/>
      <c r="DK49" s="244"/>
      <c r="DL49" s="750"/>
      <c r="DN49" s="750"/>
      <c r="DO49" s="755"/>
      <c r="DP49" s="436"/>
      <c r="DQ49" s="750"/>
      <c r="DR49" s="750"/>
      <c r="DS49" s="750"/>
      <c r="DU49" s="750"/>
      <c r="DV49" s="750"/>
      <c r="DW49" s="750"/>
      <c r="DX49" s="750"/>
      <c r="DZ49" s="756"/>
      <c r="EA49" s="756"/>
      <c r="EC49" s="754"/>
      <c r="ED49" s="754"/>
      <c r="EE49" s="244"/>
      <c r="EF49" s="754"/>
      <c r="EG49" s="754"/>
      <c r="EH49" s="243"/>
      <c r="EI49" s="243"/>
      <c r="EJ49" s="752"/>
      <c r="EK49" s="757"/>
      <c r="EL49" s="757"/>
      <c r="EM49" s="758"/>
      <c r="EN49" s="758"/>
      <c r="EO49" s="752"/>
      <c r="EP49" s="752"/>
      <c r="EQ49" s="752"/>
      <c r="ES49" s="750"/>
      <c r="EU49" s="436"/>
      <c r="EV49" s="436"/>
      <c r="EW49" s="436"/>
      <c r="EX49" s="436"/>
      <c r="EY49" s="436"/>
      <c r="EZ49" s="436"/>
      <c r="FB49" s="643"/>
      <c r="FD49" s="436"/>
      <c r="FE49" s="436"/>
      <c r="FF49" s="436"/>
      <c r="FO49" s="750"/>
      <c r="FP49" s="436"/>
      <c r="FQ49" s="436"/>
      <c r="FR49" s="750"/>
      <c r="FS49" s="750"/>
      <c r="FW49" s="749"/>
      <c r="FX49" s="749"/>
      <c r="FY49" s="749"/>
      <c r="FZ49" s="749"/>
      <c r="GA49" s="749"/>
      <c r="GB49" s="749"/>
      <c r="GC49" s="749"/>
      <c r="GD49" s="749"/>
      <c r="GE49" s="751"/>
      <c r="GF49" s="750"/>
      <c r="GG49" s="750"/>
    </row>
    <row r="50" spans="1:250" s="82" customFormat="1" ht="14.95" customHeight="1" thickTop="1" thickBot="1">
      <c r="B50" s="1421" t="str">
        <f>HY53</f>
        <v xml:space="preserve"> </v>
      </c>
      <c r="C50" s="1422">
        <f>C45+1</f>
        <v>3</v>
      </c>
      <c r="D50" s="1423"/>
      <c r="E50" s="1424" t="s">
        <v>242</v>
      </c>
      <c r="F50" s="1425"/>
      <c r="G50" s="1426"/>
      <c r="H50" s="1427"/>
      <c r="I50" s="1427"/>
      <c r="J50" s="1427"/>
      <c r="K50" s="1427"/>
      <c r="L50" s="1427"/>
      <c r="M50" s="1427"/>
      <c r="N50" s="1427"/>
      <c r="O50" s="1427"/>
      <c r="P50" s="1427"/>
      <c r="Q50" s="1427"/>
      <c r="R50" s="1427"/>
      <c r="S50" s="1428" t="s">
        <v>283</v>
      </c>
      <c r="T50" s="668" t="s">
        <v>190</v>
      </c>
      <c r="U50" s="1430" t="s">
        <v>186</v>
      </c>
      <c r="V50" s="1431"/>
      <c r="W50" s="1431"/>
      <c r="X50" s="1431"/>
      <c r="Y50" s="1431"/>
      <c r="Z50" s="1431"/>
      <c r="AA50" s="1431"/>
      <c r="AB50" s="1088" t="str">
        <f>IFERROR(IF(__Retrofit_TI_NC=0,VLOOKUP(U51,Fixtures_Existing_List,2,FALSE),ROUND(N52*R52/T52,10)),"")</f>
        <v/>
      </c>
      <c r="AC50" s="1039" t="str">
        <f>IFERROR(IF(__Retrofit_TI_NC=0,ROUND(T51*AB50*N51*R51/1000,0),IF(CN50="Interior",N52*R52*R51*N51*_C406_reduction/1000,N52*R52*R51*N51/1000)),"")</f>
        <v/>
      </c>
      <c r="AD50" s="1040" t="str">
        <f>IFERROR(IF(C$36=0,ROUND(T51*AB50/1000,2),N52*R52/1000),"")</f>
        <v/>
      </c>
      <c r="AE50" s="1044" t="s">
        <v>190</v>
      </c>
      <c r="AF50" s="1432" t="str">
        <f>IF(__Retrofit_TI_NC=2,CONCATENATE("Code min = ",DD50),IF(__Retrofit_TI_NC=1,"Emter what you think the existing control was"," Control"))</f>
        <v xml:space="preserve"> Control</v>
      </c>
      <c r="AG50" s="1432"/>
      <c r="AH50" s="1432"/>
      <c r="AI50" s="1432"/>
      <c r="AJ50" s="1433">
        <f>DF50</f>
        <v>0</v>
      </c>
      <c r="AK50" s="1435" t="str">
        <f>IFERROR(ROUND(AJ50*AC50,0),"")</f>
        <v/>
      </c>
      <c r="AL50" s="1437">
        <f>IFERROR(IF(HW50=FALSE,0,AC50-AK50),0)</f>
        <v>0</v>
      </c>
      <c r="AM50" s="1439">
        <f>AL50-AL52</f>
        <v>0</v>
      </c>
      <c r="AN50" s="1440"/>
      <c r="AO50" s="1445">
        <f>IFERROR(IF(HW50=FALSE,0,(T52*U53)+(AE52*AF53)),0)</f>
        <v>0</v>
      </c>
      <c r="AP50" s="1445"/>
      <c r="AQ50" s="1446"/>
      <c r="AR50" s="1451" t="s">
        <v>157</v>
      </c>
      <c r="AS50" s="1454">
        <f>IF(AR50="Yes",1,0)</f>
        <v>1</v>
      </c>
      <c r="AT50" s="1457" t="str">
        <f>IF(OR(DN50=4,DN50=5,DN50=6,DN50=12),CONCATENATE("$",IF(GD50=TRUE,Lookup!$B$11,Lookup!$B$2)," /lamp"),CONCATENATE(EA50,"/ kWh"))</f>
        <v>0/ kWh</v>
      </c>
      <c r="AU50" s="516"/>
      <c r="AV50" s="1478">
        <f>IFERROR(IF(GI51=TRUE,(AB53*T52)/R52,0),"NA")</f>
        <v>0</v>
      </c>
      <c r="AW50" s="1478" t="str">
        <f>IFERROR(N52*_C406_reduction,"NA")</f>
        <v>NA</v>
      </c>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M50" s="1352" t="str">
        <f>N51</f>
        <v/>
      </c>
      <c r="CN50" s="1352" t="str">
        <f>IFERROR(VLOOKUP(G51,_Lookup_Heat_Type_Table_New,3,FALSE),"")</f>
        <v/>
      </c>
      <c r="CO50" s="1415" t="str">
        <f>CN50</f>
        <v/>
      </c>
      <c r="CP50" s="1417" t="e">
        <f>VLOOKUP(G52,'Space Table'!$B$3:$L$160,9,FALSE)</f>
        <v>#N/A</v>
      </c>
      <c r="CR50" s="1386" t="s">
        <v>283</v>
      </c>
      <c r="CS50" s="1353">
        <f>IF(HW50=TRUE,T51,0)</f>
        <v>0</v>
      </c>
      <c r="CT50" s="1353" t="str">
        <f>IF(HW50=TRUE,U51,"")</f>
        <v/>
      </c>
      <c r="CU50" s="1353"/>
      <c r="CV50" s="1370">
        <f>IF(HW50=TRUE,AB50,0)</f>
        <v>0</v>
      </c>
      <c r="CW50" s="1370">
        <f>IF(HW50=TRUE,AC50,0)</f>
        <v>0</v>
      </c>
      <c r="CX50" s="1370">
        <f>IFERROR(IF(HW50=TRUE,CW50-CW52,0),0)</f>
        <v>0</v>
      </c>
      <c r="CY50" s="1485">
        <f>IF(HW50=TRUE,AD50,0)</f>
        <v>0</v>
      </c>
      <c r="CZ50" s="1485">
        <f>IF(HW50=TRUE,AD53,0)</f>
        <v>0</v>
      </c>
      <c r="DA50" s="1485">
        <f>IFERROR(CY50-CZ50,0)</f>
        <v>0</v>
      </c>
      <c r="DC50" s="1353">
        <f>IF(HW50=TRUE,AE51,0)</f>
        <v>0</v>
      </c>
      <c r="DD50" s="1460">
        <f>IF(__Retrofit_TI_NC=2,IF(CN50="Exterior",O53,FM50),FK50)</f>
        <v>0</v>
      </c>
      <c r="DE50" s="1353"/>
      <c r="DF50" s="1406">
        <f>IFERROR(IF(FL50=3,IK50,IF(FL50=4,IL50,IF(FL50=5,IM50,IF(FL50=6,IN50,IF(FL50=7,IO50,IF(FL50=8,IP50,0)))))),0)</f>
        <v>0</v>
      </c>
      <c r="DG50" s="1370">
        <f>IF(HW50=TRUE,AK50,0)</f>
        <v>0</v>
      </c>
      <c r="DH50" s="1369">
        <f>IFERROR(IF(HW50=TRUE,DG52-DG50,0),0)</f>
        <v>0</v>
      </c>
      <c r="DJ50" s="1483">
        <f>IFERROR(CW50-DG50,0)</f>
        <v>0</v>
      </c>
      <c r="DL50" s="1419">
        <f>DJ50-DK52</f>
        <v>0</v>
      </c>
      <c r="DN50" s="1403" t="str">
        <f>IFERROR(IF(AND(OR(FY50=4,FY50=5,FY50=6),OR(GB50=4,GB50=5,GB50=6)),FY50+8,VLOOKUP(CT52,Fixtures!R$31:Y$78,8,FALSE)),"")</f>
        <v/>
      </c>
      <c r="DO50" s="1404" t="str">
        <f>DN50</f>
        <v/>
      </c>
      <c r="DP50" s="1353" t="str">
        <f>IFERROR(VLOOKUP(DD52,Lookup!AU$3:AV$15,2,FALSE),"")</f>
        <v/>
      </c>
      <c r="DQ50" s="1404" t="str">
        <f>IF(DP50=7,"LLLC","")</f>
        <v/>
      </c>
      <c r="DR50" s="1403">
        <f>IFERROR(IF(OR(DN50=4,DN50=5,DN50=6,DN50=12,DN50=13,DN50=14),VLOOKUP(CT52,Fixtures!DN$27:EG$77,19,FALSE),1)*CS52,0)</f>
        <v>0</v>
      </c>
      <c r="DS50" s="1489">
        <f>IF(DP50=7,IF(DD50=DD52,0,DC52),0)</f>
        <v>0</v>
      </c>
      <c r="DU50" s="1403" t="str">
        <f>IFERROR(IF(EW50&lt;EW52,"Yes","No"),"")</f>
        <v/>
      </c>
      <c r="DV50" s="1404" t="str">
        <f>DU50</f>
        <v/>
      </c>
      <c r="DW50" s="1403">
        <f>IF(DU50="Yes",DC52,0)</f>
        <v>0</v>
      </c>
      <c r="DX50" s="1403">
        <f>DW50-DS50</f>
        <v>0</v>
      </c>
      <c r="DZ50" s="1481">
        <f>IFERROR(VLOOKUP(DN50,Lookup!AN$3:AO$16,2,FALSE),0)</f>
        <v>0</v>
      </c>
      <c r="EA50" s="1481">
        <f>IF(HW50=FALSE,0,IF(DU50="Yes",DZ50+Lookup!B$6,DZ50))</f>
        <v>0</v>
      </c>
      <c r="EC50" s="1482">
        <f>IF(HW50=TRUE,DJ50,0)</f>
        <v>0</v>
      </c>
      <c r="ED50" s="1369">
        <f>IF(HW50=TRUE,CW52,0)</f>
        <v>0</v>
      </c>
      <c r="EE50" s="1370">
        <f>IFERROR(EC50-ED50,0)</f>
        <v>0</v>
      </c>
      <c r="EF50" s="1369">
        <f>IF(HW50=TRUE,DG52,0)</f>
        <v>0</v>
      </c>
      <c r="EG50" s="1369">
        <f>IFERROR(EC50-ED50+EF50,0)</f>
        <v>0</v>
      </c>
      <c r="EH50" s="1373">
        <f>IF(HW50=TRUE,CS52*CU52,0)</f>
        <v>0</v>
      </c>
      <c r="EI50" s="1373">
        <f>IF(HW50=TRUE,DC52*DE52,0)</f>
        <v>0</v>
      </c>
      <c r="EJ50" s="1363">
        <f>AO50</f>
        <v>0</v>
      </c>
      <c r="EK50" s="1376" t="str">
        <f>IFERROR(IF(HW50=TRUE,VLOOKUP(DN50,Lookup!AN$3:AP$16,3,FALSE)*DR50,""),0)</f>
        <v/>
      </c>
      <c r="EL50" s="1376">
        <f>IF(HW50=TRUE,DW50*Lookup!AP$12,0)</f>
        <v>0</v>
      </c>
      <c r="EM50" s="1362">
        <f>IFERROR(IF(HW50=TRUE,EK50/EM$33,0),0)</f>
        <v>0</v>
      </c>
      <c r="EN50" s="1362">
        <f>IF(HW50=TRUE,EL50/EN$33,0)</f>
        <v>0</v>
      </c>
      <c r="EO50" s="1363">
        <f>IF(HW50=TRUE,EQ$33*EM50,0)</f>
        <v>0</v>
      </c>
      <c r="EP50" s="1363">
        <f>IF(HW50=TRUE,EQ$33*EN50,0)</f>
        <v>0</v>
      </c>
      <c r="EQ50" s="1363">
        <f>EO50+EP50</f>
        <v>0</v>
      </c>
      <c r="ES50" s="1403">
        <f>IF(G50="",0,1)</f>
        <v>0</v>
      </c>
      <c r="EU50" s="1410" t="e">
        <f>VLOOKUP(CP52,'Space Table'!$B$3:$L$160,8,FALSE)</f>
        <v>#N/A</v>
      </c>
      <c r="EV50" s="1410" t="e">
        <f>IF(EY50="Yes",VLOOKUP(DD50,Lookup_Control_Type_Table2,4,FALSE),VLOOKUP(DD50,Lookup_Control_Type_Table2,3,FALSE))</f>
        <v>#N/A</v>
      </c>
      <c r="EW50" s="1410" t="e">
        <f>VLOOKUP(DD50,Lookup!AU$3:AV$15,2,FALSE)</f>
        <v>#N/A</v>
      </c>
      <c r="EX50" s="1410" t="e">
        <f>VLOOKUP(EU50,Lookup_Control_Type_Table,2,FALSE)</f>
        <v>#N/A</v>
      </c>
      <c r="EY50" s="1410" t="e">
        <f>VLOOKUP(CP52,'Space Table'!$B$3:$L$160,7,FALSE)</f>
        <v>#N/A</v>
      </c>
      <c r="EZ50" s="1412" t="b">
        <f>ISNUMBER(SEARCH("TLED",U52))</f>
        <v>0</v>
      </c>
      <c r="FB50" s="1365" t="str">
        <f>CONCATENATE(CN50," - ",DD50)</f>
        <v xml:space="preserve"> - 0</v>
      </c>
      <c r="FD50" s="1353" t="str">
        <f>VLOOKUP(CT52,Fixtures!DN$27:EZ$77,38,FALSE)</f>
        <v/>
      </c>
      <c r="FE50" s="1353">
        <f>IFERROR(FD50*EE50,0)</f>
        <v>0</v>
      </c>
      <c r="FF50" s="138"/>
      <c r="FI50" s="1356" t="str">
        <f>IF(CN50="Exterior","Not Daylighted",G53)</f>
        <v>Not Daylighted</v>
      </c>
      <c r="FJ50" s="1356">
        <f>VLOOKUP(FI50,_Daylight_Table_Codes,2,FALSE)</f>
        <v>0</v>
      </c>
      <c r="FK50" s="1365">
        <f>IF(__Retrofit_TI_NC=2,VLOOKUP(G52,'Space Table'!$B$3:$L$160,11,FALSE),AF51)</f>
        <v>0</v>
      </c>
      <c r="FL50" s="1365" t="e">
        <f>VLOOKUP(FK50,_Control_Table,2,FALSE)</f>
        <v>#N/A</v>
      </c>
      <c r="FM50" s="1365" t="e">
        <f>IF(AND(FP50&gt;0,FK50="Occupancy Sensor"),"Daylight + Occupancy",IF(AND(FP50&gt;0,FL50&lt;4),"Interior Daylight Dimming",FK50))</f>
        <v>#N/A</v>
      </c>
      <c r="FO50" s="1364">
        <f>IF(CO50="Interior",VLOOKUP(CP50,Control_Savings_Interior,5,FALSE),0)</f>
        <v>0</v>
      </c>
      <c r="FP50" s="1361">
        <f>IF(CN50="Exterior",0,IF(FJ50=2,0.5,IF(OR(FJ50=1,FJ50=3),1,0)))</f>
        <v>0</v>
      </c>
      <c r="FQ50" s="1366"/>
      <c r="FR50" s="1367"/>
      <c r="FS50" s="1364"/>
      <c r="FT50" s="1367"/>
      <c r="FU50" s="1360"/>
      <c r="FW50" s="1352" t="str">
        <f>IFERROR(VLOOKUP(U51,_Exist_Fixture_Table,3,FALSE),"")</f>
        <v/>
      </c>
      <c r="FX50" s="1352" t="str">
        <f>VLOOKUP(CT50,_Exist_Fixture_Table,4,FALSE)</f>
        <v/>
      </c>
      <c r="FY50" s="1352">
        <f>IFERROR(VLOOKUP(FX50,Lookup!AM$6:AN$8,2,FALSE),0)</f>
        <v>0</v>
      </c>
      <c r="FZ50" s="1352" t="b">
        <f>IFERROR(IF(OR(GB50=4,GB50=5,GB50=6),TRUE,FALSE),"")</f>
        <v>0</v>
      </c>
      <c r="GA50" s="1352" t="str">
        <f>IFERROR(VLOOKUP(GB50,FY$6:FZ$10,2,FALSE),"")</f>
        <v/>
      </c>
      <c r="GB50" s="1352" t="str">
        <f>VLOOKUP(CT52,Fixtures!R$31:Y$78,8,FALSE)</f>
        <v/>
      </c>
      <c r="GC50" s="1352">
        <f>IF(AND(FW50=TRUE,FZ50=TRUE,OR(DN50=12,DN50=13,DN50=14)),FY50+8,0)</f>
        <v>0</v>
      </c>
      <c r="GD50" s="1352" t="b">
        <f>IF(OR(GC50=12,GC50=13,GC50=14),TRUE,FALSE)</f>
        <v>0</v>
      </c>
      <c r="GE50" s="759" t="b">
        <f>IF(ISNUMBER(SEARCH("TLED",U51)),TRUE,FALSE)</f>
        <v>0</v>
      </c>
      <c r="GF50" s="1035" t="str">
        <f>IFERROR(VLOOKUP(U51,Fixtures!BM$93:BR$142,6,FALSE),"")</f>
        <v/>
      </c>
      <c r="GG50" s="1385" t="b">
        <f>IF(OR(GE50=FALSE,GE52=FALSE),TRUE,IF(GF50-GF52&lt;5,FALSE,TRUE))</f>
        <v>1</v>
      </c>
      <c r="GK50" s="1034">
        <f>GL50</f>
        <v>0</v>
      </c>
      <c r="GL50" s="1034">
        <f>IF(G50="",0,1)</f>
        <v>0</v>
      </c>
      <c r="GM50" s="1034">
        <f>SUM(GN50:HB50)</f>
        <v>2</v>
      </c>
      <c r="GN50" s="1034">
        <f>IF(G51="",0,1)</f>
        <v>0</v>
      </c>
      <c r="GO50" s="1034">
        <f>IF(G52="",0,1)</f>
        <v>0</v>
      </c>
      <c r="GP50" s="1034">
        <f>IF(R51="",0,1)</f>
        <v>0</v>
      </c>
      <c r="GQ50" s="1034">
        <f>IF(__Retrofit_TI_NC=0,1,IF(R52="",0,1))</f>
        <v>1</v>
      </c>
      <c r="GR50" s="1034">
        <f>IF(CN50="Exterior",1,IF(G53="",0,1))</f>
        <v>1</v>
      </c>
      <c r="GS50" s="1034">
        <f>IF(__Retrofit_TI_NC&lt;&gt;0,1,IF(T51="",0,1))</f>
        <v>0</v>
      </c>
      <c r="GT50" s="1034">
        <f>IF(__Retrofit_TI_NC&lt;&gt;0,1,IF(U51="",0,1))</f>
        <v>0</v>
      </c>
      <c r="GU50" s="1034">
        <f>IF(T52="",0,1)</f>
        <v>0</v>
      </c>
      <c r="GV50" s="1034">
        <f>IF(U52="",0,1)</f>
        <v>0</v>
      </c>
      <c r="GW50" s="1034">
        <f>IF(__Retrofit_TI_NC=2,1,IF(U53="",0,1))</f>
        <v>0</v>
      </c>
      <c r="GX50" s="1034">
        <f>IF(__Retrofit_TI_NC&lt;&gt;0,1,IF(AE51="",0,1))</f>
        <v>0</v>
      </c>
      <c r="GY50" s="1034">
        <f>IF(__Retrofit_TI_NC&lt;&gt;0,1,IF(AF51="",0,1))</f>
        <v>0</v>
      </c>
      <c r="GZ50" s="1034">
        <f>IF(AE52="",0,1)</f>
        <v>0</v>
      </c>
      <c r="HA50" s="1034">
        <f>IF(AF52="",0,1)</f>
        <v>0</v>
      </c>
      <c r="HB50" s="1034">
        <f>IF(__Retrofit_TI_NC=2,1,IF(AF53="",0,1))</f>
        <v>0</v>
      </c>
      <c r="HV50" s="436"/>
      <c r="HW50" s="1384" t="b">
        <f>IF(OR(HW53=0,HW53=HT$16,HW53=HS$16,HW53=HU$16),TRUE,FALSE)</f>
        <v>0</v>
      </c>
      <c r="HX50" s="1377" t="b">
        <f>HW50</f>
        <v>0</v>
      </c>
      <c r="HY50" s="436"/>
      <c r="HZ50" s="436"/>
      <c r="IA50" s="1386" t="b">
        <f>IF(MAX(GJ53:HP53)&gt;5,FALSE,TRUE)</f>
        <v>0</v>
      </c>
      <c r="IB50" s="1380">
        <f>IF(IA50=TRUE,AC50,0)</f>
        <v>0</v>
      </c>
      <c r="IC50" s="1380">
        <f>IB50-IB52</f>
        <v>0</v>
      </c>
      <c r="IF50" s="1380" t="e">
        <f>ROUND(T51*VLOOKUP(U51,Fixtures_Existing_List,2,FALSE)*N51*R51/1000,0)</f>
        <v>#N/A</v>
      </c>
      <c r="IG50" s="1381" t="e">
        <f>IF50-IF52</f>
        <v>#N/A</v>
      </c>
      <c r="IH50" s="1384" t="e">
        <f>ROUND(IF(CN50="Interior",N52*R52*R51*N51*_C406_reduction/1000,N52*R52*R51*N51/1000),0)</f>
        <v>#N/A</v>
      </c>
      <c r="II50" s="1384" t="e">
        <f>IH50-IH52</f>
        <v>#N/A</v>
      </c>
      <c r="IK50" s="1351" t="e">
        <f>IF($CO50="interior",IL50/2,VLOOKUP($CP50,Control_Savings_Exterior,IK$30,FALSE))</f>
        <v>#N/A</v>
      </c>
      <c r="IL50" s="1351" t="e">
        <f>IF($CO50="interior",VLOOKUP($CP50,Control_Savings_Interior,IL$30,FALSE),VLOOKUP($CP50,Control_Savings_Exterior,IL$30,FALSE))</f>
        <v>#N/A</v>
      </c>
      <c r="IM50" s="1351" t="e">
        <f>IF($CO50="interior",IF(R51&gt;FO$37,(IM$28*(FO$37/R51)),IM$28)*FP50,VLOOKUP($CP50,Control_Savings_Exterior,IM$30,FALSE))</f>
        <v>#N/A</v>
      </c>
      <c r="IN50" s="1351" t="e">
        <f>IF($CO50="interior",ROUND(((1-IL50)*IM50)+IL50,2),VLOOKUP($CP50,Control_Savings_Exterior,IN$30,FALSE))</f>
        <v>#N/A</v>
      </c>
      <c r="IO50" s="1351" t="e">
        <f>IF($CO50="interior", ROUND(((1-IL50)*(IM50*(1-IP$28)))+IP50,2), VLOOKUP($CP50,Control_Savings_Exterior,IO$30,FALSE))</f>
        <v>#N/A</v>
      </c>
      <c r="IP50" s="1351">
        <f>IF($CO50="interior",ROUND(((1-IL50)*IP$28)+IL50,2),0)</f>
        <v>0</v>
      </c>
    </row>
    <row r="51" spans="1:250" s="82" customFormat="1" ht="14.95" customHeight="1" thickTop="1" thickBot="1">
      <c r="B51" s="1421"/>
      <c r="C51" s="1422"/>
      <c r="D51" s="1423"/>
      <c r="E51" s="1393" t="s">
        <v>244</v>
      </c>
      <c r="F51" s="1394"/>
      <c r="G51" s="1395"/>
      <c r="H51" s="1395"/>
      <c r="I51" s="1395"/>
      <c r="J51" s="1395"/>
      <c r="K51" s="1395"/>
      <c r="L51" s="1395"/>
      <c r="M51" s="509" t="e">
        <f>IF(__Retrofit_TI_NC&lt;&gt;0,IF(VLOOKUP(G52,'Space Table'!$B$3:$L$160,3,FALSE)&gt;0,1,0),IF(__Retrofit_TI_NC=VLOOKUP(G52,'Space Table'!$B$3:$L$160,3,FALSE),1,0))</f>
        <v>#N/A</v>
      </c>
      <c r="N51" s="509" t="str">
        <f>IFERROR(VLOOKUP(G51,_Lookup_Heat_Type_Table_New,2,FALSE),"")</f>
        <v/>
      </c>
      <c r="O51" s="509">
        <f>IF(__Retrofit_TI_NC=1,CONCATENATE("TI ",G51),IF(__Retrofit_TI_NC=2,CONCATENATE("NC ",G51),G51))</f>
        <v>0</v>
      </c>
      <c r="P51" s="1396" t="s">
        <v>352</v>
      </c>
      <c r="Q51" s="1396"/>
      <c r="R51" s="673"/>
      <c r="S51" s="1429"/>
      <c r="T51" s="675"/>
      <c r="U51" s="1496"/>
      <c r="V51" s="1497"/>
      <c r="W51" s="1497"/>
      <c r="X51" s="1497"/>
      <c r="Y51" s="1497"/>
      <c r="Z51" s="1497"/>
      <c r="AA51" s="1497"/>
      <c r="AB51" s="1497"/>
      <c r="AC51" s="1497"/>
      <c r="AD51" s="1498"/>
      <c r="AE51" s="675"/>
      <c r="AF51" s="1397"/>
      <c r="AG51" s="1397"/>
      <c r="AH51" s="1397"/>
      <c r="AI51" s="1397"/>
      <c r="AJ51" s="1434"/>
      <c r="AK51" s="1436"/>
      <c r="AL51" s="1438"/>
      <c r="AM51" s="1441"/>
      <c r="AN51" s="1442"/>
      <c r="AO51" s="1447"/>
      <c r="AP51" s="1447"/>
      <c r="AQ51" s="1448"/>
      <c r="AR51" s="1452"/>
      <c r="AS51" s="1455"/>
      <c r="AT51" s="1458"/>
      <c r="AU51" s="516"/>
      <c r="AV51" s="1479"/>
      <c r="AW51" s="1479"/>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M51" s="1352"/>
      <c r="CN51" s="1352"/>
      <c r="CO51" s="1416"/>
      <c r="CP51" s="1418"/>
      <c r="CR51" s="1386"/>
      <c r="CS51" s="1355"/>
      <c r="CT51" s="1355"/>
      <c r="CU51" s="1355"/>
      <c r="CV51" s="1372"/>
      <c r="CW51" s="1372"/>
      <c r="CX51" s="1371"/>
      <c r="CY51" s="1486"/>
      <c r="CZ51" s="1486"/>
      <c r="DA51" s="1486"/>
      <c r="DC51" s="1355"/>
      <c r="DD51" s="1461"/>
      <c r="DE51" s="1355"/>
      <c r="DF51" s="1407"/>
      <c r="DG51" s="1372"/>
      <c r="DH51" s="1369"/>
      <c r="DJ51" s="1484"/>
      <c r="DL51" s="1419"/>
      <c r="DN51" s="1403"/>
      <c r="DO51" s="1405"/>
      <c r="DP51" s="1354"/>
      <c r="DQ51" s="1405"/>
      <c r="DR51" s="1403"/>
      <c r="DS51" s="1489"/>
      <c r="DU51" s="1403"/>
      <c r="DV51" s="1405"/>
      <c r="DW51" s="1403"/>
      <c r="DX51" s="1403"/>
      <c r="DZ51" s="1481"/>
      <c r="EA51" s="1481"/>
      <c r="EC51" s="1482"/>
      <c r="ED51" s="1369"/>
      <c r="EE51" s="1371"/>
      <c r="EF51" s="1369"/>
      <c r="EG51" s="1369"/>
      <c r="EH51" s="1374"/>
      <c r="EI51" s="1374"/>
      <c r="EJ51" s="1363"/>
      <c r="EK51" s="1376"/>
      <c r="EL51" s="1376"/>
      <c r="EM51" s="1362"/>
      <c r="EN51" s="1362"/>
      <c r="EO51" s="1363"/>
      <c r="EP51" s="1363"/>
      <c r="EQ51" s="1363"/>
      <c r="ES51" s="1403"/>
      <c r="EU51" s="1411"/>
      <c r="EV51" s="1411"/>
      <c r="EW51" s="1411"/>
      <c r="EX51" s="1411"/>
      <c r="EY51" s="1411"/>
      <c r="EZ51" s="1413"/>
      <c r="FB51" s="1365"/>
      <c r="FD51" s="1354"/>
      <c r="FE51" s="1354"/>
      <c r="FF51" s="138"/>
      <c r="FI51" s="1357"/>
      <c r="FJ51" s="1357"/>
      <c r="FK51" s="1365"/>
      <c r="FL51" s="1365"/>
      <c r="FM51" s="1365"/>
      <c r="FO51" s="1361"/>
      <c r="FP51" s="1361"/>
      <c r="FQ51" s="1366"/>
      <c r="FR51" s="1368"/>
      <c r="FS51" s="1361"/>
      <c r="FT51" s="1368"/>
      <c r="FU51" s="1360"/>
      <c r="FW51" s="1352"/>
      <c r="FX51" s="1352"/>
      <c r="FY51" s="1352"/>
      <c r="FZ51" s="1352"/>
      <c r="GA51" s="1352"/>
      <c r="GB51" s="1352"/>
      <c r="GC51" s="1352"/>
      <c r="GD51" s="1352"/>
      <c r="GE51" s="759"/>
      <c r="GF51" s="1035"/>
      <c r="GG51" s="1385"/>
      <c r="GI51" s="1384" t="b">
        <f>IF(AND(GL51=TRUE,GM51=TRUE),TRUE,FALSE)</f>
        <v>0</v>
      </c>
      <c r="GJ51" s="1379" t="b">
        <f>IFERROR(IF(__Retrofit_TI_NC=2,TRUE,IF(AR50="Yes",TRUE,FALSE)),FALSE)</f>
        <v>1</v>
      </c>
      <c r="GL51" s="1379" t="b">
        <f>IFERROR(IF(GL50=1,TRUE,FALSE),FALSE)</f>
        <v>0</v>
      </c>
      <c r="GM51" s="1379" t="b">
        <f>IFERROR(IF(GM50=GM$14,TRUE,FALSE),FALSE)</f>
        <v>0</v>
      </c>
      <c r="HC51" s="1379" t="b">
        <f>IFERROR(IF(M51=1,TRUE,FALSE),FALSE)</f>
        <v>0</v>
      </c>
      <c r="HD51" s="1379" t="b">
        <f>IFERROR(IF(M52=1,TRUE,FALSE),FALSE)</f>
        <v>0</v>
      </c>
      <c r="HE51" s="1379" t="b">
        <f>IFERROR(IF(__Retrofit_TI_NC&lt;&gt;0,TRUE,IFERROR(IF(VLOOKUP(U51,Fixtures_Existing_List,2,FALSE)&lt;&gt;"",TRUE,FALSE),FALSE)),FALSE)</f>
        <v>0</v>
      </c>
      <c r="HF51" s="1379" t="b">
        <f>IFERROR(IF(VLOOKUP(U52,Fixtures_Proposed_List,2,FALSE)&lt;&gt;"",TRUE,FALSE),FALSE)</f>
        <v>0</v>
      </c>
      <c r="HG51" s="1379" t="b">
        <f>IF(AND(__Retrofit_TI_NC=2,EZ50=TRUE),FALSE,TRUE)</f>
        <v>1</v>
      </c>
      <c r="HH51" s="1379" t="b">
        <f>GG50</f>
        <v>1</v>
      </c>
      <c r="HI51" s="1384" t="b">
        <f>IF(ISERROR(MATCH(FB50,_Control_Match[],0))=TRUE,FALSE,TRUE)</f>
        <v>0</v>
      </c>
      <c r="HJ51" s="1384" t="b">
        <f>IFERROR(IF(EU50&lt;&gt;EV50,FALSE,TRUE),FALSE)</f>
        <v>0</v>
      </c>
      <c r="HK51" s="1384" t="b">
        <f>IFERROR(IF(EU52&lt;&gt;EV52,FALSE,TRUE),FALSE)</f>
        <v>0</v>
      </c>
      <c r="HL51" s="1379" t="b">
        <f>IFERROR(IF(CN50="Exterior",TRUE,IF(OR(AND(FJ50=0,EW52&gt;4),AND(FJ50=4,EW52&gt;4,EW52&lt;7)),FALSE,TRUE)),FALSE)</f>
        <v>0</v>
      </c>
      <c r="HM51" s="1379" t="b">
        <f>IFERROR(IF(AND(FL52=7,EZ50=TRUE),FALSE,TRUE),FALSE)</f>
        <v>0</v>
      </c>
      <c r="HN51" s="1379" t="b">
        <f>IFERROR(IF(AND(T52&lt;&gt;AE52,AF52="Interior LLLC")=TRUE,FALSE,TRUE),FALSE)</f>
        <v>1</v>
      </c>
      <c r="HO51" s="1379" t="b">
        <f>IFERROR(IF(OR(AF52=Lookup!AU$13,AF52=Lookup!AU$14)=TRUE,IF(AE52&gt;T52,FALSE,TRUE),TRUE),FALSE)</f>
        <v>1</v>
      </c>
      <c r="HP51" s="1379" t="b">
        <f>IFERROR(IF(__Retrofit_TI_NC=2,IF(EW52&lt;EW50,FALSE,TRUE),TRUE),FALSE)</f>
        <v>1</v>
      </c>
      <c r="HQ51" s="1379" t="b">
        <f>IF(CN50="Interior",IG$6,TRUE)</f>
        <v>1</v>
      </c>
      <c r="HR51" s="1379" t="b">
        <f>IF(CN50="Exterior",IG$8,TRUE)</f>
        <v>1</v>
      </c>
      <c r="HS51" s="1379" t="b">
        <f>IFERROR(IF(__Retrofit_TI_NC&lt;&gt;0,IF(AW50&lt;AV50,FALSE,TRUE),TRUE),FALSE)</f>
        <v>1</v>
      </c>
      <c r="HT51" s="1379" t="b">
        <f>IFERROR(IF(AND(G51="Exterior",R51&gt;4200),FALSE,TRUE),FALSE)</f>
        <v>1</v>
      </c>
      <c r="HU51" s="1379" t="b">
        <f>IFERROR(IF(AB53/AB50&lt;HU$18,FALSE,TRUE),FALSE)</f>
        <v>0</v>
      </c>
      <c r="HW51" s="1382"/>
      <c r="HX51" s="1378"/>
      <c r="HY51" s="1377" t="str">
        <f>VLOOKUP(HW53,_Error_Table,4,FALSE)</f>
        <v>White</v>
      </c>
      <c r="HZ51" s="436"/>
      <c r="IA51" s="1386"/>
      <c r="IB51" s="1380"/>
      <c r="IC51" s="1379"/>
      <c r="IF51" s="1380"/>
      <c r="IG51" s="1382"/>
      <c r="IH51" s="1382"/>
      <c r="II51" s="1382"/>
      <c r="IK51" s="1351"/>
      <c r="IL51" s="1351"/>
      <c r="IM51" s="1351"/>
      <c r="IN51" s="1351"/>
      <c r="IO51" s="1351"/>
      <c r="IP51" s="1351"/>
    </row>
    <row r="52" spans="1:250" s="82" customFormat="1" ht="14.95" customHeight="1" thickTop="1" thickBot="1">
      <c r="A52" s="82">
        <f>ROW()</f>
        <v>52</v>
      </c>
      <c r="B52" s="1421"/>
      <c r="C52" s="1422"/>
      <c r="D52" s="1423"/>
      <c r="E52" s="1393" t="s">
        <v>245</v>
      </c>
      <c r="F52" s="1394"/>
      <c r="G52" s="1398"/>
      <c r="H52" s="1399"/>
      <c r="I52" s="1399"/>
      <c r="J52" s="1399"/>
      <c r="K52" s="1399"/>
      <c r="L52" s="1400"/>
      <c r="M52" s="509">
        <f>IFERROR(IF(IF(__Retrofit_TI_NC&lt;&gt;0,IF(CN50="Interior",MATCH(G52,Lookup_Interior_New,0),MATCH(G52,Lookup_Exterior_New,0)),IF(CN50="Interior",MATCH(G52,Lookup_Interior,0),MATCH(G52,Lookup_Exterior_Areas,0)))&gt;0,1,0),0)</f>
        <v>0</v>
      </c>
      <c r="N52" s="509" t="e">
        <f>IF(__Retrofit_TI_NC=1,
VLOOKUP(G52,'Space Table'!$B$3:$L$160,4,FALSE),
IF(__Retrofit_TI_NC=2,VLOOKUP(G52,'Space Table'!$B$3:$L$160,5,FALSE),VLOOKUP(G52,'Space Table'!$B$3:$L$160,5,FALSE)))</f>
        <v>#N/A</v>
      </c>
      <c r="O52" s="509">
        <f>G52</f>
        <v>0</v>
      </c>
      <c r="P52" s="1394" t="s">
        <v>355</v>
      </c>
      <c r="Q52" s="1394"/>
      <c r="R52" s="674"/>
      <c r="S52" s="1401" t="s">
        <v>284</v>
      </c>
      <c r="T52" s="672"/>
      <c r="U52" s="1499"/>
      <c r="V52" s="1500"/>
      <c r="W52" s="1500"/>
      <c r="X52" s="1500"/>
      <c r="Y52" s="1500"/>
      <c r="Z52" s="1500"/>
      <c r="AA52" s="1500"/>
      <c r="AB52" s="1501"/>
      <c r="AC52" s="1501"/>
      <c r="AD52" s="1502"/>
      <c r="AE52" s="672"/>
      <c r="AF52" s="1474"/>
      <c r="AG52" s="1474"/>
      <c r="AH52" s="1474"/>
      <c r="AI52" s="1474"/>
      <c r="AJ52" s="1475">
        <f>DF52</f>
        <v>0</v>
      </c>
      <c r="AK52" s="1470" t="str">
        <f>IFERROR(ROUND(AJ52*AC53,0),"")</f>
        <v/>
      </c>
      <c r="AL52" s="1472">
        <f>IFERROR(IF(HW50=FALSE,0,AC53-AK52),0)</f>
        <v>0</v>
      </c>
      <c r="AM52" s="1441"/>
      <c r="AN52" s="1442"/>
      <c r="AO52" s="1447"/>
      <c r="AP52" s="1447"/>
      <c r="AQ52" s="1448"/>
      <c r="AR52" s="1452"/>
      <c r="AS52" s="1455"/>
      <c r="AT52" s="1458"/>
      <c r="AU52" s="516"/>
      <c r="AV52" s="1479"/>
      <c r="AW52" s="1479"/>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M52" s="1352"/>
      <c r="CN52" s="1352"/>
      <c r="CO52" s="1415" t="str">
        <f>CN50</f>
        <v/>
      </c>
      <c r="CP52" s="1417" t="e">
        <f>CP50</f>
        <v>#N/A</v>
      </c>
      <c r="CR52" s="1386" t="s">
        <v>284</v>
      </c>
      <c r="CS52" s="1353">
        <f>IF(HW50=TRUE,T52,0)</f>
        <v>0</v>
      </c>
      <c r="CT52" s="1353" t="str">
        <f>IF(HW50=TRUE,U52,"")</f>
        <v/>
      </c>
      <c r="CU52" s="1373">
        <f>IF(HW50=TRUE,U53,0)</f>
        <v>0</v>
      </c>
      <c r="CV52" s="1370">
        <f>IF(HW50=TRUE,AB53,0)</f>
        <v>0</v>
      </c>
      <c r="CW52" s="1370">
        <f>IF(HW50=TRUE,AC53,0)</f>
        <v>0</v>
      </c>
      <c r="CX52" s="1371"/>
      <c r="CY52" s="1486"/>
      <c r="CZ52" s="1486"/>
      <c r="DA52" s="1486"/>
      <c r="DC52" s="1353">
        <f>IF(HW50=TRUE,AE52,0)</f>
        <v>0</v>
      </c>
      <c r="DD52" s="1353" t="str">
        <f>IF(HW50=TRUE,AF52,"")</f>
        <v/>
      </c>
      <c r="DE52" s="1373">
        <f>AF53</f>
        <v>0</v>
      </c>
      <c r="DF52" s="1406">
        <f>IFERROR(IF(FL52=3,IK52,IF(FL52=4,IL52,IF(FL52=5,IM52,IF(FL52=6,IN52,IF(FL52=7,IO52,IF(FL52=8,IP52,0)))))),0)</f>
        <v>0</v>
      </c>
      <c r="DG52" s="1370">
        <f>IF(HW50=TRUE,AK52,0)</f>
        <v>0</v>
      </c>
      <c r="DH52" s="1369"/>
      <c r="DK52" s="1483">
        <f>IFERROR(CW52-DG52,0)</f>
        <v>0</v>
      </c>
      <c r="DL52" s="1420"/>
      <c r="DN52" s="1403"/>
      <c r="DO52" s="1477" t="str">
        <f>DN50</f>
        <v/>
      </c>
      <c r="DP52" s="1354"/>
      <c r="DQ52" s="1477" t="str">
        <f>IF(DP50=7,"LLLC","")</f>
        <v/>
      </c>
      <c r="DR52" s="1403"/>
      <c r="DS52" s="1489"/>
      <c r="DU52" s="1403"/>
      <c r="DV52" s="1404" t="str">
        <f>DU50</f>
        <v/>
      </c>
      <c r="DW52" s="1403"/>
      <c r="DX52" s="1403"/>
      <c r="DZ52" s="1481"/>
      <c r="EA52" s="1481"/>
      <c r="EC52" s="1482"/>
      <c r="ED52" s="1369"/>
      <c r="EE52" s="1371"/>
      <c r="EF52" s="1369"/>
      <c r="EG52" s="1369"/>
      <c r="EH52" s="1374"/>
      <c r="EI52" s="1374"/>
      <c r="EJ52" s="1363"/>
      <c r="EK52" s="1376"/>
      <c r="EL52" s="1376"/>
      <c r="EM52" s="1362"/>
      <c r="EN52" s="1362"/>
      <c r="EO52" s="1363"/>
      <c r="EP52" s="1363"/>
      <c r="EQ52" s="1363"/>
      <c r="ES52" s="1403"/>
      <c r="EU52" s="1411" t="e">
        <f>VLOOKUP(CP52,'Space Table'!$B$3:$L$160,8,FALSE)</f>
        <v>#N/A</v>
      </c>
      <c r="EV52" s="1411" t="e">
        <f>IF(EY52="Yes",VLOOKUP(AF52,Lookup_Control_Type_Table2,4,FALSE),VLOOKUP(AF52,Lookup_Control_Type_Table2,3,FALSE))</f>
        <v>#N/A</v>
      </c>
      <c r="EW52" s="1411" t="e">
        <f>VLOOKUP(AF52,Lookup!AU$3:AV$15,2,FALSE)</f>
        <v>#N/A</v>
      </c>
      <c r="EX52" s="1411" t="e">
        <f>VLOOKUP(EU50,Lookup_Control_Type_Table,2,FALSE)</f>
        <v>#N/A</v>
      </c>
      <c r="EY52" s="1411" t="e">
        <f>VLOOKUP(CP52,'Space Table'!$B$3:$L$160,7,FALSE)</f>
        <v>#N/A</v>
      </c>
      <c r="EZ52" s="1413"/>
      <c r="FB52" s="1365" t="str">
        <f>CONCATENATE(CN50," - ",AF52)</f>
        <v xml:space="preserve"> - </v>
      </c>
      <c r="FD52" s="1354"/>
      <c r="FE52" s="1354"/>
      <c r="FF52" s="138"/>
      <c r="FI52" s="1356" t="str">
        <f>IF(CN50="Exterior","Not Daylighted",G53)</f>
        <v>Not Daylighted</v>
      </c>
      <c r="FJ52" s="1356">
        <f>VLOOKUP(FI52,_Daylight_Table_Codes,2,FALSE)</f>
        <v>0</v>
      </c>
      <c r="FK52" s="1365">
        <f>AF52</f>
        <v>0</v>
      </c>
      <c r="FL52" s="1365" t="e">
        <f>VLOOKUP(FK52,_Control_Table,2,FALSE)</f>
        <v>#N/A</v>
      </c>
      <c r="FM52" s="1365" t="e">
        <f>IF(AND(FP52&gt;0,FK52="Occupancy Sensor"),"Daylight + Occupancy",IF(AND(FP52&gt;0,FL52&lt;4),"Interior Daylight Dimming",FK52))</f>
        <v>#N/A</v>
      </c>
      <c r="FO52" s="1364">
        <f>IF(CN50="Interior",VLOOKUP(CP50,Control_Savings_Interior,5,FALSE),0)</f>
        <v>0</v>
      </c>
      <c r="FP52" s="1361">
        <f>IF(CN52="Exterior",0,IF(FJ52=2,0.5,IF(OR(FJ52=1,FJ52=3),1,0)))</f>
        <v>0</v>
      </c>
      <c r="FQ52" s="1366">
        <f>IF(R51&gt;FO$37,(FO52*(FO$37/R51)),FO52)*FP52</f>
        <v>0</v>
      </c>
      <c r="FR52" s="1364">
        <f>DF52</f>
        <v>0</v>
      </c>
      <c r="FS52" s="1364">
        <f>ROUND(FR52+((1-FR52)*FQ52),2)</f>
        <v>0</v>
      </c>
      <c r="FT52" s="1364">
        <f>IF(__Retrofit_TI_NC=2,FS52,FR52)</f>
        <v>0</v>
      </c>
      <c r="FU52" s="1360">
        <f>IF(CO52="Interior",VLOOKUP(CP52,Control_Savings_Interior,4,FALSE),0)</f>
        <v>0</v>
      </c>
      <c r="FW52" s="1352"/>
      <c r="FX52" s="1352"/>
      <c r="FY52" s="1352"/>
      <c r="FZ52" s="1352"/>
      <c r="GA52" s="1352"/>
      <c r="GB52" s="1352"/>
      <c r="GC52" s="1352"/>
      <c r="GD52" s="1352"/>
      <c r="GE52" s="759" t="b">
        <f>IF(ISNUMBER(SEARCH("TLED",U52)),TRUE,FALSE)</f>
        <v>0</v>
      </c>
      <c r="GF52" s="1035" t="str">
        <f>IFERROR(VLOOKUP(U52,Fixtures!DM$93:DR$142,6,FALSE),"")</f>
        <v/>
      </c>
      <c r="GG52" s="1385"/>
      <c r="GI52" s="1383"/>
      <c r="GJ52" s="1379"/>
      <c r="GL52" s="1379"/>
      <c r="GM52" s="1379"/>
      <c r="HC52" s="1379"/>
      <c r="HD52" s="1379"/>
      <c r="HE52" s="1379"/>
      <c r="HF52" s="1379"/>
      <c r="HG52" s="1379"/>
      <c r="HH52" s="1379"/>
      <c r="HI52" s="1383"/>
      <c r="HJ52" s="1383"/>
      <c r="HK52" s="1383"/>
      <c r="HL52" s="1379"/>
      <c r="HM52" s="1379"/>
      <c r="HN52" s="1379"/>
      <c r="HO52" s="1379"/>
      <c r="HP52" s="1379"/>
      <c r="HQ52" s="1379"/>
      <c r="HR52" s="1379"/>
      <c r="HS52" s="1379"/>
      <c r="HT52" s="1379"/>
      <c r="HU52" s="1379"/>
      <c r="HW52" s="1383"/>
      <c r="HX52" s="1384" t="b">
        <f>HW50</f>
        <v>0</v>
      </c>
      <c r="HY52" s="1378"/>
      <c r="HZ52" s="436"/>
      <c r="IA52" s="1386"/>
      <c r="IB52" s="1380">
        <f>IF(IA50=TRUE,AC53,0)</f>
        <v>0</v>
      </c>
      <c r="IC52" s="1379"/>
      <c r="IF52" s="1380" t="e">
        <f>ROUND(T52*AB53*N51*R51/1000,0)</f>
        <v>#VALUE!</v>
      </c>
      <c r="IG52" s="1382"/>
      <c r="IH52" s="1384" t="e">
        <f>ROUND(T52*AB53*N51*R51/1000,0)</f>
        <v>#VALUE!</v>
      </c>
      <c r="II52" s="1382"/>
      <c r="IK52" s="1351" t="e">
        <f>IF($CO52="interior",IL52/2,VLOOKUP($CP52,Control_Savings_Exterior,IK$30,FALSE))</f>
        <v>#N/A</v>
      </c>
      <c r="IL52" s="1351" t="e">
        <f>IF($CO52="interior",VLOOKUP($CP52,Control_Savings_Interior,IL$30,FALSE),VLOOKUP($CP52,Control_Savings_Exterior,IL$30,FALSE))</f>
        <v>#N/A</v>
      </c>
      <c r="IM52" s="1351" t="e">
        <f>IF($CO52="interior",IF(R51&gt;FO$37,(IM$28*(FO$37/R51)),IM$28)*FP52,VLOOKUP($CP52,Control_Savings_Exterior,IM$30,FALSE))</f>
        <v>#N/A</v>
      </c>
      <c r="IN52" s="1351" t="e">
        <f>IF($CO52="interior",ROUND(((1-IL52)*IM52)+IL52,2),VLOOKUP($CP52,Control_Savings_Exterior,IN$30,FALSE))</f>
        <v>#N/A</v>
      </c>
      <c r="IO52" s="1351" t="e">
        <f>IF($CO52="interior", ROUND(((1-IL52)*(IM52*(1-IP$28)))+IP52,2), VLOOKUP($CP52,Control_Savings_Exterior,IO$30,FALSE))</f>
        <v>#N/A</v>
      </c>
      <c r="IP52" s="1351">
        <f>IF($CO52="interior",ROUND(((1-IL52)*IP$28)+IL52,2),0)</f>
        <v>0</v>
      </c>
    </row>
    <row r="53" spans="1:250" s="82" customFormat="1" ht="14.95" customHeight="1" thickTop="1" thickBot="1">
      <c r="B53" s="1421"/>
      <c r="C53" s="1422"/>
      <c r="D53" s="1423"/>
      <c r="E53" s="1462" t="s">
        <v>357</v>
      </c>
      <c r="F53" s="1463"/>
      <c r="G53" s="1464" t="s">
        <v>362</v>
      </c>
      <c r="H53" s="1465"/>
      <c r="I53" s="1465"/>
      <c r="J53" s="1465"/>
      <c r="K53" s="1465"/>
      <c r="L53" s="1466"/>
      <c r="M53" s="669">
        <f>IFERROR(VLOOKUP(G53,_Daylight_Table[],2,FALSE),0)</f>
        <v>0</v>
      </c>
      <c r="N53" s="670"/>
      <c r="O53" s="669" t="e">
        <f>VLOOKUP(G52,'Space Table'!$B$3:$L$160,11,FALSE)</f>
        <v>#N/A</v>
      </c>
      <c r="P53" s="1408"/>
      <c r="Q53" s="1409"/>
      <c r="R53" s="1409"/>
      <c r="S53" s="1402"/>
      <c r="T53" s="671" t="s">
        <v>281</v>
      </c>
      <c r="U53" s="1467" t="str">
        <f>IFERROR(VLOOKUP(U52,Fixtures!DM$93:DP$142,4,FALSE),"")</f>
        <v/>
      </c>
      <c r="V53" s="1468"/>
      <c r="W53" s="1468"/>
      <c r="X53" s="1468"/>
      <c r="Y53" s="1468"/>
      <c r="Z53" s="1468"/>
      <c r="AA53" s="1468"/>
      <c r="AB53" s="1046" t="str">
        <f>IFERROR(VLOOKUP(U52,Fixtures_Proposed_List,2,FALSE),"")</f>
        <v/>
      </c>
      <c r="AC53" s="1036" t="str">
        <f>IFERROR(ROUND(T52*AB53*N51*R51/1000,0),"")</f>
        <v/>
      </c>
      <c r="AD53" s="1037" t="str">
        <f>IFERROR(ROUND(T52*AB53/1000,2),"")</f>
        <v/>
      </c>
      <c r="AE53" s="1045" t="s">
        <v>281</v>
      </c>
      <c r="AF53" s="1469"/>
      <c r="AG53" s="1469"/>
      <c r="AH53" s="1469"/>
      <c r="AI53" s="1469"/>
      <c r="AJ53" s="1476"/>
      <c r="AK53" s="1471"/>
      <c r="AL53" s="1473"/>
      <c r="AM53" s="1443"/>
      <c r="AN53" s="1444"/>
      <c r="AO53" s="1449"/>
      <c r="AP53" s="1449"/>
      <c r="AQ53" s="1450"/>
      <c r="AR53" s="1453"/>
      <c r="AS53" s="1456"/>
      <c r="AT53" s="1459"/>
      <c r="AU53" s="517"/>
      <c r="AV53" s="1480"/>
      <c r="AW53" s="1480"/>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M53" s="1352"/>
      <c r="CN53" s="1352"/>
      <c r="CO53" s="1416"/>
      <c r="CP53" s="1418"/>
      <c r="CR53" s="1386"/>
      <c r="CS53" s="1355"/>
      <c r="CT53" s="1355"/>
      <c r="CU53" s="1375"/>
      <c r="CV53" s="1372"/>
      <c r="CW53" s="1372"/>
      <c r="CX53" s="1372"/>
      <c r="CY53" s="1487"/>
      <c r="CZ53" s="1487"/>
      <c r="DA53" s="1487"/>
      <c r="DC53" s="1355"/>
      <c r="DD53" s="1355"/>
      <c r="DE53" s="1375"/>
      <c r="DF53" s="1407"/>
      <c r="DG53" s="1372"/>
      <c r="DH53" s="1369"/>
      <c r="DK53" s="1484"/>
      <c r="DL53" s="1420"/>
      <c r="DN53" s="1403"/>
      <c r="DO53" s="1405"/>
      <c r="DP53" s="1355"/>
      <c r="DQ53" s="1405"/>
      <c r="DR53" s="1403"/>
      <c r="DS53" s="1489"/>
      <c r="DU53" s="1403"/>
      <c r="DV53" s="1405"/>
      <c r="DW53" s="1403"/>
      <c r="DX53" s="1403"/>
      <c r="DZ53" s="1481"/>
      <c r="EA53" s="1481"/>
      <c r="EC53" s="1482"/>
      <c r="ED53" s="1369"/>
      <c r="EE53" s="1372"/>
      <c r="EF53" s="1369"/>
      <c r="EG53" s="1369"/>
      <c r="EH53" s="1375"/>
      <c r="EI53" s="1375"/>
      <c r="EJ53" s="1363"/>
      <c r="EK53" s="1376"/>
      <c r="EL53" s="1376"/>
      <c r="EM53" s="1362"/>
      <c r="EN53" s="1362"/>
      <c r="EO53" s="1363"/>
      <c r="EP53" s="1363"/>
      <c r="EQ53" s="1363"/>
      <c r="ES53" s="1403"/>
      <c r="EU53" s="1488"/>
      <c r="EV53" s="1488"/>
      <c r="EW53" s="1488"/>
      <c r="EX53" s="1488"/>
      <c r="EY53" s="1488"/>
      <c r="EZ53" s="1414"/>
      <c r="FB53" s="1365"/>
      <c r="FD53" s="1355"/>
      <c r="FE53" s="1355"/>
      <c r="FF53" s="138"/>
      <c r="FI53" s="1357"/>
      <c r="FJ53" s="1357"/>
      <c r="FK53" s="1365"/>
      <c r="FL53" s="1365"/>
      <c r="FM53" s="1365"/>
      <c r="FO53" s="1361"/>
      <c r="FP53" s="1361"/>
      <c r="FQ53" s="1366"/>
      <c r="FR53" s="1361"/>
      <c r="FS53" s="1361"/>
      <c r="FT53" s="1361"/>
      <c r="FU53" s="1360"/>
      <c r="FW53" s="1352"/>
      <c r="FX53" s="1352"/>
      <c r="FY53" s="1352"/>
      <c r="FZ53" s="1352"/>
      <c r="GA53" s="1352"/>
      <c r="GB53" s="1352"/>
      <c r="GC53" s="1352"/>
      <c r="GD53" s="1352"/>
      <c r="GE53" s="759"/>
      <c r="GF53" s="1035"/>
      <c r="GG53" s="1385"/>
      <c r="GJ53" s="1034">
        <f>IF(GJ51=TRUE,0,GJ$16)</f>
        <v>0</v>
      </c>
      <c r="GL53" s="1034">
        <f>IF(GL51=TRUE,0,GL$16)</f>
        <v>36</v>
      </c>
      <c r="GM53" s="1034">
        <f>IF(GM51=TRUE,0,GM$16)</f>
        <v>35</v>
      </c>
      <c r="GN53" s="436"/>
      <c r="GO53" s="436"/>
      <c r="GP53" s="436"/>
      <c r="GQ53" s="436"/>
      <c r="GR53" s="436"/>
      <c r="HC53" s="1034">
        <f t="shared" ref="HC53:HH53" si="22">IF(HC51=TRUE,0,HC$16)</f>
        <v>19</v>
      </c>
      <c r="HD53" s="1034">
        <f t="shared" si="22"/>
        <v>18</v>
      </c>
      <c r="HE53" s="1034">
        <f t="shared" si="22"/>
        <v>17</v>
      </c>
      <c r="HF53" s="1034">
        <f t="shared" si="22"/>
        <v>16</v>
      </c>
      <c r="HG53" s="1034">
        <f t="shared" si="22"/>
        <v>0</v>
      </c>
      <c r="HH53" s="1034">
        <f t="shared" si="22"/>
        <v>0</v>
      </c>
      <c r="HI53" s="1034">
        <f>IF(HI51=TRUE,0,HI$16)</f>
        <v>13</v>
      </c>
      <c r="HJ53" s="1034">
        <f t="shared" ref="HJ53:HL53" si="23">IF(HJ51=TRUE,0,HJ$16)</f>
        <v>12</v>
      </c>
      <c r="HK53" s="1034">
        <f t="shared" si="23"/>
        <v>11</v>
      </c>
      <c r="HL53" s="1034">
        <f t="shared" si="23"/>
        <v>10</v>
      </c>
      <c r="HM53" s="1034">
        <f>IF(HM51=TRUE,0,HM$16)</f>
        <v>9</v>
      </c>
      <c r="HN53" s="1034">
        <f t="shared" ref="HN53:HR53" si="24">IF(HN51=TRUE,0,HN$16)</f>
        <v>0</v>
      </c>
      <c r="HO53" s="1034">
        <f t="shared" si="24"/>
        <v>0</v>
      </c>
      <c r="HP53" s="1034">
        <f t="shared" si="24"/>
        <v>0</v>
      </c>
      <c r="HQ53" s="1034">
        <f t="shared" si="24"/>
        <v>0</v>
      </c>
      <c r="HR53" s="1034">
        <f t="shared" si="24"/>
        <v>0</v>
      </c>
      <c r="HS53" s="1034">
        <f>IF(HS51=TRUE,0,HS$16)</f>
        <v>0</v>
      </c>
      <c r="HT53" s="1034">
        <f t="shared" ref="HT53" si="25">IF(HT51=TRUE,0,HT$16)</f>
        <v>0</v>
      </c>
      <c r="HU53" s="1034">
        <f>IF(HU51=TRUE,0,HU$16)</f>
        <v>1</v>
      </c>
      <c r="HW53" s="1034">
        <f>IF(GL51=FALSE,GL53,IF(GM51=FALSE,GM53,MAX(GJ53:HU53)))</f>
        <v>36</v>
      </c>
      <c r="HX53" s="1383"/>
      <c r="HY53" s="241" t="str">
        <f>VLOOKUP(HW53,_Error_Table,3,FALSE)</f>
        <v xml:space="preserve"> </v>
      </c>
      <c r="HZ53" s="241"/>
      <c r="IA53" s="1386"/>
      <c r="IB53" s="1380"/>
      <c r="IC53" s="1379"/>
      <c r="IF53" s="1380"/>
      <c r="IG53" s="1383"/>
      <c r="IH53" s="1383"/>
      <c r="II53" s="1383"/>
      <c r="IK53" s="1351"/>
      <c r="IL53" s="1351"/>
      <c r="IM53" s="1351"/>
      <c r="IN53" s="1351"/>
      <c r="IO53" s="1351"/>
      <c r="IP53" s="1351"/>
    </row>
    <row r="54" spans="1:250" s="82" customFormat="1" ht="5.0999999999999996" customHeight="1" thickBot="1">
      <c r="B54" s="762"/>
      <c r="C54" s="437"/>
      <c r="D54" s="437"/>
      <c r="E54" s="1490"/>
      <c r="F54" s="1490"/>
      <c r="G54" s="1490"/>
      <c r="H54" s="1490"/>
      <c r="I54" s="1490"/>
      <c r="J54" s="1490"/>
      <c r="K54" s="1490"/>
      <c r="L54" s="1490"/>
      <c r="M54" s="1490"/>
      <c r="N54" s="1490"/>
      <c r="O54" s="1490"/>
      <c r="P54" s="1490"/>
      <c r="Q54" s="1490"/>
      <c r="R54" s="1490"/>
      <c r="S54" s="1490"/>
      <c r="T54" s="1490"/>
      <c r="U54" s="1490"/>
      <c r="V54" s="1490"/>
      <c r="W54" s="1490"/>
      <c r="X54" s="1490"/>
      <c r="Y54" s="1490"/>
      <c r="Z54" s="1490"/>
      <c r="AA54" s="1490"/>
      <c r="AB54" s="1490"/>
      <c r="AC54" s="1490"/>
      <c r="AD54" s="1490"/>
      <c r="AE54" s="1490"/>
      <c r="AF54" s="1490"/>
      <c r="AG54" s="1490"/>
      <c r="AH54" s="1490"/>
      <c r="AI54" s="1490"/>
      <c r="AJ54" s="1490"/>
      <c r="AK54" s="1490"/>
      <c r="AL54" s="1490"/>
      <c r="AM54" s="1490"/>
      <c r="AN54" s="1490"/>
      <c r="AO54" s="1490"/>
      <c r="AP54" s="1490"/>
      <c r="AQ54" s="1490"/>
      <c r="AR54" s="1490"/>
      <c r="AS54" s="1490"/>
      <c r="AT54" s="1490"/>
      <c r="AU54" s="51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M54" s="749"/>
      <c r="CN54" s="749"/>
      <c r="CO54" s="485"/>
      <c r="CP54" s="749"/>
      <c r="CS54" s="436"/>
      <c r="CT54" s="436"/>
      <c r="CU54" s="243"/>
      <c r="CV54" s="244"/>
      <c r="CW54" s="244"/>
      <c r="CX54" s="244"/>
      <c r="CY54" s="245"/>
      <c r="CZ54" s="245"/>
      <c r="DA54" s="245"/>
      <c r="DC54" s="750"/>
      <c r="DD54" s="751"/>
      <c r="DE54" s="752"/>
      <c r="DF54" s="753"/>
      <c r="DG54" s="754"/>
      <c r="DH54" s="754"/>
      <c r="DK54" s="244"/>
      <c r="DL54" s="750"/>
      <c r="DN54" s="750"/>
      <c r="DO54" s="755"/>
      <c r="DP54" s="436"/>
      <c r="DQ54" s="750"/>
      <c r="DR54" s="750"/>
      <c r="DS54" s="750"/>
      <c r="DU54" s="750"/>
      <c r="DV54" s="750"/>
      <c r="DW54" s="750"/>
      <c r="DX54" s="750"/>
      <c r="DZ54" s="756"/>
      <c r="EA54" s="756"/>
      <c r="EC54" s="754"/>
      <c r="ED54" s="754"/>
      <c r="EE54" s="244"/>
      <c r="EF54" s="754"/>
      <c r="EG54" s="754"/>
      <c r="EH54" s="243"/>
      <c r="EI54" s="243"/>
      <c r="EJ54" s="752"/>
      <c r="EK54" s="757"/>
      <c r="EL54" s="757"/>
      <c r="EM54" s="758"/>
      <c r="EN54" s="758"/>
      <c r="EO54" s="752"/>
      <c r="EP54" s="752"/>
      <c r="EQ54" s="752"/>
      <c r="ES54" s="750"/>
      <c r="EU54" s="436"/>
      <c r="EV54" s="436"/>
      <c r="EW54" s="436"/>
      <c r="EX54" s="436"/>
      <c r="EY54" s="436"/>
      <c r="EZ54" s="436"/>
      <c r="FB54" s="643"/>
      <c r="FD54" s="436"/>
      <c r="FE54" s="436"/>
      <c r="FF54" s="436"/>
      <c r="FO54" s="750"/>
      <c r="FP54" s="436"/>
      <c r="FQ54" s="436"/>
      <c r="FR54" s="750"/>
      <c r="FS54" s="750"/>
      <c r="FW54" s="749"/>
      <c r="FX54" s="749"/>
      <c r="FY54" s="749"/>
      <c r="FZ54" s="749"/>
      <c r="GA54" s="749"/>
      <c r="GB54" s="749"/>
      <c r="GC54" s="749"/>
      <c r="GD54" s="749"/>
      <c r="GE54" s="751"/>
      <c r="GF54" s="750"/>
      <c r="GG54" s="750"/>
    </row>
    <row r="55" spans="1:250" s="82" customFormat="1" ht="14.95" customHeight="1" thickTop="1" thickBot="1">
      <c r="B55" s="1421" t="str">
        <f>HY58</f>
        <v xml:space="preserve"> </v>
      </c>
      <c r="C55" s="1422">
        <f>C50+1</f>
        <v>4</v>
      </c>
      <c r="D55" s="1423"/>
      <c r="E55" s="1424" t="s">
        <v>242</v>
      </c>
      <c r="F55" s="1425"/>
      <c r="G55" s="1426"/>
      <c r="H55" s="1427"/>
      <c r="I55" s="1427"/>
      <c r="J55" s="1427"/>
      <c r="K55" s="1427"/>
      <c r="L55" s="1427"/>
      <c r="M55" s="1427"/>
      <c r="N55" s="1427"/>
      <c r="O55" s="1427"/>
      <c r="P55" s="1427"/>
      <c r="Q55" s="1427"/>
      <c r="R55" s="1427"/>
      <c r="S55" s="1428" t="s">
        <v>283</v>
      </c>
      <c r="T55" s="668" t="s">
        <v>190</v>
      </c>
      <c r="U55" s="1430" t="s">
        <v>186</v>
      </c>
      <c r="V55" s="1431"/>
      <c r="W55" s="1431"/>
      <c r="X55" s="1431"/>
      <c r="Y55" s="1431"/>
      <c r="Z55" s="1431"/>
      <c r="AA55" s="1431"/>
      <c r="AB55" s="1088" t="str">
        <f>IFERROR(IF(__Retrofit_TI_NC=0,VLOOKUP(U56,Fixtures_Existing_List,2,FALSE),ROUND(N57*R57/T57,10)),"")</f>
        <v/>
      </c>
      <c r="AC55" s="1039" t="str">
        <f>IFERROR(IF(__Retrofit_TI_NC=0,ROUND(T56*AB55*N56*R56/1000,0),IF(CN55="Interior",N57*R57*R56*N56*_C406_reduction/1000,N57*R57*R56*N56/1000)),"")</f>
        <v/>
      </c>
      <c r="AD55" s="1040" t="str">
        <f>IFERROR(IF(C$36=0,ROUND(T56*AB55/1000,2),N57*R57/1000),"")</f>
        <v/>
      </c>
      <c r="AE55" s="1044" t="s">
        <v>190</v>
      </c>
      <c r="AF55" s="1432" t="str">
        <f>IF(__Retrofit_TI_NC=2,CONCATENATE("Code min = ",DD55),IF(__Retrofit_TI_NC=1,"Emter what you think the existing control was"," Control"))</f>
        <v xml:space="preserve"> Control</v>
      </c>
      <c r="AG55" s="1432"/>
      <c r="AH55" s="1432"/>
      <c r="AI55" s="1432"/>
      <c r="AJ55" s="1433">
        <f>DF55</f>
        <v>0</v>
      </c>
      <c r="AK55" s="1435" t="str">
        <f>IFERROR(ROUND(AJ55*AC55,0),"")</f>
        <v/>
      </c>
      <c r="AL55" s="1437">
        <f>IFERROR(IF(HW55=FALSE,0,AC55-AK55),0)</f>
        <v>0</v>
      </c>
      <c r="AM55" s="1439">
        <f>AL55-AL57</f>
        <v>0</v>
      </c>
      <c r="AN55" s="1440"/>
      <c r="AO55" s="1445">
        <f>IFERROR(IF(HW55=FALSE,0,(T57*U58)+(AE57*AF58)),0)</f>
        <v>0</v>
      </c>
      <c r="AP55" s="1445"/>
      <c r="AQ55" s="1446"/>
      <c r="AR55" s="1451" t="s">
        <v>157</v>
      </c>
      <c r="AS55" s="1454">
        <f>IF(AR55="Yes",1,0)</f>
        <v>1</v>
      </c>
      <c r="AT55" s="1457" t="str">
        <f>IF(OR(DN55=4,DN55=5,DN55=6,DN55=12),CONCATENATE("$",IF(GD55=TRUE,Lookup!$B$11,Lookup!$B$2)," /lamp"),CONCATENATE(EA55,"/ kWh"))</f>
        <v>0/ kWh</v>
      </c>
      <c r="AU55" s="516"/>
      <c r="AV55" s="1478">
        <f>IFERROR(IF(GI56=TRUE,(AB58*T57)/R57,0),"NA")</f>
        <v>0</v>
      </c>
      <c r="AW55" s="1478" t="str">
        <f>IFERROR(N57*_C406_reduction,"NA")</f>
        <v>NA</v>
      </c>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M55" s="1352" t="str">
        <f>N56</f>
        <v/>
      </c>
      <c r="CN55" s="1352" t="str">
        <f>IFERROR(VLOOKUP(G56,_Lookup_Heat_Type_Table_New,3,FALSE),"")</f>
        <v/>
      </c>
      <c r="CO55" s="1415" t="str">
        <f>CN55</f>
        <v/>
      </c>
      <c r="CP55" s="1417" t="e">
        <f>VLOOKUP(G57,'Space Table'!$B$3:$L$160,9,FALSE)</f>
        <v>#N/A</v>
      </c>
      <c r="CR55" s="1386" t="s">
        <v>283</v>
      </c>
      <c r="CS55" s="1353">
        <f>IF(HW55=TRUE,T56,0)</f>
        <v>0</v>
      </c>
      <c r="CT55" s="1353" t="str">
        <f>IF(HW55=TRUE,U56,"")</f>
        <v/>
      </c>
      <c r="CU55" s="1353"/>
      <c r="CV55" s="1370">
        <f>IF(HW55=TRUE,AB55,0)</f>
        <v>0</v>
      </c>
      <c r="CW55" s="1370">
        <f>IF(HW55=TRUE,AC55,0)</f>
        <v>0</v>
      </c>
      <c r="CX55" s="1370">
        <f>IFERROR(IF(HW55=TRUE,CW55-CW57,0),0)</f>
        <v>0</v>
      </c>
      <c r="CY55" s="1485">
        <f>IF(HW55=TRUE,AD55,0)</f>
        <v>0</v>
      </c>
      <c r="CZ55" s="1485">
        <f>IF(HW55=TRUE,AD58,0)</f>
        <v>0</v>
      </c>
      <c r="DA55" s="1485">
        <f>IFERROR(CY55-CZ55,0)</f>
        <v>0</v>
      </c>
      <c r="DC55" s="1353">
        <f>IF(HW55=TRUE,AE56,0)</f>
        <v>0</v>
      </c>
      <c r="DD55" s="1460">
        <f>IF(__Retrofit_TI_NC=2,IF(CN55="Exterior",O58,FM55),FK55)</f>
        <v>0</v>
      </c>
      <c r="DE55" s="1353"/>
      <c r="DF55" s="1406">
        <f>IFERROR(IF(FL55=3,IK55,IF(FL55=4,IL55,IF(FL55=5,IM55,IF(FL55=6,IN55,IF(FL55=7,IO55,IF(FL55=8,IP55,0)))))),0)</f>
        <v>0</v>
      </c>
      <c r="DG55" s="1370">
        <f>IF(HW55=TRUE,AK55,0)</f>
        <v>0</v>
      </c>
      <c r="DH55" s="1369">
        <f>IFERROR(IF(HW55=TRUE,DG57-DG55,0),0)</f>
        <v>0</v>
      </c>
      <c r="DJ55" s="1483">
        <f>IFERROR(CW55-DG55,0)</f>
        <v>0</v>
      </c>
      <c r="DL55" s="1419">
        <f>DJ55-DK57</f>
        <v>0</v>
      </c>
      <c r="DN55" s="1403" t="str">
        <f>IFERROR(IF(AND(OR(FY55=4,FY55=5,FY55=6),OR(GB55=4,GB55=5,GB55=6)),FY55+8,VLOOKUP(CT57,Fixtures!R$31:Y$78,8,FALSE)),"")</f>
        <v/>
      </c>
      <c r="DO55" s="1404" t="str">
        <f>DN55</f>
        <v/>
      </c>
      <c r="DP55" s="1353" t="str">
        <f>IFERROR(VLOOKUP(DD57,Lookup!AU$3:AV$15,2,FALSE),"")</f>
        <v/>
      </c>
      <c r="DQ55" s="1404" t="str">
        <f>IF(DP55=7,"LLLC","")</f>
        <v/>
      </c>
      <c r="DR55" s="1403">
        <f>IFERROR(IF(OR(DN55=4,DN55=5,DN55=6,DN55=12,DN55=13,DN55=14),VLOOKUP(CT57,Fixtures!DN$27:EG$77,19,FALSE),1)*CS57,0)</f>
        <v>0</v>
      </c>
      <c r="DS55" s="1489">
        <f>IF(DP55=7,IF(DD55=DD57,0,DC57),0)</f>
        <v>0</v>
      </c>
      <c r="DU55" s="1403" t="str">
        <f>IFERROR(IF(EW55&lt;EW57,"Yes","No"),"")</f>
        <v/>
      </c>
      <c r="DV55" s="1404" t="str">
        <f>DU55</f>
        <v/>
      </c>
      <c r="DW55" s="1403">
        <f>IF(DU55="Yes",DC57,0)</f>
        <v>0</v>
      </c>
      <c r="DX55" s="1403">
        <f>DW55-DS55</f>
        <v>0</v>
      </c>
      <c r="DZ55" s="1481">
        <f>IFERROR(VLOOKUP(DN55,Lookup!AN$3:AO$16,2,FALSE),0)</f>
        <v>0</v>
      </c>
      <c r="EA55" s="1481">
        <f>IF(HW55=FALSE,0,IF(DU55="Yes",DZ55+Lookup!B$6,DZ55))</f>
        <v>0</v>
      </c>
      <c r="EC55" s="1482">
        <f>IF(HW55=TRUE,DJ55,0)</f>
        <v>0</v>
      </c>
      <c r="ED55" s="1369">
        <f>IF(HW55=TRUE,CW57,0)</f>
        <v>0</v>
      </c>
      <c r="EE55" s="1370">
        <f>IFERROR(EC55-ED55,0)</f>
        <v>0</v>
      </c>
      <c r="EF55" s="1369">
        <f>IF(HW55=TRUE,DG57,0)</f>
        <v>0</v>
      </c>
      <c r="EG55" s="1369">
        <f>IFERROR(EC55-ED55+EF55,0)</f>
        <v>0</v>
      </c>
      <c r="EH55" s="1373">
        <f>IF(HW55=TRUE,CS57*CU57,0)</f>
        <v>0</v>
      </c>
      <c r="EI55" s="1373">
        <f>IF(HW55=TRUE,DC57*DE57,0)</f>
        <v>0</v>
      </c>
      <c r="EJ55" s="1363">
        <f>AO55</f>
        <v>0</v>
      </c>
      <c r="EK55" s="1376" t="str">
        <f>IFERROR(IF(HW55=TRUE,VLOOKUP(DN55,Lookup!AN$3:AP$16,3,FALSE)*DR55,""),0)</f>
        <v/>
      </c>
      <c r="EL55" s="1376">
        <f>IF(HW55=TRUE,DW55*Lookup!AP$12,0)</f>
        <v>0</v>
      </c>
      <c r="EM55" s="1362">
        <f>IFERROR(IF(HW55=TRUE,EK55/EM$33,0),0)</f>
        <v>0</v>
      </c>
      <c r="EN55" s="1362">
        <f>IF(HW55=TRUE,EL55/EN$33,0)</f>
        <v>0</v>
      </c>
      <c r="EO55" s="1363">
        <f>IF(HW55=TRUE,EQ$33*EM55,0)</f>
        <v>0</v>
      </c>
      <c r="EP55" s="1363">
        <f>IF(HW55=TRUE,EQ$33*EN55,0)</f>
        <v>0</v>
      </c>
      <c r="EQ55" s="1363">
        <f>EO55+EP55</f>
        <v>0</v>
      </c>
      <c r="ES55" s="1403">
        <f>IF(G55="",0,1)</f>
        <v>0</v>
      </c>
      <c r="EU55" s="1410" t="e">
        <f>VLOOKUP(CP57,'Space Table'!$B$3:$L$160,8,FALSE)</f>
        <v>#N/A</v>
      </c>
      <c r="EV55" s="1410" t="e">
        <f>IF(EY55="Yes",VLOOKUP(DD55,Lookup_Control_Type_Table2,4,FALSE),VLOOKUP(DD55,Lookup_Control_Type_Table2,3,FALSE))</f>
        <v>#N/A</v>
      </c>
      <c r="EW55" s="1410" t="e">
        <f>VLOOKUP(DD55,Lookup!AU$3:AV$15,2,FALSE)</f>
        <v>#N/A</v>
      </c>
      <c r="EX55" s="1410" t="e">
        <f>VLOOKUP(EU55,Lookup_Control_Type_Table,2,FALSE)</f>
        <v>#N/A</v>
      </c>
      <c r="EY55" s="1410" t="e">
        <f>VLOOKUP(CP57,'Space Table'!$B$3:$L$160,7,FALSE)</f>
        <v>#N/A</v>
      </c>
      <c r="EZ55" s="1412" t="b">
        <f>ISNUMBER(SEARCH("TLED",U57))</f>
        <v>0</v>
      </c>
      <c r="FB55" s="1365" t="str">
        <f>CONCATENATE(CN55," - ",DD55)</f>
        <v xml:space="preserve"> - 0</v>
      </c>
      <c r="FD55" s="1353" t="str">
        <f>VLOOKUP(CT57,Fixtures!DN$27:EZ$77,38,FALSE)</f>
        <v/>
      </c>
      <c r="FE55" s="1353">
        <f>IFERROR(FD55*EE55,0)</f>
        <v>0</v>
      </c>
      <c r="FF55" s="138"/>
      <c r="FI55" s="1356" t="str">
        <f>IF(CN55="Exterior","Not Daylighted",G58)</f>
        <v>Not Daylighted</v>
      </c>
      <c r="FJ55" s="1356">
        <f>VLOOKUP(FI55,_Daylight_Table_Codes,2,FALSE)</f>
        <v>0</v>
      </c>
      <c r="FK55" s="1365">
        <f>IF(__Retrofit_TI_NC=2,VLOOKUP(G57,'Space Table'!$B$3:$L$160,11,FALSE),AF56)</f>
        <v>0</v>
      </c>
      <c r="FL55" s="1365" t="e">
        <f>VLOOKUP(FK55,_Control_Table,2,FALSE)</f>
        <v>#N/A</v>
      </c>
      <c r="FM55" s="1365" t="e">
        <f>IF(AND(FP55&gt;0,FK55="Occupancy Sensor"),"Daylight + Occupancy",IF(AND(FP55&gt;0,FL55&lt;4),"Interior Daylight Dimming",FK55))</f>
        <v>#N/A</v>
      </c>
      <c r="FO55" s="1364">
        <f>IF(CO55="Interior",VLOOKUP(CP55,Control_Savings_Interior,5,FALSE),0)</f>
        <v>0</v>
      </c>
      <c r="FP55" s="1361">
        <f>IF(CN55="Exterior",0,IF(FJ55=2,0.5,IF(OR(FJ55=1,FJ55=3),1,0)))</f>
        <v>0</v>
      </c>
      <c r="FQ55" s="1366"/>
      <c r="FR55" s="1367"/>
      <c r="FS55" s="1364"/>
      <c r="FT55" s="1367"/>
      <c r="FU55" s="1360"/>
      <c r="FW55" s="1352" t="str">
        <f>IFERROR(VLOOKUP(U56,_Exist_Fixture_Table,3,FALSE),"")</f>
        <v/>
      </c>
      <c r="FX55" s="1352" t="str">
        <f>VLOOKUP(CT55,_Exist_Fixture_Table,4,FALSE)</f>
        <v/>
      </c>
      <c r="FY55" s="1352">
        <f>IFERROR(VLOOKUP(FX55,Lookup!AM$6:AN$8,2,FALSE),0)</f>
        <v>0</v>
      </c>
      <c r="FZ55" s="1352" t="b">
        <f>IFERROR(IF(OR(GB55=4,GB55=5,GB55=6),TRUE,FALSE),"")</f>
        <v>0</v>
      </c>
      <c r="GA55" s="1352" t="str">
        <f>IFERROR(VLOOKUP(GB55,FY$6:FZ$10,2,FALSE),"")</f>
        <v/>
      </c>
      <c r="GB55" s="1352" t="str">
        <f>VLOOKUP(CT57,Fixtures!R$31:Y$78,8,FALSE)</f>
        <v/>
      </c>
      <c r="GC55" s="1352">
        <f>IF(AND(FW55=TRUE,FZ55=TRUE,OR(DN55=12,DN55=13,DN55=14)),FY55+8,0)</f>
        <v>0</v>
      </c>
      <c r="GD55" s="1352" t="b">
        <f>IF(OR(GC55=12,GC55=13,GC55=14),TRUE,FALSE)</f>
        <v>0</v>
      </c>
      <c r="GE55" s="759" t="b">
        <f>IF(ISNUMBER(SEARCH("TLED",U56)),TRUE,FALSE)</f>
        <v>0</v>
      </c>
      <c r="GF55" s="1035" t="str">
        <f>IFERROR(VLOOKUP(U56,Fixtures!BM$93:BR$142,6,FALSE),"")</f>
        <v/>
      </c>
      <c r="GG55" s="1385" t="b">
        <f>IF(OR(GE55=FALSE,GE57=FALSE),TRUE,IF(GF55-GF57&lt;5,FALSE,TRUE))</f>
        <v>1</v>
      </c>
      <c r="GK55" s="1034">
        <f>GL55</f>
        <v>0</v>
      </c>
      <c r="GL55" s="1034">
        <f>IF(G55="",0,1)</f>
        <v>0</v>
      </c>
      <c r="GM55" s="1034">
        <f>SUM(GN55:HB55)</f>
        <v>2</v>
      </c>
      <c r="GN55" s="1034">
        <f>IF(G56="",0,1)</f>
        <v>0</v>
      </c>
      <c r="GO55" s="1034">
        <f>IF(G57="",0,1)</f>
        <v>0</v>
      </c>
      <c r="GP55" s="1034">
        <f>IF(R56="",0,1)</f>
        <v>0</v>
      </c>
      <c r="GQ55" s="1034">
        <f>IF(__Retrofit_TI_NC=0,1,IF(R57="",0,1))</f>
        <v>1</v>
      </c>
      <c r="GR55" s="1034">
        <f>IF(CN55="Exterior",1,IF(G58="",0,1))</f>
        <v>1</v>
      </c>
      <c r="GS55" s="1034">
        <f>IF(__Retrofit_TI_NC&lt;&gt;0,1,IF(T56="",0,1))</f>
        <v>0</v>
      </c>
      <c r="GT55" s="1034">
        <f>IF(__Retrofit_TI_NC&lt;&gt;0,1,IF(U56="",0,1))</f>
        <v>0</v>
      </c>
      <c r="GU55" s="1034">
        <f>IF(T57="",0,1)</f>
        <v>0</v>
      </c>
      <c r="GV55" s="1034">
        <f>IF(U57="",0,1)</f>
        <v>0</v>
      </c>
      <c r="GW55" s="1034">
        <f>IF(__Retrofit_TI_NC=2,1,IF(U58="",0,1))</f>
        <v>0</v>
      </c>
      <c r="GX55" s="1034">
        <f>IF(__Retrofit_TI_NC&lt;&gt;0,1,IF(AE56="",0,1))</f>
        <v>0</v>
      </c>
      <c r="GY55" s="1034">
        <f>IF(__Retrofit_TI_NC&lt;&gt;0,1,IF(AF56="",0,1))</f>
        <v>0</v>
      </c>
      <c r="GZ55" s="1034">
        <f>IF(AE57="",0,1)</f>
        <v>0</v>
      </c>
      <c r="HA55" s="1034">
        <f>IF(AF57="",0,1)</f>
        <v>0</v>
      </c>
      <c r="HB55" s="1034">
        <f>IF(__Retrofit_TI_NC=2,1,IF(AF58="",0,1))</f>
        <v>0</v>
      </c>
      <c r="HV55" s="436"/>
      <c r="HW55" s="1384" t="b">
        <f>IF(OR(HW58=0,HW58=HT$16,HW58=HS$16,HW58=HU$16),TRUE,FALSE)</f>
        <v>0</v>
      </c>
      <c r="HX55" s="1377" t="b">
        <f>HW55</f>
        <v>0</v>
      </c>
      <c r="HY55" s="436"/>
      <c r="HZ55" s="436"/>
      <c r="IA55" s="1386" t="b">
        <f>IF(MAX(GJ58:HP58)&gt;5,FALSE,TRUE)</f>
        <v>0</v>
      </c>
      <c r="IB55" s="1380">
        <f>IF(IA55=TRUE,AC55,0)</f>
        <v>0</v>
      </c>
      <c r="IC55" s="1380">
        <f>IB55-IB57</f>
        <v>0</v>
      </c>
      <c r="IF55" s="1380" t="e">
        <f>ROUND(T56*VLOOKUP(U56,Fixtures_Existing_List,2,FALSE)*N56*R56/1000,0)</f>
        <v>#N/A</v>
      </c>
      <c r="IG55" s="1381" t="e">
        <f>IF55-IF57</f>
        <v>#N/A</v>
      </c>
      <c r="IH55" s="1384" t="e">
        <f>ROUND(IF(CN55="Interior",N57*R57*R56*N56*_C406_reduction/1000,N57*R57*R56*N56/1000),0)</f>
        <v>#N/A</v>
      </c>
      <c r="II55" s="1384" t="e">
        <f>IH55-IH57</f>
        <v>#N/A</v>
      </c>
      <c r="IK55" s="1351" t="e">
        <f>IF($CO55="interior",IL55/2,VLOOKUP($CP55,Control_Savings_Exterior,IK$30,FALSE))</f>
        <v>#N/A</v>
      </c>
      <c r="IL55" s="1351" t="e">
        <f>IF($CO55="interior",VLOOKUP($CP55,Control_Savings_Interior,IL$30,FALSE),VLOOKUP($CP55,Control_Savings_Exterior,IL$30,FALSE))</f>
        <v>#N/A</v>
      </c>
      <c r="IM55" s="1351" t="e">
        <f>IF($CO55="interior",IF(R56&gt;FO$37,(IM$28*(FO$37/R56)),IM$28)*FP55,VLOOKUP($CP55,Control_Savings_Exterior,IM$30,FALSE))</f>
        <v>#N/A</v>
      </c>
      <c r="IN55" s="1351" t="e">
        <f>IF($CO55="interior",ROUND(((1-IL55)*IM55)+IL55,2),VLOOKUP($CP55,Control_Savings_Exterior,IN$30,FALSE))</f>
        <v>#N/A</v>
      </c>
      <c r="IO55" s="1351" t="e">
        <f>IF($CO55="interior", ROUND(((1-IL55)*(IM55*(1-IP$28)))+IP55,2), VLOOKUP($CP55,Control_Savings_Exterior,IO$30,FALSE))</f>
        <v>#N/A</v>
      </c>
      <c r="IP55" s="1351">
        <f>IF($CO55="interior",ROUND(((1-IL55)*IP$28)+IL55,2),0)</f>
        <v>0</v>
      </c>
    </row>
    <row r="56" spans="1:250" s="82" customFormat="1" ht="14.95" customHeight="1" thickTop="1" thickBot="1">
      <c r="B56" s="1421"/>
      <c r="C56" s="1422"/>
      <c r="D56" s="1423"/>
      <c r="E56" s="1393" t="s">
        <v>244</v>
      </c>
      <c r="F56" s="1394"/>
      <c r="G56" s="1395"/>
      <c r="H56" s="1395"/>
      <c r="I56" s="1395"/>
      <c r="J56" s="1395"/>
      <c r="K56" s="1395"/>
      <c r="L56" s="1395"/>
      <c r="M56" s="509" t="e">
        <f>IF(__Retrofit_TI_NC&lt;&gt;0,IF(VLOOKUP(G57,'Space Table'!$B$3:$L$160,3,FALSE)&gt;0,1,0),IF(__Retrofit_TI_NC=VLOOKUP(G57,'Space Table'!$B$3:$L$160,3,FALSE),1,0))</f>
        <v>#N/A</v>
      </c>
      <c r="N56" s="509" t="str">
        <f>IFERROR(VLOOKUP(G56,_Lookup_Heat_Type_Table_New,2,FALSE),"")</f>
        <v/>
      </c>
      <c r="O56" s="509">
        <f>IF(__Retrofit_TI_NC=1,CONCATENATE("TI ",G56),IF(__Retrofit_TI_NC=2,CONCATENATE("NC ",G56),G56))</f>
        <v>0</v>
      </c>
      <c r="P56" s="1396" t="s">
        <v>352</v>
      </c>
      <c r="Q56" s="1396"/>
      <c r="R56" s="673"/>
      <c r="S56" s="1429"/>
      <c r="T56" s="675"/>
      <c r="U56" s="1496"/>
      <c r="V56" s="1497"/>
      <c r="W56" s="1497"/>
      <c r="X56" s="1497"/>
      <c r="Y56" s="1497"/>
      <c r="Z56" s="1497"/>
      <c r="AA56" s="1497"/>
      <c r="AB56" s="1497"/>
      <c r="AC56" s="1497"/>
      <c r="AD56" s="1498"/>
      <c r="AE56" s="675"/>
      <c r="AF56" s="1397"/>
      <c r="AG56" s="1397"/>
      <c r="AH56" s="1397"/>
      <c r="AI56" s="1397"/>
      <c r="AJ56" s="1434"/>
      <c r="AK56" s="1436"/>
      <c r="AL56" s="1438"/>
      <c r="AM56" s="1441"/>
      <c r="AN56" s="1442"/>
      <c r="AO56" s="1447"/>
      <c r="AP56" s="1447"/>
      <c r="AQ56" s="1448"/>
      <c r="AR56" s="1452"/>
      <c r="AS56" s="1455"/>
      <c r="AT56" s="1458"/>
      <c r="AU56" s="516"/>
      <c r="AV56" s="1479"/>
      <c r="AW56" s="1479"/>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M56" s="1352"/>
      <c r="CN56" s="1352"/>
      <c r="CO56" s="1416"/>
      <c r="CP56" s="1418"/>
      <c r="CR56" s="1386"/>
      <c r="CS56" s="1355"/>
      <c r="CT56" s="1355"/>
      <c r="CU56" s="1355"/>
      <c r="CV56" s="1372"/>
      <c r="CW56" s="1372"/>
      <c r="CX56" s="1371"/>
      <c r="CY56" s="1486"/>
      <c r="CZ56" s="1486"/>
      <c r="DA56" s="1486"/>
      <c r="DC56" s="1355"/>
      <c r="DD56" s="1461"/>
      <c r="DE56" s="1355"/>
      <c r="DF56" s="1407"/>
      <c r="DG56" s="1372"/>
      <c r="DH56" s="1369"/>
      <c r="DJ56" s="1484"/>
      <c r="DL56" s="1419"/>
      <c r="DN56" s="1403"/>
      <c r="DO56" s="1405"/>
      <c r="DP56" s="1354"/>
      <c r="DQ56" s="1405"/>
      <c r="DR56" s="1403"/>
      <c r="DS56" s="1489"/>
      <c r="DU56" s="1403"/>
      <c r="DV56" s="1405"/>
      <c r="DW56" s="1403"/>
      <c r="DX56" s="1403"/>
      <c r="DZ56" s="1481"/>
      <c r="EA56" s="1481"/>
      <c r="EC56" s="1482"/>
      <c r="ED56" s="1369"/>
      <c r="EE56" s="1371"/>
      <c r="EF56" s="1369"/>
      <c r="EG56" s="1369"/>
      <c r="EH56" s="1374"/>
      <c r="EI56" s="1374"/>
      <c r="EJ56" s="1363"/>
      <c r="EK56" s="1376"/>
      <c r="EL56" s="1376"/>
      <c r="EM56" s="1362"/>
      <c r="EN56" s="1362"/>
      <c r="EO56" s="1363"/>
      <c r="EP56" s="1363"/>
      <c r="EQ56" s="1363"/>
      <c r="ES56" s="1403"/>
      <c r="EU56" s="1411"/>
      <c r="EV56" s="1411"/>
      <c r="EW56" s="1411"/>
      <c r="EX56" s="1411"/>
      <c r="EY56" s="1411"/>
      <c r="EZ56" s="1413"/>
      <c r="FB56" s="1365"/>
      <c r="FD56" s="1354"/>
      <c r="FE56" s="1354"/>
      <c r="FF56" s="138"/>
      <c r="FI56" s="1357"/>
      <c r="FJ56" s="1357"/>
      <c r="FK56" s="1365"/>
      <c r="FL56" s="1365"/>
      <c r="FM56" s="1365"/>
      <c r="FO56" s="1361"/>
      <c r="FP56" s="1361"/>
      <c r="FQ56" s="1366"/>
      <c r="FR56" s="1368"/>
      <c r="FS56" s="1361"/>
      <c r="FT56" s="1368"/>
      <c r="FU56" s="1360"/>
      <c r="FW56" s="1352"/>
      <c r="FX56" s="1352"/>
      <c r="FY56" s="1352"/>
      <c r="FZ56" s="1352"/>
      <c r="GA56" s="1352"/>
      <c r="GB56" s="1352"/>
      <c r="GC56" s="1352"/>
      <c r="GD56" s="1352"/>
      <c r="GE56" s="759"/>
      <c r="GF56" s="1035"/>
      <c r="GG56" s="1385"/>
      <c r="GI56" s="1384" t="b">
        <f>IF(AND(GL56=TRUE,GM56=TRUE),TRUE,FALSE)</f>
        <v>0</v>
      </c>
      <c r="GJ56" s="1379" t="b">
        <f>IFERROR(IF(__Retrofit_TI_NC=2,TRUE,IF(AR55="Yes",TRUE,FALSE)),FALSE)</f>
        <v>1</v>
      </c>
      <c r="GL56" s="1379" t="b">
        <f>IFERROR(IF(GL55=1,TRUE,FALSE),FALSE)</f>
        <v>0</v>
      </c>
      <c r="GM56" s="1379" t="b">
        <f>IFERROR(IF(GM55=GM$14,TRUE,FALSE),FALSE)</f>
        <v>0</v>
      </c>
      <c r="HC56" s="1379" t="b">
        <f>IFERROR(IF(M56=1,TRUE,FALSE),FALSE)</f>
        <v>0</v>
      </c>
      <c r="HD56" s="1379" t="b">
        <f>IFERROR(IF(M57=1,TRUE,FALSE),FALSE)</f>
        <v>0</v>
      </c>
      <c r="HE56" s="1379" t="b">
        <f>IFERROR(IF(__Retrofit_TI_NC&lt;&gt;0,TRUE,IFERROR(IF(VLOOKUP(U56,Fixtures_Existing_List,2,FALSE)&lt;&gt;"",TRUE,FALSE),FALSE)),FALSE)</f>
        <v>0</v>
      </c>
      <c r="HF56" s="1379" t="b">
        <f>IFERROR(IF(VLOOKUP(U57,Fixtures_Proposed_List,2,FALSE)&lt;&gt;"",TRUE,FALSE),FALSE)</f>
        <v>0</v>
      </c>
      <c r="HG56" s="1379" t="b">
        <f>IF(AND(__Retrofit_TI_NC=2,EZ55=TRUE),FALSE,TRUE)</f>
        <v>1</v>
      </c>
      <c r="HH56" s="1379" t="b">
        <f>GG55</f>
        <v>1</v>
      </c>
      <c r="HI56" s="1384" t="b">
        <f>IF(ISERROR(MATCH(FB55,_Control_Match[],0))=TRUE,FALSE,TRUE)</f>
        <v>0</v>
      </c>
      <c r="HJ56" s="1384" t="b">
        <f>IFERROR(IF(EU55&lt;&gt;EV55,FALSE,TRUE),FALSE)</f>
        <v>0</v>
      </c>
      <c r="HK56" s="1384" t="b">
        <f>IFERROR(IF(EU57&lt;&gt;EV57,FALSE,TRUE),FALSE)</f>
        <v>0</v>
      </c>
      <c r="HL56" s="1379" t="b">
        <f>IFERROR(IF(CN55="Exterior",TRUE,IF(OR(AND(FJ55=0,EW57&gt;4),AND(FJ55=4,EW57&gt;4,EW57&lt;7)),FALSE,TRUE)),FALSE)</f>
        <v>0</v>
      </c>
      <c r="HM56" s="1379" t="b">
        <f>IFERROR(IF(AND(FL57=7,EZ55=TRUE),FALSE,TRUE),FALSE)</f>
        <v>0</v>
      </c>
      <c r="HN56" s="1379" t="b">
        <f>IFERROR(IF(AND(T57&lt;&gt;AE57,AF57="Interior LLLC")=TRUE,FALSE,TRUE),FALSE)</f>
        <v>1</v>
      </c>
      <c r="HO56" s="1379" t="b">
        <f>IFERROR(IF(OR(AF57=Lookup!AU$13,AF57=Lookup!AU$14)=TRUE,IF(AE57&gt;T57,FALSE,TRUE),TRUE),FALSE)</f>
        <v>1</v>
      </c>
      <c r="HP56" s="1379" t="b">
        <f>IFERROR(IF(__Retrofit_TI_NC=2,IF(EW57&lt;EW55,FALSE,TRUE),TRUE),FALSE)</f>
        <v>1</v>
      </c>
      <c r="HQ56" s="1379" t="b">
        <f>IF(CN55="Interior",IG$6,TRUE)</f>
        <v>1</v>
      </c>
      <c r="HR56" s="1379" t="b">
        <f>IF(CN55="Exterior",IG$8,TRUE)</f>
        <v>1</v>
      </c>
      <c r="HS56" s="1379" t="b">
        <f>IFERROR(IF(__Retrofit_TI_NC&lt;&gt;0,IF(AW55&lt;AV55,FALSE,TRUE),TRUE),FALSE)</f>
        <v>1</v>
      </c>
      <c r="HT56" s="1379" t="b">
        <f>IFERROR(IF(AND(G56="Exterior",R56&gt;4200),FALSE,TRUE),FALSE)</f>
        <v>1</v>
      </c>
      <c r="HU56" s="1379" t="b">
        <f>IFERROR(IF(AB58/AB55&lt;HU$18,FALSE,TRUE),FALSE)</f>
        <v>0</v>
      </c>
      <c r="HW56" s="1382"/>
      <c r="HX56" s="1378"/>
      <c r="HY56" s="1377" t="str">
        <f>VLOOKUP(HW58,_Error_Table,4,FALSE)</f>
        <v>White</v>
      </c>
      <c r="HZ56" s="436"/>
      <c r="IA56" s="1386"/>
      <c r="IB56" s="1380"/>
      <c r="IC56" s="1379"/>
      <c r="IF56" s="1380"/>
      <c r="IG56" s="1382"/>
      <c r="IH56" s="1382"/>
      <c r="II56" s="1382"/>
      <c r="IK56" s="1351"/>
      <c r="IL56" s="1351"/>
      <c r="IM56" s="1351"/>
      <c r="IN56" s="1351"/>
      <c r="IO56" s="1351"/>
      <c r="IP56" s="1351"/>
    </row>
    <row r="57" spans="1:250" s="82" customFormat="1" ht="14.95" customHeight="1" thickTop="1" thickBot="1">
      <c r="A57" s="82">
        <f>ROW()</f>
        <v>57</v>
      </c>
      <c r="B57" s="1421"/>
      <c r="C57" s="1422"/>
      <c r="D57" s="1423"/>
      <c r="E57" s="1393" t="s">
        <v>245</v>
      </c>
      <c r="F57" s="1394"/>
      <c r="G57" s="1398"/>
      <c r="H57" s="1399"/>
      <c r="I57" s="1399"/>
      <c r="J57" s="1399"/>
      <c r="K57" s="1399"/>
      <c r="L57" s="1400"/>
      <c r="M57" s="509">
        <f>IFERROR(IF(IF(__Retrofit_TI_NC&lt;&gt;0,IF(CN55="Interior",MATCH(G57,Lookup_Interior_New,0),MATCH(G57,Lookup_Exterior_New,0)),IF(CN55="Interior",MATCH(G57,Lookup_Interior,0),MATCH(G57,Lookup_Exterior_Areas,0)))&gt;0,1,0),0)</f>
        <v>0</v>
      </c>
      <c r="N57" s="509" t="e">
        <f>IF(__Retrofit_TI_NC=1,
VLOOKUP(G57,'Space Table'!$B$3:$L$160,4,FALSE),
IF(__Retrofit_TI_NC=2,VLOOKUP(G57,'Space Table'!$B$3:$L$160,5,FALSE),VLOOKUP(G57,'Space Table'!$B$3:$L$160,5,FALSE)))</f>
        <v>#N/A</v>
      </c>
      <c r="O57" s="509">
        <f>G57</f>
        <v>0</v>
      </c>
      <c r="P57" s="1394" t="s">
        <v>355</v>
      </c>
      <c r="Q57" s="1394"/>
      <c r="R57" s="674"/>
      <c r="S57" s="1401" t="s">
        <v>284</v>
      </c>
      <c r="T57" s="672"/>
      <c r="U57" s="1499"/>
      <c r="V57" s="1500"/>
      <c r="W57" s="1500"/>
      <c r="X57" s="1500"/>
      <c r="Y57" s="1500"/>
      <c r="Z57" s="1500"/>
      <c r="AA57" s="1500"/>
      <c r="AB57" s="1501"/>
      <c r="AC57" s="1501"/>
      <c r="AD57" s="1502"/>
      <c r="AE57" s="672"/>
      <c r="AF57" s="1474"/>
      <c r="AG57" s="1474"/>
      <c r="AH57" s="1474"/>
      <c r="AI57" s="1474"/>
      <c r="AJ57" s="1475">
        <f>DF57</f>
        <v>0</v>
      </c>
      <c r="AK57" s="1470" t="str">
        <f>IFERROR(ROUND(AJ57*AC58,0),"")</f>
        <v/>
      </c>
      <c r="AL57" s="1472">
        <f>IFERROR(IF(HW55=FALSE,0,AC58-AK57),0)</f>
        <v>0</v>
      </c>
      <c r="AM57" s="1441"/>
      <c r="AN57" s="1442"/>
      <c r="AO57" s="1447"/>
      <c r="AP57" s="1447"/>
      <c r="AQ57" s="1448"/>
      <c r="AR57" s="1452"/>
      <c r="AS57" s="1455"/>
      <c r="AT57" s="1458"/>
      <c r="AU57" s="516"/>
      <c r="AV57" s="1479"/>
      <c r="AW57" s="1479"/>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M57" s="1352"/>
      <c r="CN57" s="1352"/>
      <c r="CO57" s="1415" t="str">
        <f>CN55</f>
        <v/>
      </c>
      <c r="CP57" s="1417" t="e">
        <f>CP55</f>
        <v>#N/A</v>
      </c>
      <c r="CR57" s="1386" t="s">
        <v>284</v>
      </c>
      <c r="CS57" s="1353">
        <f>IF(HW55=TRUE,T57,0)</f>
        <v>0</v>
      </c>
      <c r="CT57" s="1353" t="str">
        <f>IF(HW55=TRUE,U57,"")</f>
        <v/>
      </c>
      <c r="CU57" s="1373">
        <f>IF(HW55=TRUE,U58,0)</f>
        <v>0</v>
      </c>
      <c r="CV57" s="1370">
        <f>IF(HW55=TRUE,AB58,0)</f>
        <v>0</v>
      </c>
      <c r="CW57" s="1370">
        <f>IF(HW55=TRUE,AC58,0)</f>
        <v>0</v>
      </c>
      <c r="CX57" s="1371"/>
      <c r="CY57" s="1486"/>
      <c r="CZ57" s="1486"/>
      <c r="DA57" s="1486"/>
      <c r="DC57" s="1353">
        <f>IF(HW55=TRUE,AE57,0)</f>
        <v>0</v>
      </c>
      <c r="DD57" s="1353" t="str">
        <f>IF(HW55=TRUE,AF57,"")</f>
        <v/>
      </c>
      <c r="DE57" s="1373">
        <f>AF58</f>
        <v>0</v>
      </c>
      <c r="DF57" s="1406">
        <f>IFERROR(IF(FL57=3,IK57,IF(FL57=4,IL57,IF(FL57=5,IM57,IF(FL57=6,IN57,IF(FL57=7,IO57,IF(FL57=8,IP57,0)))))),0)</f>
        <v>0</v>
      </c>
      <c r="DG57" s="1370">
        <f>IF(HW55=TRUE,AK57,0)</f>
        <v>0</v>
      </c>
      <c r="DH57" s="1369"/>
      <c r="DK57" s="1483">
        <f>IFERROR(CW57-DG57,0)</f>
        <v>0</v>
      </c>
      <c r="DL57" s="1420"/>
      <c r="DN57" s="1403"/>
      <c r="DO57" s="1477" t="str">
        <f>DN55</f>
        <v/>
      </c>
      <c r="DP57" s="1354"/>
      <c r="DQ57" s="1477" t="str">
        <f>IF(DP55=7,"LLLC","")</f>
        <v/>
      </c>
      <c r="DR57" s="1403"/>
      <c r="DS57" s="1489"/>
      <c r="DU57" s="1403"/>
      <c r="DV57" s="1404" t="str">
        <f>DU55</f>
        <v/>
      </c>
      <c r="DW57" s="1403"/>
      <c r="DX57" s="1403"/>
      <c r="DZ57" s="1481"/>
      <c r="EA57" s="1481"/>
      <c r="EC57" s="1482"/>
      <c r="ED57" s="1369"/>
      <c r="EE57" s="1371"/>
      <c r="EF57" s="1369"/>
      <c r="EG57" s="1369"/>
      <c r="EH57" s="1374"/>
      <c r="EI57" s="1374"/>
      <c r="EJ57" s="1363"/>
      <c r="EK57" s="1376"/>
      <c r="EL57" s="1376"/>
      <c r="EM57" s="1362"/>
      <c r="EN57" s="1362"/>
      <c r="EO57" s="1363"/>
      <c r="EP57" s="1363"/>
      <c r="EQ57" s="1363"/>
      <c r="ES57" s="1403"/>
      <c r="EU57" s="1411" t="e">
        <f>VLOOKUP(CP57,'Space Table'!$B$3:$L$160,8,FALSE)</f>
        <v>#N/A</v>
      </c>
      <c r="EV57" s="1411" t="e">
        <f>IF(EY57="Yes",VLOOKUP(AF57,Lookup_Control_Type_Table2,4,FALSE),VLOOKUP(AF57,Lookup_Control_Type_Table2,3,FALSE))</f>
        <v>#N/A</v>
      </c>
      <c r="EW57" s="1411" t="e">
        <f>VLOOKUP(AF57,Lookup!AU$3:AV$15,2,FALSE)</f>
        <v>#N/A</v>
      </c>
      <c r="EX57" s="1411" t="e">
        <f>VLOOKUP(EU55,Lookup_Control_Type_Table,2,FALSE)</f>
        <v>#N/A</v>
      </c>
      <c r="EY57" s="1411" t="e">
        <f>VLOOKUP(CP57,'Space Table'!$B$3:$L$160,7,FALSE)</f>
        <v>#N/A</v>
      </c>
      <c r="EZ57" s="1413"/>
      <c r="FB57" s="1365" t="str">
        <f>CONCATENATE(CN55," - ",AF57)</f>
        <v xml:space="preserve"> - </v>
      </c>
      <c r="FD57" s="1354"/>
      <c r="FE57" s="1354"/>
      <c r="FF57" s="138"/>
      <c r="FI57" s="1356" t="str">
        <f>IF(CN55="Exterior","Not Daylighted",G58)</f>
        <v>Not Daylighted</v>
      </c>
      <c r="FJ57" s="1356">
        <f>VLOOKUP(FI57,_Daylight_Table_Codes,2,FALSE)</f>
        <v>0</v>
      </c>
      <c r="FK57" s="1365">
        <f>AF57</f>
        <v>0</v>
      </c>
      <c r="FL57" s="1365" t="e">
        <f>VLOOKUP(FK57,_Control_Table,2,FALSE)</f>
        <v>#N/A</v>
      </c>
      <c r="FM57" s="1365" t="e">
        <f>IF(AND(FP57&gt;0,FK57="Occupancy Sensor"),"Daylight + Occupancy",IF(AND(FP57&gt;0,FL57&lt;4),"Interior Daylight Dimming",FK57))</f>
        <v>#N/A</v>
      </c>
      <c r="FO57" s="1364">
        <f>IF(CN55="Interior",VLOOKUP(CP55,Control_Savings_Interior,5,FALSE),0)</f>
        <v>0</v>
      </c>
      <c r="FP57" s="1361">
        <f>IF(CN57="Exterior",0,IF(FJ57=2,0.5,IF(OR(FJ57=1,FJ57=3),1,0)))</f>
        <v>0</v>
      </c>
      <c r="FQ57" s="1366">
        <f>IF(R56&gt;FO$37,(FO57*(FO$37/R56)),FO57)*FP57</f>
        <v>0</v>
      </c>
      <c r="FR57" s="1364">
        <f>DF57</f>
        <v>0</v>
      </c>
      <c r="FS57" s="1364">
        <f>ROUND(FR57+((1-FR57)*FQ57),2)</f>
        <v>0</v>
      </c>
      <c r="FT57" s="1364">
        <f>IF(__Retrofit_TI_NC=2,FS57,FR57)</f>
        <v>0</v>
      </c>
      <c r="FU57" s="1360">
        <f>IF(CO57="Interior",VLOOKUP(CP57,Control_Savings_Interior,4,FALSE),0)</f>
        <v>0</v>
      </c>
      <c r="FW57" s="1352"/>
      <c r="FX57" s="1352"/>
      <c r="FY57" s="1352"/>
      <c r="FZ57" s="1352"/>
      <c r="GA57" s="1352"/>
      <c r="GB57" s="1352"/>
      <c r="GC57" s="1352"/>
      <c r="GD57" s="1352"/>
      <c r="GE57" s="759" t="b">
        <f>IF(ISNUMBER(SEARCH("TLED",U57)),TRUE,FALSE)</f>
        <v>0</v>
      </c>
      <c r="GF57" s="1035" t="str">
        <f>IFERROR(VLOOKUP(U57,Fixtures!DM$93:DR$142,6,FALSE),"")</f>
        <v/>
      </c>
      <c r="GG57" s="1385"/>
      <c r="GI57" s="1383"/>
      <c r="GJ57" s="1379"/>
      <c r="GL57" s="1379"/>
      <c r="GM57" s="1379"/>
      <c r="HC57" s="1379"/>
      <c r="HD57" s="1379"/>
      <c r="HE57" s="1379"/>
      <c r="HF57" s="1379"/>
      <c r="HG57" s="1379"/>
      <c r="HH57" s="1379"/>
      <c r="HI57" s="1383"/>
      <c r="HJ57" s="1383"/>
      <c r="HK57" s="1383"/>
      <c r="HL57" s="1379"/>
      <c r="HM57" s="1379"/>
      <c r="HN57" s="1379"/>
      <c r="HO57" s="1379"/>
      <c r="HP57" s="1379"/>
      <c r="HQ57" s="1379"/>
      <c r="HR57" s="1379"/>
      <c r="HS57" s="1379"/>
      <c r="HT57" s="1379"/>
      <c r="HU57" s="1379"/>
      <c r="HW57" s="1383"/>
      <c r="HX57" s="1384" t="b">
        <f>HW55</f>
        <v>0</v>
      </c>
      <c r="HY57" s="1378"/>
      <c r="HZ57" s="436"/>
      <c r="IA57" s="1386"/>
      <c r="IB57" s="1380">
        <f>IF(IA55=TRUE,AC58,0)</f>
        <v>0</v>
      </c>
      <c r="IC57" s="1379"/>
      <c r="IF57" s="1380" t="e">
        <f>ROUND(T57*AB58*N56*R56/1000,0)</f>
        <v>#VALUE!</v>
      </c>
      <c r="IG57" s="1382"/>
      <c r="IH57" s="1384" t="e">
        <f>ROUND(T57*AB58*N56*R56/1000,0)</f>
        <v>#VALUE!</v>
      </c>
      <c r="II57" s="1382"/>
      <c r="IK57" s="1351" t="e">
        <f>IF($CO57="interior",IL57/2,VLOOKUP($CP57,Control_Savings_Exterior,IK$30,FALSE))</f>
        <v>#N/A</v>
      </c>
      <c r="IL57" s="1351" t="e">
        <f>IF($CO57="interior",VLOOKUP($CP57,Control_Savings_Interior,IL$30,FALSE),VLOOKUP($CP57,Control_Savings_Exterior,IL$30,FALSE))</f>
        <v>#N/A</v>
      </c>
      <c r="IM57" s="1351" t="e">
        <f>IF($CO57="interior",IF(R56&gt;FO$37,(IM$28*(FO$37/R56)),IM$28)*FP57,VLOOKUP($CP57,Control_Savings_Exterior,IM$30,FALSE))</f>
        <v>#N/A</v>
      </c>
      <c r="IN57" s="1351" t="e">
        <f>IF($CO57="interior",ROUND(((1-IL57)*IM57)+IL57,2),VLOOKUP($CP57,Control_Savings_Exterior,IN$30,FALSE))</f>
        <v>#N/A</v>
      </c>
      <c r="IO57" s="1351" t="e">
        <f>IF($CO57="interior", ROUND(((1-IL57)*(IM57*(1-IP$28)))+IP57,2), VLOOKUP($CP57,Control_Savings_Exterior,IO$30,FALSE))</f>
        <v>#N/A</v>
      </c>
      <c r="IP57" s="1351">
        <f>IF($CO57="interior",ROUND(((1-IL57)*IP$28)+IL57,2),0)</f>
        <v>0</v>
      </c>
    </row>
    <row r="58" spans="1:250" s="82" customFormat="1" ht="14.95" customHeight="1" thickTop="1" thickBot="1">
      <c r="B58" s="1421"/>
      <c r="C58" s="1422"/>
      <c r="D58" s="1423"/>
      <c r="E58" s="1462" t="s">
        <v>357</v>
      </c>
      <c r="F58" s="1463"/>
      <c r="G58" s="1464" t="s">
        <v>362</v>
      </c>
      <c r="H58" s="1465"/>
      <c r="I58" s="1465"/>
      <c r="J58" s="1465"/>
      <c r="K58" s="1465"/>
      <c r="L58" s="1466"/>
      <c r="M58" s="669">
        <f>IFERROR(VLOOKUP(G58,_Daylight_Table[],2,FALSE),0)</f>
        <v>0</v>
      </c>
      <c r="N58" s="670"/>
      <c r="O58" s="669" t="e">
        <f>VLOOKUP(G57,'Space Table'!$B$3:$L$160,11,FALSE)</f>
        <v>#N/A</v>
      </c>
      <c r="P58" s="1408"/>
      <c r="Q58" s="1409"/>
      <c r="R58" s="1409"/>
      <c r="S58" s="1402"/>
      <c r="T58" s="671" t="s">
        <v>281</v>
      </c>
      <c r="U58" s="1467" t="str">
        <f>IFERROR(VLOOKUP(U57,Fixtures!DM$93:DP$142,4,FALSE),"")</f>
        <v/>
      </c>
      <c r="V58" s="1468"/>
      <c r="W58" s="1468"/>
      <c r="X58" s="1468"/>
      <c r="Y58" s="1468"/>
      <c r="Z58" s="1468"/>
      <c r="AA58" s="1468"/>
      <c r="AB58" s="1046" t="str">
        <f>IFERROR(VLOOKUP(U57,Fixtures_Proposed_List,2,FALSE),"")</f>
        <v/>
      </c>
      <c r="AC58" s="1036" t="str">
        <f>IFERROR(ROUND(T57*AB58*N56*R56/1000,0),"")</f>
        <v/>
      </c>
      <c r="AD58" s="1037" t="str">
        <f>IFERROR(ROUND(T57*AB58/1000,2),"")</f>
        <v/>
      </c>
      <c r="AE58" s="1045" t="s">
        <v>281</v>
      </c>
      <c r="AF58" s="1469"/>
      <c r="AG58" s="1469"/>
      <c r="AH58" s="1469"/>
      <c r="AI58" s="1469"/>
      <c r="AJ58" s="1476"/>
      <c r="AK58" s="1471"/>
      <c r="AL58" s="1473"/>
      <c r="AM58" s="1443"/>
      <c r="AN58" s="1444"/>
      <c r="AO58" s="1449"/>
      <c r="AP58" s="1449"/>
      <c r="AQ58" s="1450"/>
      <c r="AR58" s="1453"/>
      <c r="AS58" s="1456"/>
      <c r="AT58" s="1459"/>
      <c r="AU58" s="517"/>
      <c r="AV58" s="1480"/>
      <c r="AW58" s="1480"/>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M58" s="1352"/>
      <c r="CN58" s="1352"/>
      <c r="CO58" s="1416"/>
      <c r="CP58" s="1418"/>
      <c r="CR58" s="1386"/>
      <c r="CS58" s="1355"/>
      <c r="CT58" s="1355"/>
      <c r="CU58" s="1375"/>
      <c r="CV58" s="1372"/>
      <c r="CW58" s="1372"/>
      <c r="CX58" s="1372"/>
      <c r="CY58" s="1487"/>
      <c r="CZ58" s="1487"/>
      <c r="DA58" s="1487"/>
      <c r="DC58" s="1355"/>
      <c r="DD58" s="1355"/>
      <c r="DE58" s="1375"/>
      <c r="DF58" s="1407"/>
      <c r="DG58" s="1372"/>
      <c r="DH58" s="1369"/>
      <c r="DK58" s="1484"/>
      <c r="DL58" s="1420"/>
      <c r="DN58" s="1403"/>
      <c r="DO58" s="1405"/>
      <c r="DP58" s="1355"/>
      <c r="DQ58" s="1405"/>
      <c r="DR58" s="1403"/>
      <c r="DS58" s="1489"/>
      <c r="DU58" s="1403"/>
      <c r="DV58" s="1405"/>
      <c r="DW58" s="1403"/>
      <c r="DX58" s="1403"/>
      <c r="DZ58" s="1481"/>
      <c r="EA58" s="1481"/>
      <c r="EC58" s="1482"/>
      <c r="ED58" s="1369"/>
      <c r="EE58" s="1372"/>
      <c r="EF58" s="1369"/>
      <c r="EG58" s="1369"/>
      <c r="EH58" s="1375"/>
      <c r="EI58" s="1375"/>
      <c r="EJ58" s="1363"/>
      <c r="EK58" s="1376"/>
      <c r="EL58" s="1376"/>
      <c r="EM58" s="1362"/>
      <c r="EN58" s="1362"/>
      <c r="EO58" s="1363"/>
      <c r="EP58" s="1363"/>
      <c r="EQ58" s="1363"/>
      <c r="ES58" s="1403"/>
      <c r="EU58" s="1488"/>
      <c r="EV58" s="1488"/>
      <c r="EW58" s="1488"/>
      <c r="EX58" s="1488"/>
      <c r="EY58" s="1488"/>
      <c r="EZ58" s="1414"/>
      <c r="FB58" s="1365"/>
      <c r="FD58" s="1355"/>
      <c r="FE58" s="1355"/>
      <c r="FF58" s="138"/>
      <c r="FI58" s="1357"/>
      <c r="FJ58" s="1357"/>
      <c r="FK58" s="1365"/>
      <c r="FL58" s="1365"/>
      <c r="FM58" s="1365"/>
      <c r="FO58" s="1361"/>
      <c r="FP58" s="1361"/>
      <c r="FQ58" s="1366"/>
      <c r="FR58" s="1361"/>
      <c r="FS58" s="1361"/>
      <c r="FT58" s="1361"/>
      <c r="FU58" s="1360"/>
      <c r="FW58" s="1352"/>
      <c r="FX58" s="1352"/>
      <c r="FY58" s="1352"/>
      <c r="FZ58" s="1352"/>
      <c r="GA58" s="1352"/>
      <c r="GB58" s="1352"/>
      <c r="GC58" s="1352"/>
      <c r="GD58" s="1352"/>
      <c r="GE58" s="759"/>
      <c r="GF58" s="1035"/>
      <c r="GG58" s="1385"/>
      <c r="GJ58" s="1034">
        <f>IF(GJ56=TRUE,0,GJ$16)</f>
        <v>0</v>
      </c>
      <c r="GL58" s="1034">
        <f>IF(GL56=TRUE,0,GL$16)</f>
        <v>36</v>
      </c>
      <c r="GM58" s="1034">
        <f>IF(GM56=TRUE,0,GM$16)</f>
        <v>35</v>
      </c>
      <c r="GN58" s="436"/>
      <c r="GO58" s="436"/>
      <c r="GP58" s="436"/>
      <c r="GQ58" s="436"/>
      <c r="GR58" s="436"/>
      <c r="HC58" s="1034">
        <f t="shared" ref="HC58:HH58" si="26">IF(HC56=TRUE,0,HC$16)</f>
        <v>19</v>
      </c>
      <c r="HD58" s="1034">
        <f t="shared" si="26"/>
        <v>18</v>
      </c>
      <c r="HE58" s="1034">
        <f t="shared" si="26"/>
        <v>17</v>
      </c>
      <c r="HF58" s="1034">
        <f t="shared" si="26"/>
        <v>16</v>
      </c>
      <c r="HG58" s="1034">
        <f t="shared" si="26"/>
        <v>0</v>
      </c>
      <c r="HH58" s="1034">
        <f t="shared" si="26"/>
        <v>0</v>
      </c>
      <c r="HI58" s="1034">
        <f>IF(HI56=TRUE,0,HI$16)</f>
        <v>13</v>
      </c>
      <c r="HJ58" s="1034">
        <f t="shared" ref="HJ58:HL58" si="27">IF(HJ56=TRUE,0,HJ$16)</f>
        <v>12</v>
      </c>
      <c r="HK58" s="1034">
        <f t="shared" si="27"/>
        <v>11</v>
      </c>
      <c r="HL58" s="1034">
        <f t="shared" si="27"/>
        <v>10</v>
      </c>
      <c r="HM58" s="1034">
        <f>IF(HM56=TRUE,0,HM$16)</f>
        <v>9</v>
      </c>
      <c r="HN58" s="1034">
        <f t="shared" ref="HN58:HR58" si="28">IF(HN56=TRUE,0,HN$16)</f>
        <v>0</v>
      </c>
      <c r="HO58" s="1034">
        <f t="shared" si="28"/>
        <v>0</v>
      </c>
      <c r="HP58" s="1034">
        <f t="shared" si="28"/>
        <v>0</v>
      </c>
      <c r="HQ58" s="1034">
        <f t="shared" si="28"/>
        <v>0</v>
      </c>
      <c r="HR58" s="1034">
        <f t="shared" si="28"/>
        <v>0</v>
      </c>
      <c r="HS58" s="1034">
        <f>IF(HS56=TRUE,0,HS$16)</f>
        <v>0</v>
      </c>
      <c r="HT58" s="1034">
        <f t="shared" ref="HT58" si="29">IF(HT56=TRUE,0,HT$16)</f>
        <v>0</v>
      </c>
      <c r="HU58" s="1034">
        <f>IF(HU56=TRUE,0,HU$16)</f>
        <v>1</v>
      </c>
      <c r="HW58" s="1034">
        <f>IF(GL56=FALSE,GL58,IF(GM56=FALSE,GM58,MAX(GJ58:HU58)))</f>
        <v>36</v>
      </c>
      <c r="HX58" s="1383"/>
      <c r="HY58" s="241" t="str">
        <f>VLOOKUP(HW58,_Error_Table,3,FALSE)</f>
        <v xml:space="preserve"> </v>
      </c>
      <c r="HZ58" s="241"/>
      <c r="IA58" s="1386"/>
      <c r="IB58" s="1380"/>
      <c r="IC58" s="1379"/>
      <c r="IF58" s="1380"/>
      <c r="IG58" s="1383"/>
      <c r="IH58" s="1383"/>
      <c r="II58" s="1383"/>
      <c r="IK58" s="1351"/>
      <c r="IL58" s="1351"/>
      <c r="IM58" s="1351"/>
      <c r="IN58" s="1351"/>
      <c r="IO58" s="1351"/>
      <c r="IP58" s="1351"/>
    </row>
    <row r="59" spans="1:250" s="82" customFormat="1" ht="5.0999999999999996" customHeight="1" thickBot="1">
      <c r="B59" s="762"/>
      <c r="C59" s="437"/>
      <c r="D59" s="437"/>
      <c r="E59" s="1490"/>
      <c r="F59" s="1490"/>
      <c r="G59" s="1490"/>
      <c r="H59" s="1490"/>
      <c r="I59" s="1490"/>
      <c r="J59" s="1490"/>
      <c r="K59" s="1490"/>
      <c r="L59" s="1490"/>
      <c r="M59" s="1490"/>
      <c r="N59" s="1490"/>
      <c r="O59" s="1490"/>
      <c r="P59" s="1490"/>
      <c r="Q59" s="1490"/>
      <c r="R59" s="1490"/>
      <c r="S59" s="1490"/>
      <c r="T59" s="1490"/>
      <c r="U59" s="1490"/>
      <c r="V59" s="1490"/>
      <c r="W59" s="1490"/>
      <c r="X59" s="1490"/>
      <c r="Y59" s="1490"/>
      <c r="Z59" s="1490"/>
      <c r="AA59" s="1490"/>
      <c r="AB59" s="1490"/>
      <c r="AC59" s="1490"/>
      <c r="AD59" s="1490"/>
      <c r="AE59" s="1490"/>
      <c r="AF59" s="1490"/>
      <c r="AG59" s="1490"/>
      <c r="AH59" s="1490"/>
      <c r="AI59" s="1490"/>
      <c r="AJ59" s="1490"/>
      <c r="AK59" s="1490"/>
      <c r="AL59" s="1490"/>
      <c r="AM59" s="1490"/>
      <c r="AN59" s="1490"/>
      <c r="AO59" s="1490"/>
      <c r="AP59" s="1490"/>
      <c r="AQ59" s="1490"/>
      <c r="AR59" s="1490"/>
      <c r="AS59" s="1490"/>
      <c r="AT59" s="1490"/>
      <c r="AU59" s="51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M59" s="749"/>
      <c r="CN59" s="749"/>
      <c r="CO59" s="485"/>
      <c r="CP59" s="749"/>
      <c r="CS59" s="436"/>
      <c r="CT59" s="436"/>
      <c r="CU59" s="243"/>
      <c r="CV59" s="244"/>
      <c r="CW59" s="244"/>
      <c r="CX59" s="244"/>
      <c r="CY59" s="245"/>
      <c r="CZ59" s="245"/>
      <c r="DA59" s="245"/>
      <c r="DC59" s="750"/>
      <c r="DD59" s="751"/>
      <c r="DE59" s="752"/>
      <c r="DF59" s="753"/>
      <c r="DG59" s="754"/>
      <c r="DH59" s="754"/>
      <c r="DK59" s="244"/>
      <c r="DL59" s="750"/>
      <c r="DN59" s="750"/>
      <c r="DO59" s="755"/>
      <c r="DP59" s="436"/>
      <c r="DQ59" s="750"/>
      <c r="DR59" s="750"/>
      <c r="DS59" s="750"/>
      <c r="DU59" s="750"/>
      <c r="DV59" s="750"/>
      <c r="DW59" s="750"/>
      <c r="DX59" s="750"/>
      <c r="DZ59" s="756"/>
      <c r="EA59" s="756"/>
      <c r="EC59" s="754"/>
      <c r="ED59" s="754"/>
      <c r="EE59" s="244"/>
      <c r="EF59" s="754"/>
      <c r="EG59" s="754"/>
      <c r="EH59" s="243"/>
      <c r="EI59" s="243"/>
      <c r="EJ59" s="752"/>
      <c r="EK59" s="757"/>
      <c r="EL59" s="757"/>
      <c r="EM59" s="758"/>
      <c r="EN59" s="758"/>
      <c r="EO59" s="752"/>
      <c r="EP59" s="752"/>
      <c r="EQ59" s="752"/>
      <c r="ES59" s="750"/>
      <c r="EU59" s="436"/>
      <c r="EV59" s="436"/>
      <c r="EW59" s="436"/>
      <c r="EX59" s="436"/>
      <c r="EY59" s="436"/>
      <c r="EZ59" s="436"/>
      <c r="FB59" s="643"/>
      <c r="FD59" s="436"/>
      <c r="FE59" s="436"/>
      <c r="FF59" s="436"/>
      <c r="FO59" s="750"/>
      <c r="FP59" s="436"/>
      <c r="FQ59" s="436"/>
      <c r="FR59" s="750"/>
      <c r="FS59" s="750"/>
      <c r="FW59" s="749"/>
      <c r="FX59" s="749"/>
      <c r="FY59" s="749"/>
      <c r="FZ59" s="749"/>
      <c r="GA59" s="749"/>
      <c r="GB59" s="749"/>
      <c r="GC59" s="749"/>
      <c r="GD59" s="749"/>
      <c r="GE59" s="751"/>
      <c r="GF59" s="750"/>
      <c r="GG59" s="750"/>
    </row>
    <row r="60" spans="1:250" s="82" customFormat="1" ht="14.95" customHeight="1" thickTop="1" thickBot="1">
      <c r="B60" s="1421" t="str">
        <f>HY63</f>
        <v xml:space="preserve"> </v>
      </c>
      <c r="C60" s="1422">
        <f>C55+1</f>
        <v>5</v>
      </c>
      <c r="D60" s="1423"/>
      <c r="E60" s="1424" t="s">
        <v>242</v>
      </c>
      <c r="F60" s="1425"/>
      <c r="G60" s="1426"/>
      <c r="H60" s="1427"/>
      <c r="I60" s="1427"/>
      <c r="J60" s="1427"/>
      <c r="K60" s="1427"/>
      <c r="L60" s="1427"/>
      <c r="M60" s="1427"/>
      <c r="N60" s="1427"/>
      <c r="O60" s="1427"/>
      <c r="P60" s="1427"/>
      <c r="Q60" s="1427"/>
      <c r="R60" s="1427"/>
      <c r="S60" s="1428" t="s">
        <v>283</v>
      </c>
      <c r="T60" s="668" t="s">
        <v>190</v>
      </c>
      <c r="U60" s="1430" t="s">
        <v>186</v>
      </c>
      <c r="V60" s="1431"/>
      <c r="W60" s="1431"/>
      <c r="X60" s="1431"/>
      <c r="Y60" s="1431"/>
      <c r="Z60" s="1431"/>
      <c r="AA60" s="1431"/>
      <c r="AB60" s="1088" t="str">
        <f>IFERROR(IF(__Retrofit_TI_NC=0,VLOOKUP(U61,Fixtures_Existing_List,2,FALSE),ROUND(N62*R62/T62,10)),"")</f>
        <v/>
      </c>
      <c r="AC60" s="1039" t="str">
        <f>IFERROR(IF(__Retrofit_TI_NC=0,ROUND(T61*AB60*N61*R61/1000,0),IF(CN60="Interior",N62*R62*R61*N61*_C406_reduction/1000,N62*R62*R61*N61/1000)),"")</f>
        <v/>
      </c>
      <c r="AD60" s="1040" t="str">
        <f>IFERROR(IF(C$36=0,ROUND(T61*AB60/1000,2),N62*R62/1000),"")</f>
        <v/>
      </c>
      <c r="AE60" s="1044" t="s">
        <v>190</v>
      </c>
      <c r="AF60" s="1432" t="str">
        <f>IF(__Retrofit_TI_NC=2,CONCATENATE("Code min = ",DD60),IF(__Retrofit_TI_NC=1,"Emter what you think the existing control was"," Control"))</f>
        <v xml:space="preserve"> Control</v>
      </c>
      <c r="AG60" s="1432"/>
      <c r="AH60" s="1432"/>
      <c r="AI60" s="1432"/>
      <c r="AJ60" s="1433">
        <f>DF60</f>
        <v>0</v>
      </c>
      <c r="AK60" s="1435" t="str">
        <f>IFERROR(ROUND(AJ60*AC60,0),"")</f>
        <v/>
      </c>
      <c r="AL60" s="1437">
        <f>IFERROR(IF(HW60=FALSE,0,AC60-AK60),0)</f>
        <v>0</v>
      </c>
      <c r="AM60" s="1439">
        <f>AL60-AL62</f>
        <v>0</v>
      </c>
      <c r="AN60" s="1440"/>
      <c r="AO60" s="1445">
        <f>IFERROR(IF(HW60=FALSE,0,(T62*U63)+(AE62*AF63)),0)</f>
        <v>0</v>
      </c>
      <c r="AP60" s="1445"/>
      <c r="AQ60" s="1446"/>
      <c r="AR60" s="1451" t="s">
        <v>157</v>
      </c>
      <c r="AS60" s="1454">
        <f>IF(AR60="Yes",1,0)</f>
        <v>1</v>
      </c>
      <c r="AT60" s="1457" t="str">
        <f>IF(OR(DN60=4,DN60=5,DN60=6,DN60=12),CONCATENATE("$",IF(GD60=TRUE,Lookup!$B$11,Lookup!$B$2)," /lamp"),CONCATENATE(EA60,"/ kWh"))</f>
        <v>0/ kWh</v>
      </c>
      <c r="AU60" s="516"/>
      <c r="AV60" s="1478">
        <f>IFERROR(IF(GI61=TRUE,(AB63*T62)/R62,0),"NA")</f>
        <v>0</v>
      </c>
      <c r="AW60" s="1478" t="str">
        <f>IFERROR(N62*_C406_reduction,"NA")</f>
        <v>NA</v>
      </c>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M60" s="1352" t="str">
        <f>N61</f>
        <v/>
      </c>
      <c r="CN60" s="1352" t="str">
        <f>IFERROR(VLOOKUP(G61,_Lookup_Heat_Type_Table_New,3,FALSE),"")</f>
        <v/>
      </c>
      <c r="CO60" s="1415" t="str">
        <f>CN60</f>
        <v/>
      </c>
      <c r="CP60" s="1417" t="e">
        <f>VLOOKUP(G62,'Space Table'!$B$3:$L$160,9,FALSE)</f>
        <v>#N/A</v>
      </c>
      <c r="CR60" s="1386" t="s">
        <v>283</v>
      </c>
      <c r="CS60" s="1353">
        <f>IF(HW60=TRUE,T61,0)</f>
        <v>0</v>
      </c>
      <c r="CT60" s="1353" t="str">
        <f>IF(HW60=TRUE,U61,"")</f>
        <v/>
      </c>
      <c r="CU60" s="1353"/>
      <c r="CV60" s="1370">
        <f>IF(HW60=TRUE,AB60,0)</f>
        <v>0</v>
      </c>
      <c r="CW60" s="1370">
        <f>IF(HW60=TRUE,AC60,0)</f>
        <v>0</v>
      </c>
      <c r="CX60" s="1370">
        <f>IFERROR(IF(HW60=TRUE,CW60-CW62,0),0)</f>
        <v>0</v>
      </c>
      <c r="CY60" s="1485">
        <f>IF(HW60=TRUE,AD60,0)</f>
        <v>0</v>
      </c>
      <c r="CZ60" s="1485">
        <f>IF(HW60=TRUE,AD63,0)</f>
        <v>0</v>
      </c>
      <c r="DA60" s="1485">
        <f>IFERROR(CY60-CZ60,0)</f>
        <v>0</v>
      </c>
      <c r="DC60" s="1353">
        <f>IF(HW60=TRUE,AE61,0)</f>
        <v>0</v>
      </c>
      <c r="DD60" s="1460">
        <f>IF(__Retrofit_TI_NC=2,IF(CN60="Exterior",O63,FM60),FK60)</f>
        <v>0</v>
      </c>
      <c r="DE60" s="1353"/>
      <c r="DF60" s="1406">
        <f>IFERROR(IF(FL60=3,IK60,IF(FL60=4,IL60,IF(FL60=5,IM60,IF(FL60=6,IN60,IF(FL60=7,IO60,IF(FL60=8,IP60,0)))))),0)</f>
        <v>0</v>
      </c>
      <c r="DG60" s="1370">
        <f>IF(HW60=TRUE,AK60,0)</f>
        <v>0</v>
      </c>
      <c r="DH60" s="1369">
        <f>IFERROR(IF(HW60=TRUE,DG62-DG60,0),0)</f>
        <v>0</v>
      </c>
      <c r="DJ60" s="1483">
        <f>IFERROR(CW60-DG60,0)</f>
        <v>0</v>
      </c>
      <c r="DL60" s="1419">
        <f>DJ60-DK62</f>
        <v>0</v>
      </c>
      <c r="DN60" s="1403" t="str">
        <f>IFERROR(IF(AND(OR(FY60=4,FY60=5,FY60=6),OR(GB60=4,GB60=5,GB60=6)),FY60+8,VLOOKUP(CT62,Fixtures!R$31:Y$78,8,FALSE)),"")</f>
        <v/>
      </c>
      <c r="DO60" s="1404" t="str">
        <f>DN60</f>
        <v/>
      </c>
      <c r="DP60" s="1353" t="str">
        <f>IFERROR(VLOOKUP(DD62,Lookup!AU$3:AV$15,2,FALSE),"")</f>
        <v/>
      </c>
      <c r="DQ60" s="1404" t="str">
        <f>IF(DP60=7,"LLLC","")</f>
        <v/>
      </c>
      <c r="DR60" s="1403">
        <f>IFERROR(IF(OR(DN60=4,DN60=5,DN60=6,DN60=12,DN60=13,DN60=14),VLOOKUP(CT62,Fixtures!DN$27:EG$77,19,FALSE),1)*CS62,0)</f>
        <v>0</v>
      </c>
      <c r="DS60" s="1489">
        <f>IF(DP60=7,IF(DD60=DD62,0,DC62),0)</f>
        <v>0</v>
      </c>
      <c r="DU60" s="1403" t="str">
        <f>IFERROR(IF(EW60&lt;EW62,"Yes","No"),"")</f>
        <v/>
      </c>
      <c r="DV60" s="1404" t="str">
        <f>DU60</f>
        <v/>
      </c>
      <c r="DW60" s="1403">
        <f>IF(DU60="Yes",DC62,0)</f>
        <v>0</v>
      </c>
      <c r="DX60" s="1403">
        <f>DW60-DS60</f>
        <v>0</v>
      </c>
      <c r="DZ60" s="1481">
        <f>IFERROR(VLOOKUP(DN60,Lookup!AN$3:AO$16,2,FALSE),0)</f>
        <v>0</v>
      </c>
      <c r="EA60" s="1481">
        <f>IF(HW60=FALSE,0,IF(DU60="Yes",DZ60+Lookup!B$6,DZ60))</f>
        <v>0</v>
      </c>
      <c r="EC60" s="1482">
        <f>IF(HW60=TRUE,DJ60,0)</f>
        <v>0</v>
      </c>
      <c r="ED60" s="1369">
        <f>IF(HW60=TRUE,CW62,0)</f>
        <v>0</v>
      </c>
      <c r="EE60" s="1370">
        <f>IFERROR(EC60-ED60,0)</f>
        <v>0</v>
      </c>
      <c r="EF60" s="1369">
        <f>IF(HW60=TRUE,DG62,0)</f>
        <v>0</v>
      </c>
      <c r="EG60" s="1369">
        <f>IFERROR(EC60-ED60+EF60,0)</f>
        <v>0</v>
      </c>
      <c r="EH60" s="1373">
        <f>IF(HW60=TRUE,CS62*CU62,0)</f>
        <v>0</v>
      </c>
      <c r="EI60" s="1373">
        <f>IF(HW60=TRUE,DC62*DE62,0)</f>
        <v>0</v>
      </c>
      <c r="EJ60" s="1363">
        <f>AO60</f>
        <v>0</v>
      </c>
      <c r="EK60" s="1376" t="str">
        <f>IFERROR(IF(HW60=TRUE,VLOOKUP(DN60,Lookup!AN$3:AP$16,3,FALSE)*DR60,""),0)</f>
        <v/>
      </c>
      <c r="EL60" s="1376">
        <f>IF(HW60=TRUE,DW60*Lookup!AP$12,0)</f>
        <v>0</v>
      </c>
      <c r="EM60" s="1362">
        <f>IFERROR(IF(HW60=TRUE,EK60/EM$33,0),0)</f>
        <v>0</v>
      </c>
      <c r="EN60" s="1362">
        <f>IF(HW60=TRUE,EL60/EN$33,0)</f>
        <v>0</v>
      </c>
      <c r="EO60" s="1363">
        <f>IF(HW60=TRUE,EQ$33*EM60,0)</f>
        <v>0</v>
      </c>
      <c r="EP60" s="1363">
        <f>IF(HW60=TRUE,EQ$33*EN60,0)</f>
        <v>0</v>
      </c>
      <c r="EQ60" s="1363">
        <f>EO60+EP60</f>
        <v>0</v>
      </c>
      <c r="ES60" s="1403">
        <f>IF(G60="",0,1)</f>
        <v>0</v>
      </c>
      <c r="EU60" s="1410" t="e">
        <f>VLOOKUP(CP62,'Space Table'!$B$3:$L$160,8,FALSE)</f>
        <v>#N/A</v>
      </c>
      <c r="EV60" s="1410" t="e">
        <f>IF(EY60="Yes",VLOOKUP(DD60,Lookup_Control_Type_Table2,4,FALSE),VLOOKUP(DD60,Lookup_Control_Type_Table2,3,FALSE))</f>
        <v>#N/A</v>
      </c>
      <c r="EW60" s="1410" t="e">
        <f>VLOOKUP(DD60,Lookup!AU$3:AV$15,2,FALSE)</f>
        <v>#N/A</v>
      </c>
      <c r="EX60" s="1410" t="e">
        <f>VLOOKUP(EU60,Lookup_Control_Type_Table,2,FALSE)</f>
        <v>#N/A</v>
      </c>
      <c r="EY60" s="1410" t="e">
        <f>VLOOKUP(CP62,'Space Table'!$B$3:$L$160,7,FALSE)</f>
        <v>#N/A</v>
      </c>
      <c r="EZ60" s="1412" t="b">
        <f>ISNUMBER(SEARCH("TLED",U62))</f>
        <v>0</v>
      </c>
      <c r="FB60" s="1365" t="str">
        <f>CONCATENATE(CN60," - ",DD60)</f>
        <v xml:space="preserve"> - 0</v>
      </c>
      <c r="FD60" s="1353" t="str">
        <f>VLOOKUP(CT62,Fixtures!DN$27:EZ$77,38,FALSE)</f>
        <v/>
      </c>
      <c r="FE60" s="1353">
        <f>IFERROR(FD60*EE60,0)</f>
        <v>0</v>
      </c>
      <c r="FF60" s="138"/>
      <c r="FI60" s="1356" t="str">
        <f>IF(CN60="Exterior","Not Daylighted",G63)</f>
        <v>Not Daylighted</v>
      </c>
      <c r="FJ60" s="1356">
        <f>VLOOKUP(FI60,_Daylight_Table_Codes,2,FALSE)</f>
        <v>0</v>
      </c>
      <c r="FK60" s="1365">
        <f>IF(__Retrofit_TI_NC=2,VLOOKUP(G62,'Space Table'!$B$3:$L$160,11,FALSE),AF61)</f>
        <v>0</v>
      </c>
      <c r="FL60" s="1365" t="e">
        <f>VLOOKUP(FK60,_Control_Table,2,FALSE)</f>
        <v>#N/A</v>
      </c>
      <c r="FM60" s="1365" t="e">
        <f>IF(AND(FP60&gt;0,FK60="Occupancy Sensor"),"Daylight + Occupancy",IF(AND(FP60&gt;0,FL60&lt;4),"Interior Daylight Dimming",FK60))</f>
        <v>#N/A</v>
      </c>
      <c r="FO60" s="1364">
        <f>IF(CO60="Interior",VLOOKUP(CP60,Control_Savings_Interior,5,FALSE),0)</f>
        <v>0</v>
      </c>
      <c r="FP60" s="1361">
        <f>IF(CN60="Exterior",0,IF(FJ60=2,0.5,IF(OR(FJ60=1,FJ60=3),1,0)))</f>
        <v>0</v>
      </c>
      <c r="FQ60" s="1366"/>
      <c r="FR60" s="1367"/>
      <c r="FS60" s="1364"/>
      <c r="FT60" s="1367"/>
      <c r="FU60" s="1360"/>
      <c r="FW60" s="1352" t="str">
        <f>IFERROR(VLOOKUP(U61,_Exist_Fixture_Table,3,FALSE),"")</f>
        <v/>
      </c>
      <c r="FX60" s="1352" t="str">
        <f>VLOOKUP(CT60,_Exist_Fixture_Table,4,FALSE)</f>
        <v/>
      </c>
      <c r="FY60" s="1352">
        <f>IFERROR(VLOOKUP(FX60,Lookup!AM$6:AN$8,2,FALSE),0)</f>
        <v>0</v>
      </c>
      <c r="FZ60" s="1352" t="b">
        <f>IFERROR(IF(OR(GB60=4,GB60=5,GB60=6),TRUE,FALSE),"")</f>
        <v>0</v>
      </c>
      <c r="GA60" s="1352" t="str">
        <f>IFERROR(VLOOKUP(GB60,FY$6:FZ$10,2,FALSE),"")</f>
        <v/>
      </c>
      <c r="GB60" s="1352" t="str">
        <f>VLOOKUP(CT62,Fixtures!R$31:Y$78,8,FALSE)</f>
        <v/>
      </c>
      <c r="GC60" s="1352">
        <f>IF(AND(FW60=TRUE,FZ60=TRUE,OR(DN60=12,DN60=13,DN60=14)),FY60+8,0)</f>
        <v>0</v>
      </c>
      <c r="GD60" s="1352" t="b">
        <f>IF(OR(GC60=12,GC60=13,GC60=14),TRUE,FALSE)</f>
        <v>0</v>
      </c>
      <c r="GE60" s="759" t="b">
        <f>IF(ISNUMBER(SEARCH("TLED",U61)),TRUE,FALSE)</f>
        <v>0</v>
      </c>
      <c r="GF60" s="1035" t="str">
        <f>IFERROR(VLOOKUP(U61,Fixtures!BM$93:BR$142,6,FALSE),"")</f>
        <v/>
      </c>
      <c r="GG60" s="1385" t="b">
        <f>IF(OR(GE60=FALSE,GE62=FALSE),TRUE,IF(GF60-GF62&lt;5,FALSE,TRUE))</f>
        <v>1</v>
      </c>
      <c r="GK60" s="1034">
        <f>GL60</f>
        <v>0</v>
      </c>
      <c r="GL60" s="1034">
        <f>IF(G60="",0,1)</f>
        <v>0</v>
      </c>
      <c r="GM60" s="1034">
        <f>SUM(GN60:HB60)</f>
        <v>2</v>
      </c>
      <c r="GN60" s="1034">
        <f>IF(G61="",0,1)</f>
        <v>0</v>
      </c>
      <c r="GO60" s="1034">
        <f>IF(G62="",0,1)</f>
        <v>0</v>
      </c>
      <c r="GP60" s="1034">
        <f>IF(R61="",0,1)</f>
        <v>0</v>
      </c>
      <c r="GQ60" s="1034">
        <f>IF(__Retrofit_TI_NC=0,1,IF(R62="",0,1))</f>
        <v>1</v>
      </c>
      <c r="GR60" s="1034">
        <f>IF(CN60="Exterior",1,IF(G63="",0,1))</f>
        <v>1</v>
      </c>
      <c r="GS60" s="1034">
        <f>IF(__Retrofit_TI_NC&lt;&gt;0,1,IF(T61="",0,1))</f>
        <v>0</v>
      </c>
      <c r="GT60" s="1034">
        <f>IF(__Retrofit_TI_NC&lt;&gt;0,1,IF(U61="",0,1))</f>
        <v>0</v>
      </c>
      <c r="GU60" s="1034">
        <f>IF(T62="",0,1)</f>
        <v>0</v>
      </c>
      <c r="GV60" s="1034">
        <f>IF(U62="",0,1)</f>
        <v>0</v>
      </c>
      <c r="GW60" s="1034">
        <f>IF(__Retrofit_TI_NC=2,1,IF(U63="",0,1))</f>
        <v>0</v>
      </c>
      <c r="GX60" s="1034">
        <f>IF(__Retrofit_TI_NC&lt;&gt;0,1,IF(AE61="",0,1))</f>
        <v>0</v>
      </c>
      <c r="GY60" s="1034">
        <f>IF(__Retrofit_TI_NC&lt;&gt;0,1,IF(AF61="",0,1))</f>
        <v>0</v>
      </c>
      <c r="GZ60" s="1034">
        <f>IF(AE62="",0,1)</f>
        <v>0</v>
      </c>
      <c r="HA60" s="1034">
        <f>IF(AF62="",0,1)</f>
        <v>0</v>
      </c>
      <c r="HB60" s="1034">
        <f>IF(__Retrofit_TI_NC=2,1,IF(AF63="",0,1))</f>
        <v>0</v>
      </c>
      <c r="HV60" s="436"/>
      <c r="HW60" s="1384" t="b">
        <f>IF(OR(HW63=0,HW63=HT$16,HW63=HS$16,HW63=HU$16),TRUE,FALSE)</f>
        <v>0</v>
      </c>
      <c r="HX60" s="1377" t="b">
        <f>HW60</f>
        <v>0</v>
      </c>
      <c r="HY60" s="436"/>
      <c r="HZ60" s="436"/>
      <c r="IA60" s="1386" t="b">
        <f>IF(MAX(GJ63:HP63)&gt;5,FALSE,TRUE)</f>
        <v>0</v>
      </c>
      <c r="IB60" s="1380">
        <f>IF(IA60=TRUE,AC60,0)</f>
        <v>0</v>
      </c>
      <c r="IC60" s="1380">
        <f>IB60-IB62</f>
        <v>0</v>
      </c>
      <c r="IF60" s="1380" t="e">
        <f>ROUND(T61*VLOOKUP(U61,Fixtures_Existing_List,2,FALSE)*N61*R61/1000,0)</f>
        <v>#N/A</v>
      </c>
      <c r="IG60" s="1381" t="e">
        <f>IF60-IF62</f>
        <v>#N/A</v>
      </c>
      <c r="IH60" s="1384" t="e">
        <f>ROUND(IF(CN60="Interior",N62*R62*R61*N61*_C406_reduction/1000,N62*R62*R61*N61/1000),0)</f>
        <v>#N/A</v>
      </c>
      <c r="II60" s="1384" t="e">
        <f>IH60-IH62</f>
        <v>#N/A</v>
      </c>
      <c r="IK60" s="1351" t="e">
        <f>IF($CO60="interior",IL60/2,VLOOKUP($CP60,Control_Savings_Exterior,IK$30,FALSE))</f>
        <v>#N/A</v>
      </c>
      <c r="IL60" s="1351" t="e">
        <f>IF($CO60="interior",VLOOKUP($CP60,Control_Savings_Interior,IL$30,FALSE),VLOOKUP($CP60,Control_Savings_Exterior,IL$30,FALSE))</f>
        <v>#N/A</v>
      </c>
      <c r="IM60" s="1351" t="e">
        <f>IF($CO60="interior",IF(R61&gt;FO$37,(IM$28*(FO$37/R61)),IM$28)*FP60,VLOOKUP($CP60,Control_Savings_Exterior,IM$30,FALSE))</f>
        <v>#N/A</v>
      </c>
      <c r="IN60" s="1351" t="e">
        <f>IF($CO60="interior",ROUND(((1-IL60)*IM60)+IL60,2),VLOOKUP($CP60,Control_Savings_Exterior,IN$30,FALSE))</f>
        <v>#N/A</v>
      </c>
      <c r="IO60" s="1351" t="e">
        <f>IF($CO60="interior", ROUND(((1-IL60)*(IM60*(1-IP$28)))+IP60,2), VLOOKUP($CP60,Control_Savings_Exterior,IO$30,FALSE))</f>
        <v>#N/A</v>
      </c>
      <c r="IP60" s="1351">
        <f>IF($CO60="interior",ROUND(((1-IL60)*IP$28)+IL60,2),0)</f>
        <v>0</v>
      </c>
    </row>
    <row r="61" spans="1:250" s="82" customFormat="1" ht="14.95" customHeight="1" thickTop="1" thickBot="1">
      <c r="B61" s="1421"/>
      <c r="C61" s="1422"/>
      <c r="D61" s="1423"/>
      <c r="E61" s="1393" t="s">
        <v>244</v>
      </c>
      <c r="F61" s="1394"/>
      <c r="G61" s="1395"/>
      <c r="H61" s="1395"/>
      <c r="I61" s="1395"/>
      <c r="J61" s="1395"/>
      <c r="K61" s="1395"/>
      <c r="L61" s="1395"/>
      <c r="M61" s="509" t="e">
        <f>IF(__Retrofit_TI_NC&lt;&gt;0,IF(VLOOKUP(G62,'Space Table'!$B$3:$L$160,3,FALSE)&gt;0,1,0),IF(__Retrofit_TI_NC=VLOOKUP(G62,'Space Table'!$B$3:$L$160,3,FALSE),1,0))</f>
        <v>#N/A</v>
      </c>
      <c r="N61" s="509" t="str">
        <f>IFERROR(VLOOKUP(G61,_Lookup_Heat_Type_Table_New,2,FALSE),"")</f>
        <v/>
      </c>
      <c r="O61" s="509">
        <f>IF(__Retrofit_TI_NC=1,CONCATENATE("TI ",G61),IF(__Retrofit_TI_NC=2,CONCATENATE("NC ",G61),G61))</f>
        <v>0</v>
      </c>
      <c r="P61" s="1396" t="s">
        <v>352</v>
      </c>
      <c r="Q61" s="1396"/>
      <c r="R61" s="673"/>
      <c r="S61" s="1429"/>
      <c r="T61" s="675"/>
      <c r="U61" s="1496"/>
      <c r="V61" s="1497"/>
      <c r="W61" s="1497"/>
      <c r="X61" s="1497"/>
      <c r="Y61" s="1497"/>
      <c r="Z61" s="1497"/>
      <c r="AA61" s="1497"/>
      <c r="AB61" s="1497"/>
      <c r="AC61" s="1497"/>
      <c r="AD61" s="1498"/>
      <c r="AE61" s="675"/>
      <c r="AF61" s="1397"/>
      <c r="AG61" s="1397"/>
      <c r="AH61" s="1397"/>
      <c r="AI61" s="1397"/>
      <c r="AJ61" s="1434"/>
      <c r="AK61" s="1436"/>
      <c r="AL61" s="1438"/>
      <c r="AM61" s="1441"/>
      <c r="AN61" s="1442"/>
      <c r="AO61" s="1447"/>
      <c r="AP61" s="1447"/>
      <c r="AQ61" s="1448"/>
      <c r="AR61" s="1452"/>
      <c r="AS61" s="1455"/>
      <c r="AT61" s="1458"/>
      <c r="AU61" s="516"/>
      <c r="AV61" s="1479"/>
      <c r="AW61" s="1479"/>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M61" s="1352"/>
      <c r="CN61" s="1352"/>
      <c r="CO61" s="1416"/>
      <c r="CP61" s="1418"/>
      <c r="CR61" s="1386"/>
      <c r="CS61" s="1355"/>
      <c r="CT61" s="1355"/>
      <c r="CU61" s="1355"/>
      <c r="CV61" s="1372"/>
      <c r="CW61" s="1372"/>
      <c r="CX61" s="1371"/>
      <c r="CY61" s="1486"/>
      <c r="CZ61" s="1486"/>
      <c r="DA61" s="1486"/>
      <c r="DC61" s="1355"/>
      <c r="DD61" s="1461"/>
      <c r="DE61" s="1355"/>
      <c r="DF61" s="1407"/>
      <c r="DG61" s="1372"/>
      <c r="DH61" s="1369"/>
      <c r="DJ61" s="1484"/>
      <c r="DL61" s="1419"/>
      <c r="DN61" s="1403"/>
      <c r="DO61" s="1405"/>
      <c r="DP61" s="1354"/>
      <c r="DQ61" s="1405"/>
      <c r="DR61" s="1403"/>
      <c r="DS61" s="1489"/>
      <c r="DU61" s="1403"/>
      <c r="DV61" s="1405"/>
      <c r="DW61" s="1403"/>
      <c r="DX61" s="1403"/>
      <c r="DZ61" s="1481"/>
      <c r="EA61" s="1481"/>
      <c r="EC61" s="1482"/>
      <c r="ED61" s="1369"/>
      <c r="EE61" s="1371"/>
      <c r="EF61" s="1369"/>
      <c r="EG61" s="1369"/>
      <c r="EH61" s="1374"/>
      <c r="EI61" s="1374"/>
      <c r="EJ61" s="1363"/>
      <c r="EK61" s="1376"/>
      <c r="EL61" s="1376"/>
      <c r="EM61" s="1362"/>
      <c r="EN61" s="1362"/>
      <c r="EO61" s="1363"/>
      <c r="EP61" s="1363"/>
      <c r="EQ61" s="1363"/>
      <c r="ES61" s="1403"/>
      <c r="EU61" s="1411"/>
      <c r="EV61" s="1411"/>
      <c r="EW61" s="1411"/>
      <c r="EX61" s="1411"/>
      <c r="EY61" s="1411"/>
      <c r="EZ61" s="1413"/>
      <c r="FB61" s="1365"/>
      <c r="FD61" s="1354"/>
      <c r="FE61" s="1354"/>
      <c r="FF61" s="138"/>
      <c r="FI61" s="1357"/>
      <c r="FJ61" s="1357"/>
      <c r="FK61" s="1365"/>
      <c r="FL61" s="1365"/>
      <c r="FM61" s="1365"/>
      <c r="FO61" s="1361"/>
      <c r="FP61" s="1361"/>
      <c r="FQ61" s="1366"/>
      <c r="FR61" s="1368"/>
      <c r="FS61" s="1361"/>
      <c r="FT61" s="1368"/>
      <c r="FU61" s="1360"/>
      <c r="FW61" s="1352"/>
      <c r="FX61" s="1352"/>
      <c r="FY61" s="1352"/>
      <c r="FZ61" s="1352"/>
      <c r="GA61" s="1352"/>
      <c r="GB61" s="1352"/>
      <c r="GC61" s="1352"/>
      <c r="GD61" s="1352"/>
      <c r="GE61" s="759"/>
      <c r="GF61" s="1035"/>
      <c r="GG61" s="1385"/>
      <c r="GI61" s="1384" t="b">
        <f>IF(AND(GL61=TRUE,GM61=TRUE),TRUE,FALSE)</f>
        <v>0</v>
      </c>
      <c r="GJ61" s="1379" t="b">
        <f>IFERROR(IF(__Retrofit_TI_NC=2,TRUE,IF(AR60="Yes",TRUE,FALSE)),FALSE)</f>
        <v>1</v>
      </c>
      <c r="GL61" s="1379" t="b">
        <f>IFERROR(IF(GL60=1,TRUE,FALSE),FALSE)</f>
        <v>0</v>
      </c>
      <c r="GM61" s="1379" t="b">
        <f>IFERROR(IF(GM60=GM$14,TRUE,FALSE),FALSE)</f>
        <v>0</v>
      </c>
      <c r="HC61" s="1379" t="b">
        <f>IFERROR(IF(M61=1,TRUE,FALSE),FALSE)</f>
        <v>0</v>
      </c>
      <c r="HD61" s="1379" t="b">
        <f>IFERROR(IF(M62=1,TRUE,FALSE),FALSE)</f>
        <v>0</v>
      </c>
      <c r="HE61" s="1379" t="b">
        <f>IFERROR(IF(__Retrofit_TI_NC&lt;&gt;0,TRUE,IFERROR(IF(VLOOKUP(U61,Fixtures_Existing_List,2,FALSE)&lt;&gt;"",TRUE,FALSE),FALSE)),FALSE)</f>
        <v>0</v>
      </c>
      <c r="HF61" s="1379" t="b">
        <f>IFERROR(IF(VLOOKUP(U62,Fixtures_Proposed_List,2,FALSE)&lt;&gt;"",TRUE,FALSE),FALSE)</f>
        <v>0</v>
      </c>
      <c r="HG61" s="1379" t="b">
        <f>IF(AND(__Retrofit_TI_NC=2,EZ60=TRUE),FALSE,TRUE)</f>
        <v>1</v>
      </c>
      <c r="HH61" s="1379" t="b">
        <f>GG60</f>
        <v>1</v>
      </c>
      <c r="HI61" s="1384" t="b">
        <f>IF(ISERROR(MATCH(FB60,_Control_Match[],0))=TRUE,FALSE,TRUE)</f>
        <v>0</v>
      </c>
      <c r="HJ61" s="1384" t="b">
        <f>IFERROR(IF(EU60&lt;&gt;EV60,FALSE,TRUE),FALSE)</f>
        <v>0</v>
      </c>
      <c r="HK61" s="1384" t="b">
        <f>IFERROR(IF(EU62&lt;&gt;EV62,FALSE,TRUE),FALSE)</f>
        <v>0</v>
      </c>
      <c r="HL61" s="1379" t="b">
        <f>IFERROR(IF(CN60="Exterior",TRUE,IF(OR(AND(FJ60=0,EW62&gt;4),AND(FJ60=4,EW62&gt;4,EW62&lt;7)),FALSE,TRUE)),FALSE)</f>
        <v>0</v>
      </c>
      <c r="HM61" s="1379" t="b">
        <f>IFERROR(IF(AND(FL62=7,EZ60=TRUE),FALSE,TRUE),FALSE)</f>
        <v>0</v>
      </c>
      <c r="HN61" s="1379" t="b">
        <f>IFERROR(IF(AND(T62&lt;&gt;AE62,AF62="Interior LLLC")=TRUE,FALSE,TRUE),FALSE)</f>
        <v>1</v>
      </c>
      <c r="HO61" s="1379" t="b">
        <f>IFERROR(IF(OR(AF62=Lookup!AU$13,AF62=Lookup!AU$14)=TRUE,IF(AE62&gt;T62,FALSE,TRUE),TRUE),FALSE)</f>
        <v>1</v>
      </c>
      <c r="HP61" s="1379" t="b">
        <f>IFERROR(IF(__Retrofit_TI_NC=2,IF(EW62&lt;EW60,FALSE,TRUE),TRUE),FALSE)</f>
        <v>1</v>
      </c>
      <c r="HQ61" s="1379" t="b">
        <f>IF(CN60="Interior",IG$6,TRUE)</f>
        <v>1</v>
      </c>
      <c r="HR61" s="1379" t="b">
        <f>IF(CN60="Exterior",IG$8,TRUE)</f>
        <v>1</v>
      </c>
      <c r="HS61" s="1379" t="b">
        <f>IFERROR(IF(__Retrofit_TI_NC&lt;&gt;0,IF(AW60&lt;AV60,FALSE,TRUE),TRUE),FALSE)</f>
        <v>1</v>
      </c>
      <c r="HT61" s="1379" t="b">
        <f>IFERROR(IF(AND(G61="Exterior",R61&gt;4200),FALSE,TRUE),FALSE)</f>
        <v>1</v>
      </c>
      <c r="HU61" s="1379" t="b">
        <f>IFERROR(IF(AB63/AB60&lt;HU$18,FALSE,TRUE),FALSE)</f>
        <v>0</v>
      </c>
      <c r="HW61" s="1382"/>
      <c r="HX61" s="1378"/>
      <c r="HY61" s="1377" t="str">
        <f>VLOOKUP(HW63,_Error_Table,4,FALSE)</f>
        <v>White</v>
      </c>
      <c r="HZ61" s="436"/>
      <c r="IA61" s="1386"/>
      <c r="IB61" s="1380"/>
      <c r="IC61" s="1379"/>
      <c r="IF61" s="1380"/>
      <c r="IG61" s="1382"/>
      <c r="IH61" s="1382"/>
      <c r="II61" s="1382"/>
      <c r="IK61" s="1351"/>
      <c r="IL61" s="1351"/>
      <c r="IM61" s="1351"/>
      <c r="IN61" s="1351"/>
      <c r="IO61" s="1351"/>
      <c r="IP61" s="1351"/>
    </row>
    <row r="62" spans="1:250" s="82" customFormat="1" ht="14.95" customHeight="1" thickTop="1" thickBot="1">
      <c r="A62" s="82">
        <f>ROW()</f>
        <v>62</v>
      </c>
      <c r="B62" s="1421"/>
      <c r="C62" s="1422"/>
      <c r="D62" s="1423"/>
      <c r="E62" s="1393" t="s">
        <v>245</v>
      </c>
      <c r="F62" s="1394"/>
      <c r="G62" s="1398"/>
      <c r="H62" s="1399"/>
      <c r="I62" s="1399"/>
      <c r="J62" s="1399"/>
      <c r="K62" s="1399"/>
      <c r="L62" s="1400"/>
      <c r="M62" s="509">
        <f>IFERROR(IF(IF(__Retrofit_TI_NC&lt;&gt;0,IF(CN60="Interior",MATCH(G62,Lookup_Interior_New,0),MATCH(G62,Lookup_Exterior_New,0)),IF(CN60="Interior",MATCH(G62,Lookup_Interior,0),MATCH(G62,Lookup_Exterior_Areas,0)))&gt;0,1,0),0)</f>
        <v>0</v>
      </c>
      <c r="N62" s="509" t="e">
        <f>IF(__Retrofit_TI_NC=1,
VLOOKUP(G62,'Space Table'!$B$3:$L$160,4,FALSE),
IF(__Retrofit_TI_NC=2,VLOOKUP(G62,'Space Table'!$B$3:$L$160,5,FALSE),VLOOKUP(G62,'Space Table'!$B$3:$L$160,5,FALSE)))</f>
        <v>#N/A</v>
      </c>
      <c r="O62" s="509">
        <f>G62</f>
        <v>0</v>
      </c>
      <c r="P62" s="1394" t="s">
        <v>355</v>
      </c>
      <c r="Q62" s="1394"/>
      <c r="R62" s="674"/>
      <c r="S62" s="1401" t="s">
        <v>284</v>
      </c>
      <c r="T62" s="672"/>
      <c r="U62" s="1499"/>
      <c r="V62" s="1500"/>
      <c r="W62" s="1500"/>
      <c r="X62" s="1500"/>
      <c r="Y62" s="1500"/>
      <c r="Z62" s="1500"/>
      <c r="AA62" s="1500"/>
      <c r="AB62" s="1501"/>
      <c r="AC62" s="1501"/>
      <c r="AD62" s="1502"/>
      <c r="AE62" s="672"/>
      <c r="AF62" s="1474"/>
      <c r="AG62" s="1474"/>
      <c r="AH62" s="1474"/>
      <c r="AI62" s="1474"/>
      <c r="AJ62" s="1475">
        <f>DF62</f>
        <v>0</v>
      </c>
      <c r="AK62" s="1470" t="str">
        <f>IFERROR(ROUND(AJ62*AC63,0),"")</f>
        <v/>
      </c>
      <c r="AL62" s="1472">
        <f>IFERROR(IF(HW60=FALSE,0,AC63-AK62),0)</f>
        <v>0</v>
      </c>
      <c r="AM62" s="1441"/>
      <c r="AN62" s="1442"/>
      <c r="AO62" s="1447"/>
      <c r="AP62" s="1447"/>
      <c r="AQ62" s="1448"/>
      <c r="AR62" s="1452"/>
      <c r="AS62" s="1455"/>
      <c r="AT62" s="1458"/>
      <c r="AU62" s="516"/>
      <c r="AV62" s="1479"/>
      <c r="AW62" s="1479"/>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M62" s="1352"/>
      <c r="CN62" s="1352"/>
      <c r="CO62" s="1415" t="str">
        <f>CN60</f>
        <v/>
      </c>
      <c r="CP62" s="1417" t="e">
        <f>CP60</f>
        <v>#N/A</v>
      </c>
      <c r="CR62" s="1386" t="s">
        <v>284</v>
      </c>
      <c r="CS62" s="1353">
        <f>IF(HW60=TRUE,T62,0)</f>
        <v>0</v>
      </c>
      <c r="CT62" s="1353" t="str">
        <f>IF(HW60=TRUE,U62,"")</f>
        <v/>
      </c>
      <c r="CU62" s="1373">
        <f>IF(HW60=TRUE,U63,0)</f>
        <v>0</v>
      </c>
      <c r="CV62" s="1370">
        <f>IF(HW60=TRUE,AB63,0)</f>
        <v>0</v>
      </c>
      <c r="CW62" s="1370">
        <f>IF(HW60=TRUE,AC63,0)</f>
        <v>0</v>
      </c>
      <c r="CX62" s="1371"/>
      <c r="CY62" s="1486"/>
      <c r="CZ62" s="1486"/>
      <c r="DA62" s="1486"/>
      <c r="DC62" s="1353">
        <f>IF(HW60=TRUE,AE62,0)</f>
        <v>0</v>
      </c>
      <c r="DD62" s="1353" t="str">
        <f>IF(HW60=TRUE,AF62,"")</f>
        <v/>
      </c>
      <c r="DE62" s="1373">
        <f>AF63</f>
        <v>0</v>
      </c>
      <c r="DF62" s="1406">
        <f>IFERROR(IF(FL62=3,IK62,IF(FL62=4,IL62,IF(FL62=5,IM62,IF(FL62=6,IN62,IF(FL62=7,IO62,IF(FL62=8,IP62,0)))))),0)</f>
        <v>0</v>
      </c>
      <c r="DG62" s="1370">
        <f>IF(HW60=TRUE,AK62,0)</f>
        <v>0</v>
      </c>
      <c r="DH62" s="1369"/>
      <c r="DK62" s="1483">
        <f>IFERROR(CW62-DG62,0)</f>
        <v>0</v>
      </c>
      <c r="DL62" s="1420"/>
      <c r="DN62" s="1403"/>
      <c r="DO62" s="1477" t="str">
        <f>DN60</f>
        <v/>
      </c>
      <c r="DP62" s="1354"/>
      <c r="DQ62" s="1477" t="str">
        <f>IF(DP60=7,"LLLC","")</f>
        <v/>
      </c>
      <c r="DR62" s="1403"/>
      <c r="DS62" s="1489"/>
      <c r="DU62" s="1403"/>
      <c r="DV62" s="1404" t="str">
        <f>DU60</f>
        <v/>
      </c>
      <c r="DW62" s="1403"/>
      <c r="DX62" s="1403"/>
      <c r="DZ62" s="1481"/>
      <c r="EA62" s="1481"/>
      <c r="EC62" s="1482"/>
      <c r="ED62" s="1369"/>
      <c r="EE62" s="1371"/>
      <c r="EF62" s="1369"/>
      <c r="EG62" s="1369"/>
      <c r="EH62" s="1374"/>
      <c r="EI62" s="1374"/>
      <c r="EJ62" s="1363"/>
      <c r="EK62" s="1376"/>
      <c r="EL62" s="1376"/>
      <c r="EM62" s="1362"/>
      <c r="EN62" s="1362"/>
      <c r="EO62" s="1363"/>
      <c r="EP62" s="1363"/>
      <c r="EQ62" s="1363"/>
      <c r="ES62" s="1403"/>
      <c r="EU62" s="1411" t="e">
        <f>VLOOKUP(CP62,'Space Table'!$B$3:$L$160,8,FALSE)</f>
        <v>#N/A</v>
      </c>
      <c r="EV62" s="1411" t="e">
        <f>IF(EY62="Yes",VLOOKUP(AF62,Lookup_Control_Type_Table2,4,FALSE),VLOOKUP(AF62,Lookup_Control_Type_Table2,3,FALSE))</f>
        <v>#N/A</v>
      </c>
      <c r="EW62" s="1411" t="e">
        <f>VLOOKUP(AF62,Lookup!AU$3:AV$15,2,FALSE)</f>
        <v>#N/A</v>
      </c>
      <c r="EX62" s="1411" t="e">
        <f>VLOOKUP(EU60,Lookup_Control_Type_Table,2,FALSE)</f>
        <v>#N/A</v>
      </c>
      <c r="EY62" s="1411" t="e">
        <f>VLOOKUP(CP62,'Space Table'!$B$3:$L$160,7,FALSE)</f>
        <v>#N/A</v>
      </c>
      <c r="EZ62" s="1413"/>
      <c r="FB62" s="1365" t="str">
        <f>CONCATENATE(CN60," - ",AF62)</f>
        <v xml:space="preserve"> - </v>
      </c>
      <c r="FD62" s="1354"/>
      <c r="FE62" s="1354"/>
      <c r="FF62" s="138"/>
      <c r="FI62" s="1356" t="str">
        <f>IF(CN60="Exterior","Not Daylighted",G63)</f>
        <v>Not Daylighted</v>
      </c>
      <c r="FJ62" s="1356">
        <f>VLOOKUP(FI62,_Daylight_Table_Codes,2,FALSE)</f>
        <v>0</v>
      </c>
      <c r="FK62" s="1365">
        <f>AF62</f>
        <v>0</v>
      </c>
      <c r="FL62" s="1365" t="e">
        <f>VLOOKUP(FK62,_Control_Table,2,FALSE)</f>
        <v>#N/A</v>
      </c>
      <c r="FM62" s="1365" t="e">
        <f>IF(AND(FP62&gt;0,FK62="Occupancy Sensor"),"Daylight + Occupancy",IF(AND(FP62&gt;0,FL62&lt;4),"Interior Daylight Dimming",FK62))</f>
        <v>#N/A</v>
      </c>
      <c r="FO62" s="1364">
        <f>IF(CN60="Interior",VLOOKUP(CP60,Control_Savings_Interior,5,FALSE),0)</f>
        <v>0</v>
      </c>
      <c r="FP62" s="1361">
        <f>IF(CN62="Exterior",0,IF(FJ62=2,0.5,IF(OR(FJ62=1,FJ62=3),1,0)))</f>
        <v>0</v>
      </c>
      <c r="FQ62" s="1366">
        <f>IF(R61&gt;FO$37,(FO62*(FO$37/R61)),FO62)*FP62</f>
        <v>0</v>
      </c>
      <c r="FR62" s="1364">
        <f>DF62</f>
        <v>0</v>
      </c>
      <c r="FS62" s="1364">
        <f>ROUND(FR62+((1-FR62)*FQ62),2)</f>
        <v>0</v>
      </c>
      <c r="FT62" s="1364">
        <f>IF(__Retrofit_TI_NC=2,FS62,FR62)</f>
        <v>0</v>
      </c>
      <c r="FU62" s="1360">
        <f>IF(CO62="Interior",VLOOKUP(CP62,Control_Savings_Interior,4,FALSE),0)</f>
        <v>0</v>
      </c>
      <c r="FW62" s="1352"/>
      <c r="FX62" s="1352"/>
      <c r="FY62" s="1352"/>
      <c r="FZ62" s="1352"/>
      <c r="GA62" s="1352"/>
      <c r="GB62" s="1352"/>
      <c r="GC62" s="1352"/>
      <c r="GD62" s="1352"/>
      <c r="GE62" s="759" t="b">
        <f>IF(ISNUMBER(SEARCH("TLED",U62)),TRUE,FALSE)</f>
        <v>0</v>
      </c>
      <c r="GF62" s="1035" t="str">
        <f>IFERROR(VLOOKUP(U62,Fixtures!DM$93:DR$142,6,FALSE),"")</f>
        <v/>
      </c>
      <c r="GG62" s="1385"/>
      <c r="GI62" s="1383"/>
      <c r="GJ62" s="1379"/>
      <c r="GL62" s="1379"/>
      <c r="GM62" s="1379"/>
      <c r="HC62" s="1379"/>
      <c r="HD62" s="1379"/>
      <c r="HE62" s="1379"/>
      <c r="HF62" s="1379"/>
      <c r="HG62" s="1379"/>
      <c r="HH62" s="1379"/>
      <c r="HI62" s="1383"/>
      <c r="HJ62" s="1383"/>
      <c r="HK62" s="1383"/>
      <c r="HL62" s="1379"/>
      <c r="HM62" s="1379"/>
      <c r="HN62" s="1379"/>
      <c r="HO62" s="1379"/>
      <c r="HP62" s="1379"/>
      <c r="HQ62" s="1379"/>
      <c r="HR62" s="1379"/>
      <c r="HS62" s="1379"/>
      <c r="HT62" s="1379"/>
      <c r="HU62" s="1379"/>
      <c r="HW62" s="1383"/>
      <c r="HX62" s="1384" t="b">
        <f>HW60</f>
        <v>0</v>
      </c>
      <c r="HY62" s="1378"/>
      <c r="HZ62" s="436"/>
      <c r="IA62" s="1386"/>
      <c r="IB62" s="1380">
        <f>IF(IA60=TRUE,AC63,0)</f>
        <v>0</v>
      </c>
      <c r="IC62" s="1379"/>
      <c r="IF62" s="1380" t="e">
        <f>ROUND(T62*AB63*N61*R61/1000,0)</f>
        <v>#VALUE!</v>
      </c>
      <c r="IG62" s="1382"/>
      <c r="IH62" s="1384" t="e">
        <f>ROUND(T62*AB63*N61*R61/1000,0)</f>
        <v>#VALUE!</v>
      </c>
      <c r="II62" s="1382"/>
      <c r="IK62" s="1351" t="e">
        <f>IF($CO62="interior",IL62/2,VLOOKUP($CP62,Control_Savings_Exterior,IK$30,FALSE))</f>
        <v>#N/A</v>
      </c>
      <c r="IL62" s="1351" t="e">
        <f>IF($CO62="interior",VLOOKUP($CP62,Control_Savings_Interior,IL$30,FALSE),VLOOKUP($CP62,Control_Savings_Exterior,IL$30,FALSE))</f>
        <v>#N/A</v>
      </c>
      <c r="IM62" s="1351" t="e">
        <f>IF($CO62="interior",IF(R61&gt;FO$37,(IM$28*(FO$37/R61)),IM$28)*FP62,VLOOKUP($CP62,Control_Savings_Exterior,IM$30,FALSE))</f>
        <v>#N/A</v>
      </c>
      <c r="IN62" s="1351" t="e">
        <f>IF($CO62="interior",ROUND(((1-IL62)*IM62)+IL62,2),VLOOKUP($CP62,Control_Savings_Exterior,IN$30,FALSE))</f>
        <v>#N/A</v>
      </c>
      <c r="IO62" s="1351" t="e">
        <f>IF($CO62="interior", ROUND(((1-IL62)*(IM62*(1-IP$28)))+IP62,2), VLOOKUP($CP62,Control_Savings_Exterior,IO$30,FALSE))</f>
        <v>#N/A</v>
      </c>
      <c r="IP62" s="1351">
        <f>IF($CO62="interior",ROUND(((1-IL62)*IP$28)+IL62,2),0)</f>
        <v>0</v>
      </c>
    </row>
    <row r="63" spans="1:250" s="82" customFormat="1" ht="14.95" customHeight="1" thickTop="1" thickBot="1">
      <c r="B63" s="1421"/>
      <c r="C63" s="1422"/>
      <c r="D63" s="1423"/>
      <c r="E63" s="1462" t="s">
        <v>357</v>
      </c>
      <c r="F63" s="1463"/>
      <c r="G63" s="1464" t="s">
        <v>362</v>
      </c>
      <c r="H63" s="1465"/>
      <c r="I63" s="1465"/>
      <c r="J63" s="1465"/>
      <c r="K63" s="1465"/>
      <c r="L63" s="1466"/>
      <c r="M63" s="669">
        <f>IFERROR(VLOOKUP(G63,_Daylight_Table[],2,FALSE),0)</f>
        <v>0</v>
      </c>
      <c r="N63" s="670"/>
      <c r="O63" s="669" t="e">
        <f>VLOOKUP(G62,'Space Table'!$B$3:$L$160,11,FALSE)</f>
        <v>#N/A</v>
      </c>
      <c r="P63" s="1408"/>
      <c r="Q63" s="1409"/>
      <c r="R63" s="1409"/>
      <c r="S63" s="1402"/>
      <c r="T63" s="671" t="s">
        <v>281</v>
      </c>
      <c r="U63" s="1467" t="str">
        <f>IFERROR(VLOOKUP(U62,Fixtures!DM$93:DP$142,4,FALSE),"")</f>
        <v/>
      </c>
      <c r="V63" s="1468"/>
      <c r="W63" s="1468"/>
      <c r="X63" s="1468"/>
      <c r="Y63" s="1468"/>
      <c r="Z63" s="1468"/>
      <c r="AA63" s="1468"/>
      <c r="AB63" s="1046" t="str">
        <f>IFERROR(VLOOKUP(U62,Fixtures_Proposed_List,2,FALSE),"")</f>
        <v/>
      </c>
      <c r="AC63" s="1036" t="str">
        <f>IFERROR(ROUND(T62*AB63*N61*R61/1000,0),"")</f>
        <v/>
      </c>
      <c r="AD63" s="1037" t="str">
        <f>IFERROR(ROUND(T62*AB63/1000,2),"")</f>
        <v/>
      </c>
      <c r="AE63" s="1045" t="s">
        <v>281</v>
      </c>
      <c r="AF63" s="1469"/>
      <c r="AG63" s="1469"/>
      <c r="AH63" s="1469"/>
      <c r="AI63" s="1469"/>
      <c r="AJ63" s="1476"/>
      <c r="AK63" s="1471"/>
      <c r="AL63" s="1473"/>
      <c r="AM63" s="1443"/>
      <c r="AN63" s="1444"/>
      <c r="AO63" s="1449"/>
      <c r="AP63" s="1449"/>
      <c r="AQ63" s="1450"/>
      <c r="AR63" s="1453"/>
      <c r="AS63" s="1456"/>
      <c r="AT63" s="1459"/>
      <c r="AU63" s="517"/>
      <c r="AV63" s="1480"/>
      <c r="AW63" s="1480"/>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M63" s="1352"/>
      <c r="CN63" s="1352"/>
      <c r="CO63" s="1416"/>
      <c r="CP63" s="1418"/>
      <c r="CR63" s="1386"/>
      <c r="CS63" s="1355"/>
      <c r="CT63" s="1355"/>
      <c r="CU63" s="1375"/>
      <c r="CV63" s="1372"/>
      <c r="CW63" s="1372"/>
      <c r="CX63" s="1372"/>
      <c r="CY63" s="1487"/>
      <c r="CZ63" s="1487"/>
      <c r="DA63" s="1487"/>
      <c r="DC63" s="1355"/>
      <c r="DD63" s="1355"/>
      <c r="DE63" s="1375"/>
      <c r="DF63" s="1407"/>
      <c r="DG63" s="1372"/>
      <c r="DH63" s="1369"/>
      <c r="DK63" s="1484"/>
      <c r="DL63" s="1420"/>
      <c r="DN63" s="1403"/>
      <c r="DO63" s="1405"/>
      <c r="DP63" s="1355"/>
      <c r="DQ63" s="1405"/>
      <c r="DR63" s="1403"/>
      <c r="DS63" s="1489"/>
      <c r="DU63" s="1403"/>
      <c r="DV63" s="1405"/>
      <c r="DW63" s="1403"/>
      <c r="DX63" s="1403"/>
      <c r="DZ63" s="1481"/>
      <c r="EA63" s="1481"/>
      <c r="EC63" s="1482"/>
      <c r="ED63" s="1369"/>
      <c r="EE63" s="1372"/>
      <c r="EF63" s="1369"/>
      <c r="EG63" s="1369"/>
      <c r="EH63" s="1375"/>
      <c r="EI63" s="1375"/>
      <c r="EJ63" s="1363"/>
      <c r="EK63" s="1376"/>
      <c r="EL63" s="1376"/>
      <c r="EM63" s="1362"/>
      <c r="EN63" s="1362"/>
      <c r="EO63" s="1363"/>
      <c r="EP63" s="1363"/>
      <c r="EQ63" s="1363"/>
      <c r="ES63" s="1403"/>
      <c r="EU63" s="1488"/>
      <c r="EV63" s="1488"/>
      <c r="EW63" s="1488"/>
      <c r="EX63" s="1488"/>
      <c r="EY63" s="1488"/>
      <c r="EZ63" s="1414"/>
      <c r="FB63" s="1365"/>
      <c r="FD63" s="1355"/>
      <c r="FE63" s="1355"/>
      <c r="FF63" s="138"/>
      <c r="FI63" s="1357"/>
      <c r="FJ63" s="1357"/>
      <c r="FK63" s="1365"/>
      <c r="FL63" s="1365"/>
      <c r="FM63" s="1365"/>
      <c r="FO63" s="1361"/>
      <c r="FP63" s="1361"/>
      <c r="FQ63" s="1366"/>
      <c r="FR63" s="1361"/>
      <c r="FS63" s="1361"/>
      <c r="FT63" s="1361"/>
      <c r="FU63" s="1360"/>
      <c r="FW63" s="1352"/>
      <c r="FX63" s="1352"/>
      <c r="FY63" s="1352"/>
      <c r="FZ63" s="1352"/>
      <c r="GA63" s="1352"/>
      <c r="GB63" s="1352"/>
      <c r="GC63" s="1352"/>
      <c r="GD63" s="1352"/>
      <c r="GE63" s="759"/>
      <c r="GF63" s="1035"/>
      <c r="GG63" s="1385"/>
      <c r="GJ63" s="1034">
        <f>IF(GJ61=TRUE,0,GJ$16)</f>
        <v>0</v>
      </c>
      <c r="GL63" s="1034">
        <f>IF(GL61=TRUE,0,GL$16)</f>
        <v>36</v>
      </c>
      <c r="GM63" s="1034">
        <f>IF(GM61=TRUE,0,GM$16)</f>
        <v>35</v>
      </c>
      <c r="GN63" s="436"/>
      <c r="GO63" s="436"/>
      <c r="GP63" s="436"/>
      <c r="GQ63" s="436"/>
      <c r="GR63" s="436"/>
      <c r="HC63" s="1034">
        <f t="shared" ref="HC63:HH63" si="30">IF(HC61=TRUE,0,HC$16)</f>
        <v>19</v>
      </c>
      <c r="HD63" s="1034">
        <f t="shared" si="30"/>
        <v>18</v>
      </c>
      <c r="HE63" s="1034">
        <f t="shared" si="30"/>
        <v>17</v>
      </c>
      <c r="HF63" s="1034">
        <f t="shared" si="30"/>
        <v>16</v>
      </c>
      <c r="HG63" s="1034">
        <f t="shared" si="30"/>
        <v>0</v>
      </c>
      <c r="HH63" s="1034">
        <f t="shared" si="30"/>
        <v>0</v>
      </c>
      <c r="HI63" s="1034">
        <f>IF(HI61=TRUE,0,HI$16)</f>
        <v>13</v>
      </c>
      <c r="HJ63" s="1034">
        <f t="shared" ref="HJ63:HL63" si="31">IF(HJ61=TRUE,0,HJ$16)</f>
        <v>12</v>
      </c>
      <c r="HK63" s="1034">
        <f t="shared" si="31"/>
        <v>11</v>
      </c>
      <c r="HL63" s="1034">
        <f t="shared" si="31"/>
        <v>10</v>
      </c>
      <c r="HM63" s="1034">
        <f>IF(HM61=TRUE,0,HM$16)</f>
        <v>9</v>
      </c>
      <c r="HN63" s="1034">
        <f t="shared" ref="HN63:HR63" si="32">IF(HN61=TRUE,0,HN$16)</f>
        <v>0</v>
      </c>
      <c r="HO63" s="1034">
        <f t="shared" si="32"/>
        <v>0</v>
      </c>
      <c r="HP63" s="1034">
        <f t="shared" si="32"/>
        <v>0</v>
      </c>
      <c r="HQ63" s="1034">
        <f t="shared" si="32"/>
        <v>0</v>
      </c>
      <c r="HR63" s="1034">
        <f t="shared" si="32"/>
        <v>0</v>
      </c>
      <c r="HS63" s="1034">
        <f>IF(HS61=TRUE,0,HS$16)</f>
        <v>0</v>
      </c>
      <c r="HT63" s="1034">
        <f t="shared" ref="HT63" si="33">IF(HT61=TRUE,0,HT$16)</f>
        <v>0</v>
      </c>
      <c r="HU63" s="1034">
        <f>IF(HU61=TRUE,0,HU$16)</f>
        <v>1</v>
      </c>
      <c r="HW63" s="1034">
        <f>IF(GL61=FALSE,GL63,IF(GM61=FALSE,GM63,MAX(GJ63:HU63)))</f>
        <v>36</v>
      </c>
      <c r="HX63" s="1383"/>
      <c r="HY63" s="241" t="str">
        <f>VLOOKUP(HW63,_Error_Table,3,FALSE)</f>
        <v xml:space="preserve"> </v>
      </c>
      <c r="HZ63" s="241"/>
      <c r="IA63" s="1386"/>
      <c r="IB63" s="1380"/>
      <c r="IC63" s="1379"/>
      <c r="IF63" s="1380"/>
      <c r="IG63" s="1383"/>
      <c r="IH63" s="1383"/>
      <c r="II63" s="1383"/>
      <c r="IK63" s="1351"/>
      <c r="IL63" s="1351"/>
      <c r="IM63" s="1351"/>
      <c r="IN63" s="1351"/>
      <c r="IO63" s="1351"/>
      <c r="IP63" s="1351"/>
    </row>
    <row r="64" spans="1:250" s="82" customFormat="1" ht="5.0999999999999996" customHeight="1" thickBot="1">
      <c r="B64" s="762"/>
      <c r="C64" s="437"/>
      <c r="D64" s="437"/>
      <c r="E64" s="1490"/>
      <c r="F64" s="1490"/>
      <c r="G64" s="1490"/>
      <c r="H64" s="1490"/>
      <c r="I64" s="1490"/>
      <c r="J64" s="1490"/>
      <c r="K64" s="1490"/>
      <c r="L64" s="1490"/>
      <c r="M64" s="1490"/>
      <c r="N64" s="1490"/>
      <c r="O64" s="1490"/>
      <c r="P64" s="1490"/>
      <c r="Q64" s="1490"/>
      <c r="R64" s="1490"/>
      <c r="S64" s="1490"/>
      <c r="T64" s="1490"/>
      <c r="U64" s="1490"/>
      <c r="V64" s="1490"/>
      <c r="W64" s="1490"/>
      <c r="X64" s="1490"/>
      <c r="Y64" s="1490"/>
      <c r="Z64" s="1490"/>
      <c r="AA64" s="1490"/>
      <c r="AB64" s="1490"/>
      <c r="AC64" s="1490"/>
      <c r="AD64" s="1490"/>
      <c r="AE64" s="1490"/>
      <c r="AF64" s="1490"/>
      <c r="AG64" s="1490"/>
      <c r="AH64" s="1490"/>
      <c r="AI64" s="1490"/>
      <c r="AJ64" s="1490"/>
      <c r="AK64" s="1490"/>
      <c r="AL64" s="1490"/>
      <c r="AM64" s="1490"/>
      <c r="AN64" s="1490"/>
      <c r="AO64" s="1490"/>
      <c r="AP64" s="1490"/>
      <c r="AQ64" s="1490"/>
      <c r="AR64" s="1490"/>
      <c r="AS64" s="1490"/>
      <c r="AT64" s="1490"/>
      <c r="AU64" s="51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M64" s="749"/>
      <c r="CN64" s="749"/>
      <c r="CO64" s="485"/>
      <c r="CP64" s="749"/>
      <c r="CS64" s="436"/>
      <c r="CT64" s="436"/>
      <c r="CU64" s="243"/>
      <c r="CV64" s="244"/>
      <c r="CW64" s="244"/>
      <c r="CX64" s="244"/>
      <c r="CY64" s="245"/>
      <c r="CZ64" s="245"/>
      <c r="DA64" s="245"/>
      <c r="DC64" s="750"/>
      <c r="DD64" s="751"/>
      <c r="DE64" s="752"/>
      <c r="DF64" s="753"/>
      <c r="DG64" s="754"/>
      <c r="DH64" s="754"/>
      <c r="DK64" s="244"/>
      <c r="DL64" s="750"/>
      <c r="DN64" s="750"/>
      <c r="DO64" s="755"/>
      <c r="DP64" s="436"/>
      <c r="DQ64" s="750"/>
      <c r="DR64" s="750"/>
      <c r="DS64" s="750"/>
      <c r="DU64" s="750"/>
      <c r="DV64" s="750"/>
      <c r="DW64" s="750"/>
      <c r="DX64" s="750"/>
      <c r="DZ64" s="756"/>
      <c r="EA64" s="756"/>
      <c r="EC64" s="754"/>
      <c r="ED64" s="754"/>
      <c r="EE64" s="244"/>
      <c r="EF64" s="754"/>
      <c r="EG64" s="754"/>
      <c r="EH64" s="243"/>
      <c r="EI64" s="243"/>
      <c r="EJ64" s="752"/>
      <c r="EK64" s="757"/>
      <c r="EL64" s="757"/>
      <c r="EM64" s="758"/>
      <c r="EN64" s="758"/>
      <c r="EO64" s="752"/>
      <c r="EP64" s="752"/>
      <c r="EQ64" s="752"/>
      <c r="ES64" s="750"/>
      <c r="EU64" s="436"/>
      <c r="EV64" s="436"/>
      <c r="EW64" s="436"/>
      <c r="EX64" s="436"/>
      <c r="EY64" s="436"/>
      <c r="EZ64" s="436"/>
      <c r="FB64" s="643"/>
      <c r="FD64" s="436"/>
      <c r="FE64" s="436"/>
      <c r="FF64" s="436"/>
      <c r="FO64" s="750"/>
      <c r="FP64" s="436"/>
      <c r="FQ64" s="436"/>
      <c r="FR64" s="750"/>
      <c r="FS64" s="750"/>
      <c r="FW64" s="749"/>
      <c r="FX64" s="749"/>
      <c r="FY64" s="749"/>
      <c r="FZ64" s="749"/>
      <c r="GA64" s="749"/>
      <c r="GB64" s="749"/>
      <c r="GC64" s="749"/>
      <c r="GD64" s="749"/>
      <c r="GE64" s="751"/>
      <c r="GF64" s="750"/>
      <c r="GG64" s="750"/>
    </row>
    <row r="65" spans="1:250" s="82" customFormat="1" ht="14.95" customHeight="1" thickTop="1" thickBot="1">
      <c r="B65" s="1421" t="str">
        <f>HY68</f>
        <v xml:space="preserve"> </v>
      </c>
      <c r="C65" s="1422">
        <f>C60+1</f>
        <v>6</v>
      </c>
      <c r="D65" s="1423"/>
      <c r="E65" s="1424" t="s">
        <v>242</v>
      </c>
      <c r="F65" s="1425"/>
      <c r="G65" s="1426"/>
      <c r="H65" s="1427"/>
      <c r="I65" s="1427"/>
      <c r="J65" s="1427"/>
      <c r="K65" s="1427"/>
      <c r="L65" s="1427"/>
      <c r="M65" s="1427"/>
      <c r="N65" s="1427"/>
      <c r="O65" s="1427"/>
      <c r="P65" s="1427"/>
      <c r="Q65" s="1427"/>
      <c r="R65" s="1427"/>
      <c r="S65" s="1428" t="s">
        <v>283</v>
      </c>
      <c r="T65" s="668" t="s">
        <v>190</v>
      </c>
      <c r="U65" s="1430" t="s">
        <v>186</v>
      </c>
      <c r="V65" s="1431"/>
      <c r="W65" s="1431"/>
      <c r="X65" s="1431"/>
      <c r="Y65" s="1431"/>
      <c r="Z65" s="1431"/>
      <c r="AA65" s="1431"/>
      <c r="AB65" s="1088" t="str">
        <f>IFERROR(IF(__Retrofit_TI_NC=0,VLOOKUP(U66,Fixtures_Existing_List,2,FALSE),ROUND(N67*R67/T67,10)),"")</f>
        <v/>
      </c>
      <c r="AC65" s="1039" t="str">
        <f>IFERROR(IF(__Retrofit_TI_NC=0,ROUND(T66*AB65*N66*R66/1000,0),IF(CN65="Interior",N67*R67*R66*N66*_C406_reduction/1000,N67*R67*R66*N66/1000)),"")</f>
        <v/>
      </c>
      <c r="AD65" s="1040" t="str">
        <f>IFERROR(IF(C$36=0,ROUND(T66*AB65/1000,2),N67*R67/1000),"")</f>
        <v/>
      </c>
      <c r="AE65" s="1044" t="s">
        <v>190</v>
      </c>
      <c r="AF65" s="1432" t="str">
        <f>IF(__Retrofit_TI_NC=2,CONCATENATE("Code min = ",DD65),IF(__Retrofit_TI_NC=1,"Emter what you think the existing control was"," Control"))</f>
        <v xml:space="preserve"> Control</v>
      </c>
      <c r="AG65" s="1432"/>
      <c r="AH65" s="1432"/>
      <c r="AI65" s="1432"/>
      <c r="AJ65" s="1433">
        <f>DF65</f>
        <v>0</v>
      </c>
      <c r="AK65" s="1435" t="str">
        <f>IFERROR(ROUND(AJ65*AC65,0),"")</f>
        <v/>
      </c>
      <c r="AL65" s="1437">
        <f>IFERROR(IF(HW65=FALSE,0,AC65-AK65),0)</f>
        <v>0</v>
      </c>
      <c r="AM65" s="1439">
        <f>AL65-AL67</f>
        <v>0</v>
      </c>
      <c r="AN65" s="1440"/>
      <c r="AO65" s="1445">
        <f>IFERROR(IF(HW65=FALSE,0,(T67*U68)+(AE67*AF68)),0)</f>
        <v>0</v>
      </c>
      <c r="AP65" s="1445"/>
      <c r="AQ65" s="1446"/>
      <c r="AR65" s="1451" t="s">
        <v>157</v>
      </c>
      <c r="AS65" s="1454">
        <f>IF(AR65="Yes",1,0)</f>
        <v>1</v>
      </c>
      <c r="AT65" s="1457" t="str">
        <f>IF(OR(DN65=4,DN65=5,DN65=6,DN65=12),CONCATENATE("$",IF(GD65=TRUE,Lookup!$B$11,Lookup!$B$2)," /lamp"),CONCATENATE(EA65,"/ kWh"))</f>
        <v>0/ kWh</v>
      </c>
      <c r="AU65" s="516"/>
      <c r="AV65" s="1478">
        <f>IFERROR(IF(GI66=TRUE,(AB68*T67)/R67,0),"NA")</f>
        <v>0</v>
      </c>
      <c r="AW65" s="1478" t="str">
        <f>IFERROR(N67*_C406_reduction,"NA")</f>
        <v>NA</v>
      </c>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M65" s="1352" t="str">
        <f>N66</f>
        <v/>
      </c>
      <c r="CN65" s="1352" t="str">
        <f>IFERROR(VLOOKUP(G66,_Lookup_Heat_Type_Table_New,3,FALSE),"")</f>
        <v/>
      </c>
      <c r="CO65" s="1415" t="str">
        <f>CN65</f>
        <v/>
      </c>
      <c r="CP65" s="1417" t="e">
        <f>VLOOKUP(G67,'Space Table'!$B$3:$L$160,9,FALSE)</f>
        <v>#N/A</v>
      </c>
      <c r="CR65" s="1386" t="s">
        <v>283</v>
      </c>
      <c r="CS65" s="1353">
        <f>IF(HW65=TRUE,T66,0)</f>
        <v>0</v>
      </c>
      <c r="CT65" s="1353" t="str">
        <f>IF(HW65=TRUE,U66,"")</f>
        <v/>
      </c>
      <c r="CU65" s="1353"/>
      <c r="CV65" s="1370">
        <f>IF(HW65=TRUE,AB65,0)</f>
        <v>0</v>
      </c>
      <c r="CW65" s="1370">
        <f>IF(HW65=TRUE,AC65,0)</f>
        <v>0</v>
      </c>
      <c r="CX65" s="1370">
        <f>IFERROR(IF(HW65=TRUE,CW65-CW67,0),0)</f>
        <v>0</v>
      </c>
      <c r="CY65" s="1485">
        <f>IF(HW65=TRUE,AD65,0)</f>
        <v>0</v>
      </c>
      <c r="CZ65" s="1485">
        <f>IF(HW65=TRUE,AD68,0)</f>
        <v>0</v>
      </c>
      <c r="DA65" s="1485">
        <f>IFERROR(CY65-CZ65,0)</f>
        <v>0</v>
      </c>
      <c r="DC65" s="1353">
        <f>IF(HW65=TRUE,AE66,0)</f>
        <v>0</v>
      </c>
      <c r="DD65" s="1460">
        <f>IF(__Retrofit_TI_NC=2,IF(CN65="Exterior",O68,FM65),FK65)</f>
        <v>0</v>
      </c>
      <c r="DE65" s="1353"/>
      <c r="DF65" s="1406">
        <f>IFERROR(IF(FL65=3,IK65,IF(FL65=4,IL65,IF(FL65=5,IM65,IF(FL65=6,IN65,IF(FL65=7,IO65,IF(FL65=8,IP65,0)))))),0)</f>
        <v>0</v>
      </c>
      <c r="DG65" s="1370">
        <f>IF(HW65=TRUE,AK65,0)</f>
        <v>0</v>
      </c>
      <c r="DH65" s="1369">
        <f>IFERROR(IF(HW65=TRUE,DG67-DG65,0),0)</f>
        <v>0</v>
      </c>
      <c r="DJ65" s="1483">
        <f>IFERROR(CW65-DG65,0)</f>
        <v>0</v>
      </c>
      <c r="DL65" s="1419">
        <f>DJ65-DK67</f>
        <v>0</v>
      </c>
      <c r="DN65" s="1403" t="str">
        <f>IFERROR(IF(AND(OR(FY65=4,FY65=5,FY65=6),OR(GB65=4,GB65=5,GB65=6)),FY65+8,VLOOKUP(CT67,Fixtures!R$31:Y$78,8,FALSE)),"")</f>
        <v/>
      </c>
      <c r="DO65" s="1404" t="str">
        <f>DN65</f>
        <v/>
      </c>
      <c r="DP65" s="1353" t="str">
        <f>IFERROR(VLOOKUP(DD67,Lookup!AU$3:AV$15,2,FALSE),"")</f>
        <v/>
      </c>
      <c r="DQ65" s="1404" t="str">
        <f>IF(DP65=7,"LLLC","")</f>
        <v/>
      </c>
      <c r="DR65" s="1403">
        <f>IFERROR(IF(OR(DN65=4,DN65=5,DN65=6,DN65=12,DN65=13,DN65=14),VLOOKUP(CT67,Fixtures!DN$27:EG$77,19,FALSE),1)*CS67,0)</f>
        <v>0</v>
      </c>
      <c r="DS65" s="1489">
        <f>IF(DP65=7,IF(DD65=DD67,0,DC67),0)</f>
        <v>0</v>
      </c>
      <c r="DU65" s="1403" t="str">
        <f>IFERROR(IF(EW65&lt;EW67,"Yes","No"),"")</f>
        <v/>
      </c>
      <c r="DV65" s="1404" t="str">
        <f>DU65</f>
        <v/>
      </c>
      <c r="DW65" s="1403">
        <f>IF(DU65="Yes",DC67,0)</f>
        <v>0</v>
      </c>
      <c r="DX65" s="1403">
        <f>DW65-DS65</f>
        <v>0</v>
      </c>
      <c r="DZ65" s="1481">
        <f>IFERROR(VLOOKUP(DN65,Lookup!AN$3:AO$16,2,FALSE),0)</f>
        <v>0</v>
      </c>
      <c r="EA65" s="1481">
        <f>IF(HW65=FALSE,0,IF(DU65="Yes",DZ65+Lookup!B$6,DZ65))</f>
        <v>0</v>
      </c>
      <c r="EC65" s="1482">
        <f>IF(HW65=TRUE,DJ65,0)</f>
        <v>0</v>
      </c>
      <c r="ED65" s="1369">
        <f>IF(HW65=TRUE,CW67,0)</f>
        <v>0</v>
      </c>
      <c r="EE65" s="1370">
        <f>IFERROR(EC65-ED65,0)</f>
        <v>0</v>
      </c>
      <c r="EF65" s="1369">
        <f>IF(HW65=TRUE,DG67,0)</f>
        <v>0</v>
      </c>
      <c r="EG65" s="1369">
        <f>IFERROR(EC65-ED65+EF65,0)</f>
        <v>0</v>
      </c>
      <c r="EH65" s="1373">
        <f>IF(HW65=TRUE,CS67*CU67,0)</f>
        <v>0</v>
      </c>
      <c r="EI65" s="1373">
        <f>IF(HW65=TRUE,DC67*DE67,0)</f>
        <v>0</v>
      </c>
      <c r="EJ65" s="1363">
        <f>AO65</f>
        <v>0</v>
      </c>
      <c r="EK65" s="1376" t="str">
        <f>IFERROR(IF(HW65=TRUE,VLOOKUP(DN65,Lookup!AN$3:AP$16,3,FALSE)*DR65,""),0)</f>
        <v/>
      </c>
      <c r="EL65" s="1376">
        <f>IF(HW65=TRUE,DW65*Lookup!AP$12,0)</f>
        <v>0</v>
      </c>
      <c r="EM65" s="1362">
        <f>IFERROR(IF(HW65=TRUE,EK65/EM$33,0),0)</f>
        <v>0</v>
      </c>
      <c r="EN65" s="1362">
        <f>IF(HW65=TRUE,EL65/EN$33,0)</f>
        <v>0</v>
      </c>
      <c r="EO65" s="1363">
        <f>IF(HW65=TRUE,EQ$33*EM65,0)</f>
        <v>0</v>
      </c>
      <c r="EP65" s="1363">
        <f>IF(HW65=TRUE,EQ$33*EN65,0)</f>
        <v>0</v>
      </c>
      <c r="EQ65" s="1363">
        <f>EO65+EP65</f>
        <v>0</v>
      </c>
      <c r="ES65" s="1403">
        <f>IF(G65="",0,1)</f>
        <v>0</v>
      </c>
      <c r="EU65" s="1410" t="e">
        <f>VLOOKUP(CP67,'Space Table'!$B$3:$L$160,8,FALSE)</f>
        <v>#N/A</v>
      </c>
      <c r="EV65" s="1410" t="e">
        <f>IF(EY65="Yes",VLOOKUP(DD65,Lookup_Control_Type_Table2,4,FALSE),VLOOKUP(DD65,Lookup_Control_Type_Table2,3,FALSE))</f>
        <v>#N/A</v>
      </c>
      <c r="EW65" s="1410" t="e">
        <f>VLOOKUP(DD65,Lookup!AU$3:AV$15,2,FALSE)</f>
        <v>#N/A</v>
      </c>
      <c r="EX65" s="1410" t="e">
        <f>VLOOKUP(EU65,Lookup_Control_Type_Table,2,FALSE)</f>
        <v>#N/A</v>
      </c>
      <c r="EY65" s="1410" t="e">
        <f>VLOOKUP(CP67,'Space Table'!$B$3:$L$160,7,FALSE)</f>
        <v>#N/A</v>
      </c>
      <c r="EZ65" s="1412" t="b">
        <f>ISNUMBER(SEARCH("TLED",U67))</f>
        <v>0</v>
      </c>
      <c r="FB65" s="1365" t="str">
        <f>CONCATENATE(CN65," - ",DD65)</f>
        <v xml:space="preserve"> - 0</v>
      </c>
      <c r="FD65" s="1353" t="str">
        <f>VLOOKUP(CT67,Fixtures!DN$27:EZ$77,38,FALSE)</f>
        <v/>
      </c>
      <c r="FE65" s="1353">
        <f>IFERROR(FD65*EE65,0)</f>
        <v>0</v>
      </c>
      <c r="FF65" s="138"/>
      <c r="FI65" s="1356" t="str">
        <f>IF(CN65="Exterior","Not Daylighted",G68)</f>
        <v>Not Daylighted</v>
      </c>
      <c r="FJ65" s="1356">
        <f>VLOOKUP(FI65,_Daylight_Table_Codes,2,FALSE)</f>
        <v>0</v>
      </c>
      <c r="FK65" s="1365">
        <f>IF(__Retrofit_TI_NC=2,VLOOKUP(G67,'Space Table'!$B$3:$L$160,11,FALSE),AF66)</f>
        <v>0</v>
      </c>
      <c r="FL65" s="1365" t="e">
        <f>VLOOKUP(FK65,_Control_Table,2,FALSE)</f>
        <v>#N/A</v>
      </c>
      <c r="FM65" s="1365" t="e">
        <f>IF(AND(FP65&gt;0,FK65="Occupancy Sensor"),"Daylight + Occupancy",IF(AND(FP65&gt;0,FL65&lt;4),"Interior Daylight Dimming",FK65))</f>
        <v>#N/A</v>
      </c>
      <c r="FO65" s="1364">
        <f>IF(CO65="Interior",VLOOKUP(CP65,Control_Savings_Interior,5,FALSE),0)</f>
        <v>0</v>
      </c>
      <c r="FP65" s="1361">
        <f>IF(CN65="Exterior",0,IF(FJ65=2,0.5,IF(OR(FJ65=1,FJ65=3),1,0)))</f>
        <v>0</v>
      </c>
      <c r="FQ65" s="1366"/>
      <c r="FR65" s="1367"/>
      <c r="FS65" s="1364"/>
      <c r="FT65" s="1367"/>
      <c r="FU65" s="1360"/>
      <c r="FW65" s="1352" t="str">
        <f>IFERROR(VLOOKUP(U66,_Exist_Fixture_Table,3,FALSE),"")</f>
        <v/>
      </c>
      <c r="FX65" s="1352" t="str">
        <f>VLOOKUP(CT65,_Exist_Fixture_Table,4,FALSE)</f>
        <v/>
      </c>
      <c r="FY65" s="1352">
        <f>IFERROR(VLOOKUP(FX65,Lookup!AM$6:AN$8,2,FALSE),0)</f>
        <v>0</v>
      </c>
      <c r="FZ65" s="1352" t="b">
        <f>IFERROR(IF(OR(GB65=4,GB65=5,GB65=6),TRUE,FALSE),"")</f>
        <v>0</v>
      </c>
      <c r="GA65" s="1352" t="str">
        <f>IFERROR(VLOOKUP(GB65,FY$6:FZ$10,2,FALSE),"")</f>
        <v/>
      </c>
      <c r="GB65" s="1352" t="str">
        <f>VLOOKUP(CT67,Fixtures!R$31:Y$78,8,FALSE)</f>
        <v/>
      </c>
      <c r="GC65" s="1352">
        <f>IF(AND(FW65=TRUE,FZ65=TRUE,OR(DN65=12,DN65=13,DN65=14)),FY65+8,0)</f>
        <v>0</v>
      </c>
      <c r="GD65" s="1352" t="b">
        <f>IF(OR(GC65=12,GC65=13,GC65=14),TRUE,FALSE)</f>
        <v>0</v>
      </c>
      <c r="GE65" s="759" t="b">
        <f>IF(ISNUMBER(SEARCH("TLED",U66)),TRUE,FALSE)</f>
        <v>0</v>
      </c>
      <c r="GF65" s="1035" t="str">
        <f>IFERROR(VLOOKUP(U66,Fixtures!BM$93:BR$142,6,FALSE),"")</f>
        <v/>
      </c>
      <c r="GG65" s="1385" t="b">
        <f>IF(OR(GE65=FALSE,GE67=FALSE),TRUE,IF(GF65-GF67&lt;5,FALSE,TRUE))</f>
        <v>1</v>
      </c>
      <c r="GK65" s="1034">
        <f>GL65</f>
        <v>0</v>
      </c>
      <c r="GL65" s="1034">
        <f>IF(G65="",0,1)</f>
        <v>0</v>
      </c>
      <c r="GM65" s="1034">
        <f>SUM(GN65:HB65)</f>
        <v>2</v>
      </c>
      <c r="GN65" s="1034">
        <f>IF(G66="",0,1)</f>
        <v>0</v>
      </c>
      <c r="GO65" s="1034">
        <f>IF(G67="",0,1)</f>
        <v>0</v>
      </c>
      <c r="GP65" s="1034">
        <f>IF(R66="",0,1)</f>
        <v>0</v>
      </c>
      <c r="GQ65" s="1034">
        <f>IF(__Retrofit_TI_NC=0,1,IF(R67="",0,1))</f>
        <v>1</v>
      </c>
      <c r="GR65" s="1034">
        <f>IF(CN65="Exterior",1,IF(G68="",0,1))</f>
        <v>1</v>
      </c>
      <c r="GS65" s="1034">
        <f>IF(__Retrofit_TI_NC&lt;&gt;0,1,IF(T66="",0,1))</f>
        <v>0</v>
      </c>
      <c r="GT65" s="1034">
        <f>IF(__Retrofit_TI_NC&lt;&gt;0,1,IF(U66="",0,1))</f>
        <v>0</v>
      </c>
      <c r="GU65" s="1034">
        <f>IF(T67="",0,1)</f>
        <v>0</v>
      </c>
      <c r="GV65" s="1034">
        <f>IF(U67="",0,1)</f>
        <v>0</v>
      </c>
      <c r="GW65" s="1034">
        <f>IF(__Retrofit_TI_NC=2,1,IF(U68="",0,1))</f>
        <v>0</v>
      </c>
      <c r="GX65" s="1034">
        <f>IF(__Retrofit_TI_NC&lt;&gt;0,1,IF(AE66="",0,1))</f>
        <v>0</v>
      </c>
      <c r="GY65" s="1034">
        <f>IF(__Retrofit_TI_NC&lt;&gt;0,1,IF(AF66="",0,1))</f>
        <v>0</v>
      </c>
      <c r="GZ65" s="1034">
        <f>IF(AE67="",0,1)</f>
        <v>0</v>
      </c>
      <c r="HA65" s="1034">
        <f>IF(AF67="",0,1)</f>
        <v>0</v>
      </c>
      <c r="HB65" s="1034">
        <f>IF(__Retrofit_TI_NC=2,1,IF(AF68="",0,1))</f>
        <v>0</v>
      </c>
      <c r="HV65" s="436"/>
      <c r="HW65" s="1384" t="b">
        <f>IF(OR(HW68=0,HW68=HT$16,HW68=HS$16,HW68=HU$16),TRUE,FALSE)</f>
        <v>0</v>
      </c>
      <c r="HX65" s="1377" t="b">
        <f>HW65</f>
        <v>0</v>
      </c>
      <c r="HY65" s="436"/>
      <c r="HZ65" s="436"/>
      <c r="IA65" s="1386" t="b">
        <f>IF(MAX(GJ68:HP68)&gt;5,FALSE,TRUE)</f>
        <v>0</v>
      </c>
      <c r="IB65" s="1380">
        <f>IF(IA65=TRUE,AC65,0)</f>
        <v>0</v>
      </c>
      <c r="IC65" s="1380">
        <f>IB65-IB67</f>
        <v>0</v>
      </c>
      <c r="IF65" s="1380" t="e">
        <f>ROUND(T66*VLOOKUP(U66,Fixtures_Existing_List,2,FALSE)*N66*R66/1000,0)</f>
        <v>#N/A</v>
      </c>
      <c r="IG65" s="1381" t="e">
        <f>IF65-IF67</f>
        <v>#N/A</v>
      </c>
      <c r="IH65" s="1384" t="e">
        <f>ROUND(IF(CN65="Interior",N67*R67*R66*N66*_C406_reduction/1000,N67*R67*R66*N66/1000),0)</f>
        <v>#N/A</v>
      </c>
      <c r="II65" s="1384" t="e">
        <f>IH65-IH67</f>
        <v>#N/A</v>
      </c>
      <c r="IK65" s="1351" t="e">
        <f>IF($CO65="interior",IL65/2,VLOOKUP($CP65,Control_Savings_Exterior,IK$30,FALSE))</f>
        <v>#N/A</v>
      </c>
      <c r="IL65" s="1351" t="e">
        <f>IF($CO65="interior",VLOOKUP($CP65,Control_Savings_Interior,IL$30,FALSE),VLOOKUP($CP65,Control_Savings_Exterior,IL$30,FALSE))</f>
        <v>#N/A</v>
      </c>
      <c r="IM65" s="1351" t="e">
        <f>IF($CO65="interior",IF(R66&gt;FO$37,(IM$28*(FO$37/R66)),IM$28)*FP65,VLOOKUP($CP65,Control_Savings_Exterior,IM$30,FALSE))</f>
        <v>#N/A</v>
      </c>
      <c r="IN65" s="1351" t="e">
        <f>IF($CO65="interior",ROUND(((1-IL65)*IM65)+IL65,2),VLOOKUP($CP65,Control_Savings_Exterior,IN$30,FALSE))</f>
        <v>#N/A</v>
      </c>
      <c r="IO65" s="1351" t="e">
        <f>IF($CO65="interior", ROUND(((1-IL65)*(IM65*(1-IP$28)))+IP65,2), VLOOKUP($CP65,Control_Savings_Exterior,IO$30,FALSE))</f>
        <v>#N/A</v>
      </c>
      <c r="IP65" s="1351">
        <f>IF($CO65="interior",ROUND(((1-IL65)*IP$28)+IL65,2),0)</f>
        <v>0</v>
      </c>
    </row>
    <row r="66" spans="1:250" s="82" customFormat="1" ht="14.95" customHeight="1" thickTop="1" thickBot="1">
      <c r="B66" s="1421"/>
      <c r="C66" s="1422"/>
      <c r="D66" s="1423"/>
      <c r="E66" s="1393" t="s">
        <v>244</v>
      </c>
      <c r="F66" s="1394"/>
      <c r="G66" s="1395"/>
      <c r="H66" s="1395"/>
      <c r="I66" s="1395"/>
      <c r="J66" s="1395"/>
      <c r="K66" s="1395"/>
      <c r="L66" s="1395"/>
      <c r="M66" s="509" t="e">
        <f>IF(__Retrofit_TI_NC&lt;&gt;0,IF(VLOOKUP(G67,'Space Table'!$B$3:$L$160,3,FALSE)&gt;0,1,0),IF(__Retrofit_TI_NC=VLOOKUP(G67,'Space Table'!$B$3:$L$160,3,FALSE),1,0))</f>
        <v>#N/A</v>
      </c>
      <c r="N66" s="509" t="str">
        <f>IFERROR(VLOOKUP(G66,_Lookup_Heat_Type_Table_New,2,FALSE),"")</f>
        <v/>
      </c>
      <c r="O66" s="509">
        <f>IF(__Retrofit_TI_NC=1,CONCATENATE("TI ",G66),IF(__Retrofit_TI_NC=2,CONCATENATE("NC ",G66),G66))</f>
        <v>0</v>
      </c>
      <c r="P66" s="1396" t="s">
        <v>352</v>
      </c>
      <c r="Q66" s="1396"/>
      <c r="R66" s="673"/>
      <c r="S66" s="1429"/>
      <c r="T66" s="675"/>
      <c r="U66" s="1496"/>
      <c r="V66" s="1497"/>
      <c r="W66" s="1497"/>
      <c r="X66" s="1497"/>
      <c r="Y66" s="1497"/>
      <c r="Z66" s="1497"/>
      <c r="AA66" s="1497"/>
      <c r="AB66" s="1497"/>
      <c r="AC66" s="1497"/>
      <c r="AD66" s="1498"/>
      <c r="AE66" s="675"/>
      <c r="AF66" s="1397"/>
      <c r="AG66" s="1397"/>
      <c r="AH66" s="1397"/>
      <c r="AI66" s="1397"/>
      <c r="AJ66" s="1434"/>
      <c r="AK66" s="1436"/>
      <c r="AL66" s="1438"/>
      <c r="AM66" s="1441"/>
      <c r="AN66" s="1442"/>
      <c r="AO66" s="1447"/>
      <c r="AP66" s="1447"/>
      <c r="AQ66" s="1448"/>
      <c r="AR66" s="1452"/>
      <c r="AS66" s="1455"/>
      <c r="AT66" s="1458"/>
      <c r="AU66" s="516"/>
      <c r="AV66" s="1479"/>
      <c r="AW66" s="1479"/>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M66" s="1352"/>
      <c r="CN66" s="1352"/>
      <c r="CO66" s="1416"/>
      <c r="CP66" s="1418"/>
      <c r="CR66" s="1386"/>
      <c r="CS66" s="1355"/>
      <c r="CT66" s="1355"/>
      <c r="CU66" s="1355"/>
      <c r="CV66" s="1372"/>
      <c r="CW66" s="1372"/>
      <c r="CX66" s="1371"/>
      <c r="CY66" s="1486"/>
      <c r="CZ66" s="1486"/>
      <c r="DA66" s="1486"/>
      <c r="DC66" s="1355"/>
      <c r="DD66" s="1461"/>
      <c r="DE66" s="1355"/>
      <c r="DF66" s="1407"/>
      <c r="DG66" s="1372"/>
      <c r="DH66" s="1369"/>
      <c r="DJ66" s="1484"/>
      <c r="DL66" s="1419"/>
      <c r="DN66" s="1403"/>
      <c r="DO66" s="1405"/>
      <c r="DP66" s="1354"/>
      <c r="DQ66" s="1405"/>
      <c r="DR66" s="1403"/>
      <c r="DS66" s="1489"/>
      <c r="DU66" s="1403"/>
      <c r="DV66" s="1405"/>
      <c r="DW66" s="1403"/>
      <c r="DX66" s="1403"/>
      <c r="DZ66" s="1481"/>
      <c r="EA66" s="1481"/>
      <c r="EC66" s="1482"/>
      <c r="ED66" s="1369"/>
      <c r="EE66" s="1371"/>
      <c r="EF66" s="1369"/>
      <c r="EG66" s="1369"/>
      <c r="EH66" s="1374"/>
      <c r="EI66" s="1374"/>
      <c r="EJ66" s="1363"/>
      <c r="EK66" s="1376"/>
      <c r="EL66" s="1376"/>
      <c r="EM66" s="1362"/>
      <c r="EN66" s="1362"/>
      <c r="EO66" s="1363"/>
      <c r="EP66" s="1363"/>
      <c r="EQ66" s="1363"/>
      <c r="ES66" s="1403"/>
      <c r="EU66" s="1411"/>
      <c r="EV66" s="1411"/>
      <c r="EW66" s="1411"/>
      <c r="EX66" s="1411"/>
      <c r="EY66" s="1411"/>
      <c r="EZ66" s="1413"/>
      <c r="FB66" s="1365"/>
      <c r="FD66" s="1354"/>
      <c r="FE66" s="1354"/>
      <c r="FF66" s="138"/>
      <c r="FI66" s="1357"/>
      <c r="FJ66" s="1357"/>
      <c r="FK66" s="1365"/>
      <c r="FL66" s="1365"/>
      <c r="FM66" s="1365"/>
      <c r="FO66" s="1361"/>
      <c r="FP66" s="1361"/>
      <c r="FQ66" s="1366"/>
      <c r="FR66" s="1368"/>
      <c r="FS66" s="1361"/>
      <c r="FT66" s="1368"/>
      <c r="FU66" s="1360"/>
      <c r="FW66" s="1352"/>
      <c r="FX66" s="1352"/>
      <c r="FY66" s="1352"/>
      <c r="FZ66" s="1352"/>
      <c r="GA66" s="1352"/>
      <c r="GB66" s="1352"/>
      <c r="GC66" s="1352"/>
      <c r="GD66" s="1352"/>
      <c r="GE66" s="759"/>
      <c r="GF66" s="1035"/>
      <c r="GG66" s="1385"/>
      <c r="GI66" s="1384" t="b">
        <f>IF(AND(GL66=TRUE,GM66=TRUE),TRUE,FALSE)</f>
        <v>0</v>
      </c>
      <c r="GJ66" s="1379" t="b">
        <f>IFERROR(IF(__Retrofit_TI_NC=2,TRUE,IF(AR65="Yes",TRUE,FALSE)),FALSE)</f>
        <v>1</v>
      </c>
      <c r="GL66" s="1379" t="b">
        <f>IFERROR(IF(GL65=1,TRUE,FALSE),FALSE)</f>
        <v>0</v>
      </c>
      <c r="GM66" s="1379" t="b">
        <f>IFERROR(IF(GM65=GM$14,TRUE,FALSE),FALSE)</f>
        <v>0</v>
      </c>
      <c r="HC66" s="1379" t="b">
        <f>IFERROR(IF(M66=1,TRUE,FALSE),FALSE)</f>
        <v>0</v>
      </c>
      <c r="HD66" s="1379" t="b">
        <f>IFERROR(IF(M67=1,TRUE,FALSE),FALSE)</f>
        <v>0</v>
      </c>
      <c r="HE66" s="1379" t="b">
        <f>IFERROR(IF(__Retrofit_TI_NC&lt;&gt;0,TRUE,IFERROR(IF(VLOOKUP(U66,Fixtures_Existing_List,2,FALSE)&lt;&gt;"",TRUE,FALSE),FALSE)),FALSE)</f>
        <v>0</v>
      </c>
      <c r="HF66" s="1379" t="b">
        <f>IFERROR(IF(VLOOKUP(U67,Fixtures_Proposed_List,2,FALSE)&lt;&gt;"",TRUE,FALSE),FALSE)</f>
        <v>0</v>
      </c>
      <c r="HG66" s="1379" t="b">
        <f>IF(AND(__Retrofit_TI_NC=2,EZ65=TRUE),FALSE,TRUE)</f>
        <v>1</v>
      </c>
      <c r="HH66" s="1379" t="b">
        <f>GG65</f>
        <v>1</v>
      </c>
      <c r="HI66" s="1384" t="b">
        <f>IF(ISERROR(MATCH(FB65,_Control_Match[],0))=TRUE,FALSE,TRUE)</f>
        <v>0</v>
      </c>
      <c r="HJ66" s="1384" t="b">
        <f>IFERROR(IF(EU65&lt;&gt;EV65,FALSE,TRUE),FALSE)</f>
        <v>0</v>
      </c>
      <c r="HK66" s="1384" t="b">
        <f>IFERROR(IF(EU67&lt;&gt;EV67,FALSE,TRUE),FALSE)</f>
        <v>0</v>
      </c>
      <c r="HL66" s="1379" t="b">
        <f>IFERROR(IF(CN65="Exterior",TRUE,IF(OR(AND(FJ65=0,EW67&gt;4),AND(FJ65=4,EW67&gt;4,EW67&lt;7)),FALSE,TRUE)),FALSE)</f>
        <v>0</v>
      </c>
      <c r="HM66" s="1379" t="b">
        <f>IFERROR(IF(AND(FL67=7,EZ65=TRUE),FALSE,TRUE),FALSE)</f>
        <v>0</v>
      </c>
      <c r="HN66" s="1379" t="b">
        <f>IFERROR(IF(AND(T67&lt;&gt;AE67,AF67="Interior LLLC")=TRUE,FALSE,TRUE),FALSE)</f>
        <v>1</v>
      </c>
      <c r="HO66" s="1379" t="b">
        <f>IFERROR(IF(OR(AF67=Lookup!AU$13,AF67=Lookup!AU$14)=TRUE,IF(AE67&gt;T67,FALSE,TRUE),TRUE),FALSE)</f>
        <v>1</v>
      </c>
      <c r="HP66" s="1379" t="b">
        <f>IFERROR(IF(__Retrofit_TI_NC=2,IF(EW67&lt;EW65,FALSE,TRUE),TRUE),FALSE)</f>
        <v>1</v>
      </c>
      <c r="HQ66" s="1379" t="b">
        <f>IF(CN65="Interior",IG$6,TRUE)</f>
        <v>1</v>
      </c>
      <c r="HR66" s="1379" t="b">
        <f>IF(CN65="Exterior",IG$8,TRUE)</f>
        <v>1</v>
      </c>
      <c r="HS66" s="1379" t="b">
        <f>IFERROR(IF(__Retrofit_TI_NC&lt;&gt;0,IF(AW65&lt;AV65,FALSE,TRUE),TRUE),FALSE)</f>
        <v>1</v>
      </c>
      <c r="HT66" s="1379" t="b">
        <f>IFERROR(IF(AND(G66="Exterior",R66&gt;4200),FALSE,TRUE),FALSE)</f>
        <v>1</v>
      </c>
      <c r="HU66" s="1379" t="b">
        <f>IFERROR(IF(AB68/AB65&lt;HU$18,FALSE,TRUE),FALSE)</f>
        <v>0</v>
      </c>
      <c r="HW66" s="1382"/>
      <c r="HX66" s="1378"/>
      <c r="HY66" s="1377" t="str">
        <f>VLOOKUP(HW68,_Error_Table,4,FALSE)</f>
        <v>White</v>
      </c>
      <c r="HZ66" s="436"/>
      <c r="IA66" s="1386"/>
      <c r="IB66" s="1380"/>
      <c r="IC66" s="1379"/>
      <c r="IF66" s="1380"/>
      <c r="IG66" s="1382"/>
      <c r="IH66" s="1382"/>
      <c r="II66" s="1382"/>
      <c r="IK66" s="1351"/>
      <c r="IL66" s="1351"/>
      <c r="IM66" s="1351"/>
      <c r="IN66" s="1351"/>
      <c r="IO66" s="1351"/>
      <c r="IP66" s="1351"/>
    </row>
    <row r="67" spans="1:250" s="82" customFormat="1" ht="14.95" customHeight="1" thickTop="1" thickBot="1">
      <c r="A67" s="82">
        <f>ROW()</f>
        <v>67</v>
      </c>
      <c r="B67" s="1421"/>
      <c r="C67" s="1422"/>
      <c r="D67" s="1423"/>
      <c r="E67" s="1393" t="s">
        <v>245</v>
      </c>
      <c r="F67" s="1394"/>
      <c r="G67" s="1398"/>
      <c r="H67" s="1399"/>
      <c r="I67" s="1399"/>
      <c r="J67" s="1399"/>
      <c r="K67" s="1399"/>
      <c r="L67" s="1400"/>
      <c r="M67" s="509">
        <f>IFERROR(IF(IF(__Retrofit_TI_NC&lt;&gt;0,IF(CN65="Interior",MATCH(G67,Lookup_Interior_New,0),MATCH(G67,Lookup_Exterior_New,0)),IF(CN65="Interior",MATCH(G67,Lookup_Interior,0),MATCH(G67,Lookup_Exterior_Areas,0)))&gt;0,1,0),0)</f>
        <v>0</v>
      </c>
      <c r="N67" s="509" t="e">
        <f>IF(__Retrofit_TI_NC=1,
VLOOKUP(G67,'Space Table'!$B$3:$L$160,4,FALSE),
IF(__Retrofit_TI_NC=2,VLOOKUP(G67,'Space Table'!$B$3:$L$160,5,FALSE),VLOOKUP(G67,'Space Table'!$B$3:$L$160,5,FALSE)))</f>
        <v>#N/A</v>
      </c>
      <c r="O67" s="509">
        <f>G67</f>
        <v>0</v>
      </c>
      <c r="P67" s="1394" t="s">
        <v>355</v>
      </c>
      <c r="Q67" s="1394"/>
      <c r="R67" s="674"/>
      <c r="S67" s="1401" t="s">
        <v>284</v>
      </c>
      <c r="T67" s="672"/>
      <c r="U67" s="1499"/>
      <c r="V67" s="1500"/>
      <c r="W67" s="1500"/>
      <c r="X67" s="1500"/>
      <c r="Y67" s="1500"/>
      <c r="Z67" s="1500"/>
      <c r="AA67" s="1500"/>
      <c r="AB67" s="1501"/>
      <c r="AC67" s="1501"/>
      <c r="AD67" s="1502"/>
      <c r="AE67" s="672"/>
      <c r="AF67" s="1474"/>
      <c r="AG67" s="1474"/>
      <c r="AH67" s="1474"/>
      <c r="AI67" s="1474"/>
      <c r="AJ67" s="1475">
        <f>DF67</f>
        <v>0</v>
      </c>
      <c r="AK67" s="1470" t="str">
        <f>IFERROR(ROUND(AJ67*AC68,0),"")</f>
        <v/>
      </c>
      <c r="AL67" s="1472">
        <f>IFERROR(IF(HW65=FALSE,0,AC68-AK67),0)</f>
        <v>0</v>
      </c>
      <c r="AM67" s="1441"/>
      <c r="AN67" s="1442"/>
      <c r="AO67" s="1447"/>
      <c r="AP67" s="1447"/>
      <c r="AQ67" s="1448"/>
      <c r="AR67" s="1452"/>
      <c r="AS67" s="1455"/>
      <c r="AT67" s="1458"/>
      <c r="AU67" s="516"/>
      <c r="AV67" s="1479"/>
      <c r="AW67" s="1479"/>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M67" s="1352"/>
      <c r="CN67" s="1352"/>
      <c r="CO67" s="1415" t="str">
        <f>CN65</f>
        <v/>
      </c>
      <c r="CP67" s="1417" t="e">
        <f>CP65</f>
        <v>#N/A</v>
      </c>
      <c r="CR67" s="1386" t="s">
        <v>284</v>
      </c>
      <c r="CS67" s="1353">
        <f>IF(HW65=TRUE,T67,0)</f>
        <v>0</v>
      </c>
      <c r="CT67" s="1353" t="str">
        <f>IF(HW65=TRUE,U67,"")</f>
        <v/>
      </c>
      <c r="CU67" s="1373">
        <f>IF(HW65=TRUE,U68,0)</f>
        <v>0</v>
      </c>
      <c r="CV67" s="1370">
        <f>IF(HW65=TRUE,AB68,0)</f>
        <v>0</v>
      </c>
      <c r="CW67" s="1370">
        <f>IF(HW65=TRUE,AC68,0)</f>
        <v>0</v>
      </c>
      <c r="CX67" s="1371"/>
      <c r="CY67" s="1486"/>
      <c r="CZ67" s="1486"/>
      <c r="DA67" s="1486"/>
      <c r="DC67" s="1353">
        <f>IF(HW65=TRUE,AE67,0)</f>
        <v>0</v>
      </c>
      <c r="DD67" s="1353" t="str">
        <f>IF(HW65=TRUE,AF67,"")</f>
        <v/>
      </c>
      <c r="DE67" s="1373">
        <f>AF68</f>
        <v>0</v>
      </c>
      <c r="DF67" s="1406">
        <f>IFERROR(IF(FL67=3,IK67,IF(FL67=4,IL67,IF(FL67=5,IM67,IF(FL67=6,IN67,IF(FL67=7,IO67,IF(FL67=8,IP67,0)))))),0)</f>
        <v>0</v>
      </c>
      <c r="DG67" s="1370">
        <f>IF(HW65=TRUE,AK67,0)</f>
        <v>0</v>
      </c>
      <c r="DH67" s="1369"/>
      <c r="DK67" s="1483">
        <f>IFERROR(CW67-DG67,0)</f>
        <v>0</v>
      </c>
      <c r="DL67" s="1420"/>
      <c r="DN67" s="1403"/>
      <c r="DO67" s="1477" t="str">
        <f>DN65</f>
        <v/>
      </c>
      <c r="DP67" s="1354"/>
      <c r="DQ67" s="1477" t="str">
        <f>IF(DP65=7,"LLLC","")</f>
        <v/>
      </c>
      <c r="DR67" s="1403"/>
      <c r="DS67" s="1489"/>
      <c r="DU67" s="1403"/>
      <c r="DV67" s="1404" t="str">
        <f>DU65</f>
        <v/>
      </c>
      <c r="DW67" s="1403"/>
      <c r="DX67" s="1403"/>
      <c r="DZ67" s="1481"/>
      <c r="EA67" s="1481"/>
      <c r="EC67" s="1482"/>
      <c r="ED67" s="1369"/>
      <c r="EE67" s="1371"/>
      <c r="EF67" s="1369"/>
      <c r="EG67" s="1369"/>
      <c r="EH67" s="1374"/>
      <c r="EI67" s="1374"/>
      <c r="EJ67" s="1363"/>
      <c r="EK67" s="1376"/>
      <c r="EL67" s="1376"/>
      <c r="EM67" s="1362"/>
      <c r="EN67" s="1362"/>
      <c r="EO67" s="1363"/>
      <c r="EP67" s="1363"/>
      <c r="EQ67" s="1363"/>
      <c r="ES67" s="1403"/>
      <c r="EU67" s="1411" t="e">
        <f>VLOOKUP(CP67,'Space Table'!$B$3:$L$160,8,FALSE)</f>
        <v>#N/A</v>
      </c>
      <c r="EV67" s="1411" t="e">
        <f>IF(EY67="Yes",VLOOKUP(AF67,Lookup_Control_Type_Table2,4,FALSE),VLOOKUP(AF67,Lookup_Control_Type_Table2,3,FALSE))</f>
        <v>#N/A</v>
      </c>
      <c r="EW67" s="1411" t="e">
        <f>VLOOKUP(AF67,Lookup!AU$3:AV$15,2,FALSE)</f>
        <v>#N/A</v>
      </c>
      <c r="EX67" s="1411" t="e">
        <f>VLOOKUP(EU65,Lookup_Control_Type_Table,2,FALSE)</f>
        <v>#N/A</v>
      </c>
      <c r="EY67" s="1411" t="e">
        <f>VLOOKUP(CP67,'Space Table'!$B$3:$L$160,7,FALSE)</f>
        <v>#N/A</v>
      </c>
      <c r="EZ67" s="1413"/>
      <c r="FB67" s="1365" t="str">
        <f>CONCATENATE(CN65," - ",AF67)</f>
        <v xml:space="preserve"> - </v>
      </c>
      <c r="FD67" s="1354"/>
      <c r="FE67" s="1354"/>
      <c r="FF67" s="138"/>
      <c r="FI67" s="1356" t="str">
        <f>IF(CN65="Exterior","Not Daylighted",G68)</f>
        <v>Not Daylighted</v>
      </c>
      <c r="FJ67" s="1356">
        <f>VLOOKUP(FI67,_Daylight_Table_Codes,2,FALSE)</f>
        <v>0</v>
      </c>
      <c r="FK67" s="1365">
        <f>AF67</f>
        <v>0</v>
      </c>
      <c r="FL67" s="1365" t="e">
        <f>VLOOKUP(FK67,_Control_Table,2,FALSE)</f>
        <v>#N/A</v>
      </c>
      <c r="FM67" s="1365" t="e">
        <f>IF(AND(FP67&gt;0,FK67="Occupancy Sensor"),"Daylight + Occupancy",IF(AND(FP67&gt;0,FL67&lt;4),"Interior Daylight Dimming",FK67))</f>
        <v>#N/A</v>
      </c>
      <c r="FO67" s="1364">
        <f>IF(CN65="Interior",VLOOKUP(CP65,Control_Savings_Interior,5,FALSE),0)</f>
        <v>0</v>
      </c>
      <c r="FP67" s="1361">
        <f>IF(CN67="Exterior",0,IF(FJ67=2,0.5,IF(OR(FJ67=1,FJ67=3),1,0)))</f>
        <v>0</v>
      </c>
      <c r="FQ67" s="1366">
        <f>IF(R66&gt;FO$37,(FO67*(FO$37/R66)),FO67)*FP67</f>
        <v>0</v>
      </c>
      <c r="FR67" s="1364">
        <f>DF67</f>
        <v>0</v>
      </c>
      <c r="FS67" s="1364">
        <f>ROUND(FR67+((1-FR67)*FQ67),2)</f>
        <v>0</v>
      </c>
      <c r="FT67" s="1364">
        <f>IF(__Retrofit_TI_NC=2,FS67,FR67)</f>
        <v>0</v>
      </c>
      <c r="FU67" s="1360">
        <f>IF(CO67="Interior",VLOOKUP(CP67,Control_Savings_Interior,4,FALSE),0)</f>
        <v>0</v>
      </c>
      <c r="FW67" s="1352"/>
      <c r="FX67" s="1352"/>
      <c r="FY67" s="1352"/>
      <c r="FZ67" s="1352"/>
      <c r="GA67" s="1352"/>
      <c r="GB67" s="1352"/>
      <c r="GC67" s="1352"/>
      <c r="GD67" s="1352"/>
      <c r="GE67" s="759" t="b">
        <f>IF(ISNUMBER(SEARCH("TLED",U67)),TRUE,FALSE)</f>
        <v>0</v>
      </c>
      <c r="GF67" s="1035" t="str">
        <f>IFERROR(VLOOKUP(U67,Fixtures!DM$93:DR$142,6,FALSE),"")</f>
        <v/>
      </c>
      <c r="GG67" s="1385"/>
      <c r="GI67" s="1383"/>
      <c r="GJ67" s="1379"/>
      <c r="GL67" s="1379"/>
      <c r="GM67" s="1379"/>
      <c r="HC67" s="1379"/>
      <c r="HD67" s="1379"/>
      <c r="HE67" s="1379"/>
      <c r="HF67" s="1379"/>
      <c r="HG67" s="1379"/>
      <c r="HH67" s="1379"/>
      <c r="HI67" s="1383"/>
      <c r="HJ67" s="1383"/>
      <c r="HK67" s="1383"/>
      <c r="HL67" s="1379"/>
      <c r="HM67" s="1379"/>
      <c r="HN67" s="1379"/>
      <c r="HO67" s="1379"/>
      <c r="HP67" s="1379"/>
      <c r="HQ67" s="1379"/>
      <c r="HR67" s="1379"/>
      <c r="HS67" s="1379"/>
      <c r="HT67" s="1379"/>
      <c r="HU67" s="1379"/>
      <c r="HW67" s="1383"/>
      <c r="HX67" s="1384" t="b">
        <f>HW65</f>
        <v>0</v>
      </c>
      <c r="HY67" s="1378"/>
      <c r="HZ67" s="436"/>
      <c r="IA67" s="1386"/>
      <c r="IB67" s="1380">
        <f>IF(IA65=TRUE,AC68,0)</f>
        <v>0</v>
      </c>
      <c r="IC67" s="1379"/>
      <c r="IF67" s="1380" t="e">
        <f>ROUND(T67*AB68*N66*R66/1000,0)</f>
        <v>#VALUE!</v>
      </c>
      <c r="IG67" s="1382"/>
      <c r="IH67" s="1384" t="e">
        <f>ROUND(T67*AB68*N66*R66/1000,0)</f>
        <v>#VALUE!</v>
      </c>
      <c r="II67" s="1382"/>
      <c r="IK67" s="1351" t="e">
        <f>IF($CO67="interior",IL67/2,VLOOKUP($CP67,Control_Savings_Exterior,IK$30,FALSE))</f>
        <v>#N/A</v>
      </c>
      <c r="IL67" s="1351" t="e">
        <f>IF($CO67="interior",VLOOKUP($CP67,Control_Savings_Interior,IL$30,FALSE),VLOOKUP($CP67,Control_Savings_Exterior,IL$30,FALSE))</f>
        <v>#N/A</v>
      </c>
      <c r="IM67" s="1351" t="e">
        <f>IF($CO67="interior",IF(R66&gt;FO$37,(IM$28*(FO$37/R66)),IM$28)*FP67,VLOOKUP($CP67,Control_Savings_Exterior,IM$30,FALSE))</f>
        <v>#N/A</v>
      </c>
      <c r="IN67" s="1351" t="e">
        <f>IF($CO67="interior",ROUND(((1-IL67)*IM67)+IL67,2),VLOOKUP($CP67,Control_Savings_Exterior,IN$30,FALSE))</f>
        <v>#N/A</v>
      </c>
      <c r="IO67" s="1351" t="e">
        <f>IF($CO67="interior", ROUND(((1-IL67)*(IM67*(1-IP$28)))+IP67,2), VLOOKUP($CP67,Control_Savings_Exterior,IO$30,FALSE))</f>
        <v>#N/A</v>
      </c>
      <c r="IP67" s="1351">
        <f>IF($CO67="interior",ROUND(((1-IL67)*IP$28)+IL67,2),0)</f>
        <v>0</v>
      </c>
    </row>
    <row r="68" spans="1:250" s="82" customFormat="1" ht="14.95" customHeight="1" thickTop="1" thickBot="1">
      <c r="B68" s="1421"/>
      <c r="C68" s="1422"/>
      <c r="D68" s="1423"/>
      <c r="E68" s="1462" t="s">
        <v>357</v>
      </c>
      <c r="F68" s="1463"/>
      <c r="G68" s="1464" t="s">
        <v>362</v>
      </c>
      <c r="H68" s="1465"/>
      <c r="I68" s="1465"/>
      <c r="J68" s="1465"/>
      <c r="K68" s="1465"/>
      <c r="L68" s="1466"/>
      <c r="M68" s="669">
        <f>IFERROR(VLOOKUP(G68,_Daylight_Table[],2,FALSE),0)</f>
        <v>0</v>
      </c>
      <c r="N68" s="670"/>
      <c r="O68" s="669" t="e">
        <f>VLOOKUP(G67,'Space Table'!$B$3:$L$160,11,FALSE)</f>
        <v>#N/A</v>
      </c>
      <c r="P68" s="1408"/>
      <c r="Q68" s="1409"/>
      <c r="R68" s="1409"/>
      <c r="S68" s="1402"/>
      <c r="T68" s="671" t="s">
        <v>281</v>
      </c>
      <c r="U68" s="1467" t="str">
        <f>IFERROR(VLOOKUP(U67,Fixtures!DM$93:DP$142,4,FALSE),"")</f>
        <v/>
      </c>
      <c r="V68" s="1468"/>
      <c r="W68" s="1468"/>
      <c r="X68" s="1468"/>
      <c r="Y68" s="1468"/>
      <c r="Z68" s="1468"/>
      <c r="AA68" s="1468"/>
      <c r="AB68" s="1046" t="str">
        <f>IFERROR(VLOOKUP(U67,Fixtures_Proposed_List,2,FALSE),"")</f>
        <v/>
      </c>
      <c r="AC68" s="1036" t="str">
        <f>IFERROR(ROUND(T67*AB68*N66*R66/1000,0),"")</f>
        <v/>
      </c>
      <c r="AD68" s="1037" t="str">
        <f>IFERROR(ROUND(T67*AB68/1000,2),"")</f>
        <v/>
      </c>
      <c r="AE68" s="1045" t="s">
        <v>281</v>
      </c>
      <c r="AF68" s="1469"/>
      <c r="AG68" s="1469"/>
      <c r="AH68" s="1469"/>
      <c r="AI68" s="1469"/>
      <c r="AJ68" s="1476"/>
      <c r="AK68" s="1471"/>
      <c r="AL68" s="1473"/>
      <c r="AM68" s="1443"/>
      <c r="AN68" s="1444"/>
      <c r="AO68" s="1449"/>
      <c r="AP68" s="1449"/>
      <c r="AQ68" s="1450"/>
      <c r="AR68" s="1453"/>
      <c r="AS68" s="1456"/>
      <c r="AT68" s="1459"/>
      <c r="AU68" s="517"/>
      <c r="AV68" s="1480"/>
      <c r="AW68" s="1480"/>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M68" s="1352"/>
      <c r="CN68" s="1352"/>
      <c r="CO68" s="1416"/>
      <c r="CP68" s="1418"/>
      <c r="CR68" s="1386"/>
      <c r="CS68" s="1355"/>
      <c r="CT68" s="1355"/>
      <c r="CU68" s="1375"/>
      <c r="CV68" s="1372"/>
      <c r="CW68" s="1372"/>
      <c r="CX68" s="1372"/>
      <c r="CY68" s="1487"/>
      <c r="CZ68" s="1487"/>
      <c r="DA68" s="1487"/>
      <c r="DC68" s="1355"/>
      <c r="DD68" s="1355"/>
      <c r="DE68" s="1375"/>
      <c r="DF68" s="1407"/>
      <c r="DG68" s="1372"/>
      <c r="DH68" s="1369"/>
      <c r="DK68" s="1484"/>
      <c r="DL68" s="1420"/>
      <c r="DN68" s="1403"/>
      <c r="DO68" s="1405"/>
      <c r="DP68" s="1355"/>
      <c r="DQ68" s="1405"/>
      <c r="DR68" s="1403"/>
      <c r="DS68" s="1489"/>
      <c r="DU68" s="1403"/>
      <c r="DV68" s="1405"/>
      <c r="DW68" s="1403"/>
      <c r="DX68" s="1403"/>
      <c r="DZ68" s="1481"/>
      <c r="EA68" s="1481"/>
      <c r="EC68" s="1482"/>
      <c r="ED68" s="1369"/>
      <c r="EE68" s="1372"/>
      <c r="EF68" s="1369"/>
      <c r="EG68" s="1369"/>
      <c r="EH68" s="1375"/>
      <c r="EI68" s="1375"/>
      <c r="EJ68" s="1363"/>
      <c r="EK68" s="1376"/>
      <c r="EL68" s="1376"/>
      <c r="EM68" s="1362"/>
      <c r="EN68" s="1362"/>
      <c r="EO68" s="1363"/>
      <c r="EP68" s="1363"/>
      <c r="EQ68" s="1363"/>
      <c r="ES68" s="1403"/>
      <c r="EU68" s="1488"/>
      <c r="EV68" s="1488"/>
      <c r="EW68" s="1488"/>
      <c r="EX68" s="1488"/>
      <c r="EY68" s="1488"/>
      <c r="EZ68" s="1414"/>
      <c r="FB68" s="1365"/>
      <c r="FD68" s="1355"/>
      <c r="FE68" s="1355"/>
      <c r="FF68" s="138"/>
      <c r="FI68" s="1357"/>
      <c r="FJ68" s="1357"/>
      <c r="FK68" s="1365"/>
      <c r="FL68" s="1365"/>
      <c r="FM68" s="1365"/>
      <c r="FO68" s="1361"/>
      <c r="FP68" s="1361"/>
      <c r="FQ68" s="1366"/>
      <c r="FR68" s="1361"/>
      <c r="FS68" s="1361"/>
      <c r="FT68" s="1361"/>
      <c r="FU68" s="1360"/>
      <c r="FW68" s="1352"/>
      <c r="FX68" s="1352"/>
      <c r="FY68" s="1352"/>
      <c r="FZ68" s="1352"/>
      <c r="GA68" s="1352"/>
      <c r="GB68" s="1352"/>
      <c r="GC68" s="1352"/>
      <c r="GD68" s="1352"/>
      <c r="GE68" s="759"/>
      <c r="GF68" s="1035"/>
      <c r="GG68" s="1385"/>
      <c r="GJ68" s="1034">
        <f>IF(GJ66=TRUE,0,GJ$16)</f>
        <v>0</v>
      </c>
      <c r="GL68" s="1034">
        <f>IF(GL66=TRUE,0,GL$16)</f>
        <v>36</v>
      </c>
      <c r="GM68" s="1034">
        <f>IF(GM66=TRUE,0,GM$16)</f>
        <v>35</v>
      </c>
      <c r="GN68" s="436"/>
      <c r="GO68" s="436"/>
      <c r="GP68" s="436"/>
      <c r="GQ68" s="436"/>
      <c r="GR68" s="436"/>
      <c r="HC68" s="1034">
        <f t="shared" ref="HC68:HH68" si="34">IF(HC66=TRUE,0,HC$16)</f>
        <v>19</v>
      </c>
      <c r="HD68" s="1034">
        <f t="shared" si="34"/>
        <v>18</v>
      </c>
      <c r="HE68" s="1034">
        <f t="shared" si="34"/>
        <v>17</v>
      </c>
      <c r="HF68" s="1034">
        <f t="shared" si="34"/>
        <v>16</v>
      </c>
      <c r="HG68" s="1034">
        <f t="shared" si="34"/>
        <v>0</v>
      </c>
      <c r="HH68" s="1034">
        <f t="shared" si="34"/>
        <v>0</v>
      </c>
      <c r="HI68" s="1034">
        <f>IF(HI66=TRUE,0,HI$16)</f>
        <v>13</v>
      </c>
      <c r="HJ68" s="1034">
        <f t="shared" ref="HJ68:HL68" si="35">IF(HJ66=TRUE,0,HJ$16)</f>
        <v>12</v>
      </c>
      <c r="HK68" s="1034">
        <f t="shared" si="35"/>
        <v>11</v>
      </c>
      <c r="HL68" s="1034">
        <f t="shared" si="35"/>
        <v>10</v>
      </c>
      <c r="HM68" s="1034">
        <f>IF(HM66=TRUE,0,HM$16)</f>
        <v>9</v>
      </c>
      <c r="HN68" s="1034">
        <f t="shared" ref="HN68:HR68" si="36">IF(HN66=TRUE,0,HN$16)</f>
        <v>0</v>
      </c>
      <c r="HO68" s="1034">
        <f t="shared" si="36"/>
        <v>0</v>
      </c>
      <c r="HP68" s="1034">
        <f t="shared" si="36"/>
        <v>0</v>
      </c>
      <c r="HQ68" s="1034">
        <f t="shared" si="36"/>
        <v>0</v>
      </c>
      <c r="HR68" s="1034">
        <f t="shared" si="36"/>
        <v>0</v>
      </c>
      <c r="HS68" s="1034">
        <f>IF(HS66=TRUE,0,HS$16)</f>
        <v>0</v>
      </c>
      <c r="HT68" s="1034">
        <f t="shared" ref="HT68" si="37">IF(HT66=TRUE,0,HT$16)</f>
        <v>0</v>
      </c>
      <c r="HU68" s="1034">
        <f>IF(HU66=TRUE,0,HU$16)</f>
        <v>1</v>
      </c>
      <c r="HW68" s="1034">
        <f>IF(GL66=FALSE,GL68,IF(GM66=FALSE,GM68,MAX(GJ68:HU68)))</f>
        <v>36</v>
      </c>
      <c r="HX68" s="1383"/>
      <c r="HY68" s="241" t="str">
        <f>VLOOKUP(HW68,_Error_Table,3,FALSE)</f>
        <v xml:space="preserve"> </v>
      </c>
      <c r="HZ68" s="241"/>
      <c r="IA68" s="1386"/>
      <c r="IB68" s="1380"/>
      <c r="IC68" s="1379"/>
      <c r="IF68" s="1380"/>
      <c r="IG68" s="1383"/>
      <c r="IH68" s="1383"/>
      <c r="II68" s="1383"/>
      <c r="IK68" s="1351"/>
      <c r="IL68" s="1351"/>
      <c r="IM68" s="1351"/>
      <c r="IN68" s="1351"/>
      <c r="IO68" s="1351"/>
      <c r="IP68" s="1351"/>
    </row>
    <row r="69" spans="1:250" s="82" customFormat="1" ht="5.0999999999999996" customHeight="1" thickBot="1">
      <c r="B69" s="762"/>
      <c r="C69" s="437"/>
      <c r="D69" s="437"/>
      <c r="E69" s="1490"/>
      <c r="F69" s="1490"/>
      <c r="G69" s="1490"/>
      <c r="H69" s="1490"/>
      <c r="I69" s="1490"/>
      <c r="J69" s="1490"/>
      <c r="K69" s="1490"/>
      <c r="L69" s="1490"/>
      <c r="M69" s="1490"/>
      <c r="N69" s="1490"/>
      <c r="O69" s="1490"/>
      <c r="P69" s="1490"/>
      <c r="Q69" s="1490"/>
      <c r="R69" s="1490"/>
      <c r="S69" s="1490"/>
      <c r="T69" s="1490"/>
      <c r="U69" s="1490"/>
      <c r="V69" s="1490"/>
      <c r="W69" s="1490"/>
      <c r="X69" s="1490"/>
      <c r="Y69" s="1490"/>
      <c r="Z69" s="1490"/>
      <c r="AA69" s="1490"/>
      <c r="AB69" s="1490"/>
      <c r="AC69" s="1490"/>
      <c r="AD69" s="1490"/>
      <c r="AE69" s="1490"/>
      <c r="AF69" s="1490"/>
      <c r="AG69" s="1490"/>
      <c r="AH69" s="1490"/>
      <c r="AI69" s="1490"/>
      <c r="AJ69" s="1490"/>
      <c r="AK69" s="1490"/>
      <c r="AL69" s="1490"/>
      <c r="AM69" s="1490"/>
      <c r="AN69" s="1490"/>
      <c r="AO69" s="1490"/>
      <c r="AP69" s="1490"/>
      <c r="AQ69" s="1490"/>
      <c r="AR69" s="1490"/>
      <c r="AS69" s="1490"/>
      <c r="AT69" s="1490"/>
      <c r="AU69" s="51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M69" s="749"/>
      <c r="CN69" s="749"/>
      <c r="CO69" s="485"/>
      <c r="CP69" s="749"/>
      <c r="CS69" s="436"/>
      <c r="CT69" s="436"/>
      <c r="CU69" s="243"/>
      <c r="CV69" s="244"/>
      <c r="CW69" s="244"/>
      <c r="CX69" s="244"/>
      <c r="CY69" s="245"/>
      <c r="CZ69" s="245"/>
      <c r="DA69" s="245"/>
      <c r="DC69" s="750"/>
      <c r="DD69" s="751"/>
      <c r="DE69" s="752"/>
      <c r="DF69" s="753"/>
      <c r="DG69" s="754"/>
      <c r="DH69" s="754"/>
      <c r="DK69" s="244"/>
      <c r="DL69" s="750"/>
      <c r="DN69" s="750"/>
      <c r="DO69" s="755"/>
      <c r="DP69" s="436"/>
      <c r="DQ69" s="750"/>
      <c r="DR69" s="750"/>
      <c r="DS69" s="750"/>
      <c r="DU69" s="750"/>
      <c r="DV69" s="750"/>
      <c r="DW69" s="750"/>
      <c r="DX69" s="750"/>
      <c r="DZ69" s="756"/>
      <c r="EA69" s="756"/>
      <c r="EC69" s="754"/>
      <c r="ED69" s="754"/>
      <c r="EE69" s="244"/>
      <c r="EF69" s="754"/>
      <c r="EG69" s="754"/>
      <c r="EH69" s="243"/>
      <c r="EI69" s="243"/>
      <c r="EJ69" s="752"/>
      <c r="EK69" s="757"/>
      <c r="EL69" s="757"/>
      <c r="EM69" s="758"/>
      <c r="EN69" s="758"/>
      <c r="EO69" s="752"/>
      <c r="EP69" s="752"/>
      <c r="EQ69" s="752"/>
      <c r="ES69" s="750"/>
      <c r="EU69" s="436"/>
      <c r="EV69" s="436"/>
      <c r="EW69" s="436"/>
      <c r="EX69" s="436"/>
      <c r="EY69" s="436"/>
      <c r="EZ69" s="436"/>
      <c r="FB69" s="643"/>
      <c r="FD69" s="436"/>
      <c r="FE69" s="436"/>
      <c r="FF69" s="436"/>
      <c r="FO69" s="750"/>
      <c r="FP69" s="436"/>
      <c r="FQ69" s="436"/>
      <c r="FR69" s="750"/>
      <c r="FS69" s="750"/>
      <c r="FW69" s="749"/>
      <c r="FX69" s="749"/>
      <c r="FY69" s="749"/>
      <c r="FZ69" s="749"/>
      <c r="GA69" s="749"/>
      <c r="GB69" s="749"/>
      <c r="GC69" s="749"/>
      <c r="GD69" s="749"/>
      <c r="GE69" s="751"/>
      <c r="GF69" s="750"/>
      <c r="GG69" s="750"/>
    </row>
    <row r="70" spans="1:250" s="82" customFormat="1" ht="14.95" customHeight="1" thickTop="1" thickBot="1">
      <c r="B70" s="1421" t="str">
        <f>HY73</f>
        <v xml:space="preserve"> </v>
      </c>
      <c r="C70" s="1422">
        <f>C65+1</f>
        <v>7</v>
      </c>
      <c r="D70" s="1423"/>
      <c r="E70" s="1424" t="s">
        <v>242</v>
      </c>
      <c r="F70" s="1425"/>
      <c r="G70" s="1426"/>
      <c r="H70" s="1427"/>
      <c r="I70" s="1427"/>
      <c r="J70" s="1427"/>
      <c r="K70" s="1427"/>
      <c r="L70" s="1427"/>
      <c r="M70" s="1427"/>
      <c r="N70" s="1427"/>
      <c r="O70" s="1427"/>
      <c r="P70" s="1427"/>
      <c r="Q70" s="1427"/>
      <c r="R70" s="1427"/>
      <c r="S70" s="1428" t="s">
        <v>283</v>
      </c>
      <c r="T70" s="668" t="s">
        <v>190</v>
      </c>
      <c r="U70" s="1430" t="s">
        <v>186</v>
      </c>
      <c r="V70" s="1431"/>
      <c r="W70" s="1431"/>
      <c r="X70" s="1431"/>
      <c r="Y70" s="1431"/>
      <c r="Z70" s="1431"/>
      <c r="AA70" s="1431"/>
      <c r="AB70" s="1088" t="str">
        <f>IFERROR(IF(__Retrofit_TI_NC=0,VLOOKUP(U71,Fixtures_Existing_List,2,FALSE),ROUND(N72*R72/T72,10)),"")</f>
        <v/>
      </c>
      <c r="AC70" s="1039" t="str">
        <f>IFERROR(IF(__Retrofit_TI_NC=0,ROUND(T71*AB70*N71*R71/1000,0),IF(CN70="Interior",N72*R72*R71*N71*_C406_reduction/1000,N72*R72*R71*N71/1000)),"")</f>
        <v/>
      </c>
      <c r="AD70" s="1040" t="str">
        <f>IFERROR(IF(C$36=0,ROUND(T71*AB70/1000,2),N72*R72/1000),"")</f>
        <v/>
      </c>
      <c r="AE70" s="1044" t="s">
        <v>190</v>
      </c>
      <c r="AF70" s="1432" t="str">
        <f>IF(__Retrofit_TI_NC=2,CONCATENATE("Code min = ",DD70),IF(__Retrofit_TI_NC=1,"Emter what you think the existing control was"," Control"))</f>
        <v xml:space="preserve"> Control</v>
      </c>
      <c r="AG70" s="1432"/>
      <c r="AH70" s="1432"/>
      <c r="AI70" s="1432"/>
      <c r="AJ70" s="1433">
        <f>DF70</f>
        <v>0</v>
      </c>
      <c r="AK70" s="1435" t="str">
        <f>IFERROR(ROUND(AJ70*AC70,0),"")</f>
        <v/>
      </c>
      <c r="AL70" s="1437">
        <f>IFERROR(IF(HW70=FALSE,0,AC70-AK70),0)</f>
        <v>0</v>
      </c>
      <c r="AM70" s="1439">
        <f>AL70-AL72</f>
        <v>0</v>
      </c>
      <c r="AN70" s="1440"/>
      <c r="AO70" s="1445">
        <f>IFERROR(IF(HW70=FALSE,0,(T72*U73)+(AE72*AF73)),0)</f>
        <v>0</v>
      </c>
      <c r="AP70" s="1445"/>
      <c r="AQ70" s="1446"/>
      <c r="AR70" s="1451" t="s">
        <v>157</v>
      </c>
      <c r="AS70" s="1454">
        <f>IF(AR70="Yes",1,0)</f>
        <v>1</v>
      </c>
      <c r="AT70" s="1457" t="str">
        <f>IF(OR(DN70=4,DN70=5,DN70=6,DN70=12),CONCATENATE("$",IF(GD70=TRUE,Lookup!$B$11,Lookup!$B$2)," /lamp"),CONCATENATE(EA70,"/ kWh"))</f>
        <v>0/ kWh</v>
      </c>
      <c r="AU70" s="516"/>
      <c r="AV70" s="1478">
        <f>IFERROR(IF(GI71=TRUE,(AB73*T72)/R72,0),"NA")</f>
        <v>0</v>
      </c>
      <c r="AW70" s="1478" t="str">
        <f>IFERROR(N72*_C406_reduction,"NA")</f>
        <v>NA</v>
      </c>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M70" s="1352" t="str">
        <f>N71</f>
        <v/>
      </c>
      <c r="CN70" s="1352" t="str">
        <f>IFERROR(VLOOKUP(G71,_Lookup_Heat_Type_Table_New,3,FALSE),"")</f>
        <v/>
      </c>
      <c r="CO70" s="1415" t="str">
        <f>CN70</f>
        <v/>
      </c>
      <c r="CP70" s="1417" t="e">
        <f>VLOOKUP(G72,'Space Table'!$B$3:$L$160,9,FALSE)</f>
        <v>#N/A</v>
      </c>
      <c r="CR70" s="1386" t="s">
        <v>283</v>
      </c>
      <c r="CS70" s="1353">
        <f>IF(HW70=TRUE,T71,0)</f>
        <v>0</v>
      </c>
      <c r="CT70" s="1353" t="str">
        <f>IF(HW70=TRUE,U71,"")</f>
        <v/>
      </c>
      <c r="CU70" s="1353"/>
      <c r="CV70" s="1370">
        <f>IF(HW70=TRUE,AB70,0)</f>
        <v>0</v>
      </c>
      <c r="CW70" s="1370">
        <f>IF(HW70=TRUE,AC70,0)</f>
        <v>0</v>
      </c>
      <c r="CX70" s="1370">
        <f>IFERROR(IF(HW70=TRUE,CW70-CW72,0),0)</f>
        <v>0</v>
      </c>
      <c r="CY70" s="1485">
        <f>IF(HW70=TRUE,AD70,0)</f>
        <v>0</v>
      </c>
      <c r="CZ70" s="1485">
        <f>IF(HW70=TRUE,AD73,0)</f>
        <v>0</v>
      </c>
      <c r="DA70" s="1485">
        <f>IFERROR(CY70-CZ70,0)</f>
        <v>0</v>
      </c>
      <c r="DC70" s="1353">
        <f>IF(HW70=TRUE,AE71,0)</f>
        <v>0</v>
      </c>
      <c r="DD70" s="1460">
        <f>IF(__Retrofit_TI_NC=2,IF(CN70="Exterior",O73,FM70),FK70)</f>
        <v>0</v>
      </c>
      <c r="DE70" s="1353"/>
      <c r="DF70" s="1406">
        <f>IFERROR(IF(FL70=3,IK70,IF(FL70=4,IL70,IF(FL70=5,IM70,IF(FL70=6,IN70,IF(FL70=7,IO70,IF(FL70=8,IP70,0)))))),0)</f>
        <v>0</v>
      </c>
      <c r="DG70" s="1370">
        <f>IF(HW70=TRUE,AK70,0)</f>
        <v>0</v>
      </c>
      <c r="DH70" s="1369">
        <f>IFERROR(IF(HW70=TRUE,DG72-DG70,0),0)</f>
        <v>0</v>
      </c>
      <c r="DJ70" s="1483">
        <f>IFERROR(CW70-DG70,0)</f>
        <v>0</v>
      </c>
      <c r="DL70" s="1419">
        <f>DJ70-DK72</f>
        <v>0</v>
      </c>
      <c r="DN70" s="1403" t="str">
        <f>IFERROR(IF(AND(OR(FY70=4,FY70=5,FY70=6),OR(GB70=4,GB70=5,GB70=6)),FY70+8,VLOOKUP(CT72,Fixtures!R$31:Y$78,8,FALSE)),"")</f>
        <v/>
      </c>
      <c r="DO70" s="1404" t="str">
        <f>DN70</f>
        <v/>
      </c>
      <c r="DP70" s="1353" t="str">
        <f>IFERROR(VLOOKUP(DD72,Lookup!AU$3:AV$15,2,FALSE),"")</f>
        <v/>
      </c>
      <c r="DQ70" s="1404" t="str">
        <f>IF(DP70=7,"LLLC","")</f>
        <v/>
      </c>
      <c r="DR70" s="1403">
        <f>IFERROR(IF(OR(DN70=4,DN70=5,DN70=6,DN70=12,DN70=13,DN70=14),VLOOKUP(CT72,Fixtures!DN$27:EG$77,19,FALSE),1)*CS72,0)</f>
        <v>0</v>
      </c>
      <c r="DS70" s="1489">
        <f>IF(DP70=7,IF(DD70=DD72,0,DC72),0)</f>
        <v>0</v>
      </c>
      <c r="DU70" s="1403" t="str">
        <f>IFERROR(IF(EW70&lt;EW72,"Yes","No"),"")</f>
        <v/>
      </c>
      <c r="DV70" s="1404" t="str">
        <f>DU70</f>
        <v/>
      </c>
      <c r="DW70" s="1403">
        <f>IF(DU70="Yes",DC72,0)</f>
        <v>0</v>
      </c>
      <c r="DX70" s="1403">
        <f>DW70-DS70</f>
        <v>0</v>
      </c>
      <c r="DZ70" s="1481">
        <f>IFERROR(VLOOKUP(DN70,Lookup!AN$3:AO$16,2,FALSE),0)</f>
        <v>0</v>
      </c>
      <c r="EA70" s="1481">
        <f>IF(HW70=FALSE,0,IF(DU70="Yes",DZ70+Lookup!B$6,DZ70))</f>
        <v>0</v>
      </c>
      <c r="EC70" s="1482">
        <f>IF(HW70=TRUE,DJ70,0)</f>
        <v>0</v>
      </c>
      <c r="ED70" s="1369">
        <f>IF(HW70=TRUE,CW72,0)</f>
        <v>0</v>
      </c>
      <c r="EE70" s="1370">
        <f>IFERROR(EC70-ED70,0)</f>
        <v>0</v>
      </c>
      <c r="EF70" s="1369">
        <f>IF(HW70=TRUE,DG72,0)</f>
        <v>0</v>
      </c>
      <c r="EG70" s="1369">
        <f>IFERROR(EC70-ED70+EF70,0)</f>
        <v>0</v>
      </c>
      <c r="EH70" s="1373">
        <f>IF(HW70=TRUE,CS72*CU72,0)</f>
        <v>0</v>
      </c>
      <c r="EI70" s="1373">
        <f>IF(HW70=TRUE,DC72*DE72,0)</f>
        <v>0</v>
      </c>
      <c r="EJ70" s="1363">
        <f>AO70</f>
        <v>0</v>
      </c>
      <c r="EK70" s="1376" t="str">
        <f>IFERROR(IF(HW70=TRUE,VLOOKUP(DN70,Lookup!AN$3:AP$16,3,FALSE)*DR70,""),0)</f>
        <v/>
      </c>
      <c r="EL70" s="1376">
        <f>IF(HW70=TRUE,DW70*Lookup!AP$12,0)</f>
        <v>0</v>
      </c>
      <c r="EM70" s="1362">
        <f>IFERROR(IF(HW70=TRUE,EK70/EM$33,0),0)</f>
        <v>0</v>
      </c>
      <c r="EN70" s="1362">
        <f>IF(HW70=TRUE,EL70/EN$33,0)</f>
        <v>0</v>
      </c>
      <c r="EO70" s="1363">
        <f>IF(HW70=TRUE,EQ$33*EM70,0)</f>
        <v>0</v>
      </c>
      <c r="EP70" s="1363">
        <f>IF(HW70=TRUE,EQ$33*EN70,0)</f>
        <v>0</v>
      </c>
      <c r="EQ70" s="1363">
        <f>EO70+EP70</f>
        <v>0</v>
      </c>
      <c r="ES70" s="1403">
        <f>IF(G70="",0,1)</f>
        <v>0</v>
      </c>
      <c r="EU70" s="1410" t="e">
        <f>VLOOKUP(CP72,'Space Table'!$B$3:$L$160,8,FALSE)</f>
        <v>#N/A</v>
      </c>
      <c r="EV70" s="1410" t="e">
        <f>IF(EY70="Yes",VLOOKUP(DD70,Lookup_Control_Type_Table2,4,FALSE),VLOOKUP(DD70,Lookup_Control_Type_Table2,3,FALSE))</f>
        <v>#N/A</v>
      </c>
      <c r="EW70" s="1410" t="e">
        <f>VLOOKUP(DD70,Lookup!AU$3:AV$15,2,FALSE)</f>
        <v>#N/A</v>
      </c>
      <c r="EX70" s="1410" t="e">
        <f>VLOOKUP(EU70,Lookup_Control_Type_Table,2,FALSE)</f>
        <v>#N/A</v>
      </c>
      <c r="EY70" s="1410" t="e">
        <f>VLOOKUP(CP72,'Space Table'!$B$3:$L$160,7,FALSE)</f>
        <v>#N/A</v>
      </c>
      <c r="EZ70" s="1412" t="b">
        <f>ISNUMBER(SEARCH("TLED",U72))</f>
        <v>0</v>
      </c>
      <c r="FB70" s="1365" t="str">
        <f>CONCATENATE(CN70," - ",DD70)</f>
        <v xml:space="preserve"> - 0</v>
      </c>
      <c r="FD70" s="1353" t="str">
        <f>VLOOKUP(CT72,Fixtures!DN$27:EZ$77,38,FALSE)</f>
        <v/>
      </c>
      <c r="FE70" s="1353">
        <f>IFERROR(FD70*EE70,0)</f>
        <v>0</v>
      </c>
      <c r="FF70" s="138"/>
      <c r="FI70" s="1356" t="str">
        <f>IF(CN70="Exterior","Not Daylighted",G73)</f>
        <v>Not Daylighted</v>
      </c>
      <c r="FJ70" s="1356">
        <f>VLOOKUP(FI70,_Daylight_Table_Codes,2,FALSE)</f>
        <v>0</v>
      </c>
      <c r="FK70" s="1365">
        <f>IF(__Retrofit_TI_NC=2,VLOOKUP(G72,'Space Table'!$B$3:$L$160,11,FALSE),AF71)</f>
        <v>0</v>
      </c>
      <c r="FL70" s="1365" t="e">
        <f>VLOOKUP(FK70,_Control_Table,2,FALSE)</f>
        <v>#N/A</v>
      </c>
      <c r="FM70" s="1365" t="e">
        <f>IF(AND(FP70&gt;0,FK70="Occupancy Sensor"),"Daylight + Occupancy",IF(AND(FP70&gt;0,FL70&lt;4),"Interior Daylight Dimming",FK70))</f>
        <v>#N/A</v>
      </c>
      <c r="FO70" s="1364">
        <f>IF(CO70="Interior",VLOOKUP(CP70,Control_Savings_Interior,5,FALSE),0)</f>
        <v>0</v>
      </c>
      <c r="FP70" s="1361">
        <f>IF(CN70="Exterior",0,IF(FJ70=2,0.5,IF(OR(FJ70=1,FJ70=3),1,0)))</f>
        <v>0</v>
      </c>
      <c r="FQ70" s="1366"/>
      <c r="FR70" s="1367"/>
      <c r="FS70" s="1364"/>
      <c r="FT70" s="1367"/>
      <c r="FU70" s="1360"/>
      <c r="FW70" s="1352" t="str">
        <f>IFERROR(VLOOKUP(U71,_Exist_Fixture_Table,3,FALSE),"")</f>
        <v/>
      </c>
      <c r="FX70" s="1352" t="str">
        <f>VLOOKUP(CT70,_Exist_Fixture_Table,4,FALSE)</f>
        <v/>
      </c>
      <c r="FY70" s="1352">
        <f>IFERROR(VLOOKUP(FX70,Lookup!AM$6:AN$8,2,FALSE),0)</f>
        <v>0</v>
      </c>
      <c r="FZ70" s="1352" t="b">
        <f>IFERROR(IF(OR(GB70=4,GB70=5,GB70=6),TRUE,FALSE),"")</f>
        <v>0</v>
      </c>
      <c r="GA70" s="1352" t="str">
        <f>IFERROR(VLOOKUP(GB70,FY$6:FZ$10,2,FALSE),"")</f>
        <v/>
      </c>
      <c r="GB70" s="1352" t="str">
        <f>VLOOKUP(CT72,Fixtures!R$31:Y$78,8,FALSE)</f>
        <v/>
      </c>
      <c r="GC70" s="1352">
        <f>IF(AND(FW70=TRUE,FZ70=TRUE,OR(DN70=12,DN70=13,DN70=14)),FY70+8,0)</f>
        <v>0</v>
      </c>
      <c r="GD70" s="1352" t="b">
        <f>IF(OR(GC70=12,GC70=13,GC70=14),TRUE,FALSE)</f>
        <v>0</v>
      </c>
      <c r="GE70" s="759" t="b">
        <f>IF(ISNUMBER(SEARCH("TLED",U71)),TRUE,FALSE)</f>
        <v>0</v>
      </c>
      <c r="GF70" s="1035" t="str">
        <f>IFERROR(VLOOKUP(U71,Fixtures!BM$93:BR$142,6,FALSE),"")</f>
        <v/>
      </c>
      <c r="GG70" s="1385" t="b">
        <f>IF(OR(GE70=FALSE,GE72=FALSE),TRUE,IF(GF70-GF72&lt;5,FALSE,TRUE))</f>
        <v>1</v>
      </c>
      <c r="GK70" s="1034">
        <f>GL70</f>
        <v>0</v>
      </c>
      <c r="GL70" s="1034">
        <f>IF(G70="",0,1)</f>
        <v>0</v>
      </c>
      <c r="GM70" s="1034">
        <f>SUM(GN70:HB70)</f>
        <v>2</v>
      </c>
      <c r="GN70" s="1034">
        <f>IF(G71="",0,1)</f>
        <v>0</v>
      </c>
      <c r="GO70" s="1034">
        <f>IF(G72="",0,1)</f>
        <v>0</v>
      </c>
      <c r="GP70" s="1034">
        <f>IF(R71="",0,1)</f>
        <v>0</v>
      </c>
      <c r="GQ70" s="1034">
        <f>IF(__Retrofit_TI_NC=0,1,IF(R72="",0,1))</f>
        <v>1</v>
      </c>
      <c r="GR70" s="1034">
        <f>IF(CN70="Exterior",1,IF(G73="",0,1))</f>
        <v>1</v>
      </c>
      <c r="GS70" s="1034">
        <f>IF(__Retrofit_TI_NC&lt;&gt;0,1,IF(T71="",0,1))</f>
        <v>0</v>
      </c>
      <c r="GT70" s="1034">
        <f>IF(__Retrofit_TI_NC&lt;&gt;0,1,IF(U71="",0,1))</f>
        <v>0</v>
      </c>
      <c r="GU70" s="1034">
        <f>IF(T72="",0,1)</f>
        <v>0</v>
      </c>
      <c r="GV70" s="1034">
        <f>IF(U72="",0,1)</f>
        <v>0</v>
      </c>
      <c r="GW70" s="1034">
        <f>IF(__Retrofit_TI_NC=2,1,IF(U73="",0,1))</f>
        <v>0</v>
      </c>
      <c r="GX70" s="1034">
        <f>IF(__Retrofit_TI_NC&lt;&gt;0,1,IF(AE71="",0,1))</f>
        <v>0</v>
      </c>
      <c r="GY70" s="1034">
        <f>IF(__Retrofit_TI_NC&lt;&gt;0,1,IF(AF71="",0,1))</f>
        <v>0</v>
      </c>
      <c r="GZ70" s="1034">
        <f>IF(AE72="",0,1)</f>
        <v>0</v>
      </c>
      <c r="HA70" s="1034">
        <f>IF(AF72="",0,1)</f>
        <v>0</v>
      </c>
      <c r="HB70" s="1034">
        <f>IF(__Retrofit_TI_NC=2,1,IF(AF73="",0,1))</f>
        <v>0</v>
      </c>
      <c r="HV70" s="436"/>
      <c r="HW70" s="1384" t="b">
        <f>IF(OR(HW73=0,HW73=HT$16,HW73=HS$16,HW73=HU$16),TRUE,FALSE)</f>
        <v>0</v>
      </c>
      <c r="HX70" s="1377" t="b">
        <f>HW70</f>
        <v>0</v>
      </c>
      <c r="HY70" s="436"/>
      <c r="HZ70" s="436"/>
      <c r="IA70" s="1386" t="b">
        <f>IF(MAX(GJ73:HP73)&gt;5,FALSE,TRUE)</f>
        <v>0</v>
      </c>
      <c r="IB70" s="1380">
        <f>IF(IA70=TRUE,AC70,0)</f>
        <v>0</v>
      </c>
      <c r="IC70" s="1380">
        <f>IB70-IB72</f>
        <v>0</v>
      </c>
      <c r="IF70" s="1380" t="e">
        <f>ROUND(T71*VLOOKUP(U71,Fixtures_Existing_List,2,FALSE)*N71*R71/1000,0)</f>
        <v>#N/A</v>
      </c>
      <c r="IG70" s="1381" t="e">
        <f>IF70-IF72</f>
        <v>#N/A</v>
      </c>
      <c r="IH70" s="1384" t="e">
        <f>ROUND(IF(CN70="Interior",N72*R72*R71*N71*_C406_reduction/1000,N72*R72*R71*N71/1000),0)</f>
        <v>#N/A</v>
      </c>
      <c r="II70" s="1384" t="e">
        <f>IH70-IH72</f>
        <v>#N/A</v>
      </c>
      <c r="IK70" s="1351" t="e">
        <f>IF($CO70="interior",IL70/2,VLOOKUP($CP70,Control_Savings_Exterior,IK$30,FALSE))</f>
        <v>#N/A</v>
      </c>
      <c r="IL70" s="1351" t="e">
        <f>IF($CO70="interior",VLOOKUP($CP70,Control_Savings_Interior,IL$30,FALSE),VLOOKUP($CP70,Control_Savings_Exterior,IL$30,FALSE))</f>
        <v>#N/A</v>
      </c>
      <c r="IM70" s="1351" t="e">
        <f>IF($CO70="interior",IF(R71&gt;FO$37,(IM$28*(FO$37/R71)),IM$28)*FP70,VLOOKUP($CP70,Control_Savings_Exterior,IM$30,FALSE))</f>
        <v>#N/A</v>
      </c>
      <c r="IN70" s="1351" t="e">
        <f>IF($CO70="interior",ROUND(((1-IL70)*IM70)+IL70,2),VLOOKUP($CP70,Control_Savings_Exterior,IN$30,FALSE))</f>
        <v>#N/A</v>
      </c>
      <c r="IO70" s="1351" t="e">
        <f>IF($CO70="interior", ROUND(((1-IL70)*(IM70*(1-IP$28)))+IP70,2), VLOOKUP($CP70,Control_Savings_Exterior,IO$30,FALSE))</f>
        <v>#N/A</v>
      </c>
      <c r="IP70" s="1351">
        <f>IF($CO70="interior",ROUND(((1-IL70)*IP$28)+IL70,2),0)</f>
        <v>0</v>
      </c>
    </row>
    <row r="71" spans="1:250" s="82" customFormat="1" ht="14.95" customHeight="1" thickTop="1" thickBot="1">
      <c r="B71" s="1421"/>
      <c r="C71" s="1422"/>
      <c r="D71" s="1423"/>
      <c r="E71" s="1393" t="s">
        <v>244</v>
      </c>
      <c r="F71" s="1394"/>
      <c r="G71" s="1395"/>
      <c r="H71" s="1395"/>
      <c r="I71" s="1395"/>
      <c r="J71" s="1395"/>
      <c r="K71" s="1395"/>
      <c r="L71" s="1395"/>
      <c r="M71" s="509" t="e">
        <f>IF(__Retrofit_TI_NC&lt;&gt;0,IF(VLOOKUP(G72,'Space Table'!$B$3:$L$160,3,FALSE)&gt;0,1,0),IF(__Retrofit_TI_NC=VLOOKUP(G72,'Space Table'!$B$3:$L$160,3,FALSE),1,0))</f>
        <v>#N/A</v>
      </c>
      <c r="N71" s="509" t="str">
        <f>IFERROR(VLOOKUP(G71,_Lookup_Heat_Type_Table_New,2,FALSE),"")</f>
        <v/>
      </c>
      <c r="O71" s="509">
        <f>IF(__Retrofit_TI_NC=1,CONCATENATE("TI ",G71),IF(__Retrofit_TI_NC=2,CONCATENATE("NC ",G71),G71))</f>
        <v>0</v>
      </c>
      <c r="P71" s="1396" t="s">
        <v>352</v>
      </c>
      <c r="Q71" s="1396"/>
      <c r="R71" s="673"/>
      <c r="S71" s="1429"/>
      <c r="T71" s="675"/>
      <c r="U71" s="1496"/>
      <c r="V71" s="1497"/>
      <c r="W71" s="1497"/>
      <c r="X71" s="1497"/>
      <c r="Y71" s="1497"/>
      <c r="Z71" s="1497"/>
      <c r="AA71" s="1497"/>
      <c r="AB71" s="1497"/>
      <c r="AC71" s="1497"/>
      <c r="AD71" s="1498"/>
      <c r="AE71" s="675"/>
      <c r="AF71" s="1397"/>
      <c r="AG71" s="1397"/>
      <c r="AH71" s="1397"/>
      <c r="AI71" s="1397"/>
      <c r="AJ71" s="1434"/>
      <c r="AK71" s="1436"/>
      <c r="AL71" s="1438"/>
      <c r="AM71" s="1441"/>
      <c r="AN71" s="1442"/>
      <c r="AO71" s="1447"/>
      <c r="AP71" s="1447"/>
      <c r="AQ71" s="1448"/>
      <c r="AR71" s="1452"/>
      <c r="AS71" s="1455"/>
      <c r="AT71" s="1458"/>
      <c r="AU71" s="516"/>
      <c r="AV71" s="1479"/>
      <c r="AW71" s="1479"/>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M71" s="1352"/>
      <c r="CN71" s="1352"/>
      <c r="CO71" s="1416"/>
      <c r="CP71" s="1418"/>
      <c r="CR71" s="1386"/>
      <c r="CS71" s="1355"/>
      <c r="CT71" s="1355"/>
      <c r="CU71" s="1355"/>
      <c r="CV71" s="1372"/>
      <c r="CW71" s="1372"/>
      <c r="CX71" s="1371"/>
      <c r="CY71" s="1486"/>
      <c r="CZ71" s="1486"/>
      <c r="DA71" s="1486"/>
      <c r="DC71" s="1355"/>
      <c r="DD71" s="1461"/>
      <c r="DE71" s="1355"/>
      <c r="DF71" s="1407"/>
      <c r="DG71" s="1372"/>
      <c r="DH71" s="1369"/>
      <c r="DJ71" s="1484"/>
      <c r="DL71" s="1419"/>
      <c r="DN71" s="1403"/>
      <c r="DO71" s="1405"/>
      <c r="DP71" s="1354"/>
      <c r="DQ71" s="1405"/>
      <c r="DR71" s="1403"/>
      <c r="DS71" s="1489"/>
      <c r="DU71" s="1403"/>
      <c r="DV71" s="1405"/>
      <c r="DW71" s="1403"/>
      <c r="DX71" s="1403"/>
      <c r="DZ71" s="1481"/>
      <c r="EA71" s="1481"/>
      <c r="EC71" s="1482"/>
      <c r="ED71" s="1369"/>
      <c r="EE71" s="1371"/>
      <c r="EF71" s="1369"/>
      <c r="EG71" s="1369"/>
      <c r="EH71" s="1374"/>
      <c r="EI71" s="1374"/>
      <c r="EJ71" s="1363"/>
      <c r="EK71" s="1376"/>
      <c r="EL71" s="1376"/>
      <c r="EM71" s="1362"/>
      <c r="EN71" s="1362"/>
      <c r="EO71" s="1363"/>
      <c r="EP71" s="1363"/>
      <c r="EQ71" s="1363"/>
      <c r="ES71" s="1403"/>
      <c r="EU71" s="1411"/>
      <c r="EV71" s="1411"/>
      <c r="EW71" s="1411"/>
      <c r="EX71" s="1411"/>
      <c r="EY71" s="1411"/>
      <c r="EZ71" s="1413"/>
      <c r="FB71" s="1365"/>
      <c r="FD71" s="1354"/>
      <c r="FE71" s="1354"/>
      <c r="FF71" s="138"/>
      <c r="FI71" s="1357"/>
      <c r="FJ71" s="1357"/>
      <c r="FK71" s="1365"/>
      <c r="FL71" s="1365"/>
      <c r="FM71" s="1365"/>
      <c r="FO71" s="1361"/>
      <c r="FP71" s="1361"/>
      <c r="FQ71" s="1366"/>
      <c r="FR71" s="1368"/>
      <c r="FS71" s="1361"/>
      <c r="FT71" s="1368"/>
      <c r="FU71" s="1360"/>
      <c r="FW71" s="1352"/>
      <c r="FX71" s="1352"/>
      <c r="FY71" s="1352"/>
      <c r="FZ71" s="1352"/>
      <c r="GA71" s="1352"/>
      <c r="GB71" s="1352"/>
      <c r="GC71" s="1352"/>
      <c r="GD71" s="1352"/>
      <c r="GE71" s="759"/>
      <c r="GF71" s="1035"/>
      <c r="GG71" s="1385"/>
      <c r="GI71" s="1384" t="b">
        <f>IF(AND(GL71=TRUE,GM71=TRUE),TRUE,FALSE)</f>
        <v>0</v>
      </c>
      <c r="GJ71" s="1379" t="b">
        <f>IFERROR(IF(__Retrofit_TI_NC=2,TRUE,IF(AR70="Yes",TRUE,FALSE)),FALSE)</f>
        <v>1</v>
      </c>
      <c r="GL71" s="1379" t="b">
        <f>IFERROR(IF(GL70=1,TRUE,FALSE),FALSE)</f>
        <v>0</v>
      </c>
      <c r="GM71" s="1379" t="b">
        <f>IFERROR(IF(GM70=GM$14,TRUE,FALSE),FALSE)</f>
        <v>0</v>
      </c>
      <c r="HC71" s="1379" t="b">
        <f>IFERROR(IF(M71=1,TRUE,FALSE),FALSE)</f>
        <v>0</v>
      </c>
      <c r="HD71" s="1379" t="b">
        <f>IFERROR(IF(M72=1,TRUE,FALSE),FALSE)</f>
        <v>0</v>
      </c>
      <c r="HE71" s="1379" t="b">
        <f>IFERROR(IF(__Retrofit_TI_NC&lt;&gt;0,TRUE,IFERROR(IF(VLOOKUP(U71,Fixtures_Existing_List,2,FALSE)&lt;&gt;"",TRUE,FALSE),FALSE)),FALSE)</f>
        <v>0</v>
      </c>
      <c r="HF71" s="1379" t="b">
        <f>IFERROR(IF(VLOOKUP(U72,Fixtures_Proposed_List,2,FALSE)&lt;&gt;"",TRUE,FALSE),FALSE)</f>
        <v>0</v>
      </c>
      <c r="HG71" s="1379" t="b">
        <f>IF(AND(__Retrofit_TI_NC=2,EZ70=TRUE),FALSE,TRUE)</f>
        <v>1</v>
      </c>
      <c r="HH71" s="1379" t="b">
        <f>GG70</f>
        <v>1</v>
      </c>
      <c r="HI71" s="1384" t="b">
        <f>IF(ISERROR(MATCH(FB70,_Control_Match[],0))=TRUE,FALSE,TRUE)</f>
        <v>0</v>
      </c>
      <c r="HJ71" s="1384" t="b">
        <f>IFERROR(IF(EU70&lt;&gt;EV70,FALSE,TRUE),FALSE)</f>
        <v>0</v>
      </c>
      <c r="HK71" s="1384" t="b">
        <f>IFERROR(IF(EU72&lt;&gt;EV72,FALSE,TRUE),FALSE)</f>
        <v>0</v>
      </c>
      <c r="HL71" s="1379" t="b">
        <f>IFERROR(IF(CN70="Exterior",TRUE,IF(OR(AND(FJ70=0,EW72&gt;4),AND(FJ70=4,EW72&gt;4,EW72&lt;7)),FALSE,TRUE)),FALSE)</f>
        <v>0</v>
      </c>
      <c r="HM71" s="1379" t="b">
        <f>IFERROR(IF(AND(FL72=7,EZ70=TRUE),FALSE,TRUE),FALSE)</f>
        <v>0</v>
      </c>
      <c r="HN71" s="1379" t="b">
        <f>IFERROR(IF(AND(T72&lt;&gt;AE72,AF72="Interior LLLC")=TRUE,FALSE,TRUE),FALSE)</f>
        <v>1</v>
      </c>
      <c r="HO71" s="1379" t="b">
        <f>IFERROR(IF(OR(AF72=Lookup!AU$13,AF72=Lookup!AU$14)=TRUE,IF(AE72&gt;T72,FALSE,TRUE),TRUE),FALSE)</f>
        <v>1</v>
      </c>
      <c r="HP71" s="1379" t="b">
        <f>IFERROR(IF(__Retrofit_TI_NC=2,IF(EW72&lt;EW70,FALSE,TRUE),TRUE),FALSE)</f>
        <v>1</v>
      </c>
      <c r="HQ71" s="1379" t="b">
        <f>IF(CN70="Interior",IG$6,TRUE)</f>
        <v>1</v>
      </c>
      <c r="HR71" s="1379" t="b">
        <f>IF(CN70="Exterior",IG$8,TRUE)</f>
        <v>1</v>
      </c>
      <c r="HS71" s="1379" t="b">
        <f>IFERROR(IF(__Retrofit_TI_NC&lt;&gt;0,IF(AW70&lt;AV70,FALSE,TRUE),TRUE),FALSE)</f>
        <v>1</v>
      </c>
      <c r="HT71" s="1379" t="b">
        <f>IFERROR(IF(AND(G71="Exterior",R71&gt;4200),FALSE,TRUE),FALSE)</f>
        <v>1</v>
      </c>
      <c r="HU71" s="1379" t="b">
        <f>IFERROR(IF(AB73/AB70&lt;HU$18,FALSE,TRUE),FALSE)</f>
        <v>0</v>
      </c>
      <c r="HW71" s="1382"/>
      <c r="HX71" s="1378"/>
      <c r="HY71" s="1377" t="str">
        <f>VLOOKUP(HW73,_Error_Table,4,FALSE)</f>
        <v>White</v>
      </c>
      <c r="HZ71" s="436"/>
      <c r="IA71" s="1386"/>
      <c r="IB71" s="1380"/>
      <c r="IC71" s="1379"/>
      <c r="IF71" s="1380"/>
      <c r="IG71" s="1382"/>
      <c r="IH71" s="1382"/>
      <c r="II71" s="1382"/>
      <c r="IK71" s="1351"/>
      <c r="IL71" s="1351"/>
      <c r="IM71" s="1351"/>
      <c r="IN71" s="1351"/>
      <c r="IO71" s="1351"/>
      <c r="IP71" s="1351"/>
    </row>
    <row r="72" spans="1:250" s="82" customFormat="1" ht="14.95" customHeight="1" thickTop="1" thickBot="1">
      <c r="A72" s="82">
        <f>ROW()</f>
        <v>72</v>
      </c>
      <c r="B72" s="1421"/>
      <c r="C72" s="1422"/>
      <c r="D72" s="1423"/>
      <c r="E72" s="1393" t="s">
        <v>245</v>
      </c>
      <c r="F72" s="1394"/>
      <c r="G72" s="1398"/>
      <c r="H72" s="1399"/>
      <c r="I72" s="1399"/>
      <c r="J72" s="1399"/>
      <c r="K72" s="1399"/>
      <c r="L72" s="1400"/>
      <c r="M72" s="509">
        <f>IFERROR(IF(IF(__Retrofit_TI_NC&lt;&gt;0,IF(CN70="Interior",MATCH(G72,Lookup_Interior_New,0),MATCH(G72,Lookup_Exterior_New,0)),IF(CN70="Interior",MATCH(G72,Lookup_Interior,0),MATCH(G72,Lookup_Exterior_Areas,0)))&gt;0,1,0),0)</f>
        <v>0</v>
      </c>
      <c r="N72" s="509" t="e">
        <f>IF(__Retrofit_TI_NC=1,
VLOOKUP(G72,'Space Table'!$B$3:$L$160,4,FALSE),
IF(__Retrofit_TI_NC=2,VLOOKUP(G72,'Space Table'!$B$3:$L$160,5,FALSE),VLOOKUP(G72,'Space Table'!$B$3:$L$160,5,FALSE)))</f>
        <v>#N/A</v>
      </c>
      <c r="O72" s="509">
        <f>G72</f>
        <v>0</v>
      </c>
      <c r="P72" s="1394" t="s">
        <v>355</v>
      </c>
      <c r="Q72" s="1394"/>
      <c r="R72" s="674"/>
      <c r="S72" s="1401" t="s">
        <v>284</v>
      </c>
      <c r="T72" s="672"/>
      <c r="U72" s="1499"/>
      <c r="V72" s="1500"/>
      <c r="W72" s="1500"/>
      <c r="X72" s="1500"/>
      <c r="Y72" s="1500"/>
      <c r="Z72" s="1500"/>
      <c r="AA72" s="1500"/>
      <c r="AB72" s="1501"/>
      <c r="AC72" s="1501"/>
      <c r="AD72" s="1502"/>
      <c r="AE72" s="672"/>
      <c r="AF72" s="1474"/>
      <c r="AG72" s="1474"/>
      <c r="AH72" s="1474"/>
      <c r="AI72" s="1474"/>
      <c r="AJ72" s="1475">
        <f>DF72</f>
        <v>0</v>
      </c>
      <c r="AK72" s="1470" t="str">
        <f>IFERROR(ROUND(AJ72*AC73,0),"")</f>
        <v/>
      </c>
      <c r="AL72" s="1472">
        <f>IFERROR(IF(HW70=FALSE,0,AC73-AK72),0)</f>
        <v>0</v>
      </c>
      <c r="AM72" s="1441"/>
      <c r="AN72" s="1442"/>
      <c r="AO72" s="1447"/>
      <c r="AP72" s="1447"/>
      <c r="AQ72" s="1448"/>
      <c r="AR72" s="1452"/>
      <c r="AS72" s="1455"/>
      <c r="AT72" s="1458"/>
      <c r="AU72" s="516"/>
      <c r="AV72" s="1479"/>
      <c r="AW72" s="1479"/>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M72" s="1352"/>
      <c r="CN72" s="1352"/>
      <c r="CO72" s="1415" t="str">
        <f>CN70</f>
        <v/>
      </c>
      <c r="CP72" s="1417" t="e">
        <f>CP70</f>
        <v>#N/A</v>
      </c>
      <c r="CR72" s="1386" t="s">
        <v>284</v>
      </c>
      <c r="CS72" s="1353">
        <f>IF(HW70=TRUE,T72,0)</f>
        <v>0</v>
      </c>
      <c r="CT72" s="1353" t="str">
        <f>IF(HW70=TRUE,U72,"")</f>
        <v/>
      </c>
      <c r="CU72" s="1373">
        <f>IF(HW70=TRUE,U73,0)</f>
        <v>0</v>
      </c>
      <c r="CV72" s="1370">
        <f>IF(HW70=TRUE,AB73,0)</f>
        <v>0</v>
      </c>
      <c r="CW72" s="1370">
        <f>IF(HW70=TRUE,AC73,0)</f>
        <v>0</v>
      </c>
      <c r="CX72" s="1371"/>
      <c r="CY72" s="1486"/>
      <c r="CZ72" s="1486"/>
      <c r="DA72" s="1486"/>
      <c r="DC72" s="1353">
        <f>IF(HW70=TRUE,AE72,0)</f>
        <v>0</v>
      </c>
      <c r="DD72" s="1353" t="str">
        <f>IF(HW70=TRUE,AF72,"")</f>
        <v/>
      </c>
      <c r="DE72" s="1373">
        <f>AF73</f>
        <v>0</v>
      </c>
      <c r="DF72" s="1406">
        <f>IFERROR(IF(FL72=3,IK72,IF(FL72=4,IL72,IF(FL72=5,IM72,IF(FL72=6,IN72,IF(FL72=7,IO72,IF(FL72=8,IP72,0)))))),0)</f>
        <v>0</v>
      </c>
      <c r="DG72" s="1370">
        <f>IF(HW70=TRUE,AK72,0)</f>
        <v>0</v>
      </c>
      <c r="DH72" s="1369"/>
      <c r="DK72" s="1483">
        <f>IFERROR(CW72-DG72,0)</f>
        <v>0</v>
      </c>
      <c r="DL72" s="1420"/>
      <c r="DN72" s="1403"/>
      <c r="DO72" s="1477" t="str">
        <f>DN70</f>
        <v/>
      </c>
      <c r="DP72" s="1354"/>
      <c r="DQ72" s="1477" t="str">
        <f>IF(DP70=7,"LLLC","")</f>
        <v/>
      </c>
      <c r="DR72" s="1403"/>
      <c r="DS72" s="1489"/>
      <c r="DU72" s="1403"/>
      <c r="DV72" s="1404" t="str">
        <f>DU70</f>
        <v/>
      </c>
      <c r="DW72" s="1403"/>
      <c r="DX72" s="1403"/>
      <c r="DZ72" s="1481"/>
      <c r="EA72" s="1481"/>
      <c r="EC72" s="1482"/>
      <c r="ED72" s="1369"/>
      <c r="EE72" s="1371"/>
      <c r="EF72" s="1369"/>
      <c r="EG72" s="1369"/>
      <c r="EH72" s="1374"/>
      <c r="EI72" s="1374"/>
      <c r="EJ72" s="1363"/>
      <c r="EK72" s="1376"/>
      <c r="EL72" s="1376"/>
      <c r="EM72" s="1362"/>
      <c r="EN72" s="1362"/>
      <c r="EO72" s="1363"/>
      <c r="EP72" s="1363"/>
      <c r="EQ72" s="1363"/>
      <c r="ES72" s="1403"/>
      <c r="EU72" s="1411" t="e">
        <f>VLOOKUP(CP72,'Space Table'!$B$3:$L$160,8,FALSE)</f>
        <v>#N/A</v>
      </c>
      <c r="EV72" s="1411" t="e">
        <f>IF(EY72="Yes",VLOOKUP(AF72,Lookup_Control_Type_Table2,4,FALSE),VLOOKUP(AF72,Lookup_Control_Type_Table2,3,FALSE))</f>
        <v>#N/A</v>
      </c>
      <c r="EW72" s="1411" t="e">
        <f>VLOOKUP(AF72,Lookup!AU$3:AV$15,2,FALSE)</f>
        <v>#N/A</v>
      </c>
      <c r="EX72" s="1411" t="e">
        <f>VLOOKUP(EU70,Lookup_Control_Type_Table,2,FALSE)</f>
        <v>#N/A</v>
      </c>
      <c r="EY72" s="1411" t="e">
        <f>VLOOKUP(CP72,'Space Table'!$B$3:$L$160,7,FALSE)</f>
        <v>#N/A</v>
      </c>
      <c r="EZ72" s="1413"/>
      <c r="FB72" s="1365" t="str">
        <f>CONCATENATE(CN70," - ",AF72)</f>
        <v xml:space="preserve"> - </v>
      </c>
      <c r="FD72" s="1354"/>
      <c r="FE72" s="1354"/>
      <c r="FF72" s="138"/>
      <c r="FI72" s="1356" t="str">
        <f>IF(CN70="Exterior","Not Daylighted",G73)</f>
        <v>Not Daylighted</v>
      </c>
      <c r="FJ72" s="1356">
        <f>VLOOKUP(FI72,_Daylight_Table_Codes,2,FALSE)</f>
        <v>0</v>
      </c>
      <c r="FK72" s="1365">
        <f>AF72</f>
        <v>0</v>
      </c>
      <c r="FL72" s="1365" t="e">
        <f>VLOOKUP(FK72,_Control_Table,2,FALSE)</f>
        <v>#N/A</v>
      </c>
      <c r="FM72" s="1365" t="e">
        <f>IF(AND(FP72&gt;0,FK72="Occupancy Sensor"),"Daylight + Occupancy",IF(AND(FP72&gt;0,FL72&lt;4),"Interior Daylight Dimming",FK72))</f>
        <v>#N/A</v>
      </c>
      <c r="FO72" s="1364">
        <f>IF(CN70="Interior",VLOOKUP(CP70,Control_Savings_Interior,5,FALSE),0)</f>
        <v>0</v>
      </c>
      <c r="FP72" s="1361">
        <f>IF(CN72="Exterior",0,IF(FJ72=2,0.5,IF(OR(FJ72=1,FJ72=3),1,0)))</f>
        <v>0</v>
      </c>
      <c r="FQ72" s="1366">
        <f>IF(R71&gt;FO$37,(FO72*(FO$37/R71)),FO72)*FP72</f>
        <v>0</v>
      </c>
      <c r="FR72" s="1364">
        <f>DF72</f>
        <v>0</v>
      </c>
      <c r="FS72" s="1364">
        <f>ROUND(FR72+((1-FR72)*FQ72),2)</f>
        <v>0</v>
      </c>
      <c r="FT72" s="1364">
        <f>IF(__Retrofit_TI_NC=2,FS72,FR72)</f>
        <v>0</v>
      </c>
      <c r="FU72" s="1360">
        <f>IF(CO72="Interior",VLOOKUP(CP72,Control_Savings_Interior,4,FALSE),0)</f>
        <v>0</v>
      </c>
      <c r="FW72" s="1352"/>
      <c r="FX72" s="1352"/>
      <c r="FY72" s="1352"/>
      <c r="FZ72" s="1352"/>
      <c r="GA72" s="1352"/>
      <c r="GB72" s="1352"/>
      <c r="GC72" s="1352"/>
      <c r="GD72" s="1352"/>
      <c r="GE72" s="759" t="b">
        <f>IF(ISNUMBER(SEARCH("TLED",U72)),TRUE,FALSE)</f>
        <v>0</v>
      </c>
      <c r="GF72" s="1035" t="str">
        <f>IFERROR(VLOOKUP(U72,Fixtures!DM$93:DR$142,6,FALSE),"")</f>
        <v/>
      </c>
      <c r="GG72" s="1385"/>
      <c r="GI72" s="1383"/>
      <c r="GJ72" s="1379"/>
      <c r="GL72" s="1379"/>
      <c r="GM72" s="1379"/>
      <c r="HC72" s="1379"/>
      <c r="HD72" s="1379"/>
      <c r="HE72" s="1379"/>
      <c r="HF72" s="1379"/>
      <c r="HG72" s="1379"/>
      <c r="HH72" s="1379"/>
      <c r="HI72" s="1383"/>
      <c r="HJ72" s="1383"/>
      <c r="HK72" s="1383"/>
      <c r="HL72" s="1379"/>
      <c r="HM72" s="1379"/>
      <c r="HN72" s="1379"/>
      <c r="HO72" s="1379"/>
      <c r="HP72" s="1379"/>
      <c r="HQ72" s="1379"/>
      <c r="HR72" s="1379"/>
      <c r="HS72" s="1379"/>
      <c r="HT72" s="1379"/>
      <c r="HU72" s="1379"/>
      <c r="HW72" s="1383"/>
      <c r="HX72" s="1384" t="b">
        <f>HW70</f>
        <v>0</v>
      </c>
      <c r="HY72" s="1378"/>
      <c r="HZ72" s="436"/>
      <c r="IA72" s="1386"/>
      <c r="IB72" s="1380">
        <f>IF(IA70=TRUE,AC73,0)</f>
        <v>0</v>
      </c>
      <c r="IC72" s="1379"/>
      <c r="IF72" s="1380" t="e">
        <f>ROUND(T72*AB73*N71*R71/1000,0)</f>
        <v>#VALUE!</v>
      </c>
      <c r="IG72" s="1382"/>
      <c r="IH72" s="1384" t="e">
        <f>ROUND(T72*AB73*N71*R71/1000,0)</f>
        <v>#VALUE!</v>
      </c>
      <c r="II72" s="1382"/>
      <c r="IK72" s="1351" t="e">
        <f>IF($CO72="interior",IL72/2,VLOOKUP($CP72,Control_Savings_Exterior,IK$30,FALSE))</f>
        <v>#N/A</v>
      </c>
      <c r="IL72" s="1351" t="e">
        <f>IF($CO72="interior",VLOOKUP($CP72,Control_Savings_Interior,IL$30,FALSE),VLOOKUP($CP72,Control_Savings_Exterior,IL$30,FALSE))</f>
        <v>#N/A</v>
      </c>
      <c r="IM72" s="1351" t="e">
        <f>IF($CO72="interior",IF(R71&gt;FO$37,(IM$28*(FO$37/R71)),IM$28)*FP72,VLOOKUP($CP72,Control_Savings_Exterior,IM$30,FALSE))</f>
        <v>#N/A</v>
      </c>
      <c r="IN72" s="1351" t="e">
        <f>IF($CO72="interior",ROUND(((1-IL72)*IM72)+IL72,2),VLOOKUP($CP72,Control_Savings_Exterior,IN$30,FALSE))</f>
        <v>#N/A</v>
      </c>
      <c r="IO72" s="1351" t="e">
        <f>IF($CO72="interior", ROUND(((1-IL72)*(IM72*(1-IP$28)))+IP72,2), VLOOKUP($CP72,Control_Savings_Exterior,IO$30,FALSE))</f>
        <v>#N/A</v>
      </c>
      <c r="IP72" s="1351">
        <f>IF($CO72="interior",ROUND(((1-IL72)*IP$28)+IL72,2),0)</f>
        <v>0</v>
      </c>
    </row>
    <row r="73" spans="1:250" s="82" customFormat="1" ht="14.95" customHeight="1" thickTop="1" thickBot="1">
      <c r="B73" s="1421"/>
      <c r="C73" s="1422"/>
      <c r="D73" s="1423"/>
      <c r="E73" s="1462" t="s">
        <v>357</v>
      </c>
      <c r="F73" s="1463"/>
      <c r="G73" s="1464" t="s">
        <v>362</v>
      </c>
      <c r="H73" s="1465"/>
      <c r="I73" s="1465"/>
      <c r="J73" s="1465"/>
      <c r="K73" s="1465"/>
      <c r="L73" s="1466"/>
      <c r="M73" s="669">
        <f>IFERROR(VLOOKUP(G73,_Daylight_Table[],2,FALSE),0)</f>
        <v>0</v>
      </c>
      <c r="N73" s="670"/>
      <c r="O73" s="669" t="e">
        <f>VLOOKUP(G72,'Space Table'!$B$3:$L$160,11,FALSE)</f>
        <v>#N/A</v>
      </c>
      <c r="P73" s="1408"/>
      <c r="Q73" s="1409"/>
      <c r="R73" s="1409"/>
      <c r="S73" s="1402"/>
      <c r="T73" s="671" t="s">
        <v>281</v>
      </c>
      <c r="U73" s="1467" t="str">
        <f>IFERROR(VLOOKUP(U72,Fixtures!DM$93:DP$142,4,FALSE),"")</f>
        <v/>
      </c>
      <c r="V73" s="1468"/>
      <c r="W73" s="1468"/>
      <c r="X73" s="1468"/>
      <c r="Y73" s="1468"/>
      <c r="Z73" s="1468"/>
      <c r="AA73" s="1468"/>
      <c r="AB73" s="1046" t="str">
        <f>IFERROR(VLOOKUP(U72,Fixtures_Proposed_List,2,FALSE),"")</f>
        <v/>
      </c>
      <c r="AC73" s="1036" t="str">
        <f>IFERROR(ROUND(T72*AB73*N71*R71/1000,0),"")</f>
        <v/>
      </c>
      <c r="AD73" s="1037" t="str">
        <f>IFERROR(ROUND(T72*AB73/1000,2),"")</f>
        <v/>
      </c>
      <c r="AE73" s="1045" t="s">
        <v>281</v>
      </c>
      <c r="AF73" s="1469"/>
      <c r="AG73" s="1469"/>
      <c r="AH73" s="1469"/>
      <c r="AI73" s="1469"/>
      <c r="AJ73" s="1476"/>
      <c r="AK73" s="1471"/>
      <c r="AL73" s="1473"/>
      <c r="AM73" s="1443"/>
      <c r="AN73" s="1444"/>
      <c r="AO73" s="1449"/>
      <c r="AP73" s="1449"/>
      <c r="AQ73" s="1450"/>
      <c r="AR73" s="1453"/>
      <c r="AS73" s="1456"/>
      <c r="AT73" s="1459"/>
      <c r="AU73" s="517"/>
      <c r="AV73" s="1480"/>
      <c r="AW73" s="1480"/>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M73" s="1352"/>
      <c r="CN73" s="1352"/>
      <c r="CO73" s="1416"/>
      <c r="CP73" s="1418"/>
      <c r="CR73" s="1386"/>
      <c r="CS73" s="1355"/>
      <c r="CT73" s="1355"/>
      <c r="CU73" s="1375"/>
      <c r="CV73" s="1372"/>
      <c r="CW73" s="1372"/>
      <c r="CX73" s="1372"/>
      <c r="CY73" s="1487"/>
      <c r="CZ73" s="1487"/>
      <c r="DA73" s="1487"/>
      <c r="DC73" s="1355"/>
      <c r="DD73" s="1355"/>
      <c r="DE73" s="1375"/>
      <c r="DF73" s="1407"/>
      <c r="DG73" s="1372"/>
      <c r="DH73" s="1369"/>
      <c r="DK73" s="1484"/>
      <c r="DL73" s="1420"/>
      <c r="DN73" s="1403"/>
      <c r="DO73" s="1405"/>
      <c r="DP73" s="1355"/>
      <c r="DQ73" s="1405"/>
      <c r="DR73" s="1403"/>
      <c r="DS73" s="1489"/>
      <c r="DU73" s="1403"/>
      <c r="DV73" s="1405"/>
      <c r="DW73" s="1403"/>
      <c r="DX73" s="1403"/>
      <c r="DZ73" s="1481"/>
      <c r="EA73" s="1481"/>
      <c r="EC73" s="1482"/>
      <c r="ED73" s="1369"/>
      <c r="EE73" s="1372"/>
      <c r="EF73" s="1369"/>
      <c r="EG73" s="1369"/>
      <c r="EH73" s="1375"/>
      <c r="EI73" s="1375"/>
      <c r="EJ73" s="1363"/>
      <c r="EK73" s="1376"/>
      <c r="EL73" s="1376"/>
      <c r="EM73" s="1362"/>
      <c r="EN73" s="1362"/>
      <c r="EO73" s="1363"/>
      <c r="EP73" s="1363"/>
      <c r="EQ73" s="1363"/>
      <c r="ES73" s="1403"/>
      <c r="EU73" s="1488"/>
      <c r="EV73" s="1488"/>
      <c r="EW73" s="1488"/>
      <c r="EX73" s="1488"/>
      <c r="EY73" s="1488"/>
      <c r="EZ73" s="1414"/>
      <c r="FB73" s="1365"/>
      <c r="FD73" s="1355"/>
      <c r="FE73" s="1355"/>
      <c r="FF73" s="138"/>
      <c r="FI73" s="1357"/>
      <c r="FJ73" s="1357"/>
      <c r="FK73" s="1365"/>
      <c r="FL73" s="1365"/>
      <c r="FM73" s="1365"/>
      <c r="FO73" s="1361"/>
      <c r="FP73" s="1361"/>
      <c r="FQ73" s="1366"/>
      <c r="FR73" s="1361"/>
      <c r="FS73" s="1361"/>
      <c r="FT73" s="1361"/>
      <c r="FU73" s="1360"/>
      <c r="FW73" s="1352"/>
      <c r="FX73" s="1352"/>
      <c r="FY73" s="1352"/>
      <c r="FZ73" s="1352"/>
      <c r="GA73" s="1352"/>
      <c r="GB73" s="1352"/>
      <c r="GC73" s="1352"/>
      <c r="GD73" s="1352"/>
      <c r="GE73" s="759"/>
      <c r="GF73" s="1035"/>
      <c r="GG73" s="1385"/>
      <c r="GJ73" s="1034">
        <f>IF(GJ71=TRUE,0,GJ$16)</f>
        <v>0</v>
      </c>
      <c r="GL73" s="1034">
        <f>IF(GL71=TRUE,0,GL$16)</f>
        <v>36</v>
      </c>
      <c r="GM73" s="1034">
        <f>IF(GM71=TRUE,0,GM$16)</f>
        <v>35</v>
      </c>
      <c r="GN73" s="436"/>
      <c r="GO73" s="436"/>
      <c r="GP73" s="436"/>
      <c r="GQ73" s="436"/>
      <c r="GR73" s="436"/>
      <c r="HC73" s="1034">
        <f t="shared" ref="HC73:HH73" si="38">IF(HC71=TRUE,0,HC$16)</f>
        <v>19</v>
      </c>
      <c r="HD73" s="1034">
        <f t="shared" si="38"/>
        <v>18</v>
      </c>
      <c r="HE73" s="1034">
        <f t="shared" si="38"/>
        <v>17</v>
      </c>
      <c r="HF73" s="1034">
        <f t="shared" si="38"/>
        <v>16</v>
      </c>
      <c r="HG73" s="1034">
        <f t="shared" si="38"/>
        <v>0</v>
      </c>
      <c r="HH73" s="1034">
        <f t="shared" si="38"/>
        <v>0</v>
      </c>
      <c r="HI73" s="1034">
        <f>IF(HI71=TRUE,0,HI$16)</f>
        <v>13</v>
      </c>
      <c r="HJ73" s="1034">
        <f t="shared" ref="HJ73:HL73" si="39">IF(HJ71=TRUE,0,HJ$16)</f>
        <v>12</v>
      </c>
      <c r="HK73" s="1034">
        <f t="shared" si="39"/>
        <v>11</v>
      </c>
      <c r="HL73" s="1034">
        <f t="shared" si="39"/>
        <v>10</v>
      </c>
      <c r="HM73" s="1034">
        <f>IF(HM71=TRUE,0,HM$16)</f>
        <v>9</v>
      </c>
      <c r="HN73" s="1034">
        <f t="shared" ref="HN73:HR73" si="40">IF(HN71=TRUE,0,HN$16)</f>
        <v>0</v>
      </c>
      <c r="HO73" s="1034">
        <f t="shared" si="40"/>
        <v>0</v>
      </c>
      <c r="HP73" s="1034">
        <f t="shared" si="40"/>
        <v>0</v>
      </c>
      <c r="HQ73" s="1034">
        <f t="shared" si="40"/>
        <v>0</v>
      </c>
      <c r="HR73" s="1034">
        <f t="shared" si="40"/>
        <v>0</v>
      </c>
      <c r="HS73" s="1034">
        <f>IF(HS71=TRUE,0,HS$16)</f>
        <v>0</v>
      </c>
      <c r="HT73" s="1034">
        <f t="shared" ref="HT73" si="41">IF(HT71=TRUE,0,HT$16)</f>
        <v>0</v>
      </c>
      <c r="HU73" s="1034">
        <f>IF(HU71=TRUE,0,HU$16)</f>
        <v>1</v>
      </c>
      <c r="HW73" s="1034">
        <f>IF(GL71=FALSE,GL73,IF(GM71=FALSE,GM73,MAX(GJ73:HU73)))</f>
        <v>36</v>
      </c>
      <c r="HX73" s="1383"/>
      <c r="HY73" s="241" t="str">
        <f>VLOOKUP(HW73,_Error_Table,3,FALSE)</f>
        <v xml:space="preserve"> </v>
      </c>
      <c r="HZ73" s="241"/>
      <c r="IA73" s="1386"/>
      <c r="IB73" s="1380"/>
      <c r="IC73" s="1379"/>
      <c r="IF73" s="1380"/>
      <c r="IG73" s="1383"/>
      <c r="IH73" s="1383"/>
      <c r="II73" s="1383"/>
      <c r="IK73" s="1351"/>
      <c r="IL73" s="1351"/>
      <c r="IM73" s="1351"/>
      <c r="IN73" s="1351"/>
      <c r="IO73" s="1351"/>
      <c r="IP73" s="1351"/>
    </row>
    <row r="74" spans="1:250" s="82" customFormat="1" ht="5.0999999999999996" customHeight="1" thickBot="1">
      <c r="B74" s="762"/>
      <c r="C74" s="437"/>
      <c r="D74" s="437"/>
      <c r="E74" s="1490"/>
      <c r="F74" s="1490"/>
      <c r="G74" s="1490"/>
      <c r="H74" s="1490"/>
      <c r="I74" s="1490"/>
      <c r="J74" s="1490"/>
      <c r="K74" s="1490"/>
      <c r="L74" s="1490"/>
      <c r="M74" s="1490"/>
      <c r="N74" s="1490"/>
      <c r="O74" s="1490"/>
      <c r="P74" s="1490"/>
      <c r="Q74" s="1490"/>
      <c r="R74" s="1490"/>
      <c r="S74" s="1490"/>
      <c r="T74" s="1490"/>
      <c r="U74" s="1490"/>
      <c r="V74" s="1490"/>
      <c r="W74" s="1490"/>
      <c r="X74" s="1490"/>
      <c r="Y74" s="1490"/>
      <c r="Z74" s="1490"/>
      <c r="AA74" s="1490"/>
      <c r="AB74" s="1490"/>
      <c r="AC74" s="1490"/>
      <c r="AD74" s="1490"/>
      <c r="AE74" s="1490"/>
      <c r="AF74" s="1490"/>
      <c r="AG74" s="1490"/>
      <c r="AH74" s="1490"/>
      <c r="AI74" s="1490"/>
      <c r="AJ74" s="1490"/>
      <c r="AK74" s="1490"/>
      <c r="AL74" s="1490"/>
      <c r="AM74" s="1490"/>
      <c r="AN74" s="1490"/>
      <c r="AO74" s="1490"/>
      <c r="AP74" s="1490"/>
      <c r="AQ74" s="1490"/>
      <c r="AR74" s="1490"/>
      <c r="AS74" s="1490"/>
      <c r="AT74" s="1490"/>
      <c r="AU74" s="51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M74" s="749"/>
      <c r="CN74" s="749"/>
      <c r="CO74" s="485"/>
      <c r="CP74" s="749"/>
      <c r="CS74" s="436"/>
      <c r="CT74" s="436"/>
      <c r="CU74" s="243"/>
      <c r="CV74" s="244"/>
      <c r="CW74" s="244"/>
      <c r="CX74" s="244"/>
      <c r="CY74" s="245"/>
      <c r="CZ74" s="245"/>
      <c r="DA74" s="245"/>
      <c r="DC74" s="750"/>
      <c r="DD74" s="751"/>
      <c r="DE74" s="752"/>
      <c r="DF74" s="753"/>
      <c r="DG74" s="754"/>
      <c r="DH74" s="754"/>
      <c r="DK74" s="244"/>
      <c r="DL74" s="750"/>
      <c r="DN74" s="750"/>
      <c r="DO74" s="755"/>
      <c r="DP74" s="436"/>
      <c r="DQ74" s="750"/>
      <c r="DR74" s="750"/>
      <c r="DS74" s="750"/>
      <c r="DU74" s="750"/>
      <c r="DV74" s="750"/>
      <c r="DW74" s="750"/>
      <c r="DX74" s="750"/>
      <c r="DZ74" s="756"/>
      <c r="EA74" s="756"/>
      <c r="EC74" s="754"/>
      <c r="ED74" s="754"/>
      <c r="EE74" s="244"/>
      <c r="EF74" s="754"/>
      <c r="EG74" s="754"/>
      <c r="EH74" s="243"/>
      <c r="EI74" s="243"/>
      <c r="EJ74" s="752"/>
      <c r="EK74" s="757"/>
      <c r="EL74" s="757"/>
      <c r="EM74" s="758"/>
      <c r="EN74" s="758"/>
      <c r="EO74" s="752"/>
      <c r="EP74" s="752"/>
      <c r="EQ74" s="752"/>
      <c r="ES74" s="750"/>
      <c r="EU74" s="436"/>
      <c r="EV74" s="436"/>
      <c r="EW74" s="436"/>
      <c r="EX74" s="436"/>
      <c r="EY74" s="436"/>
      <c r="EZ74" s="436"/>
      <c r="FB74" s="643"/>
      <c r="FD74" s="436"/>
      <c r="FE74" s="436"/>
      <c r="FF74" s="436"/>
      <c r="FO74" s="750"/>
      <c r="FP74" s="436"/>
      <c r="FQ74" s="436"/>
      <c r="FR74" s="750"/>
      <c r="FS74" s="750"/>
      <c r="FW74" s="749"/>
      <c r="FX74" s="749"/>
      <c r="FY74" s="749"/>
      <c r="FZ74" s="749"/>
      <c r="GA74" s="749"/>
      <c r="GB74" s="749"/>
      <c r="GC74" s="749"/>
      <c r="GD74" s="749"/>
      <c r="GE74" s="751"/>
      <c r="GF74" s="750"/>
      <c r="GG74" s="750"/>
    </row>
    <row r="75" spans="1:250" s="82" customFormat="1" ht="14.95" customHeight="1" thickTop="1" thickBot="1">
      <c r="B75" s="1421" t="str">
        <f>HY78</f>
        <v xml:space="preserve"> </v>
      </c>
      <c r="C75" s="1422">
        <f>C70+1</f>
        <v>8</v>
      </c>
      <c r="D75" s="1423"/>
      <c r="E75" s="1424" t="s">
        <v>242</v>
      </c>
      <c r="F75" s="1425"/>
      <c r="G75" s="1426"/>
      <c r="H75" s="1427"/>
      <c r="I75" s="1427"/>
      <c r="J75" s="1427"/>
      <c r="K75" s="1427"/>
      <c r="L75" s="1427"/>
      <c r="M75" s="1427"/>
      <c r="N75" s="1427"/>
      <c r="O75" s="1427"/>
      <c r="P75" s="1427"/>
      <c r="Q75" s="1427"/>
      <c r="R75" s="1427"/>
      <c r="S75" s="1428" t="s">
        <v>283</v>
      </c>
      <c r="T75" s="668" t="s">
        <v>190</v>
      </c>
      <c r="U75" s="1430" t="s">
        <v>186</v>
      </c>
      <c r="V75" s="1431"/>
      <c r="W75" s="1431"/>
      <c r="X75" s="1431"/>
      <c r="Y75" s="1431"/>
      <c r="Z75" s="1431"/>
      <c r="AA75" s="1431"/>
      <c r="AB75" s="1088" t="str">
        <f>IFERROR(IF(__Retrofit_TI_NC=0,VLOOKUP(U76,Fixtures_Existing_List,2,FALSE),ROUND(N77*R77/T77,10)),"")</f>
        <v/>
      </c>
      <c r="AC75" s="1039" t="str">
        <f>IFERROR(IF(__Retrofit_TI_NC=0,ROUND(T76*AB75*N76*R76/1000,0),IF(CN75="Interior",N77*R77*R76*N76*_C406_reduction/1000,N77*R77*R76*N76/1000)),"")</f>
        <v/>
      </c>
      <c r="AD75" s="1040" t="str">
        <f>IFERROR(IF(C$36=0,ROUND(T76*AB75/1000,2),N77*R77/1000),"")</f>
        <v/>
      </c>
      <c r="AE75" s="1044" t="s">
        <v>190</v>
      </c>
      <c r="AF75" s="1432" t="str">
        <f>IF(__Retrofit_TI_NC=2,CONCATENATE("Code min = ",DD75),IF(__Retrofit_TI_NC=1,"Emter what you think the existing control was"," Control"))</f>
        <v xml:space="preserve"> Control</v>
      </c>
      <c r="AG75" s="1432"/>
      <c r="AH75" s="1432"/>
      <c r="AI75" s="1432"/>
      <c r="AJ75" s="1433">
        <f>DF75</f>
        <v>0</v>
      </c>
      <c r="AK75" s="1435" t="str">
        <f>IFERROR(ROUND(AJ75*AC75,0),"")</f>
        <v/>
      </c>
      <c r="AL75" s="1437">
        <f>IFERROR(IF(HW75=FALSE,0,AC75-AK75),0)</f>
        <v>0</v>
      </c>
      <c r="AM75" s="1439">
        <f>AL75-AL77</f>
        <v>0</v>
      </c>
      <c r="AN75" s="1440"/>
      <c r="AO75" s="1445">
        <f>IFERROR(IF(HW75=FALSE,0,(T77*U78)+(AE77*AF78)),0)</f>
        <v>0</v>
      </c>
      <c r="AP75" s="1445"/>
      <c r="AQ75" s="1446"/>
      <c r="AR75" s="1451" t="s">
        <v>157</v>
      </c>
      <c r="AS75" s="1454">
        <f>IF(AR75="Yes",1,0)</f>
        <v>1</v>
      </c>
      <c r="AT75" s="1457" t="str">
        <f>IF(OR(DN75=4,DN75=5,DN75=6,DN75=12),CONCATENATE("$",IF(GD75=TRUE,Lookup!$B$11,Lookup!$B$2)," /lamp"),CONCATENATE(EA75,"/ kWh"))</f>
        <v>0/ kWh</v>
      </c>
      <c r="AU75" s="516"/>
      <c r="AV75" s="1478">
        <f>IFERROR(IF(GI76=TRUE,(AB78*T77)/R77,0),"NA")</f>
        <v>0</v>
      </c>
      <c r="AW75" s="1478" t="str">
        <f>IFERROR(N77*_C406_reduction,"NA")</f>
        <v>NA</v>
      </c>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M75" s="1352" t="str">
        <f>N76</f>
        <v/>
      </c>
      <c r="CN75" s="1352" t="str">
        <f>IFERROR(VLOOKUP(G76,_Lookup_Heat_Type_Table_New,3,FALSE),"")</f>
        <v/>
      </c>
      <c r="CO75" s="1415" t="str">
        <f>CN75</f>
        <v/>
      </c>
      <c r="CP75" s="1417" t="e">
        <f>VLOOKUP(G77,'Space Table'!$B$3:$L$160,9,FALSE)</f>
        <v>#N/A</v>
      </c>
      <c r="CR75" s="1386" t="s">
        <v>283</v>
      </c>
      <c r="CS75" s="1353">
        <f>IF(HW75=TRUE,T76,0)</f>
        <v>0</v>
      </c>
      <c r="CT75" s="1353" t="str">
        <f>IF(HW75=TRUE,U76,"")</f>
        <v/>
      </c>
      <c r="CU75" s="1353"/>
      <c r="CV75" s="1370">
        <f>IF(HW75=TRUE,AB75,0)</f>
        <v>0</v>
      </c>
      <c r="CW75" s="1370">
        <f>IF(HW75=TRUE,AC75,0)</f>
        <v>0</v>
      </c>
      <c r="CX75" s="1370">
        <f>IFERROR(IF(HW75=TRUE,CW75-CW77,0),0)</f>
        <v>0</v>
      </c>
      <c r="CY75" s="1485">
        <f>IF(HW75=TRUE,AD75,0)</f>
        <v>0</v>
      </c>
      <c r="CZ75" s="1485">
        <f>IF(HW75=TRUE,AD78,0)</f>
        <v>0</v>
      </c>
      <c r="DA75" s="1485">
        <f>IFERROR(CY75-CZ75,0)</f>
        <v>0</v>
      </c>
      <c r="DC75" s="1353">
        <f>IF(HW75=TRUE,AE76,0)</f>
        <v>0</v>
      </c>
      <c r="DD75" s="1460">
        <f>IF(__Retrofit_TI_NC=2,IF(CN75="Exterior",O78,FM75),FK75)</f>
        <v>0</v>
      </c>
      <c r="DE75" s="1353"/>
      <c r="DF75" s="1406">
        <f>IFERROR(IF(FL75=3,IK75,IF(FL75=4,IL75,IF(FL75=5,IM75,IF(FL75=6,IN75,IF(FL75=7,IO75,IF(FL75=8,IP75,0)))))),0)</f>
        <v>0</v>
      </c>
      <c r="DG75" s="1370">
        <f>IF(HW75=TRUE,AK75,0)</f>
        <v>0</v>
      </c>
      <c r="DH75" s="1369">
        <f>IFERROR(IF(HW75=TRUE,DG77-DG75,0),0)</f>
        <v>0</v>
      </c>
      <c r="DJ75" s="1483">
        <f>IFERROR(CW75-DG75,0)</f>
        <v>0</v>
      </c>
      <c r="DL75" s="1419">
        <f>DJ75-DK77</f>
        <v>0</v>
      </c>
      <c r="DN75" s="1403" t="str">
        <f>IFERROR(IF(AND(OR(FY75=4,FY75=5,FY75=6),OR(GB75=4,GB75=5,GB75=6)),FY75+8,VLOOKUP(CT77,Fixtures!R$31:Y$78,8,FALSE)),"")</f>
        <v/>
      </c>
      <c r="DO75" s="1404" t="str">
        <f>DN75</f>
        <v/>
      </c>
      <c r="DP75" s="1353" t="str">
        <f>IFERROR(VLOOKUP(DD77,Lookup!AU$3:AV$15,2,FALSE),"")</f>
        <v/>
      </c>
      <c r="DQ75" s="1404" t="str">
        <f>IF(DP75=7,"LLLC","")</f>
        <v/>
      </c>
      <c r="DR75" s="1403">
        <f>IFERROR(IF(OR(DN75=4,DN75=5,DN75=6,DN75=12,DN75=13,DN75=14),VLOOKUP(CT77,Fixtures!DN$27:EG$77,19,FALSE),1)*CS77,0)</f>
        <v>0</v>
      </c>
      <c r="DS75" s="1489">
        <f>IF(DP75=7,IF(DD75=DD77,0,DC77),0)</f>
        <v>0</v>
      </c>
      <c r="DU75" s="1403" t="str">
        <f>IFERROR(IF(EW75&lt;EW77,"Yes","No"),"")</f>
        <v/>
      </c>
      <c r="DV75" s="1404" t="str">
        <f>DU75</f>
        <v/>
      </c>
      <c r="DW75" s="1403">
        <f>IF(DU75="Yes",DC77,0)</f>
        <v>0</v>
      </c>
      <c r="DX75" s="1403">
        <f>DW75-DS75</f>
        <v>0</v>
      </c>
      <c r="DZ75" s="1481">
        <f>IFERROR(VLOOKUP(DN75,Lookup!AN$3:AO$16,2,FALSE),0)</f>
        <v>0</v>
      </c>
      <c r="EA75" s="1481">
        <f>IF(HW75=FALSE,0,IF(DU75="Yes",DZ75+Lookup!B$6,DZ75))</f>
        <v>0</v>
      </c>
      <c r="EC75" s="1482">
        <f>IF(HW75=TRUE,DJ75,0)</f>
        <v>0</v>
      </c>
      <c r="ED75" s="1369">
        <f>IF(HW75=TRUE,CW77,0)</f>
        <v>0</v>
      </c>
      <c r="EE75" s="1370">
        <f>IFERROR(EC75-ED75,0)</f>
        <v>0</v>
      </c>
      <c r="EF75" s="1369">
        <f>IF(HW75=TRUE,DG77,0)</f>
        <v>0</v>
      </c>
      <c r="EG75" s="1369">
        <f>IFERROR(EC75-ED75+EF75,0)</f>
        <v>0</v>
      </c>
      <c r="EH75" s="1373">
        <f>IF(HW75=TRUE,CS77*CU77,0)</f>
        <v>0</v>
      </c>
      <c r="EI75" s="1373">
        <f>IF(HW75=TRUE,DC77*DE77,0)</f>
        <v>0</v>
      </c>
      <c r="EJ75" s="1363">
        <f>AO75</f>
        <v>0</v>
      </c>
      <c r="EK75" s="1376" t="str">
        <f>IFERROR(IF(HW75=TRUE,VLOOKUP(DN75,Lookup!AN$3:AP$16,3,FALSE)*DR75,""),0)</f>
        <v/>
      </c>
      <c r="EL75" s="1376">
        <f>IF(HW75=TRUE,DW75*Lookup!AP$12,0)</f>
        <v>0</v>
      </c>
      <c r="EM75" s="1362">
        <f>IFERROR(IF(HW75=TRUE,EK75/EM$33,0),0)</f>
        <v>0</v>
      </c>
      <c r="EN75" s="1362">
        <f>IF(HW75=TRUE,EL75/EN$33,0)</f>
        <v>0</v>
      </c>
      <c r="EO75" s="1363">
        <f>IF(HW75=TRUE,EQ$33*EM75,0)</f>
        <v>0</v>
      </c>
      <c r="EP75" s="1363">
        <f>IF(HW75=TRUE,EQ$33*EN75,0)</f>
        <v>0</v>
      </c>
      <c r="EQ75" s="1363">
        <f>EO75+EP75</f>
        <v>0</v>
      </c>
      <c r="ES75" s="1403">
        <f>IF(G75="",0,1)</f>
        <v>0</v>
      </c>
      <c r="EU75" s="1410" t="e">
        <f>VLOOKUP(CP77,'Space Table'!$B$3:$L$160,8,FALSE)</f>
        <v>#N/A</v>
      </c>
      <c r="EV75" s="1410" t="e">
        <f>IF(EY75="Yes",VLOOKUP(DD75,Lookup_Control_Type_Table2,4,FALSE),VLOOKUP(DD75,Lookup_Control_Type_Table2,3,FALSE))</f>
        <v>#N/A</v>
      </c>
      <c r="EW75" s="1410" t="e">
        <f>VLOOKUP(DD75,Lookup!AU$3:AV$15,2,FALSE)</f>
        <v>#N/A</v>
      </c>
      <c r="EX75" s="1410" t="e">
        <f>VLOOKUP(EU75,Lookup_Control_Type_Table,2,FALSE)</f>
        <v>#N/A</v>
      </c>
      <c r="EY75" s="1410" t="e">
        <f>VLOOKUP(CP77,'Space Table'!$B$3:$L$160,7,FALSE)</f>
        <v>#N/A</v>
      </c>
      <c r="EZ75" s="1412" t="b">
        <f>ISNUMBER(SEARCH("TLED",U77))</f>
        <v>0</v>
      </c>
      <c r="FB75" s="1365" t="str">
        <f>CONCATENATE(CN75," - ",DD75)</f>
        <v xml:space="preserve"> - 0</v>
      </c>
      <c r="FD75" s="1353" t="str">
        <f>VLOOKUP(CT77,Fixtures!DN$27:EZ$77,38,FALSE)</f>
        <v/>
      </c>
      <c r="FE75" s="1353">
        <f>IFERROR(FD75*EE75,0)</f>
        <v>0</v>
      </c>
      <c r="FF75" s="138"/>
      <c r="FI75" s="1356" t="str">
        <f>IF(CN75="Exterior","Not Daylighted",G78)</f>
        <v>Not Daylighted</v>
      </c>
      <c r="FJ75" s="1356">
        <f>VLOOKUP(FI75,_Daylight_Table_Codes,2,FALSE)</f>
        <v>0</v>
      </c>
      <c r="FK75" s="1365">
        <f>IF(__Retrofit_TI_NC=2,VLOOKUP(G77,'Space Table'!$B$3:$L$160,11,FALSE),AF76)</f>
        <v>0</v>
      </c>
      <c r="FL75" s="1365" t="e">
        <f>VLOOKUP(FK75,_Control_Table,2,FALSE)</f>
        <v>#N/A</v>
      </c>
      <c r="FM75" s="1365" t="e">
        <f>IF(AND(FP75&gt;0,FK75="Occupancy Sensor"),"Daylight + Occupancy",IF(AND(FP75&gt;0,FL75&lt;4),"Interior Daylight Dimming",FK75))</f>
        <v>#N/A</v>
      </c>
      <c r="FO75" s="1364">
        <f>IF(CO75="Interior",VLOOKUP(CP75,Control_Savings_Interior,5,FALSE),0)</f>
        <v>0</v>
      </c>
      <c r="FP75" s="1361">
        <f>IF(CN75="Exterior",0,IF(FJ75=2,0.5,IF(OR(FJ75=1,FJ75=3),1,0)))</f>
        <v>0</v>
      </c>
      <c r="FQ75" s="1366"/>
      <c r="FR75" s="1367"/>
      <c r="FS75" s="1364"/>
      <c r="FT75" s="1367"/>
      <c r="FU75" s="1360"/>
      <c r="FW75" s="1352" t="str">
        <f>IFERROR(VLOOKUP(U76,_Exist_Fixture_Table,3,FALSE),"")</f>
        <v/>
      </c>
      <c r="FX75" s="1352" t="str">
        <f>VLOOKUP(CT75,_Exist_Fixture_Table,4,FALSE)</f>
        <v/>
      </c>
      <c r="FY75" s="1352">
        <f>IFERROR(VLOOKUP(FX75,Lookup!AM$6:AN$8,2,FALSE),0)</f>
        <v>0</v>
      </c>
      <c r="FZ75" s="1352" t="b">
        <f>IFERROR(IF(OR(GB75=4,GB75=5,GB75=6),TRUE,FALSE),"")</f>
        <v>0</v>
      </c>
      <c r="GA75" s="1352" t="str">
        <f>IFERROR(VLOOKUP(GB75,FY$6:FZ$10,2,FALSE),"")</f>
        <v/>
      </c>
      <c r="GB75" s="1352" t="str">
        <f>VLOOKUP(CT77,Fixtures!R$31:Y$78,8,FALSE)</f>
        <v/>
      </c>
      <c r="GC75" s="1352">
        <f>IF(AND(FW75=TRUE,FZ75=TRUE,OR(DN75=12,DN75=13,DN75=14)),FY75+8,0)</f>
        <v>0</v>
      </c>
      <c r="GD75" s="1352" t="b">
        <f>IF(OR(GC75=12,GC75=13,GC75=14),TRUE,FALSE)</f>
        <v>0</v>
      </c>
      <c r="GE75" s="759" t="b">
        <f>IF(ISNUMBER(SEARCH("TLED",U76)),TRUE,FALSE)</f>
        <v>0</v>
      </c>
      <c r="GF75" s="1035" t="str">
        <f>IFERROR(VLOOKUP(U76,Fixtures!BM$93:BR$142,6,FALSE),"")</f>
        <v/>
      </c>
      <c r="GG75" s="1385" t="b">
        <f>IF(OR(GE75=FALSE,GE77=FALSE),TRUE,IF(GF75-GF77&lt;5,FALSE,TRUE))</f>
        <v>1</v>
      </c>
      <c r="GK75" s="1034">
        <f>GL75</f>
        <v>0</v>
      </c>
      <c r="GL75" s="1034">
        <f>IF(G75="",0,1)</f>
        <v>0</v>
      </c>
      <c r="GM75" s="1034">
        <f>SUM(GN75:HB75)</f>
        <v>2</v>
      </c>
      <c r="GN75" s="1034">
        <f>IF(G76="",0,1)</f>
        <v>0</v>
      </c>
      <c r="GO75" s="1034">
        <f>IF(G77="",0,1)</f>
        <v>0</v>
      </c>
      <c r="GP75" s="1034">
        <f>IF(R76="",0,1)</f>
        <v>0</v>
      </c>
      <c r="GQ75" s="1034">
        <f>IF(__Retrofit_TI_NC=0,1,IF(R77="",0,1))</f>
        <v>1</v>
      </c>
      <c r="GR75" s="1034">
        <f>IF(CN75="Exterior",1,IF(G78="",0,1))</f>
        <v>1</v>
      </c>
      <c r="GS75" s="1034">
        <f>IF(__Retrofit_TI_NC&lt;&gt;0,1,IF(T76="",0,1))</f>
        <v>0</v>
      </c>
      <c r="GT75" s="1034">
        <f>IF(__Retrofit_TI_NC&lt;&gt;0,1,IF(U76="",0,1))</f>
        <v>0</v>
      </c>
      <c r="GU75" s="1034">
        <f>IF(T77="",0,1)</f>
        <v>0</v>
      </c>
      <c r="GV75" s="1034">
        <f>IF(U77="",0,1)</f>
        <v>0</v>
      </c>
      <c r="GW75" s="1034">
        <f>IF(__Retrofit_TI_NC=2,1,IF(U78="",0,1))</f>
        <v>0</v>
      </c>
      <c r="GX75" s="1034">
        <f>IF(__Retrofit_TI_NC&lt;&gt;0,1,IF(AE76="",0,1))</f>
        <v>0</v>
      </c>
      <c r="GY75" s="1034">
        <f>IF(__Retrofit_TI_NC&lt;&gt;0,1,IF(AF76="",0,1))</f>
        <v>0</v>
      </c>
      <c r="GZ75" s="1034">
        <f>IF(AE77="",0,1)</f>
        <v>0</v>
      </c>
      <c r="HA75" s="1034">
        <f>IF(AF77="",0,1)</f>
        <v>0</v>
      </c>
      <c r="HB75" s="1034">
        <f>IF(__Retrofit_TI_NC=2,1,IF(AF78="",0,1))</f>
        <v>0</v>
      </c>
      <c r="HV75" s="436"/>
      <c r="HW75" s="1384" t="b">
        <f>IF(OR(HW78=0,HW78=HT$16,HW78=HS$16,HW78=HU$16),TRUE,FALSE)</f>
        <v>0</v>
      </c>
      <c r="HX75" s="1377" t="b">
        <f>HW75</f>
        <v>0</v>
      </c>
      <c r="HY75" s="436"/>
      <c r="HZ75" s="436"/>
      <c r="IA75" s="1386" t="b">
        <f>IF(MAX(GJ78:HP78)&gt;5,FALSE,TRUE)</f>
        <v>0</v>
      </c>
      <c r="IB75" s="1380">
        <f>IF(IA75=TRUE,AC75,0)</f>
        <v>0</v>
      </c>
      <c r="IC75" s="1380">
        <f>IB75-IB77</f>
        <v>0</v>
      </c>
      <c r="IF75" s="1380" t="e">
        <f>ROUND(T76*VLOOKUP(U76,Fixtures_Existing_List,2,FALSE)*N76*R76/1000,0)</f>
        <v>#N/A</v>
      </c>
      <c r="IG75" s="1381" t="e">
        <f>IF75-IF77</f>
        <v>#N/A</v>
      </c>
      <c r="IH75" s="1384" t="e">
        <f>ROUND(IF(CN75="Interior",N77*R77*R76*N76*_C406_reduction/1000,N77*R77*R76*N76/1000),0)</f>
        <v>#N/A</v>
      </c>
      <c r="II75" s="1384" t="e">
        <f>IH75-IH77</f>
        <v>#N/A</v>
      </c>
      <c r="IK75" s="1351" t="e">
        <f>IF($CO75="interior",IL75/2,VLOOKUP($CP75,Control_Savings_Exterior,IK$30,FALSE))</f>
        <v>#N/A</v>
      </c>
      <c r="IL75" s="1351" t="e">
        <f>IF($CO75="interior",VLOOKUP($CP75,Control_Savings_Interior,IL$30,FALSE),VLOOKUP($CP75,Control_Savings_Exterior,IL$30,FALSE))</f>
        <v>#N/A</v>
      </c>
      <c r="IM75" s="1351" t="e">
        <f>IF($CO75="interior",IF(R76&gt;FO$37,(IM$28*(FO$37/R76)),IM$28)*FP75,VLOOKUP($CP75,Control_Savings_Exterior,IM$30,FALSE))</f>
        <v>#N/A</v>
      </c>
      <c r="IN75" s="1351" t="e">
        <f>IF($CO75="interior",ROUND(((1-IL75)*IM75)+IL75,2),VLOOKUP($CP75,Control_Savings_Exterior,IN$30,FALSE))</f>
        <v>#N/A</v>
      </c>
      <c r="IO75" s="1351" t="e">
        <f>IF($CO75="interior", ROUND(((1-IL75)*(IM75*(1-IP$28)))+IP75,2), VLOOKUP($CP75,Control_Savings_Exterior,IO$30,FALSE))</f>
        <v>#N/A</v>
      </c>
      <c r="IP75" s="1351">
        <f>IF($CO75="interior",ROUND(((1-IL75)*IP$28)+IL75,2),0)</f>
        <v>0</v>
      </c>
    </row>
    <row r="76" spans="1:250" s="82" customFormat="1" ht="14.95" customHeight="1" thickTop="1" thickBot="1">
      <c r="B76" s="1421"/>
      <c r="C76" s="1422"/>
      <c r="D76" s="1423"/>
      <c r="E76" s="1393" t="s">
        <v>244</v>
      </c>
      <c r="F76" s="1394"/>
      <c r="G76" s="1395"/>
      <c r="H76" s="1395"/>
      <c r="I76" s="1395"/>
      <c r="J76" s="1395"/>
      <c r="K76" s="1395"/>
      <c r="L76" s="1395"/>
      <c r="M76" s="509" t="e">
        <f>IF(__Retrofit_TI_NC&lt;&gt;0,IF(VLOOKUP(G77,'Space Table'!$B$3:$L$160,3,FALSE)&gt;0,1,0),IF(__Retrofit_TI_NC=VLOOKUP(G77,'Space Table'!$B$3:$L$160,3,FALSE),1,0))</f>
        <v>#N/A</v>
      </c>
      <c r="N76" s="509" t="str">
        <f>IFERROR(VLOOKUP(G76,_Lookup_Heat_Type_Table_New,2,FALSE),"")</f>
        <v/>
      </c>
      <c r="O76" s="509">
        <f>IF(__Retrofit_TI_NC=1,CONCATENATE("TI ",G76),IF(__Retrofit_TI_NC=2,CONCATENATE("NC ",G76),G76))</f>
        <v>0</v>
      </c>
      <c r="P76" s="1396" t="s">
        <v>352</v>
      </c>
      <c r="Q76" s="1396"/>
      <c r="R76" s="673"/>
      <c r="S76" s="1429"/>
      <c r="T76" s="675"/>
      <c r="U76" s="1496"/>
      <c r="V76" s="1497"/>
      <c r="W76" s="1497"/>
      <c r="X76" s="1497"/>
      <c r="Y76" s="1497"/>
      <c r="Z76" s="1497"/>
      <c r="AA76" s="1497"/>
      <c r="AB76" s="1497"/>
      <c r="AC76" s="1497"/>
      <c r="AD76" s="1498"/>
      <c r="AE76" s="675"/>
      <c r="AF76" s="1397"/>
      <c r="AG76" s="1397"/>
      <c r="AH76" s="1397"/>
      <c r="AI76" s="1397"/>
      <c r="AJ76" s="1434"/>
      <c r="AK76" s="1436"/>
      <c r="AL76" s="1438"/>
      <c r="AM76" s="1441"/>
      <c r="AN76" s="1442"/>
      <c r="AO76" s="1447"/>
      <c r="AP76" s="1447"/>
      <c r="AQ76" s="1448"/>
      <c r="AR76" s="1452"/>
      <c r="AS76" s="1455"/>
      <c r="AT76" s="1458"/>
      <c r="AU76" s="516"/>
      <c r="AV76" s="1479"/>
      <c r="AW76" s="1479"/>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M76" s="1352"/>
      <c r="CN76" s="1352"/>
      <c r="CO76" s="1416"/>
      <c r="CP76" s="1418"/>
      <c r="CR76" s="1386"/>
      <c r="CS76" s="1355"/>
      <c r="CT76" s="1355"/>
      <c r="CU76" s="1355"/>
      <c r="CV76" s="1372"/>
      <c r="CW76" s="1372"/>
      <c r="CX76" s="1371"/>
      <c r="CY76" s="1486"/>
      <c r="CZ76" s="1486"/>
      <c r="DA76" s="1486"/>
      <c r="DC76" s="1355"/>
      <c r="DD76" s="1461"/>
      <c r="DE76" s="1355"/>
      <c r="DF76" s="1407"/>
      <c r="DG76" s="1372"/>
      <c r="DH76" s="1369"/>
      <c r="DJ76" s="1484"/>
      <c r="DL76" s="1419"/>
      <c r="DN76" s="1403"/>
      <c r="DO76" s="1405"/>
      <c r="DP76" s="1354"/>
      <c r="DQ76" s="1405"/>
      <c r="DR76" s="1403"/>
      <c r="DS76" s="1489"/>
      <c r="DU76" s="1403"/>
      <c r="DV76" s="1405"/>
      <c r="DW76" s="1403"/>
      <c r="DX76" s="1403"/>
      <c r="DZ76" s="1481"/>
      <c r="EA76" s="1481"/>
      <c r="EC76" s="1482"/>
      <c r="ED76" s="1369"/>
      <c r="EE76" s="1371"/>
      <c r="EF76" s="1369"/>
      <c r="EG76" s="1369"/>
      <c r="EH76" s="1374"/>
      <c r="EI76" s="1374"/>
      <c r="EJ76" s="1363"/>
      <c r="EK76" s="1376"/>
      <c r="EL76" s="1376"/>
      <c r="EM76" s="1362"/>
      <c r="EN76" s="1362"/>
      <c r="EO76" s="1363"/>
      <c r="EP76" s="1363"/>
      <c r="EQ76" s="1363"/>
      <c r="ES76" s="1403"/>
      <c r="EU76" s="1411"/>
      <c r="EV76" s="1411"/>
      <c r="EW76" s="1411"/>
      <c r="EX76" s="1411"/>
      <c r="EY76" s="1411"/>
      <c r="EZ76" s="1413"/>
      <c r="FB76" s="1365"/>
      <c r="FD76" s="1354"/>
      <c r="FE76" s="1354"/>
      <c r="FF76" s="138"/>
      <c r="FI76" s="1357"/>
      <c r="FJ76" s="1357"/>
      <c r="FK76" s="1365"/>
      <c r="FL76" s="1365"/>
      <c r="FM76" s="1365"/>
      <c r="FO76" s="1361"/>
      <c r="FP76" s="1361"/>
      <c r="FQ76" s="1366"/>
      <c r="FR76" s="1368"/>
      <c r="FS76" s="1361"/>
      <c r="FT76" s="1368"/>
      <c r="FU76" s="1360"/>
      <c r="FW76" s="1352"/>
      <c r="FX76" s="1352"/>
      <c r="FY76" s="1352"/>
      <c r="FZ76" s="1352"/>
      <c r="GA76" s="1352"/>
      <c r="GB76" s="1352"/>
      <c r="GC76" s="1352"/>
      <c r="GD76" s="1352"/>
      <c r="GE76" s="759"/>
      <c r="GF76" s="1035"/>
      <c r="GG76" s="1385"/>
      <c r="GI76" s="1384" t="b">
        <f>IF(AND(GL76=TRUE,GM76=TRUE),TRUE,FALSE)</f>
        <v>0</v>
      </c>
      <c r="GJ76" s="1379" t="b">
        <f>IFERROR(IF(__Retrofit_TI_NC=2,TRUE,IF(AR75="Yes",TRUE,FALSE)),FALSE)</f>
        <v>1</v>
      </c>
      <c r="GL76" s="1379" t="b">
        <f>IFERROR(IF(GL75=1,TRUE,FALSE),FALSE)</f>
        <v>0</v>
      </c>
      <c r="GM76" s="1379" t="b">
        <f>IFERROR(IF(GM75=GM$14,TRUE,FALSE),FALSE)</f>
        <v>0</v>
      </c>
      <c r="HC76" s="1379" t="b">
        <f>IFERROR(IF(M76=1,TRUE,FALSE),FALSE)</f>
        <v>0</v>
      </c>
      <c r="HD76" s="1379" t="b">
        <f>IFERROR(IF(M77=1,TRUE,FALSE),FALSE)</f>
        <v>0</v>
      </c>
      <c r="HE76" s="1379" t="b">
        <f>IFERROR(IF(__Retrofit_TI_NC&lt;&gt;0,TRUE,IFERROR(IF(VLOOKUP(U76,Fixtures_Existing_List,2,FALSE)&lt;&gt;"",TRUE,FALSE),FALSE)),FALSE)</f>
        <v>0</v>
      </c>
      <c r="HF76" s="1379" t="b">
        <f>IFERROR(IF(VLOOKUP(U77,Fixtures_Proposed_List,2,FALSE)&lt;&gt;"",TRUE,FALSE),FALSE)</f>
        <v>0</v>
      </c>
      <c r="HG76" s="1379" t="b">
        <f>IF(AND(__Retrofit_TI_NC=2,EZ75=TRUE),FALSE,TRUE)</f>
        <v>1</v>
      </c>
      <c r="HH76" s="1379" t="b">
        <f>GG75</f>
        <v>1</v>
      </c>
      <c r="HI76" s="1384" t="b">
        <f>IF(ISERROR(MATCH(FB75,_Control_Match[],0))=TRUE,FALSE,TRUE)</f>
        <v>0</v>
      </c>
      <c r="HJ76" s="1384" t="b">
        <f>IFERROR(IF(EU75&lt;&gt;EV75,FALSE,TRUE),FALSE)</f>
        <v>0</v>
      </c>
      <c r="HK76" s="1384" t="b">
        <f>IFERROR(IF(EU77&lt;&gt;EV77,FALSE,TRUE),FALSE)</f>
        <v>0</v>
      </c>
      <c r="HL76" s="1379" t="b">
        <f>IFERROR(IF(CN75="Exterior",TRUE,IF(OR(AND(FJ75=0,EW77&gt;4),AND(FJ75=4,EW77&gt;4,EW77&lt;7)),FALSE,TRUE)),FALSE)</f>
        <v>0</v>
      </c>
      <c r="HM76" s="1379" t="b">
        <f>IFERROR(IF(AND(FL77=7,EZ75=TRUE),FALSE,TRUE),FALSE)</f>
        <v>0</v>
      </c>
      <c r="HN76" s="1379" t="b">
        <f>IFERROR(IF(AND(T77&lt;&gt;AE77,AF77="Interior LLLC")=TRUE,FALSE,TRUE),FALSE)</f>
        <v>1</v>
      </c>
      <c r="HO76" s="1379" t="b">
        <f>IFERROR(IF(OR(AF77=Lookup!AU$13,AF77=Lookup!AU$14)=TRUE,IF(AE77&gt;T77,FALSE,TRUE),TRUE),FALSE)</f>
        <v>1</v>
      </c>
      <c r="HP76" s="1379" t="b">
        <f>IFERROR(IF(__Retrofit_TI_NC=2,IF(EW77&lt;EW75,FALSE,TRUE),TRUE),FALSE)</f>
        <v>1</v>
      </c>
      <c r="HQ76" s="1379" t="b">
        <f>IF(CN75="Interior",IG$6,TRUE)</f>
        <v>1</v>
      </c>
      <c r="HR76" s="1379" t="b">
        <f>IF(CN75="Exterior",IG$8,TRUE)</f>
        <v>1</v>
      </c>
      <c r="HS76" s="1379" t="b">
        <f>IFERROR(IF(__Retrofit_TI_NC&lt;&gt;0,IF(AW75&lt;AV75,FALSE,TRUE),TRUE),FALSE)</f>
        <v>1</v>
      </c>
      <c r="HT76" s="1379" t="b">
        <f>IFERROR(IF(AND(G76="Exterior",R76&gt;4200),FALSE,TRUE),FALSE)</f>
        <v>1</v>
      </c>
      <c r="HU76" s="1379" t="b">
        <f>IFERROR(IF(AB78/AB75&lt;HU$18,FALSE,TRUE),FALSE)</f>
        <v>0</v>
      </c>
      <c r="HW76" s="1382"/>
      <c r="HX76" s="1378"/>
      <c r="HY76" s="1377" t="str">
        <f>VLOOKUP(HW78,_Error_Table,4,FALSE)</f>
        <v>White</v>
      </c>
      <c r="HZ76" s="436"/>
      <c r="IA76" s="1386"/>
      <c r="IB76" s="1380"/>
      <c r="IC76" s="1379"/>
      <c r="IF76" s="1380"/>
      <c r="IG76" s="1382"/>
      <c r="IH76" s="1382"/>
      <c r="II76" s="1382"/>
      <c r="IK76" s="1351"/>
      <c r="IL76" s="1351"/>
      <c r="IM76" s="1351"/>
      <c r="IN76" s="1351"/>
      <c r="IO76" s="1351"/>
      <c r="IP76" s="1351"/>
    </row>
    <row r="77" spans="1:250" s="82" customFormat="1" ht="14.95" customHeight="1" thickTop="1" thickBot="1">
      <c r="A77" s="82">
        <f>ROW()</f>
        <v>77</v>
      </c>
      <c r="B77" s="1421"/>
      <c r="C77" s="1422"/>
      <c r="D77" s="1423"/>
      <c r="E77" s="1393" t="s">
        <v>245</v>
      </c>
      <c r="F77" s="1394"/>
      <c r="G77" s="1398"/>
      <c r="H77" s="1399"/>
      <c r="I77" s="1399"/>
      <c r="J77" s="1399"/>
      <c r="K77" s="1399"/>
      <c r="L77" s="1400"/>
      <c r="M77" s="509">
        <f>IFERROR(IF(IF(__Retrofit_TI_NC&lt;&gt;0,IF(CN75="Interior",MATCH(G77,Lookup_Interior_New,0),MATCH(G77,Lookup_Exterior_New,0)),IF(CN75="Interior",MATCH(G77,Lookup_Interior,0),MATCH(G77,Lookup_Exterior_Areas,0)))&gt;0,1,0),0)</f>
        <v>0</v>
      </c>
      <c r="N77" s="509" t="e">
        <f>IF(__Retrofit_TI_NC=1,
VLOOKUP(G77,'Space Table'!$B$3:$L$160,4,FALSE),
IF(__Retrofit_TI_NC=2,VLOOKUP(G77,'Space Table'!$B$3:$L$160,5,FALSE),VLOOKUP(G77,'Space Table'!$B$3:$L$160,5,FALSE)))</f>
        <v>#N/A</v>
      </c>
      <c r="O77" s="509">
        <f>G77</f>
        <v>0</v>
      </c>
      <c r="P77" s="1394" t="s">
        <v>355</v>
      </c>
      <c r="Q77" s="1394"/>
      <c r="R77" s="674"/>
      <c r="S77" s="1401" t="s">
        <v>284</v>
      </c>
      <c r="T77" s="672"/>
      <c r="U77" s="1499"/>
      <c r="V77" s="1500"/>
      <c r="W77" s="1500"/>
      <c r="X77" s="1500"/>
      <c r="Y77" s="1500"/>
      <c r="Z77" s="1500"/>
      <c r="AA77" s="1500"/>
      <c r="AB77" s="1501"/>
      <c r="AC77" s="1501"/>
      <c r="AD77" s="1502"/>
      <c r="AE77" s="672"/>
      <c r="AF77" s="1474"/>
      <c r="AG77" s="1474"/>
      <c r="AH77" s="1474"/>
      <c r="AI77" s="1474"/>
      <c r="AJ77" s="1475">
        <f>DF77</f>
        <v>0</v>
      </c>
      <c r="AK77" s="1470" t="str">
        <f>IFERROR(ROUND(AJ77*AC78,0),"")</f>
        <v/>
      </c>
      <c r="AL77" s="1472">
        <f>IFERROR(IF(HW75=FALSE,0,AC78-AK77),0)</f>
        <v>0</v>
      </c>
      <c r="AM77" s="1441"/>
      <c r="AN77" s="1442"/>
      <c r="AO77" s="1447"/>
      <c r="AP77" s="1447"/>
      <c r="AQ77" s="1448"/>
      <c r="AR77" s="1452"/>
      <c r="AS77" s="1455"/>
      <c r="AT77" s="1458"/>
      <c r="AU77" s="516"/>
      <c r="AV77" s="1479"/>
      <c r="AW77" s="1479"/>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M77" s="1352"/>
      <c r="CN77" s="1352"/>
      <c r="CO77" s="1415" t="str">
        <f>CN75</f>
        <v/>
      </c>
      <c r="CP77" s="1417" t="e">
        <f>CP75</f>
        <v>#N/A</v>
      </c>
      <c r="CR77" s="1386" t="s">
        <v>284</v>
      </c>
      <c r="CS77" s="1353">
        <f>IF(HW75=TRUE,T77,0)</f>
        <v>0</v>
      </c>
      <c r="CT77" s="1353" t="str">
        <f>IF(HW75=TRUE,U77,"")</f>
        <v/>
      </c>
      <c r="CU77" s="1373">
        <f>IF(HW75=TRUE,U78,0)</f>
        <v>0</v>
      </c>
      <c r="CV77" s="1370">
        <f>IF(HW75=TRUE,AB78,0)</f>
        <v>0</v>
      </c>
      <c r="CW77" s="1370">
        <f>IF(HW75=TRUE,AC78,0)</f>
        <v>0</v>
      </c>
      <c r="CX77" s="1371"/>
      <c r="CY77" s="1486"/>
      <c r="CZ77" s="1486"/>
      <c r="DA77" s="1486"/>
      <c r="DC77" s="1353">
        <f>IF(HW75=TRUE,AE77,0)</f>
        <v>0</v>
      </c>
      <c r="DD77" s="1353" t="str">
        <f>IF(HW75=TRUE,AF77,"")</f>
        <v/>
      </c>
      <c r="DE77" s="1373">
        <f>AF78</f>
        <v>0</v>
      </c>
      <c r="DF77" s="1406">
        <f>IFERROR(IF(FL77=3,IK77,IF(FL77=4,IL77,IF(FL77=5,IM77,IF(FL77=6,IN77,IF(FL77=7,IO77,IF(FL77=8,IP77,0)))))),0)</f>
        <v>0</v>
      </c>
      <c r="DG77" s="1370">
        <f>IF(HW75=TRUE,AK77,0)</f>
        <v>0</v>
      </c>
      <c r="DH77" s="1369"/>
      <c r="DK77" s="1483">
        <f>IFERROR(CW77-DG77,0)</f>
        <v>0</v>
      </c>
      <c r="DL77" s="1420"/>
      <c r="DN77" s="1403"/>
      <c r="DO77" s="1477" t="str">
        <f>DN75</f>
        <v/>
      </c>
      <c r="DP77" s="1354"/>
      <c r="DQ77" s="1477" t="str">
        <f>IF(DP75=7,"LLLC","")</f>
        <v/>
      </c>
      <c r="DR77" s="1403"/>
      <c r="DS77" s="1489"/>
      <c r="DU77" s="1403"/>
      <c r="DV77" s="1404" t="str">
        <f>DU75</f>
        <v/>
      </c>
      <c r="DW77" s="1403"/>
      <c r="DX77" s="1403"/>
      <c r="DZ77" s="1481"/>
      <c r="EA77" s="1481"/>
      <c r="EC77" s="1482"/>
      <c r="ED77" s="1369"/>
      <c r="EE77" s="1371"/>
      <c r="EF77" s="1369"/>
      <c r="EG77" s="1369"/>
      <c r="EH77" s="1374"/>
      <c r="EI77" s="1374"/>
      <c r="EJ77" s="1363"/>
      <c r="EK77" s="1376"/>
      <c r="EL77" s="1376"/>
      <c r="EM77" s="1362"/>
      <c r="EN77" s="1362"/>
      <c r="EO77" s="1363"/>
      <c r="EP77" s="1363"/>
      <c r="EQ77" s="1363"/>
      <c r="ES77" s="1403"/>
      <c r="EU77" s="1411" t="e">
        <f>VLOOKUP(CP77,'Space Table'!$B$3:$L$160,8,FALSE)</f>
        <v>#N/A</v>
      </c>
      <c r="EV77" s="1411" t="e">
        <f>IF(EY77="Yes",VLOOKUP(AF77,Lookup_Control_Type_Table2,4,FALSE),VLOOKUP(AF77,Lookup_Control_Type_Table2,3,FALSE))</f>
        <v>#N/A</v>
      </c>
      <c r="EW77" s="1411" t="e">
        <f>VLOOKUP(AF77,Lookup!AU$3:AV$15,2,FALSE)</f>
        <v>#N/A</v>
      </c>
      <c r="EX77" s="1411" t="e">
        <f>VLOOKUP(EU75,Lookup_Control_Type_Table,2,FALSE)</f>
        <v>#N/A</v>
      </c>
      <c r="EY77" s="1411" t="e">
        <f>VLOOKUP(CP77,'Space Table'!$B$3:$L$160,7,FALSE)</f>
        <v>#N/A</v>
      </c>
      <c r="EZ77" s="1413"/>
      <c r="FB77" s="1365" t="str">
        <f>CONCATENATE(CN75," - ",AF77)</f>
        <v xml:space="preserve"> - </v>
      </c>
      <c r="FD77" s="1354"/>
      <c r="FE77" s="1354"/>
      <c r="FF77" s="138"/>
      <c r="FI77" s="1356" t="str">
        <f>IF(CN75="Exterior","Not Daylighted",G78)</f>
        <v>Not Daylighted</v>
      </c>
      <c r="FJ77" s="1356">
        <f>VLOOKUP(FI77,_Daylight_Table_Codes,2,FALSE)</f>
        <v>0</v>
      </c>
      <c r="FK77" s="1365">
        <f>AF77</f>
        <v>0</v>
      </c>
      <c r="FL77" s="1365" t="e">
        <f>VLOOKUP(FK77,_Control_Table,2,FALSE)</f>
        <v>#N/A</v>
      </c>
      <c r="FM77" s="1365" t="e">
        <f>IF(AND(FP77&gt;0,FK77="Occupancy Sensor"),"Daylight + Occupancy",IF(AND(FP77&gt;0,FL77&lt;4),"Interior Daylight Dimming",FK77))</f>
        <v>#N/A</v>
      </c>
      <c r="FO77" s="1364">
        <f>IF(CN75="Interior",VLOOKUP(CP75,Control_Savings_Interior,5,FALSE),0)</f>
        <v>0</v>
      </c>
      <c r="FP77" s="1361">
        <f>IF(CN77="Exterior",0,IF(FJ77=2,0.5,IF(OR(FJ77=1,FJ77=3),1,0)))</f>
        <v>0</v>
      </c>
      <c r="FQ77" s="1366">
        <f>IF(R76&gt;FO$37,(FO77*(FO$37/R76)),FO77)*FP77</f>
        <v>0</v>
      </c>
      <c r="FR77" s="1364">
        <f>DF77</f>
        <v>0</v>
      </c>
      <c r="FS77" s="1364">
        <f>ROUND(FR77+((1-FR77)*FQ77),2)</f>
        <v>0</v>
      </c>
      <c r="FT77" s="1364">
        <f>IF(__Retrofit_TI_NC=2,FS77,FR77)</f>
        <v>0</v>
      </c>
      <c r="FU77" s="1360">
        <f>IF(CO77="Interior",VLOOKUP(CP77,Control_Savings_Interior,4,FALSE),0)</f>
        <v>0</v>
      </c>
      <c r="FW77" s="1352"/>
      <c r="FX77" s="1352"/>
      <c r="FY77" s="1352"/>
      <c r="FZ77" s="1352"/>
      <c r="GA77" s="1352"/>
      <c r="GB77" s="1352"/>
      <c r="GC77" s="1352"/>
      <c r="GD77" s="1352"/>
      <c r="GE77" s="759" t="b">
        <f>IF(ISNUMBER(SEARCH("TLED",U77)),TRUE,FALSE)</f>
        <v>0</v>
      </c>
      <c r="GF77" s="1035" t="str">
        <f>IFERROR(VLOOKUP(U77,Fixtures!DM$93:DR$142,6,FALSE),"")</f>
        <v/>
      </c>
      <c r="GG77" s="1385"/>
      <c r="GI77" s="1383"/>
      <c r="GJ77" s="1379"/>
      <c r="GL77" s="1379"/>
      <c r="GM77" s="1379"/>
      <c r="HC77" s="1379"/>
      <c r="HD77" s="1379"/>
      <c r="HE77" s="1379"/>
      <c r="HF77" s="1379"/>
      <c r="HG77" s="1379"/>
      <c r="HH77" s="1379"/>
      <c r="HI77" s="1383"/>
      <c r="HJ77" s="1383"/>
      <c r="HK77" s="1383"/>
      <c r="HL77" s="1379"/>
      <c r="HM77" s="1379"/>
      <c r="HN77" s="1379"/>
      <c r="HO77" s="1379"/>
      <c r="HP77" s="1379"/>
      <c r="HQ77" s="1379"/>
      <c r="HR77" s="1379"/>
      <c r="HS77" s="1379"/>
      <c r="HT77" s="1379"/>
      <c r="HU77" s="1379"/>
      <c r="HW77" s="1383"/>
      <c r="HX77" s="1384" t="b">
        <f>HW75</f>
        <v>0</v>
      </c>
      <c r="HY77" s="1378"/>
      <c r="HZ77" s="436"/>
      <c r="IA77" s="1386"/>
      <c r="IB77" s="1380">
        <f>IF(IA75=TRUE,AC78,0)</f>
        <v>0</v>
      </c>
      <c r="IC77" s="1379"/>
      <c r="IF77" s="1380" t="e">
        <f>ROUND(T77*AB78*N76*R76/1000,0)</f>
        <v>#VALUE!</v>
      </c>
      <c r="IG77" s="1382"/>
      <c r="IH77" s="1384" t="e">
        <f>ROUND(T77*AB78*N76*R76/1000,0)</f>
        <v>#VALUE!</v>
      </c>
      <c r="II77" s="1382"/>
      <c r="IK77" s="1351" t="e">
        <f>IF($CO77="interior",IL77/2,VLOOKUP($CP77,Control_Savings_Exterior,IK$30,FALSE))</f>
        <v>#N/A</v>
      </c>
      <c r="IL77" s="1351" t="e">
        <f>IF($CO77="interior",VLOOKUP($CP77,Control_Savings_Interior,IL$30,FALSE),VLOOKUP($CP77,Control_Savings_Exterior,IL$30,FALSE))</f>
        <v>#N/A</v>
      </c>
      <c r="IM77" s="1351" t="e">
        <f>IF($CO77="interior",IF(R76&gt;FO$37,(IM$28*(FO$37/R76)),IM$28)*FP77,VLOOKUP($CP77,Control_Savings_Exterior,IM$30,FALSE))</f>
        <v>#N/A</v>
      </c>
      <c r="IN77" s="1351" t="e">
        <f>IF($CO77="interior",ROUND(((1-IL77)*IM77)+IL77,2),VLOOKUP($CP77,Control_Savings_Exterior,IN$30,FALSE))</f>
        <v>#N/A</v>
      </c>
      <c r="IO77" s="1351" t="e">
        <f>IF($CO77="interior", ROUND(((1-IL77)*(IM77*(1-IP$28)))+IP77,2), VLOOKUP($CP77,Control_Savings_Exterior,IO$30,FALSE))</f>
        <v>#N/A</v>
      </c>
      <c r="IP77" s="1351">
        <f>IF($CO77="interior",ROUND(((1-IL77)*IP$28)+IL77,2),0)</f>
        <v>0</v>
      </c>
    </row>
    <row r="78" spans="1:250" s="82" customFormat="1" ht="14.95" customHeight="1" thickTop="1" thickBot="1">
      <c r="B78" s="1421"/>
      <c r="C78" s="1422"/>
      <c r="D78" s="1423"/>
      <c r="E78" s="1462" t="s">
        <v>357</v>
      </c>
      <c r="F78" s="1463"/>
      <c r="G78" s="1464" t="s">
        <v>362</v>
      </c>
      <c r="H78" s="1465"/>
      <c r="I78" s="1465"/>
      <c r="J78" s="1465"/>
      <c r="K78" s="1465"/>
      <c r="L78" s="1466"/>
      <c r="M78" s="669">
        <f>IFERROR(VLOOKUP(G78,_Daylight_Table[],2,FALSE),0)</f>
        <v>0</v>
      </c>
      <c r="N78" s="670"/>
      <c r="O78" s="669" t="e">
        <f>VLOOKUP(G77,'Space Table'!$B$3:$L$160,11,FALSE)</f>
        <v>#N/A</v>
      </c>
      <c r="P78" s="1408"/>
      <c r="Q78" s="1409"/>
      <c r="R78" s="1409"/>
      <c r="S78" s="1402"/>
      <c r="T78" s="671" t="s">
        <v>281</v>
      </c>
      <c r="U78" s="1467" t="str">
        <f>IFERROR(VLOOKUP(U77,Fixtures!DM$93:DP$142,4,FALSE),"")</f>
        <v/>
      </c>
      <c r="V78" s="1468"/>
      <c r="W78" s="1468"/>
      <c r="X78" s="1468"/>
      <c r="Y78" s="1468"/>
      <c r="Z78" s="1468"/>
      <c r="AA78" s="1468"/>
      <c r="AB78" s="1046" t="str">
        <f>IFERROR(VLOOKUP(U77,Fixtures_Proposed_List,2,FALSE),"")</f>
        <v/>
      </c>
      <c r="AC78" s="1036" t="str">
        <f>IFERROR(ROUND(T77*AB78*N76*R76/1000,0),"")</f>
        <v/>
      </c>
      <c r="AD78" s="1037" t="str">
        <f>IFERROR(ROUND(T77*AB78/1000,2),"")</f>
        <v/>
      </c>
      <c r="AE78" s="1045" t="s">
        <v>281</v>
      </c>
      <c r="AF78" s="1469"/>
      <c r="AG78" s="1469"/>
      <c r="AH78" s="1469"/>
      <c r="AI78" s="1469"/>
      <c r="AJ78" s="1476"/>
      <c r="AK78" s="1471"/>
      <c r="AL78" s="1473"/>
      <c r="AM78" s="1443"/>
      <c r="AN78" s="1444"/>
      <c r="AO78" s="1449"/>
      <c r="AP78" s="1449"/>
      <c r="AQ78" s="1450"/>
      <c r="AR78" s="1453"/>
      <c r="AS78" s="1456"/>
      <c r="AT78" s="1459"/>
      <c r="AU78" s="517"/>
      <c r="AV78" s="1480"/>
      <c r="AW78" s="1480"/>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M78" s="1352"/>
      <c r="CN78" s="1352"/>
      <c r="CO78" s="1416"/>
      <c r="CP78" s="1418"/>
      <c r="CR78" s="1386"/>
      <c r="CS78" s="1355"/>
      <c r="CT78" s="1355"/>
      <c r="CU78" s="1375"/>
      <c r="CV78" s="1372"/>
      <c r="CW78" s="1372"/>
      <c r="CX78" s="1372"/>
      <c r="CY78" s="1487"/>
      <c r="CZ78" s="1487"/>
      <c r="DA78" s="1487"/>
      <c r="DC78" s="1355"/>
      <c r="DD78" s="1355"/>
      <c r="DE78" s="1375"/>
      <c r="DF78" s="1407"/>
      <c r="DG78" s="1372"/>
      <c r="DH78" s="1369"/>
      <c r="DK78" s="1484"/>
      <c r="DL78" s="1420"/>
      <c r="DN78" s="1403"/>
      <c r="DO78" s="1405"/>
      <c r="DP78" s="1355"/>
      <c r="DQ78" s="1405"/>
      <c r="DR78" s="1403"/>
      <c r="DS78" s="1489"/>
      <c r="DU78" s="1403"/>
      <c r="DV78" s="1405"/>
      <c r="DW78" s="1403"/>
      <c r="DX78" s="1403"/>
      <c r="DZ78" s="1481"/>
      <c r="EA78" s="1481"/>
      <c r="EC78" s="1482"/>
      <c r="ED78" s="1369"/>
      <c r="EE78" s="1372"/>
      <c r="EF78" s="1369"/>
      <c r="EG78" s="1369"/>
      <c r="EH78" s="1375"/>
      <c r="EI78" s="1375"/>
      <c r="EJ78" s="1363"/>
      <c r="EK78" s="1376"/>
      <c r="EL78" s="1376"/>
      <c r="EM78" s="1362"/>
      <c r="EN78" s="1362"/>
      <c r="EO78" s="1363"/>
      <c r="EP78" s="1363"/>
      <c r="EQ78" s="1363"/>
      <c r="ES78" s="1403"/>
      <c r="EU78" s="1488"/>
      <c r="EV78" s="1488"/>
      <c r="EW78" s="1488"/>
      <c r="EX78" s="1488"/>
      <c r="EY78" s="1488"/>
      <c r="EZ78" s="1414"/>
      <c r="FB78" s="1365"/>
      <c r="FD78" s="1355"/>
      <c r="FE78" s="1355"/>
      <c r="FF78" s="138"/>
      <c r="FI78" s="1357"/>
      <c r="FJ78" s="1357"/>
      <c r="FK78" s="1365"/>
      <c r="FL78" s="1365"/>
      <c r="FM78" s="1365"/>
      <c r="FO78" s="1361"/>
      <c r="FP78" s="1361"/>
      <c r="FQ78" s="1366"/>
      <c r="FR78" s="1361"/>
      <c r="FS78" s="1361"/>
      <c r="FT78" s="1361"/>
      <c r="FU78" s="1360"/>
      <c r="FW78" s="1352"/>
      <c r="FX78" s="1352"/>
      <c r="FY78" s="1352"/>
      <c r="FZ78" s="1352"/>
      <c r="GA78" s="1352"/>
      <c r="GB78" s="1352"/>
      <c r="GC78" s="1352"/>
      <c r="GD78" s="1352"/>
      <c r="GE78" s="759"/>
      <c r="GF78" s="1035"/>
      <c r="GG78" s="1385"/>
      <c r="GJ78" s="1034">
        <f>IF(GJ76=TRUE,0,GJ$16)</f>
        <v>0</v>
      </c>
      <c r="GL78" s="1034">
        <f>IF(GL76=TRUE,0,GL$16)</f>
        <v>36</v>
      </c>
      <c r="GM78" s="1034">
        <f>IF(GM76=TRUE,0,GM$16)</f>
        <v>35</v>
      </c>
      <c r="GN78" s="436"/>
      <c r="GO78" s="436"/>
      <c r="GP78" s="436"/>
      <c r="GQ78" s="436"/>
      <c r="GR78" s="436"/>
      <c r="HC78" s="1034">
        <f t="shared" ref="HC78:HH78" si="42">IF(HC76=TRUE,0,HC$16)</f>
        <v>19</v>
      </c>
      <c r="HD78" s="1034">
        <f t="shared" si="42"/>
        <v>18</v>
      </c>
      <c r="HE78" s="1034">
        <f t="shared" si="42"/>
        <v>17</v>
      </c>
      <c r="HF78" s="1034">
        <f t="shared" si="42"/>
        <v>16</v>
      </c>
      <c r="HG78" s="1034">
        <f t="shared" si="42"/>
        <v>0</v>
      </c>
      <c r="HH78" s="1034">
        <f t="shared" si="42"/>
        <v>0</v>
      </c>
      <c r="HI78" s="1034">
        <f>IF(HI76=TRUE,0,HI$16)</f>
        <v>13</v>
      </c>
      <c r="HJ78" s="1034">
        <f t="shared" ref="HJ78:HL78" si="43">IF(HJ76=TRUE,0,HJ$16)</f>
        <v>12</v>
      </c>
      <c r="HK78" s="1034">
        <f t="shared" si="43"/>
        <v>11</v>
      </c>
      <c r="HL78" s="1034">
        <f t="shared" si="43"/>
        <v>10</v>
      </c>
      <c r="HM78" s="1034">
        <f>IF(HM76=TRUE,0,HM$16)</f>
        <v>9</v>
      </c>
      <c r="HN78" s="1034">
        <f t="shared" ref="HN78:HR78" si="44">IF(HN76=TRUE,0,HN$16)</f>
        <v>0</v>
      </c>
      <c r="HO78" s="1034">
        <f t="shared" si="44"/>
        <v>0</v>
      </c>
      <c r="HP78" s="1034">
        <f t="shared" si="44"/>
        <v>0</v>
      </c>
      <c r="HQ78" s="1034">
        <f t="shared" si="44"/>
        <v>0</v>
      </c>
      <c r="HR78" s="1034">
        <f t="shared" si="44"/>
        <v>0</v>
      </c>
      <c r="HS78" s="1034">
        <f>IF(HS76=TRUE,0,HS$16)</f>
        <v>0</v>
      </c>
      <c r="HT78" s="1034">
        <f t="shared" ref="HT78" si="45">IF(HT76=TRUE,0,HT$16)</f>
        <v>0</v>
      </c>
      <c r="HU78" s="1034">
        <f>IF(HU76=TRUE,0,HU$16)</f>
        <v>1</v>
      </c>
      <c r="HW78" s="1034">
        <f>IF(GL76=FALSE,GL78,IF(GM76=FALSE,GM78,MAX(GJ78:HU78)))</f>
        <v>36</v>
      </c>
      <c r="HX78" s="1383"/>
      <c r="HY78" s="241" t="str">
        <f>VLOOKUP(HW78,_Error_Table,3,FALSE)</f>
        <v xml:space="preserve"> </v>
      </c>
      <c r="HZ78" s="241"/>
      <c r="IA78" s="1386"/>
      <c r="IB78" s="1380"/>
      <c r="IC78" s="1379"/>
      <c r="IF78" s="1380"/>
      <c r="IG78" s="1383"/>
      <c r="IH78" s="1383"/>
      <c r="II78" s="1383"/>
      <c r="IK78" s="1351"/>
      <c r="IL78" s="1351"/>
      <c r="IM78" s="1351"/>
      <c r="IN78" s="1351"/>
      <c r="IO78" s="1351"/>
      <c r="IP78" s="1351"/>
    </row>
    <row r="79" spans="1:250" s="82" customFormat="1" ht="5.0999999999999996" customHeight="1" thickBot="1">
      <c r="B79" s="762"/>
      <c r="C79" s="437"/>
      <c r="D79" s="437"/>
      <c r="E79" s="1490"/>
      <c r="F79" s="1490"/>
      <c r="G79" s="1490"/>
      <c r="H79" s="1490"/>
      <c r="I79" s="1490"/>
      <c r="J79" s="1490"/>
      <c r="K79" s="1490"/>
      <c r="L79" s="1490"/>
      <c r="M79" s="1490"/>
      <c r="N79" s="1490"/>
      <c r="O79" s="1490"/>
      <c r="P79" s="1490"/>
      <c r="Q79" s="1490"/>
      <c r="R79" s="1490"/>
      <c r="S79" s="1490"/>
      <c r="T79" s="1490"/>
      <c r="U79" s="1490"/>
      <c r="V79" s="1490"/>
      <c r="W79" s="1490"/>
      <c r="X79" s="1490"/>
      <c r="Y79" s="1490"/>
      <c r="Z79" s="1490"/>
      <c r="AA79" s="1490"/>
      <c r="AB79" s="1490"/>
      <c r="AC79" s="1490"/>
      <c r="AD79" s="1490"/>
      <c r="AE79" s="1490"/>
      <c r="AF79" s="1490"/>
      <c r="AG79" s="1490"/>
      <c r="AH79" s="1490"/>
      <c r="AI79" s="1490"/>
      <c r="AJ79" s="1490"/>
      <c r="AK79" s="1490"/>
      <c r="AL79" s="1490"/>
      <c r="AM79" s="1490"/>
      <c r="AN79" s="1490"/>
      <c r="AO79" s="1490"/>
      <c r="AP79" s="1490"/>
      <c r="AQ79" s="1490"/>
      <c r="AR79" s="1490"/>
      <c r="AS79" s="1490"/>
      <c r="AT79" s="1490"/>
      <c r="AU79" s="51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M79" s="749"/>
      <c r="CN79" s="749"/>
      <c r="CO79" s="485"/>
      <c r="CP79" s="749"/>
      <c r="CS79" s="436"/>
      <c r="CT79" s="436"/>
      <c r="CU79" s="243"/>
      <c r="CV79" s="244"/>
      <c r="CW79" s="244"/>
      <c r="CX79" s="244"/>
      <c r="CY79" s="245"/>
      <c r="CZ79" s="245"/>
      <c r="DA79" s="245"/>
      <c r="DC79" s="750"/>
      <c r="DD79" s="751"/>
      <c r="DE79" s="752"/>
      <c r="DF79" s="753"/>
      <c r="DG79" s="754"/>
      <c r="DH79" s="754"/>
      <c r="DK79" s="244"/>
      <c r="DL79" s="750"/>
      <c r="DN79" s="750"/>
      <c r="DO79" s="755"/>
      <c r="DP79" s="436"/>
      <c r="DQ79" s="750"/>
      <c r="DR79" s="750"/>
      <c r="DS79" s="750"/>
      <c r="DU79" s="750"/>
      <c r="DV79" s="750"/>
      <c r="DW79" s="750"/>
      <c r="DX79" s="750"/>
      <c r="DZ79" s="756"/>
      <c r="EA79" s="756"/>
      <c r="EC79" s="754"/>
      <c r="ED79" s="754"/>
      <c r="EE79" s="244"/>
      <c r="EF79" s="754"/>
      <c r="EG79" s="754"/>
      <c r="EH79" s="243"/>
      <c r="EI79" s="243"/>
      <c r="EJ79" s="752"/>
      <c r="EK79" s="757"/>
      <c r="EL79" s="757"/>
      <c r="EM79" s="758"/>
      <c r="EN79" s="758"/>
      <c r="EO79" s="752"/>
      <c r="EP79" s="752"/>
      <c r="EQ79" s="752"/>
      <c r="ES79" s="750"/>
      <c r="EU79" s="436"/>
      <c r="EV79" s="436"/>
      <c r="EW79" s="436"/>
      <c r="EX79" s="436"/>
      <c r="EY79" s="436"/>
      <c r="EZ79" s="436"/>
      <c r="FB79" s="643"/>
      <c r="FD79" s="436"/>
      <c r="FE79" s="436"/>
      <c r="FF79" s="436"/>
      <c r="FO79" s="750"/>
      <c r="FP79" s="436"/>
      <c r="FQ79" s="436"/>
      <c r="FR79" s="750"/>
      <c r="FS79" s="750"/>
      <c r="FW79" s="749"/>
      <c r="FX79" s="749"/>
      <c r="FY79" s="749"/>
      <c r="FZ79" s="749"/>
      <c r="GA79" s="749"/>
      <c r="GB79" s="749"/>
      <c r="GC79" s="749"/>
      <c r="GD79" s="749"/>
      <c r="GE79" s="751"/>
      <c r="GF79" s="750"/>
      <c r="GG79" s="750"/>
    </row>
    <row r="80" spans="1:250" s="82" customFormat="1" ht="14.95" customHeight="1" thickTop="1" thickBot="1">
      <c r="B80" s="1421" t="str">
        <f>HY83</f>
        <v xml:space="preserve"> </v>
      </c>
      <c r="C80" s="1422">
        <f>C75+1</f>
        <v>9</v>
      </c>
      <c r="D80" s="1423"/>
      <c r="E80" s="1424" t="s">
        <v>242</v>
      </c>
      <c r="F80" s="1425"/>
      <c r="G80" s="1426"/>
      <c r="H80" s="1427"/>
      <c r="I80" s="1427"/>
      <c r="J80" s="1427"/>
      <c r="K80" s="1427"/>
      <c r="L80" s="1427"/>
      <c r="M80" s="1427"/>
      <c r="N80" s="1427"/>
      <c r="O80" s="1427"/>
      <c r="P80" s="1427"/>
      <c r="Q80" s="1427"/>
      <c r="R80" s="1427"/>
      <c r="S80" s="1428" t="s">
        <v>283</v>
      </c>
      <c r="T80" s="668" t="s">
        <v>190</v>
      </c>
      <c r="U80" s="1430" t="s">
        <v>186</v>
      </c>
      <c r="V80" s="1431"/>
      <c r="W80" s="1431"/>
      <c r="X80" s="1431"/>
      <c r="Y80" s="1431"/>
      <c r="Z80" s="1431"/>
      <c r="AA80" s="1431"/>
      <c r="AB80" s="1088" t="str">
        <f>IFERROR(IF(__Retrofit_TI_NC=0,VLOOKUP(U81,Fixtures_Existing_List,2,FALSE),ROUND(N82*R82/T82,10)),"")</f>
        <v/>
      </c>
      <c r="AC80" s="1039" t="str">
        <f>IFERROR(IF(__Retrofit_TI_NC=0,ROUND(T81*AB80*N81*R81/1000,0),IF(CN80="Interior",N82*R82*R81*N81*_C406_reduction/1000,N82*R82*R81*N81/1000)),"")</f>
        <v/>
      </c>
      <c r="AD80" s="1040" t="str">
        <f>IFERROR(IF(C$36=0,ROUND(T81*AB80/1000,2),N82*R82/1000),"")</f>
        <v/>
      </c>
      <c r="AE80" s="1044" t="s">
        <v>190</v>
      </c>
      <c r="AF80" s="1432" t="str">
        <f>IF(__Retrofit_TI_NC=2,CONCATENATE("Code min = ",DD80),IF(__Retrofit_TI_NC=1,"Emter what you think the existing control was"," Control"))</f>
        <v xml:space="preserve"> Control</v>
      </c>
      <c r="AG80" s="1432"/>
      <c r="AH80" s="1432"/>
      <c r="AI80" s="1432"/>
      <c r="AJ80" s="1433">
        <f>DF80</f>
        <v>0</v>
      </c>
      <c r="AK80" s="1435" t="str">
        <f>IFERROR(ROUND(AJ80*AC80,0),"")</f>
        <v/>
      </c>
      <c r="AL80" s="1437">
        <f>IFERROR(IF(HW80=FALSE,0,AC80-AK80),0)</f>
        <v>0</v>
      </c>
      <c r="AM80" s="1439">
        <f>AL80-AL82</f>
        <v>0</v>
      </c>
      <c r="AN80" s="1440"/>
      <c r="AO80" s="1445">
        <f>IFERROR(IF(HW80=FALSE,0,(T82*U83)+(AE82*AF83)),0)</f>
        <v>0</v>
      </c>
      <c r="AP80" s="1445"/>
      <c r="AQ80" s="1446"/>
      <c r="AR80" s="1451" t="s">
        <v>157</v>
      </c>
      <c r="AS80" s="1454">
        <f>IF(AR80="Yes",1,0)</f>
        <v>1</v>
      </c>
      <c r="AT80" s="1457" t="str">
        <f>IF(OR(DN80=4,DN80=5,DN80=6,DN80=12),CONCATENATE("$",IF(GD80=TRUE,Lookup!$B$11,Lookup!$B$2)," /lamp"),CONCATENATE(EA80,"/ kWh"))</f>
        <v>0/ kWh</v>
      </c>
      <c r="AU80" s="516"/>
      <c r="AV80" s="1478">
        <f>IFERROR(IF(GI81=TRUE,(AB83*T82)/R82,0),"NA")</f>
        <v>0</v>
      </c>
      <c r="AW80" s="1478" t="str">
        <f>IFERROR(N82*_C406_reduction,"NA")</f>
        <v>NA</v>
      </c>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M80" s="1352" t="str">
        <f>N81</f>
        <v/>
      </c>
      <c r="CN80" s="1352" t="str">
        <f>IFERROR(VLOOKUP(G81,_Lookup_Heat_Type_Table_New,3,FALSE),"")</f>
        <v/>
      </c>
      <c r="CO80" s="1415" t="str">
        <f>CN80</f>
        <v/>
      </c>
      <c r="CP80" s="1417" t="e">
        <f>VLOOKUP(G82,'Space Table'!$B$3:$L$160,9,FALSE)</f>
        <v>#N/A</v>
      </c>
      <c r="CR80" s="1386" t="s">
        <v>283</v>
      </c>
      <c r="CS80" s="1353">
        <f>IF(HW80=TRUE,T81,0)</f>
        <v>0</v>
      </c>
      <c r="CT80" s="1353" t="str">
        <f>IF(HW80=TRUE,U81,"")</f>
        <v/>
      </c>
      <c r="CU80" s="1353"/>
      <c r="CV80" s="1370">
        <f>IF(HW80=TRUE,AB80,0)</f>
        <v>0</v>
      </c>
      <c r="CW80" s="1370">
        <f>IF(HW80=TRUE,AC80,0)</f>
        <v>0</v>
      </c>
      <c r="CX80" s="1370">
        <f>IFERROR(IF(HW80=TRUE,CW80-CW82,0),0)</f>
        <v>0</v>
      </c>
      <c r="CY80" s="1485">
        <f>IF(HW80=TRUE,AD80,0)</f>
        <v>0</v>
      </c>
      <c r="CZ80" s="1485">
        <f>IF(HW80=TRUE,AD83,0)</f>
        <v>0</v>
      </c>
      <c r="DA80" s="1485">
        <f>IFERROR(CY80-CZ80,0)</f>
        <v>0</v>
      </c>
      <c r="DC80" s="1353">
        <f>IF(HW80=TRUE,AE81,0)</f>
        <v>0</v>
      </c>
      <c r="DD80" s="1460">
        <f>IF(__Retrofit_TI_NC=2,IF(CN80="Exterior",O83,FM80),FK80)</f>
        <v>0</v>
      </c>
      <c r="DE80" s="1353"/>
      <c r="DF80" s="1406">
        <f>IFERROR(IF(FL80=3,IK80,IF(FL80=4,IL80,IF(FL80=5,IM80,IF(FL80=6,IN80,IF(FL80=7,IO80,IF(FL80=8,IP80,0)))))),0)</f>
        <v>0</v>
      </c>
      <c r="DG80" s="1370">
        <f>IF(HW80=TRUE,AK80,0)</f>
        <v>0</v>
      </c>
      <c r="DH80" s="1369">
        <f>IFERROR(IF(HW80=TRUE,DG82-DG80,0),0)</f>
        <v>0</v>
      </c>
      <c r="DJ80" s="1483">
        <f>IFERROR(CW80-DG80,0)</f>
        <v>0</v>
      </c>
      <c r="DL80" s="1419">
        <f>DJ80-DK82</f>
        <v>0</v>
      </c>
      <c r="DN80" s="1403" t="str">
        <f>IFERROR(IF(AND(OR(FY80=4,FY80=5,FY80=6),OR(GB80=4,GB80=5,GB80=6)),FY80+8,VLOOKUP(CT82,Fixtures!R$31:Y$78,8,FALSE)),"")</f>
        <v/>
      </c>
      <c r="DO80" s="1404" t="str">
        <f>DN80</f>
        <v/>
      </c>
      <c r="DP80" s="1353" t="str">
        <f>IFERROR(VLOOKUP(DD82,Lookup!AU$3:AV$15,2,FALSE),"")</f>
        <v/>
      </c>
      <c r="DQ80" s="1404" t="str">
        <f>IF(DP80=7,"LLLC","")</f>
        <v/>
      </c>
      <c r="DR80" s="1403">
        <f>IFERROR(IF(OR(DN80=4,DN80=5,DN80=6,DN80=12,DN80=13,DN80=14),VLOOKUP(CT82,Fixtures!DN$27:EG$77,19,FALSE),1)*CS82,0)</f>
        <v>0</v>
      </c>
      <c r="DS80" s="1489">
        <f>IF(DP80=7,IF(DD80=DD82,0,DC82),0)</f>
        <v>0</v>
      </c>
      <c r="DU80" s="1403" t="str">
        <f>IFERROR(IF(EW80&lt;EW82,"Yes","No"),"")</f>
        <v/>
      </c>
      <c r="DV80" s="1404" t="str">
        <f>DU80</f>
        <v/>
      </c>
      <c r="DW80" s="1403">
        <f>IF(DU80="Yes",DC82,0)</f>
        <v>0</v>
      </c>
      <c r="DX80" s="1403">
        <f>DW80-DS80</f>
        <v>0</v>
      </c>
      <c r="DZ80" s="1481">
        <f>IFERROR(VLOOKUP(DN80,Lookup!AN$3:AO$16,2,FALSE),0)</f>
        <v>0</v>
      </c>
      <c r="EA80" s="1481">
        <f>IF(HW80=FALSE,0,IF(DU80="Yes",DZ80+Lookup!B$6,DZ80))</f>
        <v>0</v>
      </c>
      <c r="EC80" s="1482">
        <f>IF(HW80=TRUE,DJ80,0)</f>
        <v>0</v>
      </c>
      <c r="ED80" s="1369">
        <f>IF(HW80=TRUE,CW82,0)</f>
        <v>0</v>
      </c>
      <c r="EE80" s="1370">
        <f>IFERROR(EC80-ED80,0)</f>
        <v>0</v>
      </c>
      <c r="EF80" s="1369">
        <f>IF(HW80=TRUE,DG82,0)</f>
        <v>0</v>
      </c>
      <c r="EG80" s="1369">
        <f>IFERROR(EC80-ED80+EF80,0)</f>
        <v>0</v>
      </c>
      <c r="EH80" s="1373">
        <f>IF(HW80=TRUE,CS82*CU82,0)</f>
        <v>0</v>
      </c>
      <c r="EI80" s="1373">
        <f>IF(HW80=TRUE,DC82*DE82,0)</f>
        <v>0</v>
      </c>
      <c r="EJ80" s="1363">
        <f>AO80</f>
        <v>0</v>
      </c>
      <c r="EK80" s="1376" t="str">
        <f>IFERROR(IF(HW80=TRUE,VLOOKUP(DN80,Lookup!AN$3:AP$16,3,FALSE)*DR80,""),0)</f>
        <v/>
      </c>
      <c r="EL80" s="1376">
        <f>IF(HW80=TRUE,DW80*Lookup!AP$12,0)</f>
        <v>0</v>
      </c>
      <c r="EM80" s="1362">
        <f>IFERROR(IF(HW80=TRUE,EK80/EM$33,0),0)</f>
        <v>0</v>
      </c>
      <c r="EN80" s="1362">
        <f>IF(HW80=TRUE,EL80/EN$33,0)</f>
        <v>0</v>
      </c>
      <c r="EO80" s="1363">
        <f>IF(HW80=TRUE,EQ$33*EM80,0)</f>
        <v>0</v>
      </c>
      <c r="EP80" s="1363">
        <f>IF(HW80=TRUE,EQ$33*EN80,0)</f>
        <v>0</v>
      </c>
      <c r="EQ80" s="1363">
        <f>EO80+EP80</f>
        <v>0</v>
      </c>
      <c r="ES80" s="1403">
        <f>IF(G80="",0,1)</f>
        <v>0</v>
      </c>
      <c r="EU80" s="1410" t="e">
        <f>VLOOKUP(CP82,'Space Table'!$B$3:$L$160,8,FALSE)</f>
        <v>#N/A</v>
      </c>
      <c r="EV80" s="1410" t="e">
        <f>IF(EY80="Yes",VLOOKUP(DD80,Lookup_Control_Type_Table2,4,FALSE),VLOOKUP(DD80,Lookup_Control_Type_Table2,3,FALSE))</f>
        <v>#N/A</v>
      </c>
      <c r="EW80" s="1410" t="e">
        <f>VLOOKUP(DD80,Lookup!AU$3:AV$15,2,FALSE)</f>
        <v>#N/A</v>
      </c>
      <c r="EX80" s="1410" t="e">
        <f>VLOOKUP(EU80,Lookup_Control_Type_Table,2,FALSE)</f>
        <v>#N/A</v>
      </c>
      <c r="EY80" s="1410" t="e">
        <f>VLOOKUP(CP82,'Space Table'!$B$3:$L$160,7,FALSE)</f>
        <v>#N/A</v>
      </c>
      <c r="EZ80" s="1412" t="b">
        <f>ISNUMBER(SEARCH("TLED",U82))</f>
        <v>0</v>
      </c>
      <c r="FB80" s="1365" t="str">
        <f>CONCATENATE(CN80," - ",DD80)</f>
        <v xml:space="preserve"> - 0</v>
      </c>
      <c r="FD80" s="1353" t="str">
        <f>VLOOKUP(CT82,Fixtures!DN$27:EZ$77,38,FALSE)</f>
        <v/>
      </c>
      <c r="FE80" s="1353">
        <f>IFERROR(FD80*EE80,0)</f>
        <v>0</v>
      </c>
      <c r="FF80" s="138"/>
      <c r="FI80" s="1356" t="str">
        <f>IF(CN80="Exterior","Not Daylighted",G83)</f>
        <v>Not Daylighted</v>
      </c>
      <c r="FJ80" s="1356">
        <f>VLOOKUP(FI80,_Daylight_Table_Codes,2,FALSE)</f>
        <v>0</v>
      </c>
      <c r="FK80" s="1365">
        <f>IF(__Retrofit_TI_NC=2,VLOOKUP(G82,'Space Table'!$B$3:$L$160,11,FALSE),AF81)</f>
        <v>0</v>
      </c>
      <c r="FL80" s="1365" t="e">
        <f>VLOOKUP(FK80,_Control_Table,2,FALSE)</f>
        <v>#N/A</v>
      </c>
      <c r="FM80" s="1365" t="e">
        <f>IF(AND(FP80&gt;0,FK80="Occupancy Sensor"),"Daylight + Occupancy",IF(AND(FP80&gt;0,FL80&lt;4),"Interior Daylight Dimming",FK80))</f>
        <v>#N/A</v>
      </c>
      <c r="FO80" s="1364">
        <f>IF(CO80="Interior",VLOOKUP(CP80,Control_Savings_Interior,5,FALSE),0)</f>
        <v>0</v>
      </c>
      <c r="FP80" s="1361">
        <f>IF(CN80="Exterior",0,IF(FJ80=2,0.5,IF(OR(FJ80=1,FJ80=3),1,0)))</f>
        <v>0</v>
      </c>
      <c r="FQ80" s="1366"/>
      <c r="FR80" s="1367"/>
      <c r="FS80" s="1364"/>
      <c r="FT80" s="1367"/>
      <c r="FU80" s="1360"/>
      <c r="FW80" s="1352" t="str">
        <f>IFERROR(VLOOKUP(U81,_Exist_Fixture_Table,3,FALSE),"")</f>
        <v/>
      </c>
      <c r="FX80" s="1352" t="str">
        <f>VLOOKUP(CT80,_Exist_Fixture_Table,4,FALSE)</f>
        <v/>
      </c>
      <c r="FY80" s="1352">
        <f>IFERROR(VLOOKUP(FX80,Lookup!AM$6:AN$8,2,FALSE),0)</f>
        <v>0</v>
      </c>
      <c r="FZ80" s="1352" t="b">
        <f>IFERROR(IF(OR(GB80=4,GB80=5,GB80=6),TRUE,FALSE),"")</f>
        <v>0</v>
      </c>
      <c r="GA80" s="1352" t="str">
        <f>IFERROR(VLOOKUP(GB80,FY$6:FZ$10,2,FALSE),"")</f>
        <v/>
      </c>
      <c r="GB80" s="1352" t="str">
        <f>VLOOKUP(CT82,Fixtures!R$31:Y$78,8,FALSE)</f>
        <v/>
      </c>
      <c r="GC80" s="1352">
        <f>IF(AND(FW80=TRUE,FZ80=TRUE,OR(DN80=12,DN80=13,DN80=14)),FY80+8,0)</f>
        <v>0</v>
      </c>
      <c r="GD80" s="1352" t="b">
        <f>IF(OR(GC80=12,GC80=13,GC80=14),TRUE,FALSE)</f>
        <v>0</v>
      </c>
      <c r="GE80" s="759" t="b">
        <f>IF(ISNUMBER(SEARCH("TLED",U81)),TRUE,FALSE)</f>
        <v>0</v>
      </c>
      <c r="GF80" s="1035" t="str">
        <f>IFERROR(VLOOKUP(U81,Fixtures!BM$93:BR$142,6,FALSE),"")</f>
        <v/>
      </c>
      <c r="GG80" s="1385" t="b">
        <f>IF(OR(GE80=FALSE,GE82=FALSE),TRUE,IF(GF80-GF82&lt;5,FALSE,TRUE))</f>
        <v>1</v>
      </c>
      <c r="GK80" s="1034">
        <f>GL80</f>
        <v>0</v>
      </c>
      <c r="GL80" s="1034">
        <f>IF(G80="",0,1)</f>
        <v>0</v>
      </c>
      <c r="GM80" s="1034">
        <f>SUM(GN80:HB80)</f>
        <v>2</v>
      </c>
      <c r="GN80" s="1034">
        <f>IF(G81="",0,1)</f>
        <v>0</v>
      </c>
      <c r="GO80" s="1034">
        <f>IF(G82="",0,1)</f>
        <v>0</v>
      </c>
      <c r="GP80" s="1034">
        <f>IF(R81="",0,1)</f>
        <v>0</v>
      </c>
      <c r="GQ80" s="1034">
        <f>IF(__Retrofit_TI_NC=0,1,IF(R82="",0,1))</f>
        <v>1</v>
      </c>
      <c r="GR80" s="1034">
        <f>IF(CN80="Exterior",1,IF(G83="",0,1))</f>
        <v>1</v>
      </c>
      <c r="GS80" s="1034">
        <f>IF(__Retrofit_TI_NC&lt;&gt;0,1,IF(T81="",0,1))</f>
        <v>0</v>
      </c>
      <c r="GT80" s="1034">
        <f>IF(__Retrofit_TI_NC&lt;&gt;0,1,IF(U81="",0,1))</f>
        <v>0</v>
      </c>
      <c r="GU80" s="1034">
        <f>IF(T82="",0,1)</f>
        <v>0</v>
      </c>
      <c r="GV80" s="1034">
        <f>IF(U82="",0,1)</f>
        <v>0</v>
      </c>
      <c r="GW80" s="1034">
        <f>IF(__Retrofit_TI_NC=2,1,IF(U83="",0,1))</f>
        <v>0</v>
      </c>
      <c r="GX80" s="1034">
        <f>IF(__Retrofit_TI_NC&lt;&gt;0,1,IF(AE81="",0,1))</f>
        <v>0</v>
      </c>
      <c r="GY80" s="1034">
        <f>IF(__Retrofit_TI_NC&lt;&gt;0,1,IF(AF81="",0,1))</f>
        <v>0</v>
      </c>
      <c r="GZ80" s="1034">
        <f>IF(AE82="",0,1)</f>
        <v>0</v>
      </c>
      <c r="HA80" s="1034">
        <f>IF(AF82="",0,1)</f>
        <v>0</v>
      </c>
      <c r="HB80" s="1034">
        <f>IF(__Retrofit_TI_NC=2,1,IF(AF83="",0,1))</f>
        <v>0</v>
      </c>
      <c r="HV80" s="436"/>
      <c r="HW80" s="1384" t="b">
        <f>IF(OR(HW83=0,HW83=HT$16,HW83=HS$16,HW83=HU$16),TRUE,FALSE)</f>
        <v>0</v>
      </c>
      <c r="HX80" s="1377" t="b">
        <f>HW80</f>
        <v>0</v>
      </c>
      <c r="HY80" s="436"/>
      <c r="HZ80" s="436"/>
      <c r="IA80" s="1386" t="b">
        <f>IF(MAX(GJ83:HP83)&gt;5,FALSE,TRUE)</f>
        <v>0</v>
      </c>
      <c r="IB80" s="1380">
        <f>IF(IA80=TRUE,AC80,0)</f>
        <v>0</v>
      </c>
      <c r="IC80" s="1380">
        <f>IB80-IB82</f>
        <v>0</v>
      </c>
      <c r="IF80" s="1380" t="e">
        <f>ROUND(T81*VLOOKUP(U81,Fixtures_Existing_List,2,FALSE)*N81*R81/1000,0)</f>
        <v>#N/A</v>
      </c>
      <c r="IG80" s="1381" t="e">
        <f>IF80-IF82</f>
        <v>#N/A</v>
      </c>
      <c r="IH80" s="1384" t="e">
        <f>ROUND(IF(CN80="Interior",N82*R82*R81*N81*_C406_reduction/1000,N82*R82*R81*N81/1000),0)</f>
        <v>#N/A</v>
      </c>
      <c r="II80" s="1384" t="e">
        <f>IH80-IH82</f>
        <v>#N/A</v>
      </c>
      <c r="IK80" s="1351" t="e">
        <f>IF($CO80="interior",IL80/2,VLOOKUP($CP80,Control_Savings_Exterior,IK$30,FALSE))</f>
        <v>#N/A</v>
      </c>
      <c r="IL80" s="1351" t="e">
        <f>IF($CO80="interior",VLOOKUP($CP80,Control_Savings_Interior,IL$30,FALSE),VLOOKUP($CP80,Control_Savings_Exterior,IL$30,FALSE))</f>
        <v>#N/A</v>
      </c>
      <c r="IM80" s="1351" t="e">
        <f>IF($CO80="interior",IF(R81&gt;FO$37,(IM$28*(FO$37/R81)),IM$28)*FP80,VLOOKUP($CP80,Control_Savings_Exterior,IM$30,FALSE))</f>
        <v>#N/A</v>
      </c>
      <c r="IN80" s="1351" t="e">
        <f>IF($CO80="interior",ROUND(((1-IL80)*IM80)+IL80,2),VLOOKUP($CP80,Control_Savings_Exterior,IN$30,FALSE))</f>
        <v>#N/A</v>
      </c>
      <c r="IO80" s="1351" t="e">
        <f>IF($CO80="interior", ROUND(((1-IL80)*(IM80*(1-IP$28)))+IP80,2), VLOOKUP($CP80,Control_Savings_Exterior,IO$30,FALSE))</f>
        <v>#N/A</v>
      </c>
      <c r="IP80" s="1351">
        <f>IF($CO80="interior",ROUND(((1-IL80)*IP$28)+IL80,2),0)</f>
        <v>0</v>
      </c>
    </row>
    <row r="81" spans="1:250" s="82" customFormat="1" ht="14.95" customHeight="1" thickTop="1" thickBot="1">
      <c r="B81" s="1421"/>
      <c r="C81" s="1422"/>
      <c r="D81" s="1423"/>
      <c r="E81" s="1393" t="s">
        <v>244</v>
      </c>
      <c r="F81" s="1394"/>
      <c r="G81" s="1395"/>
      <c r="H81" s="1395"/>
      <c r="I81" s="1395"/>
      <c r="J81" s="1395"/>
      <c r="K81" s="1395"/>
      <c r="L81" s="1395"/>
      <c r="M81" s="509" t="e">
        <f>IF(__Retrofit_TI_NC&lt;&gt;0,IF(VLOOKUP(G82,'Space Table'!$B$3:$L$160,3,FALSE)&gt;0,1,0),IF(__Retrofit_TI_NC=VLOOKUP(G82,'Space Table'!$B$3:$L$160,3,FALSE),1,0))</f>
        <v>#N/A</v>
      </c>
      <c r="N81" s="509" t="str">
        <f>IFERROR(VLOOKUP(G81,_Lookup_Heat_Type_Table_New,2,FALSE),"")</f>
        <v/>
      </c>
      <c r="O81" s="509">
        <f>IF(__Retrofit_TI_NC=1,CONCATENATE("TI ",G81),IF(__Retrofit_TI_NC=2,CONCATENATE("NC ",G81),G81))</f>
        <v>0</v>
      </c>
      <c r="P81" s="1396" t="s">
        <v>352</v>
      </c>
      <c r="Q81" s="1396"/>
      <c r="R81" s="673"/>
      <c r="S81" s="1429"/>
      <c r="T81" s="675"/>
      <c r="U81" s="1496"/>
      <c r="V81" s="1497"/>
      <c r="W81" s="1497"/>
      <c r="X81" s="1497"/>
      <c r="Y81" s="1497"/>
      <c r="Z81" s="1497"/>
      <c r="AA81" s="1497"/>
      <c r="AB81" s="1497"/>
      <c r="AC81" s="1497"/>
      <c r="AD81" s="1498"/>
      <c r="AE81" s="675"/>
      <c r="AF81" s="1397"/>
      <c r="AG81" s="1397"/>
      <c r="AH81" s="1397"/>
      <c r="AI81" s="1397"/>
      <c r="AJ81" s="1434"/>
      <c r="AK81" s="1436"/>
      <c r="AL81" s="1438"/>
      <c r="AM81" s="1441"/>
      <c r="AN81" s="1442"/>
      <c r="AO81" s="1447"/>
      <c r="AP81" s="1447"/>
      <c r="AQ81" s="1448"/>
      <c r="AR81" s="1452"/>
      <c r="AS81" s="1455"/>
      <c r="AT81" s="1458"/>
      <c r="AU81" s="516"/>
      <c r="AV81" s="1479"/>
      <c r="AW81" s="1479"/>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M81" s="1352"/>
      <c r="CN81" s="1352"/>
      <c r="CO81" s="1416"/>
      <c r="CP81" s="1418"/>
      <c r="CR81" s="1386"/>
      <c r="CS81" s="1355"/>
      <c r="CT81" s="1355"/>
      <c r="CU81" s="1355"/>
      <c r="CV81" s="1372"/>
      <c r="CW81" s="1372"/>
      <c r="CX81" s="1371"/>
      <c r="CY81" s="1486"/>
      <c r="CZ81" s="1486"/>
      <c r="DA81" s="1486"/>
      <c r="DC81" s="1355"/>
      <c r="DD81" s="1461"/>
      <c r="DE81" s="1355"/>
      <c r="DF81" s="1407"/>
      <c r="DG81" s="1372"/>
      <c r="DH81" s="1369"/>
      <c r="DJ81" s="1484"/>
      <c r="DL81" s="1419"/>
      <c r="DN81" s="1403"/>
      <c r="DO81" s="1405"/>
      <c r="DP81" s="1354"/>
      <c r="DQ81" s="1405"/>
      <c r="DR81" s="1403"/>
      <c r="DS81" s="1489"/>
      <c r="DU81" s="1403"/>
      <c r="DV81" s="1405"/>
      <c r="DW81" s="1403"/>
      <c r="DX81" s="1403"/>
      <c r="DZ81" s="1481"/>
      <c r="EA81" s="1481"/>
      <c r="EC81" s="1482"/>
      <c r="ED81" s="1369"/>
      <c r="EE81" s="1371"/>
      <c r="EF81" s="1369"/>
      <c r="EG81" s="1369"/>
      <c r="EH81" s="1374"/>
      <c r="EI81" s="1374"/>
      <c r="EJ81" s="1363"/>
      <c r="EK81" s="1376"/>
      <c r="EL81" s="1376"/>
      <c r="EM81" s="1362"/>
      <c r="EN81" s="1362"/>
      <c r="EO81" s="1363"/>
      <c r="EP81" s="1363"/>
      <c r="EQ81" s="1363"/>
      <c r="ES81" s="1403"/>
      <c r="EU81" s="1411"/>
      <c r="EV81" s="1411"/>
      <c r="EW81" s="1411"/>
      <c r="EX81" s="1411"/>
      <c r="EY81" s="1411"/>
      <c r="EZ81" s="1413"/>
      <c r="FB81" s="1365"/>
      <c r="FD81" s="1354"/>
      <c r="FE81" s="1354"/>
      <c r="FF81" s="138"/>
      <c r="FI81" s="1357"/>
      <c r="FJ81" s="1357"/>
      <c r="FK81" s="1365"/>
      <c r="FL81" s="1365"/>
      <c r="FM81" s="1365"/>
      <c r="FO81" s="1361"/>
      <c r="FP81" s="1361"/>
      <c r="FQ81" s="1366"/>
      <c r="FR81" s="1368"/>
      <c r="FS81" s="1361"/>
      <c r="FT81" s="1368"/>
      <c r="FU81" s="1360"/>
      <c r="FW81" s="1352"/>
      <c r="FX81" s="1352"/>
      <c r="FY81" s="1352"/>
      <c r="FZ81" s="1352"/>
      <c r="GA81" s="1352"/>
      <c r="GB81" s="1352"/>
      <c r="GC81" s="1352"/>
      <c r="GD81" s="1352"/>
      <c r="GE81" s="759"/>
      <c r="GF81" s="1035"/>
      <c r="GG81" s="1385"/>
      <c r="GI81" s="1384" t="b">
        <f>IF(AND(GL81=TRUE,GM81=TRUE),TRUE,FALSE)</f>
        <v>0</v>
      </c>
      <c r="GJ81" s="1379" t="b">
        <f>IFERROR(IF(__Retrofit_TI_NC=2,TRUE,IF(AR80="Yes",TRUE,FALSE)),FALSE)</f>
        <v>1</v>
      </c>
      <c r="GL81" s="1379" t="b">
        <f>IFERROR(IF(GL80=1,TRUE,FALSE),FALSE)</f>
        <v>0</v>
      </c>
      <c r="GM81" s="1379" t="b">
        <f>IFERROR(IF(GM80=GM$14,TRUE,FALSE),FALSE)</f>
        <v>0</v>
      </c>
      <c r="HC81" s="1379" t="b">
        <f>IFERROR(IF(M81=1,TRUE,FALSE),FALSE)</f>
        <v>0</v>
      </c>
      <c r="HD81" s="1379" t="b">
        <f>IFERROR(IF(M82=1,TRUE,FALSE),FALSE)</f>
        <v>0</v>
      </c>
      <c r="HE81" s="1379" t="b">
        <f>IFERROR(IF(__Retrofit_TI_NC&lt;&gt;0,TRUE,IFERROR(IF(VLOOKUP(U81,Fixtures_Existing_List,2,FALSE)&lt;&gt;"",TRUE,FALSE),FALSE)),FALSE)</f>
        <v>0</v>
      </c>
      <c r="HF81" s="1379" t="b">
        <f>IFERROR(IF(VLOOKUP(U82,Fixtures_Proposed_List,2,FALSE)&lt;&gt;"",TRUE,FALSE),FALSE)</f>
        <v>0</v>
      </c>
      <c r="HG81" s="1379" t="b">
        <f>IF(AND(__Retrofit_TI_NC=2,EZ80=TRUE),FALSE,TRUE)</f>
        <v>1</v>
      </c>
      <c r="HH81" s="1379" t="b">
        <f>GG80</f>
        <v>1</v>
      </c>
      <c r="HI81" s="1384" t="b">
        <f>IF(ISERROR(MATCH(FB80,_Control_Match[],0))=TRUE,FALSE,TRUE)</f>
        <v>0</v>
      </c>
      <c r="HJ81" s="1384" t="b">
        <f>IFERROR(IF(EU80&lt;&gt;EV80,FALSE,TRUE),FALSE)</f>
        <v>0</v>
      </c>
      <c r="HK81" s="1384" t="b">
        <f>IFERROR(IF(EU82&lt;&gt;EV82,FALSE,TRUE),FALSE)</f>
        <v>0</v>
      </c>
      <c r="HL81" s="1379" t="b">
        <f>IFERROR(IF(CN80="Exterior",TRUE,IF(OR(AND(FJ80=0,EW82&gt;4),AND(FJ80=4,EW82&gt;4,EW82&lt;7)),FALSE,TRUE)),FALSE)</f>
        <v>0</v>
      </c>
      <c r="HM81" s="1379" t="b">
        <f>IFERROR(IF(AND(FL82=7,EZ80=TRUE),FALSE,TRUE),FALSE)</f>
        <v>0</v>
      </c>
      <c r="HN81" s="1379" t="b">
        <f>IFERROR(IF(AND(T82&lt;&gt;AE82,AF82="Interior LLLC")=TRUE,FALSE,TRUE),FALSE)</f>
        <v>1</v>
      </c>
      <c r="HO81" s="1379" t="b">
        <f>IFERROR(IF(OR(AF82=Lookup!AU$13,AF82=Lookup!AU$14)=TRUE,IF(AE82&gt;T82,FALSE,TRUE),TRUE),FALSE)</f>
        <v>1</v>
      </c>
      <c r="HP81" s="1379" t="b">
        <f>IFERROR(IF(__Retrofit_TI_NC=2,IF(EW82&lt;EW80,FALSE,TRUE),TRUE),FALSE)</f>
        <v>1</v>
      </c>
      <c r="HQ81" s="1379" t="b">
        <f>IF(CN80="Interior",IG$6,TRUE)</f>
        <v>1</v>
      </c>
      <c r="HR81" s="1379" t="b">
        <f>IF(CN80="Exterior",IG$8,TRUE)</f>
        <v>1</v>
      </c>
      <c r="HS81" s="1379" t="b">
        <f>IFERROR(IF(__Retrofit_TI_NC&lt;&gt;0,IF(AW80&lt;AV80,FALSE,TRUE),TRUE),FALSE)</f>
        <v>1</v>
      </c>
      <c r="HT81" s="1379" t="b">
        <f>IFERROR(IF(AND(G81="Exterior",R81&gt;4200),FALSE,TRUE),FALSE)</f>
        <v>1</v>
      </c>
      <c r="HU81" s="1379" t="b">
        <f>IFERROR(IF(AB83/AB80&lt;HU$18,FALSE,TRUE),FALSE)</f>
        <v>0</v>
      </c>
      <c r="HW81" s="1382"/>
      <c r="HX81" s="1378"/>
      <c r="HY81" s="1377" t="str">
        <f>VLOOKUP(HW83,_Error_Table,4,FALSE)</f>
        <v>White</v>
      </c>
      <c r="HZ81" s="436"/>
      <c r="IA81" s="1386"/>
      <c r="IB81" s="1380"/>
      <c r="IC81" s="1379"/>
      <c r="IF81" s="1380"/>
      <c r="IG81" s="1382"/>
      <c r="IH81" s="1382"/>
      <c r="II81" s="1382"/>
      <c r="IK81" s="1351"/>
      <c r="IL81" s="1351"/>
      <c r="IM81" s="1351"/>
      <c r="IN81" s="1351"/>
      <c r="IO81" s="1351"/>
      <c r="IP81" s="1351"/>
    </row>
    <row r="82" spans="1:250" s="82" customFormat="1" ht="14.95" customHeight="1" thickTop="1" thickBot="1">
      <c r="A82" s="82">
        <f>ROW()</f>
        <v>82</v>
      </c>
      <c r="B82" s="1421"/>
      <c r="C82" s="1422"/>
      <c r="D82" s="1423"/>
      <c r="E82" s="1393" t="s">
        <v>245</v>
      </c>
      <c r="F82" s="1394"/>
      <c r="G82" s="1398"/>
      <c r="H82" s="1399"/>
      <c r="I82" s="1399"/>
      <c r="J82" s="1399"/>
      <c r="K82" s="1399"/>
      <c r="L82" s="1400"/>
      <c r="M82" s="509">
        <f>IFERROR(IF(IF(__Retrofit_TI_NC&lt;&gt;0,IF(CN80="Interior",MATCH(G82,Lookup_Interior_New,0),MATCH(G82,Lookup_Exterior_New,0)),IF(CN80="Interior",MATCH(G82,Lookup_Interior,0),MATCH(G82,Lookup_Exterior_Areas,0)))&gt;0,1,0),0)</f>
        <v>0</v>
      </c>
      <c r="N82" s="509" t="e">
        <f>IF(__Retrofit_TI_NC=1,
VLOOKUP(G82,'Space Table'!$B$3:$L$160,4,FALSE),
IF(__Retrofit_TI_NC=2,VLOOKUP(G82,'Space Table'!$B$3:$L$160,5,FALSE),VLOOKUP(G82,'Space Table'!$B$3:$L$160,5,FALSE)))</f>
        <v>#N/A</v>
      </c>
      <c r="O82" s="509">
        <f>G82</f>
        <v>0</v>
      </c>
      <c r="P82" s="1394" t="s">
        <v>355</v>
      </c>
      <c r="Q82" s="1394"/>
      <c r="R82" s="674"/>
      <c r="S82" s="1401" t="s">
        <v>284</v>
      </c>
      <c r="T82" s="672"/>
      <c r="U82" s="1499"/>
      <c r="V82" s="1500"/>
      <c r="W82" s="1500"/>
      <c r="X82" s="1500"/>
      <c r="Y82" s="1500"/>
      <c r="Z82" s="1500"/>
      <c r="AA82" s="1500"/>
      <c r="AB82" s="1501"/>
      <c r="AC82" s="1501"/>
      <c r="AD82" s="1502"/>
      <c r="AE82" s="672"/>
      <c r="AF82" s="1474"/>
      <c r="AG82" s="1474"/>
      <c r="AH82" s="1474"/>
      <c r="AI82" s="1474"/>
      <c r="AJ82" s="1475">
        <f>DF82</f>
        <v>0</v>
      </c>
      <c r="AK82" s="1470" t="str">
        <f>IFERROR(ROUND(AJ82*AC83,0),"")</f>
        <v/>
      </c>
      <c r="AL82" s="1472">
        <f>IFERROR(IF(HW80=FALSE,0,AC83-AK82),0)</f>
        <v>0</v>
      </c>
      <c r="AM82" s="1441"/>
      <c r="AN82" s="1442"/>
      <c r="AO82" s="1447"/>
      <c r="AP82" s="1447"/>
      <c r="AQ82" s="1448"/>
      <c r="AR82" s="1452"/>
      <c r="AS82" s="1455"/>
      <c r="AT82" s="1458"/>
      <c r="AU82" s="516"/>
      <c r="AV82" s="1479"/>
      <c r="AW82" s="1479"/>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M82" s="1352"/>
      <c r="CN82" s="1352"/>
      <c r="CO82" s="1415" t="str">
        <f>CN80</f>
        <v/>
      </c>
      <c r="CP82" s="1417" t="e">
        <f>CP80</f>
        <v>#N/A</v>
      </c>
      <c r="CR82" s="1386" t="s">
        <v>284</v>
      </c>
      <c r="CS82" s="1353">
        <f>IF(HW80=TRUE,T82,0)</f>
        <v>0</v>
      </c>
      <c r="CT82" s="1353" t="str">
        <f>IF(HW80=TRUE,U82,"")</f>
        <v/>
      </c>
      <c r="CU82" s="1373">
        <f>IF(HW80=TRUE,U83,0)</f>
        <v>0</v>
      </c>
      <c r="CV82" s="1370">
        <f>IF(HW80=TRUE,AB83,0)</f>
        <v>0</v>
      </c>
      <c r="CW82" s="1370">
        <f>IF(HW80=TRUE,AC83,0)</f>
        <v>0</v>
      </c>
      <c r="CX82" s="1371"/>
      <c r="CY82" s="1486"/>
      <c r="CZ82" s="1486"/>
      <c r="DA82" s="1486"/>
      <c r="DC82" s="1353">
        <f>IF(HW80=TRUE,AE82,0)</f>
        <v>0</v>
      </c>
      <c r="DD82" s="1353" t="str">
        <f>IF(HW80=TRUE,AF82,"")</f>
        <v/>
      </c>
      <c r="DE82" s="1373">
        <f>AF83</f>
        <v>0</v>
      </c>
      <c r="DF82" s="1406">
        <f>IFERROR(IF(FL82=3,IK82,IF(FL82=4,IL82,IF(FL82=5,IM82,IF(FL82=6,IN82,IF(FL82=7,IO82,IF(FL82=8,IP82,0)))))),0)</f>
        <v>0</v>
      </c>
      <c r="DG82" s="1370">
        <f>IF(HW80=TRUE,AK82,0)</f>
        <v>0</v>
      </c>
      <c r="DH82" s="1369"/>
      <c r="DK82" s="1483">
        <f>IFERROR(CW82-DG82,0)</f>
        <v>0</v>
      </c>
      <c r="DL82" s="1420"/>
      <c r="DN82" s="1403"/>
      <c r="DO82" s="1477" t="str">
        <f>DN80</f>
        <v/>
      </c>
      <c r="DP82" s="1354"/>
      <c r="DQ82" s="1477" t="str">
        <f>IF(DP80=7,"LLLC","")</f>
        <v/>
      </c>
      <c r="DR82" s="1403"/>
      <c r="DS82" s="1489"/>
      <c r="DU82" s="1403"/>
      <c r="DV82" s="1404" t="str">
        <f>DU80</f>
        <v/>
      </c>
      <c r="DW82" s="1403"/>
      <c r="DX82" s="1403"/>
      <c r="DZ82" s="1481"/>
      <c r="EA82" s="1481"/>
      <c r="EC82" s="1482"/>
      <c r="ED82" s="1369"/>
      <c r="EE82" s="1371"/>
      <c r="EF82" s="1369"/>
      <c r="EG82" s="1369"/>
      <c r="EH82" s="1374"/>
      <c r="EI82" s="1374"/>
      <c r="EJ82" s="1363"/>
      <c r="EK82" s="1376"/>
      <c r="EL82" s="1376"/>
      <c r="EM82" s="1362"/>
      <c r="EN82" s="1362"/>
      <c r="EO82" s="1363"/>
      <c r="EP82" s="1363"/>
      <c r="EQ82" s="1363"/>
      <c r="ES82" s="1403"/>
      <c r="EU82" s="1411" t="e">
        <f>VLOOKUP(CP82,'Space Table'!$B$3:$L$160,8,FALSE)</f>
        <v>#N/A</v>
      </c>
      <c r="EV82" s="1411" t="e">
        <f>IF(EY82="Yes",VLOOKUP(AF82,Lookup_Control_Type_Table2,4,FALSE),VLOOKUP(AF82,Lookup_Control_Type_Table2,3,FALSE))</f>
        <v>#N/A</v>
      </c>
      <c r="EW82" s="1411" t="e">
        <f>VLOOKUP(AF82,Lookup!AU$3:AV$15,2,FALSE)</f>
        <v>#N/A</v>
      </c>
      <c r="EX82" s="1411" t="e">
        <f>VLOOKUP(EU80,Lookup_Control_Type_Table,2,FALSE)</f>
        <v>#N/A</v>
      </c>
      <c r="EY82" s="1411" t="e">
        <f>VLOOKUP(CP82,'Space Table'!$B$3:$L$160,7,FALSE)</f>
        <v>#N/A</v>
      </c>
      <c r="EZ82" s="1413"/>
      <c r="FB82" s="1365" t="str">
        <f>CONCATENATE(CN80," - ",AF82)</f>
        <v xml:space="preserve"> - </v>
      </c>
      <c r="FD82" s="1354"/>
      <c r="FE82" s="1354"/>
      <c r="FF82" s="138"/>
      <c r="FI82" s="1356" t="str">
        <f>IF(CN80="Exterior","Not Daylighted",G83)</f>
        <v>Not Daylighted</v>
      </c>
      <c r="FJ82" s="1356">
        <f>VLOOKUP(FI82,_Daylight_Table_Codes,2,FALSE)</f>
        <v>0</v>
      </c>
      <c r="FK82" s="1365">
        <f>AF82</f>
        <v>0</v>
      </c>
      <c r="FL82" s="1365" t="e">
        <f>VLOOKUP(FK82,_Control_Table,2,FALSE)</f>
        <v>#N/A</v>
      </c>
      <c r="FM82" s="1365" t="e">
        <f>IF(AND(FP82&gt;0,FK82="Occupancy Sensor"),"Daylight + Occupancy",IF(AND(FP82&gt;0,FL82&lt;4),"Interior Daylight Dimming",FK82))</f>
        <v>#N/A</v>
      </c>
      <c r="FO82" s="1364">
        <f>IF(CN80="Interior",VLOOKUP(CP80,Control_Savings_Interior,5,FALSE),0)</f>
        <v>0</v>
      </c>
      <c r="FP82" s="1361">
        <f>IF(CN82="Exterior",0,IF(FJ82=2,0.5,IF(OR(FJ82=1,FJ82=3),1,0)))</f>
        <v>0</v>
      </c>
      <c r="FQ82" s="1366">
        <f>IF(R81&gt;FO$37,(FO82*(FO$37/R81)),FO82)*FP82</f>
        <v>0</v>
      </c>
      <c r="FR82" s="1364">
        <f>DF82</f>
        <v>0</v>
      </c>
      <c r="FS82" s="1364">
        <f>ROUND(FR82+((1-FR82)*FQ82),2)</f>
        <v>0</v>
      </c>
      <c r="FT82" s="1364">
        <f>IF(__Retrofit_TI_NC=2,FS82,FR82)</f>
        <v>0</v>
      </c>
      <c r="FU82" s="1360">
        <f>IF(CO82="Interior",VLOOKUP(CP82,Control_Savings_Interior,4,FALSE),0)</f>
        <v>0</v>
      </c>
      <c r="FW82" s="1352"/>
      <c r="FX82" s="1352"/>
      <c r="FY82" s="1352"/>
      <c r="FZ82" s="1352"/>
      <c r="GA82" s="1352"/>
      <c r="GB82" s="1352"/>
      <c r="GC82" s="1352"/>
      <c r="GD82" s="1352"/>
      <c r="GE82" s="759" t="b">
        <f>IF(ISNUMBER(SEARCH("TLED",U82)),TRUE,FALSE)</f>
        <v>0</v>
      </c>
      <c r="GF82" s="1035" t="str">
        <f>IFERROR(VLOOKUP(U82,Fixtures!DM$93:DR$142,6,FALSE),"")</f>
        <v/>
      </c>
      <c r="GG82" s="1385"/>
      <c r="GI82" s="1383"/>
      <c r="GJ82" s="1379"/>
      <c r="GL82" s="1379"/>
      <c r="GM82" s="1379"/>
      <c r="HC82" s="1379"/>
      <c r="HD82" s="1379"/>
      <c r="HE82" s="1379"/>
      <c r="HF82" s="1379"/>
      <c r="HG82" s="1379"/>
      <c r="HH82" s="1379"/>
      <c r="HI82" s="1383"/>
      <c r="HJ82" s="1383"/>
      <c r="HK82" s="1383"/>
      <c r="HL82" s="1379"/>
      <c r="HM82" s="1379"/>
      <c r="HN82" s="1379"/>
      <c r="HO82" s="1379"/>
      <c r="HP82" s="1379"/>
      <c r="HQ82" s="1379"/>
      <c r="HR82" s="1379"/>
      <c r="HS82" s="1379"/>
      <c r="HT82" s="1379"/>
      <c r="HU82" s="1379"/>
      <c r="HW82" s="1383"/>
      <c r="HX82" s="1384" t="b">
        <f>HW80</f>
        <v>0</v>
      </c>
      <c r="HY82" s="1378"/>
      <c r="HZ82" s="436"/>
      <c r="IA82" s="1386"/>
      <c r="IB82" s="1380">
        <f>IF(IA80=TRUE,AC83,0)</f>
        <v>0</v>
      </c>
      <c r="IC82" s="1379"/>
      <c r="IF82" s="1380" t="e">
        <f>ROUND(T82*AB83*N81*R81/1000,0)</f>
        <v>#VALUE!</v>
      </c>
      <c r="IG82" s="1382"/>
      <c r="IH82" s="1384" t="e">
        <f>ROUND(T82*AB83*N81*R81/1000,0)</f>
        <v>#VALUE!</v>
      </c>
      <c r="II82" s="1382"/>
      <c r="IK82" s="1351" t="e">
        <f>IF($CO82="interior",IL82/2,VLOOKUP($CP82,Control_Savings_Exterior,IK$30,FALSE))</f>
        <v>#N/A</v>
      </c>
      <c r="IL82" s="1351" t="e">
        <f>IF($CO82="interior",VLOOKUP($CP82,Control_Savings_Interior,IL$30,FALSE),VLOOKUP($CP82,Control_Savings_Exterior,IL$30,FALSE))</f>
        <v>#N/A</v>
      </c>
      <c r="IM82" s="1351" t="e">
        <f>IF($CO82="interior",IF(R81&gt;FO$37,(IM$28*(FO$37/R81)),IM$28)*FP82,VLOOKUP($CP82,Control_Savings_Exterior,IM$30,FALSE))</f>
        <v>#N/A</v>
      </c>
      <c r="IN82" s="1351" t="e">
        <f>IF($CO82="interior",ROUND(((1-IL82)*IM82)+IL82,2),VLOOKUP($CP82,Control_Savings_Exterior,IN$30,FALSE))</f>
        <v>#N/A</v>
      </c>
      <c r="IO82" s="1351" t="e">
        <f>IF($CO82="interior", ROUND(((1-IL82)*(IM82*(1-IP$28)))+IP82,2), VLOOKUP($CP82,Control_Savings_Exterior,IO$30,FALSE))</f>
        <v>#N/A</v>
      </c>
      <c r="IP82" s="1351">
        <f>IF($CO82="interior",ROUND(((1-IL82)*IP$28)+IL82,2),0)</f>
        <v>0</v>
      </c>
    </row>
    <row r="83" spans="1:250" s="82" customFormat="1" ht="14.95" customHeight="1" thickTop="1" thickBot="1">
      <c r="B83" s="1421"/>
      <c r="C83" s="1422"/>
      <c r="D83" s="1423"/>
      <c r="E83" s="1462" t="s">
        <v>357</v>
      </c>
      <c r="F83" s="1463"/>
      <c r="G83" s="1464" t="s">
        <v>362</v>
      </c>
      <c r="H83" s="1465"/>
      <c r="I83" s="1465"/>
      <c r="J83" s="1465"/>
      <c r="K83" s="1465"/>
      <c r="L83" s="1466"/>
      <c r="M83" s="669">
        <f>IFERROR(VLOOKUP(G83,_Daylight_Table[],2,FALSE),0)</f>
        <v>0</v>
      </c>
      <c r="N83" s="670"/>
      <c r="O83" s="669" t="e">
        <f>VLOOKUP(G82,'Space Table'!$B$3:$L$160,11,FALSE)</f>
        <v>#N/A</v>
      </c>
      <c r="P83" s="1408"/>
      <c r="Q83" s="1409"/>
      <c r="R83" s="1409"/>
      <c r="S83" s="1402"/>
      <c r="T83" s="671" t="s">
        <v>281</v>
      </c>
      <c r="U83" s="1467" t="str">
        <f>IFERROR(VLOOKUP(U82,Fixtures!DM$93:DP$142,4,FALSE),"")</f>
        <v/>
      </c>
      <c r="V83" s="1468"/>
      <c r="W83" s="1468"/>
      <c r="X83" s="1468"/>
      <c r="Y83" s="1468"/>
      <c r="Z83" s="1468"/>
      <c r="AA83" s="1468"/>
      <c r="AB83" s="1046" t="str">
        <f>IFERROR(VLOOKUP(U82,Fixtures_Proposed_List,2,FALSE),"")</f>
        <v/>
      </c>
      <c r="AC83" s="1036" t="str">
        <f>IFERROR(ROUND(T82*AB83*N81*R81/1000,0),"")</f>
        <v/>
      </c>
      <c r="AD83" s="1037" t="str">
        <f>IFERROR(ROUND(T82*AB83/1000,2),"")</f>
        <v/>
      </c>
      <c r="AE83" s="1045" t="s">
        <v>281</v>
      </c>
      <c r="AF83" s="1469"/>
      <c r="AG83" s="1469"/>
      <c r="AH83" s="1469"/>
      <c r="AI83" s="1469"/>
      <c r="AJ83" s="1476"/>
      <c r="AK83" s="1471"/>
      <c r="AL83" s="1473"/>
      <c r="AM83" s="1443"/>
      <c r="AN83" s="1444"/>
      <c r="AO83" s="1449"/>
      <c r="AP83" s="1449"/>
      <c r="AQ83" s="1450"/>
      <c r="AR83" s="1453"/>
      <c r="AS83" s="1456"/>
      <c r="AT83" s="1459"/>
      <c r="AU83" s="517"/>
      <c r="AV83" s="1480"/>
      <c r="AW83" s="1480"/>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M83" s="1352"/>
      <c r="CN83" s="1352"/>
      <c r="CO83" s="1416"/>
      <c r="CP83" s="1418"/>
      <c r="CR83" s="1386"/>
      <c r="CS83" s="1355"/>
      <c r="CT83" s="1355"/>
      <c r="CU83" s="1375"/>
      <c r="CV83" s="1372"/>
      <c r="CW83" s="1372"/>
      <c r="CX83" s="1372"/>
      <c r="CY83" s="1487"/>
      <c r="CZ83" s="1487"/>
      <c r="DA83" s="1487"/>
      <c r="DC83" s="1355"/>
      <c r="DD83" s="1355"/>
      <c r="DE83" s="1375"/>
      <c r="DF83" s="1407"/>
      <c r="DG83" s="1372"/>
      <c r="DH83" s="1369"/>
      <c r="DK83" s="1484"/>
      <c r="DL83" s="1420"/>
      <c r="DN83" s="1403"/>
      <c r="DO83" s="1405"/>
      <c r="DP83" s="1355"/>
      <c r="DQ83" s="1405"/>
      <c r="DR83" s="1403"/>
      <c r="DS83" s="1489"/>
      <c r="DU83" s="1403"/>
      <c r="DV83" s="1405"/>
      <c r="DW83" s="1403"/>
      <c r="DX83" s="1403"/>
      <c r="DZ83" s="1481"/>
      <c r="EA83" s="1481"/>
      <c r="EC83" s="1482"/>
      <c r="ED83" s="1369"/>
      <c r="EE83" s="1372"/>
      <c r="EF83" s="1369"/>
      <c r="EG83" s="1369"/>
      <c r="EH83" s="1375"/>
      <c r="EI83" s="1375"/>
      <c r="EJ83" s="1363"/>
      <c r="EK83" s="1376"/>
      <c r="EL83" s="1376"/>
      <c r="EM83" s="1362"/>
      <c r="EN83" s="1362"/>
      <c r="EO83" s="1363"/>
      <c r="EP83" s="1363"/>
      <c r="EQ83" s="1363"/>
      <c r="ES83" s="1403"/>
      <c r="EU83" s="1488"/>
      <c r="EV83" s="1488"/>
      <c r="EW83" s="1488"/>
      <c r="EX83" s="1488"/>
      <c r="EY83" s="1488"/>
      <c r="EZ83" s="1414"/>
      <c r="FB83" s="1365"/>
      <c r="FD83" s="1355"/>
      <c r="FE83" s="1355"/>
      <c r="FF83" s="138"/>
      <c r="FI83" s="1357"/>
      <c r="FJ83" s="1357"/>
      <c r="FK83" s="1365"/>
      <c r="FL83" s="1365"/>
      <c r="FM83" s="1365"/>
      <c r="FO83" s="1361"/>
      <c r="FP83" s="1361"/>
      <c r="FQ83" s="1366"/>
      <c r="FR83" s="1361"/>
      <c r="FS83" s="1361"/>
      <c r="FT83" s="1361"/>
      <c r="FU83" s="1360"/>
      <c r="FW83" s="1352"/>
      <c r="FX83" s="1352"/>
      <c r="FY83" s="1352"/>
      <c r="FZ83" s="1352"/>
      <c r="GA83" s="1352"/>
      <c r="GB83" s="1352"/>
      <c r="GC83" s="1352"/>
      <c r="GD83" s="1352"/>
      <c r="GE83" s="759"/>
      <c r="GF83" s="1035"/>
      <c r="GG83" s="1385"/>
      <c r="GJ83" s="1034">
        <f>IF(GJ81=TRUE,0,GJ$16)</f>
        <v>0</v>
      </c>
      <c r="GL83" s="1034">
        <f>IF(GL81=TRUE,0,GL$16)</f>
        <v>36</v>
      </c>
      <c r="GM83" s="1034">
        <f>IF(GM81=TRUE,0,GM$16)</f>
        <v>35</v>
      </c>
      <c r="GN83" s="436"/>
      <c r="GO83" s="436"/>
      <c r="GP83" s="436"/>
      <c r="GQ83" s="436"/>
      <c r="GR83" s="436"/>
      <c r="HC83" s="1034">
        <f t="shared" ref="HC83:HH83" si="46">IF(HC81=TRUE,0,HC$16)</f>
        <v>19</v>
      </c>
      <c r="HD83" s="1034">
        <f t="shared" si="46"/>
        <v>18</v>
      </c>
      <c r="HE83" s="1034">
        <f t="shared" si="46"/>
        <v>17</v>
      </c>
      <c r="HF83" s="1034">
        <f t="shared" si="46"/>
        <v>16</v>
      </c>
      <c r="HG83" s="1034">
        <f t="shared" si="46"/>
        <v>0</v>
      </c>
      <c r="HH83" s="1034">
        <f t="shared" si="46"/>
        <v>0</v>
      </c>
      <c r="HI83" s="1034">
        <f>IF(HI81=TRUE,0,HI$16)</f>
        <v>13</v>
      </c>
      <c r="HJ83" s="1034">
        <f t="shared" ref="HJ83:HL83" si="47">IF(HJ81=TRUE,0,HJ$16)</f>
        <v>12</v>
      </c>
      <c r="HK83" s="1034">
        <f t="shared" si="47"/>
        <v>11</v>
      </c>
      <c r="HL83" s="1034">
        <f t="shared" si="47"/>
        <v>10</v>
      </c>
      <c r="HM83" s="1034">
        <f>IF(HM81=TRUE,0,HM$16)</f>
        <v>9</v>
      </c>
      <c r="HN83" s="1034">
        <f t="shared" ref="HN83:HR83" si="48">IF(HN81=TRUE,0,HN$16)</f>
        <v>0</v>
      </c>
      <c r="HO83" s="1034">
        <f t="shared" si="48"/>
        <v>0</v>
      </c>
      <c r="HP83" s="1034">
        <f t="shared" si="48"/>
        <v>0</v>
      </c>
      <c r="HQ83" s="1034">
        <f t="shared" si="48"/>
        <v>0</v>
      </c>
      <c r="HR83" s="1034">
        <f t="shared" si="48"/>
        <v>0</v>
      </c>
      <c r="HS83" s="1034">
        <f>IF(HS81=TRUE,0,HS$16)</f>
        <v>0</v>
      </c>
      <c r="HT83" s="1034">
        <f t="shared" ref="HT83" si="49">IF(HT81=TRUE,0,HT$16)</f>
        <v>0</v>
      </c>
      <c r="HU83" s="1034">
        <f>IF(HU81=TRUE,0,HU$16)</f>
        <v>1</v>
      </c>
      <c r="HW83" s="1034">
        <f>IF(GL81=FALSE,GL83,IF(GM81=FALSE,GM83,MAX(GJ83:HU83)))</f>
        <v>36</v>
      </c>
      <c r="HX83" s="1383"/>
      <c r="HY83" s="241" t="str">
        <f>VLOOKUP(HW83,_Error_Table,3,FALSE)</f>
        <v xml:space="preserve"> </v>
      </c>
      <c r="HZ83" s="241"/>
      <c r="IA83" s="1386"/>
      <c r="IB83" s="1380"/>
      <c r="IC83" s="1379"/>
      <c r="IF83" s="1380"/>
      <c r="IG83" s="1383"/>
      <c r="IH83" s="1383"/>
      <c r="II83" s="1383"/>
      <c r="IK83" s="1351"/>
      <c r="IL83" s="1351"/>
      <c r="IM83" s="1351"/>
      <c r="IN83" s="1351"/>
      <c r="IO83" s="1351"/>
      <c r="IP83" s="1351"/>
    </row>
    <row r="84" spans="1:250" s="82" customFormat="1" ht="5.0999999999999996" customHeight="1" thickBot="1">
      <c r="B84" s="762"/>
      <c r="C84" s="437"/>
      <c r="D84" s="437"/>
      <c r="E84" s="1490"/>
      <c r="F84" s="1490"/>
      <c r="G84" s="1490"/>
      <c r="H84" s="1490"/>
      <c r="I84" s="1490"/>
      <c r="J84" s="1490"/>
      <c r="K84" s="1490"/>
      <c r="L84" s="1490"/>
      <c r="M84" s="1490"/>
      <c r="N84" s="1490"/>
      <c r="O84" s="1490"/>
      <c r="P84" s="1490"/>
      <c r="Q84" s="1490"/>
      <c r="R84" s="1490"/>
      <c r="S84" s="1490"/>
      <c r="T84" s="1490"/>
      <c r="U84" s="1490"/>
      <c r="V84" s="1490"/>
      <c r="W84" s="1490"/>
      <c r="X84" s="1490"/>
      <c r="Y84" s="1490"/>
      <c r="Z84" s="1490"/>
      <c r="AA84" s="1490"/>
      <c r="AB84" s="1490"/>
      <c r="AC84" s="1490"/>
      <c r="AD84" s="1490"/>
      <c r="AE84" s="1490"/>
      <c r="AF84" s="1490"/>
      <c r="AG84" s="1490"/>
      <c r="AH84" s="1490"/>
      <c r="AI84" s="1490"/>
      <c r="AJ84" s="1490"/>
      <c r="AK84" s="1490"/>
      <c r="AL84" s="1490"/>
      <c r="AM84" s="1490"/>
      <c r="AN84" s="1490"/>
      <c r="AO84" s="1490"/>
      <c r="AP84" s="1490"/>
      <c r="AQ84" s="1490"/>
      <c r="AR84" s="1490"/>
      <c r="AS84" s="1490"/>
      <c r="AT84" s="1490"/>
      <c r="AU84" s="51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M84" s="749"/>
      <c r="CN84" s="749"/>
      <c r="CO84" s="485"/>
      <c r="CP84" s="749"/>
      <c r="CS84" s="436"/>
      <c r="CT84" s="436"/>
      <c r="CU84" s="243"/>
      <c r="CV84" s="244"/>
      <c r="CW84" s="244"/>
      <c r="CX84" s="244"/>
      <c r="CY84" s="245"/>
      <c r="CZ84" s="245"/>
      <c r="DA84" s="245"/>
      <c r="DC84" s="750"/>
      <c r="DD84" s="751"/>
      <c r="DE84" s="752"/>
      <c r="DF84" s="753"/>
      <c r="DG84" s="754"/>
      <c r="DH84" s="754"/>
      <c r="DK84" s="244"/>
      <c r="DL84" s="750"/>
      <c r="DN84" s="750"/>
      <c r="DO84" s="755"/>
      <c r="DP84" s="436"/>
      <c r="DQ84" s="750"/>
      <c r="DR84" s="750"/>
      <c r="DS84" s="750"/>
      <c r="DU84" s="750"/>
      <c r="DV84" s="750"/>
      <c r="DW84" s="750"/>
      <c r="DX84" s="750"/>
      <c r="DZ84" s="756"/>
      <c r="EA84" s="756"/>
      <c r="EC84" s="754"/>
      <c r="ED84" s="754"/>
      <c r="EE84" s="244"/>
      <c r="EF84" s="754"/>
      <c r="EG84" s="754"/>
      <c r="EH84" s="243"/>
      <c r="EI84" s="243"/>
      <c r="EJ84" s="752"/>
      <c r="EK84" s="757"/>
      <c r="EL84" s="757"/>
      <c r="EM84" s="758"/>
      <c r="EN84" s="758"/>
      <c r="EO84" s="752"/>
      <c r="EP84" s="752"/>
      <c r="EQ84" s="752"/>
      <c r="ES84" s="750"/>
      <c r="EU84" s="436"/>
      <c r="EV84" s="436"/>
      <c r="EW84" s="436"/>
      <c r="EX84" s="436"/>
      <c r="EY84" s="436"/>
      <c r="EZ84" s="436"/>
      <c r="FB84" s="643"/>
      <c r="FD84" s="436"/>
      <c r="FE84" s="436"/>
      <c r="FF84" s="436"/>
      <c r="FO84" s="750"/>
      <c r="FP84" s="436"/>
      <c r="FQ84" s="436"/>
      <c r="FR84" s="750"/>
      <c r="FS84" s="750"/>
      <c r="FW84" s="749"/>
      <c r="FX84" s="749"/>
      <c r="FY84" s="749"/>
      <c r="FZ84" s="749"/>
      <c r="GA84" s="749"/>
      <c r="GB84" s="749"/>
      <c r="GC84" s="749"/>
      <c r="GD84" s="749"/>
      <c r="GE84" s="751"/>
      <c r="GF84" s="750"/>
      <c r="GG84" s="750"/>
    </row>
    <row r="85" spans="1:250" s="82" customFormat="1" ht="14.95" customHeight="1" thickTop="1" thickBot="1">
      <c r="B85" s="1421" t="str">
        <f>HY88</f>
        <v xml:space="preserve"> </v>
      </c>
      <c r="C85" s="1422">
        <f>C80+1</f>
        <v>10</v>
      </c>
      <c r="D85" s="1423"/>
      <c r="E85" s="1424" t="s">
        <v>242</v>
      </c>
      <c r="F85" s="1425"/>
      <c r="G85" s="1426"/>
      <c r="H85" s="1427"/>
      <c r="I85" s="1427"/>
      <c r="J85" s="1427"/>
      <c r="K85" s="1427"/>
      <c r="L85" s="1427"/>
      <c r="M85" s="1427"/>
      <c r="N85" s="1427"/>
      <c r="O85" s="1427"/>
      <c r="P85" s="1427"/>
      <c r="Q85" s="1427"/>
      <c r="R85" s="1427"/>
      <c r="S85" s="1428" t="s">
        <v>283</v>
      </c>
      <c r="T85" s="668" t="s">
        <v>190</v>
      </c>
      <c r="U85" s="1430" t="s">
        <v>186</v>
      </c>
      <c r="V85" s="1431"/>
      <c r="W85" s="1431"/>
      <c r="X85" s="1431"/>
      <c r="Y85" s="1431"/>
      <c r="Z85" s="1431"/>
      <c r="AA85" s="1431"/>
      <c r="AB85" s="1088" t="str">
        <f>IFERROR(IF(__Retrofit_TI_NC=0,VLOOKUP(U86,Fixtures_Existing_List,2,FALSE),ROUND(N87*R87/T87,10)),"")</f>
        <v/>
      </c>
      <c r="AC85" s="1039" t="str">
        <f>IFERROR(IF(__Retrofit_TI_NC=0,ROUND(T86*AB85*N86*R86/1000,0),IF(CN85="Interior",N87*R87*R86*N86*_C406_reduction/1000,N87*R87*R86*N86/1000)),"")</f>
        <v/>
      </c>
      <c r="AD85" s="1040" t="str">
        <f>IFERROR(IF(C$36=0,ROUND(T86*AB85/1000,2),N87*R87/1000),"")</f>
        <v/>
      </c>
      <c r="AE85" s="1044" t="s">
        <v>190</v>
      </c>
      <c r="AF85" s="1432" t="str">
        <f>IF(__Retrofit_TI_NC=2,CONCATENATE("Code min = ",DD85),IF(__Retrofit_TI_NC=1,"Emter what you think the existing control was"," Control"))</f>
        <v xml:space="preserve"> Control</v>
      </c>
      <c r="AG85" s="1432"/>
      <c r="AH85" s="1432"/>
      <c r="AI85" s="1432"/>
      <c r="AJ85" s="1433">
        <f>DF85</f>
        <v>0</v>
      </c>
      <c r="AK85" s="1435" t="str">
        <f>IFERROR(ROUND(AJ85*AC85,0),"")</f>
        <v/>
      </c>
      <c r="AL85" s="1437">
        <f>IFERROR(IF(HW85=FALSE,0,AC85-AK85),0)</f>
        <v>0</v>
      </c>
      <c r="AM85" s="1439">
        <f>AL85-AL87</f>
        <v>0</v>
      </c>
      <c r="AN85" s="1440"/>
      <c r="AO85" s="1445">
        <f>IFERROR(IF(HW85=FALSE,0,(T87*U88)+(AE87*AF88)),0)</f>
        <v>0</v>
      </c>
      <c r="AP85" s="1445"/>
      <c r="AQ85" s="1446"/>
      <c r="AR85" s="1451" t="s">
        <v>157</v>
      </c>
      <c r="AS85" s="1454">
        <f>IF(AR85="Yes",1,0)</f>
        <v>1</v>
      </c>
      <c r="AT85" s="1457" t="str">
        <f>IF(OR(DN85=4,DN85=5,DN85=6,DN85=12),CONCATENATE("$",IF(GD85=TRUE,Lookup!$B$11,Lookup!$B$2)," /lamp"),CONCATENATE(EA85,"/ kWh"))</f>
        <v>0/ kWh</v>
      </c>
      <c r="AU85" s="516"/>
      <c r="AV85" s="1478">
        <f>IFERROR(IF(GI86=TRUE,(AB88*T87)/R87,0),"NA")</f>
        <v>0</v>
      </c>
      <c r="AW85" s="1478" t="str">
        <f>IFERROR(N87*_C406_reduction,"NA")</f>
        <v>NA</v>
      </c>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M85" s="1352" t="str">
        <f>N86</f>
        <v/>
      </c>
      <c r="CN85" s="1352" t="str">
        <f>IFERROR(VLOOKUP(G86,_Lookup_Heat_Type_Table_New,3,FALSE),"")</f>
        <v/>
      </c>
      <c r="CO85" s="1415" t="str">
        <f>CN85</f>
        <v/>
      </c>
      <c r="CP85" s="1417" t="e">
        <f>VLOOKUP(G87,'Space Table'!$B$3:$L$160,9,FALSE)</f>
        <v>#N/A</v>
      </c>
      <c r="CR85" s="1386" t="s">
        <v>283</v>
      </c>
      <c r="CS85" s="1353">
        <f>IF(HW85=TRUE,T86,0)</f>
        <v>0</v>
      </c>
      <c r="CT85" s="1353" t="str">
        <f>IF(HW85=TRUE,U86,"")</f>
        <v/>
      </c>
      <c r="CU85" s="1353"/>
      <c r="CV85" s="1370">
        <f>IF(HW85=TRUE,AB85,0)</f>
        <v>0</v>
      </c>
      <c r="CW85" s="1370">
        <f>IF(HW85=TRUE,AC85,0)</f>
        <v>0</v>
      </c>
      <c r="CX85" s="1370">
        <f>IFERROR(IF(HW85=TRUE,CW85-CW87,0),0)</f>
        <v>0</v>
      </c>
      <c r="CY85" s="1485">
        <f>IF(HW85=TRUE,AD85,0)</f>
        <v>0</v>
      </c>
      <c r="CZ85" s="1485">
        <f>IF(HW85=TRUE,AD88,0)</f>
        <v>0</v>
      </c>
      <c r="DA85" s="1485">
        <f>IFERROR(CY85-CZ85,0)</f>
        <v>0</v>
      </c>
      <c r="DC85" s="1353">
        <f>IF(HW85=TRUE,AE86,0)</f>
        <v>0</v>
      </c>
      <c r="DD85" s="1460">
        <f>IF(__Retrofit_TI_NC=2,IF(CN85="Exterior",O88,FM85),FK85)</f>
        <v>0</v>
      </c>
      <c r="DE85" s="1353"/>
      <c r="DF85" s="1406">
        <f>IFERROR(IF(FL85=3,IK85,IF(FL85=4,IL85,IF(FL85=5,IM85,IF(FL85=6,IN85,IF(FL85=7,IO85,IF(FL85=8,IP85,0)))))),0)</f>
        <v>0</v>
      </c>
      <c r="DG85" s="1370">
        <f>IF(HW85=TRUE,AK85,0)</f>
        <v>0</v>
      </c>
      <c r="DH85" s="1369">
        <f>IFERROR(IF(HW85=TRUE,DG87-DG85,0),0)</f>
        <v>0</v>
      </c>
      <c r="DJ85" s="1483">
        <f>IFERROR(CW85-DG85,0)</f>
        <v>0</v>
      </c>
      <c r="DL85" s="1419">
        <f>DJ85-DK87</f>
        <v>0</v>
      </c>
      <c r="DN85" s="1403" t="str">
        <f>IFERROR(IF(AND(OR(FY85=4,FY85=5,FY85=6),OR(GB85=4,GB85=5,GB85=6)),FY85+8,VLOOKUP(CT87,Fixtures!R$31:Y$78,8,FALSE)),"")</f>
        <v/>
      </c>
      <c r="DO85" s="1404" t="str">
        <f>DN85</f>
        <v/>
      </c>
      <c r="DP85" s="1353" t="str">
        <f>IFERROR(VLOOKUP(DD87,Lookup!AU$3:AV$15,2,FALSE),"")</f>
        <v/>
      </c>
      <c r="DQ85" s="1404" t="str">
        <f>IF(DP85=7,"LLLC","")</f>
        <v/>
      </c>
      <c r="DR85" s="1403">
        <f>IFERROR(IF(OR(DN85=4,DN85=5,DN85=6,DN85=12,DN85=13,DN85=14),VLOOKUP(CT87,Fixtures!DN$27:EG$77,19,FALSE),1)*CS87,0)</f>
        <v>0</v>
      </c>
      <c r="DS85" s="1489">
        <f>IF(DP85=7,IF(DD85=DD87,0,DC87),0)</f>
        <v>0</v>
      </c>
      <c r="DU85" s="1403" t="str">
        <f>IFERROR(IF(EW85&lt;EW87,"Yes","No"),"")</f>
        <v/>
      </c>
      <c r="DV85" s="1404" t="str">
        <f>DU85</f>
        <v/>
      </c>
      <c r="DW85" s="1403">
        <f>IF(DU85="Yes",DC87,0)</f>
        <v>0</v>
      </c>
      <c r="DX85" s="1403">
        <f>DW85-DS85</f>
        <v>0</v>
      </c>
      <c r="DZ85" s="1481">
        <f>IFERROR(VLOOKUP(DN85,Lookup!AN$3:AO$16,2,FALSE),0)</f>
        <v>0</v>
      </c>
      <c r="EA85" s="1481">
        <f>IF(HW85=FALSE,0,IF(DU85="Yes",DZ85+Lookup!B$6,DZ85))</f>
        <v>0</v>
      </c>
      <c r="EC85" s="1482">
        <f>IF(HW85=TRUE,DJ85,0)</f>
        <v>0</v>
      </c>
      <c r="ED85" s="1369">
        <f>IF(HW85=TRUE,CW87,0)</f>
        <v>0</v>
      </c>
      <c r="EE85" s="1370">
        <f>IFERROR(EC85-ED85,0)</f>
        <v>0</v>
      </c>
      <c r="EF85" s="1369">
        <f>IF(HW85=TRUE,DG87,0)</f>
        <v>0</v>
      </c>
      <c r="EG85" s="1369">
        <f>IFERROR(EC85-ED85+EF85,0)</f>
        <v>0</v>
      </c>
      <c r="EH85" s="1373">
        <f>IF(HW85=TRUE,CS87*CU87,0)</f>
        <v>0</v>
      </c>
      <c r="EI85" s="1373">
        <f>IF(HW85=TRUE,DC87*DE87,0)</f>
        <v>0</v>
      </c>
      <c r="EJ85" s="1363">
        <f>AO85</f>
        <v>0</v>
      </c>
      <c r="EK85" s="1376" t="str">
        <f>IFERROR(IF(HW85=TRUE,VLOOKUP(DN85,Lookup!AN$3:AP$16,3,FALSE)*DR85,""),0)</f>
        <v/>
      </c>
      <c r="EL85" s="1376">
        <f>IF(HW85=TRUE,DW85*Lookup!AP$12,0)</f>
        <v>0</v>
      </c>
      <c r="EM85" s="1362">
        <f>IFERROR(IF(HW85=TRUE,EK85/EM$33,0),0)</f>
        <v>0</v>
      </c>
      <c r="EN85" s="1362">
        <f>IF(HW85=TRUE,EL85/EN$33,0)</f>
        <v>0</v>
      </c>
      <c r="EO85" s="1363">
        <f>IF(HW85=TRUE,EQ$33*EM85,0)</f>
        <v>0</v>
      </c>
      <c r="EP85" s="1363">
        <f>IF(HW85=TRUE,EQ$33*EN85,0)</f>
        <v>0</v>
      </c>
      <c r="EQ85" s="1363">
        <f>EO85+EP85</f>
        <v>0</v>
      </c>
      <c r="ES85" s="1403">
        <f>IF(G85="",0,1)</f>
        <v>0</v>
      </c>
      <c r="EU85" s="1410" t="e">
        <f>VLOOKUP(CP87,'Space Table'!$B$3:$L$160,8,FALSE)</f>
        <v>#N/A</v>
      </c>
      <c r="EV85" s="1410" t="e">
        <f>IF(EY85="Yes",VLOOKUP(DD85,Lookup_Control_Type_Table2,4,FALSE),VLOOKUP(DD85,Lookup_Control_Type_Table2,3,FALSE))</f>
        <v>#N/A</v>
      </c>
      <c r="EW85" s="1410" t="e">
        <f>VLOOKUP(DD85,Lookup!AU$3:AV$15,2,FALSE)</f>
        <v>#N/A</v>
      </c>
      <c r="EX85" s="1410" t="e">
        <f>VLOOKUP(EU85,Lookup_Control_Type_Table,2,FALSE)</f>
        <v>#N/A</v>
      </c>
      <c r="EY85" s="1410" t="e">
        <f>VLOOKUP(CP87,'Space Table'!$B$3:$L$160,7,FALSE)</f>
        <v>#N/A</v>
      </c>
      <c r="EZ85" s="1412" t="b">
        <f>ISNUMBER(SEARCH("TLED",U87))</f>
        <v>0</v>
      </c>
      <c r="FB85" s="1365" t="str">
        <f>CONCATENATE(CN85," - ",DD85)</f>
        <v xml:space="preserve"> - 0</v>
      </c>
      <c r="FD85" s="1353" t="str">
        <f>VLOOKUP(CT87,Fixtures!DN$27:EZ$77,38,FALSE)</f>
        <v/>
      </c>
      <c r="FE85" s="1353">
        <f>IFERROR(FD85*EE85,0)</f>
        <v>0</v>
      </c>
      <c r="FF85" s="138"/>
      <c r="FI85" s="1356" t="str">
        <f>IF(CN85="Exterior","Not Daylighted",G88)</f>
        <v>Not Daylighted</v>
      </c>
      <c r="FJ85" s="1356">
        <f>VLOOKUP(FI85,_Daylight_Table_Codes,2,FALSE)</f>
        <v>0</v>
      </c>
      <c r="FK85" s="1365">
        <f>IF(__Retrofit_TI_NC=2,VLOOKUP(G87,'Space Table'!$B$3:$L$160,11,FALSE),AF86)</f>
        <v>0</v>
      </c>
      <c r="FL85" s="1365" t="e">
        <f>VLOOKUP(FK85,_Control_Table,2,FALSE)</f>
        <v>#N/A</v>
      </c>
      <c r="FM85" s="1365" t="e">
        <f>IF(AND(FP85&gt;0,FK85="Occupancy Sensor"),"Daylight + Occupancy",IF(AND(FP85&gt;0,FL85&lt;4),"Interior Daylight Dimming",FK85))</f>
        <v>#N/A</v>
      </c>
      <c r="FO85" s="1364">
        <f>IF(CO85="Interior",VLOOKUP(CP85,Control_Savings_Interior,5,FALSE),0)</f>
        <v>0</v>
      </c>
      <c r="FP85" s="1361">
        <f>IF(CN85="Exterior",0,IF(FJ85=2,0.5,IF(OR(FJ85=1,FJ85=3),1,0)))</f>
        <v>0</v>
      </c>
      <c r="FQ85" s="1366"/>
      <c r="FR85" s="1367"/>
      <c r="FS85" s="1364"/>
      <c r="FT85" s="1367"/>
      <c r="FU85" s="1360"/>
      <c r="FW85" s="1352" t="str">
        <f>IFERROR(VLOOKUP(U86,_Exist_Fixture_Table,3,FALSE),"")</f>
        <v/>
      </c>
      <c r="FX85" s="1352" t="str">
        <f>VLOOKUP(CT85,_Exist_Fixture_Table,4,FALSE)</f>
        <v/>
      </c>
      <c r="FY85" s="1352">
        <f>IFERROR(VLOOKUP(FX85,Lookup!AM$6:AN$8,2,FALSE),0)</f>
        <v>0</v>
      </c>
      <c r="FZ85" s="1352" t="b">
        <f>IFERROR(IF(OR(GB85=4,GB85=5,GB85=6),TRUE,FALSE),"")</f>
        <v>0</v>
      </c>
      <c r="GA85" s="1352" t="str">
        <f>IFERROR(VLOOKUP(GB85,FY$6:FZ$10,2,FALSE),"")</f>
        <v/>
      </c>
      <c r="GB85" s="1352" t="str">
        <f>VLOOKUP(CT87,Fixtures!R$31:Y$78,8,FALSE)</f>
        <v/>
      </c>
      <c r="GC85" s="1352">
        <f>IF(AND(FW85=TRUE,FZ85=TRUE,OR(DN85=12,DN85=13,DN85=14)),FY85+8,0)</f>
        <v>0</v>
      </c>
      <c r="GD85" s="1352" t="b">
        <f>IF(OR(GC85=12,GC85=13,GC85=14),TRUE,FALSE)</f>
        <v>0</v>
      </c>
      <c r="GE85" s="759" t="b">
        <f>IF(ISNUMBER(SEARCH("TLED",U86)),TRUE,FALSE)</f>
        <v>0</v>
      </c>
      <c r="GF85" s="1035" t="str">
        <f>IFERROR(VLOOKUP(U86,Fixtures!BM$93:BR$142,6,FALSE),"")</f>
        <v/>
      </c>
      <c r="GG85" s="1385" t="b">
        <f>IF(OR(GE85=FALSE,GE87=FALSE),TRUE,IF(GF85-GF87&lt;5,FALSE,TRUE))</f>
        <v>1</v>
      </c>
      <c r="GK85" s="1034">
        <f>GL85</f>
        <v>0</v>
      </c>
      <c r="GL85" s="1034">
        <f>IF(G85="",0,1)</f>
        <v>0</v>
      </c>
      <c r="GM85" s="1034">
        <f>SUM(GN85:HB85)</f>
        <v>2</v>
      </c>
      <c r="GN85" s="1034">
        <f>IF(G86="",0,1)</f>
        <v>0</v>
      </c>
      <c r="GO85" s="1034">
        <f>IF(G87="",0,1)</f>
        <v>0</v>
      </c>
      <c r="GP85" s="1034">
        <f>IF(R86="",0,1)</f>
        <v>0</v>
      </c>
      <c r="GQ85" s="1034">
        <f>IF(__Retrofit_TI_NC=0,1,IF(R87="",0,1))</f>
        <v>1</v>
      </c>
      <c r="GR85" s="1034">
        <f>IF(CN85="Exterior",1,IF(G88="",0,1))</f>
        <v>1</v>
      </c>
      <c r="GS85" s="1034">
        <f>IF(__Retrofit_TI_NC&lt;&gt;0,1,IF(T86="",0,1))</f>
        <v>0</v>
      </c>
      <c r="GT85" s="1034">
        <f>IF(__Retrofit_TI_NC&lt;&gt;0,1,IF(U86="",0,1))</f>
        <v>0</v>
      </c>
      <c r="GU85" s="1034">
        <f>IF(T87="",0,1)</f>
        <v>0</v>
      </c>
      <c r="GV85" s="1034">
        <f>IF(U87="",0,1)</f>
        <v>0</v>
      </c>
      <c r="GW85" s="1034">
        <f>IF(__Retrofit_TI_NC=2,1,IF(U88="",0,1))</f>
        <v>0</v>
      </c>
      <c r="GX85" s="1034">
        <f>IF(__Retrofit_TI_NC&lt;&gt;0,1,IF(AE86="",0,1))</f>
        <v>0</v>
      </c>
      <c r="GY85" s="1034">
        <f>IF(__Retrofit_TI_NC&lt;&gt;0,1,IF(AF86="",0,1))</f>
        <v>0</v>
      </c>
      <c r="GZ85" s="1034">
        <f>IF(AE87="",0,1)</f>
        <v>0</v>
      </c>
      <c r="HA85" s="1034">
        <f>IF(AF87="",0,1)</f>
        <v>0</v>
      </c>
      <c r="HB85" s="1034">
        <f>IF(__Retrofit_TI_NC=2,1,IF(AF88="",0,1))</f>
        <v>0</v>
      </c>
      <c r="HV85" s="436"/>
      <c r="HW85" s="1384" t="b">
        <f>IF(OR(HW88=0,HW88=HT$16,HW88=HS$16,HW88=HU$16),TRUE,FALSE)</f>
        <v>0</v>
      </c>
      <c r="HX85" s="1377" t="b">
        <f>HW85</f>
        <v>0</v>
      </c>
      <c r="HY85" s="436"/>
      <c r="HZ85" s="436"/>
      <c r="IA85" s="1386" t="b">
        <f>IF(MAX(GJ88:HP88)&gt;5,FALSE,TRUE)</f>
        <v>0</v>
      </c>
      <c r="IB85" s="1380">
        <f>IF(IA85=TRUE,AC85,0)</f>
        <v>0</v>
      </c>
      <c r="IC85" s="1380">
        <f>IB85-IB87</f>
        <v>0</v>
      </c>
      <c r="IF85" s="1380" t="e">
        <f>ROUND(T86*VLOOKUP(U86,Fixtures_Existing_List,2,FALSE)*N86*R86/1000,0)</f>
        <v>#N/A</v>
      </c>
      <c r="IG85" s="1381" t="e">
        <f>IF85-IF87</f>
        <v>#N/A</v>
      </c>
      <c r="IH85" s="1384" t="e">
        <f>ROUND(IF(CN85="Interior",N87*R87*R86*N86*_C406_reduction/1000,N87*R87*R86*N86/1000),0)</f>
        <v>#N/A</v>
      </c>
      <c r="II85" s="1384" t="e">
        <f>IH85-IH87</f>
        <v>#N/A</v>
      </c>
      <c r="IK85" s="1351" t="e">
        <f>IF($CO85="interior",IL85/2,VLOOKUP($CP85,Control_Savings_Exterior,IK$30,FALSE))</f>
        <v>#N/A</v>
      </c>
      <c r="IL85" s="1351" t="e">
        <f>IF($CO85="interior",VLOOKUP($CP85,Control_Savings_Interior,IL$30,FALSE),VLOOKUP($CP85,Control_Savings_Exterior,IL$30,FALSE))</f>
        <v>#N/A</v>
      </c>
      <c r="IM85" s="1351" t="e">
        <f>IF($CO85="interior",IF(R86&gt;FO$37,(IM$28*(FO$37/R86)),IM$28)*FP85,VLOOKUP($CP85,Control_Savings_Exterior,IM$30,FALSE))</f>
        <v>#N/A</v>
      </c>
      <c r="IN85" s="1351" t="e">
        <f>IF($CO85="interior",ROUND(((1-IL85)*IM85)+IL85,2),VLOOKUP($CP85,Control_Savings_Exterior,IN$30,FALSE))</f>
        <v>#N/A</v>
      </c>
      <c r="IO85" s="1351" t="e">
        <f>IF($CO85="interior", ROUND(((1-IL85)*(IM85*(1-IP$28)))+IP85,2), VLOOKUP($CP85,Control_Savings_Exterior,IO$30,FALSE))</f>
        <v>#N/A</v>
      </c>
      <c r="IP85" s="1351">
        <f>IF($CO85="interior",ROUND(((1-IL85)*IP$28)+IL85,2),0)</f>
        <v>0</v>
      </c>
    </row>
    <row r="86" spans="1:250" s="82" customFormat="1" ht="14.95" customHeight="1" thickTop="1" thickBot="1">
      <c r="B86" s="1421"/>
      <c r="C86" s="1422"/>
      <c r="D86" s="1423"/>
      <c r="E86" s="1393" t="s">
        <v>244</v>
      </c>
      <c r="F86" s="1394"/>
      <c r="G86" s="1395"/>
      <c r="H86" s="1395"/>
      <c r="I86" s="1395"/>
      <c r="J86" s="1395"/>
      <c r="K86" s="1395"/>
      <c r="L86" s="1395"/>
      <c r="M86" s="509" t="e">
        <f>IF(__Retrofit_TI_NC&lt;&gt;0,IF(VLOOKUP(G87,'Space Table'!$B$3:$L$160,3,FALSE)&gt;0,1,0),IF(__Retrofit_TI_NC=VLOOKUP(G87,'Space Table'!$B$3:$L$160,3,FALSE),1,0))</f>
        <v>#N/A</v>
      </c>
      <c r="N86" s="509" t="str">
        <f>IFERROR(VLOOKUP(G86,_Lookup_Heat_Type_Table_New,2,FALSE),"")</f>
        <v/>
      </c>
      <c r="O86" s="509">
        <f>IF(__Retrofit_TI_NC=1,CONCATENATE("TI ",G86),IF(__Retrofit_TI_NC=2,CONCATENATE("NC ",G86),G86))</f>
        <v>0</v>
      </c>
      <c r="P86" s="1396" t="s">
        <v>352</v>
      </c>
      <c r="Q86" s="1396"/>
      <c r="R86" s="673"/>
      <c r="S86" s="1429"/>
      <c r="T86" s="675"/>
      <c r="U86" s="1496"/>
      <c r="V86" s="1497"/>
      <c r="W86" s="1497"/>
      <c r="X86" s="1497"/>
      <c r="Y86" s="1497"/>
      <c r="Z86" s="1497"/>
      <c r="AA86" s="1497"/>
      <c r="AB86" s="1497"/>
      <c r="AC86" s="1497"/>
      <c r="AD86" s="1498"/>
      <c r="AE86" s="675"/>
      <c r="AF86" s="1397"/>
      <c r="AG86" s="1397"/>
      <c r="AH86" s="1397"/>
      <c r="AI86" s="1397"/>
      <c r="AJ86" s="1434"/>
      <c r="AK86" s="1436"/>
      <c r="AL86" s="1438"/>
      <c r="AM86" s="1441"/>
      <c r="AN86" s="1442"/>
      <c r="AO86" s="1447"/>
      <c r="AP86" s="1447"/>
      <c r="AQ86" s="1448"/>
      <c r="AR86" s="1452"/>
      <c r="AS86" s="1455"/>
      <c r="AT86" s="1458"/>
      <c r="AU86" s="516"/>
      <c r="AV86" s="1479"/>
      <c r="AW86" s="1479"/>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M86" s="1352"/>
      <c r="CN86" s="1352"/>
      <c r="CO86" s="1416"/>
      <c r="CP86" s="1418"/>
      <c r="CR86" s="1386"/>
      <c r="CS86" s="1355"/>
      <c r="CT86" s="1355"/>
      <c r="CU86" s="1355"/>
      <c r="CV86" s="1372"/>
      <c r="CW86" s="1372"/>
      <c r="CX86" s="1371"/>
      <c r="CY86" s="1486"/>
      <c r="CZ86" s="1486"/>
      <c r="DA86" s="1486"/>
      <c r="DC86" s="1355"/>
      <c r="DD86" s="1461"/>
      <c r="DE86" s="1355"/>
      <c r="DF86" s="1407"/>
      <c r="DG86" s="1372"/>
      <c r="DH86" s="1369"/>
      <c r="DJ86" s="1484"/>
      <c r="DL86" s="1419"/>
      <c r="DN86" s="1403"/>
      <c r="DO86" s="1405"/>
      <c r="DP86" s="1354"/>
      <c r="DQ86" s="1405"/>
      <c r="DR86" s="1403"/>
      <c r="DS86" s="1489"/>
      <c r="DU86" s="1403"/>
      <c r="DV86" s="1405"/>
      <c r="DW86" s="1403"/>
      <c r="DX86" s="1403"/>
      <c r="DZ86" s="1481"/>
      <c r="EA86" s="1481"/>
      <c r="EC86" s="1482"/>
      <c r="ED86" s="1369"/>
      <c r="EE86" s="1371"/>
      <c r="EF86" s="1369"/>
      <c r="EG86" s="1369"/>
      <c r="EH86" s="1374"/>
      <c r="EI86" s="1374"/>
      <c r="EJ86" s="1363"/>
      <c r="EK86" s="1376"/>
      <c r="EL86" s="1376"/>
      <c r="EM86" s="1362"/>
      <c r="EN86" s="1362"/>
      <c r="EO86" s="1363"/>
      <c r="EP86" s="1363"/>
      <c r="EQ86" s="1363"/>
      <c r="ES86" s="1403"/>
      <c r="EU86" s="1411"/>
      <c r="EV86" s="1411"/>
      <c r="EW86" s="1411"/>
      <c r="EX86" s="1411"/>
      <c r="EY86" s="1411"/>
      <c r="EZ86" s="1413"/>
      <c r="FB86" s="1365"/>
      <c r="FD86" s="1354"/>
      <c r="FE86" s="1354"/>
      <c r="FF86" s="138"/>
      <c r="FI86" s="1357"/>
      <c r="FJ86" s="1357"/>
      <c r="FK86" s="1365"/>
      <c r="FL86" s="1365"/>
      <c r="FM86" s="1365"/>
      <c r="FO86" s="1361"/>
      <c r="FP86" s="1361"/>
      <c r="FQ86" s="1366"/>
      <c r="FR86" s="1368"/>
      <c r="FS86" s="1361"/>
      <c r="FT86" s="1368"/>
      <c r="FU86" s="1360"/>
      <c r="FW86" s="1352"/>
      <c r="FX86" s="1352"/>
      <c r="FY86" s="1352"/>
      <c r="FZ86" s="1352"/>
      <c r="GA86" s="1352"/>
      <c r="GB86" s="1352"/>
      <c r="GC86" s="1352"/>
      <c r="GD86" s="1352"/>
      <c r="GE86" s="759"/>
      <c r="GF86" s="1035"/>
      <c r="GG86" s="1385"/>
      <c r="GI86" s="1384" t="b">
        <f>IF(AND(GL86=TRUE,GM86=TRUE),TRUE,FALSE)</f>
        <v>0</v>
      </c>
      <c r="GJ86" s="1379" t="b">
        <f>IFERROR(IF(__Retrofit_TI_NC=2,TRUE,IF(AR85="Yes",TRUE,FALSE)),FALSE)</f>
        <v>1</v>
      </c>
      <c r="GL86" s="1379" t="b">
        <f>IFERROR(IF(GL85=1,TRUE,FALSE),FALSE)</f>
        <v>0</v>
      </c>
      <c r="GM86" s="1379" t="b">
        <f>IFERROR(IF(GM85=GM$14,TRUE,FALSE),FALSE)</f>
        <v>0</v>
      </c>
      <c r="HC86" s="1379" t="b">
        <f>IFERROR(IF(M86=1,TRUE,FALSE),FALSE)</f>
        <v>0</v>
      </c>
      <c r="HD86" s="1379" t="b">
        <f>IFERROR(IF(M87=1,TRUE,FALSE),FALSE)</f>
        <v>0</v>
      </c>
      <c r="HE86" s="1379" t="b">
        <f>IFERROR(IF(__Retrofit_TI_NC&lt;&gt;0,TRUE,IFERROR(IF(VLOOKUP(U86,Fixtures_Existing_List,2,FALSE)&lt;&gt;"",TRUE,FALSE),FALSE)),FALSE)</f>
        <v>0</v>
      </c>
      <c r="HF86" s="1379" t="b">
        <f>IFERROR(IF(VLOOKUP(U87,Fixtures_Proposed_List,2,FALSE)&lt;&gt;"",TRUE,FALSE),FALSE)</f>
        <v>0</v>
      </c>
      <c r="HG86" s="1379" t="b">
        <f>IF(AND(__Retrofit_TI_NC=2,EZ85=TRUE),FALSE,TRUE)</f>
        <v>1</v>
      </c>
      <c r="HH86" s="1379" t="b">
        <f>GG85</f>
        <v>1</v>
      </c>
      <c r="HI86" s="1384" t="b">
        <f>IF(ISERROR(MATCH(FB85,_Control_Match[],0))=TRUE,FALSE,TRUE)</f>
        <v>0</v>
      </c>
      <c r="HJ86" s="1384" t="b">
        <f>IFERROR(IF(EU85&lt;&gt;EV85,FALSE,TRUE),FALSE)</f>
        <v>0</v>
      </c>
      <c r="HK86" s="1384" t="b">
        <f>IFERROR(IF(EU87&lt;&gt;EV87,FALSE,TRUE),FALSE)</f>
        <v>0</v>
      </c>
      <c r="HL86" s="1379" t="b">
        <f>IFERROR(IF(CN85="Exterior",TRUE,IF(OR(AND(FJ85=0,EW87&gt;4),AND(FJ85=4,EW87&gt;4,EW87&lt;7)),FALSE,TRUE)),FALSE)</f>
        <v>0</v>
      </c>
      <c r="HM86" s="1379" t="b">
        <f>IFERROR(IF(AND(FL87=7,EZ85=TRUE),FALSE,TRUE),FALSE)</f>
        <v>0</v>
      </c>
      <c r="HN86" s="1379" t="b">
        <f>IFERROR(IF(AND(T87&lt;&gt;AE87,AF87="Interior LLLC")=TRUE,FALSE,TRUE),FALSE)</f>
        <v>1</v>
      </c>
      <c r="HO86" s="1379" t="b">
        <f>IFERROR(IF(OR(AF87=Lookup!AU$13,AF87=Lookup!AU$14)=TRUE,IF(AE87&gt;T87,FALSE,TRUE),TRUE),FALSE)</f>
        <v>1</v>
      </c>
      <c r="HP86" s="1379" t="b">
        <f>IFERROR(IF(__Retrofit_TI_NC=2,IF(EW87&lt;EW85,FALSE,TRUE),TRUE),FALSE)</f>
        <v>1</v>
      </c>
      <c r="HQ86" s="1379" t="b">
        <f>IF(CN85="Interior",IG$6,TRUE)</f>
        <v>1</v>
      </c>
      <c r="HR86" s="1379" t="b">
        <f>IF(CN85="Exterior",IG$8,TRUE)</f>
        <v>1</v>
      </c>
      <c r="HS86" s="1379" t="b">
        <f>IFERROR(IF(__Retrofit_TI_NC&lt;&gt;0,IF(AW85&lt;AV85,FALSE,TRUE),TRUE),FALSE)</f>
        <v>1</v>
      </c>
      <c r="HT86" s="1379" t="b">
        <f>IFERROR(IF(AND(G86="Exterior",R86&gt;4200),FALSE,TRUE),FALSE)</f>
        <v>1</v>
      </c>
      <c r="HU86" s="1379" t="b">
        <f>IFERROR(IF(AB88/AB85&lt;HU$18,FALSE,TRUE),FALSE)</f>
        <v>0</v>
      </c>
      <c r="HW86" s="1382"/>
      <c r="HX86" s="1378"/>
      <c r="HY86" s="1377" t="str">
        <f>VLOOKUP(HW88,_Error_Table,4,FALSE)</f>
        <v>White</v>
      </c>
      <c r="HZ86" s="436"/>
      <c r="IA86" s="1386"/>
      <c r="IB86" s="1380"/>
      <c r="IC86" s="1379"/>
      <c r="IF86" s="1380"/>
      <c r="IG86" s="1382"/>
      <c r="IH86" s="1382"/>
      <c r="II86" s="1382"/>
      <c r="IK86" s="1351"/>
      <c r="IL86" s="1351"/>
      <c r="IM86" s="1351"/>
      <c r="IN86" s="1351"/>
      <c r="IO86" s="1351"/>
      <c r="IP86" s="1351"/>
    </row>
    <row r="87" spans="1:250" s="82" customFormat="1" ht="14.95" customHeight="1" thickTop="1" thickBot="1">
      <c r="A87" s="82">
        <f>ROW()</f>
        <v>87</v>
      </c>
      <c r="B87" s="1421"/>
      <c r="C87" s="1422"/>
      <c r="D87" s="1423"/>
      <c r="E87" s="1393" t="s">
        <v>245</v>
      </c>
      <c r="F87" s="1394"/>
      <c r="G87" s="1398"/>
      <c r="H87" s="1399"/>
      <c r="I87" s="1399"/>
      <c r="J87" s="1399"/>
      <c r="K87" s="1399"/>
      <c r="L87" s="1400"/>
      <c r="M87" s="509">
        <f>IFERROR(IF(IF(__Retrofit_TI_NC&lt;&gt;0,IF(CN85="Interior",MATCH(G87,Lookup_Interior_New,0),MATCH(G87,Lookup_Exterior_New,0)),IF(CN85="Interior",MATCH(G87,Lookup_Interior,0),MATCH(G87,Lookup_Exterior_Areas,0)))&gt;0,1,0),0)</f>
        <v>0</v>
      </c>
      <c r="N87" s="509" t="e">
        <f>IF(__Retrofit_TI_NC=1,
VLOOKUP(G87,'Space Table'!$B$3:$L$160,4,FALSE),
IF(__Retrofit_TI_NC=2,VLOOKUP(G87,'Space Table'!$B$3:$L$160,5,FALSE),VLOOKUP(G87,'Space Table'!$B$3:$L$160,5,FALSE)))</f>
        <v>#N/A</v>
      </c>
      <c r="O87" s="509">
        <f>G87</f>
        <v>0</v>
      </c>
      <c r="P87" s="1394" t="s">
        <v>355</v>
      </c>
      <c r="Q87" s="1394"/>
      <c r="R87" s="674"/>
      <c r="S87" s="1401" t="s">
        <v>284</v>
      </c>
      <c r="T87" s="672"/>
      <c r="U87" s="1499"/>
      <c r="V87" s="1500"/>
      <c r="W87" s="1500"/>
      <c r="X87" s="1500"/>
      <c r="Y87" s="1500"/>
      <c r="Z87" s="1500"/>
      <c r="AA87" s="1500"/>
      <c r="AB87" s="1501"/>
      <c r="AC87" s="1501"/>
      <c r="AD87" s="1502"/>
      <c r="AE87" s="672"/>
      <c r="AF87" s="1474"/>
      <c r="AG87" s="1474"/>
      <c r="AH87" s="1474"/>
      <c r="AI87" s="1474"/>
      <c r="AJ87" s="1475">
        <f>DF87</f>
        <v>0</v>
      </c>
      <c r="AK87" s="1470" t="str">
        <f>IFERROR(ROUND(AJ87*AC88,0),"")</f>
        <v/>
      </c>
      <c r="AL87" s="1472">
        <f>IFERROR(IF(HW85=FALSE,0,AC88-AK87),0)</f>
        <v>0</v>
      </c>
      <c r="AM87" s="1441"/>
      <c r="AN87" s="1442"/>
      <c r="AO87" s="1447"/>
      <c r="AP87" s="1447"/>
      <c r="AQ87" s="1448"/>
      <c r="AR87" s="1452"/>
      <c r="AS87" s="1455"/>
      <c r="AT87" s="1458"/>
      <c r="AU87" s="516"/>
      <c r="AV87" s="1479"/>
      <c r="AW87" s="1479"/>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M87" s="1352"/>
      <c r="CN87" s="1352"/>
      <c r="CO87" s="1415" t="str">
        <f>CN85</f>
        <v/>
      </c>
      <c r="CP87" s="1417" t="e">
        <f>CP85</f>
        <v>#N/A</v>
      </c>
      <c r="CR87" s="1386" t="s">
        <v>284</v>
      </c>
      <c r="CS87" s="1353">
        <f>IF(HW85=TRUE,T87,0)</f>
        <v>0</v>
      </c>
      <c r="CT87" s="1353" t="str">
        <f>IF(HW85=TRUE,U87,"")</f>
        <v/>
      </c>
      <c r="CU87" s="1373">
        <f>IF(HW85=TRUE,U88,0)</f>
        <v>0</v>
      </c>
      <c r="CV87" s="1370">
        <f>IF(HW85=TRUE,AB88,0)</f>
        <v>0</v>
      </c>
      <c r="CW87" s="1370">
        <f>IF(HW85=TRUE,AC88,0)</f>
        <v>0</v>
      </c>
      <c r="CX87" s="1371"/>
      <c r="CY87" s="1486"/>
      <c r="CZ87" s="1486"/>
      <c r="DA87" s="1486"/>
      <c r="DC87" s="1353">
        <f>IF(HW85=TRUE,AE87,0)</f>
        <v>0</v>
      </c>
      <c r="DD87" s="1353" t="str">
        <f>IF(HW85=TRUE,AF87,"")</f>
        <v/>
      </c>
      <c r="DE87" s="1373">
        <f>AF88</f>
        <v>0</v>
      </c>
      <c r="DF87" s="1406">
        <f>IFERROR(IF(FL87=3,IK87,IF(FL87=4,IL87,IF(FL87=5,IM87,IF(FL87=6,IN87,IF(FL87=7,IO87,IF(FL87=8,IP87,0)))))),0)</f>
        <v>0</v>
      </c>
      <c r="DG87" s="1370">
        <f>IF(HW85=TRUE,AK87,0)</f>
        <v>0</v>
      </c>
      <c r="DH87" s="1369"/>
      <c r="DK87" s="1483">
        <f>IFERROR(CW87-DG87,0)</f>
        <v>0</v>
      </c>
      <c r="DL87" s="1420"/>
      <c r="DN87" s="1403"/>
      <c r="DO87" s="1477" t="str">
        <f>DN85</f>
        <v/>
      </c>
      <c r="DP87" s="1354"/>
      <c r="DQ87" s="1477" t="str">
        <f>IF(DP85=7,"LLLC","")</f>
        <v/>
      </c>
      <c r="DR87" s="1403"/>
      <c r="DS87" s="1489"/>
      <c r="DU87" s="1403"/>
      <c r="DV87" s="1404" t="str">
        <f>DU85</f>
        <v/>
      </c>
      <c r="DW87" s="1403"/>
      <c r="DX87" s="1403"/>
      <c r="DZ87" s="1481"/>
      <c r="EA87" s="1481"/>
      <c r="EC87" s="1482"/>
      <c r="ED87" s="1369"/>
      <c r="EE87" s="1371"/>
      <c r="EF87" s="1369"/>
      <c r="EG87" s="1369"/>
      <c r="EH87" s="1374"/>
      <c r="EI87" s="1374"/>
      <c r="EJ87" s="1363"/>
      <c r="EK87" s="1376"/>
      <c r="EL87" s="1376"/>
      <c r="EM87" s="1362"/>
      <c r="EN87" s="1362"/>
      <c r="EO87" s="1363"/>
      <c r="EP87" s="1363"/>
      <c r="EQ87" s="1363"/>
      <c r="ES87" s="1403"/>
      <c r="EU87" s="1411" t="e">
        <f>VLOOKUP(CP87,'Space Table'!$B$3:$L$160,8,FALSE)</f>
        <v>#N/A</v>
      </c>
      <c r="EV87" s="1411" t="e">
        <f>IF(EY87="Yes",VLOOKUP(AF87,Lookup_Control_Type_Table2,4,FALSE),VLOOKUP(AF87,Lookup_Control_Type_Table2,3,FALSE))</f>
        <v>#N/A</v>
      </c>
      <c r="EW87" s="1411" t="e">
        <f>VLOOKUP(AF87,Lookup!AU$3:AV$15,2,FALSE)</f>
        <v>#N/A</v>
      </c>
      <c r="EX87" s="1411" t="e">
        <f>VLOOKUP(EU85,Lookup_Control_Type_Table,2,FALSE)</f>
        <v>#N/A</v>
      </c>
      <c r="EY87" s="1411" t="e">
        <f>VLOOKUP(CP87,'Space Table'!$B$3:$L$160,7,FALSE)</f>
        <v>#N/A</v>
      </c>
      <c r="EZ87" s="1413"/>
      <c r="FB87" s="1365" t="str">
        <f>CONCATENATE(CN85," - ",AF87)</f>
        <v xml:space="preserve"> - </v>
      </c>
      <c r="FD87" s="1354"/>
      <c r="FE87" s="1354"/>
      <c r="FF87" s="138"/>
      <c r="FI87" s="1356" t="str">
        <f>IF(CN85="Exterior","Not Daylighted",G88)</f>
        <v>Not Daylighted</v>
      </c>
      <c r="FJ87" s="1356">
        <f>VLOOKUP(FI87,_Daylight_Table_Codes,2,FALSE)</f>
        <v>0</v>
      </c>
      <c r="FK87" s="1365">
        <f>AF87</f>
        <v>0</v>
      </c>
      <c r="FL87" s="1365" t="e">
        <f>VLOOKUP(FK87,_Control_Table,2,FALSE)</f>
        <v>#N/A</v>
      </c>
      <c r="FM87" s="1365" t="e">
        <f>IF(AND(FP87&gt;0,FK87="Occupancy Sensor"),"Daylight + Occupancy",IF(AND(FP87&gt;0,FL87&lt;4),"Interior Daylight Dimming",FK87))</f>
        <v>#N/A</v>
      </c>
      <c r="FO87" s="1364">
        <f>IF(CN85="Interior",VLOOKUP(CP85,Control_Savings_Interior,5,FALSE),0)</f>
        <v>0</v>
      </c>
      <c r="FP87" s="1361">
        <f>IF(CN87="Exterior",0,IF(FJ87=2,0.5,IF(OR(FJ87=1,FJ87=3),1,0)))</f>
        <v>0</v>
      </c>
      <c r="FQ87" s="1366">
        <f>IF(R86&gt;FO$37,(FO87*(FO$37/R86)),FO87)*FP87</f>
        <v>0</v>
      </c>
      <c r="FR87" s="1364">
        <f>DF87</f>
        <v>0</v>
      </c>
      <c r="FS87" s="1364">
        <f>ROUND(FR87+((1-FR87)*FQ87),2)</f>
        <v>0</v>
      </c>
      <c r="FT87" s="1364">
        <f>IF(__Retrofit_TI_NC=2,FS87,FR87)</f>
        <v>0</v>
      </c>
      <c r="FU87" s="1360">
        <f>IF(CO87="Interior",VLOOKUP(CP87,Control_Savings_Interior,4,FALSE),0)</f>
        <v>0</v>
      </c>
      <c r="FW87" s="1352"/>
      <c r="FX87" s="1352"/>
      <c r="FY87" s="1352"/>
      <c r="FZ87" s="1352"/>
      <c r="GA87" s="1352"/>
      <c r="GB87" s="1352"/>
      <c r="GC87" s="1352"/>
      <c r="GD87" s="1352"/>
      <c r="GE87" s="759" t="b">
        <f>IF(ISNUMBER(SEARCH("TLED",U87)),TRUE,FALSE)</f>
        <v>0</v>
      </c>
      <c r="GF87" s="1035" t="str">
        <f>IFERROR(VLOOKUP(U87,Fixtures!DM$93:DR$142,6,FALSE),"")</f>
        <v/>
      </c>
      <c r="GG87" s="1385"/>
      <c r="GI87" s="1383"/>
      <c r="GJ87" s="1379"/>
      <c r="GL87" s="1379"/>
      <c r="GM87" s="1379"/>
      <c r="HC87" s="1379"/>
      <c r="HD87" s="1379"/>
      <c r="HE87" s="1379"/>
      <c r="HF87" s="1379"/>
      <c r="HG87" s="1379"/>
      <c r="HH87" s="1379"/>
      <c r="HI87" s="1383"/>
      <c r="HJ87" s="1383"/>
      <c r="HK87" s="1383"/>
      <c r="HL87" s="1379"/>
      <c r="HM87" s="1379"/>
      <c r="HN87" s="1379"/>
      <c r="HO87" s="1379"/>
      <c r="HP87" s="1379"/>
      <c r="HQ87" s="1379"/>
      <c r="HR87" s="1379"/>
      <c r="HS87" s="1379"/>
      <c r="HT87" s="1379"/>
      <c r="HU87" s="1379"/>
      <c r="HW87" s="1383"/>
      <c r="HX87" s="1384" t="b">
        <f>HW85</f>
        <v>0</v>
      </c>
      <c r="HY87" s="1378"/>
      <c r="HZ87" s="436"/>
      <c r="IA87" s="1386"/>
      <c r="IB87" s="1380">
        <f>IF(IA85=TRUE,AC88,0)</f>
        <v>0</v>
      </c>
      <c r="IC87" s="1379"/>
      <c r="IF87" s="1380" t="e">
        <f>ROUND(T87*AB88*N86*R86/1000,0)</f>
        <v>#VALUE!</v>
      </c>
      <c r="IG87" s="1382"/>
      <c r="IH87" s="1384" t="e">
        <f>ROUND(T87*AB88*N86*R86/1000,0)</f>
        <v>#VALUE!</v>
      </c>
      <c r="II87" s="1382"/>
      <c r="IK87" s="1351" t="e">
        <f>IF($CO87="interior",IL87/2,VLOOKUP($CP87,Control_Savings_Exterior,IK$30,FALSE))</f>
        <v>#N/A</v>
      </c>
      <c r="IL87" s="1351" t="e">
        <f>IF($CO87="interior",VLOOKUP($CP87,Control_Savings_Interior,IL$30,FALSE),VLOOKUP($CP87,Control_Savings_Exterior,IL$30,FALSE))</f>
        <v>#N/A</v>
      </c>
      <c r="IM87" s="1351" t="e">
        <f>IF($CO87="interior",IF(R86&gt;FO$37,(IM$28*(FO$37/R86)),IM$28)*FP87,VLOOKUP($CP87,Control_Savings_Exterior,IM$30,FALSE))</f>
        <v>#N/A</v>
      </c>
      <c r="IN87" s="1351" t="e">
        <f>IF($CO87="interior",ROUND(((1-IL87)*IM87)+IL87,2),VLOOKUP($CP87,Control_Savings_Exterior,IN$30,FALSE))</f>
        <v>#N/A</v>
      </c>
      <c r="IO87" s="1351" t="e">
        <f>IF($CO87="interior", ROUND(((1-IL87)*(IM87*(1-IP$28)))+IP87,2), VLOOKUP($CP87,Control_Savings_Exterior,IO$30,FALSE))</f>
        <v>#N/A</v>
      </c>
      <c r="IP87" s="1351">
        <f>IF($CO87="interior",ROUND(((1-IL87)*IP$28)+IL87,2),0)</f>
        <v>0</v>
      </c>
    </row>
    <row r="88" spans="1:250" s="82" customFormat="1" ht="14.95" customHeight="1" thickTop="1" thickBot="1">
      <c r="B88" s="1421"/>
      <c r="C88" s="1422"/>
      <c r="D88" s="1423"/>
      <c r="E88" s="1462" t="s">
        <v>357</v>
      </c>
      <c r="F88" s="1463"/>
      <c r="G88" s="1464" t="s">
        <v>362</v>
      </c>
      <c r="H88" s="1465"/>
      <c r="I88" s="1465"/>
      <c r="J88" s="1465"/>
      <c r="K88" s="1465"/>
      <c r="L88" s="1466"/>
      <c r="M88" s="669">
        <f>IFERROR(VLOOKUP(G88,_Daylight_Table[],2,FALSE),0)</f>
        <v>0</v>
      </c>
      <c r="N88" s="670"/>
      <c r="O88" s="669" t="e">
        <f>VLOOKUP(G87,'Space Table'!$B$3:$L$160,11,FALSE)</f>
        <v>#N/A</v>
      </c>
      <c r="P88" s="1408"/>
      <c r="Q88" s="1409"/>
      <c r="R88" s="1409"/>
      <c r="S88" s="1402"/>
      <c r="T88" s="671" t="s">
        <v>281</v>
      </c>
      <c r="U88" s="1467" t="str">
        <f>IFERROR(VLOOKUP(U87,Fixtures!DM$93:DP$142,4,FALSE),"")</f>
        <v/>
      </c>
      <c r="V88" s="1468"/>
      <c r="W88" s="1468"/>
      <c r="X88" s="1468"/>
      <c r="Y88" s="1468"/>
      <c r="Z88" s="1468"/>
      <c r="AA88" s="1468"/>
      <c r="AB88" s="1046" t="str">
        <f>IFERROR(VLOOKUP(U87,Fixtures_Proposed_List,2,FALSE),"")</f>
        <v/>
      </c>
      <c r="AC88" s="1036" t="str">
        <f>IFERROR(ROUND(T87*AB88*N86*R86/1000,0),"")</f>
        <v/>
      </c>
      <c r="AD88" s="1037" t="str">
        <f>IFERROR(ROUND(T87*AB88/1000,2),"")</f>
        <v/>
      </c>
      <c r="AE88" s="1045" t="s">
        <v>281</v>
      </c>
      <c r="AF88" s="1469"/>
      <c r="AG88" s="1469"/>
      <c r="AH88" s="1469"/>
      <c r="AI88" s="1469"/>
      <c r="AJ88" s="1476"/>
      <c r="AK88" s="1471"/>
      <c r="AL88" s="1473"/>
      <c r="AM88" s="1443"/>
      <c r="AN88" s="1444"/>
      <c r="AO88" s="1449"/>
      <c r="AP88" s="1449"/>
      <c r="AQ88" s="1450"/>
      <c r="AR88" s="1453"/>
      <c r="AS88" s="1456"/>
      <c r="AT88" s="1459"/>
      <c r="AU88" s="517"/>
      <c r="AV88" s="1480"/>
      <c r="AW88" s="1480"/>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M88" s="1352"/>
      <c r="CN88" s="1352"/>
      <c r="CO88" s="1416"/>
      <c r="CP88" s="1418"/>
      <c r="CR88" s="1386"/>
      <c r="CS88" s="1355"/>
      <c r="CT88" s="1355"/>
      <c r="CU88" s="1375"/>
      <c r="CV88" s="1372"/>
      <c r="CW88" s="1372"/>
      <c r="CX88" s="1372"/>
      <c r="CY88" s="1487"/>
      <c r="CZ88" s="1487"/>
      <c r="DA88" s="1487"/>
      <c r="DC88" s="1355"/>
      <c r="DD88" s="1355"/>
      <c r="DE88" s="1375"/>
      <c r="DF88" s="1407"/>
      <c r="DG88" s="1372"/>
      <c r="DH88" s="1369"/>
      <c r="DK88" s="1484"/>
      <c r="DL88" s="1420"/>
      <c r="DN88" s="1403"/>
      <c r="DO88" s="1405"/>
      <c r="DP88" s="1355"/>
      <c r="DQ88" s="1405"/>
      <c r="DR88" s="1403"/>
      <c r="DS88" s="1489"/>
      <c r="DU88" s="1403"/>
      <c r="DV88" s="1405"/>
      <c r="DW88" s="1403"/>
      <c r="DX88" s="1403"/>
      <c r="DZ88" s="1481"/>
      <c r="EA88" s="1481"/>
      <c r="EC88" s="1482"/>
      <c r="ED88" s="1369"/>
      <c r="EE88" s="1372"/>
      <c r="EF88" s="1369"/>
      <c r="EG88" s="1369"/>
      <c r="EH88" s="1375"/>
      <c r="EI88" s="1375"/>
      <c r="EJ88" s="1363"/>
      <c r="EK88" s="1376"/>
      <c r="EL88" s="1376"/>
      <c r="EM88" s="1362"/>
      <c r="EN88" s="1362"/>
      <c r="EO88" s="1363"/>
      <c r="EP88" s="1363"/>
      <c r="EQ88" s="1363"/>
      <c r="ES88" s="1403"/>
      <c r="EU88" s="1488"/>
      <c r="EV88" s="1488"/>
      <c r="EW88" s="1488"/>
      <c r="EX88" s="1488"/>
      <c r="EY88" s="1488"/>
      <c r="EZ88" s="1414"/>
      <c r="FB88" s="1365"/>
      <c r="FD88" s="1355"/>
      <c r="FE88" s="1355"/>
      <c r="FF88" s="138"/>
      <c r="FI88" s="1357"/>
      <c r="FJ88" s="1357"/>
      <c r="FK88" s="1365"/>
      <c r="FL88" s="1365"/>
      <c r="FM88" s="1365"/>
      <c r="FO88" s="1361"/>
      <c r="FP88" s="1361"/>
      <c r="FQ88" s="1366"/>
      <c r="FR88" s="1361"/>
      <c r="FS88" s="1361"/>
      <c r="FT88" s="1361"/>
      <c r="FU88" s="1360"/>
      <c r="FW88" s="1352"/>
      <c r="FX88" s="1352"/>
      <c r="FY88" s="1352"/>
      <c r="FZ88" s="1352"/>
      <c r="GA88" s="1352"/>
      <c r="GB88" s="1352"/>
      <c r="GC88" s="1352"/>
      <c r="GD88" s="1352"/>
      <c r="GE88" s="759"/>
      <c r="GF88" s="1035"/>
      <c r="GG88" s="1385"/>
      <c r="GJ88" s="1034">
        <f>IF(GJ86=TRUE,0,GJ$16)</f>
        <v>0</v>
      </c>
      <c r="GL88" s="1034">
        <f>IF(GL86=TRUE,0,GL$16)</f>
        <v>36</v>
      </c>
      <c r="GM88" s="1034">
        <f>IF(GM86=TRUE,0,GM$16)</f>
        <v>35</v>
      </c>
      <c r="GN88" s="436"/>
      <c r="GO88" s="436"/>
      <c r="GP88" s="436"/>
      <c r="GQ88" s="436"/>
      <c r="GR88" s="436"/>
      <c r="HC88" s="1034">
        <f t="shared" ref="HC88:HH88" si="50">IF(HC86=TRUE,0,HC$16)</f>
        <v>19</v>
      </c>
      <c r="HD88" s="1034">
        <f t="shared" si="50"/>
        <v>18</v>
      </c>
      <c r="HE88" s="1034">
        <f t="shared" si="50"/>
        <v>17</v>
      </c>
      <c r="HF88" s="1034">
        <f t="shared" si="50"/>
        <v>16</v>
      </c>
      <c r="HG88" s="1034">
        <f t="shared" si="50"/>
        <v>0</v>
      </c>
      <c r="HH88" s="1034">
        <f t="shared" si="50"/>
        <v>0</v>
      </c>
      <c r="HI88" s="1034">
        <f>IF(HI86=TRUE,0,HI$16)</f>
        <v>13</v>
      </c>
      <c r="HJ88" s="1034">
        <f t="shared" ref="HJ88:HL88" si="51">IF(HJ86=TRUE,0,HJ$16)</f>
        <v>12</v>
      </c>
      <c r="HK88" s="1034">
        <f t="shared" si="51"/>
        <v>11</v>
      </c>
      <c r="HL88" s="1034">
        <f t="shared" si="51"/>
        <v>10</v>
      </c>
      <c r="HM88" s="1034">
        <f>IF(HM86=TRUE,0,HM$16)</f>
        <v>9</v>
      </c>
      <c r="HN88" s="1034">
        <f t="shared" ref="HN88:HR88" si="52">IF(HN86=TRUE,0,HN$16)</f>
        <v>0</v>
      </c>
      <c r="HO88" s="1034">
        <f t="shared" si="52"/>
        <v>0</v>
      </c>
      <c r="HP88" s="1034">
        <f t="shared" si="52"/>
        <v>0</v>
      </c>
      <c r="HQ88" s="1034">
        <f t="shared" si="52"/>
        <v>0</v>
      </c>
      <c r="HR88" s="1034">
        <f t="shared" si="52"/>
        <v>0</v>
      </c>
      <c r="HS88" s="1034">
        <f>IF(HS86=TRUE,0,HS$16)</f>
        <v>0</v>
      </c>
      <c r="HT88" s="1034">
        <f t="shared" ref="HT88" si="53">IF(HT86=TRUE,0,HT$16)</f>
        <v>0</v>
      </c>
      <c r="HU88" s="1034">
        <f>IF(HU86=TRUE,0,HU$16)</f>
        <v>1</v>
      </c>
      <c r="HW88" s="1034">
        <f>IF(GL86=FALSE,GL88,IF(GM86=FALSE,GM88,MAX(GJ88:HU88)))</f>
        <v>36</v>
      </c>
      <c r="HX88" s="1383"/>
      <c r="HY88" s="241" t="str">
        <f>VLOOKUP(HW88,_Error_Table,3,FALSE)</f>
        <v xml:space="preserve"> </v>
      </c>
      <c r="HZ88" s="241"/>
      <c r="IA88" s="1386"/>
      <c r="IB88" s="1380"/>
      <c r="IC88" s="1379"/>
      <c r="IF88" s="1380"/>
      <c r="IG88" s="1383"/>
      <c r="IH88" s="1383"/>
      <c r="II88" s="1383"/>
      <c r="IK88" s="1351"/>
      <c r="IL88" s="1351"/>
      <c r="IM88" s="1351"/>
      <c r="IN88" s="1351"/>
      <c r="IO88" s="1351"/>
      <c r="IP88" s="1351"/>
    </row>
    <row r="89" spans="1:250" s="82" customFormat="1" ht="5.0999999999999996" customHeight="1">
      <c r="B89" s="763"/>
      <c r="C89" s="437"/>
      <c r="D89" s="437"/>
      <c r="E89" s="1490"/>
      <c r="F89" s="1490"/>
      <c r="G89" s="1490"/>
      <c r="H89" s="1490"/>
      <c r="I89" s="1490"/>
      <c r="J89" s="1490"/>
      <c r="K89" s="1490"/>
      <c r="L89" s="1490"/>
      <c r="M89" s="1490"/>
      <c r="N89" s="1490"/>
      <c r="O89" s="1490"/>
      <c r="P89" s="1490"/>
      <c r="Q89" s="1490"/>
      <c r="R89" s="1490"/>
      <c r="S89" s="1490"/>
      <c r="T89" s="1490"/>
      <c r="U89" s="1490"/>
      <c r="V89" s="1490"/>
      <c r="W89" s="1490"/>
      <c r="X89" s="1490"/>
      <c r="Y89" s="1490"/>
      <c r="Z89" s="1490"/>
      <c r="AA89" s="1490"/>
      <c r="AB89" s="1490"/>
      <c r="AC89" s="1490"/>
      <c r="AD89" s="1490"/>
      <c r="AE89" s="1490"/>
      <c r="AF89" s="1490"/>
      <c r="AG89" s="1490"/>
      <c r="AH89" s="1490"/>
      <c r="AI89" s="1490"/>
      <c r="AJ89" s="1490"/>
      <c r="AK89" s="1490"/>
      <c r="AL89" s="1490"/>
      <c r="AM89" s="1490"/>
      <c r="AN89" s="1490"/>
      <c r="AO89" s="1490"/>
      <c r="AP89" s="1490"/>
      <c r="AQ89" s="1490"/>
      <c r="AR89" s="1490"/>
      <c r="AS89" s="1490"/>
      <c r="AT89" s="1490"/>
      <c r="AU89" s="51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M89" s="749"/>
      <c r="CN89" s="749"/>
      <c r="CO89" s="485"/>
      <c r="CP89" s="749"/>
      <c r="CS89" s="436"/>
      <c r="CT89" s="436"/>
      <c r="CU89" s="243"/>
      <c r="CV89" s="244"/>
      <c r="CW89" s="244"/>
      <c r="CX89" s="244"/>
      <c r="CY89" s="245"/>
      <c r="CZ89" s="245"/>
      <c r="DA89" s="245"/>
      <c r="DC89" s="750"/>
      <c r="DD89" s="751"/>
      <c r="DE89" s="752"/>
      <c r="DF89" s="753"/>
      <c r="DG89" s="754"/>
      <c r="DH89" s="754"/>
      <c r="DK89" s="244"/>
      <c r="DL89" s="750"/>
      <c r="DN89" s="750"/>
      <c r="DO89" s="755"/>
      <c r="DP89" s="436"/>
      <c r="DQ89" s="750"/>
      <c r="DR89" s="750"/>
      <c r="DS89" s="750"/>
      <c r="DU89" s="750"/>
      <c r="DV89" s="750"/>
      <c r="DW89" s="750"/>
      <c r="DX89" s="750"/>
      <c r="DZ89" s="756"/>
      <c r="EA89" s="756"/>
      <c r="EC89" s="754"/>
      <c r="ED89" s="754"/>
      <c r="EE89" s="244"/>
      <c r="EF89" s="754"/>
      <c r="EG89" s="754"/>
      <c r="EH89" s="243"/>
      <c r="EI89" s="243"/>
      <c r="EJ89" s="752"/>
      <c r="EK89" s="757"/>
      <c r="EL89" s="757"/>
      <c r="EM89" s="758"/>
      <c r="EN89" s="758"/>
      <c r="EO89" s="752"/>
      <c r="EP89" s="752"/>
      <c r="EQ89" s="752"/>
      <c r="ES89" s="750"/>
      <c r="EU89" s="436"/>
      <c r="EV89" s="436"/>
      <c r="EW89" s="436"/>
      <c r="EX89" s="436"/>
      <c r="EY89" s="436"/>
      <c r="EZ89" s="436"/>
      <c r="FB89" s="643"/>
      <c r="FD89" s="436"/>
      <c r="FE89" s="436"/>
      <c r="FF89" s="436"/>
      <c r="FO89" s="750"/>
      <c r="FP89" s="436"/>
      <c r="FQ89" s="436"/>
      <c r="FR89" s="750"/>
      <c r="FS89" s="750"/>
      <c r="FW89" s="749"/>
      <c r="FX89" s="749"/>
      <c r="FY89" s="749"/>
      <c r="FZ89" s="749"/>
      <c r="GA89" s="749"/>
      <c r="GB89" s="749"/>
      <c r="GC89" s="749"/>
      <c r="GD89" s="749"/>
      <c r="GE89" s="751"/>
      <c r="GF89" s="750"/>
      <c r="GG89" s="750"/>
    </row>
    <row r="90" spans="1:250" s="82" customFormat="1" ht="20.25" customHeight="1">
      <c r="B90" s="247"/>
      <c r="C90" s="437"/>
      <c r="D90" s="437"/>
      <c r="E90" s="247"/>
      <c r="F90" s="247"/>
      <c r="G90" s="247"/>
      <c r="H90" s="247"/>
      <c r="I90" s="485"/>
      <c r="J90" s="485"/>
      <c r="K90" s="485"/>
      <c r="L90" s="485"/>
      <c r="M90" s="485"/>
      <c r="N90" s="485"/>
      <c r="O90" s="485"/>
      <c r="P90" s="485"/>
      <c r="Q90" s="485"/>
      <c r="R90" s="436"/>
      <c r="S90" s="242"/>
      <c r="T90" s="436"/>
      <c r="U90" s="241"/>
      <c r="V90" s="241"/>
      <c r="W90" s="241"/>
      <c r="X90" s="241"/>
      <c r="Y90" s="241"/>
      <c r="Z90" s="241"/>
      <c r="AA90" s="243"/>
      <c r="AB90" s="436"/>
      <c r="AC90" s="244"/>
      <c r="AD90" s="245"/>
      <c r="AE90" s="436"/>
      <c r="AF90" s="241"/>
      <c r="AG90" s="241"/>
      <c r="AH90" s="241"/>
      <c r="AI90" s="243"/>
      <c r="AJ90" s="246"/>
      <c r="AK90" s="244"/>
      <c r="AL90" s="244"/>
      <c r="AM90" s="436"/>
      <c r="AN90" s="436"/>
      <c r="AO90" s="436"/>
      <c r="AP90" s="436"/>
      <c r="AQ90" s="436"/>
      <c r="AR90" s="436"/>
      <c r="AS90" s="436"/>
      <c r="AT90" s="485"/>
      <c r="AU90" s="485"/>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M90" s="755"/>
      <c r="CN90" s="755"/>
      <c r="CO90" s="755"/>
      <c r="CP90" s="755"/>
      <c r="CQ90" s="755"/>
      <c r="CR90" s="755"/>
      <c r="CS90" s="755"/>
      <c r="CT90" s="755"/>
      <c r="CU90" s="755"/>
      <c r="CV90" s="755"/>
      <c r="CW90" s="755"/>
      <c r="CX90" s="755"/>
      <c r="CY90" s="755"/>
      <c r="CZ90" s="755"/>
      <c r="DA90" s="755"/>
      <c r="DB90" s="755"/>
      <c r="DC90" s="755"/>
      <c r="DD90" s="755"/>
      <c r="DE90" s="755"/>
      <c r="DF90" s="755"/>
      <c r="DG90" s="755"/>
      <c r="DH90" s="755"/>
      <c r="DI90" s="755"/>
      <c r="DJ90" s="755"/>
      <c r="DL90" s="755"/>
      <c r="DM90" s="755"/>
      <c r="DN90" s="755"/>
      <c r="DO90" s="755"/>
      <c r="DP90" s="755"/>
      <c r="DQ90" s="755"/>
      <c r="DR90" s="755"/>
      <c r="DS90" s="755"/>
      <c r="DT90" s="755"/>
      <c r="DU90" s="755"/>
      <c r="DV90" s="755"/>
      <c r="DW90" s="755"/>
      <c r="DX90" s="755"/>
      <c r="DY90" s="755"/>
      <c r="DZ90" s="755"/>
      <c r="EA90" s="755"/>
      <c r="EB90" s="755"/>
      <c r="EC90" s="764" t="s">
        <v>283</v>
      </c>
      <c r="ED90" s="764" t="s">
        <v>284</v>
      </c>
      <c r="EE90" s="764" t="s">
        <v>186</v>
      </c>
      <c r="EF90" s="764" t="s">
        <v>286</v>
      </c>
      <c r="EG90" s="764" t="s">
        <v>287</v>
      </c>
      <c r="EH90" s="764"/>
      <c r="EI90" s="764"/>
      <c r="EJ90" s="764" t="s">
        <v>288</v>
      </c>
      <c r="EK90" s="764" t="s">
        <v>186</v>
      </c>
      <c r="EL90" s="764" t="s">
        <v>286</v>
      </c>
      <c r="EM90" s="764" t="s">
        <v>186</v>
      </c>
      <c r="EN90" s="764" t="s">
        <v>286</v>
      </c>
      <c r="EO90" s="764" t="s">
        <v>186</v>
      </c>
      <c r="EP90" s="764" t="s">
        <v>286</v>
      </c>
      <c r="EQ90" s="764"/>
      <c r="ER90" s="755"/>
      <c r="ES90" s="755">
        <f>ROW()</f>
        <v>90</v>
      </c>
      <c r="EU90" s="436"/>
      <c r="EV90" s="436"/>
      <c r="EW90" s="436"/>
      <c r="EX90" s="436"/>
      <c r="EY90" s="436"/>
      <c r="EZ90" s="436"/>
      <c r="FD90" s="436"/>
      <c r="FE90" s="436"/>
      <c r="FF90" s="436"/>
      <c r="FK90" s="82">
        <v>29</v>
      </c>
      <c r="FM90" s="82" t="s">
        <v>360</v>
      </c>
    </row>
    <row r="91" spans="1:250" s="82" customFormat="1" ht="20.25" customHeight="1">
      <c r="B91" s="247"/>
      <c r="C91" s="437"/>
      <c r="D91" s="437"/>
      <c r="E91" s="247"/>
      <c r="F91" s="247"/>
      <c r="G91" s="247"/>
      <c r="H91" s="247"/>
      <c r="I91" s="485"/>
      <c r="J91" s="485"/>
      <c r="K91" s="485"/>
      <c r="L91" s="485"/>
      <c r="M91" s="485"/>
      <c r="N91" s="485"/>
      <c r="O91" s="485"/>
      <c r="P91" s="485"/>
      <c r="Q91" s="485"/>
      <c r="R91" s="436"/>
      <c r="S91" s="242"/>
      <c r="T91" s="436"/>
      <c r="U91" s="241"/>
      <c r="V91" s="241"/>
      <c r="W91" s="241"/>
      <c r="X91" s="241"/>
      <c r="Y91" s="241"/>
      <c r="Z91" s="241"/>
      <c r="AA91" s="243"/>
      <c r="AB91" s="436"/>
      <c r="AC91" s="244"/>
      <c r="AD91" s="245"/>
      <c r="AE91" s="436"/>
      <c r="AF91" s="241"/>
      <c r="AG91" s="241"/>
      <c r="AH91" s="241"/>
      <c r="AI91" s="243"/>
      <c r="AJ91" s="246"/>
      <c r="AK91" s="244"/>
      <c r="AL91" s="244"/>
      <c r="AM91" s="1540" t="s">
        <v>332</v>
      </c>
      <c r="AN91" s="1541"/>
      <c r="AO91" s="1529" t="s">
        <v>350</v>
      </c>
      <c r="AP91" s="1529"/>
      <c r="AQ91" s="1529" t="s">
        <v>205</v>
      </c>
      <c r="AR91" s="1529"/>
      <c r="AS91" s="1529"/>
      <c r="AT91" s="1529"/>
      <c r="AU91" s="485"/>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M91" s="105" t="s">
        <v>290</v>
      </c>
      <c r="CN91" s="105" t="s">
        <v>291</v>
      </c>
      <c r="CO91" s="105"/>
      <c r="CP91" s="105" t="s">
        <v>292</v>
      </c>
      <c r="CQ91" s="38"/>
      <c r="CR91" s="38"/>
      <c r="CS91" s="37" t="s">
        <v>280</v>
      </c>
      <c r="CT91" s="38"/>
      <c r="CU91" s="105" t="s">
        <v>281</v>
      </c>
      <c r="CV91" s="38"/>
      <c r="CW91" s="38"/>
      <c r="CX91" s="105" t="s">
        <v>282</v>
      </c>
      <c r="CY91" s="105" t="s">
        <v>283</v>
      </c>
      <c r="CZ91" s="105" t="s">
        <v>284</v>
      </c>
      <c r="DA91" s="105" t="s">
        <v>285</v>
      </c>
      <c r="DB91" s="436"/>
      <c r="DC91" s="37" t="s">
        <v>293</v>
      </c>
      <c r="DD91" s="38"/>
      <c r="DE91" s="105" t="s">
        <v>281</v>
      </c>
      <c r="DF91" s="37"/>
      <c r="DG91" s="105" t="s">
        <v>282</v>
      </c>
      <c r="DH91" s="105" t="s">
        <v>282</v>
      </c>
      <c r="DI91" s="38"/>
      <c r="DJ91" s="105" t="s">
        <v>348</v>
      </c>
      <c r="DK91" s="105" t="s">
        <v>348</v>
      </c>
      <c r="DL91" s="105" t="s">
        <v>233</v>
      </c>
      <c r="DM91" s="38"/>
      <c r="DN91" s="1358" t="s">
        <v>186</v>
      </c>
      <c r="DO91" s="1358"/>
      <c r="DP91" s="105" t="s">
        <v>286</v>
      </c>
      <c r="DQ91" s="105"/>
      <c r="DR91" s="105" t="s">
        <v>294</v>
      </c>
      <c r="DS91" s="105" t="s">
        <v>294</v>
      </c>
      <c r="DT91" s="38"/>
      <c r="DU91" s="1358" t="s">
        <v>286</v>
      </c>
      <c r="DV91" s="1358"/>
      <c r="DW91" s="105" t="s">
        <v>294</v>
      </c>
      <c r="DX91" s="105" t="s">
        <v>295</v>
      </c>
      <c r="DY91" s="38"/>
      <c r="DZ91" s="105" t="s">
        <v>296</v>
      </c>
      <c r="EA91" s="105" t="s">
        <v>297</v>
      </c>
      <c r="EB91" s="436"/>
      <c r="EC91" s="689" t="s">
        <v>186</v>
      </c>
      <c r="ED91" s="689" t="s">
        <v>186</v>
      </c>
      <c r="EE91" s="689" t="s">
        <v>298</v>
      </c>
      <c r="EF91" s="689" t="s">
        <v>298</v>
      </c>
      <c r="EG91" s="689" t="s">
        <v>298</v>
      </c>
      <c r="EH91" s="689" t="s">
        <v>186</v>
      </c>
      <c r="EI91" s="689" t="s">
        <v>286</v>
      </c>
      <c r="EJ91" s="689" t="s">
        <v>286</v>
      </c>
      <c r="EK91" s="689" t="s">
        <v>299</v>
      </c>
      <c r="EL91" s="689" t="s">
        <v>299</v>
      </c>
      <c r="EM91" s="689" t="s">
        <v>299</v>
      </c>
      <c r="EN91" s="689" t="s">
        <v>299</v>
      </c>
      <c r="EO91" s="689" t="s">
        <v>299</v>
      </c>
      <c r="EP91" s="689" t="s">
        <v>299</v>
      </c>
      <c r="EQ91" s="689" t="s">
        <v>299</v>
      </c>
      <c r="ER91" s="436"/>
      <c r="ES91" s="436"/>
      <c r="EU91" s="436"/>
      <c r="EV91" s="436"/>
      <c r="EW91" s="436"/>
      <c r="EX91" s="436"/>
      <c r="EY91" s="436"/>
      <c r="EZ91" s="436"/>
      <c r="FD91" s="436"/>
      <c r="FE91" s="436"/>
      <c r="FF91" s="436"/>
      <c r="FI91" s="105" t="s">
        <v>300</v>
      </c>
      <c r="FJ91" s="105" t="s">
        <v>301</v>
      </c>
      <c r="FK91" s="105" t="s">
        <v>302</v>
      </c>
      <c r="FL91" s="105" t="s">
        <v>303</v>
      </c>
      <c r="FM91" s="38"/>
      <c r="FN91" s="38" t="s">
        <v>304</v>
      </c>
      <c r="FO91" s="105">
        <v>3200</v>
      </c>
      <c r="FP91" s="105" t="s">
        <v>305</v>
      </c>
      <c r="FQ91" s="105" t="s">
        <v>306</v>
      </c>
      <c r="FR91" s="105" t="s">
        <v>307</v>
      </c>
      <c r="FS91" s="105" t="s">
        <v>306</v>
      </c>
      <c r="FT91" s="38"/>
      <c r="FU91" s="38"/>
    </row>
    <row r="92" spans="1:250" s="82" customFormat="1" ht="20.25" customHeight="1" thickBot="1">
      <c r="B92" s="247"/>
      <c r="C92" s="660">
        <v>2</v>
      </c>
      <c r="D92" s="437"/>
      <c r="E92" s="241" t="str">
        <f>CONCATENATE(AF$20," - page ",C92)</f>
        <v xml:space="preserve"> - page 2</v>
      </c>
      <c r="F92" s="247"/>
      <c r="G92" s="247"/>
      <c r="H92" s="247"/>
      <c r="I92" s="485"/>
      <c r="J92" s="485"/>
      <c r="K92" s="485"/>
      <c r="L92" s="485"/>
      <c r="M92" s="485"/>
      <c r="N92" s="485"/>
      <c r="O92" s="485"/>
      <c r="P92" s="485"/>
      <c r="Q92" s="485"/>
      <c r="R92" s="436"/>
      <c r="S92" s="242"/>
      <c r="T92" s="436"/>
      <c r="U92" s="241"/>
      <c r="V92" s="241"/>
      <c r="W92" s="241"/>
      <c r="X92" s="241"/>
      <c r="Y92" s="241"/>
      <c r="Z92" s="241"/>
      <c r="AA92" s="243"/>
      <c r="AB92" s="677" t="s">
        <v>132</v>
      </c>
      <c r="AC92" s="677" t="s">
        <v>282</v>
      </c>
      <c r="AD92" s="677" t="s">
        <v>312</v>
      </c>
      <c r="AE92" s="436"/>
      <c r="AF92" s="241"/>
      <c r="AG92" s="241"/>
      <c r="AH92" s="241"/>
      <c r="AI92" s="243"/>
      <c r="AJ92" s="678" t="s">
        <v>233</v>
      </c>
      <c r="AK92" s="678" t="s">
        <v>332</v>
      </c>
      <c r="AL92" s="679" t="s">
        <v>349</v>
      </c>
      <c r="AM92" s="1565">
        <f>AX$4</f>
        <v>0</v>
      </c>
      <c r="AN92" s="1566"/>
      <c r="AO92" s="1567">
        <f>AX$6</f>
        <v>0</v>
      </c>
      <c r="AP92" s="1568"/>
      <c r="AQ92" s="1569"/>
      <c r="AR92" s="1561">
        <f>AX$2</f>
        <v>0</v>
      </c>
      <c r="AS92" s="1561"/>
      <c r="AT92" s="1379"/>
      <c r="AU92" s="436"/>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M92" s="105" t="s">
        <v>310</v>
      </c>
      <c r="CN92" s="105" t="s">
        <v>277</v>
      </c>
      <c r="CO92" s="105"/>
      <c r="CP92" s="105" t="s">
        <v>172</v>
      </c>
      <c r="CQ92" s="38"/>
      <c r="CR92" s="38"/>
      <c r="CS92" s="105" t="s">
        <v>190</v>
      </c>
      <c r="CT92" s="105" t="s">
        <v>186</v>
      </c>
      <c r="CU92" s="105" t="s">
        <v>311</v>
      </c>
      <c r="CV92" s="105" t="s">
        <v>132</v>
      </c>
      <c r="CW92" s="105" t="s">
        <v>282</v>
      </c>
      <c r="CX92" s="105" t="s">
        <v>285</v>
      </c>
      <c r="CY92" s="105" t="s">
        <v>312</v>
      </c>
      <c r="CZ92" s="105" t="s">
        <v>312</v>
      </c>
      <c r="DA92" s="105" t="s">
        <v>312</v>
      </c>
      <c r="DB92" s="436"/>
      <c r="DC92" s="105" t="s">
        <v>190</v>
      </c>
      <c r="DD92" s="37" t="s">
        <v>286</v>
      </c>
      <c r="DE92" s="105" t="s">
        <v>311</v>
      </c>
      <c r="DF92" s="105" t="s">
        <v>313</v>
      </c>
      <c r="DG92" s="105" t="s">
        <v>285</v>
      </c>
      <c r="DH92" s="105" t="s">
        <v>285</v>
      </c>
      <c r="DI92" s="38"/>
      <c r="DJ92" s="105" t="s">
        <v>349</v>
      </c>
      <c r="DK92" s="105" t="s">
        <v>284</v>
      </c>
      <c r="DL92" s="38"/>
      <c r="DM92" s="38"/>
      <c r="DN92" s="1359" t="s">
        <v>172</v>
      </c>
      <c r="DO92" s="1359"/>
      <c r="DP92" s="105" t="s">
        <v>172</v>
      </c>
      <c r="DQ92" s="105"/>
      <c r="DR92" s="105" t="s">
        <v>186</v>
      </c>
      <c r="DS92" s="105" t="s">
        <v>314</v>
      </c>
      <c r="DT92" s="38"/>
      <c r="DU92" s="1359" t="s">
        <v>315</v>
      </c>
      <c r="DV92" s="1359"/>
      <c r="DW92" s="105" t="s">
        <v>316</v>
      </c>
      <c r="DX92" s="105" t="s">
        <v>314</v>
      </c>
      <c r="DY92" s="38"/>
      <c r="DZ92" s="105" t="s">
        <v>205</v>
      </c>
      <c r="EA92" s="105" t="s">
        <v>205</v>
      </c>
      <c r="EB92" s="436"/>
      <c r="EC92" s="689" t="s">
        <v>282</v>
      </c>
      <c r="ED92" s="689" t="s">
        <v>282</v>
      </c>
      <c r="EE92" s="689" t="s">
        <v>282</v>
      </c>
      <c r="EF92" s="689" t="s">
        <v>282</v>
      </c>
      <c r="EG92" s="689" t="s">
        <v>282</v>
      </c>
      <c r="EH92" s="689" t="s">
        <v>281</v>
      </c>
      <c r="EI92" s="689" t="s">
        <v>281</v>
      </c>
      <c r="EJ92" s="689" t="s">
        <v>281</v>
      </c>
      <c r="EK92" s="689" t="s">
        <v>317</v>
      </c>
      <c r="EL92" s="689" t="s">
        <v>317</v>
      </c>
      <c r="EM92" s="689" t="s">
        <v>318</v>
      </c>
      <c r="EN92" s="689" t="s">
        <v>318</v>
      </c>
      <c r="EO92" s="689" t="s">
        <v>281</v>
      </c>
      <c r="EP92" s="689" t="s">
        <v>281</v>
      </c>
      <c r="EQ92" s="689" t="s">
        <v>281</v>
      </c>
      <c r="ER92" s="436"/>
      <c r="ES92" s="436">
        <f>SUM(ES93:ES166)</f>
        <v>0</v>
      </c>
      <c r="EU92" s="436"/>
      <c r="EV92" s="436"/>
      <c r="EW92" s="436"/>
      <c r="EX92" s="436"/>
      <c r="EY92" s="89" t="s">
        <v>314</v>
      </c>
      <c r="EZ92" s="89" t="s">
        <v>170</v>
      </c>
      <c r="FD92" s="436"/>
      <c r="FE92" s="436"/>
      <c r="FF92" s="436"/>
      <c r="FI92" s="38"/>
      <c r="FJ92" s="105" t="s">
        <v>273</v>
      </c>
      <c r="FK92" s="38"/>
      <c r="FL92" s="38"/>
      <c r="FM92" s="38"/>
      <c r="FN92" s="38" t="s">
        <v>233</v>
      </c>
      <c r="FO92" s="105" t="s">
        <v>305</v>
      </c>
      <c r="FP92" s="105" t="s">
        <v>320</v>
      </c>
      <c r="FQ92" s="105" t="s">
        <v>305</v>
      </c>
      <c r="FR92" s="105" t="s">
        <v>286</v>
      </c>
      <c r="FS92" s="37" t="s">
        <v>321</v>
      </c>
      <c r="FT92" s="38"/>
      <c r="FU92" s="105" t="s">
        <v>322</v>
      </c>
    </row>
    <row r="93" spans="1:250" s="82" customFormat="1" ht="14.95" customHeight="1" thickTop="1" thickBot="1">
      <c r="B93" s="1421" t="str">
        <f>HY96</f>
        <v xml:space="preserve"> </v>
      </c>
      <c r="C93" s="1422">
        <f>C85+1</f>
        <v>11</v>
      </c>
      <c r="D93" s="1423"/>
      <c r="E93" s="1424" t="s">
        <v>242</v>
      </c>
      <c r="F93" s="1425"/>
      <c r="G93" s="1426"/>
      <c r="H93" s="1427"/>
      <c r="I93" s="1427"/>
      <c r="J93" s="1427"/>
      <c r="K93" s="1427"/>
      <c r="L93" s="1427"/>
      <c r="M93" s="1427"/>
      <c r="N93" s="1427"/>
      <c r="O93" s="1427"/>
      <c r="P93" s="1427"/>
      <c r="Q93" s="1427"/>
      <c r="R93" s="1427"/>
      <c r="S93" s="1428" t="s">
        <v>283</v>
      </c>
      <c r="T93" s="668" t="s">
        <v>190</v>
      </c>
      <c r="U93" s="1430" t="s">
        <v>186</v>
      </c>
      <c r="V93" s="1431"/>
      <c r="W93" s="1431"/>
      <c r="X93" s="1431"/>
      <c r="Y93" s="1431"/>
      <c r="Z93" s="1431"/>
      <c r="AA93" s="1431"/>
      <c r="AB93" s="1088" t="str">
        <f>IFERROR(IF(__Retrofit_TI_NC=0,VLOOKUP(U94,Fixtures_Existing_List,2,FALSE),ROUND(N95*R95/T95,10)),"")</f>
        <v/>
      </c>
      <c r="AC93" s="1039" t="str">
        <f>IFERROR(IF(__Retrofit_TI_NC=0,ROUND(T94*AB93*N94*R94/1000,0),IF(CN93="Interior",N95*R95*R94*N94*_C406_reduction/1000,N95*R95*R94*N94/1000)),"")</f>
        <v/>
      </c>
      <c r="AD93" s="1040" t="str">
        <f>IFERROR(IF(C$36=0,ROUND(T94*AB93/1000,2),N95*R95/1000),"")</f>
        <v/>
      </c>
      <c r="AE93" s="1044" t="s">
        <v>190</v>
      </c>
      <c r="AF93" s="1432" t="str">
        <f>IF(__Retrofit_TI_NC=2,CONCATENATE("Code min = ",DD93),IF(__Retrofit_TI_NC=1,"Emter what you think the existing control was"," Control"))</f>
        <v xml:space="preserve"> Control</v>
      </c>
      <c r="AG93" s="1432"/>
      <c r="AH93" s="1432"/>
      <c r="AI93" s="1432"/>
      <c r="AJ93" s="1433">
        <f>DF93</f>
        <v>0</v>
      </c>
      <c r="AK93" s="1435" t="str">
        <f>IFERROR(ROUND(AJ93*AC93,0),"")</f>
        <v/>
      </c>
      <c r="AL93" s="1437">
        <f>IFERROR(IF(HW93=FALSE,0,AC93-AK93),0)</f>
        <v>0</v>
      </c>
      <c r="AM93" s="1439">
        <f>AL93-AL95</f>
        <v>0</v>
      </c>
      <c r="AN93" s="1440"/>
      <c r="AO93" s="1445">
        <f>IFERROR(IF(HW93=FALSE,0,(T95*U96)+(AE95*AF96)),0)</f>
        <v>0</v>
      </c>
      <c r="AP93" s="1445"/>
      <c r="AQ93" s="1446"/>
      <c r="AR93" s="1451" t="s">
        <v>157</v>
      </c>
      <c r="AS93" s="1454">
        <f>IF(AR93="Yes",1,0)</f>
        <v>1</v>
      </c>
      <c r="AT93" s="1457" t="str">
        <f>IF(OR(DN93=4,DN93=5,DN93=6,DN93=12),CONCATENATE("$",IF(GD93=TRUE,Lookup!$B$11,Lookup!$B$2)," /lamp"),CONCATENATE(EA93,"/ kWh"))</f>
        <v>0/ kWh</v>
      </c>
      <c r="AU93" s="516"/>
      <c r="AV93" s="1478">
        <f>IFERROR(IF(GI94=TRUE,(AB96*T95)/R95,0),"NA")</f>
        <v>0</v>
      </c>
      <c r="AW93" s="1478" t="str">
        <f>IFERROR(N95*_C406_reduction,"NA")</f>
        <v>NA</v>
      </c>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M93" s="1352" t="str">
        <f>N94</f>
        <v/>
      </c>
      <c r="CN93" s="1352" t="str">
        <f>IFERROR(VLOOKUP(G94,_Lookup_Heat_Type_Table_New,3,FALSE),"")</f>
        <v/>
      </c>
      <c r="CO93" s="1415" t="str">
        <f>CN93</f>
        <v/>
      </c>
      <c r="CP93" s="1417" t="e">
        <f>VLOOKUP(G95,'Space Table'!$B$3:$L$160,9,FALSE)</f>
        <v>#N/A</v>
      </c>
      <c r="CR93" s="1386" t="s">
        <v>283</v>
      </c>
      <c r="CS93" s="1353">
        <f>IF(HW93=TRUE,T94,0)</f>
        <v>0</v>
      </c>
      <c r="CT93" s="1353" t="str">
        <f>IF(HW93=TRUE,U94,"")</f>
        <v/>
      </c>
      <c r="CU93" s="1353"/>
      <c r="CV93" s="1370">
        <f>IF(HW93=TRUE,AB93,0)</f>
        <v>0</v>
      </c>
      <c r="CW93" s="1370">
        <f>IF(HW93=TRUE,AC93,0)</f>
        <v>0</v>
      </c>
      <c r="CX93" s="1370">
        <f>IFERROR(IF(HW93=TRUE,CW93-CW95,0),0)</f>
        <v>0</v>
      </c>
      <c r="CY93" s="1485">
        <f>IF(HW93=TRUE,AD93,0)</f>
        <v>0</v>
      </c>
      <c r="CZ93" s="1485">
        <f>IF(HW93=TRUE,AD96,0)</f>
        <v>0</v>
      </c>
      <c r="DA93" s="1485">
        <f>IFERROR(CY93-CZ93,0)</f>
        <v>0</v>
      </c>
      <c r="DC93" s="1353">
        <f>IF(HW93=TRUE,AE94,0)</f>
        <v>0</v>
      </c>
      <c r="DD93" s="1460">
        <f>IF(__Retrofit_TI_NC=2,IF(CN93="Exterior",O96,FM93),FK93)</f>
        <v>0</v>
      </c>
      <c r="DE93" s="1353"/>
      <c r="DF93" s="1406">
        <f>IFERROR(IF(FL93=3,IK93,IF(FL93=4,IL93,IF(FL93=5,IM93,IF(FL93=6,IN93,IF(FL93=7,IO93,IF(FL93=8,IP93,0)))))),0)</f>
        <v>0</v>
      </c>
      <c r="DG93" s="1370">
        <f>IF(HW93=TRUE,AK93,0)</f>
        <v>0</v>
      </c>
      <c r="DH93" s="1369">
        <f>IFERROR(IF(HW93=TRUE,DG95-DG93,0),0)</f>
        <v>0</v>
      </c>
      <c r="DJ93" s="1483">
        <f>IFERROR(CW93-DG93,0)</f>
        <v>0</v>
      </c>
      <c r="DL93" s="1419">
        <f>DJ93-DK95</f>
        <v>0</v>
      </c>
      <c r="DN93" s="1403" t="str">
        <f>IFERROR(IF(AND(OR(FY93=4,FY93=5,FY93=6),OR(GB93=4,GB93=5,GB93=6)),FY93+8,VLOOKUP(CT95,Fixtures!R$31:Y$78,8,FALSE)),"")</f>
        <v/>
      </c>
      <c r="DO93" s="1404" t="str">
        <f>DN93</f>
        <v/>
      </c>
      <c r="DP93" s="1353" t="str">
        <f>IFERROR(VLOOKUP(DD95,Lookup!AU$3:AV$15,2,FALSE),"")</f>
        <v/>
      </c>
      <c r="DQ93" s="1404" t="str">
        <f>IF(DP93=7,"LLLC","")</f>
        <v/>
      </c>
      <c r="DR93" s="1403">
        <f>IFERROR(IF(OR(DN93=4,DN93=5,DN93=6,DN93=12,DN93=13,DN93=14),VLOOKUP(CT95,Fixtures!DN$27:EG$77,19,FALSE),1)*CS95,0)</f>
        <v>0</v>
      </c>
      <c r="DS93" s="1489">
        <f>IF(DP93=7,IF(DD93=DD95,0,DC95),0)</f>
        <v>0</v>
      </c>
      <c r="DU93" s="1403" t="str">
        <f>IFERROR(IF(EW93&lt;EW95,"Yes","No"),"")</f>
        <v/>
      </c>
      <c r="DV93" s="1404" t="str">
        <f>DU93</f>
        <v/>
      </c>
      <c r="DW93" s="1403">
        <f>IF(DU93="Yes",DC95,0)</f>
        <v>0</v>
      </c>
      <c r="DX93" s="1403">
        <f>DW93-DS93</f>
        <v>0</v>
      </c>
      <c r="DZ93" s="1481">
        <f>IFERROR(VLOOKUP(DN93,Lookup!AN$3:AO$16,2,FALSE),0)</f>
        <v>0</v>
      </c>
      <c r="EA93" s="1481">
        <f>IF(HW93=FALSE,0,IF(DU93="Yes",DZ93+Lookup!B$6,DZ93))</f>
        <v>0</v>
      </c>
      <c r="EC93" s="1482">
        <f>IF(HW93=TRUE,DJ93,0)</f>
        <v>0</v>
      </c>
      <c r="ED93" s="1369">
        <f>IF(HW93=TRUE,CW95,0)</f>
        <v>0</v>
      </c>
      <c r="EE93" s="1370">
        <f>IFERROR(EC93-ED93,0)</f>
        <v>0</v>
      </c>
      <c r="EF93" s="1369">
        <f>IF(HW93=TRUE,DG95,0)</f>
        <v>0</v>
      </c>
      <c r="EG93" s="1369">
        <f>IFERROR(EC93-ED93+EF93,0)</f>
        <v>0</v>
      </c>
      <c r="EH93" s="1373">
        <f>IF(HW93=TRUE,CS95*CU95,0)</f>
        <v>0</v>
      </c>
      <c r="EI93" s="1373">
        <f>IF(HW93=TRUE,DC95*DE95,0)</f>
        <v>0</v>
      </c>
      <c r="EJ93" s="1363">
        <f>AO93</f>
        <v>0</v>
      </c>
      <c r="EK93" s="1376" t="str">
        <f>IFERROR(IF(HW93=TRUE,VLOOKUP(DN93,Lookup!AN$3:AP$16,3,FALSE)*DR93,""),0)</f>
        <v/>
      </c>
      <c r="EL93" s="1376">
        <f>IF(HW93=TRUE,DW93*Lookup!AP$12,0)</f>
        <v>0</v>
      </c>
      <c r="EM93" s="1362">
        <f>IFERROR(IF(HW93=TRUE,EK93/EM$33,0),0)</f>
        <v>0</v>
      </c>
      <c r="EN93" s="1362">
        <f>IF(HW93=TRUE,EL93/EN$33,0)</f>
        <v>0</v>
      </c>
      <c r="EO93" s="1363">
        <f>IF(HW93=TRUE,EQ$33*EM93,0)</f>
        <v>0</v>
      </c>
      <c r="EP93" s="1363">
        <f>IF(HW93=TRUE,EQ$33*EN93,0)</f>
        <v>0</v>
      </c>
      <c r="EQ93" s="1363">
        <f>EO93+EP93</f>
        <v>0</v>
      </c>
      <c r="ES93" s="1403">
        <f>IF(G93="",0,1)</f>
        <v>0</v>
      </c>
      <c r="EU93" s="1410" t="e">
        <f>VLOOKUP(CP95,'Space Table'!$B$3:$L$160,8,FALSE)</f>
        <v>#N/A</v>
      </c>
      <c r="EV93" s="1410" t="e">
        <f>IF(EY93="Yes",VLOOKUP(DD93,Lookup_Control_Type_Table2,4,FALSE),VLOOKUP(DD93,Lookup_Control_Type_Table2,3,FALSE))</f>
        <v>#N/A</v>
      </c>
      <c r="EW93" s="1410" t="e">
        <f>VLOOKUP(DD93,Lookup!AU$3:AV$15,2,FALSE)</f>
        <v>#N/A</v>
      </c>
      <c r="EX93" s="1410" t="e">
        <f>VLOOKUP(EU93,Lookup_Control_Type_Table,2,FALSE)</f>
        <v>#N/A</v>
      </c>
      <c r="EY93" s="1410" t="e">
        <f>VLOOKUP(CP95,'Space Table'!$B$3:$L$160,7,FALSE)</f>
        <v>#N/A</v>
      </c>
      <c r="EZ93" s="1412" t="b">
        <f>ISNUMBER(SEARCH("TLED",U95))</f>
        <v>0</v>
      </c>
      <c r="FB93" s="1365" t="str">
        <f>CONCATENATE(CN93," - ",DD93)</f>
        <v xml:space="preserve"> - 0</v>
      </c>
      <c r="FD93" s="1353" t="str">
        <f>VLOOKUP(CT95,Fixtures!DN$27:EZ$77,38,FALSE)</f>
        <v/>
      </c>
      <c r="FE93" s="1353">
        <f>IFERROR(FD93*EE93,0)</f>
        <v>0</v>
      </c>
      <c r="FF93" s="138"/>
      <c r="FI93" s="1356" t="str">
        <f>IF(CN93="Exterior","Not Daylighted",G96)</f>
        <v>Not Daylighted</v>
      </c>
      <c r="FJ93" s="1356">
        <f>VLOOKUP(FI93,_Daylight_Table_Codes,2,FALSE)</f>
        <v>0</v>
      </c>
      <c r="FK93" s="1365">
        <f>IF(__Retrofit_TI_NC=2,VLOOKUP(G95,'Space Table'!$B$3:$L$160,11,FALSE),AF94)</f>
        <v>0</v>
      </c>
      <c r="FL93" s="1365" t="e">
        <f>VLOOKUP(FK93,_Control_Table,2,FALSE)</f>
        <v>#N/A</v>
      </c>
      <c r="FM93" s="1365" t="e">
        <f>IF(AND(FP93&gt;0,FK93="Occupancy Sensor"),"Daylight + Occupancy",IF(AND(FP93&gt;0,FL93&lt;4),"Interior Daylight Dimming",FK93))</f>
        <v>#N/A</v>
      </c>
      <c r="FO93" s="1364">
        <f>IF(CO93="Interior",VLOOKUP(CP93,Control_Savings_Interior,5,FALSE),0)</f>
        <v>0</v>
      </c>
      <c r="FP93" s="1361">
        <f>IF(CN93="Exterior",0,IF(FJ93=2,0.5,IF(OR(FJ93=1,FJ93=3),1,0)))</f>
        <v>0</v>
      </c>
      <c r="FQ93" s="1366"/>
      <c r="FR93" s="1367"/>
      <c r="FS93" s="1364"/>
      <c r="FT93" s="1367"/>
      <c r="FU93" s="1360"/>
      <c r="FW93" s="1352" t="str">
        <f>IFERROR(VLOOKUP(U94,_Exist_Fixture_Table,3,FALSE),"")</f>
        <v/>
      </c>
      <c r="FX93" s="1352" t="str">
        <f>VLOOKUP(CT93,_Exist_Fixture_Table,4,FALSE)</f>
        <v/>
      </c>
      <c r="FY93" s="1352">
        <f>IFERROR(VLOOKUP(FX93,Lookup!AM$6:AN$8,2,FALSE),0)</f>
        <v>0</v>
      </c>
      <c r="FZ93" s="1352" t="b">
        <f>IFERROR(IF(OR(GB93=4,GB93=5,GB93=6),TRUE,FALSE),"")</f>
        <v>0</v>
      </c>
      <c r="GA93" s="1352" t="str">
        <f>IFERROR(VLOOKUP(GB93,FY$6:FZ$10,2,FALSE),"")</f>
        <v/>
      </c>
      <c r="GB93" s="1352" t="str">
        <f>VLOOKUP(CT95,Fixtures!R$31:Y$78,8,FALSE)</f>
        <v/>
      </c>
      <c r="GC93" s="1352">
        <f>IF(AND(FW93=TRUE,FZ93=TRUE,OR(DN93=12,DN93=13,DN93=14)),FY93+8,0)</f>
        <v>0</v>
      </c>
      <c r="GD93" s="1352" t="b">
        <f>IF(OR(GC93=12,GC93=13,GC93=14),TRUE,FALSE)</f>
        <v>0</v>
      </c>
      <c r="GE93" s="759" t="b">
        <f>IF(ISNUMBER(SEARCH("TLED",U94)),TRUE,FALSE)</f>
        <v>0</v>
      </c>
      <c r="GF93" s="1035" t="str">
        <f>IFERROR(VLOOKUP(U94,Fixtures!BM$93:BR$142,6,FALSE),"")</f>
        <v/>
      </c>
      <c r="GG93" s="1385" t="b">
        <f>IF(OR(GE93=FALSE,GE95=FALSE),TRUE,IF(GF93-GF95&lt;5,FALSE,TRUE))</f>
        <v>1</v>
      </c>
      <c r="GK93" s="1034">
        <f>GL93</f>
        <v>0</v>
      </c>
      <c r="GL93" s="1034">
        <f>IF(G93="",0,1)</f>
        <v>0</v>
      </c>
      <c r="GM93" s="1034">
        <f>SUM(GN93:HB93)</f>
        <v>2</v>
      </c>
      <c r="GN93" s="1034">
        <f>IF(G94="",0,1)</f>
        <v>0</v>
      </c>
      <c r="GO93" s="1034">
        <f>IF(G95="",0,1)</f>
        <v>0</v>
      </c>
      <c r="GP93" s="1034">
        <f>IF(R94="",0,1)</f>
        <v>0</v>
      </c>
      <c r="GQ93" s="1034">
        <f>IF(__Retrofit_TI_NC=0,1,IF(R95="",0,1))</f>
        <v>1</v>
      </c>
      <c r="GR93" s="1034">
        <f>IF(CN93="Exterior",1,IF(G96="",0,1))</f>
        <v>1</v>
      </c>
      <c r="GS93" s="1034">
        <f>IF(__Retrofit_TI_NC&lt;&gt;0,1,IF(T94="",0,1))</f>
        <v>0</v>
      </c>
      <c r="GT93" s="1034">
        <f>IF(__Retrofit_TI_NC&lt;&gt;0,1,IF(U94="",0,1))</f>
        <v>0</v>
      </c>
      <c r="GU93" s="1034">
        <f>IF(T95="",0,1)</f>
        <v>0</v>
      </c>
      <c r="GV93" s="1034">
        <f>IF(U95="",0,1)</f>
        <v>0</v>
      </c>
      <c r="GW93" s="1034">
        <f>IF(__Retrofit_TI_NC=2,1,IF(U96="",0,1))</f>
        <v>0</v>
      </c>
      <c r="GX93" s="1034">
        <f>IF(__Retrofit_TI_NC&lt;&gt;0,1,IF(AE94="",0,1))</f>
        <v>0</v>
      </c>
      <c r="GY93" s="1034">
        <f>IF(__Retrofit_TI_NC&lt;&gt;0,1,IF(AF94="",0,1))</f>
        <v>0</v>
      </c>
      <c r="GZ93" s="1034">
        <f>IF(AE95="",0,1)</f>
        <v>0</v>
      </c>
      <c r="HA93" s="1034">
        <f>IF(AF95="",0,1)</f>
        <v>0</v>
      </c>
      <c r="HB93" s="1034">
        <f>IF(__Retrofit_TI_NC=2,1,IF(AF96="",0,1))</f>
        <v>0</v>
      </c>
      <c r="HV93" s="436"/>
      <c r="HW93" s="1384" t="b">
        <f>IF(OR(HW96=0,HW96=HT$16,HW96=HS$16,HW96=HU$16),TRUE,FALSE)</f>
        <v>0</v>
      </c>
      <c r="HX93" s="1377" t="b">
        <f>HW93</f>
        <v>0</v>
      </c>
      <c r="HY93" s="436"/>
      <c r="HZ93" s="436"/>
      <c r="IA93" s="1386" t="b">
        <f>IF(MAX(GJ96:HP96)&gt;5,FALSE,TRUE)</f>
        <v>0</v>
      </c>
      <c r="IB93" s="1380">
        <f>IF(IA93=TRUE,AC93,0)</f>
        <v>0</v>
      </c>
      <c r="IC93" s="1380">
        <f>IB93-IB95</f>
        <v>0</v>
      </c>
      <c r="IF93" s="1380" t="e">
        <f>ROUND(T94*VLOOKUP(U94,Fixtures_Existing_List,2,FALSE)*N94*R94/1000,0)</f>
        <v>#N/A</v>
      </c>
      <c r="IG93" s="1381" t="e">
        <f>IF93-IF95</f>
        <v>#N/A</v>
      </c>
      <c r="IH93" s="1384" t="e">
        <f>ROUND(IF(CN93="Interior",N95*R95*R94*N94*_C406_reduction/1000,N95*R95*R94*N94/1000),0)</f>
        <v>#N/A</v>
      </c>
      <c r="II93" s="1384" t="e">
        <f>IH93-IH95</f>
        <v>#N/A</v>
      </c>
      <c r="IK93" s="1351" t="e">
        <f>IF($CO93="interior",IL93/2,VLOOKUP($CP93,Control_Savings_Exterior,IK$30,FALSE))</f>
        <v>#N/A</v>
      </c>
      <c r="IL93" s="1351" t="e">
        <f>IF($CO93="interior",VLOOKUP($CP93,Control_Savings_Interior,IL$30,FALSE),VLOOKUP($CP93,Control_Savings_Exterior,IL$30,FALSE))</f>
        <v>#N/A</v>
      </c>
      <c r="IM93" s="1351" t="e">
        <f>IF($CO93="interior",IF(R94&gt;FO$37,(IM$28*(FO$37/R94)),IM$28)*FP93,VLOOKUP($CP93,Control_Savings_Exterior,IM$30,FALSE))</f>
        <v>#N/A</v>
      </c>
      <c r="IN93" s="1351" t="e">
        <f>IF($CO93="interior",ROUND(((1-IL93)*IM93)+IL93,2),VLOOKUP($CP93,Control_Savings_Exterior,IN$30,FALSE))</f>
        <v>#N/A</v>
      </c>
      <c r="IO93" s="1351" t="e">
        <f>IF($CO93="interior", ROUND(((1-IL93)*(IM93*(1-IP$28)))+IP93,2), VLOOKUP($CP93,Control_Savings_Exterior,IO$30,FALSE))</f>
        <v>#N/A</v>
      </c>
      <c r="IP93" s="1351">
        <f>IF($CO93="interior",ROUND(((1-IL93)*IP$28)+IL93,2),0)</f>
        <v>0</v>
      </c>
    </row>
    <row r="94" spans="1:250" s="82" customFormat="1" ht="14.95" customHeight="1" thickTop="1" thickBot="1">
      <c r="B94" s="1421"/>
      <c r="C94" s="1422"/>
      <c r="D94" s="1423"/>
      <c r="E94" s="1393" t="s">
        <v>244</v>
      </c>
      <c r="F94" s="1394"/>
      <c r="G94" s="1395"/>
      <c r="H94" s="1395"/>
      <c r="I94" s="1395"/>
      <c r="J94" s="1395"/>
      <c r="K94" s="1395"/>
      <c r="L94" s="1395"/>
      <c r="M94" s="509" t="e">
        <f>IF(__Retrofit_TI_NC&lt;&gt;0,IF(VLOOKUP(G95,'Space Table'!$B$3:$L$160,3,FALSE)&gt;0,1,0),IF(__Retrofit_TI_NC=VLOOKUP(G95,'Space Table'!$B$3:$L$160,3,FALSE),1,0))</f>
        <v>#N/A</v>
      </c>
      <c r="N94" s="509" t="str">
        <f>IFERROR(VLOOKUP(G94,_Lookup_Heat_Type_Table_New,2,FALSE),"")</f>
        <v/>
      </c>
      <c r="O94" s="509">
        <f>IF(__Retrofit_TI_NC=1,CONCATENATE("TI ",G94),IF(__Retrofit_TI_NC=2,CONCATENATE("NC ",G94),G94))</f>
        <v>0</v>
      </c>
      <c r="P94" s="1396" t="s">
        <v>352</v>
      </c>
      <c r="Q94" s="1396"/>
      <c r="R94" s="673"/>
      <c r="S94" s="1429"/>
      <c r="T94" s="675"/>
      <c r="U94" s="1496"/>
      <c r="V94" s="1497"/>
      <c r="W94" s="1497"/>
      <c r="X94" s="1497"/>
      <c r="Y94" s="1497"/>
      <c r="Z94" s="1497"/>
      <c r="AA94" s="1497"/>
      <c r="AB94" s="1497"/>
      <c r="AC94" s="1497"/>
      <c r="AD94" s="1498"/>
      <c r="AE94" s="675"/>
      <c r="AF94" s="1397"/>
      <c r="AG94" s="1397"/>
      <c r="AH94" s="1397"/>
      <c r="AI94" s="1397"/>
      <c r="AJ94" s="1434"/>
      <c r="AK94" s="1436"/>
      <c r="AL94" s="1438"/>
      <c r="AM94" s="1441"/>
      <c r="AN94" s="1442"/>
      <c r="AO94" s="1447"/>
      <c r="AP94" s="1447"/>
      <c r="AQ94" s="1448"/>
      <c r="AR94" s="1452"/>
      <c r="AS94" s="1455"/>
      <c r="AT94" s="1458"/>
      <c r="AU94" s="516"/>
      <c r="AV94" s="1479"/>
      <c r="AW94" s="1479"/>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M94" s="1352"/>
      <c r="CN94" s="1352"/>
      <c r="CO94" s="1416"/>
      <c r="CP94" s="1418"/>
      <c r="CR94" s="1386"/>
      <c r="CS94" s="1355"/>
      <c r="CT94" s="1355"/>
      <c r="CU94" s="1355"/>
      <c r="CV94" s="1372"/>
      <c r="CW94" s="1372"/>
      <c r="CX94" s="1371"/>
      <c r="CY94" s="1486"/>
      <c r="CZ94" s="1486"/>
      <c r="DA94" s="1486"/>
      <c r="DC94" s="1355"/>
      <c r="DD94" s="1461"/>
      <c r="DE94" s="1355"/>
      <c r="DF94" s="1407"/>
      <c r="DG94" s="1372"/>
      <c r="DH94" s="1369"/>
      <c r="DJ94" s="1484"/>
      <c r="DL94" s="1419"/>
      <c r="DN94" s="1403"/>
      <c r="DO94" s="1405"/>
      <c r="DP94" s="1354"/>
      <c r="DQ94" s="1405"/>
      <c r="DR94" s="1403"/>
      <c r="DS94" s="1489"/>
      <c r="DU94" s="1403"/>
      <c r="DV94" s="1405"/>
      <c r="DW94" s="1403"/>
      <c r="DX94" s="1403"/>
      <c r="DZ94" s="1481"/>
      <c r="EA94" s="1481"/>
      <c r="EC94" s="1482"/>
      <c r="ED94" s="1369"/>
      <c r="EE94" s="1371"/>
      <c r="EF94" s="1369"/>
      <c r="EG94" s="1369"/>
      <c r="EH94" s="1374"/>
      <c r="EI94" s="1374"/>
      <c r="EJ94" s="1363"/>
      <c r="EK94" s="1376"/>
      <c r="EL94" s="1376"/>
      <c r="EM94" s="1362"/>
      <c r="EN94" s="1362"/>
      <c r="EO94" s="1363"/>
      <c r="EP94" s="1363"/>
      <c r="EQ94" s="1363"/>
      <c r="ES94" s="1403"/>
      <c r="EU94" s="1411"/>
      <c r="EV94" s="1411"/>
      <c r="EW94" s="1411"/>
      <c r="EX94" s="1411"/>
      <c r="EY94" s="1411"/>
      <c r="EZ94" s="1413"/>
      <c r="FB94" s="1365"/>
      <c r="FD94" s="1354"/>
      <c r="FE94" s="1354"/>
      <c r="FF94" s="138"/>
      <c r="FI94" s="1357"/>
      <c r="FJ94" s="1357"/>
      <c r="FK94" s="1365"/>
      <c r="FL94" s="1365"/>
      <c r="FM94" s="1365"/>
      <c r="FO94" s="1361"/>
      <c r="FP94" s="1361"/>
      <c r="FQ94" s="1366"/>
      <c r="FR94" s="1368"/>
      <c r="FS94" s="1361"/>
      <c r="FT94" s="1368"/>
      <c r="FU94" s="1360"/>
      <c r="FW94" s="1352"/>
      <c r="FX94" s="1352"/>
      <c r="FY94" s="1352"/>
      <c r="FZ94" s="1352"/>
      <c r="GA94" s="1352"/>
      <c r="GB94" s="1352"/>
      <c r="GC94" s="1352"/>
      <c r="GD94" s="1352"/>
      <c r="GE94" s="759"/>
      <c r="GF94" s="1035"/>
      <c r="GG94" s="1385"/>
      <c r="GI94" s="1384" t="b">
        <f>IF(AND(GL94=TRUE,GM94=TRUE),TRUE,FALSE)</f>
        <v>0</v>
      </c>
      <c r="GJ94" s="1379" t="b">
        <f>IFERROR(IF(__Retrofit_TI_NC=2,TRUE,IF(AR93="Yes",TRUE,FALSE)),FALSE)</f>
        <v>1</v>
      </c>
      <c r="GL94" s="1379" t="b">
        <f>IFERROR(IF(GL93=1,TRUE,FALSE),FALSE)</f>
        <v>0</v>
      </c>
      <c r="GM94" s="1379" t="b">
        <f>IFERROR(IF(GM93=GM$14,TRUE,FALSE),FALSE)</f>
        <v>0</v>
      </c>
      <c r="HC94" s="1379" t="b">
        <f>IFERROR(IF(M94=1,TRUE,FALSE),FALSE)</f>
        <v>0</v>
      </c>
      <c r="HD94" s="1379" t="b">
        <f>IFERROR(IF(M95=1,TRUE,FALSE),FALSE)</f>
        <v>0</v>
      </c>
      <c r="HE94" s="1379" t="b">
        <f>IFERROR(IF(__Retrofit_TI_NC&lt;&gt;0,TRUE,IFERROR(IF(VLOOKUP(U94,Fixtures_Existing_List,2,FALSE)&lt;&gt;"",TRUE,FALSE),FALSE)),FALSE)</f>
        <v>0</v>
      </c>
      <c r="HF94" s="1379" t="b">
        <f>IFERROR(IF(VLOOKUP(U95,Fixtures_Proposed_List,2,FALSE)&lt;&gt;"",TRUE,FALSE),FALSE)</f>
        <v>0</v>
      </c>
      <c r="HG94" s="1379" t="b">
        <f>IF(AND(__Retrofit_TI_NC=2,EZ93=TRUE),FALSE,TRUE)</f>
        <v>1</v>
      </c>
      <c r="HH94" s="1379" t="b">
        <f>GG93</f>
        <v>1</v>
      </c>
      <c r="HI94" s="1384" t="b">
        <f>IF(ISERROR(MATCH(FB93,_Control_Match[],0))=TRUE,FALSE,TRUE)</f>
        <v>0</v>
      </c>
      <c r="HJ94" s="1384" t="b">
        <f>IFERROR(IF(EU93&lt;&gt;EV93,FALSE,TRUE),FALSE)</f>
        <v>0</v>
      </c>
      <c r="HK94" s="1384" t="b">
        <f>IFERROR(IF(EU95&lt;&gt;EV95,FALSE,TRUE),FALSE)</f>
        <v>0</v>
      </c>
      <c r="HL94" s="1379" t="b">
        <f>IFERROR(IF(CN93="Exterior",TRUE,IF(OR(AND(FJ93=0,EW95&gt;4),AND(FJ93=4,EW95&gt;4,EW95&lt;7)),FALSE,TRUE)),FALSE)</f>
        <v>0</v>
      </c>
      <c r="HM94" s="1379" t="b">
        <f>IFERROR(IF(AND(FL95=7,EZ93=TRUE),FALSE,TRUE),FALSE)</f>
        <v>0</v>
      </c>
      <c r="HN94" s="1379" t="b">
        <f>IFERROR(IF(AND(T95&lt;&gt;AE95,AF95="Interior LLLC")=TRUE,FALSE,TRUE),FALSE)</f>
        <v>1</v>
      </c>
      <c r="HO94" s="1379" t="b">
        <f>IFERROR(IF(OR(AF95=Lookup!AU$13,AF95=Lookup!AU$14)=TRUE,IF(AE95&gt;T95,FALSE,TRUE),TRUE),FALSE)</f>
        <v>1</v>
      </c>
      <c r="HP94" s="1379" t="b">
        <f>IFERROR(IF(__Retrofit_TI_NC=2,IF(EW95&lt;EW93,FALSE,TRUE),TRUE),FALSE)</f>
        <v>1</v>
      </c>
      <c r="HQ94" s="1379" t="b">
        <f>IF(CN93="Interior",IG$6,TRUE)</f>
        <v>1</v>
      </c>
      <c r="HR94" s="1379" t="b">
        <f>IF(CN93="Exterior",IG$8,TRUE)</f>
        <v>1</v>
      </c>
      <c r="HS94" s="1379" t="b">
        <f>IFERROR(IF(__Retrofit_TI_NC&lt;&gt;0,IF(AW93&lt;AV93,FALSE,TRUE),TRUE),FALSE)</f>
        <v>1</v>
      </c>
      <c r="HT94" s="1379" t="b">
        <f>IFERROR(IF(AND(G94="Exterior",R94&gt;4200),FALSE,TRUE),FALSE)</f>
        <v>1</v>
      </c>
      <c r="HU94" s="1379" t="b">
        <f>IFERROR(IF(AB96/AB93&lt;HU$18,FALSE,TRUE),FALSE)</f>
        <v>0</v>
      </c>
      <c r="HW94" s="1382"/>
      <c r="HX94" s="1378"/>
      <c r="HY94" s="1377" t="str">
        <f>VLOOKUP(HW96,_Error_Table,4,FALSE)</f>
        <v>White</v>
      </c>
      <c r="HZ94" s="436"/>
      <c r="IA94" s="1386"/>
      <c r="IB94" s="1380"/>
      <c r="IC94" s="1379"/>
      <c r="IF94" s="1380"/>
      <c r="IG94" s="1382"/>
      <c r="IH94" s="1382"/>
      <c r="II94" s="1382"/>
      <c r="IK94" s="1351"/>
      <c r="IL94" s="1351"/>
      <c r="IM94" s="1351"/>
      <c r="IN94" s="1351"/>
      <c r="IO94" s="1351"/>
      <c r="IP94" s="1351"/>
    </row>
    <row r="95" spans="1:250" s="82" customFormat="1" ht="14.95" customHeight="1" thickTop="1" thickBot="1">
      <c r="A95" s="82">
        <f>ROW()</f>
        <v>95</v>
      </c>
      <c r="B95" s="1421"/>
      <c r="C95" s="1422"/>
      <c r="D95" s="1423"/>
      <c r="E95" s="1393" t="s">
        <v>245</v>
      </c>
      <c r="F95" s="1394"/>
      <c r="G95" s="1398"/>
      <c r="H95" s="1399"/>
      <c r="I95" s="1399"/>
      <c r="J95" s="1399"/>
      <c r="K95" s="1399"/>
      <c r="L95" s="1400"/>
      <c r="M95" s="509">
        <f>IFERROR(IF(IF(__Retrofit_TI_NC&lt;&gt;0,IF(CN93="Interior",MATCH(G95,Lookup_Interior_New,0),MATCH(G95,Lookup_Exterior_New,0)),IF(CN93="Interior",MATCH(G95,Lookup_Interior,0),MATCH(G95,Lookup_Exterior_Areas,0)))&gt;0,1,0),0)</f>
        <v>0</v>
      </c>
      <c r="N95" s="509" t="e">
        <f>IF(__Retrofit_TI_NC=1,
VLOOKUP(G95,'Space Table'!$B$3:$L$160,4,FALSE),
IF(__Retrofit_TI_NC=2,VLOOKUP(G95,'Space Table'!$B$3:$L$160,5,FALSE),VLOOKUP(G95,'Space Table'!$B$3:$L$160,5,FALSE)))</f>
        <v>#N/A</v>
      </c>
      <c r="O95" s="509">
        <f>G95</f>
        <v>0</v>
      </c>
      <c r="P95" s="1394" t="s">
        <v>355</v>
      </c>
      <c r="Q95" s="1394"/>
      <c r="R95" s="674"/>
      <c r="S95" s="1401" t="s">
        <v>284</v>
      </c>
      <c r="T95" s="672"/>
      <c r="U95" s="1499"/>
      <c r="V95" s="1500"/>
      <c r="W95" s="1500"/>
      <c r="X95" s="1500"/>
      <c r="Y95" s="1500"/>
      <c r="Z95" s="1500"/>
      <c r="AA95" s="1500"/>
      <c r="AB95" s="1501"/>
      <c r="AC95" s="1501"/>
      <c r="AD95" s="1502"/>
      <c r="AE95" s="672"/>
      <c r="AF95" s="1474"/>
      <c r="AG95" s="1474"/>
      <c r="AH95" s="1474"/>
      <c r="AI95" s="1474"/>
      <c r="AJ95" s="1475">
        <f>DF95</f>
        <v>0</v>
      </c>
      <c r="AK95" s="1470" t="str">
        <f>IFERROR(ROUND(AJ95*AC96,0),"")</f>
        <v/>
      </c>
      <c r="AL95" s="1472">
        <f>IFERROR(IF(HW93=FALSE,0,AC96-AK95),0)</f>
        <v>0</v>
      </c>
      <c r="AM95" s="1441"/>
      <c r="AN95" s="1442"/>
      <c r="AO95" s="1447"/>
      <c r="AP95" s="1447"/>
      <c r="AQ95" s="1448"/>
      <c r="AR95" s="1452"/>
      <c r="AS95" s="1455"/>
      <c r="AT95" s="1458"/>
      <c r="AU95" s="516"/>
      <c r="AV95" s="1479"/>
      <c r="AW95" s="1479"/>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M95" s="1352"/>
      <c r="CN95" s="1352"/>
      <c r="CO95" s="1415" t="str">
        <f>CN93</f>
        <v/>
      </c>
      <c r="CP95" s="1417" t="e">
        <f>CP93</f>
        <v>#N/A</v>
      </c>
      <c r="CR95" s="1386" t="s">
        <v>284</v>
      </c>
      <c r="CS95" s="1353">
        <f>IF(HW93=TRUE,T95,0)</f>
        <v>0</v>
      </c>
      <c r="CT95" s="1353" t="str">
        <f>IF(HW93=TRUE,U95,"")</f>
        <v/>
      </c>
      <c r="CU95" s="1373">
        <f>IF(HW93=TRUE,U96,0)</f>
        <v>0</v>
      </c>
      <c r="CV95" s="1370">
        <f>IF(HW93=TRUE,AB96,0)</f>
        <v>0</v>
      </c>
      <c r="CW95" s="1370">
        <f>IF(HW93=TRUE,AC96,0)</f>
        <v>0</v>
      </c>
      <c r="CX95" s="1371"/>
      <c r="CY95" s="1486"/>
      <c r="CZ95" s="1486"/>
      <c r="DA95" s="1486"/>
      <c r="DC95" s="1353">
        <f>IF(HW93=TRUE,AE95,0)</f>
        <v>0</v>
      </c>
      <c r="DD95" s="1353" t="str">
        <f>IF(HW93=TRUE,AF95,"")</f>
        <v/>
      </c>
      <c r="DE95" s="1373">
        <f>AF96</f>
        <v>0</v>
      </c>
      <c r="DF95" s="1406">
        <f>IFERROR(IF(FL95=3,IK95,IF(FL95=4,IL95,IF(FL95=5,IM95,IF(FL95=6,IN95,IF(FL95=7,IO95,IF(FL95=8,IP95,0)))))),0)</f>
        <v>0</v>
      </c>
      <c r="DG95" s="1370">
        <f>IF(HW93=TRUE,AK95,0)</f>
        <v>0</v>
      </c>
      <c r="DH95" s="1369"/>
      <c r="DK95" s="1483">
        <f>IFERROR(CW95-DG95,0)</f>
        <v>0</v>
      </c>
      <c r="DL95" s="1420"/>
      <c r="DN95" s="1403"/>
      <c r="DO95" s="1477" t="str">
        <f>DN93</f>
        <v/>
      </c>
      <c r="DP95" s="1354"/>
      <c r="DQ95" s="1477" t="str">
        <f>IF(DP93=7,"LLLC","")</f>
        <v/>
      </c>
      <c r="DR95" s="1403"/>
      <c r="DS95" s="1489"/>
      <c r="DU95" s="1403"/>
      <c r="DV95" s="1404" t="str">
        <f>DU93</f>
        <v/>
      </c>
      <c r="DW95" s="1403"/>
      <c r="DX95" s="1403"/>
      <c r="DZ95" s="1481"/>
      <c r="EA95" s="1481"/>
      <c r="EC95" s="1482"/>
      <c r="ED95" s="1369"/>
      <c r="EE95" s="1371"/>
      <c r="EF95" s="1369"/>
      <c r="EG95" s="1369"/>
      <c r="EH95" s="1374"/>
      <c r="EI95" s="1374"/>
      <c r="EJ95" s="1363"/>
      <c r="EK95" s="1376"/>
      <c r="EL95" s="1376"/>
      <c r="EM95" s="1362"/>
      <c r="EN95" s="1362"/>
      <c r="EO95" s="1363"/>
      <c r="EP95" s="1363"/>
      <c r="EQ95" s="1363"/>
      <c r="ES95" s="1403"/>
      <c r="EU95" s="1411" t="e">
        <f>VLOOKUP(CP95,'Space Table'!$B$3:$L$160,8,FALSE)</f>
        <v>#N/A</v>
      </c>
      <c r="EV95" s="1411" t="e">
        <f>IF(EY95="Yes",VLOOKUP(AF95,Lookup_Control_Type_Table2,4,FALSE),VLOOKUP(AF95,Lookup_Control_Type_Table2,3,FALSE))</f>
        <v>#N/A</v>
      </c>
      <c r="EW95" s="1411" t="e">
        <f>VLOOKUP(AF95,Lookup!AU$3:AV$15,2,FALSE)</f>
        <v>#N/A</v>
      </c>
      <c r="EX95" s="1411" t="e">
        <f>VLOOKUP(EU93,Lookup_Control_Type_Table,2,FALSE)</f>
        <v>#N/A</v>
      </c>
      <c r="EY95" s="1411" t="e">
        <f>VLOOKUP(CP95,'Space Table'!$B$3:$L$160,7,FALSE)</f>
        <v>#N/A</v>
      </c>
      <c r="EZ95" s="1413"/>
      <c r="FB95" s="1365" t="str">
        <f>CONCATENATE(CN93," - ",AF95)</f>
        <v xml:space="preserve"> - </v>
      </c>
      <c r="FD95" s="1354"/>
      <c r="FE95" s="1354"/>
      <c r="FF95" s="138"/>
      <c r="FI95" s="1356" t="str">
        <f>IF(CN93="Exterior","Not Daylighted",G96)</f>
        <v>Not Daylighted</v>
      </c>
      <c r="FJ95" s="1356">
        <f>VLOOKUP(FI95,_Daylight_Table_Codes,2,FALSE)</f>
        <v>0</v>
      </c>
      <c r="FK95" s="1365">
        <f>AF95</f>
        <v>0</v>
      </c>
      <c r="FL95" s="1365" t="e">
        <f>VLOOKUP(FK95,_Control_Table,2,FALSE)</f>
        <v>#N/A</v>
      </c>
      <c r="FM95" s="1365" t="e">
        <f>IF(AND(FP95&gt;0,FK95="Occupancy Sensor"),"Daylight + Occupancy",IF(AND(FP95&gt;0,FL95&lt;4),"Interior Daylight Dimming",FK95))</f>
        <v>#N/A</v>
      </c>
      <c r="FO95" s="1364">
        <f>IF(CN93="Interior",VLOOKUP(CP93,Control_Savings_Interior,5,FALSE),0)</f>
        <v>0</v>
      </c>
      <c r="FP95" s="1361">
        <f>IF(CN95="Exterior",0,IF(FJ95=2,0.5,IF(OR(FJ95=1,FJ95=3),1,0)))</f>
        <v>0</v>
      </c>
      <c r="FQ95" s="1366">
        <f>IF(R94&gt;FO$37,(FO95*(FO$37/R94)),FO95)*FP95</f>
        <v>0</v>
      </c>
      <c r="FR95" s="1364">
        <f>DF95</f>
        <v>0</v>
      </c>
      <c r="FS95" s="1364">
        <f>ROUND(FR95+((1-FR95)*FQ95),2)</f>
        <v>0</v>
      </c>
      <c r="FT95" s="1364">
        <f>IF(__Retrofit_TI_NC=2,FS95,FR95)</f>
        <v>0</v>
      </c>
      <c r="FU95" s="1360">
        <f>IF(CO95="Interior",VLOOKUP(CP95,Control_Savings_Interior,4,FALSE),0)</f>
        <v>0</v>
      </c>
      <c r="FW95" s="1352"/>
      <c r="FX95" s="1352"/>
      <c r="FY95" s="1352"/>
      <c r="FZ95" s="1352"/>
      <c r="GA95" s="1352"/>
      <c r="GB95" s="1352"/>
      <c r="GC95" s="1352"/>
      <c r="GD95" s="1352"/>
      <c r="GE95" s="759" t="b">
        <f>IF(ISNUMBER(SEARCH("TLED",U95)),TRUE,FALSE)</f>
        <v>0</v>
      </c>
      <c r="GF95" s="1035" t="str">
        <f>IFERROR(VLOOKUP(U95,Fixtures!DM$93:DR$142,6,FALSE),"")</f>
        <v/>
      </c>
      <c r="GG95" s="1385"/>
      <c r="GI95" s="1383"/>
      <c r="GJ95" s="1379"/>
      <c r="GL95" s="1379"/>
      <c r="GM95" s="1379"/>
      <c r="HC95" s="1379"/>
      <c r="HD95" s="1379"/>
      <c r="HE95" s="1379"/>
      <c r="HF95" s="1379"/>
      <c r="HG95" s="1379"/>
      <c r="HH95" s="1379"/>
      <c r="HI95" s="1383"/>
      <c r="HJ95" s="1383"/>
      <c r="HK95" s="1383"/>
      <c r="HL95" s="1379"/>
      <c r="HM95" s="1379"/>
      <c r="HN95" s="1379"/>
      <c r="HO95" s="1379"/>
      <c r="HP95" s="1379"/>
      <c r="HQ95" s="1379"/>
      <c r="HR95" s="1379"/>
      <c r="HS95" s="1379"/>
      <c r="HT95" s="1379"/>
      <c r="HU95" s="1379"/>
      <c r="HW95" s="1383"/>
      <c r="HX95" s="1384" t="b">
        <f>HW93</f>
        <v>0</v>
      </c>
      <c r="HY95" s="1378"/>
      <c r="HZ95" s="436"/>
      <c r="IA95" s="1386"/>
      <c r="IB95" s="1380">
        <f>IF(IA93=TRUE,AC96,0)</f>
        <v>0</v>
      </c>
      <c r="IC95" s="1379"/>
      <c r="IF95" s="1380" t="e">
        <f>ROUND(T95*AB96*N94*R94/1000,0)</f>
        <v>#VALUE!</v>
      </c>
      <c r="IG95" s="1382"/>
      <c r="IH95" s="1384" t="e">
        <f>ROUND(T95*AB96*N94*R94/1000,0)</f>
        <v>#VALUE!</v>
      </c>
      <c r="II95" s="1382"/>
      <c r="IK95" s="1351" t="e">
        <f>IF($CO95="interior",IL95/2,VLOOKUP($CP95,Control_Savings_Exterior,IK$30,FALSE))</f>
        <v>#N/A</v>
      </c>
      <c r="IL95" s="1351" t="e">
        <f>IF($CO95="interior",VLOOKUP($CP95,Control_Savings_Interior,IL$30,FALSE),VLOOKUP($CP95,Control_Savings_Exterior,IL$30,FALSE))</f>
        <v>#N/A</v>
      </c>
      <c r="IM95" s="1351" t="e">
        <f>IF($CO95="interior",IF(R94&gt;FO$37,(IM$28*(FO$37/R94)),IM$28)*FP95,VLOOKUP($CP95,Control_Savings_Exterior,IM$30,FALSE))</f>
        <v>#N/A</v>
      </c>
      <c r="IN95" s="1351" t="e">
        <f>IF($CO95="interior",ROUND(((1-IL95)*IM95)+IL95,2),VLOOKUP($CP95,Control_Savings_Exterior,IN$30,FALSE))</f>
        <v>#N/A</v>
      </c>
      <c r="IO95" s="1351" t="e">
        <f>IF($CO95="interior", ROUND(((1-IL95)*(IM95*(1-IP$28)))+IP95,2), VLOOKUP($CP95,Control_Savings_Exterior,IO$30,FALSE))</f>
        <v>#N/A</v>
      </c>
      <c r="IP95" s="1351">
        <f>IF($CO95="interior",ROUND(((1-IL95)*IP$28)+IL95,2),0)</f>
        <v>0</v>
      </c>
    </row>
    <row r="96" spans="1:250" s="82" customFormat="1" ht="14.95" customHeight="1" thickTop="1" thickBot="1">
      <c r="B96" s="1421"/>
      <c r="C96" s="1422"/>
      <c r="D96" s="1423"/>
      <c r="E96" s="1462" t="s">
        <v>357</v>
      </c>
      <c r="F96" s="1463"/>
      <c r="G96" s="1464" t="s">
        <v>362</v>
      </c>
      <c r="H96" s="1465"/>
      <c r="I96" s="1465"/>
      <c r="J96" s="1465"/>
      <c r="K96" s="1465"/>
      <c r="L96" s="1466"/>
      <c r="M96" s="669">
        <f>IFERROR(VLOOKUP(G96,_Daylight_Table[],2,FALSE),0)</f>
        <v>0</v>
      </c>
      <c r="N96" s="670"/>
      <c r="O96" s="669" t="e">
        <f>VLOOKUP(G95,'Space Table'!$B$3:$L$160,11,FALSE)</f>
        <v>#N/A</v>
      </c>
      <c r="P96" s="1408"/>
      <c r="Q96" s="1409"/>
      <c r="R96" s="1409"/>
      <c r="S96" s="1402"/>
      <c r="T96" s="671" t="s">
        <v>281</v>
      </c>
      <c r="U96" s="1467" t="str">
        <f>IFERROR(VLOOKUP(U95,Fixtures!DM$93:DP$142,4,FALSE),"")</f>
        <v/>
      </c>
      <c r="V96" s="1468"/>
      <c r="W96" s="1468"/>
      <c r="X96" s="1468"/>
      <c r="Y96" s="1468"/>
      <c r="Z96" s="1468"/>
      <c r="AA96" s="1468"/>
      <c r="AB96" s="1046" t="str">
        <f>IFERROR(VLOOKUP(U95,Fixtures_Proposed_List,2,FALSE),"")</f>
        <v/>
      </c>
      <c r="AC96" s="1036" t="str">
        <f>IFERROR(ROUND(T95*AB96*N94*R94/1000,0),"")</f>
        <v/>
      </c>
      <c r="AD96" s="1037" t="str">
        <f>IFERROR(ROUND(T95*AB96/1000,2),"")</f>
        <v/>
      </c>
      <c r="AE96" s="1045" t="s">
        <v>281</v>
      </c>
      <c r="AF96" s="1469"/>
      <c r="AG96" s="1469"/>
      <c r="AH96" s="1469"/>
      <c r="AI96" s="1469"/>
      <c r="AJ96" s="1476"/>
      <c r="AK96" s="1471"/>
      <c r="AL96" s="1473"/>
      <c r="AM96" s="1443"/>
      <c r="AN96" s="1444"/>
      <c r="AO96" s="1449"/>
      <c r="AP96" s="1449"/>
      <c r="AQ96" s="1450"/>
      <c r="AR96" s="1453"/>
      <c r="AS96" s="1456"/>
      <c r="AT96" s="1459"/>
      <c r="AU96" s="517"/>
      <c r="AV96" s="1480"/>
      <c r="AW96" s="1480"/>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M96" s="1352"/>
      <c r="CN96" s="1352"/>
      <c r="CO96" s="1416"/>
      <c r="CP96" s="1418"/>
      <c r="CR96" s="1386"/>
      <c r="CS96" s="1355"/>
      <c r="CT96" s="1355"/>
      <c r="CU96" s="1375"/>
      <c r="CV96" s="1372"/>
      <c r="CW96" s="1372"/>
      <c r="CX96" s="1372"/>
      <c r="CY96" s="1487"/>
      <c r="CZ96" s="1487"/>
      <c r="DA96" s="1487"/>
      <c r="DC96" s="1355"/>
      <c r="DD96" s="1355"/>
      <c r="DE96" s="1375"/>
      <c r="DF96" s="1407"/>
      <c r="DG96" s="1372"/>
      <c r="DH96" s="1369"/>
      <c r="DK96" s="1484"/>
      <c r="DL96" s="1420"/>
      <c r="DN96" s="1403"/>
      <c r="DO96" s="1405"/>
      <c r="DP96" s="1355"/>
      <c r="DQ96" s="1405"/>
      <c r="DR96" s="1403"/>
      <c r="DS96" s="1489"/>
      <c r="DU96" s="1403"/>
      <c r="DV96" s="1405"/>
      <c r="DW96" s="1403"/>
      <c r="DX96" s="1403"/>
      <c r="DZ96" s="1481"/>
      <c r="EA96" s="1481"/>
      <c r="EC96" s="1482"/>
      <c r="ED96" s="1369"/>
      <c r="EE96" s="1372"/>
      <c r="EF96" s="1369"/>
      <c r="EG96" s="1369"/>
      <c r="EH96" s="1375"/>
      <c r="EI96" s="1375"/>
      <c r="EJ96" s="1363"/>
      <c r="EK96" s="1376"/>
      <c r="EL96" s="1376"/>
      <c r="EM96" s="1362"/>
      <c r="EN96" s="1362"/>
      <c r="EO96" s="1363"/>
      <c r="EP96" s="1363"/>
      <c r="EQ96" s="1363"/>
      <c r="ES96" s="1403"/>
      <c r="EU96" s="1488"/>
      <c r="EV96" s="1488"/>
      <c r="EW96" s="1488"/>
      <c r="EX96" s="1488"/>
      <c r="EY96" s="1488"/>
      <c r="EZ96" s="1414"/>
      <c r="FB96" s="1365"/>
      <c r="FD96" s="1355"/>
      <c r="FE96" s="1355"/>
      <c r="FF96" s="138"/>
      <c r="FI96" s="1357"/>
      <c r="FJ96" s="1357"/>
      <c r="FK96" s="1365"/>
      <c r="FL96" s="1365"/>
      <c r="FM96" s="1365"/>
      <c r="FO96" s="1361"/>
      <c r="FP96" s="1361"/>
      <c r="FQ96" s="1366"/>
      <c r="FR96" s="1361"/>
      <c r="FS96" s="1361"/>
      <c r="FT96" s="1361"/>
      <c r="FU96" s="1360"/>
      <c r="FW96" s="1352"/>
      <c r="FX96" s="1352"/>
      <c r="FY96" s="1352"/>
      <c r="FZ96" s="1352"/>
      <c r="GA96" s="1352"/>
      <c r="GB96" s="1352"/>
      <c r="GC96" s="1352"/>
      <c r="GD96" s="1352"/>
      <c r="GE96" s="759"/>
      <c r="GF96" s="1035"/>
      <c r="GG96" s="1385"/>
      <c r="GJ96" s="1034">
        <f>IF(GJ94=TRUE,0,GJ$16)</f>
        <v>0</v>
      </c>
      <c r="GL96" s="1034">
        <f>IF(GL94=TRUE,0,GL$16)</f>
        <v>36</v>
      </c>
      <c r="GM96" s="1034">
        <f>IF(GM94=TRUE,0,GM$16)</f>
        <v>35</v>
      </c>
      <c r="GN96" s="436"/>
      <c r="GO96" s="436"/>
      <c r="GP96" s="436"/>
      <c r="GQ96" s="436"/>
      <c r="GR96" s="436"/>
      <c r="HC96" s="1034">
        <f t="shared" ref="HC96:HH96" si="54">IF(HC94=TRUE,0,HC$16)</f>
        <v>19</v>
      </c>
      <c r="HD96" s="1034">
        <f t="shared" si="54"/>
        <v>18</v>
      </c>
      <c r="HE96" s="1034">
        <f t="shared" si="54"/>
        <v>17</v>
      </c>
      <c r="HF96" s="1034">
        <f t="shared" si="54"/>
        <v>16</v>
      </c>
      <c r="HG96" s="1034">
        <f t="shared" si="54"/>
        <v>0</v>
      </c>
      <c r="HH96" s="1034">
        <f t="shared" si="54"/>
        <v>0</v>
      </c>
      <c r="HI96" s="1034">
        <f>IF(HI94=TRUE,0,HI$16)</f>
        <v>13</v>
      </c>
      <c r="HJ96" s="1034">
        <f t="shared" ref="HJ96:HL96" si="55">IF(HJ94=TRUE,0,HJ$16)</f>
        <v>12</v>
      </c>
      <c r="HK96" s="1034">
        <f t="shared" si="55"/>
        <v>11</v>
      </c>
      <c r="HL96" s="1034">
        <f t="shared" si="55"/>
        <v>10</v>
      </c>
      <c r="HM96" s="1034">
        <f>IF(HM94=TRUE,0,HM$16)</f>
        <v>9</v>
      </c>
      <c r="HN96" s="1034">
        <f t="shared" ref="HN96:HR96" si="56">IF(HN94=TRUE,0,HN$16)</f>
        <v>0</v>
      </c>
      <c r="HO96" s="1034">
        <f t="shared" si="56"/>
        <v>0</v>
      </c>
      <c r="HP96" s="1034">
        <f t="shared" si="56"/>
        <v>0</v>
      </c>
      <c r="HQ96" s="1034">
        <f t="shared" si="56"/>
        <v>0</v>
      </c>
      <c r="HR96" s="1034">
        <f t="shared" si="56"/>
        <v>0</v>
      </c>
      <c r="HS96" s="1034">
        <f>IF(HS94=TRUE,0,HS$16)</f>
        <v>0</v>
      </c>
      <c r="HT96" s="1034">
        <f t="shared" ref="HT96" si="57">IF(HT94=TRUE,0,HT$16)</f>
        <v>0</v>
      </c>
      <c r="HU96" s="1034">
        <f>IF(HU94=TRUE,0,HU$16)</f>
        <v>1</v>
      </c>
      <c r="HW96" s="1034">
        <f>IF(GL94=FALSE,GL96,IF(GM94=FALSE,GM96,MAX(GJ96:HU96)))</f>
        <v>36</v>
      </c>
      <c r="HX96" s="1383"/>
      <c r="HY96" s="241" t="str">
        <f>VLOOKUP(HW96,_Error_Table,3,FALSE)</f>
        <v xml:space="preserve"> </v>
      </c>
      <c r="HZ96" s="241"/>
      <c r="IA96" s="1386"/>
      <c r="IB96" s="1380"/>
      <c r="IC96" s="1379"/>
      <c r="IF96" s="1380"/>
      <c r="IG96" s="1383"/>
      <c r="IH96" s="1383"/>
      <c r="II96" s="1383"/>
      <c r="IK96" s="1351"/>
      <c r="IL96" s="1351"/>
      <c r="IM96" s="1351"/>
      <c r="IN96" s="1351"/>
      <c r="IO96" s="1351"/>
      <c r="IP96" s="1351"/>
    </row>
    <row r="97" spans="1:250" s="82" customFormat="1" ht="5.0999999999999996" customHeight="1" thickBot="1">
      <c r="B97" s="763"/>
      <c r="C97" s="437"/>
      <c r="D97" s="437"/>
      <c r="E97" s="1490"/>
      <c r="F97" s="1490"/>
      <c r="G97" s="1490"/>
      <c r="H97" s="1490"/>
      <c r="I97" s="1490"/>
      <c r="J97" s="1490"/>
      <c r="K97" s="1490"/>
      <c r="L97" s="1490"/>
      <c r="M97" s="1490"/>
      <c r="N97" s="1490"/>
      <c r="O97" s="1490"/>
      <c r="P97" s="1490"/>
      <c r="Q97" s="1490"/>
      <c r="R97" s="1490"/>
      <c r="S97" s="1490"/>
      <c r="T97" s="1490"/>
      <c r="U97" s="1490"/>
      <c r="V97" s="1490"/>
      <c r="W97" s="1490"/>
      <c r="X97" s="1490"/>
      <c r="Y97" s="1490"/>
      <c r="Z97" s="1490"/>
      <c r="AA97" s="1490"/>
      <c r="AB97" s="1490"/>
      <c r="AC97" s="1490"/>
      <c r="AD97" s="1490"/>
      <c r="AE97" s="1490"/>
      <c r="AF97" s="1490"/>
      <c r="AG97" s="1490"/>
      <c r="AH97" s="1490"/>
      <c r="AI97" s="1490"/>
      <c r="AJ97" s="1490"/>
      <c r="AK97" s="1490"/>
      <c r="AL97" s="1490"/>
      <c r="AM97" s="1490"/>
      <c r="AN97" s="1490"/>
      <c r="AO97" s="1490"/>
      <c r="AP97" s="1490"/>
      <c r="AQ97" s="1490"/>
      <c r="AR97" s="1490"/>
      <c r="AS97" s="1490"/>
      <c r="AT97" s="1490"/>
      <c r="AU97" s="51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M97" s="749"/>
      <c r="CN97" s="749"/>
      <c r="CO97" s="485"/>
      <c r="CP97" s="749"/>
      <c r="CS97" s="436"/>
      <c r="CT97" s="436"/>
      <c r="CU97" s="243"/>
      <c r="CV97" s="244"/>
      <c r="CW97" s="244"/>
      <c r="CX97" s="244"/>
      <c r="CY97" s="245"/>
      <c r="CZ97" s="245"/>
      <c r="DA97" s="245"/>
      <c r="DC97" s="750"/>
      <c r="DD97" s="751"/>
      <c r="DE97" s="752"/>
      <c r="DF97" s="753"/>
      <c r="DG97" s="754"/>
      <c r="DH97" s="754"/>
      <c r="DK97" s="244"/>
      <c r="DL97" s="750"/>
      <c r="DN97" s="750"/>
      <c r="DO97" s="755"/>
      <c r="DP97" s="436"/>
      <c r="DQ97" s="750"/>
      <c r="DR97" s="750"/>
      <c r="DS97" s="750"/>
      <c r="DU97" s="750"/>
      <c r="DV97" s="750"/>
      <c r="DW97" s="750"/>
      <c r="DX97" s="750"/>
      <c r="DZ97" s="756"/>
      <c r="EA97" s="756"/>
      <c r="EC97" s="754"/>
      <c r="ED97" s="754"/>
      <c r="EE97" s="244"/>
      <c r="EF97" s="754"/>
      <c r="EG97" s="754"/>
      <c r="EH97" s="243"/>
      <c r="EI97" s="243"/>
      <c r="EJ97" s="752"/>
      <c r="EK97" s="757"/>
      <c r="EL97" s="757"/>
      <c r="EM97" s="758"/>
      <c r="EN97" s="758"/>
      <c r="EO97" s="752"/>
      <c r="EP97" s="752"/>
      <c r="EQ97" s="752"/>
      <c r="ES97" s="750"/>
      <c r="EU97" s="436"/>
      <c r="EV97" s="436"/>
      <c r="EW97" s="436"/>
      <c r="EX97" s="436"/>
      <c r="EY97" s="436"/>
      <c r="EZ97" s="436"/>
      <c r="FB97" s="643"/>
      <c r="FD97" s="436"/>
      <c r="FE97" s="436"/>
      <c r="FF97" s="436"/>
      <c r="FO97" s="750"/>
      <c r="FP97" s="436"/>
      <c r="FQ97" s="436"/>
      <c r="FR97" s="750"/>
      <c r="FS97" s="750"/>
      <c r="FW97" s="749"/>
      <c r="FX97" s="749"/>
      <c r="FY97" s="749"/>
      <c r="FZ97" s="749"/>
      <c r="GA97" s="749"/>
      <c r="GB97" s="749"/>
      <c r="GC97" s="749"/>
      <c r="GD97" s="749"/>
      <c r="GE97" s="751"/>
      <c r="GF97" s="750"/>
      <c r="GG97" s="750"/>
    </row>
    <row r="98" spans="1:250" s="82" customFormat="1" ht="14.95" customHeight="1" thickTop="1" thickBot="1">
      <c r="B98" s="1421" t="str">
        <f>HY101</f>
        <v xml:space="preserve"> </v>
      </c>
      <c r="C98" s="1422">
        <f>C93+1</f>
        <v>12</v>
      </c>
      <c r="D98" s="1423"/>
      <c r="E98" s="1424" t="s">
        <v>242</v>
      </c>
      <c r="F98" s="1425"/>
      <c r="G98" s="1426"/>
      <c r="H98" s="1427"/>
      <c r="I98" s="1427"/>
      <c r="J98" s="1427"/>
      <c r="K98" s="1427"/>
      <c r="L98" s="1427"/>
      <c r="M98" s="1427"/>
      <c r="N98" s="1427"/>
      <c r="O98" s="1427"/>
      <c r="P98" s="1427"/>
      <c r="Q98" s="1427"/>
      <c r="R98" s="1427"/>
      <c r="S98" s="1428" t="s">
        <v>283</v>
      </c>
      <c r="T98" s="668" t="s">
        <v>190</v>
      </c>
      <c r="U98" s="1430" t="s">
        <v>186</v>
      </c>
      <c r="V98" s="1431"/>
      <c r="W98" s="1431"/>
      <c r="X98" s="1431"/>
      <c r="Y98" s="1431"/>
      <c r="Z98" s="1431"/>
      <c r="AA98" s="1431"/>
      <c r="AB98" s="1088" t="str">
        <f>IFERROR(IF(__Retrofit_TI_NC=0,VLOOKUP(U99,Fixtures_Existing_List,2,FALSE),ROUND(N100*R100/T100,10)),"")</f>
        <v/>
      </c>
      <c r="AC98" s="1039" t="str">
        <f>IFERROR(IF(__Retrofit_TI_NC=0,ROUND(T99*AB98*N99*R99/1000,0),IF(CN98="Interior",N100*R100*R99*N99*_C406_reduction/1000,N100*R100*R99*N99/1000)),"")</f>
        <v/>
      </c>
      <c r="AD98" s="1040" t="str">
        <f>IFERROR(IF(C$36=0,ROUND(T99*AB98/1000,2),N100*R100/1000),"")</f>
        <v/>
      </c>
      <c r="AE98" s="1044" t="s">
        <v>190</v>
      </c>
      <c r="AF98" s="1432" t="str">
        <f>IF(__Retrofit_TI_NC=2,CONCATENATE("Code min = ",DD98),IF(__Retrofit_TI_NC=1,"Emter what you think the existing control was"," Control"))</f>
        <v xml:space="preserve"> Control</v>
      </c>
      <c r="AG98" s="1432"/>
      <c r="AH98" s="1432"/>
      <c r="AI98" s="1432"/>
      <c r="AJ98" s="1433">
        <f>DF98</f>
        <v>0</v>
      </c>
      <c r="AK98" s="1435" t="str">
        <f>IFERROR(ROUND(AJ98*AC98,0),"")</f>
        <v/>
      </c>
      <c r="AL98" s="1437">
        <f>IFERROR(IF(HW98=FALSE,0,AC98-AK98),0)</f>
        <v>0</v>
      </c>
      <c r="AM98" s="1439">
        <f>AL98-AL100</f>
        <v>0</v>
      </c>
      <c r="AN98" s="1440"/>
      <c r="AO98" s="1445">
        <f>IFERROR(IF(HW98=FALSE,0,(T100*U101)+(AE100*AF101)),0)</f>
        <v>0</v>
      </c>
      <c r="AP98" s="1445"/>
      <c r="AQ98" s="1446"/>
      <c r="AR98" s="1451" t="s">
        <v>157</v>
      </c>
      <c r="AS98" s="1454">
        <f>IF(AR98="Yes",1,0)</f>
        <v>1</v>
      </c>
      <c r="AT98" s="1457" t="str">
        <f>IF(OR(DN98=4,DN98=5,DN98=6,DN98=12),CONCATENATE("$",IF(GD98=TRUE,Lookup!$B$11,Lookup!$B$2)," /lamp"),CONCATENATE(EA98,"/ kWh"))</f>
        <v>0/ kWh</v>
      </c>
      <c r="AU98" s="516"/>
      <c r="AV98" s="1478">
        <f>IFERROR(IF(GI99=TRUE,(AB101*T100)/R100,0),"NA")</f>
        <v>0</v>
      </c>
      <c r="AW98" s="1478" t="str">
        <f>IFERROR(N100*_C406_reduction,"NA")</f>
        <v>NA</v>
      </c>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M98" s="1352" t="str">
        <f>N99</f>
        <v/>
      </c>
      <c r="CN98" s="1352" t="str">
        <f>IFERROR(VLOOKUP(G99,_Lookup_Heat_Type_Table_New,3,FALSE),"")</f>
        <v/>
      </c>
      <c r="CO98" s="1415" t="str">
        <f>CN98</f>
        <v/>
      </c>
      <c r="CP98" s="1417" t="e">
        <f>VLOOKUP(G100,'Space Table'!$B$3:$L$160,9,FALSE)</f>
        <v>#N/A</v>
      </c>
      <c r="CR98" s="1386" t="s">
        <v>283</v>
      </c>
      <c r="CS98" s="1353">
        <f>IF(HW98=TRUE,T99,0)</f>
        <v>0</v>
      </c>
      <c r="CT98" s="1353" t="str">
        <f>IF(HW98=TRUE,U99,"")</f>
        <v/>
      </c>
      <c r="CU98" s="1353"/>
      <c r="CV98" s="1370">
        <f>IF(HW98=TRUE,AB98,0)</f>
        <v>0</v>
      </c>
      <c r="CW98" s="1370">
        <f>IF(HW98=TRUE,AC98,0)</f>
        <v>0</v>
      </c>
      <c r="CX98" s="1370">
        <f>IFERROR(IF(HW98=TRUE,CW98-CW100,0),0)</f>
        <v>0</v>
      </c>
      <c r="CY98" s="1485">
        <f>IF(HW98=TRUE,AD98,0)</f>
        <v>0</v>
      </c>
      <c r="CZ98" s="1485">
        <f>IF(HW98=TRUE,AD101,0)</f>
        <v>0</v>
      </c>
      <c r="DA98" s="1485">
        <f>IFERROR(CY98-CZ98,0)</f>
        <v>0</v>
      </c>
      <c r="DC98" s="1353">
        <f>IF(HW98=TRUE,AE99,0)</f>
        <v>0</v>
      </c>
      <c r="DD98" s="1460">
        <f>IF(__Retrofit_TI_NC=2,IF(CN98="Exterior",O101,FM98),FK98)</f>
        <v>0</v>
      </c>
      <c r="DE98" s="1353"/>
      <c r="DF98" s="1406">
        <f>IFERROR(IF(FL98=3,IK98,IF(FL98=4,IL98,IF(FL98=5,IM98,IF(FL98=6,IN98,IF(FL98=7,IO98,IF(FL98=8,IP98,0)))))),0)</f>
        <v>0</v>
      </c>
      <c r="DG98" s="1370">
        <f>IF(HW98=TRUE,AK98,0)</f>
        <v>0</v>
      </c>
      <c r="DH98" s="1369">
        <f>IFERROR(IF(HW98=TRUE,DG100-DG98,0),0)</f>
        <v>0</v>
      </c>
      <c r="DJ98" s="1483">
        <f>IFERROR(CW98-DG98,0)</f>
        <v>0</v>
      </c>
      <c r="DL98" s="1419">
        <f>DJ98-DK100</f>
        <v>0</v>
      </c>
      <c r="DN98" s="1403" t="str">
        <f>IFERROR(IF(AND(OR(FY98=4,FY98=5,FY98=6),OR(GB98=4,GB98=5,GB98=6)),FY98+8,VLOOKUP(CT100,Fixtures!R$31:Y$78,8,FALSE)),"")</f>
        <v/>
      </c>
      <c r="DO98" s="1404" t="str">
        <f>DN98</f>
        <v/>
      </c>
      <c r="DP98" s="1353" t="str">
        <f>IFERROR(VLOOKUP(DD100,Lookup!AU$3:AV$15,2,FALSE),"")</f>
        <v/>
      </c>
      <c r="DQ98" s="1404" t="str">
        <f>IF(DP98=7,"LLLC","")</f>
        <v/>
      </c>
      <c r="DR98" s="1403">
        <f>IFERROR(IF(OR(DN98=4,DN98=5,DN98=6,DN98=12,DN98=13,DN98=14),VLOOKUP(CT100,Fixtures!DN$27:EG$77,19,FALSE),1)*CS100,0)</f>
        <v>0</v>
      </c>
      <c r="DS98" s="1489">
        <f>IF(DP98=7,IF(DD98=DD100,0,DC100),0)</f>
        <v>0</v>
      </c>
      <c r="DU98" s="1403" t="str">
        <f>IFERROR(IF(EW98&lt;EW100,"Yes","No"),"")</f>
        <v/>
      </c>
      <c r="DV98" s="1404" t="str">
        <f>DU98</f>
        <v/>
      </c>
      <c r="DW98" s="1403">
        <f>IF(DU98="Yes",DC100,0)</f>
        <v>0</v>
      </c>
      <c r="DX98" s="1403">
        <f>DW98-DS98</f>
        <v>0</v>
      </c>
      <c r="DZ98" s="1481">
        <f>IFERROR(VLOOKUP(DN98,Lookup!AN$3:AO$16,2,FALSE),0)</f>
        <v>0</v>
      </c>
      <c r="EA98" s="1481">
        <f>IF(HW98=FALSE,0,IF(DU98="Yes",DZ98+Lookup!B$6,DZ98))</f>
        <v>0</v>
      </c>
      <c r="EC98" s="1482">
        <f>IF(HW98=TRUE,DJ98,0)</f>
        <v>0</v>
      </c>
      <c r="ED98" s="1369">
        <f>IF(HW98=TRUE,CW100,0)</f>
        <v>0</v>
      </c>
      <c r="EE98" s="1370">
        <f>IFERROR(EC98-ED98,0)</f>
        <v>0</v>
      </c>
      <c r="EF98" s="1369">
        <f>IF(HW98=TRUE,DG100,0)</f>
        <v>0</v>
      </c>
      <c r="EG98" s="1369">
        <f>IFERROR(EC98-ED98+EF98,0)</f>
        <v>0</v>
      </c>
      <c r="EH98" s="1373">
        <f>IF(HW98=TRUE,CS100*CU100,0)</f>
        <v>0</v>
      </c>
      <c r="EI98" s="1373">
        <f>IF(HW98=TRUE,DC100*DE100,0)</f>
        <v>0</v>
      </c>
      <c r="EJ98" s="1363">
        <f>AO98</f>
        <v>0</v>
      </c>
      <c r="EK98" s="1376" t="str">
        <f>IFERROR(IF(HW98=TRUE,VLOOKUP(DN98,Lookup!AN$3:AP$16,3,FALSE)*DR98,""),0)</f>
        <v/>
      </c>
      <c r="EL98" s="1376">
        <f>IF(HW98=TRUE,DW98*Lookup!AP$12,0)</f>
        <v>0</v>
      </c>
      <c r="EM98" s="1362">
        <f>IFERROR(IF(HW98=TRUE,EK98/EM$33,0),0)</f>
        <v>0</v>
      </c>
      <c r="EN98" s="1362">
        <f>IF(HW98=TRUE,EL98/EN$33,0)</f>
        <v>0</v>
      </c>
      <c r="EO98" s="1363">
        <f>IF(HW98=TRUE,EQ$33*EM98,0)</f>
        <v>0</v>
      </c>
      <c r="EP98" s="1363">
        <f>IF(HW98=TRUE,EQ$33*EN98,0)</f>
        <v>0</v>
      </c>
      <c r="EQ98" s="1363">
        <f>EO98+EP98</f>
        <v>0</v>
      </c>
      <c r="ES98" s="1403">
        <f>IF(G98="",0,1)</f>
        <v>0</v>
      </c>
      <c r="EU98" s="1410" t="e">
        <f>VLOOKUP(CP100,'Space Table'!$B$3:$L$160,8,FALSE)</f>
        <v>#N/A</v>
      </c>
      <c r="EV98" s="1410" t="e">
        <f>IF(EY98="Yes",VLOOKUP(DD98,Lookup_Control_Type_Table2,4,FALSE),VLOOKUP(DD98,Lookup_Control_Type_Table2,3,FALSE))</f>
        <v>#N/A</v>
      </c>
      <c r="EW98" s="1410" t="e">
        <f>VLOOKUP(DD98,Lookup!AU$3:AV$15,2,FALSE)</f>
        <v>#N/A</v>
      </c>
      <c r="EX98" s="1410" t="e">
        <f>VLOOKUP(EU98,Lookup_Control_Type_Table,2,FALSE)</f>
        <v>#N/A</v>
      </c>
      <c r="EY98" s="1410" t="e">
        <f>VLOOKUP(CP100,'Space Table'!$B$3:$L$160,7,FALSE)</f>
        <v>#N/A</v>
      </c>
      <c r="EZ98" s="1412" t="b">
        <f>ISNUMBER(SEARCH("TLED",U100))</f>
        <v>0</v>
      </c>
      <c r="FB98" s="1365" t="str">
        <f>CONCATENATE(CN98," - ",DD98)</f>
        <v xml:space="preserve"> - 0</v>
      </c>
      <c r="FD98" s="1353" t="str">
        <f>VLOOKUP(CT100,Fixtures!DN$27:EZ$77,38,FALSE)</f>
        <v/>
      </c>
      <c r="FE98" s="1353">
        <f>IFERROR(FD98*EE98,0)</f>
        <v>0</v>
      </c>
      <c r="FF98" s="138"/>
      <c r="FI98" s="1356" t="str">
        <f>IF(CN98="Exterior","Not Daylighted",G101)</f>
        <v>Not Daylighted</v>
      </c>
      <c r="FJ98" s="1356">
        <f>VLOOKUP(FI98,_Daylight_Table_Codes,2,FALSE)</f>
        <v>0</v>
      </c>
      <c r="FK98" s="1365">
        <f>IF(__Retrofit_TI_NC=2,VLOOKUP(G100,'Space Table'!$B$3:$L$160,11,FALSE),AF99)</f>
        <v>0</v>
      </c>
      <c r="FL98" s="1365" t="e">
        <f>VLOOKUP(FK98,_Control_Table,2,FALSE)</f>
        <v>#N/A</v>
      </c>
      <c r="FM98" s="1365" t="e">
        <f>IF(AND(FP98&gt;0,FK98="Occupancy Sensor"),"Daylight + Occupancy",IF(AND(FP98&gt;0,FL98&lt;4),"Interior Daylight Dimming",FK98))</f>
        <v>#N/A</v>
      </c>
      <c r="FO98" s="1364">
        <f>IF(CO98="Interior",VLOOKUP(CP98,Control_Savings_Interior,5,FALSE),0)</f>
        <v>0</v>
      </c>
      <c r="FP98" s="1361">
        <f>IF(CN98="Exterior",0,IF(FJ98=2,0.5,IF(OR(FJ98=1,FJ98=3),1,0)))</f>
        <v>0</v>
      </c>
      <c r="FQ98" s="1366"/>
      <c r="FR98" s="1367"/>
      <c r="FS98" s="1364"/>
      <c r="FT98" s="1367"/>
      <c r="FU98" s="1360"/>
      <c r="FW98" s="1352" t="str">
        <f>IFERROR(VLOOKUP(U99,_Exist_Fixture_Table,3,FALSE),"")</f>
        <v/>
      </c>
      <c r="FX98" s="1352" t="str">
        <f>VLOOKUP(CT98,_Exist_Fixture_Table,4,FALSE)</f>
        <v/>
      </c>
      <c r="FY98" s="1352">
        <f>IFERROR(VLOOKUP(FX98,Lookup!AM$6:AN$8,2,FALSE),0)</f>
        <v>0</v>
      </c>
      <c r="FZ98" s="1352" t="b">
        <f>IFERROR(IF(OR(GB98=4,GB98=5,GB98=6),TRUE,FALSE),"")</f>
        <v>0</v>
      </c>
      <c r="GA98" s="1352" t="str">
        <f>IFERROR(VLOOKUP(GB98,FY$6:FZ$10,2,FALSE),"")</f>
        <v/>
      </c>
      <c r="GB98" s="1352" t="str">
        <f>VLOOKUP(CT100,Fixtures!R$31:Y$78,8,FALSE)</f>
        <v/>
      </c>
      <c r="GC98" s="1352">
        <f>IF(AND(FW98=TRUE,FZ98=TRUE,OR(DN98=12,DN98=13,DN98=14)),FY98+8,0)</f>
        <v>0</v>
      </c>
      <c r="GD98" s="1352" t="b">
        <f>IF(OR(GC98=12,GC98=13,GC98=14),TRUE,FALSE)</f>
        <v>0</v>
      </c>
      <c r="GE98" s="759" t="b">
        <f>IF(ISNUMBER(SEARCH("TLED",U99)),TRUE,FALSE)</f>
        <v>0</v>
      </c>
      <c r="GF98" s="1035" t="str">
        <f>IFERROR(VLOOKUP(U99,Fixtures!BM$93:BR$142,6,FALSE),"")</f>
        <v/>
      </c>
      <c r="GG98" s="1385" t="b">
        <f>IF(OR(GE98=FALSE,GE100=FALSE),TRUE,IF(GF98-GF100&lt;5,FALSE,TRUE))</f>
        <v>1</v>
      </c>
      <c r="GK98" s="1034">
        <f>GL98</f>
        <v>0</v>
      </c>
      <c r="GL98" s="1034">
        <f>IF(G98="",0,1)</f>
        <v>0</v>
      </c>
      <c r="GM98" s="1034">
        <f>SUM(GN98:HB98)</f>
        <v>2</v>
      </c>
      <c r="GN98" s="1034">
        <f>IF(G99="",0,1)</f>
        <v>0</v>
      </c>
      <c r="GO98" s="1034">
        <f>IF(G100="",0,1)</f>
        <v>0</v>
      </c>
      <c r="GP98" s="1034">
        <f>IF(R99="",0,1)</f>
        <v>0</v>
      </c>
      <c r="GQ98" s="1034">
        <f>IF(__Retrofit_TI_NC=0,1,IF(R100="",0,1))</f>
        <v>1</v>
      </c>
      <c r="GR98" s="1034">
        <f>IF(CN98="Exterior",1,IF(G101="",0,1))</f>
        <v>1</v>
      </c>
      <c r="GS98" s="1034">
        <f>IF(__Retrofit_TI_NC&lt;&gt;0,1,IF(T99="",0,1))</f>
        <v>0</v>
      </c>
      <c r="GT98" s="1034">
        <f>IF(__Retrofit_TI_NC&lt;&gt;0,1,IF(U99="",0,1))</f>
        <v>0</v>
      </c>
      <c r="GU98" s="1034">
        <f>IF(T100="",0,1)</f>
        <v>0</v>
      </c>
      <c r="GV98" s="1034">
        <f>IF(U100="",0,1)</f>
        <v>0</v>
      </c>
      <c r="GW98" s="1034">
        <f>IF(__Retrofit_TI_NC=2,1,IF(U101="",0,1))</f>
        <v>0</v>
      </c>
      <c r="GX98" s="1034">
        <f>IF(__Retrofit_TI_NC&lt;&gt;0,1,IF(AE99="",0,1))</f>
        <v>0</v>
      </c>
      <c r="GY98" s="1034">
        <f>IF(__Retrofit_TI_NC&lt;&gt;0,1,IF(AF99="",0,1))</f>
        <v>0</v>
      </c>
      <c r="GZ98" s="1034">
        <f>IF(AE100="",0,1)</f>
        <v>0</v>
      </c>
      <c r="HA98" s="1034">
        <f>IF(AF100="",0,1)</f>
        <v>0</v>
      </c>
      <c r="HB98" s="1034">
        <f>IF(__Retrofit_TI_NC=2,1,IF(AF101="",0,1))</f>
        <v>0</v>
      </c>
      <c r="HV98" s="436"/>
      <c r="HW98" s="1384" t="b">
        <f>IF(OR(HW101=0,HW101=HT$16,HW101=HS$16,HW101=HU$16),TRUE,FALSE)</f>
        <v>0</v>
      </c>
      <c r="HX98" s="1377" t="b">
        <f>HW98</f>
        <v>0</v>
      </c>
      <c r="HY98" s="436"/>
      <c r="HZ98" s="436"/>
      <c r="IA98" s="1386" t="b">
        <f>IF(MAX(GJ101:HP101)&gt;5,FALSE,TRUE)</f>
        <v>0</v>
      </c>
      <c r="IB98" s="1380">
        <f>IF(IA98=TRUE,AC98,0)</f>
        <v>0</v>
      </c>
      <c r="IC98" s="1380">
        <f>IB98-IB100</f>
        <v>0</v>
      </c>
      <c r="IF98" s="1380" t="e">
        <f>ROUND(T99*VLOOKUP(U99,Fixtures_Existing_List,2,FALSE)*N99*R99/1000,0)</f>
        <v>#N/A</v>
      </c>
      <c r="IG98" s="1381" t="e">
        <f>IF98-IF100</f>
        <v>#N/A</v>
      </c>
      <c r="IH98" s="1384" t="e">
        <f>ROUND(IF(CN98="Interior",N100*R100*R99*N99*_C406_reduction/1000,N100*R100*R99*N99/1000),0)</f>
        <v>#N/A</v>
      </c>
      <c r="II98" s="1384" t="e">
        <f>IH98-IH100</f>
        <v>#N/A</v>
      </c>
      <c r="IK98" s="1351" t="e">
        <f>IF($CO98="interior",IL98/2,VLOOKUP($CP98,Control_Savings_Exterior,IK$30,FALSE))</f>
        <v>#N/A</v>
      </c>
      <c r="IL98" s="1351" t="e">
        <f>IF($CO98="interior",VLOOKUP($CP98,Control_Savings_Interior,IL$30,FALSE),VLOOKUP($CP98,Control_Savings_Exterior,IL$30,FALSE))</f>
        <v>#N/A</v>
      </c>
      <c r="IM98" s="1351" t="e">
        <f>IF($CO98="interior",IF(R99&gt;FO$37,(IM$28*(FO$37/R99)),IM$28)*FP98,VLOOKUP($CP98,Control_Savings_Exterior,IM$30,FALSE))</f>
        <v>#N/A</v>
      </c>
      <c r="IN98" s="1351" t="e">
        <f>IF($CO98="interior",ROUND(((1-IL98)*IM98)+IL98,2),VLOOKUP($CP98,Control_Savings_Exterior,IN$30,FALSE))</f>
        <v>#N/A</v>
      </c>
      <c r="IO98" s="1351" t="e">
        <f>IF($CO98="interior", ROUND(((1-IL98)*(IM98*(1-IP$28)))+IP98,2), VLOOKUP($CP98,Control_Savings_Exterior,IO$30,FALSE))</f>
        <v>#N/A</v>
      </c>
      <c r="IP98" s="1351">
        <f>IF($CO98="interior",ROUND(((1-IL98)*IP$28)+IL98,2),0)</f>
        <v>0</v>
      </c>
    </row>
    <row r="99" spans="1:250" s="82" customFormat="1" ht="14.95" customHeight="1" thickTop="1" thickBot="1">
      <c r="B99" s="1421"/>
      <c r="C99" s="1422"/>
      <c r="D99" s="1423"/>
      <c r="E99" s="1393" t="s">
        <v>244</v>
      </c>
      <c r="F99" s="1394"/>
      <c r="G99" s="1395"/>
      <c r="H99" s="1395"/>
      <c r="I99" s="1395"/>
      <c r="J99" s="1395"/>
      <c r="K99" s="1395"/>
      <c r="L99" s="1395"/>
      <c r="M99" s="509" t="e">
        <f>IF(__Retrofit_TI_NC&lt;&gt;0,IF(VLOOKUP(G100,'Space Table'!$B$3:$L$160,3,FALSE)&gt;0,1,0),IF(__Retrofit_TI_NC=VLOOKUP(G100,'Space Table'!$B$3:$L$160,3,FALSE),1,0))</f>
        <v>#N/A</v>
      </c>
      <c r="N99" s="509" t="str">
        <f>IFERROR(VLOOKUP(G99,_Lookup_Heat_Type_Table_New,2,FALSE),"")</f>
        <v/>
      </c>
      <c r="O99" s="509">
        <f>IF(__Retrofit_TI_NC=1,CONCATENATE("TI ",G99),IF(__Retrofit_TI_NC=2,CONCATENATE("NC ",G99),G99))</f>
        <v>0</v>
      </c>
      <c r="P99" s="1396" t="s">
        <v>352</v>
      </c>
      <c r="Q99" s="1396"/>
      <c r="R99" s="673"/>
      <c r="S99" s="1429"/>
      <c r="T99" s="675"/>
      <c r="U99" s="1496"/>
      <c r="V99" s="1497"/>
      <c r="W99" s="1497"/>
      <c r="X99" s="1497"/>
      <c r="Y99" s="1497"/>
      <c r="Z99" s="1497"/>
      <c r="AA99" s="1497"/>
      <c r="AB99" s="1497"/>
      <c r="AC99" s="1497"/>
      <c r="AD99" s="1498"/>
      <c r="AE99" s="675"/>
      <c r="AF99" s="1397"/>
      <c r="AG99" s="1397"/>
      <c r="AH99" s="1397"/>
      <c r="AI99" s="1397"/>
      <c r="AJ99" s="1434"/>
      <c r="AK99" s="1436"/>
      <c r="AL99" s="1438"/>
      <c r="AM99" s="1441"/>
      <c r="AN99" s="1442"/>
      <c r="AO99" s="1447"/>
      <c r="AP99" s="1447"/>
      <c r="AQ99" s="1448"/>
      <c r="AR99" s="1452"/>
      <c r="AS99" s="1455"/>
      <c r="AT99" s="1458"/>
      <c r="AU99" s="516"/>
      <c r="AV99" s="1479"/>
      <c r="AW99" s="1479"/>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M99" s="1352"/>
      <c r="CN99" s="1352"/>
      <c r="CO99" s="1416"/>
      <c r="CP99" s="1418"/>
      <c r="CR99" s="1386"/>
      <c r="CS99" s="1355"/>
      <c r="CT99" s="1355"/>
      <c r="CU99" s="1355"/>
      <c r="CV99" s="1372"/>
      <c r="CW99" s="1372"/>
      <c r="CX99" s="1371"/>
      <c r="CY99" s="1486"/>
      <c r="CZ99" s="1486"/>
      <c r="DA99" s="1486"/>
      <c r="DC99" s="1355"/>
      <c r="DD99" s="1461"/>
      <c r="DE99" s="1355"/>
      <c r="DF99" s="1407"/>
      <c r="DG99" s="1372"/>
      <c r="DH99" s="1369"/>
      <c r="DJ99" s="1484"/>
      <c r="DL99" s="1419"/>
      <c r="DN99" s="1403"/>
      <c r="DO99" s="1405"/>
      <c r="DP99" s="1354"/>
      <c r="DQ99" s="1405"/>
      <c r="DR99" s="1403"/>
      <c r="DS99" s="1489"/>
      <c r="DU99" s="1403"/>
      <c r="DV99" s="1405"/>
      <c r="DW99" s="1403"/>
      <c r="DX99" s="1403"/>
      <c r="DZ99" s="1481"/>
      <c r="EA99" s="1481"/>
      <c r="EC99" s="1482"/>
      <c r="ED99" s="1369"/>
      <c r="EE99" s="1371"/>
      <c r="EF99" s="1369"/>
      <c r="EG99" s="1369"/>
      <c r="EH99" s="1374"/>
      <c r="EI99" s="1374"/>
      <c r="EJ99" s="1363"/>
      <c r="EK99" s="1376"/>
      <c r="EL99" s="1376"/>
      <c r="EM99" s="1362"/>
      <c r="EN99" s="1362"/>
      <c r="EO99" s="1363"/>
      <c r="EP99" s="1363"/>
      <c r="EQ99" s="1363"/>
      <c r="ES99" s="1403"/>
      <c r="EU99" s="1411"/>
      <c r="EV99" s="1411"/>
      <c r="EW99" s="1411"/>
      <c r="EX99" s="1411"/>
      <c r="EY99" s="1411"/>
      <c r="EZ99" s="1413"/>
      <c r="FB99" s="1365"/>
      <c r="FD99" s="1354"/>
      <c r="FE99" s="1354"/>
      <c r="FF99" s="138"/>
      <c r="FI99" s="1357"/>
      <c r="FJ99" s="1357"/>
      <c r="FK99" s="1365"/>
      <c r="FL99" s="1365"/>
      <c r="FM99" s="1365"/>
      <c r="FO99" s="1361"/>
      <c r="FP99" s="1361"/>
      <c r="FQ99" s="1366"/>
      <c r="FR99" s="1368"/>
      <c r="FS99" s="1361"/>
      <c r="FT99" s="1368"/>
      <c r="FU99" s="1360"/>
      <c r="FW99" s="1352"/>
      <c r="FX99" s="1352"/>
      <c r="FY99" s="1352"/>
      <c r="FZ99" s="1352"/>
      <c r="GA99" s="1352"/>
      <c r="GB99" s="1352"/>
      <c r="GC99" s="1352"/>
      <c r="GD99" s="1352"/>
      <c r="GE99" s="759"/>
      <c r="GF99" s="1035"/>
      <c r="GG99" s="1385"/>
      <c r="GI99" s="1384" t="b">
        <f>IF(AND(GL99=TRUE,GM99=TRUE),TRUE,FALSE)</f>
        <v>0</v>
      </c>
      <c r="GJ99" s="1379" t="b">
        <f>IFERROR(IF(__Retrofit_TI_NC=2,TRUE,IF(AR98="Yes",TRUE,FALSE)),FALSE)</f>
        <v>1</v>
      </c>
      <c r="GL99" s="1379" t="b">
        <f>IFERROR(IF(GL98=1,TRUE,FALSE),FALSE)</f>
        <v>0</v>
      </c>
      <c r="GM99" s="1379" t="b">
        <f>IFERROR(IF(GM98=GM$14,TRUE,FALSE),FALSE)</f>
        <v>0</v>
      </c>
      <c r="HC99" s="1379" t="b">
        <f>IFERROR(IF(M99=1,TRUE,FALSE),FALSE)</f>
        <v>0</v>
      </c>
      <c r="HD99" s="1379" t="b">
        <f>IFERROR(IF(M100=1,TRUE,FALSE),FALSE)</f>
        <v>0</v>
      </c>
      <c r="HE99" s="1379" t="b">
        <f>IFERROR(IF(__Retrofit_TI_NC&lt;&gt;0,TRUE,IFERROR(IF(VLOOKUP(U99,Fixtures_Existing_List,2,FALSE)&lt;&gt;"",TRUE,FALSE),FALSE)),FALSE)</f>
        <v>0</v>
      </c>
      <c r="HF99" s="1379" t="b">
        <f>IFERROR(IF(VLOOKUP(U100,Fixtures_Proposed_List,2,FALSE)&lt;&gt;"",TRUE,FALSE),FALSE)</f>
        <v>0</v>
      </c>
      <c r="HG99" s="1379" t="b">
        <f>IF(AND(__Retrofit_TI_NC=2,EZ98=TRUE),FALSE,TRUE)</f>
        <v>1</v>
      </c>
      <c r="HH99" s="1379" t="b">
        <f>GG98</f>
        <v>1</v>
      </c>
      <c r="HI99" s="1384" t="b">
        <f>IF(ISERROR(MATCH(FB98,_Control_Match[],0))=TRUE,FALSE,TRUE)</f>
        <v>0</v>
      </c>
      <c r="HJ99" s="1384" t="b">
        <f>IFERROR(IF(EU98&lt;&gt;EV98,FALSE,TRUE),FALSE)</f>
        <v>0</v>
      </c>
      <c r="HK99" s="1384" t="b">
        <f>IFERROR(IF(EU100&lt;&gt;EV100,FALSE,TRUE),FALSE)</f>
        <v>0</v>
      </c>
      <c r="HL99" s="1379" t="b">
        <f>IFERROR(IF(CN98="Exterior",TRUE,IF(OR(AND(FJ98=0,EW100&gt;4),AND(FJ98=4,EW100&gt;4,EW100&lt;7)),FALSE,TRUE)),FALSE)</f>
        <v>0</v>
      </c>
      <c r="HM99" s="1379" t="b">
        <f>IFERROR(IF(AND(FL100=7,EZ98=TRUE),FALSE,TRUE),FALSE)</f>
        <v>0</v>
      </c>
      <c r="HN99" s="1379" t="b">
        <f>IFERROR(IF(AND(T100&lt;&gt;AE100,AF100="Interior LLLC")=TRUE,FALSE,TRUE),FALSE)</f>
        <v>1</v>
      </c>
      <c r="HO99" s="1379" t="b">
        <f>IFERROR(IF(OR(AF100=Lookup!AU$13,AF100=Lookup!AU$14)=TRUE,IF(AE100&gt;T100,FALSE,TRUE),TRUE),FALSE)</f>
        <v>1</v>
      </c>
      <c r="HP99" s="1379" t="b">
        <f>IFERROR(IF(__Retrofit_TI_NC=2,IF(EW100&lt;EW98,FALSE,TRUE),TRUE),FALSE)</f>
        <v>1</v>
      </c>
      <c r="HQ99" s="1379" t="b">
        <f>IF(CN98="Interior",IG$6,TRUE)</f>
        <v>1</v>
      </c>
      <c r="HR99" s="1379" t="b">
        <f>IF(CN98="Exterior",IG$8,TRUE)</f>
        <v>1</v>
      </c>
      <c r="HS99" s="1379" t="b">
        <f>IFERROR(IF(__Retrofit_TI_NC&lt;&gt;0,IF(AW98&lt;AV98,FALSE,TRUE),TRUE),FALSE)</f>
        <v>1</v>
      </c>
      <c r="HT99" s="1379" t="b">
        <f>IFERROR(IF(AND(G99="Exterior",R99&gt;4200),FALSE,TRUE),FALSE)</f>
        <v>1</v>
      </c>
      <c r="HU99" s="1379" t="b">
        <f>IFERROR(IF(AB101/AB98&lt;HU$18,FALSE,TRUE),FALSE)</f>
        <v>0</v>
      </c>
      <c r="HW99" s="1382"/>
      <c r="HX99" s="1378"/>
      <c r="HY99" s="1377" t="str">
        <f>VLOOKUP(HW101,_Error_Table,4,FALSE)</f>
        <v>White</v>
      </c>
      <c r="HZ99" s="436"/>
      <c r="IA99" s="1386"/>
      <c r="IB99" s="1380"/>
      <c r="IC99" s="1379"/>
      <c r="IF99" s="1380"/>
      <c r="IG99" s="1382"/>
      <c r="IH99" s="1382"/>
      <c r="II99" s="1382"/>
      <c r="IK99" s="1351"/>
      <c r="IL99" s="1351"/>
      <c r="IM99" s="1351"/>
      <c r="IN99" s="1351"/>
      <c r="IO99" s="1351"/>
      <c r="IP99" s="1351"/>
    </row>
    <row r="100" spans="1:250" s="82" customFormat="1" ht="14.95" customHeight="1" thickTop="1" thickBot="1">
      <c r="A100" s="82">
        <f>ROW()</f>
        <v>100</v>
      </c>
      <c r="B100" s="1421"/>
      <c r="C100" s="1422"/>
      <c r="D100" s="1423"/>
      <c r="E100" s="1393" t="s">
        <v>245</v>
      </c>
      <c r="F100" s="1394"/>
      <c r="G100" s="1398"/>
      <c r="H100" s="1399"/>
      <c r="I100" s="1399"/>
      <c r="J100" s="1399"/>
      <c r="K100" s="1399"/>
      <c r="L100" s="1400"/>
      <c r="M100" s="509">
        <f>IFERROR(IF(IF(__Retrofit_TI_NC&lt;&gt;0,IF(CN98="Interior",MATCH(G100,Lookup_Interior_New,0),MATCH(G100,Lookup_Exterior_New,0)),IF(CN98="Interior",MATCH(G100,Lookup_Interior,0),MATCH(G100,Lookup_Exterior_Areas,0)))&gt;0,1,0),0)</f>
        <v>0</v>
      </c>
      <c r="N100" s="509" t="e">
        <f>IF(__Retrofit_TI_NC=1,
VLOOKUP(G100,'Space Table'!$B$3:$L$160,4,FALSE),
IF(__Retrofit_TI_NC=2,VLOOKUP(G100,'Space Table'!$B$3:$L$160,5,FALSE),VLOOKUP(G100,'Space Table'!$B$3:$L$160,5,FALSE)))</f>
        <v>#N/A</v>
      </c>
      <c r="O100" s="509">
        <f>G100</f>
        <v>0</v>
      </c>
      <c r="P100" s="1394" t="s">
        <v>355</v>
      </c>
      <c r="Q100" s="1394"/>
      <c r="R100" s="674"/>
      <c r="S100" s="1401" t="s">
        <v>284</v>
      </c>
      <c r="T100" s="672"/>
      <c r="U100" s="1499"/>
      <c r="V100" s="1500"/>
      <c r="W100" s="1500"/>
      <c r="X100" s="1500"/>
      <c r="Y100" s="1500"/>
      <c r="Z100" s="1500"/>
      <c r="AA100" s="1500"/>
      <c r="AB100" s="1501"/>
      <c r="AC100" s="1501"/>
      <c r="AD100" s="1502"/>
      <c r="AE100" s="672"/>
      <c r="AF100" s="1474"/>
      <c r="AG100" s="1474"/>
      <c r="AH100" s="1474"/>
      <c r="AI100" s="1474"/>
      <c r="AJ100" s="1475">
        <f>DF100</f>
        <v>0</v>
      </c>
      <c r="AK100" s="1470" t="str">
        <f>IFERROR(ROUND(AJ100*AC101,0),"")</f>
        <v/>
      </c>
      <c r="AL100" s="1472">
        <f>IFERROR(IF(HW98=FALSE,0,AC101-AK100),0)</f>
        <v>0</v>
      </c>
      <c r="AM100" s="1441"/>
      <c r="AN100" s="1442"/>
      <c r="AO100" s="1447"/>
      <c r="AP100" s="1447"/>
      <c r="AQ100" s="1448"/>
      <c r="AR100" s="1452"/>
      <c r="AS100" s="1455"/>
      <c r="AT100" s="1458"/>
      <c r="AU100" s="516"/>
      <c r="AV100" s="1479"/>
      <c r="AW100" s="1479"/>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M100" s="1352"/>
      <c r="CN100" s="1352"/>
      <c r="CO100" s="1415" t="str">
        <f>CN98</f>
        <v/>
      </c>
      <c r="CP100" s="1417" t="e">
        <f>CP98</f>
        <v>#N/A</v>
      </c>
      <c r="CR100" s="1386" t="s">
        <v>284</v>
      </c>
      <c r="CS100" s="1353">
        <f>IF(HW98=TRUE,T100,0)</f>
        <v>0</v>
      </c>
      <c r="CT100" s="1353" t="str">
        <f>IF(HW98=TRUE,U100,"")</f>
        <v/>
      </c>
      <c r="CU100" s="1373">
        <f>IF(HW98=TRUE,U101,0)</f>
        <v>0</v>
      </c>
      <c r="CV100" s="1370">
        <f>IF(HW98=TRUE,AB101,0)</f>
        <v>0</v>
      </c>
      <c r="CW100" s="1370">
        <f>IF(HW98=TRUE,AC101,0)</f>
        <v>0</v>
      </c>
      <c r="CX100" s="1371"/>
      <c r="CY100" s="1486"/>
      <c r="CZ100" s="1486"/>
      <c r="DA100" s="1486"/>
      <c r="DC100" s="1353">
        <f>IF(HW98=TRUE,AE100,0)</f>
        <v>0</v>
      </c>
      <c r="DD100" s="1353" t="str">
        <f>IF(HW98=TRUE,AF100,"")</f>
        <v/>
      </c>
      <c r="DE100" s="1373">
        <f>AF101</f>
        <v>0</v>
      </c>
      <c r="DF100" s="1406">
        <f>IFERROR(IF(FL100=3,IK100,IF(FL100=4,IL100,IF(FL100=5,IM100,IF(FL100=6,IN100,IF(FL100=7,IO100,IF(FL100=8,IP100,0)))))),0)</f>
        <v>0</v>
      </c>
      <c r="DG100" s="1370">
        <f>IF(HW98=TRUE,AK100,0)</f>
        <v>0</v>
      </c>
      <c r="DH100" s="1369"/>
      <c r="DK100" s="1483">
        <f>IFERROR(CW100-DG100,0)</f>
        <v>0</v>
      </c>
      <c r="DL100" s="1420"/>
      <c r="DN100" s="1403"/>
      <c r="DO100" s="1477" t="str">
        <f>DN98</f>
        <v/>
      </c>
      <c r="DP100" s="1354"/>
      <c r="DQ100" s="1477" t="str">
        <f>IF(DP98=7,"LLLC","")</f>
        <v/>
      </c>
      <c r="DR100" s="1403"/>
      <c r="DS100" s="1489"/>
      <c r="DU100" s="1403"/>
      <c r="DV100" s="1404" t="str">
        <f>DU98</f>
        <v/>
      </c>
      <c r="DW100" s="1403"/>
      <c r="DX100" s="1403"/>
      <c r="DZ100" s="1481"/>
      <c r="EA100" s="1481"/>
      <c r="EC100" s="1482"/>
      <c r="ED100" s="1369"/>
      <c r="EE100" s="1371"/>
      <c r="EF100" s="1369"/>
      <c r="EG100" s="1369"/>
      <c r="EH100" s="1374"/>
      <c r="EI100" s="1374"/>
      <c r="EJ100" s="1363"/>
      <c r="EK100" s="1376"/>
      <c r="EL100" s="1376"/>
      <c r="EM100" s="1362"/>
      <c r="EN100" s="1362"/>
      <c r="EO100" s="1363"/>
      <c r="EP100" s="1363"/>
      <c r="EQ100" s="1363"/>
      <c r="ES100" s="1403"/>
      <c r="EU100" s="1411" t="e">
        <f>VLOOKUP(CP100,'Space Table'!$B$3:$L$160,8,FALSE)</f>
        <v>#N/A</v>
      </c>
      <c r="EV100" s="1411" t="e">
        <f>IF(EY100="Yes",VLOOKUP(AF100,Lookup_Control_Type_Table2,4,FALSE),VLOOKUP(AF100,Lookup_Control_Type_Table2,3,FALSE))</f>
        <v>#N/A</v>
      </c>
      <c r="EW100" s="1411" t="e">
        <f>VLOOKUP(AF100,Lookup!AU$3:AV$15,2,FALSE)</f>
        <v>#N/A</v>
      </c>
      <c r="EX100" s="1411" t="e">
        <f>VLOOKUP(EU98,Lookup_Control_Type_Table,2,FALSE)</f>
        <v>#N/A</v>
      </c>
      <c r="EY100" s="1411" t="e">
        <f>VLOOKUP(CP100,'Space Table'!$B$3:$L$160,7,FALSE)</f>
        <v>#N/A</v>
      </c>
      <c r="EZ100" s="1413"/>
      <c r="FB100" s="1365" t="str">
        <f>CONCATENATE(CN98," - ",AF100)</f>
        <v xml:space="preserve"> - </v>
      </c>
      <c r="FD100" s="1354"/>
      <c r="FE100" s="1354"/>
      <c r="FF100" s="138"/>
      <c r="FI100" s="1356" t="str">
        <f>IF(CN98="Exterior","Not Daylighted",G101)</f>
        <v>Not Daylighted</v>
      </c>
      <c r="FJ100" s="1356">
        <f>VLOOKUP(FI100,_Daylight_Table_Codes,2,FALSE)</f>
        <v>0</v>
      </c>
      <c r="FK100" s="1365">
        <f>AF100</f>
        <v>0</v>
      </c>
      <c r="FL100" s="1365" t="e">
        <f>VLOOKUP(FK100,_Control_Table,2,FALSE)</f>
        <v>#N/A</v>
      </c>
      <c r="FM100" s="1365" t="e">
        <f>IF(AND(FP100&gt;0,FK100="Occupancy Sensor"),"Daylight + Occupancy",IF(AND(FP100&gt;0,FL100&lt;4),"Interior Daylight Dimming",FK100))</f>
        <v>#N/A</v>
      </c>
      <c r="FO100" s="1364">
        <f>IF(CN98="Interior",VLOOKUP(CP98,Control_Savings_Interior,5,FALSE),0)</f>
        <v>0</v>
      </c>
      <c r="FP100" s="1361">
        <f>IF(CN100="Exterior",0,IF(FJ100=2,0.5,IF(OR(FJ100=1,FJ100=3),1,0)))</f>
        <v>0</v>
      </c>
      <c r="FQ100" s="1366">
        <f>IF(R99&gt;FO$37,(FO100*(FO$37/R99)),FO100)*FP100</f>
        <v>0</v>
      </c>
      <c r="FR100" s="1364">
        <f>DF100</f>
        <v>0</v>
      </c>
      <c r="FS100" s="1364">
        <f>ROUND(FR100+((1-FR100)*FQ100),2)</f>
        <v>0</v>
      </c>
      <c r="FT100" s="1364">
        <f>IF(__Retrofit_TI_NC=2,FS100,FR100)</f>
        <v>0</v>
      </c>
      <c r="FU100" s="1360">
        <f>IF(CO100="Interior",VLOOKUP(CP100,Control_Savings_Interior,4,FALSE),0)</f>
        <v>0</v>
      </c>
      <c r="FW100" s="1352"/>
      <c r="FX100" s="1352"/>
      <c r="FY100" s="1352"/>
      <c r="FZ100" s="1352"/>
      <c r="GA100" s="1352"/>
      <c r="GB100" s="1352"/>
      <c r="GC100" s="1352"/>
      <c r="GD100" s="1352"/>
      <c r="GE100" s="759" t="b">
        <f>IF(ISNUMBER(SEARCH("TLED",U100)),TRUE,FALSE)</f>
        <v>0</v>
      </c>
      <c r="GF100" s="1035" t="str">
        <f>IFERROR(VLOOKUP(U100,Fixtures!DM$93:DR$142,6,FALSE),"")</f>
        <v/>
      </c>
      <c r="GG100" s="1385"/>
      <c r="GI100" s="1383"/>
      <c r="GJ100" s="1379"/>
      <c r="GL100" s="1379"/>
      <c r="GM100" s="1379"/>
      <c r="HC100" s="1379"/>
      <c r="HD100" s="1379"/>
      <c r="HE100" s="1379"/>
      <c r="HF100" s="1379"/>
      <c r="HG100" s="1379"/>
      <c r="HH100" s="1379"/>
      <c r="HI100" s="1383"/>
      <c r="HJ100" s="1383"/>
      <c r="HK100" s="1383"/>
      <c r="HL100" s="1379"/>
      <c r="HM100" s="1379"/>
      <c r="HN100" s="1379"/>
      <c r="HO100" s="1379"/>
      <c r="HP100" s="1379"/>
      <c r="HQ100" s="1379"/>
      <c r="HR100" s="1379"/>
      <c r="HS100" s="1379"/>
      <c r="HT100" s="1379"/>
      <c r="HU100" s="1379"/>
      <c r="HW100" s="1383"/>
      <c r="HX100" s="1384" t="b">
        <f>HW98</f>
        <v>0</v>
      </c>
      <c r="HY100" s="1378"/>
      <c r="HZ100" s="436"/>
      <c r="IA100" s="1386"/>
      <c r="IB100" s="1380">
        <f>IF(IA98=TRUE,AC101,0)</f>
        <v>0</v>
      </c>
      <c r="IC100" s="1379"/>
      <c r="IF100" s="1380" t="e">
        <f>ROUND(T100*AB101*N99*R99/1000,0)</f>
        <v>#VALUE!</v>
      </c>
      <c r="IG100" s="1382"/>
      <c r="IH100" s="1384" t="e">
        <f>ROUND(T100*AB101*N99*R99/1000,0)</f>
        <v>#VALUE!</v>
      </c>
      <c r="II100" s="1382"/>
      <c r="IK100" s="1351" t="e">
        <f>IF($CO100="interior",IL100/2,VLOOKUP($CP100,Control_Savings_Exterior,IK$30,FALSE))</f>
        <v>#N/A</v>
      </c>
      <c r="IL100" s="1351" t="e">
        <f>IF($CO100="interior",VLOOKUP($CP100,Control_Savings_Interior,IL$30,FALSE),VLOOKUP($CP100,Control_Savings_Exterior,IL$30,FALSE))</f>
        <v>#N/A</v>
      </c>
      <c r="IM100" s="1351" t="e">
        <f>IF($CO100="interior",IF(R99&gt;FO$37,(IM$28*(FO$37/R99)),IM$28)*FP100,VLOOKUP($CP100,Control_Savings_Exterior,IM$30,FALSE))</f>
        <v>#N/A</v>
      </c>
      <c r="IN100" s="1351" t="e">
        <f>IF($CO100="interior",ROUND(((1-IL100)*IM100)+IL100,2),VLOOKUP($CP100,Control_Savings_Exterior,IN$30,FALSE))</f>
        <v>#N/A</v>
      </c>
      <c r="IO100" s="1351" t="e">
        <f>IF($CO100="interior", ROUND(((1-IL100)*(IM100*(1-IP$28)))+IP100,2), VLOOKUP($CP100,Control_Savings_Exterior,IO$30,FALSE))</f>
        <v>#N/A</v>
      </c>
      <c r="IP100" s="1351">
        <f>IF($CO100="interior",ROUND(((1-IL100)*IP$28)+IL100,2),0)</f>
        <v>0</v>
      </c>
    </row>
    <row r="101" spans="1:250" s="82" customFormat="1" ht="14.95" customHeight="1" thickTop="1" thickBot="1">
      <c r="B101" s="1421"/>
      <c r="C101" s="1422"/>
      <c r="D101" s="1423"/>
      <c r="E101" s="1462" t="s">
        <v>357</v>
      </c>
      <c r="F101" s="1463"/>
      <c r="G101" s="1464" t="s">
        <v>362</v>
      </c>
      <c r="H101" s="1465"/>
      <c r="I101" s="1465"/>
      <c r="J101" s="1465"/>
      <c r="K101" s="1465"/>
      <c r="L101" s="1466"/>
      <c r="M101" s="669">
        <f>IFERROR(VLOOKUP(G101,_Daylight_Table[],2,FALSE),0)</f>
        <v>0</v>
      </c>
      <c r="N101" s="670"/>
      <c r="O101" s="669" t="e">
        <f>VLOOKUP(G100,'Space Table'!$B$3:$L$160,11,FALSE)</f>
        <v>#N/A</v>
      </c>
      <c r="P101" s="1408"/>
      <c r="Q101" s="1409"/>
      <c r="R101" s="1409"/>
      <c r="S101" s="1402"/>
      <c r="T101" s="671" t="s">
        <v>281</v>
      </c>
      <c r="U101" s="1467" t="str">
        <f>IFERROR(VLOOKUP(U100,Fixtures!DM$93:DP$142,4,FALSE),"")</f>
        <v/>
      </c>
      <c r="V101" s="1468"/>
      <c r="W101" s="1468"/>
      <c r="X101" s="1468"/>
      <c r="Y101" s="1468"/>
      <c r="Z101" s="1468"/>
      <c r="AA101" s="1468"/>
      <c r="AB101" s="1046" t="str">
        <f>IFERROR(VLOOKUP(U100,Fixtures_Proposed_List,2,FALSE),"")</f>
        <v/>
      </c>
      <c r="AC101" s="1036" t="str">
        <f>IFERROR(ROUND(T100*AB101*N99*R99/1000,0),"")</f>
        <v/>
      </c>
      <c r="AD101" s="1037" t="str">
        <f>IFERROR(ROUND(T100*AB101/1000,2),"")</f>
        <v/>
      </c>
      <c r="AE101" s="1045" t="s">
        <v>281</v>
      </c>
      <c r="AF101" s="1469"/>
      <c r="AG101" s="1469"/>
      <c r="AH101" s="1469"/>
      <c r="AI101" s="1469"/>
      <c r="AJ101" s="1476"/>
      <c r="AK101" s="1471"/>
      <c r="AL101" s="1473"/>
      <c r="AM101" s="1443"/>
      <c r="AN101" s="1444"/>
      <c r="AO101" s="1449"/>
      <c r="AP101" s="1449"/>
      <c r="AQ101" s="1450"/>
      <c r="AR101" s="1453"/>
      <c r="AS101" s="1456"/>
      <c r="AT101" s="1459"/>
      <c r="AU101" s="517"/>
      <c r="AV101" s="1480"/>
      <c r="AW101" s="1480"/>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M101" s="1352"/>
      <c r="CN101" s="1352"/>
      <c r="CO101" s="1416"/>
      <c r="CP101" s="1418"/>
      <c r="CR101" s="1386"/>
      <c r="CS101" s="1355"/>
      <c r="CT101" s="1355"/>
      <c r="CU101" s="1375"/>
      <c r="CV101" s="1372"/>
      <c r="CW101" s="1372"/>
      <c r="CX101" s="1372"/>
      <c r="CY101" s="1487"/>
      <c r="CZ101" s="1487"/>
      <c r="DA101" s="1487"/>
      <c r="DC101" s="1355"/>
      <c r="DD101" s="1355"/>
      <c r="DE101" s="1375"/>
      <c r="DF101" s="1407"/>
      <c r="DG101" s="1372"/>
      <c r="DH101" s="1369"/>
      <c r="DK101" s="1484"/>
      <c r="DL101" s="1420"/>
      <c r="DN101" s="1403"/>
      <c r="DO101" s="1405"/>
      <c r="DP101" s="1355"/>
      <c r="DQ101" s="1405"/>
      <c r="DR101" s="1403"/>
      <c r="DS101" s="1489"/>
      <c r="DU101" s="1403"/>
      <c r="DV101" s="1405"/>
      <c r="DW101" s="1403"/>
      <c r="DX101" s="1403"/>
      <c r="DZ101" s="1481"/>
      <c r="EA101" s="1481"/>
      <c r="EC101" s="1482"/>
      <c r="ED101" s="1369"/>
      <c r="EE101" s="1372"/>
      <c r="EF101" s="1369"/>
      <c r="EG101" s="1369"/>
      <c r="EH101" s="1375"/>
      <c r="EI101" s="1375"/>
      <c r="EJ101" s="1363"/>
      <c r="EK101" s="1376"/>
      <c r="EL101" s="1376"/>
      <c r="EM101" s="1362"/>
      <c r="EN101" s="1362"/>
      <c r="EO101" s="1363"/>
      <c r="EP101" s="1363"/>
      <c r="EQ101" s="1363"/>
      <c r="ES101" s="1403"/>
      <c r="EU101" s="1488"/>
      <c r="EV101" s="1488"/>
      <c r="EW101" s="1488"/>
      <c r="EX101" s="1488"/>
      <c r="EY101" s="1488"/>
      <c r="EZ101" s="1414"/>
      <c r="FB101" s="1365"/>
      <c r="FD101" s="1355"/>
      <c r="FE101" s="1355"/>
      <c r="FF101" s="138"/>
      <c r="FI101" s="1357"/>
      <c r="FJ101" s="1357"/>
      <c r="FK101" s="1365"/>
      <c r="FL101" s="1365"/>
      <c r="FM101" s="1365"/>
      <c r="FO101" s="1361"/>
      <c r="FP101" s="1361"/>
      <c r="FQ101" s="1366"/>
      <c r="FR101" s="1361"/>
      <c r="FS101" s="1361"/>
      <c r="FT101" s="1361"/>
      <c r="FU101" s="1360"/>
      <c r="FW101" s="1352"/>
      <c r="FX101" s="1352"/>
      <c r="FY101" s="1352"/>
      <c r="FZ101" s="1352"/>
      <c r="GA101" s="1352"/>
      <c r="GB101" s="1352"/>
      <c r="GC101" s="1352"/>
      <c r="GD101" s="1352"/>
      <c r="GE101" s="759"/>
      <c r="GF101" s="1035"/>
      <c r="GG101" s="1385"/>
      <c r="GJ101" s="1034">
        <f>IF(GJ99=TRUE,0,GJ$16)</f>
        <v>0</v>
      </c>
      <c r="GL101" s="1034">
        <f>IF(GL99=TRUE,0,GL$16)</f>
        <v>36</v>
      </c>
      <c r="GM101" s="1034">
        <f>IF(GM99=TRUE,0,GM$16)</f>
        <v>35</v>
      </c>
      <c r="GN101" s="436"/>
      <c r="GO101" s="436"/>
      <c r="GP101" s="436"/>
      <c r="GQ101" s="436"/>
      <c r="GR101" s="436"/>
      <c r="HC101" s="1034">
        <f t="shared" ref="HC101:HH101" si="58">IF(HC99=TRUE,0,HC$16)</f>
        <v>19</v>
      </c>
      <c r="HD101" s="1034">
        <f t="shared" si="58"/>
        <v>18</v>
      </c>
      <c r="HE101" s="1034">
        <f t="shared" si="58"/>
        <v>17</v>
      </c>
      <c r="HF101" s="1034">
        <f t="shared" si="58"/>
        <v>16</v>
      </c>
      <c r="HG101" s="1034">
        <f t="shared" si="58"/>
        <v>0</v>
      </c>
      <c r="HH101" s="1034">
        <f t="shared" si="58"/>
        <v>0</v>
      </c>
      <c r="HI101" s="1034">
        <f>IF(HI99=TRUE,0,HI$16)</f>
        <v>13</v>
      </c>
      <c r="HJ101" s="1034">
        <f t="shared" ref="HJ101:HL101" si="59">IF(HJ99=TRUE,0,HJ$16)</f>
        <v>12</v>
      </c>
      <c r="HK101" s="1034">
        <f t="shared" si="59"/>
        <v>11</v>
      </c>
      <c r="HL101" s="1034">
        <f t="shared" si="59"/>
        <v>10</v>
      </c>
      <c r="HM101" s="1034">
        <f>IF(HM99=TRUE,0,HM$16)</f>
        <v>9</v>
      </c>
      <c r="HN101" s="1034">
        <f t="shared" ref="HN101:HR101" si="60">IF(HN99=TRUE,0,HN$16)</f>
        <v>0</v>
      </c>
      <c r="HO101" s="1034">
        <f t="shared" si="60"/>
        <v>0</v>
      </c>
      <c r="HP101" s="1034">
        <f t="shared" si="60"/>
        <v>0</v>
      </c>
      <c r="HQ101" s="1034">
        <f t="shared" si="60"/>
        <v>0</v>
      </c>
      <c r="HR101" s="1034">
        <f t="shared" si="60"/>
        <v>0</v>
      </c>
      <c r="HS101" s="1034">
        <f>IF(HS99=TRUE,0,HS$16)</f>
        <v>0</v>
      </c>
      <c r="HT101" s="1034">
        <f t="shared" ref="HT101" si="61">IF(HT99=TRUE,0,HT$16)</f>
        <v>0</v>
      </c>
      <c r="HU101" s="1034">
        <f>IF(HU99=TRUE,0,HU$16)</f>
        <v>1</v>
      </c>
      <c r="HW101" s="1034">
        <f>IF(GL99=FALSE,GL101,IF(GM99=FALSE,GM101,MAX(GJ101:HU101)))</f>
        <v>36</v>
      </c>
      <c r="HX101" s="1383"/>
      <c r="HY101" s="241" t="str">
        <f>VLOOKUP(HW101,_Error_Table,3,FALSE)</f>
        <v xml:space="preserve"> </v>
      </c>
      <c r="HZ101" s="241"/>
      <c r="IA101" s="1386"/>
      <c r="IB101" s="1380"/>
      <c r="IC101" s="1379"/>
      <c r="IF101" s="1380"/>
      <c r="IG101" s="1383"/>
      <c r="IH101" s="1383"/>
      <c r="II101" s="1383"/>
      <c r="IK101" s="1351"/>
      <c r="IL101" s="1351"/>
      <c r="IM101" s="1351"/>
      <c r="IN101" s="1351"/>
      <c r="IO101" s="1351"/>
      <c r="IP101" s="1351"/>
    </row>
    <row r="102" spans="1:250" s="82" customFormat="1" ht="5.0999999999999996" customHeight="1" thickBot="1">
      <c r="B102" s="763"/>
      <c r="C102" s="437"/>
      <c r="D102" s="437"/>
      <c r="E102" s="1490"/>
      <c r="F102" s="1490"/>
      <c r="G102" s="1490"/>
      <c r="H102" s="1490"/>
      <c r="I102" s="1490"/>
      <c r="J102" s="1490"/>
      <c r="K102" s="1490"/>
      <c r="L102" s="1490"/>
      <c r="M102" s="1490"/>
      <c r="N102" s="1490"/>
      <c r="O102" s="1490"/>
      <c r="P102" s="1490"/>
      <c r="Q102" s="1490"/>
      <c r="R102" s="1490"/>
      <c r="S102" s="1490"/>
      <c r="T102" s="1490"/>
      <c r="U102" s="1490"/>
      <c r="V102" s="1490"/>
      <c r="W102" s="1490"/>
      <c r="X102" s="1490"/>
      <c r="Y102" s="1490"/>
      <c r="Z102" s="1490"/>
      <c r="AA102" s="1490"/>
      <c r="AB102" s="1490"/>
      <c r="AC102" s="1490"/>
      <c r="AD102" s="1490"/>
      <c r="AE102" s="1490"/>
      <c r="AF102" s="1490"/>
      <c r="AG102" s="1490"/>
      <c r="AH102" s="1490"/>
      <c r="AI102" s="1490"/>
      <c r="AJ102" s="1490"/>
      <c r="AK102" s="1490"/>
      <c r="AL102" s="1490"/>
      <c r="AM102" s="1490"/>
      <c r="AN102" s="1490"/>
      <c r="AO102" s="1490"/>
      <c r="AP102" s="1490"/>
      <c r="AQ102" s="1490"/>
      <c r="AR102" s="1490"/>
      <c r="AS102" s="1490"/>
      <c r="AT102" s="1490"/>
      <c r="AU102" s="51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M102" s="749"/>
      <c r="CN102" s="749"/>
      <c r="CO102" s="485"/>
      <c r="CP102" s="749"/>
      <c r="CS102" s="436"/>
      <c r="CT102" s="436"/>
      <c r="CU102" s="243"/>
      <c r="CV102" s="244"/>
      <c r="CW102" s="244"/>
      <c r="CX102" s="244"/>
      <c r="CY102" s="245"/>
      <c r="CZ102" s="245"/>
      <c r="DA102" s="245"/>
      <c r="DC102" s="750"/>
      <c r="DD102" s="751"/>
      <c r="DE102" s="752"/>
      <c r="DF102" s="753"/>
      <c r="DG102" s="754"/>
      <c r="DH102" s="754"/>
      <c r="DK102" s="244"/>
      <c r="DL102" s="750"/>
      <c r="DN102" s="750"/>
      <c r="DO102" s="755"/>
      <c r="DP102" s="436"/>
      <c r="DQ102" s="750"/>
      <c r="DR102" s="750"/>
      <c r="DS102" s="750"/>
      <c r="DU102" s="750"/>
      <c r="DV102" s="750"/>
      <c r="DW102" s="750"/>
      <c r="DX102" s="750"/>
      <c r="DZ102" s="756"/>
      <c r="EA102" s="756"/>
      <c r="EC102" s="754"/>
      <c r="ED102" s="754"/>
      <c r="EE102" s="244"/>
      <c r="EF102" s="754"/>
      <c r="EG102" s="754"/>
      <c r="EH102" s="243"/>
      <c r="EI102" s="243"/>
      <c r="EJ102" s="752"/>
      <c r="EK102" s="757"/>
      <c r="EL102" s="757"/>
      <c r="EM102" s="758"/>
      <c r="EN102" s="758"/>
      <c r="EO102" s="752"/>
      <c r="EP102" s="752"/>
      <c r="EQ102" s="752"/>
      <c r="ES102" s="750"/>
      <c r="EU102" s="436"/>
      <c r="EV102" s="436"/>
      <c r="EW102" s="436"/>
      <c r="EX102" s="436"/>
      <c r="EY102" s="436"/>
      <c r="EZ102" s="436"/>
      <c r="FB102" s="643"/>
      <c r="FD102" s="436"/>
      <c r="FE102" s="436"/>
      <c r="FF102" s="436"/>
      <c r="FO102" s="750"/>
      <c r="FP102" s="436"/>
      <c r="FQ102" s="436"/>
      <c r="FR102" s="750"/>
      <c r="FS102" s="750"/>
      <c r="FW102" s="749"/>
      <c r="FX102" s="749"/>
      <c r="FY102" s="749"/>
      <c r="FZ102" s="749"/>
      <c r="GA102" s="749"/>
      <c r="GB102" s="749"/>
      <c r="GC102" s="749"/>
      <c r="GD102" s="749"/>
      <c r="GE102" s="751"/>
      <c r="GF102" s="750"/>
      <c r="GG102" s="750"/>
    </row>
    <row r="103" spans="1:250" s="82" customFormat="1" ht="14.95" customHeight="1" thickTop="1" thickBot="1">
      <c r="B103" s="1421" t="str">
        <f>HY106</f>
        <v xml:space="preserve"> </v>
      </c>
      <c r="C103" s="1422">
        <f>C98+1</f>
        <v>13</v>
      </c>
      <c r="D103" s="1423"/>
      <c r="E103" s="1424" t="s">
        <v>242</v>
      </c>
      <c r="F103" s="1425"/>
      <c r="G103" s="1426"/>
      <c r="H103" s="1427"/>
      <c r="I103" s="1427"/>
      <c r="J103" s="1427"/>
      <c r="K103" s="1427"/>
      <c r="L103" s="1427"/>
      <c r="M103" s="1427"/>
      <c r="N103" s="1427"/>
      <c r="O103" s="1427"/>
      <c r="P103" s="1427"/>
      <c r="Q103" s="1427"/>
      <c r="R103" s="1427"/>
      <c r="S103" s="1428" t="s">
        <v>283</v>
      </c>
      <c r="T103" s="668" t="s">
        <v>190</v>
      </c>
      <c r="U103" s="1430" t="s">
        <v>186</v>
      </c>
      <c r="V103" s="1431"/>
      <c r="W103" s="1431"/>
      <c r="X103" s="1431"/>
      <c r="Y103" s="1431"/>
      <c r="Z103" s="1431"/>
      <c r="AA103" s="1431"/>
      <c r="AB103" s="1088" t="str">
        <f>IFERROR(IF(__Retrofit_TI_NC=0,VLOOKUP(U104,Fixtures_Existing_List,2,FALSE),ROUND(N105*R105/T105,10)),"")</f>
        <v/>
      </c>
      <c r="AC103" s="1039" t="str">
        <f>IFERROR(IF(__Retrofit_TI_NC=0,ROUND(T104*AB103*N104*R104/1000,0),IF(CN103="Interior",N105*R105*R104*N104*_C406_reduction/1000,N105*R105*R104*N104/1000)),"")</f>
        <v/>
      </c>
      <c r="AD103" s="1040" t="str">
        <f>IFERROR(IF(C$36=0,ROUND(T104*AB103/1000,2),N105*R105/1000),"")</f>
        <v/>
      </c>
      <c r="AE103" s="1044" t="s">
        <v>190</v>
      </c>
      <c r="AF103" s="1432" t="str">
        <f>IF(__Retrofit_TI_NC=2,CONCATENATE("Code min = ",DD103),IF(__Retrofit_TI_NC=1,"Emter what you think the existing control was"," Control"))</f>
        <v xml:space="preserve"> Control</v>
      </c>
      <c r="AG103" s="1432"/>
      <c r="AH103" s="1432"/>
      <c r="AI103" s="1432"/>
      <c r="AJ103" s="1433">
        <f>DF103</f>
        <v>0</v>
      </c>
      <c r="AK103" s="1435" t="str">
        <f>IFERROR(ROUND(AJ103*AC103,0),"")</f>
        <v/>
      </c>
      <c r="AL103" s="1437">
        <f>IFERROR(IF(HW103=FALSE,0,AC103-AK103),0)</f>
        <v>0</v>
      </c>
      <c r="AM103" s="1439">
        <f>AL103-AL105</f>
        <v>0</v>
      </c>
      <c r="AN103" s="1440"/>
      <c r="AO103" s="1445">
        <f>IFERROR(IF(HW103=FALSE,0,(T105*U106)+(AE105*AF106)),0)</f>
        <v>0</v>
      </c>
      <c r="AP103" s="1445"/>
      <c r="AQ103" s="1446"/>
      <c r="AR103" s="1451" t="s">
        <v>157</v>
      </c>
      <c r="AS103" s="1454">
        <f>IF(AR103="Yes",1,0)</f>
        <v>1</v>
      </c>
      <c r="AT103" s="1457" t="str">
        <f>IF(OR(DN103=4,DN103=5,DN103=6,DN103=12),CONCATENATE("$",IF(GD103=TRUE,Lookup!$B$11,Lookup!$B$2)," /lamp"),CONCATENATE(EA103,"/ kWh"))</f>
        <v>0/ kWh</v>
      </c>
      <c r="AU103" s="516"/>
      <c r="AV103" s="1478">
        <f>IFERROR(IF(GI104=TRUE,(AB106*T105)/R105,0),"NA")</f>
        <v>0</v>
      </c>
      <c r="AW103" s="1478" t="str">
        <f>IFERROR(N105*_C406_reduction,"NA")</f>
        <v>NA</v>
      </c>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M103" s="1352" t="str">
        <f>N104</f>
        <v/>
      </c>
      <c r="CN103" s="1352" t="str">
        <f>IFERROR(VLOOKUP(G104,_Lookup_Heat_Type_Table_New,3,FALSE),"")</f>
        <v/>
      </c>
      <c r="CO103" s="1415" t="str">
        <f>CN103</f>
        <v/>
      </c>
      <c r="CP103" s="1417" t="e">
        <f>VLOOKUP(G105,'Space Table'!$B$3:$L$160,9,FALSE)</f>
        <v>#N/A</v>
      </c>
      <c r="CR103" s="1386" t="s">
        <v>283</v>
      </c>
      <c r="CS103" s="1353">
        <f>IF(HW103=TRUE,T104,0)</f>
        <v>0</v>
      </c>
      <c r="CT103" s="1353" t="str">
        <f>IF(HW103=TRUE,U104,"")</f>
        <v/>
      </c>
      <c r="CU103" s="1353"/>
      <c r="CV103" s="1370">
        <f>IF(HW103=TRUE,AB103,0)</f>
        <v>0</v>
      </c>
      <c r="CW103" s="1370">
        <f>IF(HW103=TRUE,AC103,0)</f>
        <v>0</v>
      </c>
      <c r="CX103" s="1370">
        <f>IFERROR(IF(HW103=TRUE,CW103-CW105,0),0)</f>
        <v>0</v>
      </c>
      <c r="CY103" s="1485">
        <f>IF(HW103=TRUE,AD103,0)</f>
        <v>0</v>
      </c>
      <c r="CZ103" s="1485">
        <f>IF(HW103=TRUE,AD106,0)</f>
        <v>0</v>
      </c>
      <c r="DA103" s="1485">
        <f>IFERROR(CY103-CZ103,0)</f>
        <v>0</v>
      </c>
      <c r="DC103" s="1353">
        <f>IF(HW103=TRUE,AE104,0)</f>
        <v>0</v>
      </c>
      <c r="DD103" s="1460">
        <f>IF(__Retrofit_TI_NC=2,IF(CN103="Exterior",O106,FM103),FK103)</f>
        <v>0</v>
      </c>
      <c r="DE103" s="1353"/>
      <c r="DF103" s="1406">
        <f>IFERROR(IF(FL103=3,IK103,IF(FL103=4,IL103,IF(FL103=5,IM103,IF(FL103=6,IN103,IF(FL103=7,IO103,IF(FL103=8,IP103,0)))))),0)</f>
        <v>0</v>
      </c>
      <c r="DG103" s="1370">
        <f>IF(HW103=TRUE,AK103,0)</f>
        <v>0</v>
      </c>
      <c r="DH103" s="1369">
        <f>IFERROR(IF(HW103=TRUE,DG105-DG103,0),0)</f>
        <v>0</v>
      </c>
      <c r="DJ103" s="1483">
        <f>IFERROR(CW103-DG103,0)</f>
        <v>0</v>
      </c>
      <c r="DL103" s="1419">
        <f>DJ103-DK105</f>
        <v>0</v>
      </c>
      <c r="DN103" s="1403" t="str">
        <f>IFERROR(IF(AND(OR(FY103=4,FY103=5,FY103=6),OR(GB103=4,GB103=5,GB103=6)),FY103+8,VLOOKUP(CT105,Fixtures!R$31:Y$78,8,FALSE)),"")</f>
        <v/>
      </c>
      <c r="DO103" s="1404" t="str">
        <f>DN103</f>
        <v/>
      </c>
      <c r="DP103" s="1353" t="str">
        <f>IFERROR(VLOOKUP(DD105,Lookup!AU$3:AV$15,2,FALSE),"")</f>
        <v/>
      </c>
      <c r="DQ103" s="1404" t="str">
        <f>IF(DP103=7,"LLLC","")</f>
        <v/>
      </c>
      <c r="DR103" s="1403">
        <f>IFERROR(IF(OR(DN103=4,DN103=5,DN103=6,DN103=12,DN103=13,DN103=14),VLOOKUP(CT105,Fixtures!DN$27:EG$77,19,FALSE),1)*CS105,0)</f>
        <v>0</v>
      </c>
      <c r="DS103" s="1489">
        <f>IF(DP103=7,IF(DD103=DD105,0,DC105),0)</f>
        <v>0</v>
      </c>
      <c r="DU103" s="1403" t="str">
        <f>IFERROR(IF(EW103&lt;EW105,"Yes","No"),"")</f>
        <v/>
      </c>
      <c r="DV103" s="1404" t="str">
        <f>DU103</f>
        <v/>
      </c>
      <c r="DW103" s="1403">
        <f>IF(DU103="Yes",DC105,0)</f>
        <v>0</v>
      </c>
      <c r="DX103" s="1403">
        <f>DW103-DS103</f>
        <v>0</v>
      </c>
      <c r="DZ103" s="1481">
        <f>IFERROR(VLOOKUP(DN103,Lookup!AN$3:AO$16,2,FALSE),0)</f>
        <v>0</v>
      </c>
      <c r="EA103" s="1481">
        <f>IF(HW103=FALSE,0,IF(DU103="Yes",DZ103+Lookup!B$6,DZ103))</f>
        <v>0</v>
      </c>
      <c r="EC103" s="1482">
        <f>IF(HW103=TRUE,DJ103,0)</f>
        <v>0</v>
      </c>
      <c r="ED103" s="1369">
        <f>IF(HW103=TRUE,CW105,0)</f>
        <v>0</v>
      </c>
      <c r="EE103" s="1370">
        <f>IFERROR(EC103-ED103,0)</f>
        <v>0</v>
      </c>
      <c r="EF103" s="1369">
        <f>IF(HW103=TRUE,DG105,0)</f>
        <v>0</v>
      </c>
      <c r="EG103" s="1369">
        <f>IFERROR(EC103-ED103+EF103,0)</f>
        <v>0</v>
      </c>
      <c r="EH103" s="1373">
        <f>IF(HW103=TRUE,CS105*CU105,0)</f>
        <v>0</v>
      </c>
      <c r="EI103" s="1373">
        <f>IF(HW103=TRUE,DC105*DE105,0)</f>
        <v>0</v>
      </c>
      <c r="EJ103" s="1363">
        <f>AO103</f>
        <v>0</v>
      </c>
      <c r="EK103" s="1376" t="str">
        <f>IFERROR(IF(HW103=TRUE,VLOOKUP(DN103,Lookup!AN$3:AP$16,3,FALSE)*DR103,""),0)</f>
        <v/>
      </c>
      <c r="EL103" s="1376">
        <f>IF(HW103=TRUE,DW103*Lookup!AP$12,0)</f>
        <v>0</v>
      </c>
      <c r="EM103" s="1362">
        <f>IFERROR(IF(HW103=TRUE,EK103/EM$33,0),0)</f>
        <v>0</v>
      </c>
      <c r="EN103" s="1362">
        <f>IF(HW103=TRUE,EL103/EN$33,0)</f>
        <v>0</v>
      </c>
      <c r="EO103" s="1363">
        <f>IF(HW103=TRUE,EQ$33*EM103,0)</f>
        <v>0</v>
      </c>
      <c r="EP103" s="1363">
        <f>IF(HW103=TRUE,EQ$33*EN103,0)</f>
        <v>0</v>
      </c>
      <c r="EQ103" s="1363">
        <f>EO103+EP103</f>
        <v>0</v>
      </c>
      <c r="ES103" s="1403">
        <f>IF(G103="",0,1)</f>
        <v>0</v>
      </c>
      <c r="EU103" s="1410" t="e">
        <f>VLOOKUP(CP105,'Space Table'!$B$3:$L$160,8,FALSE)</f>
        <v>#N/A</v>
      </c>
      <c r="EV103" s="1410" t="e">
        <f>IF(EY103="Yes",VLOOKUP(DD103,Lookup_Control_Type_Table2,4,FALSE),VLOOKUP(DD103,Lookup_Control_Type_Table2,3,FALSE))</f>
        <v>#N/A</v>
      </c>
      <c r="EW103" s="1410" t="e">
        <f>VLOOKUP(DD103,Lookup!AU$3:AV$15,2,FALSE)</f>
        <v>#N/A</v>
      </c>
      <c r="EX103" s="1410" t="e">
        <f>VLOOKUP(EU103,Lookup_Control_Type_Table,2,FALSE)</f>
        <v>#N/A</v>
      </c>
      <c r="EY103" s="1410" t="e">
        <f>VLOOKUP(CP105,'Space Table'!$B$3:$L$160,7,FALSE)</f>
        <v>#N/A</v>
      </c>
      <c r="EZ103" s="1412" t="b">
        <f>ISNUMBER(SEARCH("TLED",U105))</f>
        <v>0</v>
      </c>
      <c r="FB103" s="1365" t="str">
        <f>CONCATENATE(CN103," - ",DD103)</f>
        <v xml:space="preserve"> - 0</v>
      </c>
      <c r="FD103" s="1353" t="str">
        <f>VLOOKUP(CT105,Fixtures!DN$27:EZ$77,38,FALSE)</f>
        <v/>
      </c>
      <c r="FE103" s="1353">
        <f>IFERROR(FD103*EE103,0)</f>
        <v>0</v>
      </c>
      <c r="FF103" s="138"/>
      <c r="FI103" s="1356" t="str">
        <f>IF(CN103="Exterior","Not Daylighted",G106)</f>
        <v>Not Daylighted</v>
      </c>
      <c r="FJ103" s="1356">
        <f>VLOOKUP(FI103,_Daylight_Table_Codes,2,FALSE)</f>
        <v>0</v>
      </c>
      <c r="FK103" s="1365">
        <f>IF(__Retrofit_TI_NC=2,VLOOKUP(G105,'Space Table'!$B$3:$L$160,11,FALSE),AF104)</f>
        <v>0</v>
      </c>
      <c r="FL103" s="1365" t="e">
        <f>VLOOKUP(FK103,_Control_Table,2,FALSE)</f>
        <v>#N/A</v>
      </c>
      <c r="FM103" s="1365" t="e">
        <f>IF(AND(FP103&gt;0,FK103="Occupancy Sensor"),"Daylight + Occupancy",IF(AND(FP103&gt;0,FL103&lt;4),"Interior Daylight Dimming",FK103))</f>
        <v>#N/A</v>
      </c>
      <c r="FO103" s="1364">
        <f>IF(CO103="Interior",VLOOKUP(CP103,Control_Savings_Interior,5,FALSE),0)</f>
        <v>0</v>
      </c>
      <c r="FP103" s="1361">
        <f>IF(CN103="Exterior",0,IF(FJ103=2,0.5,IF(OR(FJ103=1,FJ103=3),1,0)))</f>
        <v>0</v>
      </c>
      <c r="FQ103" s="1366"/>
      <c r="FR103" s="1367"/>
      <c r="FS103" s="1364"/>
      <c r="FT103" s="1367"/>
      <c r="FU103" s="1360"/>
      <c r="FW103" s="1352" t="str">
        <f>IFERROR(VLOOKUP(U104,_Exist_Fixture_Table,3,FALSE),"")</f>
        <v/>
      </c>
      <c r="FX103" s="1352" t="str">
        <f>VLOOKUP(CT103,_Exist_Fixture_Table,4,FALSE)</f>
        <v/>
      </c>
      <c r="FY103" s="1352">
        <f>IFERROR(VLOOKUP(FX103,Lookup!AM$6:AN$8,2,FALSE),0)</f>
        <v>0</v>
      </c>
      <c r="FZ103" s="1352" t="b">
        <f>IFERROR(IF(OR(GB103=4,GB103=5,GB103=6),TRUE,FALSE),"")</f>
        <v>0</v>
      </c>
      <c r="GA103" s="1352" t="str">
        <f>IFERROR(VLOOKUP(GB103,FY$6:FZ$10,2,FALSE),"")</f>
        <v/>
      </c>
      <c r="GB103" s="1352" t="str">
        <f>VLOOKUP(CT105,Fixtures!R$31:Y$78,8,FALSE)</f>
        <v/>
      </c>
      <c r="GC103" s="1352">
        <f>IF(AND(FW103=TRUE,FZ103=TRUE,OR(DN103=12,DN103=13,DN103=14)),FY103+8,0)</f>
        <v>0</v>
      </c>
      <c r="GD103" s="1352" t="b">
        <f>IF(OR(GC103=12,GC103=13,GC103=14),TRUE,FALSE)</f>
        <v>0</v>
      </c>
      <c r="GE103" s="759" t="b">
        <f>IF(ISNUMBER(SEARCH("TLED",U104)),TRUE,FALSE)</f>
        <v>0</v>
      </c>
      <c r="GF103" s="1035" t="str">
        <f>IFERROR(VLOOKUP(U104,Fixtures!BM$93:BR$142,6,FALSE),"")</f>
        <v/>
      </c>
      <c r="GG103" s="1385" t="b">
        <f>IF(OR(GE103=FALSE,GE105=FALSE),TRUE,IF(GF103-GF105&lt;5,FALSE,TRUE))</f>
        <v>1</v>
      </c>
      <c r="GK103" s="1034">
        <f>GL103</f>
        <v>0</v>
      </c>
      <c r="GL103" s="1034">
        <f>IF(G103="",0,1)</f>
        <v>0</v>
      </c>
      <c r="GM103" s="1034">
        <f>SUM(GN103:HB103)</f>
        <v>2</v>
      </c>
      <c r="GN103" s="1034">
        <f>IF(G104="",0,1)</f>
        <v>0</v>
      </c>
      <c r="GO103" s="1034">
        <f>IF(G105="",0,1)</f>
        <v>0</v>
      </c>
      <c r="GP103" s="1034">
        <f>IF(R104="",0,1)</f>
        <v>0</v>
      </c>
      <c r="GQ103" s="1034">
        <f>IF(__Retrofit_TI_NC=0,1,IF(R105="",0,1))</f>
        <v>1</v>
      </c>
      <c r="GR103" s="1034">
        <f>IF(CN103="Exterior",1,IF(G106="",0,1))</f>
        <v>1</v>
      </c>
      <c r="GS103" s="1034">
        <f>IF(__Retrofit_TI_NC&lt;&gt;0,1,IF(T104="",0,1))</f>
        <v>0</v>
      </c>
      <c r="GT103" s="1034">
        <f>IF(__Retrofit_TI_NC&lt;&gt;0,1,IF(U104="",0,1))</f>
        <v>0</v>
      </c>
      <c r="GU103" s="1034">
        <f>IF(T105="",0,1)</f>
        <v>0</v>
      </c>
      <c r="GV103" s="1034">
        <f>IF(U105="",0,1)</f>
        <v>0</v>
      </c>
      <c r="GW103" s="1034">
        <f>IF(__Retrofit_TI_NC=2,1,IF(U106="",0,1))</f>
        <v>0</v>
      </c>
      <c r="GX103" s="1034">
        <f>IF(__Retrofit_TI_NC&lt;&gt;0,1,IF(AE104="",0,1))</f>
        <v>0</v>
      </c>
      <c r="GY103" s="1034">
        <f>IF(__Retrofit_TI_NC&lt;&gt;0,1,IF(AF104="",0,1))</f>
        <v>0</v>
      </c>
      <c r="GZ103" s="1034">
        <f>IF(AE105="",0,1)</f>
        <v>0</v>
      </c>
      <c r="HA103" s="1034">
        <f>IF(AF105="",0,1)</f>
        <v>0</v>
      </c>
      <c r="HB103" s="1034">
        <f>IF(__Retrofit_TI_NC=2,1,IF(AF106="",0,1))</f>
        <v>0</v>
      </c>
      <c r="HV103" s="436"/>
      <c r="HW103" s="1384" t="b">
        <f>IF(OR(HW106=0,HW106=HT$16,HW106=HS$16,HW106=HU$16),TRUE,FALSE)</f>
        <v>0</v>
      </c>
      <c r="HX103" s="1377" t="b">
        <f>HW103</f>
        <v>0</v>
      </c>
      <c r="HY103" s="436"/>
      <c r="HZ103" s="436"/>
      <c r="IA103" s="1386" t="b">
        <f>IF(MAX(GJ106:HP106)&gt;5,FALSE,TRUE)</f>
        <v>0</v>
      </c>
      <c r="IB103" s="1380">
        <f>IF(IA103=TRUE,AC103,0)</f>
        <v>0</v>
      </c>
      <c r="IC103" s="1380">
        <f>IB103-IB105</f>
        <v>0</v>
      </c>
      <c r="IF103" s="1380" t="e">
        <f>ROUND(T104*VLOOKUP(U104,Fixtures_Existing_List,2,FALSE)*N104*R104/1000,0)</f>
        <v>#N/A</v>
      </c>
      <c r="IG103" s="1381" t="e">
        <f>IF103-IF105</f>
        <v>#N/A</v>
      </c>
      <c r="IH103" s="1384" t="e">
        <f>ROUND(IF(CN103="Interior",N105*R105*R104*N104*_C406_reduction/1000,N105*R105*R104*N104/1000),0)</f>
        <v>#N/A</v>
      </c>
      <c r="II103" s="1384" t="e">
        <f>IH103-IH105</f>
        <v>#N/A</v>
      </c>
      <c r="IK103" s="1351" t="e">
        <f>IF($CO103="interior",IL103/2,VLOOKUP($CP103,Control_Savings_Exterior,IK$30,FALSE))</f>
        <v>#N/A</v>
      </c>
      <c r="IL103" s="1351" t="e">
        <f>IF($CO103="interior",VLOOKUP($CP103,Control_Savings_Interior,IL$30,FALSE),VLOOKUP($CP103,Control_Savings_Exterior,IL$30,FALSE))</f>
        <v>#N/A</v>
      </c>
      <c r="IM103" s="1351" t="e">
        <f>IF($CO103="interior",IF(R104&gt;FO$37,(IM$28*(FO$37/R104)),IM$28)*FP103,VLOOKUP($CP103,Control_Savings_Exterior,IM$30,FALSE))</f>
        <v>#N/A</v>
      </c>
      <c r="IN103" s="1351" t="e">
        <f>IF($CO103="interior",ROUND(((1-IL103)*IM103)+IL103,2),VLOOKUP($CP103,Control_Savings_Exterior,IN$30,FALSE))</f>
        <v>#N/A</v>
      </c>
      <c r="IO103" s="1351" t="e">
        <f>IF($CO103="interior", ROUND(((1-IL103)*(IM103*(1-IP$28)))+IP103,2), VLOOKUP($CP103,Control_Savings_Exterior,IO$30,FALSE))</f>
        <v>#N/A</v>
      </c>
      <c r="IP103" s="1351">
        <f>IF($CO103="interior",ROUND(((1-IL103)*IP$28)+IL103,2),0)</f>
        <v>0</v>
      </c>
    </row>
    <row r="104" spans="1:250" s="82" customFormat="1" ht="14.95" customHeight="1" thickTop="1" thickBot="1">
      <c r="B104" s="1421"/>
      <c r="C104" s="1422"/>
      <c r="D104" s="1423"/>
      <c r="E104" s="1393" t="s">
        <v>244</v>
      </c>
      <c r="F104" s="1394"/>
      <c r="G104" s="1395"/>
      <c r="H104" s="1395"/>
      <c r="I104" s="1395"/>
      <c r="J104" s="1395"/>
      <c r="K104" s="1395"/>
      <c r="L104" s="1395"/>
      <c r="M104" s="509" t="e">
        <f>IF(__Retrofit_TI_NC&lt;&gt;0,IF(VLOOKUP(G105,'Space Table'!$B$3:$L$160,3,FALSE)&gt;0,1,0),IF(__Retrofit_TI_NC=VLOOKUP(G105,'Space Table'!$B$3:$L$160,3,FALSE),1,0))</f>
        <v>#N/A</v>
      </c>
      <c r="N104" s="509" t="str">
        <f>IFERROR(VLOOKUP(G104,_Lookup_Heat_Type_Table_New,2,FALSE),"")</f>
        <v/>
      </c>
      <c r="O104" s="509">
        <f>IF(__Retrofit_TI_NC=1,CONCATENATE("TI ",G104),IF(__Retrofit_TI_NC=2,CONCATENATE("NC ",G104),G104))</f>
        <v>0</v>
      </c>
      <c r="P104" s="1396" t="s">
        <v>352</v>
      </c>
      <c r="Q104" s="1396"/>
      <c r="R104" s="673"/>
      <c r="S104" s="1429"/>
      <c r="T104" s="675"/>
      <c r="U104" s="1496"/>
      <c r="V104" s="1497"/>
      <c r="W104" s="1497"/>
      <c r="X104" s="1497"/>
      <c r="Y104" s="1497"/>
      <c r="Z104" s="1497"/>
      <c r="AA104" s="1497"/>
      <c r="AB104" s="1497"/>
      <c r="AC104" s="1497"/>
      <c r="AD104" s="1498"/>
      <c r="AE104" s="675"/>
      <c r="AF104" s="1397"/>
      <c r="AG104" s="1397"/>
      <c r="AH104" s="1397"/>
      <c r="AI104" s="1397"/>
      <c r="AJ104" s="1434"/>
      <c r="AK104" s="1436"/>
      <c r="AL104" s="1438"/>
      <c r="AM104" s="1441"/>
      <c r="AN104" s="1442"/>
      <c r="AO104" s="1447"/>
      <c r="AP104" s="1447"/>
      <c r="AQ104" s="1448"/>
      <c r="AR104" s="1452"/>
      <c r="AS104" s="1455"/>
      <c r="AT104" s="1458"/>
      <c r="AU104" s="516"/>
      <c r="AV104" s="1479"/>
      <c r="AW104" s="1479"/>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M104" s="1352"/>
      <c r="CN104" s="1352"/>
      <c r="CO104" s="1416"/>
      <c r="CP104" s="1418"/>
      <c r="CR104" s="1386"/>
      <c r="CS104" s="1355"/>
      <c r="CT104" s="1355"/>
      <c r="CU104" s="1355"/>
      <c r="CV104" s="1372"/>
      <c r="CW104" s="1372"/>
      <c r="CX104" s="1371"/>
      <c r="CY104" s="1486"/>
      <c r="CZ104" s="1486"/>
      <c r="DA104" s="1486"/>
      <c r="DC104" s="1355"/>
      <c r="DD104" s="1461"/>
      <c r="DE104" s="1355"/>
      <c r="DF104" s="1407"/>
      <c r="DG104" s="1372"/>
      <c r="DH104" s="1369"/>
      <c r="DJ104" s="1484"/>
      <c r="DL104" s="1419"/>
      <c r="DN104" s="1403"/>
      <c r="DO104" s="1405"/>
      <c r="DP104" s="1354"/>
      <c r="DQ104" s="1405"/>
      <c r="DR104" s="1403"/>
      <c r="DS104" s="1489"/>
      <c r="DU104" s="1403"/>
      <c r="DV104" s="1405"/>
      <c r="DW104" s="1403"/>
      <c r="DX104" s="1403"/>
      <c r="DZ104" s="1481"/>
      <c r="EA104" s="1481"/>
      <c r="EC104" s="1482"/>
      <c r="ED104" s="1369"/>
      <c r="EE104" s="1371"/>
      <c r="EF104" s="1369"/>
      <c r="EG104" s="1369"/>
      <c r="EH104" s="1374"/>
      <c r="EI104" s="1374"/>
      <c r="EJ104" s="1363"/>
      <c r="EK104" s="1376"/>
      <c r="EL104" s="1376"/>
      <c r="EM104" s="1362"/>
      <c r="EN104" s="1362"/>
      <c r="EO104" s="1363"/>
      <c r="EP104" s="1363"/>
      <c r="EQ104" s="1363"/>
      <c r="ES104" s="1403"/>
      <c r="EU104" s="1411"/>
      <c r="EV104" s="1411"/>
      <c r="EW104" s="1411"/>
      <c r="EX104" s="1411"/>
      <c r="EY104" s="1411"/>
      <c r="EZ104" s="1413"/>
      <c r="FB104" s="1365"/>
      <c r="FD104" s="1354"/>
      <c r="FE104" s="1354"/>
      <c r="FF104" s="138"/>
      <c r="FI104" s="1357"/>
      <c r="FJ104" s="1357"/>
      <c r="FK104" s="1365"/>
      <c r="FL104" s="1365"/>
      <c r="FM104" s="1365"/>
      <c r="FO104" s="1361"/>
      <c r="FP104" s="1361"/>
      <c r="FQ104" s="1366"/>
      <c r="FR104" s="1368"/>
      <c r="FS104" s="1361"/>
      <c r="FT104" s="1368"/>
      <c r="FU104" s="1360"/>
      <c r="FW104" s="1352"/>
      <c r="FX104" s="1352"/>
      <c r="FY104" s="1352"/>
      <c r="FZ104" s="1352"/>
      <c r="GA104" s="1352"/>
      <c r="GB104" s="1352"/>
      <c r="GC104" s="1352"/>
      <c r="GD104" s="1352"/>
      <c r="GE104" s="759"/>
      <c r="GF104" s="1035"/>
      <c r="GG104" s="1385"/>
      <c r="GI104" s="1384" t="b">
        <f>IF(AND(GL104=TRUE,GM104=TRUE),TRUE,FALSE)</f>
        <v>0</v>
      </c>
      <c r="GJ104" s="1379" t="b">
        <f>IFERROR(IF(__Retrofit_TI_NC=2,TRUE,IF(AR103="Yes",TRUE,FALSE)),FALSE)</f>
        <v>1</v>
      </c>
      <c r="GL104" s="1379" t="b">
        <f>IFERROR(IF(GL103=1,TRUE,FALSE),FALSE)</f>
        <v>0</v>
      </c>
      <c r="GM104" s="1379" t="b">
        <f>IFERROR(IF(GM103=GM$14,TRUE,FALSE),FALSE)</f>
        <v>0</v>
      </c>
      <c r="HC104" s="1379" t="b">
        <f>IFERROR(IF(M104=1,TRUE,FALSE),FALSE)</f>
        <v>0</v>
      </c>
      <c r="HD104" s="1379" t="b">
        <f>IFERROR(IF(M105=1,TRUE,FALSE),FALSE)</f>
        <v>0</v>
      </c>
      <c r="HE104" s="1379" t="b">
        <f>IFERROR(IF(__Retrofit_TI_NC&lt;&gt;0,TRUE,IFERROR(IF(VLOOKUP(U104,Fixtures_Existing_List,2,FALSE)&lt;&gt;"",TRUE,FALSE),FALSE)),FALSE)</f>
        <v>0</v>
      </c>
      <c r="HF104" s="1379" t="b">
        <f>IFERROR(IF(VLOOKUP(U105,Fixtures_Proposed_List,2,FALSE)&lt;&gt;"",TRUE,FALSE),FALSE)</f>
        <v>0</v>
      </c>
      <c r="HG104" s="1379" t="b">
        <f>IF(AND(__Retrofit_TI_NC=2,EZ103=TRUE),FALSE,TRUE)</f>
        <v>1</v>
      </c>
      <c r="HH104" s="1379" t="b">
        <f>GG103</f>
        <v>1</v>
      </c>
      <c r="HI104" s="1384" t="b">
        <f>IF(ISERROR(MATCH(FB103,_Control_Match[],0))=TRUE,FALSE,TRUE)</f>
        <v>0</v>
      </c>
      <c r="HJ104" s="1384" t="b">
        <f>IFERROR(IF(EU103&lt;&gt;EV103,FALSE,TRUE),FALSE)</f>
        <v>0</v>
      </c>
      <c r="HK104" s="1384" t="b">
        <f>IFERROR(IF(EU105&lt;&gt;EV105,FALSE,TRUE),FALSE)</f>
        <v>0</v>
      </c>
      <c r="HL104" s="1379" t="b">
        <f>IFERROR(IF(CN103="Exterior",TRUE,IF(OR(AND(FJ103=0,EW105&gt;4),AND(FJ103=4,EW105&gt;4,EW105&lt;7)),FALSE,TRUE)),FALSE)</f>
        <v>0</v>
      </c>
      <c r="HM104" s="1379" t="b">
        <f>IFERROR(IF(AND(FL105=7,EZ103=TRUE),FALSE,TRUE),FALSE)</f>
        <v>0</v>
      </c>
      <c r="HN104" s="1379" t="b">
        <f>IFERROR(IF(AND(T105&lt;&gt;AE105,AF105="Interior LLLC")=TRUE,FALSE,TRUE),FALSE)</f>
        <v>1</v>
      </c>
      <c r="HO104" s="1379" t="b">
        <f>IFERROR(IF(OR(AF105=Lookup!AU$13,AF105=Lookup!AU$14)=TRUE,IF(AE105&gt;T105,FALSE,TRUE),TRUE),FALSE)</f>
        <v>1</v>
      </c>
      <c r="HP104" s="1379" t="b">
        <f>IFERROR(IF(__Retrofit_TI_NC=2,IF(EW105&lt;EW103,FALSE,TRUE),TRUE),FALSE)</f>
        <v>1</v>
      </c>
      <c r="HQ104" s="1379" t="b">
        <f>IF(CN103="Interior",IG$6,TRUE)</f>
        <v>1</v>
      </c>
      <c r="HR104" s="1379" t="b">
        <f>IF(CN103="Exterior",IG$8,TRUE)</f>
        <v>1</v>
      </c>
      <c r="HS104" s="1379" t="b">
        <f>IFERROR(IF(__Retrofit_TI_NC&lt;&gt;0,IF(AW103&lt;AV103,FALSE,TRUE),TRUE),FALSE)</f>
        <v>1</v>
      </c>
      <c r="HT104" s="1379" t="b">
        <f>IFERROR(IF(AND(G104="Exterior",R104&gt;4200),FALSE,TRUE),FALSE)</f>
        <v>1</v>
      </c>
      <c r="HU104" s="1379" t="b">
        <f>IFERROR(IF(AB106/AB103&lt;HU$18,FALSE,TRUE),FALSE)</f>
        <v>0</v>
      </c>
      <c r="HW104" s="1382"/>
      <c r="HX104" s="1378"/>
      <c r="HY104" s="1377" t="str">
        <f>VLOOKUP(HW106,_Error_Table,4,FALSE)</f>
        <v>White</v>
      </c>
      <c r="HZ104" s="436"/>
      <c r="IA104" s="1386"/>
      <c r="IB104" s="1380"/>
      <c r="IC104" s="1379"/>
      <c r="IF104" s="1380"/>
      <c r="IG104" s="1382"/>
      <c r="IH104" s="1382"/>
      <c r="II104" s="1382"/>
      <c r="IK104" s="1351"/>
      <c r="IL104" s="1351"/>
      <c r="IM104" s="1351"/>
      <c r="IN104" s="1351"/>
      <c r="IO104" s="1351"/>
      <c r="IP104" s="1351"/>
    </row>
    <row r="105" spans="1:250" s="82" customFormat="1" ht="14.95" customHeight="1" thickTop="1" thickBot="1">
      <c r="A105" s="82">
        <f>ROW()</f>
        <v>105</v>
      </c>
      <c r="B105" s="1421"/>
      <c r="C105" s="1422"/>
      <c r="D105" s="1423"/>
      <c r="E105" s="1393" t="s">
        <v>245</v>
      </c>
      <c r="F105" s="1394"/>
      <c r="G105" s="1398"/>
      <c r="H105" s="1399"/>
      <c r="I105" s="1399"/>
      <c r="J105" s="1399"/>
      <c r="K105" s="1399"/>
      <c r="L105" s="1400"/>
      <c r="M105" s="509">
        <f>IFERROR(IF(IF(__Retrofit_TI_NC&lt;&gt;0,IF(CN103="Interior",MATCH(G105,Lookup_Interior_New,0),MATCH(G105,Lookup_Exterior_New,0)),IF(CN103="Interior",MATCH(G105,Lookup_Interior,0),MATCH(G105,Lookup_Exterior_Areas,0)))&gt;0,1,0),0)</f>
        <v>0</v>
      </c>
      <c r="N105" s="509" t="e">
        <f>IF(__Retrofit_TI_NC=1,
VLOOKUP(G105,'Space Table'!$B$3:$L$160,4,FALSE),
IF(__Retrofit_TI_NC=2,VLOOKUP(G105,'Space Table'!$B$3:$L$160,5,FALSE),VLOOKUP(G105,'Space Table'!$B$3:$L$160,5,FALSE)))</f>
        <v>#N/A</v>
      </c>
      <c r="O105" s="509">
        <f>G105</f>
        <v>0</v>
      </c>
      <c r="P105" s="1394" t="s">
        <v>355</v>
      </c>
      <c r="Q105" s="1394"/>
      <c r="R105" s="674"/>
      <c r="S105" s="1401" t="s">
        <v>284</v>
      </c>
      <c r="T105" s="672"/>
      <c r="U105" s="1499"/>
      <c r="V105" s="1500"/>
      <c r="W105" s="1500"/>
      <c r="X105" s="1500"/>
      <c r="Y105" s="1500"/>
      <c r="Z105" s="1500"/>
      <c r="AA105" s="1500"/>
      <c r="AB105" s="1501"/>
      <c r="AC105" s="1501"/>
      <c r="AD105" s="1502"/>
      <c r="AE105" s="672"/>
      <c r="AF105" s="1474"/>
      <c r="AG105" s="1474"/>
      <c r="AH105" s="1474"/>
      <c r="AI105" s="1474"/>
      <c r="AJ105" s="1475">
        <f>DF105</f>
        <v>0</v>
      </c>
      <c r="AK105" s="1470" t="str">
        <f>IFERROR(ROUND(AJ105*AC106,0),"")</f>
        <v/>
      </c>
      <c r="AL105" s="1472">
        <f>IFERROR(IF(HW103=FALSE,0,AC106-AK105),0)</f>
        <v>0</v>
      </c>
      <c r="AM105" s="1441"/>
      <c r="AN105" s="1442"/>
      <c r="AO105" s="1447"/>
      <c r="AP105" s="1447"/>
      <c r="AQ105" s="1448"/>
      <c r="AR105" s="1452"/>
      <c r="AS105" s="1455"/>
      <c r="AT105" s="1458"/>
      <c r="AU105" s="516"/>
      <c r="AV105" s="1479"/>
      <c r="AW105" s="1479"/>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M105" s="1352"/>
      <c r="CN105" s="1352"/>
      <c r="CO105" s="1415" t="str">
        <f>CN103</f>
        <v/>
      </c>
      <c r="CP105" s="1417" t="e">
        <f>CP103</f>
        <v>#N/A</v>
      </c>
      <c r="CR105" s="1386" t="s">
        <v>284</v>
      </c>
      <c r="CS105" s="1353">
        <f>IF(HW103=TRUE,T105,0)</f>
        <v>0</v>
      </c>
      <c r="CT105" s="1353" t="str">
        <f>IF(HW103=TRUE,U105,"")</f>
        <v/>
      </c>
      <c r="CU105" s="1373">
        <f>IF(HW103=TRUE,U106,0)</f>
        <v>0</v>
      </c>
      <c r="CV105" s="1370">
        <f>IF(HW103=TRUE,AB106,0)</f>
        <v>0</v>
      </c>
      <c r="CW105" s="1370">
        <f>IF(HW103=TRUE,AC106,0)</f>
        <v>0</v>
      </c>
      <c r="CX105" s="1371"/>
      <c r="CY105" s="1486"/>
      <c r="CZ105" s="1486"/>
      <c r="DA105" s="1486"/>
      <c r="DC105" s="1353">
        <f>IF(HW103=TRUE,AE105,0)</f>
        <v>0</v>
      </c>
      <c r="DD105" s="1353" t="str">
        <f>IF(HW103=TRUE,AF105,"")</f>
        <v/>
      </c>
      <c r="DE105" s="1373">
        <f>AF106</f>
        <v>0</v>
      </c>
      <c r="DF105" s="1406">
        <f>IFERROR(IF(FL105=3,IK105,IF(FL105=4,IL105,IF(FL105=5,IM105,IF(FL105=6,IN105,IF(FL105=7,IO105,IF(FL105=8,IP105,0)))))),0)</f>
        <v>0</v>
      </c>
      <c r="DG105" s="1370">
        <f>IF(HW103=TRUE,AK105,0)</f>
        <v>0</v>
      </c>
      <c r="DH105" s="1369"/>
      <c r="DK105" s="1483">
        <f>IFERROR(CW105-DG105,0)</f>
        <v>0</v>
      </c>
      <c r="DL105" s="1420"/>
      <c r="DN105" s="1403"/>
      <c r="DO105" s="1477" t="str">
        <f>DN103</f>
        <v/>
      </c>
      <c r="DP105" s="1354"/>
      <c r="DQ105" s="1477" t="str">
        <f>IF(DP103=7,"LLLC","")</f>
        <v/>
      </c>
      <c r="DR105" s="1403"/>
      <c r="DS105" s="1489"/>
      <c r="DU105" s="1403"/>
      <c r="DV105" s="1404" t="str">
        <f>DU103</f>
        <v/>
      </c>
      <c r="DW105" s="1403"/>
      <c r="DX105" s="1403"/>
      <c r="DZ105" s="1481"/>
      <c r="EA105" s="1481"/>
      <c r="EC105" s="1482"/>
      <c r="ED105" s="1369"/>
      <c r="EE105" s="1371"/>
      <c r="EF105" s="1369"/>
      <c r="EG105" s="1369"/>
      <c r="EH105" s="1374"/>
      <c r="EI105" s="1374"/>
      <c r="EJ105" s="1363"/>
      <c r="EK105" s="1376"/>
      <c r="EL105" s="1376"/>
      <c r="EM105" s="1362"/>
      <c r="EN105" s="1362"/>
      <c r="EO105" s="1363"/>
      <c r="EP105" s="1363"/>
      <c r="EQ105" s="1363"/>
      <c r="ES105" s="1403"/>
      <c r="EU105" s="1411" t="e">
        <f>VLOOKUP(CP105,'Space Table'!$B$3:$L$160,8,FALSE)</f>
        <v>#N/A</v>
      </c>
      <c r="EV105" s="1411" t="e">
        <f>IF(EY105="Yes",VLOOKUP(AF105,Lookup_Control_Type_Table2,4,FALSE),VLOOKUP(AF105,Lookup_Control_Type_Table2,3,FALSE))</f>
        <v>#N/A</v>
      </c>
      <c r="EW105" s="1411" t="e">
        <f>VLOOKUP(AF105,Lookup!AU$3:AV$15,2,FALSE)</f>
        <v>#N/A</v>
      </c>
      <c r="EX105" s="1411" t="e">
        <f>VLOOKUP(EU103,Lookup_Control_Type_Table,2,FALSE)</f>
        <v>#N/A</v>
      </c>
      <c r="EY105" s="1411" t="e">
        <f>VLOOKUP(CP105,'Space Table'!$B$3:$L$160,7,FALSE)</f>
        <v>#N/A</v>
      </c>
      <c r="EZ105" s="1413"/>
      <c r="FB105" s="1365" t="str">
        <f>CONCATENATE(CN103," - ",AF105)</f>
        <v xml:space="preserve"> - </v>
      </c>
      <c r="FD105" s="1354"/>
      <c r="FE105" s="1354"/>
      <c r="FF105" s="138"/>
      <c r="FI105" s="1356" t="str">
        <f>IF(CN103="Exterior","Not Daylighted",G106)</f>
        <v>Not Daylighted</v>
      </c>
      <c r="FJ105" s="1356">
        <f>VLOOKUP(FI105,_Daylight_Table_Codes,2,FALSE)</f>
        <v>0</v>
      </c>
      <c r="FK105" s="1365">
        <f>AF105</f>
        <v>0</v>
      </c>
      <c r="FL105" s="1365" t="e">
        <f>VLOOKUP(FK105,_Control_Table,2,FALSE)</f>
        <v>#N/A</v>
      </c>
      <c r="FM105" s="1365" t="e">
        <f>IF(AND(FP105&gt;0,FK105="Occupancy Sensor"),"Daylight + Occupancy",IF(AND(FP105&gt;0,FL105&lt;4),"Interior Daylight Dimming",FK105))</f>
        <v>#N/A</v>
      </c>
      <c r="FO105" s="1364">
        <f>IF(CN103="Interior",VLOOKUP(CP103,Control_Savings_Interior,5,FALSE),0)</f>
        <v>0</v>
      </c>
      <c r="FP105" s="1361">
        <f>IF(CN105="Exterior",0,IF(FJ105=2,0.5,IF(OR(FJ105=1,FJ105=3),1,0)))</f>
        <v>0</v>
      </c>
      <c r="FQ105" s="1366">
        <f>IF(R104&gt;FO$37,(FO105*(FO$37/R104)),FO105)*FP105</f>
        <v>0</v>
      </c>
      <c r="FR105" s="1364">
        <f>DF105</f>
        <v>0</v>
      </c>
      <c r="FS105" s="1364">
        <f>ROUND(FR105+((1-FR105)*FQ105),2)</f>
        <v>0</v>
      </c>
      <c r="FT105" s="1364">
        <f>IF(__Retrofit_TI_NC=2,FS105,FR105)</f>
        <v>0</v>
      </c>
      <c r="FU105" s="1360">
        <f>IF(CO105="Interior",VLOOKUP(CP105,Control_Savings_Interior,4,FALSE),0)</f>
        <v>0</v>
      </c>
      <c r="FW105" s="1352"/>
      <c r="FX105" s="1352"/>
      <c r="FY105" s="1352"/>
      <c r="FZ105" s="1352"/>
      <c r="GA105" s="1352"/>
      <c r="GB105" s="1352"/>
      <c r="GC105" s="1352"/>
      <c r="GD105" s="1352"/>
      <c r="GE105" s="759" t="b">
        <f>IF(ISNUMBER(SEARCH("TLED",U105)),TRUE,FALSE)</f>
        <v>0</v>
      </c>
      <c r="GF105" s="1035" t="str">
        <f>IFERROR(VLOOKUP(U105,Fixtures!DM$93:DR$142,6,FALSE),"")</f>
        <v/>
      </c>
      <c r="GG105" s="1385"/>
      <c r="GI105" s="1383"/>
      <c r="GJ105" s="1379"/>
      <c r="GL105" s="1379"/>
      <c r="GM105" s="1379"/>
      <c r="HC105" s="1379"/>
      <c r="HD105" s="1379"/>
      <c r="HE105" s="1379"/>
      <c r="HF105" s="1379"/>
      <c r="HG105" s="1379"/>
      <c r="HH105" s="1379"/>
      <c r="HI105" s="1383"/>
      <c r="HJ105" s="1383"/>
      <c r="HK105" s="1383"/>
      <c r="HL105" s="1379"/>
      <c r="HM105" s="1379"/>
      <c r="HN105" s="1379"/>
      <c r="HO105" s="1379"/>
      <c r="HP105" s="1379"/>
      <c r="HQ105" s="1379"/>
      <c r="HR105" s="1379"/>
      <c r="HS105" s="1379"/>
      <c r="HT105" s="1379"/>
      <c r="HU105" s="1379"/>
      <c r="HW105" s="1383"/>
      <c r="HX105" s="1384" t="b">
        <f>HW103</f>
        <v>0</v>
      </c>
      <c r="HY105" s="1378"/>
      <c r="HZ105" s="436"/>
      <c r="IA105" s="1386"/>
      <c r="IB105" s="1380">
        <f>IF(IA103=TRUE,AC106,0)</f>
        <v>0</v>
      </c>
      <c r="IC105" s="1379"/>
      <c r="IF105" s="1380" t="e">
        <f>ROUND(T105*AB106*N104*R104/1000,0)</f>
        <v>#VALUE!</v>
      </c>
      <c r="IG105" s="1382"/>
      <c r="IH105" s="1384" t="e">
        <f>ROUND(T105*AB106*N104*R104/1000,0)</f>
        <v>#VALUE!</v>
      </c>
      <c r="II105" s="1382"/>
      <c r="IK105" s="1351" t="e">
        <f>IF($CO105="interior",IL105/2,VLOOKUP($CP105,Control_Savings_Exterior,IK$30,FALSE))</f>
        <v>#N/A</v>
      </c>
      <c r="IL105" s="1351" t="e">
        <f>IF($CO105="interior",VLOOKUP($CP105,Control_Savings_Interior,IL$30,FALSE),VLOOKUP($CP105,Control_Savings_Exterior,IL$30,FALSE))</f>
        <v>#N/A</v>
      </c>
      <c r="IM105" s="1351" t="e">
        <f>IF($CO105="interior",IF(R104&gt;FO$37,(IM$28*(FO$37/R104)),IM$28)*FP105,VLOOKUP($CP105,Control_Savings_Exterior,IM$30,FALSE))</f>
        <v>#N/A</v>
      </c>
      <c r="IN105" s="1351" t="e">
        <f>IF($CO105="interior",ROUND(((1-IL105)*IM105)+IL105,2),VLOOKUP($CP105,Control_Savings_Exterior,IN$30,FALSE))</f>
        <v>#N/A</v>
      </c>
      <c r="IO105" s="1351" t="e">
        <f>IF($CO105="interior", ROUND(((1-IL105)*(IM105*(1-IP$28)))+IP105,2), VLOOKUP($CP105,Control_Savings_Exterior,IO$30,FALSE))</f>
        <v>#N/A</v>
      </c>
      <c r="IP105" s="1351">
        <f>IF($CO105="interior",ROUND(((1-IL105)*IP$28)+IL105,2),0)</f>
        <v>0</v>
      </c>
    </row>
    <row r="106" spans="1:250" s="82" customFormat="1" ht="14.95" customHeight="1" thickTop="1" thickBot="1">
      <c r="B106" s="1421"/>
      <c r="C106" s="1422"/>
      <c r="D106" s="1423"/>
      <c r="E106" s="1462" t="s">
        <v>357</v>
      </c>
      <c r="F106" s="1463"/>
      <c r="G106" s="1464" t="s">
        <v>362</v>
      </c>
      <c r="H106" s="1465"/>
      <c r="I106" s="1465"/>
      <c r="J106" s="1465"/>
      <c r="K106" s="1465"/>
      <c r="L106" s="1466"/>
      <c r="M106" s="669">
        <f>IFERROR(VLOOKUP(G106,_Daylight_Table[],2,FALSE),0)</f>
        <v>0</v>
      </c>
      <c r="N106" s="670"/>
      <c r="O106" s="669" t="e">
        <f>VLOOKUP(G105,'Space Table'!$B$3:$L$160,11,FALSE)</f>
        <v>#N/A</v>
      </c>
      <c r="P106" s="1408"/>
      <c r="Q106" s="1409"/>
      <c r="R106" s="1409"/>
      <c r="S106" s="1402"/>
      <c r="T106" s="671" t="s">
        <v>281</v>
      </c>
      <c r="U106" s="1467" t="str">
        <f>IFERROR(VLOOKUP(U105,Fixtures!DM$93:DP$142,4,FALSE),"")</f>
        <v/>
      </c>
      <c r="V106" s="1468"/>
      <c r="W106" s="1468"/>
      <c r="X106" s="1468"/>
      <c r="Y106" s="1468"/>
      <c r="Z106" s="1468"/>
      <c r="AA106" s="1468"/>
      <c r="AB106" s="1046" t="str">
        <f>IFERROR(VLOOKUP(U105,Fixtures_Proposed_List,2,FALSE),"")</f>
        <v/>
      </c>
      <c r="AC106" s="1036" t="str">
        <f>IFERROR(ROUND(T105*AB106*N104*R104/1000,0),"")</f>
        <v/>
      </c>
      <c r="AD106" s="1037" t="str">
        <f>IFERROR(ROUND(T105*AB106/1000,2),"")</f>
        <v/>
      </c>
      <c r="AE106" s="1045" t="s">
        <v>281</v>
      </c>
      <c r="AF106" s="1469"/>
      <c r="AG106" s="1469"/>
      <c r="AH106" s="1469"/>
      <c r="AI106" s="1469"/>
      <c r="AJ106" s="1476"/>
      <c r="AK106" s="1471"/>
      <c r="AL106" s="1473"/>
      <c r="AM106" s="1443"/>
      <c r="AN106" s="1444"/>
      <c r="AO106" s="1449"/>
      <c r="AP106" s="1449"/>
      <c r="AQ106" s="1450"/>
      <c r="AR106" s="1453"/>
      <c r="AS106" s="1456"/>
      <c r="AT106" s="1459"/>
      <c r="AU106" s="517"/>
      <c r="AV106" s="1480"/>
      <c r="AW106" s="1480"/>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M106" s="1352"/>
      <c r="CN106" s="1352"/>
      <c r="CO106" s="1416"/>
      <c r="CP106" s="1418"/>
      <c r="CR106" s="1386"/>
      <c r="CS106" s="1355"/>
      <c r="CT106" s="1355"/>
      <c r="CU106" s="1375"/>
      <c r="CV106" s="1372"/>
      <c r="CW106" s="1372"/>
      <c r="CX106" s="1372"/>
      <c r="CY106" s="1487"/>
      <c r="CZ106" s="1487"/>
      <c r="DA106" s="1487"/>
      <c r="DC106" s="1355"/>
      <c r="DD106" s="1355"/>
      <c r="DE106" s="1375"/>
      <c r="DF106" s="1407"/>
      <c r="DG106" s="1372"/>
      <c r="DH106" s="1369"/>
      <c r="DK106" s="1484"/>
      <c r="DL106" s="1420"/>
      <c r="DN106" s="1403"/>
      <c r="DO106" s="1405"/>
      <c r="DP106" s="1355"/>
      <c r="DQ106" s="1405"/>
      <c r="DR106" s="1403"/>
      <c r="DS106" s="1489"/>
      <c r="DU106" s="1403"/>
      <c r="DV106" s="1405"/>
      <c r="DW106" s="1403"/>
      <c r="DX106" s="1403"/>
      <c r="DZ106" s="1481"/>
      <c r="EA106" s="1481"/>
      <c r="EC106" s="1482"/>
      <c r="ED106" s="1369"/>
      <c r="EE106" s="1372"/>
      <c r="EF106" s="1369"/>
      <c r="EG106" s="1369"/>
      <c r="EH106" s="1375"/>
      <c r="EI106" s="1375"/>
      <c r="EJ106" s="1363"/>
      <c r="EK106" s="1376"/>
      <c r="EL106" s="1376"/>
      <c r="EM106" s="1362"/>
      <c r="EN106" s="1362"/>
      <c r="EO106" s="1363"/>
      <c r="EP106" s="1363"/>
      <c r="EQ106" s="1363"/>
      <c r="ES106" s="1403"/>
      <c r="EU106" s="1488"/>
      <c r="EV106" s="1488"/>
      <c r="EW106" s="1488"/>
      <c r="EX106" s="1488"/>
      <c r="EY106" s="1488"/>
      <c r="EZ106" s="1414"/>
      <c r="FB106" s="1365"/>
      <c r="FD106" s="1355"/>
      <c r="FE106" s="1355"/>
      <c r="FF106" s="138"/>
      <c r="FI106" s="1357"/>
      <c r="FJ106" s="1357"/>
      <c r="FK106" s="1365"/>
      <c r="FL106" s="1365"/>
      <c r="FM106" s="1365"/>
      <c r="FO106" s="1361"/>
      <c r="FP106" s="1361"/>
      <c r="FQ106" s="1366"/>
      <c r="FR106" s="1361"/>
      <c r="FS106" s="1361"/>
      <c r="FT106" s="1361"/>
      <c r="FU106" s="1360"/>
      <c r="FW106" s="1352"/>
      <c r="FX106" s="1352"/>
      <c r="FY106" s="1352"/>
      <c r="FZ106" s="1352"/>
      <c r="GA106" s="1352"/>
      <c r="GB106" s="1352"/>
      <c r="GC106" s="1352"/>
      <c r="GD106" s="1352"/>
      <c r="GE106" s="759"/>
      <c r="GF106" s="1035"/>
      <c r="GG106" s="1385"/>
      <c r="GJ106" s="1034">
        <f>IF(GJ104=TRUE,0,GJ$16)</f>
        <v>0</v>
      </c>
      <c r="GL106" s="1034">
        <f>IF(GL104=TRUE,0,GL$16)</f>
        <v>36</v>
      </c>
      <c r="GM106" s="1034">
        <f>IF(GM104=TRUE,0,GM$16)</f>
        <v>35</v>
      </c>
      <c r="GN106" s="436"/>
      <c r="GO106" s="436"/>
      <c r="GP106" s="436"/>
      <c r="GQ106" s="436"/>
      <c r="GR106" s="436"/>
      <c r="HC106" s="1034">
        <f t="shared" ref="HC106:HH106" si="62">IF(HC104=TRUE,0,HC$16)</f>
        <v>19</v>
      </c>
      <c r="HD106" s="1034">
        <f t="shared" si="62"/>
        <v>18</v>
      </c>
      <c r="HE106" s="1034">
        <f t="shared" si="62"/>
        <v>17</v>
      </c>
      <c r="HF106" s="1034">
        <f t="shared" si="62"/>
        <v>16</v>
      </c>
      <c r="HG106" s="1034">
        <f t="shared" si="62"/>
        <v>0</v>
      </c>
      <c r="HH106" s="1034">
        <f t="shared" si="62"/>
        <v>0</v>
      </c>
      <c r="HI106" s="1034">
        <f>IF(HI104=TRUE,0,HI$16)</f>
        <v>13</v>
      </c>
      <c r="HJ106" s="1034">
        <f t="shared" ref="HJ106:HL106" si="63">IF(HJ104=TRUE,0,HJ$16)</f>
        <v>12</v>
      </c>
      <c r="HK106" s="1034">
        <f t="shared" si="63"/>
        <v>11</v>
      </c>
      <c r="HL106" s="1034">
        <f t="shared" si="63"/>
        <v>10</v>
      </c>
      <c r="HM106" s="1034">
        <f>IF(HM104=TRUE,0,HM$16)</f>
        <v>9</v>
      </c>
      <c r="HN106" s="1034">
        <f t="shared" ref="HN106:HR106" si="64">IF(HN104=TRUE,0,HN$16)</f>
        <v>0</v>
      </c>
      <c r="HO106" s="1034">
        <f t="shared" si="64"/>
        <v>0</v>
      </c>
      <c r="HP106" s="1034">
        <f t="shared" si="64"/>
        <v>0</v>
      </c>
      <c r="HQ106" s="1034">
        <f t="shared" si="64"/>
        <v>0</v>
      </c>
      <c r="HR106" s="1034">
        <f t="shared" si="64"/>
        <v>0</v>
      </c>
      <c r="HS106" s="1034">
        <f>IF(HS104=TRUE,0,HS$16)</f>
        <v>0</v>
      </c>
      <c r="HT106" s="1034">
        <f t="shared" ref="HT106" si="65">IF(HT104=TRUE,0,HT$16)</f>
        <v>0</v>
      </c>
      <c r="HU106" s="1034">
        <f>IF(HU104=TRUE,0,HU$16)</f>
        <v>1</v>
      </c>
      <c r="HW106" s="1034">
        <f>IF(GL104=FALSE,GL106,IF(GM104=FALSE,GM106,MAX(GJ106:HU106)))</f>
        <v>36</v>
      </c>
      <c r="HX106" s="1383"/>
      <c r="HY106" s="241" t="str">
        <f>VLOOKUP(HW106,_Error_Table,3,FALSE)</f>
        <v xml:space="preserve"> </v>
      </c>
      <c r="HZ106" s="241"/>
      <c r="IA106" s="1386"/>
      <c r="IB106" s="1380"/>
      <c r="IC106" s="1379"/>
      <c r="IF106" s="1380"/>
      <c r="IG106" s="1383"/>
      <c r="IH106" s="1383"/>
      <c r="II106" s="1383"/>
      <c r="IK106" s="1351"/>
      <c r="IL106" s="1351"/>
      <c r="IM106" s="1351"/>
      <c r="IN106" s="1351"/>
      <c r="IO106" s="1351"/>
      <c r="IP106" s="1351"/>
    </row>
    <row r="107" spans="1:250" s="82" customFormat="1" ht="5.0999999999999996" customHeight="1" thickBot="1">
      <c r="B107" s="763"/>
      <c r="C107" s="437"/>
      <c r="D107" s="437"/>
      <c r="E107" s="1490"/>
      <c r="F107" s="1490"/>
      <c r="G107" s="1490"/>
      <c r="H107" s="1490"/>
      <c r="I107" s="1490"/>
      <c r="J107" s="1490"/>
      <c r="K107" s="1490"/>
      <c r="L107" s="1490"/>
      <c r="M107" s="1490"/>
      <c r="N107" s="1490"/>
      <c r="O107" s="1490"/>
      <c r="P107" s="1490"/>
      <c r="Q107" s="1490"/>
      <c r="R107" s="1490"/>
      <c r="S107" s="1490"/>
      <c r="T107" s="1490"/>
      <c r="U107" s="1490"/>
      <c r="V107" s="1490"/>
      <c r="W107" s="1490"/>
      <c r="X107" s="1490"/>
      <c r="Y107" s="1490"/>
      <c r="Z107" s="1490"/>
      <c r="AA107" s="1490"/>
      <c r="AB107" s="1490"/>
      <c r="AC107" s="1490"/>
      <c r="AD107" s="1490"/>
      <c r="AE107" s="1490"/>
      <c r="AF107" s="1490"/>
      <c r="AG107" s="1490"/>
      <c r="AH107" s="1490"/>
      <c r="AI107" s="1490"/>
      <c r="AJ107" s="1490"/>
      <c r="AK107" s="1490"/>
      <c r="AL107" s="1490"/>
      <c r="AM107" s="1490"/>
      <c r="AN107" s="1490"/>
      <c r="AO107" s="1490"/>
      <c r="AP107" s="1490"/>
      <c r="AQ107" s="1490"/>
      <c r="AR107" s="1490"/>
      <c r="AS107" s="1490"/>
      <c r="AT107" s="1490"/>
      <c r="AU107" s="51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M107" s="749"/>
      <c r="CN107" s="749"/>
      <c r="CO107" s="485"/>
      <c r="CP107" s="749"/>
      <c r="CS107" s="436"/>
      <c r="CT107" s="436"/>
      <c r="CU107" s="243"/>
      <c r="CV107" s="244"/>
      <c r="CW107" s="244"/>
      <c r="CX107" s="244"/>
      <c r="CY107" s="245"/>
      <c r="CZ107" s="245"/>
      <c r="DA107" s="245"/>
      <c r="DC107" s="750"/>
      <c r="DD107" s="751"/>
      <c r="DE107" s="752"/>
      <c r="DF107" s="753"/>
      <c r="DG107" s="754"/>
      <c r="DH107" s="754"/>
      <c r="DK107" s="244"/>
      <c r="DL107" s="750"/>
      <c r="DN107" s="750"/>
      <c r="DO107" s="755"/>
      <c r="DP107" s="436"/>
      <c r="DQ107" s="750"/>
      <c r="DR107" s="750"/>
      <c r="DS107" s="750"/>
      <c r="DU107" s="750"/>
      <c r="DV107" s="750"/>
      <c r="DW107" s="750"/>
      <c r="DX107" s="750"/>
      <c r="DZ107" s="756"/>
      <c r="EA107" s="756"/>
      <c r="EC107" s="754"/>
      <c r="ED107" s="754"/>
      <c r="EE107" s="244"/>
      <c r="EF107" s="754"/>
      <c r="EG107" s="754"/>
      <c r="EH107" s="243"/>
      <c r="EI107" s="243"/>
      <c r="EJ107" s="752"/>
      <c r="EK107" s="757"/>
      <c r="EL107" s="757"/>
      <c r="EM107" s="758"/>
      <c r="EN107" s="758"/>
      <c r="EO107" s="752"/>
      <c r="EP107" s="752"/>
      <c r="EQ107" s="752"/>
      <c r="ES107" s="750"/>
      <c r="EU107" s="436"/>
      <c r="EV107" s="436"/>
      <c r="EW107" s="436"/>
      <c r="EX107" s="436"/>
      <c r="EY107" s="436"/>
      <c r="EZ107" s="436"/>
      <c r="FB107" s="643"/>
      <c r="FD107" s="436"/>
      <c r="FE107" s="436"/>
      <c r="FF107" s="436"/>
      <c r="FO107" s="750"/>
      <c r="FP107" s="436"/>
      <c r="FQ107" s="436"/>
      <c r="FR107" s="750"/>
      <c r="FS107" s="750"/>
      <c r="FW107" s="749"/>
      <c r="FX107" s="749"/>
      <c r="FY107" s="749"/>
      <c r="FZ107" s="749"/>
      <c r="GA107" s="749"/>
      <c r="GB107" s="749"/>
      <c r="GC107" s="749"/>
      <c r="GD107" s="749"/>
      <c r="GE107" s="751"/>
      <c r="GF107" s="750"/>
      <c r="GG107" s="750"/>
    </row>
    <row r="108" spans="1:250" s="82" customFormat="1" ht="14.95" customHeight="1" thickTop="1" thickBot="1">
      <c r="B108" s="1421" t="str">
        <f>HY111</f>
        <v xml:space="preserve"> </v>
      </c>
      <c r="C108" s="1422">
        <f>C103+1</f>
        <v>14</v>
      </c>
      <c r="D108" s="1423"/>
      <c r="E108" s="1424" t="s">
        <v>242</v>
      </c>
      <c r="F108" s="1425"/>
      <c r="G108" s="1426"/>
      <c r="H108" s="1427"/>
      <c r="I108" s="1427"/>
      <c r="J108" s="1427"/>
      <c r="K108" s="1427"/>
      <c r="L108" s="1427"/>
      <c r="M108" s="1427"/>
      <c r="N108" s="1427"/>
      <c r="O108" s="1427"/>
      <c r="P108" s="1427"/>
      <c r="Q108" s="1427"/>
      <c r="R108" s="1427"/>
      <c r="S108" s="1428" t="s">
        <v>283</v>
      </c>
      <c r="T108" s="668" t="s">
        <v>190</v>
      </c>
      <c r="U108" s="1430" t="s">
        <v>186</v>
      </c>
      <c r="V108" s="1431"/>
      <c r="W108" s="1431"/>
      <c r="X108" s="1431"/>
      <c r="Y108" s="1431"/>
      <c r="Z108" s="1431"/>
      <c r="AA108" s="1431"/>
      <c r="AB108" s="1088" t="str">
        <f>IFERROR(IF(__Retrofit_TI_NC=0,VLOOKUP(U109,Fixtures_Existing_List,2,FALSE),ROUND(N110*R110/T110,10)),"")</f>
        <v/>
      </c>
      <c r="AC108" s="1039" t="str">
        <f>IFERROR(IF(__Retrofit_TI_NC=0,ROUND(T109*AB108*N109*R109/1000,0),IF(CN108="Interior",N110*R110*R109*N109*_C406_reduction/1000,N110*R110*R109*N109/1000)),"")</f>
        <v/>
      </c>
      <c r="AD108" s="1040" t="str">
        <f>IFERROR(IF(C$36=0,ROUND(T109*AB108/1000,2),N110*R110/1000),"")</f>
        <v/>
      </c>
      <c r="AE108" s="1044" t="s">
        <v>190</v>
      </c>
      <c r="AF108" s="1432" t="str">
        <f>IF(__Retrofit_TI_NC=2,CONCATENATE("Code min = ",DD108),IF(__Retrofit_TI_NC=1,"Emter what you think the existing control was"," Control"))</f>
        <v xml:space="preserve"> Control</v>
      </c>
      <c r="AG108" s="1432"/>
      <c r="AH108" s="1432"/>
      <c r="AI108" s="1432"/>
      <c r="AJ108" s="1433">
        <f>DF108</f>
        <v>0</v>
      </c>
      <c r="AK108" s="1435" t="str">
        <f>IFERROR(ROUND(AJ108*AC108,0),"")</f>
        <v/>
      </c>
      <c r="AL108" s="1437">
        <f>IFERROR(IF(HW108=FALSE,0,AC108-AK108),0)</f>
        <v>0</v>
      </c>
      <c r="AM108" s="1439">
        <f>AL108-AL110</f>
        <v>0</v>
      </c>
      <c r="AN108" s="1440"/>
      <c r="AO108" s="1445">
        <f>IFERROR(IF(HW108=FALSE,0,(T110*U111)+(AE110*AF111)),0)</f>
        <v>0</v>
      </c>
      <c r="AP108" s="1445"/>
      <c r="AQ108" s="1446"/>
      <c r="AR108" s="1451" t="s">
        <v>157</v>
      </c>
      <c r="AS108" s="1454">
        <f>IF(AR108="Yes",1,0)</f>
        <v>1</v>
      </c>
      <c r="AT108" s="1457" t="str">
        <f>IF(OR(DN108=4,DN108=5,DN108=6,DN108=12),CONCATENATE("$",IF(GD108=TRUE,Lookup!$B$11,Lookup!$B$2)," /lamp"),CONCATENATE(EA108,"/ kWh"))</f>
        <v>0/ kWh</v>
      </c>
      <c r="AU108" s="516"/>
      <c r="AV108" s="1478">
        <f>IFERROR(IF(GI109=TRUE,(AB111*T110)/R110,0),"NA")</f>
        <v>0</v>
      </c>
      <c r="AW108" s="1478" t="str">
        <f>IFERROR(N110*_C406_reduction,"NA")</f>
        <v>NA</v>
      </c>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M108" s="1352" t="str">
        <f>N109</f>
        <v/>
      </c>
      <c r="CN108" s="1352" t="str">
        <f>IFERROR(VLOOKUP(G109,_Lookup_Heat_Type_Table_New,3,FALSE),"")</f>
        <v/>
      </c>
      <c r="CO108" s="1415" t="str">
        <f>CN108</f>
        <v/>
      </c>
      <c r="CP108" s="1417" t="e">
        <f>VLOOKUP(G110,'Space Table'!$B$3:$L$160,9,FALSE)</f>
        <v>#N/A</v>
      </c>
      <c r="CR108" s="1386" t="s">
        <v>283</v>
      </c>
      <c r="CS108" s="1353">
        <f>IF(HW108=TRUE,T109,0)</f>
        <v>0</v>
      </c>
      <c r="CT108" s="1353" t="str">
        <f>IF(HW108=TRUE,U109,"")</f>
        <v/>
      </c>
      <c r="CU108" s="1353"/>
      <c r="CV108" s="1370">
        <f>IF(HW108=TRUE,AB108,0)</f>
        <v>0</v>
      </c>
      <c r="CW108" s="1370">
        <f>IF(HW108=TRUE,AC108,0)</f>
        <v>0</v>
      </c>
      <c r="CX108" s="1370">
        <f>IFERROR(IF(HW108=TRUE,CW108-CW110,0),0)</f>
        <v>0</v>
      </c>
      <c r="CY108" s="1485">
        <f>IF(HW108=TRUE,AD108,0)</f>
        <v>0</v>
      </c>
      <c r="CZ108" s="1485">
        <f>IF(HW108=TRUE,AD111,0)</f>
        <v>0</v>
      </c>
      <c r="DA108" s="1485">
        <f>IFERROR(CY108-CZ108,0)</f>
        <v>0</v>
      </c>
      <c r="DC108" s="1353">
        <f>IF(HW108=TRUE,AE109,0)</f>
        <v>0</v>
      </c>
      <c r="DD108" s="1460">
        <f>IF(__Retrofit_TI_NC=2,IF(CN108="Exterior",O111,FM108),FK108)</f>
        <v>0</v>
      </c>
      <c r="DE108" s="1353"/>
      <c r="DF108" s="1406">
        <f>IFERROR(IF(FL108=3,IK108,IF(FL108=4,IL108,IF(FL108=5,IM108,IF(FL108=6,IN108,IF(FL108=7,IO108,IF(FL108=8,IP108,0)))))),0)</f>
        <v>0</v>
      </c>
      <c r="DG108" s="1370">
        <f>IF(HW108=TRUE,AK108,0)</f>
        <v>0</v>
      </c>
      <c r="DH108" s="1369">
        <f>IFERROR(IF(HW108=TRUE,DG110-DG108,0),0)</f>
        <v>0</v>
      </c>
      <c r="DJ108" s="1483">
        <f>IFERROR(CW108-DG108,0)</f>
        <v>0</v>
      </c>
      <c r="DL108" s="1419">
        <f>DJ108-DK110</f>
        <v>0</v>
      </c>
      <c r="DN108" s="1403" t="str">
        <f>IFERROR(IF(AND(OR(FY108=4,FY108=5,FY108=6),OR(GB108=4,GB108=5,GB108=6)),FY108+8,VLOOKUP(CT110,Fixtures!R$31:Y$78,8,FALSE)),"")</f>
        <v/>
      </c>
      <c r="DO108" s="1404" t="str">
        <f>DN108</f>
        <v/>
      </c>
      <c r="DP108" s="1353" t="str">
        <f>IFERROR(VLOOKUP(DD110,Lookup!AU$3:AV$15,2,FALSE),"")</f>
        <v/>
      </c>
      <c r="DQ108" s="1404" t="str">
        <f>IF(DP108=7,"LLLC","")</f>
        <v/>
      </c>
      <c r="DR108" s="1403">
        <f>IFERROR(IF(OR(DN108=4,DN108=5,DN108=6,DN108=12,DN108=13,DN108=14),VLOOKUP(CT110,Fixtures!DN$27:EG$77,19,FALSE),1)*CS110,0)</f>
        <v>0</v>
      </c>
      <c r="DS108" s="1489">
        <f>IF(DP108=7,IF(DD108=DD110,0,DC110),0)</f>
        <v>0</v>
      </c>
      <c r="DU108" s="1403" t="str">
        <f>IFERROR(IF(EW108&lt;EW110,"Yes","No"),"")</f>
        <v/>
      </c>
      <c r="DV108" s="1404" t="str">
        <f>DU108</f>
        <v/>
      </c>
      <c r="DW108" s="1403">
        <f>IF(DU108="Yes",DC110,0)</f>
        <v>0</v>
      </c>
      <c r="DX108" s="1403">
        <f>DW108-DS108</f>
        <v>0</v>
      </c>
      <c r="DZ108" s="1481">
        <f>IFERROR(VLOOKUP(DN108,Lookup!AN$3:AO$16,2,FALSE),0)</f>
        <v>0</v>
      </c>
      <c r="EA108" s="1481">
        <f>IF(HW108=FALSE,0,IF(DU108="Yes",DZ108+Lookup!B$6,DZ108))</f>
        <v>0</v>
      </c>
      <c r="EC108" s="1482">
        <f>IF(HW108=TRUE,DJ108,0)</f>
        <v>0</v>
      </c>
      <c r="ED108" s="1369">
        <f>IF(HW108=TRUE,CW110,0)</f>
        <v>0</v>
      </c>
      <c r="EE108" s="1370">
        <f>IFERROR(EC108-ED108,0)</f>
        <v>0</v>
      </c>
      <c r="EF108" s="1369">
        <f>IF(HW108=TRUE,DG110,0)</f>
        <v>0</v>
      </c>
      <c r="EG108" s="1369">
        <f>IFERROR(EC108-ED108+EF108,0)</f>
        <v>0</v>
      </c>
      <c r="EH108" s="1373">
        <f>IF(HW108=TRUE,CS110*CU110,0)</f>
        <v>0</v>
      </c>
      <c r="EI108" s="1373">
        <f>IF(HW108=TRUE,DC110*DE110,0)</f>
        <v>0</v>
      </c>
      <c r="EJ108" s="1363">
        <f>AO108</f>
        <v>0</v>
      </c>
      <c r="EK108" s="1376" t="str">
        <f>IFERROR(IF(HW108=TRUE,VLOOKUP(DN108,Lookup!AN$3:AP$16,3,FALSE)*DR108,""),0)</f>
        <v/>
      </c>
      <c r="EL108" s="1376">
        <f>IF(HW108=TRUE,DW108*Lookup!AP$12,0)</f>
        <v>0</v>
      </c>
      <c r="EM108" s="1362">
        <f>IFERROR(IF(HW108=TRUE,EK108/EM$33,0),0)</f>
        <v>0</v>
      </c>
      <c r="EN108" s="1362">
        <f>IF(HW108=TRUE,EL108/EN$33,0)</f>
        <v>0</v>
      </c>
      <c r="EO108" s="1363">
        <f>IF(HW108=TRUE,EQ$33*EM108,0)</f>
        <v>0</v>
      </c>
      <c r="EP108" s="1363">
        <f>IF(HW108=TRUE,EQ$33*EN108,0)</f>
        <v>0</v>
      </c>
      <c r="EQ108" s="1363">
        <f>EO108+EP108</f>
        <v>0</v>
      </c>
      <c r="ES108" s="1403">
        <f>IF(G108="",0,1)</f>
        <v>0</v>
      </c>
      <c r="EU108" s="1410" t="e">
        <f>VLOOKUP(CP110,'Space Table'!$B$3:$L$160,8,FALSE)</f>
        <v>#N/A</v>
      </c>
      <c r="EV108" s="1410" t="e">
        <f>IF(EY108="Yes",VLOOKUP(DD108,Lookup_Control_Type_Table2,4,FALSE),VLOOKUP(DD108,Lookup_Control_Type_Table2,3,FALSE))</f>
        <v>#N/A</v>
      </c>
      <c r="EW108" s="1410" t="e">
        <f>VLOOKUP(DD108,Lookup!AU$3:AV$15,2,FALSE)</f>
        <v>#N/A</v>
      </c>
      <c r="EX108" s="1410" t="e">
        <f>VLOOKUP(EU108,Lookup_Control_Type_Table,2,FALSE)</f>
        <v>#N/A</v>
      </c>
      <c r="EY108" s="1410" t="e">
        <f>VLOOKUP(CP110,'Space Table'!$B$3:$L$160,7,FALSE)</f>
        <v>#N/A</v>
      </c>
      <c r="EZ108" s="1412" t="b">
        <f>ISNUMBER(SEARCH("TLED",U110))</f>
        <v>0</v>
      </c>
      <c r="FB108" s="1365" t="str">
        <f>CONCATENATE(CN108," - ",DD108)</f>
        <v xml:space="preserve"> - 0</v>
      </c>
      <c r="FD108" s="1353" t="str">
        <f>VLOOKUP(CT110,Fixtures!DN$27:EZ$77,38,FALSE)</f>
        <v/>
      </c>
      <c r="FE108" s="1353">
        <f>IFERROR(FD108*EE108,0)</f>
        <v>0</v>
      </c>
      <c r="FF108" s="138"/>
      <c r="FI108" s="1356" t="str">
        <f>IF(CN108="Exterior","Not Daylighted",G111)</f>
        <v>Not Daylighted</v>
      </c>
      <c r="FJ108" s="1356">
        <f>VLOOKUP(FI108,_Daylight_Table_Codes,2,FALSE)</f>
        <v>0</v>
      </c>
      <c r="FK108" s="1365">
        <f>IF(__Retrofit_TI_NC=2,VLOOKUP(G110,'Space Table'!$B$3:$L$160,11,FALSE),AF109)</f>
        <v>0</v>
      </c>
      <c r="FL108" s="1365" t="e">
        <f>VLOOKUP(FK108,_Control_Table,2,FALSE)</f>
        <v>#N/A</v>
      </c>
      <c r="FM108" s="1365" t="e">
        <f>IF(AND(FP108&gt;0,FK108="Occupancy Sensor"),"Daylight + Occupancy",IF(AND(FP108&gt;0,FL108&lt;4),"Interior Daylight Dimming",FK108))</f>
        <v>#N/A</v>
      </c>
      <c r="FO108" s="1364">
        <f>IF(CO108="Interior",VLOOKUP(CP108,Control_Savings_Interior,5,FALSE),0)</f>
        <v>0</v>
      </c>
      <c r="FP108" s="1361">
        <f>IF(CN108="Exterior",0,IF(FJ108=2,0.5,IF(OR(FJ108=1,FJ108=3),1,0)))</f>
        <v>0</v>
      </c>
      <c r="FQ108" s="1366"/>
      <c r="FR108" s="1367"/>
      <c r="FS108" s="1364"/>
      <c r="FT108" s="1367"/>
      <c r="FU108" s="1360"/>
      <c r="FW108" s="1352" t="str">
        <f>IFERROR(VLOOKUP(U109,_Exist_Fixture_Table,3,FALSE),"")</f>
        <v/>
      </c>
      <c r="FX108" s="1352" t="str">
        <f>VLOOKUP(CT108,_Exist_Fixture_Table,4,FALSE)</f>
        <v/>
      </c>
      <c r="FY108" s="1352">
        <f>IFERROR(VLOOKUP(FX108,Lookup!AM$6:AN$8,2,FALSE),0)</f>
        <v>0</v>
      </c>
      <c r="FZ108" s="1352" t="b">
        <f>IFERROR(IF(OR(GB108=4,GB108=5,GB108=6),TRUE,FALSE),"")</f>
        <v>0</v>
      </c>
      <c r="GA108" s="1352" t="str">
        <f>IFERROR(VLOOKUP(GB108,FY$6:FZ$10,2,FALSE),"")</f>
        <v/>
      </c>
      <c r="GB108" s="1352" t="str">
        <f>VLOOKUP(CT110,Fixtures!R$31:Y$78,8,FALSE)</f>
        <v/>
      </c>
      <c r="GC108" s="1352">
        <f>IF(AND(FW108=TRUE,FZ108=TRUE,OR(DN108=12,DN108=13,DN108=14)),FY108+8,0)</f>
        <v>0</v>
      </c>
      <c r="GD108" s="1352" t="b">
        <f>IF(OR(GC108=12,GC108=13,GC108=14),TRUE,FALSE)</f>
        <v>0</v>
      </c>
      <c r="GE108" s="759" t="b">
        <f>IF(ISNUMBER(SEARCH("TLED",U109)),TRUE,FALSE)</f>
        <v>0</v>
      </c>
      <c r="GF108" s="1035" t="str">
        <f>IFERROR(VLOOKUP(U109,Fixtures!BM$93:BR$142,6,FALSE),"")</f>
        <v/>
      </c>
      <c r="GG108" s="1385" t="b">
        <f>IF(OR(GE108=FALSE,GE110=FALSE),TRUE,IF(GF108-GF110&lt;5,FALSE,TRUE))</f>
        <v>1</v>
      </c>
      <c r="GK108" s="1034">
        <f>GL108</f>
        <v>0</v>
      </c>
      <c r="GL108" s="1034">
        <f>IF(G108="",0,1)</f>
        <v>0</v>
      </c>
      <c r="GM108" s="1034">
        <f>SUM(GN108:HB108)</f>
        <v>2</v>
      </c>
      <c r="GN108" s="1034">
        <f>IF(G109="",0,1)</f>
        <v>0</v>
      </c>
      <c r="GO108" s="1034">
        <f>IF(G110="",0,1)</f>
        <v>0</v>
      </c>
      <c r="GP108" s="1034">
        <f>IF(R109="",0,1)</f>
        <v>0</v>
      </c>
      <c r="GQ108" s="1034">
        <f>IF(__Retrofit_TI_NC=0,1,IF(R110="",0,1))</f>
        <v>1</v>
      </c>
      <c r="GR108" s="1034">
        <f>IF(CN108="Exterior",1,IF(G111="",0,1))</f>
        <v>1</v>
      </c>
      <c r="GS108" s="1034">
        <f>IF(__Retrofit_TI_NC&lt;&gt;0,1,IF(T109="",0,1))</f>
        <v>0</v>
      </c>
      <c r="GT108" s="1034">
        <f>IF(__Retrofit_TI_NC&lt;&gt;0,1,IF(U109="",0,1))</f>
        <v>0</v>
      </c>
      <c r="GU108" s="1034">
        <f>IF(T110="",0,1)</f>
        <v>0</v>
      </c>
      <c r="GV108" s="1034">
        <f>IF(U110="",0,1)</f>
        <v>0</v>
      </c>
      <c r="GW108" s="1034">
        <f>IF(__Retrofit_TI_NC=2,1,IF(U111="",0,1))</f>
        <v>0</v>
      </c>
      <c r="GX108" s="1034">
        <f>IF(__Retrofit_TI_NC&lt;&gt;0,1,IF(AE109="",0,1))</f>
        <v>0</v>
      </c>
      <c r="GY108" s="1034">
        <f>IF(__Retrofit_TI_NC&lt;&gt;0,1,IF(AF109="",0,1))</f>
        <v>0</v>
      </c>
      <c r="GZ108" s="1034">
        <f>IF(AE110="",0,1)</f>
        <v>0</v>
      </c>
      <c r="HA108" s="1034">
        <f>IF(AF110="",0,1)</f>
        <v>0</v>
      </c>
      <c r="HB108" s="1034">
        <f>IF(__Retrofit_TI_NC=2,1,IF(AF111="",0,1))</f>
        <v>0</v>
      </c>
      <c r="HV108" s="436"/>
      <c r="HW108" s="1384" t="b">
        <f>IF(OR(HW111=0,HW111=HT$16,HW111=HS$16,HW111=HU$16),TRUE,FALSE)</f>
        <v>0</v>
      </c>
      <c r="HX108" s="1377" t="b">
        <f>HW108</f>
        <v>0</v>
      </c>
      <c r="HY108" s="436"/>
      <c r="HZ108" s="436"/>
      <c r="IA108" s="1386" t="b">
        <f>IF(MAX(GJ111:HP111)&gt;5,FALSE,TRUE)</f>
        <v>0</v>
      </c>
      <c r="IB108" s="1380">
        <f>IF(IA108=TRUE,AC108,0)</f>
        <v>0</v>
      </c>
      <c r="IC108" s="1380">
        <f>IB108-IB110</f>
        <v>0</v>
      </c>
      <c r="IF108" s="1380" t="e">
        <f>ROUND(T109*VLOOKUP(U109,Fixtures_Existing_List,2,FALSE)*N109*R109/1000,0)</f>
        <v>#N/A</v>
      </c>
      <c r="IG108" s="1381" t="e">
        <f>IF108-IF110</f>
        <v>#N/A</v>
      </c>
      <c r="IH108" s="1384" t="e">
        <f>ROUND(IF(CN108="Interior",N110*R110*R109*N109*_C406_reduction/1000,N110*R110*R109*N109/1000),0)</f>
        <v>#N/A</v>
      </c>
      <c r="II108" s="1384" t="e">
        <f>IH108-IH110</f>
        <v>#N/A</v>
      </c>
      <c r="IK108" s="1351" t="e">
        <f>IF($CO108="interior",IL108/2,VLOOKUP($CP108,Control_Savings_Exterior,IK$30,FALSE))</f>
        <v>#N/A</v>
      </c>
      <c r="IL108" s="1351" t="e">
        <f>IF($CO108="interior",VLOOKUP($CP108,Control_Savings_Interior,IL$30,FALSE),VLOOKUP($CP108,Control_Savings_Exterior,IL$30,FALSE))</f>
        <v>#N/A</v>
      </c>
      <c r="IM108" s="1351" t="e">
        <f>IF($CO108="interior",IF(R109&gt;FO$37,(IM$28*(FO$37/R109)),IM$28)*FP108,VLOOKUP($CP108,Control_Savings_Exterior,IM$30,FALSE))</f>
        <v>#N/A</v>
      </c>
      <c r="IN108" s="1351" t="e">
        <f>IF($CO108="interior",ROUND(((1-IL108)*IM108)+IL108,2),VLOOKUP($CP108,Control_Savings_Exterior,IN$30,FALSE))</f>
        <v>#N/A</v>
      </c>
      <c r="IO108" s="1351" t="e">
        <f>IF($CO108="interior", ROUND(((1-IL108)*(IM108*(1-IP$28)))+IP108,2), VLOOKUP($CP108,Control_Savings_Exterior,IO$30,FALSE))</f>
        <v>#N/A</v>
      </c>
      <c r="IP108" s="1351">
        <f>IF($CO108="interior",ROUND(((1-IL108)*IP$28)+IL108,2),0)</f>
        <v>0</v>
      </c>
    </row>
    <row r="109" spans="1:250" s="82" customFormat="1" ht="14.95" customHeight="1" thickTop="1" thickBot="1">
      <c r="B109" s="1421"/>
      <c r="C109" s="1422"/>
      <c r="D109" s="1423"/>
      <c r="E109" s="1393" t="s">
        <v>244</v>
      </c>
      <c r="F109" s="1394"/>
      <c r="G109" s="1395"/>
      <c r="H109" s="1395"/>
      <c r="I109" s="1395"/>
      <c r="J109" s="1395"/>
      <c r="K109" s="1395"/>
      <c r="L109" s="1395"/>
      <c r="M109" s="509" t="e">
        <f>IF(__Retrofit_TI_NC&lt;&gt;0,IF(VLOOKUP(G110,'Space Table'!$B$3:$L$160,3,FALSE)&gt;0,1,0),IF(__Retrofit_TI_NC=VLOOKUP(G110,'Space Table'!$B$3:$L$160,3,FALSE),1,0))</f>
        <v>#N/A</v>
      </c>
      <c r="N109" s="509" t="str">
        <f>IFERROR(VLOOKUP(G109,_Lookup_Heat_Type_Table_New,2,FALSE),"")</f>
        <v/>
      </c>
      <c r="O109" s="509">
        <f>IF(__Retrofit_TI_NC=1,CONCATENATE("TI ",G109),IF(__Retrofit_TI_NC=2,CONCATENATE("NC ",G109),G109))</f>
        <v>0</v>
      </c>
      <c r="P109" s="1396" t="s">
        <v>352</v>
      </c>
      <c r="Q109" s="1396"/>
      <c r="R109" s="673"/>
      <c r="S109" s="1429"/>
      <c r="T109" s="675"/>
      <c r="U109" s="1496"/>
      <c r="V109" s="1497"/>
      <c r="W109" s="1497"/>
      <c r="X109" s="1497"/>
      <c r="Y109" s="1497"/>
      <c r="Z109" s="1497"/>
      <c r="AA109" s="1497"/>
      <c r="AB109" s="1497"/>
      <c r="AC109" s="1497"/>
      <c r="AD109" s="1498"/>
      <c r="AE109" s="675"/>
      <c r="AF109" s="1397"/>
      <c r="AG109" s="1397"/>
      <c r="AH109" s="1397"/>
      <c r="AI109" s="1397"/>
      <c r="AJ109" s="1434"/>
      <c r="AK109" s="1436"/>
      <c r="AL109" s="1438"/>
      <c r="AM109" s="1441"/>
      <c r="AN109" s="1442"/>
      <c r="AO109" s="1447"/>
      <c r="AP109" s="1447"/>
      <c r="AQ109" s="1448"/>
      <c r="AR109" s="1452"/>
      <c r="AS109" s="1455"/>
      <c r="AT109" s="1458"/>
      <c r="AU109" s="516"/>
      <c r="AV109" s="1479"/>
      <c r="AW109" s="1479"/>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M109" s="1352"/>
      <c r="CN109" s="1352"/>
      <c r="CO109" s="1416"/>
      <c r="CP109" s="1418"/>
      <c r="CR109" s="1386"/>
      <c r="CS109" s="1355"/>
      <c r="CT109" s="1355"/>
      <c r="CU109" s="1355"/>
      <c r="CV109" s="1372"/>
      <c r="CW109" s="1372"/>
      <c r="CX109" s="1371"/>
      <c r="CY109" s="1486"/>
      <c r="CZ109" s="1486"/>
      <c r="DA109" s="1486"/>
      <c r="DC109" s="1355"/>
      <c r="DD109" s="1461"/>
      <c r="DE109" s="1355"/>
      <c r="DF109" s="1407"/>
      <c r="DG109" s="1372"/>
      <c r="DH109" s="1369"/>
      <c r="DJ109" s="1484"/>
      <c r="DL109" s="1419"/>
      <c r="DN109" s="1403"/>
      <c r="DO109" s="1405"/>
      <c r="DP109" s="1354"/>
      <c r="DQ109" s="1405"/>
      <c r="DR109" s="1403"/>
      <c r="DS109" s="1489"/>
      <c r="DU109" s="1403"/>
      <c r="DV109" s="1405"/>
      <c r="DW109" s="1403"/>
      <c r="DX109" s="1403"/>
      <c r="DZ109" s="1481"/>
      <c r="EA109" s="1481"/>
      <c r="EC109" s="1482"/>
      <c r="ED109" s="1369"/>
      <c r="EE109" s="1371"/>
      <c r="EF109" s="1369"/>
      <c r="EG109" s="1369"/>
      <c r="EH109" s="1374"/>
      <c r="EI109" s="1374"/>
      <c r="EJ109" s="1363"/>
      <c r="EK109" s="1376"/>
      <c r="EL109" s="1376"/>
      <c r="EM109" s="1362"/>
      <c r="EN109" s="1362"/>
      <c r="EO109" s="1363"/>
      <c r="EP109" s="1363"/>
      <c r="EQ109" s="1363"/>
      <c r="ES109" s="1403"/>
      <c r="EU109" s="1411"/>
      <c r="EV109" s="1411"/>
      <c r="EW109" s="1411"/>
      <c r="EX109" s="1411"/>
      <c r="EY109" s="1411"/>
      <c r="EZ109" s="1413"/>
      <c r="FB109" s="1365"/>
      <c r="FD109" s="1354"/>
      <c r="FE109" s="1354"/>
      <c r="FF109" s="138"/>
      <c r="FI109" s="1357"/>
      <c r="FJ109" s="1357"/>
      <c r="FK109" s="1365"/>
      <c r="FL109" s="1365"/>
      <c r="FM109" s="1365"/>
      <c r="FO109" s="1361"/>
      <c r="FP109" s="1361"/>
      <c r="FQ109" s="1366"/>
      <c r="FR109" s="1368"/>
      <c r="FS109" s="1361"/>
      <c r="FT109" s="1368"/>
      <c r="FU109" s="1360"/>
      <c r="FW109" s="1352"/>
      <c r="FX109" s="1352"/>
      <c r="FY109" s="1352"/>
      <c r="FZ109" s="1352"/>
      <c r="GA109" s="1352"/>
      <c r="GB109" s="1352"/>
      <c r="GC109" s="1352"/>
      <c r="GD109" s="1352"/>
      <c r="GE109" s="759"/>
      <c r="GF109" s="1035"/>
      <c r="GG109" s="1385"/>
      <c r="GI109" s="1384" t="b">
        <f>IF(AND(GL109=TRUE,GM109=TRUE),TRUE,FALSE)</f>
        <v>0</v>
      </c>
      <c r="GJ109" s="1379" t="b">
        <f>IFERROR(IF(__Retrofit_TI_NC=2,TRUE,IF(AR108="Yes",TRUE,FALSE)),FALSE)</f>
        <v>1</v>
      </c>
      <c r="GL109" s="1379" t="b">
        <f>IFERROR(IF(GL108=1,TRUE,FALSE),FALSE)</f>
        <v>0</v>
      </c>
      <c r="GM109" s="1379" t="b">
        <f>IFERROR(IF(GM108=GM$14,TRUE,FALSE),FALSE)</f>
        <v>0</v>
      </c>
      <c r="HC109" s="1379" t="b">
        <f>IFERROR(IF(M109=1,TRUE,FALSE),FALSE)</f>
        <v>0</v>
      </c>
      <c r="HD109" s="1379" t="b">
        <f>IFERROR(IF(M110=1,TRUE,FALSE),FALSE)</f>
        <v>0</v>
      </c>
      <c r="HE109" s="1379" t="b">
        <f>IFERROR(IF(__Retrofit_TI_NC&lt;&gt;0,TRUE,IFERROR(IF(VLOOKUP(U109,Fixtures_Existing_List,2,FALSE)&lt;&gt;"",TRUE,FALSE),FALSE)),FALSE)</f>
        <v>0</v>
      </c>
      <c r="HF109" s="1379" t="b">
        <f>IFERROR(IF(VLOOKUP(U110,Fixtures_Proposed_List,2,FALSE)&lt;&gt;"",TRUE,FALSE),FALSE)</f>
        <v>0</v>
      </c>
      <c r="HG109" s="1379" t="b">
        <f>IF(AND(__Retrofit_TI_NC=2,EZ108=TRUE),FALSE,TRUE)</f>
        <v>1</v>
      </c>
      <c r="HH109" s="1379" t="b">
        <f>GG108</f>
        <v>1</v>
      </c>
      <c r="HI109" s="1384" t="b">
        <f>IF(ISERROR(MATCH(FB108,_Control_Match[],0))=TRUE,FALSE,TRUE)</f>
        <v>0</v>
      </c>
      <c r="HJ109" s="1384" t="b">
        <f>IFERROR(IF(EU108&lt;&gt;EV108,FALSE,TRUE),FALSE)</f>
        <v>0</v>
      </c>
      <c r="HK109" s="1384" t="b">
        <f>IFERROR(IF(EU110&lt;&gt;EV110,FALSE,TRUE),FALSE)</f>
        <v>0</v>
      </c>
      <c r="HL109" s="1379" t="b">
        <f>IFERROR(IF(CN108="Exterior",TRUE,IF(OR(AND(FJ108=0,EW110&gt;4),AND(FJ108=4,EW110&gt;4,EW110&lt;7)),FALSE,TRUE)),FALSE)</f>
        <v>0</v>
      </c>
      <c r="HM109" s="1379" t="b">
        <f>IFERROR(IF(AND(FL110=7,EZ108=TRUE),FALSE,TRUE),FALSE)</f>
        <v>0</v>
      </c>
      <c r="HN109" s="1379" t="b">
        <f>IFERROR(IF(AND(T110&lt;&gt;AE110,AF110="Interior LLLC")=TRUE,FALSE,TRUE),FALSE)</f>
        <v>1</v>
      </c>
      <c r="HO109" s="1379" t="b">
        <f>IFERROR(IF(OR(AF110=Lookup!AU$13,AF110=Lookup!AU$14)=TRUE,IF(AE110&gt;T110,FALSE,TRUE),TRUE),FALSE)</f>
        <v>1</v>
      </c>
      <c r="HP109" s="1379" t="b">
        <f>IFERROR(IF(__Retrofit_TI_NC=2,IF(EW110&lt;EW108,FALSE,TRUE),TRUE),FALSE)</f>
        <v>1</v>
      </c>
      <c r="HQ109" s="1379" t="b">
        <f>IF(CN108="Interior",IG$6,TRUE)</f>
        <v>1</v>
      </c>
      <c r="HR109" s="1379" t="b">
        <f>IF(CN108="Exterior",IG$8,TRUE)</f>
        <v>1</v>
      </c>
      <c r="HS109" s="1379" t="b">
        <f>IFERROR(IF(__Retrofit_TI_NC&lt;&gt;0,IF(AW108&lt;AV108,FALSE,TRUE),TRUE),FALSE)</f>
        <v>1</v>
      </c>
      <c r="HT109" s="1379" t="b">
        <f>IFERROR(IF(AND(G109="Exterior",R109&gt;4200),FALSE,TRUE),FALSE)</f>
        <v>1</v>
      </c>
      <c r="HU109" s="1379" t="b">
        <f>IFERROR(IF(AB111/AB108&lt;HU$18,FALSE,TRUE),FALSE)</f>
        <v>0</v>
      </c>
      <c r="HW109" s="1382"/>
      <c r="HX109" s="1378"/>
      <c r="HY109" s="1377" t="str">
        <f>VLOOKUP(HW111,_Error_Table,4,FALSE)</f>
        <v>White</v>
      </c>
      <c r="HZ109" s="436"/>
      <c r="IA109" s="1386"/>
      <c r="IB109" s="1380"/>
      <c r="IC109" s="1379"/>
      <c r="IF109" s="1380"/>
      <c r="IG109" s="1382"/>
      <c r="IH109" s="1382"/>
      <c r="II109" s="1382"/>
      <c r="IK109" s="1351"/>
      <c r="IL109" s="1351"/>
      <c r="IM109" s="1351"/>
      <c r="IN109" s="1351"/>
      <c r="IO109" s="1351"/>
      <c r="IP109" s="1351"/>
    </row>
    <row r="110" spans="1:250" s="82" customFormat="1" ht="14.95" customHeight="1" thickTop="1" thickBot="1">
      <c r="A110" s="82">
        <f>ROW()</f>
        <v>110</v>
      </c>
      <c r="B110" s="1421"/>
      <c r="C110" s="1422"/>
      <c r="D110" s="1423"/>
      <c r="E110" s="1393" t="s">
        <v>245</v>
      </c>
      <c r="F110" s="1394"/>
      <c r="G110" s="1398"/>
      <c r="H110" s="1399"/>
      <c r="I110" s="1399"/>
      <c r="J110" s="1399"/>
      <c r="K110" s="1399"/>
      <c r="L110" s="1400"/>
      <c r="M110" s="509">
        <f>IFERROR(IF(IF(__Retrofit_TI_NC&lt;&gt;0,IF(CN108="Interior",MATCH(G110,Lookup_Interior_New,0),MATCH(G110,Lookup_Exterior_New,0)),IF(CN108="Interior",MATCH(G110,Lookup_Interior,0),MATCH(G110,Lookup_Exterior_Areas,0)))&gt;0,1,0),0)</f>
        <v>0</v>
      </c>
      <c r="N110" s="509" t="e">
        <f>IF(__Retrofit_TI_NC=1,
VLOOKUP(G110,'Space Table'!$B$3:$L$160,4,FALSE),
IF(__Retrofit_TI_NC=2,VLOOKUP(G110,'Space Table'!$B$3:$L$160,5,FALSE),VLOOKUP(G110,'Space Table'!$B$3:$L$160,5,FALSE)))</f>
        <v>#N/A</v>
      </c>
      <c r="O110" s="509">
        <f>G110</f>
        <v>0</v>
      </c>
      <c r="P110" s="1394" t="s">
        <v>355</v>
      </c>
      <c r="Q110" s="1394"/>
      <c r="R110" s="674"/>
      <c r="S110" s="1401" t="s">
        <v>284</v>
      </c>
      <c r="T110" s="672"/>
      <c r="U110" s="1499"/>
      <c r="V110" s="1500"/>
      <c r="W110" s="1500"/>
      <c r="X110" s="1500"/>
      <c r="Y110" s="1500"/>
      <c r="Z110" s="1500"/>
      <c r="AA110" s="1500"/>
      <c r="AB110" s="1501"/>
      <c r="AC110" s="1501"/>
      <c r="AD110" s="1502"/>
      <c r="AE110" s="672"/>
      <c r="AF110" s="1474"/>
      <c r="AG110" s="1474"/>
      <c r="AH110" s="1474"/>
      <c r="AI110" s="1474"/>
      <c r="AJ110" s="1475">
        <f>DF110</f>
        <v>0</v>
      </c>
      <c r="AK110" s="1470" t="str">
        <f>IFERROR(ROUND(AJ110*AC111,0),"")</f>
        <v/>
      </c>
      <c r="AL110" s="1472">
        <f>IFERROR(IF(HW108=FALSE,0,AC111-AK110),0)</f>
        <v>0</v>
      </c>
      <c r="AM110" s="1441"/>
      <c r="AN110" s="1442"/>
      <c r="AO110" s="1447"/>
      <c r="AP110" s="1447"/>
      <c r="AQ110" s="1448"/>
      <c r="AR110" s="1452"/>
      <c r="AS110" s="1455"/>
      <c r="AT110" s="1458"/>
      <c r="AU110" s="516"/>
      <c r="AV110" s="1479"/>
      <c r="AW110" s="1479"/>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M110" s="1352"/>
      <c r="CN110" s="1352"/>
      <c r="CO110" s="1415" t="str">
        <f>CN108</f>
        <v/>
      </c>
      <c r="CP110" s="1417" t="e">
        <f>CP108</f>
        <v>#N/A</v>
      </c>
      <c r="CR110" s="1386" t="s">
        <v>284</v>
      </c>
      <c r="CS110" s="1353">
        <f>IF(HW108=TRUE,T110,0)</f>
        <v>0</v>
      </c>
      <c r="CT110" s="1353" t="str">
        <f>IF(HW108=TRUE,U110,"")</f>
        <v/>
      </c>
      <c r="CU110" s="1373">
        <f>IF(HW108=TRUE,U111,0)</f>
        <v>0</v>
      </c>
      <c r="CV110" s="1370">
        <f>IF(HW108=TRUE,AB111,0)</f>
        <v>0</v>
      </c>
      <c r="CW110" s="1370">
        <f>IF(HW108=TRUE,AC111,0)</f>
        <v>0</v>
      </c>
      <c r="CX110" s="1371"/>
      <c r="CY110" s="1486"/>
      <c r="CZ110" s="1486"/>
      <c r="DA110" s="1486"/>
      <c r="DC110" s="1353">
        <f>IF(HW108=TRUE,AE110,0)</f>
        <v>0</v>
      </c>
      <c r="DD110" s="1353" t="str">
        <f>IF(HW108=TRUE,AF110,"")</f>
        <v/>
      </c>
      <c r="DE110" s="1373">
        <f>AF111</f>
        <v>0</v>
      </c>
      <c r="DF110" s="1406">
        <f>IFERROR(IF(FL110=3,IK110,IF(FL110=4,IL110,IF(FL110=5,IM110,IF(FL110=6,IN110,IF(FL110=7,IO110,IF(FL110=8,IP110,0)))))),0)</f>
        <v>0</v>
      </c>
      <c r="DG110" s="1370">
        <f>IF(HW108=TRUE,AK110,0)</f>
        <v>0</v>
      </c>
      <c r="DH110" s="1369"/>
      <c r="DK110" s="1483">
        <f>IFERROR(CW110-DG110,0)</f>
        <v>0</v>
      </c>
      <c r="DL110" s="1420"/>
      <c r="DN110" s="1403"/>
      <c r="DO110" s="1477" t="str">
        <f>DN108</f>
        <v/>
      </c>
      <c r="DP110" s="1354"/>
      <c r="DQ110" s="1477" t="str">
        <f>IF(DP108=7,"LLLC","")</f>
        <v/>
      </c>
      <c r="DR110" s="1403"/>
      <c r="DS110" s="1489"/>
      <c r="DU110" s="1403"/>
      <c r="DV110" s="1404" t="str">
        <f>DU108</f>
        <v/>
      </c>
      <c r="DW110" s="1403"/>
      <c r="DX110" s="1403"/>
      <c r="DZ110" s="1481"/>
      <c r="EA110" s="1481"/>
      <c r="EC110" s="1482"/>
      <c r="ED110" s="1369"/>
      <c r="EE110" s="1371"/>
      <c r="EF110" s="1369"/>
      <c r="EG110" s="1369"/>
      <c r="EH110" s="1374"/>
      <c r="EI110" s="1374"/>
      <c r="EJ110" s="1363"/>
      <c r="EK110" s="1376"/>
      <c r="EL110" s="1376"/>
      <c r="EM110" s="1362"/>
      <c r="EN110" s="1362"/>
      <c r="EO110" s="1363"/>
      <c r="EP110" s="1363"/>
      <c r="EQ110" s="1363"/>
      <c r="ES110" s="1403"/>
      <c r="EU110" s="1411" t="e">
        <f>VLOOKUP(CP110,'Space Table'!$B$3:$L$160,8,FALSE)</f>
        <v>#N/A</v>
      </c>
      <c r="EV110" s="1411" t="e">
        <f>IF(EY110="Yes",VLOOKUP(AF110,Lookup_Control_Type_Table2,4,FALSE),VLOOKUP(AF110,Lookup_Control_Type_Table2,3,FALSE))</f>
        <v>#N/A</v>
      </c>
      <c r="EW110" s="1411" t="e">
        <f>VLOOKUP(AF110,Lookup!AU$3:AV$15,2,FALSE)</f>
        <v>#N/A</v>
      </c>
      <c r="EX110" s="1411" t="e">
        <f>VLOOKUP(EU108,Lookup_Control_Type_Table,2,FALSE)</f>
        <v>#N/A</v>
      </c>
      <c r="EY110" s="1411" t="e">
        <f>VLOOKUP(CP110,'Space Table'!$B$3:$L$160,7,FALSE)</f>
        <v>#N/A</v>
      </c>
      <c r="EZ110" s="1413"/>
      <c r="FB110" s="1365" t="str">
        <f>CONCATENATE(CN108," - ",AF110)</f>
        <v xml:space="preserve"> - </v>
      </c>
      <c r="FD110" s="1354"/>
      <c r="FE110" s="1354"/>
      <c r="FF110" s="138"/>
      <c r="FI110" s="1356" t="str">
        <f>IF(CN108="Exterior","Not Daylighted",G111)</f>
        <v>Not Daylighted</v>
      </c>
      <c r="FJ110" s="1356">
        <f>VLOOKUP(FI110,_Daylight_Table_Codes,2,FALSE)</f>
        <v>0</v>
      </c>
      <c r="FK110" s="1365">
        <f>AF110</f>
        <v>0</v>
      </c>
      <c r="FL110" s="1365" t="e">
        <f>VLOOKUP(FK110,_Control_Table,2,FALSE)</f>
        <v>#N/A</v>
      </c>
      <c r="FM110" s="1365" t="e">
        <f>IF(AND(FP110&gt;0,FK110="Occupancy Sensor"),"Daylight + Occupancy",IF(AND(FP110&gt;0,FL110&lt;4),"Interior Daylight Dimming",FK110))</f>
        <v>#N/A</v>
      </c>
      <c r="FO110" s="1364">
        <f>IF(CN108="Interior",VLOOKUP(CP108,Control_Savings_Interior,5,FALSE),0)</f>
        <v>0</v>
      </c>
      <c r="FP110" s="1361">
        <f>IF(CN110="Exterior",0,IF(FJ110=2,0.5,IF(OR(FJ110=1,FJ110=3),1,0)))</f>
        <v>0</v>
      </c>
      <c r="FQ110" s="1366">
        <f>IF(R109&gt;FO$37,(FO110*(FO$37/R109)),FO110)*FP110</f>
        <v>0</v>
      </c>
      <c r="FR110" s="1364">
        <f>DF110</f>
        <v>0</v>
      </c>
      <c r="FS110" s="1364">
        <f>ROUND(FR110+((1-FR110)*FQ110),2)</f>
        <v>0</v>
      </c>
      <c r="FT110" s="1364">
        <f>IF(__Retrofit_TI_NC=2,FS110,FR110)</f>
        <v>0</v>
      </c>
      <c r="FU110" s="1360">
        <f>IF(CO110="Interior",VLOOKUP(CP110,Control_Savings_Interior,4,FALSE),0)</f>
        <v>0</v>
      </c>
      <c r="FW110" s="1352"/>
      <c r="FX110" s="1352"/>
      <c r="FY110" s="1352"/>
      <c r="FZ110" s="1352"/>
      <c r="GA110" s="1352"/>
      <c r="GB110" s="1352"/>
      <c r="GC110" s="1352"/>
      <c r="GD110" s="1352"/>
      <c r="GE110" s="759" t="b">
        <f>IF(ISNUMBER(SEARCH("TLED",U110)),TRUE,FALSE)</f>
        <v>0</v>
      </c>
      <c r="GF110" s="1035" t="str">
        <f>IFERROR(VLOOKUP(U110,Fixtures!DM$93:DR$142,6,FALSE),"")</f>
        <v/>
      </c>
      <c r="GG110" s="1385"/>
      <c r="GI110" s="1383"/>
      <c r="GJ110" s="1379"/>
      <c r="GL110" s="1379"/>
      <c r="GM110" s="1379"/>
      <c r="HC110" s="1379"/>
      <c r="HD110" s="1379"/>
      <c r="HE110" s="1379"/>
      <c r="HF110" s="1379"/>
      <c r="HG110" s="1379"/>
      <c r="HH110" s="1379"/>
      <c r="HI110" s="1383"/>
      <c r="HJ110" s="1383"/>
      <c r="HK110" s="1383"/>
      <c r="HL110" s="1379"/>
      <c r="HM110" s="1379"/>
      <c r="HN110" s="1379"/>
      <c r="HO110" s="1379"/>
      <c r="HP110" s="1379"/>
      <c r="HQ110" s="1379"/>
      <c r="HR110" s="1379"/>
      <c r="HS110" s="1379"/>
      <c r="HT110" s="1379"/>
      <c r="HU110" s="1379"/>
      <c r="HW110" s="1383"/>
      <c r="HX110" s="1384" t="b">
        <f>HW108</f>
        <v>0</v>
      </c>
      <c r="HY110" s="1378"/>
      <c r="HZ110" s="436"/>
      <c r="IA110" s="1386"/>
      <c r="IB110" s="1380">
        <f>IF(IA108=TRUE,AC111,0)</f>
        <v>0</v>
      </c>
      <c r="IC110" s="1379"/>
      <c r="IF110" s="1380" t="e">
        <f>ROUND(T110*AB111*N109*R109/1000,0)</f>
        <v>#VALUE!</v>
      </c>
      <c r="IG110" s="1382"/>
      <c r="IH110" s="1384" t="e">
        <f>ROUND(T110*AB111*N109*R109/1000,0)</f>
        <v>#VALUE!</v>
      </c>
      <c r="II110" s="1382"/>
      <c r="IK110" s="1351" t="e">
        <f>IF($CO110="interior",IL110/2,VLOOKUP($CP110,Control_Savings_Exterior,IK$30,FALSE))</f>
        <v>#N/A</v>
      </c>
      <c r="IL110" s="1351" t="e">
        <f>IF($CO110="interior",VLOOKUP($CP110,Control_Savings_Interior,IL$30,FALSE),VLOOKUP($CP110,Control_Savings_Exterior,IL$30,FALSE))</f>
        <v>#N/A</v>
      </c>
      <c r="IM110" s="1351" t="e">
        <f>IF($CO110="interior",IF(R109&gt;FO$37,(IM$28*(FO$37/R109)),IM$28)*FP110,VLOOKUP($CP110,Control_Savings_Exterior,IM$30,FALSE))</f>
        <v>#N/A</v>
      </c>
      <c r="IN110" s="1351" t="e">
        <f>IF($CO110="interior",ROUND(((1-IL110)*IM110)+IL110,2),VLOOKUP($CP110,Control_Savings_Exterior,IN$30,FALSE))</f>
        <v>#N/A</v>
      </c>
      <c r="IO110" s="1351" t="e">
        <f>IF($CO110="interior", ROUND(((1-IL110)*(IM110*(1-IP$28)))+IP110,2), VLOOKUP($CP110,Control_Savings_Exterior,IO$30,FALSE))</f>
        <v>#N/A</v>
      </c>
      <c r="IP110" s="1351">
        <f>IF($CO110="interior",ROUND(((1-IL110)*IP$28)+IL110,2),0)</f>
        <v>0</v>
      </c>
    </row>
    <row r="111" spans="1:250" s="82" customFormat="1" ht="14.95" customHeight="1" thickTop="1" thickBot="1">
      <c r="B111" s="1421"/>
      <c r="C111" s="1422"/>
      <c r="D111" s="1423"/>
      <c r="E111" s="1462" t="s">
        <v>357</v>
      </c>
      <c r="F111" s="1463"/>
      <c r="G111" s="1464" t="s">
        <v>362</v>
      </c>
      <c r="H111" s="1465"/>
      <c r="I111" s="1465"/>
      <c r="J111" s="1465"/>
      <c r="K111" s="1465"/>
      <c r="L111" s="1466"/>
      <c r="M111" s="669">
        <f>IFERROR(VLOOKUP(G111,_Daylight_Table[],2,FALSE),0)</f>
        <v>0</v>
      </c>
      <c r="N111" s="670"/>
      <c r="O111" s="669" t="e">
        <f>VLOOKUP(G110,'Space Table'!$B$3:$L$160,11,FALSE)</f>
        <v>#N/A</v>
      </c>
      <c r="P111" s="1408"/>
      <c r="Q111" s="1409"/>
      <c r="R111" s="1409"/>
      <c r="S111" s="1402"/>
      <c r="T111" s="671" t="s">
        <v>281</v>
      </c>
      <c r="U111" s="1467" t="str">
        <f>IFERROR(VLOOKUP(U110,Fixtures!DM$93:DP$142,4,FALSE),"")</f>
        <v/>
      </c>
      <c r="V111" s="1468"/>
      <c r="W111" s="1468"/>
      <c r="X111" s="1468"/>
      <c r="Y111" s="1468"/>
      <c r="Z111" s="1468"/>
      <c r="AA111" s="1468"/>
      <c r="AB111" s="1046" t="str">
        <f>IFERROR(VLOOKUP(U110,Fixtures_Proposed_List,2,FALSE),"")</f>
        <v/>
      </c>
      <c r="AC111" s="1036" t="str">
        <f>IFERROR(ROUND(T110*AB111*N109*R109/1000,0),"")</f>
        <v/>
      </c>
      <c r="AD111" s="1037" t="str">
        <f>IFERROR(ROUND(T110*AB111/1000,2),"")</f>
        <v/>
      </c>
      <c r="AE111" s="1045" t="s">
        <v>281</v>
      </c>
      <c r="AF111" s="1469"/>
      <c r="AG111" s="1469"/>
      <c r="AH111" s="1469"/>
      <c r="AI111" s="1469"/>
      <c r="AJ111" s="1476"/>
      <c r="AK111" s="1471"/>
      <c r="AL111" s="1473"/>
      <c r="AM111" s="1443"/>
      <c r="AN111" s="1444"/>
      <c r="AO111" s="1449"/>
      <c r="AP111" s="1449"/>
      <c r="AQ111" s="1450"/>
      <c r="AR111" s="1453"/>
      <c r="AS111" s="1456"/>
      <c r="AT111" s="1459"/>
      <c r="AU111" s="517"/>
      <c r="AV111" s="1480"/>
      <c r="AW111" s="1480"/>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M111" s="1352"/>
      <c r="CN111" s="1352"/>
      <c r="CO111" s="1416"/>
      <c r="CP111" s="1418"/>
      <c r="CR111" s="1386"/>
      <c r="CS111" s="1355"/>
      <c r="CT111" s="1355"/>
      <c r="CU111" s="1375"/>
      <c r="CV111" s="1372"/>
      <c r="CW111" s="1372"/>
      <c r="CX111" s="1372"/>
      <c r="CY111" s="1487"/>
      <c r="CZ111" s="1487"/>
      <c r="DA111" s="1487"/>
      <c r="DC111" s="1355"/>
      <c r="DD111" s="1355"/>
      <c r="DE111" s="1375"/>
      <c r="DF111" s="1407"/>
      <c r="DG111" s="1372"/>
      <c r="DH111" s="1369"/>
      <c r="DK111" s="1484"/>
      <c r="DL111" s="1420"/>
      <c r="DN111" s="1403"/>
      <c r="DO111" s="1405"/>
      <c r="DP111" s="1355"/>
      <c r="DQ111" s="1405"/>
      <c r="DR111" s="1403"/>
      <c r="DS111" s="1489"/>
      <c r="DU111" s="1403"/>
      <c r="DV111" s="1405"/>
      <c r="DW111" s="1403"/>
      <c r="DX111" s="1403"/>
      <c r="DZ111" s="1481"/>
      <c r="EA111" s="1481"/>
      <c r="EC111" s="1482"/>
      <c r="ED111" s="1369"/>
      <c r="EE111" s="1372"/>
      <c r="EF111" s="1369"/>
      <c r="EG111" s="1369"/>
      <c r="EH111" s="1375"/>
      <c r="EI111" s="1375"/>
      <c r="EJ111" s="1363"/>
      <c r="EK111" s="1376"/>
      <c r="EL111" s="1376"/>
      <c r="EM111" s="1362"/>
      <c r="EN111" s="1362"/>
      <c r="EO111" s="1363"/>
      <c r="EP111" s="1363"/>
      <c r="EQ111" s="1363"/>
      <c r="ES111" s="1403"/>
      <c r="EU111" s="1488"/>
      <c r="EV111" s="1488"/>
      <c r="EW111" s="1488"/>
      <c r="EX111" s="1488"/>
      <c r="EY111" s="1488"/>
      <c r="EZ111" s="1414"/>
      <c r="FB111" s="1365"/>
      <c r="FD111" s="1355"/>
      <c r="FE111" s="1355"/>
      <c r="FF111" s="138"/>
      <c r="FI111" s="1357"/>
      <c r="FJ111" s="1357"/>
      <c r="FK111" s="1365"/>
      <c r="FL111" s="1365"/>
      <c r="FM111" s="1365"/>
      <c r="FO111" s="1361"/>
      <c r="FP111" s="1361"/>
      <c r="FQ111" s="1366"/>
      <c r="FR111" s="1361"/>
      <c r="FS111" s="1361"/>
      <c r="FT111" s="1361"/>
      <c r="FU111" s="1360"/>
      <c r="FW111" s="1352"/>
      <c r="FX111" s="1352"/>
      <c r="FY111" s="1352"/>
      <c r="FZ111" s="1352"/>
      <c r="GA111" s="1352"/>
      <c r="GB111" s="1352"/>
      <c r="GC111" s="1352"/>
      <c r="GD111" s="1352"/>
      <c r="GE111" s="759"/>
      <c r="GF111" s="1035"/>
      <c r="GG111" s="1385"/>
      <c r="GJ111" s="1034">
        <f>IF(GJ109=TRUE,0,GJ$16)</f>
        <v>0</v>
      </c>
      <c r="GL111" s="1034">
        <f>IF(GL109=TRUE,0,GL$16)</f>
        <v>36</v>
      </c>
      <c r="GM111" s="1034">
        <f>IF(GM109=TRUE,0,GM$16)</f>
        <v>35</v>
      </c>
      <c r="GN111" s="436"/>
      <c r="GO111" s="436"/>
      <c r="GP111" s="436"/>
      <c r="GQ111" s="436"/>
      <c r="GR111" s="436"/>
      <c r="HC111" s="1034">
        <f t="shared" ref="HC111:HH111" si="66">IF(HC109=TRUE,0,HC$16)</f>
        <v>19</v>
      </c>
      <c r="HD111" s="1034">
        <f t="shared" si="66"/>
        <v>18</v>
      </c>
      <c r="HE111" s="1034">
        <f t="shared" si="66"/>
        <v>17</v>
      </c>
      <c r="HF111" s="1034">
        <f t="shared" si="66"/>
        <v>16</v>
      </c>
      <c r="HG111" s="1034">
        <f t="shared" si="66"/>
        <v>0</v>
      </c>
      <c r="HH111" s="1034">
        <f t="shared" si="66"/>
        <v>0</v>
      </c>
      <c r="HI111" s="1034">
        <f>IF(HI109=TRUE,0,HI$16)</f>
        <v>13</v>
      </c>
      <c r="HJ111" s="1034">
        <f t="shared" ref="HJ111:HL111" si="67">IF(HJ109=TRUE,0,HJ$16)</f>
        <v>12</v>
      </c>
      <c r="HK111" s="1034">
        <f t="shared" si="67"/>
        <v>11</v>
      </c>
      <c r="HL111" s="1034">
        <f t="shared" si="67"/>
        <v>10</v>
      </c>
      <c r="HM111" s="1034">
        <f>IF(HM109=TRUE,0,HM$16)</f>
        <v>9</v>
      </c>
      <c r="HN111" s="1034">
        <f t="shared" ref="HN111:HR111" si="68">IF(HN109=TRUE,0,HN$16)</f>
        <v>0</v>
      </c>
      <c r="HO111" s="1034">
        <f t="shared" si="68"/>
        <v>0</v>
      </c>
      <c r="HP111" s="1034">
        <f t="shared" si="68"/>
        <v>0</v>
      </c>
      <c r="HQ111" s="1034">
        <f t="shared" si="68"/>
        <v>0</v>
      </c>
      <c r="HR111" s="1034">
        <f t="shared" si="68"/>
        <v>0</v>
      </c>
      <c r="HS111" s="1034">
        <f>IF(HS109=TRUE,0,HS$16)</f>
        <v>0</v>
      </c>
      <c r="HT111" s="1034">
        <f t="shared" ref="HT111" si="69">IF(HT109=TRUE,0,HT$16)</f>
        <v>0</v>
      </c>
      <c r="HU111" s="1034">
        <f>IF(HU109=TRUE,0,HU$16)</f>
        <v>1</v>
      </c>
      <c r="HW111" s="1034">
        <f>IF(GL109=FALSE,GL111,IF(GM109=FALSE,GM111,MAX(GJ111:HU111)))</f>
        <v>36</v>
      </c>
      <c r="HX111" s="1383"/>
      <c r="HY111" s="241" t="str">
        <f>VLOOKUP(HW111,_Error_Table,3,FALSE)</f>
        <v xml:space="preserve"> </v>
      </c>
      <c r="HZ111" s="241"/>
      <c r="IA111" s="1386"/>
      <c r="IB111" s="1380"/>
      <c r="IC111" s="1379"/>
      <c r="IF111" s="1380"/>
      <c r="IG111" s="1383"/>
      <c r="IH111" s="1383"/>
      <c r="II111" s="1383"/>
      <c r="IK111" s="1351"/>
      <c r="IL111" s="1351"/>
      <c r="IM111" s="1351"/>
      <c r="IN111" s="1351"/>
      <c r="IO111" s="1351"/>
      <c r="IP111" s="1351"/>
    </row>
    <row r="112" spans="1:250" s="82" customFormat="1" ht="5.0999999999999996" customHeight="1" thickBot="1">
      <c r="B112" s="763"/>
      <c r="C112" s="437"/>
      <c r="D112" s="437"/>
      <c r="E112" s="1490"/>
      <c r="F112" s="1490"/>
      <c r="G112" s="1490"/>
      <c r="H112" s="1490"/>
      <c r="I112" s="1490"/>
      <c r="J112" s="1490"/>
      <c r="K112" s="1490"/>
      <c r="L112" s="1490"/>
      <c r="M112" s="1490"/>
      <c r="N112" s="1490"/>
      <c r="O112" s="1490"/>
      <c r="P112" s="1490"/>
      <c r="Q112" s="1490"/>
      <c r="R112" s="1490"/>
      <c r="S112" s="1490"/>
      <c r="T112" s="1490"/>
      <c r="U112" s="1490"/>
      <c r="V112" s="1490"/>
      <c r="W112" s="1490"/>
      <c r="X112" s="1490"/>
      <c r="Y112" s="1490"/>
      <c r="Z112" s="1490"/>
      <c r="AA112" s="1490"/>
      <c r="AB112" s="1490"/>
      <c r="AC112" s="1490"/>
      <c r="AD112" s="1490"/>
      <c r="AE112" s="1490"/>
      <c r="AF112" s="1490"/>
      <c r="AG112" s="1490"/>
      <c r="AH112" s="1490"/>
      <c r="AI112" s="1490"/>
      <c r="AJ112" s="1490"/>
      <c r="AK112" s="1490"/>
      <c r="AL112" s="1490"/>
      <c r="AM112" s="1490"/>
      <c r="AN112" s="1490"/>
      <c r="AO112" s="1490"/>
      <c r="AP112" s="1490"/>
      <c r="AQ112" s="1490"/>
      <c r="AR112" s="1490"/>
      <c r="AS112" s="1490"/>
      <c r="AT112" s="1490"/>
      <c r="AU112" s="51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M112" s="749"/>
      <c r="CN112" s="749"/>
      <c r="CO112" s="485"/>
      <c r="CP112" s="749"/>
      <c r="CS112" s="436"/>
      <c r="CT112" s="436"/>
      <c r="CU112" s="243"/>
      <c r="CV112" s="244"/>
      <c r="CW112" s="244"/>
      <c r="CX112" s="244"/>
      <c r="CY112" s="245"/>
      <c r="CZ112" s="245"/>
      <c r="DA112" s="245"/>
      <c r="DC112" s="750"/>
      <c r="DD112" s="751"/>
      <c r="DE112" s="752"/>
      <c r="DF112" s="753"/>
      <c r="DG112" s="754"/>
      <c r="DH112" s="754"/>
      <c r="DK112" s="244"/>
      <c r="DL112" s="750"/>
      <c r="DN112" s="750"/>
      <c r="DO112" s="755"/>
      <c r="DP112" s="436"/>
      <c r="DQ112" s="750"/>
      <c r="DR112" s="750"/>
      <c r="DS112" s="750"/>
      <c r="DU112" s="750"/>
      <c r="DV112" s="750"/>
      <c r="DW112" s="750"/>
      <c r="DX112" s="750"/>
      <c r="DZ112" s="756"/>
      <c r="EA112" s="756"/>
      <c r="EC112" s="754"/>
      <c r="ED112" s="754"/>
      <c r="EE112" s="244"/>
      <c r="EF112" s="754"/>
      <c r="EG112" s="754"/>
      <c r="EH112" s="243"/>
      <c r="EI112" s="243"/>
      <c r="EJ112" s="752"/>
      <c r="EK112" s="757"/>
      <c r="EL112" s="757"/>
      <c r="EM112" s="758"/>
      <c r="EN112" s="758"/>
      <c r="EO112" s="752"/>
      <c r="EP112" s="752"/>
      <c r="EQ112" s="752"/>
      <c r="ES112" s="750"/>
      <c r="EU112" s="436"/>
      <c r="EV112" s="436"/>
      <c r="EW112" s="436"/>
      <c r="EX112" s="436"/>
      <c r="EY112" s="436"/>
      <c r="EZ112" s="436"/>
      <c r="FB112" s="643"/>
      <c r="FD112" s="436"/>
      <c r="FE112" s="436"/>
      <c r="FF112" s="436"/>
      <c r="FO112" s="750"/>
      <c r="FP112" s="436"/>
      <c r="FQ112" s="436"/>
      <c r="FR112" s="750"/>
      <c r="FS112" s="750"/>
      <c r="FW112" s="749"/>
      <c r="FX112" s="749"/>
      <c r="FY112" s="749"/>
      <c r="FZ112" s="749"/>
      <c r="GA112" s="749"/>
      <c r="GB112" s="749"/>
      <c r="GC112" s="749"/>
      <c r="GD112" s="749"/>
      <c r="GE112" s="751"/>
      <c r="GF112" s="750"/>
      <c r="GG112" s="750"/>
    </row>
    <row r="113" spans="1:250" s="82" customFormat="1" ht="14.95" customHeight="1" thickTop="1" thickBot="1">
      <c r="B113" s="1421" t="str">
        <f>HY116</f>
        <v xml:space="preserve"> </v>
      </c>
      <c r="C113" s="1422">
        <f>C108+1</f>
        <v>15</v>
      </c>
      <c r="D113" s="1423"/>
      <c r="E113" s="1424" t="s">
        <v>242</v>
      </c>
      <c r="F113" s="1425"/>
      <c r="G113" s="1426"/>
      <c r="H113" s="1427"/>
      <c r="I113" s="1427"/>
      <c r="J113" s="1427"/>
      <c r="K113" s="1427"/>
      <c r="L113" s="1427"/>
      <c r="M113" s="1427"/>
      <c r="N113" s="1427"/>
      <c r="O113" s="1427"/>
      <c r="P113" s="1427"/>
      <c r="Q113" s="1427"/>
      <c r="R113" s="1427"/>
      <c r="S113" s="1428" t="s">
        <v>283</v>
      </c>
      <c r="T113" s="668" t="s">
        <v>190</v>
      </c>
      <c r="U113" s="1430" t="s">
        <v>186</v>
      </c>
      <c r="V113" s="1431"/>
      <c r="W113" s="1431"/>
      <c r="X113" s="1431"/>
      <c r="Y113" s="1431"/>
      <c r="Z113" s="1431"/>
      <c r="AA113" s="1431"/>
      <c r="AB113" s="1088" t="str">
        <f>IFERROR(IF(__Retrofit_TI_NC=0,VLOOKUP(U114,Fixtures_Existing_List,2,FALSE),ROUND(N115*R115/T115,10)),"")</f>
        <v/>
      </c>
      <c r="AC113" s="1039" t="str">
        <f>IFERROR(IF(__Retrofit_TI_NC=0,ROUND(T114*AB113*N114*R114/1000,0),IF(CN113="Interior",N115*R115*R114*N114*_C406_reduction/1000,N115*R115*R114*N114/1000)),"")</f>
        <v/>
      </c>
      <c r="AD113" s="1040" t="str">
        <f>IFERROR(IF(C$36=0,ROUND(T114*AB113/1000,2),N115*R115/1000),"")</f>
        <v/>
      </c>
      <c r="AE113" s="1044" t="s">
        <v>190</v>
      </c>
      <c r="AF113" s="1432" t="str">
        <f>IF(__Retrofit_TI_NC=2,CONCATENATE("Code min = ",DD113),IF(__Retrofit_TI_NC=1,"Emter what you think the existing control was"," Control"))</f>
        <v xml:space="preserve"> Control</v>
      </c>
      <c r="AG113" s="1432"/>
      <c r="AH113" s="1432"/>
      <c r="AI113" s="1432"/>
      <c r="AJ113" s="1433">
        <f>DF113</f>
        <v>0</v>
      </c>
      <c r="AK113" s="1435" t="str">
        <f>IFERROR(ROUND(AJ113*AC113,0),"")</f>
        <v/>
      </c>
      <c r="AL113" s="1437">
        <f>IFERROR(IF(HW113=FALSE,0,AC113-AK113),0)</f>
        <v>0</v>
      </c>
      <c r="AM113" s="1439">
        <f>AL113-AL115</f>
        <v>0</v>
      </c>
      <c r="AN113" s="1440"/>
      <c r="AO113" s="1445">
        <f>IFERROR(IF(HW113=FALSE,0,(T115*U116)+(AE115*AF116)),0)</f>
        <v>0</v>
      </c>
      <c r="AP113" s="1445"/>
      <c r="AQ113" s="1446"/>
      <c r="AR113" s="1451" t="s">
        <v>157</v>
      </c>
      <c r="AS113" s="1454">
        <f>IF(AR113="Yes",1,0)</f>
        <v>1</v>
      </c>
      <c r="AT113" s="1457" t="str">
        <f>IF(OR(DN113=4,DN113=5,DN113=6,DN113=12),CONCATENATE("$",IF(GD113=TRUE,Lookup!$B$11,Lookup!$B$2)," /lamp"),CONCATENATE(EA113,"/ kWh"))</f>
        <v>0/ kWh</v>
      </c>
      <c r="AU113" s="516"/>
      <c r="AV113" s="1478">
        <f>IFERROR(IF(GI114=TRUE,(AB116*T115)/R115,0),"NA")</f>
        <v>0</v>
      </c>
      <c r="AW113" s="1478" t="str">
        <f>IFERROR(N115*_C406_reduction,"NA")</f>
        <v>NA</v>
      </c>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M113" s="1352" t="str">
        <f>N114</f>
        <v/>
      </c>
      <c r="CN113" s="1352" t="str">
        <f>IFERROR(VLOOKUP(G114,_Lookup_Heat_Type_Table_New,3,FALSE),"")</f>
        <v/>
      </c>
      <c r="CO113" s="1415" t="str">
        <f>CN113</f>
        <v/>
      </c>
      <c r="CP113" s="1417" t="e">
        <f>VLOOKUP(G115,'Space Table'!$B$3:$L$160,9,FALSE)</f>
        <v>#N/A</v>
      </c>
      <c r="CR113" s="1386" t="s">
        <v>283</v>
      </c>
      <c r="CS113" s="1353">
        <f>IF(HW113=TRUE,T114,0)</f>
        <v>0</v>
      </c>
      <c r="CT113" s="1353" t="str">
        <f>IF(HW113=TRUE,U114,"")</f>
        <v/>
      </c>
      <c r="CU113" s="1353"/>
      <c r="CV113" s="1370">
        <f>IF(HW113=TRUE,AB113,0)</f>
        <v>0</v>
      </c>
      <c r="CW113" s="1370">
        <f>IF(HW113=TRUE,AC113,0)</f>
        <v>0</v>
      </c>
      <c r="CX113" s="1370">
        <f>IFERROR(IF(HW113=TRUE,CW113-CW115,0),0)</f>
        <v>0</v>
      </c>
      <c r="CY113" s="1485">
        <f>IF(HW113=TRUE,AD113,0)</f>
        <v>0</v>
      </c>
      <c r="CZ113" s="1485">
        <f>IF(HW113=TRUE,AD116,0)</f>
        <v>0</v>
      </c>
      <c r="DA113" s="1485">
        <f>IFERROR(CY113-CZ113,0)</f>
        <v>0</v>
      </c>
      <c r="DC113" s="1353">
        <f>IF(HW113=TRUE,AE114,0)</f>
        <v>0</v>
      </c>
      <c r="DD113" s="1460">
        <f>IF(__Retrofit_TI_NC=2,IF(CN113="Exterior",O116,FM113),FK113)</f>
        <v>0</v>
      </c>
      <c r="DE113" s="1353"/>
      <c r="DF113" s="1406">
        <f>IFERROR(IF(FL113=3,IK113,IF(FL113=4,IL113,IF(FL113=5,IM113,IF(FL113=6,IN113,IF(FL113=7,IO113,IF(FL113=8,IP113,0)))))),0)</f>
        <v>0</v>
      </c>
      <c r="DG113" s="1370">
        <f>IF(HW113=TRUE,AK113,0)</f>
        <v>0</v>
      </c>
      <c r="DH113" s="1369">
        <f>IFERROR(IF(HW113=TRUE,DG115-DG113,0),0)</f>
        <v>0</v>
      </c>
      <c r="DJ113" s="1483">
        <f>IFERROR(CW113-DG113,0)</f>
        <v>0</v>
      </c>
      <c r="DL113" s="1419">
        <f>DJ113-DK115</f>
        <v>0</v>
      </c>
      <c r="DN113" s="1403" t="str">
        <f>IFERROR(IF(AND(OR(FY113=4,FY113=5,FY113=6),OR(GB113=4,GB113=5,GB113=6)),FY113+8,VLOOKUP(CT115,Fixtures!R$31:Y$78,8,FALSE)),"")</f>
        <v/>
      </c>
      <c r="DO113" s="1404" t="str">
        <f>DN113</f>
        <v/>
      </c>
      <c r="DP113" s="1353" t="str">
        <f>IFERROR(VLOOKUP(DD115,Lookup!AU$3:AV$15,2,FALSE),"")</f>
        <v/>
      </c>
      <c r="DQ113" s="1404" t="str">
        <f>IF(DP113=7,"LLLC","")</f>
        <v/>
      </c>
      <c r="DR113" s="1403">
        <f>IFERROR(IF(OR(DN113=4,DN113=5,DN113=6,DN113=12,DN113=13,DN113=14),VLOOKUP(CT115,Fixtures!DN$27:EG$77,19,FALSE),1)*CS115,0)</f>
        <v>0</v>
      </c>
      <c r="DS113" s="1489">
        <f>IF(DP113=7,IF(DD113=DD115,0,DC115),0)</f>
        <v>0</v>
      </c>
      <c r="DU113" s="1403" t="str">
        <f>IFERROR(IF(EW113&lt;EW115,"Yes","No"),"")</f>
        <v/>
      </c>
      <c r="DV113" s="1404" t="str">
        <f>DU113</f>
        <v/>
      </c>
      <c r="DW113" s="1403">
        <f>IF(DU113="Yes",DC115,0)</f>
        <v>0</v>
      </c>
      <c r="DX113" s="1403">
        <f>DW113-DS113</f>
        <v>0</v>
      </c>
      <c r="DZ113" s="1481">
        <f>IFERROR(VLOOKUP(DN113,Lookup!AN$3:AO$16,2,FALSE),0)</f>
        <v>0</v>
      </c>
      <c r="EA113" s="1481">
        <f>IF(HW113=FALSE,0,IF(DU113="Yes",DZ113+Lookup!B$6,DZ113))</f>
        <v>0</v>
      </c>
      <c r="EC113" s="1482">
        <f>IF(HW113=TRUE,DJ113,0)</f>
        <v>0</v>
      </c>
      <c r="ED113" s="1369">
        <f>IF(HW113=TRUE,CW115,0)</f>
        <v>0</v>
      </c>
      <c r="EE113" s="1370">
        <f>IFERROR(EC113-ED113,0)</f>
        <v>0</v>
      </c>
      <c r="EF113" s="1369">
        <f>IF(HW113=TRUE,DG115,0)</f>
        <v>0</v>
      </c>
      <c r="EG113" s="1369">
        <f>IFERROR(EC113-ED113+EF113,0)</f>
        <v>0</v>
      </c>
      <c r="EH113" s="1373">
        <f>IF(HW113=TRUE,CS115*CU115,0)</f>
        <v>0</v>
      </c>
      <c r="EI113" s="1373">
        <f>IF(HW113=TRUE,DC115*DE115,0)</f>
        <v>0</v>
      </c>
      <c r="EJ113" s="1363">
        <f>AO113</f>
        <v>0</v>
      </c>
      <c r="EK113" s="1376" t="str">
        <f>IFERROR(IF(HW113=TRUE,VLOOKUP(DN113,Lookup!AN$3:AP$16,3,FALSE)*DR113,""),0)</f>
        <v/>
      </c>
      <c r="EL113" s="1376">
        <f>IF(HW113=TRUE,DW113*Lookup!AP$12,0)</f>
        <v>0</v>
      </c>
      <c r="EM113" s="1362">
        <f>IFERROR(IF(HW113=TRUE,EK113/EM$33,0),0)</f>
        <v>0</v>
      </c>
      <c r="EN113" s="1362">
        <f>IF(HW113=TRUE,EL113/EN$33,0)</f>
        <v>0</v>
      </c>
      <c r="EO113" s="1363">
        <f>IF(HW113=TRUE,EQ$33*EM113,0)</f>
        <v>0</v>
      </c>
      <c r="EP113" s="1363">
        <f>IF(HW113=TRUE,EQ$33*EN113,0)</f>
        <v>0</v>
      </c>
      <c r="EQ113" s="1363">
        <f>EO113+EP113</f>
        <v>0</v>
      </c>
      <c r="ES113" s="1403">
        <f>IF(G113="",0,1)</f>
        <v>0</v>
      </c>
      <c r="EU113" s="1410" t="e">
        <f>VLOOKUP(CP115,'Space Table'!$B$3:$L$160,8,FALSE)</f>
        <v>#N/A</v>
      </c>
      <c r="EV113" s="1410" t="e">
        <f>IF(EY113="Yes",VLOOKUP(DD113,Lookup_Control_Type_Table2,4,FALSE),VLOOKUP(DD113,Lookup_Control_Type_Table2,3,FALSE))</f>
        <v>#N/A</v>
      </c>
      <c r="EW113" s="1410" t="e">
        <f>VLOOKUP(DD113,Lookup!AU$3:AV$15,2,FALSE)</f>
        <v>#N/A</v>
      </c>
      <c r="EX113" s="1410" t="e">
        <f>VLOOKUP(EU113,Lookup_Control_Type_Table,2,FALSE)</f>
        <v>#N/A</v>
      </c>
      <c r="EY113" s="1410" t="e">
        <f>VLOOKUP(CP115,'Space Table'!$B$3:$L$160,7,FALSE)</f>
        <v>#N/A</v>
      </c>
      <c r="EZ113" s="1412" t="b">
        <f>ISNUMBER(SEARCH("TLED",U115))</f>
        <v>0</v>
      </c>
      <c r="FB113" s="1365" t="str">
        <f>CONCATENATE(CN113," - ",DD113)</f>
        <v xml:space="preserve"> - 0</v>
      </c>
      <c r="FD113" s="1353" t="str">
        <f>VLOOKUP(CT115,Fixtures!DN$27:EZ$77,38,FALSE)</f>
        <v/>
      </c>
      <c r="FE113" s="1353">
        <f>IFERROR(FD113*EE113,0)</f>
        <v>0</v>
      </c>
      <c r="FF113" s="138"/>
      <c r="FI113" s="1356" t="str">
        <f>IF(CN113="Exterior","Not Daylighted",G116)</f>
        <v>Not Daylighted</v>
      </c>
      <c r="FJ113" s="1356">
        <f>VLOOKUP(FI113,_Daylight_Table_Codes,2,FALSE)</f>
        <v>0</v>
      </c>
      <c r="FK113" s="1365">
        <f>IF(__Retrofit_TI_NC=2,VLOOKUP(G115,'Space Table'!$B$3:$L$160,11,FALSE),AF114)</f>
        <v>0</v>
      </c>
      <c r="FL113" s="1365" t="e">
        <f>VLOOKUP(FK113,_Control_Table,2,FALSE)</f>
        <v>#N/A</v>
      </c>
      <c r="FM113" s="1365" t="e">
        <f>IF(AND(FP113&gt;0,FK113="Occupancy Sensor"),"Daylight + Occupancy",IF(AND(FP113&gt;0,FL113&lt;4),"Interior Daylight Dimming",FK113))</f>
        <v>#N/A</v>
      </c>
      <c r="FO113" s="1364">
        <f>IF(CO113="Interior",VLOOKUP(CP113,Control_Savings_Interior,5,FALSE),0)</f>
        <v>0</v>
      </c>
      <c r="FP113" s="1361">
        <f>IF(CN113="Exterior",0,IF(FJ113=2,0.5,IF(OR(FJ113=1,FJ113=3),1,0)))</f>
        <v>0</v>
      </c>
      <c r="FQ113" s="1366"/>
      <c r="FR113" s="1367"/>
      <c r="FS113" s="1364"/>
      <c r="FT113" s="1367"/>
      <c r="FU113" s="1360"/>
      <c r="FW113" s="1352" t="str">
        <f>IFERROR(VLOOKUP(U114,_Exist_Fixture_Table,3,FALSE),"")</f>
        <v/>
      </c>
      <c r="FX113" s="1352" t="str">
        <f>VLOOKUP(CT113,_Exist_Fixture_Table,4,FALSE)</f>
        <v/>
      </c>
      <c r="FY113" s="1352">
        <f>IFERROR(VLOOKUP(FX113,Lookup!AM$6:AN$8,2,FALSE),0)</f>
        <v>0</v>
      </c>
      <c r="FZ113" s="1352" t="b">
        <f>IFERROR(IF(OR(GB113=4,GB113=5,GB113=6),TRUE,FALSE),"")</f>
        <v>0</v>
      </c>
      <c r="GA113" s="1352" t="str">
        <f>IFERROR(VLOOKUP(GB113,FY$6:FZ$10,2,FALSE),"")</f>
        <v/>
      </c>
      <c r="GB113" s="1352" t="str">
        <f>VLOOKUP(CT115,Fixtures!R$31:Y$78,8,FALSE)</f>
        <v/>
      </c>
      <c r="GC113" s="1352">
        <f>IF(AND(FW113=TRUE,FZ113=TRUE,OR(DN113=12,DN113=13,DN113=14)),FY113+8,0)</f>
        <v>0</v>
      </c>
      <c r="GD113" s="1352" t="b">
        <f>IF(OR(GC113=12,GC113=13,GC113=14),TRUE,FALSE)</f>
        <v>0</v>
      </c>
      <c r="GE113" s="759" t="b">
        <f>IF(ISNUMBER(SEARCH("TLED",U114)),TRUE,FALSE)</f>
        <v>0</v>
      </c>
      <c r="GF113" s="1035" t="str">
        <f>IFERROR(VLOOKUP(U114,Fixtures!BM$93:BR$142,6,FALSE),"")</f>
        <v/>
      </c>
      <c r="GG113" s="1385" t="b">
        <f>IF(OR(GE113=FALSE,GE115=FALSE),TRUE,IF(GF113-GF115&lt;5,FALSE,TRUE))</f>
        <v>1</v>
      </c>
      <c r="GK113" s="1034">
        <f>GL113</f>
        <v>0</v>
      </c>
      <c r="GL113" s="1034">
        <f>IF(G113="",0,1)</f>
        <v>0</v>
      </c>
      <c r="GM113" s="1034">
        <f>SUM(GN113:HB113)</f>
        <v>2</v>
      </c>
      <c r="GN113" s="1034">
        <f>IF(G114="",0,1)</f>
        <v>0</v>
      </c>
      <c r="GO113" s="1034">
        <f>IF(G115="",0,1)</f>
        <v>0</v>
      </c>
      <c r="GP113" s="1034">
        <f>IF(R114="",0,1)</f>
        <v>0</v>
      </c>
      <c r="GQ113" s="1034">
        <f>IF(__Retrofit_TI_NC=0,1,IF(R115="",0,1))</f>
        <v>1</v>
      </c>
      <c r="GR113" s="1034">
        <f>IF(CN113="Exterior",1,IF(G116="",0,1))</f>
        <v>1</v>
      </c>
      <c r="GS113" s="1034">
        <f>IF(__Retrofit_TI_NC&lt;&gt;0,1,IF(T114="",0,1))</f>
        <v>0</v>
      </c>
      <c r="GT113" s="1034">
        <f>IF(__Retrofit_TI_NC&lt;&gt;0,1,IF(U114="",0,1))</f>
        <v>0</v>
      </c>
      <c r="GU113" s="1034">
        <f>IF(T115="",0,1)</f>
        <v>0</v>
      </c>
      <c r="GV113" s="1034">
        <f>IF(U115="",0,1)</f>
        <v>0</v>
      </c>
      <c r="GW113" s="1034">
        <f>IF(__Retrofit_TI_NC=2,1,IF(U116="",0,1))</f>
        <v>0</v>
      </c>
      <c r="GX113" s="1034">
        <f>IF(__Retrofit_TI_NC&lt;&gt;0,1,IF(AE114="",0,1))</f>
        <v>0</v>
      </c>
      <c r="GY113" s="1034">
        <f>IF(__Retrofit_TI_NC&lt;&gt;0,1,IF(AF114="",0,1))</f>
        <v>0</v>
      </c>
      <c r="GZ113" s="1034">
        <f>IF(AE115="",0,1)</f>
        <v>0</v>
      </c>
      <c r="HA113" s="1034">
        <f>IF(AF115="",0,1)</f>
        <v>0</v>
      </c>
      <c r="HB113" s="1034">
        <f>IF(__Retrofit_TI_NC=2,1,IF(AF116="",0,1))</f>
        <v>0</v>
      </c>
      <c r="HV113" s="436"/>
      <c r="HW113" s="1384" t="b">
        <f>IF(OR(HW116=0,HW116=HT$16,HW116=HS$16,HW116=HU$16),TRUE,FALSE)</f>
        <v>0</v>
      </c>
      <c r="HX113" s="1377" t="b">
        <f>HW113</f>
        <v>0</v>
      </c>
      <c r="HY113" s="436"/>
      <c r="HZ113" s="436"/>
      <c r="IA113" s="1386" t="b">
        <f>IF(MAX(GJ116:HP116)&gt;5,FALSE,TRUE)</f>
        <v>0</v>
      </c>
      <c r="IB113" s="1380">
        <f>IF(IA113=TRUE,AC113,0)</f>
        <v>0</v>
      </c>
      <c r="IC113" s="1380">
        <f>IB113-IB115</f>
        <v>0</v>
      </c>
      <c r="IF113" s="1380" t="e">
        <f>ROUND(T114*VLOOKUP(U114,Fixtures_Existing_List,2,FALSE)*N114*R114/1000,0)</f>
        <v>#N/A</v>
      </c>
      <c r="IG113" s="1381" t="e">
        <f>IF113-IF115</f>
        <v>#N/A</v>
      </c>
      <c r="IH113" s="1384" t="e">
        <f>ROUND(IF(CN113="Interior",N115*R115*R114*N114*_C406_reduction/1000,N115*R115*R114*N114/1000),0)</f>
        <v>#N/A</v>
      </c>
      <c r="II113" s="1384" t="e">
        <f>IH113-IH115</f>
        <v>#N/A</v>
      </c>
      <c r="IK113" s="1351" t="e">
        <f>IF($CO113="interior",IL113/2,VLOOKUP($CP113,Control_Savings_Exterior,IK$30,FALSE))</f>
        <v>#N/A</v>
      </c>
      <c r="IL113" s="1351" t="e">
        <f>IF($CO113="interior",VLOOKUP($CP113,Control_Savings_Interior,IL$30,FALSE),VLOOKUP($CP113,Control_Savings_Exterior,IL$30,FALSE))</f>
        <v>#N/A</v>
      </c>
      <c r="IM113" s="1351" t="e">
        <f>IF($CO113="interior",IF(R114&gt;FO$37,(IM$28*(FO$37/R114)),IM$28)*FP113,VLOOKUP($CP113,Control_Savings_Exterior,IM$30,FALSE))</f>
        <v>#N/A</v>
      </c>
      <c r="IN113" s="1351" t="e">
        <f>IF($CO113="interior",ROUND(((1-IL113)*IM113)+IL113,2),VLOOKUP($CP113,Control_Savings_Exterior,IN$30,FALSE))</f>
        <v>#N/A</v>
      </c>
      <c r="IO113" s="1351" t="e">
        <f>IF($CO113="interior", ROUND(((1-IL113)*(IM113*(1-IP$28)))+IP113,2), VLOOKUP($CP113,Control_Savings_Exterior,IO$30,FALSE))</f>
        <v>#N/A</v>
      </c>
      <c r="IP113" s="1351">
        <f>IF($CO113="interior",ROUND(((1-IL113)*IP$28)+IL113,2),0)</f>
        <v>0</v>
      </c>
    </row>
    <row r="114" spans="1:250" s="82" customFormat="1" ht="14.95" customHeight="1" thickTop="1" thickBot="1">
      <c r="B114" s="1421"/>
      <c r="C114" s="1422"/>
      <c r="D114" s="1423"/>
      <c r="E114" s="1393" t="s">
        <v>244</v>
      </c>
      <c r="F114" s="1394"/>
      <c r="G114" s="1395"/>
      <c r="H114" s="1395"/>
      <c r="I114" s="1395"/>
      <c r="J114" s="1395"/>
      <c r="K114" s="1395"/>
      <c r="L114" s="1395"/>
      <c r="M114" s="509" t="e">
        <f>IF(__Retrofit_TI_NC&lt;&gt;0,IF(VLOOKUP(G115,'Space Table'!$B$3:$L$160,3,FALSE)&gt;0,1,0),IF(__Retrofit_TI_NC=VLOOKUP(G115,'Space Table'!$B$3:$L$160,3,FALSE),1,0))</f>
        <v>#N/A</v>
      </c>
      <c r="N114" s="509" t="str">
        <f>IFERROR(VLOOKUP(G114,_Lookup_Heat_Type_Table_New,2,FALSE),"")</f>
        <v/>
      </c>
      <c r="O114" s="509">
        <f>IF(__Retrofit_TI_NC=1,CONCATENATE("TI ",G114),IF(__Retrofit_TI_NC=2,CONCATENATE("NC ",G114),G114))</f>
        <v>0</v>
      </c>
      <c r="P114" s="1396" t="s">
        <v>352</v>
      </c>
      <c r="Q114" s="1396"/>
      <c r="R114" s="673"/>
      <c r="S114" s="1429"/>
      <c r="T114" s="675"/>
      <c r="U114" s="1496"/>
      <c r="V114" s="1497"/>
      <c r="W114" s="1497"/>
      <c r="X114" s="1497"/>
      <c r="Y114" s="1497"/>
      <c r="Z114" s="1497"/>
      <c r="AA114" s="1497"/>
      <c r="AB114" s="1497"/>
      <c r="AC114" s="1497"/>
      <c r="AD114" s="1498"/>
      <c r="AE114" s="675"/>
      <c r="AF114" s="1397"/>
      <c r="AG114" s="1397"/>
      <c r="AH114" s="1397"/>
      <c r="AI114" s="1397"/>
      <c r="AJ114" s="1434"/>
      <c r="AK114" s="1436"/>
      <c r="AL114" s="1438"/>
      <c r="AM114" s="1441"/>
      <c r="AN114" s="1442"/>
      <c r="AO114" s="1447"/>
      <c r="AP114" s="1447"/>
      <c r="AQ114" s="1448"/>
      <c r="AR114" s="1452"/>
      <c r="AS114" s="1455"/>
      <c r="AT114" s="1458"/>
      <c r="AU114" s="516"/>
      <c r="AV114" s="1479"/>
      <c r="AW114" s="1479"/>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M114" s="1352"/>
      <c r="CN114" s="1352"/>
      <c r="CO114" s="1416"/>
      <c r="CP114" s="1418"/>
      <c r="CR114" s="1386"/>
      <c r="CS114" s="1355"/>
      <c r="CT114" s="1355"/>
      <c r="CU114" s="1355"/>
      <c r="CV114" s="1372"/>
      <c r="CW114" s="1372"/>
      <c r="CX114" s="1371"/>
      <c r="CY114" s="1486"/>
      <c r="CZ114" s="1486"/>
      <c r="DA114" s="1486"/>
      <c r="DC114" s="1355"/>
      <c r="DD114" s="1461"/>
      <c r="DE114" s="1355"/>
      <c r="DF114" s="1407"/>
      <c r="DG114" s="1372"/>
      <c r="DH114" s="1369"/>
      <c r="DJ114" s="1484"/>
      <c r="DL114" s="1419"/>
      <c r="DN114" s="1403"/>
      <c r="DO114" s="1405"/>
      <c r="DP114" s="1354"/>
      <c r="DQ114" s="1405"/>
      <c r="DR114" s="1403"/>
      <c r="DS114" s="1489"/>
      <c r="DU114" s="1403"/>
      <c r="DV114" s="1405"/>
      <c r="DW114" s="1403"/>
      <c r="DX114" s="1403"/>
      <c r="DZ114" s="1481"/>
      <c r="EA114" s="1481"/>
      <c r="EC114" s="1482"/>
      <c r="ED114" s="1369"/>
      <c r="EE114" s="1371"/>
      <c r="EF114" s="1369"/>
      <c r="EG114" s="1369"/>
      <c r="EH114" s="1374"/>
      <c r="EI114" s="1374"/>
      <c r="EJ114" s="1363"/>
      <c r="EK114" s="1376"/>
      <c r="EL114" s="1376"/>
      <c r="EM114" s="1362"/>
      <c r="EN114" s="1362"/>
      <c r="EO114" s="1363"/>
      <c r="EP114" s="1363"/>
      <c r="EQ114" s="1363"/>
      <c r="ES114" s="1403"/>
      <c r="EU114" s="1411"/>
      <c r="EV114" s="1411"/>
      <c r="EW114" s="1411"/>
      <c r="EX114" s="1411"/>
      <c r="EY114" s="1411"/>
      <c r="EZ114" s="1413"/>
      <c r="FB114" s="1365"/>
      <c r="FD114" s="1354"/>
      <c r="FE114" s="1354"/>
      <c r="FF114" s="138"/>
      <c r="FI114" s="1357"/>
      <c r="FJ114" s="1357"/>
      <c r="FK114" s="1365"/>
      <c r="FL114" s="1365"/>
      <c r="FM114" s="1365"/>
      <c r="FO114" s="1361"/>
      <c r="FP114" s="1361"/>
      <c r="FQ114" s="1366"/>
      <c r="FR114" s="1368"/>
      <c r="FS114" s="1361"/>
      <c r="FT114" s="1368"/>
      <c r="FU114" s="1360"/>
      <c r="FW114" s="1352"/>
      <c r="FX114" s="1352"/>
      <c r="FY114" s="1352"/>
      <c r="FZ114" s="1352"/>
      <c r="GA114" s="1352"/>
      <c r="GB114" s="1352"/>
      <c r="GC114" s="1352"/>
      <c r="GD114" s="1352"/>
      <c r="GE114" s="759"/>
      <c r="GF114" s="1035"/>
      <c r="GG114" s="1385"/>
      <c r="GI114" s="1384" t="b">
        <f>IF(AND(GL114=TRUE,GM114=TRUE),TRUE,FALSE)</f>
        <v>0</v>
      </c>
      <c r="GJ114" s="1379" t="b">
        <f>IFERROR(IF(__Retrofit_TI_NC=2,TRUE,IF(AR113="Yes",TRUE,FALSE)),FALSE)</f>
        <v>1</v>
      </c>
      <c r="GL114" s="1379" t="b">
        <f>IFERROR(IF(GL113=1,TRUE,FALSE),FALSE)</f>
        <v>0</v>
      </c>
      <c r="GM114" s="1379" t="b">
        <f>IFERROR(IF(GM113=GM$14,TRUE,FALSE),FALSE)</f>
        <v>0</v>
      </c>
      <c r="HC114" s="1379" t="b">
        <f>IFERROR(IF(M114=1,TRUE,FALSE),FALSE)</f>
        <v>0</v>
      </c>
      <c r="HD114" s="1379" t="b">
        <f>IFERROR(IF(M115=1,TRUE,FALSE),FALSE)</f>
        <v>0</v>
      </c>
      <c r="HE114" s="1379" t="b">
        <f>IFERROR(IF(__Retrofit_TI_NC&lt;&gt;0,TRUE,IFERROR(IF(VLOOKUP(U114,Fixtures_Existing_List,2,FALSE)&lt;&gt;"",TRUE,FALSE),FALSE)),FALSE)</f>
        <v>0</v>
      </c>
      <c r="HF114" s="1379" t="b">
        <f>IFERROR(IF(VLOOKUP(U115,Fixtures_Proposed_List,2,FALSE)&lt;&gt;"",TRUE,FALSE),FALSE)</f>
        <v>0</v>
      </c>
      <c r="HG114" s="1379" t="b">
        <f>IF(AND(__Retrofit_TI_NC=2,EZ113=TRUE),FALSE,TRUE)</f>
        <v>1</v>
      </c>
      <c r="HH114" s="1379" t="b">
        <f>GG113</f>
        <v>1</v>
      </c>
      <c r="HI114" s="1384" t="b">
        <f>IF(ISERROR(MATCH(FB113,_Control_Match[],0))=TRUE,FALSE,TRUE)</f>
        <v>0</v>
      </c>
      <c r="HJ114" s="1384" t="b">
        <f>IFERROR(IF(EU113&lt;&gt;EV113,FALSE,TRUE),FALSE)</f>
        <v>0</v>
      </c>
      <c r="HK114" s="1384" t="b">
        <f>IFERROR(IF(EU115&lt;&gt;EV115,FALSE,TRUE),FALSE)</f>
        <v>0</v>
      </c>
      <c r="HL114" s="1379" t="b">
        <f>IFERROR(IF(CN113="Exterior",TRUE,IF(OR(AND(FJ113=0,EW115&gt;4),AND(FJ113=4,EW115&gt;4,EW115&lt;7)),FALSE,TRUE)),FALSE)</f>
        <v>0</v>
      </c>
      <c r="HM114" s="1379" t="b">
        <f>IFERROR(IF(AND(FL115=7,EZ113=TRUE),FALSE,TRUE),FALSE)</f>
        <v>0</v>
      </c>
      <c r="HN114" s="1379" t="b">
        <f>IFERROR(IF(AND(T115&lt;&gt;AE115,AF115="Interior LLLC")=TRUE,FALSE,TRUE),FALSE)</f>
        <v>1</v>
      </c>
      <c r="HO114" s="1379" t="b">
        <f>IFERROR(IF(OR(AF115=Lookup!AU$13,AF115=Lookup!AU$14)=TRUE,IF(AE115&gt;T115,FALSE,TRUE),TRUE),FALSE)</f>
        <v>1</v>
      </c>
      <c r="HP114" s="1379" t="b">
        <f>IFERROR(IF(__Retrofit_TI_NC=2,IF(EW115&lt;EW113,FALSE,TRUE),TRUE),FALSE)</f>
        <v>1</v>
      </c>
      <c r="HQ114" s="1379" t="b">
        <f>IF(CN113="Interior",IG$6,TRUE)</f>
        <v>1</v>
      </c>
      <c r="HR114" s="1379" t="b">
        <f>IF(CN113="Exterior",IG$8,TRUE)</f>
        <v>1</v>
      </c>
      <c r="HS114" s="1379" t="b">
        <f>IFERROR(IF(__Retrofit_TI_NC&lt;&gt;0,IF(AW113&lt;AV113,FALSE,TRUE),TRUE),FALSE)</f>
        <v>1</v>
      </c>
      <c r="HT114" s="1379" t="b">
        <f>IFERROR(IF(AND(G114="Exterior",R114&gt;4200),FALSE,TRUE),FALSE)</f>
        <v>1</v>
      </c>
      <c r="HU114" s="1379" t="b">
        <f>IFERROR(IF(AB116/AB113&lt;HU$18,FALSE,TRUE),FALSE)</f>
        <v>0</v>
      </c>
      <c r="HW114" s="1382"/>
      <c r="HX114" s="1378"/>
      <c r="HY114" s="1377" t="str">
        <f>VLOOKUP(HW116,_Error_Table,4,FALSE)</f>
        <v>White</v>
      </c>
      <c r="HZ114" s="436"/>
      <c r="IA114" s="1386"/>
      <c r="IB114" s="1380"/>
      <c r="IC114" s="1379"/>
      <c r="IF114" s="1380"/>
      <c r="IG114" s="1382"/>
      <c r="IH114" s="1382"/>
      <c r="II114" s="1382"/>
      <c r="IK114" s="1351"/>
      <c r="IL114" s="1351"/>
      <c r="IM114" s="1351"/>
      <c r="IN114" s="1351"/>
      <c r="IO114" s="1351"/>
      <c r="IP114" s="1351"/>
    </row>
    <row r="115" spans="1:250" s="82" customFormat="1" ht="14.95" customHeight="1" thickTop="1" thickBot="1">
      <c r="A115" s="82">
        <f>ROW()</f>
        <v>115</v>
      </c>
      <c r="B115" s="1421"/>
      <c r="C115" s="1422"/>
      <c r="D115" s="1423"/>
      <c r="E115" s="1393" t="s">
        <v>245</v>
      </c>
      <c r="F115" s="1394"/>
      <c r="G115" s="1398"/>
      <c r="H115" s="1399"/>
      <c r="I115" s="1399"/>
      <c r="J115" s="1399"/>
      <c r="K115" s="1399"/>
      <c r="L115" s="1400"/>
      <c r="M115" s="509">
        <f>IFERROR(IF(IF(__Retrofit_TI_NC&lt;&gt;0,IF(CN113="Interior",MATCH(G115,Lookup_Interior_New,0),MATCH(G115,Lookup_Exterior_New,0)),IF(CN113="Interior",MATCH(G115,Lookup_Interior,0),MATCH(G115,Lookup_Exterior_Areas,0)))&gt;0,1,0),0)</f>
        <v>0</v>
      </c>
      <c r="N115" s="509" t="e">
        <f>IF(__Retrofit_TI_NC=1,
VLOOKUP(G115,'Space Table'!$B$3:$L$160,4,FALSE),
IF(__Retrofit_TI_NC=2,VLOOKUP(G115,'Space Table'!$B$3:$L$160,5,FALSE),VLOOKUP(G115,'Space Table'!$B$3:$L$160,5,FALSE)))</f>
        <v>#N/A</v>
      </c>
      <c r="O115" s="509">
        <f>G115</f>
        <v>0</v>
      </c>
      <c r="P115" s="1394" t="s">
        <v>355</v>
      </c>
      <c r="Q115" s="1394"/>
      <c r="R115" s="674"/>
      <c r="S115" s="1401" t="s">
        <v>284</v>
      </c>
      <c r="T115" s="672"/>
      <c r="U115" s="1499"/>
      <c r="V115" s="1500"/>
      <c r="W115" s="1500"/>
      <c r="X115" s="1500"/>
      <c r="Y115" s="1500"/>
      <c r="Z115" s="1500"/>
      <c r="AA115" s="1500"/>
      <c r="AB115" s="1501"/>
      <c r="AC115" s="1501"/>
      <c r="AD115" s="1502"/>
      <c r="AE115" s="672"/>
      <c r="AF115" s="1474"/>
      <c r="AG115" s="1474"/>
      <c r="AH115" s="1474"/>
      <c r="AI115" s="1474"/>
      <c r="AJ115" s="1475">
        <f>DF115</f>
        <v>0</v>
      </c>
      <c r="AK115" s="1470" t="str">
        <f>IFERROR(ROUND(AJ115*AC116,0),"")</f>
        <v/>
      </c>
      <c r="AL115" s="1472">
        <f>IFERROR(IF(HW113=FALSE,0,AC116-AK115),0)</f>
        <v>0</v>
      </c>
      <c r="AM115" s="1441"/>
      <c r="AN115" s="1442"/>
      <c r="AO115" s="1447"/>
      <c r="AP115" s="1447"/>
      <c r="AQ115" s="1448"/>
      <c r="AR115" s="1452"/>
      <c r="AS115" s="1455"/>
      <c r="AT115" s="1458"/>
      <c r="AU115" s="516"/>
      <c r="AV115" s="1479"/>
      <c r="AW115" s="1479"/>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M115" s="1352"/>
      <c r="CN115" s="1352"/>
      <c r="CO115" s="1415" t="str">
        <f>CN113</f>
        <v/>
      </c>
      <c r="CP115" s="1417" t="e">
        <f>CP113</f>
        <v>#N/A</v>
      </c>
      <c r="CR115" s="1386" t="s">
        <v>284</v>
      </c>
      <c r="CS115" s="1353">
        <f>IF(HW113=TRUE,T115,0)</f>
        <v>0</v>
      </c>
      <c r="CT115" s="1353" t="str">
        <f>IF(HW113=TRUE,U115,"")</f>
        <v/>
      </c>
      <c r="CU115" s="1373">
        <f>IF(HW113=TRUE,U116,0)</f>
        <v>0</v>
      </c>
      <c r="CV115" s="1370">
        <f>IF(HW113=TRUE,AB116,0)</f>
        <v>0</v>
      </c>
      <c r="CW115" s="1370">
        <f>IF(HW113=TRUE,AC116,0)</f>
        <v>0</v>
      </c>
      <c r="CX115" s="1371"/>
      <c r="CY115" s="1486"/>
      <c r="CZ115" s="1486"/>
      <c r="DA115" s="1486"/>
      <c r="DC115" s="1353">
        <f>IF(HW113=TRUE,AE115,0)</f>
        <v>0</v>
      </c>
      <c r="DD115" s="1353" t="str">
        <f>IF(HW113=TRUE,AF115,"")</f>
        <v/>
      </c>
      <c r="DE115" s="1373">
        <f>AF116</f>
        <v>0</v>
      </c>
      <c r="DF115" s="1406">
        <f>IFERROR(IF(FL115=3,IK115,IF(FL115=4,IL115,IF(FL115=5,IM115,IF(FL115=6,IN115,IF(FL115=7,IO115,IF(FL115=8,IP115,0)))))),0)</f>
        <v>0</v>
      </c>
      <c r="DG115" s="1370">
        <f>IF(HW113=TRUE,AK115,0)</f>
        <v>0</v>
      </c>
      <c r="DH115" s="1369"/>
      <c r="DK115" s="1483">
        <f>IFERROR(CW115-DG115,0)</f>
        <v>0</v>
      </c>
      <c r="DL115" s="1420"/>
      <c r="DN115" s="1403"/>
      <c r="DO115" s="1477" t="str">
        <f>DN113</f>
        <v/>
      </c>
      <c r="DP115" s="1354"/>
      <c r="DQ115" s="1477" t="str">
        <f>IF(DP113=7,"LLLC","")</f>
        <v/>
      </c>
      <c r="DR115" s="1403"/>
      <c r="DS115" s="1489"/>
      <c r="DU115" s="1403"/>
      <c r="DV115" s="1404" t="str">
        <f>DU113</f>
        <v/>
      </c>
      <c r="DW115" s="1403"/>
      <c r="DX115" s="1403"/>
      <c r="DZ115" s="1481"/>
      <c r="EA115" s="1481"/>
      <c r="EC115" s="1482"/>
      <c r="ED115" s="1369"/>
      <c r="EE115" s="1371"/>
      <c r="EF115" s="1369"/>
      <c r="EG115" s="1369"/>
      <c r="EH115" s="1374"/>
      <c r="EI115" s="1374"/>
      <c r="EJ115" s="1363"/>
      <c r="EK115" s="1376"/>
      <c r="EL115" s="1376"/>
      <c r="EM115" s="1362"/>
      <c r="EN115" s="1362"/>
      <c r="EO115" s="1363"/>
      <c r="EP115" s="1363"/>
      <c r="EQ115" s="1363"/>
      <c r="ES115" s="1403"/>
      <c r="EU115" s="1411" t="e">
        <f>VLOOKUP(CP115,'Space Table'!$B$3:$L$160,8,FALSE)</f>
        <v>#N/A</v>
      </c>
      <c r="EV115" s="1411" t="e">
        <f>IF(EY115="Yes",VLOOKUP(AF115,Lookup_Control_Type_Table2,4,FALSE),VLOOKUP(AF115,Lookup_Control_Type_Table2,3,FALSE))</f>
        <v>#N/A</v>
      </c>
      <c r="EW115" s="1411" t="e">
        <f>VLOOKUP(AF115,Lookup!AU$3:AV$15,2,FALSE)</f>
        <v>#N/A</v>
      </c>
      <c r="EX115" s="1411" t="e">
        <f>VLOOKUP(EU113,Lookup_Control_Type_Table,2,FALSE)</f>
        <v>#N/A</v>
      </c>
      <c r="EY115" s="1411" t="e">
        <f>VLOOKUP(CP115,'Space Table'!$B$3:$L$160,7,FALSE)</f>
        <v>#N/A</v>
      </c>
      <c r="EZ115" s="1413"/>
      <c r="FB115" s="1365" t="str">
        <f>CONCATENATE(CN113," - ",AF115)</f>
        <v xml:space="preserve"> - </v>
      </c>
      <c r="FD115" s="1354"/>
      <c r="FE115" s="1354"/>
      <c r="FF115" s="138"/>
      <c r="FI115" s="1356" t="str">
        <f>IF(CN113="Exterior","Not Daylighted",G116)</f>
        <v>Not Daylighted</v>
      </c>
      <c r="FJ115" s="1356">
        <f>VLOOKUP(FI115,_Daylight_Table_Codes,2,FALSE)</f>
        <v>0</v>
      </c>
      <c r="FK115" s="1365">
        <f>AF115</f>
        <v>0</v>
      </c>
      <c r="FL115" s="1365" t="e">
        <f>VLOOKUP(FK115,_Control_Table,2,FALSE)</f>
        <v>#N/A</v>
      </c>
      <c r="FM115" s="1365" t="e">
        <f>IF(AND(FP115&gt;0,FK115="Occupancy Sensor"),"Daylight + Occupancy",IF(AND(FP115&gt;0,FL115&lt;4),"Interior Daylight Dimming",FK115))</f>
        <v>#N/A</v>
      </c>
      <c r="FO115" s="1364">
        <f>IF(CN113="Interior",VLOOKUP(CP113,Control_Savings_Interior,5,FALSE),0)</f>
        <v>0</v>
      </c>
      <c r="FP115" s="1361">
        <f>IF(CN115="Exterior",0,IF(FJ115=2,0.5,IF(OR(FJ115=1,FJ115=3),1,0)))</f>
        <v>0</v>
      </c>
      <c r="FQ115" s="1366">
        <f>IF(R114&gt;FO$37,(FO115*(FO$37/R114)),FO115)*FP115</f>
        <v>0</v>
      </c>
      <c r="FR115" s="1364">
        <f>DF115</f>
        <v>0</v>
      </c>
      <c r="FS115" s="1364">
        <f>ROUND(FR115+((1-FR115)*FQ115),2)</f>
        <v>0</v>
      </c>
      <c r="FT115" s="1364">
        <f>IF(__Retrofit_TI_NC=2,FS115,FR115)</f>
        <v>0</v>
      </c>
      <c r="FU115" s="1360">
        <f>IF(CO115="Interior",VLOOKUP(CP115,Control_Savings_Interior,4,FALSE),0)</f>
        <v>0</v>
      </c>
      <c r="FW115" s="1352"/>
      <c r="FX115" s="1352"/>
      <c r="FY115" s="1352"/>
      <c r="FZ115" s="1352"/>
      <c r="GA115" s="1352"/>
      <c r="GB115" s="1352"/>
      <c r="GC115" s="1352"/>
      <c r="GD115" s="1352"/>
      <c r="GE115" s="759" t="b">
        <f>IF(ISNUMBER(SEARCH("TLED",U115)),TRUE,FALSE)</f>
        <v>0</v>
      </c>
      <c r="GF115" s="1035" t="str">
        <f>IFERROR(VLOOKUP(U115,Fixtures!DM$93:DR$142,6,FALSE),"")</f>
        <v/>
      </c>
      <c r="GG115" s="1385"/>
      <c r="GI115" s="1383"/>
      <c r="GJ115" s="1379"/>
      <c r="GL115" s="1379"/>
      <c r="GM115" s="1379"/>
      <c r="HC115" s="1379"/>
      <c r="HD115" s="1379"/>
      <c r="HE115" s="1379"/>
      <c r="HF115" s="1379"/>
      <c r="HG115" s="1379"/>
      <c r="HH115" s="1379"/>
      <c r="HI115" s="1383"/>
      <c r="HJ115" s="1383"/>
      <c r="HK115" s="1383"/>
      <c r="HL115" s="1379"/>
      <c r="HM115" s="1379"/>
      <c r="HN115" s="1379"/>
      <c r="HO115" s="1379"/>
      <c r="HP115" s="1379"/>
      <c r="HQ115" s="1379"/>
      <c r="HR115" s="1379"/>
      <c r="HS115" s="1379"/>
      <c r="HT115" s="1379"/>
      <c r="HU115" s="1379"/>
      <c r="HW115" s="1383"/>
      <c r="HX115" s="1384" t="b">
        <f>HW113</f>
        <v>0</v>
      </c>
      <c r="HY115" s="1378"/>
      <c r="HZ115" s="436"/>
      <c r="IA115" s="1386"/>
      <c r="IB115" s="1380">
        <f>IF(IA113=TRUE,AC116,0)</f>
        <v>0</v>
      </c>
      <c r="IC115" s="1379"/>
      <c r="IF115" s="1380" t="e">
        <f>ROUND(T115*AB116*N114*R114/1000,0)</f>
        <v>#VALUE!</v>
      </c>
      <c r="IG115" s="1382"/>
      <c r="IH115" s="1384" t="e">
        <f>ROUND(T115*AB116*N114*R114/1000,0)</f>
        <v>#VALUE!</v>
      </c>
      <c r="II115" s="1382"/>
      <c r="IK115" s="1351" t="e">
        <f>IF($CO115="interior",IL115/2,VLOOKUP($CP115,Control_Savings_Exterior,IK$30,FALSE))</f>
        <v>#N/A</v>
      </c>
      <c r="IL115" s="1351" t="e">
        <f>IF($CO115="interior",VLOOKUP($CP115,Control_Savings_Interior,IL$30,FALSE),VLOOKUP($CP115,Control_Savings_Exterior,IL$30,FALSE))</f>
        <v>#N/A</v>
      </c>
      <c r="IM115" s="1351" t="e">
        <f>IF($CO115="interior",IF(R114&gt;FO$37,(IM$28*(FO$37/R114)),IM$28)*FP115,VLOOKUP($CP115,Control_Savings_Exterior,IM$30,FALSE))</f>
        <v>#N/A</v>
      </c>
      <c r="IN115" s="1351" t="e">
        <f>IF($CO115="interior",ROUND(((1-IL115)*IM115)+IL115,2),VLOOKUP($CP115,Control_Savings_Exterior,IN$30,FALSE))</f>
        <v>#N/A</v>
      </c>
      <c r="IO115" s="1351" t="e">
        <f>IF($CO115="interior", ROUND(((1-IL115)*(IM115*(1-IP$28)))+IP115,2), VLOOKUP($CP115,Control_Savings_Exterior,IO$30,FALSE))</f>
        <v>#N/A</v>
      </c>
      <c r="IP115" s="1351">
        <f>IF($CO115="interior",ROUND(((1-IL115)*IP$28)+IL115,2),0)</f>
        <v>0</v>
      </c>
    </row>
    <row r="116" spans="1:250" s="82" customFormat="1" ht="14.95" customHeight="1" thickTop="1" thickBot="1">
      <c r="B116" s="1421"/>
      <c r="C116" s="1422"/>
      <c r="D116" s="1423"/>
      <c r="E116" s="1462" t="s">
        <v>357</v>
      </c>
      <c r="F116" s="1463"/>
      <c r="G116" s="1464" t="s">
        <v>362</v>
      </c>
      <c r="H116" s="1465"/>
      <c r="I116" s="1465"/>
      <c r="J116" s="1465"/>
      <c r="K116" s="1465"/>
      <c r="L116" s="1466"/>
      <c r="M116" s="669">
        <f>IFERROR(VLOOKUP(G116,_Daylight_Table[],2,FALSE),0)</f>
        <v>0</v>
      </c>
      <c r="N116" s="670"/>
      <c r="O116" s="669" t="e">
        <f>VLOOKUP(G115,'Space Table'!$B$3:$L$160,11,FALSE)</f>
        <v>#N/A</v>
      </c>
      <c r="P116" s="1408"/>
      <c r="Q116" s="1409"/>
      <c r="R116" s="1409"/>
      <c r="S116" s="1402"/>
      <c r="T116" s="671" t="s">
        <v>281</v>
      </c>
      <c r="U116" s="1467" t="str">
        <f>IFERROR(VLOOKUP(U115,Fixtures!DM$93:DP$142,4,FALSE),"")</f>
        <v/>
      </c>
      <c r="V116" s="1468"/>
      <c r="W116" s="1468"/>
      <c r="X116" s="1468"/>
      <c r="Y116" s="1468"/>
      <c r="Z116" s="1468"/>
      <c r="AA116" s="1468"/>
      <c r="AB116" s="1046" t="str">
        <f>IFERROR(VLOOKUP(U115,Fixtures_Proposed_List,2,FALSE),"")</f>
        <v/>
      </c>
      <c r="AC116" s="1036" t="str">
        <f>IFERROR(ROUND(T115*AB116*N114*R114/1000,0),"")</f>
        <v/>
      </c>
      <c r="AD116" s="1037" t="str">
        <f>IFERROR(ROUND(T115*AB116/1000,2),"")</f>
        <v/>
      </c>
      <c r="AE116" s="1045" t="s">
        <v>281</v>
      </c>
      <c r="AF116" s="1469"/>
      <c r="AG116" s="1469"/>
      <c r="AH116" s="1469"/>
      <c r="AI116" s="1469"/>
      <c r="AJ116" s="1476"/>
      <c r="AK116" s="1471"/>
      <c r="AL116" s="1473"/>
      <c r="AM116" s="1443"/>
      <c r="AN116" s="1444"/>
      <c r="AO116" s="1449"/>
      <c r="AP116" s="1449"/>
      <c r="AQ116" s="1450"/>
      <c r="AR116" s="1453"/>
      <c r="AS116" s="1456"/>
      <c r="AT116" s="1459"/>
      <c r="AU116" s="517"/>
      <c r="AV116" s="1480"/>
      <c r="AW116" s="1480"/>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M116" s="1352"/>
      <c r="CN116" s="1352"/>
      <c r="CO116" s="1416"/>
      <c r="CP116" s="1418"/>
      <c r="CR116" s="1386"/>
      <c r="CS116" s="1355"/>
      <c r="CT116" s="1355"/>
      <c r="CU116" s="1375"/>
      <c r="CV116" s="1372"/>
      <c r="CW116" s="1372"/>
      <c r="CX116" s="1372"/>
      <c r="CY116" s="1487"/>
      <c r="CZ116" s="1487"/>
      <c r="DA116" s="1487"/>
      <c r="DC116" s="1355"/>
      <c r="DD116" s="1355"/>
      <c r="DE116" s="1375"/>
      <c r="DF116" s="1407"/>
      <c r="DG116" s="1372"/>
      <c r="DH116" s="1369"/>
      <c r="DK116" s="1484"/>
      <c r="DL116" s="1420"/>
      <c r="DN116" s="1403"/>
      <c r="DO116" s="1405"/>
      <c r="DP116" s="1355"/>
      <c r="DQ116" s="1405"/>
      <c r="DR116" s="1403"/>
      <c r="DS116" s="1489"/>
      <c r="DU116" s="1403"/>
      <c r="DV116" s="1405"/>
      <c r="DW116" s="1403"/>
      <c r="DX116" s="1403"/>
      <c r="DZ116" s="1481"/>
      <c r="EA116" s="1481"/>
      <c r="EC116" s="1482"/>
      <c r="ED116" s="1369"/>
      <c r="EE116" s="1372"/>
      <c r="EF116" s="1369"/>
      <c r="EG116" s="1369"/>
      <c r="EH116" s="1375"/>
      <c r="EI116" s="1375"/>
      <c r="EJ116" s="1363"/>
      <c r="EK116" s="1376"/>
      <c r="EL116" s="1376"/>
      <c r="EM116" s="1362"/>
      <c r="EN116" s="1362"/>
      <c r="EO116" s="1363"/>
      <c r="EP116" s="1363"/>
      <c r="EQ116" s="1363"/>
      <c r="ES116" s="1403"/>
      <c r="EU116" s="1488"/>
      <c r="EV116" s="1488"/>
      <c r="EW116" s="1488"/>
      <c r="EX116" s="1488"/>
      <c r="EY116" s="1488"/>
      <c r="EZ116" s="1414"/>
      <c r="FB116" s="1365"/>
      <c r="FD116" s="1355"/>
      <c r="FE116" s="1355"/>
      <c r="FF116" s="138"/>
      <c r="FI116" s="1357"/>
      <c r="FJ116" s="1357"/>
      <c r="FK116" s="1365"/>
      <c r="FL116" s="1365"/>
      <c r="FM116" s="1365"/>
      <c r="FO116" s="1361"/>
      <c r="FP116" s="1361"/>
      <c r="FQ116" s="1366"/>
      <c r="FR116" s="1361"/>
      <c r="FS116" s="1361"/>
      <c r="FT116" s="1361"/>
      <c r="FU116" s="1360"/>
      <c r="FW116" s="1352"/>
      <c r="FX116" s="1352"/>
      <c r="FY116" s="1352"/>
      <c r="FZ116" s="1352"/>
      <c r="GA116" s="1352"/>
      <c r="GB116" s="1352"/>
      <c r="GC116" s="1352"/>
      <c r="GD116" s="1352"/>
      <c r="GE116" s="759"/>
      <c r="GF116" s="1035"/>
      <c r="GG116" s="1385"/>
      <c r="GJ116" s="1034">
        <f>IF(GJ114=TRUE,0,GJ$16)</f>
        <v>0</v>
      </c>
      <c r="GL116" s="1034">
        <f>IF(GL114=TRUE,0,GL$16)</f>
        <v>36</v>
      </c>
      <c r="GM116" s="1034">
        <f>IF(GM114=TRUE,0,GM$16)</f>
        <v>35</v>
      </c>
      <c r="GN116" s="436"/>
      <c r="GO116" s="436"/>
      <c r="GP116" s="436"/>
      <c r="GQ116" s="436"/>
      <c r="GR116" s="436"/>
      <c r="HC116" s="1034">
        <f t="shared" ref="HC116:HH116" si="70">IF(HC114=TRUE,0,HC$16)</f>
        <v>19</v>
      </c>
      <c r="HD116" s="1034">
        <f t="shared" si="70"/>
        <v>18</v>
      </c>
      <c r="HE116" s="1034">
        <f t="shared" si="70"/>
        <v>17</v>
      </c>
      <c r="HF116" s="1034">
        <f t="shared" si="70"/>
        <v>16</v>
      </c>
      <c r="HG116" s="1034">
        <f t="shared" si="70"/>
        <v>0</v>
      </c>
      <c r="HH116" s="1034">
        <f t="shared" si="70"/>
        <v>0</v>
      </c>
      <c r="HI116" s="1034">
        <f>IF(HI114=TRUE,0,HI$16)</f>
        <v>13</v>
      </c>
      <c r="HJ116" s="1034">
        <f t="shared" ref="HJ116:HL116" si="71">IF(HJ114=TRUE,0,HJ$16)</f>
        <v>12</v>
      </c>
      <c r="HK116" s="1034">
        <f t="shared" si="71"/>
        <v>11</v>
      </c>
      <c r="HL116" s="1034">
        <f t="shared" si="71"/>
        <v>10</v>
      </c>
      <c r="HM116" s="1034">
        <f>IF(HM114=TRUE,0,HM$16)</f>
        <v>9</v>
      </c>
      <c r="HN116" s="1034">
        <f t="shared" ref="HN116:HR116" si="72">IF(HN114=TRUE,0,HN$16)</f>
        <v>0</v>
      </c>
      <c r="HO116" s="1034">
        <f t="shared" si="72"/>
        <v>0</v>
      </c>
      <c r="HP116" s="1034">
        <f t="shared" si="72"/>
        <v>0</v>
      </c>
      <c r="HQ116" s="1034">
        <f t="shared" si="72"/>
        <v>0</v>
      </c>
      <c r="HR116" s="1034">
        <f t="shared" si="72"/>
        <v>0</v>
      </c>
      <c r="HS116" s="1034">
        <f>IF(HS114=TRUE,0,HS$16)</f>
        <v>0</v>
      </c>
      <c r="HT116" s="1034">
        <f t="shared" ref="HT116" si="73">IF(HT114=TRUE,0,HT$16)</f>
        <v>0</v>
      </c>
      <c r="HU116" s="1034">
        <f>IF(HU114=TRUE,0,HU$16)</f>
        <v>1</v>
      </c>
      <c r="HW116" s="1034">
        <f>IF(GL114=FALSE,GL116,IF(GM114=FALSE,GM116,MAX(GJ116:HU116)))</f>
        <v>36</v>
      </c>
      <c r="HX116" s="1383"/>
      <c r="HY116" s="241" t="str">
        <f>VLOOKUP(HW116,_Error_Table,3,FALSE)</f>
        <v xml:space="preserve"> </v>
      </c>
      <c r="HZ116" s="241"/>
      <c r="IA116" s="1386"/>
      <c r="IB116" s="1380"/>
      <c r="IC116" s="1379"/>
      <c r="IF116" s="1380"/>
      <c r="IG116" s="1383"/>
      <c r="IH116" s="1383"/>
      <c r="II116" s="1383"/>
      <c r="IK116" s="1351"/>
      <c r="IL116" s="1351"/>
      <c r="IM116" s="1351"/>
      <c r="IN116" s="1351"/>
      <c r="IO116" s="1351"/>
      <c r="IP116" s="1351"/>
    </row>
    <row r="117" spans="1:250" s="82" customFormat="1" ht="5.0999999999999996" customHeight="1" thickBot="1">
      <c r="B117" s="763"/>
      <c r="C117" s="437"/>
      <c r="D117" s="437"/>
      <c r="E117" s="1490"/>
      <c r="F117" s="1490"/>
      <c r="G117" s="1490"/>
      <c r="H117" s="1490"/>
      <c r="I117" s="1490"/>
      <c r="J117" s="1490"/>
      <c r="K117" s="1490"/>
      <c r="L117" s="1490"/>
      <c r="M117" s="1490"/>
      <c r="N117" s="1490"/>
      <c r="O117" s="1490"/>
      <c r="P117" s="1490"/>
      <c r="Q117" s="1490"/>
      <c r="R117" s="1490"/>
      <c r="S117" s="1490"/>
      <c r="T117" s="1490"/>
      <c r="U117" s="1490"/>
      <c r="V117" s="1490"/>
      <c r="W117" s="1490"/>
      <c r="X117" s="1490"/>
      <c r="Y117" s="1490"/>
      <c r="Z117" s="1490"/>
      <c r="AA117" s="1490"/>
      <c r="AB117" s="1490"/>
      <c r="AC117" s="1490"/>
      <c r="AD117" s="1490"/>
      <c r="AE117" s="1490"/>
      <c r="AF117" s="1490"/>
      <c r="AG117" s="1490"/>
      <c r="AH117" s="1490"/>
      <c r="AI117" s="1490"/>
      <c r="AJ117" s="1490"/>
      <c r="AK117" s="1490"/>
      <c r="AL117" s="1490"/>
      <c r="AM117" s="1490"/>
      <c r="AN117" s="1490"/>
      <c r="AO117" s="1490"/>
      <c r="AP117" s="1490"/>
      <c r="AQ117" s="1490"/>
      <c r="AR117" s="1490"/>
      <c r="AS117" s="1490"/>
      <c r="AT117" s="1490"/>
      <c r="AU117" s="51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M117" s="749"/>
      <c r="CN117" s="749"/>
      <c r="CO117" s="485"/>
      <c r="CP117" s="749"/>
      <c r="CS117" s="436"/>
      <c r="CT117" s="436"/>
      <c r="CU117" s="243"/>
      <c r="CV117" s="244"/>
      <c r="CW117" s="244"/>
      <c r="CX117" s="244"/>
      <c r="CY117" s="245"/>
      <c r="CZ117" s="245"/>
      <c r="DA117" s="245"/>
      <c r="DC117" s="750"/>
      <c r="DD117" s="751"/>
      <c r="DE117" s="752"/>
      <c r="DF117" s="753"/>
      <c r="DG117" s="754"/>
      <c r="DH117" s="754"/>
      <c r="DK117" s="244"/>
      <c r="DL117" s="750"/>
      <c r="DN117" s="750"/>
      <c r="DO117" s="755"/>
      <c r="DP117" s="436"/>
      <c r="DQ117" s="750"/>
      <c r="DR117" s="750"/>
      <c r="DS117" s="750"/>
      <c r="DU117" s="750"/>
      <c r="DV117" s="750"/>
      <c r="DW117" s="750"/>
      <c r="DX117" s="750"/>
      <c r="DZ117" s="756"/>
      <c r="EA117" s="756"/>
      <c r="EC117" s="754"/>
      <c r="ED117" s="754"/>
      <c r="EE117" s="244"/>
      <c r="EF117" s="754"/>
      <c r="EG117" s="754"/>
      <c r="EH117" s="243"/>
      <c r="EI117" s="243"/>
      <c r="EJ117" s="752"/>
      <c r="EK117" s="757"/>
      <c r="EL117" s="757"/>
      <c r="EM117" s="758"/>
      <c r="EN117" s="758"/>
      <c r="EO117" s="752"/>
      <c r="EP117" s="752"/>
      <c r="EQ117" s="752"/>
      <c r="ES117" s="750"/>
      <c r="EU117" s="436"/>
      <c r="EV117" s="436"/>
      <c r="EW117" s="436"/>
      <c r="EX117" s="436"/>
      <c r="EY117" s="436"/>
      <c r="EZ117" s="436"/>
      <c r="FB117" s="643"/>
      <c r="FD117" s="436"/>
      <c r="FE117" s="436"/>
      <c r="FF117" s="436"/>
      <c r="FO117" s="750"/>
      <c r="FP117" s="436"/>
      <c r="FQ117" s="436"/>
      <c r="FR117" s="750"/>
      <c r="FS117" s="750"/>
      <c r="FW117" s="749"/>
      <c r="FX117" s="749"/>
      <c r="FY117" s="749"/>
      <c r="FZ117" s="749"/>
      <c r="GA117" s="749"/>
      <c r="GB117" s="749"/>
      <c r="GC117" s="749"/>
      <c r="GD117" s="749"/>
      <c r="GE117" s="751"/>
      <c r="GF117" s="750"/>
      <c r="GG117" s="750"/>
    </row>
    <row r="118" spans="1:250" s="82" customFormat="1" ht="14.95" customHeight="1" thickTop="1" thickBot="1">
      <c r="B118" s="1421" t="str">
        <f>HY121</f>
        <v xml:space="preserve"> </v>
      </c>
      <c r="C118" s="1422">
        <f>C113+1</f>
        <v>16</v>
      </c>
      <c r="D118" s="1423"/>
      <c r="E118" s="1424" t="s">
        <v>242</v>
      </c>
      <c r="F118" s="1425"/>
      <c r="G118" s="1426"/>
      <c r="H118" s="1427"/>
      <c r="I118" s="1427"/>
      <c r="J118" s="1427"/>
      <c r="K118" s="1427"/>
      <c r="L118" s="1427"/>
      <c r="M118" s="1427"/>
      <c r="N118" s="1427"/>
      <c r="O118" s="1427"/>
      <c r="P118" s="1427"/>
      <c r="Q118" s="1427"/>
      <c r="R118" s="1427"/>
      <c r="S118" s="1428" t="s">
        <v>283</v>
      </c>
      <c r="T118" s="668" t="s">
        <v>190</v>
      </c>
      <c r="U118" s="1430" t="s">
        <v>186</v>
      </c>
      <c r="V118" s="1431"/>
      <c r="W118" s="1431"/>
      <c r="X118" s="1431"/>
      <c r="Y118" s="1431"/>
      <c r="Z118" s="1431"/>
      <c r="AA118" s="1431"/>
      <c r="AB118" s="1088" t="str">
        <f>IFERROR(IF(__Retrofit_TI_NC=0,VLOOKUP(U119,Fixtures_Existing_List,2,FALSE),ROUND(N120*R120/T120,10)),"")</f>
        <v/>
      </c>
      <c r="AC118" s="1039" t="str">
        <f>IFERROR(IF(__Retrofit_TI_NC=0,ROUND(T119*AB118*N119*R119/1000,0),IF(CN118="Interior",N120*R120*R119*N119*_C406_reduction/1000,N120*R120*R119*N119/1000)),"")</f>
        <v/>
      </c>
      <c r="AD118" s="1040" t="str">
        <f>IFERROR(IF(C$36=0,ROUND(T119*AB118/1000,2),N120*R120/1000),"")</f>
        <v/>
      </c>
      <c r="AE118" s="1044" t="s">
        <v>190</v>
      </c>
      <c r="AF118" s="1432" t="str">
        <f>IF(__Retrofit_TI_NC=2,CONCATENATE("Code min = ",DD118),IF(__Retrofit_TI_NC=1,"Emter what you think the existing control was"," Control"))</f>
        <v xml:space="preserve"> Control</v>
      </c>
      <c r="AG118" s="1432"/>
      <c r="AH118" s="1432"/>
      <c r="AI118" s="1432"/>
      <c r="AJ118" s="1433">
        <f>DF118</f>
        <v>0</v>
      </c>
      <c r="AK118" s="1435" t="str">
        <f>IFERROR(ROUND(AJ118*AC118,0),"")</f>
        <v/>
      </c>
      <c r="AL118" s="1437">
        <f>IFERROR(IF(HW118=FALSE,0,AC118-AK118),0)</f>
        <v>0</v>
      </c>
      <c r="AM118" s="1439">
        <f>AL118-AL120</f>
        <v>0</v>
      </c>
      <c r="AN118" s="1440"/>
      <c r="AO118" s="1445">
        <f>IFERROR(IF(HW118=FALSE,0,(T120*U121)+(AE120*AF121)),0)</f>
        <v>0</v>
      </c>
      <c r="AP118" s="1445"/>
      <c r="AQ118" s="1446"/>
      <c r="AR118" s="1451" t="s">
        <v>157</v>
      </c>
      <c r="AS118" s="1454">
        <f>IF(AR118="Yes",1,0)</f>
        <v>1</v>
      </c>
      <c r="AT118" s="1457" t="str">
        <f>IF(OR(DN118=4,DN118=5,DN118=6,DN118=12),CONCATENATE("$",IF(GD118=TRUE,Lookup!$B$11,Lookup!$B$2)," /lamp"),CONCATENATE(EA118,"/ kWh"))</f>
        <v>0/ kWh</v>
      </c>
      <c r="AU118" s="516"/>
      <c r="AV118" s="1478">
        <f>IFERROR(IF(GI119=TRUE,(AB121*T120)/R120,0),"NA")</f>
        <v>0</v>
      </c>
      <c r="AW118" s="1478" t="str">
        <f>IFERROR(N120*_C406_reduction,"NA")</f>
        <v>NA</v>
      </c>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M118" s="1352" t="str">
        <f>N119</f>
        <v/>
      </c>
      <c r="CN118" s="1352" t="str">
        <f>IFERROR(VLOOKUP(G119,_Lookup_Heat_Type_Table_New,3,FALSE),"")</f>
        <v/>
      </c>
      <c r="CO118" s="1415" t="str">
        <f>CN118</f>
        <v/>
      </c>
      <c r="CP118" s="1417" t="e">
        <f>VLOOKUP(G120,'Space Table'!$B$3:$L$160,9,FALSE)</f>
        <v>#N/A</v>
      </c>
      <c r="CR118" s="1386" t="s">
        <v>283</v>
      </c>
      <c r="CS118" s="1353">
        <f>IF(HW118=TRUE,T119,0)</f>
        <v>0</v>
      </c>
      <c r="CT118" s="1353" t="str">
        <f>IF(HW118=TRUE,U119,"")</f>
        <v/>
      </c>
      <c r="CU118" s="1353"/>
      <c r="CV118" s="1370">
        <f>IF(HW118=TRUE,AB118,0)</f>
        <v>0</v>
      </c>
      <c r="CW118" s="1370">
        <f>IF(HW118=TRUE,AC118,0)</f>
        <v>0</v>
      </c>
      <c r="CX118" s="1370">
        <f>IFERROR(IF(HW118=TRUE,CW118-CW120,0),0)</f>
        <v>0</v>
      </c>
      <c r="CY118" s="1485">
        <f>IF(HW118=TRUE,AD118,0)</f>
        <v>0</v>
      </c>
      <c r="CZ118" s="1485">
        <f>IF(HW118=TRUE,AD121,0)</f>
        <v>0</v>
      </c>
      <c r="DA118" s="1485">
        <f>IFERROR(CY118-CZ118,0)</f>
        <v>0</v>
      </c>
      <c r="DC118" s="1353">
        <f>IF(HW118=TRUE,AE119,0)</f>
        <v>0</v>
      </c>
      <c r="DD118" s="1460">
        <f>IF(__Retrofit_TI_NC=2,IF(CN118="Exterior",O121,FM118),FK118)</f>
        <v>0</v>
      </c>
      <c r="DE118" s="1353"/>
      <c r="DF118" s="1406">
        <f>IFERROR(IF(FL118=3,IK118,IF(FL118=4,IL118,IF(FL118=5,IM118,IF(FL118=6,IN118,IF(FL118=7,IO118,IF(FL118=8,IP118,0)))))),0)</f>
        <v>0</v>
      </c>
      <c r="DG118" s="1370">
        <f>IF(HW118=TRUE,AK118,0)</f>
        <v>0</v>
      </c>
      <c r="DH118" s="1369">
        <f>IFERROR(IF(HW118=TRUE,DG120-DG118,0),0)</f>
        <v>0</v>
      </c>
      <c r="DJ118" s="1483">
        <f>IFERROR(CW118-DG118,0)</f>
        <v>0</v>
      </c>
      <c r="DL118" s="1419">
        <f>DJ118-DK120</f>
        <v>0</v>
      </c>
      <c r="DN118" s="1403" t="str">
        <f>IFERROR(IF(AND(OR(FY118=4,FY118=5,FY118=6),OR(GB118=4,GB118=5,GB118=6)),FY118+8,VLOOKUP(CT120,Fixtures!R$31:Y$78,8,FALSE)),"")</f>
        <v/>
      </c>
      <c r="DO118" s="1404" t="str">
        <f>DN118</f>
        <v/>
      </c>
      <c r="DP118" s="1353" t="str">
        <f>IFERROR(VLOOKUP(DD120,Lookup!AU$3:AV$15,2,FALSE),"")</f>
        <v/>
      </c>
      <c r="DQ118" s="1404" t="str">
        <f>IF(DP118=7,"LLLC","")</f>
        <v/>
      </c>
      <c r="DR118" s="1403">
        <f>IFERROR(IF(OR(DN118=4,DN118=5,DN118=6,DN118=12,DN118=13,DN118=14),VLOOKUP(CT120,Fixtures!DN$27:EG$77,19,FALSE),1)*CS120,0)</f>
        <v>0</v>
      </c>
      <c r="DS118" s="1489">
        <f>IF(DP118=7,IF(DD118=DD120,0,DC120),0)</f>
        <v>0</v>
      </c>
      <c r="DU118" s="1403" t="str">
        <f>IFERROR(IF(EW118&lt;EW120,"Yes","No"),"")</f>
        <v/>
      </c>
      <c r="DV118" s="1404" t="str">
        <f>DU118</f>
        <v/>
      </c>
      <c r="DW118" s="1403">
        <f>IF(DU118="Yes",DC120,0)</f>
        <v>0</v>
      </c>
      <c r="DX118" s="1403">
        <f>DW118-DS118</f>
        <v>0</v>
      </c>
      <c r="DZ118" s="1481">
        <f>IFERROR(VLOOKUP(DN118,Lookup!AN$3:AO$16,2,FALSE),0)</f>
        <v>0</v>
      </c>
      <c r="EA118" s="1481">
        <f>IF(HW118=FALSE,0,IF(DU118="Yes",DZ118+Lookup!B$6,DZ118))</f>
        <v>0</v>
      </c>
      <c r="EC118" s="1482">
        <f>IF(HW118=TRUE,DJ118,0)</f>
        <v>0</v>
      </c>
      <c r="ED118" s="1369">
        <f>IF(HW118=TRUE,CW120,0)</f>
        <v>0</v>
      </c>
      <c r="EE118" s="1370">
        <f>IFERROR(EC118-ED118,0)</f>
        <v>0</v>
      </c>
      <c r="EF118" s="1369">
        <f>IF(HW118=TRUE,DG120,0)</f>
        <v>0</v>
      </c>
      <c r="EG118" s="1369">
        <f>IFERROR(EC118-ED118+EF118,0)</f>
        <v>0</v>
      </c>
      <c r="EH118" s="1373">
        <f>IF(HW118=TRUE,CS120*CU120,0)</f>
        <v>0</v>
      </c>
      <c r="EI118" s="1373">
        <f>IF(HW118=TRUE,DC120*DE120,0)</f>
        <v>0</v>
      </c>
      <c r="EJ118" s="1363">
        <f>AO118</f>
        <v>0</v>
      </c>
      <c r="EK118" s="1376" t="str">
        <f>IFERROR(IF(HW118=TRUE,VLOOKUP(DN118,Lookup!AN$3:AP$16,3,FALSE)*DR118,""),0)</f>
        <v/>
      </c>
      <c r="EL118" s="1376">
        <f>IF(HW118=TRUE,DW118*Lookup!AP$12,0)</f>
        <v>0</v>
      </c>
      <c r="EM118" s="1362">
        <f>IFERROR(IF(HW118=TRUE,EK118/EM$33,0),0)</f>
        <v>0</v>
      </c>
      <c r="EN118" s="1362">
        <f>IF(HW118=TRUE,EL118/EN$33,0)</f>
        <v>0</v>
      </c>
      <c r="EO118" s="1363">
        <f>IF(HW118=TRUE,EQ$33*EM118,0)</f>
        <v>0</v>
      </c>
      <c r="EP118" s="1363">
        <f>IF(HW118=TRUE,EQ$33*EN118,0)</f>
        <v>0</v>
      </c>
      <c r="EQ118" s="1363">
        <f>EO118+EP118</f>
        <v>0</v>
      </c>
      <c r="ES118" s="1403">
        <f>IF(G118="",0,1)</f>
        <v>0</v>
      </c>
      <c r="EU118" s="1410" t="e">
        <f>VLOOKUP(CP120,'Space Table'!$B$3:$L$160,8,FALSE)</f>
        <v>#N/A</v>
      </c>
      <c r="EV118" s="1410" t="e">
        <f>IF(EY118="Yes",VLOOKUP(DD118,Lookup_Control_Type_Table2,4,FALSE),VLOOKUP(DD118,Lookup_Control_Type_Table2,3,FALSE))</f>
        <v>#N/A</v>
      </c>
      <c r="EW118" s="1410" t="e">
        <f>VLOOKUP(DD118,Lookup!AU$3:AV$15,2,FALSE)</f>
        <v>#N/A</v>
      </c>
      <c r="EX118" s="1410" t="e">
        <f>VLOOKUP(EU118,Lookup_Control_Type_Table,2,FALSE)</f>
        <v>#N/A</v>
      </c>
      <c r="EY118" s="1410" t="e">
        <f>VLOOKUP(CP120,'Space Table'!$B$3:$L$160,7,FALSE)</f>
        <v>#N/A</v>
      </c>
      <c r="EZ118" s="1412" t="b">
        <f>ISNUMBER(SEARCH("TLED",U120))</f>
        <v>0</v>
      </c>
      <c r="FB118" s="1365" t="str">
        <f>CONCATENATE(CN118," - ",DD118)</f>
        <v xml:space="preserve"> - 0</v>
      </c>
      <c r="FD118" s="1353" t="str">
        <f>VLOOKUP(CT120,Fixtures!DN$27:EZ$77,38,FALSE)</f>
        <v/>
      </c>
      <c r="FE118" s="1353">
        <f>IFERROR(FD118*EE118,0)</f>
        <v>0</v>
      </c>
      <c r="FF118" s="138"/>
      <c r="FI118" s="1356" t="str">
        <f>IF(CN118="Exterior","Not Daylighted",G121)</f>
        <v>Not Daylighted</v>
      </c>
      <c r="FJ118" s="1356">
        <f>VLOOKUP(FI118,_Daylight_Table_Codes,2,FALSE)</f>
        <v>0</v>
      </c>
      <c r="FK118" s="1365">
        <f>IF(__Retrofit_TI_NC=2,VLOOKUP(G120,'Space Table'!$B$3:$L$160,11,FALSE),AF119)</f>
        <v>0</v>
      </c>
      <c r="FL118" s="1365" t="e">
        <f>VLOOKUP(FK118,_Control_Table,2,FALSE)</f>
        <v>#N/A</v>
      </c>
      <c r="FM118" s="1365" t="e">
        <f>IF(AND(FP118&gt;0,FK118="Occupancy Sensor"),"Daylight + Occupancy",IF(AND(FP118&gt;0,FL118&lt;4),"Interior Daylight Dimming",FK118))</f>
        <v>#N/A</v>
      </c>
      <c r="FO118" s="1364">
        <f>IF(CO118="Interior",VLOOKUP(CP118,Control_Savings_Interior,5,FALSE),0)</f>
        <v>0</v>
      </c>
      <c r="FP118" s="1361">
        <f>IF(CN118="Exterior",0,IF(FJ118=2,0.5,IF(OR(FJ118=1,FJ118=3),1,0)))</f>
        <v>0</v>
      </c>
      <c r="FQ118" s="1366"/>
      <c r="FR118" s="1367"/>
      <c r="FS118" s="1364"/>
      <c r="FT118" s="1367"/>
      <c r="FU118" s="1360"/>
      <c r="FW118" s="1352" t="str">
        <f>IFERROR(VLOOKUP(U119,_Exist_Fixture_Table,3,FALSE),"")</f>
        <v/>
      </c>
      <c r="FX118" s="1352" t="str">
        <f>VLOOKUP(CT118,_Exist_Fixture_Table,4,FALSE)</f>
        <v/>
      </c>
      <c r="FY118" s="1352">
        <f>IFERROR(VLOOKUP(FX118,Lookup!AM$6:AN$8,2,FALSE),0)</f>
        <v>0</v>
      </c>
      <c r="FZ118" s="1352" t="b">
        <f>IFERROR(IF(OR(GB118=4,GB118=5,GB118=6),TRUE,FALSE),"")</f>
        <v>0</v>
      </c>
      <c r="GA118" s="1352" t="str">
        <f>IFERROR(VLOOKUP(GB118,FY$6:FZ$10,2,FALSE),"")</f>
        <v/>
      </c>
      <c r="GB118" s="1352" t="str">
        <f>VLOOKUP(CT120,Fixtures!R$31:Y$78,8,FALSE)</f>
        <v/>
      </c>
      <c r="GC118" s="1352">
        <f>IF(AND(FW118=TRUE,FZ118=TRUE,OR(DN118=12,DN118=13,DN118=14)),FY118+8,0)</f>
        <v>0</v>
      </c>
      <c r="GD118" s="1352" t="b">
        <f>IF(OR(GC118=12,GC118=13,GC118=14),TRUE,FALSE)</f>
        <v>0</v>
      </c>
      <c r="GE118" s="759" t="b">
        <f>IF(ISNUMBER(SEARCH("TLED",U119)),TRUE,FALSE)</f>
        <v>0</v>
      </c>
      <c r="GF118" s="1035" t="str">
        <f>IFERROR(VLOOKUP(U119,Fixtures!BM$93:BR$142,6,FALSE),"")</f>
        <v/>
      </c>
      <c r="GG118" s="1385" t="b">
        <f>IF(OR(GE118=FALSE,GE120=FALSE),TRUE,IF(GF118-GF120&lt;5,FALSE,TRUE))</f>
        <v>1</v>
      </c>
      <c r="GK118" s="1034">
        <f>GL118</f>
        <v>0</v>
      </c>
      <c r="GL118" s="1034">
        <f>IF(G118="",0,1)</f>
        <v>0</v>
      </c>
      <c r="GM118" s="1034">
        <f>SUM(GN118:HB118)</f>
        <v>2</v>
      </c>
      <c r="GN118" s="1034">
        <f>IF(G119="",0,1)</f>
        <v>0</v>
      </c>
      <c r="GO118" s="1034">
        <f>IF(G120="",0,1)</f>
        <v>0</v>
      </c>
      <c r="GP118" s="1034">
        <f>IF(R119="",0,1)</f>
        <v>0</v>
      </c>
      <c r="GQ118" s="1034">
        <f>IF(__Retrofit_TI_NC=0,1,IF(R120="",0,1))</f>
        <v>1</v>
      </c>
      <c r="GR118" s="1034">
        <f>IF(CN118="Exterior",1,IF(G121="",0,1))</f>
        <v>1</v>
      </c>
      <c r="GS118" s="1034">
        <f>IF(__Retrofit_TI_NC&lt;&gt;0,1,IF(T119="",0,1))</f>
        <v>0</v>
      </c>
      <c r="GT118" s="1034">
        <f>IF(__Retrofit_TI_NC&lt;&gt;0,1,IF(U119="",0,1))</f>
        <v>0</v>
      </c>
      <c r="GU118" s="1034">
        <f>IF(T120="",0,1)</f>
        <v>0</v>
      </c>
      <c r="GV118" s="1034">
        <f>IF(U120="",0,1)</f>
        <v>0</v>
      </c>
      <c r="GW118" s="1034">
        <f>IF(__Retrofit_TI_NC=2,1,IF(U121="",0,1))</f>
        <v>0</v>
      </c>
      <c r="GX118" s="1034">
        <f>IF(__Retrofit_TI_NC&lt;&gt;0,1,IF(AE119="",0,1))</f>
        <v>0</v>
      </c>
      <c r="GY118" s="1034">
        <f>IF(__Retrofit_TI_NC&lt;&gt;0,1,IF(AF119="",0,1))</f>
        <v>0</v>
      </c>
      <c r="GZ118" s="1034">
        <f>IF(AE120="",0,1)</f>
        <v>0</v>
      </c>
      <c r="HA118" s="1034">
        <f>IF(AF120="",0,1)</f>
        <v>0</v>
      </c>
      <c r="HB118" s="1034">
        <f>IF(__Retrofit_TI_NC=2,1,IF(AF121="",0,1))</f>
        <v>0</v>
      </c>
      <c r="HV118" s="436"/>
      <c r="HW118" s="1384" t="b">
        <f>IF(OR(HW121=0,HW121=HT$16,HW121=HS$16,HW121=HU$16),TRUE,FALSE)</f>
        <v>0</v>
      </c>
      <c r="HX118" s="1377" t="b">
        <f>HW118</f>
        <v>0</v>
      </c>
      <c r="HY118" s="436"/>
      <c r="HZ118" s="436"/>
      <c r="IA118" s="1386" t="b">
        <f>IF(MAX(GJ121:HP121)&gt;5,FALSE,TRUE)</f>
        <v>0</v>
      </c>
      <c r="IB118" s="1380">
        <f>IF(IA118=TRUE,AC118,0)</f>
        <v>0</v>
      </c>
      <c r="IC118" s="1380">
        <f>IB118-IB120</f>
        <v>0</v>
      </c>
      <c r="IF118" s="1380" t="e">
        <f>ROUND(T119*VLOOKUP(U119,Fixtures_Existing_List,2,FALSE)*N119*R119/1000,0)</f>
        <v>#N/A</v>
      </c>
      <c r="IG118" s="1381" t="e">
        <f>IF118-IF120</f>
        <v>#N/A</v>
      </c>
      <c r="IH118" s="1384" t="e">
        <f>ROUND(IF(CN118="Interior",N120*R120*R119*N119*_C406_reduction/1000,N120*R120*R119*N119/1000),0)</f>
        <v>#N/A</v>
      </c>
      <c r="II118" s="1384" t="e">
        <f>IH118-IH120</f>
        <v>#N/A</v>
      </c>
      <c r="IK118" s="1351" t="e">
        <f>IF($CO118="interior",IL118/2,VLOOKUP($CP118,Control_Savings_Exterior,IK$30,FALSE))</f>
        <v>#N/A</v>
      </c>
      <c r="IL118" s="1351" t="e">
        <f>IF($CO118="interior",VLOOKUP($CP118,Control_Savings_Interior,IL$30,FALSE),VLOOKUP($CP118,Control_Savings_Exterior,IL$30,FALSE))</f>
        <v>#N/A</v>
      </c>
      <c r="IM118" s="1351" t="e">
        <f>IF($CO118="interior",IF(R119&gt;FO$37,(IM$28*(FO$37/R119)),IM$28)*FP118,VLOOKUP($CP118,Control_Savings_Exterior,IM$30,FALSE))</f>
        <v>#N/A</v>
      </c>
      <c r="IN118" s="1351" t="e">
        <f>IF($CO118="interior",ROUND(((1-IL118)*IM118)+IL118,2),VLOOKUP($CP118,Control_Savings_Exterior,IN$30,FALSE))</f>
        <v>#N/A</v>
      </c>
      <c r="IO118" s="1351" t="e">
        <f>IF($CO118="interior", ROUND(((1-IL118)*(IM118*(1-IP$28)))+IP118,2), VLOOKUP($CP118,Control_Savings_Exterior,IO$30,FALSE))</f>
        <v>#N/A</v>
      </c>
      <c r="IP118" s="1351">
        <f>IF($CO118="interior",ROUND(((1-IL118)*IP$28)+IL118,2),0)</f>
        <v>0</v>
      </c>
    </row>
    <row r="119" spans="1:250" s="82" customFormat="1" ht="14.95" customHeight="1" thickTop="1" thickBot="1">
      <c r="B119" s="1421"/>
      <c r="C119" s="1422"/>
      <c r="D119" s="1423"/>
      <c r="E119" s="1393" t="s">
        <v>244</v>
      </c>
      <c r="F119" s="1394"/>
      <c r="G119" s="1395"/>
      <c r="H119" s="1395"/>
      <c r="I119" s="1395"/>
      <c r="J119" s="1395"/>
      <c r="K119" s="1395"/>
      <c r="L119" s="1395"/>
      <c r="M119" s="509" t="e">
        <f>IF(__Retrofit_TI_NC&lt;&gt;0,IF(VLOOKUP(G120,'Space Table'!$B$3:$L$160,3,FALSE)&gt;0,1,0),IF(__Retrofit_TI_NC=VLOOKUP(G120,'Space Table'!$B$3:$L$160,3,FALSE),1,0))</f>
        <v>#N/A</v>
      </c>
      <c r="N119" s="509" t="str">
        <f>IFERROR(VLOOKUP(G119,_Lookup_Heat_Type_Table_New,2,FALSE),"")</f>
        <v/>
      </c>
      <c r="O119" s="509">
        <f>IF(__Retrofit_TI_NC=1,CONCATENATE("TI ",G119),IF(__Retrofit_TI_NC=2,CONCATENATE("NC ",G119),G119))</f>
        <v>0</v>
      </c>
      <c r="P119" s="1396" t="s">
        <v>352</v>
      </c>
      <c r="Q119" s="1396"/>
      <c r="R119" s="673"/>
      <c r="S119" s="1429"/>
      <c r="T119" s="675"/>
      <c r="U119" s="1496"/>
      <c r="V119" s="1497"/>
      <c r="W119" s="1497"/>
      <c r="X119" s="1497"/>
      <c r="Y119" s="1497"/>
      <c r="Z119" s="1497"/>
      <c r="AA119" s="1497"/>
      <c r="AB119" s="1497"/>
      <c r="AC119" s="1497"/>
      <c r="AD119" s="1498"/>
      <c r="AE119" s="675"/>
      <c r="AF119" s="1397"/>
      <c r="AG119" s="1397"/>
      <c r="AH119" s="1397"/>
      <c r="AI119" s="1397"/>
      <c r="AJ119" s="1434"/>
      <c r="AK119" s="1436"/>
      <c r="AL119" s="1438"/>
      <c r="AM119" s="1441"/>
      <c r="AN119" s="1442"/>
      <c r="AO119" s="1447"/>
      <c r="AP119" s="1447"/>
      <c r="AQ119" s="1448"/>
      <c r="AR119" s="1452"/>
      <c r="AS119" s="1455"/>
      <c r="AT119" s="1458"/>
      <c r="AU119" s="516"/>
      <c r="AV119" s="1479"/>
      <c r="AW119" s="1479"/>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M119" s="1352"/>
      <c r="CN119" s="1352"/>
      <c r="CO119" s="1416"/>
      <c r="CP119" s="1418"/>
      <c r="CR119" s="1386"/>
      <c r="CS119" s="1355"/>
      <c r="CT119" s="1355"/>
      <c r="CU119" s="1355"/>
      <c r="CV119" s="1372"/>
      <c r="CW119" s="1372"/>
      <c r="CX119" s="1371"/>
      <c r="CY119" s="1486"/>
      <c r="CZ119" s="1486"/>
      <c r="DA119" s="1486"/>
      <c r="DC119" s="1355"/>
      <c r="DD119" s="1461"/>
      <c r="DE119" s="1355"/>
      <c r="DF119" s="1407"/>
      <c r="DG119" s="1372"/>
      <c r="DH119" s="1369"/>
      <c r="DJ119" s="1484"/>
      <c r="DL119" s="1419"/>
      <c r="DN119" s="1403"/>
      <c r="DO119" s="1405"/>
      <c r="DP119" s="1354"/>
      <c r="DQ119" s="1405"/>
      <c r="DR119" s="1403"/>
      <c r="DS119" s="1489"/>
      <c r="DU119" s="1403"/>
      <c r="DV119" s="1405"/>
      <c r="DW119" s="1403"/>
      <c r="DX119" s="1403"/>
      <c r="DZ119" s="1481"/>
      <c r="EA119" s="1481"/>
      <c r="EC119" s="1482"/>
      <c r="ED119" s="1369"/>
      <c r="EE119" s="1371"/>
      <c r="EF119" s="1369"/>
      <c r="EG119" s="1369"/>
      <c r="EH119" s="1374"/>
      <c r="EI119" s="1374"/>
      <c r="EJ119" s="1363"/>
      <c r="EK119" s="1376"/>
      <c r="EL119" s="1376"/>
      <c r="EM119" s="1362"/>
      <c r="EN119" s="1362"/>
      <c r="EO119" s="1363"/>
      <c r="EP119" s="1363"/>
      <c r="EQ119" s="1363"/>
      <c r="ES119" s="1403"/>
      <c r="EU119" s="1411"/>
      <c r="EV119" s="1411"/>
      <c r="EW119" s="1411"/>
      <c r="EX119" s="1411"/>
      <c r="EY119" s="1411"/>
      <c r="EZ119" s="1413"/>
      <c r="FB119" s="1365"/>
      <c r="FD119" s="1354"/>
      <c r="FE119" s="1354"/>
      <c r="FF119" s="138"/>
      <c r="FI119" s="1357"/>
      <c r="FJ119" s="1357"/>
      <c r="FK119" s="1365"/>
      <c r="FL119" s="1365"/>
      <c r="FM119" s="1365"/>
      <c r="FO119" s="1361"/>
      <c r="FP119" s="1361"/>
      <c r="FQ119" s="1366"/>
      <c r="FR119" s="1368"/>
      <c r="FS119" s="1361"/>
      <c r="FT119" s="1368"/>
      <c r="FU119" s="1360"/>
      <c r="FW119" s="1352"/>
      <c r="FX119" s="1352"/>
      <c r="FY119" s="1352"/>
      <c r="FZ119" s="1352"/>
      <c r="GA119" s="1352"/>
      <c r="GB119" s="1352"/>
      <c r="GC119" s="1352"/>
      <c r="GD119" s="1352"/>
      <c r="GE119" s="759"/>
      <c r="GF119" s="1035"/>
      <c r="GG119" s="1385"/>
      <c r="GI119" s="1384" t="b">
        <f>IF(AND(GL119=TRUE,GM119=TRUE),TRUE,FALSE)</f>
        <v>0</v>
      </c>
      <c r="GJ119" s="1379" t="b">
        <f>IFERROR(IF(__Retrofit_TI_NC=2,TRUE,IF(AR118="Yes",TRUE,FALSE)),FALSE)</f>
        <v>1</v>
      </c>
      <c r="GL119" s="1379" t="b">
        <f>IFERROR(IF(GL118=1,TRUE,FALSE),FALSE)</f>
        <v>0</v>
      </c>
      <c r="GM119" s="1379" t="b">
        <f>IFERROR(IF(GM118=GM$14,TRUE,FALSE),FALSE)</f>
        <v>0</v>
      </c>
      <c r="HC119" s="1379" t="b">
        <f>IFERROR(IF(M119=1,TRUE,FALSE),FALSE)</f>
        <v>0</v>
      </c>
      <c r="HD119" s="1379" t="b">
        <f>IFERROR(IF(M120=1,TRUE,FALSE),FALSE)</f>
        <v>0</v>
      </c>
      <c r="HE119" s="1379" t="b">
        <f>IFERROR(IF(__Retrofit_TI_NC&lt;&gt;0,TRUE,IFERROR(IF(VLOOKUP(U119,Fixtures_Existing_List,2,FALSE)&lt;&gt;"",TRUE,FALSE),FALSE)),FALSE)</f>
        <v>0</v>
      </c>
      <c r="HF119" s="1379" t="b">
        <f>IFERROR(IF(VLOOKUP(U120,Fixtures_Proposed_List,2,FALSE)&lt;&gt;"",TRUE,FALSE),FALSE)</f>
        <v>0</v>
      </c>
      <c r="HG119" s="1379" t="b">
        <f>IF(AND(__Retrofit_TI_NC=2,EZ118=TRUE),FALSE,TRUE)</f>
        <v>1</v>
      </c>
      <c r="HH119" s="1379" t="b">
        <f>GG118</f>
        <v>1</v>
      </c>
      <c r="HI119" s="1384" t="b">
        <f>IF(ISERROR(MATCH(FB118,_Control_Match[],0))=TRUE,FALSE,TRUE)</f>
        <v>0</v>
      </c>
      <c r="HJ119" s="1384" t="b">
        <f>IFERROR(IF(EU118&lt;&gt;EV118,FALSE,TRUE),FALSE)</f>
        <v>0</v>
      </c>
      <c r="HK119" s="1384" t="b">
        <f>IFERROR(IF(EU120&lt;&gt;EV120,FALSE,TRUE),FALSE)</f>
        <v>0</v>
      </c>
      <c r="HL119" s="1379" t="b">
        <f>IFERROR(IF(CN118="Exterior",TRUE,IF(OR(AND(FJ118=0,EW120&gt;4),AND(FJ118=4,EW120&gt;4,EW120&lt;7)),FALSE,TRUE)),FALSE)</f>
        <v>0</v>
      </c>
      <c r="HM119" s="1379" t="b">
        <f>IFERROR(IF(AND(FL120=7,EZ118=TRUE),FALSE,TRUE),FALSE)</f>
        <v>0</v>
      </c>
      <c r="HN119" s="1379" t="b">
        <f>IFERROR(IF(AND(T120&lt;&gt;AE120,AF120="Interior LLLC")=TRUE,FALSE,TRUE),FALSE)</f>
        <v>1</v>
      </c>
      <c r="HO119" s="1379" t="b">
        <f>IFERROR(IF(OR(AF120=Lookup!AU$13,AF120=Lookup!AU$14)=TRUE,IF(AE120&gt;T120,FALSE,TRUE),TRUE),FALSE)</f>
        <v>1</v>
      </c>
      <c r="HP119" s="1379" t="b">
        <f>IFERROR(IF(__Retrofit_TI_NC=2,IF(EW120&lt;EW118,FALSE,TRUE),TRUE),FALSE)</f>
        <v>1</v>
      </c>
      <c r="HQ119" s="1379" t="b">
        <f>IF(CN118="Interior",IG$6,TRUE)</f>
        <v>1</v>
      </c>
      <c r="HR119" s="1379" t="b">
        <f>IF(CN118="Exterior",IG$8,TRUE)</f>
        <v>1</v>
      </c>
      <c r="HS119" s="1379" t="b">
        <f>IFERROR(IF(__Retrofit_TI_NC&lt;&gt;0,IF(AW118&lt;AV118,FALSE,TRUE),TRUE),FALSE)</f>
        <v>1</v>
      </c>
      <c r="HT119" s="1379" t="b">
        <f>IFERROR(IF(AND(G119="Exterior",R119&gt;4200),FALSE,TRUE),FALSE)</f>
        <v>1</v>
      </c>
      <c r="HU119" s="1379" t="b">
        <f>IFERROR(IF(AB121/AB118&lt;HU$18,FALSE,TRUE),FALSE)</f>
        <v>0</v>
      </c>
      <c r="HW119" s="1382"/>
      <c r="HX119" s="1378"/>
      <c r="HY119" s="1377" t="str">
        <f>VLOOKUP(HW121,_Error_Table,4,FALSE)</f>
        <v>White</v>
      </c>
      <c r="HZ119" s="436"/>
      <c r="IA119" s="1386"/>
      <c r="IB119" s="1380"/>
      <c r="IC119" s="1379"/>
      <c r="IF119" s="1380"/>
      <c r="IG119" s="1382"/>
      <c r="IH119" s="1382"/>
      <c r="II119" s="1382"/>
      <c r="IK119" s="1351"/>
      <c r="IL119" s="1351"/>
      <c r="IM119" s="1351"/>
      <c r="IN119" s="1351"/>
      <c r="IO119" s="1351"/>
      <c r="IP119" s="1351"/>
    </row>
    <row r="120" spans="1:250" s="82" customFormat="1" ht="14.95" customHeight="1" thickTop="1" thickBot="1">
      <c r="A120" s="82">
        <f>ROW()</f>
        <v>120</v>
      </c>
      <c r="B120" s="1421"/>
      <c r="C120" s="1422"/>
      <c r="D120" s="1423"/>
      <c r="E120" s="1393" t="s">
        <v>245</v>
      </c>
      <c r="F120" s="1394"/>
      <c r="G120" s="1398"/>
      <c r="H120" s="1399"/>
      <c r="I120" s="1399"/>
      <c r="J120" s="1399"/>
      <c r="K120" s="1399"/>
      <c r="L120" s="1400"/>
      <c r="M120" s="509">
        <f>IFERROR(IF(IF(__Retrofit_TI_NC&lt;&gt;0,IF(CN118="Interior",MATCH(G120,Lookup_Interior_New,0),MATCH(G120,Lookup_Exterior_New,0)),IF(CN118="Interior",MATCH(G120,Lookup_Interior,0),MATCH(G120,Lookup_Exterior_Areas,0)))&gt;0,1,0),0)</f>
        <v>0</v>
      </c>
      <c r="N120" s="509" t="e">
        <f>IF(__Retrofit_TI_NC=1,
VLOOKUP(G120,'Space Table'!$B$3:$L$160,4,FALSE),
IF(__Retrofit_TI_NC=2,VLOOKUP(G120,'Space Table'!$B$3:$L$160,5,FALSE),VLOOKUP(G120,'Space Table'!$B$3:$L$160,5,FALSE)))</f>
        <v>#N/A</v>
      </c>
      <c r="O120" s="509">
        <f>G120</f>
        <v>0</v>
      </c>
      <c r="P120" s="1394" t="s">
        <v>355</v>
      </c>
      <c r="Q120" s="1394"/>
      <c r="R120" s="674"/>
      <c r="S120" s="1401" t="s">
        <v>284</v>
      </c>
      <c r="T120" s="672"/>
      <c r="U120" s="1499"/>
      <c r="V120" s="1500"/>
      <c r="W120" s="1500"/>
      <c r="X120" s="1500"/>
      <c r="Y120" s="1500"/>
      <c r="Z120" s="1500"/>
      <c r="AA120" s="1500"/>
      <c r="AB120" s="1501"/>
      <c r="AC120" s="1501"/>
      <c r="AD120" s="1502"/>
      <c r="AE120" s="672"/>
      <c r="AF120" s="1474"/>
      <c r="AG120" s="1474"/>
      <c r="AH120" s="1474"/>
      <c r="AI120" s="1474"/>
      <c r="AJ120" s="1475">
        <f>DF120</f>
        <v>0</v>
      </c>
      <c r="AK120" s="1470" t="str">
        <f>IFERROR(ROUND(AJ120*AC121,0),"")</f>
        <v/>
      </c>
      <c r="AL120" s="1472">
        <f>IFERROR(IF(HW118=FALSE,0,AC121-AK120),0)</f>
        <v>0</v>
      </c>
      <c r="AM120" s="1441"/>
      <c r="AN120" s="1442"/>
      <c r="AO120" s="1447"/>
      <c r="AP120" s="1447"/>
      <c r="AQ120" s="1448"/>
      <c r="AR120" s="1452"/>
      <c r="AS120" s="1455"/>
      <c r="AT120" s="1458"/>
      <c r="AU120" s="516"/>
      <c r="AV120" s="1479"/>
      <c r="AW120" s="1479"/>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M120" s="1352"/>
      <c r="CN120" s="1352"/>
      <c r="CO120" s="1415" t="str">
        <f>CN118</f>
        <v/>
      </c>
      <c r="CP120" s="1417" t="e">
        <f>CP118</f>
        <v>#N/A</v>
      </c>
      <c r="CR120" s="1386" t="s">
        <v>284</v>
      </c>
      <c r="CS120" s="1353">
        <f>IF(HW118=TRUE,T120,0)</f>
        <v>0</v>
      </c>
      <c r="CT120" s="1353" t="str">
        <f>IF(HW118=TRUE,U120,"")</f>
        <v/>
      </c>
      <c r="CU120" s="1373">
        <f>IF(HW118=TRUE,U121,0)</f>
        <v>0</v>
      </c>
      <c r="CV120" s="1370">
        <f>IF(HW118=TRUE,AB121,0)</f>
        <v>0</v>
      </c>
      <c r="CW120" s="1370">
        <f>IF(HW118=TRUE,AC121,0)</f>
        <v>0</v>
      </c>
      <c r="CX120" s="1371"/>
      <c r="CY120" s="1486"/>
      <c r="CZ120" s="1486"/>
      <c r="DA120" s="1486"/>
      <c r="DC120" s="1353">
        <f>IF(HW118=TRUE,AE120,0)</f>
        <v>0</v>
      </c>
      <c r="DD120" s="1353" t="str">
        <f>IF(HW118=TRUE,AF120,"")</f>
        <v/>
      </c>
      <c r="DE120" s="1373">
        <f>AF121</f>
        <v>0</v>
      </c>
      <c r="DF120" s="1406">
        <f>IFERROR(IF(FL120=3,IK120,IF(FL120=4,IL120,IF(FL120=5,IM120,IF(FL120=6,IN120,IF(FL120=7,IO120,IF(FL120=8,IP120,0)))))),0)</f>
        <v>0</v>
      </c>
      <c r="DG120" s="1370">
        <f>IF(HW118=TRUE,AK120,0)</f>
        <v>0</v>
      </c>
      <c r="DH120" s="1369"/>
      <c r="DK120" s="1483">
        <f>IFERROR(CW120-DG120,0)</f>
        <v>0</v>
      </c>
      <c r="DL120" s="1420"/>
      <c r="DN120" s="1403"/>
      <c r="DO120" s="1477" t="str">
        <f>DN118</f>
        <v/>
      </c>
      <c r="DP120" s="1354"/>
      <c r="DQ120" s="1477" t="str">
        <f>IF(DP118=7,"LLLC","")</f>
        <v/>
      </c>
      <c r="DR120" s="1403"/>
      <c r="DS120" s="1489"/>
      <c r="DU120" s="1403"/>
      <c r="DV120" s="1404" t="str">
        <f>DU118</f>
        <v/>
      </c>
      <c r="DW120" s="1403"/>
      <c r="DX120" s="1403"/>
      <c r="DZ120" s="1481"/>
      <c r="EA120" s="1481"/>
      <c r="EC120" s="1482"/>
      <c r="ED120" s="1369"/>
      <c r="EE120" s="1371"/>
      <c r="EF120" s="1369"/>
      <c r="EG120" s="1369"/>
      <c r="EH120" s="1374"/>
      <c r="EI120" s="1374"/>
      <c r="EJ120" s="1363"/>
      <c r="EK120" s="1376"/>
      <c r="EL120" s="1376"/>
      <c r="EM120" s="1362"/>
      <c r="EN120" s="1362"/>
      <c r="EO120" s="1363"/>
      <c r="EP120" s="1363"/>
      <c r="EQ120" s="1363"/>
      <c r="ES120" s="1403"/>
      <c r="EU120" s="1411" t="e">
        <f>VLOOKUP(CP120,'Space Table'!$B$3:$L$160,8,FALSE)</f>
        <v>#N/A</v>
      </c>
      <c r="EV120" s="1411" t="e">
        <f>IF(EY120="Yes",VLOOKUP(AF120,Lookup_Control_Type_Table2,4,FALSE),VLOOKUP(AF120,Lookup_Control_Type_Table2,3,FALSE))</f>
        <v>#N/A</v>
      </c>
      <c r="EW120" s="1411" t="e">
        <f>VLOOKUP(AF120,Lookup!AU$3:AV$15,2,FALSE)</f>
        <v>#N/A</v>
      </c>
      <c r="EX120" s="1411" t="e">
        <f>VLOOKUP(EU118,Lookup_Control_Type_Table,2,FALSE)</f>
        <v>#N/A</v>
      </c>
      <c r="EY120" s="1411" t="e">
        <f>VLOOKUP(CP120,'Space Table'!$B$3:$L$160,7,FALSE)</f>
        <v>#N/A</v>
      </c>
      <c r="EZ120" s="1413"/>
      <c r="FB120" s="1365" t="str">
        <f>CONCATENATE(CN118," - ",AF120)</f>
        <v xml:space="preserve"> - </v>
      </c>
      <c r="FD120" s="1354"/>
      <c r="FE120" s="1354"/>
      <c r="FF120" s="138"/>
      <c r="FI120" s="1356" t="str">
        <f>IF(CN118="Exterior","Not Daylighted",G121)</f>
        <v>Not Daylighted</v>
      </c>
      <c r="FJ120" s="1356">
        <f>VLOOKUP(FI120,_Daylight_Table_Codes,2,FALSE)</f>
        <v>0</v>
      </c>
      <c r="FK120" s="1365">
        <f>AF120</f>
        <v>0</v>
      </c>
      <c r="FL120" s="1365" t="e">
        <f>VLOOKUP(FK120,_Control_Table,2,FALSE)</f>
        <v>#N/A</v>
      </c>
      <c r="FM120" s="1365" t="e">
        <f>IF(AND(FP120&gt;0,FK120="Occupancy Sensor"),"Daylight + Occupancy",IF(AND(FP120&gt;0,FL120&lt;4),"Interior Daylight Dimming",FK120))</f>
        <v>#N/A</v>
      </c>
      <c r="FO120" s="1364">
        <f>IF(CN118="Interior",VLOOKUP(CP118,Control_Savings_Interior,5,FALSE),0)</f>
        <v>0</v>
      </c>
      <c r="FP120" s="1361">
        <f>IF(CN120="Exterior",0,IF(FJ120=2,0.5,IF(OR(FJ120=1,FJ120=3),1,0)))</f>
        <v>0</v>
      </c>
      <c r="FQ120" s="1366">
        <f>IF(R119&gt;FO$37,(FO120*(FO$37/R119)),FO120)*FP120</f>
        <v>0</v>
      </c>
      <c r="FR120" s="1364">
        <f>DF120</f>
        <v>0</v>
      </c>
      <c r="FS120" s="1364">
        <f>ROUND(FR120+((1-FR120)*FQ120),2)</f>
        <v>0</v>
      </c>
      <c r="FT120" s="1364">
        <f>IF(__Retrofit_TI_NC=2,FS120,FR120)</f>
        <v>0</v>
      </c>
      <c r="FU120" s="1360">
        <f>IF(CO120="Interior",VLOOKUP(CP120,Control_Savings_Interior,4,FALSE),0)</f>
        <v>0</v>
      </c>
      <c r="FW120" s="1352"/>
      <c r="FX120" s="1352"/>
      <c r="FY120" s="1352"/>
      <c r="FZ120" s="1352"/>
      <c r="GA120" s="1352"/>
      <c r="GB120" s="1352"/>
      <c r="GC120" s="1352"/>
      <c r="GD120" s="1352"/>
      <c r="GE120" s="759" t="b">
        <f>IF(ISNUMBER(SEARCH("TLED",U120)),TRUE,FALSE)</f>
        <v>0</v>
      </c>
      <c r="GF120" s="1035" t="str">
        <f>IFERROR(VLOOKUP(U120,Fixtures!DM$93:DR$142,6,FALSE),"")</f>
        <v/>
      </c>
      <c r="GG120" s="1385"/>
      <c r="GI120" s="1383"/>
      <c r="GJ120" s="1379"/>
      <c r="GL120" s="1379"/>
      <c r="GM120" s="1379"/>
      <c r="HC120" s="1379"/>
      <c r="HD120" s="1379"/>
      <c r="HE120" s="1379"/>
      <c r="HF120" s="1379"/>
      <c r="HG120" s="1379"/>
      <c r="HH120" s="1379"/>
      <c r="HI120" s="1383"/>
      <c r="HJ120" s="1383"/>
      <c r="HK120" s="1383"/>
      <c r="HL120" s="1379"/>
      <c r="HM120" s="1379"/>
      <c r="HN120" s="1379"/>
      <c r="HO120" s="1379"/>
      <c r="HP120" s="1379"/>
      <c r="HQ120" s="1379"/>
      <c r="HR120" s="1379"/>
      <c r="HS120" s="1379"/>
      <c r="HT120" s="1379"/>
      <c r="HU120" s="1379"/>
      <c r="HW120" s="1383"/>
      <c r="HX120" s="1384" t="b">
        <f>HW118</f>
        <v>0</v>
      </c>
      <c r="HY120" s="1378"/>
      <c r="HZ120" s="436"/>
      <c r="IA120" s="1386"/>
      <c r="IB120" s="1380">
        <f>IF(IA118=TRUE,AC121,0)</f>
        <v>0</v>
      </c>
      <c r="IC120" s="1379"/>
      <c r="IF120" s="1380" t="e">
        <f>ROUND(T120*AB121*N119*R119/1000,0)</f>
        <v>#VALUE!</v>
      </c>
      <c r="IG120" s="1382"/>
      <c r="IH120" s="1384" t="e">
        <f>ROUND(T120*AB121*N119*R119/1000,0)</f>
        <v>#VALUE!</v>
      </c>
      <c r="II120" s="1382"/>
      <c r="IK120" s="1351" t="e">
        <f>IF($CO120="interior",IL120/2,VLOOKUP($CP120,Control_Savings_Exterior,IK$30,FALSE))</f>
        <v>#N/A</v>
      </c>
      <c r="IL120" s="1351" t="e">
        <f>IF($CO120="interior",VLOOKUP($CP120,Control_Savings_Interior,IL$30,FALSE),VLOOKUP($CP120,Control_Savings_Exterior,IL$30,FALSE))</f>
        <v>#N/A</v>
      </c>
      <c r="IM120" s="1351" t="e">
        <f>IF($CO120="interior",IF(R119&gt;FO$37,(IM$28*(FO$37/R119)),IM$28)*FP120,VLOOKUP($CP120,Control_Savings_Exterior,IM$30,FALSE))</f>
        <v>#N/A</v>
      </c>
      <c r="IN120" s="1351" t="e">
        <f>IF($CO120="interior",ROUND(((1-IL120)*IM120)+IL120,2),VLOOKUP($CP120,Control_Savings_Exterior,IN$30,FALSE))</f>
        <v>#N/A</v>
      </c>
      <c r="IO120" s="1351" t="e">
        <f>IF($CO120="interior", ROUND(((1-IL120)*(IM120*(1-IP$28)))+IP120,2), VLOOKUP($CP120,Control_Savings_Exterior,IO$30,FALSE))</f>
        <v>#N/A</v>
      </c>
      <c r="IP120" s="1351">
        <f>IF($CO120="interior",ROUND(((1-IL120)*IP$28)+IL120,2),0)</f>
        <v>0</v>
      </c>
    </row>
    <row r="121" spans="1:250" s="82" customFormat="1" ht="14.95" customHeight="1" thickTop="1" thickBot="1">
      <c r="B121" s="1421"/>
      <c r="C121" s="1422"/>
      <c r="D121" s="1423"/>
      <c r="E121" s="1462" t="s">
        <v>357</v>
      </c>
      <c r="F121" s="1463"/>
      <c r="G121" s="1464" t="s">
        <v>362</v>
      </c>
      <c r="H121" s="1465"/>
      <c r="I121" s="1465"/>
      <c r="J121" s="1465"/>
      <c r="K121" s="1465"/>
      <c r="L121" s="1466"/>
      <c r="M121" s="669">
        <f>IFERROR(VLOOKUP(G121,_Daylight_Table[],2,FALSE),0)</f>
        <v>0</v>
      </c>
      <c r="N121" s="670"/>
      <c r="O121" s="669" t="e">
        <f>VLOOKUP(G120,'Space Table'!$B$3:$L$160,11,FALSE)</f>
        <v>#N/A</v>
      </c>
      <c r="P121" s="1408"/>
      <c r="Q121" s="1409"/>
      <c r="R121" s="1409"/>
      <c r="S121" s="1402"/>
      <c r="T121" s="671" t="s">
        <v>281</v>
      </c>
      <c r="U121" s="1467" t="str">
        <f>IFERROR(VLOOKUP(U120,Fixtures!DM$93:DP$142,4,FALSE),"")</f>
        <v/>
      </c>
      <c r="V121" s="1468"/>
      <c r="W121" s="1468"/>
      <c r="X121" s="1468"/>
      <c r="Y121" s="1468"/>
      <c r="Z121" s="1468"/>
      <c r="AA121" s="1468"/>
      <c r="AB121" s="1046" t="str">
        <f>IFERROR(VLOOKUP(U120,Fixtures_Proposed_List,2,FALSE),"")</f>
        <v/>
      </c>
      <c r="AC121" s="1036" t="str">
        <f>IFERROR(ROUND(T120*AB121*N119*R119/1000,0),"")</f>
        <v/>
      </c>
      <c r="AD121" s="1037" t="str">
        <f>IFERROR(ROUND(T120*AB121/1000,2),"")</f>
        <v/>
      </c>
      <c r="AE121" s="1045" t="s">
        <v>281</v>
      </c>
      <c r="AF121" s="1469"/>
      <c r="AG121" s="1469"/>
      <c r="AH121" s="1469"/>
      <c r="AI121" s="1469"/>
      <c r="AJ121" s="1476"/>
      <c r="AK121" s="1471"/>
      <c r="AL121" s="1473"/>
      <c r="AM121" s="1443"/>
      <c r="AN121" s="1444"/>
      <c r="AO121" s="1449"/>
      <c r="AP121" s="1449"/>
      <c r="AQ121" s="1450"/>
      <c r="AR121" s="1453"/>
      <c r="AS121" s="1456"/>
      <c r="AT121" s="1459"/>
      <c r="AU121" s="517"/>
      <c r="AV121" s="1480"/>
      <c r="AW121" s="1480"/>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M121" s="1352"/>
      <c r="CN121" s="1352"/>
      <c r="CO121" s="1416"/>
      <c r="CP121" s="1418"/>
      <c r="CR121" s="1386"/>
      <c r="CS121" s="1355"/>
      <c r="CT121" s="1355"/>
      <c r="CU121" s="1375"/>
      <c r="CV121" s="1372"/>
      <c r="CW121" s="1372"/>
      <c r="CX121" s="1372"/>
      <c r="CY121" s="1487"/>
      <c r="CZ121" s="1487"/>
      <c r="DA121" s="1487"/>
      <c r="DC121" s="1355"/>
      <c r="DD121" s="1355"/>
      <c r="DE121" s="1375"/>
      <c r="DF121" s="1407"/>
      <c r="DG121" s="1372"/>
      <c r="DH121" s="1369"/>
      <c r="DK121" s="1484"/>
      <c r="DL121" s="1420"/>
      <c r="DN121" s="1403"/>
      <c r="DO121" s="1405"/>
      <c r="DP121" s="1355"/>
      <c r="DQ121" s="1405"/>
      <c r="DR121" s="1403"/>
      <c r="DS121" s="1489"/>
      <c r="DU121" s="1403"/>
      <c r="DV121" s="1405"/>
      <c r="DW121" s="1403"/>
      <c r="DX121" s="1403"/>
      <c r="DZ121" s="1481"/>
      <c r="EA121" s="1481"/>
      <c r="EC121" s="1482"/>
      <c r="ED121" s="1369"/>
      <c r="EE121" s="1372"/>
      <c r="EF121" s="1369"/>
      <c r="EG121" s="1369"/>
      <c r="EH121" s="1375"/>
      <c r="EI121" s="1375"/>
      <c r="EJ121" s="1363"/>
      <c r="EK121" s="1376"/>
      <c r="EL121" s="1376"/>
      <c r="EM121" s="1362"/>
      <c r="EN121" s="1362"/>
      <c r="EO121" s="1363"/>
      <c r="EP121" s="1363"/>
      <c r="EQ121" s="1363"/>
      <c r="ES121" s="1403"/>
      <c r="EU121" s="1488"/>
      <c r="EV121" s="1488"/>
      <c r="EW121" s="1488"/>
      <c r="EX121" s="1488"/>
      <c r="EY121" s="1488"/>
      <c r="EZ121" s="1414"/>
      <c r="FB121" s="1365"/>
      <c r="FD121" s="1355"/>
      <c r="FE121" s="1355"/>
      <c r="FF121" s="138"/>
      <c r="FI121" s="1357"/>
      <c r="FJ121" s="1357"/>
      <c r="FK121" s="1365"/>
      <c r="FL121" s="1365"/>
      <c r="FM121" s="1365"/>
      <c r="FO121" s="1361"/>
      <c r="FP121" s="1361"/>
      <c r="FQ121" s="1366"/>
      <c r="FR121" s="1361"/>
      <c r="FS121" s="1361"/>
      <c r="FT121" s="1361"/>
      <c r="FU121" s="1360"/>
      <c r="FW121" s="1352"/>
      <c r="FX121" s="1352"/>
      <c r="FY121" s="1352"/>
      <c r="FZ121" s="1352"/>
      <c r="GA121" s="1352"/>
      <c r="GB121" s="1352"/>
      <c r="GC121" s="1352"/>
      <c r="GD121" s="1352"/>
      <c r="GE121" s="759"/>
      <c r="GF121" s="1035"/>
      <c r="GG121" s="1385"/>
      <c r="GJ121" s="1034">
        <f>IF(GJ119=TRUE,0,GJ$16)</f>
        <v>0</v>
      </c>
      <c r="GL121" s="1034">
        <f>IF(GL119=TRUE,0,GL$16)</f>
        <v>36</v>
      </c>
      <c r="GM121" s="1034">
        <f>IF(GM119=TRUE,0,GM$16)</f>
        <v>35</v>
      </c>
      <c r="GN121" s="436"/>
      <c r="GO121" s="436"/>
      <c r="GP121" s="436"/>
      <c r="GQ121" s="436"/>
      <c r="GR121" s="436"/>
      <c r="HC121" s="1034">
        <f t="shared" ref="HC121:HH121" si="74">IF(HC119=TRUE,0,HC$16)</f>
        <v>19</v>
      </c>
      <c r="HD121" s="1034">
        <f t="shared" si="74"/>
        <v>18</v>
      </c>
      <c r="HE121" s="1034">
        <f t="shared" si="74"/>
        <v>17</v>
      </c>
      <c r="HF121" s="1034">
        <f t="shared" si="74"/>
        <v>16</v>
      </c>
      <c r="HG121" s="1034">
        <f t="shared" si="74"/>
        <v>0</v>
      </c>
      <c r="HH121" s="1034">
        <f t="shared" si="74"/>
        <v>0</v>
      </c>
      <c r="HI121" s="1034">
        <f>IF(HI119=TRUE,0,HI$16)</f>
        <v>13</v>
      </c>
      <c r="HJ121" s="1034">
        <f t="shared" ref="HJ121:HL121" si="75">IF(HJ119=TRUE,0,HJ$16)</f>
        <v>12</v>
      </c>
      <c r="HK121" s="1034">
        <f t="shared" si="75"/>
        <v>11</v>
      </c>
      <c r="HL121" s="1034">
        <f t="shared" si="75"/>
        <v>10</v>
      </c>
      <c r="HM121" s="1034">
        <f>IF(HM119=TRUE,0,HM$16)</f>
        <v>9</v>
      </c>
      <c r="HN121" s="1034">
        <f t="shared" ref="HN121:HR121" si="76">IF(HN119=TRUE,0,HN$16)</f>
        <v>0</v>
      </c>
      <c r="HO121" s="1034">
        <f t="shared" si="76"/>
        <v>0</v>
      </c>
      <c r="HP121" s="1034">
        <f t="shared" si="76"/>
        <v>0</v>
      </c>
      <c r="HQ121" s="1034">
        <f t="shared" si="76"/>
        <v>0</v>
      </c>
      <c r="HR121" s="1034">
        <f t="shared" si="76"/>
        <v>0</v>
      </c>
      <c r="HS121" s="1034">
        <f>IF(HS119=TRUE,0,HS$16)</f>
        <v>0</v>
      </c>
      <c r="HT121" s="1034">
        <f t="shared" ref="HT121" si="77">IF(HT119=TRUE,0,HT$16)</f>
        <v>0</v>
      </c>
      <c r="HU121" s="1034">
        <f>IF(HU119=TRUE,0,HU$16)</f>
        <v>1</v>
      </c>
      <c r="HW121" s="1034">
        <f>IF(GL119=FALSE,GL121,IF(GM119=FALSE,GM121,MAX(GJ121:HU121)))</f>
        <v>36</v>
      </c>
      <c r="HX121" s="1383"/>
      <c r="HY121" s="241" t="str">
        <f>VLOOKUP(HW121,_Error_Table,3,FALSE)</f>
        <v xml:space="preserve"> </v>
      </c>
      <c r="HZ121" s="241"/>
      <c r="IA121" s="1386"/>
      <c r="IB121" s="1380"/>
      <c r="IC121" s="1379"/>
      <c r="IF121" s="1380"/>
      <c r="IG121" s="1383"/>
      <c r="IH121" s="1383"/>
      <c r="II121" s="1383"/>
      <c r="IK121" s="1351"/>
      <c r="IL121" s="1351"/>
      <c r="IM121" s="1351"/>
      <c r="IN121" s="1351"/>
      <c r="IO121" s="1351"/>
      <c r="IP121" s="1351"/>
    </row>
    <row r="122" spans="1:250" s="82" customFormat="1" ht="5.0999999999999996" customHeight="1" thickBot="1">
      <c r="B122" s="763"/>
      <c r="C122" s="437"/>
      <c r="D122" s="437"/>
      <c r="E122" s="1490"/>
      <c r="F122" s="1490"/>
      <c r="G122" s="1490"/>
      <c r="H122" s="1490"/>
      <c r="I122" s="1490"/>
      <c r="J122" s="1490"/>
      <c r="K122" s="1490"/>
      <c r="L122" s="1490"/>
      <c r="M122" s="1490"/>
      <c r="N122" s="1490"/>
      <c r="O122" s="1490"/>
      <c r="P122" s="1490"/>
      <c r="Q122" s="1490"/>
      <c r="R122" s="1490"/>
      <c r="S122" s="1490"/>
      <c r="T122" s="1490"/>
      <c r="U122" s="1490"/>
      <c r="V122" s="1490"/>
      <c r="W122" s="1490"/>
      <c r="X122" s="1490"/>
      <c r="Y122" s="1490"/>
      <c r="Z122" s="1490"/>
      <c r="AA122" s="1490"/>
      <c r="AB122" s="1490"/>
      <c r="AC122" s="1490"/>
      <c r="AD122" s="1490"/>
      <c r="AE122" s="1490"/>
      <c r="AF122" s="1490"/>
      <c r="AG122" s="1490"/>
      <c r="AH122" s="1490"/>
      <c r="AI122" s="1490"/>
      <c r="AJ122" s="1490"/>
      <c r="AK122" s="1490"/>
      <c r="AL122" s="1490"/>
      <c r="AM122" s="1490"/>
      <c r="AN122" s="1490"/>
      <c r="AO122" s="1490"/>
      <c r="AP122" s="1490"/>
      <c r="AQ122" s="1490"/>
      <c r="AR122" s="1490"/>
      <c r="AS122" s="1490"/>
      <c r="AT122" s="1490"/>
      <c r="AU122" s="51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M122" s="749"/>
      <c r="CN122" s="749"/>
      <c r="CO122" s="485"/>
      <c r="CP122" s="749"/>
      <c r="CS122" s="436"/>
      <c r="CT122" s="436"/>
      <c r="CU122" s="243"/>
      <c r="CV122" s="244"/>
      <c r="CW122" s="244"/>
      <c r="CX122" s="244"/>
      <c r="CY122" s="245"/>
      <c r="CZ122" s="245"/>
      <c r="DA122" s="245"/>
      <c r="DC122" s="750"/>
      <c r="DD122" s="751"/>
      <c r="DE122" s="752"/>
      <c r="DF122" s="753"/>
      <c r="DG122" s="754"/>
      <c r="DH122" s="754"/>
      <c r="DK122" s="244"/>
      <c r="DL122" s="750"/>
      <c r="DN122" s="750"/>
      <c r="DO122" s="755"/>
      <c r="DP122" s="436"/>
      <c r="DQ122" s="750"/>
      <c r="DR122" s="750"/>
      <c r="DS122" s="750"/>
      <c r="DU122" s="750"/>
      <c r="DV122" s="750"/>
      <c r="DW122" s="750"/>
      <c r="DX122" s="750"/>
      <c r="DZ122" s="756"/>
      <c r="EA122" s="756"/>
      <c r="EC122" s="754"/>
      <c r="ED122" s="754"/>
      <c r="EE122" s="244"/>
      <c r="EF122" s="754"/>
      <c r="EG122" s="754"/>
      <c r="EH122" s="243"/>
      <c r="EI122" s="243"/>
      <c r="EJ122" s="752"/>
      <c r="EK122" s="757"/>
      <c r="EL122" s="757"/>
      <c r="EM122" s="758"/>
      <c r="EN122" s="758"/>
      <c r="EO122" s="752"/>
      <c r="EP122" s="752"/>
      <c r="EQ122" s="752"/>
      <c r="ES122" s="750"/>
      <c r="EU122" s="436"/>
      <c r="EV122" s="436"/>
      <c r="EW122" s="436"/>
      <c r="EX122" s="436"/>
      <c r="EY122" s="436"/>
      <c r="EZ122" s="436"/>
      <c r="FB122" s="643"/>
      <c r="FD122" s="436"/>
      <c r="FE122" s="436"/>
      <c r="FF122" s="436"/>
      <c r="FO122" s="750"/>
      <c r="FP122" s="436"/>
      <c r="FQ122" s="436"/>
      <c r="FR122" s="750"/>
      <c r="FS122" s="750"/>
      <c r="FW122" s="749"/>
      <c r="FX122" s="749"/>
      <c r="FY122" s="749"/>
      <c r="FZ122" s="749"/>
      <c r="GA122" s="749"/>
      <c r="GB122" s="749"/>
      <c r="GC122" s="749"/>
      <c r="GD122" s="749"/>
      <c r="GE122" s="751"/>
      <c r="GF122" s="750"/>
      <c r="GG122" s="750"/>
    </row>
    <row r="123" spans="1:250" s="82" customFormat="1" ht="14.95" customHeight="1" thickTop="1" thickBot="1">
      <c r="B123" s="1421" t="str">
        <f>HY126</f>
        <v xml:space="preserve"> </v>
      </c>
      <c r="C123" s="1422">
        <f>C118+1</f>
        <v>17</v>
      </c>
      <c r="D123" s="1423"/>
      <c r="E123" s="1424" t="s">
        <v>242</v>
      </c>
      <c r="F123" s="1425"/>
      <c r="G123" s="1426"/>
      <c r="H123" s="1427"/>
      <c r="I123" s="1427"/>
      <c r="J123" s="1427"/>
      <c r="K123" s="1427"/>
      <c r="L123" s="1427"/>
      <c r="M123" s="1427"/>
      <c r="N123" s="1427"/>
      <c r="O123" s="1427"/>
      <c r="P123" s="1427"/>
      <c r="Q123" s="1427"/>
      <c r="R123" s="1427"/>
      <c r="S123" s="1428" t="s">
        <v>283</v>
      </c>
      <c r="T123" s="668" t="s">
        <v>190</v>
      </c>
      <c r="U123" s="1430" t="s">
        <v>186</v>
      </c>
      <c r="V123" s="1431"/>
      <c r="W123" s="1431"/>
      <c r="X123" s="1431"/>
      <c r="Y123" s="1431"/>
      <c r="Z123" s="1431"/>
      <c r="AA123" s="1431"/>
      <c r="AB123" s="1088" t="str">
        <f>IFERROR(IF(__Retrofit_TI_NC=0,VLOOKUP(U124,Fixtures_Existing_List,2,FALSE),ROUND(N125*R125/T125,10)),"")</f>
        <v/>
      </c>
      <c r="AC123" s="1039" t="str">
        <f>IFERROR(IF(__Retrofit_TI_NC=0,ROUND(T124*AB123*N124*R124/1000,0),IF(CN123="Interior",N125*R125*R124*N124*_C406_reduction/1000,N125*R125*R124*N124/1000)),"")</f>
        <v/>
      </c>
      <c r="AD123" s="1040" t="str">
        <f>IFERROR(IF(C$36=0,ROUND(T124*AB123/1000,2),N125*R125/1000),"")</f>
        <v/>
      </c>
      <c r="AE123" s="1044" t="s">
        <v>190</v>
      </c>
      <c r="AF123" s="1432" t="str">
        <f>IF(__Retrofit_TI_NC=2,CONCATENATE("Code min = ",DD123),IF(__Retrofit_TI_NC=1,"Emter what you think the existing control was"," Control"))</f>
        <v xml:space="preserve"> Control</v>
      </c>
      <c r="AG123" s="1432"/>
      <c r="AH123" s="1432"/>
      <c r="AI123" s="1432"/>
      <c r="AJ123" s="1433">
        <f>DF123</f>
        <v>0</v>
      </c>
      <c r="AK123" s="1435" t="str">
        <f>IFERROR(ROUND(AJ123*AC123,0),"")</f>
        <v/>
      </c>
      <c r="AL123" s="1437">
        <f>IFERROR(IF(HW123=FALSE,0,AC123-AK123),0)</f>
        <v>0</v>
      </c>
      <c r="AM123" s="1439">
        <f>AL123-AL125</f>
        <v>0</v>
      </c>
      <c r="AN123" s="1440"/>
      <c r="AO123" s="1445">
        <f>IFERROR(IF(HW123=FALSE,0,(T125*U126)+(AE125*AF126)),0)</f>
        <v>0</v>
      </c>
      <c r="AP123" s="1445"/>
      <c r="AQ123" s="1446"/>
      <c r="AR123" s="1451" t="s">
        <v>157</v>
      </c>
      <c r="AS123" s="1454">
        <f>IF(AR123="Yes",1,0)</f>
        <v>1</v>
      </c>
      <c r="AT123" s="1457" t="str">
        <f>IF(OR(DN123=4,DN123=5,DN123=6,DN123=12),CONCATENATE("$",IF(GD123=TRUE,Lookup!$B$11,Lookup!$B$2)," /lamp"),CONCATENATE(EA123,"/ kWh"))</f>
        <v>0/ kWh</v>
      </c>
      <c r="AU123" s="516"/>
      <c r="AV123" s="1478">
        <f>IFERROR(IF(GI124=TRUE,(AB126*T125)/R125,0),"NA")</f>
        <v>0</v>
      </c>
      <c r="AW123" s="1478" t="str">
        <f>IFERROR(N125*_C406_reduction,"NA")</f>
        <v>NA</v>
      </c>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M123" s="1352" t="str">
        <f>N124</f>
        <v/>
      </c>
      <c r="CN123" s="1352" t="str">
        <f>IFERROR(VLOOKUP(G124,_Lookup_Heat_Type_Table_New,3,FALSE),"")</f>
        <v/>
      </c>
      <c r="CO123" s="1415" t="str">
        <f>CN123</f>
        <v/>
      </c>
      <c r="CP123" s="1417" t="e">
        <f>VLOOKUP(G125,'Space Table'!$B$3:$L$160,9,FALSE)</f>
        <v>#N/A</v>
      </c>
      <c r="CR123" s="1386" t="s">
        <v>283</v>
      </c>
      <c r="CS123" s="1353">
        <f>IF(HW123=TRUE,T124,0)</f>
        <v>0</v>
      </c>
      <c r="CT123" s="1353" t="str">
        <f>IF(HW123=TRUE,U124,"")</f>
        <v/>
      </c>
      <c r="CU123" s="1353"/>
      <c r="CV123" s="1370">
        <f>IF(HW123=TRUE,AB123,0)</f>
        <v>0</v>
      </c>
      <c r="CW123" s="1370">
        <f>IF(HW123=TRUE,AC123,0)</f>
        <v>0</v>
      </c>
      <c r="CX123" s="1370">
        <f>IFERROR(IF(HW123=TRUE,CW123-CW125,0),0)</f>
        <v>0</v>
      </c>
      <c r="CY123" s="1485">
        <f>IF(HW123=TRUE,AD123,0)</f>
        <v>0</v>
      </c>
      <c r="CZ123" s="1485">
        <f>IF(HW123=TRUE,AD126,0)</f>
        <v>0</v>
      </c>
      <c r="DA123" s="1485">
        <f>IFERROR(CY123-CZ123,0)</f>
        <v>0</v>
      </c>
      <c r="DC123" s="1353">
        <f>IF(HW123=TRUE,AE124,0)</f>
        <v>0</v>
      </c>
      <c r="DD123" s="1460">
        <f>IF(__Retrofit_TI_NC=2,IF(CN123="Exterior",O126,FM123),FK123)</f>
        <v>0</v>
      </c>
      <c r="DE123" s="1353"/>
      <c r="DF123" s="1406">
        <f>IFERROR(IF(FL123=3,IK123,IF(FL123=4,IL123,IF(FL123=5,IM123,IF(FL123=6,IN123,IF(FL123=7,IO123,IF(FL123=8,IP123,0)))))),0)</f>
        <v>0</v>
      </c>
      <c r="DG123" s="1370">
        <f>IF(HW123=TRUE,AK123,0)</f>
        <v>0</v>
      </c>
      <c r="DH123" s="1369">
        <f>IFERROR(IF(HW123=TRUE,DG125-DG123,0),0)</f>
        <v>0</v>
      </c>
      <c r="DJ123" s="1483">
        <f>IFERROR(CW123-DG123,0)</f>
        <v>0</v>
      </c>
      <c r="DL123" s="1419">
        <f>DJ123-DK125</f>
        <v>0</v>
      </c>
      <c r="DN123" s="1403" t="str">
        <f>IFERROR(IF(AND(OR(FY123=4,FY123=5,FY123=6),OR(GB123=4,GB123=5,GB123=6)),FY123+8,VLOOKUP(CT125,Fixtures!R$31:Y$78,8,FALSE)),"")</f>
        <v/>
      </c>
      <c r="DO123" s="1404" t="str">
        <f>DN123</f>
        <v/>
      </c>
      <c r="DP123" s="1353" t="str">
        <f>IFERROR(VLOOKUP(DD125,Lookup!AU$3:AV$15,2,FALSE),"")</f>
        <v/>
      </c>
      <c r="DQ123" s="1404" t="str">
        <f>IF(DP123=7,"LLLC","")</f>
        <v/>
      </c>
      <c r="DR123" s="1403">
        <f>IFERROR(IF(OR(DN123=4,DN123=5,DN123=6,DN123=12,DN123=13,DN123=14),VLOOKUP(CT125,Fixtures!DN$27:EG$77,19,FALSE),1)*CS125,0)</f>
        <v>0</v>
      </c>
      <c r="DS123" s="1489">
        <f>IF(DP123=7,IF(DD123=DD125,0,DC125),0)</f>
        <v>0</v>
      </c>
      <c r="DU123" s="1403" t="str">
        <f>IFERROR(IF(EW123&lt;EW125,"Yes","No"),"")</f>
        <v/>
      </c>
      <c r="DV123" s="1404" t="str">
        <f>DU123</f>
        <v/>
      </c>
      <c r="DW123" s="1403">
        <f>IF(DU123="Yes",DC125,0)</f>
        <v>0</v>
      </c>
      <c r="DX123" s="1403">
        <f>DW123-DS123</f>
        <v>0</v>
      </c>
      <c r="DZ123" s="1481">
        <f>IFERROR(VLOOKUP(DN123,Lookup!AN$3:AO$16,2,FALSE),0)</f>
        <v>0</v>
      </c>
      <c r="EA123" s="1481">
        <f>IF(HW123=FALSE,0,IF(DU123="Yes",DZ123+Lookup!B$6,DZ123))</f>
        <v>0</v>
      </c>
      <c r="EC123" s="1482">
        <f>IF(HW123=TRUE,DJ123,0)</f>
        <v>0</v>
      </c>
      <c r="ED123" s="1369">
        <f>IF(HW123=TRUE,CW125,0)</f>
        <v>0</v>
      </c>
      <c r="EE123" s="1370">
        <f>IFERROR(EC123-ED123,0)</f>
        <v>0</v>
      </c>
      <c r="EF123" s="1369">
        <f>IF(HW123=TRUE,DG125,0)</f>
        <v>0</v>
      </c>
      <c r="EG123" s="1369">
        <f>IFERROR(EC123-ED123+EF123,0)</f>
        <v>0</v>
      </c>
      <c r="EH123" s="1373">
        <f>IF(HW123=TRUE,CS125*CU125,0)</f>
        <v>0</v>
      </c>
      <c r="EI123" s="1373">
        <f>IF(HW123=TRUE,DC125*DE125,0)</f>
        <v>0</v>
      </c>
      <c r="EJ123" s="1363">
        <f>AO123</f>
        <v>0</v>
      </c>
      <c r="EK123" s="1376" t="str">
        <f>IFERROR(IF(HW123=TRUE,VLOOKUP(DN123,Lookup!AN$3:AP$16,3,FALSE)*DR123,""),0)</f>
        <v/>
      </c>
      <c r="EL123" s="1376">
        <f>IF(HW123=TRUE,DW123*Lookup!AP$12,0)</f>
        <v>0</v>
      </c>
      <c r="EM123" s="1362">
        <f>IFERROR(IF(HW123=TRUE,EK123/EM$33,0),0)</f>
        <v>0</v>
      </c>
      <c r="EN123" s="1362">
        <f>IF(HW123=TRUE,EL123/EN$33,0)</f>
        <v>0</v>
      </c>
      <c r="EO123" s="1363">
        <f>IF(HW123=TRUE,EQ$33*EM123,0)</f>
        <v>0</v>
      </c>
      <c r="EP123" s="1363">
        <f>IF(HW123=TRUE,EQ$33*EN123,0)</f>
        <v>0</v>
      </c>
      <c r="EQ123" s="1363">
        <f>EO123+EP123</f>
        <v>0</v>
      </c>
      <c r="ES123" s="1403">
        <f>IF(G123="",0,1)</f>
        <v>0</v>
      </c>
      <c r="EU123" s="1410" t="e">
        <f>VLOOKUP(CP125,'Space Table'!$B$3:$L$160,8,FALSE)</f>
        <v>#N/A</v>
      </c>
      <c r="EV123" s="1410" t="e">
        <f>IF(EY123="Yes",VLOOKUP(DD123,Lookup_Control_Type_Table2,4,FALSE),VLOOKUP(DD123,Lookup_Control_Type_Table2,3,FALSE))</f>
        <v>#N/A</v>
      </c>
      <c r="EW123" s="1410" t="e">
        <f>VLOOKUP(DD123,Lookup!AU$3:AV$15,2,FALSE)</f>
        <v>#N/A</v>
      </c>
      <c r="EX123" s="1410" t="e">
        <f>VLOOKUP(EU123,Lookup_Control_Type_Table,2,FALSE)</f>
        <v>#N/A</v>
      </c>
      <c r="EY123" s="1410" t="e">
        <f>VLOOKUP(CP125,'Space Table'!$B$3:$L$160,7,FALSE)</f>
        <v>#N/A</v>
      </c>
      <c r="EZ123" s="1412" t="b">
        <f>ISNUMBER(SEARCH("TLED",U125))</f>
        <v>0</v>
      </c>
      <c r="FB123" s="1365" t="str">
        <f>CONCATENATE(CN123," - ",DD123)</f>
        <v xml:space="preserve"> - 0</v>
      </c>
      <c r="FD123" s="1353" t="str">
        <f>VLOOKUP(CT125,Fixtures!DN$27:EZ$77,38,FALSE)</f>
        <v/>
      </c>
      <c r="FE123" s="1353">
        <f>IFERROR(FD123*EE123,0)</f>
        <v>0</v>
      </c>
      <c r="FF123" s="138"/>
      <c r="FI123" s="1356" t="str">
        <f>IF(CN123="Exterior","Not Daylighted",G126)</f>
        <v>Not Daylighted</v>
      </c>
      <c r="FJ123" s="1356">
        <f>VLOOKUP(FI123,_Daylight_Table_Codes,2,FALSE)</f>
        <v>0</v>
      </c>
      <c r="FK123" s="1365">
        <f>IF(__Retrofit_TI_NC=2,VLOOKUP(G125,'Space Table'!$B$3:$L$160,11,FALSE),AF124)</f>
        <v>0</v>
      </c>
      <c r="FL123" s="1365" t="e">
        <f>VLOOKUP(FK123,_Control_Table,2,FALSE)</f>
        <v>#N/A</v>
      </c>
      <c r="FM123" s="1365" t="e">
        <f>IF(AND(FP123&gt;0,FK123="Occupancy Sensor"),"Daylight + Occupancy",IF(AND(FP123&gt;0,FL123&lt;4),"Interior Daylight Dimming",FK123))</f>
        <v>#N/A</v>
      </c>
      <c r="FO123" s="1364">
        <f>IF(CO123="Interior",VLOOKUP(CP123,Control_Savings_Interior,5,FALSE),0)</f>
        <v>0</v>
      </c>
      <c r="FP123" s="1361">
        <f>IF(CN123="Exterior",0,IF(FJ123=2,0.5,IF(OR(FJ123=1,FJ123=3),1,0)))</f>
        <v>0</v>
      </c>
      <c r="FQ123" s="1366"/>
      <c r="FR123" s="1367"/>
      <c r="FS123" s="1364"/>
      <c r="FT123" s="1367"/>
      <c r="FU123" s="1360"/>
      <c r="FW123" s="1352" t="str">
        <f>IFERROR(VLOOKUP(U124,_Exist_Fixture_Table,3,FALSE),"")</f>
        <v/>
      </c>
      <c r="FX123" s="1352" t="str">
        <f>VLOOKUP(CT123,_Exist_Fixture_Table,4,FALSE)</f>
        <v/>
      </c>
      <c r="FY123" s="1352">
        <f>IFERROR(VLOOKUP(FX123,Lookup!AM$6:AN$8,2,FALSE),0)</f>
        <v>0</v>
      </c>
      <c r="FZ123" s="1352" t="b">
        <f>IFERROR(IF(OR(GB123=4,GB123=5,GB123=6),TRUE,FALSE),"")</f>
        <v>0</v>
      </c>
      <c r="GA123" s="1352" t="str">
        <f>IFERROR(VLOOKUP(GB123,FY$6:FZ$10,2,FALSE),"")</f>
        <v/>
      </c>
      <c r="GB123" s="1352" t="str">
        <f>VLOOKUP(CT125,Fixtures!R$31:Y$78,8,FALSE)</f>
        <v/>
      </c>
      <c r="GC123" s="1352">
        <f>IF(AND(FW123=TRUE,FZ123=TRUE,OR(DN123=12,DN123=13,DN123=14)),FY123+8,0)</f>
        <v>0</v>
      </c>
      <c r="GD123" s="1352" t="b">
        <f>IF(OR(GC123=12,GC123=13,GC123=14),TRUE,FALSE)</f>
        <v>0</v>
      </c>
      <c r="GE123" s="759" t="b">
        <f>IF(ISNUMBER(SEARCH("TLED",U124)),TRUE,FALSE)</f>
        <v>0</v>
      </c>
      <c r="GF123" s="1035" t="str">
        <f>IFERROR(VLOOKUP(U124,Fixtures!BM$93:BR$142,6,FALSE),"")</f>
        <v/>
      </c>
      <c r="GG123" s="1385" t="b">
        <f>IF(OR(GE123=FALSE,GE125=FALSE),TRUE,IF(GF123-GF125&lt;5,FALSE,TRUE))</f>
        <v>1</v>
      </c>
      <c r="GK123" s="1034">
        <f>GL123</f>
        <v>0</v>
      </c>
      <c r="GL123" s="1034">
        <f>IF(G123="",0,1)</f>
        <v>0</v>
      </c>
      <c r="GM123" s="1034">
        <f>SUM(GN123:HB123)</f>
        <v>2</v>
      </c>
      <c r="GN123" s="1034">
        <f>IF(G124="",0,1)</f>
        <v>0</v>
      </c>
      <c r="GO123" s="1034">
        <f>IF(G125="",0,1)</f>
        <v>0</v>
      </c>
      <c r="GP123" s="1034">
        <f>IF(R124="",0,1)</f>
        <v>0</v>
      </c>
      <c r="GQ123" s="1034">
        <f>IF(__Retrofit_TI_NC=0,1,IF(R125="",0,1))</f>
        <v>1</v>
      </c>
      <c r="GR123" s="1034">
        <f>IF(CN123="Exterior",1,IF(G126="",0,1))</f>
        <v>1</v>
      </c>
      <c r="GS123" s="1034">
        <f>IF(__Retrofit_TI_NC&lt;&gt;0,1,IF(T124="",0,1))</f>
        <v>0</v>
      </c>
      <c r="GT123" s="1034">
        <f>IF(__Retrofit_TI_NC&lt;&gt;0,1,IF(U124="",0,1))</f>
        <v>0</v>
      </c>
      <c r="GU123" s="1034">
        <f>IF(T125="",0,1)</f>
        <v>0</v>
      </c>
      <c r="GV123" s="1034">
        <f>IF(U125="",0,1)</f>
        <v>0</v>
      </c>
      <c r="GW123" s="1034">
        <f>IF(__Retrofit_TI_NC=2,1,IF(U126="",0,1))</f>
        <v>0</v>
      </c>
      <c r="GX123" s="1034">
        <f>IF(__Retrofit_TI_NC&lt;&gt;0,1,IF(AE124="",0,1))</f>
        <v>0</v>
      </c>
      <c r="GY123" s="1034">
        <f>IF(__Retrofit_TI_NC&lt;&gt;0,1,IF(AF124="",0,1))</f>
        <v>0</v>
      </c>
      <c r="GZ123" s="1034">
        <f>IF(AE125="",0,1)</f>
        <v>0</v>
      </c>
      <c r="HA123" s="1034">
        <f>IF(AF125="",0,1)</f>
        <v>0</v>
      </c>
      <c r="HB123" s="1034">
        <f>IF(__Retrofit_TI_NC=2,1,IF(AF126="",0,1))</f>
        <v>0</v>
      </c>
      <c r="HV123" s="436"/>
      <c r="HW123" s="1384" t="b">
        <f>IF(OR(HW126=0,HW126=HT$16,HW126=HS$16,HW126=HU$16),TRUE,FALSE)</f>
        <v>0</v>
      </c>
      <c r="HX123" s="1377" t="b">
        <f>HW123</f>
        <v>0</v>
      </c>
      <c r="HY123" s="436"/>
      <c r="HZ123" s="436"/>
      <c r="IA123" s="1386" t="b">
        <f>IF(MAX(GJ126:HP126)&gt;5,FALSE,TRUE)</f>
        <v>0</v>
      </c>
      <c r="IB123" s="1380">
        <f>IF(IA123=TRUE,AC123,0)</f>
        <v>0</v>
      </c>
      <c r="IC123" s="1380">
        <f>IB123-IB125</f>
        <v>0</v>
      </c>
      <c r="IF123" s="1380" t="e">
        <f>ROUND(T124*VLOOKUP(U124,Fixtures_Existing_List,2,FALSE)*N124*R124/1000,0)</f>
        <v>#N/A</v>
      </c>
      <c r="IG123" s="1381" t="e">
        <f>IF123-IF125</f>
        <v>#N/A</v>
      </c>
      <c r="IH123" s="1384" t="e">
        <f>ROUND(IF(CN123="Interior",N125*R125*R124*N124*_C406_reduction/1000,N125*R125*R124*N124/1000),0)</f>
        <v>#N/A</v>
      </c>
      <c r="II123" s="1384" t="e">
        <f>IH123-IH125</f>
        <v>#N/A</v>
      </c>
      <c r="IK123" s="1351" t="e">
        <f>IF($CO123="interior",IL123/2,VLOOKUP($CP123,Control_Savings_Exterior,IK$30,FALSE))</f>
        <v>#N/A</v>
      </c>
      <c r="IL123" s="1351" t="e">
        <f>IF($CO123="interior",VLOOKUP($CP123,Control_Savings_Interior,IL$30,FALSE),VLOOKUP($CP123,Control_Savings_Exterior,IL$30,FALSE))</f>
        <v>#N/A</v>
      </c>
      <c r="IM123" s="1351" t="e">
        <f>IF($CO123="interior",IF(R124&gt;FO$37,(IM$28*(FO$37/R124)),IM$28)*FP123,VLOOKUP($CP123,Control_Savings_Exterior,IM$30,FALSE))</f>
        <v>#N/A</v>
      </c>
      <c r="IN123" s="1351" t="e">
        <f>IF($CO123="interior",ROUND(((1-IL123)*IM123)+IL123,2),VLOOKUP($CP123,Control_Savings_Exterior,IN$30,FALSE))</f>
        <v>#N/A</v>
      </c>
      <c r="IO123" s="1351" t="e">
        <f>IF($CO123="interior", ROUND(((1-IL123)*(IM123*(1-IP$28)))+IP123,2), VLOOKUP($CP123,Control_Savings_Exterior,IO$30,FALSE))</f>
        <v>#N/A</v>
      </c>
      <c r="IP123" s="1351">
        <f>IF($CO123="interior",ROUND(((1-IL123)*IP$28)+IL123,2),0)</f>
        <v>0</v>
      </c>
    </row>
    <row r="124" spans="1:250" s="82" customFormat="1" ht="14.95" customHeight="1" thickTop="1" thickBot="1">
      <c r="B124" s="1421"/>
      <c r="C124" s="1422"/>
      <c r="D124" s="1423"/>
      <c r="E124" s="1393" t="s">
        <v>244</v>
      </c>
      <c r="F124" s="1394"/>
      <c r="G124" s="1395"/>
      <c r="H124" s="1395"/>
      <c r="I124" s="1395"/>
      <c r="J124" s="1395"/>
      <c r="K124" s="1395"/>
      <c r="L124" s="1395"/>
      <c r="M124" s="509" t="e">
        <f>IF(__Retrofit_TI_NC&lt;&gt;0,IF(VLOOKUP(G125,'Space Table'!$B$3:$L$160,3,FALSE)&gt;0,1,0),IF(__Retrofit_TI_NC=VLOOKUP(G125,'Space Table'!$B$3:$L$160,3,FALSE),1,0))</f>
        <v>#N/A</v>
      </c>
      <c r="N124" s="509" t="str">
        <f>IFERROR(VLOOKUP(G124,_Lookup_Heat_Type_Table_New,2,FALSE),"")</f>
        <v/>
      </c>
      <c r="O124" s="509">
        <f>IF(__Retrofit_TI_NC=1,CONCATENATE("TI ",G124),IF(__Retrofit_TI_NC=2,CONCATENATE("NC ",G124),G124))</f>
        <v>0</v>
      </c>
      <c r="P124" s="1396" t="s">
        <v>352</v>
      </c>
      <c r="Q124" s="1396"/>
      <c r="R124" s="673"/>
      <c r="S124" s="1429"/>
      <c r="T124" s="675"/>
      <c r="U124" s="1496"/>
      <c r="V124" s="1497"/>
      <c r="W124" s="1497"/>
      <c r="X124" s="1497"/>
      <c r="Y124" s="1497"/>
      <c r="Z124" s="1497"/>
      <c r="AA124" s="1497"/>
      <c r="AB124" s="1497"/>
      <c r="AC124" s="1497"/>
      <c r="AD124" s="1498"/>
      <c r="AE124" s="675"/>
      <c r="AF124" s="1397"/>
      <c r="AG124" s="1397"/>
      <c r="AH124" s="1397"/>
      <c r="AI124" s="1397"/>
      <c r="AJ124" s="1434"/>
      <c r="AK124" s="1436"/>
      <c r="AL124" s="1438"/>
      <c r="AM124" s="1441"/>
      <c r="AN124" s="1442"/>
      <c r="AO124" s="1447"/>
      <c r="AP124" s="1447"/>
      <c r="AQ124" s="1448"/>
      <c r="AR124" s="1452"/>
      <c r="AS124" s="1455"/>
      <c r="AT124" s="1458"/>
      <c r="AU124" s="516"/>
      <c r="AV124" s="1479"/>
      <c r="AW124" s="1479"/>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M124" s="1352"/>
      <c r="CN124" s="1352"/>
      <c r="CO124" s="1416"/>
      <c r="CP124" s="1418"/>
      <c r="CR124" s="1386"/>
      <c r="CS124" s="1355"/>
      <c r="CT124" s="1355"/>
      <c r="CU124" s="1355"/>
      <c r="CV124" s="1372"/>
      <c r="CW124" s="1372"/>
      <c r="CX124" s="1371"/>
      <c r="CY124" s="1486"/>
      <c r="CZ124" s="1486"/>
      <c r="DA124" s="1486"/>
      <c r="DC124" s="1355"/>
      <c r="DD124" s="1461"/>
      <c r="DE124" s="1355"/>
      <c r="DF124" s="1407"/>
      <c r="DG124" s="1372"/>
      <c r="DH124" s="1369"/>
      <c r="DJ124" s="1484"/>
      <c r="DL124" s="1419"/>
      <c r="DN124" s="1403"/>
      <c r="DO124" s="1405"/>
      <c r="DP124" s="1354"/>
      <c r="DQ124" s="1405"/>
      <c r="DR124" s="1403"/>
      <c r="DS124" s="1489"/>
      <c r="DU124" s="1403"/>
      <c r="DV124" s="1405"/>
      <c r="DW124" s="1403"/>
      <c r="DX124" s="1403"/>
      <c r="DZ124" s="1481"/>
      <c r="EA124" s="1481"/>
      <c r="EC124" s="1482"/>
      <c r="ED124" s="1369"/>
      <c r="EE124" s="1371"/>
      <c r="EF124" s="1369"/>
      <c r="EG124" s="1369"/>
      <c r="EH124" s="1374"/>
      <c r="EI124" s="1374"/>
      <c r="EJ124" s="1363"/>
      <c r="EK124" s="1376"/>
      <c r="EL124" s="1376"/>
      <c r="EM124" s="1362"/>
      <c r="EN124" s="1362"/>
      <c r="EO124" s="1363"/>
      <c r="EP124" s="1363"/>
      <c r="EQ124" s="1363"/>
      <c r="ES124" s="1403"/>
      <c r="EU124" s="1411"/>
      <c r="EV124" s="1411"/>
      <c r="EW124" s="1411"/>
      <c r="EX124" s="1411"/>
      <c r="EY124" s="1411"/>
      <c r="EZ124" s="1413"/>
      <c r="FB124" s="1365"/>
      <c r="FD124" s="1354"/>
      <c r="FE124" s="1354"/>
      <c r="FF124" s="138"/>
      <c r="FI124" s="1357"/>
      <c r="FJ124" s="1357"/>
      <c r="FK124" s="1365"/>
      <c r="FL124" s="1365"/>
      <c r="FM124" s="1365"/>
      <c r="FO124" s="1361"/>
      <c r="FP124" s="1361"/>
      <c r="FQ124" s="1366"/>
      <c r="FR124" s="1368"/>
      <c r="FS124" s="1361"/>
      <c r="FT124" s="1368"/>
      <c r="FU124" s="1360"/>
      <c r="FW124" s="1352"/>
      <c r="FX124" s="1352"/>
      <c r="FY124" s="1352"/>
      <c r="FZ124" s="1352"/>
      <c r="GA124" s="1352"/>
      <c r="GB124" s="1352"/>
      <c r="GC124" s="1352"/>
      <c r="GD124" s="1352"/>
      <c r="GE124" s="759"/>
      <c r="GF124" s="1035"/>
      <c r="GG124" s="1385"/>
      <c r="GI124" s="1384" t="b">
        <f>IF(AND(GL124=TRUE,GM124=TRUE),TRUE,FALSE)</f>
        <v>0</v>
      </c>
      <c r="GJ124" s="1379" t="b">
        <f>IFERROR(IF(__Retrofit_TI_NC=2,TRUE,IF(AR123="Yes",TRUE,FALSE)),FALSE)</f>
        <v>1</v>
      </c>
      <c r="GL124" s="1379" t="b">
        <f>IFERROR(IF(GL123=1,TRUE,FALSE),FALSE)</f>
        <v>0</v>
      </c>
      <c r="GM124" s="1379" t="b">
        <f>IFERROR(IF(GM123=GM$14,TRUE,FALSE),FALSE)</f>
        <v>0</v>
      </c>
      <c r="HC124" s="1379" t="b">
        <f>IFERROR(IF(M124=1,TRUE,FALSE),FALSE)</f>
        <v>0</v>
      </c>
      <c r="HD124" s="1379" t="b">
        <f>IFERROR(IF(M125=1,TRUE,FALSE),FALSE)</f>
        <v>0</v>
      </c>
      <c r="HE124" s="1379" t="b">
        <f>IFERROR(IF(__Retrofit_TI_NC&lt;&gt;0,TRUE,IFERROR(IF(VLOOKUP(U124,Fixtures_Existing_List,2,FALSE)&lt;&gt;"",TRUE,FALSE),FALSE)),FALSE)</f>
        <v>0</v>
      </c>
      <c r="HF124" s="1379" t="b">
        <f>IFERROR(IF(VLOOKUP(U125,Fixtures_Proposed_List,2,FALSE)&lt;&gt;"",TRUE,FALSE),FALSE)</f>
        <v>0</v>
      </c>
      <c r="HG124" s="1379" t="b">
        <f>IF(AND(__Retrofit_TI_NC=2,EZ123=TRUE),FALSE,TRUE)</f>
        <v>1</v>
      </c>
      <c r="HH124" s="1379" t="b">
        <f>GG123</f>
        <v>1</v>
      </c>
      <c r="HI124" s="1384" t="b">
        <f>IF(ISERROR(MATCH(FB123,_Control_Match[],0))=TRUE,FALSE,TRUE)</f>
        <v>0</v>
      </c>
      <c r="HJ124" s="1384" t="b">
        <f>IFERROR(IF(EU123&lt;&gt;EV123,FALSE,TRUE),FALSE)</f>
        <v>0</v>
      </c>
      <c r="HK124" s="1384" t="b">
        <f>IFERROR(IF(EU125&lt;&gt;EV125,FALSE,TRUE),FALSE)</f>
        <v>0</v>
      </c>
      <c r="HL124" s="1379" t="b">
        <f>IFERROR(IF(CN123="Exterior",TRUE,IF(OR(AND(FJ123=0,EW125&gt;4),AND(FJ123=4,EW125&gt;4,EW125&lt;7)),FALSE,TRUE)),FALSE)</f>
        <v>0</v>
      </c>
      <c r="HM124" s="1379" t="b">
        <f>IFERROR(IF(AND(FL125=7,EZ123=TRUE),FALSE,TRUE),FALSE)</f>
        <v>0</v>
      </c>
      <c r="HN124" s="1379" t="b">
        <f>IFERROR(IF(AND(T125&lt;&gt;AE125,AF125="Interior LLLC")=TRUE,FALSE,TRUE),FALSE)</f>
        <v>1</v>
      </c>
      <c r="HO124" s="1379" t="b">
        <f>IFERROR(IF(OR(AF125=Lookup!AU$13,AF125=Lookup!AU$14)=TRUE,IF(AE125&gt;T125,FALSE,TRUE),TRUE),FALSE)</f>
        <v>1</v>
      </c>
      <c r="HP124" s="1379" t="b">
        <f>IFERROR(IF(__Retrofit_TI_NC=2,IF(EW125&lt;EW123,FALSE,TRUE),TRUE),FALSE)</f>
        <v>1</v>
      </c>
      <c r="HQ124" s="1379" t="b">
        <f>IF(CN123="Interior",IG$6,TRUE)</f>
        <v>1</v>
      </c>
      <c r="HR124" s="1379" t="b">
        <f>IF(CN123="Exterior",IG$8,TRUE)</f>
        <v>1</v>
      </c>
      <c r="HS124" s="1379" t="b">
        <f>IFERROR(IF(__Retrofit_TI_NC&lt;&gt;0,IF(AW123&lt;AV123,FALSE,TRUE),TRUE),FALSE)</f>
        <v>1</v>
      </c>
      <c r="HT124" s="1379" t="b">
        <f>IFERROR(IF(AND(G124="Exterior",R124&gt;4200),FALSE,TRUE),FALSE)</f>
        <v>1</v>
      </c>
      <c r="HU124" s="1379" t="b">
        <f>IFERROR(IF(AB126/AB123&lt;HU$18,FALSE,TRUE),FALSE)</f>
        <v>0</v>
      </c>
      <c r="HW124" s="1382"/>
      <c r="HX124" s="1378"/>
      <c r="HY124" s="1377" t="str">
        <f>VLOOKUP(HW126,_Error_Table,4,FALSE)</f>
        <v>White</v>
      </c>
      <c r="HZ124" s="436"/>
      <c r="IA124" s="1386"/>
      <c r="IB124" s="1380"/>
      <c r="IC124" s="1379"/>
      <c r="IF124" s="1380"/>
      <c r="IG124" s="1382"/>
      <c r="IH124" s="1382"/>
      <c r="II124" s="1382"/>
      <c r="IK124" s="1351"/>
      <c r="IL124" s="1351"/>
      <c r="IM124" s="1351"/>
      <c r="IN124" s="1351"/>
      <c r="IO124" s="1351"/>
      <c r="IP124" s="1351"/>
    </row>
    <row r="125" spans="1:250" s="82" customFormat="1" ht="14.95" customHeight="1" thickTop="1" thickBot="1">
      <c r="A125" s="82">
        <f>ROW()</f>
        <v>125</v>
      </c>
      <c r="B125" s="1421"/>
      <c r="C125" s="1422"/>
      <c r="D125" s="1423"/>
      <c r="E125" s="1393" t="s">
        <v>245</v>
      </c>
      <c r="F125" s="1394"/>
      <c r="G125" s="1398"/>
      <c r="H125" s="1399"/>
      <c r="I125" s="1399"/>
      <c r="J125" s="1399"/>
      <c r="K125" s="1399"/>
      <c r="L125" s="1400"/>
      <c r="M125" s="509">
        <f>IFERROR(IF(IF(__Retrofit_TI_NC&lt;&gt;0,IF(CN123="Interior",MATCH(G125,Lookup_Interior_New,0),MATCH(G125,Lookup_Exterior_New,0)),IF(CN123="Interior",MATCH(G125,Lookup_Interior,0),MATCH(G125,Lookup_Exterior_Areas,0)))&gt;0,1,0),0)</f>
        <v>0</v>
      </c>
      <c r="N125" s="509" t="e">
        <f>IF(__Retrofit_TI_NC=1,
VLOOKUP(G125,'Space Table'!$B$3:$L$160,4,FALSE),
IF(__Retrofit_TI_NC=2,VLOOKUP(G125,'Space Table'!$B$3:$L$160,5,FALSE),VLOOKUP(G125,'Space Table'!$B$3:$L$160,5,FALSE)))</f>
        <v>#N/A</v>
      </c>
      <c r="O125" s="509">
        <f>G125</f>
        <v>0</v>
      </c>
      <c r="P125" s="1394" t="s">
        <v>355</v>
      </c>
      <c r="Q125" s="1394"/>
      <c r="R125" s="674"/>
      <c r="S125" s="1401" t="s">
        <v>284</v>
      </c>
      <c r="T125" s="672"/>
      <c r="U125" s="1499"/>
      <c r="V125" s="1500"/>
      <c r="W125" s="1500"/>
      <c r="X125" s="1500"/>
      <c r="Y125" s="1500"/>
      <c r="Z125" s="1500"/>
      <c r="AA125" s="1500"/>
      <c r="AB125" s="1501"/>
      <c r="AC125" s="1501"/>
      <c r="AD125" s="1502"/>
      <c r="AE125" s="672"/>
      <c r="AF125" s="1474"/>
      <c r="AG125" s="1474"/>
      <c r="AH125" s="1474"/>
      <c r="AI125" s="1474"/>
      <c r="AJ125" s="1475">
        <f>DF125</f>
        <v>0</v>
      </c>
      <c r="AK125" s="1470" t="str">
        <f>IFERROR(ROUND(AJ125*AC126,0),"")</f>
        <v/>
      </c>
      <c r="AL125" s="1472">
        <f>IFERROR(IF(HW123=FALSE,0,AC126-AK125),0)</f>
        <v>0</v>
      </c>
      <c r="AM125" s="1441"/>
      <c r="AN125" s="1442"/>
      <c r="AO125" s="1447"/>
      <c r="AP125" s="1447"/>
      <c r="AQ125" s="1448"/>
      <c r="AR125" s="1452"/>
      <c r="AS125" s="1455"/>
      <c r="AT125" s="1458"/>
      <c r="AU125" s="516"/>
      <c r="AV125" s="1479"/>
      <c r="AW125" s="1479"/>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M125" s="1352"/>
      <c r="CN125" s="1352"/>
      <c r="CO125" s="1415" t="str">
        <f>CN123</f>
        <v/>
      </c>
      <c r="CP125" s="1417" t="e">
        <f>CP123</f>
        <v>#N/A</v>
      </c>
      <c r="CR125" s="1386" t="s">
        <v>284</v>
      </c>
      <c r="CS125" s="1353">
        <f>IF(HW123=TRUE,T125,0)</f>
        <v>0</v>
      </c>
      <c r="CT125" s="1353" t="str">
        <f>IF(HW123=TRUE,U125,"")</f>
        <v/>
      </c>
      <c r="CU125" s="1373">
        <f>IF(HW123=TRUE,U126,0)</f>
        <v>0</v>
      </c>
      <c r="CV125" s="1370">
        <f>IF(HW123=TRUE,AB126,0)</f>
        <v>0</v>
      </c>
      <c r="CW125" s="1370">
        <f>IF(HW123=TRUE,AC126,0)</f>
        <v>0</v>
      </c>
      <c r="CX125" s="1371"/>
      <c r="CY125" s="1486"/>
      <c r="CZ125" s="1486"/>
      <c r="DA125" s="1486"/>
      <c r="DC125" s="1353">
        <f>IF(HW123=TRUE,AE125,0)</f>
        <v>0</v>
      </c>
      <c r="DD125" s="1353" t="str">
        <f>IF(HW123=TRUE,AF125,"")</f>
        <v/>
      </c>
      <c r="DE125" s="1373">
        <f>AF126</f>
        <v>0</v>
      </c>
      <c r="DF125" s="1406">
        <f>IFERROR(IF(FL125=3,IK125,IF(FL125=4,IL125,IF(FL125=5,IM125,IF(FL125=6,IN125,IF(FL125=7,IO125,IF(FL125=8,IP125,0)))))),0)</f>
        <v>0</v>
      </c>
      <c r="DG125" s="1370">
        <f>IF(HW123=TRUE,AK125,0)</f>
        <v>0</v>
      </c>
      <c r="DH125" s="1369"/>
      <c r="DK125" s="1483">
        <f>IFERROR(CW125-DG125,0)</f>
        <v>0</v>
      </c>
      <c r="DL125" s="1420"/>
      <c r="DN125" s="1403"/>
      <c r="DO125" s="1477" t="str">
        <f>DN123</f>
        <v/>
      </c>
      <c r="DP125" s="1354"/>
      <c r="DQ125" s="1477" t="str">
        <f>IF(DP123=7,"LLLC","")</f>
        <v/>
      </c>
      <c r="DR125" s="1403"/>
      <c r="DS125" s="1489"/>
      <c r="DU125" s="1403"/>
      <c r="DV125" s="1404" t="str">
        <f>DU123</f>
        <v/>
      </c>
      <c r="DW125" s="1403"/>
      <c r="DX125" s="1403"/>
      <c r="DZ125" s="1481"/>
      <c r="EA125" s="1481"/>
      <c r="EC125" s="1482"/>
      <c r="ED125" s="1369"/>
      <c r="EE125" s="1371"/>
      <c r="EF125" s="1369"/>
      <c r="EG125" s="1369"/>
      <c r="EH125" s="1374"/>
      <c r="EI125" s="1374"/>
      <c r="EJ125" s="1363"/>
      <c r="EK125" s="1376"/>
      <c r="EL125" s="1376"/>
      <c r="EM125" s="1362"/>
      <c r="EN125" s="1362"/>
      <c r="EO125" s="1363"/>
      <c r="EP125" s="1363"/>
      <c r="EQ125" s="1363"/>
      <c r="ES125" s="1403"/>
      <c r="EU125" s="1411" t="e">
        <f>VLOOKUP(CP125,'Space Table'!$B$3:$L$160,8,FALSE)</f>
        <v>#N/A</v>
      </c>
      <c r="EV125" s="1411" t="e">
        <f>IF(EY125="Yes",VLOOKUP(AF125,Lookup_Control_Type_Table2,4,FALSE),VLOOKUP(AF125,Lookup_Control_Type_Table2,3,FALSE))</f>
        <v>#N/A</v>
      </c>
      <c r="EW125" s="1411" t="e">
        <f>VLOOKUP(AF125,Lookup!AU$3:AV$15,2,FALSE)</f>
        <v>#N/A</v>
      </c>
      <c r="EX125" s="1411" t="e">
        <f>VLOOKUP(EU123,Lookup_Control_Type_Table,2,FALSE)</f>
        <v>#N/A</v>
      </c>
      <c r="EY125" s="1411" t="e">
        <f>VLOOKUP(CP125,'Space Table'!$B$3:$L$160,7,FALSE)</f>
        <v>#N/A</v>
      </c>
      <c r="EZ125" s="1413"/>
      <c r="FB125" s="1365" t="str">
        <f>CONCATENATE(CN123," - ",AF125)</f>
        <v xml:space="preserve"> - </v>
      </c>
      <c r="FD125" s="1354"/>
      <c r="FE125" s="1354"/>
      <c r="FF125" s="138"/>
      <c r="FI125" s="1356" t="str">
        <f>IF(CN123="Exterior","Not Daylighted",G126)</f>
        <v>Not Daylighted</v>
      </c>
      <c r="FJ125" s="1356">
        <f>VLOOKUP(FI125,_Daylight_Table_Codes,2,FALSE)</f>
        <v>0</v>
      </c>
      <c r="FK125" s="1365">
        <f>AF125</f>
        <v>0</v>
      </c>
      <c r="FL125" s="1365" t="e">
        <f>VLOOKUP(FK125,_Control_Table,2,FALSE)</f>
        <v>#N/A</v>
      </c>
      <c r="FM125" s="1365" t="e">
        <f>IF(AND(FP125&gt;0,FK125="Occupancy Sensor"),"Daylight + Occupancy",IF(AND(FP125&gt;0,FL125&lt;4),"Interior Daylight Dimming",FK125))</f>
        <v>#N/A</v>
      </c>
      <c r="FO125" s="1364">
        <f>IF(CN123="Interior",VLOOKUP(CP123,Control_Savings_Interior,5,FALSE),0)</f>
        <v>0</v>
      </c>
      <c r="FP125" s="1361">
        <f>IF(CN125="Exterior",0,IF(FJ125=2,0.5,IF(OR(FJ125=1,FJ125=3),1,0)))</f>
        <v>0</v>
      </c>
      <c r="FQ125" s="1366">
        <f>IF(R124&gt;FO$37,(FO125*(FO$37/R124)),FO125)*FP125</f>
        <v>0</v>
      </c>
      <c r="FR125" s="1364">
        <f>DF125</f>
        <v>0</v>
      </c>
      <c r="FS125" s="1364">
        <f>ROUND(FR125+((1-FR125)*FQ125),2)</f>
        <v>0</v>
      </c>
      <c r="FT125" s="1364">
        <f>IF(__Retrofit_TI_NC=2,FS125,FR125)</f>
        <v>0</v>
      </c>
      <c r="FU125" s="1360">
        <f>IF(CO125="Interior",VLOOKUP(CP125,Control_Savings_Interior,4,FALSE),0)</f>
        <v>0</v>
      </c>
      <c r="FW125" s="1352"/>
      <c r="FX125" s="1352"/>
      <c r="FY125" s="1352"/>
      <c r="FZ125" s="1352"/>
      <c r="GA125" s="1352"/>
      <c r="GB125" s="1352"/>
      <c r="GC125" s="1352"/>
      <c r="GD125" s="1352"/>
      <c r="GE125" s="759" t="b">
        <f>IF(ISNUMBER(SEARCH("TLED",U125)),TRUE,FALSE)</f>
        <v>0</v>
      </c>
      <c r="GF125" s="1035" t="str">
        <f>IFERROR(VLOOKUP(U125,Fixtures!DM$93:DR$142,6,FALSE),"")</f>
        <v/>
      </c>
      <c r="GG125" s="1385"/>
      <c r="GI125" s="1383"/>
      <c r="GJ125" s="1379"/>
      <c r="GL125" s="1379"/>
      <c r="GM125" s="1379"/>
      <c r="HC125" s="1379"/>
      <c r="HD125" s="1379"/>
      <c r="HE125" s="1379"/>
      <c r="HF125" s="1379"/>
      <c r="HG125" s="1379"/>
      <c r="HH125" s="1379"/>
      <c r="HI125" s="1383"/>
      <c r="HJ125" s="1383"/>
      <c r="HK125" s="1383"/>
      <c r="HL125" s="1379"/>
      <c r="HM125" s="1379"/>
      <c r="HN125" s="1379"/>
      <c r="HO125" s="1379"/>
      <c r="HP125" s="1379"/>
      <c r="HQ125" s="1379"/>
      <c r="HR125" s="1379"/>
      <c r="HS125" s="1379"/>
      <c r="HT125" s="1379"/>
      <c r="HU125" s="1379"/>
      <c r="HW125" s="1383"/>
      <c r="HX125" s="1384" t="b">
        <f>HW123</f>
        <v>0</v>
      </c>
      <c r="HY125" s="1378"/>
      <c r="HZ125" s="436"/>
      <c r="IA125" s="1386"/>
      <c r="IB125" s="1380">
        <f>IF(IA123=TRUE,AC126,0)</f>
        <v>0</v>
      </c>
      <c r="IC125" s="1379"/>
      <c r="IF125" s="1380" t="e">
        <f>ROUND(T125*AB126*N124*R124/1000,0)</f>
        <v>#VALUE!</v>
      </c>
      <c r="IG125" s="1382"/>
      <c r="IH125" s="1384" t="e">
        <f>ROUND(T125*AB126*N124*R124/1000,0)</f>
        <v>#VALUE!</v>
      </c>
      <c r="II125" s="1382"/>
      <c r="IK125" s="1351" t="e">
        <f>IF($CO125="interior",IL125/2,VLOOKUP($CP125,Control_Savings_Exterior,IK$30,FALSE))</f>
        <v>#N/A</v>
      </c>
      <c r="IL125" s="1351" t="e">
        <f>IF($CO125="interior",VLOOKUP($CP125,Control_Savings_Interior,IL$30,FALSE),VLOOKUP($CP125,Control_Savings_Exterior,IL$30,FALSE))</f>
        <v>#N/A</v>
      </c>
      <c r="IM125" s="1351" t="e">
        <f>IF($CO125="interior",IF(R124&gt;FO$37,(IM$28*(FO$37/R124)),IM$28)*FP125,VLOOKUP($CP125,Control_Savings_Exterior,IM$30,FALSE))</f>
        <v>#N/A</v>
      </c>
      <c r="IN125" s="1351" t="e">
        <f>IF($CO125="interior",ROUND(((1-IL125)*IM125)+IL125,2),VLOOKUP($CP125,Control_Savings_Exterior,IN$30,FALSE))</f>
        <v>#N/A</v>
      </c>
      <c r="IO125" s="1351" t="e">
        <f>IF($CO125="interior", ROUND(((1-IL125)*(IM125*(1-IP$28)))+IP125,2), VLOOKUP($CP125,Control_Savings_Exterior,IO$30,FALSE))</f>
        <v>#N/A</v>
      </c>
      <c r="IP125" s="1351">
        <f>IF($CO125="interior",ROUND(((1-IL125)*IP$28)+IL125,2),0)</f>
        <v>0</v>
      </c>
    </row>
    <row r="126" spans="1:250" s="82" customFormat="1" ht="14.95" customHeight="1" thickTop="1" thickBot="1">
      <c r="B126" s="1421"/>
      <c r="C126" s="1422"/>
      <c r="D126" s="1423"/>
      <c r="E126" s="1462" t="s">
        <v>357</v>
      </c>
      <c r="F126" s="1463"/>
      <c r="G126" s="1464" t="s">
        <v>362</v>
      </c>
      <c r="H126" s="1465"/>
      <c r="I126" s="1465"/>
      <c r="J126" s="1465"/>
      <c r="K126" s="1465"/>
      <c r="L126" s="1466"/>
      <c r="M126" s="669">
        <f>IFERROR(VLOOKUP(G126,_Daylight_Table[],2,FALSE),0)</f>
        <v>0</v>
      </c>
      <c r="N126" s="670"/>
      <c r="O126" s="669" t="e">
        <f>VLOOKUP(G125,'Space Table'!$B$3:$L$160,11,FALSE)</f>
        <v>#N/A</v>
      </c>
      <c r="P126" s="1408"/>
      <c r="Q126" s="1409"/>
      <c r="R126" s="1409"/>
      <c r="S126" s="1402"/>
      <c r="T126" s="671" t="s">
        <v>281</v>
      </c>
      <c r="U126" s="1467" t="str">
        <f>IFERROR(VLOOKUP(U125,Fixtures!DM$93:DP$142,4,FALSE),"")</f>
        <v/>
      </c>
      <c r="V126" s="1468"/>
      <c r="W126" s="1468"/>
      <c r="X126" s="1468"/>
      <c r="Y126" s="1468"/>
      <c r="Z126" s="1468"/>
      <c r="AA126" s="1468"/>
      <c r="AB126" s="1046" t="str">
        <f>IFERROR(VLOOKUP(U125,Fixtures_Proposed_List,2,FALSE),"")</f>
        <v/>
      </c>
      <c r="AC126" s="1036" t="str">
        <f>IFERROR(ROUND(T125*AB126*N124*R124/1000,0),"")</f>
        <v/>
      </c>
      <c r="AD126" s="1037" t="str">
        <f>IFERROR(ROUND(T125*AB126/1000,2),"")</f>
        <v/>
      </c>
      <c r="AE126" s="1045" t="s">
        <v>281</v>
      </c>
      <c r="AF126" s="1469"/>
      <c r="AG126" s="1469"/>
      <c r="AH126" s="1469"/>
      <c r="AI126" s="1469"/>
      <c r="AJ126" s="1476"/>
      <c r="AK126" s="1471"/>
      <c r="AL126" s="1473"/>
      <c r="AM126" s="1443"/>
      <c r="AN126" s="1444"/>
      <c r="AO126" s="1449"/>
      <c r="AP126" s="1449"/>
      <c r="AQ126" s="1450"/>
      <c r="AR126" s="1453"/>
      <c r="AS126" s="1456"/>
      <c r="AT126" s="1459"/>
      <c r="AU126" s="517"/>
      <c r="AV126" s="1480"/>
      <c r="AW126" s="1480"/>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M126" s="1352"/>
      <c r="CN126" s="1352"/>
      <c r="CO126" s="1416"/>
      <c r="CP126" s="1418"/>
      <c r="CR126" s="1386"/>
      <c r="CS126" s="1355"/>
      <c r="CT126" s="1355"/>
      <c r="CU126" s="1375"/>
      <c r="CV126" s="1372"/>
      <c r="CW126" s="1372"/>
      <c r="CX126" s="1372"/>
      <c r="CY126" s="1487"/>
      <c r="CZ126" s="1487"/>
      <c r="DA126" s="1487"/>
      <c r="DC126" s="1355"/>
      <c r="DD126" s="1355"/>
      <c r="DE126" s="1375"/>
      <c r="DF126" s="1407"/>
      <c r="DG126" s="1372"/>
      <c r="DH126" s="1369"/>
      <c r="DK126" s="1484"/>
      <c r="DL126" s="1420"/>
      <c r="DN126" s="1403"/>
      <c r="DO126" s="1405"/>
      <c r="DP126" s="1355"/>
      <c r="DQ126" s="1405"/>
      <c r="DR126" s="1403"/>
      <c r="DS126" s="1489"/>
      <c r="DU126" s="1403"/>
      <c r="DV126" s="1405"/>
      <c r="DW126" s="1403"/>
      <c r="DX126" s="1403"/>
      <c r="DZ126" s="1481"/>
      <c r="EA126" s="1481"/>
      <c r="EC126" s="1482"/>
      <c r="ED126" s="1369"/>
      <c r="EE126" s="1372"/>
      <c r="EF126" s="1369"/>
      <c r="EG126" s="1369"/>
      <c r="EH126" s="1375"/>
      <c r="EI126" s="1375"/>
      <c r="EJ126" s="1363"/>
      <c r="EK126" s="1376"/>
      <c r="EL126" s="1376"/>
      <c r="EM126" s="1362"/>
      <c r="EN126" s="1362"/>
      <c r="EO126" s="1363"/>
      <c r="EP126" s="1363"/>
      <c r="EQ126" s="1363"/>
      <c r="ES126" s="1403"/>
      <c r="EU126" s="1488"/>
      <c r="EV126" s="1488"/>
      <c r="EW126" s="1488"/>
      <c r="EX126" s="1488"/>
      <c r="EY126" s="1488"/>
      <c r="EZ126" s="1414"/>
      <c r="FB126" s="1365"/>
      <c r="FD126" s="1355"/>
      <c r="FE126" s="1355"/>
      <c r="FF126" s="138"/>
      <c r="FI126" s="1357"/>
      <c r="FJ126" s="1357"/>
      <c r="FK126" s="1365"/>
      <c r="FL126" s="1365"/>
      <c r="FM126" s="1365"/>
      <c r="FO126" s="1361"/>
      <c r="FP126" s="1361"/>
      <c r="FQ126" s="1366"/>
      <c r="FR126" s="1361"/>
      <c r="FS126" s="1361"/>
      <c r="FT126" s="1361"/>
      <c r="FU126" s="1360"/>
      <c r="FW126" s="1352"/>
      <c r="FX126" s="1352"/>
      <c r="FY126" s="1352"/>
      <c r="FZ126" s="1352"/>
      <c r="GA126" s="1352"/>
      <c r="GB126" s="1352"/>
      <c r="GC126" s="1352"/>
      <c r="GD126" s="1352"/>
      <c r="GE126" s="759"/>
      <c r="GF126" s="1035"/>
      <c r="GG126" s="1385"/>
      <c r="GJ126" s="1034">
        <f>IF(GJ124=TRUE,0,GJ$16)</f>
        <v>0</v>
      </c>
      <c r="GL126" s="1034">
        <f>IF(GL124=TRUE,0,GL$16)</f>
        <v>36</v>
      </c>
      <c r="GM126" s="1034">
        <f>IF(GM124=TRUE,0,GM$16)</f>
        <v>35</v>
      </c>
      <c r="GN126" s="436"/>
      <c r="GO126" s="436"/>
      <c r="GP126" s="436"/>
      <c r="GQ126" s="436"/>
      <c r="GR126" s="436"/>
      <c r="HC126" s="1034">
        <f t="shared" ref="HC126:HH126" si="78">IF(HC124=TRUE,0,HC$16)</f>
        <v>19</v>
      </c>
      <c r="HD126" s="1034">
        <f t="shared" si="78"/>
        <v>18</v>
      </c>
      <c r="HE126" s="1034">
        <f t="shared" si="78"/>
        <v>17</v>
      </c>
      <c r="HF126" s="1034">
        <f t="shared" si="78"/>
        <v>16</v>
      </c>
      <c r="HG126" s="1034">
        <f t="shared" si="78"/>
        <v>0</v>
      </c>
      <c r="HH126" s="1034">
        <f t="shared" si="78"/>
        <v>0</v>
      </c>
      <c r="HI126" s="1034">
        <f>IF(HI124=TRUE,0,HI$16)</f>
        <v>13</v>
      </c>
      <c r="HJ126" s="1034">
        <f t="shared" ref="HJ126:HL126" si="79">IF(HJ124=TRUE,0,HJ$16)</f>
        <v>12</v>
      </c>
      <c r="HK126" s="1034">
        <f t="shared" si="79"/>
        <v>11</v>
      </c>
      <c r="HL126" s="1034">
        <f t="shared" si="79"/>
        <v>10</v>
      </c>
      <c r="HM126" s="1034">
        <f>IF(HM124=TRUE,0,HM$16)</f>
        <v>9</v>
      </c>
      <c r="HN126" s="1034">
        <f t="shared" ref="HN126:HR126" si="80">IF(HN124=TRUE,0,HN$16)</f>
        <v>0</v>
      </c>
      <c r="HO126" s="1034">
        <f t="shared" si="80"/>
        <v>0</v>
      </c>
      <c r="HP126" s="1034">
        <f t="shared" si="80"/>
        <v>0</v>
      </c>
      <c r="HQ126" s="1034">
        <f t="shared" si="80"/>
        <v>0</v>
      </c>
      <c r="HR126" s="1034">
        <f t="shared" si="80"/>
        <v>0</v>
      </c>
      <c r="HS126" s="1034">
        <f>IF(HS124=TRUE,0,HS$16)</f>
        <v>0</v>
      </c>
      <c r="HT126" s="1034">
        <f t="shared" ref="HT126" si="81">IF(HT124=TRUE,0,HT$16)</f>
        <v>0</v>
      </c>
      <c r="HU126" s="1034">
        <f>IF(HU124=TRUE,0,HU$16)</f>
        <v>1</v>
      </c>
      <c r="HW126" s="1034">
        <f>IF(GL124=FALSE,GL126,IF(GM124=FALSE,GM126,MAX(GJ126:HU126)))</f>
        <v>36</v>
      </c>
      <c r="HX126" s="1383"/>
      <c r="HY126" s="241" t="str">
        <f>VLOOKUP(HW126,_Error_Table,3,FALSE)</f>
        <v xml:space="preserve"> </v>
      </c>
      <c r="HZ126" s="241"/>
      <c r="IA126" s="1386"/>
      <c r="IB126" s="1380"/>
      <c r="IC126" s="1379"/>
      <c r="IF126" s="1380"/>
      <c r="IG126" s="1383"/>
      <c r="IH126" s="1383"/>
      <c r="II126" s="1383"/>
      <c r="IK126" s="1351"/>
      <c r="IL126" s="1351"/>
      <c r="IM126" s="1351"/>
      <c r="IN126" s="1351"/>
      <c r="IO126" s="1351"/>
      <c r="IP126" s="1351"/>
    </row>
    <row r="127" spans="1:250" s="82" customFormat="1" ht="5.0999999999999996" customHeight="1" thickBot="1">
      <c r="B127" s="763"/>
      <c r="C127" s="437"/>
      <c r="D127" s="437"/>
      <c r="E127" s="1490"/>
      <c r="F127" s="1490"/>
      <c r="G127" s="1490"/>
      <c r="H127" s="1490"/>
      <c r="I127" s="1490"/>
      <c r="J127" s="1490"/>
      <c r="K127" s="1490"/>
      <c r="L127" s="1490"/>
      <c r="M127" s="1490"/>
      <c r="N127" s="1490"/>
      <c r="O127" s="1490"/>
      <c r="P127" s="1490"/>
      <c r="Q127" s="1490"/>
      <c r="R127" s="1490"/>
      <c r="S127" s="1490"/>
      <c r="T127" s="1490"/>
      <c r="U127" s="1490"/>
      <c r="V127" s="1490"/>
      <c r="W127" s="1490"/>
      <c r="X127" s="1490"/>
      <c r="Y127" s="1490"/>
      <c r="Z127" s="1490"/>
      <c r="AA127" s="1490"/>
      <c r="AB127" s="1490"/>
      <c r="AC127" s="1490"/>
      <c r="AD127" s="1490"/>
      <c r="AE127" s="1490"/>
      <c r="AF127" s="1490"/>
      <c r="AG127" s="1490"/>
      <c r="AH127" s="1490"/>
      <c r="AI127" s="1490"/>
      <c r="AJ127" s="1490"/>
      <c r="AK127" s="1490"/>
      <c r="AL127" s="1490"/>
      <c r="AM127" s="1490"/>
      <c r="AN127" s="1490"/>
      <c r="AO127" s="1490"/>
      <c r="AP127" s="1490"/>
      <c r="AQ127" s="1490"/>
      <c r="AR127" s="1490"/>
      <c r="AS127" s="1490"/>
      <c r="AT127" s="1490"/>
      <c r="AU127" s="51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M127" s="749"/>
      <c r="CN127" s="749"/>
      <c r="CO127" s="485"/>
      <c r="CP127" s="749"/>
      <c r="CS127" s="436"/>
      <c r="CT127" s="436"/>
      <c r="CU127" s="243"/>
      <c r="CV127" s="244"/>
      <c r="CW127" s="244"/>
      <c r="CX127" s="244"/>
      <c r="CY127" s="245"/>
      <c r="CZ127" s="245"/>
      <c r="DA127" s="245"/>
      <c r="DC127" s="750"/>
      <c r="DD127" s="751"/>
      <c r="DE127" s="752"/>
      <c r="DF127" s="753"/>
      <c r="DG127" s="754"/>
      <c r="DH127" s="754"/>
      <c r="DK127" s="244"/>
      <c r="DL127" s="750"/>
      <c r="DN127" s="750"/>
      <c r="DO127" s="755"/>
      <c r="DP127" s="436"/>
      <c r="DQ127" s="750"/>
      <c r="DR127" s="750"/>
      <c r="DS127" s="750"/>
      <c r="DU127" s="750"/>
      <c r="DV127" s="750"/>
      <c r="DW127" s="750"/>
      <c r="DX127" s="750"/>
      <c r="DZ127" s="756"/>
      <c r="EA127" s="756"/>
      <c r="EC127" s="754"/>
      <c r="ED127" s="754"/>
      <c r="EE127" s="244"/>
      <c r="EF127" s="754"/>
      <c r="EG127" s="754"/>
      <c r="EH127" s="243"/>
      <c r="EI127" s="243"/>
      <c r="EJ127" s="752"/>
      <c r="EK127" s="757"/>
      <c r="EL127" s="757"/>
      <c r="EM127" s="758"/>
      <c r="EN127" s="758"/>
      <c r="EO127" s="752"/>
      <c r="EP127" s="752"/>
      <c r="EQ127" s="752"/>
      <c r="ES127" s="750"/>
      <c r="EU127" s="436"/>
      <c r="EV127" s="436"/>
      <c r="EW127" s="436"/>
      <c r="EX127" s="436"/>
      <c r="EY127" s="436"/>
      <c r="EZ127" s="436"/>
      <c r="FB127" s="643"/>
      <c r="FD127" s="436"/>
      <c r="FE127" s="436"/>
      <c r="FF127" s="436"/>
      <c r="FO127" s="750"/>
      <c r="FP127" s="436"/>
      <c r="FQ127" s="436"/>
      <c r="FR127" s="750"/>
      <c r="FS127" s="750"/>
      <c r="FW127" s="749"/>
      <c r="FX127" s="749"/>
      <c r="FY127" s="749"/>
      <c r="FZ127" s="749"/>
      <c r="GA127" s="749"/>
      <c r="GB127" s="749"/>
      <c r="GC127" s="749"/>
      <c r="GD127" s="749"/>
      <c r="GE127" s="751"/>
      <c r="GF127" s="750"/>
      <c r="GG127" s="750"/>
    </row>
    <row r="128" spans="1:250" s="82" customFormat="1" ht="14.95" customHeight="1" thickTop="1" thickBot="1">
      <c r="B128" s="1421" t="str">
        <f>HY131</f>
        <v xml:space="preserve"> </v>
      </c>
      <c r="C128" s="1422">
        <f>C123+1</f>
        <v>18</v>
      </c>
      <c r="D128" s="1423"/>
      <c r="E128" s="1424" t="s">
        <v>242</v>
      </c>
      <c r="F128" s="1425"/>
      <c r="G128" s="1426"/>
      <c r="H128" s="1427"/>
      <c r="I128" s="1427"/>
      <c r="J128" s="1427"/>
      <c r="K128" s="1427"/>
      <c r="L128" s="1427"/>
      <c r="M128" s="1427"/>
      <c r="N128" s="1427"/>
      <c r="O128" s="1427"/>
      <c r="P128" s="1427"/>
      <c r="Q128" s="1427"/>
      <c r="R128" s="1427"/>
      <c r="S128" s="1428" t="s">
        <v>283</v>
      </c>
      <c r="T128" s="668" t="s">
        <v>190</v>
      </c>
      <c r="U128" s="1430" t="s">
        <v>186</v>
      </c>
      <c r="V128" s="1431"/>
      <c r="W128" s="1431"/>
      <c r="X128" s="1431"/>
      <c r="Y128" s="1431"/>
      <c r="Z128" s="1431"/>
      <c r="AA128" s="1431"/>
      <c r="AB128" s="1088" t="str">
        <f>IFERROR(IF(__Retrofit_TI_NC=0,VLOOKUP(U129,Fixtures_Existing_List,2,FALSE),ROUND(N130*R130/T130,10)),"")</f>
        <v/>
      </c>
      <c r="AC128" s="1039" t="str">
        <f>IFERROR(IF(__Retrofit_TI_NC=0,ROUND(T129*AB128*N129*R129/1000,0),IF(CN128="Interior",N130*R130*R129*N129*_C406_reduction/1000,N130*R130*R129*N129/1000)),"")</f>
        <v/>
      </c>
      <c r="AD128" s="1040" t="str">
        <f>IFERROR(IF(C$36=0,ROUND(T129*AB128/1000,2),N130*R130/1000),"")</f>
        <v/>
      </c>
      <c r="AE128" s="1044" t="s">
        <v>190</v>
      </c>
      <c r="AF128" s="1432" t="str">
        <f>IF(__Retrofit_TI_NC=2,CONCATENATE("Code min = ",DD128),IF(__Retrofit_TI_NC=1,"Emter what you think the existing control was"," Control"))</f>
        <v xml:space="preserve"> Control</v>
      </c>
      <c r="AG128" s="1432"/>
      <c r="AH128" s="1432"/>
      <c r="AI128" s="1432"/>
      <c r="AJ128" s="1433">
        <f>DF128</f>
        <v>0</v>
      </c>
      <c r="AK128" s="1435" t="str">
        <f>IFERROR(ROUND(AJ128*AC128,0),"")</f>
        <v/>
      </c>
      <c r="AL128" s="1437">
        <f>IFERROR(IF(HW128=FALSE,0,AC128-AK128),0)</f>
        <v>0</v>
      </c>
      <c r="AM128" s="1439">
        <f>AL128-AL130</f>
        <v>0</v>
      </c>
      <c r="AN128" s="1440"/>
      <c r="AO128" s="1445">
        <f>IFERROR(IF(HW128=FALSE,0,(T130*U131)+(AE130*AF131)),0)</f>
        <v>0</v>
      </c>
      <c r="AP128" s="1445"/>
      <c r="AQ128" s="1446"/>
      <c r="AR128" s="1451" t="s">
        <v>157</v>
      </c>
      <c r="AS128" s="1454">
        <f>IF(AR128="Yes",1,0)</f>
        <v>1</v>
      </c>
      <c r="AT128" s="1457" t="str">
        <f>IF(OR(DN128=4,DN128=5,DN128=6,DN128=12),CONCATENATE("$",IF(GD128=TRUE,Lookup!$B$11,Lookup!$B$2)," /lamp"),CONCATENATE(EA128,"/ kWh"))</f>
        <v>0/ kWh</v>
      </c>
      <c r="AU128" s="516"/>
      <c r="AV128" s="1478">
        <f>IFERROR(IF(GI129=TRUE,(AB131*T130)/R130,0),"NA")</f>
        <v>0</v>
      </c>
      <c r="AW128" s="1478" t="str">
        <f>IFERROR(N130*_C406_reduction,"NA")</f>
        <v>NA</v>
      </c>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M128" s="1352" t="str">
        <f>N129</f>
        <v/>
      </c>
      <c r="CN128" s="1352" t="str">
        <f>IFERROR(VLOOKUP(G129,_Lookup_Heat_Type_Table_New,3,FALSE),"")</f>
        <v/>
      </c>
      <c r="CO128" s="1415" t="str">
        <f>CN128</f>
        <v/>
      </c>
      <c r="CP128" s="1417" t="e">
        <f>VLOOKUP(G130,'Space Table'!$B$3:$L$160,9,FALSE)</f>
        <v>#N/A</v>
      </c>
      <c r="CR128" s="1386" t="s">
        <v>283</v>
      </c>
      <c r="CS128" s="1353">
        <f>IF(HW128=TRUE,T129,0)</f>
        <v>0</v>
      </c>
      <c r="CT128" s="1353" t="str">
        <f>IF(HW128=TRUE,U129,"")</f>
        <v/>
      </c>
      <c r="CU128" s="1353"/>
      <c r="CV128" s="1370">
        <f>IF(HW128=TRUE,AB128,0)</f>
        <v>0</v>
      </c>
      <c r="CW128" s="1370">
        <f>IF(HW128=TRUE,AC128,0)</f>
        <v>0</v>
      </c>
      <c r="CX128" s="1370">
        <f>IFERROR(IF(HW128=TRUE,CW128-CW130,0),0)</f>
        <v>0</v>
      </c>
      <c r="CY128" s="1485">
        <f>IF(HW128=TRUE,AD128,0)</f>
        <v>0</v>
      </c>
      <c r="CZ128" s="1485">
        <f>IF(HW128=TRUE,AD131,0)</f>
        <v>0</v>
      </c>
      <c r="DA128" s="1485">
        <f>IFERROR(CY128-CZ128,0)</f>
        <v>0</v>
      </c>
      <c r="DC128" s="1353">
        <f>IF(HW128=TRUE,AE129,0)</f>
        <v>0</v>
      </c>
      <c r="DD128" s="1460">
        <f>IF(__Retrofit_TI_NC=2,IF(CN128="Exterior",O131,FM128),FK128)</f>
        <v>0</v>
      </c>
      <c r="DE128" s="1353"/>
      <c r="DF128" s="1406">
        <f>IFERROR(IF(FL128=3,IK128,IF(FL128=4,IL128,IF(FL128=5,IM128,IF(FL128=6,IN128,IF(FL128=7,IO128,IF(FL128=8,IP128,0)))))),0)</f>
        <v>0</v>
      </c>
      <c r="DG128" s="1370">
        <f>IF(HW128=TRUE,AK128,0)</f>
        <v>0</v>
      </c>
      <c r="DH128" s="1369">
        <f>IFERROR(IF(HW128=TRUE,DG130-DG128,0),0)</f>
        <v>0</v>
      </c>
      <c r="DJ128" s="1483">
        <f>IFERROR(CW128-DG128,0)</f>
        <v>0</v>
      </c>
      <c r="DL128" s="1419">
        <f>DJ128-DK130</f>
        <v>0</v>
      </c>
      <c r="DN128" s="1403" t="str">
        <f>IFERROR(IF(AND(OR(FY128=4,FY128=5,FY128=6),OR(GB128=4,GB128=5,GB128=6)),FY128+8,VLOOKUP(CT130,Fixtures!R$31:Y$78,8,FALSE)),"")</f>
        <v/>
      </c>
      <c r="DO128" s="1404" t="str">
        <f>DN128</f>
        <v/>
      </c>
      <c r="DP128" s="1353" t="str">
        <f>IFERROR(VLOOKUP(DD130,Lookup!AU$3:AV$15,2,FALSE),"")</f>
        <v/>
      </c>
      <c r="DQ128" s="1404" t="str">
        <f>IF(DP128=7,"LLLC","")</f>
        <v/>
      </c>
      <c r="DR128" s="1403">
        <f>IFERROR(IF(OR(DN128=4,DN128=5,DN128=6,DN128=12,DN128=13,DN128=14),VLOOKUP(CT130,Fixtures!DN$27:EG$77,19,FALSE),1)*CS130,0)</f>
        <v>0</v>
      </c>
      <c r="DS128" s="1489">
        <f>IF(DP128=7,IF(DD128=DD130,0,DC130),0)</f>
        <v>0</v>
      </c>
      <c r="DU128" s="1403" t="str">
        <f>IFERROR(IF(EW128&lt;EW130,"Yes","No"),"")</f>
        <v/>
      </c>
      <c r="DV128" s="1404" t="str">
        <f>DU128</f>
        <v/>
      </c>
      <c r="DW128" s="1403">
        <f>IF(DU128="Yes",DC130,0)</f>
        <v>0</v>
      </c>
      <c r="DX128" s="1403">
        <f>DW128-DS128</f>
        <v>0</v>
      </c>
      <c r="DZ128" s="1481">
        <f>IFERROR(VLOOKUP(DN128,Lookup!AN$3:AO$16,2,FALSE),0)</f>
        <v>0</v>
      </c>
      <c r="EA128" s="1481">
        <f>IF(HW128=FALSE,0,IF(DU128="Yes",DZ128+Lookup!B$6,DZ128))</f>
        <v>0</v>
      </c>
      <c r="EC128" s="1482">
        <f>IF(HW128=TRUE,DJ128,0)</f>
        <v>0</v>
      </c>
      <c r="ED128" s="1369">
        <f>IF(HW128=TRUE,CW130,0)</f>
        <v>0</v>
      </c>
      <c r="EE128" s="1370">
        <f>IFERROR(EC128-ED128,0)</f>
        <v>0</v>
      </c>
      <c r="EF128" s="1369">
        <f>IF(HW128=TRUE,DG130,0)</f>
        <v>0</v>
      </c>
      <c r="EG128" s="1369">
        <f>IFERROR(EC128-ED128+EF128,0)</f>
        <v>0</v>
      </c>
      <c r="EH128" s="1373">
        <f>IF(HW128=TRUE,CS130*CU130,0)</f>
        <v>0</v>
      </c>
      <c r="EI128" s="1373">
        <f>IF(HW128=TRUE,DC130*DE130,0)</f>
        <v>0</v>
      </c>
      <c r="EJ128" s="1363">
        <f>AO128</f>
        <v>0</v>
      </c>
      <c r="EK128" s="1376" t="str">
        <f>IFERROR(IF(HW128=TRUE,VLOOKUP(DN128,Lookup!AN$3:AP$16,3,FALSE)*DR128,""),0)</f>
        <v/>
      </c>
      <c r="EL128" s="1376">
        <f>IF(HW128=TRUE,DW128*Lookup!AP$12,0)</f>
        <v>0</v>
      </c>
      <c r="EM128" s="1362">
        <f>IFERROR(IF(HW128=TRUE,EK128/EM$33,0),0)</f>
        <v>0</v>
      </c>
      <c r="EN128" s="1362">
        <f>IF(HW128=TRUE,EL128/EN$33,0)</f>
        <v>0</v>
      </c>
      <c r="EO128" s="1363">
        <f>IF(HW128=TRUE,EQ$33*EM128,0)</f>
        <v>0</v>
      </c>
      <c r="EP128" s="1363">
        <f>IF(HW128=TRUE,EQ$33*EN128,0)</f>
        <v>0</v>
      </c>
      <c r="EQ128" s="1363">
        <f>EO128+EP128</f>
        <v>0</v>
      </c>
      <c r="ES128" s="1403">
        <f>IF(G128="",0,1)</f>
        <v>0</v>
      </c>
      <c r="EU128" s="1410" t="e">
        <f>VLOOKUP(CP130,'Space Table'!$B$3:$L$160,8,FALSE)</f>
        <v>#N/A</v>
      </c>
      <c r="EV128" s="1410" t="e">
        <f>IF(EY128="Yes",VLOOKUP(DD128,Lookup_Control_Type_Table2,4,FALSE),VLOOKUP(DD128,Lookup_Control_Type_Table2,3,FALSE))</f>
        <v>#N/A</v>
      </c>
      <c r="EW128" s="1410" t="e">
        <f>VLOOKUP(DD128,Lookup!AU$3:AV$15,2,FALSE)</f>
        <v>#N/A</v>
      </c>
      <c r="EX128" s="1410" t="e">
        <f>VLOOKUP(EU128,Lookup_Control_Type_Table,2,FALSE)</f>
        <v>#N/A</v>
      </c>
      <c r="EY128" s="1410" t="e">
        <f>VLOOKUP(CP130,'Space Table'!$B$3:$L$160,7,FALSE)</f>
        <v>#N/A</v>
      </c>
      <c r="EZ128" s="1412" t="b">
        <f>ISNUMBER(SEARCH("TLED",U130))</f>
        <v>0</v>
      </c>
      <c r="FB128" s="1365" t="str">
        <f>CONCATENATE(CN128," - ",DD128)</f>
        <v xml:space="preserve"> - 0</v>
      </c>
      <c r="FD128" s="1353" t="str">
        <f>VLOOKUP(CT130,Fixtures!DN$27:EZ$77,38,FALSE)</f>
        <v/>
      </c>
      <c r="FE128" s="1353">
        <f>IFERROR(FD128*EE128,0)</f>
        <v>0</v>
      </c>
      <c r="FF128" s="138"/>
      <c r="FI128" s="1356" t="str">
        <f>IF(CN128="Exterior","Not Daylighted",G131)</f>
        <v>Not Daylighted</v>
      </c>
      <c r="FJ128" s="1356">
        <f>VLOOKUP(FI128,_Daylight_Table_Codes,2,FALSE)</f>
        <v>0</v>
      </c>
      <c r="FK128" s="1365">
        <f>IF(__Retrofit_TI_NC=2,VLOOKUP(G130,'Space Table'!$B$3:$L$160,11,FALSE),AF129)</f>
        <v>0</v>
      </c>
      <c r="FL128" s="1365" t="e">
        <f>VLOOKUP(FK128,_Control_Table,2,FALSE)</f>
        <v>#N/A</v>
      </c>
      <c r="FM128" s="1365" t="e">
        <f>IF(AND(FP128&gt;0,FK128="Occupancy Sensor"),"Daylight + Occupancy",IF(AND(FP128&gt;0,FL128&lt;4),"Interior Daylight Dimming",FK128))</f>
        <v>#N/A</v>
      </c>
      <c r="FO128" s="1364">
        <f>IF(CO128="Interior",VLOOKUP(CP128,Control_Savings_Interior,5,FALSE),0)</f>
        <v>0</v>
      </c>
      <c r="FP128" s="1361">
        <f>IF(CN128="Exterior",0,IF(FJ128=2,0.5,IF(OR(FJ128=1,FJ128=3),1,0)))</f>
        <v>0</v>
      </c>
      <c r="FQ128" s="1366"/>
      <c r="FR128" s="1367"/>
      <c r="FS128" s="1364"/>
      <c r="FT128" s="1367"/>
      <c r="FU128" s="1360"/>
      <c r="FW128" s="1352" t="str">
        <f>IFERROR(VLOOKUP(U129,_Exist_Fixture_Table,3,FALSE),"")</f>
        <v/>
      </c>
      <c r="FX128" s="1352" t="str">
        <f>VLOOKUP(CT128,_Exist_Fixture_Table,4,FALSE)</f>
        <v/>
      </c>
      <c r="FY128" s="1352">
        <f>IFERROR(VLOOKUP(FX128,Lookup!AM$6:AN$8,2,FALSE),0)</f>
        <v>0</v>
      </c>
      <c r="FZ128" s="1352" t="b">
        <f>IFERROR(IF(OR(GB128=4,GB128=5,GB128=6),TRUE,FALSE),"")</f>
        <v>0</v>
      </c>
      <c r="GA128" s="1352" t="str">
        <f>IFERROR(VLOOKUP(GB128,FY$6:FZ$10,2,FALSE),"")</f>
        <v/>
      </c>
      <c r="GB128" s="1352" t="str">
        <f>VLOOKUP(CT130,Fixtures!R$31:Y$78,8,FALSE)</f>
        <v/>
      </c>
      <c r="GC128" s="1352">
        <f>IF(AND(FW128=TRUE,FZ128=TRUE,OR(DN128=12,DN128=13,DN128=14)),FY128+8,0)</f>
        <v>0</v>
      </c>
      <c r="GD128" s="1352" t="b">
        <f>IF(OR(GC128=12,GC128=13,GC128=14),TRUE,FALSE)</f>
        <v>0</v>
      </c>
      <c r="GE128" s="759" t="b">
        <f>IF(ISNUMBER(SEARCH("TLED",U129)),TRUE,FALSE)</f>
        <v>0</v>
      </c>
      <c r="GF128" s="1035" t="str">
        <f>IFERROR(VLOOKUP(U129,Fixtures!BM$93:BR$142,6,FALSE),"")</f>
        <v/>
      </c>
      <c r="GG128" s="1385" t="b">
        <f>IF(OR(GE128=FALSE,GE130=FALSE),TRUE,IF(GF128-GF130&lt;5,FALSE,TRUE))</f>
        <v>1</v>
      </c>
      <c r="GK128" s="1034">
        <f>GL128</f>
        <v>0</v>
      </c>
      <c r="GL128" s="1034">
        <f>IF(G128="",0,1)</f>
        <v>0</v>
      </c>
      <c r="GM128" s="1034">
        <f>SUM(GN128:HB128)</f>
        <v>2</v>
      </c>
      <c r="GN128" s="1034">
        <f>IF(G129="",0,1)</f>
        <v>0</v>
      </c>
      <c r="GO128" s="1034">
        <f>IF(G130="",0,1)</f>
        <v>0</v>
      </c>
      <c r="GP128" s="1034">
        <f>IF(R129="",0,1)</f>
        <v>0</v>
      </c>
      <c r="GQ128" s="1034">
        <f>IF(__Retrofit_TI_NC=0,1,IF(R130="",0,1))</f>
        <v>1</v>
      </c>
      <c r="GR128" s="1034">
        <f>IF(CN128="Exterior",1,IF(G131="",0,1))</f>
        <v>1</v>
      </c>
      <c r="GS128" s="1034">
        <f>IF(__Retrofit_TI_NC&lt;&gt;0,1,IF(T129="",0,1))</f>
        <v>0</v>
      </c>
      <c r="GT128" s="1034">
        <f>IF(__Retrofit_TI_NC&lt;&gt;0,1,IF(U129="",0,1))</f>
        <v>0</v>
      </c>
      <c r="GU128" s="1034">
        <f>IF(T130="",0,1)</f>
        <v>0</v>
      </c>
      <c r="GV128" s="1034">
        <f>IF(U130="",0,1)</f>
        <v>0</v>
      </c>
      <c r="GW128" s="1034">
        <f>IF(__Retrofit_TI_NC=2,1,IF(U131="",0,1))</f>
        <v>0</v>
      </c>
      <c r="GX128" s="1034">
        <f>IF(__Retrofit_TI_NC&lt;&gt;0,1,IF(AE129="",0,1))</f>
        <v>0</v>
      </c>
      <c r="GY128" s="1034">
        <f>IF(__Retrofit_TI_NC&lt;&gt;0,1,IF(AF129="",0,1))</f>
        <v>0</v>
      </c>
      <c r="GZ128" s="1034">
        <f>IF(AE130="",0,1)</f>
        <v>0</v>
      </c>
      <c r="HA128" s="1034">
        <f>IF(AF130="",0,1)</f>
        <v>0</v>
      </c>
      <c r="HB128" s="1034">
        <f>IF(__Retrofit_TI_NC=2,1,IF(AF131="",0,1))</f>
        <v>0</v>
      </c>
      <c r="HV128" s="436"/>
      <c r="HW128" s="1384" t="b">
        <f>IF(OR(HW131=0,HW131=HT$16,HW131=HS$16,HW131=HU$16),TRUE,FALSE)</f>
        <v>0</v>
      </c>
      <c r="HX128" s="1377" t="b">
        <f>HW128</f>
        <v>0</v>
      </c>
      <c r="HY128" s="436"/>
      <c r="HZ128" s="436"/>
      <c r="IA128" s="1386" t="b">
        <f>IF(MAX(GJ131:HP131)&gt;5,FALSE,TRUE)</f>
        <v>0</v>
      </c>
      <c r="IB128" s="1380">
        <f>IF(IA128=TRUE,AC128,0)</f>
        <v>0</v>
      </c>
      <c r="IC128" s="1380">
        <f>IB128-IB130</f>
        <v>0</v>
      </c>
      <c r="IF128" s="1380" t="e">
        <f>ROUND(T129*VLOOKUP(U129,Fixtures_Existing_List,2,FALSE)*N129*R129/1000,0)</f>
        <v>#N/A</v>
      </c>
      <c r="IG128" s="1381" t="e">
        <f>IF128-IF130</f>
        <v>#N/A</v>
      </c>
      <c r="IH128" s="1384" t="e">
        <f>ROUND(IF(CN128="Interior",N130*R130*R129*N129*_C406_reduction/1000,N130*R130*R129*N129/1000),0)</f>
        <v>#N/A</v>
      </c>
      <c r="II128" s="1384" t="e">
        <f>IH128-IH130</f>
        <v>#N/A</v>
      </c>
      <c r="IK128" s="1351" t="e">
        <f>IF($CO128="interior",IL128/2,VLOOKUP($CP128,Control_Savings_Exterior,IK$30,FALSE))</f>
        <v>#N/A</v>
      </c>
      <c r="IL128" s="1351" t="e">
        <f>IF($CO128="interior",VLOOKUP($CP128,Control_Savings_Interior,IL$30,FALSE),VLOOKUP($CP128,Control_Savings_Exterior,IL$30,FALSE))</f>
        <v>#N/A</v>
      </c>
      <c r="IM128" s="1351" t="e">
        <f>IF($CO128="interior",IF(R129&gt;FO$37,(IM$28*(FO$37/R129)),IM$28)*FP128,VLOOKUP($CP128,Control_Savings_Exterior,IM$30,FALSE))</f>
        <v>#N/A</v>
      </c>
      <c r="IN128" s="1351" t="e">
        <f>IF($CO128="interior",ROUND(((1-IL128)*IM128)+IL128,2),VLOOKUP($CP128,Control_Savings_Exterior,IN$30,FALSE))</f>
        <v>#N/A</v>
      </c>
      <c r="IO128" s="1351" t="e">
        <f>IF($CO128="interior", ROUND(((1-IL128)*(IM128*(1-IP$28)))+IP128,2), VLOOKUP($CP128,Control_Savings_Exterior,IO$30,FALSE))</f>
        <v>#N/A</v>
      </c>
      <c r="IP128" s="1351">
        <f>IF($CO128="interior",ROUND(((1-IL128)*IP$28)+IL128,2),0)</f>
        <v>0</v>
      </c>
    </row>
    <row r="129" spans="1:250" s="82" customFormat="1" ht="14.95" customHeight="1" thickTop="1" thickBot="1">
      <c r="B129" s="1421"/>
      <c r="C129" s="1422"/>
      <c r="D129" s="1423"/>
      <c r="E129" s="1393" t="s">
        <v>244</v>
      </c>
      <c r="F129" s="1394"/>
      <c r="G129" s="1395"/>
      <c r="H129" s="1395"/>
      <c r="I129" s="1395"/>
      <c r="J129" s="1395"/>
      <c r="K129" s="1395"/>
      <c r="L129" s="1395"/>
      <c r="M129" s="509" t="e">
        <f>IF(__Retrofit_TI_NC&lt;&gt;0,IF(VLOOKUP(G130,'Space Table'!$B$3:$L$160,3,FALSE)&gt;0,1,0),IF(__Retrofit_TI_NC=VLOOKUP(G130,'Space Table'!$B$3:$L$160,3,FALSE),1,0))</f>
        <v>#N/A</v>
      </c>
      <c r="N129" s="509" t="str">
        <f>IFERROR(VLOOKUP(G129,_Lookup_Heat_Type_Table_New,2,FALSE),"")</f>
        <v/>
      </c>
      <c r="O129" s="509">
        <f>IF(__Retrofit_TI_NC=1,CONCATENATE("TI ",G129),IF(__Retrofit_TI_NC=2,CONCATENATE("NC ",G129),G129))</f>
        <v>0</v>
      </c>
      <c r="P129" s="1396" t="s">
        <v>352</v>
      </c>
      <c r="Q129" s="1396"/>
      <c r="R129" s="673"/>
      <c r="S129" s="1429"/>
      <c r="T129" s="675"/>
      <c r="U129" s="1496"/>
      <c r="V129" s="1497"/>
      <c r="W129" s="1497"/>
      <c r="X129" s="1497"/>
      <c r="Y129" s="1497"/>
      <c r="Z129" s="1497"/>
      <c r="AA129" s="1497"/>
      <c r="AB129" s="1497"/>
      <c r="AC129" s="1497"/>
      <c r="AD129" s="1498"/>
      <c r="AE129" s="675"/>
      <c r="AF129" s="1397"/>
      <c r="AG129" s="1397"/>
      <c r="AH129" s="1397"/>
      <c r="AI129" s="1397"/>
      <c r="AJ129" s="1434"/>
      <c r="AK129" s="1436"/>
      <c r="AL129" s="1438"/>
      <c r="AM129" s="1441"/>
      <c r="AN129" s="1442"/>
      <c r="AO129" s="1447"/>
      <c r="AP129" s="1447"/>
      <c r="AQ129" s="1448"/>
      <c r="AR129" s="1452"/>
      <c r="AS129" s="1455"/>
      <c r="AT129" s="1458"/>
      <c r="AU129" s="516"/>
      <c r="AV129" s="1479"/>
      <c r="AW129" s="1479"/>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M129" s="1352"/>
      <c r="CN129" s="1352"/>
      <c r="CO129" s="1416"/>
      <c r="CP129" s="1418"/>
      <c r="CR129" s="1386"/>
      <c r="CS129" s="1355"/>
      <c r="CT129" s="1355"/>
      <c r="CU129" s="1355"/>
      <c r="CV129" s="1372"/>
      <c r="CW129" s="1372"/>
      <c r="CX129" s="1371"/>
      <c r="CY129" s="1486"/>
      <c r="CZ129" s="1486"/>
      <c r="DA129" s="1486"/>
      <c r="DC129" s="1355"/>
      <c r="DD129" s="1461"/>
      <c r="DE129" s="1355"/>
      <c r="DF129" s="1407"/>
      <c r="DG129" s="1372"/>
      <c r="DH129" s="1369"/>
      <c r="DJ129" s="1484"/>
      <c r="DL129" s="1419"/>
      <c r="DN129" s="1403"/>
      <c r="DO129" s="1405"/>
      <c r="DP129" s="1354"/>
      <c r="DQ129" s="1405"/>
      <c r="DR129" s="1403"/>
      <c r="DS129" s="1489"/>
      <c r="DU129" s="1403"/>
      <c r="DV129" s="1405"/>
      <c r="DW129" s="1403"/>
      <c r="DX129" s="1403"/>
      <c r="DZ129" s="1481"/>
      <c r="EA129" s="1481"/>
      <c r="EC129" s="1482"/>
      <c r="ED129" s="1369"/>
      <c r="EE129" s="1371"/>
      <c r="EF129" s="1369"/>
      <c r="EG129" s="1369"/>
      <c r="EH129" s="1374"/>
      <c r="EI129" s="1374"/>
      <c r="EJ129" s="1363"/>
      <c r="EK129" s="1376"/>
      <c r="EL129" s="1376"/>
      <c r="EM129" s="1362"/>
      <c r="EN129" s="1362"/>
      <c r="EO129" s="1363"/>
      <c r="EP129" s="1363"/>
      <c r="EQ129" s="1363"/>
      <c r="ES129" s="1403"/>
      <c r="EU129" s="1411"/>
      <c r="EV129" s="1411"/>
      <c r="EW129" s="1411"/>
      <c r="EX129" s="1411"/>
      <c r="EY129" s="1411"/>
      <c r="EZ129" s="1413"/>
      <c r="FB129" s="1365"/>
      <c r="FD129" s="1354"/>
      <c r="FE129" s="1354"/>
      <c r="FF129" s="138"/>
      <c r="FI129" s="1357"/>
      <c r="FJ129" s="1357"/>
      <c r="FK129" s="1365"/>
      <c r="FL129" s="1365"/>
      <c r="FM129" s="1365"/>
      <c r="FO129" s="1361"/>
      <c r="FP129" s="1361"/>
      <c r="FQ129" s="1366"/>
      <c r="FR129" s="1368"/>
      <c r="FS129" s="1361"/>
      <c r="FT129" s="1368"/>
      <c r="FU129" s="1360"/>
      <c r="FW129" s="1352"/>
      <c r="FX129" s="1352"/>
      <c r="FY129" s="1352"/>
      <c r="FZ129" s="1352"/>
      <c r="GA129" s="1352"/>
      <c r="GB129" s="1352"/>
      <c r="GC129" s="1352"/>
      <c r="GD129" s="1352"/>
      <c r="GE129" s="759"/>
      <c r="GF129" s="1035"/>
      <c r="GG129" s="1385"/>
      <c r="GI129" s="1384" t="b">
        <f>IF(AND(GL129=TRUE,GM129=TRUE),TRUE,FALSE)</f>
        <v>0</v>
      </c>
      <c r="GJ129" s="1379" t="b">
        <f>IFERROR(IF(__Retrofit_TI_NC=2,TRUE,IF(AR128="Yes",TRUE,FALSE)),FALSE)</f>
        <v>1</v>
      </c>
      <c r="GL129" s="1379" t="b">
        <f>IFERROR(IF(GL128=1,TRUE,FALSE),FALSE)</f>
        <v>0</v>
      </c>
      <c r="GM129" s="1379" t="b">
        <f>IFERROR(IF(GM128=GM$14,TRUE,FALSE),FALSE)</f>
        <v>0</v>
      </c>
      <c r="HC129" s="1379" t="b">
        <f>IFERROR(IF(M129=1,TRUE,FALSE),FALSE)</f>
        <v>0</v>
      </c>
      <c r="HD129" s="1379" t="b">
        <f>IFERROR(IF(M130=1,TRUE,FALSE),FALSE)</f>
        <v>0</v>
      </c>
      <c r="HE129" s="1379" t="b">
        <f>IFERROR(IF(__Retrofit_TI_NC&lt;&gt;0,TRUE,IFERROR(IF(VLOOKUP(U129,Fixtures_Existing_List,2,FALSE)&lt;&gt;"",TRUE,FALSE),FALSE)),FALSE)</f>
        <v>0</v>
      </c>
      <c r="HF129" s="1379" t="b">
        <f>IFERROR(IF(VLOOKUP(U130,Fixtures_Proposed_List,2,FALSE)&lt;&gt;"",TRUE,FALSE),FALSE)</f>
        <v>0</v>
      </c>
      <c r="HG129" s="1379" t="b">
        <f>IF(AND(__Retrofit_TI_NC=2,EZ128=TRUE),FALSE,TRUE)</f>
        <v>1</v>
      </c>
      <c r="HH129" s="1379" t="b">
        <f>GG128</f>
        <v>1</v>
      </c>
      <c r="HI129" s="1384" t="b">
        <f>IF(ISERROR(MATCH(FB128,_Control_Match[],0))=TRUE,FALSE,TRUE)</f>
        <v>0</v>
      </c>
      <c r="HJ129" s="1384" t="b">
        <f>IFERROR(IF(EU128&lt;&gt;EV128,FALSE,TRUE),FALSE)</f>
        <v>0</v>
      </c>
      <c r="HK129" s="1384" t="b">
        <f>IFERROR(IF(EU130&lt;&gt;EV130,FALSE,TRUE),FALSE)</f>
        <v>0</v>
      </c>
      <c r="HL129" s="1379" t="b">
        <f>IFERROR(IF(CN128="Exterior",TRUE,IF(OR(AND(FJ128=0,EW130&gt;4),AND(FJ128=4,EW130&gt;4,EW130&lt;7)),FALSE,TRUE)),FALSE)</f>
        <v>0</v>
      </c>
      <c r="HM129" s="1379" t="b">
        <f>IFERROR(IF(AND(FL130=7,EZ128=TRUE),FALSE,TRUE),FALSE)</f>
        <v>0</v>
      </c>
      <c r="HN129" s="1379" t="b">
        <f>IFERROR(IF(AND(T130&lt;&gt;AE130,AF130="Interior LLLC")=TRUE,FALSE,TRUE),FALSE)</f>
        <v>1</v>
      </c>
      <c r="HO129" s="1379" t="b">
        <f>IFERROR(IF(OR(AF130=Lookup!AU$13,AF130=Lookup!AU$14)=TRUE,IF(AE130&gt;T130,FALSE,TRUE),TRUE),FALSE)</f>
        <v>1</v>
      </c>
      <c r="HP129" s="1379" t="b">
        <f>IFERROR(IF(__Retrofit_TI_NC=2,IF(EW130&lt;EW128,FALSE,TRUE),TRUE),FALSE)</f>
        <v>1</v>
      </c>
      <c r="HQ129" s="1379" t="b">
        <f>IF(CN128="Interior",IG$6,TRUE)</f>
        <v>1</v>
      </c>
      <c r="HR129" s="1379" t="b">
        <f>IF(CN128="Exterior",IG$8,TRUE)</f>
        <v>1</v>
      </c>
      <c r="HS129" s="1379" t="b">
        <f>IFERROR(IF(__Retrofit_TI_NC&lt;&gt;0,IF(AW128&lt;AV128,FALSE,TRUE),TRUE),FALSE)</f>
        <v>1</v>
      </c>
      <c r="HT129" s="1379" t="b">
        <f>IFERROR(IF(AND(G129="Exterior",R129&gt;4200),FALSE,TRUE),FALSE)</f>
        <v>1</v>
      </c>
      <c r="HU129" s="1379" t="b">
        <f>IFERROR(IF(AB131/AB128&lt;HU$18,FALSE,TRUE),FALSE)</f>
        <v>0</v>
      </c>
      <c r="HW129" s="1382"/>
      <c r="HX129" s="1378"/>
      <c r="HY129" s="1377" t="str">
        <f>VLOOKUP(HW131,_Error_Table,4,FALSE)</f>
        <v>White</v>
      </c>
      <c r="HZ129" s="436"/>
      <c r="IA129" s="1386"/>
      <c r="IB129" s="1380"/>
      <c r="IC129" s="1379"/>
      <c r="IF129" s="1380"/>
      <c r="IG129" s="1382"/>
      <c r="IH129" s="1382"/>
      <c r="II129" s="1382"/>
      <c r="IK129" s="1351"/>
      <c r="IL129" s="1351"/>
      <c r="IM129" s="1351"/>
      <c r="IN129" s="1351"/>
      <c r="IO129" s="1351"/>
      <c r="IP129" s="1351"/>
    </row>
    <row r="130" spans="1:250" s="82" customFormat="1" ht="14.95" customHeight="1" thickTop="1" thickBot="1">
      <c r="A130" s="82">
        <f>ROW()</f>
        <v>130</v>
      </c>
      <c r="B130" s="1421"/>
      <c r="C130" s="1422"/>
      <c r="D130" s="1423"/>
      <c r="E130" s="1393" t="s">
        <v>245</v>
      </c>
      <c r="F130" s="1394"/>
      <c r="G130" s="1398"/>
      <c r="H130" s="1399"/>
      <c r="I130" s="1399"/>
      <c r="J130" s="1399"/>
      <c r="K130" s="1399"/>
      <c r="L130" s="1400"/>
      <c r="M130" s="509">
        <f>IFERROR(IF(IF(__Retrofit_TI_NC&lt;&gt;0,IF(CN128="Interior",MATCH(G130,Lookup_Interior_New,0),MATCH(G130,Lookup_Exterior_New,0)),IF(CN128="Interior",MATCH(G130,Lookup_Interior,0),MATCH(G130,Lookup_Exterior_Areas,0)))&gt;0,1,0),0)</f>
        <v>0</v>
      </c>
      <c r="N130" s="509" t="e">
        <f>IF(__Retrofit_TI_NC=1,
VLOOKUP(G130,'Space Table'!$B$3:$L$160,4,FALSE),
IF(__Retrofit_TI_NC=2,VLOOKUP(G130,'Space Table'!$B$3:$L$160,5,FALSE),VLOOKUP(G130,'Space Table'!$B$3:$L$160,5,FALSE)))</f>
        <v>#N/A</v>
      </c>
      <c r="O130" s="509">
        <f>G130</f>
        <v>0</v>
      </c>
      <c r="P130" s="1394" t="s">
        <v>355</v>
      </c>
      <c r="Q130" s="1394"/>
      <c r="R130" s="674"/>
      <c r="S130" s="1401" t="s">
        <v>284</v>
      </c>
      <c r="T130" s="672"/>
      <c r="U130" s="1499"/>
      <c r="V130" s="1500"/>
      <c r="W130" s="1500"/>
      <c r="X130" s="1500"/>
      <c r="Y130" s="1500"/>
      <c r="Z130" s="1500"/>
      <c r="AA130" s="1500"/>
      <c r="AB130" s="1501"/>
      <c r="AC130" s="1501"/>
      <c r="AD130" s="1502"/>
      <c r="AE130" s="672"/>
      <c r="AF130" s="1474"/>
      <c r="AG130" s="1474"/>
      <c r="AH130" s="1474"/>
      <c r="AI130" s="1474"/>
      <c r="AJ130" s="1475">
        <f>DF130</f>
        <v>0</v>
      </c>
      <c r="AK130" s="1470" t="str">
        <f>IFERROR(ROUND(AJ130*AC131,0),"")</f>
        <v/>
      </c>
      <c r="AL130" s="1472">
        <f>IFERROR(IF(HW128=FALSE,0,AC131-AK130),0)</f>
        <v>0</v>
      </c>
      <c r="AM130" s="1441"/>
      <c r="AN130" s="1442"/>
      <c r="AO130" s="1447"/>
      <c r="AP130" s="1447"/>
      <c r="AQ130" s="1448"/>
      <c r="AR130" s="1452"/>
      <c r="AS130" s="1455"/>
      <c r="AT130" s="1458"/>
      <c r="AU130" s="516"/>
      <c r="AV130" s="1479"/>
      <c r="AW130" s="1479"/>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M130" s="1352"/>
      <c r="CN130" s="1352"/>
      <c r="CO130" s="1415" t="str">
        <f>CN128</f>
        <v/>
      </c>
      <c r="CP130" s="1417" t="e">
        <f>CP128</f>
        <v>#N/A</v>
      </c>
      <c r="CR130" s="1386" t="s">
        <v>284</v>
      </c>
      <c r="CS130" s="1353">
        <f>IF(HW128=TRUE,T130,0)</f>
        <v>0</v>
      </c>
      <c r="CT130" s="1353" t="str">
        <f>IF(HW128=TRUE,U130,"")</f>
        <v/>
      </c>
      <c r="CU130" s="1373">
        <f>IF(HW128=TRUE,U131,0)</f>
        <v>0</v>
      </c>
      <c r="CV130" s="1370">
        <f>IF(HW128=TRUE,AB131,0)</f>
        <v>0</v>
      </c>
      <c r="CW130" s="1370">
        <f>IF(HW128=TRUE,AC131,0)</f>
        <v>0</v>
      </c>
      <c r="CX130" s="1371"/>
      <c r="CY130" s="1486"/>
      <c r="CZ130" s="1486"/>
      <c r="DA130" s="1486"/>
      <c r="DC130" s="1353">
        <f>IF(HW128=TRUE,AE130,0)</f>
        <v>0</v>
      </c>
      <c r="DD130" s="1353" t="str">
        <f>IF(HW128=TRUE,AF130,"")</f>
        <v/>
      </c>
      <c r="DE130" s="1373">
        <f>AF131</f>
        <v>0</v>
      </c>
      <c r="DF130" s="1406">
        <f>IFERROR(IF(FL130=3,IK130,IF(FL130=4,IL130,IF(FL130=5,IM130,IF(FL130=6,IN130,IF(FL130=7,IO130,IF(FL130=8,IP130,0)))))),0)</f>
        <v>0</v>
      </c>
      <c r="DG130" s="1370">
        <f>IF(HW128=TRUE,AK130,0)</f>
        <v>0</v>
      </c>
      <c r="DH130" s="1369"/>
      <c r="DK130" s="1483">
        <f>IFERROR(CW130-DG130,0)</f>
        <v>0</v>
      </c>
      <c r="DL130" s="1420"/>
      <c r="DN130" s="1403"/>
      <c r="DO130" s="1477" t="str">
        <f>DN128</f>
        <v/>
      </c>
      <c r="DP130" s="1354"/>
      <c r="DQ130" s="1477" t="str">
        <f>IF(DP128=7,"LLLC","")</f>
        <v/>
      </c>
      <c r="DR130" s="1403"/>
      <c r="DS130" s="1489"/>
      <c r="DU130" s="1403"/>
      <c r="DV130" s="1404" t="str">
        <f>DU128</f>
        <v/>
      </c>
      <c r="DW130" s="1403"/>
      <c r="DX130" s="1403"/>
      <c r="DZ130" s="1481"/>
      <c r="EA130" s="1481"/>
      <c r="EC130" s="1482"/>
      <c r="ED130" s="1369"/>
      <c r="EE130" s="1371"/>
      <c r="EF130" s="1369"/>
      <c r="EG130" s="1369"/>
      <c r="EH130" s="1374"/>
      <c r="EI130" s="1374"/>
      <c r="EJ130" s="1363"/>
      <c r="EK130" s="1376"/>
      <c r="EL130" s="1376"/>
      <c r="EM130" s="1362"/>
      <c r="EN130" s="1362"/>
      <c r="EO130" s="1363"/>
      <c r="EP130" s="1363"/>
      <c r="EQ130" s="1363"/>
      <c r="ES130" s="1403"/>
      <c r="EU130" s="1411" t="e">
        <f>VLOOKUP(CP130,'Space Table'!$B$3:$L$160,8,FALSE)</f>
        <v>#N/A</v>
      </c>
      <c r="EV130" s="1411" t="e">
        <f>IF(EY130="Yes",VLOOKUP(AF130,Lookup_Control_Type_Table2,4,FALSE),VLOOKUP(AF130,Lookup_Control_Type_Table2,3,FALSE))</f>
        <v>#N/A</v>
      </c>
      <c r="EW130" s="1411" t="e">
        <f>VLOOKUP(AF130,Lookup!AU$3:AV$15,2,FALSE)</f>
        <v>#N/A</v>
      </c>
      <c r="EX130" s="1411" t="e">
        <f>VLOOKUP(EU128,Lookup_Control_Type_Table,2,FALSE)</f>
        <v>#N/A</v>
      </c>
      <c r="EY130" s="1411" t="e">
        <f>VLOOKUP(CP130,'Space Table'!$B$3:$L$160,7,FALSE)</f>
        <v>#N/A</v>
      </c>
      <c r="EZ130" s="1413"/>
      <c r="FB130" s="1365" t="str">
        <f>CONCATENATE(CN128," - ",AF130)</f>
        <v xml:space="preserve"> - </v>
      </c>
      <c r="FD130" s="1354"/>
      <c r="FE130" s="1354"/>
      <c r="FF130" s="138"/>
      <c r="FI130" s="1356" t="str">
        <f>IF(CN128="Exterior","Not Daylighted",G131)</f>
        <v>Not Daylighted</v>
      </c>
      <c r="FJ130" s="1356">
        <f>VLOOKUP(FI130,_Daylight_Table_Codes,2,FALSE)</f>
        <v>0</v>
      </c>
      <c r="FK130" s="1365">
        <f>AF130</f>
        <v>0</v>
      </c>
      <c r="FL130" s="1365" t="e">
        <f>VLOOKUP(FK130,_Control_Table,2,FALSE)</f>
        <v>#N/A</v>
      </c>
      <c r="FM130" s="1365" t="e">
        <f>IF(AND(FP130&gt;0,FK130="Occupancy Sensor"),"Daylight + Occupancy",IF(AND(FP130&gt;0,FL130&lt;4),"Interior Daylight Dimming",FK130))</f>
        <v>#N/A</v>
      </c>
      <c r="FO130" s="1364">
        <f>IF(CN128="Interior",VLOOKUP(CP128,Control_Savings_Interior,5,FALSE),0)</f>
        <v>0</v>
      </c>
      <c r="FP130" s="1361">
        <f>IF(CN130="Exterior",0,IF(FJ130=2,0.5,IF(OR(FJ130=1,FJ130=3),1,0)))</f>
        <v>0</v>
      </c>
      <c r="FQ130" s="1366">
        <f>IF(R129&gt;FO$37,(FO130*(FO$37/R129)),FO130)*FP130</f>
        <v>0</v>
      </c>
      <c r="FR130" s="1364">
        <f>DF130</f>
        <v>0</v>
      </c>
      <c r="FS130" s="1364">
        <f>ROUND(FR130+((1-FR130)*FQ130),2)</f>
        <v>0</v>
      </c>
      <c r="FT130" s="1364">
        <f>IF(__Retrofit_TI_NC=2,FS130,FR130)</f>
        <v>0</v>
      </c>
      <c r="FU130" s="1360">
        <f>IF(CO130="Interior",VLOOKUP(CP130,Control_Savings_Interior,4,FALSE),0)</f>
        <v>0</v>
      </c>
      <c r="FW130" s="1352"/>
      <c r="FX130" s="1352"/>
      <c r="FY130" s="1352"/>
      <c r="FZ130" s="1352"/>
      <c r="GA130" s="1352"/>
      <c r="GB130" s="1352"/>
      <c r="GC130" s="1352"/>
      <c r="GD130" s="1352"/>
      <c r="GE130" s="759" t="b">
        <f>IF(ISNUMBER(SEARCH("TLED",U130)),TRUE,FALSE)</f>
        <v>0</v>
      </c>
      <c r="GF130" s="1035" t="str">
        <f>IFERROR(VLOOKUP(U130,Fixtures!DM$93:DR$142,6,FALSE),"")</f>
        <v/>
      </c>
      <c r="GG130" s="1385"/>
      <c r="GI130" s="1383"/>
      <c r="GJ130" s="1379"/>
      <c r="GL130" s="1379"/>
      <c r="GM130" s="1379"/>
      <c r="HC130" s="1379"/>
      <c r="HD130" s="1379"/>
      <c r="HE130" s="1379"/>
      <c r="HF130" s="1379"/>
      <c r="HG130" s="1379"/>
      <c r="HH130" s="1379"/>
      <c r="HI130" s="1383"/>
      <c r="HJ130" s="1383"/>
      <c r="HK130" s="1383"/>
      <c r="HL130" s="1379"/>
      <c r="HM130" s="1379"/>
      <c r="HN130" s="1379"/>
      <c r="HO130" s="1379"/>
      <c r="HP130" s="1379"/>
      <c r="HQ130" s="1379"/>
      <c r="HR130" s="1379"/>
      <c r="HS130" s="1379"/>
      <c r="HT130" s="1379"/>
      <c r="HU130" s="1379"/>
      <c r="HW130" s="1383"/>
      <c r="HX130" s="1384" t="b">
        <f>HW128</f>
        <v>0</v>
      </c>
      <c r="HY130" s="1378"/>
      <c r="HZ130" s="436"/>
      <c r="IA130" s="1386"/>
      <c r="IB130" s="1380">
        <f>IF(IA128=TRUE,AC131,0)</f>
        <v>0</v>
      </c>
      <c r="IC130" s="1379"/>
      <c r="IF130" s="1380" t="e">
        <f>ROUND(T130*AB131*N129*R129/1000,0)</f>
        <v>#VALUE!</v>
      </c>
      <c r="IG130" s="1382"/>
      <c r="IH130" s="1384" t="e">
        <f>ROUND(T130*AB131*N129*R129/1000,0)</f>
        <v>#VALUE!</v>
      </c>
      <c r="II130" s="1382"/>
      <c r="IK130" s="1351" t="e">
        <f>IF($CO130="interior",IL130/2,VLOOKUP($CP130,Control_Savings_Exterior,IK$30,FALSE))</f>
        <v>#N/A</v>
      </c>
      <c r="IL130" s="1351" t="e">
        <f>IF($CO130="interior",VLOOKUP($CP130,Control_Savings_Interior,IL$30,FALSE),VLOOKUP($CP130,Control_Savings_Exterior,IL$30,FALSE))</f>
        <v>#N/A</v>
      </c>
      <c r="IM130" s="1351" t="e">
        <f>IF($CO130="interior",IF(R129&gt;FO$37,(IM$28*(FO$37/R129)),IM$28)*FP130,VLOOKUP($CP130,Control_Savings_Exterior,IM$30,FALSE))</f>
        <v>#N/A</v>
      </c>
      <c r="IN130" s="1351" t="e">
        <f>IF($CO130="interior",ROUND(((1-IL130)*IM130)+IL130,2),VLOOKUP($CP130,Control_Savings_Exterior,IN$30,FALSE))</f>
        <v>#N/A</v>
      </c>
      <c r="IO130" s="1351" t="e">
        <f>IF($CO130="interior", ROUND(((1-IL130)*(IM130*(1-IP$28)))+IP130,2), VLOOKUP($CP130,Control_Savings_Exterior,IO$30,FALSE))</f>
        <v>#N/A</v>
      </c>
      <c r="IP130" s="1351">
        <f>IF($CO130="interior",ROUND(((1-IL130)*IP$28)+IL130,2),0)</f>
        <v>0</v>
      </c>
    </row>
    <row r="131" spans="1:250" s="82" customFormat="1" ht="14.95" customHeight="1" thickTop="1" thickBot="1">
      <c r="B131" s="1421"/>
      <c r="C131" s="1422"/>
      <c r="D131" s="1423"/>
      <c r="E131" s="1462" t="s">
        <v>357</v>
      </c>
      <c r="F131" s="1463"/>
      <c r="G131" s="1464" t="s">
        <v>362</v>
      </c>
      <c r="H131" s="1465"/>
      <c r="I131" s="1465"/>
      <c r="J131" s="1465"/>
      <c r="K131" s="1465"/>
      <c r="L131" s="1466"/>
      <c r="M131" s="669">
        <f>IFERROR(VLOOKUP(G131,_Daylight_Table[],2,FALSE),0)</f>
        <v>0</v>
      </c>
      <c r="N131" s="670"/>
      <c r="O131" s="669" t="e">
        <f>VLOOKUP(G130,'Space Table'!$B$3:$L$160,11,FALSE)</f>
        <v>#N/A</v>
      </c>
      <c r="P131" s="1408"/>
      <c r="Q131" s="1409"/>
      <c r="R131" s="1409"/>
      <c r="S131" s="1402"/>
      <c r="T131" s="671" t="s">
        <v>281</v>
      </c>
      <c r="U131" s="1467" t="str">
        <f>IFERROR(VLOOKUP(U130,Fixtures!DM$93:DP$142,4,FALSE),"")</f>
        <v/>
      </c>
      <c r="V131" s="1468"/>
      <c r="W131" s="1468"/>
      <c r="X131" s="1468"/>
      <c r="Y131" s="1468"/>
      <c r="Z131" s="1468"/>
      <c r="AA131" s="1468"/>
      <c r="AB131" s="1046" t="str">
        <f>IFERROR(VLOOKUP(U130,Fixtures_Proposed_List,2,FALSE),"")</f>
        <v/>
      </c>
      <c r="AC131" s="1036" t="str">
        <f>IFERROR(ROUND(T130*AB131*N129*R129/1000,0),"")</f>
        <v/>
      </c>
      <c r="AD131" s="1037" t="str">
        <f>IFERROR(ROUND(T130*AB131/1000,2),"")</f>
        <v/>
      </c>
      <c r="AE131" s="1045" t="s">
        <v>281</v>
      </c>
      <c r="AF131" s="1469"/>
      <c r="AG131" s="1469"/>
      <c r="AH131" s="1469"/>
      <c r="AI131" s="1469"/>
      <c r="AJ131" s="1476"/>
      <c r="AK131" s="1471"/>
      <c r="AL131" s="1473"/>
      <c r="AM131" s="1443"/>
      <c r="AN131" s="1444"/>
      <c r="AO131" s="1449"/>
      <c r="AP131" s="1449"/>
      <c r="AQ131" s="1450"/>
      <c r="AR131" s="1453"/>
      <c r="AS131" s="1456"/>
      <c r="AT131" s="1459"/>
      <c r="AU131" s="517"/>
      <c r="AV131" s="1480"/>
      <c r="AW131" s="1480"/>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M131" s="1352"/>
      <c r="CN131" s="1352"/>
      <c r="CO131" s="1416"/>
      <c r="CP131" s="1418"/>
      <c r="CR131" s="1386"/>
      <c r="CS131" s="1355"/>
      <c r="CT131" s="1355"/>
      <c r="CU131" s="1375"/>
      <c r="CV131" s="1372"/>
      <c r="CW131" s="1372"/>
      <c r="CX131" s="1372"/>
      <c r="CY131" s="1487"/>
      <c r="CZ131" s="1487"/>
      <c r="DA131" s="1487"/>
      <c r="DC131" s="1355"/>
      <c r="DD131" s="1355"/>
      <c r="DE131" s="1375"/>
      <c r="DF131" s="1407"/>
      <c r="DG131" s="1372"/>
      <c r="DH131" s="1369"/>
      <c r="DK131" s="1484"/>
      <c r="DL131" s="1420"/>
      <c r="DN131" s="1403"/>
      <c r="DO131" s="1405"/>
      <c r="DP131" s="1355"/>
      <c r="DQ131" s="1405"/>
      <c r="DR131" s="1403"/>
      <c r="DS131" s="1489"/>
      <c r="DU131" s="1403"/>
      <c r="DV131" s="1405"/>
      <c r="DW131" s="1403"/>
      <c r="DX131" s="1403"/>
      <c r="DZ131" s="1481"/>
      <c r="EA131" s="1481"/>
      <c r="EC131" s="1482"/>
      <c r="ED131" s="1369"/>
      <c r="EE131" s="1372"/>
      <c r="EF131" s="1369"/>
      <c r="EG131" s="1369"/>
      <c r="EH131" s="1375"/>
      <c r="EI131" s="1375"/>
      <c r="EJ131" s="1363"/>
      <c r="EK131" s="1376"/>
      <c r="EL131" s="1376"/>
      <c r="EM131" s="1362"/>
      <c r="EN131" s="1362"/>
      <c r="EO131" s="1363"/>
      <c r="EP131" s="1363"/>
      <c r="EQ131" s="1363"/>
      <c r="ES131" s="1403"/>
      <c r="EU131" s="1488"/>
      <c r="EV131" s="1488"/>
      <c r="EW131" s="1488"/>
      <c r="EX131" s="1488"/>
      <c r="EY131" s="1488"/>
      <c r="EZ131" s="1414"/>
      <c r="FB131" s="1365"/>
      <c r="FD131" s="1355"/>
      <c r="FE131" s="1355"/>
      <c r="FF131" s="138"/>
      <c r="FI131" s="1357"/>
      <c r="FJ131" s="1357"/>
      <c r="FK131" s="1365"/>
      <c r="FL131" s="1365"/>
      <c r="FM131" s="1365"/>
      <c r="FO131" s="1361"/>
      <c r="FP131" s="1361"/>
      <c r="FQ131" s="1366"/>
      <c r="FR131" s="1361"/>
      <c r="FS131" s="1361"/>
      <c r="FT131" s="1361"/>
      <c r="FU131" s="1360"/>
      <c r="FW131" s="1352"/>
      <c r="FX131" s="1352"/>
      <c r="FY131" s="1352"/>
      <c r="FZ131" s="1352"/>
      <c r="GA131" s="1352"/>
      <c r="GB131" s="1352"/>
      <c r="GC131" s="1352"/>
      <c r="GD131" s="1352"/>
      <c r="GE131" s="759"/>
      <c r="GF131" s="1035"/>
      <c r="GG131" s="1385"/>
      <c r="GJ131" s="1034">
        <f>IF(GJ129=TRUE,0,GJ$16)</f>
        <v>0</v>
      </c>
      <c r="GL131" s="1034">
        <f>IF(GL129=TRUE,0,GL$16)</f>
        <v>36</v>
      </c>
      <c r="GM131" s="1034">
        <f>IF(GM129=TRUE,0,GM$16)</f>
        <v>35</v>
      </c>
      <c r="GN131" s="436"/>
      <c r="GO131" s="436"/>
      <c r="GP131" s="436"/>
      <c r="GQ131" s="436"/>
      <c r="GR131" s="436"/>
      <c r="HC131" s="1034">
        <f t="shared" ref="HC131:HH131" si="82">IF(HC129=TRUE,0,HC$16)</f>
        <v>19</v>
      </c>
      <c r="HD131" s="1034">
        <f t="shared" si="82"/>
        <v>18</v>
      </c>
      <c r="HE131" s="1034">
        <f t="shared" si="82"/>
        <v>17</v>
      </c>
      <c r="HF131" s="1034">
        <f t="shared" si="82"/>
        <v>16</v>
      </c>
      <c r="HG131" s="1034">
        <f t="shared" si="82"/>
        <v>0</v>
      </c>
      <c r="HH131" s="1034">
        <f t="shared" si="82"/>
        <v>0</v>
      </c>
      <c r="HI131" s="1034">
        <f>IF(HI129=TRUE,0,HI$16)</f>
        <v>13</v>
      </c>
      <c r="HJ131" s="1034">
        <f t="shared" ref="HJ131:HL131" si="83">IF(HJ129=TRUE,0,HJ$16)</f>
        <v>12</v>
      </c>
      <c r="HK131" s="1034">
        <f t="shared" si="83"/>
        <v>11</v>
      </c>
      <c r="HL131" s="1034">
        <f t="shared" si="83"/>
        <v>10</v>
      </c>
      <c r="HM131" s="1034">
        <f>IF(HM129=TRUE,0,HM$16)</f>
        <v>9</v>
      </c>
      <c r="HN131" s="1034">
        <f t="shared" ref="HN131:HR131" si="84">IF(HN129=TRUE,0,HN$16)</f>
        <v>0</v>
      </c>
      <c r="HO131" s="1034">
        <f t="shared" si="84"/>
        <v>0</v>
      </c>
      <c r="HP131" s="1034">
        <f t="shared" si="84"/>
        <v>0</v>
      </c>
      <c r="HQ131" s="1034">
        <f t="shared" si="84"/>
        <v>0</v>
      </c>
      <c r="HR131" s="1034">
        <f t="shared" si="84"/>
        <v>0</v>
      </c>
      <c r="HS131" s="1034">
        <f>IF(HS129=TRUE,0,HS$16)</f>
        <v>0</v>
      </c>
      <c r="HT131" s="1034">
        <f t="shared" ref="HT131" si="85">IF(HT129=TRUE,0,HT$16)</f>
        <v>0</v>
      </c>
      <c r="HU131" s="1034">
        <f>IF(HU129=TRUE,0,HU$16)</f>
        <v>1</v>
      </c>
      <c r="HW131" s="1034">
        <f>IF(GL129=FALSE,GL131,IF(GM129=FALSE,GM131,MAX(GJ131:HU131)))</f>
        <v>36</v>
      </c>
      <c r="HX131" s="1383"/>
      <c r="HY131" s="241" t="str">
        <f>VLOOKUP(HW131,_Error_Table,3,FALSE)</f>
        <v xml:space="preserve"> </v>
      </c>
      <c r="HZ131" s="241"/>
      <c r="IA131" s="1386"/>
      <c r="IB131" s="1380"/>
      <c r="IC131" s="1379"/>
      <c r="IF131" s="1380"/>
      <c r="IG131" s="1383"/>
      <c r="IH131" s="1383"/>
      <c r="II131" s="1383"/>
      <c r="IK131" s="1351"/>
      <c r="IL131" s="1351"/>
      <c r="IM131" s="1351"/>
      <c r="IN131" s="1351"/>
      <c r="IO131" s="1351"/>
      <c r="IP131" s="1351"/>
    </row>
    <row r="132" spans="1:250" s="82" customFormat="1" ht="5.0999999999999996" customHeight="1" thickBot="1">
      <c r="B132" s="763"/>
      <c r="C132" s="437"/>
      <c r="D132" s="437"/>
      <c r="E132" s="1490"/>
      <c r="F132" s="1490"/>
      <c r="G132" s="1490"/>
      <c r="H132" s="1490"/>
      <c r="I132" s="1490"/>
      <c r="J132" s="1490"/>
      <c r="K132" s="1490"/>
      <c r="L132" s="1490"/>
      <c r="M132" s="1490"/>
      <c r="N132" s="1490"/>
      <c r="O132" s="1490"/>
      <c r="P132" s="1490"/>
      <c r="Q132" s="1490"/>
      <c r="R132" s="1490"/>
      <c r="S132" s="1490"/>
      <c r="T132" s="1490"/>
      <c r="U132" s="1490"/>
      <c r="V132" s="1490"/>
      <c r="W132" s="1490"/>
      <c r="X132" s="1490"/>
      <c r="Y132" s="1490"/>
      <c r="Z132" s="1490"/>
      <c r="AA132" s="1490"/>
      <c r="AB132" s="1490"/>
      <c r="AC132" s="1490"/>
      <c r="AD132" s="1490"/>
      <c r="AE132" s="1490"/>
      <c r="AF132" s="1490"/>
      <c r="AG132" s="1490"/>
      <c r="AH132" s="1490"/>
      <c r="AI132" s="1490"/>
      <c r="AJ132" s="1490"/>
      <c r="AK132" s="1490"/>
      <c r="AL132" s="1490"/>
      <c r="AM132" s="1490"/>
      <c r="AN132" s="1490"/>
      <c r="AO132" s="1490"/>
      <c r="AP132" s="1490"/>
      <c r="AQ132" s="1490"/>
      <c r="AR132" s="1490"/>
      <c r="AS132" s="1490"/>
      <c r="AT132" s="1490"/>
      <c r="AU132" s="51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M132" s="749"/>
      <c r="CN132" s="749"/>
      <c r="CO132" s="485"/>
      <c r="CP132" s="749"/>
      <c r="CS132" s="436"/>
      <c r="CT132" s="436"/>
      <c r="CU132" s="243"/>
      <c r="CV132" s="244"/>
      <c r="CW132" s="244"/>
      <c r="CX132" s="244"/>
      <c r="CY132" s="245"/>
      <c r="CZ132" s="245"/>
      <c r="DA132" s="245"/>
      <c r="DC132" s="750"/>
      <c r="DD132" s="751"/>
      <c r="DE132" s="752"/>
      <c r="DF132" s="753"/>
      <c r="DG132" s="754"/>
      <c r="DH132" s="754"/>
      <c r="DK132" s="244"/>
      <c r="DL132" s="750"/>
      <c r="DN132" s="750"/>
      <c r="DO132" s="755"/>
      <c r="DP132" s="436"/>
      <c r="DQ132" s="750"/>
      <c r="DR132" s="750"/>
      <c r="DS132" s="750"/>
      <c r="DU132" s="750"/>
      <c r="DV132" s="750"/>
      <c r="DW132" s="750"/>
      <c r="DX132" s="750"/>
      <c r="DZ132" s="756"/>
      <c r="EA132" s="756"/>
      <c r="EC132" s="754"/>
      <c r="ED132" s="754"/>
      <c r="EE132" s="244"/>
      <c r="EF132" s="754"/>
      <c r="EG132" s="754"/>
      <c r="EH132" s="243"/>
      <c r="EI132" s="243"/>
      <c r="EJ132" s="752"/>
      <c r="EK132" s="757"/>
      <c r="EL132" s="757"/>
      <c r="EM132" s="758"/>
      <c r="EN132" s="758"/>
      <c r="EO132" s="752"/>
      <c r="EP132" s="752"/>
      <c r="EQ132" s="752"/>
      <c r="ES132" s="750"/>
      <c r="EU132" s="436"/>
      <c r="EV132" s="436"/>
      <c r="EW132" s="436"/>
      <c r="EX132" s="436"/>
      <c r="EY132" s="436"/>
      <c r="EZ132" s="436"/>
      <c r="FB132" s="643"/>
      <c r="FD132" s="436"/>
      <c r="FE132" s="436"/>
      <c r="FF132" s="436"/>
      <c r="FO132" s="750"/>
      <c r="FP132" s="436"/>
      <c r="FQ132" s="436"/>
      <c r="FR132" s="750"/>
      <c r="FS132" s="750"/>
      <c r="FW132" s="749"/>
      <c r="FX132" s="749"/>
      <c r="FY132" s="749"/>
      <c r="FZ132" s="749"/>
      <c r="GA132" s="749"/>
      <c r="GB132" s="749"/>
      <c r="GC132" s="749"/>
      <c r="GD132" s="749"/>
      <c r="GE132" s="751"/>
      <c r="GF132" s="750"/>
      <c r="GG132" s="750"/>
    </row>
    <row r="133" spans="1:250" s="82" customFormat="1" ht="14.95" customHeight="1" thickTop="1" thickBot="1">
      <c r="B133" s="1421" t="str">
        <f>HY136</f>
        <v xml:space="preserve"> </v>
      </c>
      <c r="C133" s="1422">
        <f>C128+1</f>
        <v>19</v>
      </c>
      <c r="D133" s="1423"/>
      <c r="E133" s="1424" t="s">
        <v>242</v>
      </c>
      <c r="F133" s="1425"/>
      <c r="G133" s="1426"/>
      <c r="H133" s="1427"/>
      <c r="I133" s="1427"/>
      <c r="J133" s="1427"/>
      <c r="K133" s="1427"/>
      <c r="L133" s="1427"/>
      <c r="M133" s="1427"/>
      <c r="N133" s="1427"/>
      <c r="O133" s="1427"/>
      <c r="P133" s="1427"/>
      <c r="Q133" s="1427"/>
      <c r="R133" s="1427"/>
      <c r="S133" s="1428" t="s">
        <v>283</v>
      </c>
      <c r="T133" s="668" t="s">
        <v>190</v>
      </c>
      <c r="U133" s="1430" t="s">
        <v>186</v>
      </c>
      <c r="V133" s="1431"/>
      <c r="W133" s="1431"/>
      <c r="X133" s="1431"/>
      <c r="Y133" s="1431"/>
      <c r="Z133" s="1431"/>
      <c r="AA133" s="1431"/>
      <c r="AB133" s="1088" t="str">
        <f>IFERROR(IF(__Retrofit_TI_NC=0,VLOOKUP(U134,Fixtures_Existing_List,2,FALSE),ROUND(N135*R135/T135,10)),"")</f>
        <v/>
      </c>
      <c r="AC133" s="1039" t="str">
        <f>IFERROR(IF(__Retrofit_TI_NC=0,ROUND(T134*AB133*N134*R134/1000,0),IF(CN133="Interior",N135*R135*R134*N134*_C406_reduction/1000,N135*R135*R134*N134/1000)),"")</f>
        <v/>
      </c>
      <c r="AD133" s="1040" t="str">
        <f>IFERROR(IF(C$36=0,ROUND(T134*AB133/1000,2),N135*R135/1000),"")</f>
        <v/>
      </c>
      <c r="AE133" s="1044" t="s">
        <v>190</v>
      </c>
      <c r="AF133" s="1432" t="str">
        <f>IF(__Retrofit_TI_NC=2,CONCATENATE("Code min = ",DD133),IF(__Retrofit_TI_NC=1,"Emter what you think the existing control was"," Control"))</f>
        <v xml:space="preserve"> Control</v>
      </c>
      <c r="AG133" s="1432"/>
      <c r="AH133" s="1432"/>
      <c r="AI133" s="1432"/>
      <c r="AJ133" s="1433">
        <f>DF133</f>
        <v>0</v>
      </c>
      <c r="AK133" s="1435" t="str">
        <f>IFERROR(ROUND(AJ133*AC133,0),"")</f>
        <v/>
      </c>
      <c r="AL133" s="1437">
        <f>IFERROR(IF(HW133=FALSE,0,AC133-AK133),0)</f>
        <v>0</v>
      </c>
      <c r="AM133" s="1439">
        <f>AL133-AL135</f>
        <v>0</v>
      </c>
      <c r="AN133" s="1440"/>
      <c r="AO133" s="1445">
        <f>IFERROR(IF(HW133=FALSE,0,(T135*U136)+(AE135*AF136)),0)</f>
        <v>0</v>
      </c>
      <c r="AP133" s="1445"/>
      <c r="AQ133" s="1446"/>
      <c r="AR133" s="1451" t="s">
        <v>157</v>
      </c>
      <c r="AS133" s="1454">
        <f>IF(AR133="Yes",1,0)</f>
        <v>1</v>
      </c>
      <c r="AT133" s="1457" t="str">
        <f>IF(OR(DN133=4,DN133=5,DN133=6,DN133=12),CONCATENATE("$",IF(GD133=TRUE,Lookup!$B$11,Lookup!$B$2)," /lamp"),CONCATENATE(EA133,"/ kWh"))</f>
        <v>0/ kWh</v>
      </c>
      <c r="AU133" s="516"/>
      <c r="AV133" s="1478">
        <f>IFERROR(IF(GI134=TRUE,(AB136*T135)/R135,0),"NA")</f>
        <v>0</v>
      </c>
      <c r="AW133" s="1478" t="str">
        <f>IFERROR(N135*_C406_reduction,"NA")</f>
        <v>NA</v>
      </c>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M133" s="1352" t="str">
        <f>N134</f>
        <v/>
      </c>
      <c r="CN133" s="1352" t="str">
        <f>IFERROR(VLOOKUP(G134,_Lookup_Heat_Type_Table_New,3,FALSE),"")</f>
        <v/>
      </c>
      <c r="CO133" s="1415" t="str">
        <f>CN133</f>
        <v/>
      </c>
      <c r="CP133" s="1417" t="e">
        <f>VLOOKUP(G135,'Space Table'!$B$3:$L$160,9,FALSE)</f>
        <v>#N/A</v>
      </c>
      <c r="CR133" s="1386" t="s">
        <v>283</v>
      </c>
      <c r="CS133" s="1353">
        <f>IF(HW133=TRUE,T134,0)</f>
        <v>0</v>
      </c>
      <c r="CT133" s="1353" t="str">
        <f>IF(HW133=TRUE,U134,"")</f>
        <v/>
      </c>
      <c r="CU133" s="1353"/>
      <c r="CV133" s="1370">
        <f>IF(HW133=TRUE,AB133,0)</f>
        <v>0</v>
      </c>
      <c r="CW133" s="1370">
        <f>IF(HW133=TRUE,AC133,0)</f>
        <v>0</v>
      </c>
      <c r="CX133" s="1370">
        <f>IFERROR(IF(HW133=TRUE,CW133-CW135,0),0)</f>
        <v>0</v>
      </c>
      <c r="CY133" s="1485">
        <f>IF(HW133=TRUE,AD133,0)</f>
        <v>0</v>
      </c>
      <c r="CZ133" s="1485">
        <f>IF(HW133=TRUE,AD136,0)</f>
        <v>0</v>
      </c>
      <c r="DA133" s="1485">
        <f>IFERROR(CY133-CZ133,0)</f>
        <v>0</v>
      </c>
      <c r="DC133" s="1353">
        <f>IF(HW133=TRUE,AE134,0)</f>
        <v>0</v>
      </c>
      <c r="DD133" s="1460">
        <f>IF(__Retrofit_TI_NC=2,IF(CN133="Exterior",O136,FM133),FK133)</f>
        <v>0</v>
      </c>
      <c r="DE133" s="1353"/>
      <c r="DF133" s="1406">
        <f>IFERROR(IF(FL133=3,IK133,IF(FL133=4,IL133,IF(FL133=5,IM133,IF(FL133=6,IN133,IF(FL133=7,IO133,IF(FL133=8,IP133,0)))))),0)</f>
        <v>0</v>
      </c>
      <c r="DG133" s="1370">
        <f>IF(HW133=TRUE,AK133,0)</f>
        <v>0</v>
      </c>
      <c r="DH133" s="1369">
        <f>IFERROR(IF(HW133=TRUE,DG135-DG133,0),0)</f>
        <v>0</v>
      </c>
      <c r="DJ133" s="1483">
        <f>IFERROR(CW133-DG133,0)</f>
        <v>0</v>
      </c>
      <c r="DL133" s="1419">
        <f>DJ133-DK135</f>
        <v>0</v>
      </c>
      <c r="DN133" s="1403" t="str">
        <f>IFERROR(IF(AND(OR(FY133=4,FY133=5,FY133=6),OR(GB133=4,GB133=5,GB133=6)),FY133+8,VLOOKUP(CT135,Fixtures!R$31:Y$78,8,FALSE)),"")</f>
        <v/>
      </c>
      <c r="DO133" s="1404" t="str">
        <f>DN133</f>
        <v/>
      </c>
      <c r="DP133" s="1353" t="str">
        <f>IFERROR(VLOOKUP(DD135,Lookup!AU$3:AV$15,2,FALSE),"")</f>
        <v/>
      </c>
      <c r="DQ133" s="1404" t="str">
        <f>IF(DP133=7,"LLLC","")</f>
        <v/>
      </c>
      <c r="DR133" s="1403">
        <f>IFERROR(IF(OR(DN133=4,DN133=5,DN133=6,DN133=12,DN133=13,DN133=14),VLOOKUP(CT135,Fixtures!DN$27:EG$77,19,FALSE),1)*CS135,0)</f>
        <v>0</v>
      </c>
      <c r="DS133" s="1489">
        <f>IF(DP133=7,IF(DD133=DD135,0,DC135),0)</f>
        <v>0</v>
      </c>
      <c r="DU133" s="1403" t="str">
        <f>IFERROR(IF(EW133&lt;EW135,"Yes","No"),"")</f>
        <v/>
      </c>
      <c r="DV133" s="1404" t="str">
        <f>DU133</f>
        <v/>
      </c>
      <c r="DW133" s="1403">
        <f>IF(DU133="Yes",DC135,0)</f>
        <v>0</v>
      </c>
      <c r="DX133" s="1403">
        <f>DW133-DS133</f>
        <v>0</v>
      </c>
      <c r="DZ133" s="1481">
        <f>IFERROR(VLOOKUP(DN133,Lookup!AN$3:AO$16,2,FALSE),0)</f>
        <v>0</v>
      </c>
      <c r="EA133" s="1481">
        <f>IF(HW133=FALSE,0,IF(DU133="Yes",DZ133+Lookup!B$6,DZ133))</f>
        <v>0</v>
      </c>
      <c r="EC133" s="1482">
        <f>IF(HW133=TRUE,DJ133,0)</f>
        <v>0</v>
      </c>
      <c r="ED133" s="1369">
        <f>IF(HW133=TRUE,CW135,0)</f>
        <v>0</v>
      </c>
      <c r="EE133" s="1370">
        <f>IFERROR(EC133-ED133,0)</f>
        <v>0</v>
      </c>
      <c r="EF133" s="1369">
        <f>IF(HW133=TRUE,DG135,0)</f>
        <v>0</v>
      </c>
      <c r="EG133" s="1369">
        <f>IFERROR(EC133-ED133+EF133,0)</f>
        <v>0</v>
      </c>
      <c r="EH133" s="1373">
        <f>IF(HW133=TRUE,CS135*CU135,0)</f>
        <v>0</v>
      </c>
      <c r="EI133" s="1373">
        <f>IF(HW133=TRUE,DC135*DE135,0)</f>
        <v>0</v>
      </c>
      <c r="EJ133" s="1363">
        <f>AO133</f>
        <v>0</v>
      </c>
      <c r="EK133" s="1376" t="str">
        <f>IFERROR(IF(HW133=TRUE,VLOOKUP(DN133,Lookup!AN$3:AP$16,3,FALSE)*DR133,""),0)</f>
        <v/>
      </c>
      <c r="EL133" s="1376">
        <f>IF(HW133=TRUE,DW133*Lookup!AP$12,0)</f>
        <v>0</v>
      </c>
      <c r="EM133" s="1362">
        <f>IFERROR(IF(HW133=TRUE,EK133/EM$33,0),0)</f>
        <v>0</v>
      </c>
      <c r="EN133" s="1362">
        <f>IF(HW133=TRUE,EL133/EN$33,0)</f>
        <v>0</v>
      </c>
      <c r="EO133" s="1363">
        <f>IF(HW133=TRUE,EQ$33*EM133,0)</f>
        <v>0</v>
      </c>
      <c r="EP133" s="1363">
        <f>IF(HW133=TRUE,EQ$33*EN133,0)</f>
        <v>0</v>
      </c>
      <c r="EQ133" s="1363">
        <f>EO133+EP133</f>
        <v>0</v>
      </c>
      <c r="ES133" s="1403">
        <f>IF(G133="",0,1)</f>
        <v>0</v>
      </c>
      <c r="EU133" s="1410" t="e">
        <f>VLOOKUP(CP135,'Space Table'!$B$3:$L$160,8,FALSE)</f>
        <v>#N/A</v>
      </c>
      <c r="EV133" s="1410" t="e">
        <f>IF(EY133="Yes",VLOOKUP(DD133,Lookup_Control_Type_Table2,4,FALSE),VLOOKUP(DD133,Lookup_Control_Type_Table2,3,FALSE))</f>
        <v>#N/A</v>
      </c>
      <c r="EW133" s="1410" t="e">
        <f>VLOOKUP(DD133,Lookup!AU$3:AV$15,2,FALSE)</f>
        <v>#N/A</v>
      </c>
      <c r="EX133" s="1410" t="e">
        <f>VLOOKUP(EU133,Lookup_Control_Type_Table,2,FALSE)</f>
        <v>#N/A</v>
      </c>
      <c r="EY133" s="1410" t="e">
        <f>VLOOKUP(CP135,'Space Table'!$B$3:$L$160,7,FALSE)</f>
        <v>#N/A</v>
      </c>
      <c r="EZ133" s="1412" t="b">
        <f>ISNUMBER(SEARCH("TLED",U135))</f>
        <v>0</v>
      </c>
      <c r="FB133" s="1365" t="str">
        <f>CONCATENATE(CN133," - ",DD133)</f>
        <v xml:space="preserve"> - 0</v>
      </c>
      <c r="FD133" s="1353" t="str">
        <f>VLOOKUP(CT135,Fixtures!DN$27:EZ$77,38,FALSE)</f>
        <v/>
      </c>
      <c r="FE133" s="1353">
        <f>IFERROR(FD133*EE133,0)</f>
        <v>0</v>
      </c>
      <c r="FF133" s="138"/>
      <c r="FI133" s="1356" t="str">
        <f>IF(CN133="Exterior","Not Daylighted",G136)</f>
        <v>Not Daylighted</v>
      </c>
      <c r="FJ133" s="1356">
        <f>VLOOKUP(FI133,_Daylight_Table_Codes,2,FALSE)</f>
        <v>0</v>
      </c>
      <c r="FK133" s="1365">
        <f>IF(__Retrofit_TI_NC=2,VLOOKUP(G135,'Space Table'!$B$3:$L$160,11,FALSE),AF134)</f>
        <v>0</v>
      </c>
      <c r="FL133" s="1365" t="e">
        <f>VLOOKUP(FK133,_Control_Table,2,FALSE)</f>
        <v>#N/A</v>
      </c>
      <c r="FM133" s="1365" t="e">
        <f>IF(AND(FP133&gt;0,FK133="Occupancy Sensor"),"Daylight + Occupancy",IF(AND(FP133&gt;0,FL133&lt;4),"Interior Daylight Dimming",FK133))</f>
        <v>#N/A</v>
      </c>
      <c r="FO133" s="1364">
        <f>IF(CO133="Interior",VLOOKUP(CP133,Control_Savings_Interior,5,FALSE),0)</f>
        <v>0</v>
      </c>
      <c r="FP133" s="1361">
        <f>IF(CN133="Exterior",0,IF(FJ133=2,0.5,IF(OR(FJ133=1,FJ133=3),1,0)))</f>
        <v>0</v>
      </c>
      <c r="FQ133" s="1366"/>
      <c r="FR133" s="1367"/>
      <c r="FS133" s="1364"/>
      <c r="FT133" s="1367"/>
      <c r="FU133" s="1360"/>
      <c r="FW133" s="1352" t="str">
        <f>IFERROR(VLOOKUP(U134,_Exist_Fixture_Table,3,FALSE),"")</f>
        <v/>
      </c>
      <c r="FX133" s="1352" t="str">
        <f>VLOOKUP(CT133,_Exist_Fixture_Table,4,FALSE)</f>
        <v/>
      </c>
      <c r="FY133" s="1352">
        <f>IFERROR(VLOOKUP(FX133,Lookup!AM$6:AN$8,2,FALSE),0)</f>
        <v>0</v>
      </c>
      <c r="FZ133" s="1352" t="b">
        <f>IFERROR(IF(OR(GB133=4,GB133=5,GB133=6),TRUE,FALSE),"")</f>
        <v>0</v>
      </c>
      <c r="GA133" s="1352" t="str">
        <f>IFERROR(VLOOKUP(GB133,FY$6:FZ$10,2,FALSE),"")</f>
        <v/>
      </c>
      <c r="GB133" s="1352" t="str">
        <f>VLOOKUP(CT135,Fixtures!R$31:Y$78,8,FALSE)</f>
        <v/>
      </c>
      <c r="GC133" s="1352">
        <f>IF(AND(FW133=TRUE,FZ133=TRUE,OR(DN133=12,DN133=13,DN133=14)),FY133+8,0)</f>
        <v>0</v>
      </c>
      <c r="GD133" s="1352" t="b">
        <f>IF(OR(GC133=12,GC133=13,GC133=14),TRUE,FALSE)</f>
        <v>0</v>
      </c>
      <c r="GE133" s="759" t="b">
        <f>IF(ISNUMBER(SEARCH("TLED",U134)),TRUE,FALSE)</f>
        <v>0</v>
      </c>
      <c r="GF133" s="1035" t="str">
        <f>IFERROR(VLOOKUP(U134,Fixtures!BM$93:BR$142,6,FALSE),"")</f>
        <v/>
      </c>
      <c r="GG133" s="1385" t="b">
        <f>IF(OR(GE133=FALSE,GE135=FALSE),TRUE,IF(GF133-GF135&lt;5,FALSE,TRUE))</f>
        <v>1</v>
      </c>
      <c r="GK133" s="1034">
        <f>GL133</f>
        <v>0</v>
      </c>
      <c r="GL133" s="1034">
        <f>IF(G133="",0,1)</f>
        <v>0</v>
      </c>
      <c r="GM133" s="1034">
        <f>SUM(GN133:HB133)</f>
        <v>2</v>
      </c>
      <c r="GN133" s="1034">
        <f>IF(G134="",0,1)</f>
        <v>0</v>
      </c>
      <c r="GO133" s="1034">
        <f>IF(G135="",0,1)</f>
        <v>0</v>
      </c>
      <c r="GP133" s="1034">
        <f>IF(R134="",0,1)</f>
        <v>0</v>
      </c>
      <c r="GQ133" s="1034">
        <f>IF(__Retrofit_TI_NC=0,1,IF(R135="",0,1))</f>
        <v>1</v>
      </c>
      <c r="GR133" s="1034">
        <f>IF(CN133="Exterior",1,IF(G136="",0,1))</f>
        <v>1</v>
      </c>
      <c r="GS133" s="1034">
        <f>IF(__Retrofit_TI_NC&lt;&gt;0,1,IF(T134="",0,1))</f>
        <v>0</v>
      </c>
      <c r="GT133" s="1034">
        <f>IF(__Retrofit_TI_NC&lt;&gt;0,1,IF(U134="",0,1))</f>
        <v>0</v>
      </c>
      <c r="GU133" s="1034">
        <f>IF(T135="",0,1)</f>
        <v>0</v>
      </c>
      <c r="GV133" s="1034">
        <f>IF(U135="",0,1)</f>
        <v>0</v>
      </c>
      <c r="GW133" s="1034">
        <f>IF(__Retrofit_TI_NC=2,1,IF(U136="",0,1))</f>
        <v>0</v>
      </c>
      <c r="GX133" s="1034">
        <f>IF(__Retrofit_TI_NC&lt;&gt;0,1,IF(AE134="",0,1))</f>
        <v>0</v>
      </c>
      <c r="GY133" s="1034">
        <f>IF(__Retrofit_TI_NC&lt;&gt;0,1,IF(AF134="",0,1))</f>
        <v>0</v>
      </c>
      <c r="GZ133" s="1034">
        <f>IF(AE135="",0,1)</f>
        <v>0</v>
      </c>
      <c r="HA133" s="1034">
        <f>IF(AF135="",0,1)</f>
        <v>0</v>
      </c>
      <c r="HB133" s="1034">
        <f>IF(__Retrofit_TI_NC=2,1,IF(AF136="",0,1))</f>
        <v>0</v>
      </c>
      <c r="HV133" s="436"/>
      <c r="HW133" s="1384" t="b">
        <f>IF(OR(HW136=0,HW136=HT$16,HW136=HS$16,HW136=HU$16),TRUE,FALSE)</f>
        <v>0</v>
      </c>
      <c r="HX133" s="1377" t="b">
        <f>HW133</f>
        <v>0</v>
      </c>
      <c r="HY133" s="436"/>
      <c r="HZ133" s="436"/>
      <c r="IA133" s="1386" t="b">
        <f>IF(MAX(GJ136:HP136)&gt;5,FALSE,TRUE)</f>
        <v>0</v>
      </c>
      <c r="IB133" s="1380">
        <f>IF(IA133=TRUE,AC133,0)</f>
        <v>0</v>
      </c>
      <c r="IC133" s="1380">
        <f>IB133-IB135</f>
        <v>0</v>
      </c>
      <c r="IF133" s="1380" t="e">
        <f>ROUND(T134*VLOOKUP(U134,Fixtures_Existing_List,2,FALSE)*N134*R134/1000,0)</f>
        <v>#N/A</v>
      </c>
      <c r="IG133" s="1381" t="e">
        <f>IF133-IF135</f>
        <v>#N/A</v>
      </c>
      <c r="IH133" s="1384" t="e">
        <f>ROUND(IF(CN133="Interior",N135*R135*R134*N134*_C406_reduction/1000,N135*R135*R134*N134/1000),0)</f>
        <v>#N/A</v>
      </c>
      <c r="II133" s="1384" t="e">
        <f>IH133-IH135</f>
        <v>#N/A</v>
      </c>
      <c r="IK133" s="1351" t="e">
        <f>IF($CO133="interior",IL133/2,VLOOKUP($CP133,Control_Savings_Exterior,IK$30,FALSE))</f>
        <v>#N/A</v>
      </c>
      <c r="IL133" s="1351" t="e">
        <f>IF($CO133="interior",VLOOKUP($CP133,Control_Savings_Interior,IL$30,FALSE),VLOOKUP($CP133,Control_Savings_Exterior,IL$30,FALSE))</f>
        <v>#N/A</v>
      </c>
      <c r="IM133" s="1351" t="e">
        <f>IF($CO133="interior",IF(R134&gt;FO$37,(IM$28*(FO$37/R134)),IM$28)*FP133,VLOOKUP($CP133,Control_Savings_Exterior,IM$30,FALSE))</f>
        <v>#N/A</v>
      </c>
      <c r="IN133" s="1351" t="e">
        <f>IF($CO133="interior",ROUND(((1-IL133)*IM133)+IL133,2),VLOOKUP($CP133,Control_Savings_Exterior,IN$30,FALSE))</f>
        <v>#N/A</v>
      </c>
      <c r="IO133" s="1351" t="e">
        <f>IF($CO133="interior", ROUND(((1-IL133)*(IM133*(1-IP$28)))+IP133,2), VLOOKUP($CP133,Control_Savings_Exterior,IO$30,FALSE))</f>
        <v>#N/A</v>
      </c>
      <c r="IP133" s="1351">
        <f>IF($CO133="interior",ROUND(((1-IL133)*IP$28)+IL133,2),0)</f>
        <v>0</v>
      </c>
    </row>
    <row r="134" spans="1:250" s="82" customFormat="1" ht="14.95" customHeight="1" thickTop="1" thickBot="1">
      <c r="B134" s="1421"/>
      <c r="C134" s="1422"/>
      <c r="D134" s="1423"/>
      <c r="E134" s="1393" t="s">
        <v>244</v>
      </c>
      <c r="F134" s="1394"/>
      <c r="G134" s="1395"/>
      <c r="H134" s="1395"/>
      <c r="I134" s="1395"/>
      <c r="J134" s="1395"/>
      <c r="K134" s="1395"/>
      <c r="L134" s="1395"/>
      <c r="M134" s="509" t="e">
        <f>IF(__Retrofit_TI_NC&lt;&gt;0,IF(VLOOKUP(G135,'Space Table'!$B$3:$L$160,3,FALSE)&gt;0,1,0),IF(__Retrofit_TI_NC=VLOOKUP(G135,'Space Table'!$B$3:$L$160,3,FALSE),1,0))</f>
        <v>#N/A</v>
      </c>
      <c r="N134" s="509" t="str">
        <f>IFERROR(VLOOKUP(G134,_Lookup_Heat_Type_Table_New,2,FALSE),"")</f>
        <v/>
      </c>
      <c r="O134" s="509">
        <f>IF(__Retrofit_TI_NC=1,CONCATENATE("TI ",G134),IF(__Retrofit_TI_NC=2,CONCATENATE("NC ",G134),G134))</f>
        <v>0</v>
      </c>
      <c r="P134" s="1396" t="s">
        <v>352</v>
      </c>
      <c r="Q134" s="1396"/>
      <c r="R134" s="673"/>
      <c r="S134" s="1429"/>
      <c r="T134" s="675"/>
      <c r="U134" s="1496"/>
      <c r="V134" s="1497"/>
      <c r="W134" s="1497"/>
      <c r="X134" s="1497"/>
      <c r="Y134" s="1497"/>
      <c r="Z134" s="1497"/>
      <c r="AA134" s="1497"/>
      <c r="AB134" s="1497"/>
      <c r="AC134" s="1497"/>
      <c r="AD134" s="1498"/>
      <c r="AE134" s="675"/>
      <c r="AF134" s="1397"/>
      <c r="AG134" s="1397"/>
      <c r="AH134" s="1397"/>
      <c r="AI134" s="1397"/>
      <c r="AJ134" s="1434"/>
      <c r="AK134" s="1436"/>
      <c r="AL134" s="1438"/>
      <c r="AM134" s="1441"/>
      <c r="AN134" s="1442"/>
      <c r="AO134" s="1447"/>
      <c r="AP134" s="1447"/>
      <c r="AQ134" s="1448"/>
      <c r="AR134" s="1452"/>
      <c r="AS134" s="1455"/>
      <c r="AT134" s="1458"/>
      <c r="AU134" s="516"/>
      <c r="AV134" s="1479"/>
      <c r="AW134" s="1479"/>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M134" s="1352"/>
      <c r="CN134" s="1352"/>
      <c r="CO134" s="1416"/>
      <c r="CP134" s="1418"/>
      <c r="CR134" s="1386"/>
      <c r="CS134" s="1355"/>
      <c r="CT134" s="1355"/>
      <c r="CU134" s="1355"/>
      <c r="CV134" s="1372"/>
      <c r="CW134" s="1372"/>
      <c r="CX134" s="1371"/>
      <c r="CY134" s="1486"/>
      <c r="CZ134" s="1486"/>
      <c r="DA134" s="1486"/>
      <c r="DC134" s="1355"/>
      <c r="DD134" s="1461"/>
      <c r="DE134" s="1355"/>
      <c r="DF134" s="1407"/>
      <c r="DG134" s="1372"/>
      <c r="DH134" s="1369"/>
      <c r="DJ134" s="1484"/>
      <c r="DL134" s="1419"/>
      <c r="DN134" s="1403"/>
      <c r="DO134" s="1405"/>
      <c r="DP134" s="1354"/>
      <c r="DQ134" s="1405"/>
      <c r="DR134" s="1403"/>
      <c r="DS134" s="1489"/>
      <c r="DU134" s="1403"/>
      <c r="DV134" s="1405"/>
      <c r="DW134" s="1403"/>
      <c r="DX134" s="1403"/>
      <c r="DZ134" s="1481"/>
      <c r="EA134" s="1481"/>
      <c r="EC134" s="1482"/>
      <c r="ED134" s="1369"/>
      <c r="EE134" s="1371"/>
      <c r="EF134" s="1369"/>
      <c r="EG134" s="1369"/>
      <c r="EH134" s="1374"/>
      <c r="EI134" s="1374"/>
      <c r="EJ134" s="1363"/>
      <c r="EK134" s="1376"/>
      <c r="EL134" s="1376"/>
      <c r="EM134" s="1362"/>
      <c r="EN134" s="1362"/>
      <c r="EO134" s="1363"/>
      <c r="EP134" s="1363"/>
      <c r="EQ134" s="1363"/>
      <c r="ES134" s="1403"/>
      <c r="EU134" s="1411"/>
      <c r="EV134" s="1411"/>
      <c r="EW134" s="1411"/>
      <c r="EX134" s="1411"/>
      <c r="EY134" s="1411"/>
      <c r="EZ134" s="1413"/>
      <c r="FB134" s="1365"/>
      <c r="FD134" s="1354"/>
      <c r="FE134" s="1354"/>
      <c r="FF134" s="138"/>
      <c r="FI134" s="1357"/>
      <c r="FJ134" s="1357"/>
      <c r="FK134" s="1365"/>
      <c r="FL134" s="1365"/>
      <c r="FM134" s="1365"/>
      <c r="FO134" s="1361"/>
      <c r="FP134" s="1361"/>
      <c r="FQ134" s="1366"/>
      <c r="FR134" s="1368"/>
      <c r="FS134" s="1361"/>
      <c r="FT134" s="1368"/>
      <c r="FU134" s="1360"/>
      <c r="FW134" s="1352"/>
      <c r="FX134" s="1352"/>
      <c r="FY134" s="1352"/>
      <c r="FZ134" s="1352"/>
      <c r="GA134" s="1352"/>
      <c r="GB134" s="1352"/>
      <c r="GC134" s="1352"/>
      <c r="GD134" s="1352"/>
      <c r="GE134" s="759"/>
      <c r="GF134" s="1035"/>
      <c r="GG134" s="1385"/>
      <c r="GI134" s="1384" t="b">
        <f>IF(AND(GL134=TRUE,GM134=TRUE),TRUE,FALSE)</f>
        <v>0</v>
      </c>
      <c r="GJ134" s="1379" t="b">
        <f>IFERROR(IF(__Retrofit_TI_NC=2,TRUE,IF(AR133="Yes",TRUE,FALSE)),FALSE)</f>
        <v>1</v>
      </c>
      <c r="GL134" s="1379" t="b">
        <f>IFERROR(IF(GL133=1,TRUE,FALSE),FALSE)</f>
        <v>0</v>
      </c>
      <c r="GM134" s="1379" t="b">
        <f>IFERROR(IF(GM133=GM$14,TRUE,FALSE),FALSE)</f>
        <v>0</v>
      </c>
      <c r="HC134" s="1379" t="b">
        <f>IFERROR(IF(M134=1,TRUE,FALSE),FALSE)</f>
        <v>0</v>
      </c>
      <c r="HD134" s="1379" t="b">
        <f>IFERROR(IF(M135=1,TRUE,FALSE),FALSE)</f>
        <v>0</v>
      </c>
      <c r="HE134" s="1379" t="b">
        <f>IFERROR(IF(__Retrofit_TI_NC&lt;&gt;0,TRUE,IFERROR(IF(VLOOKUP(U134,Fixtures_Existing_List,2,FALSE)&lt;&gt;"",TRUE,FALSE),FALSE)),FALSE)</f>
        <v>0</v>
      </c>
      <c r="HF134" s="1379" t="b">
        <f>IFERROR(IF(VLOOKUP(U135,Fixtures_Proposed_List,2,FALSE)&lt;&gt;"",TRUE,FALSE),FALSE)</f>
        <v>0</v>
      </c>
      <c r="HG134" s="1379" t="b">
        <f>IF(AND(__Retrofit_TI_NC=2,EZ133=TRUE),FALSE,TRUE)</f>
        <v>1</v>
      </c>
      <c r="HH134" s="1379" t="b">
        <f>GG133</f>
        <v>1</v>
      </c>
      <c r="HI134" s="1384" t="b">
        <f>IF(ISERROR(MATCH(FB133,_Control_Match[],0))=TRUE,FALSE,TRUE)</f>
        <v>0</v>
      </c>
      <c r="HJ134" s="1384" t="b">
        <f>IFERROR(IF(EU133&lt;&gt;EV133,FALSE,TRUE),FALSE)</f>
        <v>0</v>
      </c>
      <c r="HK134" s="1384" t="b">
        <f>IFERROR(IF(EU135&lt;&gt;EV135,FALSE,TRUE),FALSE)</f>
        <v>0</v>
      </c>
      <c r="HL134" s="1379" t="b">
        <f>IFERROR(IF(CN133="Exterior",TRUE,IF(OR(AND(FJ133=0,EW135&gt;4),AND(FJ133=4,EW135&gt;4,EW135&lt;7)),FALSE,TRUE)),FALSE)</f>
        <v>0</v>
      </c>
      <c r="HM134" s="1379" t="b">
        <f>IFERROR(IF(AND(FL135=7,EZ133=TRUE),FALSE,TRUE),FALSE)</f>
        <v>0</v>
      </c>
      <c r="HN134" s="1379" t="b">
        <f>IFERROR(IF(AND(T135&lt;&gt;AE135,AF135="Interior LLLC")=TRUE,FALSE,TRUE),FALSE)</f>
        <v>1</v>
      </c>
      <c r="HO134" s="1379" t="b">
        <f>IFERROR(IF(OR(AF135=Lookup!AU$13,AF135=Lookup!AU$14)=TRUE,IF(AE135&gt;T135,FALSE,TRUE),TRUE),FALSE)</f>
        <v>1</v>
      </c>
      <c r="HP134" s="1379" t="b">
        <f>IFERROR(IF(__Retrofit_TI_NC=2,IF(EW135&lt;EW133,FALSE,TRUE),TRUE),FALSE)</f>
        <v>1</v>
      </c>
      <c r="HQ134" s="1379" t="b">
        <f>IF(CN133="Interior",IG$6,TRUE)</f>
        <v>1</v>
      </c>
      <c r="HR134" s="1379" t="b">
        <f>IF(CN133="Exterior",IG$8,TRUE)</f>
        <v>1</v>
      </c>
      <c r="HS134" s="1379" t="b">
        <f>IFERROR(IF(__Retrofit_TI_NC&lt;&gt;0,IF(AW133&lt;AV133,FALSE,TRUE),TRUE),FALSE)</f>
        <v>1</v>
      </c>
      <c r="HT134" s="1379" t="b">
        <f>IFERROR(IF(AND(G134="Exterior",R134&gt;4200),FALSE,TRUE),FALSE)</f>
        <v>1</v>
      </c>
      <c r="HU134" s="1379" t="b">
        <f>IFERROR(IF(AB136/AB133&lt;HU$18,FALSE,TRUE),FALSE)</f>
        <v>0</v>
      </c>
      <c r="HW134" s="1382"/>
      <c r="HX134" s="1378"/>
      <c r="HY134" s="1377" t="str">
        <f>VLOOKUP(HW136,_Error_Table,4,FALSE)</f>
        <v>White</v>
      </c>
      <c r="HZ134" s="436"/>
      <c r="IA134" s="1386"/>
      <c r="IB134" s="1380"/>
      <c r="IC134" s="1379"/>
      <c r="IF134" s="1380"/>
      <c r="IG134" s="1382"/>
      <c r="IH134" s="1382"/>
      <c r="II134" s="1382"/>
      <c r="IK134" s="1351"/>
      <c r="IL134" s="1351"/>
      <c r="IM134" s="1351"/>
      <c r="IN134" s="1351"/>
      <c r="IO134" s="1351"/>
      <c r="IP134" s="1351"/>
    </row>
    <row r="135" spans="1:250" s="82" customFormat="1" ht="14.95" customHeight="1" thickTop="1" thickBot="1">
      <c r="A135" s="82">
        <f>ROW()</f>
        <v>135</v>
      </c>
      <c r="B135" s="1421"/>
      <c r="C135" s="1422"/>
      <c r="D135" s="1423"/>
      <c r="E135" s="1393" t="s">
        <v>245</v>
      </c>
      <c r="F135" s="1394"/>
      <c r="G135" s="1398"/>
      <c r="H135" s="1399"/>
      <c r="I135" s="1399"/>
      <c r="J135" s="1399"/>
      <c r="K135" s="1399"/>
      <c r="L135" s="1400"/>
      <c r="M135" s="509">
        <f>IFERROR(IF(IF(__Retrofit_TI_NC&lt;&gt;0,IF(CN133="Interior",MATCH(G135,Lookup_Interior_New,0),MATCH(G135,Lookup_Exterior_New,0)),IF(CN133="Interior",MATCH(G135,Lookup_Interior,0),MATCH(G135,Lookup_Exterior_Areas,0)))&gt;0,1,0),0)</f>
        <v>0</v>
      </c>
      <c r="N135" s="509" t="e">
        <f>IF(__Retrofit_TI_NC=1,
VLOOKUP(G135,'Space Table'!$B$3:$L$160,4,FALSE),
IF(__Retrofit_TI_NC=2,VLOOKUP(G135,'Space Table'!$B$3:$L$160,5,FALSE),VLOOKUP(G135,'Space Table'!$B$3:$L$160,5,FALSE)))</f>
        <v>#N/A</v>
      </c>
      <c r="O135" s="509">
        <f>G135</f>
        <v>0</v>
      </c>
      <c r="P135" s="1394" t="s">
        <v>355</v>
      </c>
      <c r="Q135" s="1394"/>
      <c r="R135" s="674"/>
      <c r="S135" s="1401" t="s">
        <v>284</v>
      </c>
      <c r="T135" s="672"/>
      <c r="U135" s="1499"/>
      <c r="V135" s="1500"/>
      <c r="W135" s="1500"/>
      <c r="X135" s="1500"/>
      <c r="Y135" s="1500"/>
      <c r="Z135" s="1500"/>
      <c r="AA135" s="1500"/>
      <c r="AB135" s="1501"/>
      <c r="AC135" s="1501"/>
      <c r="AD135" s="1502"/>
      <c r="AE135" s="672"/>
      <c r="AF135" s="1474"/>
      <c r="AG135" s="1474"/>
      <c r="AH135" s="1474"/>
      <c r="AI135" s="1474"/>
      <c r="AJ135" s="1475">
        <f>DF135</f>
        <v>0</v>
      </c>
      <c r="AK135" s="1470" t="str">
        <f>IFERROR(ROUND(AJ135*AC136,0),"")</f>
        <v/>
      </c>
      <c r="AL135" s="1472">
        <f>IFERROR(IF(HW133=FALSE,0,AC136-AK135),0)</f>
        <v>0</v>
      </c>
      <c r="AM135" s="1441"/>
      <c r="AN135" s="1442"/>
      <c r="AO135" s="1447"/>
      <c r="AP135" s="1447"/>
      <c r="AQ135" s="1448"/>
      <c r="AR135" s="1452"/>
      <c r="AS135" s="1455"/>
      <c r="AT135" s="1458"/>
      <c r="AU135" s="516"/>
      <c r="AV135" s="1479"/>
      <c r="AW135" s="1479"/>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M135" s="1352"/>
      <c r="CN135" s="1352"/>
      <c r="CO135" s="1415" t="str">
        <f>CN133</f>
        <v/>
      </c>
      <c r="CP135" s="1417" t="e">
        <f>CP133</f>
        <v>#N/A</v>
      </c>
      <c r="CR135" s="1386" t="s">
        <v>284</v>
      </c>
      <c r="CS135" s="1353">
        <f>IF(HW133=TRUE,T135,0)</f>
        <v>0</v>
      </c>
      <c r="CT135" s="1353" t="str">
        <f>IF(HW133=TRUE,U135,"")</f>
        <v/>
      </c>
      <c r="CU135" s="1373">
        <f>IF(HW133=TRUE,U136,0)</f>
        <v>0</v>
      </c>
      <c r="CV135" s="1370">
        <f>IF(HW133=TRUE,AB136,0)</f>
        <v>0</v>
      </c>
      <c r="CW135" s="1370">
        <f>IF(HW133=TRUE,AC136,0)</f>
        <v>0</v>
      </c>
      <c r="CX135" s="1371"/>
      <c r="CY135" s="1486"/>
      <c r="CZ135" s="1486"/>
      <c r="DA135" s="1486"/>
      <c r="DC135" s="1353">
        <f>IF(HW133=TRUE,AE135,0)</f>
        <v>0</v>
      </c>
      <c r="DD135" s="1353" t="str">
        <f>IF(HW133=TRUE,AF135,"")</f>
        <v/>
      </c>
      <c r="DE135" s="1373">
        <f>AF136</f>
        <v>0</v>
      </c>
      <c r="DF135" s="1406">
        <f>IFERROR(IF(FL135=3,IK135,IF(FL135=4,IL135,IF(FL135=5,IM135,IF(FL135=6,IN135,IF(FL135=7,IO135,IF(FL135=8,IP135,0)))))),0)</f>
        <v>0</v>
      </c>
      <c r="DG135" s="1370">
        <f>IF(HW133=TRUE,AK135,0)</f>
        <v>0</v>
      </c>
      <c r="DH135" s="1369"/>
      <c r="DK135" s="1483">
        <f>IFERROR(CW135-DG135,0)</f>
        <v>0</v>
      </c>
      <c r="DL135" s="1420"/>
      <c r="DN135" s="1403"/>
      <c r="DO135" s="1477" t="str">
        <f>DN133</f>
        <v/>
      </c>
      <c r="DP135" s="1354"/>
      <c r="DQ135" s="1477" t="str">
        <f>IF(DP133=7,"LLLC","")</f>
        <v/>
      </c>
      <c r="DR135" s="1403"/>
      <c r="DS135" s="1489"/>
      <c r="DU135" s="1403"/>
      <c r="DV135" s="1404" t="str">
        <f>DU133</f>
        <v/>
      </c>
      <c r="DW135" s="1403"/>
      <c r="DX135" s="1403"/>
      <c r="DZ135" s="1481"/>
      <c r="EA135" s="1481"/>
      <c r="EC135" s="1482"/>
      <c r="ED135" s="1369"/>
      <c r="EE135" s="1371"/>
      <c r="EF135" s="1369"/>
      <c r="EG135" s="1369"/>
      <c r="EH135" s="1374"/>
      <c r="EI135" s="1374"/>
      <c r="EJ135" s="1363"/>
      <c r="EK135" s="1376"/>
      <c r="EL135" s="1376"/>
      <c r="EM135" s="1362"/>
      <c r="EN135" s="1362"/>
      <c r="EO135" s="1363"/>
      <c r="EP135" s="1363"/>
      <c r="EQ135" s="1363"/>
      <c r="ES135" s="1403"/>
      <c r="EU135" s="1411" t="e">
        <f>VLOOKUP(CP135,'Space Table'!$B$3:$L$160,8,FALSE)</f>
        <v>#N/A</v>
      </c>
      <c r="EV135" s="1411" t="e">
        <f>IF(EY135="Yes",VLOOKUP(AF135,Lookup_Control_Type_Table2,4,FALSE),VLOOKUP(AF135,Lookup_Control_Type_Table2,3,FALSE))</f>
        <v>#N/A</v>
      </c>
      <c r="EW135" s="1411" t="e">
        <f>VLOOKUP(AF135,Lookup!AU$3:AV$15,2,FALSE)</f>
        <v>#N/A</v>
      </c>
      <c r="EX135" s="1411" t="e">
        <f>VLOOKUP(EU133,Lookup_Control_Type_Table,2,FALSE)</f>
        <v>#N/A</v>
      </c>
      <c r="EY135" s="1411" t="e">
        <f>VLOOKUP(CP135,'Space Table'!$B$3:$L$160,7,FALSE)</f>
        <v>#N/A</v>
      </c>
      <c r="EZ135" s="1413"/>
      <c r="FB135" s="1365" t="str">
        <f>CONCATENATE(CN133," - ",AF135)</f>
        <v xml:space="preserve"> - </v>
      </c>
      <c r="FD135" s="1354"/>
      <c r="FE135" s="1354"/>
      <c r="FF135" s="138"/>
      <c r="FI135" s="1356" t="str">
        <f>IF(CN133="Exterior","Not Daylighted",G136)</f>
        <v>Not Daylighted</v>
      </c>
      <c r="FJ135" s="1356">
        <f>VLOOKUP(FI135,_Daylight_Table_Codes,2,FALSE)</f>
        <v>0</v>
      </c>
      <c r="FK135" s="1365">
        <f>AF135</f>
        <v>0</v>
      </c>
      <c r="FL135" s="1365" t="e">
        <f>VLOOKUP(FK135,_Control_Table,2,FALSE)</f>
        <v>#N/A</v>
      </c>
      <c r="FM135" s="1365" t="e">
        <f>IF(AND(FP135&gt;0,FK135="Occupancy Sensor"),"Daylight + Occupancy",IF(AND(FP135&gt;0,FL135&lt;4),"Interior Daylight Dimming",FK135))</f>
        <v>#N/A</v>
      </c>
      <c r="FO135" s="1364">
        <f>IF(CN133="Interior",VLOOKUP(CP133,Control_Savings_Interior,5,FALSE),0)</f>
        <v>0</v>
      </c>
      <c r="FP135" s="1361">
        <f>IF(CN135="Exterior",0,IF(FJ135=2,0.5,IF(OR(FJ135=1,FJ135=3),1,0)))</f>
        <v>0</v>
      </c>
      <c r="FQ135" s="1366">
        <f>IF(R134&gt;FO$37,(FO135*(FO$37/R134)),FO135)*FP135</f>
        <v>0</v>
      </c>
      <c r="FR135" s="1364">
        <f>DF135</f>
        <v>0</v>
      </c>
      <c r="FS135" s="1364">
        <f>ROUND(FR135+((1-FR135)*FQ135),2)</f>
        <v>0</v>
      </c>
      <c r="FT135" s="1364">
        <f>IF(__Retrofit_TI_NC=2,FS135,FR135)</f>
        <v>0</v>
      </c>
      <c r="FU135" s="1360">
        <f>IF(CO135="Interior",VLOOKUP(CP135,Control_Savings_Interior,4,FALSE),0)</f>
        <v>0</v>
      </c>
      <c r="FW135" s="1352"/>
      <c r="FX135" s="1352"/>
      <c r="FY135" s="1352"/>
      <c r="FZ135" s="1352"/>
      <c r="GA135" s="1352"/>
      <c r="GB135" s="1352"/>
      <c r="GC135" s="1352"/>
      <c r="GD135" s="1352"/>
      <c r="GE135" s="759" t="b">
        <f>IF(ISNUMBER(SEARCH("TLED",U135)),TRUE,FALSE)</f>
        <v>0</v>
      </c>
      <c r="GF135" s="1035" t="str">
        <f>IFERROR(VLOOKUP(U135,Fixtures!DM$93:DR$142,6,FALSE),"")</f>
        <v/>
      </c>
      <c r="GG135" s="1385"/>
      <c r="GI135" s="1383"/>
      <c r="GJ135" s="1379"/>
      <c r="GL135" s="1379"/>
      <c r="GM135" s="1379"/>
      <c r="HC135" s="1379"/>
      <c r="HD135" s="1379"/>
      <c r="HE135" s="1379"/>
      <c r="HF135" s="1379"/>
      <c r="HG135" s="1379"/>
      <c r="HH135" s="1379"/>
      <c r="HI135" s="1383"/>
      <c r="HJ135" s="1383"/>
      <c r="HK135" s="1383"/>
      <c r="HL135" s="1379"/>
      <c r="HM135" s="1379"/>
      <c r="HN135" s="1379"/>
      <c r="HO135" s="1379"/>
      <c r="HP135" s="1379"/>
      <c r="HQ135" s="1379"/>
      <c r="HR135" s="1379"/>
      <c r="HS135" s="1379"/>
      <c r="HT135" s="1379"/>
      <c r="HU135" s="1379"/>
      <c r="HW135" s="1383"/>
      <c r="HX135" s="1384" t="b">
        <f>HW133</f>
        <v>0</v>
      </c>
      <c r="HY135" s="1378"/>
      <c r="HZ135" s="436"/>
      <c r="IA135" s="1386"/>
      <c r="IB135" s="1380">
        <f>IF(IA133=TRUE,AC136,0)</f>
        <v>0</v>
      </c>
      <c r="IC135" s="1379"/>
      <c r="IF135" s="1380" t="e">
        <f>ROUND(T135*AB136*N134*R134/1000,0)</f>
        <v>#VALUE!</v>
      </c>
      <c r="IG135" s="1382"/>
      <c r="IH135" s="1384" t="e">
        <f>ROUND(T135*AB136*N134*R134/1000,0)</f>
        <v>#VALUE!</v>
      </c>
      <c r="II135" s="1382"/>
      <c r="IK135" s="1351" t="e">
        <f>IF($CO135="interior",IL135/2,VLOOKUP($CP135,Control_Savings_Exterior,IK$30,FALSE))</f>
        <v>#N/A</v>
      </c>
      <c r="IL135" s="1351" t="e">
        <f>IF($CO135="interior",VLOOKUP($CP135,Control_Savings_Interior,IL$30,FALSE),VLOOKUP($CP135,Control_Savings_Exterior,IL$30,FALSE))</f>
        <v>#N/A</v>
      </c>
      <c r="IM135" s="1351" t="e">
        <f>IF($CO135="interior",IF(R134&gt;FO$37,(IM$28*(FO$37/R134)),IM$28)*FP135,VLOOKUP($CP135,Control_Savings_Exterior,IM$30,FALSE))</f>
        <v>#N/A</v>
      </c>
      <c r="IN135" s="1351" t="e">
        <f>IF($CO135="interior",ROUND(((1-IL135)*IM135)+IL135,2),VLOOKUP($CP135,Control_Savings_Exterior,IN$30,FALSE))</f>
        <v>#N/A</v>
      </c>
      <c r="IO135" s="1351" t="e">
        <f>IF($CO135="interior", ROUND(((1-IL135)*(IM135*(1-IP$28)))+IP135,2), VLOOKUP($CP135,Control_Savings_Exterior,IO$30,FALSE))</f>
        <v>#N/A</v>
      </c>
      <c r="IP135" s="1351">
        <f>IF($CO135="interior",ROUND(((1-IL135)*IP$28)+IL135,2),0)</f>
        <v>0</v>
      </c>
    </row>
    <row r="136" spans="1:250" s="82" customFormat="1" ht="14.95" customHeight="1" thickTop="1" thickBot="1">
      <c r="B136" s="1421"/>
      <c r="C136" s="1422"/>
      <c r="D136" s="1423"/>
      <c r="E136" s="1462" t="s">
        <v>357</v>
      </c>
      <c r="F136" s="1463"/>
      <c r="G136" s="1464" t="s">
        <v>362</v>
      </c>
      <c r="H136" s="1465"/>
      <c r="I136" s="1465"/>
      <c r="J136" s="1465"/>
      <c r="K136" s="1465"/>
      <c r="L136" s="1466"/>
      <c r="M136" s="669">
        <f>IFERROR(VLOOKUP(G136,_Daylight_Table[],2,FALSE),0)</f>
        <v>0</v>
      </c>
      <c r="N136" s="670"/>
      <c r="O136" s="669" t="e">
        <f>VLOOKUP(G135,'Space Table'!$B$3:$L$160,11,FALSE)</f>
        <v>#N/A</v>
      </c>
      <c r="P136" s="1408"/>
      <c r="Q136" s="1409"/>
      <c r="R136" s="1409"/>
      <c r="S136" s="1402"/>
      <c r="T136" s="671" t="s">
        <v>281</v>
      </c>
      <c r="U136" s="1467" t="str">
        <f>IFERROR(VLOOKUP(U135,Fixtures!DM$93:DP$142,4,FALSE),"")</f>
        <v/>
      </c>
      <c r="V136" s="1468"/>
      <c r="W136" s="1468"/>
      <c r="X136" s="1468"/>
      <c r="Y136" s="1468"/>
      <c r="Z136" s="1468"/>
      <c r="AA136" s="1468"/>
      <c r="AB136" s="1046" t="str">
        <f>IFERROR(VLOOKUP(U135,Fixtures_Proposed_List,2,FALSE),"")</f>
        <v/>
      </c>
      <c r="AC136" s="1036" t="str">
        <f>IFERROR(ROUND(T135*AB136*N134*R134/1000,0),"")</f>
        <v/>
      </c>
      <c r="AD136" s="1037" t="str">
        <f>IFERROR(ROUND(T135*AB136/1000,2),"")</f>
        <v/>
      </c>
      <c r="AE136" s="1045" t="s">
        <v>281</v>
      </c>
      <c r="AF136" s="1469"/>
      <c r="AG136" s="1469"/>
      <c r="AH136" s="1469"/>
      <c r="AI136" s="1469"/>
      <c r="AJ136" s="1476"/>
      <c r="AK136" s="1471"/>
      <c r="AL136" s="1473"/>
      <c r="AM136" s="1443"/>
      <c r="AN136" s="1444"/>
      <c r="AO136" s="1449"/>
      <c r="AP136" s="1449"/>
      <c r="AQ136" s="1450"/>
      <c r="AR136" s="1453"/>
      <c r="AS136" s="1456"/>
      <c r="AT136" s="1459"/>
      <c r="AU136" s="517"/>
      <c r="AV136" s="1480"/>
      <c r="AW136" s="1480"/>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M136" s="1352"/>
      <c r="CN136" s="1352"/>
      <c r="CO136" s="1416"/>
      <c r="CP136" s="1418"/>
      <c r="CR136" s="1386"/>
      <c r="CS136" s="1355"/>
      <c r="CT136" s="1355"/>
      <c r="CU136" s="1375"/>
      <c r="CV136" s="1372"/>
      <c r="CW136" s="1372"/>
      <c r="CX136" s="1372"/>
      <c r="CY136" s="1487"/>
      <c r="CZ136" s="1487"/>
      <c r="DA136" s="1487"/>
      <c r="DC136" s="1355"/>
      <c r="DD136" s="1355"/>
      <c r="DE136" s="1375"/>
      <c r="DF136" s="1407"/>
      <c r="DG136" s="1372"/>
      <c r="DH136" s="1369"/>
      <c r="DK136" s="1484"/>
      <c r="DL136" s="1420"/>
      <c r="DN136" s="1403"/>
      <c r="DO136" s="1405"/>
      <c r="DP136" s="1355"/>
      <c r="DQ136" s="1405"/>
      <c r="DR136" s="1403"/>
      <c r="DS136" s="1489"/>
      <c r="DU136" s="1403"/>
      <c r="DV136" s="1405"/>
      <c r="DW136" s="1403"/>
      <c r="DX136" s="1403"/>
      <c r="DZ136" s="1481"/>
      <c r="EA136" s="1481"/>
      <c r="EC136" s="1482"/>
      <c r="ED136" s="1369"/>
      <c r="EE136" s="1372"/>
      <c r="EF136" s="1369"/>
      <c r="EG136" s="1369"/>
      <c r="EH136" s="1375"/>
      <c r="EI136" s="1375"/>
      <c r="EJ136" s="1363"/>
      <c r="EK136" s="1376"/>
      <c r="EL136" s="1376"/>
      <c r="EM136" s="1362"/>
      <c r="EN136" s="1362"/>
      <c r="EO136" s="1363"/>
      <c r="EP136" s="1363"/>
      <c r="EQ136" s="1363"/>
      <c r="ES136" s="1403"/>
      <c r="EU136" s="1488"/>
      <c r="EV136" s="1488"/>
      <c r="EW136" s="1488"/>
      <c r="EX136" s="1488"/>
      <c r="EY136" s="1488"/>
      <c r="EZ136" s="1414"/>
      <c r="FB136" s="1365"/>
      <c r="FD136" s="1355"/>
      <c r="FE136" s="1355"/>
      <c r="FF136" s="138"/>
      <c r="FI136" s="1357"/>
      <c r="FJ136" s="1357"/>
      <c r="FK136" s="1365"/>
      <c r="FL136" s="1365"/>
      <c r="FM136" s="1365"/>
      <c r="FO136" s="1361"/>
      <c r="FP136" s="1361"/>
      <c r="FQ136" s="1366"/>
      <c r="FR136" s="1361"/>
      <c r="FS136" s="1361"/>
      <c r="FT136" s="1361"/>
      <c r="FU136" s="1360"/>
      <c r="FW136" s="1352"/>
      <c r="FX136" s="1352"/>
      <c r="FY136" s="1352"/>
      <c r="FZ136" s="1352"/>
      <c r="GA136" s="1352"/>
      <c r="GB136" s="1352"/>
      <c r="GC136" s="1352"/>
      <c r="GD136" s="1352"/>
      <c r="GE136" s="759"/>
      <c r="GF136" s="1035"/>
      <c r="GG136" s="1385"/>
      <c r="GJ136" s="1034">
        <f>IF(GJ134=TRUE,0,GJ$16)</f>
        <v>0</v>
      </c>
      <c r="GL136" s="1034">
        <f>IF(GL134=TRUE,0,GL$16)</f>
        <v>36</v>
      </c>
      <c r="GM136" s="1034">
        <f>IF(GM134=TRUE,0,GM$16)</f>
        <v>35</v>
      </c>
      <c r="GN136" s="436"/>
      <c r="GO136" s="436"/>
      <c r="GP136" s="436"/>
      <c r="GQ136" s="436"/>
      <c r="GR136" s="436"/>
      <c r="HC136" s="1034">
        <f t="shared" ref="HC136:HH136" si="86">IF(HC134=TRUE,0,HC$16)</f>
        <v>19</v>
      </c>
      <c r="HD136" s="1034">
        <f t="shared" si="86"/>
        <v>18</v>
      </c>
      <c r="HE136" s="1034">
        <f t="shared" si="86"/>
        <v>17</v>
      </c>
      <c r="HF136" s="1034">
        <f t="shared" si="86"/>
        <v>16</v>
      </c>
      <c r="HG136" s="1034">
        <f t="shared" si="86"/>
        <v>0</v>
      </c>
      <c r="HH136" s="1034">
        <f t="shared" si="86"/>
        <v>0</v>
      </c>
      <c r="HI136" s="1034">
        <f>IF(HI134=TRUE,0,HI$16)</f>
        <v>13</v>
      </c>
      <c r="HJ136" s="1034">
        <f t="shared" ref="HJ136:HL136" si="87">IF(HJ134=TRUE,0,HJ$16)</f>
        <v>12</v>
      </c>
      <c r="HK136" s="1034">
        <f t="shared" si="87"/>
        <v>11</v>
      </c>
      <c r="HL136" s="1034">
        <f t="shared" si="87"/>
        <v>10</v>
      </c>
      <c r="HM136" s="1034">
        <f>IF(HM134=TRUE,0,HM$16)</f>
        <v>9</v>
      </c>
      <c r="HN136" s="1034">
        <f t="shared" ref="HN136:HR136" si="88">IF(HN134=TRUE,0,HN$16)</f>
        <v>0</v>
      </c>
      <c r="HO136" s="1034">
        <f t="shared" si="88"/>
        <v>0</v>
      </c>
      <c r="HP136" s="1034">
        <f t="shared" si="88"/>
        <v>0</v>
      </c>
      <c r="HQ136" s="1034">
        <f t="shared" si="88"/>
        <v>0</v>
      </c>
      <c r="HR136" s="1034">
        <f t="shared" si="88"/>
        <v>0</v>
      </c>
      <c r="HS136" s="1034">
        <f>IF(HS134=TRUE,0,HS$16)</f>
        <v>0</v>
      </c>
      <c r="HT136" s="1034">
        <f t="shared" ref="HT136" si="89">IF(HT134=TRUE,0,HT$16)</f>
        <v>0</v>
      </c>
      <c r="HU136" s="1034">
        <f>IF(HU134=TRUE,0,HU$16)</f>
        <v>1</v>
      </c>
      <c r="HW136" s="1034">
        <f>IF(GL134=FALSE,GL136,IF(GM134=FALSE,GM136,MAX(GJ136:HU136)))</f>
        <v>36</v>
      </c>
      <c r="HX136" s="1383"/>
      <c r="HY136" s="241" t="str">
        <f>VLOOKUP(HW136,_Error_Table,3,FALSE)</f>
        <v xml:space="preserve"> </v>
      </c>
      <c r="HZ136" s="241"/>
      <c r="IA136" s="1386"/>
      <c r="IB136" s="1380"/>
      <c r="IC136" s="1379"/>
      <c r="IF136" s="1380"/>
      <c r="IG136" s="1383"/>
      <c r="IH136" s="1383"/>
      <c r="II136" s="1383"/>
      <c r="IK136" s="1351"/>
      <c r="IL136" s="1351"/>
      <c r="IM136" s="1351"/>
      <c r="IN136" s="1351"/>
      <c r="IO136" s="1351"/>
      <c r="IP136" s="1351"/>
    </row>
    <row r="137" spans="1:250" s="82" customFormat="1" ht="5.0999999999999996" customHeight="1" thickBot="1">
      <c r="B137" s="763"/>
      <c r="C137" s="437"/>
      <c r="D137" s="437"/>
      <c r="E137" s="1490"/>
      <c r="F137" s="1490"/>
      <c r="G137" s="1490"/>
      <c r="H137" s="1490"/>
      <c r="I137" s="1490"/>
      <c r="J137" s="1490"/>
      <c r="K137" s="1490"/>
      <c r="L137" s="1490"/>
      <c r="M137" s="1490"/>
      <c r="N137" s="1490"/>
      <c r="O137" s="1490"/>
      <c r="P137" s="1490"/>
      <c r="Q137" s="1490"/>
      <c r="R137" s="1490"/>
      <c r="S137" s="1490"/>
      <c r="T137" s="1490"/>
      <c r="U137" s="1490"/>
      <c r="V137" s="1490"/>
      <c r="W137" s="1490"/>
      <c r="X137" s="1490"/>
      <c r="Y137" s="1490"/>
      <c r="Z137" s="1490"/>
      <c r="AA137" s="1490"/>
      <c r="AB137" s="1490"/>
      <c r="AC137" s="1490"/>
      <c r="AD137" s="1490"/>
      <c r="AE137" s="1490"/>
      <c r="AF137" s="1490"/>
      <c r="AG137" s="1490"/>
      <c r="AH137" s="1490"/>
      <c r="AI137" s="1490"/>
      <c r="AJ137" s="1490"/>
      <c r="AK137" s="1490"/>
      <c r="AL137" s="1490"/>
      <c r="AM137" s="1490"/>
      <c r="AN137" s="1490"/>
      <c r="AO137" s="1490"/>
      <c r="AP137" s="1490"/>
      <c r="AQ137" s="1490"/>
      <c r="AR137" s="1490"/>
      <c r="AS137" s="1490"/>
      <c r="AT137" s="1490"/>
      <c r="AU137" s="51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M137" s="749"/>
      <c r="CN137" s="749"/>
      <c r="CO137" s="485"/>
      <c r="CP137" s="749"/>
      <c r="CS137" s="436"/>
      <c r="CT137" s="436"/>
      <c r="CU137" s="243"/>
      <c r="CV137" s="244"/>
      <c r="CW137" s="244"/>
      <c r="CX137" s="244"/>
      <c r="CY137" s="245"/>
      <c r="CZ137" s="245"/>
      <c r="DA137" s="245"/>
      <c r="DC137" s="750"/>
      <c r="DD137" s="751"/>
      <c r="DE137" s="752"/>
      <c r="DF137" s="753"/>
      <c r="DG137" s="754"/>
      <c r="DH137" s="754"/>
      <c r="DK137" s="244"/>
      <c r="DL137" s="750"/>
      <c r="DN137" s="750"/>
      <c r="DO137" s="755"/>
      <c r="DP137" s="436"/>
      <c r="DQ137" s="750"/>
      <c r="DR137" s="750"/>
      <c r="DS137" s="750"/>
      <c r="DU137" s="750"/>
      <c r="DV137" s="750"/>
      <c r="DW137" s="750"/>
      <c r="DX137" s="750"/>
      <c r="DZ137" s="756"/>
      <c r="EA137" s="756"/>
      <c r="EC137" s="754"/>
      <c r="ED137" s="754"/>
      <c r="EE137" s="244"/>
      <c r="EF137" s="754"/>
      <c r="EG137" s="754"/>
      <c r="EH137" s="243"/>
      <c r="EI137" s="243"/>
      <c r="EJ137" s="752"/>
      <c r="EK137" s="757"/>
      <c r="EL137" s="757"/>
      <c r="EM137" s="758"/>
      <c r="EN137" s="758"/>
      <c r="EO137" s="752"/>
      <c r="EP137" s="752"/>
      <c r="EQ137" s="752"/>
      <c r="ES137" s="750"/>
      <c r="EU137" s="436"/>
      <c r="EV137" s="436"/>
      <c r="EW137" s="436"/>
      <c r="EX137" s="436"/>
      <c r="EY137" s="436"/>
      <c r="EZ137" s="436"/>
      <c r="FB137" s="643"/>
      <c r="FD137" s="436"/>
      <c r="FE137" s="436"/>
      <c r="FF137" s="436"/>
      <c r="FO137" s="750"/>
      <c r="FP137" s="436"/>
      <c r="FQ137" s="436"/>
      <c r="FR137" s="750"/>
      <c r="FS137" s="750"/>
      <c r="FW137" s="749"/>
      <c r="FX137" s="749"/>
      <c r="FY137" s="749"/>
      <c r="FZ137" s="749"/>
      <c r="GA137" s="749"/>
      <c r="GB137" s="749"/>
      <c r="GC137" s="749"/>
      <c r="GD137" s="749"/>
      <c r="GE137" s="751"/>
      <c r="GF137" s="750"/>
      <c r="GG137" s="750"/>
    </row>
    <row r="138" spans="1:250" s="82" customFormat="1" ht="14.95" customHeight="1" thickTop="1" thickBot="1">
      <c r="B138" s="1421" t="str">
        <f>HY141</f>
        <v xml:space="preserve"> </v>
      </c>
      <c r="C138" s="1422">
        <f>C133+1</f>
        <v>20</v>
      </c>
      <c r="D138" s="1423"/>
      <c r="E138" s="1424" t="s">
        <v>242</v>
      </c>
      <c r="F138" s="1425"/>
      <c r="G138" s="1426"/>
      <c r="H138" s="1427"/>
      <c r="I138" s="1427"/>
      <c r="J138" s="1427"/>
      <c r="K138" s="1427"/>
      <c r="L138" s="1427"/>
      <c r="M138" s="1427"/>
      <c r="N138" s="1427"/>
      <c r="O138" s="1427"/>
      <c r="P138" s="1427"/>
      <c r="Q138" s="1427"/>
      <c r="R138" s="1427"/>
      <c r="S138" s="1428" t="s">
        <v>283</v>
      </c>
      <c r="T138" s="668" t="s">
        <v>190</v>
      </c>
      <c r="U138" s="1430" t="s">
        <v>186</v>
      </c>
      <c r="V138" s="1431"/>
      <c r="W138" s="1431"/>
      <c r="X138" s="1431"/>
      <c r="Y138" s="1431"/>
      <c r="Z138" s="1431"/>
      <c r="AA138" s="1431"/>
      <c r="AB138" s="1088" t="str">
        <f>IFERROR(IF(__Retrofit_TI_NC=0,VLOOKUP(U139,Fixtures_Existing_List,2,FALSE),ROUND(N140*R140/T140,10)),"")</f>
        <v/>
      </c>
      <c r="AC138" s="1039" t="str">
        <f>IFERROR(IF(__Retrofit_TI_NC=0,ROUND(T139*AB138*N139*R139/1000,0),IF(CN138="Interior",N140*R140*R139*N139*_C406_reduction/1000,N140*R140*R139*N139/1000)),"")</f>
        <v/>
      </c>
      <c r="AD138" s="1040" t="str">
        <f>IFERROR(IF(C$36=0,ROUND(T139*AB138/1000,2),N140*R140/1000),"")</f>
        <v/>
      </c>
      <c r="AE138" s="1044" t="s">
        <v>190</v>
      </c>
      <c r="AF138" s="1432" t="str">
        <f>IF(__Retrofit_TI_NC=2,CONCATENATE("Code min = ",DD138),IF(__Retrofit_TI_NC=1,"Emter what you think the existing control was"," Control"))</f>
        <v xml:space="preserve"> Control</v>
      </c>
      <c r="AG138" s="1432"/>
      <c r="AH138" s="1432"/>
      <c r="AI138" s="1432"/>
      <c r="AJ138" s="1433">
        <f>DF138</f>
        <v>0</v>
      </c>
      <c r="AK138" s="1435" t="str">
        <f>IFERROR(ROUND(AJ138*AC138,0),"")</f>
        <v/>
      </c>
      <c r="AL138" s="1437">
        <f>IFERROR(IF(HW138=FALSE,0,AC138-AK138),0)</f>
        <v>0</v>
      </c>
      <c r="AM138" s="1439">
        <f>AL138-AL140</f>
        <v>0</v>
      </c>
      <c r="AN138" s="1440"/>
      <c r="AO138" s="1445">
        <f>IFERROR(IF(HW138=FALSE,0,(T140*U141)+(AE140*AF141)),0)</f>
        <v>0</v>
      </c>
      <c r="AP138" s="1445"/>
      <c r="AQ138" s="1446"/>
      <c r="AR138" s="1451" t="s">
        <v>157</v>
      </c>
      <c r="AS138" s="1454">
        <f>IF(AR138="Yes",1,0)</f>
        <v>1</v>
      </c>
      <c r="AT138" s="1457" t="str">
        <f>IF(OR(DN138=4,DN138=5,DN138=6,DN138=12),CONCATENATE("$",IF(GD138=TRUE,Lookup!$B$11,Lookup!$B$2)," /lamp"),CONCATENATE(EA138,"/ kWh"))</f>
        <v>0/ kWh</v>
      </c>
      <c r="AU138" s="516"/>
      <c r="AV138" s="1478">
        <f>IFERROR(IF(GI139=TRUE,(AB141*T140)/R140,0),"NA")</f>
        <v>0</v>
      </c>
      <c r="AW138" s="1478" t="str">
        <f>IFERROR(N140*_C406_reduction,"NA")</f>
        <v>NA</v>
      </c>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M138" s="1352" t="str">
        <f>N139</f>
        <v/>
      </c>
      <c r="CN138" s="1352" t="str">
        <f>IFERROR(VLOOKUP(G139,_Lookup_Heat_Type_Table_New,3,FALSE),"")</f>
        <v/>
      </c>
      <c r="CO138" s="1415" t="str">
        <f>CN138</f>
        <v/>
      </c>
      <c r="CP138" s="1417" t="e">
        <f>VLOOKUP(G140,'Space Table'!$B$3:$L$160,9,FALSE)</f>
        <v>#N/A</v>
      </c>
      <c r="CR138" s="1386" t="s">
        <v>283</v>
      </c>
      <c r="CS138" s="1353">
        <f>IF(HW138=TRUE,T139,0)</f>
        <v>0</v>
      </c>
      <c r="CT138" s="1353" t="str">
        <f>IF(HW138=TRUE,U139,"")</f>
        <v/>
      </c>
      <c r="CU138" s="1353"/>
      <c r="CV138" s="1370">
        <f>IF(HW138=TRUE,AB138,0)</f>
        <v>0</v>
      </c>
      <c r="CW138" s="1370">
        <f>IF(HW138=TRUE,AC138,0)</f>
        <v>0</v>
      </c>
      <c r="CX138" s="1370">
        <f>IFERROR(IF(HW138=TRUE,CW138-CW140,0),0)</f>
        <v>0</v>
      </c>
      <c r="CY138" s="1485">
        <f>IF(HW138=TRUE,AD138,0)</f>
        <v>0</v>
      </c>
      <c r="CZ138" s="1485">
        <f>IF(HW138=TRUE,AD141,0)</f>
        <v>0</v>
      </c>
      <c r="DA138" s="1485">
        <f>IFERROR(CY138-CZ138,0)</f>
        <v>0</v>
      </c>
      <c r="DC138" s="1353">
        <f>IF(HW138=TRUE,AE139,0)</f>
        <v>0</v>
      </c>
      <c r="DD138" s="1460">
        <f>IF(__Retrofit_TI_NC=2,IF(CN138="Exterior",O141,FM138),FK138)</f>
        <v>0</v>
      </c>
      <c r="DE138" s="1353"/>
      <c r="DF138" s="1406">
        <f>IFERROR(IF(FL138=3,IK138,IF(FL138=4,IL138,IF(FL138=5,IM138,IF(FL138=6,IN138,IF(FL138=7,IO138,IF(FL138=8,IP138,0)))))),0)</f>
        <v>0</v>
      </c>
      <c r="DG138" s="1370">
        <f>IF(HW138=TRUE,AK138,0)</f>
        <v>0</v>
      </c>
      <c r="DH138" s="1369">
        <f>IFERROR(IF(HW138=TRUE,DG140-DG138,0),0)</f>
        <v>0</v>
      </c>
      <c r="DJ138" s="1483">
        <f>IFERROR(CW138-DG138,0)</f>
        <v>0</v>
      </c>
      <c r="DL138" s="1419">
        <f>DJ138-DK140</f>
        <v>0</v>
      </c>
      <c r="DN138" s="1403" t="str">
        <f>IFERROR(IF(AND(OR(FY138=4,FY138=5,FY138=6),OR(GB138=4,GB138=5,GB138=6)),FY138+8,VLOOKUP(CT140,Fixtures!R$31:Y$78,8,FALSE)),"")</f>
        <v/>
      </c>
      <c r="DO138" s="1404" t="str">
        <f>DN138</f>
        <v/>
      </c>
      <c r="DP138" s="1353" t="str">
        <f>IFERROR(VLOOKUP(DD140,Lookup!AU$3:AV$15,2,FALSE),"")</f>
        <v/>
      </c>
      <c r="DQ138" s="1404" t="str">
        <f>IF(DP138=7,"LLLC","")</f>
        <v/>
      </c>
      <c r="DR138" s="1403">
        <f>IFERROR(IF(OR(DN138=4,DN138=5,DN138=6,DN138=12,DN138=13,DN138=14),VLOOKUP(CT140,Fixtures!DN$27:EG$77,19,FALSE),1)*CS140,0)</f>
        <v>0</v>
      </c>
      <c r="DS138" s="1489">
        <f>IF(DP138=7,IF(DD138=DD140,0,DC140),0)</f>
        <v>0</v>
      </c>
      <c r="DU138" s="1403" t="str">
        <f>IFERROR(IF(EW138&lt;EW140,"Yes","No"),"")</f>
        <v/>
      </c>
      <c r="DV138" s="1404" t="str">
        <f>DU138</f>
        <v/>
      </c>
      <c r="DW138" s="1403">
        <f>IF(DU138="Yes",DC140,0)</f>
        <v>0</v>
      </c>
      <c r="DX138" s="1403">
        <f>DW138-DS138</f>
        <v>0</v>
      </c>
      <c r="DZ138" s="1481">
        <f>IFERROR(VLOOKUP(DN138,Lookup!AN$3:AO$16,2,FALSE),0)</f>
        <v>0</v>
      </c>
      <c r="EA138" s="1481">
        <f>IF(HW138=FALSE,0,IF(DU138="Yes",DZ138+Lookup!B$6,DZ138))</f>
        <v>0</v>
      </c>
      <c r="EC138" s="1482">
        <f>IF(HW138=TRUE,DJ138,0)</f>
        <v>0</v>
      </c>
      <c r="ED138" s="1369">
        <f>IF(HW138=TRUE,CW140,0)</f>
        <v>0</v>
      </c>
      <c r="EE138" s="1370">
        <f>IFERROR(EC138-ED138,0)</f>
        <v>0</v>
      </c>
      <c r="EF138" s="1369">
        <f>IF(HW138=TRUE,DG140,0)</f>
        <v>0</v>
      </c>
      <c r="EG138" s="1369">
        <f>IFERROR(EC138-ED138+EF138,0)</f>
        <v>0</v>
      </c>
      <c r="EH138" s="1373">
        <f>IF(HW138=TRUE,CS140*CU140,0)</f>
        <v>0</v>
      </c>
      <c r="EI138" s="1373">
        <f>IF(HW138=TRUE,DC140*DE140,0)</f>
        <v>0</v>
      </c>
      <c r="EJ138" s="1363">
        <f>AO138</f>
        <v>0</v>
      </c>
      <c r="EK138" s="1376" t="str">
        <f>IFERROR(IF(HW138=TRUE,VLOOKUP(DN138,Lookup!AN$3:AP$16,3,FALSE)*DR138,""),0)</f>
        <v/>
      </c>
      <c r="EL138" s="1376">
        <f>IF(HW138=TRUE,DW138*Lookup!AP$12,0)</f>
        <v>0</v>
      </c>
      <c r="EM138" s="1362">
        <f>IFERROR(IF(HW138=TRUE,EK138/EM$33,0),0)</f>
        <v>0</v>
      </c>
      <c r="EN138" s="1362">
        <f>IF(HW138=TRUE,EL138/EN$33,0)</f>
        <v>0</v>
      </c>
      <c r="EO138" s="1363">
        <f>IF(HW138=TRUE,EQ$33*EM138,0)</f>
        <v>0</v>
      </c>
      <c r="EP138" s="1363">
        <f>IF(HW138=TRUE,EQ$33*EN138,0)</f>
        <v>0</v>
      </c>
      <c r="EQ138" s="1363">
        <f>EO138+EP138</f>
        <v>0</v>
      </c>
      <c r="ES138" s="1403">
        <f>IF(G138="",0,1)</f>
        <v>0</v>
      </c>
      <c r="EU138" s="1410" t="e">
        <f>VLOOKUP(CP140,'Space Table'!$B$3:$L$160,8,FALSE)</f>
        <v>#N/A</v>
      </c>
      <c r="EV138" s="1410" t="e">
        <f>IF(EY138="Yes",VLOOKUP(DD138,Lookup_Control_Type_Table2,4,FALSE),VLOOKUP(DD138,Lookup_Control_Type_Table2,3,FALSE))</f>
        <v>#N/A</v>
      </c>
      <c r="EW138" s="1410" t="e">
        <f>VLOOKUP(DD138,Lookup!AU$3:AV$15,2,FALSE)</f>
        <v>#N/A</v>
      </c>
      <c r="EX138" s="1410" t="e">
        <f>VLOOKUP(EU138,Lookup_Control_Type_Table,2,FALSE)</f>
        <v>#N/A</v>
      </c>
      <c r="EY138" s="1410" t="e">
        <f>VLOOKUP(CP140,'Space Table'!$B$3:$L$160,7,FALSE)</f>
        <v>#N/A</v>
      </c>
      <c r="EZ138" s="1412" t="b">
        <f>ISNUMBER(SEARCH("TLED",U140))</f>
        <v>0</v>
      </c>
      <c r="FB138" s="1365" t="str">
        <f>CONCATENATE(CN138," - ",DD138)</f>
        <v xml:space="preserve"> - 0</v>
      </c>
      <c r="FD138" s="1353" t="str">
        <f>VLOOKUP(CT140,Fixtures!DN$27:EZ$77,38,FALSE)</f>
        <v/>
      </c>
      <c r="FE138" s="1353">
        <f>IFERROR(FD138*EE138,0)</f>
        <v>0</v>
      </c>
      <c r="FF138" s="138"/>
      <c r="FI138" s="1356" t="str">
        <f>IF(CN138="Exterior","Not Daylighted",G141)</f>
        <v>Not Daylighted</v>
      </c>
      <c r="FJ138" s="1356">
        <f>VLOOKUP(FI138,_Daylight_Table_Codes,2,FALSE)</f>
        <v>0</v>
      </c>
      <c r="FK138" s="1365">
        <f>IF(__Retrofit_TI_NC=2,VLOOKUP(G140,'Space Table'!$B$3:$L$160,11,FALSE),AF139)</f>
        <v>0</v>
      </c>
      <c r="FL138" s="1365" t="e">
        <f>VLOOKUP(FK138,_Control_Table,2,FALSE)</f>
        <v>#N/A</v>
      </c>
      <c r="FM138" s="1365" t="e">
        <f>IF(AND(FP138&gt;0,FK138="Occupancy Sensor"),"Daylight + Occupancy",IF(AND(FP138&gt;0,FL138&lt;4),"Interior Daylight Dimming",FK138))</f>
        <v>#N/A</v>
      </c>
      <c r="FO138" s="1364">
        <f>IF(CO138="Interior",VLOOKUP(CP138,Control_Savings_Interior,5,FALSE),0)</f>
        <v>0</v>
      </c>
      <c r="FP138" s="1361">
        <f>IF(CN138="Exterior",0,IF(FJ138=2,0.5,IF(OR(FJ138=1,FJ138=3),1,0)))</f>
        <v>0</v>
      </c>
      <c r="FQ138" s="1366"/>
      <c r="FR138" s="1367"/>
      <c r="FS138" s="1364"/>
      <c r="FT138" s="1367"/>
      <c r="FU138" s="1360"/>
      <c r="FW138" s="1352" t="str">
        <f>IFERROR(VLOOKUP(U139,_Exist_Fixture_Table,3,FALSE),"")</f>
        <v/>
      </c>
      <c r="FX138" s="1352" t="str">
        <f>VLOOKUP(CT138,_Exist_Fixture_Table,4,FALSE)</f>
        <v/>
      </c>
      <c r="FY138" s="1352">
        <f>IFERROR(VLOOKUP(FX138,Lookup!AM$6:AN$8,2,FALSE),0)</f>
        <v>0</v>
      </c>
      <c r="FZ138" s="1352" t="b">
        <f>IFERROR(IF(OR(GB138=4,GB138=5,GB138=6),TRUE,FALSE),"")</f>
        <v>0</v>
      </c>
      <c r="GA138" s="1352" t="str">
        <f>IFERROR(VLOOKUP(GB138,FY$6:FZ$10,2,FALSE),"")</f>
        <v/>
      </c>
      <c r="GB138" s="1352" t="str">
        <f>VLOOKUP(CT140,Fixtures!R$31:Y$78,8,FALSE)</f>
        <v/>
      </c>
      <c r="GC138" s="1352">
        <f>IF(AND(FW138=TRUE,FZ138=TRUE,OR(DN138=12,DN138=13,DN138=14)),FY138+8,0)</f>
        <v>0</v>
      </c>
      <c r="GD138" s="1352" t="b">
        <f>IF(OR(GC138=12,GC138=13,GC138=14),TRUE,FALSE)</f>
        <v>0</v>
      </c>
      <c r="GE138" s="759" t="b">
        <f>IF(ISNUMBER(SEARCH("TLED",U139)),TRUE,FALSE)</f>
        <v>0</v>
      </c>
      <c r="GF138" s="1035" t="str">
        <f>IFERROR(VLOOKUP(U139,Fixtures!BM$93:BR$142,6,FALSE),"")</f>
        <v/>
      </c>
      <c r="GG138" s="1385" t="b">
        <f>IF(OR(GE138=FALSE,GE140=FALSE),TRUE,IF(GF138-GF140&lt;5,FALSE,TRUE))</f>
        <v>1</v>
      </c>
      <c r="GK138" s="1034">
        <f>GL138</f>
        <v>0</v>
      </c>
      <c r="GL138" s="1034">
        <f>IF(G138="",0,1)</f>
        <v>0</v>
      </c>
      <c r="GM138" s="1034">
        <f>SUM(GN138:HB138)</f>
        <v>2</v>
      </c>
      <c r="GN138" s="1034">
        <f>IF(G139="",0,1)</f>
        <v>0</v>
      </c>
      <c r="GO138" s="1034">
        <f>IF(G140="",0,1)</f>
        <v>0</v>
      </c>
      <c r="GP138" s="1034">
        <f>IF(R139="",0,1)</f>
        <v>0</v>
      </c>
      <c r="GQ138" s="1034">
        <f>IF(__Retrofit_TI_NC=0,1,IF(R140="",0,1))</f>
        <v>1</v>
      </c>
      <c r="GR138" s="1034">
        <f>IF(CN138="Exterior",1,IF(G141="",0,1))</f>
        <v>1</v>
      </c>
      <c r="GS138" s="1034">
        <f>IF(__Retrofit_TI_NC&lt;&gt;0,1,IF(T139="",0,1))</f>
        <v>0</v>
      </c>
      <c r="GT138" s="1034">
        <f>IF(__Retrofit_TI_NC&lt;&gt;0,1,IF(U139="",0,1))</f>
        <v>0</v>
      </c>
      <c r="GU138" s="1034">
        <f>IF(T140="",0,1)</f>
        <v>0</v>
      </c>
      <c r="GV138" s="1034">
        <f>IF(U140="",0,1)</f>
        <v>0</v>
      </c>
      <c r="GW138" s="1034">
        <f>IF(__Retrofit_TI_NC=2,1,IF(U141="",0,1))</f>
        <v>0</v>
      </c>
      <c r="GX138" s="1034">
        <f>IF(__Retrofit_TI_NC&lt;&gt;0,1,IF(AE139="",0,1))</f>
        <v>0</v>
      </c>
      <c r="GY138" s="1034">
        <f>IF(__Retrofit_TI_NC&lt;&gt;0,1,IF(AF139="",0,1))</f>
        <v>0</v>
      </c>
      <c r="GZ138" s="1034">
        <f>IF(AE140="",0,1)</f>
        <v>0</v>
      </c>
      <c r="HA138" s="1034">
        <f>IF(AF140="",0,1)</f>
        <v>0</v>
      </c>
      <c r="HB138" s="1034">
        <f>IF(__Retrofit_TI_NC=2,1,IF(AF141="",0,1))</f>
        <v>0</v>
      </c>
      <c r="HV138" s="436"/>
      <c r="HW138" s="1384" t="b">
        <f>IF(OR(HW141=0,HW141=HT$16,HW141=HS$16,HW141=HU$16),TRUE,FALSE)</f>
        <v>0</v>
      </c>
      <c r="HX138" s="1377" t="b">
        <f>HW138</f>
        <v>0</v>
      </c>
      <c r="HY138" s="436"/>
      <c r="HZ138" s="436"/>
      <c r="IA138" s="1386" t="b">
        <f>IF(MAX(GJ141:HP141)&gt;5,FALSE,TRUE)</f>
        <v>0</v>
      </c>
      <c r="IB138" s="1380">
        <f>IF(IA138=TRUE,AC138,0)</f>
        <v>0</v>
      </c>
      <c r="IC138" s="1380">
        <f>IB138-IB140</f>
        <v>0</v>
      </c>
      <c r="IF138" s="1380" t="e">
        <f>ROUND(T139*VLOOKUP(U139,Fixtures_Existing_List,2,FALSE)*N139*R139/1000,0)</f>
        <v>#N/A</v>
      </c>
      <c r="IG138" s="1381" t="e">
        <f>IF138-IF140</f>
        <v>#N/A</v>
      </c>
      <c r="IH138" s="1384" t="e">
        <f>ROUND(IF(CN138="Interior",N140*R140*R139*N139*_C406_reduction/1000,N140*R140*R139*N139/1000),0)</f>
        <v>#N/A</v>
      </c>
      <c r="II138" s="1384" t="e">
        <f>IH138-IH140</f>
        <v>#N/A</v>
      </c>
      <c r="IK138" s="1351" t="e">
        <f>IF($CO138="interior",IL138/2,VLOOKUP($CP138,Control_Savings_Exterior,IK$30,FALSE))</f>
        <v>#N/A</v>
      </c>
      <c r="IL138" s="1351" t="e">
        <f>IF($CO138="interior",VLOOKUP($CP138,Control_Savings_Interior,IL$30,FALSE),VLOOKUP($CP138,Control_Savings_Exterior,IL$30,FALSE))</f>
        <v>#N/A</v>
      </c>
      <c r="IM138" s="1351" t="e">
        <f>IF($CO138="interior",IF(R139&gt;FO$37,(IM$28*(FO$37/R139)),IM$28)*FP138,VLOOKUP($CP138,Control_Savings_Exterior,IM$30,FALSE))</f>
        <v>#N/A</v>
      </c>
      <c r="IN138" s="1351" t="e">
        <f>IF($CO138="interior",ROUND(((1-IL138)*IM138)+IL138,2),VLOOKUP($CP138,Control_Savings_Exterior,IN$30,FALSE))</f>
        <v>#N/A</v>
      </c>
      <c r="IO138" s="1351" t="e">
        <f>IF($CO138="interior", ROUND(((1-IL138)*(IM138*(1-IP$28)))+IP138,2), VLOOKUP($CP138,Control_Savings_Exterior,IO$30,FALSE))</f>
        <v>#N/A</v>
      </c>
      <c r="IP138" s="1351">
        <f>IF($CO138="interior",ROUND(((1-IL138)*IP$28)+IL138,2),0)</f>
        <v>0</v>
      </c>
    </row>
    <row r="139" spans="1:250" s="82" customFormat="1" ht="14.95" customHeight="1" thickTop="1" thickBot="1">
      <c r="B139" s="1421"/>
      <c r="C139" s="1422"/>
      <c r="D139" s="1423"/>
      <c r="E139" s="1393" t="s">
        <v>244</v>
      </c>
      <c r="F139" s="1394"/>
      <c r="G139" s="1395"/>
      <c r="H139" s="1395"/>
      <c r="I139" s="1395"/>
      <c r="J139" s="1395"/>
      <c r="K139" s="1395"/>
      <c r="L139" s="1395"/>
      <c r="M139" s="509" t="e">
        <f>IF(__Retrofit_TI_NC&lt;&gt;0,IF(VLOOKUP(G140,'Space Table'!$B$3:$L$160,3,FALSE)&gt;0,1,0),IF(__Retrofit_TI_NC=VLOOKUP(G140,'Space Table'!$B$3:$L$160,3,FALSE),1,0))</f>
        <v>#N/A</v>
      </c>
      <c r="N139" s="509" t="str">
        <f>IFERROR(VLOOKUP(G139,_Lookup_Heat_Type_Table_New,2,FALSE),"")</f>
        <v/>
      </c>
      <c r="O139" s="509">
        <f>IF(__Retrofit_TI_NC=1,CONCATENATE("TI ",G139),IF(__Retrofit_TI_NC=2,CONCATENATE("NC ",G139),G139))</f>
        <v>0</v>
      </c>
      <c r="P139" s="1396" t="s">
        <v>352</v>
      </c>
      <c r="Q139" s="1396"/>
      <c r="R139" s="673"/>
      <c r="S139" s="1429"/>
      <c r="T139" s="675"/>
      <c r="U139" s="1496"/>
      <c r="V139" s="1497"/>
      <c r="W139" s="1497"/>
      <c r="X139" s="1497"/>
      <c r="Y139" s="1497"/>
      <c r="Z139" s="1497"/>
      <c r="AA139" s="1497"/>
      <c r="AB139" s="1497"/>
      <c r="AC139" s="1497"/>
      <c r="AD139" s="1498"/>
      <c r="AE139" s="675"/>
      <c r="AF139" s="1397"/>
      <c r="AG139" s="1397"/>
      <c r="AH139" s="1397"/>
      <c r="AI139" s="1397"/>
      <c r="AJ139" s="1434"/>
      <c r="AK139" s="1436"/>
      <c r="AL139" s="1438"/>
      <c r="AM139" s="1441"/>
      <c r="AN139" s="1442"/>
      <c r="AO139" s="1447"/>
      <c r="AP139" s="1447"/>
      <c r="AQ139" s="1448"/>
      <c r="AR139" s="1452"/>
      <c r="AS139" s="1455"/>
      <c r="AT139" s="1458"/>
      <c r="AU139" s="516"/>
      <c r="AV139" s="1479"/>
      <c r="AW139" s="1479"/>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M139" s="1352"/>
      <c r="CN139" s="1352"/>
      <c r="CO139" s="1416"/>
      <c r="CP139" s="1418"/>
      <c r="CR139" s="1386"/>
      <c r="CS139" s="1355"/>
      <c r="CT139" s="1355"/>
      <c r="CU139" s="1355"/>
      <c r="CV139" s="1372"/>
      <c r="CW139" s="1372"/>
      <c r="CX139" s="1371"/>
      <c r="CY139" s="1486"/>
      <c r="CZ139" s="1486"/>
      <c r="DA139" s="1486"/>
      <c r="DC139" s="1355"/>
      <c r="DD139" s="1461"/>
      <c r="DE139" s="1355"/>
      <c r="DF139" s="1407"/>
      <c r="DG139" s="1372"/>
      <c r="DH139" s="1369"/>
      <c r="DJ139" s="1484"/>
      <c r="DL139" s="1419"/>
      <c r="DN139" s="1403"/>
      <c r="DO139" s="1405"/>
      <c r="DP139" s="1354"/>
      <c r="DQ139" s="1405"/>
      <c r="DR139" s="1403"/>
      <c r="DS139" s="1489"/>
      <c r="DU139" s="1403"/>
      <c r="DV139" s="1405"/>
      <c r="DW139" s="1403"/>
      <c r="DX139" s="1403"/>
      <c r="DZ139" s="1481"/>
      <c r="EA139" s="1481"/>
      <c r="EC139" s="1482"/>
      <c r="ED139" s="1369"/>
      <c r="EE139" s="1371"/>
      <c r="EF139" s="1369"/>
      <c r="EG139" s="1369"/>
      <c r="EH139" s="1374"/>
      <c r="EI139" s="1374"/>
      <c r="EJ139" s="1363"/>
      <c r="EK139" s="1376"/>
      <c r="EL139" s="1376"/>
      <c r="EM139" s="1362"/>
      <c r="EN139" s="1362"/>
      <c r="EO139" s="1363"/>
      <c r="EP139" s="1363"/>
      <c r="EQ139" s="1363"/>
      <c r="ES139" s="1403"/>
      <c r="EU139" s="1411"/>
      <c r="EV139" s="1411"/>
      <c r="EW139" s="1411"/>
      <c r="EX139" s="1411"/>
      <c r="EY139" s="1411"/>
      <c r="EZ139" s="1413"/>
      <c r="FB139" s="1365"/>
      <c r="FD139" s="1354"/>
      <c r="FE139" s="1354"/>
      <c r="FF139" s="138"/>
      <c r="FI139" s="1357"/>
      <c r="FJ139" s="1357"/>
      <c r="FK139" s="1365"/>
      <c r="FL139" s="1365"/>
      <c r="FM139" s="1365"/>
      <c r="FO139" s="1361"/>
      <c r="FP139" s="1361"/>
      <c r="FQ139" s="1366"/>
      <c r="FR139" s="1368"/>
      <c r="FS139" s="1361"/>
      <c r="FT139" s="1368"/>
      <c r="FU139" s="1360"/>
      <c r="FW139" s="1352"/>
      <c r="FX139" s="1352"/>
      <c r="FY139" s="1352"/>
      <c r="FZ139" s="1352"/>
      <c r="GA139" s="1352"/>
      <c r="GB139" s="1352"/>
      <c r="GC139" s="1352"/>
      <c r="GD139" s="1352"/>
      <c r="GE139" s="759"/>
      <c r="GF139" s="1035"/>
      <c r="GG139" s="1385"/>
      <c r="GI139" s="1384" t="b">
        <f>IF(AND(GL139=TRUE,GM139=TRUE),TRUE,FALSE)</f>
        <v>0</v>
      </c>
      <c r="GJ139" s="1379" t="b">
        <f>IFERROR(IF(__Retrofit_TI_NC=2,TRUE,IF(AR138="Yes",TRUE,FALSE)),FALSE)</f>
        <v>1</v>
      </c>
      <c r="GL139" s="1379" t="b">
        <f>IFERROR(IF(GL138=1,TRUE,FALSE),FALSE)</f>
        <v>0</v>
      </c>
      <c r="GM139" s="1379" t="b">
        <f>IFERROR(IF(GM138=GM$14,TRUE,FALSE),FALSE)</f>
        <v>0</v>
      </c>
      <c r="HC139" s="1379" t="b">
        <f>IFERROR(IF(M139=1,TRUE,FALSE),FALSE)</f>
        <v>0</v>
      </c>
      <c r="HD139" s="1379" t="b">
        <f>IFERROR(IF(M140=1,TRUE,FALSE),FALSE)</f>
        <v>0</v>
      </c>
      <c r="HE139" s="1379" t="b">
        <f>IFERROR(IF(__Retrofit_TI_NC&lt;&gt;0,TRUE,IFERROR(IF(VLOOKUP(U139,Fixtures_Existing_List,2,FALSE)&lt;&gt;"",TRUE,FALSE),FALSE)),FALSE)</f>
        <v>0</v>
      </c>
      <c r="HF139" s="1379" t="b">
        <f>IFERROR(IF(VLOOKUP(U140,Fixtures_Proposed_List,2,FALSE)&lt;&gt;"",TRUE,FALSE),FALSE)</f>
        <v>0</v>
      </c>
      <c r="HG139" s="1379" t="b">
        <f>IF(AND(__Retrofit_TI_NC=2,EZ138=TRUE),FALSE,TRUE)</f>
        <v>1</v>
      </c>
      <c r="HH139" s="1379" t="b">
        <f>GG138</f>
        <v>1</v>
      </c>
      <c r="HI139" s="1384" t="b">
        <f>IF(ISERROR(MATCH(FB138,_Control_Match[],0))=TRUE,FALSE,TRUE)</f>
        <v>0</v>
      </c>
      <c r="HJ139" s="1384" t="b">
        <f>IFERROR(IF(EU138&lt;&gt;EV138,FALSE,TRUE),FALSE)</f>
        <v>0</v>
      </c>
      <c r="HK139" s="1384" t="b">
        <f>IFERROR(IF(EU140&lt;&gt;EV140,FALSE,TRUE),FALSE)</f>
        <v>0</v>
      </c>
      <c r="HL139" s="1379" t="b">
        <f>IFERROR(IF(CN138="Exterior",TRUE,IF(OR(AND(FJ138=0,EW140&gt;4),AND(FJ138=4,EW140&gt;4,EW140&lt;7)),FALSE,TRUE)),FALSE)</f>
        <v>0</v>
      </c>
      <c r="HM139" s="1379" t="b">
        <f>IFERROR(IF(AND(FL140=7,EZ138=TRUE),FALSE,TRUE),FALSE)</f>
        <v>0</v>
      </c>
      <c r="HN139" s="1379" t="b">
        <f>IFERROR(IF(AND(T140&lt;&gt;AE140,AF140="Interior LLLC")=TRUE,FALSE,TRUE),FALSE)</f>
        <v>1</v>
      </c>
      <c r="HO139" s="1379" t="b">
        <f>IFERROR(IF(OR(AF140=Lookup!AU$13,AF140=Lookup!AU$14)=TRUE,IF(AE140&gt;T140,FALSE,TRUE),TRUE),FALSE)</f>
        <v>1</v>
      </c>
      <c r="HP139" s="1379" t="b">
        <f>IFERROR(IF(__Retrofit_TI_NC=2,IF(EW140&lt;EW138,FALSE,TRUE),TRUE),FALSE)</f>
        <v>1</v>
      </c>
      <c r="HQ139" s="1379" t="b">
        <f>IF(CN138="Interior",IG$6,TRUE)</f>
        <v>1</v>
      </c>
      <c r="HR139" s="1379" t="b">
        <f>IF(CN138="Exterior",IG$8,TRUE)</f>
        <v>1</v>
      </c>
      <c r="HS139" s="1379" t="b">
        <f>IFERROR(IF(__Retrofit_TI_NC&lt;&gt;0,IF(AW138&lt;AV138,FALSE,TRUE),TRUE),FALSE)</f>
        <v>1</v>
      </c>
      <c r="HT139" s="1379" t="b">
        <f>IFERROR(IF(AND(G139="Exterior",R139&gt;4200),FALSE,TRUE),FALSE)</f>
        <v>1</v>
      </c>
      <c r="HU139" s="1379" t="b">
        <f>IFERROR(IF(AB141/AB138&lt;HU$18,FALSE,TRUE),FALSE)</f>
        <v>0</v>
      </c>
      <c r="HW139" s="1382"/>
      <c r="HX139" s="1378"/>
      <c r="HY139" s="1377" t="str">
        <f>VLOOKUP(HW141,_Error_Table,4,FALSE)</f>
        <v>White</v>
      </c>
      <c r="HZ139" s="436"/>
      <c r="IA139" s="1386"/>
      <c r="IB139" s="1380"/>
      <c r="IC139" s="1379"/>
      <c r="IF139" s="1380"/>
      <c r="IG139" s="1382"/>
      <c r="IH139" s="1382"/>
      <c r="II139" s="1382"/>
      <c r="IK139" s="1351"/>
      <c r="IL139" s="1351"/>
      <c r="IM139" s="1351"/>
      <c r="IN139" s="1351"/>
      <c r="IO139" s="1351"/>
      <c r="IP139" s="1351"/>
    </row>
    <row r="140" spans="1:250" s="82" customFormat="1" ht="14.95" customHeight="1" thickTop="1" thickBot="1">
      <c r="A140" s="82">
        <f>ROW()</f>
        <v>140</v>
      </c>
      <c r="B140" s="1421"/>
      <c r="C140" s="1422"/>
      <c r="D140" s="1423"/>
      <c r="E140" s="1393" t="s">
        <v>245</v>
      </c>
      <c r="F140" s="1394"/>
      <c r="G140" s="1398"/>
      <c r="H140" s="1399"/>
      <c r="I140" s="1399"/>
      <c r="J140" s="1399"/>
      <c r="K140" s="1399"/>
      <c r="L140" s="1400"/>
      <c r="M140" s="509">
        <f>IFERROR(IF(IF(__Retrofit_TI_NC&lt;&gt;0,IF(CN138="Interior",MATCH(G140,Lookup_Interior_New,0),MATCH(G140,Lookup_Exterior_New,0)),IF(CN138="Interior",MATCH(G140,Lookup_Interior,0),MATCH(G140,Lookup_Exterior_Areas,0)))&gt;0,1,0),0)</f>
        <v>0</v>
      </c>
      <c r="N140" s="509" t="e">
        <f>IF(__Retrofit_TI_NC=1,
VLOOKUP(G140,'Space Table'!$B$3:$L$160,4,FALSE),
IF(__Retrofit_TI_NC=2,VLOOKUP(G140,'Space Table'!$B$3:$L$160,5,FALSE),VLOOKUP(G140,'Space Table'!$B$3:$L$160,5,FALSE)))</f>
        <v>#N/A</v>
      </c>
      <c r="O140" s="509">
        <f>G140</f>
        <v>0</v>
      </c>
      <c r="P140" s="1394" t="s">
        <v>355</v>
      </c>
      <c r="Q140" s="1394"/>
      <c r="R140" s="674"/>
      <c r="S140" s="1401" t="s">
        <v>284</v>
      </c>
      <c r="T140" s="672"/>
      <c r="U140" s="1499"/>
      <c r="V140" s="1500"/>
      <c r="W140" s="1500"/>
      <c r="X140" s="1500"/>
      <c r="Y140" s="1500"/>
      <c r="Z140" s="1500"/>
      <c r="AA140" s="1500"/>
      <c r="AB140" s="1501"/>
      <c r="AC140" s="1501"/>
      <c r="AD140" s="1502"/>
      <c r="AE140" s="672"/>
      <c r="AF140" s="1474"/>
      <c r="AG140" s="1474"/>
      <c r="AH140" s="1474"/>
      <c r="AI140" s="1474"/>
      <c r="AJ140" s="1475">
        <f>DF140</f>
        <v>0</v>
      </c>
      <c r="AK140" s="1470" t="str">
        <f>IFERROR(ROUND(AJ140*AC141,0),"")</f>
        <v/>
      </c>
      <c r="AL140" s="1472">
        <f>IFERROR(IF(HW138=FALSE,0,AC141-AK140),0)</f>
        <v>0</v>
      </c>
      <c r="AM140" s="1441"/>
      <c r="AN140" s="1442"/>
      <c r="AO140" s="1447"/>
      <c r="AP140" s="1447"/>
      <c r="AQ140" s="1448"/>
      <c r="AR140" s="1452"/>
      <c r="AS140" s="1455"/>
      <c r="AT140" s="1458"/>
      <c r="AU140" s="516"/>
      <c r="AV140" s="1479"/>
      <c r="AW140" s="1479"/>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M140" s="1352"/>
      <c r="CN140" s="1352"/>
      <c r="CO140" s="1415" t="str">
        <f>CN138</f>
        <v/>
      </c>
      <c r="CP140" s="1417" t="e">
        <f>CP138</f>
        <v>#N/A</v>
      </c>
      <c r="CR140" s="1386" t="s">
        <v>284</v>
      </c>
      <c r="CS140" s="1353">
        <f>IF(HW138=TRUE,T140,0)</f>
        <v>0</v>
      </c>
      <c r="CT140" s="1353" t="str">
        <f>IF(HW138=TRUE,U140,"")</f>
        <v/>
      </c>
      <c r="CU140" s="1373">
        <f>IF(HW138=TRUE,U141,0)</f>
        <v>0</v>
      </c>
      <c r="CV140" s="1370">
        <f>IF(HW138=TRUE,AB141,0)</f>
        <v>0</v>
      </c>
      <c r="CW140" s="1370">
        <f>IF(HW138=TRUE,AC141,0)</f>
        <v>0</v>
      </c>
      <c r="CX140" s="1371"/>
      <c r="CY140" s="1486"/>
      <c r="CZ140" s="1486"/>
      <c r="DA140" s="1486"/>
      <c r="DC140" s="1353">
        <f>IF(HW138=TRUE,AE140,0)</f>
        <v>0</v>
      </c>
      <c r="DD140" s="1353" t="str">
        <f>IF(HW138=TRUE,AF140,"")</f>
        <v/>
      </c>
      <c r="DE140" s="1373">
        <f>AF141</f>
        <v>0</v>
      </c>
      <c r="DF140" s="1406">
        <f>IFERROR(IF(FL140=3,IK140,IF(FL140=4,IL140,IF(FL140=5,IM140,IF(FL140=6,IN140,IF(FL140=7,IO140,IF(FL140=8,IP140,0)))))),0)</f>
        <v>0</v>
      </c>
      <c r="DG140" s="1370">
        <f>IF(HW138=TRUE,AK140,0)</f>
        <v>0</v>
      </c>
      <c r="DH140" s="1369"/>
      <c r="DK140" s="1483">
        <f>IFERROR(CW140-DG140,0)</f>
        <v>0</v>
      </c>
      <c r="DL140" s="1420"/>
      <c r="DN140" s="1403"/>
      <c r="DO140" s="1477" t="str">
        <f>DN138</f>
        <v/>
      </c>
      <c r="DP140" s="1354"/>
      <c r="DQ140" s="1477" t="str">
        <f>IF(DP138=7,"LLLC","")</f>
        <v/>
      </c>
      <c r="DR140" s="1403"/>
      <c r="DS140" s="1489"/>
      <c r="DU140" s="1403"/>
      <c r="DV140" s="1404" t="str">
        <f>DU138</f>
        <v/>
      </c>
      <c r="DW140" s="1403"/>
      <c r="DX140" s="1403"/>
      <c r="DZ140" s="1481"/>
      <c r="EA140" s="1481"/>
      <c r="EC140" s="1482"/>
      <c r="ED140" s="1369"/>
      <c r="EE140" s="1371"/>
      <c r="EF140" s="1369"/>
      <c r="EG140" s="1369"/>
      <c r="EH140" s="1374"/>
      <c r="EI140" s="1374"/>
      <c r="EJ140" s="1363"/>
      <c r="EK140" s="1376"/>
      <c r="EL140" s="1376"/>
      <c r="EM140" s="1362"/>
      <c r="EN140" s="1362"/>
      <c r="EO140" s="1363"/>
      <c r="EP140" s="1363"/>
      <c r="EQ140" s="1363"/>
      <c r="ES140" s="1403"/>
      <c r="EU140" s="1411" t="e">
        <f>VLOOKUP(CP140,'Space Table'!$B$3:$L$160,8,FALSE)</f>
        <v>#N/A</v>
      </c>
      <c r="EV140" s="1411" t="e">
        <f>IF(EY140="Yes",VLOOKUP(AF140,Lookup_Control_Type_Table2,4,FALSE),VLOOKUP(AF140,Lookup_Control_Type_Table2,3,FALSE))</f>
        <v>#N/A</v>
      </c>
      <c r="EW140" s="1411" t="e">
        <f>VLOOKUP(AF140,Lookup!AU$3:AV$15,2,FALSE)</f>
        <v>#N/A</v>
      </c>
      <c r="EX140" s="1411" t="e">
        <f>VLOOKUP(EU138,Lookup_Control_Type_Table,2,FALSE)</f>
        <v>#N/A</v>
      </c>
      <c r="EY140" s="1411" t="e">
        <f>VLOOKUP(CP140,'Space Table'!$B$3:$L$160,7,FALSE)</f>
        <v>#N/A</v>
      </c>
      <c r="EZ140" s="1413"/>
      <c r="FB140" s="1365" t="str">
        <f>CONCATENATE(CN138," - ",AF140)</f>
        <v xml:space="preserve"> - </v>
      </c>
      <c r="FD140" s="1354"/>
      <c r="FE140" s="1354"/>
      <c r="FF140" s="138"/>
      <c r="FI140" s="1356" t="str">
        <f>IF(CN138="Exterior","Not Daylighted",G141)</f>
        <v>Not Daylighted</v>
      </c>
      <c r="FJ140" s="1356">
        <f>VLOOKUP(FI140,_Daylight_Table_Codes,2,FALSE)</f>
        <v>0</v>
      </c>
      <c r="FK140" s="1365">
        <f>AF140</f>
        <v>0</v>
      </c>
      <c r="FL140" s="1365" t="e">
        <f>VLOOKUP(FK140,_Control_Table,2,FALSE)</f>
        <v>#N/A</v>
      </c>
      <c r="FM140" s="1365" t="e">
        <f>IF(AND(FP140&gt;0,FK140="Occupancy Sensor"),"Daylight + Occupancy",IF(AND(FP140&gt;0,FL140&lt;4),"Interior Daylight Dimming",FK140))</f>
        <v>#N/A</v>
      </c>
      <c r="FO140" s="1364">
        <f>IF(CN138="Interior",VLOOKUP(CP138,Control_Savings_Interior,5,FALSE),0)</f>
        <v>0</v>
      </c>
      <c r="FP140" s="1361">
        <f>IF(CN140="Exterior",0,IF(FJ140=2,0.5,IF(OR(FJ140=1,FJ140=3),1,0)))</f>
        <v>0</v>
      </c>
      <c r="FQ140" s="1366">
        <f>IF(R139&gt;FO$37,(FO140*(FO$37/R139)),FO140)*FP140</f>
        <v>0</v>
      </c>
      <c r="FR140" s="1364">
        <f>DF140</f>
        <v>0</v>
      </c>
      <c r="FS140" s="1364">
        <f>ROUND(FR140+((1-FR140)*FQ140),2)</f>
        <v>0</v>
      </c>
      <c r="FT140" s="1364">
        <f>IF(__Retrofit_TI_NC=2,FS140,FR140)</f>
        <v>0</v>
      </c>
      <c r="FU140" s="1360">
        <f>IF(CO140="Interior",VLOOKUP(CP140,Control_Savings_Interior,4,FALSE),0)</f>
        <v>0</v>
      </c>
      <c r="FW140" s="1352"/>
      <c r="FX140" s="1352"/>
      <c r="FY140" s="1352"/>
      <c r="FZ140" s="1352"/>
      <c r="GA140" s="1352"/>
      <c r="GB140" s="1352"/>
      <c r="GC140" s="1352"/>
      <c r="GD140" s="1352"/>
      <c r="GE140" s="759" t="b">
        <f>IF(ISNUMBER(SEARCH("TLED",U140)),TRUE,FALSE)</f>
        <v>0</v>
      </c>
      <c r="GF140" s="1035" t="str">
        <f>IFERROR(VLOOKUP(U140,Fixtures!DM$93:DR$142,6,FALSE),"")</f>
        <v/>
      </c>
      <c r="GG140" s="1385"/>
      <c r="GI140" s="1383"/>
      <c r="GJ140" s="1379"/>
      <c r="GL140" s="1379"/>
      <c r="GM140" s="1379"/>
      <c r="HC140" s="1379"/>
      <c r="HD140" s="1379"/>
      <c r="HE140" s="1379"/>
      <c r="HF140" s="1379"/>
      <c r="HG140" s="1379"/>
      <c r="HH140" s="1379"/>
      <c r="HI140" s="1383"/>
      <c r="HJ140" s="1383"/>
      <c r="HK140" s="1383"/>
      <c r="HL140" s="1379"/>
      <c r="HM140" s="1379"/>
      <c r="HN140" s="1379"/>
      <c r="HO140" s="1379"/>
      <c r="HP140" s="1379"/>
      <c r="HQ140" s="1379"/>
      <c r="HR140" s="1379"/>
      <c r="HS140" s="1379"/>
      <c r="HT140" s="1379"/>
      <c r="HU140" s="1379"/>
      <c r="HW140" s="1383"/>
      <c r="HX140" s="1384" t="b">
        <f>HW138</f>
        <v>0</v>
      </c>
      <c r="HY140" s="1378"/>
      <c r="HZ140" s="436"/>
      <c r="IA140" s="1386"/>
      <c r="IB140" s="1380">
        <f>IF(IA138=TRUE,AC141,0)</f>
        <v>0</v>
      </c>
      <c r="IC140" s="1379"/>
      <c r="IF140" s="1380" t="e">
        <f>ROUND(T140*AB141*N139*R139/1000,0)</f>
        <v>#VALUE!</v>
      </c>
      <c r="IG140" s="1382"/>
      <c r="IH140" s="1384" t="e">
        <f>ROUND(T140*AB141*N139*R139/1000,0)</f>
        <v>#VALUE!</v>
      </c>
      <c r="II140" s="1382"/>
      <c r="IK140" s="1351" t="e">
        <f>IF($CO140="interior",IL140/2,VLOOKUP($CP140,Control_Savings_Exterior,IK$30,FALSE))</f>
        <v>#N/A</v>
      </c>
      <c r="IL140" s="1351" t="e">
        <f>IF($CO140="interior",VLOOKUP($CP140,Control_Savings_Interior,IL$30,FALSE),VLOOKUP($CP140,Control_Savings_Exterior,IL$30,FALSE))</f>
        <v>#N/A</v>
      </c>
      <c r="IM140" s="1351" t="e">
        <f>IF($CO140="interior",IF(R139&gt;FO$37,(IM$28*(FO$37/R139)),IM$28)*FP140,VLOOKUP($CP140,Control_Savings_Exterior,IM$30,FALSE))</f>
        <v>#N/A</v>
      </c>
      <c r="IN140" s="1351" t="e">
        <f>IF($CO140="interior",ROUND(((1-IL140)*IM140)+IL140,2),VLOOKUP($CP140,Control_Savings_Exterior,IN$30,FALSE))</f>
        <v>#N/A</v>
      </c>
      <c r="IO140" s="1351" t="e">
        <f>IF($CO140="interior", ROUND(((1-IL140)*(IM140*(1-IP$28)))+IP140,2), VLOOKUP($CP140,Control_Savings_Exterior,IO$30,FALSE))</f>
        <v>#N/A</v>
      </c>
      <c r="IP140" s="1351">
        <f>IF($CO140="interior",ROUND(((1-IL140)*IP$28)+IL140,2),0)</f>
        <v>0</v>
      </c>
    </row>
    <row r="141" spans="1:250" s="82" customFormat="1" ht="14.95" customHeight="1" thickTop="1" thickBot="1">
      <c r="B141" s="1421"/>
      <c r="C141" s="1422"/>
      <c r="D141" s="1423"/>
      <c r="E141" s="1462" t="s">
        <v>357</v>
      </c>
      <c r="F141" s="1463"/>
      <c r="G141" s="1464" t="s">
        <v>362</v>
      </c>
      <c r="H141" s="1465"/>
      <c r="I141" s="1465"/>
      <c r="J141" s="1465"/>
      <c r="K141" s="1465"/>
      <c r="L141" s="1466"/>
      <c r="M141" s="669">
        <f>IFERROR(VLOOKUP(G141,_Daylight_Table[],2,FALSE),0)</f>
        <v>0</v>
      </c>
      <c r="N141" s="670"/>
      <c r="O141" s="669" t="e">
        <f>VLOOKUP(G140,'Space Table'!$B$3:$L$160,11,FALSE)</f>
        <v>#N/A</v>
      </c>
      <c r="P141" s="1408"/>
      <c r="Q141" s="1409"/>
      <c r="R141" s="1409"/>
      <c r="S141" s="1402"/>
      <c r="T141" s="671" t="s">
        <v>281</v>
      </c>
      <c r="U141" s="1467" t="str">
        <f>IFERROR(VLOOKUP(U140,Fixtures!DM$93:DP$142,4,FALSE),"")</f>
        <v/>
      </c>
      <c r="V141" s="1468"/>
      <c r="W141" s="1468"/>
      <c r="X141" s="1468"/>
      <c r="Y141" s="1468"/>
      <c r="Z141" s="1468"/>
      <c r="AA141" s="1468"/>
      <c r="AB141" s="1046" t="str">
        <f>IFERROR(VLOOKUP(U140,Fixtures_Proposed_List,2,FALSE),"")</f>
        <v/>
      </c>
      <c r="AC141" s="1036" t="str">
        <f>IFERROR(ROUND(T140*AB141*N139*R139/1000,0),"")</f>
        <v/>
      </c>
      <c r="AD141" s="1037" t="str">
        <f>IFERROR(ROUND(T140*AB141/1000,2),"")</f>
        <v/>
      </c>
      <c r="AE141" s="1045" t="s">
        <v>281</v>
      </c>
      <c r="AF141" s="1469"/>
      <c r="AG141" s="1469"/>
      <c r="AH141" s="1469"/>
      <c r="AI141" s="1469"/>
      <c r="AJ141" s="1476"/>
      <c r="AK141" s="1471"/>
      <c r="AL141" s="1473"/>
      <c r="AM141" s="1443"/>
      <c r="AN141" s="1444"/>
      <c r="AO141" s="1449"/>
      <c r="AP141" s="1449"/>
      <c r="AQ141" s="1450"/>
      <c r="AR141" s="1453"/>
      <c r="AS141" s="1456"/>
      <c r="AT141" s="1459"/>
      <c r="AU141" s="517"/>
      <c r="AV141" s="1480"/>
      <c r="AW141" s="1480"/>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M141" s="1352"/>
      <c r="CN141" s="1352"/>
      <c r="CO141" s="1416"/>
      <c r="CP141" s="1418"/>
      <c r="CR141" s="1386"/>
      <c r="CS141" s="1355"/>
      <c r="CT141" s="1355"/>
      <c r="CU141" s="1375"/>
      <c r="CV141" s="1372"/>
      <c r="CW141" s="1372"/>
      <c r="CX141" s="1372"/>
      <c r="CY141" s="1487"/>
      <c r="CZ141" s="1487"/>
      <c r="DA141" s="1487"/>
      <c r="DC141" s="1355"/>
      <c r="DD141" s="1355"/>
      <c r="DE141" s="1375"/>
      <c r="DF141" s="1407"/>
      <c r="DG141" s="1372"/>
      <c r="DH141" s="1369"/>
      <c r="DK141" s="1484"/>
      <c r="DL141" s="1420"/>
      <c r="DN141" s="1403"/>
      <c r="DO141" s="1405"/>
      <c r="DP141" s="1355"/>
      <c r="DQ141" s="1405"/>
      <c r="DR141" s="1403"/>
      <c r="DS141" s="1489"/>
      <c r="DU141" s="1403"/>
      <c r="DV141" s="1405"/>
      <c r="DW141" s="1403"/>
      <c r="DX141" s="1403"/>
      <c r="DZ141" s="1481"/>
      <c r="EA141" s="1481"/>
      <c r="EC141" s="1482"/>
      <c r="ED141" s="1369"/>
      <c r="EE141" s="1372"/>
      <c r="EF141" s="1369"/>
      <c r="EG141" s="1369"/>
      <c r="EH141" s="1375"/>
      <c r="EI141" s="1375"/>
      <c r="EJ141" s="1363"/>
      <c r="EK141" s="1376"/>
      <c r="EL141" s="1376"/>
      <c r="EM141" s="1362"/>
      <c r="EN141" s="1362"/>
      <c r="EO141" s="1363"/>
      <c r="EP141" s="1363"/>
      <c r="EQ141" s="1363"/>
      <c r="ES141" s="1403"/>
      <c r="EU141" s="1488"/>
      <c r="EV141" s="1488"/>
      <c r="EW141" s="1488"/>
      <c r="EX141" s="1488"/>
      <c r="EY141" s="1488"/>
      <c r="EZ141" s="1414"/>
      <c r="FB141" s="1365"/>
      <c r="FD141" s="1355"/>
      <c r="FE141" s="1355"/>
      <c r="FF141" s="138"/>
      <c r="FI141" s="1357"/>
      <c r="FJ141" s="1357"/>
      <c r="FK141" s="1365"/>
      <c r="FL141" s="1365"/>
      <c r="FM141" s="1365"/>
      <c r="FO141" s="1361"/>
      <c r="FP141" s="1361"/>
      <c r="FQ141" s="1366"/>
      <c r="FR141" s="1361"/>
      <c r="FS141" s="1361"/>
      <c r="FT141" s="1361"/>
      <c r="FU141" s="1360"/>
      <c r="FW141" s="1352"/>
      <c r="FX141" s="1352"/>
      <c r="FY141" s="1352"/>
      <c r="FZ141" s="1352"/>
      <c r="GA141" s="1352"/>
      <c r="GB141" s="1352"/>
      <c r="GC141" s="1352"/>
      <c r="GD141" s="1352"/>
      <c r="GE141" s="759"/>
      <c r="GF141" s="1035"/>
      <c r="GG141" s="1385"/>
      <c r="GJ141" s="1034">
        <f>IF(GJ139=TRUE,0,GJ$16)</f>
        <v>0</v>
      </c>
      <c r="GL141" s="1034">
        <f>IF(GL139=TRUE,0,GL$16)</f>
        <v>36</v>
      </c>
      <c r="GM141" s="1034">
        <f>IF(GM139=TRUE,0,GM$16)</f>
        <v>35</v>
      </c>
      <c r="GN141" s="436"/>
      <c r="GO141" s="436"/>
      <c r="GP141" s="436"/>
      <c r="GQ141" s="436"/>
      <c r="GR141" s="436"/>
      <c r="HC141" s="1034">
        <f t="shared" ref="HC141:HH141" si="90">IF(HC139=TRUE,0,HC$16)</f>
        <v>19</v>
      </c>
      <c r="HD141" s="1034">
        <f t="shared" si="90"/>
        <v>18</v>
      </c>
      <c r="HE141" s="1034">
        <f t="shared" si="90"/>
        <v>17</v>
      </c>
      <c r="HF141" s="1034">
        <f t="shared" si="90"/>
        <v>16</v>
      </c>
      <c r="HG141" s="1034">
        <f t="shared" si="90"/>
        <v>0</v>
      </c>
      <c r="HH141" s="1034">
        <f t="shared" si="90"/>
        <v>0</v>
      </c>
      <c r="HI141" s="1034">
        <f>IF(HI139=TRUE,0,HI$16)</f>
        <v>13</v>
      </c>
      <c r="HJ141" s="1034">
        <f t="shared" ref="HJ141:HL141" si="91">IF(HJ139=TRUE,0,HJ$16)</f>
        <v>12</v>
      </c>
      <c r="HK141" s="1034">
        <f t="shared" si="91"/>
        <v>11</v>
      </c>
      <c r="HL141" s="1034">
        <f t="shared" si="91"/>
        <v>10</v>
      </c>
      <c r="HM141" s="1034">
        <f>IF(HM139=TRUE,0,HM$16)</f>
        <v>9</v>
      </c>
      <c r="HN141" s="1034">
        <f t="shared" ref="HN141:HR141" si="92">IF(HN139=TRUE,0,HN$16)</f>
        <v>0</v>
      </c>
      <c r="HO141" s="1034">
        <f t="shared" si="92"/>
        <v>0</v>
      </c>
      <c r="HP141" s="1034">
        <f t="shared" si="92"/>
        <v>0</v>
      </c>
      <c r="HQ141" s="1034">
        <f t="shared" si="92"/>
        <v>0</v>
      </c>
      <c r="HR141" s="1034">
        <f t="shared" si="92"/>
        <v>0</v>
      </c>
      <c r="HS141" s="1034">
        <f>IF(HS139=TRUE,0,HS$16)</f>
        <v>0</v>
      </c>
      <c r="HT141" s="1034">
        <f t="shared" ref="HT141" si="93">IF(HT139=TRUE,0,HT$16)</f>
        <v>0</v>
      </c>
      <c r="HU141" s="1034">
        <f>IF(HU139=TRUE,0,HU$16)</f>
        <v>1</v>
      </c>
      <c r="HW141" s="1034">
        <f>IF(GL139=FALSE,GL141,IF(GM139=FALSE,GM141,MAX(GJ141:HU141)))</f>
        <v>36</v>
      </c>
      <c r="HX141" s="1383"/>
      <c r="HY141" s="241" t="str">
        <f>VLOOKUP(HW141,_Error_Table,3,FALSE)</f>
        <v xml:space="preserve"> </v>
      </c>
      <c r="HZ141" s="241"/>
      <c r="IA141" s="1386"/>
      <c r="IB141" s="1380"/>
      <c r="IC141" s="1379"/>
      <c r="IF141" s="1380"/>
      <c r="IG141" s="1383"/>
      <c r="IH141" s="1383"/>
      <c r="II141" s="1383"/>
      <c r="IK141" s="1351"/>
      <c r="IL141" s="1351"/>
      <c r="IM141" s="1351"/>
      <c r="IN141" s="1351"/>
      <c r="IO141" s="1351"/>
      <c r="IP141" s="1351"/>
    </row>
    <row r="142" spans="1:250" s="82" customFormat="1" ht="5.0999999999999996" customHeight="1" thickBot="1">
      <c r="B142" s="763"/>
      <c r="C142" s="437"/>
      <c r="D142" s="437"/>
      <c r="E142" s="1490"/>
      <c r="F142" s="1490"/>
      <c r="G142" s="1490"/>
      <c r="H142" s="1490"/>
      <c r="I142" s="1490"/>
      <c r="J142" s="1490"/>
      <c r="K142" s="1490"/>
      <c r="L142" s="1490"/>
      <c r="M142" s="1490"/>
      <c r="N142" s="1490"/>
      <c r="O142" s="1490"/>
      <c r="P142" s="1490"/>
      <c r="Q142" s="1490"/>
      <c r="R142" s="1490"/>
      <c r="S142" s="1490"/>
      <c r="T142" s="1490"/>
      <c r="U142" s="1490"/>
      <c r="V142" s="1490"/>
      <c r="W142" s="1490"/>
      <c r="X142" s="1490"/>
      <c r="Y142" s="1490"/>
      <c r="Z142" s="1490"/>
      <c r="AA142" s="1490"/>
      <c r="AB142" s="1490"/>
      <c r="AC142" s="1490"/>
      <c r="AD142" s="1490"/>
      <c r="AE142" s="1490"/>
      <c r="AF142" s="1490"/>
      <c r="AG142" s="1490"/>
      <c r="AH142" s="1490"/>
      <c r="AI142" s="1490"/>
      <c r="AJ142" s="1490"/>
      <c r="AK142" s="1490"/>
      <c r="AL142" s="1490"/>
      <c r="AM142" s="1490"/>
      <c r="AN142" s="1490"/>
      <c r="AO142" s="1490"/>
      <c r="AP142" s="1490"/>
      <c r="AQ142" s="1490"/>
      <c r="AR142" s="1490"/>
      <c r="AS142" s="1490"/>
      <c r="AT142" s="1490"/>
      <c r="AU142" s="51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M142" s="749"/>
      <c r="CN142" s="749"/>
      <c r="CO142" s="485"/>
      <c r="CP142" s="749"/>
      <c r="CS142" s="436"/>
      <c r="CT142" s="436"/>
      <c r="CU142" s="243"/>
      <c r="CV142" s="244"/>
      <c r="CW142" s="244"/>
      <c r="CX142" s="244"/>
      <c r="CY142" s="245"/>
      <c r="CZ142" s="245"/>
      <c r="DA142" s="245"/>
      <c r="DC142" s="750"/>
      <c r="DD142" s="751"/>
      <c r="DE142" s="752"/>
      <c r="DF142" s="753"/>
      <c r="DG142" s="754"/>
      <c r="DH142" s="754"/>
      <c r="DK142" s="244"/>
      <c r="DL142" s="750"/>
      <c r="DN142" s="750"/>
      <c r="DO142" s="755"/>
      <c r="DP142" s="436"/>
      <c r="DQ142" s="750"/>
      <c r="DR142" s="750"/>
      <c r="DS142" s="750"/>
      <c r="DU142" s="750"/>
      <c r="DV142" s="750"/>
      <c r="DW142" s="750"/>
      <c r="DX142" s="750"/>
      <c r="DZ142" s="756"/>
      <c r="EA142" s="756"/>
      <c r="EC142" s="754"/>
      <c r="ED142" s="754"/>
      <c r="EE142" s="244"/>
      <c r="EF142" s="754"/>
      <c r="EG142" s="754"/>
      <c r="EH142" s="243"/>
      <c r="EI142" s="243"/>
      <c r="EJ142" s="752"/>
      <c r="EK142" s="757"/>
      <c r="EL142" s="757"/>
      <c r="EM142" s="758"/>
      <c r="EN142" s="758"/>
      <c r="EO142" s="752"/>
      <c r="EP142" s="752"/>
      <c r="EQ142" s="752"/>
      <c r="ES142" s="750"/>
      <c r="EU142" s="436"/>
      <c r="EV142" s="436"/>
      <c r="EW142" s="436"/>
      <c r="EX142" s="436"/>
      <c r="EY142" s="436"/>
      <c r="EZ142" s="436"/>
      <c r="FB142" s="643"/>
      <c r="FD142" s="436"/>
      <c r="FE142" s="436"/>
      <c r="FF142" s="436"/>
      <c r="FO142" s="750"/>
      <c r="FP142" s="436"/>
      <c r="FQ142" s="436"/>
      <c r="FR142" s="750"/>
      <c r="FS142" s="750"/>
      <c r="FW142" s="749"/>
      <c r="FX142" s="749"/>
      <c r="FY142" s="749"/>
      <c r="FZ142" s="749"/>
      <c r="GA142" s="749"/>
      <c r="GB142" s="749"/>
      <c r="GC142" s="749"/>
      <c r="GD142" s="749"/>
      <c r="GE142" s="751"/>
      <c r="GF142" s="750"/>
      <c r="GG142" s="750"/>
    </row>
    <row r="143" spans="1:250" s="82" customFormat="1" ht="14.95" customHeight="1" thickTop="1" thickBot="1">
      <c r="B143" s="1421" t="str">
        <f>HY146</f>
        <v xml:space="preserve"> </v>
      </c>
      <c r="C143" s="1422">
        <f>C138+1</f>
        <v>21</v>
      </c>
      <c r="D143" s="1423"/>
      <c r="E143" s="1424" t="s">
        <v>242</v>
      </c>
      <c r="F143" s="1425"/>
      <c r="G143" s="1426"/>
      <c r="H143" s="1427"/>
      <c r="I143" s="1427"/>
      <c r="J143" s="1427"/>
      <c r="K143" s="1427"/>
      <c r="L143" s="1427"/>
      <c r="M143" s="1427"/>
      <c r="N143" s="1427"/>
      <c r="O143" s="1427"/>
      <c r="P143" s="1427"/>
      <c r="Q143" s="1427"/>
      <c r="R143" s="1427"/>
      <c r="S143" s="1428" t="s">
        <v>283</v>
      </c>
      <c r="T143" s="668" t="s">
        <v>190</v>
      </c>
      <c r="U143" s="1430" t="s">
        <v>186</v>
      </c>
      <c r="V143" s="1431"/>
      <c r="W143" s="1431"/>
      <c r="X143" s="1431"/>
      <c r="Y143" s="1431"/>
      <c r="Z143" s="1431"/>
      <c r="AA143" s="1431"/>
      <c r="AB143" s="1088" t="str">
        <f>IFERROR(IF(__Retrofit_TI_NC=0,VLOOKUP(U144,Fixtures_Existing_List,2,FALSE),ROUND(N145*R145/T145,10)),"")</f>
        <v/>
      </c>
      <c r="AC143" s="1039" t="str">
        <f>IFERROR(IF(__Retrofit_TI_NC=0,ROUND(T144*AB143*N144*R144/1000,0),IF(CN143="Interior",N145*R145*R144*N144*_C406_reduction/1000,N145*R145*R144*N144/1000)),"")</f>
        <v/>
      </c>
      <c r="AD143" s="1040" t="str">
        <f>IFERROR(IF(C$36=0,ROUND(T144*AB143/1000,2),N145*R145/1000),"")</f>
        <v/>
      </c>
      <c r="AE143" s="1044" t="s">
        <v>190</v>
      </c>
      <c r="AF143" s="1432" t="str">
        <f>IF(__Retrofit_TI_NC=2,CONCATENATE("Code min = ",DD143),IF(__Retrofit_TI_NC=1,"Emter what you think the existing control was"," Control"))</f>
        <v xml:space="preserve"> Control</v>
      </c>
      <c r="AG143" s="1432"/>
      <c r="AH143" s="1432"/>
      <c r="AI143" s="1432"/>
      <c r="AJ143" s="1433">
        <f>DF143</f>
        <v>0</v>
      </c>
      <c r="AK143" s="1435" t="str">
        <f>IFERROR(ROUND(AJ143*AC143,0),"")</f>
        <v/>
      </c>
      <c r="AL143" s="1437">
        <f>IFERROR(IF(HW143=FALSE,0,AC143-AK143),0)</f>
        <v>0</v>
      </c>
      <c r="AM143" s="1439">
        <f>AL143-AL145</f>
        <v>0</v>
      </c>
      <c r="AN143" s="1440"/>
      <c r="AO143" s="1445">
        <f>IFERROR(IF(HW143=FALSE,0,(T145*U146)+(AE145*AF146)),0)</f>
        <v>0</v>
      </c>
      <c r="AP143" s="1445"/>
      <c r="AQ143" s="1446"/>
      <c r="AR143" s="1451" t="s">
        <v>157</v>
      </c>
      <c r="AS143" s="1454">
        <f>IF(AR143="Yes",1,0)</f>
        <v>1</v>
      </c>
      <c r="AT143" s="1457" t="str">
        <f>IF(OR(DN143=4,DN143=5,DN143=6,DN143=12),CONCATENATE("$",IF(GD143=TRUE,Lookup!$B$11,Lookup!$B$2)," /lamp"),CONCATENATE(EA143,"/ kWh"))</f>
        <v>0/ kWh</v>
      </c>
      <c r="AU143" s="516"/>
      <c r="AV143" s="1478">
        <f>IFERROR(IF(GI144=TRUE,(AB146*T145)/R145,0),"NA")</f>
        <v>0</v>
      </c>
      <c r="AW143" s="1478" t="str">
        <f>IFERROR(N145*_C406_reduction,"NA")</f>
        <v>NA</v>
      </c>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M143" s="1352" t="str">
        <f>N144</f>
        <v/>
      </c>
      <c r="CN143" s="1352" t="str">
        <f>IFERROR(VLOOKUP(G144,_Lookup_Heat_Type_Table_New,3,FALSE),"")</f>
        <v/>
      </c>
      <c r="CO143" s="1415" t="str">
        <f>CN143</f>
        <v/>
      </c>
      <c r="CP143" s="1417" t="e">
        <f>VLOOKUP(G145,'Space Table'!$B$3:$L$160,9,FALSE)</f>
        <v>#N/A</v>
      </c>
      <c r="CR143" s="1386" t="s">
        <v>283</v>
      </c>
      <c r="CS143" s="1353">
        <f>IF(HW143=TRUE,T144,0)</f>
        <v>0</v>
      </c>
      <c r="CT143" s="1353" t="str">
        <f>IF(HW143=TRUE,U144,"")</f>
        <v/>
      </c>
      <c r="CU143" s="1353"/>
      <c r="CV143" s="1370">
        <f>IF(HW143=TRUE,AB143,0)</f>
        <v>0</v>
      </c>
      <c r="CW143" s="1370">
        <f>IF(HW143=TRUE,AC143,0)</f>
        <v>0</v>
      </c>
      <c r="CX143" s="1370">
        <f>IFERROR(IF(HW143=TRUE,CW143-CW145,0),0)</f>
        <v>0</v>
      </c>
      <c r="CY143" s="1485">
        <f>IF(HW143=TRUE,AD143,0)</f>
        <v>0</v>
      </c>
      <c r="CZ143" s="1485">
        <f>IF(HW143=TRUE,AD146,0)</f>
        <v>0</v>
      </c>
      <c r="DA143" s="1485">
        <f>IFERROR(CY143-CZ143,0)</f>
        <v>0</v>
      </c>
      <c r="DC143" s="1353">
        <f>IF(HW143=TRUE,AE144,0)</f>
        <v>0</v>
      </c>
      <c r="DD143" s="1460">
        <f>IF(__Retrofit_TI_NC=2,IF(CN143="Exterior",O146,FM143),FK143)</f>
        <v>0</v>
      </c>
      <c r="DE143" s="1353"/>
      <c r="DF143" s="1406">
        <f>IFERROR(IF(FL143=3,IK143,IF(FL143=4,IL143,IF(FL143=5,IM143,IF(FL143=6,IN143,IF(FL143=7,IO143,IF(FL143=8,IP143,0)))))),0)</f>
        <v>0</v>
      </c>
      <c r="DG143" s="1370">
        <f>IF(HW143=TRUE,AK143,0)</f>
        <v>0</v>
      </c>
      <c r="DH143" s="1369">
        <f>IFERROR(IF(HW143=TRUE,DG145-DG143,0),0)</f>
        <v>0</v>
      </c>
      <c r="DJ143" s="1483">
        <f>IFERROR(CW143-DG143,0)</f>
        <v>0</v>
      </c>
      <c r="DL143" s="1419">
        <f>DJ143-DK145</f>
        <v>0</v>
      </c>
      <c r="DN143" s="1403" t="str">
        <f>IFERROR(IF(AND(OR(FY143=4,FY143=5,FY143=6),OR(GB143=4,GB143=5,GB143=6)),FY143+8,VLOOKUP(CT145,Fixtures!R$31:Y$78,8,FALSE)),"")</f>
        <v/>
      </c>
      <c r="DO143" s="1404" t="str">
        <f>DN143</f>
        <v/>
      </c>
      <c r="DP143" s="1353" t="str">
        <f>IFERROR(VLOOKUP(DD145,Lookup!AU$3:AV$15,2,FALSE),"")</f>
        <v/>
      </c>
      <c r="DQ143" s="1404" t="str">
        <f>IF(DP143=7,"LLLC","")</f>
        <v/>
      </c>
      <c r="DR143" s="1403">
        <f>IFERROR(IF(OR(DN143=4,DN143=5,DN143=6,DN143=12,DN143=13,DN143=14),VLOOKUP(CT145,Fixtures!DN$27:EG$77,19,FALSE),1)*CS145,0)</f>
        <v>0</v>
      </c>
      <c r="DS143" s="1489">
        <f>IF(DP143=7,IF(DD143=DD145,0,DC145),0)</f>
        <v>0</v>
      </c>
      <c r="DU143" s="1403" t="str">
        <f>IFERROR(IF(EW143&lt;EW145,"Yes","No"),"")</f>
        <v/>
      </c>
      <c r="DV143" s="1404" t="str">
        <f>DU143</f>
        <v/>
      </c>
      <c r="DW143" s="1403">
        <f>IF(DU143="Yes",DC145,0)</f>
        <v>0</v>
      </c>
      <c r="DX143" s="1403">
        <f>DW143-DS143</f>
        <v>0</v>
      </c>
      <c r="DZ143" s="1481">
        <f>IFERROR(VLOOKUP(DN143,Lookup!AN$3:AO$16,2,FALSE),0)</f>
        <v>0</v>
      </c>
      <c r="EA143" s="1481">
        <f>IF(HW143=FALSE,0,IF(DU143="Yes",DZ143+Lookup!B$6,DZ143))</f>
        <v>0</v>
      </c>
      <c r="EC143" s="1482">
        <f>IF(HW143=TRUE,DJ143,0)</f>
        <v>0</v>
      </c>
      <c r="ED143" s="1369">
        <f>IF(HW143=TRUE,CW145,0)</f>
        <v>0</v>
      </c>
      <c r="EE143" s="1370">
        <f>IFERROR(EC143-ED143,0)</f>
        <v>0</v>
      </c>
      <c r="EF143" s="1369">
        <f>IF(HW143=TRUE,DG145,0)</f>
        <v>0</v>
      </c>
      <c r="EG143" s="1369">
        <f>IFERROR(EC143-ED143+EF143,0)</f>
        <v>0</v>
      </c>
      <c r="EH143" s="1373">
        <f>IF(HW143=TRUE,CS145*CU145,0)</f>
        <v>0</v>
      </c>
      <c r="EI143" s="1373">
        <f>IF(HW143=TRUE,DC145*DE145,0)</f>
        <v>0</v>
      </c>
      <c r="EJ143" s="1363">
        <f>AO143</f>
        <v>0</v>
      </c>
      <c r="EK143" s="1376" t="str">
        <f>IFERROR(IF(HW143=TRUE,VLOOKUP(DN143,Lookup!AN$3:AP$16,3,FALSE)*DR143,""),0)</f>
        <v/>
      </c>
      <c r="EL143" s="1376">
        <f>IF(HW143=TRUE,DW143*Lookup!AP$12,0)</f>
        <v>0</v>
      </c>
      <c r="EM143" s="1362">
        <f>IFERROR(IF(HW143=TRUE,EK143/EM$33,0),0)</f>
        <v>0</v>
      </c>
      <c r="EN143" s="1362">
        <f>IF(HW143=TRUE,EL143/EN$33,0)</f>
        <v>0</v>
      </c>
      <c r="EO143" s="1363">
        <f>IF(HW143=TRUE,EQ$33*EM143,0)</f>
        <v>0</v>
      </c>
      <c r="EP143" s="1363">
        <f>IF(HW143=TRUE,EQ$33*EN143,0)</f>
        <v>0</v>
      </c>
      <c r="EQ143" s="1363">
        <f>EO143+EP143</f>
        <v>0</v>
      </c>
      <c r="ES143" s="1403">
        <f>IF(G143="",0,1)</f>
        <v>0</v>
      </c>
      <c r="EU143" s="1410" t="e">
        <f>VLOOKUP(CP145,'Space Table'!$B$3:$L$160,8,FALSE)</f>
        <v>#N/A</v>
      </c>
      <c r="EV143" s="1410" t="e">
        <f>IF(EY143="Yes",VLOOKUP(DD143,Lookup_Control_Type_Table2,4,FALSE),VLOOKUP(DD143,Lookup_Control_Type_Table2,3,FALSE))</f>
        <v>#N/A</v>
      </c>
      <c r="EW143" s="1410" t="e">
        <f>VLOOKUP(DD143,Lookup!AU$3:AV$15,2,FALSE)</f>
        <v>#N/A</v>
      </c>
      <c r="EX143" s="1410" t="e">
        <f>VLOOKUP(EU143,Lookup_Control_Type_Table,2,FALSE)</f>
        <v>#N/A</v>
      </c>
      <c r="EY143" s="1410" t="e">
        <f>VLOOKUP(CP145,'Space Table'!$B$3:$L$160,7,FALSE)</f>
        <v>#N/A</v>
      </c>
      <c r="EZ143" s="1412" t="b">
        <f>ISNUMBER(SEARCH("TLED",U145))</f>
        <v>0</v>
      </c>
      <c r="FB143" s="1365" t="str">
        <f>CONCATENATE(CN143," - ",DD143)</f>
        <v xml:space="preserve"> - 0</v>
      </c>
      <c r="FD143" s="1353" t="str">
        <f>VLOOKUP(CT145,Fixtures!DN$27:EZ$77,38,FALSE)</f>
        <v/>
      </c>
      <c r="FE143" s="1353">
        <f>IFERROR(FD143*EE143,0)</f>
        <v>0</v>
      </c>
      <c r="FF143" s="138"/>
      <c r="FI143" s="1356" t="str">
        <f>IF(CN143="Exterior","Not Daylighted",G146)</f>
        <v>Not Daylighted</v>
      </c>
      <c r="FJ143" s="1356">
        <f>VLOOKUP(FI143,_Daylight_Table_Codes,2,FALSE)</f>
        <v>0</v>
      </c>
      <c r="FK143" s="1365">
        <f>IF(__Retrofit_TI_NC=2,VLOOKUP(G145,'Space Table'!$B$3:$L$160,11,FALSE),AF144)</f>
        <v>0</v>
      </c>
      <c r="FL143" s="1365" t="e">
        <f>VLOOKUP(FK143,_Control_Table,2,FALSE)</f>
        <v>#N/A</v>
      </c>
      <c r="FM143" s="1365" t="e">
        <f>IF(AND(FP143&gt;0,FK143="Occupancy Sensor"),"Daylight + Occupancy",IF(AND(FP143&gt;0,FL143&lt;4),"Interior Daylight Dimming",FK143))</f>
        <v>#N/A</v>
      </c>
      <c r="FO143" s="1364">
        <f>IF(CO143="Interior",VLOOKUP(CP143,Control_Savings_Interior,5,FALSE),0)</f>
        <v>0</v>
      </c>
      <c r="FP143" s="1361">
        <f>IF(CN143="Exterior",0,IF(FJ143=2,0.5,IF(OR(FJ143=1,FJ143=3),1,0)))</f>
        <v>0</v>
      </c>
      <c r="FQ143" s="1366"/>
      <c r="FR143" s="1367"/>
      <c r="FS143" s="1364"/>
      <c r="FT143" s="1367"/>
      <c r="FU143" s="1360"/>
      <c r="FW143" s="1352" t="str">
        <f>IFERROR(VLOOKUP(U144,_Exist_Fixture_Table,3,FALSE),"")</f>
        <v/>
      </c>
      <c r="FX143" s="1352" t="str">
        <f>VLOOKUP(CT143,_Exist_Fixture_Table,4,FALSE)</f>
        <v/>
      </c>
      <c r="FY143" s="1352">
        <f>IFERROR(VLOOKUP(FX143,Lookup!AM$6:AN$8,2,FALSE),0)</f>
        <v>0</v>
      </c>
      <c r="FZ143" s="1352" t="b">
        <f>IFERROR(IF(OR(GB143=4,GB143=5,GB143=6),TRUE,FALSE),"")</f>
        <v>0</v>
      </c>
      <c r="GA143" s="1352" t="str">
        <f>IFERROR(VLOOKUP(GB143,FY$6:FZ$10,2,FALSE),"")</f>
        <v/>
      </c>
      <c r="GB143" s="1352" t="str">
        <f>VLOOKUP(CT145,Fixtures!R$31:Y$78,8,FALSE)</f>
        <v/>
      </c>
      <c r="GC143" s="1352">
        <f>IF(AND(FW143=TRUE,FZ143=TRUE,OR(DN143=12,DN143=13,DN143=14)),FY143+8,0)</f>
        <v>0</v>
      </c>
      <c r="GD143" s="1352" t="b">
        <f>IF(OR(GC143=12,GC143=13,GC143=14),TRUE,FALSE)</f>
        <v>0</v>
      </c>
      <c r="GE143" s="759" t="b">
        <f>IF(ISNUMBER(SEARCH("TLED",U144)),TRUE,FALSE)</f>
        <v>0</v>
      </c>
      <c r="GF143" s="1035" t="str">
        <f>IFERROR(VLOOKUP(U144,Fixtures!BM$93:BR$142,6,FALSE),"")</f>
        <v/>
      </c>
      <c r="GG143" s="1385" t="b">
        <f>IF(OR(GE143=FALSE,GE145=FALSE),TRUE,IF(GF143-GF145&lt;5,FALSE,TRUE))</f>
        <v>1</v>
      </c>
      <c r="GK143" s="1034">
        <f>GL143</f>
        <v>0</v>
      </c>
      <c r="GL143" s="1034">
        <f>IF(G143="",0,1)</f>
        <v>0</v>
      </c>
      <c r="GM143" s="1034">
        <f>SUM(GN143:HB143)</f>
        <v>2</v>
      </c>
      <c r="GN143" s="1034">
        <f>IF(G144="",0,1)</f>
        <v>0</v>
      </c>
      <c r="GO143" s="1034">
        <f>IF(G145="",0,1)</f>
        <v>0</v>
      </c>
      <c r="GP143" s="1034">
        <f>IF(R144="",0,1)</f>
        <v>0</v>
      </c>
      <c r="GQ143" s="1034">
        <f>IF(__Retrofit_TI_NC=0,1,IF(R145="",0,1))</f>
        <v>1</v>
      </c>
      <c r="GR143" s="1034">
        <f>IF(CN143="Exterior",1,IF(G146="",0,1))</f>
        <v>1</v>
      </c>
      <c r="GS143" s="1034">
        <f>IF(__Retrofit_TI_NC&lt;&gt;0,1,IF(T144="",0,1))</f>
        <v>0</v>
      </c>
      <c r="GT143" s="1034">
        <f>IF(__Retrofit_TI_NC&lt;&gt;0,1,IF(U144="",0,1))</f>
        <v>0</v>
      </c>
      <c r="GU143" s="1034">
        <f>IF(T145="",0,1)</f>
        <v>0</v>
      </c>
      <c r="GV143" s="1034">
        <f>IF(U145="",0,1)</f>
        <v>0</v>
      </c>
      <c r="GW143" s="1034">
        <f>IF(__Retrofit_TI_NC=2,1,IF(U146="",0,1))</f>
        <v>0</v>
      </c>
      <c r="GX143" s="1034">
        <f>IF(__Retrofit_TI_NC&lt;&gt;0,1,IF(AE144="",0,1))</f>
        <v>0</v>
      </c>
      <c r="GY143" s="1034">
        <f>IF(__Retrofit_TI_NC&lt;&gt;0,1,IF(AF144="",0,1))</f>
        <v>0</v>
      </c>
      <c r="GZ143" s="1034">
        <f>IF(AE145="",0,1)</f>
        <v>0</v>
      </c>
      <c r="HA143" s="1034">
        <f>IF(AF145="",0,1)</f>
        <v>0</v>
      </c>
      <c r="HB143" s="1034">
        <f>IF(__Retrofit_TI_NC=2,1,IF(AF146="",0,1))</f>
        <v>0</v>
      </c>
      <c r="HV143" s="436"/>
      <c r="HW143" s="1384" t="b">
        <f>IF(OR(HW146=0,HW146=HT$16,HW146=HS$16,HW146=HU$16),TRUE,FALSE)</f>
        <v>0</v>
      </c>
      <c r="HX143" s="1377" t="b">
        <f>HW143</f>
        <v>0</v>
      </c>
      <c r="HY143" s="436"/>
      <c r="HZ143" s="436"/>
      <c r="IA143" s="1386" t="b">
        <f>IF(MAX(GJ146:HP146)&gt;5,FALSE,TRUE)</f>
        <v>0</v>
      </c>
      <c r="IB143" s="1380">
        <f>IF(IA143=TRUE,AC143,0)</f>
        <v>0</v>
      </c>
      <c r="IC143" s="1380">
        <f>IB143-IB145</f>
        <v>0</v>
      </c>
      <c r="IF143" s="1380" t="e">
        <f>ROUND(T144*VLOOKUP(U144,Fixtures_Existing_List,2,FALSE)*N144*R144/1000,0)</f>
        <v>#N/A</v>
      </c>
      <c r="IG143" s="1381" t="e">
        <f>IF143-IF145</f>
        <v>#N/A</v>
      </c>
      <c r="IH143" s="1384" t="e">
        <f>ROUND(IF(CN143="Interior",N145*R145*R144*N144*_C406_reduction/1000,N145*R145*R144*N144/1000),0)</f>
        <v>#N/A</v>
      </c>
      <c r="II143" s="1384" t="e">
        <f>IH143-IH145</f>
        <v>#N/A</v>
      </c>
      <c r="IK143" s="1351" t="e">
        <f>IF($CO143="interior",IL143/2,VLOOKUP($CP143,Control_Savings_Exterior,IK$30,FALSE))</f>
        <v>#N/A</v>
      </c>
      <c r="IL143" s="1351" t="e">
        <f>IF($CO143="interior",VLOOKUP($CP143,Control_Savings_Interior,IL$30,FALSE),VLOOKUP($CP143,Control_Savings_Exterior,IL$30,FALSE))</f>
        <v>#N/A</v>
      </c>
      <c r="IM143" s="1351" t="e">
        <f>IF($CO143="interior",IF(R144&gt;FO$37,(IM$28*(FO$37/R144)),IM$28)*FP143,VLOOKUP($CP143,Control_Savings_Exterior,IM$30,FALSE))</f>
        <v>#N/A</v>
      </c>
      <c r="IN143" s="1351" t="e">
        <f>IF($CO143="interior",ROUND(((1-IL143)*IM143)+IL143,2),VLOOKUP($CP143,Control_Savings_Exterior,IN$30,FALSE))</f>
        <v>#N/A</v>
      </c>
      <c r="IO143" s="1351" t="e">
        <f>IF($CO143="interior", ROUND(((1-IL143)*(IM143*(1-IP$28)))+IP143,2), VLOOKUP($CP143,Control_Savings_Exterior,IO$30,FALSE))</f>
        <v>#N/A</v>
      </c>
      <c r="IP143" s="1351">
        <f>IF($CO143="interior",ROUND(((1-IL143)*IP$28)+IL143,2),0)</f>
        <v>0</v>
      </c>
    </row>
    <row r="144" spans="1:250" s="82" customFormat="1" ht="14.95" customHeight="1" thickTop="1" thickBot="1">
      <c r="B144" s="1421"/>
      <c r="C144" s="1422"/>
      <c r="D144" s="1423"/>
      <c r="E144" s="1393" t="s">
        <v>244</v>
      </c>
      <c r="F144" s="1394"/>
      <c r="G144" s="1395"/>
      <c r="H144" s="1395"/>
      <c r="I144" s="1395"/>
      <c r="J144" s="1395"/>
      <c r="K144" s="1395"/>
      <c r="L144" s="1395"/>
      <c r="M144" s="509" t="e">
        <f>IF(__Retrofit_TI_NC&lt;&gt;0,IF(VLOOKUP(G145,'Space Table'!$B$3:$L$160,3,FALSE)&gt;0,1,0),IF(__Retrofit_TI_NC=VLOOKUP(G145,'Space Table'!$B$3:$L$160,3,FALSE),1,0))</f>
        <v>#N/A</v>
      </c>
      <c r="N144" s="509" t="str">
        <f>IFERROR(VLOOKUP(G144,_Lookup_Heat_Type_Table_New,2,FALSE),"")</f>
        <v/>
      </c>
      <c r="O144" s="509">
        <f>IF(__Retrofit_TI_NC=1,CONCATENATE("TI ",G144),IF(__Retrofit_TI_NC=2,CONCATENATE("NC ",G144),G144))</f>
        <v>0</v>
      </c>
      <c r="P144" s="1396" t="s">
        <v>352</v>
      </c>
      <c r="Q144" s="1396"/>
      <c r="R144" s="673"/>
      <c r="S144" s="1429"/>
      <c r="T144" s="675"/>
      <c r="U144" s="1496"/>
      <c r="V144" s="1497"/>
      <c r="W144" s="1497"/>
      <c r="X144" s="1497"/>
      <c r="Y144" s="1497"/>
      <c r="Z144" s="1497"/>
      <c r="AA144" s="1497"/>
      <c r="AB144" s="1497"/>
      <c r="AC144" s="1497"/>
      <c r="AD144" s="1498"/>
      <c r="AE144" s="675"/>
      <c r="AF144" s="1397"/>
      <c r="AG144" s="1397"/>
      <c r="AH144" s="1397"/>
      <c r="AI144" s="1397"/>
      <c r="AJ144" s="1434"/>
      <c r="AK144" s="1436"/>
      <c r="AL144" s="1438"/>
      <c r="AM144" s="1441"/>
      <c r="AN144" s="1442"/>
      <c r="AO144" s="1447"/>
      <c r="AP144" s="1447"/>
      <c r="AQ144" s="1448"/>
      <c r="AR144" s="1452"/>
      <c r="AS144" s="1455"/>
      <c r="AT144" s="1458"/>
      <c r="AU144" s="516"/>
      <c r="AV144" s="1479"/>
      <c r="AW144" s="1479"/>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M144" s="1352"/>
      <c r="CN144" s="1352"/>
      <c r="CO144" s="1416"/>
      <c r="CP144" s="1418"/>
      <c r="CR144" s="1386"/>
      <c r="CS144" s="1355"/>
      <c r="CT144" s="1355"/>
      <c r="CU144" s="1355"/>
      <c r="CV144" s="1372"/>
      <c r="CW144" s="1372"/>
      <c r="CX144" s="1371"/>
      <c r="CY144" s="1486"/>
      <c r="CZ144" s="1486"/>
      <c r="DA144" s="1486"/>
      <c r="DC144" s="1355"/>
      <c r="DD144" s="1461"/>
      <c r="DE144" s="1355"/>
      <c r="DF144" s="1407"/>
      <c r="DG144" s="1372"/>
      <c r="DH144" s="1369"/>
      <c r="DJ144" s="1484"/>
      <c r="DL144" s="1419"/>
      <c r="DN144" s="1403"/>
      <c r="DO144" s="1405"/>
      <c r="DP144" s="1354"/>
      <c r="DQ144" s="1405"/>
      <c r="DR144" s="1403"/>
      <c r="DS144" s="1489"/>
      <c r="DU144" s="1403"/>
      <c r="DV144" s="1405"/>
      <c r="DW144" s="1403"/>
      <c r="DX144" s="1403"/>
      <c r="DZ144" s="1481"/>
      <c r="EA144" s="1481"/>
      <c r="EC144" s="1482"/>
      <c r="ED144" s="1369"/>
      <c r="EE144" s="1371"/>
      <c r="EF144" s="1369"/>
      <c r="EG144" s="1369"/>
      <c r="EH144" s="1374"/>
      <c r="EI144" s="1374"/>
      <c r="EJ144" s="1363"/>
      <c r="EK144" s="1376"/>
      <c r="EL144" s="1376"/>
      <c r="EM144" s="1362"/>
      <c r="EN144" s="1362"/>
      <c r="EO144" s="1363"/>
      <c r="EP144" s="1363"/>
      <c r="EQ144" s="1363"/>
      <c r="ES144" s="1403"/>
      <c r="EU144" s="1411"/>
      <c r="EV144" s="1411"/>
      <c r="EW144" s="1411"/>
      <c r="EX144" s="1411"/>
      <c r="EY144" s="1411"/>
      <c r="EZ144" s="1413"/>
      <c r="FB144" s="1365"/>
      <c r="FD144" s="1354"/>
      <c r="FE144" s="1354"/>
      <c r="FF144" s="138"/>
      <c r="FI144" s="1357"/>
      <c r="FJ144" s="1357"/>
      <c r="FK144" s="1365"/>
      <c r="FL144" s="1365"/>
      <c r="FM144" s="1365"/>
      <c r="FO144" s="1361"/>
      <c r="FP144" s="1361"/>
      <c r="FQ144" s="1366"/>
      <c r="FR144" s="1368"/>
      <c r="FS144" s="1361"/>
      <c r="FT144" s="1368"/>
      <c r="FU144" s="1360"/>
      <c r="FW144" s="1352"/>
      <c r="FX144" s="1352"/>
      <c r="FY144" s="1352"/>
      <c r="FZ144" s="1352"/>
      <c r="GA144" s="1352"/>
      <c r="GB144" s="1352"/>
      <c r="GC144" s="1352"/>
      <c r="GD144" s="1352"/>
      <c r="GE144" s="759"/>
      <c r="GF144" s="1035"/>
      <c r="GG144" s="1385"/>
      <c r="GI144" s="1384" t="b">
        <f>IF(AND(GL144=TRUE,GM144=TRUE),TRUE,FALSE)</f>
        <v>0</v>
      </c>
      <c r="GJ144" s="1379" t="b">
        <f>IFERROR(IF(__Retrofit_TI_NC=2,TRUE,IF(AR143="Yes",TRUE,FALSE)),FALSE)</f>
        <v>1</v>
      </c>
      <c r="GL144" s="1379" t="b">
        <f>IFERROR(IF(GL143=1,TRUE,FALSE),FALSE)</f>
        <v>0</v>
      </c>
      <c r="GM144" s="1379" t="b">
        <f>IFERROR(IF(GM143=GM$14,TRUE,FALSE),FALSE)</f>
        <v>0</v>
      </c>
      <c r="HC144" s="1379" t="b">
        <f>IFERROR(IF(M144=1,TRUE,FALSE),FALSE)</f>
        <v>0</v>
      </c>
      <c r="HD144" s="1379" t="b">
        <f>IFERROR(IF(M145=1,TRUE,FALSE),FALSE)</f>
        <v>0</v>
      </c>
      <c r="HE144" s="1379" t="b">
        <f>IFERROR(IF(__Retrofit_TI_NC&lt;&gt;0,TRUE,IFERROR(IF(VLOOKUP(U144,Fixtures_Existing_List,2,FALSE)&lt;&gt;"",TRUE,FALSE),FALSE)),FALSE)</f>
        <v>0</v>
      </c>
      <c r="HF144" s="1379" t="b">
        <f>IFERROR(IF(VLOOKUP(U145,Fixtures_Proposed_List,2,FALSE)&lt;&gt;"",TRUE,FALSE),FALSE)</f>
        <v>0</v>
      </c>
      <c r="HG144" s="1379" t="b">
        <f>IF(AND(__Retrofit_TI_NC=2,EZ143=TRUE),FALSE,TRUE)</f>
        <v>1</v>
      </c>
      <c r="HH144" s="1379" t="b">
        <f>GG143</f>
        <v>1</v>
      </c>
      <c r="HI144" s="1384" t="b">
        <f>IF(ISERROR(MATCH(FB143,_Control_Match[],0))=TRUE,FALSE,TRUE)</f>
        <v>0</v>
      </c>
      <c r="HJ144" s="1384" t="b">
        <f>IFERROR(IF(EU143&lt;&gt;EV143,FALSE,TRUE),FALSE)</f>
        <v>0</v>
      </c>
      <c r="HK144" s="1384" t="b">
        <f>IFERROR(IF(EU145&lt;&gt;EV145,FALSE,TRUE),FALSE)</f>
        <v>0</v>
      </c>
      <c r="HL144" s="1379" t="b">
        <f>IFERROR(IF(CN143="Exterior",TRUE,IF(OR(AND(FJ143=0,EW145&gt;4),AND(FJ143=4,EW145&gt;4,EW145&lt;7)),FALSE,TRUE)),FALSE)</f>
        <v>0</v>
      </c>
      <c r="HM144" s="1379" t="b">
        <f>IFERROR(IF(AND(FL145=7,EZ143=TRUE),FALSE,TRUE),FALSE)</f>
        <v>0</v>
      </c>
      <c r="HN144" s="1379" t="b">
        <f>IFERROR(IF(AND(T145&lt;&gt;AE145,AF145="Interior LLLC")=TRUE,FALSE,TRUE),FALSE)</f>
        <v>1</v>
      </c>
      <c r="HO144" s="1379" t="b">
        <f>IFERROR(IF(OR(AF145=Lookup!AU$13,AF145=Lookup!AU$14)=TRUE,IF(AE145&gt;T145,FALSE,TRUE),TRUE),FALSE)</f>
        <v>1</v>
      </c>
      <c r="HP144" s="1379" t="b">
        <f>IFERROR(IF(__Retrofit_TI_NC=2,IF(EW145&lt;EW143,FALSE,TRUE),TRUE),FALSE)</f>
        <v>1</v>
      </c>
      <c r="HQ144" s="1379" t="b">
        <f>IF(CN143="Interior",IG$6,TRUE)</f>
        <v>1</v>
      </c>
      <c r="HR144" s="1379" t="b">
        <f>IF(CN143="Exterior",IG$8,TRUE)</f>
        <v>1</v>
      </c>
      <c r="HS144" s="1379" t="b">
        <f>IFERROR(IF(__Retrofit_TI_NC&lt;&gt;0,IF(AW143&lt;AV143,FALSE,TRUE),TRUE),FALSE)</f>
        <v>1</v>
      </c>
      <c r="HT144" s="1379" t="b">
        <f>IFERROR(IF(AND(G144="Exterior",R144&gt;4200),FALSE,TRUE),FALSE)</f>
        <v>1</v>
      </c>
      <c r="HU144" s="1379" t="b">
        <f>IFERROR(IF(AB146/AB143&lt;HU$18,FALSE,TRUE),FALSE)</f>
        <v>0</v>
      </c>
      <c r="HW144" s="1382"/>
      <c r="HX144" s="1378"/>
      <c r="HY144" s="1377" t="str">
        <f>VLOOKUP(HW146,_Error_Table,4,FALSE)</f>
        <v>White</v>
      </c>
      <c r="HZ144" s="436"/>
      <c r="IA144" s="1386"/>
      <c r="IB144" s="1380"/>
      <c r="IC144" s="1379"/>
      <c r="IF144" s="1380"/>
      <c r="IG144" s="1382"/>
      <c r="IH144" s="1382"/>
      <c r="II144" s="1382"/>
      <c r="IK144" s="1351"/>
      <c r="IL144" s="1351"/>
      <c r="IM144" s="1351"/>
      <c r="IN144" s="1351"/>
      <c r="IO144" s="1351"/>
      <c r="IP144" s="1351"/>
    </row>
    <row r="145" spans="1:250" s="82" customFormat="1" ht="14.95" customHeight="1" thickTop="1" thickBot="1">
      <c r="A145" s="82">
        <f>ROW()</f>
        <v>145</v>
      </c>
      <c r="B145" s="1421"/>
      <c r="C145" s="1422"/>
      <c r="D145" s="1423"/>
      <c r="E145" s="1393" t="s">
        <v>245</v>
      </c>
      <c r="F145" s="1394"/>
      <c r="G145" s="1398"/>
      <c r="H145" s="1399"/>
      <c r="I145" s="1399"/>
      <c r="J145" s="1399"/>
      <c r="K145" s="1399"/>
      <c r="L145" s="1400"/>
      <c r="M145" s="509">
        <f>IFERROR(IF(IF(__Retrofit_TI_NC&lt;&gt;0,IF(CN143="Interior",MATCH(G145,Lookup_Interior_New,0),MATCH(G145,Lookup_Exterior_New,0)),IF(CN143="Interior",MATCH(G145,Lookup_Interior,0),MATCH(G145,Lookup_Exterior_Areas,0)))&gt;0,1,0),0)</f>
        <v>0</v>
      </c>
      <c r="N145" s="509" t="e">
        <f>IF(__Retrofit_TI_NC=1,
VLOOKUP(G145,'Space Table'!$B$3:$L$160,4,FALSE),
IF(__Retrofit_TI_NC=2,VLOOKUP(G145,'Space Table'!$B$3:$L$160,5,FALSE),VLOOKUP(G145,'Space Table'!$B$3:$L$160,5,FALSE)))</f>
        <v>#N/A</v>
      </c>
      <c r="O145" s="509">
        <f>G145</f>
        <v>0</v>
      </c>
      <c r="P145" s="1394" t="s">
        <v>355</v>
      </c>
      <c r="Q145" s="1394"/>
      <c r="R145" s="674"/>
      <c r="S145" s="1401" t="s">
        <v>284</v>
      </c>
      <c r="T145" s="672"/>
      <c r="U145" s="1499"/>
      <c r="V145" s="1500"/>
      <c r="W145" s="1500"/>
      <c r="X145" s="1500"/>
      <c r="Y145" s="1500"/>
      <c r="Z145" s="1500"/>
      <c r="AA145" s="1500"/>
      <c r="AB145" s="1501"/>
      <c r="AC145" s="1501"/>
      <c r="AD145" s="1502"/>
      <c r="AE145" s="672"/>
      <c r="AF145" s="1474"/>
      <c r="AG145" s="1474"/>
      <c r="AH145" s="1474"/>
      <c r="AI145" s="1474"/>
      <c r="AJ145" s="1475">
        <f>DF145</f>
        <v>0</v>
      </c>
      <c r="AK145" s="1470" t="str">
        <f>IFERROR(ROUND(AJ145*AC146,0),"")</f>
        <v/>
      </c>
      <c r="AL145" s="1472">
        <f>IFERROR(IF(HW143=FALSE,0,AC146-AK145),0)</f>
        <v>0</v>
      </c>
      <c r="AM145" s="1441"/>
      <c r="AN145" s="1442"/>
      <c r="AO145" s="1447"/>
      <c r="AP145" s="1447"/>
      <c r="AQ145" s="1448"/>
      <c r="AR145" s="1452"/>
      <c r="AS145" s="1455"/>
      <c r="AT145" s="1458"/>
      <c r="AU145" s="516"/>
      <c r="AV145" s="1479"/>
      <c r="AW145" s="1479"/>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M145" s="1352"/>
      <c r="CN145" s="1352"/>
      <c r="CO145" s="1415" t="str">
        <f>CN143</f>
        <v/>
      </c>
      <c r="CP145" s="1417" t="e">
        <f>CP143</f>
        <v>#N/A</v>
      </c>
      <c r="CR145" s="1386" t="s">
        <v>284</v>
      </c>
      <c r="CS145" s="1353">
        <f>IF(HW143=TRUE,T145,0)</f>
        <v>0</v>
      </c>
      <c r="CT145" s="1353" t="str">
        <f>IF(HW143=TRUE,U145,"")</f>
        <v/>
      </c>
      <c r="CU145" s="1373">
        <f>IF(HW143=TRUE,U146,0)</f>
        <v>0</v>
      </c>
      <c r="CV145" s="1370">
        <f>IF(HW143=TRUE,AB146,0)</f>
        <v>0</v>
      </c>
      <c r="CW145" s="1370">
        <f>IF(HW143=TRUE,AC146,0)</f>
        <v>0</v>
      </c>
      <c r="CX145" s="1371"/>
      <c r="CY145" s="1486"/>
      <c r="CZ145" s="1486"/>
      <c r="DA145" s="1486"/>
      <c r="DC145" s="1353">
        <f>IF(HW143=TRUE,AE145,0)</f>
        <v>0</v>
      </c>
      <c r="DD145" s="1353" t="str">
        <f>IF(HW143=TRUE,AF145,"")</f>
        <v/>
      </c>
      <c r="DE145" s="1373">
        <f>AF146</f>
        <v>0</v>
      </c>
      <c r="DF145" s="1406">
        <f>IFERROR(IF(FL145=3,IK145,IF(FL145=4,IL145,IF(FL145=5,IM145,IF(FL145=6,IN145,IF(FL145=7,IO145,IF(FL145=8,IP145,0)))))),0)</f>
        <v>0</v>
      </c>
      <c r="DG145" s="1370">
        <f>IF(HW143=TRUE,AK145,0)</f>
        <v>0</v>
      </c>
      <c r="DH145" s="1369"/>
      <c r="DK145" s="1483">
        <f>IFERROR(CW145-DG145,0)</f>
        <v>0</v>
      </c>
      <c r="DL145" s="1420"/>
      <c r="DN145" s="1403"/>
      <c r="DO145" s="1477" t="str">
        <f>DN143</f>
        <v/>
      </c>
      <c r="DP145" s="1354"/>
      <c r="DQ145" s="1477" t="str">
        <f>IF(DP143=7,"LLLC","")</f>
        <v/>
      </c>
      <c r="DR145" s="1403"/>
      <c r="DS145" s="1489"/>
      <c r="DU145" s="1403"/>
      <c r="DV145" s="1404" t="str">
        <f>DU143</f>
        <v/>
      </c>
      <c r="DW145" s="1403"/>
      <c r="DX145" s="1403"/>
      <c r="DZ145" s="1481"/>
      <c r="EA145" s="1481"/>
      <c r="EC145" s="1482"/>
      <c r="ED145" s="1369"/>
      <c r="EE145" s="1371"/>
      <c r="EF145" s="1369"/>
      <c r="EG145" s="1369"/>
      <c r="EH145" s="1374"/>
      <c r="EI145" s="1374"/>
      <c r="EJ145" s="1363"/>
      <c r="EK145" s="1376"/>
      <c r="EL145" s="1376"/>
      <c r="EM145" s="1362"/>
      <c r="EN145" s="1362"/>
      <c r="EO145" s="1363"/>
      <c r="EP145" s="1363"/>
      <c r="EQ145" s="1363"/>
      <c r="ES145" s="1403"/>
      <c r="EU145" s="1411" t="e">
        <f>VLOOKUP(CP145,'Space Table'!$B$3:$L$160,8,FALSE)</f>
        <v>#N/A</v>
      </c>
      <c r="EV145" s="1411" t="e">
        <f>IF(EY145="Yes",VLOOKUP(AF145,Lookup_Control_Type_Table2,4,FALSE),VLOOKUP(AF145,Lookup_Control_Type_Table2,3,FALSE))</f>
        <v>#N/A</v>
      </c>
      <c r="EW145" s="1411" t="e">
        <f>VLOOKUP(AF145,Lookup!AU$3:AV$15,2,FALSE)</f>
        <v>#N/A</v>
      </c>
      <c r="EX145" s="1411" t="e">
        <f>VLOOKUP(EU143,Lookup_Control_Type_Table,2,FALSE)</f>
        <v>#N/A</v>
      </c>
      <c r="EY145" s="1411" t="e">
        <f>VLOOKUP(CP145,'Space Table'!$B$3:$L$160,7,FALSE)</f>
        <v>#N/A</v>
      </c>
      <c r="EZ145" s="1413"/>
      <c r="FB145" s="1365" t="str">
        <f>CONCATENATE(CN143," - ",AF145)</f>
        <v xml:space="preserve"> - </v>
      </c>
      <c r="FD145" s="1354"/>
      <c r="FE145" s="1354"/>
      <c r="FF145" s="138"/>
      <c r="FI145" s="1356" t="str">
        <f>IF(CN143="Exterior","Not Daylighted",G146)</f>
        <v>Not Daylighted</v>
      </c>
      <c r="FJ145" s="1356">
        <f>VLOOKUP(FI145,_Daylight_Table_Codes,2,FALSE)</f>
        <v>0</v>
      </c>
      <c r="FK145" s="1365">
        <f>AF145</f>
        <v>0</v>
      </c>
      <c r="FL145" s="1365" t="e">
        <f>VLOOKUP(FK145,_Control_Table,2,FALSE)</f>
        <v>#N/A</v>
      </c>
      <c r="FM145" s="1365" t="e">
        <f>IF(AND(FP145&gt;0,FK145="Occupancy Sensor"),"Daylight + Occupancy",IF(AND(FP145&gt;0,FL145&lt;4),"Interior Daylight Dimming",FK145))</f>
        <v>#N/A</v>
      </c>
      <c r="FO145" s="1364">
        <f>IF(CN143="Interior",VLOOKUP(CP143,Control_Savings_Interior,5,FALSE),0)</f>
        <v>0</v>
      </c>
      <c r="FP145" s="1361">
        <f>IF(CN145="Exterior",0,IF(FJ145=2,0.5,IF(OR(FJ145=1,FJ145=3),1,0)))</f>
        <v>0</v>
      </c>
      <c r="FQ145" s="1366">
        <f>IF(R144&gt;FO$37,(FO145*(FO$37/R144)),FO145)*FP145</f>
        <v>0</v>
      </c>
      <c r="FR145" s="1364">
        <f>DF145</f>
        <v>0</v>
      </c>
      <c r="FS145" s="1364">
        <f>ROUND(FR145+((1-FR145)*FQ145),2)</f>
        <v>0</v>
      </c>
      <c r="FT145" s="1364">
        <f>IF(__Retrofit_TI_NC=2,FS145,FR145)</f>
        <v>0</v>
      </c>
      <c r="FU145" s="1360">
        <f>IF(CO145="Interior",VLOOKUP(CP145,Control_Savings_Interior,4,FALSE),0)</f>
        <v>0</v>
      </c>
      <c r="FW145" s="1352"/>
      <c r="FX145" s="1352"/>
      <c r="FY145" s="1352"/>
      <c r="FZ145" s="1352"/>
      <c r="GA145" s="1352"/>
      <c r="GB145" s="1352"/>
      <c r="GC145" s="1352"/>
      <c r="GD145" s="1352"/>
      <c r="GE145" s="759" t="b">
        <f>IF(ISNUMBER(SEARCH("TLED",U145)),TRUE,FALSE)</f>
        <v>0</v>
      </c>
      <c r="GF145" s="1035" t="str">
        <f>IFERROR(VLOOKUP(U145,Fixtures!DM$93:DR$142,6,FALSE),"")</f>
        <v/>
      </c>
      <c r="GG145" s="1385"/>
      <c r="GI145" s="1383"/>
      <c r="GJ145" s="1379"/>
      <c r="GL145" s="1379"/>
      <c r="GM145" s="1379"/>
      <c r="HC145" s="1379"/>
      <c r="HD145" s="1379"/>
      <c r="HE145" s="1379"/>
      <c r="HF145" s="1379"/>
      <c r="HG145" s="1379"/>
      <c r="HH145" s="1379"/>
      <c r="HI145" s="1383"/>
      <c r="HJ145" s="1383"/>
      <c r="HK145" s="1383"/>
      <c r="HL145" s="1379"/>
      <c r="HM145" s="1379"/>
      <c r="HN145" s="1379"/>
      <c r="HO145" s="1379"/>
      <c r="HP145" s="1379"/>
      <c r="HQ145" s="1379"/>
      <c r="HR145" s="1379"/>
      <c r="HS145" s="1379"/>
      <c r="HT145" s="1379"/>
      <c r="HU145" s="1379"/>
      <c r="HW145" s="1383"/>
      <c r="HX145" s="1384" t="b">
        <f>HW143</f>
        <v>0</v>
      </c>
      <c r="HY145" s="1378"/>
      <c r="HZ145" s="436"/>
      <c r="IA145" s="1386"/>
      <c r="IB145" s="1380">
        <f>IF(IA143=TRUE,AC146,0)</f>
        <v>0</v>
      </c>
      <c r="IC145" s="1379"/>
      <c r="IF145" s="1380" t="e">
        <f>ROUND(T145*AB146*N144*R144/1000,0)</f>
        <v>#VALUE!</v>
      </c>
      <c r="IG145" s="1382"/>
      <c r="IH145" s="1384" t="e">
        <f>ROUND(T145*AB146*N144*R144/1000,0)</f>
        <v>#VALUE!</v>
      </c>
      <c r="II145" s="1382"/>
      <c r="IK145" s="1351" t="e">
        <f>IF($CO145="interior",IL145/2,VLOOKUP($CP145,Control_Savings_Exterior,IK$30,FALSE))</f>
        <v>#N/A</v>
      </c>
      <c r="IL145" s="1351" t="e">
        <f>IF($CO145="interior",VLOOKUP($CP145,Control_Savings_Interior,IL$30,FALSE),VLOOKUP($CP145,Control_Savings_Exterior,IL$30,FALSE))</f>
        <v>#N/A</v>
      </c>
      <c r="IM145" s="1351" t="e">
        <f>IF($CO145="interior",IF(R144&gt;FO$37,(IM$28*(FO$37/R144)),IM$28)*FP145,VLOOKUP($CP145,Control_Savings_Exterior,IM$30,FALSE))</f>
        <v>#N/A</v>
      </c>
      <c r="IN145" s="1351" t="e">
        <f>IF($CO145="interior",ROUND(((1-IL145)*IM145)+IL145,2),VLOOKUP($CP145,Control_Savings_Exterior,IN$30,FALSE))</f>
        <v>#N/A</v>
      </c>
      <c r="IO145" s="1351" t="e">
        <f>IF($CO145="interior", ROUND(((1-IL145)*(IM145*(1-IP$28)))+IP145,2), VLOOKUP($CP145,Control_Savings_Exterior,IO$30,FALSE))</f>
        <v>#N/A</v>
      </c>
      <c r="IP145" s="1351">
        <f>IF($CO145="interior",ROUND(((1-IL145)*IP$28)+IL145,2),0)</f>
        <v>0</v>
      </c>
    </row>
    <row r="146" spans="1:250" s="82" customFormat="1" ht="14.95" customHeight="1" thickTop="1" thickBot="1">
      <c r="B146" s="1421"/>
      <c r="C146" s="1422"/>
      <c r="D146" s="1423"/>
      <c r="E146" s="1462" t="s">
        <v>357</v>
      </c>
      <c r="F146" s="1463"/>
      <c r="G146" s="1464" t="s">
        <v>362</v>
      </c>
      <c r="H146" s="1465"/>
      <c r="I146" s="1465"/>
      <c r="J146" s="1465"/>
      <c r="K146" s="1465"/>
      <c r="L146" s="1466"/>
      <c r="M146" s="669">
        <f>IFERROR(VLOOKUP(G146,_Daylight_Table[],2,FALSE),0)</f>
        <v>0</v>
      </c>
      <c r="N146" s="670"/>
      <c r="O146" s="669" t="e">
        <f>VLOOKUP(G145,'Space Table'!$B$3:$L$160,11,FALSE)</f>
        <v>#N/A</v>
      </c>
      <c r="P146" s="1408"/>
      <c r="Q146" s="1409"/>
      <c r="R146" s="1409"/>
      <c r="S146" s="1402"/>
      <c r="T146" s="671" t="s">
        <v>281</v>
      </c>
      <c r="U146" s="1467" t="str">
        <f>IFERROR(VLOOKUP(U145,Fixtures!DM$93:DP$142,4,FALSE),"")</f>
        <v/>
      </c>
      <c r="V146" s="1468"/>
      <c r="W146" s="1468"/>
      <c r="X146" s="1468"/>
      <c r="Y146" s="1468"/>
      <c r="Z146" s="1468"/>
      <c r="AA146" s="1468"/>
      <c r="AB146" s="1046" t="str">
        <f>IFERROR(VLOOKUP(U145,Fixtures_Proposed_List,2,FALSE),"")</f>
        <v/>
      </c>
      <c r="AC146" s="1036" t="str">
        <f>IFERROR(ROUND(T145*AB146*N144*R144/1000,0),"")</f>
        <v/>
      </c>
      <c r="AD146" s="1037" t="str">
        <f>IFERROR(ROUND(T145*AB146/1000,2),"")</f>
        <v/>
      </c>
      <c r="AE146" s="1045" t="s">
        <v>281</v>
      </c>
      <c r="AF146" s="1469"/>
      <c r="AG146" s="1469"/>
      <c r="AH146" s="1469"/>
      <c r="AI146" s="1469"/>
      <c r="AJ146" s="1476"/>
      <c r="AK146" s="1471"/>
      <c r="AL146" s="1473"/>
      <c r="AM146" s="1443"/>
      <c r="AN146" s="1444"/>
      <c r="AO146" s="1449"/>
      <c r="AP146" s="1449"/>
      <c r="AQ146" s="1450"/>
      <c r="AR146" s="1453"/>
      <c r="AS146" s="1456"/>
      <c r="AT146" s="1459"/>
      <c r="AU146" s="517"/>
      <c r="AV146" s="1480"/>
      <c r="AW146" s="1480"/>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M146" s="1352"/>
      <c r="CN146" s="1352"/>
      <c r="CO146" s="1416"/>
      <c r="CP146" s="1418"/>
      <c r="CR146" s="1386"/>
      <c r="CS146" s="1355"/>
      <c r="CT146" s="1355"/>
      <c r="CU146" s="1375"/>
      <c r="CV146" s="1372"/>
      <c r="CW146" s="1372"/>
      <c r="CX146" s="1372"/>
      <c r="CY146" s="1487"/>
      <c r="CZ146" s="1487"/>
      <c r="DA146" s="1487"/>
      <c r="DC146" s="1355"/>
      <c r="DD146" s="1355"/>
      <c r="DE146" s="1375"/>
      <c r="DF146" s="1407"/>
      <c r="DG146" s="1372"/>
      <c r="DH146" s="1369"/>
      <c r="DK146" s="1484"/>
      <c r="DL146" s="1420"/>
      <c r="DN146" s="1403"/>
      <c r="DO146" s="1405"/>
      <c r="DP146" s="1355"/>
      <c r="DQ146" s="1405"/>
      <c r="DR146" s="1403"/>
      <c r="DS146" s="1489"/>
      <c r="DU146" s="1403"/>
      <c r="DV146" s="1405"/>
      <c r="DW146" s="1403"/>
      <c r="DX146" s="1403"/>
      <c r="DZ146" s="1481"/>
      <c r="EA146" s="1481"/>
      <c r="EC146" s="1482"/>
      <c r="ED146" s="1369"/>
      <c r="EE146" s="1372"/>
      <c r="EF146" s="1369"/>
      <c r="EG146" s="1369"/>
      <c r="EH146" s="1375"/>
      <c r="EI146" s="1375"/>
      <c r="EJ146" s="1363"/>
      <c r="EK146" s="1376"/>
      <c r="EL146" s="1376"/>
      <c r="EM146" s="1362"/>
      <c r="EN146" s="1362"/>
      <c r="EO146" s="1363"/>
      <c r="EP146" s="1363"/>
      <c r="EQ146" s="1363"/>
      <c r="ES146" s="1403"/>
      <c r="EU146" s="1488"/>
      <c r="EV146" s="1488"/>
      <c r="EW146" s="1488"/>
      <c r="EX146" s="1488"/>
      <c r="EY146" s="1488"/>
      <c r="EZ146" s="1414"/>
      <c r="FB146" s="1365"/>
      <c r="FD146" s="1355"/>
      <c r="FE146" s="1355"/>
      <c r="FF146" s="138"/>
      <c r="FI146" s="1357"/>
      <c r="FJ146" s="1357"/>
      <c r="FK146" s="1365"/>
      <c r="FL146" s="1365"/>
      <c r="FM146" s="1365"/>
      <c r="FO146" s="1361"/>
      <c r="FP146" s="1361"/>
      <c r="FQ146" s="1366"/>
      <c r="FR146" s="1361"/>
      <c r="FS146" s="1361"/>
      <c r="FT146" s="1361"/>
      <c r="FU146" s="1360"/>
      <c r="FW146" s="1352"/>
      <c r="FX146" s="1352"/>
      <c r="FY146" s="1352"/>
      <c r="FZ146" s="1352"/>
      <c r="GA146" s="1352"/>
      <c r="GB146" s="1352"/>
      <c r="GC146" s="1352"/>
      <c r="GD146" s="1352"/>
      <c r="GE146" s="759"/>
      <c r="GF146" s="1035"/>
      <c r="GG146" s="1385"/>
      <c r="GJ146" s="1034">
        <f>IF(GJ144=TRUE,0,GJ$16)</f>
        <v>0</v>
      </c>
      <c r="GL146" s="1034">
        <f>IF(GL144=TRUE,0,GL$16)</f>
        <v>36</v>
      </c>
      <c r="GM146" s="1034">
        <f>IF(GM144=TRUE,0,GM$16)</f>
        <v>35</v>
      </c>
      <c r="GN146" s="436"/>
      <c r="GO146" s="436"/>
      <c r="GP146" s="436"/>
      <c r="GQ146" s="436"/>
      <c r="GR146" s="436"/>
      <c r="HC146" s="1034">
        <f t="shared" ref="HC146:HH146" si="94">IF(HC144=TRUE,0,HC$16)</f>
        <v>19</v>
      </c>
      <c r="HD146" s="1034">
        <f t="shared" si="94"/>
        <v>18</v>
      </c>
      <c r="HE146" s="1034">
        <f t="shared" si="94"/>
        <v>17</v>
      </c>
      <c r="HF146" s="1034">
        <f t="shared" si="94"/>
        <v>16</v>
      </c>
      <c r="HG146" s="1034">
        <f t="shared" si="94"/>
        <v>0</v>
      </c>
      <c r="HH146" s="1034">
        <f t="shared" si="94"/>
        <v>0</v>
      </c>
      <c r="HI146" s="1034">
        <f>IF(HI144=TRUE,0,HI$16)</f>
        <v>13</v>
      </c>
      <c r="HJ146" s="1034">
        <f t="shared" ref="HJ146:HL146" si="95">IF(HJ144=TRUE,0,HJ$16)</f>
        <v>12</v>
      </c>
      <c r="HK146" s="1034">
        <f t="shared" si="95"/>
        <v>11</v>
      </c>
      <c r="HL146" s="1034">
        <f t="shared" si="95"/>
        <v>10</v>
      </c>
      <c r="HM146" s="1034">
        <f>IF(HM144=TRUE,0,HM$16)</f>
        <v>9</v>
      </c>
      <c r="HN146" s="1034">
        <f t="shared" ref="HN146:HR146" si="96">IF(HN144=TRUE,0,HN$16)</f>
        <v>0</v>
      </c>
      <c r="HO146" s="1034">
        <f t="shared" si="96"/>
        <v>0</v>
      </c>
      <c r="HP146" s="1034">
        <f t="shared" si="96"/>
        <v>0</v>
      </c>
      <c r="HQ146" s="1034">
        <f t="shared" si="96"/>
        <v>0</v>
      </c>
      <c r="HR146" s="1034">
        <f t="shared" si="96"/>
        <v>0</v>
      </c>
      <c r="HS146" s="1034">
        <f>IF(HS144=TRUE,0,HS$16)</f>
        <v>0</v>
      </c>
      <c r="HT146" s="1034">
        <f t="shared" ref="HT146" si="97">IF(HT144=TRUE,0,HT$16)</f>
        <v>0</v>
      </c>
      <c r="HU146" s="1034">
        <f>IF(HU144=TRUE,0,HU$16)</f>
        <v>1</v>
      </c>
      <c r="HW146" s="1034">
        <f>IF(GL144=FALSE,GL146,IF(GM144=FALSE,GM146,MAX(GJ146:HU146)))</f>
        <v>36</v>
      </c>
      <c r="HX146" s="1383"/>
      <c r="HY146" s="241" t="str">
        <f>VLOOKUP(HW146,_Error_Table,3,FALSE)</f>
        <v xml:space="preserve"> </v>
      </c>
      <c r="HZ146" s="241"/>
      <c r="IA146" s="1386"/>
      <c r="IB146" s="1380"/>
      <c r="IC146" s="1379"/>
      <c r="IF146" s="1380"/>
      <c r="IG146" s="1383"/>
      <c r="IH146" s="1383"/>
      <c r="II146" s="1383"/>
      <c r="IK146" s="1351"/>
      <c r="IL146" s="1351"/>
      <c r="IM146" s="1351"/>
      <c r="IN146" s="1351"/>
      <c r="IO146" s="1351"/>
      <c r="IP146" s="1351"/>
    </row>
    <row r="147" spans="1:250" s="82" customFormat="1" ht="5.0999999999999996" customHeight="1" thickBot="1">
      <c r="B147" s="763"/>
      <c r="C147" s="437"/>
      <c r="D147" s="437"/>
      <c r="E147" s="1490"/>
      <c r="F147" s="1490"/>
      <c r="G147" s="1490"/>
      <c r="H147" s="1490"/>
      <c r="I147" s="1490"/>
      <c r="J147" s="1490"/>
      <c r="K147" s="1490"/>
      <c r="L147" s="1490"/>
      <c r="M147" s="1490"/>
      <c r="N147" s="1490"/>
      <c r="O147" s="1490"/>
      <c r="P147" s="1490"/>
      <c r="Q147" s="1490"/>
      <c r="R147" s="1490"/>
      <c r="S147" s="1490"/>
      <c r="T147" s="1490"/>
      <c r="U147" s="1490"/>
      <c r="V147" s="1490"/>
      <c r="W147" s="1490"/>
      <c r="X147" s="1490"/>
      <c r="Y147" s="1490"/>
      <c r="Z147" s="1490"/>
      <c r="AA147" s="1490"/>
      <c r="AB147" s="1490"/>
      <c r="AC147" s="1490"/>
      <c r="AD147" s="1490"/>
      <c r="AE147" s="1490"/>
      <c r="AF147" s="1490"/>
      <c r="AG147" s="1490"/>
      <c r="AH147" s="1490"/>
      <c r="AI147" s="1490"/>
      <c r="AJ147" s="1490"/>
      <c r="AK147" s="1490"/>
      <c r="AL147" s="1490"/>
      <c r="AM147" s="1490"/>
      <c r="AN147" s="1490"/>
      <c r="AO147" s="1490"/>
      <c r="AP147" s="1490"/>
      <c r="AQ147" s="1490"/>
      <c r="AR147" s="1490"/>
      <c r="AS147" s="1490"/>
      <c r="AT147" s="1490"/>
      <c r="AU147" s="51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M147" s="749"/>
      <c r="CN147" s="749"/>
      <c r="CO147" s="485"/>
      <c r="CP147" s="749"/>
      <c r="CS147" s="436"/>
      <c r="CT147" s="436"/>
      <c r="CU147" s="243"/>
      <c r="CV147" s="244"/>
      <c r="CW147" s="244"/>
      <c r="CX147" s="244"/>
      <c r="CY147" s="245"/>
      <c r="CZ147" s="245"/>
      <c r="DA147" s="245"/>
      <c r="DC147" s="750"/>
      <c r="DD147" s="751"/>
      <c r="DE147" s="752"/>
      <c r="DF147" s="753"/>
      <c r="DG147" s="754"/>
      <c r="DH147" s="754"/>
      <c r="DK147" s="244"/>
      <c r="DL147" s="750"/>
      <c r="DN147" s="750"/>
      <c r="DO147" s="755"/>
      <c r="DP147" s="436"/>
      <c r="DQ147" s="750"/>
      <c r="DR147" s="750"/>
      <c r="DS147" s="750"/>
      <c r="DU147" s="750"/>
      <c r="DV147" s="750"/>
      <c r="DW147" s="750"/>
      <c r="DX147" s="750"/>
      <c r="DZ147" s="756"/>
      <c r="EA147" s="756"/>
      <c r="EC147" s="754"/>
      <c r="ED147" s="754"/>
      <c r="EE147" s="244"/>
      <c r="EF147" s="754"/>
      <c r="EG147" s="754"/>
      <c r="EH147" s="243"/>
      <c r="EI147" s="243"/>
      <c r="EJ147" s="752"/>
      <c r="EK147" s="757"/>
      <c r="EL147" s="757"/>
      <c r="EM147" s="758"/>
      <c r="EN147" s="758"/>
      <c r="EO147" s="752"/>
      <c r="EP147" s="752"/>
      <c r="EQ147" s="752"/>
      <c r="ES147" s="750"/>
      <c r="EU147" s="436"/>
      <c r="EV147" s="436"/>
      <c r="EW147" s="436"/>
      <c r="EX147" s="436"/>
      <c r="EY147" s="436"/>
      <c r="EZ147" s="436"/>
      <c r="FB147" s="643"/>
      <c r="FD147" s="436"/>
      <c r="FE147" s="436"/>
      <c r="FF147" s="436"/>
      <c r="FO147" s="750"/>
      <c r="FP147" s="436"/>
      <c r="FQ147" s="436"/>
      <c r="FR147" s="750"/>
      <c r="FS147" s="750"/>
      <c r="FW147" s="749"/>
      <c r="FX147" s="749"/>
      <c r="FY147" s="749"/>
      <c r="FZ147" s="749"/>
      <c r="GA147" s="749"/>
      <c r="GB147" s="749"/>
      <c r="GC147" s="749"/>
      <c r="GD147" s="749"/>
      <c r="GE147" s="751"/>
      <c r="GF147" s="750"/>
      <c r="GG147" s="750"/>
    </row>
    <row r="148" spans="1:250" s="82" customFormat="1" ht="14.95" customHeight="1" thickTop="1" thickBot="1">
      <c r="B148" s="1421" t="str">
        <f>HY151</f>
        <v xml:space="preserve"> </v>
      </c>
      <c r="C148" s="1422">
        <f>C143+1</f>
        <v>22</v>
      </c>
      <c r="D148" s="1423"/>
      <c r="E148" s="1424" t="s">
        <v>242</v>
      </c>
      <c r="F148" s="1425"/>
      <c r="G148" s="1426"/>
      <c r="H148" s="1427"/>
      <c r="I148" s="1427"/>
      <c r="J148" s="1427"/>
      <c r="K148" s="1427"/>
      <c r="L148" s="1427"/>
      <c r="M148" s="1427"/>
      <c r="N148" s="1427"/>
      <c r="O148" s="1427"/>
      <c r="P148" s="1427"/>
      <c r="Q148" s="1427"/>
      <c r="R148" s="1427"/>
      <c r="S148" s="1428" t="s">
        <v>283</v>
      </c>
      <c r="T148" s="668" t="s">
        <v>190</v>
      </c>
      <c r="U148" s="1430" t="s">
        <v>186</v>
      </c>
      <c r="V148" s="1431"/>
      <c r="W148" s="1431"/>
      <c r="X148" s="1431"/>
      <c r="Y148" s="1431"/>
      <c r="Z148" s="1431"/>
      <c r="AA148" s="1431"/>
      <c r="AB148" s="1088" t="str">
        <f>IFERROR(IF(__Retrofit_TI_NC=0,VLOOKUP(U149,Fixtures_Existing_List,2,FALSE),ROUND(N150*R150/T150,10)),"")</f>
        <v/>
      </c>
      <c r="AC148" s="1039" t="str">
        <f>IFERROR(IF(__Retrofit_TI_NC=0,ROUND(T149*AB148*N149*R149/1000,0),IF(CN148="Interior",N150*R150*R149*N149*_C406_reduction/1000,N150*R150*R149*N149/1000)),"")</f>
        <v/>
      </c>
      <c r="AD148" s="1040" t="str">
        <f>IFERROR(IF(C$36=0,ROUND(T149*AB148/1000,2),N150*R150/1000),"")</f>
        <v/>
      </c>
      <c r="AE148" s="1044" t="s">
        <v>190</v>
      </c>
      <c r="AF148" s="1432" t="str">
        <f>IF(__Retrofit_TI_NC=2,CONCATENATE("Code min = ",DD148),IF(__Retrofit_TI_NC=1,"Emter what you think the existing control was"," Control"))</f>
        <v xml:space="preserve"> Control</v>
      </c>
      <c r="AG148" s="1432"/>
      <c r="AH148" s="1432"/>
      <c r="AI148" s="1432"/>
      <c r="AJ148" s="1433">
        <f>DF148</f>
        <v>0</v>
      </c>
      <c r="AK148" s="1435" t="str">
        <f>IFERROR(ROUND(AJ148*AC148,0),"")</f>
        <v/>
      </c>
      <c r="AL148" s="1437">
        <f>IFERROR(IF(HW148=FALSE,0,AC148-AK148),0)</f>
        <v>0</v>
      </c>
      <c r="AM148" s="1439">
        <f>AL148-AL150</f>
        <v>0</v>
      </c>
      <c r="AN148" s="1440"/>
      <c r="AO148" s="1445">
        <f>IFERROR(IF(HW148=FALSE,0,(T150*U151)+(AE150*AF151)),0)</f>
        <v>0</v>
      </c>
      <c r="AP148" s="1445"/>
      <c r="AQ148" s="1446"/>
      <c r="AR148" s="1451" t="s">
        <v>157</v>
      </c>
      <c r="AS148" s="1454">
        <f>IF(AR148="Yes",1,0)</f>
        <v>1</v>
      </c>
      <c r="AT148" s="1457" t="str">
        <f>IF(OR(DN148=4,DN148=5,DN148=6,DN148=12),CONCATENATE("$",IF(GD148=TRUE,Lookup!$B$11,Lookup!$B$2)," /lamp"),CONCATENATE(EA148,"/ kWh"))</f>
        <v>0/ kWh</v>
      </c>
      <c r="AU148" s="516"/>
      <c r="AV148" s="1478">
        <f>IFERROR(IF(GI149=TRUE,(AB151*T150)/R150,0),"NA")</f>
        <v>0</v>
      </c>
      <c r="AW148" s="1478" t="str">
        <f>IFERROR(N150*_C406_reduction,"NA")</f>
        <v>NA</v>
      </c>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M148" s="1352" t="str">
        <f>N149</f>
        <v/>
      </c>
      <c r="CN148" s="1352" t="str">
        <f>IFERROR(VLOOKUP(G149,_Lookup_Heat_Type_Table_New,3,FALSE),"")</f>
        <v/>
      </c>
      <c r="CO148" s="1415" t="str">
        <f>CN148</f>
        <v/>
      </c>
      <c r="CP148" s="1417" t="e">
        <f>VLOOKUP(G150,'Space Table'!$B$3:$L$160,9,FALSE)</f>
        <v>#N/A</v>
      </c>
      <c r="CR148" s="1386" t="s">
        <v>283</v>
      </c>
      <c r="CS148" s="1353">
        <f>IF(HW148=TRUE,T149,0)</f>
        <v>0</v>
      </c>
      <c r="CT148" s="1353" t="str">
        <f>IF(HW148=TRUE,U149,"")</f>
        <v/>
      </c>
      <c r="CU148" s="1353"/>
      <c r="CV148" s="1370">
        <f>IF(HW148=TRUE,AB148,0)</f>
        <v>0</v>
      </c>
      <c r="CW148" s="1370">
        <f>IF(HW148=TRUE,AC148,0)</f>
        <v>0</v>
      </c>
      <c r="CX148" s="1370">
        <f>IFERROR(IF(HW148=TRUE,CW148-CW150,0),0)</f>
        <v>0</v>
      </c>
      <c r="CY148" s="1485">
        <f>IF(HW148=TRUE,AD148,0)</f>
        <v>0</v>
      </c>
      <c r="CZ148" s="1485">
        <f>IF(HW148=TRUE,AD151,0)</f>
        <v>0</v>
      </c>
      <c r="DA148" s="1485">
        <f>IFERROR(CY148-CZ148,0)</f>
        <v>0</v>
      </c>
      <c r="DC148" s="1353">
        <f>IF(HW148=TRUE,AE149,0)</f>
        <v>0</v>
      </c>
      <c r="DD148" s="1460">
        <f>IF(__Retrofit_TI_NC=2,IF(CN148="Exterior",O151,FM148),FK148)</f>
        <v>0</v>
      </c>
      <c r="DE148" s="1353"/>
      <c r="DF148" s="1406">
        <f>IFERROR(IF(FL148=3,IK148,IF(FL148=4,IL148,IF(FL148=5,IM148,IF(FL148=6,IN148,IF(FL148=7,IO148,IF(FL148=8,IP148,0)))))),0)</f>
        <v>0</v>
      </c>
      <c r="DG148" s="1370">
        <f>IF(HW148=TRUE,AK148,0)</f>
        <v>0</v>
      </c>
      <c r="DH148" s="1369">
        <f>IFERROR(IF(HW148=TRUE,DG150-DG148,0),0)</f>
        <v>0</v>
      </c>
      <c r="DJ148" s="1483">
        <f>IFERROR(CW148-DG148,0)</f>
        <v>0</v>
      </c>
      <c r="DL148" s="1419">
        <f>DJ148-DK150</f>
        <v>0</v>
      </c>
      <c r="DN148" s="1403" t="str">
        <f>IFERROR(IF(AND(OR(FY148=4,FY148=5,FY148=6),OR(GB148=4,GB148=5,GB148=6)),FY148+8,VLOOKUP(CT150,Fixtures!R$31:Y$78,8,FALSE)),"")</f>
        <v/>
      </c>
      <c r="DO148" s="1404" t="str">
        <f>DN148</f>
        <v/>
      </c>
      <c r="DP148" s="1353" t="str">
        <f>IFERROR(VLOOKUP(DD150,Lookup!AU$3:AV$15,2,FALSE),"")</f>
        <v/>
      </c>
      <c r="DQ148" s="1404" t="str">
        <f>IF(DP148=7,"LLLC","")</f>
        <v/>
      </c>
      <c r="DR148" s="1403">
        <f>IFERROR(IF(OR(DN148=4,DN148=5,DN148=6,DN148=12,DN148=13,DN148=14),VLOOKUP(CT150,Fixtures!DN$27:EG$77,19,FALSE),1)*CS150,0)</f>
        <v>0</v>
      </c>
      <c r="DS148" s="1489">
        <f>IF(DP148=7,IF(DD148=DD150,0,DC150),0)</f>
        <v>0</v>
      </c>
      <c r="DU148" s="1403" t="str">
        <f>IFERROR(IF(EW148&lt;EW150,"Yes","No"),"")</f>
        <v/>
      </c>
      <c r="DV148" s="1404" t="str">
        <f>DU148</f>
        <v/>
      </c>
      <c r="DW148" s="1403">
        <f>IF(DU148="Yes",DC150,0)</f>
        <v>0</v>
      </c>
      <c r="DX148" s="1403">
        <f>DW148-DS148</f>
        <v>0</v>
      </c>
      <c r="DZ148" s="1481">
        <f>IFERROR(VLOOKUP(DN148,Lookup!AN$3:AO$16,2,FALSE),0)</f>
        <v>0</v>
      </c>
      <c r="EA148" s="1481">
        <f>IF(HW148=FALSE,0,IF(DU148="Yes",DZ148+Lookup!B$6,DZ148))</f>
        <v>0</v>
      </c>
      <c r="EC148" s="1482">
        <f>IF(HW148=TRUE,DJ148,0)</f>
        <v>0</v>
      </c>
      <c r="ED148" s="1369">
        <f>IF(HW148=TRUE,CW150,0)</f>
        <v>0</v>
      </c>
      <c r="EE148" s="1370">
        <f>IFERROR(EC148-ED148,0)</f>
        <v>0</v>
      </c>
      <c r="EF148" s="1369">
        <f>IF(HW148=TRUE,DG150,0)</f>
        <v>0</v>
      </c>
      <c r="EG148" s="1369">
        <f>IFERROR(EC148-ED148+EF148,0)</f>
        <v>0</v>
      </c>
      <c r="EH148" s="1373">
        <f>IF(HW148=TRUE,CS150*CU150,0)</f>
        <v>0</v>
      </c>
      <c r="EI148" s="1373">
        <f>IF(HW148=TRUE,DC150*DE150,0)</f>
        <v>0</v>
      </c>
      <c r="EJ148" s="1363">
        <f>AO148</f>
        <v>0</v>
      </c>
      <c r="EK148" s="1376" t="str">
        <f>IFERROR(IF(HW148=TRUE,VLOOKUP(DN148,Lookup!AN$3:AP$16,3,FALSE)*DR148,""),0)</f>
        <v/>
      </c>
      <c r="EL148" s="1376">
        <f>IF(HW148=TRUE,DW148*Lookup!AP$12,0)</f>
        <v>0</v>
      </c>
      <c r="EM148" s="1362">
        <f>IFERROR(IF(HW148=TRUE,EK148/EM$33,0),0)</f>
        <v>0</v>
      </c>
      <c r="EN148" s="1362">
        <f>IF(HW148=TRUE,EL148/EN$33,0)</f>
        <v>0</v>
      </c>
      <c r="EO148" s="1363">
        <f>IF(HW148=TRUE,EQ$33*EM148,0)</f>
        <v>0</v>
      </c>
      <c r="EP148" s="1363">
        <f>IF(HW148=TRUE,EQ$33*EN148,0)</f>
        <v>0</v>
      </c>
      <c r="EQ148" s="1363">
        <f>EO148+EP148</f>
        <v>0</v>
      </c>
      <c r="ES148" s="1403">
        <f>IF(G148="",0,1)</f>
        <v>0</v>
      </c>
      <c r="EU148" s="1410" t="e">
        <f>VLOOKUP(CP150,'Space Table'!$B$3:$L$160,8,FALSE)</f>
        <v>#N/A</v>
      </c>
      <c r="EV148" s="1410" t="e">
        <f>IF(EY148="Yes",VLOOKUP(DD148,Lookup_Control_Type_Table2,4,FALSE),VLOOKUP(DD148,Lookup_Control_Type_Table2,3,FALSE))</f>
        <v>#N/A</v>
      </c>
      <c r="EW148" s="1410" t="e">
        <f>VLOOKUP(DD148,Lookup!AU$3:AV$15,2,FALSE)</f>
        <v>#N/A</v>
      </c>
      <c r="EX148" s="1410" t="e">
        <f>VLOOKUP(EU148,Lookup_Control_Type_Table,2,FALSE)</f>
        <v>#N/A</v>
      </c>
      <c r="EY148" s="1410" t="e">
        <f>VLOOKUP(CP150,'Space Table'!$B$3:$L$160,7,FALSE)</f>
        <v>#N/A</v>
      </c>
      <c r="EZ148" s="1412" t="b">
        <f>ISNUMBER(SEARCH("TLED",U150))</f>
        <v>0</v>
      </c>
      <c r="FB148" s="1365" t="str">
        <f>CONCATENATE(CN148," - ",DD148)</f>
        <v xml:space="preserve"> - 0</v>
      </c>
      <c r="FD148" s="1353" t="str">
        <f>VLOOKUP(CT150,Fixtures!DN$27:EZ$77,38,FALSE)</f>
        <v/>
      </c>
      <c r="FE148" s="1353">
        <f>IFERROR(FD148*EE148,0)</f>
        <v>0</v>
      </c>
      <c r="FF148" s="138"/>
      <c r="FI148" s="1356" t="str">
        <f>IF(CN148="Exterior","Not Daylighted",G151)</f>
        <v>Not Daylighted</v>
      </c>
      <c r="FJ148" s="1356">
        <f>VLOOKUP(FI148,_Daylight_Table_Codes,2,FALSE)</f>
        <v>0</v>
      </c>
      <c r="FK148" s="1365">
        <f>IF(__Retrofit_TI_NC=2,VLOOKUP(G150,'Space Table'!$B$3:$L$160,11,FALSE),AF149)</f>
        <v>0</v>
      </c>
      <c r="FL148" s="1365" t="e">
        <f>VLOOKUP(FK148,_Control_Table,2,FALSE)</f>
        <v>#N/A</v>
      </c>
      <c r="FM148" s="1365" t="e">
        <f>IF(AND(FP148&gt;0,FK148="Occupancy Sensor"),"Daylight + Occupancy",IF(AND(FP148&gt;0,FL148&lt;4),"Interior Daylight Dimming",FK148))</f>
        <v>#N/A</v>
      </c>
      <c r="FO148" s="1364">
        <f>IF(CO148="Interior",VLOOKUP(CP148,Control_Savings_Interior,5,FALSE),0)</f>
        <v>0</v>
      </c>
      <c r="FP148" s="1361">
        <f>IF(CN148="Exterior",0,IF(FJ148=2,0.5,IF(OR(FJ148=1,FJ148=3),1,0)))</f>
        <v>0</v>
      </c>
      <c r="FQ148" s="1366"/>
      <c r="FR148" s="1367"/>
      <c r="FS148" s="1364"/>
      <c r="FT148" s="1367"/>
      <c r="FU148" s="1360"/>
      <c r="FW148" s="1352" t="str">
        <f>IFERROR(VLOOKUP(U149,_Exist_Fixture_Table,3,FALSE),"")</f>
        <v/>
      </c>
      <c r="FX148" s="1352" t="str">
        <f>VLOOKUP(CT148,_Exist_Fixture_Table,4,FALSE)</f>
        <v/>
      </c>
      <c r="FY148" s="1352">
        <f>IFERROR(VLOOKUP(FX148,Lookup!AM$6:AN$8,2,FALSE),0)</f>
        <v>0</v>
      </c>
      <c r="FZ148" s="1352" t="b">
        <f>IFERROR(IF(OR(GB148=4,GB148=5,GB148=6),TRUE,FALSE),"")</f>
        <v>0</v>
      </c>
      <c r="GA148" s="1352" t="str">
        <f>IFERROR(VLOOKUP(GB148,FY$6:FZ$10,2,FALSE),"")</f>
        <v/>
      </c>
      <c r="GB148" s="1352" t="str">
        <f>VLOOKUP(CT150,Fixtures!R$31:Y$78,8,FALSE)</f>
        <v/>
      </c>
      <c r="GC148" s="1352">
        <f>IF(AND(FW148=TRUE,FZ148=TRUE,OR(DN148=12,DN148=13,DN148=14)),FY148+8,0)</f>
        <v>0</v>
      </c>
      <c r="GD148" s="1352" t="b">
        <f>IF(OR(GC148=12,GC148=13,GC148=14),TRUE,FALSE)</f>
        <v>0</v>
      </c>
      <c r="GE148" s="759" t="b">
        <f>IF(ISNUMBER(SEARCH("TLED",U149)),TRUE,FALSE)</f>
        <v>0</v>
      </c>
      <c r="GF148" s="1035" t="str">
        <f>IFERROR(VLOOKUP(U149,Fixtures!BM$93:BR$142,6,FALSE),"")</f>
        <v/>
      </c>
      <c r="GG148" s="1385" t="b">
        <f>IF(OR(GE148=FALSE,GE150=FALSE),TRUE,IF(GF148-GF150&lt;5,FALSE,TRUE))</f>
        <v>1</v>
      </c>
      <c r="GK148" s="1034">
        <f>GL148</f>
        <v>0</v>
      </c>
      <c r="GL148" s="1034">
        <f>IF(G148="",0,1)</f>
        <v>0</v>
      </c>
      <c r="GM148" s="1034">
        <f>SUM(GN148:HB148)</f>
        <v>2</v>
      </c>
      <c r="GN148" s="1034">
        <f>IF(G149="",0,1)</f>
        <v>0</v>
      </c>
      <c r="GO148" s="1034">
        <f>IF(G150="",0,1)</f>
        <v>0</v>
      </c>
      <c r="GP148" s="1034">
        <f>IF(R149="",0,1)</f>
        <v>0</v>
      </c>
      <c r="GQ148" s="1034">
        <f>IF(__Retrofit_TI_NC=0,1,IF(R150="",0,1))</f>
        <v>1</v>
      </c>
      <c r="GR148" s="1034">
        <f>IF(CN148="Exterior",1,IF(G151="",0,1))</f>
        <v>1</v>
      </c>
      <c r="GS148" s="1034">
        <f>IF(__Retrofit_TI_NC&lt;&gt;0,1,IF(T149="",0,1))</f>
        <v>0</v>
      </c>
      <c r="GT148" s="1034">
        <f>IF(__Retrofit_TI_NC&lt;&gt;0,1,IF(U149="",0,1))</f>
        <v>0</v>
      </c>
      <c r="GU148" s="1034">
        <f>IF(T150="",0,1)</f>
        <v>0</v>
      </c>
      <c r="GV148" s="1034">
        <f>IF(U150="",0,1)</f>
        <v>0</v>
      </c>
      <c r="GW148" s="1034">
        <f>IF(__Retrofit_TI_NC=2,1,IF(U151="",0,1))</f>
        <v>0</v>
      </c>
      <c r="GX148" s="1034">
        <f>IF(__Retrofit_TI_NC&lt;&gt;0,1,IF(AE149="",0,1))</f>
        <v>0</v>
      </c>
      <c r="GY148" s="1034">
        <f>IF(__Retrofit_TI_NC&lt;&gt;0,1,IF(AF149="",0,1))</f>
        <v>0</v>
      </c>
      <c r="GZ148" s="1034">
        <f>IF(AE150="",0,1)</f>
        <v>0</v>
      </c>
      <c r="HA148" s="1034">
        <f>IF(AF150="",0,1)</f>
        <v>0</v>
      </c>
      <c r="HB148" s="1034">
        <f>IF(__Retrofit_TI_NC=2,1,IF(AF151="",0,1))</f>
        <v>0</v>
      </c>
      <c r="HV148" s="436"/>
      <c r="HW148" s="1384" t="b">
        <f>IF(OR(HW151=0,HW151=HT$16,HW151=HS$16,HW151=HU$16),TRUE,FALSE)</f>
        <v>0</v>
      </c>
      <c r="HX148" s="1377" t="b">
        <f>HW148</f>
        <v>0</v>
      </c>
      <c r="HY148" s="436"/>
      <c r="HZ148" s="436"/>
      <c r="IA148" s="1386" t="b">
        <f>IF(MAX(GJ151:HP151)&gt;5,FALSE,TRUE)</f>
        <v>0</v>
      </c>
      <c r="IB148" s="1380">
        <f>IF(IA148=TRUE,AC148,0)</f>
        <v>0</v>
      </c>
      <c r="IC148" s="1380">
        <f>IB148-IB150</f>
        <v>0</v>
      </c>
      <c r="IF148" s="1380" t="e">
        <f>ROUND(T149*VLOOKUP(U149,Fixtures_Existing_List,2,FALSE)*N149*R149/1000,0)</f>
        <v>#N/A</v>
      </c>
      <c r="IG148" s="1381" t="e">
        <f>IF148-IF150</f>
        <v>#N/A</v>
      </c>
      <c r="IH148" s="1384" t="e">
        <f>ROUND(IF(CN148="Interior",N150*R150*R149*N149*_C406_reduction/1000,N150*R150*R149*N149/1000),0)</f>
        <v>#N/A</v>
      </c>
      <c r="II148" s="1384" t="e">
        <f>IH148-IH150</f>
        <v>#N/A</v>
      </c>
      <c r="IK148" s="1351" t="e">
        <f>IF($CO148="interior",IL148/2,VLOOKUP($CP148,Control_Savings_Exterior,IK$30,FALSE))</f>
        <v>#N/A</v>
      </c>
      <c r="IL148" s="1351" t="e">
        <f>IF($CO148="interior",VLOOKUP($CP148,Control_Savings_Interior,IL$30,FALSE),VLOOKUP($CP148,Control_Savings_Exterior,IL$30,FALSE))</f>
        <v>#N/A</v>
      </c>
      <c r="IM148" s="1351" t="e">
        <f>IF($CO148="interior",IF(R149&gt;FO$37,(IM$28*(FO$37/R149)),IM$28)*FP148,VLOOKUP($CP148,Control_Savings_Exterior,IM$30,FALSE))</f>
        <v>#N/A</v>
      </c>
      <c r="IN148" s="1351" t="e">
        <f>IF($CO148="interior",ROUND(((1-IL148)*IM148)+IL148,2),VLOOKUP($CP148,Control_Savings_Exterior,IN$30,FALSE))</f>
        <v>#N/A</v>
      </c>
      <c r="IO148" s="1351" t="e">
        <f>IF($CO148="interior", ROUND(((1-IL148)*(IM148*(1-IP$28)))+IP148,2), VLOOKUP($CP148,Control_Savings_Exterior,IO$30,FALSE))</f>
        <v>#N/A</v>
      </c>
      <c r="IP148" s="1351">
        <f>IF($CO148="interior",ROUND(((1-IL148)*IP$28)+IL148,2),0)</f>
        <v>0</v>
      </c>
    </row>
    <row r="149" spans="1:250" s="82" customFormat="1" ht="14.95" customHeight="1" thickTop="1" thickBot="1">
      <c r="B149" s="1421"/>
      <c r="C149" s="1422"/>
      <c r="D149" s="1423"/>
      <c r="E149" s="1393" t="s">
        <v>244</v>
      </c>
      <c r="F149" s="1394"/>
      <c r="G149" s="1395"/>
      <c r="H149" s="1395"/>
      <c r="I149" s="1395"/>
      <c r="J149" s="1395"/>
      <c r="K149" s="1395"/>
      <c r="L149" s="1395"/>
      <c r="M149" s="509" t="e">
        <f>IF(__Retrofit_TI_NC&lt;&gt;0,IF(VLOOKUP(G150,'Space Table'!$B$3:$L$160,3,FALSE)&gt;0,1,0),IF(__Retrofit_TI_NC=VLOOKUP(G150,'Space Table'!$B$3:$L$160,3,FALSE),1,0))</f>
        <v>#N/A</v>
      </c>
      <c r="N149" s="509" t="str">
        <f>IFERROR(VLOOKUP(G149,_Lookup_Heat_Type_Table_New,2,FALSE),"")</f>
        <v/>
      </c>
      <c r="O149" s="509">
        <f>IF(__Retrofit_TI_NC=1,CONCATENATE("TI ",G149),IF(__Retrofit_TI_NC=2,CONCATENATE("NC ",G149),G149))</f>
        <v>0</v>
      </c>
      <c r="P149" s="1396" t="s">
        <v>352</v>
      </c>
      <c r="Q149" s="1396"/>
      <c r="R149" s="673"/>
      <c r="S149" s="1429"/>
      <c r="T149" s="675"/>
      <c r="U149" s="1496"/>
      <c r="V149" s="1497"/>
      <c r="W149" s="1497"/>
      <c r="X149" s="1497"/>
      <c r="Y149" s="1497"/>
      <c r="Z149" s="1497"/>
      <c r="AA149" s="1497"/>
      <c r="AB149" s="1497"/>
      <c r="AC149" s="1497"/>
      <c r="AD149" s="1498"/>
      <c r="AE149" s="675"/>
      <c r="AF149" s="1397"/>
      <c r="AG149" s="1397"/>
      <c r="AH149" s="1397"/>
      <c r="AI149" s="1397"/>
      <c r="AJ149" s="1434"/>
      <c r="AK149" s="1436"/>
      <c r="AL149" s="1438"/>
      <c r="AM149" s="1441"/>
      <c r="AN149" s="1442"/>
      <c r="AO149" s="1447"/>
      <c r="AP149" s="1447"/>
      <c r="AQ149" s="1448"/>
      <c r="AR149" s="1452"/>
      <c r="AS149" s="1455"/>
      <c r="AT149" s="1458"/>
      <c r="AU149" s="516"/>
      <c r="AV149" s="1479"/>
      <c r="AW149" s="1479"/>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M149" s="1352"/>
      <c r="CN149" s="1352"/>
      <c r="CO149" s="1416"/>
      <c r="CP149" s="1418"/>
      <c r="CR149" s="1386"/>
      <c r="CS149" s="1355"/>
      <c r="CT149" s="1355"/>
      <c r="CU149" s="1355"/>
      <c r="CV149" s="1372"/>
      <c r="CW149" s="1372"/>
      <c r="CX149" s="1371"/>
      <c r="CY149" s="1486"/>
      <c r="CZ149" s="1486"/>
      <c r="DA149" s="1486"/>
      <c r="DC149" s="1355"/>
      <c r="DD149" s="1461"/>
      <c r="DE149" s="1355"/>
      <c r="DF149" s="1407"/>
      <c r="DG149" s="1372"/>
      <c r="DH149" s="1369"/>
      <c r="DJ149" s="1484"/>
      <c r="DL149" s="1419"/>
      <c r="DN149" s="1403"/>
      <c r="DO149" s="1405"/>
      <c r="DP149" s="1354"/>
      <c r="DQ149" s="1405"/>
      <c r="DR149" s="1403"/>
      <c r="DS149" s="1489"/>
      <c r="DU149" s="1403"/>
      <c r="DV149" s="1405"/>
      <c r="DW149" s="1403"/>
      <c r="DX149" s="1403"/>
      <c r="DZ149" s="1481"/>
      <c r="EA149" s="1481"/>
      <c r="EC149" s="1482"/>
      <c r="ED149" s="1369"/>
      <c r="EE149" s="1371"/>
      <c r="EF149" s="1369"/>
      <c r="EG149" s="1369"/>
      <c r="EH149" s="1374"/>
      <c r="EI149" s="1374"/>
      <c r="EJ149" s="1363"/>
      <c r="EK149" s="1376"/>
      <c r="EL149" s="1376"/>
      <c r="EM149" s="1362"/>
      <c r="EN149" s="1362"/>
      <c r="EO149" s="1363"/>
      <c r="EP149" s="1363"/>
      <c r="EQ149" s="1363"/>
      <c r="ES149" s="1403"/>
      <c r="EU149" s="1411"/>
      <c r="EV149" s="1411"/>
      <c r="EW149" s="1411"/>
      <c r="EX149" s="1411"/>
      <c r="EY149" s="1411"/>
      <c r="EZ149" s="1413"/>
      <c r="FB149" s="1365"/>
      <c r="FD149" s="1354"/>
      <c r="FE149" s="1354"/>
      <c r="FF149" s="138"/>
      <c r="FI149" s="1357"/>
      <c r="FJ149" s="1357"/>
      <c r="FK149" s="1365"/>
      <c r="FL149" s="1365"/>
      <c r="FM149" s="1365"/>
      <c r="FO149" s="1361"/>
      <c r="FP149" s="1361"/>
      <c r="FQ149" s="1366"/>
      <c r="FR149" s="1368"/>
      <c r="FS149" s="1361"/>
      <c r="FT149" s="1368"/>
      <c r="FU149" s="1360"/>
      <c r="FW149" s="1352"/>
      <c r="FX149" s="1352"/>
      <c r="FY149" s="1352"/>
      <c r="FZ149" s="1352"/>
      <c r="GA149" s="1352"/>
      <c r="GB149" s="1352"/>
      <c r="GC149" s="1352"/>
      <c r="GD149" s="1352"/>
      <c r="GE149" s="759"/>
      <c r="GF149" s="1035"/>
      <c r="GG149" s="1385"/>
      <c r="GI149" s="1384" t="b">
        <f>IF(AND(GL149=TRUE,GM149=TRUE),TRUE,FALSE)</f>
        <v>0</v>
      </c>
      <c r="GJ149" s="1379" t="b">
        <f>IFERROR(IF(__Retrofit_TI_NC=2,TRUE,IF(AR148="Yes",TRUE,FALSE)),FALSE)</f>
        <v>1</v>
      </c>
      <c r="GL149" s="1379" t="b">
        <f>IFERROR(IF(GL148=1,TRUE,FALSE),FALSE)</f>
        <v>0</v>
      </c>
      <c r="GM149" s="1379" t="b">
        <f>IFERROR(IF(GM148=GM$14,TRUE,FALSE),FALSE)</f>
        <v>0</v>
      </c>
      <c r="HC149" s="1379" t="b">
        <f>IFERROR(IF(M149=1,TRUE,FALSE),FALSE)</f>
        <v>0</v>
      </c>
      <c r="HD149" s="1379" t="b">
        <f>IFERROR(IF(M150=1,TRUE,FALSE),FALSE)</f>
        <v>0</v>
      </c>
      <c r="HE149" s="1379" t="b">
        <f>IFERROR(IF(__Retrofit_TI_NC&lt;&gt;0,TRUE,IFERROR(IF(VLOOKUP(U149,Fixtures_Existing_List,2,FALSE)&lt;&gt;"",TRUE,FALSE),FALSE)),FALSE)</f>
        <v>0</v>
      </c>
      <c r="HF149" s="1379" t="b">
        <f>IFERROR(IF(VLOOKUP(U150,Fixtures_Proposed_List,2,FALSE)&lt;&gt;"",TRUE,FALSE),FALSE)</f>
        <v>0</v>
      </c>
      <c r="HG149" s="1379" t="b">
        <f>IF(AND(__Retrofit_TI_NC=2,EZ148=TRUE),FALSE,TRUE)</f>
        <v>1</v>
      </c>
      <c r="HH149" s="1379" t="b">
        <f>GG148</f>
        <v>1</v>
      </c>
      <c r="HI149" s="1384" t="b">
        <f>IF(ISERROR(MATCH(FB148,_Control_Match[],0))=TRUE,FALSE,TRUE)</f>
        <v>0</v>
      </c>
      <c r="HJ149" s="1384" t="b">
        <f>IFERROR(IF(EU148&lt;&gt;EV148,FALSE,TRUE),FALSE)</f>
        <v>0</v>
      </c>
      <c r="HK149" s="1384" t="b">
        <f>IFERROR(IF(EU150&lt;&gt;EV150,FALSE,TRUE),FALSE)</f>
        <v>0</v>
      </c>
      <c r="HL149" s="1379" t="b">
        <f>IFERROR(IF(CN148="Exterior",TRUE,IF(OR(AND(FJ148=0,EW150&gt;4),AND(FJ148=4,EW150&gt;4,EW150&lt;7)),FALSE,TRUE)),FALSE)</f>
        <v>0</v>
      </c>
      <c r="HM149" s="1379" t="b">
        <f>IFERROR(IF(AND(FL150=7,EZ148=TRUE),FALSE,TRUE),FALSE)</f>
        <v>0</v>
      </c>
      <c r="HN149" s="1379" t="b">
        <f>IFERROR(IF(AND(T150&lt;&gt;AE150,AF150="Interior LLLC")=TRUE,FALSE,TRUE),FALSE)</f>
        <v>1</v>
      </c>
      <c r="HO149" s="1379" t="b">
        <f>IFERROR(IF(OR(AF150=Lookup!AU$13,AF150=Lookup!AU$14)=TRUE,IF(AE150&gt;T150,FALSE,TRUE),TRUE),FALSE)</f>
        <v>1</v>
      </c>
      <c r="HP149" s="1379" t="b">
        <f>IFERROR(IF(__Retrofit_TI_NC=2,IF(EW150&lt;EW148,FALSE,TRUE),TRUE),FALSE)</f>
        <v>1</v>
      </c>
      <c r="HQ149" s="1379" t="b">
        <f>IF(CN148="Interior",IG$6,TRUE)</f>
        <v>1</v>
      </c>
      <c r="HR149" s="1379" t="b">
        <f>IF(CN148="Exterior",IG$8,TRUE)</f>
        <v>1</v>
      </c>
      <c r="HS149" s="1379" t="b">
        <f>IFERROR(IF(__Retrofit_TI_NC&lt;&gt;0,IF(AW148&lt;AV148,FALSE,TRUE),TRUE),FALSE)</f>
        <v>1</v>
      </c>
      <c r="HT149" s="1379" t="b">
        <f>IFERROR(IF(AND(G149="Exterior",R149&gt;4200),FALSE,TRUE),FALSE)</f>
        <v>1</v>
      </c>
      <c r="HU149" s="1379" t="b">
        <f>IFERROR(IF(AB151/AB148&lt;HU$18,FALSE,TRUE),FALSE)</f>
        <v>0</v>
      </c>
      <c r="HW149" s="1382"/>
      <c r="HX149" s="1378"/>
      <c r="HY149" s="1377" t="str">
        <f>VLOOKUP(HW151,_Error_Table,4,FALSE)</f>
        <v>White</v>
      </c>
      <c r="HZ149" s="436"/>
      <c r="IA149" s="1386"/>
      <c r="IB149" s="1380"/>
      <c r="IC149" s="1379"/>
      <c r="IF149" s="1380"/>
      <c r="IG149" s="1382"/>
      <c r="IH149" s="1382"/>
      <c r="II149" s="1382"/>
      <c r="IK149" s="1351"/>
      <c r="IL149" s="1351"/>
      <c r="IM149" s="1351"/>
      <c r="IN149" s="1351"/>
      <c r="IO149" s="1351"/>
      <c r="IP149" s="1351"/>
    </row>
    <row r="150" spans="1:250" s="82" customFormat="1" ht="14.95" customHeight="1" thickTop="1" thickBot="1">
      <c r="A150" s="82">
        <f>ROW()</f>
        <v>150</v>
      </c>
      <c r="B150" s="1421"/>
      <c r="C150" s="1422"/>
      <c r="D150" s="1423"/>
      <c r="E150" s="1393" t="s">
        <v>245</v>
      </c>
      <c r="F150" s="1394"/>
      <c r="G150" s="1398"/>
      <c r="H150" s="1399"/>
      <c r="I150" s="1399"/>
      <c r="J150" s="1399"/>
      <c r="K150" s="1399"/>
      <c r="L150" s="1400"/>
      <c r="M150" s="509">
        <f>IFERROR(IF(IF(__Retrofit_TI_NC&lt;&gt;0,IF(CN148="Interior",MATCH(G150,Lookup_Interior_New,0),MATCH(G150,Lookup_Exterior_New,0)),IF(CN148="Interior",MATCH(G150,Lookup_Interior,0),MATCH(G150,Lookup_Exterior_Areas,0)))&gt;0,1,0),0)</f>
        <v>0</v>
      </c>
      <c r="N150" s="509" t="e">
        <f>IF(__Retrofit_TI_NC=1,
VLOOKUP(G150,'Space Table'!$B$3:$L$160,4,FALSE),
IF(__Retrofit_TI_NC=2,VLOOKUP(G150,'Space Table'!$B$3:$L$160,5,FALSE),VLOOKUP(G150,'Space Table'!$B$3:$L$160,5,FALSE)))</f>
        <v>#N/A</v>
      </c>
      <c r="O150" s="509">
        <f>G150</f>
        <v>0</v>
      </c>
      <c r="P150" s="1394" t="s">
        <v>355</v>
      </c>
      <c r="Q150" s="1394"/>
      <c r="R150" s="674"/>
      <c r="S150" s="1401" t="s">
        <v>284</v>
      </c>
      <c r="T150" s="672"/>
      <c r="U150" s="1499"/>
      <c r="V150" s="1500"/>
      <c r="W150" s="1500"/>
      <c r="X150" s="1500"/>
      <c r="Y150" s="1500"/>
      <c r="Z150" s="1500"/>
      <c r="AA150" s="1500"/>
      <c r="AB150" s="1501"/>
      <c r="AC150" s="1501"/>
      <c r="AD150" s="1502"/>
      <c r="AE150" s="672"/>
      <c r="AF150" s="1474"/>
      <c r="AG150" s="1474"/>
      <c r="AH150" s="1474"/>
      <c r="AI150" s="1474"/>
      <c r="AJ150" s="1475">
        <f>DF150</f>
        <v>0</v>
      </c>
      <c r="AK150" s="1470" t="str">
        <f>IFERROR(ROUND(AJ150*AC151,0),"")</f>
        <v/>
      </c>
      <c r="AL150" s="1472">
        <f>IFERROR(IF(HW148=FALSE,0,AC151-AK150),0)</f>
        <v>0</v>
      </c>
      <c r="AM150" s="1441"/>
      <c r="AN150" s="1442"/>
      <c r="AO150" s="1447"/>
      <c r="AP150" s="1447"/>
      <c r="AQ150" s="1448"/>
      <c r="AR150" s="1452"/>
      <c r="AS150" s="1455"/>
      <c r="AT150" s="1458"/>
      <c r="AU150" s="516"/>
      <c r="AV150" s="1479"/>
      <c r="AW150" s="1479"/>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M150" s="1352"/>
      <c r="CN150" s="1352"/>
      <c r="CO150" s="1415" t="str">
        <f>CN148</f>
        <v/>
      </c>
      <c r="CP150" s="1417" t="e">
        <f>CP148</f>
        <v>#N/A</v>
      </c>
      <c r="CR150" s="1386" t="s">
        <v>284</v>
      </c>
      <c r="CS150" s="1353">
        <f>IF(HW148=TRUE,T150,0)</f>
        <v>0</v>
      </c>
      <c r="CT150" s="1353" t="str">
        <f>IF(HW148=TRUE,U150,"")</f>
        <v/>
      </c>
      <c r="CU150" s="1373">
        <f>IF(HW148=TRUE,U151,0)</f>
        <v>0</v>
      </c>
      <c r="CV150" s="1370">
        <f>IF(HW148=TRUE,AB151,0)</f>
        <v>0</v>
      </c>
      <c r="CW150" s="1370">
        <f>IF(HW148=TRUE,AC151,0)</f>
        <v>0</v>
      </c>
      <c r="CX150" s="1371"/>
      <c r="CY150" s="1486"/>
      <c r="CZ150" s="1486"/>
      <c r="DA150" s="1486"/>
      <c r="DC150" s="1353">
        <f>IF(HW148=TRUE,AE150,0)</f>
        <v>0</v>
      </c>
      <c r="DD150" s="1353" t="str">
        <f>IF(HW148=TRUE,AF150,"")</f>
        <v/>
      </c>
      <c r="DE150" s="1373">
        <f>AF151</f>
        <v>0</v>
      </c>
      <c r="DF150" s="1406">
        <f>IFERROR(IF(FL150=3,IK150,IF(FL150=4,IL150,IF(FL150=5,IM150,IF(FL150=6,IN150,IF(FL150=7,IO150,IF(FL150=8,IP150,0)))))),0)</f>
        <v>0</v>
      </c>
      <c r="DG150" s="1370">
        <f>IF(HW148=TRUE,AK150,0)</f>
        <v>0</v>
      </c>
      <c r="DH150" s="1369"/>
      <c r="DK150" s="1483">
        <f>IFERROR(CW150-DG150,0)</f>
        <v>0</v>
      </c>
      <c r="DL150" s="1420"/>
      <c r="DN150" s="1403"/>
      <c r="DO150" s="1477" t="str">
        <f>DN148</f>
        <v/>
      </c>
      <c r="DP150" s="1354"/>
      <c r="DQ150" s="1477" t="str">
        <f>IF(DP148=7,"LLLC","")</f>
        <v/>
      </c>
      <c r="DR150" s="1403"/>
      <c r="DS150" s="1489"/>
      <c r="DU150" s="1403"/>
      <c r="DV150" s="1404" t="str">
        <f>DU148</f>
        <v/>
      </c>
      <c r="DW150" s="1403"/>
      <c r="DX150" s="1403"/>
      <c r="DZ150" s="1481"/>
      <c r="EA150" s="1481"/>
      <c r="EC150" s="1482"/>
      <c r="ED150" s="1369"/>
      <c r="EE150" s="1371"/>
      <c r="EF150" s="1369"/>
      <c r="EG150" s="1369"/>
      <c r="EH150" s="1374"/>
      <c r="EI150" s="1374"/>
      <c r="EJ150" s="1363"/>
      <c r="EK150" s="1376"/>
      <c r="EL150" s="1376"/>
      <c r="EM150" s="1362"/>
      <c r="EN150" s="1362"/>
      <c r="EO150" s="1363"/>
      <c r="EP150" s="1363"/>
      <c r="EQ150" s="1363"/>
      <c r="ES150" s="1403"/>
      <c r="EU150" s="1411" t="e">
        <f>VLOOKUP(CP150,'Space Table'!$B$3:$L$160,8,FALSE)</f>
        <v>#N/A</v>
      </c>
      <c r="EV150" s="1411" t="e">
        <f>IF(EY150="Yes",VLOOKUP(AF150,Lookup_Control_Type_Table2,4,FALSE),VLOOKUP(AF150,Lookup_Control_Type_Table2,3,FALSE))</f>
        <v>#N/A</v>
      </c>
      <c r="EW150" s="1411" t="e">
        <f>VLOOKUP(AF150,Lookup!AU$3:AV$15,2,FALSE)</f>
        <v>#N/A</v>
      </c>
      <c r="EX150" s="1411" t="e">
        <f>VLOOKUP(EU148,Lookup_Control_Type_Table,2,FALSE)</f>
        <v>#N/A</v>
      </c>
      <c r="EY150" s="1411" t="e">
        <f>VLOOKUP(CP150,'Space Table'!$B$3:$L$160,7,FALSE)</f>
        <v>#N/A</v>
      </c>
      <c r="EZ150" s="1413"/>
      <c r="FB150" s="1365" t="str">
        <f>CONCATENATE(CN148," - ",AF150)</f>
        <v xml:space="preserve"> - </v>
      </c>
      <c r="FD150" s="1354"/>
      <c r="FE150" s="1354"/>
      <c r="FF150" s="138"/>
      <c r="FI150" s="1356" t="str">
        <f>IF(CN148="Exterior","Not Daylighted",G151)</f>
        <v>Not Daylighted</v>
      </c>
      <c r="FJ150" s="1356">
        <f>VLOOKUP(FI150,_Daylight_Table_Codes,2,FALSE)</f>
        <v>0</v>
      </c>
      <c r="FK150" s="1365">
        <f>AF150</f>
        <v>0</v>
      </c>
      <c r="FL150" s="1365" t="e">
        <f>VLOOKUP(FK150,_Control_Table,2,FALSE)</f>
        <v>#N/A</v>
      </c>
      <c r="FM150" s="1365" t="e">
        <f>IF(AND(FP150&gt;0,FK150="Occupancy Sensor"),"Daylight + Occupancy",IF(AND(FP150&gt;0,FL150&lt;4),"Interior Daylight Dimming",FK150))</f>
        <v>#N/A</v>
      </c>
      <c r="FO150" s="1364">
        <f>IF(CN148="Interior",VLOOKUP(CP148,Control_Savings_Interior,5,FALSE),0)</f>
        <v>0</v>
      </c>
      <c r="FP150" s="1361">
        <f>IF(CN150="Exterior",0,IF(FJ150=2,0.5,IF(OR(FJ150=1,FJ150=3),1,0)))</f>
        <v>0</v>
      </c>
      <c r="FQ150" s="1366">
        <f>IF(R149&gt;FO$37,(FO150*(FO$37/R149)),FO150)*FP150</f>
        <v>0</v>
      </c>
      <c r="FR150" s="1364">
        <f>DF150</f>
        <v>0</v>
      </c>
      <c r="FS150" s="1364">
        <f>ROUND(FR150+((1-FR150)*FQ150),2)</f>
        <v>0</v>
      </c>
      <c r="FT150" s="1364">
        <f>IF(__Retrofit_TI_NC=2,FS150,FR150)</f>
        <v>0</v>
      </c>
      <c r="FU150" s="1360">
        <f>IF(CO150="Interior",VLOOKUP(CP150,Control_Savings_Interior,4,FALSE),0)</f>
        <v>0</v>
      </c>
      <c r="FW150" s="1352"/>
      <c r="FX150" s="1352"/>
      <c r="FY150" s="1352"/>
      <c r="FZ150" s="1352"/>
      <c r="GA150" s="1352"/>
      <c r="GB150" s="1352"/>
      <c r="GC150" s="1352"/>
      <c r="GD150" s="1352"/>
      <c r="GE150" s="759" t="b">
        <f>IF(ISNUMBER(SEARCH("TLED",U150)),TRUE,FALSE)</f>
        <v>0</v>
      </c>
      <c r="GF150" s="1035" t="str">
        <f>IFERROR(VLOOKUP(U150,Fixtures!DM$93:DR$142,6,FALSE),"")</f>
        <v/>
      </c>
      <c r="GG150" s="1385"/>
      <c r="GI150" s="1383"/>
      <c r="GJ150" s="1379"/>
      <c r="GL150" s="1379"/>
      <c r="GM150" s="1379"/>
      <c r="HC150" s="1379"/>
      <c r="HD150" s="1379"/>
      <c r="HE150" s="1379"/>
      <c r="HF150" s="1379"/>
      <c r="HG150" s="1379"/>
      <c r="HH150" s="1379"/>
      <c r="HI150" s="1383"/>
      <c r="HJ150" s="1383"/>
      <c r="HK150" s="1383"/>
      <c r="HL150" s="1379"/>
      <c r="HM150" s="1379"/>
      <c r="HN150" s="1379"/>
      <c r="HO150" s="1379"/>
      <c r="HP150" s="1379"/>
      <c r="HQ150" s="1379"/>
      <c r="HR150" s="1379"/>
      <c r="HS150" s="1379"/>
      <c r="HT150" s="1379"/>
      <c r="HU150" s="1379"/>
      <c r="HW150" s="1383"/>
      <c r="HX150" s="1384" t="b">
        <f>HW148</f>
        <v>0</v>
      </c>
      <c r="HY150" s="1378"/>
      <c r="HZ150" s="436"/>
      <c r="IA150" s="1386"/>
      <c r="IB150" s="1380">
        <f>IF(IA148=TRUE,AC151,0)</f>
        <v>0</v>
      </c>
      <c r="IC150" s="1379"/>
      <c r="IF150" s="1380" t="e">
        <f>ROUND(T150*AB151*N149*R149/1000,0)</f>
        <v>#VALUE!</v>
      </c>
      <c r="IG150" s="1382"/>
      <c r="IH150" s="1384" t="e">
        <f>ROUND(T150*AB151*N149*R149/1000,0)</f>
        <v>#VALUE!</v>
      </c>
      <c r="II150" s="1382"/>
      <c r="IK150" s="1351" t="e">
        <f>IF($CO150="interior",IL150/2,VLOOKUP($CP150,Control_Savings_Exterior,IK$30,FALSE))</f>
        <v>#N/A</v>
      </c>
      <c r="IL150" s="1351" t="e">
        <f>IF($CO150="interior",VLOOKUP($CP150,Control_Savings_Interior,IL$30,FALSE),VLOOKUP($CP150,Control_Savings_Exterior,IL$30,FALSE))</f>
        <v>#N/A</v>
      </c>
      <c r="IM150" s="1351" t="e">
        <f>IF($CO150="interior",IF(R149&gt;FO$37,(IM$28*(FO$37/R149)),IM$28)*FP150,VLOOKUP($CP150,Control_Savings_Exterior,IM$30,FALSE))</f>
        <v>#N/A</v>
      </c>
      <c r="IN150" s="1351" t="e">
        <f>IF($CO150="interior",ROUND(((1-IL150)*IM150)+IL150,2),VLOOKUP($CP150,Control_Savings_Exterior,IN$30,FALSE))</f>
        <v>#N/A</v>
      </c>
      <c r="IO150" s="1351" t="e">
        <f>IF($CO150="interior", ROUND(((1-IL150)*(IM150*(1-IP$28)))+IP150,2), VLOOKUP($CP150,Control_Savings_Exterior,IO$30,FALSE))</f>
        <v>#N/A</v>
      </c>
      <c r="IP150" s="1351">
        <f>IF($CO150="interior",ROUND(((1-IL150)*IP$28)+IL150,2),0)</f>
        <v>0</v>
      </c>
    </row>
    <row r="151" spans="1:250" s="82" customFormat="1" ht="14.95" customHeight="1" thickTop="1" thickBot="1">
      <c r="B151" s="1421"/>
      <c r="C151" s="1422"/>
      <c r="D151" s="1423"/>
      <c r="E151" s="1462" t="s">
        <v>357</v>
      </c>
      <c r="F151" s="1463"/>
      <c r="G151" s="1464" t="s">
        <v>362</v>
      </c>
      <c r="H151" s="1465"/>
      <c r="I151" s="1465"/>
      <c r="J151" s="1465"/>
      <c r="K151" s="1465"/>
      <c r="L151" s="1466"/>
      <c r="M151" s="669">
        <f>IFERROR(VLOOKUP(G151,_Daylight_Table[],2,FALSE),0)</f>
        <v>0</v>
      </c>
      <c r="N151" s="670"/>
      <c r="O151" s="669" t="e">
        <f>VLOOKUP(G150,'Space Table'!$B$3:$L$160,11,FALSE)</f>
        <v>#N/A</v>
      </c>
      <c r="P151" s="1408"/>
      <c r="Q151" s="1409"/>
      <c r="R151" s="1409"/>
      <c r="S151" s="1402"/>
      <c r="T151" s="671" t="s">
        <v>281</v>
      </c>
      <c r="U151" s="1467" t="str">
        <f>IFERROR(VLOOKUP(U150,Fixtures!DM$93:DP$142,4,FALSE),"")</f>
        <v/>
      </c>
      <c r="V151" s="1468"/>
      <c r="W151" s="1468"/>
      <c r="X151" s="1468"/>
      <c r="Y151" s="1468"/>
      <c r="Z151" s="1468"/>
      <c r="AA151" s="1468"/>
      <c r="AB151" s="1046" t="str">
        <f>IFERROR(VLOOKUP(U150,Fixtures_Proposed_List,2,FALSE),"")</f>
        <v/>
      </c>
      <c r="AC151" s="1036" t="str">
        <f>IFERROR(ROUND(T150*AB151*N149*R149/1000,0),"")</f>
        <v/>
      </c>
      <c r="AD151" s="1037" t="str">
        <f>IFERROR(ROUND(T150*AB151/1000,2),"")</f>
        <v/>
      </c>
      <c r="AE151" s="1045" t="s">
        <v>281</v>
      </c>
      <c r="AF151" s="1469"/>
      <c r="AG151" s="1469"/>
      <c r="AH151" s="1469"/>
      <c r="AI151" s="1469"/>
      <c r="AJ151" s="1476"/>
      <c r="AK151" s="1471"/>
      <c r="AL151" s="1473"/>
      <c r="AM151" s="1443"/>
      <c r="AN151" s="1444"/>
      <c r="AO151" s="1449"/>
      <c r="AP151" s="1449"/>
      <c r="AQ151" s="1450"/>
      <c r="AR151" s="1453"/>
      <c r="AS151" s="1456"/>
      <c r="AT151" s="1459"/>
      <c r="AU151" s="517"/>
      <c r="AV151" s="1480"/>
      <c r="AW151" s="1480"/>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M151" s="1352"/>
      <c r="CN151" s="1352"/>
      <c r="CO151" s="1416"/>
      <c r="CP151" s="1418"/>
      <c r="CR151" s="1386"/>
      <c r="CS151" s="1355"/>
      <c r="CT151" s="1355"/>
      <c r="CU151" s="1375"/>
      <c r="CV151" s="1372"/>
      <c r="CW151" s="1372"/>
      <c r="CX151" s="1372"/>
      <c r="CY151" s="1487"/>
      <c r="CZ151" s="1487"/>
      <c r="DA151" s="1487"/>
      <c r="DC151" s="1355"/>
      <c r="DD151" s="1355"/>
      <c r="DE151" s="1375"/>
      <c r="DF151" s="1407"/>
      <c r="DG151" s="1372"/>
      <c r="DH151" s="1369"/>
      <c r="DK151" s="1484"/>
      <c r="DL151" s="1420"/>
      <c r="DN151" s="1403"/>
      <c r="DO151" s="1405"/>
      <c r="DP151" s="1355"/>
      <c r="DQ151" s="1405"/>
      <c r="DR151" s="1403"/>
      <c r="DS151" s="1489"/>
      <c r="DU151" s="1403"/>
      <c r="DV151" s="1405"/>
      <c r="DW151" s="1403"/>
      <c r="DX151" s="1403"/>
      <c r="DZ151" s="1481"/>
      <c r="EA151" s="1481"/>
      <c r="EC151" s="1482"/>
      <c r="ED151" s="1369"/>
      <c r="EE151" s="1372"/>
      <c r="EF151" s="1369"/>
      <c r="EG151" s="1369"/>
      <c r="EH151" s="1375"/>
      <c r="EI151" s="1375"/>
      <c r="EJ151" s="1363"/>
      <c r="EK151" s="1376"/>
      <c r="EL151" s="1376"/>
      <c r="EM151" s="1362"/>
      <c r="EN151" s="1362"/>
      <c r="EO151" s="1363"/>
      <c r="EP151" s="1363"/>
      <c r="EQ151" s="1363"/>
      <c r="ES151" s="1403"/>
      <c r="EU151" s="1488"/>
      <c r="EV151" s="1488"/>
      <c r="EW151" s="1488"/>
      <c r="EX151" s="1488"/>
      <c r="EY151" s="1488"/>
      <c r="EZ151" s="1414"/>
      <c r="FB151" s="1365"/>
      <c r="FD151" s="1355"/>
      <c r="FE151" s="1355"/>
      <c r="FF151" s="138"/>
      <c r="FI151" s="1357"/>
      <c r="FJ151" s="1357"/>
      <c r="FK151" s="1365"/>
      <c r="FL151" s="1365"/>
      <c r="FM151" s="1365"/>
      <c r="FO151" s="1361"/>
      <c r="FP151" s="1361"/>
      <c r="FQ151" s="1366"/>
      <c r="FR151" s="1361"/>
      <c r="FS151" s="1361"/>
      <c r="FT151" s="1361"/>
      <c r="FU151" s="1360"/>
      <c r="FW151" s="1352"/>
      <c r="FX151" s="1352"/>
      <c r="FY151" s="1352"/>
      <c r="FZ151" s="1352"/>
      <c r="GA151" s="1352"/>
      <c r="GB151" s="1352"/>
      <c r="GC151" s="1352"/>
      <c r="GD151" s="1352"/>
      <c r="GE151" s="759"/>
      <c r="GF151" s="1035"/>
      <c r="GG151" s="1385"/>
      <c r="GJ151" s="1034">
        <f>IF(GJ149=TRUE,0,GJ$16)</f>
        <v>0</v>
      </c>
      <c r="GL151" s="1034">
        <f>IF(GL149=TRUE,0,GL$16)</f>
        <v>36</v>
      </c>
      <c r="GM151" s="1034">
        <f>IF(GM149=TRUE,0,GM$16)</f>
        <v>35</v>
      </c>
      <c r="GN151" s="436"/>
      <c r="GO151" s="436"/>
      <c r="GP151" s="436"/>
      <c r="GQ151" s="436"/>
      <c r="GR151" s="436"/>
      <c r="HC151" s="1034">
        <f t="shared" ref="HC151:HH151" si="98">IF(HC149=TRUE,0,HC$16)</f>
        <v>19</v>
      </c>
      <c r="HD151" s="1034">
        <f t="shared" si="98"/>
        <v>18</v>
      </c>
      <c r="HE151" s="1034">
        <f t="shared" si="98"/>
        <v>17</v>
      </c>
      <c r="HF151" s="1034">
        <f t="shared" si="98"/>
        <v>16</v>
      </c>
      <c r="HG151" s="1034">
        <f t="shared" si="98"/>
        <v>0</v>
      </c>
      <c r="HH151" s="1034">
        <f t="shared" si="98"/>
        <v>0</v>
      </c>
      <c r="HI151" s="1034">
        <f>IF(HI149=TRUE,0,HI$16)</f>
        <v>13</v>
      </c>
      <c r="HJ151" s="1034">
        <f t="shared" ref="HJ151:HL151" si="99">IF(HJ149=TRUE,0,HJ$16)</f>
        <v>12</v>
      </c>
      <c r="HK151" s="1034">
        <f t="shared" si="99"/>
        <v>11</v>
      </c>
      <c r="HL151" s="1034">
        <f t="shared" si="99"/>
        <v>10</v>
      </c>
      <c r="HM151" s="1034">
        <f>IF(HM149=TRUE,0,HM$16)</f>
        <v>9</v>
      </c>
      <c r="HN151" s="1034">
        <f t="shared" ref="HN151:HR151" si="100">IF(HN149=TRUE,0,HN$16)</f>
        <v>0</v>
      </c>
      <c r="HO151" s="1034">
        <f t="shared" si="100"/>
        <v>0</v>
      </c>
      <c r="HP151" s="1034">
        <f t="shared" si="100"/>
        <v>0</v>
      </c>
      <c r="HQ151" s="1034">
        <f t="shared" si="100"/>
        <v>0</v>
      </c>
      <c r="HR151" s="1034">
        <f t="shared" si="100"/>
        <v>0</v>
      </c>
      <c r="HS151" s="1034">
        <f>IF(HS149=TRUE,0,HS$16)</f>
        <v>0</v>
      </c>
      <c r="HT151" s="1034">
        <f t="shared" ref="HT151" si="101">IF(HT149=TRUE,0,HT$16)</f>
        <v>0</v>
      </c>
      <c r="HU151" s="1034">
        <f>IF(HU149=TRUE,0,HU$16)</f>
        <v>1</v>
      </c>
      <c r="HW151" s="1034">
        <f>IF(GL149=FALSE,GL151,IF(GM149=FALSE,GM151,MAX(GJ151:HU151)))</f>
        <v>36</v>
      </c>
      <c r="HX151" s="1383"/>
      <c r="HY151" s="241" t="str">
        <f>VLOOKUP(HW151,_Error_Table,3,FALSE)</f>
        <v xml:space="preserve"> </v>
      </c>
      <c r="HZ151" s="241"/>
      <c r="IA151" s="1386"/>
      <c r="IB151" s="1380"/>
      <c r="IC151" s="1379"/>
      <c r="IF151" s="1380"/>
      <c r="IG151" s="1383"/>
      <c r="IH151" s="1383"/>
      <c r="II151" s="1383"/>
      <c r="IK151" s="1351"/>
      <c r="IL151" s="1351"/>
      <c r="IM151" s="1351"/>
      <c r="IN151" s="1351"/>
      <c r="IO151" s="1351"/>
      <c r="IP151" s="1351"/>
    </row>
    <row r="152" spans="1:250" s="82" customFormat="1" ht="5.0999999999999996" customHeight="1" thickBot="1">
      <c r="B152" s="763"/>
      <c r="C152" s="437"/>
      <c r="D152" s="437"/>
      <c r="E152" s="1490"/>
      <c r="F152" s="1490"/>
      <c r="G152" s="1490"/>
      <c r="H152" s="1490"/>
      <c r="I152" s="1490"/>
      <c r="J152" s="1490"/>
      <c r="K152" s="1490"/>
      <c r="L152" s="1490"/>
      <c r="M152" s="1490"/>
      <c r="N152" s="1490"/>
      <c r="O152" s="1490"/>
      <c r="P152" s="1490"/>
      <c r="Q152" s="1490"/>
      <c r="R152" s="1490"/>
      <c r="S152" s="1490"/>
      <c r="T152" s="1490"/>
      <c r="U152" s="1490"/>
      <c r="V152" s="1490"/>
      <c r="W152" s="1490"/>
      <c r="X152" s="1490"/>
      <c r="Y152" s="1490"/>
      <c r="Z152" s="1490"/>
      <c r="AA152" s="1490"/>
      <c r="AB152" s="1490"/>
      <c r="AC152" s="1490"/>
      <c r="AD152" s="1490"/>
      <c r="AE152" s="1490"/>
      <c r="AF152" s="1490"/>
      <c r="AG152" s="1490"/>
      <c r="AH152" s="1490"/>
      <c r="AI152" s="1490"/>
      <c r="AJ152" s="1490"/>
      <c r="AK152" s="1490"/>
      <c r="AL152" s="1490"/>
      <c r="AM152" s="1490"/>
      <c r="AN152" s="1490"/>
      <c r="AO152" s="1490"/>
      <c r="AP152" s="1490"/>
      <c r="AQ152" s="1490"/>
      <c r="AR152" s="1490"/>
      <c r="AS152" s="1490"/>
      <c r="AT152" s="1490"/>
      <c r="AU152" s="51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M152" s="749"/>
      <c r="CN152" s="749"/>
      <c r="CO152" s="485"/>
      <c r="CP152" s="749"/>
      <c r="CS152" s="436"/>
      <c r="CT152" s="436"/>
      <c r="CU152" s="243"/>
      <c r="CV152" s="244"/>
      <c r="CW152" s="244"/>
      <c r="CX152" s="244"/>
      <c r="CY152" s="245"/>
      <c r="CZ152" s="245"/>
      <c r="DA152" s="245"/>
      <c r="DC152" s="750"/>
      <c r="DD152" s="751"/>
      <c r="DE152" s="752"/>
      <c r="DF152" s="753"/>
      <c r="DG152" s="754"/>
      <c r="DH152" s="754"/>
      <c r="DK152" s="244"/>
      <c r="DL152" s="750"/>
      <c r="DN152" s="750"/>
      <c r="DO152" s="755"/>
      <c r="DP152" s="436"/>
      <c r="DQ152" s="750"/>
      <c r="DR152" s="750"/>
      <c r="DS152" s="750"/>
      <c r="DU152" s="750"/>
      <c r="DV152" s="750"/>
      <c r="DW152" s="750"/>
      <c r="DX152" s="750"/>
      <c r="DZ152" s="756"/>
      <c r="EA152" s="756"/>
      <c r="EC152" s="754"/>
      <c r="ED152" s="754"/>
      <c r="EE152" s="244"/>
      <c r="EF152" s="754"/>
      <c r="EG152" s="754"/>
      <c r="EH152" s="243"/>
      <c r="EI152" s="243"/>
      <c r="EJ152" s="752"/>
      <c r="EK152" s="757"/>
      <c r="EL152" s="757"/>
      <c r="EM152" s="758"/>
      <c r="EN152" s="758"/>
      <c r="EO152" s="752"/>
      <c r="EP152" s="752"/>
      <c r="EQ152" s="752"/>
      <c r="ES152" s="750"/>
      <c r="EU152" s="436"/>
      <c r="EV152" s="436"/>
      <c r="EW152" s="436"/>
      <c r="EX152" s="436"/>
      <c r="EY152" s="436"/>
      <c r="EZ152" s="436"/>
      <c r="FB152" s="643"/>
      <c r="FD152" s="436"/>
      <c r="FE152" s="436"/>
      <c r="FF152" s="436"/>
      <c r="FO152" s="750"/>
      <c r="FP152" s="436"/>
      <c r="FQ152" s="436"/>
      <c r="FR152" s="750"/>
      <c r="FS152" s="750"/>
      <c r="FW152" s="749"/>
      <c r="FX152" s="749"/>
      <c r="FY152" s="749"/>
      <c r="FZ152" s="749"/>
      <c r="GA152" s="749"/>
      <c r="GB152" s="749"/>
      <c r="GC152" s="749"/>
      <c r="GD152" s="749"/>
      <c r="GE152" s="751"/>
      <c r="GF152" s="750"/>
      <c r="GG152" s="750"/>
    </row>
    <row r="153" spans="1:250" s="82" customFormat="1" ht="14.95" customHeight="1" thickTop="1" thickBot="1">
      <c r="B153" s="1421" t="str">
        <f>HY156</f>
        <v xml:space="preserve"> </v>
      </c>
      <c r="C153" s="1422">
        <f>C148+1</f>
        <v>23</v>
      </c>
      <c r="D153" s="1423"/>
      <c r="E153" s="1424" t="s">
        <v>242</v>
      </c>
      <c r="F153" s="1425"/>
      <c r="G153" s="1426"/>
      <c r="H153" s="1427"/>
      <c r="I153" s="1427"/>
      <c r="J153" s="1427"/>
      <c r="K153" s="1427"/>
      <c r="L153" s="1427"/>
      <c r="M153" s="1427"/>
      <c r="N153" s="1427"/>
      <c r="O153" s="1427"/>
      <c r="P153" s="1427"/>
      <c r="Q153" s="1427"/>
      <c r="R153" s="1427"/>
      <c r="S153" s="1428" t="s">
        <v>283</v>
      </c>
      <c r="T153" s="668" t="s">
        <v>190</v>
      </c>
      <c r="U153" s="1430" t="s">
        <v>186</v>
      </c>
      <c r="V153" s="1431"/>
      <c r="W153" s="1431"/>
      <c r="X153" s="1431"/>
      <c r="Y153" s="1431"/>
      <c r="Z153" s="1431"/>
      <c r="AA153" s="1431"/>
      <c r="AB153" s="1088" t="str">
        <f>IFERROR(IF(__Retrofit_TI_NC=0,VLOOKUP(U154,Fixtures_Existing_List,2,FALSE),ROUND(N155*R155/T155,10)),"")</f>
        <v/>
      </c>
      <c r="AC153" s="1039" t="str">
        <f>IFERROR(IF(__Retrofit_TI_NC=0,ROUND(T154*AB153*N154*R154/1000,0),IF(CN153="Interior",N155*R155*R154*N154*_C406_reduction/1000,N155*R155*R154*N154/1000)),"")</f>
        <v/>
      </c>
      <c r="AD153" s="1040" t="str">
        <f>IFERROR(IF(C$36=0,ROUND(T154*AB153/1000,2),N155*R155/1000),"")</f>
        <v/>
      </c>
      <c r="AE153" s="1044" t="s">
        <v>190</v>
      </c>
      <c r="AF153" s="1432" t="str">
        <f>IF(__Retrofit_TI_NC=2,CONCATENATE("Code min = ",DD153),IF(__Retrofit_TI_NC=1,"Emter what you think the existing control was"," Control"))</f>
        <v xml:space="preserve"> Control</v>
      </c>
      <c r="AG153" s="1432"/>
      <c r="AH153" s="1432"/>
      <c r="AI153" s="1432"/>
      <c r="AJ153" s="1433">
        <f>DF153</f>
        <v>0</v>
      </c>
      <c r="AK153" s="1435" t="str">
        <f>IFERROR(ROUND(AJ153*AC153,0),"")</f>
        <v/>
      </c>
      <c r="AL153" s="1437">
        <f>IFERROR(IF(HW153=FALSE,0,AC153-AK153),0)</f>
        <v>0</v>
      </c>
      <c r="AM153" s="1439">
        <f>AL153-AL155</f>
        <v>0</v>
      </c>
      <c r="AN153" s="1440"/>
      <c r="AO153" s="1445">
        <f>IFERROR(IF(HW153=FALSE,0,(T155*U156)+(AE155*AF156)),0)</f>
        <v>0</v>
      </c>
      <c r="AP153" s="1445"/>
      <c r="AQ153" s="1446"/>
      <c r="AR153" s="1451" t="s">
        <v>157</v>
      </c>
      <c r="AS153" s="1454">
        <f>IF(AR153="Yes",1,0)</f>
        <v>1</v>
      </c>
      <c r="AT153" s="1457" t="str">
        <f>IF(OR(DN153=4,DN153=5,DN153=6,DN153=12),CONCATENATE("$",IF(GD153=TRUE,Lookup!$B$11,Lookup!$B$2)," /lamp"),CONCATENATE(EA153,"/ kWh"))</f>
        <v>0/ kWh</v>
      </c>
      <c r="AU153" s="516"/>
      <c r="AV153" s="1478">
        <f>IFERROR(IF(GI154=TRUE,(AB156*T155)/R155,0),"NA")</f>
        <v>0</v>
      </c>
      <c r="AW153" s="1478" t="str">
        <f>IFERROR(N155*_C406_reduction,"NA")</f>
        <v>NA</v>
      </c>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M153" s="1352" t="str">
        <f>N154</f>
        <v/>
      </c>
      <c r="CN153" s="1352" t="str">
        <f>IFERROR(VLOOKUP(G154,_Lookup_Heat_Type_Table_New,3,FALSE),"")</f>
        <v/>
      </c>
      <c r="CO153" s="1415" t="str">
        <f>CN153</f>
        <v/>
      </c>
      <c r="CP153" s="1417" t="e">
        <f>VLOOKUP(G155,'Space Table'!$B$3:$L$160,9,FALSE)</f>
        <v>#N/A</v>
      </c>
      <c r="CR153" s="1386" t="s">
        <v>283</v>
      </c>
      <c r="CS153" s="1353">
        <f>IF(HW153=TRUE,T154,0)</f>
        <v>0</v>
      </c>
      <c r="CT153" s="1353" t="str">
        <f>IF(HW153=TRUE,U154,"")</f>
        <v/>
      </c>
      <c r="CU153" s="1353"/>
      <c r="CV153" s="1370">
        <f>IF(HW153=TRUE,AB153,0)</f>
        <v>0</v>
      </c>
      <c r="CW153" s="1370">
        <f>IF(HW153=TRUE,AC153,0)</f>
        <v>0</v>
      </c>
      <c r="CX153" s="1370">
        <f>IFERROR(IF(HW153=TRUE,CW153-CW155,0),0)</f>
        <v>0</v>
      </c>
      <c r="CY153" s="1485">
        <f>IF(HW153=TRUE,AD153,0)</f>
        <v>0</v>
      </c>
      <c r="CZ153" s="1485">
        <f>IF(HW153=TRUE,AD156,0)</f>
        <v>0</v>
      </c>
      <c r="DA153" s="1485">
        <f>IFERROR(CY153-CZ153,0)</f>
        <v>0</v>
      </c>
      <c r="DC153" s="1353">
        <f>IF(HW153=TRUE,AE154,0)</f>
        <v>0</v>
      </c>
      <c r="DD153" s="1460">
        <f>IF(__Retrofit_TI_NC=2,IF(CN153="Exterior",O156,FM153),FK153)</f>
        <v>0</v>
      </c>
      <c r="DE153" s="1353"/>
      <c r="DF153" s="1406">
        <f>IFERROR(IF(FL153=3,IK153,IF(FL153=4,IL153,IF(FL153=5,IM153,IF(FL153=6,IN153,IF(FL153=7,IO153,IF(FL153=8,IP153,0)))))),0)</f>
        <v>0</v>
      </c>
      <c r="DG153" s="1370">
        <f>IF(HW153=TRUE,AK153,0)</f>
        <v>0</v>
      </c>
      <c r="DH153" s="1369">
        <f>IFERROR(IF(HW153=TRUE,DG155-DG153,0),0)</f>
        <v>0</v>
      </c>
      <c r="DJ153" s="1483">
        <f>IFERROR(CW153-DG153,0)</f>
        <v>0</v>
      </c>
      <c r="DL153" s="1419">
        <f>DJ153-DK155</f>
        <v>0</v>
      </c>
      <c r="DN153" s="1403" t="str">
        <f>IFERROR(IF(AND(OR(FY153=4,FY153=5,FY153=6),OR(GB153=4,GB153=5,GB153=6)),FY153+8,VLOOKUP(CT155,Fixtures!R$31:Y$78,8,FALSE)),"")</f>
        <v/>
      </c>
      <c r="DO153" s="1404" t="str">
        <f>DN153</f>
        <v/>
      </c>
      <c r="DP153" s="1353" t="str">
        <f>IFERROR(VLOOKUP(DD155,Lookup!AU$3:AV$15,2,FALSE),"")</f>
        <v/>
      </c>
      <c r="DQ153" s="1404" t="str">
        <f>IF(DP153=7,"LLLC","")</f>
        <v/>
      </c>
      <c r="DR153" s="1403">
        <f>IFERROR(IF(OR(DN153=4,DN153=5,DN153=6,DN153=12,DN153=13,DN153=14),VLOOKUP(CT155,Fixtures!DN$27:EG$77,19,FALSE),1)*CS155,0)</f>
        <v>0</v>
      </c>
      <c r="DS153" s="1489">
        <f>IF(DP153=7,IF(DD153=DD155,0,DC155),0)</f>
        <v>0</v>
      </c>
      <c r="DU153" s="1403" t="str">
        <f>IFERROR(IF(EW153&lt;EW155,"Yes","No"),"")</f>
        <v/>
      </c>
      <c r="DV153" s="1404" t="str">
        <f>DU153</f>
        <v/>
      </c>
      <c r="DW153" s="1403">
        <f>IF(DU153="Yes",DC155,0)</f>
        <v>0</v>
      </c>
      <c r="DX153" s="1403">
        <f>DW153-DS153</f>
        <v>0</v>
      </c>
      <c r="DZ153" s="1481">
        <f>IFERROR(VLOOKUP(DN153,Lookup!AN$3:AO$16,2,FALSE),0)</f>
        <v>0</v>
      </c>
      <c r="EA153" s="1481">
        <f>IF(HW153=FALSE,0,IF(DU153="Yes",DZ153+Lookup!B$6,DZ153))</f>
        <v>0</v>
      </c>
      <c r="EC153" s="1482">
        <f>IF(HW153=TRUE,DJ153,0)</f>
        <v>0</v>
      </c>
      <c r="ED153" s="1369">
        <f>IF(HW153=TRUE,CW155,0)</f>
        <v>0</v>
      </c>
      <c r="EE153" s="1370">
        <f>IFERROR(EC153-ED153,0)</f>
        <v>0</v>
      </c>
      <c r="EF153" s="1369">
        <f>IF(HW153=TRUE,DG155,0)</f>
        <v>0</v>
      </c>
      <c r="EG153" s="1369">
        <f>IFERROR(EC153-ED153+EF153,0)</f>
        <v>0</v>
      </c>
      <c r="EH153" s="1373">
        <f>IF(HW153=TRUE,CS155*CU155,0)</f>
        <v>0</v>
      </c>
      <c r="EI153" s="1373">
        <f>IF(HW153=TRUE,DC155*DE155,0)</f>
        <v>0</v>
      </c>
      <c r="EJ153" s="1363">
        <f>AO153</f>
        <v>0</v>
      </c>
      <c r="EK153" s="1376" t="str">
        <f>IFERROR(IF(HW153=TRUE,VLOOKUP(DN153,Lookup!AN$3:AP$16,3,FALSE)*DR153,""),0)</f>
        <v/>
      </c>
      <c r="EL153" s="1376">
        <f>IF(HW153=TRUE,DW153*Lookup!AP$12,0)</f>
        <v>0</v>
      </c>
      <c r="EM153" s="1362">
        <f>IFERROR(IF(HW153=TRUE,EK153/EM$33,0),0)</f>
        <v>0</v>
      </c>
      <c r="EN153" s="1362">
        <f>IF(HW153=TRUE,EL153/EN$33,0)</f>
        <v>0</v>
      </c>
      <c r="EO153" s="1363">
        <f>IF(HW153=TRUE,EQ$33*EM153,0)</f>
        <v>0</v>
      </c>
      <c r="EP153" s="1363">
        <f>IF(HW153=TRUE,EQ$33*EN153,0)</f>
        <v>0</v>
      </c>
      <c r="EQ153" s="1363">
        <f>EO153+EP153</f>
        <v>0</v>
      </c>
      <c r="ES153" s="1403">
        <f>IF(G153="",0,1)</f>
        <v>0</v>
      </c>
      <c r="EU153" s="1410" t="e">
        <f>VLOOKUP(CP155,'Space Table'!$B$3:$L$160,8,FALSE)</f>
        <v>#N/A</v>
      </c>
      <c r="EV153" s="1410" t="e">
        <f>IF(EY153="Yes",VLOOKUP(DD153,Lookup_Control_Type_Table2,4,FALSE),VLOOKUP(DD153,Lookup_Control_Type_Table2,3,FALSE))</f>
        <v>#N/A</v>
      </c>
      <c r="EW153" s="1410" t="e">
        <f>VLOOKUP(DD153,Lookup!AU$3:AV$15,2,FALSE)</f>
        <v>#N/A</v>
      </c>
      <c r="EX153" s="1410" t="e">
        <f>VLOOKUP(EU153,Lookup_Control_Type_Table,2,FALSE)</f>
        <v>#N/A</v>
      </c>
      <c r="EY153" s="1410" t="e">
        <f>VLOOKUP(CP155,'Space Table'!$B$3:$L$160,7,FALSE)</f>
        <v>#N/A</v>
      </c>
      <c r="EZ153" s="1412" t="b">
        <f>ISNUMBER(SEARCH("TLED",U155))</f>
        <v>0</v>
      </c>
      <c r="FB153" s="1365" t="str">
        <f>CONCATENATE(CN153," - ",DD153)</f>
        <v xml:space="preserve"> - 0</v>
      </c>
      <c r="FD153" s="1353" t="str">
        <f>VLOOKUP(CT155,Fixtures!DN$27:EZ$77,38,FALSE)</f>
        <v/>
      </c>
      <c r="FE153" s="1353">
        <f>IFERROR(FD153*EE153,0)</f>
        <v>0</v>
      </c>
      <c r="FF153" s="138"/>
      <c r="FI153" s="1356" t="str">
        <f>IF(CN153="Exterior","Not Daylighted",G156)</f>
        <v>Not Daylighted</v>
      </c>
      <c r="FJ153" s="1356">
        <f>VLOOKUP(FI153,_Daylight_Table_Codes,2,FALSE)</f>
        <v>0</v>
      </c>
      <c r="FK153" s="1365">
        <f>IF(__Retrofit_TI_NC=2,VLOOKUP(G155,'Space Table'!$B$3:$L$160,11,FALSE),AF154)</f>
        <v>0</v>
      </c>
      <c r="FL153" s="1365" t="e">
        <f>VLOOKUP(FK153,_Control_Table,2,FALSE)</f>
        <v>#N/A</v>
      </c>
      <c r="FM153" s="1365" t="e">
        <f>IF(AND(FP153&gt;0,FK153="Occupancy Sensor"),"Daylight + Occupancy",IF(AND(FP153&gt;0,FL153&lt;4),"Interior Daylight Dimming",FK153))</f>
        <v>#N/A</v>
      </c>
      <c r="FO153" s="1364">
        <f>IF(CO153="Interior",VLOOKUP(CP153,Control_Savings_Interior,5,FALSE),0)</f>
        <v>0</v>
      </c>
      <c r="FP153" s="1361">
        <f>IF(CN153="Exterior",0,IF(FJ153=2,0.5,IF(OR(FJ153=1,FJ153=3),1,0)))</f>
        <v>0</v>
      </c>
      <c r="FQ153" s="1366"/>
      <c r="FR153" s="1367"/>
      <c r="FS153" s="1364"/>
      <c r="FT153" s="1367"/>
      <c r="FU153" s="1360"/>
      <c r="FW153" s="1352" t="str">
        <f>IFERROR(VLOOKUP(U154,_Exist_Fixture_Table,3,FALSE),"")</f>
        <v/>
      </c>
      <c r="FX153" s="1352" t="str">
        <f>VLOOKUP(CT153,_Exist_Fixture_Table,4,FALSE)</f>
        <v/>
      </c>
      <c r="FY153" s="1352">
        <f>IFERROR(VLOOKUP(FX153,Lookup!AM$6:AN$8,2,FALSE),0)</f>
        <v>0</v>
      </c>
      <c r="FZ153" s="1352" t="b">
        <f>IFERROR(IF(OR(GB153=4,GB153=5,GB153=6),TRUE,FALSE),"")</f>
        <v>0</v>
      </c>
      <c r="GA153" s="1352" t="str">
        <f>IFERROR(VLOOKUP(GB153,FY$6:FZ$10,2,FALSE),"")</f>
        <v/>
      </c>
      <c r="GB153" s="1352" t="str">
        <f>VLOOKUP(CT155,Fixtures!R$31:Y$78,8,FALSE)</f>
        <v/>
      </c>
      <c r="GC153" s="1352">
        <f>IF(AND(FW153=TRUE,FZ153=TRUE,OR(DN153=12,DN153=13,DN153=14)),FY153+8,0)</f>
        <v>0</v>
      </c>
      <c r="GD153" s="1352" t="b">
        <f>IF(OR(GC153=12,GC153=13,GC153=14),TRUE,FALSE)</f>
        <v>0</v>
      </c>
      <c r="GE153" s="759" t="b">
        <f>IF(ISNUMBER(SEARCH("TLED",U154)),TRUE,FALSE)</f>
        <v>0</v>
      </c>
      <c r="GF153" s="1035" t="str">
        <f>IFERROR(VLOOKUP(U154,Fixtures!BM$93:BR$142,6,FALSE),"")</f>
        <v/>
      </c>
      <c r="GG153" s="1385" t="b">
        <f>IF(OR(GE153=FALSE,GE155=FALSE),TRUE,IF(GF153-GF155&lt;5,FALSE,TRUE))</f>
        <v>1</v>
      </c>
      <c r="GK153" s="1034">
        <f>GL153</f>
        <v>0</v>
      </c>
      <c r="GL153" s="1034">
        <f>IF(G153="",0,1)</f>
        <v>0</v>
      </c>
      <c r="GM153" s="1034">
        <f>SUM(GN153:HB153)</f>
        <v>2</v>
      </c>
      <c r="GN153" s="1034">
        <f>IF(G154="",0,1)</f>
        <v>0</v>
      </c>
      <c r="GO153" s="1034">
        <f>IF(G155="",0,1)</f>
        <v>0</v>
      </c>
      <c r="GP153" s="1034">
        <f>IF(R154="",0,1)</f>
        <v>0</v>
      </c>
      <c r="GQ153" s="1034">
        <f>IF(__Retrofit_TI_NC=0,1,IF(R155="",0,1))</f>
        <v>1</v>
      </c>
      <c r="GR153" s="1034">
        <f>IF(CN153="Exterior",1,IF(G156="",0,1))</f>
        <v>1</v>
      </c>
      <c r="GS153" s="1034">
        <f>IF(__Retrofit_TI_NC&lt;&gt;0,1,IF(T154="",0,1))</f>
        <v>0</v>
      </c>
      <c r="GT153" s="1034">
        <f>IF(__Retrofit_TI_NC&lt;&gt;0,1,IF(U154="",0,1))</f>
        <v>0</v>
      </c>
      <c r="GU153" s="1034">
        <f>IF(T155="",0,1)</f>
        <v>0</v>
      </c>
      <c r="GV153" s="1034">
        <f>IF(U155="",0,1)</f>
        <v>0</v>
      </c>
      <c r="GW153" s="1034">
        <f>IF(__Retrofit_TI_NC=2,1,IF(U156="",0,1))</f>
        <v>0</v>
      </c>
      <c r="GX153" s="1034">
        <f>IF(__Retrofit_TI_NC&lt;&gt;0,1,IF(AE154="",0,1))</f>
        <v>0</v>
      </c>
      <c r="GY153" s="1034">
        <f>IF(__Retrofit_TI_NC&lt;&gt;0,1,IF(AF154="",0,1))</f>
        <v>0</v>
      </c>
      <c r="GZ153" s="1034">
        <f>IF(AE155="",0,1)</f>
        <v>0</v>
      </c>
      <c r="HA153" s="1034">
        <f>IF(AF155="",0,1)</f>
        <v>0</v>
      </c>
      <c r="HB153" s="1034">
        <f>IF(__Retrofit_TI_NC=2,1,IF(AF156="",0,1))</f>
        <v>0</v>
      </c>
      <c r="HV153" s="436"/>
      <c r="HW153" s="1384" t="b">
        <f>IF(OR(HW156=0,HW156=HT$16,HW156=HS$16,HW156=HU$16),TRUE,FALSE)</f>
        <v>0</v>
      </c>
      <c r="HX153" s="1377" t="b">
        <f>HW153</f>
        <v>0</v>
      </c>
      <c r="HY153" s="436"/>
      <c r="HZ153" s="436"/>
      <c r="IA153" s="1386" t="b">
        <f>IF(MAX(GJ156:HP156)&gt;5,FALSE,TRUE)</f>
        <v>0</v>
      </c>
      <c r="IB153" s="1380">
        <f>IF(IA153=TRUE,AC153,0)</f>
        <v>0</v>
      </c>
      <c r="IC153" s="1380">
        <f>IB153-IB155</f>
        <v>0</v>
      </c>
      <c r="IF153" s="1380" t="e">
        <f>ROUND(T154*VLOOKUP(U154,Fixtures_Existing_List,2,FALSE)*N154*R154/1000,0)</f>
        <v>#N/A</v>
      </c>
      <c r="IG153" s="1381" t="e">
        <f>IF153-IF155</f>
        <v>#N/A</v>
      </c>
      <c r="IH153" s="1384" t="e">
        <f>ROUND(IF(CN153="Interior",N155*R155*R154*N154*_C406_reduction/1000,N155*R155*R154*N154/1000),0)</f>
        <v>#N/A</v>
      </c>
      <c r="II153" s="1384" t="e">
        <f>IH153-IH155</f>
        <v>#N/A</v>
      </c>
      <c r="IK153" s="1351" t="e">
        <f>IF($CO153="interior",IL153/2,VLOOKUP($CP153,Control_Savings_Exterior,IK$30,FALSE))</f>
        <v>#N/A</v>
      </c>
      <c r="IL153" s="1351" t="e">
        <f>IF($CO153="interior",VLOOKUP($CP153,Control_Savings_Interior,IL$30,FALSE),VLOOKUP($CP153,Control_Savings_Exterior,IL$30,FALSE))</f>
        <v>#N/A</v>
      </c>
      <c r="IM153" s="1351" t="e">
        <f>IF($CO153="interior",IF(R154&gt;FO$37,(IM$28*(FO$37/R154)),IM$28)*FP153,VLOOKUP($CP153,Control_Savings_Exterior,IM$30,FALSE))</f>
        <v>#N/A</v>
      </c>
      <c r="IN153" s="1351" t="e">
        <f>IF($CO153="interior",ROUND(((1-IL153)*IM153)+IL153,2),VLOOKUP($CP153,Control_Savings_Exterior,IN$30,FALSE))</f>
        <v>#N/A</v>
      </c>
      <c r="IO153" s="1351" t="e">
        <f>IF($CO153="interior", ROUND(((1-IL153)*(IM153*(1-IP$28)))+IP153,2), VLOOKUP($CP153,Control_Savings_Exterior,IO$30,FALSE))</f>
        <v>#N/A</v>
      </c>
      <c r="IP153" s="1351">
        <f>IF($CO153="interior",ROUND(((1-IL153)*IP$28)+IL153,2),0)</f>
        <v>0</v>
      </c>
    </row>
    <row r="154" spans="1:250" s="82" customFormat="1" ht="14.95" customHeight="1" thickTop="1" thickBot="1">
      <c r="B154" s="1421"/>
      <c r="C154" s="1422"/>
      <c r="D154" s="1423"/>
      <c r="E154" s="1393" t="s">
        <v>244</v>
      </c>
      <c r="F154" s="1394"/>
      <c r="G154" s="1395"/>
      <c r="H154" s="1395"/>
      <c r="I154" s="1395"/>
      <c r="J154" s="1395"/>
      <c r="K154" s="1395"/>
      <c r="L154" s="1395"/>
      <c r="M154" s="509" t="e">
        <f>IF(__Retrofit_TI_NC&lt;&gt;0,IF(VLOOKUP(G155,'Space Table'!$B$3:$L$160,3,FALSE)&gt;0,1,0),IF(__Retrofit_TI_NC=VLOOKUP(G155,'Space Table'!$B$3:$L$160,3,FALSE),1,0))</f>
        <v>#N/A</v>
      </c>
      <c r="N154" s="509" t="str">
        <f>IFERROR(VLOOKUP(G154,_Lookup_Heat_Type_Table_New,2,FALSE),"")</f>
        <v/>
      </c>
      <c r="O154" s="509">
        <f>IF(__Retrofit_TI_NC=1,CONCATENATE("TI ",G154),IF(__Retrofit_TI_NC=2,CONCATENATE("NC ",G154),G154))</f>
        <v>0</v>
      </c>
      <c r="P154" s="1396" t="s">
        <v>352</v>
      </c>
      <c r="Q154" s="1396"/>
      <c r="R154" s="673"/>
      <c r="S154" s="1429"/>
      <c r="T154" s="675"/>
      <c r="U154" s="1496"/>
      <c r="V154" s="1497"/>
      <c r="W154" s="1497"/>
      <c r="X154" s="1497"/>
      <c r="Y154" s="1497"/>
      <c r="Z154" s="1497"/>
      <c r="AA154" s="1497"/>
      <c r="AB154" s="1497"/>
      <c r="AC154" s="1497"/>
      <c r="AD154" s="1498"/>
      <c r="AE154" s="675"/>
      <c r="AF154" s="1397"/>
      <c r="AG154" s="1397"/>
      <c r="AH154" s="1397"/>
      <c r="AI154" s="1397"/>
      <c r="AJ154" s="1434"/>
      <c r="AK154" s="1436"/>
      <c r="AL154" s="1438"/>
      <c r="AM154" s="1441"/>
      <c r="AN154" s="1442"/>
      <c r="AO154" s="1447"/>
      <c r="AP154" s="1447"/>
      <c r="AQ154" s="1448"/>
      <c r="AR154" s="1452"/>
      <c r="AS154" s="1455"/>
      <c r="AT154" s="1458"/>
      <c r="AU154" s="516"/>
      <c r="AV154" s="1479"/>
      <c r="AW154" s="1479"/>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M154" s="1352"/>
      <c r="CN154" s="1352"/>
      <c r="CO154" s="1416"/>
      <c r="CP154" s="1418"/>
      <c r="CR154" s="1386"/>
      <c r="CS154" s="1355"/>
      <c r="CT154" s="1355"/>
      <c r="CU154" s="1355"/>
      <c r="CV154" s="1372"/>
      <c r="CW154" s="1372"/>
      <c r="CX154" s="1371"/>
      <c r="CY154" s="1486"/>
      <c r="CZ154" s="1486"/>
      <c r="DA154" s="1486"/>
      <c r="DC154" s="1355"/>
      <c r="DD154" s="1461"/>
      <c r="DE154" s="1355"/>
      <c r="DF154" s="1407"/>
      <c r="DG154" s="1372"/>
      <c r="DH154" s="1369"/>
      <c r="DJ154" s="1484"/>
      <c r="DL154" s="1419"/>
      <c r="DN154" s="1403"/>
      <c r="DO154" s="1405"/>
      <c r="DP154" s="1354"/>
      <c r="DQ154" s="1405"/>
      <c r="DR154" s="1403"/>
      <c r="DS154" s="1489"/>
      <c r="DU154" s="1403"/>
      <c r="DV154" s="1405"/>
      <c r="DW154" s="1403"/>
      <c r="DX154" s="1403"/>
      <c r="DZ154" s="1481"/>
      <c r="EA154" s="1481"/>
      <c r="EC154" s="1482"/>
      <c r="ED154" s="1369"/>
      <c r="EE154" s="1371"/>
      <c r="EF154" s="1369"/>
      <c r="EG154" s="1369"/>
      <c r="EH154" s="1374"/>
      <c r="EI154" s="1374"/>
      <c r="EJ154" s="1363"/>
      <c r="EK154" s="1376"/>
      <c r="EL154" s="1376"/>
      <c r="EM154" s="1362"/>
      <c r="EN154" s="1362"/>
      <c r="EO154" s="1363"/>
      <c r="EP154" s="1363"/>
      <c r="EQ154" s="1363"/>
      <c r="ES154" s="1403"/>
      <c r="EU154" s="1411"/>
      <c r="EV154" s="1411"/>
      <c r="EW154" s="1411"/>
      <c r="EX154" s="1411"/>
      <c r="EY154" s="1411"/>
      <c r="EZ154" s="1413"/>
      <c r="FB154" s="1365"/>
      <c r="FD154" s="1354"/>
      <c r="FE154" s="1354"/>
      <c r="FF154" s="138"/>
      <c r="FI154" s="1357"/>
      <c r="FJ154" s="1357"/>
      <c r="FK154" s="1365"/>
      <c r="FL154" s="1365"/>
      <c r="FM154" s="1365"/>
      <c r="FO154" s="1361"/>
      <c r="FP154" s="1361"/>
      <c r="FQ154" s="1366"/>
      <c r="FR154" s="1368"/>
      <c r="FS154" s="1361"/>
      <c r="FT154" s="1368"/>
      <c r="FU154" s="1360"/>
      <c r="FW154" s="1352"/>
      <c r="FX154" s="1352"/>
      <c r="FY154" s="1352"/>
      <c r="FZ154" s="1352"/>
      <c r="GA154" s="1352"/>
      <c r="GB154" s="1352"/>
      <c r="GC154" s="1352"/>
      <c r="GD154" s="1352"/>
      <c r="GE154" s="759"/>
      <c r="GF154" s="1035"/>
      <c r="GG154" s="1385"/>
      <c r="GI154" s="1384" t="b">
        <f>IF(AND(GL154=TRUE,GM154=TRUE),TRUE,FALSE)</f>
        <v>0</v>
      </c>
      <c r="GJ154" s="1379" t="b">
        <f>IFERROR(IF(__Retrofit_TI_NC=2,TRUE,IF(AR153="Yes",TRUE,FALSE)),FALSE)</f>
        <v>1</v>
      </c>
      <c r="GL154" s="1379" t="b">
        <f>IFERROR(IF(GL153=1,TRUE,FALSE),FALSE)</f>
        <v>0</v>
      </c>
      <c r="GM154" s="1379" t="b">
        <f>IFERROR(IF(GM153=GM$14,TRUE,FALSE),FALSE)</f>
        <v>0</v>
      </c>
      <c r="HC154" s="1379" t="b">
        <f>IFERROR(IF(M154=1,TRUE,FALSE),FALSE)</f>
        <v>0</v>
      </c>
      <c r="HD154" s="1379" t="b">
        <f>IFERROR(IF(M155=1,TRUE,FALSE),FALSE)</f>
        <v>0</v>
      </c>
      <c r="HE154" s="1379" t="b">
        <f>IFERROR(IF(__Retrofit_TI_NC&lt;&gt;0,TRUE,IFERROR(IF(VLOOKUP(U154,Fixtures_Existing_List,2,FALSE)&lt;&gt;"",TRUE,FALSE),FALSE)),FALSE)</f>
        <v>0</v>
      </c>
      <c r="HF154" s="1379" t="b">
        <f>IFERROR(IF(VLOOKUP(U155,Fixtures_Proposed_List,2,FALSE)&lt;&gt;"",TRUE,FALSE),FALSE)</f>
        <v>0</v>
      </c>
      <c r="HG154" s="1379" t="b">
        <f>IF(AND(__Retrofit_TI_NC=2,EZ153=TRUE),FALSE,TRUE)</f>
        <v>1</v>
      </c>
      <c r="HH154" s="1379" t="b">
        <f>GG153</f>
        <v>1</v>
      </c>
      <c r="HI154" s="1384" t="b">
        <f>IF(ISERROR(MATCH(FB153,_Control_Match[],0))=TRUE,FALSE,TRUE)</f>
        <v>0</v>
      </c>
      <c r="HJ154" s="1384" t="b">
        <f>IFERROR(IF(EU153&lt;&gt;EV153,FALSE,TRUE),FALSE)</f>
        <v>0</v>
      </c>
      <c r="HK154" s="1384" t="b">
        <f>IFERROR(IF(EU155&lt;&gt;EV155,FALSE,TRUE),FALSE)</f>
        <v>0</v>
      </c>
      <c r="HL154" s="1379" t="b">
        <f>IFERROR(IF(CN153="Exterior",TRUE,IF(OR(AND(FJ153=0,EW155&gt;4),AND(FJ153=4,EW155&gt;4,EW155&lt;7)),FALSE,TRUE)),FALSE)</f>
        <v>0</v>
      </c>
      <c r="HM154" s="1379" t="b">
        <f>IFERROR(IF(AND(FL155=7,EZ153=TRUE),FALSE,TRUE),FALSE)</f>
        <v>0</v>
      </c>
      <c r="HN154" s="1379" t="b">
        <f>IFERROR(IF(AND(T155&lt;&gt;AE155,AF155="Interior LLLC")=TRUE,FALSE,TRUE),FALSE)</f>
        <v>1</v>
      </c>
      <c r="HO154" s="1379" t="b">
        <f>IFERROR(IF(OR(AF155=Lookup!AU$13,AF155=Lookup!AU$14)=TRUE,IF(AE155&gt;T155,FALSE,TRUE),TRUE),FALSE)</f>
        <v>1</v>
      </c>
      <c r="HP154" s="1379" t="b">
        <f>IFERROR(IF(__Retrofit_TI_NC=2,IF(EW155&lt;EW153,FALSE,TRUE),TRUE),FALSE)</f>
        <v>1</v>
      </c>
      <c r="HQ154" s="1379" t="b">
        <f>IF(CN153="Interior",IG$6,TRUE)</f>
        <v>1</v>
      </c>
      <c r="HR154" s="1379" t="b">
        <f>IF(CN153="Exterior",IG$8,TRUE)</f>
        <v>1</v>
      </c>
      <c r="HS154" s="1379" t="b">
        <f>IFERROR(IF(__Retrofit_TI_NC&lt;&gt;0,IF(AW153&lt;AV153,FALSE,TRUE),TRUE),FALSE)</f>
        <v>1</v>
      </c>
      <c r="HT154" s="1379" t="b">
        <f>IFERROR(IF(AND(G154="Exterior",R154&gt;4200),FALSE,TRUE),FALSE)</f>
        <v>1</v>
      </c>
      <c r="HU154" s="1379" t="b">
        <f>IFERROR(IF(AB156/AB153&lt;HU$18,FALSE,TRUE),FALSE)</f>
        <v>0</v>
      </c>
      <c r="HW154" s="1382"/>
      <c r="HX154" s="1378"/>
      <c r="HY154" s="1377" t="str">
        <f>VLOOKUP(HW156,_Error_Table,4,FALSE)</f>
        <v>White</v>
      </c>
      <c r="HZ154" s="436"/>
      <c r="IA154" s="1386"/>
      <c r="IB154" s="1380"/>
      <c r="IC154" s="1379"/>
      <c r="IF154" s="1380"/>
      <c r="IG154" s="1382"/>
      <c r="IH154" s="1382"/>
      <c r="II154" s="1382"/>
      <c r="IK154" s="1351"/>
      <c r="IL154" s="1351"/>
      <c r="IM154" s="1351"/>
      <c r="IN154" s="1351"/>
      <c r="IO154" s="1351"/>
      <c r="IP154" s="1351"/>
    </row>
    <row r="155" spans="1:250" s="82" customFormat="1" ht="14.95" customHeight="1" thickTop="1" thickBot="1">
      <c r="A155" s="82">
        <f>ROW()</f>
        <v>155</v>
      </c>
      <c r="B155" s="1421"/>
      <c r="C155" s="1422"/>
      <c r="D155" s="1423"/>
      <c r="E155" s="1393" t="s">
        <v>245</v>
      </c>
      <c r="F155" s="1394"/>
      <c r="G155" s="1398"/>
      <c r="H155" s="1399"/>
      <c r="I155" s="1399"/>
      <c r="J155" s="1399"/>
      <c r="K155" s="1399"/>
      <c r="L155" s="1400"/>
      <c r="M155" s="509">
        <f>IFERROR(IF(IF(__Retrofit_TI_NC&lt;&gt;0,IF(CN153="Interior",MATCH(G155,Lookup_Interior_New,0),MATCH(G155,Lookup_Exterior_New,0)),IF(CN153="Interior",MATCH(G155,Lookup_Interior,0),MATCH(G155,Lookup_Exterior_Areas,0)))&gt;0,1,0),0)</f>
        <v>0</v>
      </c>
      <c r="N155" s="509" t="e">
        <f>IF(__Retrofit_TI_NC=1,
VLOOKUP(G155,'Space Table'!$B$3:$L$160,4,FALSE),
IF(__Retrofit_TI_NC=2,VLOOKUP(G155,'Space Table'!$B$3:$L$160,5,FALSE),VLOOKUP(G155,'Space Table'!$B$3:$L$160,5,FALSE)))</f>
        <v>#N/A</v>
      </c>
      <c r="O155" s="509">
        <f>G155</f>
        <v>0</v>
      </c>
      <c r="P155" s="1394" t="s">
        <v>355</v>
      </c>
      <c r="Q155" s="1394"/>
      <c r="R155" s="674"/>
      <c r="S155" s="1401" t="s">
        <v>284</v>
      </c>
      <c r="T155" s="672"/>
      <c r="U155" s="1499"/>
      <c r="V155" s="1500"/>
      <c r="W155" s="1500"/>
      <c r="X155" s="1500"/>
      <c r="Y155" s="1500"/>
      <c r="Z155" s="1500"/>
      <c r="AA155" s="1500"/>
      <c r="AB155" s="1501"/>
      <c r="AC155" s="1501"/>
      <c r="AD155" s="1502"/>
      <c r="AE155" s="672"/>
      <c r="AF155" s="1474"/>
      <c r="AG155" s="1474"/>
      <c r="AH155" s="1474"/>
      <c r="AI155" s="1474"/>
      <c r="AJ155" s="1475">
        <f>DF155</f>
        <v>0</v>
      </c>
      <c r="AK155" s="1470" t="str">
        <f>IFERROR(ROUND(AJ155*AC156,0),"")</f>
        <v/>
      </c>
      <c r="AL155" s="1472">
        <f>IFERROR(IF(HW153=FALSE,0,AC156-AK155),0)</f>
        <v>0</v>
      </c>
      <c r="AM155" s="1441"/>
      <c r="AN155" s="1442"/>
      <c r="AO155" s="1447"/>
      <c r="AP155" s="1447"/>
      <c r="AQ155" s="1448"/>
      <c r="AR155" s="1452"/>
      <c r="AS155" s="1455"/>
      <c r="AT155" s="1458"/>
      <c r="AU155" s="516"/>
      <c r="AV155" s="1479"/>
      <c r="AW155" s="1479"/>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M155" s="1352"/>
      <c r="CN155" s="1352"/>
      <c r="CO155" s="1415" t="str">
        <f>CN153</f>
        <v/>
      </c>
      <c r="CP155" s="1417" t="e">
        <f>CP153</f>
        <v>#N/A</v>
      </c>
      <c r="CR155" s="1386" t="s">
        <v>284</v>
      </c>
      <c r="CS155" s="1353">
        <f>IF(HW153=TRUE,T155,0)</f>
        <v>0</v>
      </c>
      <c r="CT155" s="1353" t="str">
        <f>IF(HW153=TRUE,U155,"")</f>
        <v/>
      </c>
      <c r="CU155" s="1373">
        <f>IF(HW153=TRUE,U156,0)</f>
        <v>0</v>
      </c>
      <c r="CV155" s="1370">
        <f>IF(HW153=TRUE,AB156,0)</f>
        <v>0</v>
      </c>
      <c r="CW155" s="1370">
        <f>IF(HW153=TRUE,AC156,0)</f>
        <v>0</v>
      </c>
      <c r="CX155" s="1371"/>
      <c r="CY155" s="1486"/>
      <c r="CZ155" s="1486"/>
      <c r="DA155" s="1486"/>
      <c r="DC155" s="1353">
        <f>IF(HW153=TRUE,AE155,0)</f>
        <v>0</v>
      </c>
      <c r="DD155" s="1353" t="str">
        <f>IF(HW153=TRUE,AF155,"")</f>
        <v/>
      </c>
      <c r="DE155" s="1373">
        <f>AF156</f>
        <v>0</v>
      </c>
      <c r="DF155" s="1406">
        <f>IFERROR(IF(FL155=3,IK155,IF(FL155=4,IL155,IF(FL155=5,IM155,IF(FL155=6,IN155,IF(FL155=7,IO155,IF(FL155=8,IP155,0)))))),0)</f>
        <v>0</v>
      </c>
      <c r="DG155" s="1370">
        <f>IF(HW153=TRUE,AK155,0)</f>
        <v>0</v>
      </c>
      <c r="DH155" s="1369"/>
      <c r="DK155" s="1483">
        <f>IFERROR(CW155-DG155,0)</f>
        <v>0</v>
      </c>
      <c r="DL155" s="1420"/>
      <c r="DN155" s="1403"/>
      <c r="DO155" s="1477" t="str">
        <f>DN153</f>
        <v/>
      </c>
      <c r="DP155" s="1354"/>
      <c r="DQ155" s="1477" t="str">
        <f>IF(DP153=7,"LLLC","")</f>
        <v/>
      </c>
      <c r="DR155" s="1403"/>
      <c r="DS155" s="1489"/>
      <c r="DU155" s="1403"/>
      <c r="DV155" s="1404" t="str">
        <f>DU153</f>
        <v/>
      </c>
      <c r="DW155" s="1403"/>
      <c r="DX155" s="1403"/>
      <c r="DZ155" s="1481"/>
      <c r="EA155" s="1481"/>
      <c r="EC155" s="1482"/>
      <c r="ED155" s="1369"/>
      <c r="EE155" s="1371"/>
      <c r="EF155" s="1369"/>
      <c r="EG155" s="1369"/>
      <c r="EH155" s="1374"/>
      <c r="EI155" s="1374"/>
      <c r="EJ155" s="1363"/>
      <c r="EK155" s="1376"/>
      <c r="EL155" s="1376"/>
      <c r="EM155" s="1362"/>
      <c r="EN155" s="1362"/>
      <c r="EO155" s="1363"/>
      <c r="EP155" s="1363"/>
      <c r="EQ155" s="1363"/>
      <c r="ES155" s="1403"/>
      <c r="EU155" s="1411" t="e">
        <f>VLOOKUP(CP155,'Space Table'!$B$3:$L$160,8,FALSE)</f>
        <v>#N/A</v>
      </c>
      <c r="EV155" s="1411" t="e">
        <f>IF(EY155="Yes",VLOOKUP(AF155,Lookup_Control_Type_Table2,4,FALSE),VLOOKUP(AF155,Lookup_Control_Type_Table2,3,FALSE))</f>
        <v>#N/A</v>
      </c>
      <c r="EW155" s="1411" t="e">
        <f>VLOOKUP(AF155,Lookup!AU$3:AV$15,2,FALSE)</f>
        <v>#N/A</v>
      </c>
      <c r="EX155" s="1411" t="e">
        <f>VLOOKUP(EU153,Lookup_Control_Type_Table,2,FALSE)</f>
        <v>#N/A</v>
      </c>
      <c r="EY155" s="1411" t="e">
        <f>VLOOKUP(CP155,'Space Table'!$B$3:$L$160,7,FALSE)</f>
        <v>#N/A</v>
      </c>
      <c r="EZ155" s="1413"/>
      <c r="FB155" s="1365" t="str">
        <f>CONCATENATE(CN153," - ",AF155)</f>
        <v xml:space="preserve"> - </v>
      </c>
      <c r="FD155" s="1354"/>
      <c r="FE155" s="1354"/>
      <c r="FF155" s="138"/>
      <c r="FI155" s="1356" t="str">
        <f>IF(CN153="Exterior","Not Daylighted",G156)</f>
        <v>Not Daylighted</v>
      </c>
      <c r="FJ155" s="1356">
        <f>VLOOKUP(FI155,_Daylight_Table_Codes,2,FALSE)</f>
        <v>0</v>
      </c>
      <c r="FK155" s="1365">
        <f>AF155</f>
        <v>0</v>
      </c>
      <c r="FL155" s="1365" t="e">
        <f>VLOOKUP(FK155,_Control_Table,2,FALSE)</f>
        <v>#N/A</v>
      </c>
      <c r="FM155" s="1365" t="e">
        <f>IF(AND(FP155&gt;0,FK155="Occupancy Sensor"),"Daylight + Occupancy",IF(AND(FP155&gt;0,FL155&lt;4),"Interior Daylight Dimming",FK155))</f>
        <v>#N/A</v>
      </c>
      <c r="FO155" s="1364">
        <f>IF(CN153="Interior",VLOOKUP(CP153,Control_Savings_Interior,5,FALSE),0)</f>
        <v>0</v>
      </c>
      <c r="FP155" s="1361">
        <f>IF(CN155="Exterior",0,IF(FJ155=2,0.5,IF(OR(FJ155=1,FJ155=3),1,0)))</f>
        <v>0</v>
      </c>
      <c r="FQ155" s="1366">
        <f>IF(R154&gt;FO$37,(FO155*(FO$37/R154)),FO155)*FP155</f>
        <v>0</v>
      </c>
      <c r="FR155" s="1364">
        <f>DF155</f>
        <v>0</v>
      </c>
      <c r="FS155" s="1364">
        <f>ROUND(FR155+((1-FR155)*FQ155),2)</f>
        <v>0</v>
      </c>
      <c r="FT155" s="1364">
        <f>IF(__Retrofit_TI_NC=2,FS155,FR155)</f>
        <v>0</v>
      </c>
      <c r="FU155" s="1360">
        <f>IF(CO155="Interior",VLOOKUP(CP155,Control_Savings_Interior,4,FALSE),0)</f>
        <v>0</v>
      </c>
      <c r="FW155" s="1352"/>
      <c r="FX155" s="1352"/>
      <c r="FY155" s="1352"/>
      <c r="FZ155" s="1352"/>
      <c r="GA155" s="1352"/>
      <c r="GB155" s="1352"/>
      <c r="GC155" s="1352"/>
      <c r="GD155" s="1352"/>
      <c r="GE155" s="759" t="b">
        <f>IF(ISNUMBER(SEARCH("TLED",U155)),TRUE,FALSE)</f>
        <v>0</v>
      </c>
      <c r="GF155" s="1035" t="str">
        <f>IFERROR(VLOOKUP(U155,Fixtures!DM$93:DR$142,6,FALSE),"")</f>
        <v/>
      </c>
      <c r="GG155" s="1385"/>
      <c r="GI155" s="1383"/>
      <c r="GJ155" s="1379"/>
      <c r="GL155" s="1379"/>
      <c r="GM155" s="1379"/>
      <c r="HC155" s="1379"/>
      <c r="HD155" s="1379"/>
      <c r="HE155" s="1379"/>
      <c r="HF155" s="1379"/>
      <c r="HG155" s="1379"/>
      <c r="HH155" s="1379"/>
      <c r="HI155" s="1383"/>
      <c r="HJ155" s="1383"/>
      <c r="HK155" s="1383"/>
      <c r="HL155" s="1379"/>
      <c r="HM155" s="1379"/>
      <c r="HN155" s="1379"/>
      <c r="HO155" s="1379"/>
      <c r="HP155" s="1379"/>
      <c r="HQ155" s="1379"/>
      <c r="HR155" s="1379"/>
      <c r="HS155" s="1379"/>
      <c r="HT155" s="1379"/>
      <c r="HU155" s="1379"/>
      <c r="HW155" s="1383"/>
      <c r="HX155" s="1384" t="b">
        <f>HW153</f>
        <v>0</v>
      </c>
      <c r="HY155" s="1378"/>
      <c r="HZ155" s="436"/>
      <c r="IA155" s="1386"/>
      <c r="IB155" s="1380">
        <f>IF(IA153=TRUE,AC156,0)</f>
        <v>0</v>
      </c>
      <c r="IC155" s="1379"/>
      <c r="IF155" s="1380" t="e">
        <f>ROUND(T155*AB156*N154*R154/1000,0)</f>
        <v>#VALUE!</v>
      </c>
      <c r="IG155" s="1382"/>
      <c r="IH155" s="1384" t="e">
        <f>ROUND(T155*AB156*N154*R154/1000,0)</f>
        <v>#VALUE!</v>
      </c>
      <c r="II155" s="1382"/>
      <c r="IK155" s="1351" t="e">
        <f>IF($CO155="interior",IL155/2,VLOOKUP($CP155,Control_Savings_Exterior,IK$30,FALSE))</f>
        <v>#N/A</v>
      </c>
      <c r="IL155" s="1351" t="e">
        <f>IF($CO155="interior",VLOOKUP($CP155,Control_Savings_Interior,IL$30,FALSE),VLOOKUP($CP155,Control_Savings_Exterior,IL$30,FALSE))</f>
        <v>#N/A</v>
      </c>
      <c r="IM155" s="1351" t="e">
        <f>IF($CO155="interior",IF(R154&gt;FO$37,(IM$28*(FO$37/R154)),IM$28)*FP155,VLOOKUP($CP155,Control_Savings_Exterior,IM$30,FALSE))</f>
        <v>#N/A</v>
      </c>
      <c r="IN155" s="1351" t="e">
        <f>IF($CO155="interior",ROUND(((1-IL155)*IM155)+IL155,2),VLOOKUP($CP155,Control_Savings_Exterior,IN$30,FALSE))</f>
        <v>#N/A</v>
      </c>
      <c r="IO155" s="1351" t="e">
        <f>IF($CO155="interior", ROUND(((1-IL155)*(IM155*(1-IP$28)))+IP155,2), VLOOKUP($CP155,Control_Savings_Exterior,IO$30,FALSE))</f>
        <v>#N/A</v>
      </c>
      <c r="IP155" s="1351">
        <f>IF($CO155="interior",ROUND(((1-IL155)*IP$28)+IL155,2),0)</f>
        <v>0</v>
      </c>
    </row>
    <row r="156" spans="1:250" s="82" customFormat="1" ht="14.95" customHeight="1" thickTop="1" thickBot="1">
      <c r="B156" s="1421"/>
      <c r="C156" s="1422"/>
      <c r="D156" s="1423"/>
      <c r="E156" s="1462" t="s">
        <v>357</v>
      </c>
      <c r="F156" s="1463"/>
      <c r="G156" s="1464" t="s">
        <v>362</v>
      </c>
      <c r="H156" s="1465"/>
      <c r="I156" s="1465"/>
      <c r="J156" s="1465"/>
      <c r="K156" s="1465"/>
      <c r="L156" s="1466"/>
      <c r="M156" s="669">
        <f>IFERROR(VLOOKUP(G156,_Daylight_Table[],2,FALSE),0)</f>
        <v>0</v>
      </c>
      <c r="N156" s="670"/>
      <c r="O156" s="669" t="e">
        <f>VLOOKUP(G155,'Space Table'!$B$3:$L$160,11,FALSE)</f>
        <v>#N/A</v>
      </c>
      <c r="P156" s="1408"/>
      <c r="Q156" s="1409"/>
      <c r="R156" s="1409"/>
      <c r="S156" s="1402"/>
      <c r="T156" s="671" t="s">
        <v>281</v>
      </c>
      <c r="U156" s="1467" t="str">
        <f>IFERROR(VLOOKUP(U155,Fixtures!DM$93:DP$142,4,FALSE),"")</f>
        <v/>
      </c>
      <c r="V156" s="1468"/>
      <c r="W156" s="1468"/>
      <c r="X156" s="1468"/>
      <c r="Y156" s="1468"/>
      <c r="Z156" s="1468"/>
      <c r="AA156" s="1468"/>
      <c r="AB156" s="1046" t="str">
        <f>IFERROR(VLOOKUP(U155,Fixtures_Proposed_List,2,FALSE),"")</f>
        <v/>
      </c>
      <c r="AC156" s="1036" t="str">
        <f>IFERROR(ROUND(T155*AB156*N154*R154/1000,0),"")</f>
        <v/>
      </c>
      <c r="AD156" s="1037" t="str">
        <f>IFERROR(ROUND(T155*AB156/1000,2),"")</f>
        <v/>
      </c>
      <c r="AE156" s="1045" t="s">
        <v>281</v>
      </c>
      <c r="AF156" s="1469"/>
      <c r="AG156" s="1469"/>
      <c r="AH156" s="1469"/>
      <c r="AI156" s="1469"/>
      <c r="AJ156" s="1476"/>
      <c r="AK156" s="1471"/>
      <c r="AL156" s="1473"/>
      <c r="AM156" s="1443"/>
      <c r="AN156" s="1444"/>
      <c r="AO156" s="1449"/>
      <c r="AP156" s="1449"/>
      <c r="AQ156" s="1450"/>
      <c r="AR156" s="1453"/>
      <c r="AS156" s="1456"/>
      <c r="AT156" s="1459"/>
      <c r="AU156" s="517"/>
      <c r="AV156" s="1480"/>
      <c r="AW156" s="1480"/>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M156" s="1352"/>
      <c r="CN156" s="1352"/>
      <c r="CO156" s="1416"/>
      <c r="CP156" s="1418"/>
      <c r="CR156" s="1386"/>
      <c r="CS156" s="1355"/>
      <c r="CT156" s="1355"/>
      <c r="CU156" s="1375"/>
      <c r="CV156" s="1372"/>
      <c r="CW156" s="1372"/>
      <c r="CX156" s="1372"/>
      <c r="CY156" s="1487"/>
      <c r="CZ156" s="1487"/>
      <c r="DA156" s="1487"/>
      <c r="DC156" s="1355"/>
      <c r="DD156" s="1355"/>
      <c r="DE156" s="1375"/>
      <c r="DF156" s="1407"/>
      <c r="DG156" s="1372"/>
      <c r="DH156" s="1369"/>
      <c r="DK156" s="1484"/>
      <c r="DL156" s="1420"/>
      <c r="DN156" s="1403"/>
      <c r="DO156" s="1405"/>
      <c r="DP156" s="1355"/>
      <c r="DQ156" s="1405"/>
      <c r="DR156" s="1403"/>
      <c r="DS156" s="1489"/>
      <c r="DU156" s="1403"/>
      <c r="DV156" s="1405"/>
      <c r="DW156" s="1403"/>
      <c r="DX156" s="1403"/>
      <c r="DZ156" s="1481"/>
      <c r="EA156" s="1481"/>
      <c r="EC156" s="1482"/>
      <c r="ED156" s="1369"/>
      <c r="EE156" s="1372"/>
      <c r="EF156" s="1369"/>
      <c r="EG156" s="1369"/>
      <c r="EH156" s="1375"/>
      <c r="EI156" s="1375"/>
      <c r="EJ156" s="1363"/>
      <c r="EK156" s="1376"/>
      <c r="EL156" s="1376"/>
      <c r="EM156" s="1362"/>
      <c r="EN156" s="1362"/>
      <c r="EO156" s="1363"/>
      <c r="EP156" s="1363"/>
      <c r="EQ156" s="1363"/>
      <c r="ES156" s="1403"/>
      <c r="EU156" s="1488"/>
      <c r="EV156" s="1488"/>
      <c r="EW156" s="1488"/>
      <c r="EX156" s="1488"/>
      <c r="EY156" s="1488"/>
      <c r="EZ156" s="1414"/>
      <c r="FB156" s="1365"/>
      <c r="FD156" s="1355"/>
      <c r="FE156" s="1355"/>
      <c r="FF156" s="138"/>
      <c r="FI156" s="1357"/>
      <c r="FJ156" s="1357"/>
      <c r="FK156" s="1365"/>
      <c r="FL156" s="1365"/>
      <c r="FM156" s="1365"/>
      <c r="FO156" s="1361"/>
      <c r="FP156" s="1361"/>
      <c r="FQ156" s="1366"/>
      <c r="FR156" s="1361"/>
      <c r="FS156" s="1361"/>
      <c r="FT156" s="1361"/>
      <c r="FU156" s="1360"/>
      <c r="FW156" s="1352"/>
      <c r="FX156" s="1352"/>
      <c r="FY156" s="1352"/>
      <c r="FZ156" s="1352"/>
      <c r="GA156" s="1352"/>
      <c r="GB156" s="1352"/>
      <c r="GC156" s="1352"/>
      <c r="GD156" s="1352"/>
      <c r="GE156" s="759"/>
      <c r="GF156" s="1035"/>
      <c r="GG156" s="1385"/>
      <c r="GJ156" s="1034">
        <f>IF(GJ154=TRUE,0,GJ$16)</f>
        <v>0</v>
      </c>
      <c r="GL156" s="1034">
        <f>IF(GL154=TRUE,0,GL$16)</f>
        <v>36</v>
      </c>
      <c r="GM156" s="1034">
        <f>IF(GM154=TRUE,0,GM$16)</f>
        <v>35</v>
      </c>
      <c r="GN156" s="436"/>
      <c r="GO156" s="436"/>
      <c r="GP156" s="436"/>
      <c r="GQ156" s="436"/>
      <c r="GR156" s="436"/>
      <c r="HC156" s="1034">
        <f t="shared" ref="HC156:HH156" si="102">IF(HC154=TRUE,0,HC$16)</f>
        <v>19</v>
      </c>
      <c r="HD156" s="1034">
        <f t="shared" si="102"/>
        <v>18</v>
      </c>
      <c r="HE156" s="1034">
        <f t="shared" si="102"/>
        <v>17</v>
      </c>
      <c r="HF156" s="1034">
        <f t="shared" si="102"/>
        <v>16</v>
      </c>
      <c r="HG156" s="1034">
        <f t="shared" si="102"/>
        <v>0</v>
      </c>
      <c r="HH156" s="1034">
        <f t="shared" si="102"/>
        <v>0</v>
      </c>
      <c r="HI156" s="1034">
        <f>IF(HI154=TRUE,0,HI$16)</f>
        <v>13</v>
      </c>
      <c r="HJ156" s="1034">
        <f t="shared" ref="HJ156:HL156" si="103">IF(HJ154=TRUE,0,HJ$16)</f>
        <v>12</v>
      </c>
      <c r="HK156" s="1034">
        <f t="shared" si="103"/>
        <v>11</v>
      </c>
      <c r="HL156" s="1034">
        <f t="shared" si="103"/>
        <v>10</v>
      </c>
      <c r="HM156" s="1034">
        <f>IF(HM154=TRUE,0,HM$16)</f>
        <v>9</v>
      </c>
      <c r="HN156" s="1034">
        <f t="shared" ref="HN156:HR156" si="104">IF(HN154=TRUE,0,HN$16)</f>
        <v>0</v>
      </c>
      <c r="HO156" s="1034">
        <f t="shared" si="104"/>
        <v>0</v>
      </c>
      <c r="HP156" s="1034">
        <f t="shared" si="104"/>
        <v>0</v>
      </c>
      <c r="HQ156" s="1034">
        <f t="shared" si="104"/>
        <v>0</v>
      </c>
      <c r="HR156" s="1034">
        <f t="shared" si="104"/>
        <v>0</v>
      </c>
      <c r="HS156" s="1034">
        <f>IF(HS154=TRUE,0,HS$16)</f>
        <v>0</v>
      </c>
      <c r="HT156" s="1034">
        <f t="shared" ref="HT156" si="105">IF(HT154=TRUE,0,HT$16)</f>
        <v>0</v>
      </c>
      <c r="HU156" s="1034">
        <f>IF(HU154=TRUE,0,HU$16)</f>
        <v>1</v>
      </c>
      <c r="HW156" s="1034">
        <f>IF(GL154=FALSE,GL156,IF(GM154=FALSE,GM156,MAX(GJ156:HU156)))</f>
        <v>36</v>
      </c>
      <c r="HX156" s="1383"/>
      <c r="HY156" s="241" t="str">
        <f>VLOOKUP(HW156,_Error_Table,3,FALSE)</f>
        <v xml:space="preserve"> </v>
      </c>
      <c r="HZ156" s="241"/>
      <c r="IA156" s="1386"/>
      <c r="IB156" s="1380"/>
      <c r="IC156" s="1379"/>
      <c r="IF156" s="1380"/>
      <c r="IG156" s="1383"/>
      <c r="IH156" s="1383"/>
      <c r="II156" s="1383"/>
      <c r="IK156" s="1351"/>
      <c r="IL156" s="1351"/>
      <c r="IM156" s="1351"/>
      <c r="IN156" s="1351"/>
      <c r="IO156" s="1351"/>
      <c r="IP156" s="1351"/>
    </row>
    <row r="157" spans="1:250" s="82" customFormat="1" ht="5.0999999999999996" customHeight="1" thickTop="1" thickBot="1">
      <c r="B157" s="763"/>
      <c r="C157" s="437"/>
      <c r="D157" s="437"/>
      <c r="E157" s="1562"/>
      <c r="F157" s="1563"/>
      <c r="G157" s="1563"/>
      <c r="H157" s="1563"/>
      <c r="I157" s="1563"/>
      <c r="J157" s="1563"/>
      <c r="K157" s="1563"/>
      <c r="L157" s="1563"/>
      <c r="M157" s="1563"/>
      <c r="N157" s="1563"/>
      <c r="O157" s="1563"/>
      <c r="P157" s="1563"/>
      <c r="Q157" s="1563"/>
      <c r="R157" s="1563"/>
      <c r="S157" s="1563"/>
      <c r="T157" s="1563"/>
      <c r="U157" s="1563"/>
      <c r="V157" s="1563"/>
      <c r="W157" s="1563"/>
      <c r="X157" s="1563"/>
      <c r="Y157" s="1563"/>
      <c r="Z157" s="1563"/>
      <c r="AA157" s="1563"/>
      <c r="AB157" s="1563"/>
      <c r="AC157" s="1563"/>
      <c r="AD157" s="1563"/>
      <c r="AE157" s="1563"/>
      <c r="AF157" s="1563"/>
      <c r="AG157" s="1563"/>
      <c r="AH157" s="1563"/>
      <c r="AI157" s="1563"/>
      <c r="AJ157" s="1563"/>
      <c r="AK157" s="1563"/>
      <c r="AL157" s="1563"/>
      <c r="AM157" s="1563"/>
      <c r="AN157" s="1563"/>
      <c r="AO157" s="1563"/>
      <c r="AP157" s="1563"/>
      <c r="AQ157" s="1563"/>
      <c r="AR157" s="1563"/>
      <c r="AS157" s="1563"/>
      <c r="AT157" s="1564"/>
      <c r="AU157" s="51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M157" s="749"/>
      <c r="CN157" s="749"/>
      <c r="CO157" s="485"/>
      <c r="CP157" s="749"/>
      <c r="CS157" s="436"/>
      <c r="CT157" s="436"/>
      <c r="CU157" s="243"/>
      <c r="CV157" s="244"/>
      <c r="CW157" s="244"/>
      <c r="CX157" s="244"/>
      <c r="CY157" s="245"/>
      <c r="CZ157" s="245"/>
      <c r="DA157" s="245"/>
      <c r="DC157" s="750"/>
      <c r="DD157" s="751"/>
      <c r="DE157" s="752"/>
      <c r="DF157" s="753"/>
      <c r="DG157" s="754"/>
      <c r="DH157" s="754"/>
      <c r="DK157" s="244"/>
      <c r="DL157" s="750"/>
      <c r="DN157" s="750"/>
      <c r="DO157" s="755"/>
      <c r="DP157" s="436"/>
      <c r="DQ157" s="750"/>
      <c r="DR157" s="750"/>
      <c r="DS157" s="750"/>
      <c r="DU157" s="750"/>
      <c r="DV157" s="750"/>
      <c r="DW157" s="750"/>
      <c r="DX157" s="750"/>
      <c r="DZ157" s="756"/>
      <c r="EA157" s="756"/>
      <c r="EC157" s="754"/>
      <c r="ED157" s="754"/>
      <c r="EE157" s="244"/>
      <c r="EF157" s="754"/>
      <c r="EG157" s="754"/>
      <c r="EH157" s="243"/>
      <c r="EI157" s="243"/>
      <c r="EJ157" s="752"/>
      <c r="EK157" s="757"/>
      <c r="EL157" s="757"/>
      <c r="EM157" s="758"/>
      <c r="EN157" s="758"/>
      <c r="EO157" s="752"/>
      <c r="EP157" s="752"/>
      <c r="EQ157" s="752"/>
      <c r="ES157" s="750"/>
      <c r="EU157" s="436"/>
      <c r="EV157" s="436"/>
      <c r="EW157" s="436"/>
      <c r="EX157" s="436"/>
      <c r="EY157" s="436"/>
      <c r="EZ157" s="436"/>
      <c r="FB157" s="643"/>
      <c r="FD157" s="436"/>
      <c r="FE157" s="436"/>
      <c r="FF157" s="436"/>
      <c r="FO157" s="750"/>
      <c r="FP157" s="436"/>
      <c r="FQ157" s="436"/>
      <c r="FR157" s="750"/>
      <c r="FS157" s="750"/>
      <c r="FW157" s="749"/>
      <c r="FX157" s="749"/>
      <c r="FY157" s="749"/>
      <c r="FZ157" s="749"/>
      <c r="GA157" s="749"/>
      <c r="GB157" s="749"/>
      <c r="GC157" s="749"/>
      <c r="GD157" s="749"/>
      <c r="GE157" s="751"/>
      <c r="GF157" s="750"/>
      <c r="GG157" s="750"/>
    </row>
    <row r="158" spans="1:250" s="82" customFormat="1" ht="14.95" customHeight="1" thickTop="1" thickBot="1">
      <c r="B158" s="1421" t="str">
        <f>HY161</f>
        <v xml:space="preserve"> </v>
      </c>
      <c r="C158" s="1422">
        <f>C153+1</f>
        <v>24</v>
      </c>
      <c r="D158" s="1423"/>
      <c r="E158" s="1424" t="s">
        <v>242</v>
      </c>
      <c r="F158" s="1425"/>
      <c r="G158" s="1426"/>
      <c r="H158" s="1427"/>
      <c r="I158" s="1427"/>
      <c r="J158" s="1427"/>
      <c r="K158" s="1427"/>
      <c r="L158" s="1427"/>
      <c r="M158" s="1427"/>
      <c r="N158" s="1427"/>
      <c r="O158" s="1427"/>
      <c r="P158" s="1427"/>
      <c r="Q158" s="1427"/>
      <c r="R158" s="1427"/>
      <c r="S158" s="1428" t="s">
        <v>283</v>
      </c>
      <c r="T158" s="668" t="s">
        <v>190</v>
      </c>
      <c r="U158" s="1430" t="s">
        <v>186</v>
      </c>
      <c r="V158" s="1431"/>
      <c r="W158" s="1431"/>
      <c r="X158" s="1431"/>
      <c r="Y158" s="1431"/>
      <c r="Z158" s="1431"/>
      <c r="AA158" s="1431"/>
      <c r="AB158" s="1088" t="str">
        <f>IFERROR(IF(__Retrofit_TI_NC=0,VLOOKUP(U159,Fixtures_Existing_List,2,FALSE),ROUND(N160*R160/T160,10)),"")</f>
        <v/>
      </c>
      <c r="AC158" s="1039" t="str">
        <f>IFERROR(IF(__Retrofit_TI_NC=0,ROUND(T159*AB158*N159*R159/1000,0),IF(CN158="Interior",N160*R160*R159*N159*_C406_reduction/1000,N160*R160*R159*N159/1000)),"")</f>
        <v/>
      </c>
      <c r="AD158" s="1040" t="str">
        <f>IFERROR(IF(C$36=0,ROUND(T159*AB158/1000,2),N160*R160/1000),"")</f>
        <v/>
      </c>
      <c r="AE158" s="1044" t="s">
        <v>190</v>
      </c>
      <c r="AF158" s="1432" t="str">
        <f>IF(__Retrofit_TI_NC=2,CONCATENATE("Code min = ",DD158),IF(__Retrofit_TI_NC=1,"Emter what you think the existing control was"," Control"))</f>
        <v xml:space="preserve"> Control</v>
      </c>
      <c r="AG158" s="1432"/>
      <c r="AH158" s="1432"/>
      <c r="AI158" s="1432"/>
      <c r="AJ158" s="1433">
        <f>DF158</f>
        <v>0</v>
      </c>
      <c r="AK158" s="1435" t="str">
        <f>IFERROR(ROUND(AJ158*AC158,0),"")</f>
        <v/>
      </c>
      <c r="AL158" s="1437">
        <f>IFERROR(IF(HW158=FALSE,0,AC158-AK158),0)</f>
        <v>0</v>
      </c>
      <c r="AM158" s="1439">
        <f>AL158-AL160</f>
        <v>0</v>
      </c>
      <c r="AN158" s="1440"/>
      <c r="AO158" s="1445">
        <f>IFERROR(IF(HW158=FALSE,0,(T160*U161)+(AE160*AF161)),0)</f>
        <v>0</v>
      </c>
      <c r="AP158" s="1445"/>
      <c r="AQ158" s="1446"/>
      <c r="AR158" s="1451" t="s">
        <v>157</v>
      </c>
      <c r="AS158" s="1454">
        <f>IF(AR158="Yes",1,0)</f>
        <v>1</v>
      </c>
      <c r="AT158" s="1457" t="str">
        <f>IF(OR(DN158=4,DN158=5,DN158=6,DN158=12),CONCATENATE("$",IF(GD158=TRUE,Lookup!$B$11,Lookup!$B$2)," /lamp"),CONCATENATE(EA158,"/ kWh"))</f>
        <v>0/ kWh</v>
      </c>
      <c r="AU158" s="516"/>
      <c r="AV158" s="1478">
        <f>IFERROR(IF(GI159=TRUE,(AB161*T160)/R160,0),"NA")</f>
        <v>0</v>
      </c>
      <c r="AW158" s="1478" t="str">
        <f>IFERROR(N160*_C406_reduction,"NA")</f>
        <v>NA</v>
      </c>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M158" s="1352" t="str">
        <f>N159</f>
        <v/>
      </c>
      <c r="CN158" s="1352" t="str">
        <f>IFERROR(VLOOKUP(G159,_Lookup_Heat_Type_Table_New,3,FALSE),"")</f>
        <v/>
      </c>
      <c r="CO158" s="1415" t="str">
        <f>CN158</f>
        <v/>
      </c>
      <c r="CP158" s="1417" t="e">
        <f>VLOOKUP(G160,'Space Table'!$B$3:$L$160,9,FALSE)</f>
        <v>#N/A</v>
      </c>
      <c r="CR158" s="1386" t="s">
        <v>283</v>
      </c>
      <c r="CS158" s="1353">
        <f>IF(HW158=TRUE,T159,0)</f>
        <v>0</v>
      </c>
      <c r="CT158" s="1353" t="str">
        <f>IF(HW158=TRUE,U159,"")</f>
        <v/>
      </c>
      <c r="CU158" s="1353"/>
      <c r="CV158" s="1370">
        <f>IF(HW158=TRUE,AB158,0)</f>
        <v>0</v>
      </c>
      <c r="CW158" s="1370">
        <f>IF(HW158=TRUE,AC158,0)</f>
        <v>0</v>
      </c>
      <c r="CX158" s="1370">
        <f>IFERROR(IF(HW158=TRUE,CW158-CW160,0),0)</f>
        <v>0</v>
      </c>
      <c r="CY158" s="1485">
        <f>IF(HW158=TRUE,AD158,0)</f>
        <v>0</v>
      </c>
      <c r="CZ158" s="1485">
        <f>IF(HW158=TRUE,AD161,0)</f>
        <v>0</v>
      </c>
      <c r="DA158" s="1485">
        <f>IFERROR(CY158-CZ158,0)</f>
        <v>0</v>
      </c>
      <c r="DC158" s="1353">
        <f>IF(HW158=TRUE,AE159,0)</f>
        <v>0</v>
      </c>
      <c r="DD158" s="1460">
        <f>IF(__Retrofit_TI_NC=2,IF(CN158="Exterior",O161,FM158),FK158)</f>
        <v>0</v>
      </c>
      <c r="DE158" s="1353"/>
      <c r="DF158" s="1406">
        <f>IFERROR(IF(FL158=3,IK158,IF(FL158=4,IL158,IF(FL158=5,IM158,IF(FL158=6,IN158,IF(FL158=7,IO158,IF(FL158=8,IP158,0)))))),0)</f>
        <v>0</v>
      </c>
      <c r="DG158" s="1370">
        <f>IF(HW158=TRUE,AK158,0)</f>
        <v>0</v>
      </c>
      <c r="DH158" s="1369">
        <f>IFERROR(IF(HW158=TRUE,DG160-DG158,0),0)</f>
        <v>0</v>
      </c>
      <c r="DJ158" s="1483">
        <f>IFERROR(CW158-DG158,0)</f>
        <v>0</v>
      </c>
      <c r="DL158" s="1419">
        <f>DJ158-DK160</f>
        <v>0</v>
      </c>
      <c r="DN158" s="1403" t="str">
        <f>IFERROR(IF(AND(OR(FY158=4,FY158=5,FY158=6),OR(GB158=4,GB158=5,GB158=6)),FY158+8,VLOOKUP(CT160,Fixtures!R$31:Y$78,8,FALSE)),"")</f>
        <v/>
      </c>
      <c r="DO158" s="1404" t="str">
        <f>DN158</f>
        <v/>
      </c>
      <c r="DP158" s="1353" t="str">
        <f>IFERROR(VLOOKUP(DD160,Lookup!AU$3:AV$15,2,FALSE),"")</f>
        <v/>
      </c>
      <c r="DQ158" s="1404" t="str">
        <f>IF(DP158=7,"LLLC","")</f>
        <v/>
      </c>
      <c r="DR158" s="1403">
        <f>IFERROR(IF(OR(DN158=4,DN158=5,DN158=6,DN158=12,DN158=13,DN158=14),VLOOKUP(CT160,Fixtures!DN$27:EG$77,19,FALSE),1)*CS160,0)</f>
        <v>0</v>
      </c>
      <c r="DS158" s="1489">
        <f>IF(DP158=7,IF(DD158=DD160,0,DC160),0)</f>
        <v>0</v>
      </c>
      <c r="DU158" s="1403" t="str">
        <f>IFERROR(IF(EW158&lt;EW160,"Yes","No"),"")</f>
        <v/>
      </c>
      <c r="DV158" s="1404" t="str">
        <f>DU158</f>
        <v/>
      </c>
      <c r="DW158" s="1403">
        <f>IF(DU158="Yes",DC160,0)</f>
        <v>0</v>
      </c>
      <c r="DX158" s="1403">
        <f>DW158-DS158</f>
        <v>0</v>
      </c>
      <c r="DZ158" s="1481">
        <f>IFERROR(VLOOKUP(DN158,Lookup!AN$3:AO$16,2,FALSE),0)</f>
        <v>0</v>
      </c>
      <c r="EA158" s="1481">
        <f>IF(HW158=FALSE,0,IF(DU158="Yes",DZ158+Lookup!B$6,DZ158))</f>
        <v>0</v>
      </c>
      <c r="EC158" s="1482">
        <f>IF(HW158=TRUE,DJ158,0)</f>
        <v>0</v>
      </c>
      <c r="ED158" s="1369">
        <f>IF(HW158=TRUE,CW160,0)</f>
        <v>0</v>
      </c>
      <c r="EE158" s="1370">
        <f>IFERROR(EC158-ED158,0)</f>
        <v>0</v>
      </c>
      <c r="EF158" s="1369">
        <f>IF(HW158=TRUE,DG160,0)</f>
        <v>0</v>
      </c>
      <c r="EG158" s="1369">
        <f>IFERROR(EC158-ED158+EF158,0)</f>
        <v>0</v>
      </c>
      <c r="EH158" s="1373">
        <f>IF(HW158=TRUE,CS160*CU160,0)</f>
        <v>0</v>
      </c>
      <c r="EI158" s="1373">
        <f>IF(HW158=TRUE,DC160*DE160,0)</f>
        <v>0</v>
      </c>
      <c r="EJ158" s="1363">
        <f>AO158</f>
        <v>0</v>
      </c>
      <c r="EK158" s="1376" t="str">
        <f>IFERROR(IF(HW158=TRUE,VLOOKUP(DN158,Lookup!AN$3:AP$16,3,FALSE)*DR158,""),0)</f>
        <v/>
      </c>
      <c r="EL158" s="1376">
        <f>IF(HW158=TRUE,DW158*Lookup!AP$12,0)</f>
        <v>0</v>
      </c>
      <c r="EM158" s="1362">
        <f>IFERROR(IF(HW158=TRUE,EK158/EM$33,0),0)</f>
        <v>0</v>
      </c>
      <c r="EN158" s="1362">
        <f>IF(HW158=TRUE,EL158/EN$33,0)</f>
        <v>0</v>
      </c>
      <c r="EO158" s="1363">
        <f>IF(HW158=TRUE,EQ$33*EM158,0)</f>
        <v>0</v>
      </c>
      <c r="EP158" s="1363">
        <f>IF(HW158=TRUE,EQ$33*EN158,0)</f>
        <v>0</v>
      </c>
      <c r="EQ158" s="1363">
        <f>EO158+EP158</f>
        <v>0</v>
      </c>
      <c r="ES158" s="1403">
        <f>IF(G158="",0,1)</f>
        <v>0</v>
      </c>
      <c r="EU158" s="1410" t="e">
        <f>VLOOKUP(CP160,'Space Table'!$B$3:$L$160,8,FALSE)</f>
        <v>#N/A</v>
      </c>
      <c r="EV158" s="1410" t="e">
        <f>IF(EY158="Yes",VLOOKUP(DD158,Lookup_Control_Type_Table2,4,FALSE),VLOOKUP(DD158,Lookup_Control_Type_Table2,3,FALSE))</f>
        <v>#N/A</v>
      </c>
      <c r="EW158" s="1410" t="e">
        <f>VLOOKUP(DD158,Lookup!AU$3:AV$15,2,FALSE)</f>
        <v>#N/A</v>
      </c>
      <c r="EX158" s="1410" t="e">
        <f>VLOOKUP(EU158,Lookup_Control_Type_Table,2,FALSE)</f>
        <v>#N/A</v>
      </c>
      <c r="EY158" s="1410" t="e">
        <f>VLOOKUP(CP160,'Space Table'!$B$3:$L$160,7,FALSE)</f>
        <v>#N/A</v>
      </c>
      <c r="EZ158" s="1412" t="b">
        <f>ISNUMBER(SEARCH("TLED",U160))</f>
        <v>0</v>
      </c>
      <c r="FB158" s="1365" t="str">
        <f>CONCATENATE(CN158," - ",DD158)</f>
        <v xml:space="preserve"> - 0</v>
      </c>
      <c r="FD158" s="1353" t="str">
        <f>VLOOKUP(CT160,Fixtures!DN$27:EZ$77,38,FALSE)</f>
        <v/>
      </c>
      <c r="FE158" s="1353">
        <f>IFERROR(FD158*EE158,0)</f>
        <v>0</v>
      </c>
      <c r="FF158" s="138"/>
      <c r="FI158" s="1356" t="str">
        <f>IF(CN158="Exterior","Not Daylighted",G161)</f>
        <v>Not Daylighted</v>
      </c>
      <c r="FJ158" s="1356">
        <f>VLOOKUP(FI158,_Daylight_Table_Codes,2,FALSE)</f>
        <v>0</v>
      </c>
      <c r="FK158" s="1365">
        <f>IF(__Retrofit_TI_NC=2,VLOOKUP(G160,'Space Table'!$B$3:$L$160,11,FALSE),AF159)</f>
        <v>0</v>
      </c>
      <c r="FL158" s="1365" t="e">
        <f>VLOOKUP(FK158,_Control_Table,2,FALSE)</f>
        <v>#N/A</v>
      </c>
      <c r="FM158" s="1365" t="e">
        <f>IF(AND(FP158&gt;0,FK158="Occupancy Sensor"),"Daylight + Occupancy",IF(AND(FP158&gt;0,FL158&lt;4),"Interior Daylight Dimming",FK158))</f>
        <v>#N/A</v>
      </c>
      <c r="FO158" s="1364">
        <f>IF(CO158="Interior",VLOOKUP(CP158,Control_Savings_Interior,5,FALSE),0)</f>
        <v>0</v>
      </c>
      <c r="FP158" s="1361">
        <f>IF(CN158="Exterior",0,IF(FJ158=2,0.5,IF(OR(FJ158=1,FJ158=3),1,0)))</f>
        <v>0</v>
      </c>
      <c r="FQ158" s="1366"/>
      <c r="FR158" s="1367"/>
      <c r="FS158" s="1364"/>
      <c r="FT158" s="1367"/>
      <c r="FU158" s="1360"/>
      <c r="FW158" s="1352" t="str">
        <f>IFERROR(VLOOKUP(U159,_Exist_Fixture_Table,3,FALSE),"")</f>
        <v/>
      </c>
      <c r="FX158" s="1352" t="str">
        <f>VLOOKUP(CT158,_Exist_Fixture_Table,4,FALSE)</f>
        <v/>
      </c>
      <c r="FY158" s="1352">
        <f>IFERROR(VLOOKUP(FX158,Lookup!AM$6:AN$8,2,FALSE),0)</f>
        <v>0</v>
      </c>
      <c r="FZ158" s="1352" t="b">
        <f>IFERROR(IF(OR(GB158=4,GB158=5,GB158=6),TRUE,FALSE),"")</f>
        <v>0</v>
      </c>
      <c r="GA158" s="1352" t="str">
        <f>IFERROR(VLOOKUP(GB158,FY$6:FZ$10,2,FALSE),"")</f>
        <v/>
      </c>
      <c r="GB158" s="1352" t="str">
        <f>VLOOKUP(CT160,Fixtures!R$31:Y$78,8,FALSE)</f>
        <v/>
      </c>
      <c r="GC158" s="1352">
        <f>IF(AND(FW158=TRUE,FZ158=TRUE,OR(DN158=12,DN158=13,DN158=14)),FY158+8,0)</f>
        <v>0</v>
      </c>
      <c r="GD158" s="1352" t="b">
        <f>IF(OR(GC158=12,GC158=13,GC158=14),TRUE,FALSE)</f>
        <v>0</v>
      </c>
      <c r="GE158" s="759" t="b">
        <f>IF(ISNUMBER(SEARCH("TLED",U159)),TRUE,FALSE)</f>
        <v>0</v>
      </c>
      <c r="GF158" s="1035" t="str">
        <f>IFERROR(VLOOKUP(U159,Fixtures!BM$93:BR$142,6,FALSE),"")</f>
        <v/>
      </c>
      <c r="GG158" s="1385" t="b">
        <f>IF(OR(GE158=FALSE,GE160=FALSE),TRUE,IF(GF158-GF160&lt;5,FALSE,TRUE))</f>
        <v>1</v>
      </c>
      <c r="GK158" s="1034">
        <f>GL158</f>
        <v>0</v>
      </c>
      <c r="GL158" s="1034">
        <f>IF(G158="",0,1)</f>
        <v>0</v>
      </c>
      <c r="GM158" s="1034">
        <f>SUM(GN158:HB158)</f>
        <v>2</v>
      </c>
      <c r="GN158" s="1034">
        <f>IF(G159="",0,1)</f>
        <v>0</v>
      </c>
      <c r="GO158" s="1034">
        <f>IF(G160="",0,1)</f>
        <v>0</v>
      </c>
      <c r="GP158" s="1034">
        <f>IF(R159="",0,1)</f>
        <v>0</v>
      </c>
      <c r="GQ158" s="1034">
        <f>IF(__Retrofit_TI_NC=0,1,IF(R160="",0,1))</f>
        <v>1</v>
      </c>
      <c r="GR158" s="1034">
        <f>IF(CN158="Exterior",1,IF(G161="",0,1))</f>
        <v>1</v>
      </c>
      <c r="GS158" s="1034">
        <f>IF(__Retrofit_TI_NC&lt;&gt;0,1,IF(T159="",0,1))</f>
        <v>0</v>
      </c>
      <c r="GT158" s="1034">
        <f>IF(__Retrofit_TI_NC&lt;&gt;0,1,IF(U159="",0,1))</f>
        <v>0</v>
      </c>
      <c r="GU158" s="1034">
        <f>IF(T160="",0,1)</f>
        <v>0</v>
      </c>
      <c r="GV158" s="1034">
        <f>IF(U160="",0,1)</f>
        <v>0</v>
      </c>
      <c r="GW158" s="1034">
        <f>IF(__Retrofit_TI_NC=2,1,IF(U161="",0,1))</f>
        <v>0</v>
      </c>
      <c r="GX158" s="1034">
        <f>IF(__Retrofit_TI_NC&lt;&gt;0,1,IF(AE159="",0,1))</f>
        <v>0</v>
      </c>
      <c r="GY158" s="1034">
        <f>IF(__Retrofit_TI_NC&lt;&gt;0,1,IF(AF159="",0,1))</f>
        <v>0</v>
      </c>
      <c r="GZ158" s="1034">
        <f>IF(AE160="",0,1)</f>
        <v>0</v>
      </c>
      <c r="HA158" s="1034">
        <f>IF(AF160="",0,1)</f>
        <v>0</v>
      </c>
      <c r="HB158" s="1034">
        <f>IF(__Retrofit_TI_NC=2,1,IF(AF161="",0,1))</f>
        <v>0</v>
      </c>
      <c r="HV158" s="436"/>
      <c r="HW158" s="1384" t="b">
        <f>IF(OR(HW161=0,HW161=HT$16,HW161=HS$16,HW161=HU$16),TRUE,FALSE)</f>
        <v>0</v>
      </c>
      <c r="HX158" s="1377" t="b">
        <f>HW158</f>
        <v>0</v>
      </c>
      <c r="HY158" s="436"/>
      <c r="HZ158" s="436"/>
      <c r="IA158" s="1386" t="b">
        <f>IF(MAX(GJ161:HP161)&gt;5,FALSE,TRUE)</f>
        <v>0</v>
      </c>
      <c r="IB158" s="1380">
        <f>IF(IA158=TRUE,AC158,0)</f>
        <v>0</v>
      </c>
      <c r="IC158" s="1380">
        <f>IB158-IB160</f>
        <v>0</v>
      </c>
      <c r="IF158" s="1380" t="e">
        <f>ROUND(T159*VLOOKUP(U159,Fixtures_Existing_List,2,FALSE)*N159*R159/1000,0)</f>
        <v>#N/A</v>
      </c>
      <c r="IG158" s="1381" t="e">
        <f>IF158-IF160</f>
        <v>#N/A</v>
      </c>
      <c r="IH158" s="1384" t="e">
        <f>ROUND(IF(CN158="Interior",N160*R160*R159*N159*_C406_reduction/1000,N160*R160*R159*N159/1000),0)</f>
        <v>#N/A</v>
      </c>
      <c r="II158" s="1384" t="e">
        <f>IH158-IH160</f>
        <v>#N/A</v>
      </c>
      <c r="IK158" s="1351" t="e">
        <f>IF($CO158="interior",IL158/2,VLOOKUP($CP158,Control_Savings_Exterior,IK$30,FALSE))</f>
        <v>#N/A</v>
      </c>
      <c r="IL158" s="1351" t="e">
        <f>IF($CO158="interior",VLOOKUP($CP158,Control_Savings_Interior,IL$30,FALSE),VLOOKUP($CP158,Control_Savings_Exterior,IL$30,FALSE))</f>
        <v>#N/A</v>
      </c>
      <c r="IM158" s="1351" t="e">
        <f>IF($CO158="interior",IF(R159&gt;FO$37,(IM$28*(FO$37/R159)),IM$28)*FP158,VLOOKUP($CP158,Control_Savings_Exterior,IM$30,FALSE))</f>
        <v>#N/A</v>
      </c>
      <c r="IN158" s="1351" t="e">
        <f>IF($CO158="interior",ROUND(((1-IL158)*IM158)+IL158,2),VLOOKUP($CP158,Control_Savings_Exterior,IN$30,FALSE))</f>
        <v>#N/A</v>
      </c>
      <c r="IO158" s="1351" t="e">
        <f>IF($CO158="interior", ROUND(((1-IL158)*(IM158*(1-IP$28)))+IP158,2), VLOOKUP($CP158,Control_Savings_Exterior,IO$30,FALSE))</f>
        <v>#N/A</v>
      </c>
      <c r="IP158" s="1351">
        <f>IF($CO158="interior",ROUND(((1-IL158)*IP$28)+IL158,2),0)</f>
        <v>0</v>
      </c>
    </row>
    <row r="159" spans="1:250" s="82" customFormat="1" ht="14.95" customHeight="1" thickTop="1" thickBot="1">
      <c r="B159" s="1421"/>
      <c r="C159" s="1422"/>
      <c r="D159" s="1423"/>
      <c r="E159" s="1393" t="s">
        <v>244</v>
      </c>
      <c r="F159" s="1394"/>
      <c r="G159" s="1395"/>
      <c r="H159" s="1395"/>
      <c r="I159" s="1395"/>
      <c r="J159" s="1395"/>
      <c r="K159" s="1395"/>
      <c r="L159" s="1395"/>
      <c r="M159" s="509" t="e">
        <f>IF(__Retrofit_TI_NC&lt;&gt;0,IF(VLOOKUP(G160,'Space Table'!$B$3:$L$160,3,FALSE)&gt;0,1,0),IF(__Retrofit_TI_NC=VLOOKUP(G160,'Space Table'!$B$3:$L$160,3,FALSE),1,0))</f>
        <v>#N/A</v>
      </c>
      <c r="N159" s="509" t="str">
        <f>IFERROR(VLOOKUP(G159,_Lookup_Heat_Type_Table_New,2,FALSE),"")</f>
        <v/>
      </c>
      <c r="O159" s="509">
        <f>IF(__Retrofit_TI_NC=1,CONCATENATE("TI ",G159),IF(__Retrofit_TI_NC=2,CONCATENATE("NC ",G159),G159))</f>
        <v>0</v>
      </c>
      <c r="P159" s="1396" t="s">
        <v>352</v>
      </c>
      <c r="Q159" s="1396"/>
      <c r="R159" s="673"/>
      <c r="S159" s="1429"/>
      <c r="T159" s="675"/>
      <c r="U159" s="1496"/>
      <c r="V159" s="1497"/>
      <c r="W159" s="1497"/>
      <c r="X159" s="1497"/>
      <c r="Y159" s="1497"/>
      <c r="Z159" s="1497"/>
      <c r="AA159" s="1497"/>
      <c r="AB159" s="1497"/>
      <c r="AC159" s="1497"/>
      <c r="AD159" s="1498"/>
      <c r="AE159" s="675"/>
      <c r="AF159" s="1397"/>
      <c r="AG159" s="1397"/>
      <c r="AH159" s="1397"/>
      <c r="AI159" s="1397"/>
      <c r="AJ159" s="1434"/>
      <c r="AK159" s="1436"/>
      <c r="AL159" s="1438"/>
      <c r="AM159" s="1441"/>
      <c r="AN159" s="1442"/>
      <c r="AO159" s="1447"/>
      <c r="AP159" s="1447"/>
      <c r="AQ159" s="1448"/>
      <c r="AR159" s="1452"/>
      <c r="AS159" s="1455"/>
      <c r="AT159" s="1458"/>
      <c r="AU159" s="516"/>
      <c r="AV159" s="1479"/>
      <c r="AW159" s="1479"/>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M159" s="1352"/>
      <c r="CN159" s="1352"/>
      <c r="CO159" s="1416"/>
      <c r="CP159" s="1418"/>
      <c r="CR159" s="1386"/>
      <c r="CS159" s="1355"/>
      <c r="CT159" s="1355"/>
      <c r="CU159" s="1355"/>
      <c r="CV159" s="1372"/>
      <c r="CW159" s="1372"/>
      <c r="CX159" s="1371"/>
      <c r="CY159" s="1486"/>
      <c r="CZ159" s="1486"/>
      <c r="DA159" s="1486"/>
      <c r="DC159" s="1355"/>
      <c r="DD159" s="1461"/>
      <c r="DE159" s="1355"/>
      <c r="DF159" s="1407"/>
      <c r="DG159" s="1372"/>
      <c r="DH159" s="1369"/>
      <c r="DJ159" s="1484"/>
      <c r="DL159" s="1419"/>
      <c r="DN159" s="1403"/>
      <c r="DO159" s="1405"/>
      <c r="DP159" s="1354"/>
      <c r="DQ159" s="1405"/>
      <c r="DR159" s="1403"/>
      <c r="DS159" s="1489"/>
      <c r="DU159" s="1403"/>
      <c r="DV159" s="1405"/>
      <c r="DW159" s="1403"/>
      <c r="DX159" s="1403"/>
      <c r="DZ159" s="1481"/>
      <c r="EA159" s="1481"/>
      <c r="EC159" s="1482"/>
      <c r="ED159" s="1369"/>
      <c r="EE159" s="1371"/>
      <c r="EF159" s="1369"/>
      <c r="EG159" s="1369"/>
      <c r="EH159" s="1374"/>
      <c r="EI159" s="1374"/>
      <c r="EJ159" s="1363"/>
      <c r="EK159" s="1376"/>
      <c r="EL159" s="1376"/>
      <c r="EM159" s="1362"/>
      <c r="EN159" s="1362"/>
      <c r="EO159" s="1363"/>
      <c r="EP159" s="1363"/>
      <c r="EQ159" s="1363"/>
      <c r="ES159" s="1403"/>
      <c r="EU159" s="1411"/>
      <c r="EV159" s="1411"/>
      <c r="EW159" s="1411"/>
      <c r="EX159" s="1411"/>
      <c r="EY159" s="1411"/>
      <c r="EZ159" s="1413"/>
      <c r="FB159" s="1365"/>
      <c r="FD159" s="1354"/>
      <c r="FE159" s="1354"/>
      <c r="FF159" s="138"/>
      <c r="FI159" s="1357"/>
      <c r="FJ159" s="1357"/>
      <c r="FK159" s="1365"/>
      <c r="FL159" s="1365"/>
      <c r="FM159" s="1365"/>
      <c r="FO159" s="1361"/>
      <c r="FP159" s="1361"/>
      <c r="FQ159" s="1366"/>
      <c r="FR159" s="1368"/>
      <c r="FS159" s="1361"/>
      <c r="FT159" s="1368"/>
      <c r="FU159" s="1360"/>
      <c r="FW159" s="1352"/>
      <c r="FX159" s="1352"/>
      <c r="FY159" s="1352"/>
      <c r="FZ159" s="1352"/>
      <c r="GA159" s="1352"/>
      <c r="GB159" s="1352"/>
      <c r="GC159" s="1352"/>
      <c r="GD159" s="1352"/>
      <c r="GE159" s="759"/>
      <c r="GF159" s="1035"/>
      <c r="GG159" s="1385"/>
      <c r="GI159" s="1384" t="b">
        <f>IF(AND(GL159=TRUE,GM159=TRUE),TRUE,FALSE)</f>
        <v>0</v>
      </c>
      <c r="GJ159" s="1379" t="b">
        <f>IFERROR(IF(__Retrofit_TI_NC=2,TRUE,IF(AR158="Yes",TRUE,FALSE)),FALSE)</f>
        <v>1</v>
      </c>
      <c r="GL159" s="1379" t="b">
        <f>IFERROR(IF(GL158=1,TRUE,FALSE),FALSE)</f>
        <v>0</v>
      </c>
      <c r="GM159" s="1379" t="b">
        <f>IFERROR(IF(GM158=GM$14,TRUE,FALSE),FALSE)</f>
        <v>0</v>
      </c>
      <c r="HC159" s="1379" t="b">
        <f>IFERROR(IF(M159=1,TRUE,FALSE),FALSE)</f>
        <v>0</v>
      </c>
      <c r="HD159" s="1379" t="b">
        <f>IFERROR(IF(M160=1,TRUE,FALSE),FALSE)</f>
        <v>0</v>
      </c>
      <c r="HE159" s="1379" t="b">
        <f>IFERROR(IF(__Retrofit_TI_NC&lt;&gt;0,TRUE,IFERROR(IF(VLOOKUP(U159,Fixtures_Existing_List,2,FALSE)&lt;&gt;"",TRUE,FALSE),FALSE)),FALSE)</f>
        <v>0</v>
      </c>
      <c r="HF159" s="1379" t="b">
        <f>IFERROR(IF(VLOOKUP(U160,Fixtures_Proposed_List,2,FALSE)&lt;&gt;"",TRUE,FALSE),FALSE)</f>
        <v>0</v>
      </c>
      <c r="HG159" s="1379" t="b">
        <f>IF(AND(__Retrofit_TI_NC=2,EZ158=TRUE),FALSE,TRUE)</f>
        <v>1</v>
      </c>
      <c r="HH159" s="1379" t="b">
        <f>GG158</f>
        <v>1</v>
      </c>
      <c r="HI159" s="1384" t="b">
        <f>IF(ISERROR(MATCH(FB158,_Control_Match[],0))=TRUE,FALSE,TRUE)</f>
        <v>0</v>
      </c>
      <c r="HJ159" s="1384" t="b">
        <f>IFERROR(IF(EU158&lt;&gt;EV158,FALSE,TRUE),FALSE)</f>
        <v>0</v>
      </c>
      <c r="HK159" s="1384" t="b">
        <f>IFERROR(IF(EU160&lt;&gt;EV160,FALSE,TRUE),FALSE)</f>
        <v>0</v>
      </c>
      <c r="HL159" s="1379" t="b">
        <f>IFERROR(IF(CN158="Exterior",TRUE,IF(OR(AND(FJ158=0,EW160&gt;4),AND(FJ158=4,EW160&gt;4,EW160&lt;7)),FALSE,TRUE)),FALSE)</f>
        <v>0</v>
      </c>
      <c r="HM159" s="1379" t="b">
        <f>IFERROR(IF(AND(FL160=7,EZ158=TRUE),FALSE,TRUE),FALSE)</f>
        <v>0</v>
      </c>
      <c r="HN159" s="1379" t="b">
        <f>IFERROR(IF(AND(T160&lt;&gt;AE160,AF160="Interior LLLC")=TRUE,FALSE,TRUE),FALSE)</f>
        <v>1</v>
      </c>
      <c r="HO159" s="1379" t="b">
        <f>IFERROR(IF(OR(AF160=Lookup!AU$13,AF160=Lookup!AU$14)=TRUE,IF(AE160&gt;T160,FALSE,TRUE),TRUE),FALSE)</f>
        <v>1</v>
      </c>
      <c r="HP159" s="1379" t="b">
        <f>IFERROR(IF(__Retrofit_TI_NC=2,IF(EW160&lt;EW158,FALSE,TRUE),TRUE),FALSE)</f>
        <v>1</v>
      </c>
      <c r="HQ159" s="1379" t="b">
        <f>IF(CN158="Interior",IG$6,TRUE)</f>
        <v>1</v>
      </c>
      <c r="HR159" s="1379" t="b">
        <f>IF(CN158="Exterior",IG$8,TRUE)</f>
        <v>1</v>
      </c>
      <c r="HS159" s="1379" t="b">
        <f>IFERROR(IF(__Retrofit_TI_NC&lt;&gt;0,IF(AW158&lt;AV158,FALSE,TRUE),TRUE),FALSE)</f>
        <v>1</v>
      </c>
      <c r="HT159" s="1379" t="b">
        <f>IFERROR(IF(AND(G159="Exterior",R159&gt;4200),FALSE,TRUE),FALSE)</f>
        <v>1</v>
      </c>
      <c r="HU159" s="1379" t="b">
        <f>IFERROR(IF(AB161/AB158&lt;HU$18,FALSE,TRUE),FALSE)</f>
        <v>0</v>
      </c>
      <c r="HW159" s="1382"/>
      <c r="HX159" s="1378"/>
      <c r="HY159" s="1377" t="str">
        <f>VLOOKUP(HW161,_Error_Table,4,FALSE)</f>
        <v>White</v>
      </c>
      <c r="HZ159" s="436"/>
      <c r="IA159" s="1386"/>
      <c r="IB159" s="1380"/>
      <c r="IC159" s="1379"/>
      <c r="IF159" s="1380"/>
      <c r="IG159" s="1382"/>
      <c r="IH159" s="1382"/>
      <c r="II159" s="1382"/>
      <c r="IK159" s="1351"/>
      <c r="IL159" s="1351"/>
      <c r="IM159" s="1351"/>
      <c r="IN159" s="1351"/>
      <c r="IO159" s="1351"/>
      <c r="IP159" s="1351"/>
    </row>
    <row r="160" spans="1:250" s="82" customFormat="1" ht="14.95" customHeight="1" thickTop="1" thickBot="1">
      <c r="A160" s="82">
        <f>ROW()</f>
        <v>160</v>
      </c>
      <c r="B160" s="1421"/>
      <c r="C160" s="1422"/>
      <c r="D160" s="1423"/>
      <c r="E160" s="1393" t="s">
        <v>245</v>
      </c>
      <c r="F160" s="1394"/>
      <c r="G160" s="1398"/>
      <c r="H160" s="1399"/>
      <c r="I160" s="1399"/>
      <c r="J160" s="1399"/>
      <c r="K160" s="1399"/>
      <c r="L160" s="1400"/>
      <c r="M160" s="509">
        <f>IFERROR(IF(IF(__Retrofit_TI_NC&lt;&gt;0,IF(CN158="Interior",MATCH(G160,Lookup_Interior_New,0),MATCH(G160,Lookup_Exterior_New,0)),IF(CN158="Interior",MATCH(G160,Lookup_Interior,0),MATCH(G160,Lookup_Exterior_Areas,0)))&gt;0,1,0),0)</f>
        <v>0</v>
      </c>
      <c r="N160" s="509" t="e">
        <f>IF(__Retrofit_TI_NC=1,
VLOOKUP(G160,'Space Table'!$B$3:$L$160,4,FALSE),
IF(__Retrofit_TI_NC=2,VLOOKUP(G160,'Space Table'!$B$3:$L$160,5,FALSE),VLOOKUP(G160,'Space Table'!$B$3:$L$160,5,FALSE)))</f>
        <v>#N/A</v>
      </c>
      <c r="O160" s="509">
        <f>G160</f>
        <v>0</v>
      </c>
      <c r="P160" s="1394" t="s">
        <v>355</v>
      </c>
      <c r="Q160" s="1394"/>
      <c r="R160" s="674"/>
      <c r="S160" s="1401" t="s">
        <v>284</v>
      </c>
      <c r="T160" s="672"/>
      <c r="U160" s="1499"/>
      <c r="V160" s="1500"/>
      <c r="W160" s="1500"/>
      <c r="X160" s="1500"/>
      <c r="Y160" s="1500"/>
      <c r="Z160" s="1500"/>
      <c r="AA160" s="1500"/>
      <c r="AB160" s="1501"/>
      <c r="AC160" s="1501"/>
      <c r="AD160" s="1502"/>
      <c r="AE160" s="672"/>
      <c r="AF160" s="1474"/>
      <c r="AG160" s="1474"/>
      <c r="AH160" s="1474"/>
      <c r="AI160" s="1474"/>
      <c r="AJ160" s="1475">
        <f>DF160</f>
        <v>0</v>
      </c>
      <c r="AK160" s="1470" t="str">
        <f>IFERROR(ROUND(AJ160*AC161,0),"")</f>
        <v/>
      </c>
      <c r="AL160" s="1472">
        <f>IFERROR(IF(HW158=FALSE,0,AC161-AK160),0)</f>
        <v>0</v>
      </c>
      <c r="AM160" s="1441"/>
      <c r="AN160" s="1442"/>
      <c r="AO160" s="1447"/>
      <c r="AP160" s="1447"/>
      <c r="AQ160" s="1448"/>
      <c r="AR160" s="1452"/>
      <c r="AS160" s="1455"/>
      <c r="AT160" s="1458"/>
      <c r="AU160" s="516"/>
      <c r="AV160" s="1479"/>
      <c r="AW160" s="1479"/>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M160" s="1352"/>
      <c r="CN160" s="1352"/>
      <c r="CO160" s="1415" t="str">
        <f>CN158</f>
        <v/>
      </c>
      <c r="CP160" s="1417" t="e">
        <f>CP158</f>
        <v>#N/A</v>
      </c>
      <c r="CR160" s="1386" t="s">
        <v>284</v>
      </c>
      <c r="CS160" s="1353">
        <f>IF(HW158=TRUE,T160,0)</f>
        <v>0</v>
      </c>
      <c r="CT160" s="1353" t="str">
        <f>IF(HW158=TRUE,U160,"")</f>
        <v/>
      </c>
      <c r="CU160" s="1373">
        <f>IF(HW158=TRUE,U161,0)</f>
        <v>0</v>
      </c>
      <c r="CV160" s="1370">
        <f>IF(HW158=TRUE,AB161,0)</f>
        <v>0</v>
      </c>
      <c r="CW160" s="1370">
        <f>IF(HW158=TRUE,AC161,0)</f>
        <v>0</v>
      </c>
      <c r="CX160" s="1371"/>
      <c r="CY160" s="1486"/>
      <c r="CZ160" s="1486"/>
      <c r="DA160" s="1486"/>
      <c r="DC160" s="1353">
        <f>IF(HW158=TRUE,AE160,0)</f>
        <v>0</v>
      </c>
      <c r="DD160" s="1353" t="str">
        <f>IF(HW158=TRUE,AF160,"")</f>
        <v/>
      </c>
      <c r="DE160" s="1373">
        <f>AF161</f>
        <v>0</v>
      </c>
      <c r="DF160" s="1406">
        <f>IFERROR(IF(FL160=3,IK160,IF(FL160=4,IL160,IF(FL160=5,IM160,IF(FL160=6,IN160,IF(FL160=7,IO160,IF(FL160=8,IP160,0)))))),0)</f>
        <v>0</v>
      </c>
      <c r="DG160" s="1370">
        <f>IF(HW158=TRUE,AK160,0)</f>
        <v>0</v>
      </c>
      <c r="DH160" s="1369"/>
      <c r="DK160" s="1483">
        <f>IFERROR(CW160-DG160,0)</f>
        <v>0</v>
      </c>
      <c r="DL160" s="1420"/>
      <c r="DN160" s="1403"/>
      <c r="DO160" s="1477" t="str">
        <f>DN158</f>
        <v/>
      </c>
      <c r="DP160" s="1354"/>
      <c r="DQ160" s="1477" t="str">
        <f>IF(DP158=7,"LLLC","")</f>
        <v/>
      </c>
      <c r="DR160" s="1403"/>
      <c r="DS160" s="1489"/>
      <c r="DU160" s="1403"/>
      <c r="DV160" s="1404" t="str">
        <f>DU158</f>
        <v/>
      </c>
      <c r="DW160" s="1403"/>
      <c r="DX160" s="1403"/>
      <c r="DZ160" s="1481"/>
      <c r="EA160" s="1481"/>
      <c r="EC160" s="1482"/>
      <c r="ED160" s="1369"/>
      <c r="EE160" s="1371"/>
      <c r="EF160" s="1369"/>
      <c r="EG160" s="1369"/>
      <c r="EH160" s="1374"/>
      <c r="EI160" s="1374"/>
      <c r="EJ160" s="1363"/>
      <c r="EK160" s="1376"/>
      <c r="EL160" s="1376"/>
      <c r="EM160" s="1362"/>
      <c r="EN160" s="1362"/>
      <c r="EO160" s="1363"/>
      <c r="EP160" s="1363"/>
      <c r="EQ160" s="1363"/>
      <c r="ES160" s="1403"/>
      <c r="EU160" s="1411" t="e">
        <f>VLOOKUP(CP160,'Space Table'!$B$3:$L$160,8,FALSE)</f>
        <v>#N/A</v>
      </c>
      <c r="EV160" s="1411" t="e">
        <f>IF(EY160="Yes",VLOOKUP(AF160,Lookup_Control_Type_Table2,4,FALSE),VLOOKUP(AF160,Lookup_Control_Type_Table2,3,FALSE))</f>
        <v>#N/A</v>
      </c>
      <c r="EW160" s="1411" t="e">
        <f>VLOOKUP(AF160,Lookup!AU$3:AV$15,2,FALSE)</f>
        <v>#N/A</v>
      </c>
      <c r="EX160" s="1411" t="e">
        <f>VLOOKUP(EU158,Lookup_Control_Type_Table,2,FALSE)</f>
        <v>#N/A</v>
      </c>
      <c r="EY160" s="1411" t="e">
        <f>VLOOKUP(CP160,'Space Table'!$B$3:$L$160,7,FALSE)</f>
        <v>#N/A</v>
      </c>
      <c r="EZ160" s="1413"/>
      <c r="FB160" s="1365" t="str">
        <f>CONCATENATE(CN158," - ",AF160)</f>
        <v xml:space="preserve"> - </v>
      </c>
      <c r="FD160" s="1354"/>
      <c r="FE160" s="1354"/>
      <c r="FF160" s="138"/>
      <c r="FI160" s="1356" t="str">
        <f>IF(CN158="Exterior","Not Daylighted",G161)</f>
        <v>Not Daylighted</v>
      </c>
      <c r="FJ160" s="1356">
        <f>VLOOKUP(FI160,_Daylight_Table_Codes,2,FALSE)</f>
        <v>0</v>
      </c>
      <c r="FK160" s="1365">
        <f>AF160</f>
        <v>0</v>
      </c>
      <c r="FL160" s="1365" t="e">
        <f>VLOOKUP(FK160,_Control_Table,2,FALSE)</f>
        <v>#N/A</v>
      </c>
      <c r="FM160" s="1365" t="e">
        <f>IF(AND(FP160&gt;0,FK160="Occupancy Sensor"),"Daylight + Occupancy",IF(AND(FP160&gt;0,FL160&lt;4),"Interior Daylight Dimming",FK160))</f>
        <v>#N/A</v>
      </c>
      <c r="FO160" s="1364">
        <f>IF(CN158="Interior",VLOOKUP(CP158,Control_Savings_Interior,5,FALSE),0)</f>
        <v>0</v>
      </c>
      <c r="FP160" s="1361">
        <f>IF(CN160="Exterior",0,IF(FJ160=2,0.5,IF(OR(FJ160=1,FJ160=3),1,0)))</f>
        <v>0</v>
      </c>
      <c r="FQ160" s="1366">
        <f>IF(R159&gt;FO$37,(FO160*(FO$37/R159)),FO160)*FP160</f>
        <v>0</v>
      </c>
      <c r="FR160" s="1364">
        <f>DF160</f>
        <v>0</v>
      </c>
      <c r="FS160" s="1364">
        <f>ROUND(FR160+((1-FR160)*FQ160),2)</f>
        <v>0</v>
      </c>
      <c r="FT160" s="1364">
        <f>IF(__Retrofit_TI_NC=2,FS160,FR160)</f>
        <v>0</v>
      </c>
      <c r="FU160" s="1360">
        <f>IF(CO160="Interior",VLOOKUP(CP160,Control_Savings_Interior,4,FALSE),0)</f>
        <v>0</v>
      </c>
      <c r="FW160" s="1352"/>
      <c r="FX160" s="1352"/>
      <c r="FY160" s="1352"/>
      <c r="FZ160" s="1352"/>
      <c r="GA160" s="1352"/>
      <c r="GB160" s="1352"/>
      <c r="GC160" s="1352"/>
      <c r="GD160" s="1352"/>
      <c r="GE160" s="759" t="b">
        <f>IF(ISNUMBER(SEARCH("TLED",U160)),TRUE,FALSE)</f>
        <v>0</v>
      </c>
      <c r="GF160" s="1035" t="str">
        <f>IFERROR(VLOOKUP(U160,Fixtures!DM$93:DR$142,6,FALSE),"")</f>
        <v/>
      </c>
      <c r="GG160" s="1385"/>
      <c r="GI160" s="1383"/>
      <c r="GJ160" s="1379"/>
      <c r="GL160" s="1379"/>
      <c r="GM160" s="1379"/>
      <c r="HC160" s="1379"/>
      <c r="HD160" s="1379"/>
      <c r="HE160" s="1379"/>
      <c r="HF160" s="1379"/>
      <c r="HG160" s="1379"/>
      <c r="HH160" s="1379"/>
      <c r="HI160" s="1383"/>
      <c r="HJ160" s="1383"/>
      <c r="HK160" s="1383"/>
      <c r="HL160" s="1379"/>
      <c r="HM160" s="1379"/>
      <c r="HN160" s="1379"/>
      <c r="HO160" s="1379"/>
      <c r="HP160" s="1379"/>
      <c r="HQ160" s="1379"/>
      <c r="HR160" s="1379"/>
      <c r="HS160" s="1379"/>
      <c r="HT160" s="1379"/>
      <c r="HU160" s="1379"/>
      <c r="HW160" s="1383"/>
      <c r="HX160" s="1384" t="b">
        <f>HW158</f>
        <v>0</v>
      </c>
      <c r="HY160" s="1378"/>
      <c r="HZ160" s="436"/>
      <c r="IA160" s="1386"/>
      <c r="IB160" s="1380">
        <f>IF(IA158=TRUE,AC161,0)</f>
        <v>0</v>
      </c>
      <c r="IC160" s="1379"/>
      <c r="IF160" s="1380" t="e">
        <f>ROUND(T160*AB161*N159*R159/1000,0)</f>
        <v>#VALUE!</v>
      </c>
      <c r="IG160" s="1382"/>
      <c r="IH160" s="1384" t="e">
        <f>ROUND(T160*AB161*N159*R159/1000,0)</f>
        <v>#VALUE!</v>
      </c>
      <c r="II160" s="1382"/>
      <c r="IK160" s="1351" t="e">
        <f>IF($CO160="interior",IL160/2,VLOOKUP($CP160,Control_Savings_Exterior,IK$30,FALSE))</f>
        <v>#N/A</v>
      </c>
      <c r="IL160" s="1351" t="e">
        <f>IF($CO160="interior",VLOOKUP($CP160,Control_Savings_Interior,IL$30,FALSE),VLOOKUP($CP160,Control_Savings_Exterior,IL$30,FALSE))</f>
        <v>#N/A</v>
      </c>
      <c r="IM160" s="1351" t="e">
        <f>IF($CO160="interior",IF(R159&gt;FO$37,(IM$28*(FO$37/R159)),IM$28)*FP160,VLOOKUP($CP160,Control_Savings_Exterior,IM$30,FALSE))</f>
        <v>#N/A</v>
      </c>
      <c r="IN160" s="1351" t="e">
        <f>IF($CO160="interior",ROUND(((1-IL160)*IM160)+IL160,2),VLOOKUP($CP160,Control_Savings_Exterior,IN$30,FALSE))</f>
        <v>#N/A</v>
      </c>
      <c r="IO160" s="1351" t="e">
        <f>IF($CO160="interior", ROUND(((1-IL160)*(IM160*(1-IP$28)))+IP160,2), VLOOKUP($CP160,Control_Savings_Exterior,IO$30,FALSE))</f>
        <v>#N/A</v>
      </c>
      <c r="IP160" s="1351">
        <f>IF($CO160="interior",ROUND(((1-IL160)*IP$28)+IL160,2),0)</f>
        <v>0</v>
      </c>
    </row>
    <row r="161" spans="1:250" s="82" customFormat="1" ht="14.95" customHeight="1" thickTop="1" thickBot="1">
      <c r="B161" s="1421"/>
      <c r="C161" s="1422"/>
      <c r="D161" s="1423"/>
      <c r="E161" s="1462" t="s">
        <v>357</v>
      </c>
      <c r="F161" s="1463"/>
      <c r="G161" s="1464" t="s">
        <v>362</v>
      </c>
      <c r="H161" s="1465"/>
      <c r="I161" s="1465"/>
      <c r="J161" s="1465"/>
      <c r="K161" s="1465"/>
      <c r="L161" s="1466"/>
      <c r="M161" s="669">
        <f>IFERROR(VLOOKUP(G161,_Daylight_Table[],2,FALSE),0)</f>
        <v>0</v>
      </c>
      <c r="N161" s="670"/>
      <c r="O161" s="669" t="e">
        <f>VLOOKUP(G160,'Space Table'!$B$3:$L$160,11,FALSE)</f>
        <v>#N/A</v>
      </c>
      <c r="P161" s="1408"/>
      <c r="Q161" s="1409"/>
      <c r="R161" s="1409"/>
      <c r="S161" s="1402"/>
      <c r="T161" s="671" t="s">
        <v>281</v>
      </c>
      <c r="U161" s="1467" t="str">
        <f>IFERROR(VLOOKUP(U160,Fixtures!DM$93:DP$142,4,FALSE),"")</f>
        <v/>
      </c>
      <c r="V161" s="1468"/>
      <c r="W161" s="1468"/>
      <c r="X161" s="1468"/>
      <c r="Y161" s="1468"/>
      <c r="Z161" s="1468"/>
      <c r="AA161" s="1468"/>
      <c r="AB161" s="1046" t="str">
        <f>IFERROR(VLOOKUP(U160,Fixtures_Proposed_List,2,FALSE),"")</f>
        <v/>
      </c>
      <c r="AC161" s="1036" t="str">
        <f>IFERROR(ROUND(T160*AB161*N159*R159/1000,0),"")</f>
        <v/>
      </c>
      <c r="AD161" s="1037" t="str">
        <f>IFERROR(ROUND(T160*AB161/1000,2),"")</f>
        <v/>
      </c>
      <c r="AE161" s="1045" t="s">
        <v>281</v>
      </c>
      <c r="AF161" s="1469"/>
      <c r="AG161" s="1469"/>
      <c r="AH161" s="1469"/>
      <c r="AI161" s="1469"/>
      <c r="AJ161" s="1476"/>
      <c r="AK161" s="1471"/>
      <c r="AL161" s="1473"/>
      <c r="AM161" s="1443"/>
      <c r="AN161" s="1444"/>
      <c r="AO161" s="1449"/>
      <c r="AP161" s="1449"/>
      <c r="AQ161" s="1450"/>
      <c r="AR161" s="1453"/>
      <c r="AS161" s="1456"/>
      <c r="AT161" s="1459"/>
      <c r="AU161" s="517"/>
      <c r="AV161" s="1480"/>
      <c r="AW161" s="1480"/>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M161" s="1352"/>
      <c r="CN161" s="1352"/>
      <c r="CO161" s="1416"/>
      <c r="CP161" s="1418"/>
      <c r="CR161" s="1386"/>
      <c r="CS161" s="1355"/>
      <c r="CT161" s="1355"/>
      <c r="CU161" s="1375"/>
      <c r="CV161" s="1372"/>
      <c r="CW161" s="1372"/>
      <c r="CX161" s="1372"/>
      <c r="CY161" s="1487"/>
      <c r="CZ161" s="1487"/>
      <c r="DA161" s="1487"/>
      <c r="DC161" s="1355"/>
      <c r="DD161" s="1355"/>
      <c r="DE161" s="1375"/>
      <c r="DF161" s="1407"/>
      <c r="DG161" s="1372"/>
      <c r="DH161" s="1369"/>
      <c r="DK161" s="1484"/>
      <c r="DL161" s="1420"/>
      <c r="DN161" s="1403"/>
      <c r="DO161" s="1405"/>
      <c r="DP161" s="1355"/>
      <c r="DQ161" s="1405"/>
      <c r="DR161" s="1403"/>
      <c r="DS161" s="1489"/>
      <c r="DU161" s="1403"/>
      <c r="DV161" s="1405"/>
      <c r="DW161" s="1403"/>
      <c r="DX161" s="1403"/>
      <c r="DZ161" s="1481"/>
      <c r="EA161" s="1481"/>
      <c r="EC161" s="1482"/>
      <c r="ED161" s="1369"/>
      <c r="EE161" s="1372"/>
      <c r="EF161" s="1369"/>
      <c r="EG161" s="1369"/>
      <c r="EH161" s="1375"/>
      <c r="EI161" s="1375"/>
      <c r="EJ161" s="1363"/>
      <c r="EK161" s="1376"/>
      <c r="EL161" s="1376"/>
      <c r="EM161" s="1362"/>
      <c r="EN161" s="1362"/>
      <c r="EO161" s="1363"/>
      <c r="EP161" s="1363"/>
      <c r="EQ161" s="1363"/>
      <c r="ES161" s="1403"/>
      <c r="EU161" s="1488"/>
      <c r="EV161" s="1488"/>
      <c r="EW161" s="1488"/>
      <c r="EX161" s="1488"/>
      <c r="EY161" s="1488"/>
      <c r="EZ161" s="1414"/>
      <c r="FB161" s="1365"/>
      <c r="FD161" s="1355"/>
      <c r="FE161" s="1355"/>
      <c r="FF161" s="138"/>
      <c r="FI161" s="1357"/>
      <c r="FJ161" s="1357"/>
      <c r="FK161" s="1365"/>
      <c r="FL161" s="1365"/>
      <c r="FM161" s="1365"/>
      <c r="FO161" s="1361"/>
      <c r="FP161" s="1361"/>
      <c r="FQ161" s="1366"/>
      <c r="FR161" s="1361"/>
      <c r="FS161" s="1361"/>
      <c r="FT161" s="1361"/>
      <c r="FU161" s="1360"/>
      <c r="FW161" s="1352"/>
      <c r="FX161" s="1352"/>
      <c r="FY161" s="1352"/>
      <c r="FZ161" s="1352"/>
      <c r="GA161" s="1352"/>
      <c r="GB161" s="1352"/>
      <c r="GC161" s="1352"/>
      <c r="GD161" s="1352"/>
      <c r="GE161" s="759"/>
      <c r="GF161" s="1035"/>
      <c r="GG161" s="1385"/>
      <c r="GJ161" s="1034">
        <f>IF(GJ159=TRUE,0,GJ$16)</f>
        <v>0</v>
      </c>
      <c r="GL161" s="1034">
        <f>IF(GL159=TRUE,0,GL$16)</f>
        <v>36</v>
      </c>
      <c r="GM161" s="1034">
        <f>IF(GM159=TRUE,0,GM$16)</f>
        <v>35</v>
      </c>
      <c r="GN161" s="436"/>
      <c r="GO161" s="436"/>
      <c r="GP161" s="436"/>
      <c r="GQ161" s="436"/>
      <c r="GR161" s="436"/>
      <c r="HC161" s="1034">
        <f t="shared" ref="HC161:HH161" si="106">IF(HC159=TRUE,0,HC$16)</f>
        <v>19</v>
      </c>
      <c r="HD161" s="1034">
        <f t="shared" si="106"/>
        <v>18</v>
      </c>
      <c r="HE161" s="1034">
        <f t="shared" si="106"/>
        <v>17</v>
      </c>
      <c r="HF161" s="1034">
        <f t="shared" si="106"/>
        <v>16</v>
      </c>
      <c r="HG161" s="1034">
        <f t="shared" si="106"/>
        <v>0</v>
      </c>
      <c r="HH161" s="1034">
        <f t="shared" si="106"/>
        <v>0</v>
      </c>
      <c r="HI161" s="1034">
        <f>IF(HI159=TRUE,0,HI$16)</f>
        <v>13</v>
      </c>
      <c r="HJ161" s="1034">
        <f t="shared" ref="HJ161:HL161" si="107">IF(HJ159=TRUE,0,HJ$16)</f>
        <v>12</v>
      </c>
      <c r="HK161" s="1034">
        <f t="shared" si="107"/>
        <v>11</v>
      </c>
      <c r="HL161" s="1034">
        <f t="shared" si="107"/>
        <v>10</v>
      </c>
      <c r="HM161" s="1034">
        <f>IF(HM159=TRUE,0,HM$16)</f>
        <v>9</v>
      </c>
      <c r="HN161" s="1034">
        <f t="shared" ref="HN161:HR161" si="108">IF(HN159=TRUE,0,HN$16)</f>
        <v>0</v>
      </c>
      <c r="HO161" s="1034">
        <f t="shared" si="108"/>
        <v>0</v>
      </c>
      <c r="HP161" s="1034">
        <f t="shared" si="108"/>
        <v>0</v>
      </c>
      <c r="HQ161" s="1034">
        <f t="shared" si="108"/>
        <v>0</v>
      </c>
      <c r="HR161" s="1034">
        <f t="shared" si="108"/>
        <v>0</v>
      </c>
      <c r="HS161" s="1034">
        <f>IF(HS159=TRUE,0,HS$16)</f>
        <v>0</v>
      </c>
      <c r="HT161" s="1034">
        <f t="shared" ref="HT161" si="109">IF(HT159=TRUE,0,HT$16)</f>
        <v>0</v>
      </c>
      <c r="HU161" s="1034">
        <f>IF(HU159=TRUE,0,HU$16)</f>
        <v>1</v>
      </c>
      <c r="HW161" s="1034">
        <f>IF(GL159=FALSE,GL161,IF(GM159=FALSE,GM161,MAX(GJ161:HU161)))</f>
        <v>36</v>
      </c>
      <c r="HX161" s="1383"/>
      <c r="HY161" s="241" t="str">
        <f>VLOOKUP(HW161,_Error_Table,3,FALSE)</f>
        <v xml:space="preserve"> </v>
      </c>
      <c r="HZ161" s="241"/>
      <c r="IA161" s="1386"/>
      <c r="IB161" s="1380"/>
      <c r="IC161" s="1379"/>
      <c r="IF161" s="1380"/>
      <c r="IG161" s="1383"/>
      <c r="IH161" s="1383"/>
      <c r="II161" s="1383"/>
      <c r="IK161" s="1351"/>
      <c r="IL161" s="1351"/>
      <c r="IM161" s="1351"/>
      <c r="IN161" s="1351"/>
      <c r="IO161" s="1351"/>
      <c r="IP161" s="1351"/>
    </row>
    <row r="162" spans="1:250" s="82" customFormat="1" ht="5.0999999999999996" customHeight="1" thickBot="1">
      <c r="B162" s="763"/>
      <c r="C162" s="437"/>
      <c r="D162" s="437"/>
      <c r="E162" s="1490"/>
      <c r="F162" s="1490"/>
      <c r="G162" s="1490"/>
      <c r="H162" s="1490"/>
      <c r="I162" s="1490"/>
      <c r="J162" s="1490"/>
      <c r="K162" s="1490"/>
      <c r="L162" s="1490"/>
      <c r="M162" s="1490"/>
      <c r="N162" s="1490"/>
      <c r="O162" s="1490"/>
      <c r="P162" s="1490"/>
      <c r="Q162" s="1490"/>
      <c r="R162" s="1490"/>
      <c r="S162" s="1490"/>
      <c r="T162" s="1490"/>
      <c r="U162" s="1490"/>
      <c r="V162" s="1490"/>
      <c r="W162" s="1490"/>
      <c r="X162" s="1490"/>
      <c r="Y162" s="1490"/>
      <c r="Z162" s="1490"/>
      <c r="AA162" s="1490"/>
      <c r="AB162" s="1490"/>
      <c r="AC162" s="1490"/>
      <c r="AD162" s="1490"/>
      <c r="AE162" s="1490"/>
      <c r="AF162" s="1490"/>
      <c r="AG162" s="1490"/>
      <c r="AH162" s="1490"/>
      <c r="AI162" s="1490"/>
      <c r="AJ162" s="1490"/>
      <c r="AK162" s="1490"/>
      <c r="AL162" s="1490"/>
      <c r="AM162" s="1490"/>
      <c r="AN162" s="1490"/>
      <c r="AO162" s="1490"/>
      <c r="AP162" s="1490"/>
      <c r="AQ162" s="1490"/>
      <c r="AR162" s="1490"/>
      <c r="AS162" s="1490"/>
      <c r="AT162" s="1490"/>
      <c r="AU162" s="51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M162" s="749"/>
      <c r="CN162" s="749"/>
      <c r="CO162" s="485"/>
      <c r="CP162" s="749"/>
      <c r="CS162" s="436"/>
      <c r="CT162" s="436"/>
      <c r="CU162" s="243"/>
      <c r="CV162" s="244"/>
      <c r="CW162" s="244"/>
      <c r="CX162" s="244"/>
      <c r="CY162" s="245"/>
      <c r="CZ162" s="245"/>
      <c r="DA162" s="245"/>
      <c r="DC162" s="750"/>
      <c r="DD162" s="751"/>
      <c r="DE162" s="752"/>
      <c r="DF162" s="753"/>
      <c r="DG162" s="754"/>
      <c r="DH162" s="754"/>
      <c r="DK162" s="244"/>
      <c r="DL162" s="750"/>
      <c r="DN162" s="750"/>
      <c r="DO162" s="755"/>
      <c r="DP162" s="436"/>
      <c r="DQ162" s="750"/>
      <c r="DR162" s="750"/>
      <c r="DS162" s="750"/>
      <c r="DU162" s="750"/>
      <c r="DV162" s="750"/>
      <c r="DW162" s="750"/>
      <c r="DX162" s="750"/>
      <c r="DZ162" s="756"/>
      <c r="EA162" s="756"/>
      <c r="EC162" s="754"/>
      <c r="ED162" s="754"/>
      <c r="EE162" s="244"/>
      <c r="EF162" s="754"/>
      <c r="EG162" s="754"/>
      <c r="EH162" s="243"/>
      <c r="EI162" s="243"/>
      <c r="EJ162" s="752"/>
      <c r="EK162" s="757"/>
      <c r="EL162" s="757"/>
      <c r="EM162" s="758"/>
      <c r="EN162" s="758"/>
      <c r="EO162" s="752"/>
      <c r="EP162" s="752"/>
      <c r="EQ162" s="752"/>
      <c r="ES162" s="750"/>
      <c r="EU162" s="436"/>
      <c r="EV162" s="436"/>
      <c r="EW162" s="436"/>
      <c r="EX162" s="436"/>
      <c r="EY162" s="436"/>
      <c r="EZ162" s="436"/>
      <c r="FB162" s="643"/>
      <c r="FD162" s="436"/>
      <c r="FE162" s="436"/>
      <c r="FF162" s="436"/>
      <c r="FO162" s="750"/>
      <c r="FP162" s="436"/>
      <c r="FQ162" s="436"/>
      <c r="FR162" s="750"/>
      <c r="FS162" s="750"/>
      <c r="FW162" s="749"/>
      <c r="FX162" s="749"/>
      <c r="FY162" s="749"/>
      <c r="FZ162" s="749"/>
      <c r="GA162" s="749"/>
      <c r="GB162" s="749"/>
      <c r="GC162" s="749"/>
      <c r="GD162" s="749"/>
      <c r="GE162" s="751"/>
      <c r="GF162" s="750"/>
      <c r="GG162" s="750"/>
    </row>
    <row r="163" spans="1:250" s="82" customFormat="1" ht="14.95" customHeight="1" thickTop="1" thickBot="1">
      <c r="B163" s="1421" t="str">
        <f>HY166</f>
        <v xml:space="preserve"> </v>
      </c>
      <c r="C163" s="1422">
        <f>C158+1</f>
        <v>25</v>
      </c>
      <c r="D163" s="1423"/>
      <c r="E163" s="1424" t="s">
        <v>242</v>
      </c>
      <c r="F163" s="1425"/>
      <c r="G163" s="1426"/>
      <c r="H163" s="1427"/>
      <c r="I163" s="1427"/>
      <c r="J163" s="1427"/>
      <c r="K163" s="1427"/>
      <c r="L163" s="1427"/>
      <c r="M163" s="1427"/>
      <c r="N163" s="1427"/>
      <c r="O163" s="1427"/>
      <c r="P163" s="1427"/>
      <c r="Q163" s="1427"/>
      <c r="R163" s="1427"/>
      <c r="S163" s="1428" t="s">
        <v>283</v>
      </c>
      <c r="T163" s="668" t="s">
        <v>190</v>
      </c>
      <c r="U163" s="1430" t="s">
        <v>186</v>
      </c>
      <c r="V163" s="1431"/>
      <c r="W163" s="1431"/>
      <c r="X163" s="1431"/>
      <c r="Y163" s="1431"/>
      <c r="Z163" s="1431"/>
      <c r="AA163" s="1431"/>
      <c r="AB163" s="1088" t="str">
        <f>IFERROR(IF(__Retrofit_TI_NC=0,VLOOKUP(U164,Fixtures_Existing_List,2,FALSE),ROUND(N165*R165/T165,10)),"")</f>
        <v/>
      </c>
      <c r="AC163" s="1039" t="str">
        <f>IFERROR(IF(__Retrofit_TI_NC=0,ROUND(T164*AB163*N164*R164/1000,0),IF(CN163="Interior",N165*R165*R164*N164*_C406_reduction/1000,N165*R165*R164*N164/1000)),"")</f>
        <v/>
      </c>
      <c r="AD163" s="1040" t="str">
        <f>IFERROR(IF(C$36=0,ROUND(T164*AB163/1000,2),N165*R165/1000),"")</f>
        <v/>
      </c>
      <c r="AE163" s="1044" t="s">
        <v>190</v>
      </c>
      <c r="AF163" s="1432" t="str">
        <f>IF(__Retrofit_TI_NC=2,CONCATENATE("Code min = ",DD163),IF(__Retrofit_TI_NC=1,"Emter what you think the existing control was"," Control"))</f>
        <v xml:space="preserve"> Control</v>
      </c>
      <c r="AG163" s="1432"/>
      <c r="AH163" s="1432"/>
      <c r="AI163" s="1432"/>
      <c r="AJ163" s="1433">
        <f>DF163</f>
        <v>0</v>
      </c>
      <c r="AK163" s="1435" t="str">
        <f>IFERROR(ROUND(AJ163*AC163,0),"")</f>
        <v/>
      </c>
      <c r="AL163" s="1437">
        <f>IFERROR(IF(HW163=FALSE,0,AC163-AK163),0)</f>
        <v>0</v>
      </c>
      <c r="AM163" s="1439">
        <f>AL163-AL165</f>
        <v>0</v>
      </c>
      <c r="AN163" s="1440"/>
      <c r="AO163" s="1445">
        <f>IFERROR(IF(HW163=FALSE,0,(T165*U166)+(AE165*AF166)),0)</f>
        <v>0</v>
      </c>
      <c r="AP163" s="1445"/>
      <c r="AQ163" s="1446"/>
      <c r="AR163" s="1451" t="s">
        <v>157</v>
      </c>
      <c r="AS163" s="1454">
        <f>IF(AR163="Yes",1,0)</f>
        <v>1</v>
      </c>
      <c r="AT163" s="1457" t="str">
        <f>IF(OR(DN163=4,DN163=5,DN163=6,DN163=12),CONCATENATE("$",IF(GD163=TRUE,Lookup!$B$11,Lookup!$B$2)," /lamp"),CONCATENATE(EA163,"/ kWh"))</f>
        <v>0/ kWh</v>
      </c>
      <c r="AU163" s="516"/>
      <c r="AV163" s="1478">
        <f>IFERROR(IF(GI164=TRUE,(AB166*T165)/R165,0),"NA")</f>
        <v>0</v>
      </c>
      <c r="AW163" s="1478" t="str">
        <f>IFERROR(N165*_C406_reduction,"NA")</f>
        <v>NA</v>
      </c>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M163" s="1352" t="str">
        <f>N164</f>
        <v/>
      </c>
      <c r="CN163" s="1352" t="str">
        <f>IFERROR(VLOOKUP(G164,_Lookup_Heat_Type_Table_New,3,FALSE),"")</f>
        <v/>
      </c>
      <c r="CO163" s="1415" t="str">
        <f>CN163</f>
        <v/>
      </c>
      <c r="CP163" s="1417" t="e">
        <f>VLOOKUP(G165,'Space Table'!$B$3:$L$160,9,FALSE)</f>
        <v>#N/A</v>
      </c>
      <c r="CR163" s="1386" t="s">
        <v>283</v>
      </c>
      <c r="CS163" s="1353">
        <f>IF(HW163=TRUE,T164,0)</f>
        <v>0</v>
      </c>
      <c r="CT163" s="1353" t="str">
        <f>IF(HW163=TRUE,U164,"")</f>
        <v/>
      </c>
      <c r="CU163" s="1353"/>
      <c r="CV163" s="1370">
        <f>IF(HW163=TRUE,AB163,0)</f>
        <v>0</v>
      </c>
      <c r="CW163" s="1370">
        <f>IF(HW163=TRUE,AC163,0)</f>
        <v>0</v>
      </c>
      <c r="CX163" s="1370">
        <f>IFERROR(IF(HW163=TRUE,CW163-CW165,0),0)</f>
        <v>0</v>
      </c>
      <c r="CY163" s="1485">
        <f>IF(HW163=TRUE,AD163,0)</f>
        <v>0</v>
      </c>
      <c r="CZ163" s="1485">
        <f>IF(HW163=TRUE,AD166,0)</f>
        <v>0</v>
      </c>
      <c r="DA163" s="1485">
        <f>IFERROR(CY163-CZ163,0)</f>
        <v>0</v>
      </c>
      <c r="DC163" s="1353">
        <f>IF(HW163=TRUE,AE164,0)</f>
        <v>0</v>
      </c>
      <c r="DD163" s="1460">
        <f>IF(__Retrofit_TI_NC=2,IF(CN163="Exterior",O166,FM163),FK163)</f>
        <v>0</v>
      </c>
      <c r="DE163" s="1353"/>
      <c r="DF163" s="1406">
        <f>IFERROR(IF(FL163=3,IK163,IF(FL163=4,IL163,IF(FL163=5,IM163,IF(FL163=6,IN163,IF(FL163=7,IO163,IF(FL163=8,IP163,0)))))),0)</f>
        <v>0</v>
      </c>
      <c r="DG163" s="1370">
        <f>IF(HW163=TRUE,AK163,0)</f>
        <v>0</v>
      </c>
      <c r="DH163" s="1369">
        <f>IFERROR(IF(HW163=TRUE,DG165-DG163,0),0)</f>
        <v>0</v>
      </c>
      <c r="DJ163" s="1483">
        <f>IFERROR(CW163-DG163,0)</f>
        <v>0</v>
      </c>
      <c r="DL163" s="1419">
        <f>DJ163-DK165</f>
        <v>0</v>
      </c>
      <c r="DN163" s="1403" t="str">
        <f>IFERROR(IF(AND(OR(FY163=4,FY163=5,FY163=6),OR(GB163=4,GB163=5,GB163=6)),FY163+8,VLOOKUP(CT165,Fixtures!R$31:Y$78,8,FALSE)),"")</f>
        <v/>
      </c>
      <c r="DO163" s="1404" t="str">
        <f>DN163</f>
        <v/>
      </c>
      <c r="DP163" s="1353" t="str">
        <f>IFERROR(VLOOKUP(DD165,Lookup!AU$3:AV$15,2,FALSE),"")</f>
        <v/>
      </c>
      <c r="DQ163" s="1404" t="str">
        <f>IF(DP163=7,"LLLC","")</f>
        <v/>
      </c>
      <c r="DR163" s="1403">
        <f>IFERROR(IF(OR(DN163=4,DN163=5,DN163=6,DN163=12,DN163=13,DN163=14),VLOOKUP(CT165,Fixtures!DN$27:EG$77,19,FALSE),1)*CS165,0)</f>
        <v>0</v>
      </c>
      <c r="DS163" s="1489">
        <f>IF(DP163=7,IF(DD163=DD165,0,DC165),0)</f>
        <v>0</v>
      </c>
      <c r="DU163" s="1403" t="str">
        <f>IFERROR(IF(EW163&lt;EW165,"Yes","No"),"")</f>
        <v/>
      </c>
      <c r="DV163" s="1404" t="str">
        <f>DU163</f>
        <v/>
      </c>
      <c r="DW163" s="1403">
        <f>IF(DU163="Yes",DC165,0)</f>
        <v>0</v>
      </c>
      <c r="DX163" s="1403">
        <f>DW163-DS163</f>
        <v>0</v>
      </c>
      <c r="DZ163" s="1481">
        <f>IFERROR(VLOOKUP(DN163,Lookup!AN$3:AO$16,2,FALSE),0)</f>
        <v>0</v>
      </c>
      <c r="EA163" s="1481">
        <f>IF(HW163=FALSE,0,IF(DU163="Yes",DZ163+Lookup!B$6,DZ163))</f>
        <v>0</v>
      </c>
      <c r="EC163" s="1482">
        <f>IF(HW163=TRUE,DJ163,0)</f>
        <v>0</v>
      </c>
      <c r="ED163" s="1369">
        <f>IF(HW163=TRUE,CW165,0)</f>
        <v>0</v>
      </c>
      <c r="EE163" s="1370">
        <f>IFERROR(EC163-ED163,0)</f>
        <v>0</v>
      </c>
      <c r="EF163" s="1369">
        <f>IF(HW163=TRUE,DG165,0)</f>
        <v>0</v>
      </c>
      <c r="EG163" s="1369">
        <f>IFERROR(EC163-ED163+EF163,0)</f>
        <v>0</v>
      </c>
      <c r="EH163" s="1373">
        <f>IF(HW163=TRUE,CS165*CU165,0)</f>
        <v>0</v>
      </c>
      <c r="EI163" s="1373">
        <f>IF(HW163=TRUE,DC165*DE165,0)</f>
        <v>0</v>
      </c>
      <c r="EJ163" s="1363">
        <f>AO163</f>
        <v>0</v>
      </c>
      <c r="EK163" s="1376" t="str">
        <f>IFERROR(IF(HW163=TRUE,VLOOKUP(DN163,Lookup!AN$3:AP$16,3,FALSE)*DR163,""),0)</f>
        <v/>
      </c>
      <c r="EL163" s="1376">
        <f>IF(HW163=TRUE,DW163*Lookup!AP$12,0)</f>
        <v>0</v>
      </c>
      <c r="EM163" s="1362">
        <f>IFERROR(IF(HW163=TRUE,EK163/EM$33,0),0)</f>
        <v>0</v>
      </c>
      <c r="EN163" s="1362">
        <f>IF(HW163=TRUE,EL163/EN$33,0)</f>
        <v>0</v>
      </c>
      <c r="EO163" s="1363">
        <f>IF(HW163=TRUE,EQ$33*EM163,0)</f>
        <v>0</v>
      </c>
      <c r="EP163" s="1363">
        <f>IF(HW163=TRUE,EQ$33*EN163,0)</f>
        <v>0</v>
      </c>
      <c r="EQ163" s="1363">
        <f>EO163+EP163</f>
        <v>0</v>
      </c>
      <c r="ES163" s="1403">
        <f>IF(G163="",0,1)</f>
        <v>0</v>
      </c>
      <c r="EU163" s="1410" t="e">
        <f>VLOOKUP(CP165,'Space Table'!$B$3:$L$160,8,FALSE)</f>
        <v>#N/A</v>
      </c>
      <c r="EV163" s="1410" t="e">
        <f>IF(EY163="Yes",VLOOKUP(DD163,Lookup_Control_Type_Table2,4,FALSE),VLOOKUP(DD163,Lookup_Control_Type_Table2,3,FALSE))</f>
        <v>#N/A</v>
      </c>
      <c r="EW163" s="1410" t="e">
        <f>VLOOKUP(DD163,Lookup!AU$3:AV$15,2,FALSE)</f>
        <v>#N/A</v>
      </c>
      <c r="EX163" s="1410" t="e">
        <f>VLOOKUP(EU163,Lookup_Control_Type_Table,2,FALSE)</f>
        <v>#N/A</v>
      </c>
      <c r="EY163" s="1410" t="e">
        <f>VLOOKUP(CP165,'Space Table'!$B$3:$L$160,7,FALSE)</f>
        <v>#N/A</v>
      </c>
      <c r="EZ163" s="1412" t="b">
        <f>ISNUMBER(SEARCH("TLED",U165))</f>
        <v>0</v>
      </c>
      <c r="FB163" s="1365" t="str">
        <f>CONCATENATE(CN163," - ",DD163)</f>
        <v xml:space="preserve"> - 0</v>
      </c>
      <c r="FD163" s="1353" t="str">
        <f>VLOOKUP(CT165,Fixtures!DN$27:EZ$77,38,FALSE)</f>
        <v/>
      </c>
      <c r="FE163" s="1353">
        <f>IFERROR(FD163*EE163,0)</f>
        <v>0</v>
      </c>
      <c r="FF163" s="138"/>
      <c r="FI163" s="1356" t="str">
        <f>IF(CN163="Exterior","Not Daylighted",G166)</f>
        <v>Not Daylighted</v>
      </c>
      <c r="FJ163" s="1356">
        <f>VLOOKUP(FI163,_Daylight_Table_Codes,2,FALSE)</f>
        <v>0</v>
      </c>
      <c r="FK163" s="1365">
        <f>IF(__Retrofit_TI_NC=2,VLOOKUP(G165,'Space Table'!$B$3:$L$160,11,FALSE),AF164)</f>
        <v>0</v>
      </c>
      <c r="FL163" s="1365" t="e">
        <f>VLOOKUP(FK163,_Control_Table,2,FALSE)</f>
        <v>#N/A</v>
      </c>
      <c r="FM163" s="1365" t="e">
        <f>IF(AND(FP163&gt;0,FK163="Occupancy Sensor"),"Daylight + Occupancy",IF(AND(FP163&gt;0,FL163&lt;4),"Interior Daylight Dimming",FK163))</f>
        <v>#N/A</v>
      </c>
      <c r="FO163" s="1364">
        <f>IF(CO163="Interior",VLOOKUP(CP163,Control_Savings_Interior,5,FALSE),0)</f>
        <v>0</v>
      </c>
      <c r="FP163" s="1361">
        <f>IF(CN163="Exterior",0,IF(FJ163=2,0.5,IF(OR(FJ163=1,FJ163=3),1,0)))</f>
        <v>0</v>
      </c>
      <c r="FQ163" s="1366"/>
      <c r="FR163" s="1367"/>
      <c r="FS163" s="1364"/>
      <c r="FT163" s="1367"/>
      <c r="FU163" s="1360"/>
      <c r="FW163" s="1352" t="str">
        <f>IFERROR(VLOOKUP(U164,_Exist_Fixture_Table,3,FALSE),"")</f>
        <v/>
      </c>
      <c r="FX163" s="1352" t="str">
        <f>VLOOKUP(CT163,_Exist_Fixture_Table,4,FALSE)</f>
        <v/>
      </c>
      <c r="FY163" s="1352">
        <f>IFERROR(VLOOKUP(FX163,Lookup!AM$6:AN$8,2,FALSE),0)</f>
        <v>0</v>
      </c>
      <c r="FZ163" s="1352" t="b">
        <f>IFERROR(IF(OR(GB163=4,GB163=5,GB163=6),TRUE,FALSE),"")</f>
        <v>0</v>
      </c>
      <c r="GA163" s="1352" t="str">
        <f>IFERROR(VLOOKUP(GB163,FY$6:FZ$10,2,FALSE),"")</f>
        <v/>
      </c>
      <c r="GB163" s="1352" t="str">
        <f>VLOOKUP(CT165,Fixtures!R$31:Y$78,8,FALSE)</f>
        <v/>
      </c>
      <c r="GC163" s="1352">
        <f>IF(AND(FW163=TRUE,FZ163=TRUE,OR(DN163=12,DN163=13,DN163=14)),FY163+8,0)</f>
        <v>0</v>
      </c>
      <c r="GD163" s="1352" t="b">
        <f>IF(OR(GC163=12,GC163=13,GC163=14),TRUE,FALSE)</f>
        <v>0</v>
      </c>
      <c r="GE163" s="759" t="b">
        <f>IF(ISNUMBER(SEARCH("TLED",U164)),TRUE,FALSE)</f>
        <v>0</v>
      </c>
      <c r="GF163" s="1035" t="str">
        <f>IFERROR(VLOOKUP(U164,Fixtures!BM$93:BR$142,6,FALSE),"")</f>
        <v/>
      </c>
      <c r="GG163" s="1385" t="b">
        <f>IF(OR(GE163=FALSE,GE165=FALSE),TRUE,IF(GF163-GF165&lt;5,FALSE,TRUE))</f>
        <v>1</v>
      </c>
      <c r="GK163" s="1034">
        <f>GL163</f>
        <v>0</v>
      </c>
      <c r="GL163" s="1034">
        <f>IF(G163="",0,1)</f>
        <v>0</v>
      </c>
      <c r="GM163" s="1034">
        <f>SUM(GN163:HB163)</f>
        <v>2</v>
      </c>
      <c r="GN163" s="1034">
        <f>IF(G164="",0,1)</f>
        <v>0</v>
      </c>
      <c r="GO163" s="1034">
        <f>IF(G165="",0,1)</f>
        <v>0</v>
      </c>
      <c r="GP163" s="1034">
        <f>IF(R164="",0,1)</f>
        <v>0</v>
      </c>
      <c r="GQ163" s="1034">
        <f>IF(__Retrofit_TI_NC=0,1,IF(R165="",0,1))</f>
        <v>1</v>
      </c>
      <c r="GR163" s="1034">
        <f>IF(CN163="Exterior",1,IF(G166="",0,1))</f>
        <v>1</v>
      </c>
      <c r="GS163" s="1034">
        <f>IF(__Retrofit_TI_NC&lt;&gt;0,1,IF(T164="",0,1))</f>
        <v>0</v>
      </c>
      <c r="GT163" s="1034">
        <f>IF(__Retrofit_TI_NC&lt;&gt;0,1,IF(U164="",0,1))</f>
        <v>0</v>
      </c>
      <c r="GU163" s="1034">
        <f>IF(T165="",0,1)</f>
        <v>0</v>
      </c>
      <c r="GV163" s="1034">
        <f>IF(U165="",0,1)</f>
        <v>0</v>
      </c>
      <c r="GW163" s="1034">
        <f>IF(__Retrofit_TI_NC=2,1,IF(U166="",0,1))</f>
        <v>0</v>
      </c>
      <c r="GX163" s="1034">
        <f>IF(__Retrofit_TI_NC&lt;&gt;0,1,IF(AE164="",0,1))</f>
        <v>0</v>
      </c>
      <c r="GY163" s="1034">
        <f>IF(__Retrofit_TI_NC&lt;&gt;0,1,IF(AF164="",0,1))</f>
        <v>0</v>
      </c>
      <c r="GZ163" s="1034">
        <f>IF(AE165="",0,1)</f>
        <v>0</v>
      </c>
      <c r="HA163" s="1034">
        <f>IF(AF165="",0,1)</f>
        <v>0</v>
      </c>
      <c r="HB163" s="1034">
        <f>IF(__Retrofit_TI_NC=2,1,IF(AF166="",0,1))</f>
        <v>0</v>
      </c>
      <c r="HV163" s="436"/>
      <c r="HW163" s="1384" t="b">
        <f>IF(OR(HW166=0,HW166=HT$16,HW166=HS$16,HW166=HU$16),TRUE,FALSE)</f>
        <v>0</v>
      </c>
      <c r="HX163" s="1377" t="b">
        <f>HW163</f>
        <v>0</v>
      </c>
      <c r="HY163" s="436"/>
      <c r="HZ163" s="436"/>
      <c r="IA163" s="1386" t="b">
        <f>IF(MAX(GJ166:HP166)&gt;5,FALSE,TRUE)</f>
        <v>0</v>
      </c>
      <c r="IB163" s="1380">
        <f>IF(IA163=TRUE,AC163,0)</f>
        <v>0</v>
      </c>
      <c r="IC163" s="1380">
        <f>IB163-IB165</f>
        <v>0</v>
      </c>
      <c r="IF163" s="1380" t="e">
        <f>ROUND(T164*VLOOKUP(U164,Fixtures_Existing_List,2,FALSE)*N164*R164/1000,0)</f>
        <v>#N/A</v>
      </c>
      <c r="IG163" s="1381" t="e">
        <f>IF163-IF165</f>
        <v>#N/A</v>
      </c>
      <c r="IH163" s="1384" t="e">
        <f>ROUND(IF(CN163="Interior",N165*R165*R164*N164*_C406_reduction/1000,N165*R165*R164*N164/1000),0)</f>
        <v>#N/A</v>
      </c>
      <c r="II163" s="1384" t="e">
        <f>IH163-IH165</f>
        <v>#N/A</v>
      </c>
      <c r="IK163" s="1351" t="e">
        <f>IF($CO163="interior",IL163/2,VLOOKUP($CP163,Control_Savings_Exterior,IK$30,FALSE))</f>
        <v>#N/A</v>
      </c>
      <c r="IL163" s="1351" t="e">
        <f>IF($CO163="interior",VLOOKUP($CP163,Control_Savings_Interior,IL$30,FALSE),VLOOKUP($CP163,Control_Savings_Exterior,IL$30,FALSE))</f>
        <v>#N/A</v>
      </c>
      <c r="IM163" s="1351" t="e">
        <f>IF($CO163="interior",IF(R164&gt;FO$37,(IM$28*(FO$37/R164)),IM$28)*FP163,VLOOKUP($CP163,Control_Savings_Exterior,IM$30,FALSE))</f>
        <v>#N/A</v>
      </c>
      <c r="IN163" s="1351" t="e">
        <f>IF($CO163="interior",ROUND(((1-IL163)*IM163)+IL163,2),VLOOKUP($CP163,Control_Savings_Exterior,IN$30,FALSE))</f>
        <v>#N/A</v>
      </c>
      <c r="IO163" s="1351" t="e">
        <f>IF($CO163="interior", ROUND(((1-IL163)*(IM163*(1-IP$28)))+IP163,2), VLOOKUP($CP163,Control_Savings_Exterior,IO$30,FALSE))</f>
        <v>#N/A</v>
      </c>
      <c r="IP163" s="1351">
        <f>IF($CO163="interior",ROUND(((1-IL163)*IP$28)+IL163,2),0)</f>
        <v>0</v>
      </c>
    </row>
    <row r="164" spans="1:250" s="82" customFormat="1" ht="14.95" customHeight="1" thickTop="1" thickBot="1">
      <c r="B164" s="1421"/>
      <c r="C164" s="1422"/>
      <c r="D164" s="1423"/>
      <c r="E164" s="1393" t="s">
        <v>244</v>
      </c>
      <c r="F164" s="1394"/>
      <c r="G164" s="1395"/>
      <c r="H164" s="1395"/>
      <c r="I164" s="1395"/>
      <c r="J164" s="1395"/>
      <c r="K164" s="1395"/>
      <c r="L164" s="1395"/>
      <c r="M164" s="509" t="e">
        <f>IF(__Retrofit_TI_NC&lt;&gt;0,IF(VLOOKUP(G165,'Space Table'!$B$3:$L$160,3,FALSE)&gt;0,1,0),IF(__Retrofit_TI_NC=VLOOKUP(G165,'Space Table'!$B$3:$L$160,3,FALSE),1,0))</f>
        <v>#N/A</v>
      </c>
      <c r="N164" s="509" t="str">
        <f>IFERROR(VLOOKUP(G164,_Lookup_Heat_Type_Table_New,2,FALSE),"")</f>
        <v/>
      </c>
      <c r="O164" s="509">
        <f>IF(__Retrofit_TI_NC=1,CONCATENATE("TI ",G164),IF(__Retrofit_TI_NC=2,CONCATENATE("NC ",G164),G164))</f>
        <v>0</v>
      </c>
      <c r="P164" s="1396" t="s">
        <v>352</v>
      </c>
      <c r="Q164" s="1396"/>
      <c r="R164" s="673"/>
      <c r="S164" s="1429"/>
      <c r="T164" s="675"/>
      <c r="U164" s="1496"/>
      <c r="V164" s="1497"/>
      <c r="W164" s="1497"/>
      <c r="X164" s="1497"/>
      <c r="Y164" s="1497"/>
      <c r="Z164" s="1497"/>
      <c r="AA164" s="1497"/>
      <c r="AB164" s="1497"/>
      <c r="AC164" s="1497"/>
      <c r="AD164" s="1498"/>
      <c r="AE164" s="675"/>
      <c r="AF164" s="1397"/>
      <c r="AG164" s="1397"/>
      <c r="AH164" s="1397"/>
      <c r="AI164" s="1397"/>
      <c r="AJ164" s="1434"/>
      <c r="AK164" s="1436"/>
      <c r="AL164" s="1438"/>
      <c r="AM164" s="1441"/>
      <c r="AN164" s="1442"/>
      <c r="AO164" s="1447"/>
      <c r="AP164" s="1447"/>
      <c r="AQ164" s="1448"/>
      <c r="AR164" s="1452"/>
      <c r="AS164" s="1455"/>
      <c r="AT164" s="1458"/>
      <c r="AU164" s="516"/>
      <c r="AV164" s="1479"/>
      <c r="AW164" s="1479"/>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M164" s="1352"/>
      <c r="CN164" s="1352"/>
      <c r="CO164" s="1416"/>
      <c r="CP164" s="1418"/>
      <c r="CR164" s="1386"/>
      <c r="CS164" s="1355"/>
      <c r="CT164" s="1355"/>
      <c r="CU164" s="1355"/>
      <c r="CV164" s="1372"/>
      <c r="CW164" s="1372"/>
      <c r="CX164" s="1371"/>
      <c r="CY164" s="1486"/>
      <c r="CZ164" s="1486"/>
      <c r="DA164" s="1486"/>
      <c r="DC164" s="1355"/>
      <c r="DD164" s="1461"/>
      <c r="DE164" s="1355"/>
      <c r="DF164" s="1407"/>
      <c r="DG164" s="1372"/>
      <c r="DH164" s="1369"/>
      <c r="DJ164" s="1484"/>
      <c r="DL164" s="1419"/>
      <c r="DN164" s="1403"/>
      <c r="DO164" s="1405"/>
      <c r="DP164" s="1354"/>
      <c r="DQ164" s="1405"/>
      <c r="DR164" s="1403"/>
      <c r="DS164" s="1489"/>
      <c r="DU164" s="1403"/>
      <c r="DV164" s="1405"/>
      <c r="DW164" s="1403"/>
      <c r="DX164" s="1403"/>
      <c r="DZ164" s="1481"/>
      <c r="EA164" s="1481"/>
      <c r="EC164" s="1482"/>
      <c r="ED164" s="1369"/>
      <c r="EE164" s="1371"/>
      <c r="EF164" s="1369"/>
      <c r="EG164" s="1369"/>
      <c r="EH164" s="1374"/>
      <c r="EI164" s="1374"/>
      <c r="EJ164" s="1363"/>
      <c r="EK164" s="1376"/>
      <c r="EL164" s="1376"/>
      <c r="EM164" s="1362"/>
      <c r="EN164" s="1362"/>
      <c r="EO164" s="1363"/>
      <c r="EP164" s="1363"/>
      <c r="EQ164" s="1363"/>
      <c r="ES164" s="1403"/>
      <c r="EU164" s="1411"/>
      <c r="EV164" s="1411"/>
      <c r="EW164" s="1411"/>
      <c r="EX164" s="1411"/>
      <c r="EY164" s="1411"/>
      <c r="EZ164" s="1413"/>
      <c r="FB164" s="1365"/>
      <c r="FD164" s="1354"/>
      <c r="FE164" s="1354"/>
      <c r="FF164" s="138"/>
      <c r="FI164" s="1357"/>
      <c r="FJ164" s="1357"/>
      <c r="FK164" s="1365"/>
      <c r="FL164" s="1365"/>
      <c r="FM164" s="1365"/>
      <c r="FO164" s="1361"/>
      <c r="FP164" s="1361"/>
      <c r="FQ164" s="1366"/>
      <c r="FR164" s="1368"/>
      <c r="FS164" s="1361"/>
      <c r="FT164" s="1368"/>
      <c r="FU164" s="1360"/>
      <c r="FW164" s="1352"/>
      <c r="FX164" s="1352"/>
      <c r="FY164" s="1352"/>
      <c r="FZ164" s="1352"/>
      <c r="GA164" s="1352"/>
      <c r="GB164" s="1352"/>
      <c r="GC164" s="1352"/>
      <c r="GD164" s="1352"/>
      <c r="GE164" s="759"/>
      <c r="GF164" s="1035"/>
      <c r="GG164" s="1385"/>
      <c r="GI164" s="1384" t="b">
        <f>IF(AND(GL164=TRUE,GM164=TRUE),TRUE,FALSE)</f>
        <v>0</v>
      </c>
      <c r="GJ164" s="1379" t="b">
        <f>IFERROR(IF(__Retrofit_TI_NC=2,TRUE,IF(AR163="Yes",TRUE,FALSE)),FALSE)</f>
        <v>1</v>
      </c>
      <c r="GL164" s="1379" t="b">
        <f>IFERROR(IF(GL163=1,TRUE,FALSE),FALSE)</f>
        <v>0</v>
      </c>
      <c r="GM164" s="1379" t="b">
        <f>IFERROR(IF(GM163=GM$14,TRUE,FALSE),FALSE)</f>
        <v>0</v>
      </c>
      <c r="HC164" s="1379" t="b">
        <f>IFERROR(IF(M164=1,TRUE,FALSE),FALSE)</f>
        <v>0</v>
      </c>
      <c r="HD164" s="1379" t="b">
        <f>IFERROR(IF(M165=1,TRUE,FALSE),FALSE)</f>
        <v>0</v>
      </c>
      <c r="HE164" s="1379" t="b">
        <f>IFERROR(IF(__Retrofit_TI_NC&lt;&gt;0,TRUE,IFERROR(IF(VLOOKUP(U164,Fixtures_Existing_List,2,FALSE)&lt;&gt;"",TRUE,FALSE),FALSE)),FALSE)</f>
        <v>0</v>
      </c>
      <c r="HF164" s="1379" t="b">
        <f>IFERROR(IF(VLOOKUP(U165,Fixtures_Proposed_List,2,FALSE)&lt;&gt;"",TRUE,FALSE),FALSE)</f>
        <v>0</v>
      </c>
      <c r="HG164" s="1379" t="b">
        <f>IF(AND(__Retrofit_TI_NC=2,EZ163=TRUE),FALSE,TRUE)</f>
        <v>1</v>
      </c>
      <c r="HH164" s="1379" t="b">
        <f>GG163</f>
        <v>1</v>
      </c>
      <c r="HI164" s="1384" t="b">
        <f>IF(ISERROR(MATCH(FB163,_Control_Match[],0))=TRUE,FALSE,TRUE)</f>
        <v>0</v>
      </c>
      <c r="HJ164" s="1384" t="b">
        <f>IFERROR(IF(EU163&lt;&gt;EV163,FALSE,TRUE),FALSE)</f>
        <v>0</v>
      </c>
      <c r="HK164" s="1384" t="b">
        <f>IFERROR(IF(EU165&lt;&gt;EV165,FALSE,TRUE),FALSE)</f>
        <v>0</v>
      </c>
      <c r="HL164" s="1379" t="b">
        <f>IFERROR(IF(CN163="Exterior",TRUE,IF(OR(AND(FJ163=0,EW165&gt;4),AND(FJ163=4,EW165&gt;4,EW165&lt;7)),FALSE,TRUE)),FALSE)</f>
        <v>0</v>
      </c>
      <c r="HM164" s="1379" t="b">
        <f>IFERROR(IF(AND(FL165=7,EZ163=TRUE),FALSE,TRUE),FALSE)</f>
        <v>0</v>
      </c>
      <c r="HN164" s="1379" t="b">
        <f>IFERROR(IF(AND(T165&lt;&gt;AE165,AF165="Interior LLLC")=TRUE,FALSE,TRUE),FALSE)</f>
        <v>1</v>
      </c>
      <c r="HO164" s="1379" t="b">
        <f>IFERROR(IF(OR(AF165=Lookup!AU$13,AF165=Lookup!AU$14)=TRUE,IF(AE165&gt;T165,FALSE,TRUE),TRUE),FALSE)</f>
        <v>1</v>
      </c>
      <c r="HP164" s="1379" t="b">
        <f>IFERROR(IF(__Retrofit_TI_NC=2,IF(EW165&lt;EW163,FALSE,TRUE),TRUE),FALSE)</f>
        <v>1</v>
      </c>
      <c r="HQ164" s="1379" t="b">
        <f>IF(CN163="Interior",IG$6,TRUE)</f>
        <v>1</v>
      </c>
      <c r="HR164" s="1379" t="b">
        <f>IF(CN163="Exterior",IG$8,TRUE)</f>
        <v>1</v>
      </c>
      <c r="HS164" s="1379" t="b">
        <f>IFERROR(IF(__Retrofit_TI_NC&lt;&gt;0,IF(AW163&lt;AV163,FALSE,TRUE),TRUE),FALSE)</f>
        <v>1</v>
      </c>
      <c r="HT164" s="1379" t="b">
        <f>IFERROR(IF(AND(G164="Exterior",R164&gt;4200),FALSE,TRUE),FALSE)</f>
        <v>1</v>
      </c>
      <c r="HU164" s="1379" t="b">
        <f>IFERROR(IF(AB166/AB163&lt;HU$18,FALSE,TRUE),FALSE)</f>
        <v>0</v>
      </c>
      <c r="HW164" s="1382"/>
      <c r="HX164" s="1378"/>
      <c r="HY164" s="1377" t="str">
        <f>VLOOKUP(HW166,_Error_Table,4,FALSE)</f>
        <v>White</v>
      </c>
      <c r="HZ164" s="436"/>
      <c r="IA164" s="1386"/>
      <c r="IB164" s="1380"/>
      <c r="IC164" s="1379"/>
      <c r="IF164" s="1380"/>
      <c r="IG164" s="1382"/>
      <c r="IH164" s="1382"/>
      <c r="II164" s="1382"/>
      <c r="IK164" s="1351"/>
      <c r="IL164" s="1351"/>
      <c r="IM164" s="1351"/>
      <c r="IN164" s="1351"/>
      <c r="IO164" s="1351"/>
      <c r="IP164" s="1351"/>
    </row>
    <row r="165" spans="1:250" s="82" customFormat="1" ht="14.95" customHeight="1" thickTop="1" thickBot="1">
      <c r="A165" s="82">
        <f>ROW()</f>
        <v>165</v>
      </c>
      <c r="B165" s="1421"/>
      <c r="C165" s="1422"/>
      <c r="D165" s="1423"/>
      <c r="E165" s="1393" t="s">
        <v>245</v>
      </c>
      <c r="F165" s="1394"/>
      <c r="G165" s="1398"/>
      <c r="H165" s="1399"/>
      <c r="I165" s="1399"/>
      <c r="J165" s="1399"/>
      <c r="K165" s="1399"/>
      <c r="L165" s="1400"/>
      <c r="M165" s="509">
        <f>IFERROR(IF(IF(__Retrofit_TI_NC&lt;&gt;0,IF(CN163="Interior",MATCH(G165,Lookup_Interior_New,0),MATCH(G165,Lookup_Exterior_New,0)),IF(CN163="Interior",MATCH(G165,Lookup_Interior,0),MATCH(G165,Lookup_Exterior_Areas,0)))&gt;0,1,0),0)</f>
        <v>0</v>
      </c>
      <c r="N165" s="509" t="e">
        <f>IF(__Retrofit_TI_NC=1,
VLOOKUP(G165,'Space Table'!$B$3:$L$160,4,FALSE),
IF(__Retrofit_TI_NC=2,VLOOKUP(G165,'Space Table'!$B$3:$L$160,5,FALSE),VLOOKUP(G165,'Space Table'!$B$3:$L$160,5,FALSE)))</f>
        <v>#N/A</v>
      </c>
      <c r="O165" s="509">
        <f>G165</f>
        <v>0</v>
      </c>
      <c r="P165" s="1394" t="s">
        <v>355</v>
      </c>
      <c r="Q165" s="1394"/>
      <c r="R165" s="674"/>
      <c r="S165" s="1401" t="s">
        <v>284</v>
      </c>
      <c r="T165" s="672"/>
      <c r="U165" s="1499"/>
      <c r="V165" s="1500"/>
      <c r="W165" s="1500"/>
      <c r="X165" s="1500"/>
      <c r="Y165" s="1500"/>
      <c r="Z165" s="1500"/>
      <c r="AA165" s="1500"/>
      <c r="AB165" s="1501"/>
      <c r="AC165" s="1501"/>
      <c r="AD165" s="1502"/>
      <c r="AE165" s="672"/>
      <c r="AF165" s="1474"/>
      <c r="AG165" s="1474"/>
      <c r="AH165" s="1474"/>
      <c r="AI165" s="1474"/>
      <c r="AJ165" s="1475">
        <f>DF165</f>
        <v>0</v>
      </c>
      <c r="AK165" s="1470" t="str">
        <f>IFERROR(ROUND(AJ165*AC166,0),"")</f>
        <v/>
      </c>
      <c r="AL165" s="1472">
        <f>IFERROR(IF(HW163=FALSE,0,AC166-AK165),0)</f>
        <v>0</v>
      </c>
      <c r="AM165" s="1441"/>
      <c r="AN165" s="1442"/>
      <c r="AO165" s="1447"/>
      <c r="AP165" s="1447"/>
      <c r="AQ165" s="1448"/>
      <c r="AR165" s="1452"/>
      <c r="AS165" s="1455"/>
      <c r="AT165" s="1458"/>
      <c r="AU165" s="516"/>
      <c r="AV165" s="1479"/>
      <c r="AW165" s="1479"/>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M165" s="1352"/>
      <c r="CN165" s="1352"/>
      <c r="CO165" s="1415" t="str">
        <f>CN163</f>
        <v/>
      </c>
      <c r="CP165" s="1417" t="e">
        <f>CP163</f>
        <v>#N/A</v>
      </c>
      <c r="CR165" s="1386" t="s">
        <v>284</v>
      </c>
      <c r="CS165" s="1353">
        <f>IF(HW163=TRUE,T165,0)</f>
        <v>0</v>
      </c>
      <c r="CT165" s="1353" t="str">
        <f>IF(HW163=TRUE,U165,"")</f>
        <v/>
      </c>
      <c r="CU165" s="1373">
        <f>IF(HW163=TRUE,U166,0)</f>
        <v>0</v>
      </c>
      <c r="CV165" s="1370">
        <f>IF(HW163=TRUE,AB166,0)</f>
        <v>0</v>
      </c>
      <c r="CW165" s="1370">
        <f>IF(HW163=TRUE,AC166,0)</f>
        <v>0</v>
      </c>
      <c r="CX165" s="1371"/>
      <c r="CY165" s="1486"/>
      <c r="CZ165" s="1486"/>
      <c r="DA165" s="1486"/>
      <c r="DC165" s="1353">
        <f>IF(HW163=TRUE,AE165,0)</f>
        <v>0</v>
      </c>
      <c r="DD165" s="1353" t="str">
        <f>IF(HW163=TRUE,AF165,"")</f>
        <v/>
      </c>
      <c r="DE165" s="1373">
        <f>AF166</f>
        <v>0</v>
      </c>
      <c r="DF165" s="1406">
        <f>IFERROR(IF(FL165=3,IK165,IF(FL165=4,IL165,IF(FL165=5,IM165,IF(FL165=6,IN165,IF(FL165=7,IO165,IF(FL165=8,IP165,0)))))),0)</f>
        <v>0</v>
      </c>
      <c r="DG165" s="1370">
        <f>IF(HW163=TRUE,AK165,0)</f>
        <v>0</v>
      </c>
      <c r="DH165" s="1369"/>
      <c r="DK165" s="1483">
        <f>IFERROR(CW165-DG165,0)</f>
        <v>0</v>
      </c>
      <c r="DL165" s="1420"/>
      <c r="DN165" s="1403"/>
      <c r="DO165" s="1477" t="str">
        <f>DN163</f>
        <v/>
      </c>
      <c r="DP165" s="1354"/>
      <c r="DQ165" s="1477" t="str">
        <f>IF(DP163=7,"LLLC","")</f>
        <v/>
      </c>
      <c r="DR165" s="1403"/>
      <c r="DS165" s="1489"/>
      <c r="DU165" s="1403"/>
      <c r="DV165" s="1404" t="str">
        <f>DU163</f>
        <v/>
      </c>
      <c r="DW165" s="1403"/>
      <c r="DX165" s="1403"/>
      <c r="DZ165" s="1481"/>
      <c r="EA165" s="1481"/>
      <c r="EC165" s="1482"/>
      <c r="ED165" s="1369"/>
      <c r="EE165" s="1371"/>
      <c r="EF165" s="1369"/>
      <c r="EG165" s="1369"/>
      <c r="EH165" s="1374"/>
      <c r="EI165" s="1374"/>
      <c r="EJ165" s="1363"/>
      <c r="EK165" s="1376"/>
      <c r="EL165" s="1376"/>
      <c r="EM165" s="1362"/>
      <c r="EN165" s="1362"/>
      <c r="EO165" s="1363"/>
      <c r="EP165" s="1363"/>
      <c r="EQ165" s="1363"/>
      <c r="ES165" s="1403"/>
      <c r="EU165" s="1411" t="e">
        <f>VLOOKUP(CP165,'Space Table'!$B$3:$L$160,8,FALSE)</f>
        <v>#N/A</v>
      </c>
      <c r="EV165" s="1411" t="e">
        <f>IF(EY165="Yes",VLOOKUP(AF165,Lookup_Control_Type_Table2,4,FALSE),VLOOKUP(AF165,Lookup_Control_Type_Table2,3,FALSE))</f>
        <v>#N/A</v>
      </c>
      <c r="EW165" s="1411" t="e">
        <f>VLOOKUP(AF165,Lookup!AU$3:AV$15,2,FALSE)</f>
        <v>#N/A</v>
      </c>
      <c r="EX165" s="1411" t="e">
        <f>VLOOKUP(EU163,Lookup_Control_Type_Table,2,FALSE)</f>
        <v>#N/A</v>
      </c>
      <c r="EY165" s="1411" t="e">
        <f>VLOOKUP(CP165,'Space Table'!$B$3:$L$160,7,FALSE)</f>
        <v>#N/A</v>
      </c>
      <c r="EZ165" s="1413"/>
      <c r="FB165" s="1365" t="str">
        <f>CONCATENATE(CN163," - ",AF165)</f>
        <v xml:space="preserve"> - </v>
      </c>
      <c r="FD165" s="1354"/>
      <c r="FE165" s="1354"/>
      <c r="FF165" s="138"/>
      <c r="FI165" s="1356" t="str">
        <f>IF(CN163="Exterior","Not Daylighted",G166)</f>
        <v>Not Daylighted</v>
      </c>
      <c r="FJ165" s="1356">
        <f>VLOOKUP(FI165,_Daylight_Table_Codes,2,FALSE)</f>
        <v>0</v>
      </c>
      <c r="FK165" s="1365">
        <f>AF165</f>
        <v>0</v>
      </c>
      <c r="FL165" s="1365" t="e">
        <f>VLOOKUP(FK165,_Control_Table,2,FALSE)</f>
        <v>#N/A</v>
      </c>
      <c r="FM165" s="1365" t="e">
        <f>IF(AND(FP165&gt;0,FK165="Occupancy Sensor"),"Daylight + Occupancy",IF(AND(FP165&gt;0,FL165&lt;4),"Interior Daylight Dimming",FK165))</f>
        <v>#N/A</v>
      </c>
      <c r="FO165" s="1364">
        <f>IF(CN163="Interior",VLOOKUP(CP163,Control_Savings_Interior,5,FALSE),0)</f>
        <v>0</v>
      </c>
      <c r="FP165" s="1361">
        <f>IF(CN165="Exterior",0,IF(FJ165=2,0.5,IF(OR(FJ165=1,FJ165=3),1,0)))</f>
        <v>0</v>
      </c>
      <c r="FQ165" s="1366">
        <f>IF(R164&gt;FO$37,(FO165*(FO$37/R164)),FO165)*FP165</f>
        <v>0</v>
      </c>
      <c r="FR165" s="1364">
        <f>DF165</f>
        <v>0</v>
      </c>
      <c r="FS165" s="1364">
        <f>ROUND(FR165+((1-FR165)*FQ165),2)</f>
        <v>0</v>
      </c>
      <c r="FT165" s="1364">
        <f>IF(__Retrofit_TI_NC=2,FS165,FR165)</f>
        <v>0</v>
      </c>
      <c r="FU165" s="1360">
        <f>IF(CO165="Interior",VLOOKUP(CP165,Control_Savings_Interior,4,FALSE),0)</f>
        <v>0</v>
      </c>
      <c r="FW165" s="1352"/>
      <c r="FX165" s="1352"/>
      <c r="FY165" s="1352"/>
      <c r="FZ165" s="1352"/>
      <c r="GA165" s="1352"/>
      <c r="GB165" s="1352"/>
      <c r="GC165" s="1352"/>
      <c r="GD165" s="1352"/>
      <c r="GE165" s="759" t="b">
        <f>IF(ISNUMBER(SEARCH("TLED",U165)),TRUE,FALSE)</f>
        <v>0</v>
      </c>
      <c r="GF165" s="1035" t="str">
        <f>IFERROR(VLOOKUP(U165,Fixtures!DM$93:DR$142,6,FALSE),"")</f>
        <v/>
      </c>
      <c r="GG165" s="1385"/>
      <c r="GI165" s="1383"/>
      <c r="GJ165" s="1379"/>
      <c r="GL165" s="1379"/>
      <c r="GM165" s="1379"/>
      <c r="HC165" s="1379"/>
      <c r="HD165" s="1379"/>
      <c r="HE165" s="1379"/>
      <c r="HF165" s="1379"/>
      <c r="HG165" s="1379"/>
      <c r="HH165" s="1379"/>
      <c r="HI165" s="1383"/>
      <c r="HJ165" s="1383"/>
      <c r="HK165" s="1383"/>
      <c r="HL165" s="1379"/>
      <c r="HM165" s="1379"/>
      <c r="HN165" s="1379"/>
      <c r="HO165" s="1379"/>
      <c r="HP165" s="1379"/>
      <c r="HQ165" s="1379"/>
      <c r="HR165" s="1379"/>
      <c r="HS165" s="1379"/>
      <c r="HT165" s="1379"/>
      <c r="HU165" s="1379"/>
      <c r="HW165" s="1383"/>
      <c r="HX165" s="1384" t="b">
        <f>HW163</f>
        <v>0</v>
      </c>
      <c r="HY165" s="1378"/>
      <c r="HZ165" s="436"/>
      <c r="IA165" s="1386"/>
      <c r="IB165" s="1380">
        <f>IF(IA163=TRUE,AC166,0)</f>
        <v>0</v>
      </c>
      <c r="IC165" s="1379"/>
      <c r="IF165" s="1380" t="e">
        <f>ROUND(T165*AB166*N164*R164/1000,0)</f>
        <v>#VALUE!</v>
      </c>
      <c r="IG165" s="1382"/>
      <c r="IH165" s="1384" t="e">
        <f>ROUND(T165*AB166*N164*R164/1000,0)</f>
        <v>#VALUE!</v>
      </c>
      <c r="II165" s="1382"/>
      <c r="IK165" s="1351" t="e">
        <f>IF($CO165="interior",IL165/2,VLOOKUP($CP165,Control_Savings_Exterior,IK$30,FALSE))</f>
        <v>#N/A</v>
      </c>
      <c r="IL165" s="1351" t="e">
        <f>IF($CO165="interior",VLOOKUP($CP165,Control_Savings_Interior,IL$30,FALSE),VLOOKUP($CP165,Control_Savings_Exterior,IL$30,FALSE))</f>
        <v>#N/A</v>
      </c>
      <c r="IM165" s="1351" t="e">
        <f>IF($CO165="interior",IF(R164&gt;FO$37,(IM$28*(FO$37/R164)),IM$28)*FP165,VLOOKUP($CP165,Control_Savings_Exterior,IM$30,FALSE))</f>
        <v>#N/A</v>
      </c>
      <c r="IN165" s="1351" t="e">
        <f>IF($CO165="interior",ROUND(((1-IL165)*IM165)+IL165,2),VLOOKUP($CP165,Control_Savings_Exterior,IN$30,FALSE))</f>
        <v>#N/A</v>
      </c>
      <c r="IO165" s="1351" t="e">
        <f>IF($CO165="interior", ROUND(((1-IL165)*(IM165*(1-IP$28)))+IP165,2), VLOOKUP($CP165,Control_Savings_Exterior,IO$30,FALSE))</f>
        <v>#N/A</v>
      </c>
      <c r="IP165" s="1351">
        <f>IF($CO165="interior",ROUND(((1-IL165)*IP$28)+IL165,2),0)</f>
        <v>0</v>
      </c>
    </row>
    <row r="166" spans="1:250" s="82" customFormat="1" ht="14.95" customHeight="1" thickTop="1" thickBot="1">
      <c r="B166" s="1421"/>
      <c r="C166" s="1422"/>
      <c r="D166" s="1423"/>
      <c r="E166" s="1462" t="s">
        <v>357</v>
      </c>
      <c r="F166" s="1463"/>
      <c r="G166" s="1464" t="s">
        <v>362</v>
      </c>
      <c r="H166" s="1465"/>
      <c r="I166" s="1465"/>
      <c r="J166" s="1465"/>
      <c r="K166" s="1465"/>
      <c r="L166" s="1466"/>
      <c r="M166" s="669">
        <f>IFERROR(VLOOKUP(G166,_Daylight_Table[],2,FALSE),0)</f>
        <v>0</v>
      </c>
      <c r="N166" s="670"/>
      <c r="O166" s="669" t="e">
        <f>VLOOKUP(G165,'Space Table'!$B$3:$L$160,11,FALSE)</f>
        <v>#N/A</v>
      </c>
      <c r="P166" s="1408"/>
      <c r="Q166" s="1409"/>
      <c r="R166" s="1409"/>
      <c r="S166" s="1402"/>
      <c r="T166" s="671" t="s">
        <v>281</v>
      </c>
      <c r="U166" s="1467" t="str">
        <f>IFERROR(VLOOKUP(U165,Fixtures!DM$93:DP$142,4,FALSE),"")</f>
        <v/>
      </c>
      <c r="V166" s="1468"/>
      <c r="W166" s="1468"/>
      <c r="X166" s="1468"/>
      <c r="Y166" s="1468"/>
      <c r="Z166" s="1468"/>
      <c r="AA166" s="1468"/>
      <c r="AB166" s="1046" t="str">
        <f>IFERROR(VLOOKUP(U165,Fixtures_Proposed_List,2,FALSE),"")</f>
        <v/>
      </c>
      <c r="AC166" s="1036" t="str">
        <f>IFERROR(ROUND(T165*AB166*N164*R164/1000,0),"")</f>
        <v/>
      </c>
      <c r="AD166" s="1037" t="str">
        <f>IFERROR(ROUND(T165*AB166/1000,2),"")</f>
        <v/>
      </c>
      <c r="AE166" s="1045" t="s">
        <v>281</v>
      </c>
      <c r="AF166" s="1469"/>
      <c r="AG166" s="1469"/>
      <c r="AH166" s="1469"/>
      <c r="AI166" s="1469"/>
      <c r="AJ166" s="1476"/>
      <c r="AK166" s="1471"/>
      <c r="AL166" s="1473"/>
      <c r="AM166" s="1443"/>
      <c r="AN166" s="1444"/>
      <c r="AO166" s="1449"/>
      <c r="AP166" s="1449"/>
      <c r="AQ166" s="1450"/>
      <c r="AR166" s="1453"/>
      <c r="AS166" s="1456"/>
      <c r="AT166" s="1459"/>
      <c r="AU166" s="517"/>
      <c r="AV166" s="1480"/>
      <c r="AW166" s="1480"/>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M166" s="1352"/>
      <c r="CN166" s="1352"/>
      <c r="CO166" s="1416"/>
      <c r="CP166" s="1418"/>
      <c r="CR166" s="1386"/>
      <c r="CS166" s="1355"/>
      <c r="CT166" s="1355"/>
      <c r="CU166" s="1375"/>
      <c r="CV166" s="1372"/>
      <c r="CW166" s="1372"/>
      <c r="CX166" s="1372"/>
      <c r="CY166" s="1487"/>
      <c r="CZ166" s="1487"/>
      <c r="DA166" s="1487"/>
      <c r="DC166" s="1355"/>
      <c r="DD166" s="1355"/>
      <c r="DE166" s="1375"/>
      <c r="DF166" s="1407"/>
      <c r="DG166" s="1372"/>
      <c r="DH166" s="1369"/>
      <c r="DK166" s="1484"/>
      <c r="DL166" s="1420"/>
      <c r="DN166" s="1403"/>
      <c r="DO166" s="1405"/>
      <c r="DP166" s="1355"/>
      <c r="DQ166" s="1405"/>
      <c r="DR166" s="1403"/>
      <c r="DS166" s="1489"/>
      <c r="DU166" s="1403"/>
      <c r="DV166" s="1405"/>
      <c r="DW166" s="1403"/>
      <c r="DX166" s="1403"/>
      <c r="DZ166" s="1481"/>
      <c r="EA166" s="1481"/>
      <c r="EC166" s="1482"/>
      <c r="ED166" s="1369"/>
      <c r="EE166" s="1372"/>
      <c r="EF166" s="1369"/>
      <c r="EG166" s="1369"/>
      <c r="EH166" s="1375"/>
      <c r="EI166" s="1375"/>
      <c r="EJ166" s="1363"/>
      <c r="EK166" s="1376"/>
      <c r="EL166" s="1376"/>
      <c r="EM166" s="1362"/>
      <c r="EN166" s="1362"/>
      <c r="EO166" s="1363"/>
      <c r="EP166" s="1363"/>
      <c r="EQ166" s="1363"/>
      <c r="ES166" s="1403"/>
      <c r="EU166" s="1488"/>
      <c r="EV166" s="1488"/>
      <c r="EW166" s="1488"/>
      <c r="EX166" s="1488"/>
      <c r="EY166" s="1488"/>
      <c r="EZ166" s="1414"/>
      <c r="FB166" s="1365"/>
      <c r="FD166" s="1355"/>
      <c r="FE166" s="1355"/>
      <c r="FF166" s="138"/>
      <c r="FI166" s="1357"/>
      <c r="FJ166" s="1357"/>
      <c r="FK166" s="1365"/>
      <c r="FL166" s="1365"/>
      <c r="FM166" s="1365"/>
      <c r="FO166" s="1361"/>
      <c r="FP166" s="1361"/>
      <c r="FQ166" s="1366"/>
      <c r="FR166" s="1361"/>
      <c r="FS166" s="1361"/>
      <c r="FT166" s="1361"/>
      <c r="FU166" s="1360"/>
      <c r="FW166" s="1352"/>
      <c r="FX166" s="1352"/>
      <c r="FY166" s="1352"/>
      <c r="FZ166" s="1352"/>
      <c r="GA166" s="1352"/>
      <c r="GB166" s="1352"/>
      <c r="GC166" s="1352"/>
      <c r="GD166" s="1352"/>
      <c r="GE166" s="759"/>
      <c r="GF166" s="1035"/>
      <c r="GG166" s="1385"/>
      <c r="GJ166" s="1034">
        <f>IF(GJ164=TRUE,0,GJ$16)</f>
        <v>0</v>
      </c>
      <c r="GL166" s="1034">
        <f>IF(GL164=TRUE,0,GL$16)</f>
        <v>36</v>
      </c>
      <c r="GM166" s="1034">
        <f>IF(GM164=TRUE,0,GM$16)</f>
        <v>35</v>
      </c>
      <c r="GN166" s="436"/>
      <c r="GO166" s="436"/>
      <c r="GP166" s="436"/>
      <c r="GQ166" s="436"/>
      <c r="GR166" s="436"/>
      <c r="HC166" s="1034">
        <f t="shared" ref="HC166:HH166" si="110">IF(HC164=TRUE,0,HC$16)</f>
        <v>19</v>
      </c>
      <c r="HD166" s="1034">
        <f t="shared" si="110"/>
        <v>18</v>
      </c>
      <c r="HE166" s="1034">
        <f t="shared" si="110"/>
        <v>17</v>
      </c>
      <c r="HF166" s="1034">
        <f t="shared" si="110"/>
        <v>16</v>
      </c>
      <c r="HG166" s="1034">
        <f t="shared" si="110"/>
        <v>0</v>
      </c>
      <c r="HH166" s="1034">
        <f t="shared" si="110"/>
        <v>0</v>
      </c>
      <c r="HI166" s="1034">
        <f>IF(HI164=TRUE,0,HI$16)</f>
        <v>13</v>
      </c>
      <c r="HJ166" s="1034">
        <f t="shared" ref="HJ166:HL166" si="111">IF(HJ164=TRUE,0,HJ$16)</f>
        <v>12</v>
      </c>
      <c r="HK166" s="1034">
        <f t="shared" si="111"/>
        <v>11</v>
      </c>
      <c r="HL166" s="1034">
        <f t="shared" si="111"/>
        <v>10</v>
      </c>
      <c r="HM166" s="1034">
        <f>IF(HM164=TRUE,0,HM$16)</f>
        <v>9</v>
      </c>
      <c r="HN166" s="1034">
        <f t="shared" ref="HN166:HR166" si="112">IF(HN164=TRUE,0,HN$16)</f>
        <v>0</v>
      </c>
      <c r="HO166" s="1034">
        <f t="shared" si="112"/>
        <v>0</v>
      </c>
      <c r="HP166" s="1034">
        <f t="shared" si="112"/>
        <v>0</v>
      </c>
      <c r="HQ166" s="1034">
        <f t="shared" si="112"/>
        <v>0</v>
      </c>
      <c r="HR166" s="1034">
        <f t="shared" si="112"/>
        <v>0</v>
      </c>
      <c r="HS166" s="1034">
        <f>IF(HS164=TRUE,0,HS$16)</f>
        <v>0</v>
      </c>
      <c r="HT166" s="1034">
        <f t="shared" ref="HT166" si="113">IF(HT164=TRUE,0,HT$16)</f>
        <v>0</v>
      </c>
      <c r="HU166" s="1034">
        <f>IF(HU164=TRUE,0,HU$16)</f>
        <v>1</v>
      </c>
      <c r="HW166" s="1034">
        <f>IF(GL164=FALSE,GL166,IF(GM164=FALSE,GM166,MAX(GJ166:HU166)))</f>
        <v>36</v>
      </c>
      <c r="HX166" s="1383"/>
      <c r="HY166" s="241" t="str">
        <f>VLOOKUP(HW166,_Error_Table,3,FALSE)</f>
        <v xml:space="preserve"> </v>
      </c>
      <c r="HZ166" s="241"/>
      <c r="IA166" s="1386"/>
      <c r="IB166" s="1380"/>
      <c r="IC166" s="1379"/>
      <c r="IF166" s="1380"/>
      <c r="IG166" s="1383"/>
      <c r="IH166" s="1383"/>
      <c r="II166" s="1383"/>
      <c r="IK166" s="1351"/>
      <c r="IL166" s="1351"/>
      <c r="IM166" s="1351"/>
      <c r="IN166" s="1351"/>
      <c r="IO166" s="1351"/>
      <c r="IP166" s="1351"/>
    </row>
    <row r="167" spans="1:250" s="82" customFormat="1">
      <c r="B167" s="763"/>
      <c r="C167" s="437"/>
      <c r="D167" s="437"/>
      <c r="E167" s="1490"/>
      <c r="F167" s="1490"/>
      <c r="G167" s="1490"/>
      <c r="H167" s="1490"/>
      <c r="I167" s="1490"/>
      <c r="J167" s="1490"/>
      <c r="K167" s="1490"/>
      <c r="L167" s="1490"/>
      <c r="M167" s="1490"/>
      <c r="N167" s="1490"/>
      <c r="O167" s="1490"/>
      <c r="P167" s="1490"/>
      <c r="Q167" s="1490"/>
      <c r="R167" s="1490"/>
      <c r="S167" s="1490"/>
      <c r="T167" s="1490"/>
      <c r="U167" s="1490"/>
      <c r="V167" s="1490"/>
      <c r="W167" s="1490"/>
      <c r="X167" s="1490"/>
      <c r="Y167" s="1490"/>
      <c r="Z167" s="1490"/>
      <c r="AA167" s="1490"/>
      <c r="AB167" s="1490"/>
      <c r="AC167" s="1490"/>
      <c r="AD167" s="1490"/>
      <c r="AE167" s="1490"/>
      <c r="AF167" s="1490"/>
      <c r="AG167" s="1490"/>
      <c r="AH167" s="1490"/>
      <c r="AI167" s="1490"/>
      <c r="AJ167" s="1490"/>
      <c r="AK167" s="1490"/>
      <c r="AL167" s="1490"/>
      <c r="AM167" s="1490"/>
      <c r="AN167" s="1490"/>
      <c r="AO167" s="1490"/>
      <c r="AP167" s="1490"/>
      <c r="AQ167" s="1490"/>
      <c r="AR167" s="1490"/>
      <c r="AS167" s="1490"/>
      <c r="AT167" s="1490"/>
      <c r="AU167" s="51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M167" s="749"/>
      <c r="CN167" s="749"/>
      <c r="CO167" s="485"/>
      <c r="CP167" s="749"/>
      <c r="CS167" s="436"/>
      <c r="CT167" s="436"/>
      <c r="CU167" s="243"/>
      <c r="CV167" s="244"/>
      <c r="CW167" s="244"/>
      <c r="CX167" s="244"/>
      <c r="CY167" s="245"/>
      <c r="CZ167" s="245"/>
      <c r="DA167" s="245"/>
      <c r="DC167" s="750"/>
      <c r="DD167" s="751"/>
      <c r="DE167" s="752"/>
      <c r="DF167" s="753"/>
      <c r="DG167" s="754"/>
      <c r="DH167" s="754"/>
      <c r="DK167" s="244"/>
      <c r="DL167" s="750"/>
      <c r="DN167" s="750"/>
      <c r="DO167" s="755"/>
      <c r="DP167" s="436"/>
      <c r="DQ167" s="750"/>
      <c r="DR167" s="750"/>
      <c r="DS167" s="750"/>
      <c r="DU167" s="750"/>
      <c r="DV167" s="750"/>
      <c r="DW167" s="750"/>
      <c r="DX167" s="750"/>
      <c r="DZ167" s="756"/>
      <c r="EA167" s="756"/>
      <c r="EC167" s="754"/>
      <c r="ED167" s="754"/>
      <c r="EE167" s="244"/>
      <c r="EF167" s="754"/>
      <c r="EG167" s="754"/>
      <c r="EH167" s="243"/>
      <c r="EI167" s="243"/>
      <c r="EJ167" s="752"/>
      <c r="EK167" s="757"/>
      <c r="EL167" s="757"/>
      <c r="EM167" s="758"/>
      <c r="EN167" s="758"/>
      <c r="EO167" s="752"/>
      <c r="EP167" s="752"/>
      <c r="EQ167" s="752"/>
      <c r="ES167" s="750"/>
      <c r="EU167" s="436"/>
      <c r="EV167" s="436"/>
      <c r="EW167" s="436"/>
      <c r="EX167" s="436"/>
      <c r="EY167" s="436"/>
      <c r="EZ167" s="436"/>
      <c r="FB167" s="643"/>
      <c r="FD167" s="436"/>
      <c r="FE167" s="436"/>
      <c r="FF167" s="436"/>
      <c r="FO167" s="750"/>
      <c r="FP167" s="436"/>
      <c r="FQ167" s="436"/>
      <c r="FR167" s="750"/>
      <c r="FS167" s="750"/>
      <c r="FW167" s="749"/>
      <c r="FX167" s="749"/>
      <c r="FY167" s="749"/>
      <c r="FZ167" s="749"/>
      <c r="GA167" s="749"/>
      <c r="GB167" s="749"/>
      <c r="GC167" s="749"/>
      <c r="GD167" s="749"/>
      <c r="GE167" s="751"/>
      <c r="GF167" s="750"/>
      <c r="GG167" s="750"/>
    </row>
    <row r="168" spans="1:250">
      <c r="DU168" s="755"/>
      <c r="DV168" s="755"/>
      <c r="DW168" s="755"/>
      <c r="DX168" s="755"/>
      <c r="DY168" s="755"/>
      <c r="DZ168" s="755"/>
      <c r="EA168" s="755"/>
      <c r="EB168" s="755"/>
      <c r="EC168" s="764" t="s">
        <v>283</v>
      </c>
      <c r="ED168" s="764" t="s">
        <v>284</v>
      </c>
      <c r="EE168" s="764" t="s">
        <v>186</v>
      </c>
      <c r="EF168" s="764" t="s">
        <v>286</v>
      </c>
      <c r="EG168" s="764" t="s">
        <v>287</v>
      </c>
      <c r="EH168" s="764"/>
      <c r="EI168" s="764"/>
      <c r="EJ168" s="764" t="s">
        <v>288</v>
      </c>
      <c r="EK168" s="764" t="s">
        <v>186</v>
      </c>
      <c r="EL168" s="764" t="s">
        <v>286</v>
      </c>
      <c r="EM168" s="764" t="s">
        <v>186</v>
      </c>
      <c r="EN168" s="764" t="s">
        <v>286</v>
      </c>
      <c r="EO168" s="764" t="s">
        <v>186</v>
      </c>
      <c r="EP168" s="764" t="s">
        <v>286</v>
      </c>
      <c r="EQ168" s="764"/>
      <c r="ES168" s="38">
        <f>ROW()</f>
        <v>168</v>
      </c>
    </row>
    <row r="169" spans="1:250" s="82" customFormat="1" ht="20.25" customHeight="1">
      <c r="B169" s="247"/>
      <c r="C169" s="437"/>
      <c r="D169" s="437"/>
      <c r="E169" s="247"/>
      <c r="F169" s="247"/>
      <c r="G169" s="247"/>
      <c r="H169" s="247"/>
      <c r="I169" s="485"/>
      <c r="J169" s="485"/>
      <c r="K169" s="485"/>
      <c r="L169" s="485"/>
      <c r="M169" s="485"/>
      <c r="N169" s="485"/>
      <c r="O169" s="485"/>
      <c r="P169" s="485"/>
      <c r="Q169" s="485"/>
      <c r="R169" s="436"/>
      <c r="S169" s="242"/>
      <c r="T169" s="436"/>
      <c r="U169" s="241"/>
      <c r="V169" s="241"/>
      <c r="W169" s="241"/>
      <c r="X169" s="241"/>
      <c r="Y169" s="241"/>
      <c r="Z169" s="241"/>
      <c r="AA169" s="243"/>
      <c r="AB169" s="436"/>
      <c r="AC169" s="244"/>
      <c r="AD169" s="245"/>
      <c r="AE169" s="436"/>
      <c r="AF169" s="241"/>
      <c r="AG169" s="241"/>
      <c r="AH169" s="241"/>
      <c r="AI169" s="243"/>
      <c r="AJ169" s="246"/>
      <c r="AK169" s="244"/>
      <c r="AL169" s="244"/>
      <c r="AM169" s="1540" t="s">
        <v>332</v>
      </c>
      <c r="AN169" s="1541"/>
      <c r="AO169" s="1529" t="s">
        <v>350</v>
      </c>
      <c r="AP169" s="1529"/>
      <c r="AQ169" s="1529" t="s">
        <v>205</v>
      </c>
      <c r="AR169" s="1529"/>
      <c r="AS169" s="1529"/>
      <c r="AT169" s="1529"/>
      <c r="AU169" s="485"/>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M169" s="105" t="s">
        <v>290</v>
      </c>
      <c r="CN169" s="105" t="s">
        <v>291</v>
      </c>
      <c r="CO169" s="105"/>
      <c r="CP169" s="105" t="s">
        <v>292</v>
      </c>
      <c r="CQ169" s="38"/>
      <c r="CR169" s="38"/>
      <c r="CS169" s="37" t="s">
        <v>280</v>
      </c>
      <c r="CT169" s="38"/>
      <c r="CU169" s="105" t="s">
        <v>281</v>
      </c>
      <c r="CV169" s="38"/>
      <c r="CW169" s="38"/>
      <c r="CX169" s="105" t="s">
        <v>282</v>
      </c>
      <c r="CY169" s="105" t="s">
        <v>283</v>
      </c>
      <c r="CZ169" s="105" t="s">
        <v>284</v>
      </c>
      <c r="DA169" s="105" t="s">
        <v>285</v>
      </c>
      <c r="DB169" s="436"/>
      <c r="DC169" s="37" t="s">
        <v>293</v>
      </c>
      <c r="DD169" s="38"/>
      <c r="DE169" s="105" t="s">
        <v>281</v>
      </c>
      <c r="DF169" s="37"/>
      <c r="DG169" s="105" t="s">
        <v>282</v>
      </c>
      <c r="DH169" s="105" t="s">
        <v>282</v>
      </c>
      <c r="DI169" s="38"/>
      <c r="DJ169" s="105" t="s">
        <v>348</v>
      </c>
      <c r="DK169" s="105" t="s">
        <v>348</v>
      </c>
      <c r="DL169" s="105" t="s">
        <v>233</v>
      </c>
      <c r="DM169" s="38"/>
      <c r="DN169" s="1358" t="s">
        <v>186</v>
      </c>
      <c r="DO169" s="1358"/>
      <c r="DP169" s="105" t="s">
        <v>286</v>
      </c>
      <c r="DQ169" s="105"/>
      <c r="DR169" s="105" t="s">
        <v>294</v>
      </c>
      <c r="DS169" s="105" t="s">
        <v>294</v>
      </c>
      <c r="DT169" s="38"/>
      <c r="DU169" s="1358" t="s">
        <v>286</v>
      </c>
      <c r="DV169" s="1358"/>
      <c r="DW169" s="105" t="s">
        <v>294</v>
      </c>
      <c r="DX169" s="105" t="s">
        <v>295</v>
      </c>
      <c r="DY169" s="38"/>
      <c r="DZ169" s="105" t="s">
        <v>296</v>
      </c>
      <c r="EA169" s="105" t="s">
        <v>297</v>
      </c>
      <c r="EB169" s="436"/>
      <c r="EC169" s="689" t="s">
        <v>186</v>
      </c>
      <c r="ED169" s="689" t="s">
        <v>186</v>
      </c>
      <c r="EE169" s="689" t="s">
        <v>298</v>
      </c>
      <c r="EF169" s="689" t="s">
        <v>298</v>
      </c>
      <c r="EG169" s="689" t="s">
        <v>298</v>
      </c>
      <c r="EH169" s="689" t="s">
        <v>186</v>
      </c>
      <c r="EI169" s="689" t="s">
        <v>286</v>
      </c>
      <c r="EJ169" s="689" t="s">
        <v>286</v>
      </c>
      <c r="EK169" s="689" t="s">
        <v>299</v>
      </c>
      <c r="EL169" s="689" t="s">
        <v>299</v>
      </c>
      <c r="EM169" s="689" t="s">
        <v>299</v>
      </c>
      <c r="EN169" s="689" t="s">
        <v>299</v>
      </c>
      <c r="EO169" s="689" t="s">
        <v>299</v>
      </c>
      <c r="EP169" s="689" t="s">
        <v>299</v>
      </c>
      <c r="EQ169" s="689" t="s">
        <v>299</v>
      </c>
      <c r="ER169" s="436"/>
      <c r="ES169" s="436"/>
      <c r="EU169" s="436"/>
      <c r="EV169" s="436"/>
      <c r="EW169" s="436"/>
      <c r="EX169" s="436"/>
      <c r="EY169" s="436"/>
      <c r="EZ169" s="436"/>
      <c r="FD169" s="436"/>
      <c r="FE169" s="436"/>
      <c r="FF169" s="436"/>
      <c r="FI169" s="105" t="s">
        <v>300</v>
      </c>
      <c r="FJ169" s="105" t="s">
        <v>301</v>
      </c>
      <c r="FK169" s="105" t="s">
        <v>302</v>
      </c>
      <c r="FL169" s="105" t="s">
        <v>303</v>
      </c>
      <c r="FM169" s="38"/>
      <c r="FN169" s="38" t="s">
        <v>304</v>
      </c>
      <c r="FO169" s="105">
        <v>3200</v>
      </c>
      <c r="FP169" s="105" t="s">
        <v>305</v>
      </c>
      <c r="FQ169" s="105" t="s">
        <v>306</v>
      </c>
      <c r="FR169" s="105" t="s">
        <v>307</v>
      </c>
      <c r="FS169" s="105" t="s">
        <v>306</v>
      </c>
      <c r="FT169" s="38"/>
      <c r="FU169" s="38"/>
    </row>
    <row r="170" spans="1:250" s="82" customFormat="1" ht="20.25" customHeight="1" thickBot="1">
      <c r="B170" s="247"/>
      <c r="C170" s="660">
        <f>1+C92</f>
        <v>3</v>
      </c>
      <c r="D170" s="437"/>
      <c r="E170" s="241" t="str">
        <f>CONCATENATE(AF$20," - page ",C170)</f>
        <v xml:space="preserve"> - page 3</v>
      </c>
      <c r="F170" s="247"/>
      <c r="G170" s="247"/>
      <c r="H170" s="247"/>
      <c r="I170" s="485"/>
      <c r="J170" s="485"/>
      <c r="K170" s="485"/>
      <c r="L170" s="485"/>
      <c r="M170" s="485"/>
      <c r="N170" s="485"/>
      <c r="O170" s="485"/>
      <c r="P170" s="485"/>
      <c r="Q170" s="485"/>
      <c r="R170" s="436"/>
      <c r="S170" s="242"/>
      <c r="T170" s="436"/>
      <c r="U170" s="241"/>
      <c r="V170" s="241"/>
      <c r="W170" s="241"/>
      <c r="X170" s="241"/>
      <c r="Y170" s="241"/>
      <c r="Z170" s="241"/>
      <c r="AA170" s="243"/>
      <c r="AB170" s="677" t="s">
        <v>132</v>
      </c>
      <c r="AC170" s="677" t="s">
        <v>282</v>
      </c>
      <c r="AD170" s="677" t="s">
        <v>312</v>
      </c>
      <c r="AE170" s="436"/>
      <c r="AF170" s="241"/>
      <c r="AG170" s="241"/>
      <c r="AH170" s="241"/>
      <c r="AI170" s="243"/>
      <c r="AJ170" s="678" t="s">
        <v>233</v>
      </c>
      <c r="AK170" s="678" t="s">
        <v>332</v>
      </c>
      <c r="AL170" s="679" t="s">
        <v>349</v>
      </c>
      <c r="AM170" s="1565">
        <f>AX$4</f>
        <v>0</v>
      </c>
      <c r="AN170" s="1566"/>
      <c r="AO170" s="1567">
        <f>AX$6</f>
        <v>0</v>
      </c>
      <c r="AP170" s="1568"/>
      <c r="AQ170" s="1569"/>
      <c r="AR170" s="1561">
        <f>AX$2</f>
        <v>0</v>
      </c>
      <c r="AS170" s="1561"/>
      <c r="AT170" s="1379"/>
      <c r="AU170" s="436"/>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M170" s="105" t="s">
        <v>310</v>
      </c>
      <c r="CN170" s="105" t="s">
        <v>277</v>
      </c>
      <c r="CO170" s="105"/>
      <c r="CP170" s="105" t="s">
        <v>172</v>
      </c>
      <c r="CQ170" s="38"/>
      <c r="CR170" s="38"/>
      <c r="CS170" s="105" t="s">
        <v>190</v>
      </c>
      <c r="CT170" s="105" t="s">
        <v>186</v>
      </c>
      <c r="CU170" s="105" t="s">
        <v>311</v>
      </c>
      <c r="CV170" s="105" t="s">
        <v>132</v>
      </c>
      <c r="CW170" s="105" t="s">
        <v>282</v>
      </c>
      <c r="CX170" s="105" t="s">
        <v>285</v>
      </c>
      <c r="CY170" s="105" t="s">
        <v>312</v>
      </c>
      <c r="CZ170" s="105" t="s">
        <v>312</v>
      </c>
      <c r="DA170" s="105" t="s">
        <v>312</v>
      </c>
      <c r="DB170" s="436"/>
      <c r="DC170" s="105" t="s">
        <v>190</v>
      </c>
      <c r="DD170" s="37" t="s">
        <v>286</v>
      </c>
      <c r="DE170" s="105" t="s">
        <v>311</v>
      </c>
      <c r="DF170" s="105" t="s">
        <v>313</v>
      </c>
      <c r="DG170" s="105" t="s">
        <v>285</v>
      </c>
      <c r="DH170" s="105" t="s">
        <v>285</v>
      </c>
      <c r="DI170" s="38"/>
      <c r="DJ170" s="105" t="s">
        <v>349</v>
      </c>
      <c r="DK170" s="105" t="s">
        <v>284</v>
      </c>
      <c r="DL170" s="38"/>
      <c r="DM170" s="38"/>
      <c r="DN170" s="1359" t="s">
        <v>172</v>
      </c>
      <c r="DO170" s="1359"/>
      <c r="DP170" s="105" t="s">
        <v>172</v>
      </c>
      <c r="DQ170" s="105"/>
      <c r="DR170" s="105" t="s">
        <v>186</v>
      </c>
      <c r="DS170" s="105" t="s">
        <v>314</v>
      </c>
      <c r="DT170" s="38"/>
      <c r="DU170" s="1359" t="s">
        <v>315</v>
      </c>
      <c r="DV170" s="1359"/>
      <c r="DW170" s="105" t="s">
        <v>316</v>
      </c>
      <c r="DX170" s="105" t="s">
        <v>314</v>
      </c>
      <c r="DY170" s="38"/>
      <c r="DZ170" s="105" t="s">
        <v>205</v>
      </c>
      <c r="EA170" s="105" t="s">
        <v>205</v>
      </c>
      <c r="EB170" s="436"/>
      <c r="EC170" s="689" t="s">
        <v>282</v>
      </c>
      <c r="ED170" s="689" t="s">
        <v>282</v>
      </c>
      <c r="EE170" s="689" t="s">
        <v>282</v>
      </c>
      <c r="EF170" s="689" t="s">
        <v>282</v>
      </c>
      <c r="EG170" s="689" t="s">
        <v>282</v>
      </c>
      <c r="EH170" s="689" t="s">
        <v>281</v>
      </c>
      <c r="EI170" s="689" t="s">
        <v>281</v>
      </c>
      <c r="EJ170" s="689" t="s">
        <v>281</v>
      </c>
      <c r="EK170" s="689" t="s">
        <v>317</v>
      </c>
      <c r="EL170" s="689" t="s">
        <v>317</v>
      </c>
      <c r="EM170" s="689" t="s">
        <v>318</v>
      </c>
      <c r="EN170" s="689" t="s">
        <v>318</v>
      </c>
      <c r="EO170" s="689" t="s">
        <v>281</v>
      </c>
      <c r="EP170" s="689" t="s">
        <v>281</v>
      </c>
      <c r="EQ170" s="689" t="s">
        <v>281</v>
      </c>
      <c r="ER170" s="436"/>
      <c r="ES170" s="436">
        <f>SUM(ES171:ES244)</f>
        <v>0</v>
      </c>
      <c r="EU170" s="436"/>
      <c r="EV170" s="436"/>
      <c r="EW170" s="436"/>
      <c r="EX170" s="436"/>
      <c r="EY170" s="89" t="s">
        <v>314</v>
      </c>
      <c r="EZ170" s="89" t="s">
        <v>170</v>
      </c>
      <c r="FD170" s="436"/>
      <c r="FE170" s="436"/>
      <c r="FF170" s="436"/>
      <c r="FI170" s="38"/>
      <c r="FJ170" s="105" t="s">
        <v>273</v>
      </c>
      <c r="FK170" s="38"/>
      <c r="FL170" s="38"/>
      <c r="FM170" s="38"/>
      <c r="FN170" s="38" t="s">
        <v>233</v>
      </c>
      <c r="FO170" s="105" t="s">
        <v>305</v>
      </c>
      <c r="FP170" s="105" t="s">
        <v>320</v>
      </c>
      <c r="FQ170" s="105" t="s">
        <v>305</v>
      </c>
      <c r="FR170" s="105" t="s">
        <v>286</v>
      </c>
      <c r="FS170" s="37" t="s">
        <v>321</v>
      </c>
      <c r="FT170" s="38"/>
      <c r="FU170" s="105" t="s">
        <v>322</v>
      </c>
    </row>
    <row r="171" spans="1:250" s="82" customFormat="1" ht="14.95" customHeight="1" thickTop="1" thickBot="1">
      <c r="B171" s="1421" t="str">
        <f>HY174</f>
        <v xml:space="preserve"> </v>
      </c>
      <c r="C171" s="1422">
        <f>C163+1</f>
        <v>26</v>
      </c>
      <c r="D171" s="1423"/>
      <c r="E171" s="1424" t="s">
        <v>242</v>
      </c>
      <c r="F171" s="1425"/>
      <c r="G171" s="1426"/>
      <c r="H171" s="1427"/>
      <c r="I171" s="1427"/>
      <c r="J171" s="1427"/>
      <c r="K171" s="1427"/>
      <c r="L171" s="1427"/>
      <c r="M171" s="1427"/>
      <c r="N171" s="1427"/>
      <c r="O171" s="1427"/>
      <c r="P171" s="1427"/>
      <c r="Q171" s="1427"/>
      <c r="R171" s="1427"/>
      <c r="S171" s="1428" t="s">
        <v>283</v>
      </c>
      <c r="T171" s="668" t="s">
        <v>190</v>
      </c>
      <c r="U171" s="1430" t="s">
        <v>186</v>
      </c>
      <c r="V171" s="1431"/>
      <c r="W171" s="1431"/>
      <c r="X171" s="1431"/>
      <c r="Y171" s="1431"/>
      <c r="Z171" s="1431"/>
      <c r="AA171" s="1431"/>
      <c r="AB171" s="1088" t="str">
        <f>IFERROR(IF(__Retrofit_TI_NC=0,VLOOKUP(U172,Fixtures_Existing_List,2,FALSE),ROUND(N173*R173/T173,10)),"")</f>
        <v/>
      </c>
      <c r="AC171" s="1039" t="str">
        <f>IFERROR(IF(__Retrofit_TI_NC=0,ROUND(T172*AB171*N172*R172/1000,0),IF(CN171="Interior",N173*R173*R172*N172*_C406_reduction/1000,N173*R173*R172*N172/1000)),"")</f>
        <v/>
      </c>
      <c r="AD171" s="1040" t="str">
        <f>IFERROR(IF(C$36=0,ROUND(T172*AB171/1000,2),N173*R173/1000),"")</f>
        <v/>
      </c>
      <c r="AE171" s="1044" t="s">
        <v>190</v>
      </c>
      <c r="AF171" s="1432" t="str">
        <f>IF(__Retrofit_TI_NC=2,CONCATENATE("Code min = ",DD171),IF(__Retrofit_TI_NC=1,"Emter what you think the existing control was"," Control"))</f>
        <v xml:space="preserve"> Control</v>
      </c>
      <c r="AG171" s="1432"/>
      <c r="AH171" s="1432"/>
      <c r="AI171" s="1432"/>
      <c r="AJ171" s="1433">
        <f>DF171</f>
        <v>0</v>
      </c>
      <c r="AK171" s="1435" t="str">
        <f>IFERROR(ROUND(AJ171*AC171,0),"")</f>
        <v/>
      </c>
      <c r="AL171" s="1437">
        <f>IFERROR(IF(HW171=FALSE,0,AC171-AK171),0)</f>
        <v>0</v>
      </c>
      <c r="AM171" s="1439">
        <f>AL171-AL173</f>
        <v>0</v>
      </c>
      <c r="AN171" s="1440"/>
      <c r="AO171" s="1445">
        <f>IFERROR(IF(HW171=FALSE,0,(T173*U174)+(AE173*AF174)),0)</f>
        <v>0</v>
      </c>
      <c r="AP171" s="1445"/>
      <c r="AQ171" s="1446"/>
      <c r="AR171" s="1451" t="s">
        <v>157</v>
      </c>
      <c r="AS171" s="1454">
        <f>IF(AR171="Yes",1,0)</f>
        <v>1</v>
      </c>
      <c r="AT171" s="1457" t="str">
        <f>IF(OR(DN171=4,DN171=5,DN171=6,DN171=12),CONCATENATE("$",IF(GD171=TRUE,Lookup!$B$11,Lookup!$B$2)," /lamp"),CONCATENATE(EA171,"/ kWh"))</f>
        <v>0/ kWh</v>
      </c>
      <c r="AU171" s="516"/>
      <c r="AV171" s="1478">
        <f>IFERROR(IF(GI172=TRUE,(AB174*T173)/R173,0),"NA")</f>
        <v>0</v>
      </c>
      <c r="AW171" s="1478" t="str">
        <f>IFERROR(N173*_C406_reduction,"NA")</f>
        <v>NA</v>
      </c>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M171" s="1352" t="str">
        <f>N172</f>
        <v/>
      </c>
      <c r="CN171" s="1352" t="str">
        <f>IFERROR(VLOOKUP(G172,_Lookup_Heat_Type_Table_New,3,FALSE),"")</f>
        <v/>
      </c>
      <c r="CO171" s="1415" t="str">
        <f>CN171</f>
        <v/>
      </c>
      <c r="CP171" s="1417" t="e">
        <f>VLOOKUP(G173,'Space Table'!$B$3:$L$160,9,FALSE)</f>
        <v>#N/A</v>
      </c>
      <c r="CR171" s="1386" t="s">
        <v>283</v>
      </c>
      <c r="CS171" s="1353">
        <f>IF(HW171=TRUE,T172,0)</f>
        <v>0</v>
      </c>
      <c r="CT171" s="1353" t="str">
        <f>IF(HW171=TRUE,U172,"")</f>
        <v/>
      </c>
      <c r="CU171" s="1353"/>
      <c r="CV171" s="1370">
        <f>IF(HW171=TRUE,AB171,0)</f>
        <v>0</v>
      </c>
      <c r="CW171" s="1370">
        <f>IF(HW171=TRUE,AC171,0)</f>
        <v>0</v>
      </c>
      <c r="CX171" s="1370">
        <f>IFERROR(IF(HW171=TRUE,CW171-CW173,0),0)</f>
        <v>0</v>
      </c>
      <c r="CY171" s="1485">
        <f>IF(HW171=TRUE,AD171,0)</f>
        <v>0</v>
      </c>
      <c r="CZ171" s="1485">
        <f>IF(HW171=TRUE,AD174,0)</f>
        <v>0</v>
      </c>
      <c r="DA171" s="1485">
        <f>IFERROR(CY171-CZ171,0)</f>
        <v>0</v>
      </c>
      <c r="DC171" s="1353">
        <f>IF(HW171=TRUE,AE172,0)</f>
        <v>0</v>
      </c>
      <c r="DD171" s="1460">
        <f>IF(__Retrofit_TI_NC=2,IF(CN171="Exterior",O174,FM171),FK171)</f>
        <v>0</v>
      </c>
      <c r="DE171" s="1353"/>
      <c r="DF171" s="1406">
        <f>IFERROR(IF(FL171=3,IK171,IF(FL171=4,IL171,IF(FL171=5,IM171,IF(FL171=6,IN171,IF(FL171=7,IO171,IF(FL171=8,IP171,0)))))),0)</f>
        <v>0</v>
      </c>
      <c r="DG171" s="1370">
        <f>IF(HW171=TRUE,AK171,0)</f>
        <v>0</v>
      </c>
      <c r="DH171" s="1369">
        <f>IFERROR(IF(HW171=TRUE,DG173-DG171,0),0)</f>
        <v>0</v>
      </c>
      <c r="DJ171" s="1483">
        <f>IFERROR(CW171-DG171,0)</f>
        <v>0</v>
      </c>
      <c r="DL171" s="1419">
        <f>DJ171-DK173</f>
        <v>0</v>
      </c>
      <c r="DN171" s="1403" t="str">
        <f>IFERROR(IF(AND(OR(FY171=4,FY171=5,FY171=6),OR(GB171=4,GB171=5,GB171=6)),FY171+8,VLOOKUP(CT173,Fixtures!R$31:Y$78,8,FALSE)),"")</f>
        <v/>
      </c>
      <c r="DO171" s="1404" t="str">
        <f>DN171</f>
        <v/>
      </c>
      <c r="DP171" s="1353" t="str">
        <f>IFERROR(VLOOKUP(DD173,Lookup!AU$3:AV$15,2,FALSE),"")</f>
        <v/>
      </c>
      <c r="DQ171" s="1404" t="str">
        <f>IF(DP171=7,"LLLC","")</f>
        <v/>
      </c>
      <c r="DR171" s="1403">
        <f>IFERROR(IF(OR(DN171=4,DN171=5,DN171=6,DN171=12,DN171=13,DN171=14),VLOOKUP(CT173,Fixtures!DN$27:EG$77,19,FALSE),1)*CS173,0)</f>
        <v>0</v>
      </c>
      <c r="DS171" s="1489">
        <f>IF(DP171=7,IF(DD171=DD173,0,DC173),0)</f>
        <v>0</v>
      </c>
      <c r="DU171" s="1403" t="str">
        <f>IFERROR(IF(EW171&lt;EW173,"Yes","No"),"")</f>
        <v/>
      </c>
      <c r="DV171" s="1404" t="str">
        <f>DU171</f>
        <v/>
      </c>
      <c r="DW171" s="1403">
        <f>IF(DU171="Yes",DC173,0)</f>
        <v>0</v>
      </c>
      <c r="DX171" s="1403">
        <f>DW171-DS171</f>
        <v>0</v>
      </c>
      <c r="DZ171" s="1481">
        <f>IFERROR(VLOOKUP(DN171,Lookup!AN$3:AO$16,2,FALSE),0)</f>
        <v>0</v>
      </c>
      <c r="EA171" s="1481">
        <f>IF(HW171=FALSE,0,IF(DU171="Yes",DZ171+Lookup!B$6,DZ171))</f>
        <v>0</v>
      </c>
      <c r="EC171" s="1482">
        <f>IF(HW171=TRUE,DJ171,0)</f>
        <v>0</v>
      </c>
      <c r="ED171" s="1369">
        <f>IF(HW171=TRUE,CW173,0)</f>
        <v>0</v>
      </c>
      <c r="EE171" s="1370">
        <f>IFERROR(EC171-ED171,0)</f>
        <v>0</v>
      </c>
      <c r="EF171" s="1369">
        <f>IF(HW171=TRUE,DG173,0)</f>
        <v>0</v>
      </c>
      <c r="EG171" s="1369">
        <f>IFERROR(EC171-ED171+EF171,0)</f>
        <v>0</v>
      </c>
      <c r="EH171" s="1373">
        <f>IF(HW171=TRUE,CS173*CU173,0)</f>
        <v>0</v>
      </c>
      <c r="EI171" s="1373">
        <f>IF(HW171=TRUE,DC173*DE173,0)</f>
        <v>0</v>
      </c>
      <c r="EJ171" s="1363">
        <f>AO171</f>
        <v>0</v>
      </c>
      <c r="EK171" s="1376" t="str">
        <f>IFERROR(IF(HW171=TRUE,VLOOKUP(DN171,Lookup!AN$3:AP$16,3,FALSE)*DR171,""),0)</f>
        <v/>
      </c>
      <c r="EL171" s="1376">
        <f>IF(HW171=TRUE,DW171*Lookup!AP$12,0)</f>
        <v>0</v>
      </c>
      <c r="EM171" s="1362">
        <f>IFERROR(IF(HW171=TRUE,EK171/EM$33,0),0)</f>
        <v>0</v>
      </c>
      <c r="EN171" s="1362">
        <f>IF(HW171=TRUE,EL171/EN$33,0)</f>
        <v>0</v>
      </c>
      <c r="EO171" s="1363">
        <f>IF(HW171=TRUE,EQ$33*EM171,0)</f>
        <v>0</v>
      </c>
      <c r="EP171" s="1363">
        <f>IF(HW171=TRUE,EQ$33*EN171,0)</f>
        <v>0</v>
      </c>
      <c r="EQ171" s="1363">
        <f>EO171+EP171</f>
        <v>0</v>
      </c>
      <c r="ES171" s="1403">
        <f>IF(G171="",0,1)</f>
        <v>0</v>
      </c>
      <c r="EU171" s="1410" t="e">
        <f>VLOOKUP(CP173,'Space Table'!$B$3:$L$160,8,FALSE)</f>
        <v>#N/A</v>
      </c>
      <c r="EV171" s="1410" t="e">
        <f>IF(EY171="Yes",VLOOKUP(DD171,Lookup_Control_Type_Table2,4,FALSE),VLOOKUP(DD171,Lookup_Control_Type_Table2,3,FALSE))</f>
        <v>#N/A</v>
      </c>
      <c r="EW171" s="1410" t="e">
        <f>VLOOKUP(DD171,Lookup!AU$3:AV$15,2,FALSE)</f>
        <v>#N/A</v>
      </c>
      <c r="EX171" s="1410" t="e">
        <f>VLOOKUP(EU171,Lookup_Control_Type_Table,2,FALSE)</f>
        <v>#N/A</v>
      </c>
      <c r="EY171" s="1410" t="e">
        <f>VLOOKUP(CP173,'Space Table'!$B$3:$L$160,7,FALSE)</f>
        <v>#N/A</v>
      </c>
      <c r="EZ171" s="1412" t="b">
        <f>ISNUMBER(SEARCH("TLED",U173))</f>
        <v>0</v>
      </c>
      <c r="FB171" s="1365" t="str">
        <f>CONCATENATE(CN171," - ",DD171)</f>
        <v xml:space="preserve"> - 0</v>
      </c>
      <c r="FD171" s="1353" t="str">
        <f>VLOOKUP(CT173,Fixtures!DN$27:EZ$77,38,FALSE)</f>
        <v/>
      </c>
      <c r="FE171" s="1353">
        <f>IFERROR(FD171*EE171,0)</f>
        <v>0</v>
      </c>
      <c r="FF171" s="138"/>
      <c r="FI171" s="1356" t="str">
        <f>IF(CN171="Exterior","Not Daylighted",G174)</f>
        <v>Not Daylighted</v>
      </c>
      <c r="FJ171" s="1356">
        <f>VLOOKUP(FI171,_Daylight_Table_Codes,2,FALSE)</f>
        <v>0</v>
      </c>
      <c r="FK171" s="1365">
        <f>IF(__Retrofit_TI_NC=2,VLOOKUP(G173,'Space Table'!$B$3:$L$160,11,FALSE),AF172)</f>
        <v>0</v>
      </c>
      <c r="FL171" s="1365" t="e">
        <f>VLOOKUP(FK171,_Control_Table,2,FALSE)</f>
        <v>#N/A</v>
      </c>
      <c r="FM171" s="1365" t="e">
        <f>IF(AND(FP171&gt;0,FK171="Occupancy Sensor"),"Daylight + Occupancy",IF(AND(FP171&gt;0,FL171&lt;4),"Interior Daylight Dimming",FK171))</f>
        <v>#N/A</v>
      </c>
      <c r="FO171" s="1364">
        <f>IF(CO171="Interior",VLOOKUP(CP171,Control_Savings_Interior,5,FALSE),0)</f>
        <v>0</v>
      </c>
      <c r="FP171" s="1361">
        <f>IF(CN171="Exterior",0,IF(FJ171=2,0.5,IF(OR(FJ171=1,FJ171=3),1,0)))</f>
        <v>0</v>
      </c>
      <c r="FQ171" s="1366"/>
      <c r="FR171" s="1367"/>
      <c r="FS171" s="1364"/>
      <c r="FT171" s="1367"/>
      <c r="FU171" s="1360"/>
      <c r="FW171" s="1352" t="str">
        <f>IFERROR(VLOOKUP(U172,_Exist_Fixture_Table,3,FALSE),"")</f>
        <v/>
      </c>
      <c r="FX171" s="1352" t="str">
        <f>VLOOKUP(CT171,_Exist_Fixture_Table,4,FALSE)</f>
        <v/>
      </c>
      <c r="FY171" s="1352">
        <f>IFERROR(VLOOKUP(FX171,Lookup!AM$6:AN$8,2,FALSE),0)</f>
        <v>0</v>
      </c>
      <c r="FZ171" s="1352" t="b">
        <f>IFERROR(IF(OR(GB171=4,GB171=5,GB171=6),TRUE,FALSE),"")</f>
        <v>0</v>
      </c>
      <c r="GA171" s="1352" t="str">
        <f>IFERROR(VLOOKUP(GB171,FY$6:FZ$10,2,FALSE),"")</f>
        <v/>
      </c>
      <c r="GB171" s="1352" t="str">
        <f>VLOOKUP(CT173,Fixtures!R$31:Y$78,8,FALSE)</f>
        <v/>
      </c>
      <c r="GC171" s="1352">
        <f>IF(AND(FW171=TRUE,FZ171=TRUE,OR(DN171=12,DN171=13,DN171=14)),FY171+8,0)</f>
        <v>0</v>
      </c>
      <c r="GD171" s="1352" t="b">
        <f>IF(OR(GC171=12,GC171=13,GC171=14),TRUE,FALSE)</f>
        <v>0</v>
      </c>
      <c r="GE171" s="759" t="b">
        <f>IF(ISNUMBER(SEARCH("TLED",U172)),TRUE,FALSE)</f>
        <v>0</v>
      </c>
      <c r="GF171" s="1035" t="str">
        <f>IFERROR(VLOOKUP(U172,Fixtures!BM$93:BR$142,6,FALSE),"")</f>
        <v/>
      </c>
      <c r="GG171" s="1385" t="b">
        <f>IF(OR(GE171=FALSE,GE173=FALSE),TRUE,IF(GF171-GF173&lt;5,FALSE,TRUE))</f>
        <v>1</v>
      </c>
      <c r="GK171" s="1034">
        <f>GL171</f>
        <v>0</v>
      </c>
      <c r="GL171" s="1034">
        <f>IF(G171="",0,1)</f>
        <v>0</v>
      </c>
      <c r="GM171" s="1034">
        <f>SUM(GN171:HB171)</f>
        <v>2</v>
      </c>
      <c r="GN171" s="1034">
        <f>IF(G172="",0,1)</f>
        <v>0</v>
      </c>
      <c r="GO171" s="1034">
        <f>IF(G173="",0,1)</f>
        <v>0</v>
      </c>
      <c r="GP171" s="1034">
        <f>IF(R172="",0,1)</f>
        <v>0</v>
      </c>
      <c r="GQ171" s="1034">
        <f>IF(__Retrofit_TI_NC=0,1,IF(R173="",0,1))</f>
        <v>1</v>
      </c>
      <c r="GR171" s="1034">
        <f>IF(CN171="Exterior",1,IF(G174="",0,1))</f>
        <v>1</v>
      </c>
      <c r="GS171" s="1034">
        <f>IF(__Retrofit_TI_NC&lt;&gt;0,1,IF(T172="",0,1))</f>
        <v>0</v>
      </c>
      <c r="GT171" s="1034">
        <f>IF(__Retrofit_TI_NC&lt;&gt;0,1,IF(U172="",0,1))</f>
        <v>0</v>
      </c>
      <c r="GU171" s="1034">
        <f>IF(T173="",0,1)</f>
        <v>0</v>
      </c>
      <c r="GV171" s="1034">
        <f>IF(U173="",0,1)</f>
        <v>0</v>
      </c>
      <c r="GW171" s="1034">
        <f>IF(__Retrofit_TI_NC=2,1,IF(U174="",0,1))</f>
        <v>0</v>
      </c>
      <c r="GX171" s="1034">
        <f>IF(__Retrofit_TI_NC&lt;&gt;0,1,IF(AE172="",0,1))</f>
        <v>0</v>
      </c>
      <c r="GY171" s="1034">
        <f>IF(__Retrofit_TI_NC&lt;&gt;0,1,IF(AF172="",0,1))</f>
        <v>0</v>
      </c>
      <c r="GZ171" s="1034">
        <f>IF(AE173="",0,1)</f>
        <v>0</v>
      </c>
      <c r="HA171" s="1034">
        <f>IF(AF173="",0,1)</f>
        <v>0</v>
      </c>
      <c r="HB171" s="1034">
        <f>IF(__Retrofit_TI_NC=2,1,IF(AF174="",0,1))</f>
        <v>0</v>
      </c>
      <c r="HV171" s="436"/>
      <c r="HW171" s="1384" t="b">
        <f>IF(OR(HW174=0,HW174=HT$16,HW174=HS$16,HW174=HU$16),TRUE,FALSE)</f>
        <v>0</v>
      </c>
      <c r="HX171" s="1377" t="b">
        <f>HW171</f>
        <v>0</v>
      </c>
      <c r="HY171" s="436"/>
      <c r="HZ171" s="436"/>
      <c r="IA171" s="1386" t="b">
        <f>IF(MAX(GJ174:HP174)&gt;5,FALSE,TRUE)</f>
        <v>0</v>
      </c>
      <c r="IB171" s="1380">
        <f>IF(IA171=TRUE,AC171,0)</f>
        <v>0</v>
      </c>
      <c r="IC171" s="1380">
        <f>IB171-IB173</f>
        <v>0</v>
      </c>
      <c r="IF171" s="1380" t="e">
        <f>ROUND(T172*VLOOKUP(U172,Fixtures_Existing_List,2,FALSE)*N172*R172/1000,0)</f>
        <v>#N/A</v>
      </c>
      <c r="IG171" s="1381" t="e">
        <f>IF171-IF173</f>
        <v>#N/A</v>
      </c>
      <c r="IH171" s="1384" t="e">
        <f>ROUND(IF(CN171="Interior",N173*R173*R172*N172*_C406_reduction/1000,N173*R173*R172*N172/1000),0)</f>
        <v>#N/A</v>
      </c>
      <c r="II171" s="1384" t="e">
        <f>IH171-IH173</f>
        <v>#N/A</v>
      </c>
      <c r="IK171" s="1351" t="e">
        <f>IF($CO171="interior",IL171/2,VLOOKUP($CP171,Control_Savings_Exterior,IK$30,FALSE))</f>
        <v>#N/A</v>
      </c>
      <c r="IL171" s="1351" t="e">
        <f>IF($CO171="interior",VLOOKUP($CP171,Control_Savings_Interior,IL$30,FALSE),VLOOKUP($CP171,Control_Savings_Exterior,IL$30,FALSE))</f>
        <v>#N/A</v>
      </c>
      <c r="IM171" s="1351" t="e">
        <f>IF($CO171="interior",IF(R172&gt;FO$37,(IM$28*(FO$37/R172)),IM$28)*FP171,VLOOKUP($CP171,Control_Savings_Exterior,IM$30,FALSE))</f>
        <v>#N/A</v>
      </c>
      <c r="IN171" s="1351" t="e">
        <f>IF($CO171="interior",ROUND(((1-IL171)*IM171)+IL171,2),VLOOKUP($CP171,Control_Savings_Exterior,IN$30,FALSE))</f>
        <v>#N/A</v>
      </c>
      <c r="IO171" s="1351" t="e">
        <f>IF($CO171="interior", ROUND(((1-IL171)*(IM171*(1-IP$28)))+IP171,2), VLOOKUP($CP171,Control_Savings_Exterior,IO$30,FALSE))</f>
        <v>#N/A</v>
      </c>
      <c r="IP171" s="1351">
        <f>IF($CO171="interior",ROUND(((1-IL171)*IP$28)+IL171,2),0)</f>
        <v>0</v>
      </c>
    </row>
    <row r="172" spans="1:250" s="82" customFormat="1" ht="14.95" customHeight="1" thickTop="1" thickBot="1">
      <c r="B172" s="1421"/>
      <c r="C172" s="1422"/>
      <c r="D172" s="1423"/>
      <c r="E172" s="1393" t="s">
        <v>244</v>
      </c>
      <c r="F172" s="1394"/>
      <c r="G172" s="1395"/>
      <c r="H172" s="1395"/>
      <c r="I172" s="1395"/>
      <c r="J172" s="1395"/>
      <c r="K172" s="1395"/>
      <c r="L172" s="1395"/>
      <c r="M172" s="509" t="e">
        <f>IF(__Retrofit_TI_NC&lt;&gt;0,IF(VLOOKUP(G173,'Space Table'!$B$3:$L$160,3,FALSE)&gt;0,1,0),IF(__Retrofit_TI_NC=VLOOKUP(G173,'Space Table'!$B$3:$L$160,3,FALSE),1,0))</f>
        <v>#N/A</v>
      </c>
      <c r="N172" s="509" t="str">
        <f>IFERROR(VLOOKUP(G172,_Lookup_Heat_Type_Table_New,2,FALSE),"")</f>
        <v/>
      </c>
      <c r="O172" s="509">
        <f>IF(__Retrofit_TI_NC=1,CONCATENATE("TI ",G172),IF(__Retrofit_TI_NC=2,CONCATENATE("NC ",G172),G172))</f>
        <v>0</v>
      </c>
      <c r="P172" s="1396" t="s">
        <v>352</v>
      </c>
      <c r="Q172" s="1396"/>
      <c r="R172" s="673"/>
      <c r="S172" s="1429"/>
      <c r="T172" s="675"/>
      <c r="U172" s="1496"/>
      <c r="V172" s="1497"/>
      <c r="W172" s="1497"/>
      <c r="X172" s="1497"/>
      <c r="Y172" s="1497"/>
      <c r="Z172" s="1497"/>
      <c r="AA172" s="1497"/>
      <c r="AB172" s="1497"/>
      <c r="AC172" s="1497"/>
      <c r="AD172" s="1498"/>
      <c r="AE172" s="675"/>
      <c r="AF172" s="1397"/>
      <c r="AG172" s="1397"/>
      <c r="AH172" s="1397"/>
      <c r="AI172" s="1397"/>
      <c r="AJ172" s="1434"/>
      <c r="AK172" s="1436"/>
      <c r="AL172" s="1438"/>
      <c r="AM172" s="1441"/>
      <c r="AN172" s="1442"/>
      <c r="AO172" s="1447"/>
      <c r="AP172" s="1447"/>
      <c r="AQ172" s="1448"/>
      <c r="AR172" s="1452"/>
      <c r="AS172" s="1455"/>
      <c r="AT172" s="1458"/>
      <c r="AU172" s="516"/>
      <c r="AV172" s="1479"/>
      <c r="AW172" s="1479"/>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M172" s="1352"/>
      <c r="CN172" s="1352"/>
      <c r="CO172" s="1416"/>
      <c r="CP172" s="1418"/>
      <c r="CR172" s="1386"/>
      <c r="CS172" s="1355"/>
      <c r="CT172" s="1355"/>
      <c r="CU172" s="1355"/>
      <c r="CV172" s="1372"/>
      <c r="CW172" s="1372"/>
      <c r="CX172" s="1371"/>
      <c r="CY172" s="1486"/>
      <c r="CZ172" s="1486"/>
      <c r="DA172" s="1486"/>
      <c r="DC172" s="1355"/>
      <c r="DD172" s="1461"/>
      <c r="DE172" s="1355"/>
      <c r="DF172" s="1407"/>
      <c r="DG172" s="1372"/>
      <c r="DH172" s="1369"/>
      <c r="DJ172" s="1484"/>
      <c r="DL172" s="1419"/>
      <c r="DN172" s="1403"/>
      <c r="DO172" s="1405"/>
      <c r="DP172" s="1354"/>
      <c r="DQ172" s="1405"/>
      <c r="DR172" s="1403"/>
      <c r="DS172" s="1489"/>
      <c r="DU172" s="1403"/>
      <c r="DV172" s="1405"/>
      <c r="DW172" s="1403"/>
      <c r="DX172" s="1403"/>
      <c r="DZ172" s="1481"/>
      <c r="EA172" s="1481"/>
      <c r="EC172" s="1482"/>
      <c r="ED172" s="1369"/>
      <c r="EE172" s="1371"/>
      <c r="EF172" s="1369"/>
      <c r="EG172" s="1369"/>
      <c r="EH172" s="1374"/>
      <c r="EI172" s="1374"/>
      <c r="EJ172" s="1363"/>
      <c r="EK172" s="1376"/>
      <c r="EL172" s="1376"/>
      <c r="EM172" s="1362"/>
      <c r="EN172" s="1362"/>
      <c r="EO172" s="1363"/>
      <c r="EP172" s="1363"/>
      <c r="EQ172" s="1363"/>
      <c r="ES172" s="1403"/>
      <c r="EU172" s="1411"/>
      <c r="EV172" s="1411"/>
      <c r="EW172" s="1411"/>
      <c r="EX172" s="1411"/>
      <c r="EY172" s="1411"/>
      <c r="EZ172" s="1413"/>
      <c r="FB172" s="1365"/>
      <c r="FD172" s="1354"/>
      <c r="FE172" s="1354"/>
      <c r="FF172" s="138"/>
      <c r="FI172" s="1357"/>
      <c r="FJ172" s="1357"/>
      <c r="FK172" s="1365"/>
      <c r="FL172" s="1365"/>
      <c r="FM172" s="1365"/>
      <c r="FO172" s="1361"/>
      <c r="FP172" s="1361"/>
      <c r="FQ172" s="1366"/>
      <c r="FR172" s="1368"/>
      <c r="FS172" s="1361"/>
      <c r="FT172" s="1368"/>
      <c r="FU172" s="1360"/>
      <c r="FW172" s="1352"/>
      <c r="FX172" s="1352"/>
      <c r="FY172" s="1352"/>
      <c r="FZ172" s="1352"/>
      <c r="GA172" s="1352"/>
      <c r="GB172" s="1352"/>
      <c r="GC172" s="1352"/>
      <c r="GD172" s="1352"/>
      <c r="GE172" s="759"/>
      <c r="GF172" s="1035"/>
      <c r="GG172" s="1385"/>
      <c r="GI172" s="1384" t="b">
        <f>IF(AND(GL172=TRUE,GM172=TRUE),TRUE,FALSE)</f>
        <v>0</v>
      </c>
      <c r="GJ172" s="1379" t="b">
        <f>IFERROR(IF(__Retrofit_TI_NC=2,TRUE,IF(AR171="Yes",TRUE,FALSE)),FALSE)</f>
        <v>1</v>
      </c>
      <c r="GL172" s="1379" t="b">
        <f>IFERROR(IF(GL171=1,TRUE,FALSE),FALSE)</f>
        <v>0</v>
      </c>
      <c r="GM172" s="1379" t="b">
        <f>IFERROR(IF(GM171=GM$14,TRUE,FALSE),FALSE)</f>
        <v>0</v>
      </c>
      <c r="HC172" s="1379" t="b">
        <f>IFERROR(IF(M172=1,TRUE,FALSE),FALSE)</f>
        <v>0</v>
      </c>
      <c r="HD172" s="1379" t="b">
        <f>IFERROR(IF(M173=1,TRUE,FALSE),FALSE)</f>
        <v>0</v>
      </c>
      <c r="HE172" s="1379" t="b">
        <f>IFERROR(IF(__Retrofit_TI_NC&lt;&gt;0,TRUE,IFERROR(IF(VLOOKUP(U172,Fixtures_Existing_List,2,FALSE)&lt;&gt;"",TRUE,FALSE),FALSE)),FALSE)</f>
        <v>0</v>
      </c>
      <c r="HF172" s="1379" t="b">
        <f>IFERROR(IF(VLOOKUP(U173,Fixtures_Proposed_List,2,FALSE)&lt;&gt;"",TRUE,FALSE),FALSE)</f>
        <v>0</v>
      </c>
      <c r="HG172" s="1379" t="b">
        <f>IF(AND(__Retrofit_TI_NC=2,EZ171=TRUE),FALSE,TRUE)</f>
        <v>1</v>
      </c>
      <c r="HH172" s="1379" t="b">
        <f>GG171</f>
        <v>1</v>
      </c>
      <c r="HI172" s="1384" t="b">
        <f>IF(ISERROR(MATCH(FB171,_Control_Match[],0))=TRUE,FALSE,TRUE)</f>
        <v>0</v>
      </c>
      <c r="HJ172" s="1384" t="b">
        <f>IFERROR(IF(EU171&lt;&gt;EV171,FALSE,TRUE),FALSE)</f>
        <v>0</v>
      </c>
      <c r="HK172" s="1384" t="b">
        <f>IFERROR(IF(EU173&lt;&gt;EV173,FALSE,TRUE),FALSE)</f>
        <v>0</v>
      </c>
      <c r="HL172" s="1379" t="b">
        <f>IFERROR(IF(CN171="Exterior",TRUE,IF(OR(AND(FJ171=0,EW173&gt;4),AND(FJ171=4,EW173&gt;4,EW173&lt;7)),FALSE,TRUE)),FALSE)</f>
        <v>0</v>
      </c>
      <c r="HM172" s="1379" t="b">
        <f>IFERROR(IF(AND(FL173=7,EZ171=TRUE),FALSE,TRUE),FALSE)</f>
        <v>0</v>
      </c>
      <c r="HN172" s="1379" t="b">
        <f>IFERROR(IF(AND(T173&lt;&gt;AE173,AF173="Interior LLLC")=TRUE,FALSE,TRUE),FALSE)</f>
        <v>1</v>
      </c>
      <c r="HO172" s="1379" t="b">
        <f>IFERROR(IF(OR(AF173=Lookup!AU$13,AF173=Lookup!AU$14)=TRUE,IF(AE173&gt;T173,FALSE,TRUE),TRUE),FALSE)</f>
        <v>1</v>
      </c>
      <c r="HP172" s="1379" t="b">
        <f>IFERROR(IF(__Retrofit_TI_NC=2,IF(EW173&lt;EW171,FALSE,TRUE),TRUE),FALSE)</f>
        <v>1</v>
      </c>
      <c r="HQ172" s="1379" t="b">
        <f>IF(CN171="Interior",IG$6,TRUE)</f>
        <v>1</v>
      </c>
      <c r="HR172" s="1379" t="b">
        <f>IF(CN171="Exterior",IG$8,TRUE)</f>
        <v>1</v>
      </c>
      <c r="HS172" s="1379" t="b">
        <f>IFERROR(IF(__Retrofit_TI_NC&lt;&gt;0,IF(AW171&lt;AV171,FALSE,TRUE),TRUE),FALSE)</f>
        <v>1</v>
      </c>
      <c r="HT172" s="1379" t="b">
        <f>IFERROR(IF(AND(G172="Exterior",R172&gt;4200),FALSE,TRUE),FALSE)</f>
        <v>1</v>
      </c>
      <c r="HU172" s="1379" t="b">
        <f>IFERROR(IF(AB174/AB171&lt;HU$18,FALSE,TRUE),FALSE)</f>
        <v>0</v>
      </c>
      <c r="HW172" s="1382"/>
      <c r="HX172" s="1378"/>
      <c r="HY172" s="1377" t="str">
        <f>VLOOKUP(HW174,_Error_Table,4,FALSE)</f>
        <v>White</v>
      </c>
      <c r="HZ172" s="436"/>
      <c r="IA172" s="1386"/>
      <c r="IB172" s="1380"/>
      <c r="IC172" s="1379"/>
      <c r="IF172" s="1380"/>
      <c r="IG172" s="1382"/>
      <c r="IH172" s="1382"/>
      <c r="II172" s="1382"/>
      <c r="IK172" s="1351"/>
      <c r="IL172" s="1351"/>
      <c r="IM172" s="1351"/>
      <c r="IN172" s="1351"/>
      <c r="IO172" s="1351"/>
      <c r="IP172" s="1351"/>
    </row>
    <row r="173" spans="1:250" s="82" customFormat="1" ht="14.95" customHeight="1" thickTop="1" thickBot="1">
      <c r="A173" s="82">
        <f>ROW()</f>
        <v>173</v>
      </c>
      <c r="B173" s="1421"/>
      <c r="C173" s="1422"/>
      <c r="D173" s="1423"/>
      <c r="E173" s="1393" t="s">
        <v>245</v>
      </c>
      <c r="F173" s="1394"/>
      <c r="G173" s="1398"/>
      <c r="H173" s="1399"/>
      <c r="I173" s="1399"/>
      <c r="J173" s="1399"/>
      <c r="K173" s="1399"/>
      <c r="L173" s="1400"/>
      <c r="M173" s="509">
        <f>IFERROR(IF(IF(__Retrofit_TI_NC&lt;&gt;0,IF(CN171="Interior",MATCH(G173,Lookup_Interior_New,0),MATCH(G173,Lookup_Exterior_New,0)),IF(CN171="Interior",MATCH(G173,Lookup_Interior,0),MATCH(G173,Lookup_Exterior_Areas,0)))&gt;0,1,0),0)</f>
        <v>0</v>
      </c>
      <c r="N173" s="509" t="e">
        <f>IF(__Retrofit_TI_NC=1,
VLOOKUP(G173,'Space Table'!$B$3:$L$160,4,FALSE),
IF(__Retrofit_TI_NC=2,VLOOKUP(G173,'Space Table'!$B$3:$L$160,5,FALSE),VLOOKUP(G173,'Space Table'!$B$3:$L$160,5,FALSE)))</f>
        <v>#N/A</v>
      </c>
      <c r="O173" s="509">
        <f>G173</f>
        <v>0</v>
      </c>
      <c r="P173" s="1394" t="s">
        <v>355</v>
      </c>
      <c r="Q173" s="1394"/>
      <c r="R173" s="674"/>
      <c r="S173" s="1401" t="s">
        <v>284</v>
      </c>
      <c r="T173" s="672"/>
      <c r="U173" s="1499"/>
      <c r="V173" s="1500"/>
      <c r="W173" s="1500"/>
      <c r="X173" s="1500"/>
      <c r="Y173" s="1500"/>
      <c r="Z173" s="1500"/>
      <c r="AA173" s="1500"/>
      <c r="AB173" s="1501"/>
      <c r="AC173" s="1501"/>
      <c r="AD173" s="1502"/>
      <c r="AE173" s="672"/>
      <c r="AF173" s="1474"/>
      <c r="AG173" s="1474"/>
      <c r="AH173" s="1474"/>
      <c r="AI173" s="1474"/>
      <c r="AJ173" s="1475">
        <f>DF173</f>
        <v>0</v>
      </c>
      <c r="AK173" s="1470" t="str">
        <f>IFERROR(ROUND(AJ173*AC174,0),"")</f>
        <v/>
      </c>
      <c r="AL173" s="1472">
        <f>IFERROR(IF(HW171=FALSE,0,AC174-AK173),0)</f>
        <v>0</v>
      </c>
      <c r="AM173" s="1441"/>
      <c r="AN173" s="1442"/>
      <c r="AO173" s="1447"/>
      <c r="AP173" s="1447"/>
      <c r="AQ173" s="1448"/>
      <c r="AR173" s="1452"/>
      <c r="AS173" s="1455"/>
      <c r="AT173" s="1458"/>
      <c r="AU173" s="516"/>
      <c r="AV173" s="1479"/>
      <c r="AW173" s="1479"/>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M173" s="1352"/>
      <c r="CN173" s="1352"/>
      <c r="CO173" s="1415" t="str">
        <f>CN171</f>
        <v/>
      </c>
      <c r="CP173" s="1417" t="e">
        <f>CP171</f>
        <v>#N/A</v>
      </c>
      <c r="CR173" s="1386" t="s">
        <v>284</v>
      </c>
      <c r="CS173" s="1353">
        <f>IF(HW171=TRUE,T173,0)</f>
        <v>0</v>
      </c>
      <c r="CT173" s="1353" t="str">
        <f>IF(HW171=TRUE,U173,"")</f>
        <v/>
      </c>
      <c r="CU173" s="1373">
        <f>IF(HW171=TRUE,U174,0)</f>
        <v>0</v>
      </c>
      <c r="CV173" s="1370">
        <f>IF(HW171=TRUE,AB174,0)</f>
        <v>0</v>
      </c>
      <c r="CW173" s="1370">
        <f>IF(HW171=TRUE,AC174,0)</f>
        <v>0</v>
      </c>
      <c r="CX173" s="1371"/>
      <c r="CY173" s="1486"/>
      <c r="CZ173" s="1486"/>
      <c r="DA173" s="1486"/>
      <c r="DC173" s="1353">
        <f>IF(HW171=TRUE,AE173,0)</f>
        <v>0</v>
      </c>
      <c r="DD173" s="1353" t="str">
        <f>IF(HW171=TRUE,AF173,"")</f>
        <v/>
      </c>
      <c r="DE173" s="1373">
        <f>AF174</f>
        <v>0</v>
      </c>
      <c r="DF173" s="1406">
        <f>IFERROR(IF(FL173=3,IK173,IF(FL173=4,IL173,IF(FL173=5,IM173,IF(FL173=6,IN173,IF(FL173=7,IO173,IF(FL173=8,IP173,0)))))),0)</f>
        <v>0</v>
      </c>
      <c r="DG173" s="1370">
        <f>IF(HW171=TRUE,AK173,0)</f>
        <v>0</v>
      </c>
      <c r="DH173" s="1369"/>
      <c r="DK173" s="1483">
        <f>IFERROR(CW173-DG173,0)</f>
        <v>0</v>
      </c>
      <c r="DL173" s="1420"/>
      <c r="DN173" s="1403"/>
      <c r="DO173" s="1477" t="str">
        <f>DN171</f>
        <v/>
      </c>
      <c r="DP173" s="1354"/>
      <c r="DQ173" s="1477" t="str">
        <f>IF(DP171=7,"LLLC","")</f>
        <v/>
      </c>
      <c r="DR173" s="1403"/>
      <c r="DS173" s="1489"/>
      <c r="DU173" s="1403"/>
      <c r="DV173" s="1404" t="str">
        <f>DU171</f>
        <v/>
      </c>
      <c r="DW173" s="1403"/>
      <c r="DX173" s="1403"/>
      <c r="DZ173" s="1481"/>
      <c r="EA173" s="1481"/>
      <c r="EC173" s="1482"/>
      <c r="ED173" s="1369"/>
      <c r="EE173" s="1371"/>
      <c r="EF173" s="1369"/>
      <c r="EG173" s="1369"/>
      <c r="EH173" s="1374"/>
      <c r="EI173" s="1374"/>
      <c r="EJ173" s="1363"/>
      <c r="EK173" s="1376"/>
      <c r="EL173" s="1376"/>
      <c r="EM173" s="1362"/>
      <c r="EN173" s="1362"/>
      <c r="EO173" s="1363"/>
      <c r="EP173" s="1363"/>
      <c r="EQ173" s="1363"/>
      <c r="ES173" s="1403"/>
      <c r="EU173" s="1411" t="e">
        <f>VLOOKUP(CP173,'Space Table'!$B$3:$L$160,8,FALSE)</f>
        <v>#N/A</v>
      </c>
      <c r="EV173" s="1411" t="e">
        <f>IF(EY173="Yes",VLOOKUP(AF173,Lookup_Control_Type_Table2,4,FALSE),VLOOKUP(AF173,Lookup_Control_Type_Table2,3,FALSE))</f>
        <v>#N/A</v>
      </c>
      <c r="EW173" s="1411" t="e">
        <f>VLOOKUP(AF173,Lookup!AU$3:AV$15,2,FALSE)</f>
        <v>#N/A</v>
      </c>
      <c r="EX173" s="1411" t="e">
        <f>VLOOKUP(EU171,Lookup_Control_Type_Table,2,FALSE)</f>
        <v>#N/A</v>
      </c>
      <c r="EY173" s="1411" t="e">
        <f>VLOOKUP(CP173,'Space Table'!$B$3:$L$160,7,FALSE)</f>
        <v>#N/A</v>
      </c>
      <c r="EZ173" s="1413"/>
      <c r="FB173" s="1365" t="str">
        <f>CONCATENATE(CN171," - ",AF173)</f>
        <v xml:space="preserve"> - </v>
      </c>
      <c r="FD173" s="1354"/>
      <c r="FE173" s="1354"/>
      <c r="FF173" s="138"/>
      <c r="FI173" s="1356" t="str">
        <f>IF(CN171="Exterior","Not Daylighted",G174)</f>
        <v>Not Daylighted</v>
      </c>
      <c r="FJ173" s="1356">
        <f>VLOOKUP(FI173,_Daylight_Table_Codes,2,FALSE)</f>
        <v>0</v>
      </c>
      <c r="FK173" s="1365">
        <f>AF173</f>
        <v>0</v>
      </c>
      <c r="FL173" s="1365" t="e">
        <f>VLOOKUP(FK173,_Control_Table,2,FALSE)</f>
        <v>#N/A</v>
      </c>
      <c r="FM173" s="1365" t="e">
        <f>IF(AND(FP173&gt;0,FK173="Occupancy Sensor"),"Daylight + Occupancy",IF(AND(FP173&gt;0,FL173&lt;4),"Interior Daylight Dimming",FK173))</f>
        <v>#N/A</v>
      </c>
      <c r="FO173" s="1364">
        <f>IF(CN171="Interior",VLOOKUP(CP171,Control_Savings_Interior,5,FALSE),0)</f>
        <v>0</v>
      </c>
      <c r="FP173" s="1361">
        <f>IF(CN173="Exterior",0,IF(FJ173=2,0.5,IF(OR(FJ173=1,FJ173=3),1,0)))</f>
        <v>0</v>
      </c>
      <c r="FQ173" s="1366">
        <f>IF(R172&gt;FO$37,(FO173*(FO$37/R172)),FO173)*FP173</f>
        <v>0</v>
      </c>
      <c r="FR173" s="1364">
        <f>DF173</f>
        <v>0</v>
      </c>
      <c r="FS173" s="1364">
        <f>ROUND(FR173+((1-FR173)*FQ173),2)</f>
        <v>0</v>
      </c>
      <c r="FT173" s="1364">
        <f>IF(__Retrofit_TI_NC=2,FS173,FR173)</f>
        <v>0</v>
      </c>
      <c r="FU173" s="1360">
        <f>IF(CO173="Interior",VLOOKUP(CP173,Control_Savings_Interior,4,FALSE),0)</f>
        <v>0</v>
      </c>
      <c r="FW173" s="1352"/>
      <c r="FX173" s="1352"/>
      <c r="FY173" s="1352"/>
      <c r="FZ173" s="1352"/>
      <c r="GA173" s="1352"/>
      <c r="GB173" s="1352"/>
      <c r="GC173" s="1352"/>
      <c r="GD173" s="1352"/>
      <c r="GE173" s="759" t="b">
        <f>IF(ISNUMBER(SEARCH("TLED",U173)),TRUE,FALSE)</f>
        <v>0</v>
      </c>
      <c r="GF173" s="1035" t="str">
        <f>IFERROR(VLOOKUP(U173,Fixtures!DM$93:DR$142,6,FALSE),"")</f>
        <v/>
      </c>
      <c r="GG173" s="1385"/>
      <c r="GI173" s="1383"/>
      <c r="GJ173" s="1379"/>
      <c r="GL173" s="1379"/>
      <c r="GM173" s="1379"/>
      <c r="HC173" s="1379"/>
      <c r="HD173" s="1379"/>
      <c r="HE173" s="1379"/>
      <c r="HF173" s="1379"/>
      <c r="HG173" s="1379"/>
      <c r="HH173" s="1379"/>
      <c r="HI173" s="1383"/>
      <c r="HJ173" s="1383"/>
      <c r="HK173" s="1383"/>
      <c r="HL173" s="1379"/>
      <c r="HM173" s="1379"/>
      <c r="HN173" s="1379"/>
      <c r="HO173" s="1379"/>
      <c r="HP173" s="1379"/>
      <c r="HQ173" s="1379"/>
      <c r="HR173" s="1379"/>
      <c r="HS173" s="1379"/>
      <c r="HT173" s="1379"/>
      <c r="HU173" s="1379"/>
      <c r="HW173" s="1383"/>
      <c r="HX173" s="1384" t="b">
        <f>HW171</f>
        <v>0</v>
      </c>
      <c r="HY173" s="1378"/>
      <c r="HZ173" s="436"/>
      <c r="IA173" s="1386"/>
      <c r="IB173" s="1380">
        <f>IF(IA171=TRUE,AC174,0)</f>
        <v>0</v>
      </c>
      <c r="IC173" s="1379"/>
      <c r="IF173" s="1380" t="e">
        <f>ROUND(T173*AB174*N172*R172/1000,0)</f>
        <v>#VALUE!</v>
      </c>
      <c r="IG173" s="1382"/>
      <c r="IH173" s="1384" t="e">
        <f>ROUND(T173*AB174*N172*R172/1000,0)</f>
        <v>#VALUE!</v>
      </c>
      <c r="II173" s="1382"/>
      <c r="IK173" s="1351" t="e">
        <f>IF($CO173="interior",IL173/2,VLOOKUP($CP173,Control_Savings_Exterior,IK$30,FALSE))</f>
        <v>#N/A</v>
      </c>
      <c r="IL173" s="1351" t="e">
        <f>IF($CO173="interior",VLOOKUP($CP173,Control_Savings_Interior,IL$30,FALSE),VLOOKUP($CP173,Control_Savings_Exterior,IL$30,FALSE))</f>
        <v>#N/A</v>
      </c>
      <c r="IM173" s="1351" t="e">
        <f>IF($CO173="interior",IF(R172&gt;FO$37,(IM$28*(FO$37/R172)),IM$28)*FP173,VLOOKUP($CP173,Control_Savings_Exterior,IM$30,FALSE))</f>
        <v>#N/A</v>
      </c>
      <c r="IN173" s="1351" t="e">
        <f>IF($CO173="interior",ROUND(((1-IL173)*IM173)+IL173,2),VLOOKUP($CP173,Control_Savings_Exterior,IN$30,FALSE))</f>
        <v>#N/A</v>
      </c>
      <c r="IO173" s="1351" t="e">
        <f>IF($CO173="interior", ROUND(((1-IL173)*(IM173*(1-IP$28)))+IP173,2), VLOOKUP($CP173,Control_Savings_Exterior,IO$30,FALSE))</f>
        <v>#N/A</v>
      </c>
      <c r="IP173" s="1351">
        <f>IF($CO173="interior",ROUND(((1-IL173)*IP$28)+IL173,2),0)</f>
        <v>0</v>
      </c>
    </row>
    <row r="174" spans="1:250" s="82" customFormat="1" ht="14.95" customHeight="1" thickTop="1" thickBot="1">
      <c r="B174" s="1421"/>
      <c r="C174" s="1422"/>
      <c r="D174" s="1423"/>
      <c r="E174" s="1462" t="s">
        <v>357</v>
      </c>
      <c r="F174" s="1463"/>
      <c r="G174" s="1464" t="s">
        <v>362</v>
      </c>
      <c r="H174" s="1465"/>
      <c r="I174" s="1465"/>
      <c r="J174" s="1465"/>
      <c r="K174" s="1465"/>
      <c r="L174" s="1466"/>
      <c r="M174" s="669">
        <f>IFERROR(VLOOKUP(G174,_Daylight_Table[],2,FALSE),0)</f>
        <v>0</v>
      </c>
      <c r="N174" s="670"/>
      <c r="O174" s="669" t="e">
        <f>VLOOKUP(G173,'Space Table'!$B$3:$L$160,11,FALSE)</f>
        <v>#N/A</v>
      </c>
      <c r="P174" s="1408"/>
      <c r="Q174" s="1409"/>
      <c r="R174" s="1409"/>
      <c r="S174" s="1402"/>
      <c r="T174" s="671" t="s">
        <v>281</v>
      </c>
      <c r="U174" s="1467" t="str">
        <f>IFERROR(VLOOKUP(U173,Fixtures!DM$93:DP$142,4,FALSE),"")</f>
        <v/>
      </c>
      <c r="V174" s="1468"/>
      <c r="W174" s="1468"/>
      <c r="X174" s="1468"/>
      <c r="Y174" s="1468"/>
      <c r="Z174" s="1468"/>
      <c r="AA174" s="1468"/>
      <c r="AB174" s="1046" t="str">
        <f>IFERROR(VLOOKUP(U173,Fixtures_Proposed_List,2,FALSE),"")</f>
        <v/>
      </c>
      <c r="AC174" s="1036" t="str">
        <f>IFERROR(ROUND(T173*AB174*N172*R172/1000,0),"")</f>
        <v/>
      </c>
      <c r="AD174" s="1037" t="str">
        <f>IFERROR(ROUND(T173*AB174/1000,2),"")</f>
        <v/>
      </c>
      <c r="AE174" s="1045" t="s">
        <v>281</v>
      </c>
      <c r="AF174" s="1469"/>
      <c r="AG174" s="1469"/>
      <c r="AH174" s="1469"/>
      <c r="AI174" s="1469"/>
      <c r="AJ174" s="1476"/>
      <c r="AK174" s="1471"/>
      <c r="AL174" s="1473"/>
      <c r="AM174" s="1443"/>
      <c r="AN174" s="1444"/>
      <c r="AO174" s="1449"/>
      <c r="AP174" s="1449"/>
      <c r="AQ174" s="1450"/>
      <c r="AR174" s="1453"/>
      <c r="AS174" s="1456"/>
      <c r="AT174" s="1459"/>
      <c r="AU174" s="517"/>
      <c r="AV174" s="1480"/>
      <c r="AW174" s="1480"/>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M174" s="1352"/>
      <c r="CN174" s="1352"/>
      <c r="CO174" s="1416"/>
      <c r="CP174" s="1418"/>
      <c r="CR174" s="1386"/>
      <c r="CS174" s="1355"/>
      <c r="CT174" s="1355"/>
      <c r="CU174" s="1375"/>
      <c r="CV174" s="1372"/>
      <c r="CW174" s="1372"/>
      <c r="CX174" s="1372"/>
      <c r="CY174" s="1487"/>
      <c r="CZ174" s="1487"/>
      <c r="DA174" s="1487"/>
      <c r="DC174" s="1355"/>
      <c r="DD174" s="1355"/>
      <c r="DE174" s="1375"/>
      <c r="DF174" s="1407"/>
      <c r="DG174" s="1372"/>
      <c r="DH174" s="1369"/>
      <c r="DK174" s="1484"/>
      <c r="DL174" s="1420"/>
      <c r="DN174" s="1403"/>
      <c r="DO174" s="1405"/>
      <c r="DP174" s="1355"/>
      <c r="DQ174" s="1405"/>
      <c r="DR174" s="1403"/>
      <c r="DS174" s="1489"/>
      <c r="DU174" s="1403"/>
      <c r="DV174" s="1405"/>
      <c r="DW174" s="1403"/>
      <c r="DX174" s="1403"/>
      <c r="DZ174" s="1481"/>
      <c r="EA174" s="1481"/>
      <c r="EC174" s="1482"/>
      <c r="ED174" s="1369"/>
      <c r="EE174" s="1372"/>
      <c r="EF174" s="1369"/>
      <c r="EG174" s="1369"/>
      <c r="EH174" s="1375"/>
      <c r="EI174" s="1375"/>
      <c r="EJ174" s="1363"/>
      <c r="EK174" s="1376"/>
      <c r="EL174" s="1376"/>
      <c r="EM174" s="1362"/>
      <c r="EN174" s="1362"/>
      <c r="EO174" s="1363"/>
      <c r="EP174" s="1363"/>
      <c r="EQ174" s="1363"/>
      <c r="ES174" s="1403"/>
      <c r="EU174" s="1488"/>
      <c r="EV174" s="1488"/>
      <c r="EW174" s="1488"/>
      <c r="EX174" s="1488"/>
      <c r="EY174" s="1488"/>
      <c r="EZ174" s="1414"/>
      <c r="FB174" s="1365"/>
      <c r="FD174" s="1355"/>
      <c r="FE174" s="1355"/>
      <c r="FF174" s="138"/>
      <c r="FI174" s="1357"/>
      <c r="FJ174" s="1357"/>
      <c r="FK174" s="1365"/>
      <c r="FL174" s="1365"/>
      <c r="FM174" s="1365"/>
      <c r="FO174" s="1361"/>
      <c r="FP174" s="1361"/>
      <c r="FQ174" s="1366"/>
      <c r="FR174" s="1361"/>
      <c r="FS174" s="1361"/>
      <c r="FT174" s="1361"/>
      <c r="FU174" s="1360"/>
      <c r="FW174" s="1352"/>
      <c r="FX174" s="1352"/>
      <c r="FY174" s="1352"/>
      <c r="FZ174" s="1352"/>
      <c r="GA174" s="1352"/>
      <c r="GB174" s="1352"/>
      <c r="GC174" s="1352"/>
      <c r="GD174" s="1352"/>
      <c r="GE174" s="759"/>
      <c r="GF174" s="1035"/>
      <c r="GG174" s="1385"/>
      <c r="GJ174" s="1034">
        <f>IF(GJ172=TRUE,0,GJ$16)</f>
        <v>0</v>
      </c>
      <c r="GL174" s="1034">
        <f>IF(GL172=TRUE,0,GL$16)</f>
        <v>36</v>
      </c>
      <c r="GM174" s="1034">
        <f>IF(GM172=TRUE,0,GM$16)</f>
        <v>35</v>
      </c>
      <c r="GN174" s="436"/>
      <c r="GO174" s="436"/>
      <c r="GP174" s="436"/>
      <c r="GQ174" s="436"/>
      <c r="GR174" s="436"/>
      <c r="HC174" s="1034">
        <f t="shared" ref="HC174:HH174" si="114">IF(HC172=TRUE,0,HC$16)</f>
        <v>19</v>
      </c>
      <c r="HD174" s="1034">
        <f t="shared" si="114"/>
        <v>18</v>
      </c>
      <c r="HE174" s="1034">
        <f t="shared" si="114"/>
        <v>17</v>
      </c>
      <c r="HF174" s="1034">
        <f t="shared" si="114"/>
        <v>16</v>
      </c>
      <c r="HG174" s="1034">
        <f t="shared" si="114"/>
        <v>0</v>
      </c>
      <c r="HH174" s="1034">
        <f t="shared" si="114"/>
        <v>0</v>
      </c>
      <c r="HI174" s="1034">
        <f>IF(HI172=TRUE,0,HI$16)</f>
        <v>13</v>
      </c>
      <c r="HJ174" s="1034">
        <f t="shared" ref="HJ174:HL174" si="115">IF(HJ172=TRUE,0,HJ$16)</f>
        <v>12</v>
      </c>
      <c r="HK174" s="1034">
        <f t="shared" si="115"/>
        <v>11</v>
      </c>
      <c r="HL174" s="1034">
        <f t="shared" si="115"/>
        <v>10</v>
      </c>
      <c r="HM174" s="1034">
        <f>IF(HM172=TRUE,0,HM$16)</f>
        <v>9</v>
      </c>
      <c r="HN174" s="1034">
        <f t="shared" ref="HN174:HR174" si="116">IF(HN172=TRUE,0,HN$16)</f>
        <v>0</v>
      </c>
      <c r="HO174" s="1034">
        <f t="shared" si="116"/>
        <v>0</v>
      </c>
      <c r="HP174" s="1034">
        <f t="shared" si="116"/>
        <v>0</v>
      </c>
      <c r="HQ174" s="1034">
        <f t="shared" si="116"/>
        <v>0</v>
      </c>
      <c r="HR174" s="1034">
        <f t="shared" si="116"/>
        <v>0</v>
      </c>
      <c r="HS174" s="1034">
        <f>IF(HS172=TRUE,0,HS$16)</f>
        <v>0</v>
      </c>
      <c r="HT174" s="1034">
        <f t="shared" ref="HT174" si="117">IF(HT172=TRUE,0,HT$16)</f>
        <v>0</v>
      </c>
      <c r="HU174" s="1034">
        <f>IF(HU172=TRUE,0,HU$16)</f>
        <v>1</v>
      </c>
      <c r="HW174" s="1034">
        <f>IF(GL172=FALSE,GL174,IF(GM172=FALSE,GM174,MAX(GJ174:HU174)))</f>
        <v>36</v>
      </c>
      <c r="HX174" s="1383"/>
      <c r="HY174" s="241" t="str">
        <f>VLOOKUP(HW174,_Error_Table,3,FALSE)</f>
        <v xml:space="preserve"> </v>
      </c>
      <c r="HZ174" s="241"/>
      <c r="IA174" s="1386"/>
      <c r="IB174" s="1380"/>
      <c r="IC174" s="1379"/>
      <c r="IF174" s="1380"/>
      <c r="IG174" s="1383"/>
      <c r="IH174" s="1383"/>
      <c r="II174" s="1383"/>
      <c r="IK174" s="1351"/>
      <c r="IL174" s="1351"/>
      <c r="IM174" s="1351"/>
      <c r="IN174" s="1351"/>
      <c r="IO174" s="1351"/>
      <c r="IP174" s="1351"/>
    </row>
    <row r="175" spans="1:250" s="82" customFormat="1" ht="5.0999999999999996" customHeight="1" thickBot="1">
      <c r="B175" s="763"/>
      <c r="C175" s="1038"/>
      <c r="D175" s="1038"/>
      <c r="E175" s="1490"/>
      <c r="F175" s="1490"/>
      <c r="G175" s="1490"/>
      <c r="H175" s="1490"/>
      <c r="I175" s="1490"/>
      <c r="J175" s="1490"/>
      <c r="K175" s="1490"/>
      <c r="L175" s="1490"/>
      <c r="M175" s="1490"/>
      <c r="N175" s="1490"/>
      <c r="O175" s="1490"/>
      <c r="P175" s="1490"/>
      <c r="Q175" s="1490"/>
      <c r="R175" s="1490"/>
      <c r="S175" s="1490"/>
      <c r="T175" s="1490"/>
      <c r="U175" s="1490"/>
      <c r="V175" s="1490"/>
      <c r="W175" s="1490"/>
      <c r="X175" s="1490"/>
      <c r="Y175" s="1490"/>
      <c r="Z175" s="1490"/>
      <c r="AA175" s="1490"/>
      <c r="AB175" s="1490"/>
      <c r="AC175" s="1490"/>
      <c r="AD175" s="1490"/>
      <c r="AE175" s="1490"/>
      <c r="AF175" s="1490"/>
      <c r="AG175" s="1490"/>
      <c r="AH175" s="1490"/>
      <c r="AI175" s="1490"/>
      <c r="AJ175" s="1490"/>
      <c r="AK175" s="1490"/>
      <c r="AL175" s="1490"/>
      <c r="AM175" s="1490"/>
      <c r="AN175" s="1490"/>
      <c r="AO175" s="1490"/>
      <c r="AP175" s="1490"/>
      <c r="AQ175" s="1490"/>
      <c r="AR175" s="1490"/>
      <c r="AS175" s="1490"/>
      <c r="AT175" s="1490"/>
      <c r="AU175" s="1041"/>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M175" s="749"/>
      <c r="CN175" s="749"/>
      <c r="CO175" s="1043"/>
      <c r="CP175" s="749"/>
      <c r="CS175" s="436"/>
      <c r="CT175" s="436"/>
      <c r="CU175" s="243"/>
      <c r="CV175" s="244"/>
      <c r="CW175" s="244"/>
      <c r="CX175" s="244"/>
      <c r="CY175" s="245"/>
      <c r="CZ175" s="245"/>
      <c r="DA175" s="245"/>
      <c r="DC175" s="750"/>
      <c r="DD175" s="751"/>
      <c r="DE175" s="752"/>
      <c r="DF175" s="753"/>
      <c r="DG175" s="754"/>
      <c r="DH175" s="754"/>
      <c r="DK175" s="244"/>
      <c r="DL175" s="750"/>
      <c r="DN175" s="750"/>
      <c r="DO175" s="755"/>
      <c r="DP175" s="436"/>
      <c r="DQ175" s="750"/>
      <c r="DR175" s="750"/>
      <c r="DS175" s="750"/>
      <c r="DU175" s="750"/>
      <c r="DV175" s="750"/>
      <c r="DW175" s="750"/>
      <c r="DX175" s="750"/>
      <c r="DZ175" s="756"/>
      <c r="EA175" s="756"/>
      <c r="EC175" s="754"/>
      <c r="ED175" s="754"/>
      <c r="EE175" s="244"/>
      <c r="EF175" s="754"/>
      <c r="EG175" s="754"/>
      <c r="EH175" s="243"/>
      <c r="EI175" s="243"/>
      <c r="EJ175" s="752"/>
      <c r="EK175" s="757"/>
      <c r="EL175" s="757"/>
      <c r="EM175" s="758"/>
      <c r="EN175" s="758"/>
      <c r="EO175" s="752"/>
      <c r="EP175" s="752"/>
      <c r="EQ175" s="752"/>
      <c r="ES175" s="750"/>
      <c r="EU175" s="436"/>
      <c r="EV175" s="436"/>
      <c r="EW175" s="436"/>
      <c r="EX175" s="436"/>
      <c r="EY175" s="436"/>
      <c r="EZ175" s="436"/>
      <c r="FB175" s="643"/>
      <c r="FD175" s="436"/>
      <c r="FE175" s="436"/>
      <c r="FF175" s="436"/>
      <c r="FO175" s="750"/>
      <c r="FP175" s="436"/>
      <c r="FQ175" s="436"/>
      <c r="FR175" s="750"/>
      <c r="FS175" s="750"/>
      <c r="FW175" s="749"/>
      <c r="FX175" s="749"/>
      <c r="FY175" s="749"/>
      <c r="FZ175" s="749"/>
      <c r="GA175" s="749"/>
      <c r="GB175" s="749"/>
      <c r="GC175" s="749"/>
      <c r="GD175" s="749"/>
      <c r="GE175" s="751"/>
      <c r="GF175" s="750"/>
      <c r="GG175" s="750"/>
    </row>
    <row r="176" spans="1:250" s="82" customFormat="1" ht="14.95" customHeight="1" thickTop="1" thickBot="1">
      <c r="B176" s="1421" t="str">
        <f>HY179</f>
        <v xml:space="preserve"> </v>
      </c>
      <c r="C176" s="1422">
        <f>C171+1</f>
        <v>27</v>
      </c>
      <c r="D176" s="1423"/>
      <c r="E176" s="1424" t="s">
        <v>242</v>
      </c>
      <c r="F176" s="1425"/>
      <c r="G176" s="1426"/>
      <c r="H176" s="1427"/>
      <c r="I176" s="1427"/>
      <c r="J176" s="1427"/>
      <c r="K176" s="1427"/>
      <c r="L176" s="1427"/>
      <c r="M176" s="1427"/>
      <c r="N176" s="1427"/>
      <c r="O176" s="1427"/>
      <c r="P176" s="1427"/>
      <c r="Q176" s="1427"/>
      <c r="R176" s="1427"/>
      <c r="S176" s="1428" t="s">
        <v>283</v>
      </c>
      <c r="T176" s="668" t="s">
        <v>190</v>
      </c>
      <c r="U176" s="1430" t="s">
        <v>186</v>
      </c>
      <c r="V176" s="1431"/>
      <c r="W176" s="1431"/>
      <c r="X176" s="1431"/>
      <c r="Y176" s="1431"/>
      <c r="Z176" s="1431"/>
      <c r="AA176" s="1431"/>
      <c r="AB176" s="1088" t="str">
        <f>IFERROR(IF(__Retrofit_TI_NC=0,VLOOKUP(U177,Fixtures_Existing_List,2,FALSE),ROUND(N178*R178/T178,10)),"")</f>
        <v/>
      </c>
      <c r="AC176" s="1039" t="str">
        <f>IFERROR(IF(__Retrofit_TI_NC=0,ROUND(T177*AB176*N177*R177/1000,0),IF(CN176="Interior",N178*R178*R177*N177*_C406_reduction/1000,N178*R178*R177*N177/1000)),"")</f>
        <v/>
      </c>
      <c r="AD176" s="1040" t="str">
        <f>IFERROR(IF(C$36=0,ROUND(T177*AB176/1000,2),N178*R178/1000),"")</f>
        <v/>
      </c>
      <c r="AE176" s="1044" t="s">
        <v>190</v>
      </c>
      <c r="AF176" s="1432" t="str">
        <f>IF(__Retrofit_TI_NC=2,CONCATENATE("Code min = ",DD176),IF(__Retrofit_TI_NC=1,"Emter what you think the existing control was"," Control"))</f>
        <v xml:space="preserve"> Control</v>
      </c>
      <c r="AG176" s="1432"/>
      <c r="AH176" s="1432"/>
      <c r="AI176" s="1432"/>
      <c r="AJ176" s="1433">
        <f>DF176</f>
        <v>0</v>
      </c>
      <c r="AK176" s="1435" t="str">
        <f>IFERROR(ROUND(AJ176*AC176,0),"")</f>
        <v/>
      </c>
      <c r="AL176" s="1437">
        <f>IFERROR(IF(HW176=FALSE,0,AC176-AK176),0)</f>
        <v>0</v>
      </c>
      <c r="AM176" s="1439">
        <f>AL176-AL178</f>
        <v>0</v>
      </c>
      <c r="AN176" s="1440"/>
      <c r="AO176" s="1445">
        <f>IFERROR(IF(HW176=FALSE,0,(T178*U179)+(AE178*AF179)),0)</f>
        <v>0</v>
      </c>
      <c r="AP176" s="1445"/>
      <c r="AQ176" s="1446"/>
      <c r="AR176" s="1451" t="s">
        <v>157</v>
      </c>
      <c r="AS176" s="1454">
        <f>IF(AR176="Yes",1,0)</f>
        <v>1</v>
      </c>
      <c r="AT176" s="1457" t="str">
        <f>IF(OR(DN176=4,DN176=5,DN176=6,DN176=12),CONCATENATE("$",IF(GD176=TRUE,Lookup!$B$11,Lookup!$B$2)," /lamp"),CONCATENATE(EA176,"/ kWh"))</f>
        <v>0/ kWh</v>
      </c>
      <c r="AU176" s="516"/>
      <c r="AV176" s="1478">
        <f>IFERROR(IF(GI177=TRUE,(AB179*T178)/R178,0),"NA")</f>
        <v>0</v>
      </c>
      <c r="AW176" s="1478" t="str">
        <f>IFERROR(N178*_C406_reduction,"NA")</f>
        <v>NA</v>
      </c>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M176" s="1352" t="str">
        <f>N177</f>
        <v/>
      </c>
      <c r="CN176" s="1352" t="str">
        <f>IFERROR(VLOOKUP(G177,_Lookup_Heat_Type_Table_New,3,FALSE),"")</f>
        <v/>
      </c>
      <c r="CO176" s="1415" t="str">
        <f>CN176</f>
        <v/>
      </c>
      <c r="CP176" s="1417" t="e">
        <f>VLOOKUP(G178,'Space Table'!$B$3:$L$160,9,FALSE)</f>
        <v>#N/A</v>
      </c>
      <c r="CR176" s="1386" t="s">
        <v>283</v>
      </c>
      <c r="CS176" s="1353">
        <f>IF(HW176=TRUE,T177,0)</f>
        <v>0</v>
      </c>
      <c r="CT176" s="1353" t="str">
        <f>IF(HW176=TRUE,U177,"")</f>
        <v/>
      </c>
      <c r="CU176" s="1353"/>
      <c r="CV176" s="1370">
        <f>IF(HW176=TRUE,AB176,0)</f>
        <v>0</v>
      </c>
      <c r="CW176" s="1370">
        <f>IF(HW176=TRUE,AC176,0)</f>
        <v>0</v>
      </c>
      <c r="CX176" s="1370">
        <f>IFERROR(IF(HW176=TRUE,CW176-CW178,0),0)</f>
        <v>0</v>
      </c>
      <c r="CY176" s="1485">
        <f>IF(HW176=TRUE,AD176,0)</f>
        <v>0</v>
      </c>
      <c r="CZ176" s="1485">
        <f>IF(HW176=TRUE,AD179,0)</f>
        <v>0</v>
      </c>
      <c r="DA176" s="1485">
        <f>IFERROR(CY176-CZ176,0)</f>
        <v>0</v>
      </c>
      <c r="DC176" s="1353">
        <f>IF(HW176=TRUE,AE177,0)</f>
        <v>0</v>
      </c>
      <c r="DD176" s="1460">
        <f>IF(__Retrofit_TI_NC=2,IF(CN176="Exterior",O179,FM176),FK176)</f>
        <v>0</v>
      </c>
      <c r="DE176" s="1353"/>
      <c r="DF176" s="1406">
        <f>IFERROR(IF(FL176=3,IK176,IF(FL176=4,IL176,IF(FL176=5,IM176,IF(FL176=6,IN176,IF(FL176=7,IO176,IF(FL176=8,IP176,0)))))),0)</f>
        <v>0</v>
      </c>
      <c r="DG176" s="1370">
        <f>IF(HW176=TRUE,AK176,0)</f>
        <v>0</v>
      </c>
      <c r="DH176" s="1369">
        <f>IFERROR(IF(HW176=TRUE,DG178-DG176,0),0)</f>
        <v>0</v>
      </c>
      <c r="DJ176" s="1483">
        <f>IFERROR(CW176-DG176,0)</f>
        <v>0</v>
      </c>
      <c r="DL176" s="1419">
        <f>DJ176-DK178</f>
        <v>0</v>
      </c>
      <c r="DN176" s="1403" t="str">
        <f>IFERROR(IF(AND(OR(FY176=4,FY176=5,FY176=6),OR(GB176=4,GB176=5,GB176=6)),FY176+8,VLOOKUP(CT178,Fixtures!R$31:Y$78,8,FALSE)),"")</f>
        <v/>
      </c>
      <c r="DO176" s="1404" t="str">
        <f>DN176</f>
        <v/>
      </c>
      <c r="DP176" s="1353" t="str">
        <f>IFERROR(VLOOKUP(DD178,Lookup!AU$3:AV$15,2,FALSE),"")</f>
        <v/>
      </c>
      <c r="DQ176" s="1404" t="str">
        <f>IF(DP176=7,"LLLC","")</f>
        <v/>
      </c>
      <c r="DR176" s="1403">
        <f>IFERROR(IF(OR(DN176=4,DN176=5,DN176=6,DN176=12,DN176=13,DN176=14),VLOOKUP(CT178,Fixtures!DN$27:EG$77,19,FALSE),1)*CS178,0)</f>
        <v>0</v>
      </c>
      <c r="DS176" s="1489">
        <f>IF(DP176=7,IF(DD176=DD178,0,DC178),0)</f>
        <v>0</v>
      </c>
      <c r="DU176" s="1403" t="str">
        <f>IFERROR(IF(EW176&lt;EW178,"Yes","No"),"")</f>
        <v/>
      </c>
      <c r="DV176" s="1404" t="str">
        <f>DU176</f>
        <v/>
      </c>
      <c r="DW176" s="1403">
        <f>IF(DU176="Yes",DC178,0)</f>
        <v>0</v>
      </c>
      <c r="DX176" s="1403">
        <f>DW176-DS176</f>
        <v>0</v>
      </c>
      <c r="DZ176" s="1481">
        <f>IFERROR(VLOOKUP(DN176,Lookup!AN$3:AO$16,2,FALSE),0)</f>
        <v>0</v>
      </c>
      <c r="EA176" s="1481">
        <f>IF(HW176=FALSE,0,IF(DU176="Yes",DZ176+Lookup!B$6,DZ176))</f>
        <v>0</v>
      </c>
      <c r="EC176" s="1482">
        <f>IF(HW176=TRUE,DJ176,0)</f>
        <v>0</v>
      </c>
      <c r="ED176" s="1369">
        <f>IF(HW176=TRUE,CW178,0)</f>
        <v>0</v>
      </c>
      <c r="EE176" s="1370">
        <f>IFERROR(EC176-ED176,0)</f>
        <v>0</v>
      </c>
      <c r="EF176" s="1369">
        <f>IF(HW176=TRUE,DG178,0)</f>
        <v>0</v>
      </c>
      <c r="EG176" s="1369">
        <f>IFERROR(EC176-ED176+EF176,0)</f>
        <v>0</v>
      </c>
      <c r="EH176" s="1373">
        <f>IF(HW176=TRUE,CS178*CU178,0)</f>
        <v>0</v>
      </c>
      <c r="EI176" s="1373">
        <f>IF(HW176=TRUE,DC178*DE178,0)</f>
        <v>0</v>
      </c>
      <c r="EJ176" s="1363">
        <f>AO176</f>
        <v>0</v>
      </c>
      <c r="EK176" s="1376" t="str">
        <f>IFERROR(IF(HW176=TRUE,VLOOKUP(DN176,Lookup!AN$3:AP$16,3,FALSE)*DR176,""),0)</f>
        <v/>
      </c>
      <c r="EL176" s="1376">
        <f>IF(HW176=TRUE,DW176*Lookup!AP$12,0)</f>
        <v>0</v>
      </c>
      <c r="EM176" s="1362">
        <f>IFERROR(IF(HW176=TRUE,EK176/EM$33,0),0)</f>
        <v>0</v>
      </c>
      <c r="EN176" s="1362">
        <f>IF(HW176=TRUE,EL176/EN$33,0)</f>
        <v>0</v>
      </c>
      <c r="EO176" s="1363">
        <f>IF(HW176=TRUE,EQ$33*EM176,0)</f>
        <v>0</v>
      </c>
      <c r="EP176" s="1363">
        <f>IF(HW176=TRUE,EQ$33*EN176,0)</f>
        <v>0</v>
      </c>
      <c r="EQ176" s="1363">
        <f>EO176+EP176</f>
        <v>0</v>
      </c>
      <c r="ES176" s="1403">
        <f>IF(G176="",0,1)</f>
        <v>0</v>
      </c>
      <c r="EU176" s="1410" t="e">
        <f>VLOOKUP(CP178,'Space Table'!$B$3:$L$160,8,FALSE)</f>
        <v>#N/A</v>
      </c>
      <c r="EV176" s="1410" t="e">
        <f>IF(EY176="Yes",VLOOKUP(DD176,Lookup_Control_Type_Table2,4,FALSE),VLOOKUP(DD176,Lookup_Control_Type_Table2,3,FALSE))</f>
        <v>#N/A</v>
      </c>
      <c r="EW176" s="1410" t="e">
        <f>VLOOKUP(DD176,Lookup!AU$3:AV$15,2,FALSE)</f>
        <v>#N/A</v>
      </c>
      <c r="EX176" s="1410" t="e">
        <f>VLOOKUP(EU176,Lookup_Control_Type_Table,2,FALSE)</f>
        <v>#N/A</v>
      </c>
      <c r="EY176" s="1410" t="e">
        <f>VLOOKUP(CP178,'Space Table'!$B$3:$L$160,7,FALSE)</f>
        <v>#N/A</v>
      </c>
      <c r="EZ176" s="1412" t="b">
        <f>ISNUMBER(SEARCH("TLED",U178))</f>
        <v>0</v>
      </c>
      <c r="FB176" s="1365" t="str">
        <f>CONCATENATE(CN176," - ",DD176)</f>
        <v xml:space="preserve"> - 0</v>
      </c>
      <c r="FD176" s="1353" t="str">
        <f>VLOOKUP(CT178,Fixtures!DN$27:EZ$77,38,FALSE)</f>
        <v/>
      </c>
      <c r="FE176" s="1353">
        <f>IFERROR(FD176*EE176,0)</f>
        <v>0</v>
      </c>
      <c r="FF176" s="138"/>
      <c r="FI176" s="1356" t="str">
        <f>IF(CN176="Exterior","Not Daylighted",G179)</f>
        <v>Not Daylighted</v>
      </c>
      <c r="FJ176" s="1356">
        <f>VLOOKUP(FI176,_Daylight_Table_Codes,2,FALSE)</f>
        <v>0</v>
      </c>
      <c r="FK176" s="1365">
        <f>IF(__Retrofit_TI_NC=2,VLOOKUP(G178,'Space Table'!$B$3:$L$160,11,FALSE),AF177)</f>
        <v>0</v>
      </c>
      <c r="FL176" s="1365" t="e">
        <f>VLOOKUP(FK176,_Control_Table,2,FALSE)</f>
        <v>#N/A</v>
      </c>
      <c r="FM176" s="1365" t="e">
        <f>IF(AND(FP176&gt;0,FK176="Occupancy Sensor"),"Daylight + Occupancy",IF(AND(FP176&gt;0,FL176&lt;4),"Interior Daylight Dimming",FK176))</f>
        <v>#N/A</v>
      </c>
      <c r="FO176" s="1364">
        <f>IF(CO176="Interior",VLOOKUP(CP176,Control_Savings_Interior,5,FALSE),0)</f>
        <v>0</v>
      </c>
      <c r="FP176" s="1361">
        <f>IF(CN176="Exterior",0,IF(FJ176=2,0.5,IF(OR(FJ176=1,FJ176=3),1,0)))</f>
        <v>0</v>
      </c>
      <c r="FQ176" s="1366"/>
      <c r="FR176" s="1367"/>
      <c r="FS176" s="1364"/>
      <c r="FT176" s="1367"/>
      <c r="FU176" s="1360"/>
      <c r="FW176" s="1352" t="str">
        <f>IFERROR(VLOOKUP(U177,_Exist_Fixture_Table,3,FALSE),"")</f>
        <v/>
      </c>
      <c r="FX176" s="1352" t="str">
        <f>VLOOKUP(CT176,_Exist_Fixture_Table,4,FALSE)</f>
        <v/>
      </c>
      <c r="FY176" s="1352">
        <f>IFERROR(VLOOKUP(FX176,Lookup!AM$6:AN$8,2,FALSE),0)</f>
        <v>0</v>
      </c>
      <c r="FZ176" s="1352" t="b">
        <f>IFERROR(IF(OR(GB176=4,GB176=5,GB176=6),TRUE,FALSE),"")</f>
        <v>0</v>
      </c>
      <c r="GA176" s="1352" t="str">
        <f>IFERROR(VLOOKUP(GB176,FY$6:FZ$10,2,FALSE),"")</f>
        <v/>
      </c>
      <c r="GB176" s="1352" t="str">
        <f>VLOOKUP(CT178,Fixtures!R$31:Y$78,8,FALSE)</f>
        <v/>
      </c>
      <c r="GC176" s="1352">
        <f>IF(AND(FW176=TRUE,FZ176=TRUE,OR(DN176=12,DN176=13,DN176=14)),FY176+8,0)</f>
        <v>0</v>
      </c>
      <c r="GD176" s="1352" t="b">
        <f>IF(OR(GC176=12,GC176=13,GC176=14),TRUE,FALSE)</f>
        <v>0</v>
      </c>
      <c r="GE176" s="759" t="b">
        <f>IF(ISNUMBER(SEARCH("TLED",U177)),TRUE,FALSE)</f>
        <v>0</v>
      </c>
      <c r="GF176" s="1035" t="str">
        <f>IFERROR(VLOOKUP(U177,Fixtures!BM$93:BR$142,6,FALSE),"")</f>
        <v/>
      </c>
      <c r="GG176" s="1385" t="b">
        <f>IF(OR(GE176=FALSE,GE178=FALSE),TRUE,IF(GF176-GF178&lt;5,FALSE,TRUE))</f>
        <v>1</v>
      </c>
      <c r="GK176" s="1034">
        <f>GL176</f>
        <v>0</v>
      </c>
      <c r="GL176" s="1034">
        <f>IF(G176="",0,1)</f>
        <v>0</v>
      </c>
      <c r="GM176" s="1034">
        <f>SUM(GN176:HB176)</f>
        <v>2</v>
      </c>
      <c r="GN176" s="1034">
        <f>IF(G177="",0,1)</f>
        <v>0</v>
      </c>
      <c r="GO176" s="1034">
        <f>IF(G178="",0,1)</f>
        <v>0</v>
      </c>
      <c r="GP176" s="1034">
        <f>IF(R177="",0,1)</f>
        <v>0</v>
      </c>
      <c r="GQ176" s="1034">
        <f>IF(__Retrofit_TI_NC=0,1,IF(R178="",0,1))</f>
        <v>1</v>
      </c>
      <c r="GR176" s="1034">
        <f>IF(CN176="Exterior",1,IF(G179="",0,1))</f>
        <v>1</v>
      </c>
      <c r="GS176" s="1034">
        <f>IF(__Retrofit_TI_NC&lt;&gt;0,1,IF(T177="",0,1))</f>
        <v>0</v>
      </c>
      <c r="GT176" s="1034">
        <f>IF(__Retrofit_TI_NC&lt;&gt;0,1,IF(U177="",0,1))</f>
        <v>0</v>
      </c>
      <c r="GU176" s="1034">
        <f>IF(T178="",0,1)</f>
        <v>0</v>
      </c>
      <c r="GV176" s="1034">
        <f>IF(U178="",0,1)</f>
        <v>0</v>
      </c>
      <c r="GW176" s="1034">
        <f>IF(__Retrofit_TI_NC=2,1,IF(U179="",0,1))</f>
        <v>0</v>
      </c>
      <c r="GX176" s="1034">
        <f>IF(__Retrofit_TI_NC&lt;&gt;0,1,IF(AE177="",0,1))</f>
        <v>0</v>
      </c>
      <c r="GY176" s="1034">
        <f>IF(__Retrofit_TI_NC&lt;&gt;0,1,IF(AF177="",0,1))</f>
        <v>0</v>
      </c>
      <c r="GZ176" s="1034">
        <f>IF(AE178="",0,1)</f>
        <v>0</v>
      </c>
      <c r="HA176" s="1034">
        <f>IF(AF178="",0,1)</f>
        <v>0</v>
      </c>
      <c r="HB176" s="1034">
        <f>IF(__Retrofit_TI_NC=2,1,IF(AF179="",0,1))</f>
        <v>0</v>
      </c>
      <c r="HV176" s="436"/>
      <c r="HW176" s="1384" t="b">
        <f>IF(OR(HW179=0,HW179=HT$16,HW179=HS$16,HW179=HU$16),TRUE,FALSE)</f>
        <v>0</v>
      </c>
      <c r="HX176" s="1377" t="b">
        <f>HW176</f>
        <v>0</v>
      </c>
      <c r="HY176" s="436"/>
      <c r="HZ176" s="436"/>
      <c r="IA176" s="1386" t="b">
        <f>IF(MAX(GJ179:HP179)&gt;5,FALSE,TRUE)</f>
        <v>0</v>
      </c>
      <c r="IB176" s="1380">
        <f>IF(IA176=TRUE,AC176,0)</f>
        <v>0</v>
      </c>
      <c r="IC176" s="1380">
        <f>IB176-IB178</f>
        <v>0</v>
      </c>
      <c r="IF176" s="1380" t="e">
        <f>ROUND(T177*VLOOKUP(U177,Fixtures_Existing_List,2,FALSE)*N177*R177/1000,0)</f>
        <v>#N/A</v>
      </c>
      <c r="IG176" s="1381" t="e">
        <f>IF176-IF178</f>
        <v>#N/A</v>
      </c>
      <c r="IH176" s="1384" t="e">
        <f>ROUND(IF(CN176="Interior",N178*R178*R177*N177*_C406_reduction/1000,N178*R178*R177*N177/1000),0)</f>
        <v>#N/A</v>
      </c>
      <c r="II176" s="1384" t="e">
        <f>IH176-IH178</f>
        <v>#N/A</v>
      </c>
      <c r="IK176" s="1351" t="e">
        <f>IF($CO176="interior",IL176/2,VLOOKUP($CP176,Control_Savings_Exterior,IK$30,FALSE))</f>
        <v>#N/A</v>
      </c>
      <c r="IL176" s="1351" t="e">
        <f>IF($CO176="interior",VLOOKUP($CP176,Control_Savings_Interior,IL$30,FALSE),VLOOKUP($CP176,Control_Savings_Exterior,IL$30,FALSE))</f>
        <v>#N/A</v>
      </c>
      <c r="IM176" s="1351" t="e">
        <f>IF($CO176="interior",IF(R177&gt;FO$37,(IM$28*(FO$37/R177)),IM$28)*FP176,VLOOKUP($CP176,Control_Savings_Exterior,IM$30,FALSE))</f>
        <v>#N/A</v>
      </c>
      <c r="IN176" s="1351" t="e">
        <f>IF($CO176="interior",ROUND(((1-IL176)*IM176)+IL176,2),VLOOKUP($CP176,Control_Savings_Exterior,IN$30,FALSE))</f>
        <v>#N/A</v>
      </c>
      <c r="IO176" s="1351" t="e">
        <f>IF($CO176="interior", ROUND(((1-IL176)*(IM176*(1-IP$28)))+IP176,2), VLOOKUP($CP176,Control_Savings_Exterior,IO$30,FALSE))</f>
        <v>#N/A</v>
      </c>
      <c r="IP176" s="1351">
        <f>IF($CO176="interior",ROUND(((1-IL176)*IP$28)+IL176,2),0)</f>
        <v>0</v>
      </c>
    </row>
    <row r="177" spans="1:250" s="82" customFormat="1" ht="14.95" customHeight="1" thickTop="1" thickBot="1">
      <c r="B177" s="1421"/>
      <c r="C177" s="1422"/>
      <c r="D177" s="1423"/>
      <c r="E177" s="1393" t="s">
        <v>244</v>
      </c>
      <c r="F177" s="1394"/>
      <c r="G177" s="1395"/>
      <c r="H177" s="1395"/>
      <c r="I177" s="1395"/>
      <c r="J177" s="1395"/>
      <c r="K177" s="1395"/>
      <c r="L177" s="1395"/>
      <c r="M177" s="509" t="e">
        <f>IF(__Retrofit_TI_NC&lt;&gt;0,IF(VLOOKUP(G178,'Space Table'!$B$3:$L$160,3,FALSE)&gt;0,1,0),IF(__Retrofit_TI_NC=VLOOKUP(G178,'Space Table'!$B$3:$L$160,3,FALSE),1,0))</f>
        <v>#N/A</v>
      </c>
      <c r="N177" s="509" t="str">
        <f>IFERROR(VLOOKUP(G177,_Lookup_Heat_Type_Table_New,2,FALSE),"")</f>
        <v/>
      </c>
      <c r="O177" s="509">
        <f>IF(__Retrofit_TI_NC=1,CONCATENATE("TI ",G177),IF(__Retrofit_TI_NC=2,CONCATENATE("NC ",G177),G177))</f>
        <v>0</v>
      </c>
      <c r="P177" s="1396" t="s">
        <v>352</v>
      </c>
      <c r="Q177" s="1396"/>
      <c r="R177" s="673"/>
      <c r="S177" s="1429"/>
      <c r="T177" s="675"/>
      <c r="U177" s="1496"/>
      <c r="V177" s="1497"/>
      <c r="W177" s="1497"/>
      <c r="X177" s="1497"/>
      <c r="Y177" s="1497"/>
      <c r="Z177" s="1497"/>
      <c r="AA177" s="1497"/>
      <c r="AB177" s="1497"/>
      <c r="AC177" s="1497"/>
      <c r="AD177" s="1498"/>
      <c r="AE177" s="675"/>
      <c r="AF177" s="1397"/>
      <c r="AG177" s="1397"/>
      <c r="AH177" s="1397"/>
      <c r="AI177" s="1397"/>
      <c r="AJ177" s="1434"/>
      <c r="AK177" s="1436"/>
      <c r="AL177" s="1438"/>
      <c r="AM177" s="1441"/>
      <c r="AN177" s="1442"/>
      <c r="AO177" s="1447"/>
      <c r="AP177" s="1447"/>
      <c r="AQ177" s="1448"/>
      <c r="AR177" s="1452"/>
      <c r="AS177" s="1455"/>
      <c r="AT177" s="1458"/>
      <c r="AU177" s="516"/>
      <c r="AV177" s="1479"/>
      <c r="AW177" s="1479"/>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M177" s="1352"/>
      <c r="CN177" s="1352"/>
      <c r="CO177" s="1416"/>
      <c r="CP177" s="1418"/>
      <c r="CR177" s="1386"/>
      <c r="CS177" s="1355"/>
      <c r="CT177" s="1355"/>
      <c r="CU177" s="1355"/>
      <c r="CV177" s="1372"/>
      <c r="CW177" s="1372"/>
      <c r="CX177" s="1371"/>
      <c r="CY177" s="1486"/>
      <c r="CZ177" s="1486"/>
      <c r="DA177" s="1486"/>
      <c r="DC177" s="1355"/>
      <c r="DD177" s="1461"/>
      <c r="DE177" s="1355"/>
      <c r="DF177" s="1407"/>
      <c r="DG177" s="1372"/>
      <c r="DH177" s="1369"/>
      <c r="DJ177" s="1484"/>
      <c r="DL177" s="1419"/>
      <c r="DN177" s="1403"/>
      <c r="DO177" s="1405"/>
      <c r="DP177" s="1354"/>
      <c r="DQ177" s="1405"/>
      <c r="DR177" s="1403"/>
      <c r="DS177" s="1489"/>
      <c r="DU177" s="1403"/>
      <c r="DV177" s="1405"/>
      <c r="DW177" s="1403"/>
      <c r="DX177" s="1403"/>
      <c r="DZ177" s="1481"/>
      <c r="EA177" s="1481"/>
      <c r="EC177" s="1482"/>
      <c r="ED177" s="1369"/>
      <c r="EE177" s="1371"/>
      <c r="EF177" s="1369"/>
      <c r="EG177" s="1369"/>
      <c r="EH177" s="1374"/>
      <c r="EI177" s="1374"/>
      <c r="EJ177" s="1363"/>
      <c r="EK177" s="1376"/>
      <c r="EL177" s="1376"/>
      <c r="EM177" s="1362"/>
      <c r="EN177" s="1362"/>
      <c r="EO177" s="1363"/>
      <c r="EP177" s="1363"/>
      <c r="EQ177" s="1363"/>
      <c r="ES177" s="1403"/>
      <c r="EU177" s="1411"/>
      <c r="EV177" s="1411"/>
      <c r="EW177" s="1411"/>
      <c r="EX177" s="1411"/>
      <c r="EY177" s="1411"/>
      <c r="EZ177" s="1413"/>
      <c r="FB177" s="1365"/>
      <c r="FD177" s="1354"/>
      <c r="FE177" s="1354"/>
      <c r="FF177" s="138"/>
      <c r="FI177" s="1357"/>
      <c r="FJ177" s="1357"/>
      <c r="FK177" s="1365"/>
      <c r="FL177" s="1365"/>
      <c r="FM177" s="1365"/>
      <c r="FO177" s="1361"/>
      <c r="FP177" s="1361"/>
      <c r="FQ177" s="1366"/>
      <c r="FR177" s="1368"/>
      <c r="FS177" s="1361"/>
      <c r="FT177" s="1368"/>
      <c r="FU177" s="1360"/>
      <c r="FW177" s="1352"/>
      <c r="FX177" s="1352"/>
      <c r="FY177" s="1352"/>
      <c r="FZ177" s="1352"/>
      <c r="GA177" s="1352"/>
      <c r="GB177" s="1352"/>
      <c r="GC177" s="1352"/>
      <c r="GD177" s="1352"/>
      <c r="GE177" s="759"/>
      <c r="GF177" s="1035"/>
      <c r="GG177" s="1385"/>
      <c r="GI177" s="1384" t="b">
        <f>IF(AND(GL177=TRUE,GM177=TRUE),TRUE,FALSE)</f>
        <v>0</v>
      </c>
      <c r="GJ177" s="1379" t="b">
        <f>IFERROR(IF(__Retrofit_TI_NC=2,TRUE,IF(AR176="Yes",TRUE,FALSE)),FALSE)</f>
        <v>1</v>
      </c>
      <c r="GL177" s="1379" t="b">
        <f>IFERROR(IF(GL176=1,TRUE,FALSE),FALSE)</f>
        <v>0</v>
      </c>
      <c r="GM177" s="1379" t="b">
        <f>IFERROR(IF(GM176=GM$14,TRUE,FALSE),FALSE)</f>
        <v>0</v>
      </c>
      <c r="HC177" s="1379" t="b">
        <f>IFERROR(IF(M177=1,TRUE,FALSE),FALSE)</f>
        <v>0</v>
      </c>
      <c r="HD177" s="1379" t="b">
        <f>IFERROR(IF(M178=1,TRUE,FALSE),FALSE)</f>
        <v>0</v>
      </c>
      <c r="HE177" s="1379" t="b">
        <f>IFERROR(IF(__Retrofit_TI_NC&lt;&gt;0,TRUE,IFERROR(IF(VLOOKUP(U177,Fixtures_Existing_List,2,FALSE)&lt;&gt;"",TRUE,FALSE),FALSE)),FALSE)</f>
        <v>0</v>
      </c>
      <c r="HF177" s="1379" t="b">
        <f>IFERROR(IF(VLOOKUP(U178,Fixtures_Proposed_List,2,FALSE)&lt;&gt;"",TRUE,FALSE),FALSE)</f>
        <v>0</v>
      </c>
      <c r="HG177" s="1379" t="b">
        <f>IF(AND(__Retrofit_TI_NC=2,EZ176=TRUE),FALSE,TRUE)</f>
        <v>1</v>
      </c>
      <c r="HH177" s="1379" t="b">
        <f>GG176</f>
        <v>1</v>
      </c>
      <c r="HI177" s="1384" t="b">
        <f>IF(ISERROR(MATCH(FB176,_Control_Match[],0))=TRUE,FALSE,TRUE)</f>
        <v>0</v>
      </c>
      <c r="HJ177" s="1384" t="b">
        <f>IFERROR(IF(EU176&lt;&gt;EV176,FALSE,TRUE),FALSE)</f>
        <v>0</v>
      </c>
      <c r="HK177" s="1384" t="b">
        <f>IFERROR(IF(EU178&lt;&gt;EV178,FALSE,TRUE),FALSE)</f>
        <v>0</v>
      </c>
      <c r="HL177" s="1379" t="b">
        <f>IFERROR(IF(CN176="Exterior",TRUE,IF(OR(AND(FJ176=0,EW178&gt;4),AND(FJ176=4,EW178&gt;4,EW178&lt;7)),FALSE,TRUE)),FALSE)</f>
        <v>0</v>
      </c>
      <c r="HM177" s="1379" t="b">
        <f>IFERROR(IF(AND(FL178=7,EZ176=TRUE),FALSE,TRUE),FALSE)</f>
        <v>0</v>
      </c>
      <c r="HN177" s="1379" t="b">
        <f>IFERROR(IF(AND(T178&lt;&gt;AE178,AF178="Interior LLLC")=TRUE,FALSE,TRUE),FALSE)</f>
        <v>1</v>
      </c>
      <c r="HO177" s="1379" t="b">
        <f>IFERROR(IF(OR(AF178=Lookup!AU$13,AF178=Lookup!AU$14)=TRUE,IF(AE178&gt;T178,FALSE,TRUE),TRUE),FALSE)</f>
        <v>1</v>
      </c>
      <c r="HP177" s="1379" t="b">
        <f>IFERROR(IF(__Retrofit_TI_NC=2,IF(EW178&lt;EW176,FALSE,TRUE),TRUE),FALSE)</f>
        <v>1</v>
      </c>
      <c r="HQ177" s="1379" t="b">
        <f>IF(CN176="Interior",IG$6,TRUE)</f>
        <v>1</v>
      </c>
      <c r="HR177" s="1379" t="b">
        <f>IF(CN176="Exterior",IG$8,TRUE)</f>
        <v>1</v>
      </c>
      <c r="HS177" s="1379" t="b">
        <f>IFERROR(IF(__Retrofit_TI_NC&lt;&gt;0,IF(AW176&lt;AV176,FALSE,TRUE),TRUE),FALSE)</f>
        <v>1</v>
      </c>
      <c r="HT177" s="1379" t="b">
        <f>IFERROR(IF(AND(G177="Exterior",R177&gt;4200),FALSE,TRUE),FALSE)</f>
        <v>1</v>
      </c>
      <c r="HU177" s="1379" t="b">
        <f>IFERROR(IF(AB179/AB176&lt;HU$18,FALSE,TRUE),FALSE)</f>
        <v>0</v>
      </c>
      <c r="HW177" s="1382"/>
      <c r="HX177" s="1378"/>
      <c r="HY177" s="1377" t="str">
        <f>VLOOKUP(HW179,_Error_Table,4,FALSE)</f>
        <v>White</v>
      </c>
      <c r="HZ177" s="436"/>
      <c r="IA177" s="1386"/>
      <c r="IB177" s="1380"/>
      <c r="IC177" s="1379"/>
      <c r="IF177" s="1380"/>
      <c r="IG177" s="1382"/>
      <c r="IH177" s="1382"/>
      <c r="II177" s="1382"/>
      <c r="IK177" s="1351"/>
      <c r="IL177" s="1351"/>
      <c r="IM177" s="1351"/>
      <c r="IN177" s="1351"/>
      <c r="IO177" s="1351"/>
      <c r="IP177" s="1351"/>
    </row>
    <row r="178" spans="1:250" s="82" customFormat="1" ht="14.95" customHeight="1" thickTop="1" thickBot="1">
      <c r="A178" s="82">
        <f>ROW()</f>
        <v>178</v>
      </c>
      <c r="B178" s="1421"/>
      <c r="C178" s="1422"/>
      <c r="D178" s="1423"/>
      <c r="E178" s="1393" t="s">
        <v>245</v>
      </c>
      <c r="F178" s="1394"/>
      <c r="G178" s="1398"/>
      <c r="H178" s="1399"/>
      <c r="I178" s="1399"/>
      <c r="J178" s="1399"/>
      <c r="K178" s="1399"/>
      <c r="L178" s="1400"/>
      <c r="M178" s="509">
        <f>IFERROR(IF(IF(__Retrofit_TI_NC&lt;&gt;0,IF(CN176="Interior",MATCH(G178,Lookup_Interior_New,0),MATCH(G178,Lookup_Exterior_New,0)),IF(CN176="Interior",MATCH(G178,Lookup_Interior,0),MATCH(G178,Lookup_Exterior_Areas,0)))&gt;0,1,0),0)</f>
        <v>0</v>
      </c>
      <c r="N178" s="509" t="e">
        <f>IF(__Retrofit_TI_NC=1,
VLOOKUP(G178,'Space Table'!$B$3:$L$160,4,FALSE),
IF(__Retrofit_TI_NC=2,VLOOKUP(G178,'Space Table'!$B$3:$L$160,5,FALSE),VLOOKUP(G178,'Space Table'!$B$3:$L$160,5,FALSE)))</f>
        <v>#N/A</v>
      </c>
      <c r="O178" s="509">
        <f>G178</f>
        <v>0</v>
      </c>
      <c r="P178" s="1394" t="s">
        <v>355</v>
      </c>
      <c r="Q178" s="1394"/>
      <c r="R178" s="674"/>
      <c r="S178" s="1401" t="s">
        <v>284</v>
      </c>
      <c r="T178" s="672"/>
      <c r="U178" s="1499"/>
      <c r="V178" s="1500"/>
      <c r="W178" s="1500"/>
      <c r="X178" s="1500"/>
      <c r="Y178" s="1500"/>
      <c r="Z178" s="1500"/>
      <c r="AA178" s="1500"/>
      <c r="AB178" s="1501"/>
      <c r="AC178" s="1501"/>
      <c r="AD178" s="1502"/>
      <c r="AE178" s="672"/>
      <c r="AF178" s="1474"/>
      <c r="AG178" s="1474"/>
      <c r="AH178" s="1474"/>
      <c r="AI178" s="1474"/>
      <c r="AJ178" s="1475">
        <f>DF178</f>
        <v>0</v>
      </c>
      <c r="AK178" s="1470" t="str">
        <f>IFERROR(ROUND(AJ178*AC179,0),"")</f>
        <v/>
      </c>
      <c r="AL178" s="1472">
        <f>IFERROR(IF(HW176=FALSE,0,AC179-AK178),0)</f>
        <v>0</v>
      </c>
      <c r="AM178" s="1441"/>
      <c r="AN178" s="1442"/>
      <c r="AO178" s="1447"/>
      <c r="AP178" s="1447"/>
      <c r="AQ178" s="1448"/>
      <c r="AR178" s="1452"/>
      <c r="AS178" s="1455"/>
      <c r="AT178" s="1458"/>
      <c r="AU178" s="516"/>
      <c r="AV178" s="1479"/>
      <c r="AW178" s="1479"/>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M178" s="1352"/>
      <c r="CN178" s="1352"/>
      <c r="CO178" s="1415" t="str">
        <f>CN176</f>
        <v/>
      </c>
      <c r="CP178" s="1417" t="e">
        <f>CP176</f>
        <v>#N/A</v>
      </c>
      <c r="CR178" s="1386" t="s">
        <v>284</v>
      </c>
      <c r="CS178" s="1353">
        <f>IF(HW176=TRUE,T178,0)</f>
        <v>0</v>
      </c>
      <c r="CT178" s="1353" t="str">
        <f>IF(HW176=TRUE,U178,"")</f>
        <v/>
      </c>
      <c r="CU178" s="1373">
        <f>IF(HW176=TRUE,U179,0)</f>
        <v>0</v>
      </c>
      <c r="CV178" s="1370">
        <f>IF(HW176=TRUE,AB179,0)</f>
        <v>0</v>
      </c>
      <c r="CW178" s="1370">
        <f>IF(HW176=TRUE,AC179,0)</f>
        <v>0</v>
      </c>
      <c r="CX178" s="1371"/>
      <c r="CY178" s="1486"/>
      <c r="CZ178" s="1486"/>
      <c r="DA178" s="1486"/>
      <c r="DC178" s="1353">
        <f>IF(HW176=TRUE,AE178,0)</f>
        <v>0</v>
      </c>
      <c r="DD178" s="1353" t="str">
        <f>IF(HW176=TRUE,AF178,"")</f>
        <v/>
      </c>
      <c r="DE178" s="1373">
        <f>AF179</f>
        <v>0</v>
      </c>
      <c r="DF178" s="1406">
        <f>IFERROR(IF(FL178=3,IK178,IF(FL178=4,IL178,IF(FL178=5,IM178,IF(FL178=6,IN178,IF(FL178=7,IO178,IF(FL178=8,IP178,0)))))),0)</f>
        <v>0</v>
      </c>
      <c r="DG178" s="1370">
        <f>IF(HW176=TRUE,AK178,0)</f>
        <v>0</v>
      </c>
      <c r="DH178" s="1369"/>
      <c r="DK178" s="1483">
        <f>IFERROR(CW178-DG178,0)</f>
        <v>0</v>
      </c>
      <c r="DL178" s="1420"/>
      <c r="DN178" s="1403"/>
      <c r="DO178" s="1477" t="str">
        <f>DN176</f>
        <v/>
      </c>
      <c r="DP178" s="1354"/>
      <c r="DQ178" s="1477" t="str">
        <f>IF(DP176=7,"LLLC","")</f>
        <v/>
      </c>
      <c r="DR178" s="1403"/>
      <c r="DS178" s="1489"/>
      <c r="DU178" s="1403"/>
      <c r="DV178" s="1404" t="str">
        <f>DU176</f>
        <v/>
      </c>
      <c r="DW178" s="1403"/>
      <c r="DX178" s="1403"/>
      <c r="DZ178" s="1481"/>
      <c r="EA178" s="1481"/>
      <c r="EC178" s="1482"/>
      <c r="ED178" s="1369"/>
      <c r="EE178" s="1371"/>
      <c r="EF178" s="1369"/>
      <c r="EG178" s="1369"/>
      <c r="EH178" s="1374"/>
      <c r="EI178" s="1374"/>
      <c r="EJ178" s="1363"/>
      <c r="EK178" s="1376"/>
      <c r="EL178" s="1376"/>
      <c r="EM178" s="1362"/>
      <c r="EN178" s="1362"/>
      <c r="EO178" s="1363"/>
      <c r="EP178" s="1363"/>
      <c r="EQ178" s="1363"/>
      <c r="ES178" s="1403"/>
      <c r="EU178" s="1411" t="e">
        <f>VLOOKUP(CP178,'Space Table'!$B$3:$L$160,8,FALSE)</f>
        <v>#N/A</v>
      </c>
      <c r="EV178" s="1411" t="e">
        <f>IF(EY178="Yes",VLOOKUP(AF178,Lookup_Control_Type_Table2,4,FALSE),VLOOKUP(AF178,Lookup_Control_Type_Table2,3,FALSE))</f>
        <v>#N/A</v>
      </c>
      <c r="EW178" s="1411" t="e">
        <f>VLOOKUP(AF178,Lookup!AU$3:AV$15,2,FALSE)</f>
        <v>#N/A</v>
      </c>
      <c r="EX178" s="1411" t="e">
        <f>VLOOKUP(EU176,Lookup_Control_Type_Table,2,FALSE)</f>
        <v>#N/A</v>
      </c>
      <c r="EY178" s="1411" t="e">
        <f>VLOOKUP(CP178,'Space Table'!$B$3:$L$160,7,FALSE)</f>
        <v>#N/A</v>
      </c>
      <c r="EZ178" s="1413"/>
      <c r="FB178" s="1365" t="str">
        <f>CONCATENATE(CN176," - ",AF178)</f>
        <v xml:space="preserve"> - </v>
      </c>
      <c r="FD178" s="1354"/>
      <c r="FE178" s="1354"/>
      <c r="FF178" s="138"/>
      <c r="FI178" s="1356" t="str">
        <f>IF(CN176="Exterior","Not Daylighted",G179)</f>
        <v>Not Daylighted</v>
      </c>
      <c r="FJ178" s="1356">
        <f>VLOOKUP(FI178,_Daylight_Table_Codes,2,FALSE)</f>
        <v>0</v>
      </c>
      <c r="FK178" s="1365">
        <f>AF178</f>
        <v>0</v>
      </c>
      <c r="FL178" s="1365" t="e">
        <f>VLOOKUP(FK178,_Control_Table,2,FALSE)</f>
        <v>#N/A</v>
      </c>
      <c r="FM178" s="1365" t="e">
        <f>IF(AND(FP178&gt;0,FK178="Occupancy Sensor"),"Daylight + Occupancy",IF(AND(FP178&gt;0,FL178&lt;4),"Interior Daylight Dimming",FK178))</f>
        <v>#N/A</v>
      </c>
      <c r="FO178" s="1364">
        <f>IF(CN176="Interior",VLOOKUP(CP176,Control_Savings_Interior,5,FALSE),0)</f>
        <v>0</v>
      </c>
      <c r="FP178" s="1361">
        <f>IF(CN178="Exterior",0,IF(FJ178=2,0.5,IF(OR(FJ178=1,FJ178=3),1,0)))</f>
        <v>0</v>
      </c>
      <c r="FQ178" s="1366">
        <f>IF(R177&gt;FO$37,(FO178*(FO$37/R177)),FO178)*FP178</f>
        <v>0</v>
      </c>
      <c r="FR178" s="1364">
        <f>DF178</f>
        <v>0</v>
      </c>
      <c r="FS178" s="1364">
        <f>ROUND(FR178+((1-FR178)*FQ178),2)</f>
        <v>0</v>
      </c>
      <c r="FT178" s="1364">
        <f>IF(__Retrofit_TI_NC=2,FS178,FR178)</f>
        <v>0</v>
      </c>
      <c r="FU178" s="1360">
        <f>IF(CO178="Interior",VLOOKUP(CP178,Control_Savings_Interior,4,FALSE),0)</f>
        <v>0</v>
      </c>
      <c r="FW178" s="1352"/>
      <c r="FX178" s="1352"/>
      <c r="FY178" s="1352"/>
      <c r="FZ178" s="1352"/>
      <c r="GA178" s="1352"/>
      <c r="GB178" s="1352"/>
      <c r="GC178" s="1352"/>
      <c r="GD178" s="1352"/>
      <c r="GE178" s="759" t="b">
        <f>IF(ISNUMBER(SEARCH("TLED",U178)),TRUE,FALSE)</f>
        <v>0</v>
      </c>
      <c r="GF178" s="1035" t="str">
        <f>IFERROR(VLOOKUP(U178,Fixtures!DM$93:DR$142,6,FALSE),"")</f>
        <v/>
      </c>
      <c r="GG178" s="1385"/>
      <c r="GI178" s="1383"/>
      <c r="GJ178" s="1379"/>
      <c r="GL178" s="1379"/>
      <c r="GM178" s="1379"/>
      <c r="HC178" s="1379"/>
      <c r="HD178" s="1379"/>
      <c r="HE178" s="1379"/>
      <c r="HF178" s="1379"/>
      <c r="HG178" s="1379"/>
      <c r="HH178" s="1379"/>
      <c r="HI178" s="1383"/>
      <c r="HJ178" s="1383"/>
      <c r="HK178" s="1383"/>
      <c r="HL178" s="1379"/>
      <c r="HM178" s="1379"/>
      <c r="HN178" s="1379"/>
      <c r="HO178" s="1379"/>
      <c r="HP178" s="1379"/>
      <c r="HQ178" s="1379"/>
      <c r="HR178" s="1379"/>
      <c r="HS178" s="1379"/>
      <c r="HT178" s="1379"/>
      <c r="HU178" s="1379"/>
      <c r="HW178" s="1383"/>
      <c r="HX178" s="1384" t="b">
        <f>HW176</f>
        <v>0</v>
      </c>
      <c r="HY178" s="1378"/>
      <c r="HZ178" s="436"/>
      <c r="IA178" s="1386"/>
      <c r="IB178" s="1380">
        <f>IF(IA176=TRUE,AC179,0)</f>
        <v>0</v>
      </c>
      <c r="IC178" s="1379"/>
      <c r="IF178" s="1380" t="e">
        <f>ROUND(T178*AB179*N177*R177/1000,0)</f>
        <v>#VALUE!</v>
      </c>
      <c r="IG178" s="1382"/>
      <c r="IH178" s="1384" t="e">
        <f>ROUND(T178*AB179*N177*R177/1000,0)</f>
        <v>#VALUE!</v>
      </c>
      <c r="II178" s="1382"/>
      <c r="IK178" s="1351" t="e">
        <f>IF($CO178="interior",IL178/2,VLOOKUP($CP178,Control_Savings_Exterior,IK$30,FALSE))</f>
        <v>#N/A</v>
      </c>
      <c r="IL178" s="1351" t="e">
        <f>IF($CO178="interior",VLOOKUP($CP178,Control_Savings_Interior,IL$30,FALSE),VLOOKUP($CP178,Control_Savings_Exterior,IL$30,FALSE))</f>
        <v>#N/A</v>
      </c>
      <c r="IM178" s="1351" t="e">
        <f>IF($CO178="interior",IF(R177&gt;FO$37,(IM$28*(FO$37/R177)),IM$28)*FP178,VLOOKUP($CP178,Control_Savings_Exterior,IM$30,FALSE))</f>
        <v>#N/A</v>
      </c>
      <c r="IN178" s="1351" t="e">
        <f>IF($CO178="interior",ROUND(((1-IL178)*IM178)+IL178,2),VLOOKUP($CP178,Control_Savings_Exterior,IN$30,FALSE))</f>
        <v>#N/A</v>
      </c>
      <c r="IO178" s="1351" t="e">
        <f>IF($CO178="interior", ROUND(((1-IL178)*(IM178*(1-IP$28)))+IP178,2), VLOOKUP($CP178,Control_Savings_Exterior,IO$30,FALSE))</f>
        <v>#N/A</v>
      </c>
      <c r="IP178" s="1351">
        <f>IF($CO178="interior",ROUND(((1-IL178)*IP$28)+IL178,2),0)</f>
        <v>0</v>
      </c>
    </row>
    <row r="179" spans="1:250" s="82" customFormat="1" ht="14.95" customHeight="1" thickTop="1" thickBot="1">
      <c r="B179" s="1421"/>
      <c r="C179" s="1422"/>
      <c r="D179" s="1423"/>
      <c r="E179" s="1462" t="s">
        <v>357</v>
      </c>
      <c r="F179" s="1463"/>
      <c r="G179" s="1464" t="s">
        <v>362</v>
      </c>
      <c r="H179" s="1465"/>
      <c r="I179" s="1465"/>
      <c r="J179" s="1465"/>
      <c r="K179" s="1465"/>
      <c r="L179" s="1466"/>
      <c r="M179" s="669">
        <f>IFERROR(VLOOKUP(G179,_Daylight_Table[],2,FALSE),0)</f>
        <v>0</v>
      </c>
      <c r="N179" s="670"/>
      <c r="O179" s="669" t="e">
        <f>VLOOKUP(G178,'Space Table'!$B$3:$L$160,11,FALSE)</f>
        <v>#N/A</v>
      </c>
      <c r="P179" s="1408"/>
      <c r="Q179" s="1409"/>
      <c r="R179" s="1409"/>
      <c r="S179" s="1402"/>
      <c r="T179" s="671" t="s">
        <v>281</v>
      </c>
      <c r="U179" s="1467" t="str">
        <f>IFERROR(VLOOKUP(U178,Fixtures!DM$93:DP$142,4,FALSE),"")</f>
        <v/>
      </c>
      <c r="V179" s="1468"/>
      <c r="W179" s="1468"/>
      <c r="X179" s="1468"/>
      <c r="Y179" s="1468"/>
      <c r="Z179" s="1468"/>
      <c r="AA179" s="1468"/>
      <c r="AB179" s="1046" t="str">
        <f>IFERROR(VLOOKUP(U178,Fixtures_Proposed_List,2,FALSE),"")</f>
        <v/>
      </c>
      <c r="AC179" s="1036" t="str">
        <f>IFERROR(ROUND(T178*AB179*N177*R177/1000,0),"")</f>
        <v/>
      </c>
      <c r="AD179" s="1037" t="str">
        <f>IFERROR(ROUND(T178*AB179/1000,2),"")</f>
        <v/>
      </c>
      <c r="AE179" s="1045" t="s">
        <v>281</v>
      </c>
      <c r="AF179" s="1469"/>
      <c r="AG179" s="1469"/>
      <c r="AH179" s="1469"/>
      <c r="AI179" s="1469"/>
      <c r="AJ179" s="1476"/>
      <c r="AK179" s="1471"/>
      <c r="AL179" s="1473"/>
      <c r="AM179" s="1443"/>
      <c r="AN179" s="1444"/>
      <c r="AO179" s="1449"/>
      <c r="AP179" s="1449"/>
      <c r="AQ179" s="1450"/>
      <c r="AR179" s="1453"/>
      <c r="AS179" s="1456"/>
      <c r="AT179" s="1459"/>
      <c r="AU179" s="517"/>
      <c r="AV179" s="1480"/>
      <c r="AW179" s="1480"/>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M179" s="1352"/>
      <c r="CN179" s="1352"/>
      <c r="CO179" s="1416"/>
      <c r="CP179" s="1418"/>
      <c r="CR179" s="1386"/>
      <c r="CS179" s="1355"/>
      <c r="CT179" s="1355"/>
      <c r="CU179" s="1375"/>
      <c r="CV179" s="1372"/>
      <c r="CW179" s="1372"/>
      <c r="CX179" s="1372"/>
      <c r="CY179" s="1487"/>
      <c r="CZ179" s="1487"/>
      <c r="DA179" s="1487"/>
      <c r="DC179" s="1355"/>
      <c r="DD179" s="1355"/>
      <c r="DE179" s="1375"/>
      <c r="DF179" s="1407"/>
      <c r="DG179" s="1372"/>
      <c r="DH179" s="1369"/>
      <c r="DK179" s="1484"/>
      <c r="DL179" s="1420"/>
      <c r="DN179" s="1403"/>
      <c r="DO179" s="1405"/>
      <c r="DP179" s="1355"/>
      <c r="DQ179" s="1405"/>
      <c r="DR179" s="1403"/>
      <c r="DS179" s="1489"/>
      <c r="DU179" s="1403"/>
      <c r="DV179" s="1405"/>
      <c r="DW179" s="1403"/>
      <c r="DX179" s="1403"/>
      <c r="DZ179" s="1481"/>
      <c r="EA179" s="1481"/>
      <c r="EC179" s="1482"/>
      <c r="ED179" s="1369"/>
      <c r="EE179" s="1372"/>
      <c r="EF179" s="1369"/>
      <c r="EG179" s="1369"/>
      <c r="EH179" s="1375"/>
      <c r="EI179" s="1375"/>
      <c r="EJ179" s="1363"/>
      <c r="EK179" s="1376"/>
      <c r="EL179" s="1376"/>
      <c r="EM179" s="1362"/>
      <c r="EN179" s="1362"/>
      <c r="EO179" s="1363"/>
      <c r="EP179" s="1363"/>
      <c r="EQ179" s="1363"/>
      <c r="ES179" s="1403"/>
      <c r="EU179" s="1488"/>
      <c r="EV179" s="1488"/>
      <c r="EW179" s="1488"/>
      <c r="EX179" s="1488"/>
      <c r="EY179" s="1488"/>
      <c r="EZ179" s="1414"/>
      <c r="FB179" s="1365"/>
      <c r="FD179" s="1355"/>
      <c r="FE179" s="1355"/>
      <c r="FF179" s="138"/>
      <c r="FI179" s="1357"/>
      <c r="FJ179" s="1357"/>
      <c r="FK179" s="1365"/>
      <c r="FL179" s="1365"/>
      <c r="FM179" s="1365"/>
      <c r="FO179" s="1361"/>
      <c r="FP179" s="1361"/>
      <c r="FQ179" s="1366"/>
      <c r="FR179" s="1361"/>
      <c r="FS179" s="1361"/>
      <c r="FT179" s="1361"/>
      <c r="FU179" s="1360"/>
      <c r="FW179" s="1352"/>
      <c r="FX179" s="1352"/>
      <c r="FY179" s="1352"/>
      <c r="FZ179" s="1352"/>
      <c r="GA179" s="1352"/>
      <c r="GB179" s="1352"/>
      <c r="GC179" s="1352"/>
      <c r="GD179" s="1352"/>
      <c r="GE179" s="759"/>
      <c r="GF179" s="1035"/>
      <c r="GG179" s="1385"/>
      <c r="GJ179" s="1034">
        <f>IF(GJ177=TRUE,0,GJ$16)</f>
        <v>0</v>
      </c>
      <c r="GL179" s="1034">
        <f>IF(GL177=TRUE,0,GL$16)</f>
        <v>36</v>
      </c>
      <c r="GM179" s="1034">
        <f>IF(GM177=TRUE,0,GM$16)</f>
        <v>35</v>
      </c>
      <c r="GN179" s="436"/>
      <c r="GO179" s="436"/>
      <c r="GP179" s="436"/>
      <c r="GQ179" s="436"/>
      <c r="GR179" s="436"/>
      <c r="HC179" s="1034">
        <f t="shared" ref="HC179:HH179" si="118">IF(HC177=TRUE,0,HC$16)</f>
        <v>19</v>
      </c>
      <c r="HD179" s="1034">
        <f t="shared" si="118"/>
        <v>18</v>
      </c>
      <c r="HE179" s="1034">
        <f t="shared" si="118"/>
        <v>17</v>
      </c>
      <c r="HF179" s="1034">
        <f t="shared" si="118"/>
        <v>16</v>
      </c>
      <c r="HG179" s="1034">
        <f t="shared" si="118"/>
        <v>0</v>
      </c>
      <c r="HH179" s="1034">
        <f t="shared" si="118"/>
        <v>0</v>
      </c>
      <c r="HI179" s="1034">
        <f>IF(HI177=TRUE,0,HI$16)</f>
        <v>13</v>
      </c>
      <c r="HJ179" s="1034">
        <f t="shared" ref="HJ179:HL179" si="119">IF(HJ177=TRUE,0,HJ$16)</f>
        <v>12</v>
      </c>
      <c r="HK179" s="1034">
        <f t="shared" si="119"/>
        <v>11</v>
      </c>
      <c r="HL179" s="1034">
        <f t="shared" si="119"/>
        <v>10</v>
      </c>
      <c r="HM179" s="1034">
        <f>IF(HM177=TRUE,0,HM$16)</f>
        <v>9</v>
      </c>
      <c r="HN179" s="1034">
        <f t="shared" ref="HN179:HR179" si="120">IF(HN177=TRUE,0,HN$16)</f>
        <v>0</v>
      </c>
      <c r="HO179" s="1034">
        <f t="shared" si="120"/>
        <v>0</v>
      </c>
      <c r="HP179" s="1034">
        <f t="shared" si="120"/>
        <v>0</v>
      </c>
      <c r="HQ179" s="1034">
        <f t="shared" si="120"/>
        <v>0</v>
      </c>
      <c r="HR179" s="1034">
        <f t="shared" si="120"/>
        <v>0</v>
      </c>
      <c r="HS179" s="1034">
        <f>IF(HS177=TRUE,0,HS$16)</f>
        <v>0</v>
      </c>
      <c r="HT179" s="1034">
        <f t="shared" ref="HT179" si="121">IF(HT177=TRUE,0,HT$16)</f>
        <v>0</v>
      </c>
      <c r="HU179" s="1034">
        <f>IF(HU177=TRUE,0,HU$16)</f>
        <v>1</v>
      </c>
      <c r="HW179" s="1034">
        <f>IF(GL177=FALSE,GL179,IF(GM177=FALSE,GM179,MAX(GJ179:HU179)))</f>
        <v>36</v>
      </c>
      <c r="HX179" s="1383"/>
      <c r="HY179" s="241" t="str">
        <f>VLOOKUP(HW179,_Error_Table,3,FALSE)</f>
        <v xml:space="preserve"> </v>
      </c>
      <c r="HZ179" s="241"/>
      <c r="IA179" s="1386"/>
      <c r="IB179" s="1380"/>
      <c r="IC179" s="1379"/>
      <c r="IF179" s="1380"/>
      <c r="IG179" s="1383"/>
      <c r="IH179" s="1383"/>
      <c r="II179" s="1383"/>
      <c r="IK179" s="1351"/>
      <c r="IL179" s="1351"/>
      <c r="IM179" s="1351"/>
      <c r="IN179" s="1351"/>
      <c r="IO179" s="1351"/>
      <c r="IP179" s="1351"/>
    </row>
    <row r="180" spans="1:250" s="82" customFormat="1" ht="5.0999999999999996" customHeight="1" thickBot="1">
      <c r="B180" s="763"/>
      <c r="C180" s="1038"/>
      <c r="D180" s="1038"/>
      <c r="E180" s="1490"/>
      <c r="F180" s="1490"/>
      <c r="G180" s="1490"/>
      <c r="H180" s="1490"/>
      <c r="I180" s="1490"/>
      <c r="J180" s="1490"/>
      <c r="K180" s="1490"/>
      <c r="L180" s="1490"/>
      <c r="M180" s="1490"/>
      <c r="N180" s="1490"/>
      <c r="O180" s="1490"/>
      <c r="P180" s="1490"/>
      <c r="Q180" s="1490"/>
      <c r="R180" s="1490"/>
      <c r="S180" s="1490"/>
      <c r="T180" s="1490"/>
      <c r="U180" s="1490"/>
      <c r="V180" s="1490"/>
      <c r="W180" s="1490"/>
      <c r="X180" s="1490"/>
      <c r="Y180" s="1490"/>
      <c r="Z180" s="1490"/>
      <c r="AA180" s="1490"/>
      <c r="AB180" s="1490"/>
      <c r="AC180" s="1490"/>
      <c r="AD180" s="1490"/>
      <c r="AE180" s="1490"/>
      <c r="AF180" s="1490"/>
      <c r="AG180" s="1490"/>
      <c r="AH180" s="1490"/>
      <c r="AI180" s="1490"/>
      <c r="AJ180" s="1490"/>
      <c r="AK180" s="1490"/>
      <c r="AL180" s="1490"/>
      <c r="AM180" s="1490"/>
      <c r="AN180" s="1490"/>
      <c r="AO180" s="1490"/>
      <c r="AP180" s="1490"/>
      <c r="AQ180" s="1490"/>
      <c r="AR180" s="1490"/>
      <c r="AS180" s="1490"/>
      <c r="AT180" s="1490"/>
      <c r="AU180" s="1041"/>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M180" s="749"/>
      <c r="CN180" s="749"/>
      <c r="CO180" s="1043"/>
      <c r="CP180" s="749"/>
      <c r="CS180" s="436"/>
      <c r="CT180" s="436"/>
      <c r="CU180" s="243"/>
      <c r="CV180" s="244"/>
      <c r="CW180" s="244"/>
      <c r="CX180" s="244"/>
      <c r="CY180" s="245"/>
      <c r="CZ180" s="245"/>
      <c r="DA180" s="245"/>
      <c r="DC180" s="750"/>
      <c r="DD180" s="751"/>
      <c r="DE180" s="752"/>
      <c r="DF180" s="753"/>
      <c r="DG180" s="754"/>
      <c r="DH180" s="754"/>
      <c r="DK180" s="244"/>
      <c r="DL180" s="750"/>
      <c r="DN180" s="750"/>
      <c r="DO180" s="755"/>
      <c r="DP180" s="436"/>
      <c r="DQ180" s="750"/>
      <c r="DR180" s="750"/>
      <c r="DS180" s="750"/>
      <c r="DU180" s="750"/>
      <c r="DV180" s="750"/>
      <c r="DW180" s="750"/>
      <c r="DX180" s="750"/>
      <c r="DZ180" s="756"/>
      <c r="EA180" s="756"/>
      <c r="EC180" s="754"/>
      <c r="ED180" s="754"/>
      <c r="EE180" s="244"/>
      <c r="EF180" s="754"/>
      <c r="EG180" s="754"/>
      <c r="EH180" s="243"/>
      <c r="EI180" s="243"/>
      <c r="EJ180" s="752"/>
      <c r="EK180" s="757"/>
      <c r="EL180" s="757"/>
      <c r="EM180" s="758"/>
      <c r="EN180" s="758"/>
      <c r="EO180" s="752"/>
      <c r="EP180" s="752"/>
      <c r="EQ180" s="752"/>
      <c r="ES180" s="750"/>
      <c r="EU180" s="436"/>
      <c r="EV180" s="436"/>
      <c r="EW180" s="436"/>
      <c r="EX180" s="436"/>
      <c r="EY180" s="436"/>
      <c r="EZ180" s="436"/>
      <c r="FB180" s="643"/>
      <c r="FD180" s="436"/>
      <c r="FE180" s="436"/>
      <c r="FF180" s="436"/>
      <c r="FO180" s="750"/>
      <c r="FP180" s="436"/>
      <c r="FQ180" s="436"/>
      <c r="FR180" s="750"/>
      <c r="FS180" s="750"/>
      <c r="FW180" s="749"/>
      <c r="FX180" s="749"/>
      <c r="FY180" s="749"/>
      <c r="FZ180" s="749"/>
      <c r="GA180" s="749"/>
      <c r="GB180" s="749"/>
      <c r="GC180" s="749"/>
      <c r="GD180" s="749"/>
      <c r="GE180" s="751"/>
      <c r="GF180" s="750"/>
      <c r="GG180" s="750"/>
    </row>
    <row r="181" spans="1:250" s="82" customFormat="1" ht="14.95" customHeight="1" thickTop="1" thickBot="1">
      <c r="B181" s="1421" t="str">
        <f>HY184</f>
        <v xml:space="preserve"> </v>
      </c>
      <c r="C181" s="1422">
        <f>C176+1</f>
        <v>28</v>
      </c>
      <c r="D181" s="1423"/>
      <c r="E181" s="1424" t="s">
        <v>242</v>
      </c>
      <c r="F181" s="1425"/>
      <c r="G181" s="1426"/>
      <c r="H181" s="1427"/>
      <c r="I181" s="1427"/>
      <c r="J181" s="1427"/>
      <c r="K181" s="1427"/>
      <c r="L181" s="1427"/>
      <c r="M181" s="1427"/>
      <c r="N181" s="1427"/>
      <c r="O181" s="1427"/>
      <c r="P181" s="1427"/>
      <c r="Q181" s="1427"/>
      <c r="R181" s="1427"/>
      <c r="S181" s="1428" t="s">
        <v>283</v>
      </c>
      <c r="T181" s="668" t="s">
        <v>190</v>
      </c>
      <c r="U181" s="1430" t="s">
        <v>186</v>
      </c>
      <c r="V181" s="1431"/>
      <c r="W181" s="1431"/>
      <c r="X181" s="1431"/>
      <c r="Y181" s="1431"/>
      <c r="Z181" s="1431"/>
      <c r="AA181" s="1431"/>
      <c r="AB181" s="1088" t="str">
        <f>IFERROR(IF(__Retrofit_TI_NC=0,VLOOKUP(U182,Fixtures_Existing_List,2,FALSE),ROUND(N183*R183/T183,10)),"")</f>
        <v/>
      </c>
      <c r="AC181" s="1039" t="str">
        <f>IFERROR(IF(__Retrofit_TI_NC=0,ROUND(T182*AB181*N182*R182/1000,0),IF(CN181="Interior",N183*R183*R182*N182*_C406_reduction/1000,N183*R183*R182*N182/1000)),"")</f>
        <v/>
      </c>
      <c r="AD181" s="1040" t="str">
        <f>IFERROR(IF(C$36=0,ROUND(T182*AB181/1000,2),N183*R183/1000),"")</f>
        <v/>
      </c>
      <c r="AE181" s="1044" t="s">
        <v>190</v>
      </c>
      <c r="AF181" s="1432" t="str">
        <f>IF(__Retrofit_TI_NC=2,CONCATENATE("Code min = ",DD181),IF(__Retrofit_TI_NC=1,"Emter what you think the existing control was"," Control"))</f>
        <v xml:space="preserve"> Control</v>
      </c>
      <c r="AG181" s="1432"/>
      <c r="AH181" s="1432"/>
      <c r="AI181" s="1432"/>
      <c r="AJ181" s="1433">
        <f>DF181</f>
        <v>0</v>
      </c>
      <c r="AK181" s="1435" t="str">
        <f>IFERROR(ROUND(AJ181*AC181,0),"")</f>
        <v/>
      </c>
      <c r="AL181" s="1437">
        <f>IFERROR(IF(HW181=FALSE,0,AC181-AK181),0)</f>
        <v>0</v>
      </c>
      <c r="AM181" s="1439">
        <f>AL181-AL183</f>
        <v>0</v>
      </c>
      <c r="AN181" s="1440"/>
      <c r="AO181" s="1445">
        <f>IFERROR(IF(HW181=FALSE,0,(T183*U184)+(AE183*AF184)),0)</f>
        <v>0</v>
      </c>
      <c r="AP181" s="1445"/>
      <c r="AQ181" s="1446"/>
      <c r="AR181" s="1451" t="s">
        <v>157</v>
      </c>
      <c r="AS181" s="1454">
        <f>IF(AR181="Yes",1,0)</f>
        <v>1</v>
      </c>
      <c r="AT181" s="1457" t="str">
        <f>IF(OR(DN181=4,DN181=5,DN181=6,DN181=12),CONCATENATE("$",IF(GD181=TRUE,Lookup!$B$11,Lookup!$B$2)," /lamp"),CONCATENATE(EA181,"/ kWh"))</f>
        <v>0/ kWh</v>
      </c>
      <c r="AU181" s="516"/>
      <c r="AV181" s="1478">
        <f>IFERROR(IF(GI182=TRUE,(AB184*T183)/R183,0),"NA")</f>
        <v>0</v>
      </c>
      <c r="AW181" s="1478" t="str">
        <f>IFERROR(N183*_C406_reduction,"NA")</f>
        <v>NA</v>
      </c>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M181" s="1352" t="str">
        <f>N182</f>
        <v/>
      </c>
      <c r="CN181" s="1352" t="str">
        <f>IFERROR(VLOOKUP(G182,_Lookup_Heat_Type_Table_New,3,FALSE),"")</f>
        <v/>
      </c>
      <c r="CO181" s="1415" t="str">
        <f>CN181</f>
        <v/>
      </c>
      <c r="CP181" s="1417" t="e">
        <f>VLOOKUP(G183,'Space Table'!$B$3:$L$160,9,FALSE)</f>
        <v>#N/A</v>
      </c>
      <c r="CR181" s="1386" t="s">
        <v>283</v>
      </c>
      <c r="CS181" s="1353">
        <f>IF(HW181=TRUE,T182,0)</f>
        <v>0</v>
      </c>
      <c r="CT181" s="1353" t="str">
        <f>IF(HW181=TRUE,U182,"")</f>
        <v/>
      </c>
      <c r="CU181" s="1353"/>
      <c r="CV181" s="1370">
        <f>IF(HW181=TRUE,AB181,0)</f>
        <v>0</v>
      </c>
      <c r="CW181" s="1370">
        <f>IF(HW181=TRUE,AC181,0)</f>
        <v>0</v>
      </c>
      <c r="CX181" s="1370">
        <f>IFERROR(IF(HW181=TRUE,CW181-CW183,0),0)</f>
        <v>0</v>
      </c>
      <c r="CY181" s="1485">
        <f>IF(HW181=TRUE,AD181,0)</f>
        <v>0</v>
      </c>
      <c r="CZ181" s="1485">
        <f>IF(HW181=TRUE,AD184,0)</f>
        <v>0</v>
      </c>
      <c r="DA181" s="1485">
        <f>IFERROR(CY181-CZ181,0)</f>
        <v>0</v>
      </c>
      <c r="DC181" s="1353">
        <f>IF(HW181=TRUE,AE182,0)</f>
        <v>0</v>
      </c>
      <c r="DD181" s="1460">
        <f>IF(__Retrofit_TI_NC=2,IF(CN181="Exterior",O184,FM181),FK181)</f>
        <v>0</v>
      </c>
      <c r="DE181" s="1353"/>
      <c r="DF181" s="1406">
        <f>IFERROR(IF(FL181=3,IK181,IF(FL181=4,IL181,IF(FL181=5,IM181,IF(FL181=6,IN181,IF(FL181=7,IO181,IF(FL181=8,IP181,0)))))),0)</f>
        <v>0</v>
      </c>
      <c r="DG181" s="1370">
        <f>IF(HW181=TRUE,AK181,0)</f>
        <v>0</v>
      </c>
      <c r="DH181" s="1369">
        <f>IFERROR(IF(HW181=TRUE,DG183-DG181,0),0)</f>
        <v>0</v>
      </c>
      <c r="DJ181" s="1483">
        <f>IFERROR(CW181-DG181,0)</f>
        <v>0</v>
      </c>
      <c r="DL181" s="1419">
        <f>DJ181-DK183</f>
        <v>0</v>
      </c>
      <c r="DN181" s="1403" t="str">
        <f>IFERROR(IF(AND(OR(FY181=4,FY181=5,FY181=6),OR(GB181=4,GB181=5,GB181=6)),FY181+8,VLOOKUP(CT183,Fixtures!R$31:Y$78,8,FALSE)),"")</f>
        <v/>
      </c>
      <c r="DO181" s="1404" t="str">
        <f>DN181</f>
        <v/>
      </c>
      <c r="DP181" s="1353" t="str">
        <f>IFERROR(VLOOKUP(DD183,Lookup!AU$3:AV$15,2,FALSE),"")</f>
        <v/>
      </c>
      <c r="DQ181" s="1404" t="str">
        <f>IF(DP181=7,"LLLC","")</f>
        <v/>
      </c>
      <c r="DR181" s="1403">
        <f>IFERROR(IF(OR(DN181=4,DN181=5,DN181=6,DN181=12,DN181=13,DN181=14),VLOOKUP(CT183,Fixtures!DN$27:EG$77,19,FALSE),1)*CS183,0)</f>
        <v>0</v>
      </c>
      <c r="DS181" s="1489">
        <f>IF(DP181=7,IF(DD181=DD183,0,DC183),0)</f>
        <v>0</v>
      </c>
      <c r="DU181" s="1403" t="str">
        <f>IFERROR(IF(EW181&lt;EW183,"Yes","No"),"")</f>
        <v/>
      </c>
      <c r="DV181" s="1404" t="str">
        <f>DU181</f>
        <v/>
      </c>
      <c r="DW181" s="1403">
        <f>IF(DU181="Yes",DC183,0)</f>
        <v>0</v>
      </c>
      <c r="DX181" s="1403">
        <f>DW181-DS181</f>
        <v>0</v>
      </c>
      <c r="DZ181" s="1481">
        <f>IFERROR(VLOOKUP(DN181,Lookup!AN$3:AO$16,2,FALSE),0)</f>
        <v>0</v>
      </c>
      <c r="EA181" s="1481">
        <f>IF(HW181=FALSE,0,IF(DU181="Yes",DZ181+Lookup!B$6,DZ181))</f>
        <v>0</v>
      </c>
      <c r="EC181" s="1482">
        <f>IF(HW181=TRUE,DJ181,0)</f>
        <v>0</v>
      </c>
      <c r="ED181" s="1369">
        <f>IF(HW181=TRUE,CW183,0)</f>
        <v>0</v>
      </c>
      <c r="EE181" s="1370">
        <f>IFERROR(EC181-ED181,0)</f>
        <v>0</v>
      </c>
      <c r="EF181" s="1369">
        <f>IF(HW181=TRUE,DG183,0)</f>
        <v>0</v>
      </c>
      <c r="EG181" s="1369">
        <f>IFERROR(EC181-ED181+EF181,0)</f>
        <v>0</v>
      </c>
      <c r="EH181" s="1373">
        <f>IF(HW181=TRUE,CS183*CU183,0)</f>
        <v>0</v>
      </c>
      <c r="EI181" s="1373">
        <f>IF(HW181=TRUE,DC183*DE183,0)</f>
        <v>0</v>
      </c>
      <c r="EJ181" s="1363">
        <f>AO181</f>
        <v>0</v>
      </c>
      <c r="EK181" s="1376" t="str">
        <f>IFERROR(IF(HW181=TRUE,VLOOKUP(DN181,Lookup!AN$3:AP$16,3,FALSE)*DR181,""),0)</f>
        <v/>
      </c>
      <c r="EL181" s="1376">
        <f>IF(HW181=TRUE,DW181*Lookup!AP$12,0)</f>
        <v>0</v>
      </c>
      <c r="EM181" s="1362">
        <f>IFERROR(IF(HW181=TRUE,EK181/EM$33,0),0)</f>
        <v>0</v>
      </c>
      <c r="EN181" s="1362">
        <f>IF(HW181=TRUE,EL181/EN$33,0)</f>
        <v>0</v>
      </c>
      <c r="EO181" s="1363">
        <f>IF(HW181=TRUE,EQ$33*EM181,0)</f>
        <v>0</v>
      </c>
      <c r="EP181" s="1363">
        <f>IF(HW181=TRUE,EQ$33*EN181,0)</f>
        <v>0</v>
      </c>
      <c r="EQ181" s="1363">
        <f>EO181+EP181</f>
        <v>0</v>
      </c>
      <c r="ES181" s="1403">
        <f>IF(G181="",0,1)</f>
        <v>0</v>
      </c>
      <c r="EU181" s="1410" t="e">
        <f>VLOOKUP(CP183,'Space Table'!$B$3:$L$160,8,FALSE)</f>
        <v>#N/A</v>
      </c>
      <c r="EV181" s="1410" t="e">
        <f>IF(EY181="Yes",VLOOKUP(DD181,Lookup_Control_Type_Table2,4,FALSE),VLOOKUP(DD181,Lookup_Control_Type_Table2,3,FALSE))</f>
        <v>#N/A</v>
      </c>
      <c r="EW181" s="1410" t="e">
        <f>VLOOKUP(DD181,Lookup!AU$3:AV$15,2,FALSE)</f>
        <v>#N/A</v>
      </c>
      <c r="EX181" s="1410" t="e">
        <f>VLOOKUP(EU181,Lookup_Control_Type_Table,2,FALSE)</f>
        <v>#N/A</v>
      </c>
      <c r="EY181" s="1410" t="e">
        <f>VLOOKUP(CP183,'Space Table'!$B$3:$L$160,7,FALSE)</f>
        <v>#N/A</v>
      </c>
      <c r="EZ181" s="1412" t="b">
        <f>ISNUMBER(SEARCH("TLED",U183))</f>
        <v>0</v>
      </c>
      <c r="FB181" s="1365" t="str">
        <f>CONCATENATE(CN181," - ",DD181)</f>
        <v xml:space="preserve"> - 0</v>
      </c>
      <c r="FD181" s="1353" t="str">
        <f>VLOOKUP(CT183,Fixtures!DN$27:EZ$77,38,FALSE)</f>
        <v/>
      </c>
      <c r="FE181" s="1353">
        <f>IFERROR(FD181*EE181,0)</f>
        <v>0</v>
      </c>
      <c r="FF181" s="138"/>
      <c r="FI181" s="1356" t="str">
        <f>IF(CN181="Exterior","Not Daylighted",G184)</f>
        <v>Not Daylighted</v>
      </c>
      <c r="FJ181" s="1356">
        <f>VLOOKUP(FI181,_Daylight_Table_Codes,2,FALSE)</f>
        <v>0</v>
      </c>
      <c r="FK181" s="1365">
        <f>IF(__Retrofit_TI_NC=2,VLOOKUP(G183,'Space Table'!$B$3:$L$160,11,FALSE),AF182)</f>
        <v>0</v>
      </c>
      <c r="FL181" s="1365" t="e">
        <f>VLOOKUP(FK181,_Control_Table,2,FALSE)</f>
        <v>#N/A</v>
      </c>
      <c r="FM181" s="1365" t="e">
        <f>IF(AND(FP181&gt;0,FK181="Occupancy Sensor"),"Daylight + Occupancy",IF(AND(FP181&gt;0,FL181&lt;4),"Interior Daylight Dimming",FK181))</f>
        <v>#N/A</v>
      </c>
      <c r="FO181" s="1364">
        <f>IF(CO181="Interior",VLOOKUP(CP181,Control_Savings_Interior,5,FALSE),0)</f>
        <v>0</v>
      </c>
      <c r="FP181" s="1361">
        <f>IF(CN181="Exterior",0,IF(FJ181=2,0.5,IF(OR(FJ181=1,FJ181=3),1,0)))</f>
        <v>0</v>
      </c>
      <c r="FQ181" s="1366"/>
      <c r="FR181" s="1367"/>
      <c r="FS181" s="1364"/>
      <c r="FT181" s="1367"/>
      <c r="FU181" s="1360"/>
      <c r="FW181" s="1352" t="str">
        <f>IFERROR(VLOOKUP(U182,_Exist_Fixture_Table,3,FALSE),"")</f>
        <v/>
      </c>
      <c r="FX181" s="1352" t="str">
        <f>VLOOKUP(CT181,_Exist_Fixture_Table,4,FALSE)</f>
        <v/>
      </c>
      <c r="FY181" s="1352">
        <f>IFERROR(VLOOKUP(FX181,Lookup!AM$6:AN$8,2,FALSE),0)</f>
        <v>0</v>
      </c>
      <c r="FZ181" s="1352" t="b">
        <f>IFERROR(IF(OR(GB181=4,GB181=5,GB181=6),TRUE,FALSE),"")</f>
        <v>0</v>
      </c>
      <c r="GA181" s="1352" t="str">
        <f>IFERROR(VLOOKUP(GB181,FY$6:FZ$10,2,FALSE),"")</f>
        <v/>
      </c>
      <c r="GB181" s="1352" t="str">
        <f>VLOOKUP(CT183,Fixtures!R$31:Y$78,8,FALSE)</f>
        <v/>
      </c>
      <c r="GC181" s="1352">
        <f>IF(AND(FW181=TRUE,FZ181=TRUE,OR(DN181=12,DN181=13,DN181=14)),FY181+8,0)</f>
        <v>0</v>
      </c>
      <c r="GD181" s="1352" t="b">
        <f>IF(OR(GC181=12,GC181=13,GC181=14),TRUE,FALSE)</f>
        <v>0</v>
      </c>
      <c r="GE181" s="759" t="b">
        <f>IF(ISNUMBER(SEARCH("TLED",U182)),TRUE,FALSE)</f>
        <v>0</v>
      </c>
      <c r="GF181" s="1035" t="str">
        <f>IFERROR(VLOOKUP(U182,Fixtures!BM$93:BR$142,6,FALSE),"")</f>
        <v/>
      </c>
      <c r="GG181" s="1385" t="b">
        <f>IF(OR(GE181=FALSE,GE183=FALSE),TRUE,IF(GF181-GF183&lt;5,FALSE,TRUE))</f>
        <v>1</v>
      </c>
      <c r="GK181" s="1034">
        <f>GL181</f>
        <v>0</v>
      </c>
      <c r="GL181" s="1034">
        <f>IF(G181="",0,1)</f>
        <v>0</v>
      </c>
      <c r="GM181" s="1034">
        <f>SUM(GN181:HB181)</f>
        <v>2</v>
      </c>
      <c r="GN181" s="1034">
        <f>IF(G182="",0,1)</f>
        <v>0</v>
      </c>
      <c r="GO181" s="1034">
        <f>IF(G183="",0,1)</f>
        <v>0</v>
      </c>
      <c r="GP181" s="1034">
        <f>IF(R182="",0,1)</f>
        <v>0</v>
      </c>
      <c r="GQ181" s="1034">
        <f>IF(__Retrofit_TI_NC=0,1,IF(R183="",0,1))</f>
        <v>1</v>
      </c>
      <c r="GR181" s="1034">
        <f>IF(CN181="Exterior",1,IF(G184="",0,1))</f>
        <v>1</v>
      </c>
      <c r="GS181" s="1034">
        <f>IF(__Retrofit_TI_NC&lt;&gt;0,1,IF(T182="",0,1))</f>
        <v>0</v>
      </c>
      <c r="GT181" s="1034">
        <f>IF(__Retrofit_TI_NC&lt;&gt;0,1,IF(U182="",0,1))</f>
        <v>0</v>
      </c>
      <c r="GU181" s="1034">
        <f>IF(T183="",0,1)</f>
        <v>0</v>
      </c>
      <c r="GV181" s="1034">
        <f>IF(U183="",0,1)</f>
        <v>0</v>
      </c>
      <c r="GW181" s="1034">
        <f>IF(__Retrofit_TI_NC=2,1,IF(U184="",0,1))</f>
        <v>0</v>
      </c>
      <c r="GX181" s="1034">
        <f>IF(__Retrofit_TI_NC&lt;&gt;0,1,IF(AE182="",0,1))</f>
        <v>0</v>
      </c>
      <c r="GY181" s="1034">
        <f>IF(__Retrofit_TI_NC&lt;&gt;0,1,IF(AF182="",0,1))</f>
        <v>0</v>
      </c>
      <c r="GZ181" s="1034">
        <f>IF(AE183="",0,1)</f>
        <v>0</v>
      </c>
      <c r="HA181" s="1034">
        <f>IF(AF183="",0,1)</f>
        <v>0</v>
      </c>
      <c r="HB181" s="1034">
        <f>IF(__Retrofit_TI_NC=2,1,IF(AF184="",0,1))</f>
        <v>0</v>
      </c>
      <c r="HV181" s="436"/>
      <c r="HW181" s="1384" t="b">
        <f>IF(OR(HW184=0,HW184=HT$16,HW184=HS$16,HW184=HU$16),TRUE,FALSE)</f>
        <v>0</v>
      </c>
      <c r="HX181" s="1377" t="b">
        <f>HW181</f>
        <v>0</v>
      </c>
      <c r="HY181" s="436"/>
      <c r="HZ181" s="436"/>
      <c r="IA181" s="1386" t="b">
        <f>IF(MAX(GJ184:HP184)&gt;5,FALSE,TRUE)</f>
        <v>0</v>
      </c>
      <c r="IB181" s="1380">
        <f>IF(IA181=TRUE,AC181,0)</f>
        <v>0</v>
      </c>
      <c r="IC181" s="1380">
        <f>IB181-IB183</f>
        <v>0</v>
      </c>
      <c r="IF181" s="1380" t="e">
        <f>ROUND(T182*VLOOKUP(U182,Fixtures_Existing_List,2,FALSE)*N182*R182/1000,0)</f>
        <v>#N/A</v>
      </c>
      <c r="IG181" s="1381" t="e">
        <f>IF181-IF183</f>
        <v>#N/A</v>
      </c>
      <c r="IH181" s="1384" t="e">
        <f>ROUND(IF(CN181="Interior",N183*R183*R182*N182*_C406_reduction/1000,N183*R183*R182*N182/1000),0)</f>
        <v>#N/A</v>
      </c>
      <c r="II181" s="1384" t="e">
        <f>IH181-IH183</f>
        <v>#N/A</v>
      </c>
      <c r="IK181" s="1351" t="e">
        <f>IF($CO181="interior",IL181/2,VLOOKUP($CP181,Control_Savings_Exterior,IK$30,FALSE))</f>
        <v>#N/A</v>
      </c>
      <c r="IL181" s="1351" t="e">
        <f>IF($CO181="interior",VLOOKUP($CP181,Control_Savings_Interior,IL$30,FALSE),VLOOKUP($CP181,Control_Savings_Exterior,IL$30,FALSE))</f>
        <v>#N/A</v>
      </c>
      <c r="IM181" s="1351" t="e">
        <f>IF($CO181="interior",IF(R182&gt;FO$37,(IM$28*(FO$37/R182)),IM$28)*FP181,VLOOKUP($CP181,Control_Savings_Exterior,IM$30,FALSE))</f>
        <v>#N/A</v>
      </c>
      <c r="IN181" s="1351" t="e">
        <f>IF($CO181="interior",ROUND(((1-IL181)*IM181)+IL181,2),VLOOKUP($CP181,Control_Savings_Exterior,IN$30,FALSE))</f>
        <v>#N/A</v>
      </c>
      <c r="IO181" s="1351" t="e">
        <f>IF($CO181="interior", ROUND(((1-IL181)*(IM181*(1-IP$28)))+IP181,2), VLOOKUP($CP181,Control_Savings_Exterior,IO$30,FALSE))</f>
        <v>#N/A</v>
      </c>
      <c r="IP181" s="1351">
        <f>IF($CO181="interior",ROUND(((1-IL181)*IP$28)+IL181,2),0)</f>
        <v>0</v>
      </c>
    </row>
    <row r="182" spans="1:250" s="82" customFormat="1" ht="14.95" customHeight="1" thickTop="1" thickBot="1">
      <c r="B182" s="1421"/>
      <c r="C182" s="1422"/>
      <c r="D182" s="1423"/>
      <c r="E182" s="1393" t="s">
        <v>244</v>
      </c>
      <c r="F182" s="1394"/>
      <c r="G182" s="1395"/>
      <c r="H182" s="1395"/>
      <c r="I182" s="1395"/>
      <c r="J182" s="1395"/>
      <c r="K182" s="1395"/>
      <c r="L182" s="1395"/>
      <c r="M182" s="509" t="e">
        <f>IF(__Retrofit_TI_NC&lt;&gt;0,IF(VLOOKUP(G183,'Space Table'!$B$3:$L$160,3,FALSE)&gt;0,1,0),IF(__Retrofit_TI_NC=VLOOKUP(G183,'Space Table'!$B$3:$L$160,3,FALSE),1,0))</f>
        <v>#N/A</v>
      </c>
      <c r="N182" s="509" t="str">
        <f>IFERROR(VLOOKUP(G182,_Lookup_Heat_Type_Table_New,2,FALSE),"")</f>
        <v/>
      </c>
      <c r="O182" s="509">
        <f>IF(__Retrofit_TI_NC=1,CONCATENATE("TI ",G182),IF(__Retrofit_TI_NC=2,CONCATENATE("NC ",G182),G182))</f>
        <v>0</v>
      </c>
      <c r="P182" s="1396" t="s">
        <v>352</v>
      </c>
      <c r="Q182" s="1396"/>
      <c r="R182" s="673"/>
      <c r="S182" s="1429"/>
      <c r="T182" s="675"/>
      <c r="U182" s="1496"/>
      <c r="V182" s="1497"/>
      <c r="W182" s="1497"/>
      <c r="X182" s="1497"/>
      <c r="Y182" s="1497"/>
      <c r="Z182" s="1497"/>
      <c r="AA182" s="1497"/>
      <c r="AB182" s="1497"/>
      <c r="AC182" s="1497"/>
      <c r="AD182" s="1498"/>
      <c r="AE182" s="675"/>
      <c r="AF182" s="1397"/>
      <c r="AG182" s="1397"/>
      <c r="AH182" s="1397"/>
      <c r="AI182" s="1397"/>
      <c r="AJ182" s="1434"/>
      <c r="AK182" s="1436"/>
      <c r="AL182" s="1438"/>
      <c r="AM182" s="1441"/>
      <c r="AN182" s="1442"/>
      <c r="AO182" s="1447"/>
      <c r="AP182" s="1447"/>
      <c r="AQ182" s="1448"/>
      <c r="AR182" s="1452"/>
      <c r="AS182" s="1455"/>
      <c r="AT182" s="1458"/>
      <c r="AU182" s="516"/>
      <c r="AV182" s="1479"/>
      <c r="AW182" s="1479"/>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M182" s="1352"/>
      <c r="CN182" s="1352"/>
      <c r="CO182" s="1416"/>
      <c r="CP182" s="1418"/>
      <c r="CR182" s="1386"/>
      <c r="CS182" s="1355"/>
      <c r="CT182" s="1355"/>
      <c r="CU182" s="1355"/>
      <c r="CV182" s="1372"/>
      <c r="CW182" s="1372"/>
      <c r="CX182" s="1371"/>
      <c r="CY182" s="1486"/>
      <c r="CZ182" s="1486"/>
      <c r="DA182" s="1486"/>
      <c r="DC182" s="1355"/>
      <c r="DD182" s="1461"/>
      <c r="DE182" s="1355"/>
      <c r="DF182" s="1407"/>
      <c r="DG182" s="1372"/>
      <c r="DH182" s="1369"/>
      <c r="DJ182" s="1484"/>
      <c r="DL182" s="1419"/>
      <c r="DN182" s="1403"/>
      <c r="DO182" s="1405"/>
      <c r="DP182" s="1354"/>
      <c r="DQ182" s="1405"/>
      <c r="DR182" s="1403"/>
      <c r="DS182" s="1489"/>
      <c r="DU182" s="1403"/>
      <c r="DV182" s="1405"/>
      <c r="DW182" s="1403"/>
      <c r="DX182" s="1403"/>
      <c r="DZ182" s="1481"/>
      <c r="EA182" s="1481"/>
      <c r="EC182" s="1482"/>
      <c r="ED182" s="1369"/>
      <c r="EE182" s="1371"/>
      <c r="EF182" s="1369"/>
      <c r="EG182" s="1369"/>
      <c r="EH182" s="1374"/>
      <c r="EI182" s="1374"/>
      <c r="EJ182" s="1363"/>
      <c r="EK182" s="1376"/>
      <c r="EL182" s="1376"/>
      <c r="EM182" s="1362"/>
      <c r="EN182" s="1362"/>
      <c r="EO182" s="1363"/>
      <c r="EP182" s="1363"/>
      <c r="EQ182" s="1363"/>
      <c r="ES182" s="1403"/>
      <c r="EU182" s="1411"/>
      <c r="EV182" s="1411"/>
      <c r="EW182" s="1411"/>
      <c r="EX182" s="1411"/>
      <c r="EY182" s="1411"/>
      <c r="EZ182" s="1413"/>
      <c r="FB182" s="1365"/>
      <c r="FD182" s="1354"/>
      <c r="FE182" s="1354"/>
      <c r="FF182" s="138"/>
      <c r="FI182" s="1357"/>
      <c r="FJ182" s="1357"/>
      <c r="FK182" s="1365"/>
      <c r="FL182" s="1365"/>
      <c r="FM182" s="1365"/>
      <c r="FO182" s="1361"/>
      <c r="FP182" s="1361"/>
      <c r="FQ182" s="1366"/>
      <c r="FR182" s="1368"/>
      <c r="FS182" s="1361"/>
      <c r="FT182" s="1368"/>
      <c r="FU182" s="1360"/>
      <c r="FW182" s="1352"/>
      <c r="FX182" s="1352"/>
      <c r="FY182" s="1352"/>
      <c r="FZ182" s="1352"/>
      <c r="GA182" s="1352"/>
      <c r="GB182" s="1352"/>
      <c r="GC182" s="1352"/>
      <c r="GD182" s="1352"/>
      <c r="GE182" s="759"/>
      <c r="GF182" s="1035"/>
      <c r="GG182" s="1385"/>
      <c r="GI182" s="1384" t="b">
        <f>IF(AND(GL182=TRUE,GM182=TRUE),TRUE,FALSE)</f>
        <v>0</v>
      </c>
      <c r="GJ182" s="1379" t="b">
        <f>IFERROR(IF(__Retrofit_TI_NC=2,TRUE,IF(AR181="Yes",TRUE,FALSE)),FALSE)</f>
        <v>1</v>
      </c>
      <c r="GL182" s="1379" t="b">
        <f>IFERROR(IF(GL181=1,TRUE,FALSE),FALSE)</f>
        <v>0</v>
      </c>
      <c r="GM182" s="1379" t="b">
        <f>IFERROR(IF(GM181=GM$14,TRUE,FALSE),FALSE)</f>
        <v>0</v>
      </c>
      <c r="HC182" s="1379" t="b">
        <f>IFERROR(IF(M182=1,TRUE,FALSE),FALSE)</f>
        <v>0</v>
      </c>
      <c r="HD182" s="1379" t="b">
        <f>IFERROR(IF(M183=1,TRUE,FALSE),FALSE)</f>
        <v>0</v>
      </c>
      <c r="HE182" s="1379" t="b">
        <f>IFERROR(IF(__Retrofit_TI_NC&lt;&gt;0,TRUE,IFERROR(IF(VLOOKUP(U182,Fixtures_Existing_List,2,FALSE)&lt;&gt;"",TRUE,FALSE),FALSE)),FALSE)</f>
        <v>0</v>
      </c>
      <c r="HF182" s="1379" t="b">
        <f>IFERROR(IF(VLOOKUP(U183,Fixtures_Proposed_List,2,FALSE)&lt;&gt;"",TRUE,FALSE),FALSE)</f>
        <v>0</v>
      </c>
      <c r="HG182" s="1379" t="b">
        <f>IF(AND(__Retrofit_TI_NC=2,EZ181=TRUE),FALSE,TRUE)</f>
        <v>1</v>
      </c>
      <c r="HH182" s="1379" t="b">
        <f>GG181</f>
        <v>1</v>
      </c>
      <c r="HI182" s="1384" t="b">
        <f>IF(ISERROR(MATCH(FB181,_Control_Match[],0))=TRUE,FALSE,TRUE)</f>
        <v>0</v>
      </c>
      <c r="HJ182" s="1384" t="b">
        <f>IFERROR(IF(EU181&lt;&gt;EV181,FALSE,TRUE),FALSE)</f>
        <v>0</v>
      </c>
      <c r="HK182" s="1384" t="b">
        <f>IFERROR(IF(EU183&lt;&gt;EV183,FALSE,TRUE),FALSE)</f>
        <v>0</v>
      </c>
      <c r="HL182" s="1379" t="b">
        <f>IFERROR(IF(CN181="Exterior",TRUE,IF(OR(AND(FJ181=0,EW183&gt;4),AND(FJ181=4,EW183&gt;4,EW183&lt;7)),FALSE,TRUE)),FALSE)</f>
        <v>0</v>
      </c>
      <c r="HM182" s="1379" t="b">
        <f>IFERROR(IF(AND(FL183=7,EZ181=TRUE),FALSE,TRUE),FALSE)</f>
        <v>0</v>
      </c>
      <c r="HN182" s="1379" t="b">
        <f>IFERROR(IF(AND(T183&lt;&gt;AE183,AF183="Interior LLLC")=TRUE,FALSE,TRUE),FALSE)</f>
        <v>1</v>
      </c>
      <c r="HO182" s="1379" t="b">
        <f>IFERROR(IF(OR(AF183=Lookup!AU$13,AF183=Lookup!AU$14)=TRUE,IF(AE183&gt;T183,FALSE,TRUE),TRUE),FALSE)</f>
        <v>1</v>
      </c>
      <c r="HP182" s="1379" t="b">
        <f>IFERROR(IF(__Retrofit_TI_NC=2,IF(EW183&lt;EW181,FALSE,TRUE),TRUE),FALSE)</f>
        <v>1</v>
      </c>
      <c r="HQ182" s="1379" t="b">
        <f>IF(CN181="Interior",IG$6,TRUE)</f>
        <v>1</v>
      </c>
      <c r="HR182" s="1379" t="b">
        <f>IF(CN181="Exterior",IG$8,TRUE)</f>
        <v>1</v>
      </c>
      <c r="HS182" s="1379" t="b">
        <f>IFERROR(IF(__Retrofit_TI_NC&lt;&gt;0,IF(AW181&lt;AV181,FALSE,TRUE),TRUE),FALSE)</f>
        <v>1</v>
      </c>
      <c r="HT182" s="1379" t="b">
        <f>IFERROR(IF(AND(G182="Exterior",R182&gt;4200),FALSE,TRUE),FALSE)</f>
        <v>1</v>
      </c>
      <c r="HU182" s="1379" t="b">
        <f>IFERROR(IF(AB184/AB181&lt;HU$18,FALSE,TRUE),FALSE)</f>
        <v>0</v>
      </c>
      <c r="HW182" s="1382"/>
      <c r="HX182" s="1378"/>
      <c r="HY182" s="1377" t="str">
        <f>VLOOKUP(HW184,_Error_Table,4,FALSE)</f>
        <v>White</v>
      </c>
      <c r="HZ182" s="436"/>
      <c r="IA182" s="1386"/>
      <c r="IB182" s="1380"/>
      <c r="IC182" s="1379"/>
      <c r="IF182" s="1380"/>
      <c r="IG182" s="1382"/>
      <c r="IH182" s="1382"/>
      <c r="II182" s="1382"/>
      <c r="IK182" s="1351"/>
      <c r="IL182" s="1351"/>
      <c r="IM182" s="1351"/>
      <c r="IN182" s="1351"/>
      <c r="IO182" s="1351"/>
      <c r="IP182" s="1351"/>
    </row>
    <row r="183" spans="1:250" s="82" customFormat="1" ht="14.95" customHeight="1" thickTop="1" thickBot="1">
      <c r="A183" s="82">
        <f>ROW()</f>
        <v>183</v>
      </c>
      <c r="B183" s="1421"/>
      <c r="C183" s="1422"/>
      <c r="D183" s="1423"/>
      <c r="E183" s="1393" t="s">
        <v>245</v>
      </c>
      <c r="F183" s="1394"/>
      <c r="G183" s="1398"/>
      <c r="H183" s="1399"/>
      <c r="I183" s="1399"/>
      <c r="J183" s="1399"/>
      <c r="K183" s="1399"/>
      <c r="L183" s="1400"/>
      <c r="M183" s="509">
        <f>IFERROR(IF(IF(__Retrofit_TI_NC&lt;&gt;0,IF(CN181="Interior",MATCH(G183,Lookup_Interior_New,0),MATCH(G183,Lookup_Exterior_New,0)),IF(CN181="Interior",MATCH(G183,Lookup_Interior,0),MATCH(G183,Lookup_Exterior_Areas,0)))&gt;0,1,0),0)</f>
        <v>0</v>
      </c>
      <c r="N183" s="509" t="e">
        <f>IF(__Retrofit_TI_NC=1,
VLOOKUP(G183,'Space Table'!$B$3:$L$160,4,FALSE),
IF(__Retrofit_TI_NC=2,VLOOKUP(G183,'Space Table'!$B$3:$L$160,5,FALSE),VLOOKUP(G183,'Space Table'!$B$3:$L$160,5,FALSE)))</f>
        <v>#N/A</v>
      </c>
      <c r="O183" s="509">
        <f>G183</f>
        <v>0</v>
      </c>
      <c r="P183" s="1394" t="s">
        <v>355</v>
      </c>
      <c r="Q183" s="1394"/>
      <c r="R183" s="674"/>
      <c r="S183" s="1401" t="s">
        <v>284</v>
      </c>
      <c r="T183" s="672"/>
      <c r="U183" s="1499"/>
      <c r="V183" s="1500"/>
      <c r="W183" s="1500"/>
      <c r="X183" s="1500"/>
      <c r="Y183" s="1500"/>
      <c r="Z183" s="1500"/>
      <c r="AA183" s="1500"/>
      <c r="AB183" s="1501"/>
      <c r="AC183" s="1501"/>
      <c r="AD183" s="1502"/>
      <c r="AE183" s="672"/>
      <c r="AF183" s="1474"/>
      <c r="AG183" s="1474"/>
      <c r="AH183" s="1474"/>
      <c r="AI183" s="1474"/>
      <c r="AJ183" s="1475">
        <f>DF183</f>
        <v>0</v>
      </c>
      <c r="AK183" s="1470" t="str">
        <f>IFERROR(ROUND(AJ183*AC184,0),"")</f>
        <v/>
      </c>
      <c r="AL183" s="1472">
        <f>IFERROR(IF(HW181=FALSE,0,AC184-AK183),0)</f>
        <v>0</v>
      </c>
      <c r="AM183" s="1441"/>
      <c r="AN183" s="1442"/>
      <c r="AO183" s="1447"/>
      <c r="AP183" s="1447"/>
      <c r="AQ183" s="1448"/>
      <c r="AR183" s="1452"/>
      <c r="AS183" s="1455"/>
      <c r="AT183" s="1458"/>
      <c r="AU183" s="516"/>
      <c r="AV183" s="1479"/>
      <c r="AW183" s="1479"/>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M183" s="1352"/>
      <c r="CN183" s="1352"/>
      <c r="CO183" s="1415" t="str">
        <f>CN181</f>
        <v/>
      </c>
      <c r="CP183" s="1417" t="e">
        <f>CP181</f>
        <v>#N/A</v>
      </c>
      <c r="CR183" s="1386" t="s">
        <v>284</v>
      </c>
      <c r="CS183" s="1353">
        <f>IF(HW181=TRUE,T183,0)</f>
        <v>0</v>
      </c>
      <c r="CT183" s="1353" t="str">
        <f>IF(HW181=TRUE,U183,"")</f>
        <v/>
      </c>
      <c r="CU183" s="1373">
        <f>IF(HW181=TRUE,U184,0)</f>
        <v>0</v>
      </c>
      <c r="CV183" s="1370">
        <f>IF(HW181=TRUE,AB184,0)</f>
        <v>0</v>
      </c>
      <c r="CW183" s="1370">
        <f>IF(HW181=TRUE,AC184,0)</f>
        <v>0</v>
      </c>
      <c r="CX183" s="1371"/>
      <c r="CY183" s="1486"/>
      <c r="CZ183" s="1486"/>
      <c r="DA183" s="1486"/>
      <c r="DC183" s="1353">
        <f>IF(HW181=TRUE,AE183,0)</f>
        <v>0</v>
      </c>
      <c r="DD183" s="1353" t="str">
        <f>IF(HW181=TRUE,AF183,"")</f>
        <v/>
      </c>
      <c r="DE183" s="1373">
        <f>AF184</f>
        <v>0</v>
      </c>
      <c r="DF183" s="1406">
        <f>IFERROR(IF(FL183=3,IK183,IF(FL183=4,IL183,IF(FL183=5,IM183,IF(FL183=6,IN183,IF(FL183=7,IO183,IF(FL183=8,IP183,0)))))),0)</f>
        <v>0</v>
      </c>
      <c r="DG183" s="1370">
        <f>IF(HW181=TRUE,AK183,0)</f>
        <v>0</v>
      </c>
      <c r="DH183" s="1369"/>
      <c r="DK183" s="1483">
        <f>IFERROR(CW183-DG183,0)</f>
        <v>0</v>
      </c>
      <c r="DL183" s="1420"/>
      <c r="DN183" s="1403"/>
      <c r="DO183" s="1477" t="str">
        <f>DN181</f>
        <v/>
      </c>
      <c r="DP183" s="1354"/>
      <c r="DQ183" s="1477" t="str">
        <f>IF(DP181=7,"LLLC","")</f>
        <v/>
      </c>
      <c r="DR183" s="1403"/>
      <c r="DS183" s="1489"/>
      <c r="DU183" s="1403"/>
      <c r="DV183" s="1404" t="str">
        <f>DU181</f>
        <v/>
      </c>
      <c r="DW183" s="1403"/>
      <c r="DX183" s="1403"/>
      <c r="DZ183" s="1481"/>
      <c r="EA183" s="1481"/>
      <c r="EC183" s="1482"/>
      <c r="ED183" s="1369"/>
      <c r="EE183" s="1371"/>
      <c r="EF183" s="1369"/>
      <c r="EG183" s="1369"/>
      <c r="EH183" s="1374"/>
      <c r="EI183" s="1374"/>
      <c r="EJ183" s="1363"/>
      <c r="EK183" s="1376"/>
      <c r="EL183" s="1376"/>
      <c r="EM183" s="1362"/>
      <c r="EN183" s="1362"/>
      <c r="EO183" s="1363"/>
      <c r="EP183" s="1363"/>
      <c r="EQ183" s="1363"/>
      <c r="ES183" s="1403"/>
      <c r="EU183" s="1411" t="e">
        <f>VLOOKUP(CP183,'Space Table'!$B$3:$L$160,8,FALSE)</f>
        <v>#N/A</v>
      </c>
      <c r="EV183" s="1411" t="e">
        <f>IF(EY183="Yes",VLOOKUP(AF183,Lookup_Control_Type_Table2,4,FALSE),VLOOKUP(AF183,Lookup_Control_Type_Table2,3,FALSE))</f>
        <v>#N/A</v>
      </c>
      <c r="EW183" s="1411" t="e">
        <f>VLOOKUP(AF183,Lookup!AU$3:AV$15,2,FALSE)</f>
        <v>#N/A</v>
      </c>
      <c r="EX183" s="1411" t="e">
        <f>VLOOKUP(EU181,Lookup_Control_Type_Table,2,FALSE)</f>
        <v>#N/A</v>
      </c>
      <c r="EY183" s="1411" t="e">
        <f>VLOOKUP(CP183,'Space Table'!$B$3:$L$160,7,FALSE)</f>
        <v>#N/A</v>
      </c>
      <c r="EZ183" s="1413"/>
      <c r="FB183" s="1365" t="str">
        <f>CONCATENATE(CN181," - ",AF183)</f>
        <v xml:space="preserve"> - </v>
      </c>
      <c r="FD183" s="1354"/>
      <c r="FE183" s="1354"/>
      <c r="FF183" s="138"/>
      <c r="FI183" s="1356" t="str">
        <f>IF(CN181="Exterior","Not Daylighted",G184)</f>
        <v>Not Daylighted</v>
      </c>
      <c r="FJ183" s="1356">
        <f>VLOOKUP(FI183,_Daylight_Table_Codes,2,FALSE)</f>
        <v>0</v>
      </c>
      <c r="FK183" s="1365">
        <f>AF183</f>
        <v>0</v>
      </c>
      <c r="FL183" s="1365" t="e">
        <f>VLOOKUP(FK183,_Control_Table,2,FALSE)</f>
        <v>#N/A</v>
      </c>
      <c r="FM183" s="1365" t="e">
        <f>IF(AND(FP183&gt;0,FK183="Occupancy Sensor"),"Daylight + Occupancy",IF(AND(FP183&gt;0,FL183&lt;4),"Interior Daylight Dimming",FK183))</f>
        <v>#N/A</v>
      </c>
      <c r="FO183" s="1364">
        <f>IF(CN181="Interior",VLOOKUP(CP181,Control_Savings_Interior,5,FALSE),0)</f>
        <v>0</v>
      </c>
      <c r="FP183" s="1361">
        <f>IF(CN183="Exterior",0,IF(FJ183=2,0.5,IF(OR(FJ183=1,FJ183=3),1,0)))</f>
        <v>0</v>
      </c>
      <c r="FQ183" s="1366">
        <f>IF(R182&gt;FO$37,(FO183*(FO$37/R182)),FO183)*FP183</f>
        <v>0</v>
      </c>
      <c r="FR183" s="1364">
        <f>DF183</f>
        <v>0</v>
      </c>
      <c r="FS183" s="1364">
        <f>ROUND(FR183+((1-FR183)*FQ183),2)</f>
        <v>0</v>
      </c>
      <c r="FT183" s="1364">
        <f>IF(__Retrofit_TI_NC=2,FS183,FR183)</f>
        <v>0</v>
      </c>
      <c r="FU183" s="1360">
        <f>IF(CO183="Interior",VLOOKUP(CP183,Control_Savings_Interior,4,FALSE),0)</f>
        <v>0</v>
      </c>
      <c r="FW183" s="1352"/>
      <c r="FX183" s="1352"/>
      <c r="FY183" s="1352"/>
      <c r="FZ183" s="1352"/>
      <c r="GA183" s="1352"/>
      <c r="GB183" s="1352"/>
      <c r="GC183" s="1352"/>
      <c r="GD183" s="1352"/>
      <c r="GE183" s="759" t="b">
        <f>IF(ISNUMBER(SEARCH("TLED",U183)),TRUE,FALSE)</f>
        <v>0</v>
      </c>
      <c r="GF183" s="1035" t="str">
        <f>IFERROR(VLOOKUP(U183,Fixtures!DM$93:DR$142,6,FALSE),"")</f>
        <v/>
      </c>
      <c r="GG183" s="1385"/>
      <c r="GI183" s="1383"/>
      <c r="GJ183" s="1379"/>
      <c r="GL183" s="1379"/>
      <c r="GM183" s="1379"/>
      <c r="HC183" s="1379"/>
      <c r="HD183" s="1379"/>
      <c r="HE183" s="1379"/>
      <c r="HF183" s="1379"/>
      <c r="HG183" s="1379"/>
      <c r="HH183" s="1379"/>
      <c r="HI183" s="1383"/>
      <c r="HJ183" s="1383"/>
      <c r="HK183" s="1383"/>
      <c r="HL183" s="1379"/>
      <c r="HM183" s="1379"/>
      <c r="HN183" s="1379"/>
      <c r="HO183" s="1379"/>
      <c r="HP183" s="1379"/>
      <c r="HQ183" s="1379"/>
      <c r="HR183" s="1379"/>
      <c r="HS183" s="1379"/>
      <c r="HT183" s="1379"/>
      <c r="HU183" s="1379"/>
      <c r="HW183" s="1383"/>
      <c r="HX183" s="1384" t="b">
        <f>HW181</f>
        <v>0</v>
      </c>
      <c r="HY183" s="1378"/>
      <c r="HZ183" s="436"/>
      <c r="IA183" s="1386"/>
      <c r="IB183" s="1380">
        <f>IF(IA181=TRUE,AC184,0)</f>
        <v>0</v>
      </c>
      <c r="IC183" s="1379"/>
      <c r="IF183" s="1380" t="e">
        <f>ROUND(T183*AB184*N182*R182/1000,0)</f>
        <v>#VALUE!</v>
      </c>
      <c r="IG183" s="1382"/>
      <c r="IH183" s="1384" t="e">
        <f>ROUND(T183*AB184*N182*R182/1000,0)</f>
        <v>#VALUE!</v>
      </c>
      <c r="II183" s="1382"/>
      <c r="IK183" s="1351" t="e">
        <f>IF($CO183="interior",IL183/2,VLOOKUP($CP183,Control_Savings_Exterior,IK$30,FALSE))</f>
        <v>#N/A</v>
      </c>
      <c r="IL183" s="1351" t="e">
        <f>IF($CO183="interior",VLOOKUP($CP183,Control_Savings_Interior,IL$30,FALSE),VLOOKUP($CP183,Control_Savings_Exterior,IL$30,FALSE))</f>
        <v>#N/A</v>
      </c>
      <c r="IM183" s="1351" t="e">
        <f>IF($CO183="interior",IF(R182&gt;FO$37,(IM$28*(FO$37/R182)),IM$28)*FP183,VLOOKUP($CP183,Control_Savings_Exterior,IM$30,FALSE))</f>
        <v>#N/A</v>
      </c>
      <c r="IN183" s="1351" t="e">
        <f>IF($CO183="interior",ROUND(((1-IL183)*IM183)+IL183,2),VLOOKUP($CP183,Control_Savings_Exterior,IN$30,FALSE))</f>
        <v>#N/A</v>
      </c>
      <c r="IO183" s="1351" t="e">
        <f>IF($CO183="interior", ROUND(((1-IL183)*(IM183*(1-IP$28)))+IP183,2), VLOOKUP($CP183,Control_Savings_Exterior,IO$30,FALSE))</f>
        <v>#N/A</v>
      </c>
      <c r="IP183" s="1351">
        <f>IF($CO183="interior",ROUND(((1-IL183)*IP$28)+IL183,2),0)</f>
        <v>0</v>
      </c>
    </row>
    <row r="184" spans="1:250" s="82" customFormat="1" ht="14.95" customHeight="1" thickTop="1" thickBot="1">
      <c r="B184" s="1421"/>
      <c r="C184" s="1422"/>
      <c r="D184" s="1423"/>
      <c r="E184" s="1462" t="s">
        <v>357</v>
      </c>
      <c r="F184" s="1463"/>
      <c r="G184" s="1464" t="s">
        <v>362</v>
      </c>
      <c r="H184" s="1465"/>
      <c r="I184" s="1465"/>
      <c r="J184" s="1465"/>
      <c r="K184" s="1465"/>
      <c r="L184" s="1466"/>
      <c r="M184" s="669">
        <f>IFERROR(VLOOKUP(G184,_Daylight_Table[],2,FALSE),0)</f>
        <v>0</v>
      </c>
      <c r="N184" s="670"/>
      <c r="O184" s="669" t="e">
        <f>VLOOKUP(G183,'Space Table'!$B$3:$L$160,11,FALSE)</f>
        <v>#N/A</v>
      </c>
      <c r="P184" s="1408"/>
      <c r="Q184" s="1409"/>
      <c r="R184" s="1409"/>
      <c r="S184" s="1402"/>
      <c r="T184" s="671" t="s">
        <v>281</v>
      </c>
      <c r="U184" s="1467" t="str">
        <f>IFERROR(VLOOKUP(U183,Fixtures!DM$93:DP$142,4,FALSE),"")</f>
        <v/>
      </c>
      <c r="V184" s="1468"/>
      <c r="W184" s="1468"/>
      <c r="X184" s="1468"/>
      <c r="Y184" s="1468"/>
      <c r="Z184" s="1468"/>
      <c r="AA184" s="1468"/>
      <c r="AB184" s="1046" t="str">
        <f>IFERROR(VLOOKUP(U183,Fixtures_Proposed_List,2,FALSE),"")</f>
        <v/>
      </c>
      <c r="AC184" s="1036" t="str">
        <f>IFERROR(ROUND(T183*AB184*N182*R182/1000,0),"")</f>
        <v/>
      </c>
      <c r="AD184" s="1037" t="str">
        <f>IFERROR(ROUND(T183*AB184/1000,2),"")</f>
        <v/>
      </c>
      <c r="AE184" s="1045" t="s">
        <v>281</v>
      </c>
      <c r="AF184" s="1469"/>
      <c r="AG184" s="1469"/>
      <c r="AH184" s="1469"/>
      <c r="AI184" s="1469"/>
      <c r="AJ184" s="1476"/>
      <c r="AK184" s="1471"/>
      <c r="AL184" s="1473"/>
      <c r="AM184" s="1443"/>
      <c r="AN184" s="1444"/>
      <c r="AO184" s="1449"/>
      <c r="AP184" s="1449"/>
      <c r="AQ184" s="1450"/>
      <c r="AR184" s="1453"/>
      <c r="AS184" s="1456"/>
      <c r="AT184" s="1459"/>
      <c r="AU184" s="517"/>
      <c r="AV184" s="1480"/>
      <c r="AW184" s="1480"/>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M184" s="1352"/>
      <c r="CN184" s="1352"/>
      <c r="CO184" s="1416"/>
      <c r="CP184" s="1418"/>
      <c r="CR184" s="1386"/>
      <c r="CS184" s="1355"/>
      <c r="CT184" s="1355"/>
      <c r="CU184" s="1375"/>
      <c r="CV184" s="1372"/>
      <c r="CW184" s="1372"/>
      <c r="CX184" s="1372"/>
      <c r="CY184" s="1487"/>
      <c r="CZ184" s="1487"/>
      <c r="DA184" s="1487"/>
      <c r="DC184" s="1355"/>
      <c r="DD184" s="1355"/>
      <c r="DE184" s="1375"/>
      <c r="DF184" s="1407"/>
      <c r="DG184" s="1372"/>
      <c r="DH184" s="1369"/>
      <c r="DK184" s="1484"/>
      <c r="DL184" s="1420"/>
      <c r="DN184" s="1403"/>
      <c r="DO184" s="1405"/>
      <c r="DP184" s="1355"/>
      <c r="DQ184" s="1405"/>
      <c r="DR184" s="1403"/>
      <c r="DS184" s="1489"/>
      <c r="DU184" s="1403"/>
      <c r="DV184" s="1405"/>
      <c r="DW184" s="1403"/>
      <c r="DX184" s="1403"/>
      <c r="DZ184" s="1481"/>
      <c r="EA184" s="1481"/>
      <c r="EC184" s="1482"/>
      <c r="ED184" s="1369"/>
      <c r="EE184" s="1372"/>
      <c r="EF184" s="1369"/>
      <c r="EG184" s="1369"/>
      <c r="EH184" s="1375"/>
      <c r="EI184" s="1375"/>
      <c r="EJ184" s="1363"/>
      <c r="EK184" s="1376"/>
      <c r="EL184" s="1376"/>
      <c r="EM184" s="1362"/>
      <c r="EN184" s="1362"/>
      <c r="EO184" s="1363"/>
      <c r="EP184" s="1363"/>
      <c r="EQ184" s="1363"/>
      <c r="ES184" s="1403"/>
      <c r="EU184" s="1488"/>
      <c r="EV184" s="1488"/>
      <c r="EW184" s="1488"/>
      <c r="EX184" s="1488"/>
      <c r="EY184" s="1488"/>
      <c r="EZ184" s="1414"/>
      <c r="FB184" s="1365"/>
      <c r="FD184" s="1355"/>
      <c r="FE184" s="1355"/>
      <c r="FF184" s="138"/>
      <c r="FI184" s="1357"/>
      <c r="FJ184" s="1357"/>
      <c r="FK184" s="1365"/>
      <c r="FL184" s="1365"/>
      <c r="FM184" s="1365"/>
      <c r="FO184" s="1361"/>
      <c r="FP184" s="1361"/>
      <c r="FQ184" s="1366"/>
      <c r="FR184" s="1361"/>
      <c r="FS184" s="1361"/>
      <c r="FT184" s="1361"/>
      <c r="FU184" s="1360"/>
      <c r="FW184" s="1352"/>
      <c r="FX184" s="1352"/>
      <c r="FY184" s="1352"/>
      <c r="FZ184" s="1352"/>
      <c r="GA184" s="1352"/>
      <c r="GB184" s="1352"/>
      <c r="GC184" s="1352"/>
      <c r="GD184" s="1352"/>
      <c r="GE184" s="759"/>
      <c r="GF184" s="1035"/>
      <c r="GG184" s="1385"/>
      <c r="GJ184" s="1034">
        <f>IF(GJ182=TRUE,0,GJ$16)</f>
        <v>0</v>
      </c>
      <c r="GL184" s="1034">
        <f>IF(GL182=TRUE,0,GL$16)</f>
        <v>36</v>
      </c>
      <c r="GM184" s="1034">
        <f>IF(GM182=TRUE,0,GM$16)</f>
        <v>35</v>
      </c>
      <c r="GN184" s="436"/>
      <c r="GO184" s="436"/>
      <c r="GP184" s="436"/>
      <c r="GQ184" s="436"/>
      <c r="GR184" s="436"/>
      <c r="HC184" s="1034">
        <f t="shared" ref="HC184:HH184" si="122">IF(HC182=TRUE,0,HC$16)</f>
        <v>19</v>
      </c>
      <c r="HD184" s="1034">
        <f t="shared" si="122"/>
        <v>18</v>
      </c>
      <c r="HE184" s="1034">
        <f t="shared" si="122"/>
        <v>17</v>
      </c>
      <c r="HF184" s="1034">
        <f t="shared" si="122"/>
        <v>16</v>
      </c>
      <c r="HG184" s="1034">
        <f t="shared" si="122"/>
        <v>0</v>
      </c>
      <c r="HH184" s="1034">
        <f t="shared" si="122"/>
        <v>0</v>
      </c>
      <c r="HI184" s="1034">
        <f>IF(HI182=TRUE,0,HI$16)</f>
        <v>13</v>
      </c>
      <c r="HJ184" s="1034">
        <f t="shared" ref="HJ184:HL184" si="123">IF(HJ182=TRUE,0,HJ$16)</f>
        <v>12</v>
      </c>
      <c r="HK184" s="1034">
        <f t="shared" si="123"/>
        <v>11</v>
      </c>
      <c r="HL184" s="1034">
        <f t="shared" si="123"/>
        <v>10</v>
      </c>
      <c r="HM184" s="1034">
        <f>IF(HM182=TRUE,0,HM$16)</f>
        <v>9</v>
      </c>
      <c r="HN184" s="1034">
        <f t="shared" ref="HN184:HR184" si="124">IF(HN182=TRUE,0,HN$16)</f>
        <v>0</v>
      </c>
      <c r="HO184" s="1034">
        <f t="shared" si="124"/>
        <v>0</v>
      </c>
      <c r="HP184" s="1034">
        <f t="shared" si="124"/>
        <v>0</v>
      </c>
      <c r="HQ184" s="1034">
        <f t="shared" si="124"/>
        <v>0</v>
      </c>
      <c r="HR184" s="1034">
        <f t="shared" si="124"/>
        <v>0</v>
      </c>
      <c r="HS184" s="1034">
        <f>IF(HS182=TRUE,0,HS$16)</f>
        <v>0</v>
      </c>
      <c r="HT184" s="1034">
        <f t="shared" ref="HT184" si="125">IF(HT182=TRUE,0,HT$16)</f>
        <v>0</v>
      </c>
      <c r="HU184" s="1034">
        <f>IF(HU182=TRUE,0,HU$16)</f>
        <v>1</v>
      </c>
      <c r="HW184" s="1034">
        <f>IF(GL182=FALSE,GL184,IF(GM182=FALSE,GM184,MAX(GJ184:HU184)))</f>
        <v>36</v>
      </c>
      <c r="HX184" s="1383"/>
      <c r="HY184" s="241" t="str">
        <f>VLOOKUP(HW184,_Error_Table,3,FALSE)</f>
        <v xml:space="preserve"> </v>
      </c>
      <c r="HZ184" s="241"/>
      <c r="IA184" s="1386"/>
      <c r="IB184" s="1380"/>
      <c r="IC184" s="1379"/>
      <c r="IF184" s="1380"/>
      <c r="IG184" s="1383"/>
      <c r="IH184" s="1383"/>
      <c r="II184" s="1383"/>
      <c r="IK184" s="1351"/>
      <c r="IL184" s="1351"/>
      <c r="IM184" s="1351"/>
      <c r="IN184" s="1351"/>
      <c r="IO184" s="1351"/>
      <c r="IP184" s="1351"/>
    </row>
    <row r="185" spans="1:250" s="82" customFormat="1" ht="5.0999999999999996" customHeight="1" thickBot="1">
      <c r="B185" s="763"/>
      <c r="C185" s="1038"/>
      <c r="D185" s="1038"/>
      <c r="E185" s="1490"/>
      <c r="F185" s="1490"/>
      <c r="G185" s="1490"/>
      <c r="H185" s="1490"/>
      <c r="I185" s="1490"/>
      <c r="J185" s="1490"/>
      <c r="K185" s="1490"/>
      <c r="L185" s="1490"/>
      <c r="M185" s="1490"/>
      <c r="N185" s="1490"/>
      <c r="O185" s="1490"/>
      <c r="P185" s="1490"/>
      <c r="Q185" s="1490"/>
      <c r="R185" s="1490"/>
      <c r="S185" s="1490"/>
      <c r="T185" s="1490"/>
      <c r="U185" s="1490"/>
      <c r="V185" s="1490"/>
      <c r="W185" s="1490"/>
      <c r="X185" s="1490"/>
      <c r="Y185" s="1490"/>
      <c r="Z185" s="1490"/>
      <c r="AA185" s="1490"/>
      <c r="AB185" s="1490"/>
      <c r="AC185" s="1490"/>
      <c r="AD185" s="1490"/>
      <c r="AE185" s="1490"/>
      <c r="AF185" s="1490"/>
      <c r="AG185" s="1490"/>
      <c r="AH185" s="1490"/>
      <c r="AI185" s="1490"/>
      <c r="AJ185" s="1490"/>
      <c r="AK185" s="1490"/>
      <c r="AL185" s="1490"/>
      <c r="AM185" s="1490"/>
      <c r="AN185" s="1490"/>
      <c r="AO185" s="1490"/>
      <c r="AP185" s="1490"/>
      <c r="AQ185" s="1490"/>
      <c r="AR185" s="1490"/>
      <c r="AS185" s="1490"/>
      <c r="AT185" s="1490"/>
      <c r="AU185" s="1041"/>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M185" s="749"/>
      <c r="CN185" s="749"/>
      <c r="CO185" s="1043"/>
      <c r="CP185" s="749"/>
      <c r="CS185" s="436"/>
      <c r="CT185" s="436"/>
      <c r="CU185" s="243"/>
      <c r="CV185" s="244"/>
      <c r="CW185" s="244"/>
      <c r="CX185" s="244"/>
      <c r="CY185" s="245"/>
      <c r="CZ185" s="245"/>
      <c r="DA185" s="245"/>
      <c r="DC185" s="750"/>
      <c r="DD185" s="751"/>
      <c r="DE185" s="752"/>
      <c r="DF185" s="753"/>
      <c r="DG185" s="754"/>
      <c r="DH185" s="754"/>
      <c r="DK185" s="244"/>
      <c r="DL185" s="750"/>
      <c r="DN185" s="750"/>
      <c r="DO185" s="755"/>
      <c r="DP185" s="436"/>
      <c r="DQ185" s="750"/>
      <c r="DR185" s="750"/>
      <c r="DS185" s="750"/>
      <c r="DU185" s="750"/>
      <c r="DV185" s="750"/>
      <c r="DW185" s="750"/>
      <c r="DX185" s="750"/>
      <c r="DZ185" s="756"/>
      <c r="EA185" s="756"/>
      <c r="EC185" s="754"/>
      <c r="ED185" s="754"/>
      <c r="EE185" s="244"/>
      <c r="EF185" s="754"/>
      <c r="EG185" s="754"/>
      <c r="EH185" s="243"/>
      <c r="EI185" s="243"/>
      <c r="EJ185" s="752"/>
      <c r="EK185" s="757"/>
      <c r="EL185" s="757"/>
      <c r="EM185" s="758"/>
      <c r="EN185" s="758"/>
      <c r="EO185" s="752"/>
      <c r="EP185" s="752"/>
      <c r="EQ185" s="752"/>
      <c r="ES185" s="750"/>
      <c r="EU185" s="436"/>
      <c r="EV185" s="436"/>
      <c r="EW185" s="436"/>
      <c r="EX185" s="436"/>
      <c r="EY185" s="436"/>
      <c r="EZ185" s="436"/>
      <c r="FB185" s="643"/>
      <c r="FD185" s="436"/>
      <c r="FE185" s="436"/>
      <c r="FF185" s="436"/>
      <c r="FO185" s="750"/>
      <c r="FP185" s="436"/>
      <c r="FQ185" s="436"/>
      <c r="FR185" s="750"/>
      <c r="FS185" s="750"/>
      <c r="FW185" s="749"/>
      <c r="FX185" s="749"/>
      <c r="FY185" s="749"/>
      <c r="FZ185" s="749"/>
      <c r="GA185" s="749"/>
      <c r="GB185" s="749"/>
      <c r="GC185" s="749"/>
      <c r="GD185" s="749"/>
      <c r="GE185" s="751"/>
      <c r="GF185" s="750"/>
      <c r="GG185" s="750"/>
    </row>
    <row r="186" spans="1:250" s="82" customFormat="1" ht="14.95" customHeight="1" thickTop="1" thickBot="1">
      <c r="B186" s="1421" t="str">
        <f>HY189</f>
        <v xml:space="preserve"> </v>
      </c>
      <c r="C186" s="1422">
        <f>C181+1</f>
        <v>29</v>
      </c>
      <c r="D186" s="1423"/>
      <c r="E186" s="1424" t="s">
        <v>242</v>
      </c>
      <c r="F186" s="1425"/>
      <c r="G186" s="1426"/>
      <c r="H186" s="1427"/>
      <c r="I186" s="1427"/>
      <c r="J186" s="1427"/>
      <c r="K186" s="1427"/>
      <c r="L186" s="1427"/>
      <c r="M186" s="1427"/>
      <c r="N186" s="1427"/>
      <c r="O186" s="1427"/>
      <c r="P186" s="1427"/>
      <c r="Q186" s="1427"/>
      <c r="R186" s="1427"/>
      <c r="S186" s="1428" t="s">
        <v>283</v>
      </c>
      <c r="T186" s="668" t="s">
        <v>190</v>
      </c>
      <c r="U186" s="1430" t="s">
        <v>186</v>
      </c>
      <c r="V186" s="1431"/>
      <c r="W186" s="1431"/>
      <c r="X186" s="1431"/>
      <c r="Y186" s="1431"/>
      <c r="Z186" s="1431"/>
      <c r="AA186" s="1431"/>
      <c r="AB186" s="1088" t="str">
        <f>IFERROR(IF(__Retrofit_TI_NC=0,VLOOKUP(U187,Fixtures_Existing_List,2,FALSE),ROUND(N188*R188/T188,10)),"")</f>
        <v/>
      </c>
      <c r="AC186" s="1039" t="str">
        <f>IFERROR(IF(__Retrofit_TI_NC=0,ROUND(T187*AB186*N187*R187/1000,0),IF(CN186="Interior",N188*R188*R187*N187*_C406_reduction/1000,N188*R188*R187*N187/1000)),"")</f>
        <v/>
      </c>
      <c r="AD186" s="1040" t="str">
        <f>IFERROR(IF(C$36=0,ROUND(T187*AB186/1000,2),N188*R188/1000),"")</f>
        <v/>
      </c>
      <c r="AE186" s="1044" t="s">
        <v>190</v>
      </c>
      <c r="AF186" s="1432" t="str">
        <f>IF(__Retrofit_TI_NC=2,CONCATENATE("Code min = ",DD186),IF(__Retrofit_TI_NC=1,"Emter what you think the existing control was"," Control"))</f>
        <v xml:space="preserve"> Control</v>
      </c>
      <c r="AG186" s="1432"/>
      <c r="AH186" s="1432"/>
      <c r="AI186" s="1432"/>
      <c r="AJ186" s="1433">
        <f>DF186</f>
        <v>0</v>
      </c>
      <c r="AK186" s="1435" t="str">
        <f>IFERROR(ROUND(AJ186*AC186,0),"")</f>
        <v/>
      </c>
      <c r="AL186" s="1437">
        <f>IFERROR(IF(HW186=FALSE,0,AC186-AK186),0)</f>
        <v>0</v>
      </c>
      <c r="AM186" s="1439">
        <f>AL186-AL188</f>
        <v>0</v>
      </c>
      <c r="AN186" s="1440"/>
      <c r="AO186" s="1445">
        <f>IFERROR(IF(HW186=FALSE,0,(T188*U189)+(AE188*AF189)),0)</f>
        <v>0</v>
      </c>
      <c r="AP186" s="1445"/>
      <c r="AQ186" s="1446"/>
      <c r="AR186" s="1451" t="s">
        <v>157</v>
      </c>
      <c r="AS186" s="1454">
        <f>IF(AR186="Yes",1,0)</f>
        <v>1</v>
      </c>
      <c r="AT186" s="1457" t="str">
        <f>IF(OR(DN186=4,DN186=5,DN186=6,DN186=12),CONCATENATE("$",IF(GD186=TRUE,Lookup!$B$11,Lookup!$B$2)," /lamp"),CONCATENATE(EA186,"/ kWh"))</f>
        <v>0/ kWh</v>
      </c>
      <c r="AU186" s="516"/>
      <c r="AV186" s="1478">
        <f>IFERROR(IF(GI187=TRUE,(AB189*T188)/R188,0),"NA")</f>
        <v>0</v>
      </c>
      <c r="AW186" s="1478" t="str">
        <f>IFERROR(N188*_C406_reduction,"NA")</f>
        <v>NA</v>
      </c>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M186" s="1352" t="str">
        <f>N187</f>
        <v/>
      </c>
      <c r="CN186" s="1352" t="str">
        <f>IFERROR(VLOOKUP(G187,_Lookup_Heat_Type_Table_New,3,FALSE),"")</f>
        <v/>
      </c>
      <c r="CO186" s="1415" t="str">
        <f>CN186</f>
        <v/>
      </c>
      <c r="CP186" s="1417" t="e">
        <f>VLOOKUP(G188,'Space Table'!$B$3:$L$160,9,FALSE)</f>
        <v>#N/A</v>
      </c>
      <c r="CR186" s="1386" t="s">
        <v>283</v>
      </c>
      <c r="CS186" s="1353">
        <f>IF(HW186=TRUE,T187,0)</f>
        <v>0</v>
      </c>
      <c r="CT186" s="1353" t="str">
        <f>IF(HW186=TRUE,U187,"")</f>
        <v/>
      </c>
      <c r="CU186" s="1353"/>
      <c r="CV186" s="1370">
        <f>IF(HW186=TRUE,AB186,0)</f>
        <v>0</v>
      </c>
      <c r="CW186" s="1370">
        <f>IF(HW186=TRUE,AC186,0)</f>
        <v>0</v>
      </c>
      <c r="CX186" s="1370">
        <f>IFERROR(IF(HW186=TRUE,CW186-CW188,0),0)</f>
        <v>0</v>
      </c>
      <c r="CY186" s="1485">
        <f>IF(HW186=TRUE,AD186,0)</f>
        <v>0</v>
      </c>
      <c r="CZ186" s="1485">
        <f>IF(HW186=TRUE,AD189,0)</f>
        <v>0</v>
      </c>
      <c r="DA186" s="1485">
        <f>IFERROR(CY186-CZ186,0)</f>
        <v>0</v>
      </c>
      <c r="DC186" s="1353">
        <f>IF(HW186=TRUE,AE187,0)</f>
        <v>0</v>
      </c>
      <c r="DD186" s="1460">
        <f>IF(__Retrofit_TI_NC=2,IF(CN186="Exterior",O189,FM186),FK186)</f>
        <v>0</v>
      </c>
      <c r="DE186" s="1353"/>
      <c r="DF186" s="1406">
        <f>IFERROR(IF(FL186=3,IK186,IF(FL186=4,IL186,IF(FL186=5,IM186,IF(FL186=6,IN186,IF(FL186=7,IO186,IF(FL186=8,IP186,0)))))),0)</f>
        <v>0</v>
      </c>
      <c r="DG186" s="1370">
        <f>IF(HW186=TRUE,AK186,0)</f>
        <v>0</v>
      </c>
      <c r="DH186" s="1369">
        <f>IFERROR(IF(HW186=TRUE,DG188-DG186,0),0)</f>
        <v>0</v>
      </c>
      <c r="DJ186" s="1483">
        <f>IFERROR(CW186-DG186,0)</f>
        <v>0</v>
      </c>
      <c r="DL186" s="1419">
        <f>DJ186-DK188</f>
        <v>0</v>
      </c>
      <c r="DN186" s="1403" t="str">
        <f>IFERROR(IF(AND(OR(FY186=4,FY186=5,FY186=6),OR(GB186=4,GB186=5,GB186=6)),FY186+8,VLOOKUP(CT188,Fixtures!R$31:Y$78,8,FALSE)),"")</f>
        <v/>
      </c>
      <c r="DO186" s="1404" t="str">
        <f>DN186</f>
        <v/>
      </c>
      <c r="DP186" s="1353" t="str">
        <f>IFERROR(VLOOKUP(DD188,Lookup!AU$3:AV$15,2,FALSE),"")</f>
        <v/>
      </c>
      <c r="DQ186" s="1404" t="str">
        <f>IF(DP186=7,"LLLC","")</f>
        <v/>
      </c>
      <c r="DR186" s="1403">
        <f>IFERROR(IF(OR(DN186=4,DN186=5,DN186=6,DN186=12,DN186=13,DN186=14),VLOOKUP(CT188,Fixtures!DN$27:EG$77,19,FALSE),1)*CS188,0)</f>
        <v>0</v>
      </c>
      <c r="DS186" s="1489">
        <f>IF(DP186=7,IF(DD186=DD188,0,DC188),0)</f>
        <v>0</v>
      </c>
      <c r="DU186" s="1403" t="str">
        <f>IFERROR(IF(EW186&lt;EW188,"Yes","No"),"")</f>
        <v/>
      </c>
      <c r="DV186" s="1404" t="str">
        <f>DU186</f>
        <v/>
      </c>
      <c r="DW186" s="1403">
        <f>IF(DU186="Yes",DC188,0)</f>
        <v>0</v>
      </c>
      <c r="DX186" s="1403">
        <f>DW186-DS186</f>
        <v>0</v>
      </c>
      <c r="DZ186" s="1481">
        <f>IFERROR(VLOOKUP(DN186,Lookup!AN$3:AO$16,2,FALSE),0)</f>
        <v>0</v>
      </c>
      <c r="EA186" s="1481">
        <f>IF(HW186=FALSE,0,IF(DU186="Yes",DZ186+Lookup!B$6,DZ186))</f>
        <v>0</v>
      </c>
      <c r="EC186" s="1482">
        <f>IF(HW186=TRUE,DJ186,0)</f>
        <v>0</v>
      </c>
      <c r="ED186" s="1369">
        <f>IF(HW186=TRUE,CW188,0)</f>
        <v>0</v>
      </c>
      <c r="EE186" s="1370">
        <f>IFERROR(EC186-ED186,0)</f>
        <v>0</v>
      </c>
      <c r="EF186" s="1369">
        <f>IF(HW186=TRUE,DG188,0)</f>
        <v>0</v>
      </c>
      <c r="EG186" s="1369">
        <f>IFERROR(EC186-ED186+EF186,0)</f>
        <v>0</v>
      </c>
      <c r="EH186" s="1373">
        <f>IF(HW186=TRUE,CS188*CU188,0)</f>
        <v>0</v>
      </c>
      <c r="EI186" s="1373">
        <f>IF(HW186=TRUE,DC188*DE188,0)</f>
        <v>0</v>
      </c>
      <c r="EJ186" s="1363">
        <f>AO186</f>
        <v>0</v>
      </c>
      <c r="EK186" s="1376" t="str">
        <f>IFERROR(IF(HW186=TRUE,VLOOKUP(DN186,Lookup!AN$3:AP$16,3,FALSE)*DR186,""),0)</f>
        <v/>
      </c>
      <c r="EL186" s="1376">
        <f>IF(HW186=TRUE,DW186*Lookup!AP$12,0)</f>
        <v>0</v>
      </c>
      <c r="EM186" s="1362">
        <f>IFERROR(IF(HW186=TRUE,EK186/EM$33,0),0)</f>
        <v>0</v>
      </c>
      <c r="EN186" s="1362">
        <f>IF(HW186=TRUE,EL186/EN$33,0)</f>
        <v>0</v>
      </c>
      <c r="EO186" s="1363">
        <f>IF(HW186=TRUE,EQ$33*EM186,0)</f>
        <v>0</v>
      </c>
      <c r="EP186" s="1363">
        <f>IF(HW186=TRUE,EQ$33*EN186,0)</f>
        <v>0</v>
      </c>
      <c r="EQ186" s="1363">
        <f>EO186+EP186</f>
        <v>0</v>
      </c>
      <c r="ES186" s="1403">
        <f>IF(G186="",0,1)</f>
        <v>0</v>
      </c>
      <c r="EU186" s="1410" t="e">
        <f>VLOOKUP(CP188,'Space Table'!$B$3:$L$160,8,FALSE)</f>
        <v>#N/A</v>
      </c>
      <c r="EV186" s="1410" t="e">
        <f>IF(EY186="Yes",VLOOKUP(DD186,Lookup_Control_Type_Table2,4,FALSE),VLOOKUP(DD186,Lookup_Control_Type_Table2,3,FALSE))</f>
        <v>#N/A</v>
      </c>
      <c r="EW186" s="1410" t="e">
        <f>VLOOKUP(DD186,Lookup!AU$3:AV$15,2,FALSE)</f>
        <v>#N/A</v>
      </c>
      <c r="EX186" s="1410" t="e">
        <f>VLOOKUP(EU186,Lookup_Control_Type_Table,2,FALSE)</f>
        <v>#N/A</v>
      </c>
      <c r="EY186" s="1410" t="e">
        <f>VLOOKUP(CP188,'Space Table'!$B$3:$L$160,7,FALSE)</f>
        <v>#N/A</v>
      </c>
      <c r="EZ186" s="1412" t="b">
        <f>ISNUMBER(SEARCH("TLED",U188))</f>
        <v>0</v>
      </c>
      <c r="FB186" s="1365" t="str">
        <f>CONCATENATE(CN186," - ",DD186)</f>
        <v xml:space="preserve"> - 0</v>
      </c>
      <c r="FD186" s="1353" t="str">
        <f>VLOOKUP(CT188,Fixtures!DN$27:EZ$77,38,FALSE)</f>
        <v/>
      </c>
      <c r="FE186" s="1353">
        <f>IFERROR(FD186*EE186,0)</f>
        <v>0</v>
      </c>
      <c r="FF186" s="138"/>
      <c r="FI186" s="1356" t="str">
        <f>IF(CN186="Exterior","Not Daylighted",G189)</f>
        <v>Not Daylighted</v>
      </c>
      <c r="FJ186" s="1356">
        <f>VLOOKUP(FI186,_Daylight_Table_Codes,2,FALSE)</f>
        <v>0</v>
      </c>
      <c r="FK186" s="1365">
        <f>IF(__Retrofit_TI_NC=2,VLOOKUP(G188,'Space Table'!$B$3:$L$160,11,FALSE),AF187)</f>
        <v>0</v>
      </c>
      <c r="FL186" s="1365" t="e">
        <f>VLOOKUP(FK186,_Control_Table,2,FALSE)</f>
        <v>#N/A</v>
      </c>
      <c r="FM186" s="1365" t="e">
        <f>IF(AND(FP186&gt;0,FK186="Occupancy Sensor"),"Daylight + Occupancy",IF(AND(FP186&gt;0,FL186&lt;4),"Interior Daylight Dimming",FK186))</f>
        <v>#N/A</v>
      </c>
      <c r="FO186" s="1364">
        <f>IF(CO186="Interior",VLOOKUP(CP186,Control_Savings_Interior,5,FALSE),0)</f>
        <v>0</v>
      </c>
      <c r="FP186" s="1361">
        <f>IF(CN186="Exterior",0,IF(FJ186=2,0.5,IF(OR(FJ186=1,FJ186=3),1,0)))</f>
        <v>0</v>
      </c>
      <c r="FQ186" s="1366"/>
      <c r="FR186" s="1367"/>
      <c r="FS186" s="1364"/>
      <c r="FT186" s="1367"/>
      <c r="FU186" s="1360"/>
      <c r="FW186" s="1352" t="str">
        <f>IFERROR(VLOOKUP(U187,_Exist_Fixture_Table,3,FALSE),"")</f>
        <v/>
      </c>
      <c r="FX186" s="1352" t="str">
        <f>VLOOKUP(CT186,_Exist_Fixture_Table,4,FALSE)</f>
        <v/>
      </c>
      <c r="FY186" s="1352">
        <f>IFERROR(VLOOKUP(FX186,Lookup!AM$6:AN$8,2,FALSE),0)</f>
        <v>0</v>
      </c>
      <c r="FZ186" s="1352" t="b">
        <f>IFERROR(IF(OR(GB186=4,GB186=5,GB186=6),TRUE,FALSE),"")</f>
        <v>0</v>
      </c>
      <c r="GA186" s="1352" t="str">
        <f>IFERROR(VLOOKUP(GB186,FY$6:FZ$10,2,FALSE),"")</f>
        <v/>
      </c>
      <c r="GB186" s="1352" t="str">
        <f>VLOOKUP(CT188,Fixtures!R$31:Y$78,8,FALSE)</f>
        <v/>
      </c>
      <c r="GC186" s="1352">
        <f>IF(AND(FW186=TRUE,FZ186=TRUE,OR(DN186=12,DN186=13,DN186=14)),FY186+8,0)</f>
        <v>0</v>
      </c>
      <c r="GD186" s="1352" t="b">
        <f>IF(OR(GC186=12,GC186=13,GC186=14),TRUE,FALSE)</f>
        <v>0</v>
      </c>
      <c r="GE186" s="759" t="b">
        <f>IF(ISNUMBER(SEARCH("TLED",U187)),TRUE,FALSE)</f>
        <v>0</v>
      </c>
      <c r="GF186" s="1035" t="str">
        <f>IFERROR(VLOOKUP(U187,Fixtures!BM$93:BR$142,6,FALSE),"")</f>
        <v/>
      </c>
      <c r="GG186" s="1385" t="b">
        <f>IF(OR(GE186=FALSE,GE188=FALSE),TRUE,IF(GF186-GF188&lt;5,FALSE,TRUE))</f>
        <v>1</v>
      </c>
      <c r="GK186" s="1034">
        <f>GL186</f>
        <v>0</v>
      </c>
      <c r="GL186" s="1034">
        <f>IF(G186="",0,1)</f>
        <v>0</v>
      </c>
      <c r="GM186" s="1034">
        <f>SUM(GN186:HB186)</f>
        <v>2</v>
      </c>
      <c r="GN186" s="1034">
        <f>IF(G187="",0,1)</f>
        <v>0</v>
      </c>
      <c r="GO186" s="1034">
        <f>IF(G188="",0,1)</f>
        <v>0</v>
      </c>
      <c r="GP186" s="1034">
        <f>IF(R187="",0,1)</f>
        <v>0</v>
      </c>
      <c r="GQ186" s="1034">
        <f>IF(__Retrofit_TI_NC=0,1,IF(R188="",0,1))</f>
        <v>1</v>
      </c>
      <c r="GR186" s="1034">
        <f>IF(CN186="Exterior",1,IF(G189="",0,1))</f>
        <v>1</v>
      </c>
      <c r="GS186" s="1034">
        <f>IF(__Retrofit_TI_NC&lt;&gt;0,1,IF(T187="",0,1))</f>
        <v>0</v>
      </c>
      <c r="GT186" s="1034">
        <f>IF(__Retrofit_TI_NC&lt;&gt;0,1,IF(U187="",0,1))</f>
        <v>0</v>
      </c>
      <c r="GU186" s="1034">
        <f>IF(T188="",0,1)</f>
        <v>0</v>
      </c>
      <c r="GV186" s="1034">
        <f>IF(U188="",0,1)</f>
        <v>0</v>
      </c>
      <c r="GW186" s="1034">
        <f>IF(__Retrofit_TI_NC=2,1,IF(U189="",0,1))</f>
        <v>0</v>
      </c>
      <c r="GX186" s="1034">
        <f>IF(__Retrofit_TI_NC&lt;&gt;0,1,IF(AE187="",0,1))</f>
        <v>0</v>
      </c>
      <c r="GY186" s="1034">
        <f>IF(__Retrofit_TI_NC&lt;&gt;0,1,IF(AF187="",0,1))</f>
        <v>0</v>
      </c>
      <c r="GZ186" s="1034">
        <f>IF(AE188="",0,1)</f>
        <v>0</v>
      </c>
      <c r="HA186" s="1034">
        <f>IF(AF188="",0,1)</f>
        <v>0</v>
      </c>
      <c r="HB186" s="1034">
        <f>IF(__Retrofit_TI_NC=2,1,IF(AF189="",0,1))</f>
        <v>0</v>
      </c>
      <c r="HV186" s="436"/>
      <c r="HW186" s="1384" t="b">
        <f>IF(OR(HW189=0,HW189=HT$16,HW189=HS$16,HW189=HU$16),TRUE,FALSE)</f>
        <v>0</v>
      </c>
      <c r="HX186" s="1377" t="b">
        <f>HW186</f>
        <v>0</v>
      </c>
      <c r="HY186" s="436"/>
      <c r="HZ186" s="436"/>
      <c r="IA186" s="1386" t="b">
        <f>IF(MAX(GJ189:HP189)&gt;5,FALSE,TRUE)</f>
        <v>0</v>
      </c>
      <c r="IB186" s="1380">
        <f>IF(IA186=TRUE,AC186,0)</f>
        <v>0</v>
      </c>
      <c r="IC186" s="1380">
        <f>IB186-IB188</f>
        <v>0</v>
      </c>
      <c r="IF186" s="1380" t="e">
        <f>ROUND(T187*VLOOKUP(U187,Fixtures_Existing_List,2,FALSE)*N187*R187/1000,0)</f>
        <v>#N/A</v>
      </c>
      <c r="IG186" s="1381" t="e">
        <f>IF186-IF188</f>
        <v>#N/A</v>
      </c>
      <c r="IH186" s="1384" t="e">
        <f>ROUND(IF(CN186="Interior",N188*R188*R187*N187*_C406_reduction/1000,N188*R188*R187*N187/1000),0)</f>
        <v>#N/A</v>
      </c>
      <c r="II186" s="1384" t="e">
        <f>IH186-IH188</f>
        <v>#N/A</v>
      </c>
      <c r="IK186" s="1351" t="e">
        <f>IF($CO186="interior",IL186/2,VLOOKUP($CP186,Control_Savings_Exterior,IK$30,FALSE))</f>
        <v>#N/A</v>
      </c>
      <c r="IL186" s="1351" t="e">
        <f>IF($CO186="interior",VLOOKUP($CP186,Control_Savings_Interior,IL$30,FALSE),VLOOKUP($CP186,Control_Savings_Exterior,IL$30,FALSE))</f>
        <v>#N/A</v>
      </c>
      <c r="IM186" s="1351" t="e">
        <f>IF($CO186="interior",IF(R187&gt;FO$37,(IM$28*(FO$37/R187)),IM$28)*FP186,VLOOKUP($CP186,Control_Savings_Exterior,IM$30,FALSE))</f>
        <v>#N/A</v>
      </c>
      <c r="IN186" s="1351" t="e">
        <f>IF($CO186="interior",ROUND(((1-IL186)*IM186)+IL186,2),VLOOKUP($CP186,Control_Savings_Exterior,IN$30,FALSE))</f>
        <v>#N/A</v>
      </c>
      <c r="IO186" s="1351" t="e">
        <f>IF($CO186="interior", ROUND(((1-IL186)*(IM186*(1-IP$28)))+IP186,2), VLOOKUP($CP186,Control_Savings_Exterior,IO$30,FALSE))</f>
        <v>#N/A</v>
      </c>
      <c r="IP186" s="1351">
        <f>IF($CO186="interior",ROUND(((1-IL186)*IP$28)+IL186,2),0)</f>
        <v>0</v>
      </c>
    </row>
    <row r="187" spans="1:250" s="82" customFormat="1" ht="14.95" customHeight="1" thickTop="1" thickBot="1">
      <c r="B187" s="1421"/>
      <c r="C187" s="1422"/>
      <c r="D187" s="1423"/>
      <c r="E187" s="1393" t="s">
        <v>244</v>
      </c>
      <c r="F187" s="1394"/>
      <c r="G187" s="1395"/>
      <c r="H187" s="1395"/>
      <c r="I187" s="1395"/>
      <c r="J187" s="1395"/>
      <c r="K187" s="1395"/>
      <c r="L187" s="1395"/>
      <c r="M187" s="509" t="e">
        <f>IF(__Retrofit_TI_NC&lt;&gt;0,IF(VLOOKUP(G188,'Space Table'!$B$3:$L$160,3,FALSE)&gt;0,1,0),IF(__Retrofit_TI_NC=VLOOKUP(G188,'Space Table'!$B$3:$L$160,3,FALSE),1,0))</f>
        <v>#N/A</v>
      </c>
      <c r="N187" s="509" t="str">
        <f>IFERROR(VLOOKUP(G187,_Lookup_Heat_Type_Table_New,2,FALSE),"")</f>
        <v/>
      </c>
      <c r="O187" s="509">
        <f>IF(__Retrofit_TI_NC=1,CONCATENATE("TI ",G187),IF(__Retrofit_TI_NC=2,CONCATENATE("NC ",G187),G187))</f>
        <v>0</v>
      </c>
      <c r="P187" s="1396" t="s">
        <v>352</v>
      </c>
      <c r="Q187" s="1396"/>
      <c r="R187" s="673"/>
      <c r="S187" s="1429"/>
      <c r="T187" s="675"/>
      <c r="U187" s="1496"/>
      <c r="V187" s="1497"/>
      <c r="W187" s="1497"/>
      <c r="X187" s="1497"/>
      <c r="Y187" s="1497"/>
      <c r="Z187" s="1497"/>
      <c r="AA187" s="1497"/>
      <c r="AB187" s="1497"/>
      <c r="AC187" s="1497"/>
      <c r="AD187" s="1498"/>
      <c r="AE187" s="675"/>
      <c r="AF187" s="1397"/>
      <c r="AG187" s="1397"/>
      <c r="AH187" s="1397"/>
      <c r="AI187" s="1397"/>
      <c r="AJ187" s="1434"/>
      <c r="AK187" s="1436"/>
      <c r="AL187" s="1438"/>
      <c r="AM187" s="1441"/>
      <c r="AN187" s="1442"/>
      <c r="AO187" s="1447"/>
      <c r="AP187" s="1447"/>
      <c r="AQ187" s="1448"/>
      <c r="AR187" s="1452"/>
      <c r="AS187" s="1455"/>
      <c r="AT187" s="1458"/>
      <c r="AU187" s="516"/>
      <c r="AV187" s="1479"/>
      <c r="AW187" s="1479"/>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M187" s="1352"/>
      <c r="CN187" s="1352"/>
      <c r="CO187" s="1416"/>
      <c r="CP187" s="1418"/>
      <c r="CR187" s="1386"/>
      <c r="CS187" s="1355"/>
      <c r="CT187" s="1355"/>
      <c r="CU187" s="1355"/>
      <c r="CV187" s="1372"/>
      <c r="CW187" s="1372"/>
      <c r="CX187" s="1371"/>
      <c r="CY187" s="1486"/>
      <c r="CZ187" s="1486"/>
      <c r="DA187" s="1486"/>
      <c r="DC187" s="1355"/>
      <c r="DD187" s="1461"/>
      <c r="DE187" s="1355"/>
      <c r="DF187" s="1407"/>
      <c r="DG187" s="1372"/>
      <c r="DH187" s="1369"/>
      <c r="DJ187" s="1484"/>
      <c r="DL187" s="1419"/>
      <c r="DN187" s="1403"/>
      <c r="DO187" s="1405"/>
      <c r="DP187" s="1354"/>
      <c r="DQ187" s="1405"/>
      <c r="DR187" s="1403"/>
      <c r="DS187" s="1489"/>
      <c r="DU187" s="1403"/>
      <c r="DV187" s="1405"/>
      <c r="DW187" s="1403"/>
      <c r="DX187" s="1403"/>
      <c r="DZ187" s="1481"/>
      <c r="EA187" s="1481"/>
      <c r="EC187" s="1482"/>
      <c r="ED187" s="1369"/>
      <c r="EE187" s="1371"/>
      <c r="EF187" s="1369"/>
      <c r="EG187" s="1369"/>
      <c r="EH187" s="1374"/>
      <c r="EI187" s="1374"/>
      <c r="EJ187" s="1363"/>
      <c r="EK187" s="1376"/>
      <c r="EL187" s="1376"/>
      <c r="EM187" s="1362"/>
      <c r="EN187" s="1362"/>
      <c r="EO187" s="1363"/>
      <c r="EP187" s="1363"/>
      <c r="EQ187" s="1363"/>
      <c r="ES187" s="1403"/>
      <c r="EU187" s="1411"/>
      <c r="EV187" s="1411"/>
      <c r="EW187" s="1411"/>
      <c r="EX187" s="1411"/>
      <c r="EY187" s="1411"/>
      <c r="EZ187" s="1413"/>
      <c r="FB187" s="1365"/>
      <c r="FD187" s="1354"/>
      <c r="FE187" s="1354"/>
      <c r="FF187" s="138"/>
      <c r="FI187" s="1357"/>
      <c r="FJ187" s="1357"/>
      <c r="FK187" s="1365"/>
      <c r="FL187" s="1365"/>
      <c r="FM187" s="1365"/>
      <c r="FO187" s="1361"/>
      <c r="FP187" s="1361"/>
      <c r="FQ187" s="1366"/>
      <c r="FR187" s="1368"/>
      <c r="FS187" s="1361"/>
      <c r="FT187" s="1368"/>
      <c r="FU187" s="1360"/>
      <c r="FW187" s="1352"/>
      <c r="FX187" s="1352"/>
      <c r="FY187" s="1352"/>
      <c r="FZ187" s="1352"/>
      <c r="GA187" s="1352"/>
      <c r="GB187" s="1352"/>
      <c r="GC187" s="1352"/>
      <c r="GD187" s="1352"/>
      <c r="GE187" s="759"/>
      <c r="GF187" s="1035"/>
      <c r="GG187" s="1385"/>
      <c r="GI187" s="1384" t="b">
        <f>IF(AND(GL187=TRUE,GM187=TRUE),TRUE,FALSE)</f>
        <v>0</v>
      </c>
      <c r="GJ187" s="1379" t="b">
        <f>IFERROR(IF(__Retrofit_TI_NC=2,TRUE,IF(AR186="Yes",TRUE,FALSE)),FALSE)</f>
        <v>1</v>
      </c>
      <c r="GL187" s="1379" t="b">
        <f>IFERROR(IF(GL186=1,TRUE,FALSE),FALSE)</f>
        <v>0</v>
      </c>
      <c r="GM187" s="1379" t="b">
        <f>IFERROR(IF(GM186=GM$14,TRUE,FALSE),FALSE)</f>
        <v>0</v>
      </c>
      <c r="HC187" s="1379" t="b">
        <f>IFERROR(IF(M187=1,TRUE,FALSE),FALSE)</f>
        <v>0</v>
      </c>
      <c r="HD187" s="1379" t="b">
        <f>IFERROR(IF(M188=1,TRUE,FALSE),FALSE)</f>
        <v>0</v>
      </c>
      <c r="HE187" s="1379" t="b">
        <f>IFERROR(IF(__Retrofit_TI_NC&lt;&gt;0,TRUE,IFERROR(IF(VLOOKUP(U187,Fixtures_Existing_List,2,FALSE)&lt;&gt;"",TRUE,FALSE),FALSE)),FALSE)</f>
        <v>0</v>
      </c>
      <c r="HF187" s="1379" t="b">
        <f>IFERROR(IF(VLOOKUP(U188,Fixtures_Proposed_List,2,FALSE)&lt;&gt;"",TRUE,FALSE),FALSE)</f>
        <v>0</v>
      </c>
      <c r="HG187" s="1379" t="b">
        <f>IF(AND(__Retrofit_TI_NC=2,EZ186=TRUE),FALSE,TRUE)</f>
        <v>1</v>
      </c>
      <c r="HH187" s="1379" t="b">
        <f>GG186</f>
        <v>1</v>
      </c>
      <c r="HI187" s="1384" t="b">
        <f>IF(ISERROR(MATCH(FB186,_Control_Match[],0))=TRUE,FALSE,TRUE)</f>
        <v>0</v>
      </c>
      <c r="HJ187" s="1384" t="b">
        <f>IFERROR(IF(EU186&lt;&gt;EV186,FALSE,TRUE),FALSE)</f>
        <v>0</v>
      </c>
      <c r="HK187" s="1384" t="b">
        <f>IFERROR(IF(EU188&lt;&gt;EV188,FALSE,TRUE),FALSE)</f>
        <v>0</v>
      </c>
      <c r="HL187" s="1379" t="b">
        <f>IFERROR(IF(CN186="Exterior",TRUE,IF(OR(AND(FJ186=0,EW188&gt;4),AND(FJ186=4,EW188&gt;4,EW188&lt;7)),FALSE,TRUE)),FALSE)</f>
        <v>0</v>
      </c>
      <c r="HM187" s="1379" t="b">
        <f>IFERROR(IF(AND(FL188=7,EZ186=TRUE),FALSE,TRUE),FALSE)</f>
        <v>0</v>
      </c>
      <c r="HN187" s="1379" t="b">
        <f>IFERROR(IF(AND(T188&lt;&gt;AE188,AF188="Interior LLLC")=TRUE,FALSE,TRUE),FALSE)</f>
        <v>1</v>
      </c>
      <c r="HO187" s="1379" t="b">
        <f>IFERROR(IF(OR(AF188=Lookup!AU$13,AF188=Lookup!AU$14)=TRUE,IF(AE188&gt;T188,FALSE,TRUE),TRUE),FALSE)</f>
        <v>1</v>
      </c>
      <c r="HP187" s="1379" t="b">
        <f>IFERROR(IF(__Retrofit_TI_NC=2,IF(EW188&lt;EW186,FALSE,TRUE),TRUE),FALSE)</f>
        <v>1</v>
      </c>
      <c r="HQ187" s="1379" t="b">
        <f>IF(CN186="Interior",IG$6,TRUE)</f>
        <v>1</v>
      </c>
      <c r="HR187" s="1379" t="b">
        <f>IF(CN186="Exterior",IG$8,TRUE)</f>
        <v>1</v>
      </c>
      <c r="HS187" s="1379" t="b">
        <f>IFERROR(IF(__Retrofit_TI_NC&lt;&gt;0,IF(AW186&lt;AV186,FALSE,TRUE),TRUE),FALSE)</f>
        <v>1</v>
      </c>
      <c r="HT187" s="1379" t="b">
        <f>IFERROR(IF(AND(G187="Exterior",R187&gt;4200),FALSE,TRUE),FALSE)</f>
        <v>1</v>
      </c>
      <c r="HU187" s="1379" t="b">
        <f>IFERROR(IF(AB189/AB186&lt;HU$18,FALSE,TRUE),FALSE)</f>
        <v>0</v>
      </c>
      <c r="HW187" s="1382"/>
      <c r="HX187" s="1378"/>
      <c r="HY187" s="1377" t="str">
        <f>VLOOKUP(HW189,_Error_Table,4,FALSE)</f>
        <v>White</v>
      </c>
      <c r="HZ187" s="436"/>
      <c r="IA187" s="1386"/>
      <c r="IB187" s="1380"/>
      <c r="IC187" s="1379"/>
      <c r="IF187" s="1380"/>
      <c r="IG187" s="1382"/>
      <c r="IH187" s="1382"/>
      <c r="II187" s="1382"/>
      <c r="IK187" s="1351"/>
      <c r="IL187" s="1351"/>
      <c r="IM187" s="1351"/>
      <c r="IN187" s="1351"/>
      <c r="IO187" s="1351"/>
      <c r="IP187" s="1351"/>
    </row>
    <row r="188" spans="1:250" s="82" customFormat="1" ht="14.95" customHeight="1" thickTop="1" thickBot="1">
      <c r="A188" s="82">
        <f>ROW()</f>
        <v>188</v>
      </c>
      <c r="B188" s="1421"/>
      <c r="C188" s="1422"/>
      <c r="D188" s="1423"/>
      <c r="E188" s="1393" t="s">
        <v>245</v>
      </c>
      <c r="F188" s="1394"/>
      <c r="G188" s="1398"/>
      <c r="H188" s="1399"/>
      <c r="I188" s="1399"/>
      <c r="J188" s="1399"/>
      <c r="K188" s="1399"/>
      <c r="L188" s="1400"/>
      <c r="M188" s="509">
        <f>IFERROR(IF(IF(__Retrofit_TI_NC&lt;&gt;0,IF(CN186="Interior",MATCH(G188,Lookup_Interior_New,0),MATCH(G188,Lookup_Exterior_New,0)),IF(CN186="Interior",MATCH(G188,Lookup_Interior,0),MATCH(G188,Lookup_Exterior_Areas,0)))&gt;0,1,0),0)</f>
        <v>0</v>
      </c>
      <c r="N188" s="509" t="e">
        <f>IF(__Retrofit_TI_NC=1,
VLOOKUP(G188,'Space Table'!$B$3:$L$160,4,FALSE),
IF(__Retrofit_TI_NC=2,VLOOKUP(G188,'Space Table'!$B$3:$L$160,5,FALSE),VLOOKUP(G188,'Space Table'!$B$3:$L$160,5,FALSE)))</f>
        <v>#N/A</v>
      </c>
      <c r="O188" s="509">
        <f>G188</f>
        <v>0</v>
      </c>
      <c r="P188" s="1394" t="s">
        <v>355</v>
      </c>
      <c r="Q188" s="1394"/>
      <c r="R188" s="674"/>
      <c r="S188" s="1401" t="s">
        <v>284</v>
      </c>
      <c r="T188" s="672"/>
      <c r="U188" s="1499"/>
      <c r="V188" s="1500"/>
      <c r="W188" s="1500"/>
      <c r="X188" s="1500"/>
      <c r="Y188" s="1500"/>
      <c r="Z188" s="1500"/>
      <c r="AA188" s="1500"/>
      <c r="AB188" s="1501"/>
      <c r="AC188" s="1501"/>
      <c r="AD188" s="1502"/>
      <c r="AE188" s="672"/>
      <c r="AF188" s="1474"/>
      <c r="AG188" s="1474"/>
      <c r="AH188" s="1474"/>
      <c r="AI188" s="1474"/>
      <c r="AJ188" s="1475">
        <f>DF188</f>
        <v>0</v>
      </c>
      <c r="AK188" s="1470" t="str">
        <f>IFERROR(ROUND(AJ188*AC189,0),"")</f>
        <v/>
      </c>
      <c r="AL188" s="1472">
        <f>IFERROR(IF(HW186=FALSE,0,AC189-AK188),0)</f>
        <v>0</v>
      </c>
      <c r="AM188" s="1441"/>
      <c r="AN188" s="1442"/>
      <c r="AO188" s="1447"/>
      <c r="AP188" s="1447"/>
      <c r="AQ188" s="1448"/>
      <c r="AR188" s="1452"/>
      <c r="AS188" s="1455"/>
      <c r="AT188" s="1458"/>
      <c r="AU188" s="516"/>
      <c r="AV188" s="1479"/>
      <c r="AW188" s="1479"/>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M188" s="1352"/>
      <c r="CN188" s="1352"/>
      <c r="CO188" s="1415" t="str">
        <f>CN186</f>
        <v/>
      </c>
      <c r="CP188" s="1417" t="e">
        <f>CP186</f>
        <v>#N/A</v>
      </c>
      <c r="CR188" s="1386" t="s">
        <v>284</v>
      </c>
      <c r="CS188" s="1353">
        <f>IF(HW186=TRUE,T188,0)</f>
        <v>0</v>
      </c>
      <c r="CT188" s="1353" t="str">
        <f>IF(HW186=TRUE,U188,"")</f>
        <v/>
      </c>
      <c r="CU188" s="1373">
        <f>IF(HW186=TRUE,U189,0)</f>
        <v>0</v>
      </c>
      <c r="CV188" s="1370">
        <f>IF(HW186=TRUE,AB189,0)</f>
        <v>0</v>
      </c>
      <c r="CW188" s="1370">
        <f>IF(HW186=TRUE,AC189,0)</f>
        <v>0</v>
      </c>
      <c r="CX188" s="1371"/>
      <c r="CY188" s="1486"/>
      <c r="CZ188" s="1486"/>
      <c r="DA188" s="1486"/>
      <c r="DC188" s="1353">
        <f>IF(HW186=TRUE,AE188,0)</f>
        <v>0</v>
      </c>
      <c r="DD188" s="1353" t="str">
        <f>IF(HW186=TRUE,AF188,"")</f>
        <v/>
      </c>
      <c r="DE188" s="1373">
        <f>AF189</f>
        <v>0</v>
      </c>
      <c r="DF188" s="1406">
        <f>IFERROR(IF(FL188=3,IK188,IF(FL188=4,IL188,IF(FL188=5,IM188,IF(FL188=6,IN188,IF(FL188=7,IO188,IF(FL188=8,IP188,0)))))),0)</f>
        <v>0</v>
      </c>
      <c r="DG188" s="1370">
        <f>IF(HW186=TRUE,AK188,0)</f>
        <v>0</v>
      </c>
      <c r="DH188" s="1369"/>
      <c r="DK188" s="1483">
        <f>IFERROR(CW188-DG188,0)</f>
        <v>0</v>
      </c>
      <c r="DL188" s="1420"/>
      <c r="DN188" s="1403"/>
      <c r="DO188" s="1477" t="str">
        <f>DN186</f>
        <v/>
      </c>
      <c r="DP188" s="1354"/>
      <c r="DQ188" s="1477" t="str">
        <f>IF(DP186=7,"LLLC","")</f>
        <v/>
      </c>
      <c r="DR188" s="1403"/>
      <c r="DS188" s="1489"/>
      <c r="DU188" s="1403"/>
      <c r="DV188" s="1404" t="str">
        <f>DU186</f>
        <v/>
      </c>
      <c r="DW188" s="1403"/>
      <c r="DX188" s="1403"/>
      <c r="DZ188" s="1481"/>
      <c r="EA188" s="1481"/>
      <c r="EC188" s="1482"/>
      <c r="ED188" s="1369"/>
      <c r="EE188" s="1371"/>
      <c r="EF188" s="1369"/>
      <c r="EG188" s="1369"/>
      <c r="EH188" s="1374"/>
      <c r="EI188" s="1374"/>
      <c r="EJ188" s="1363"/>
      <c r="EK188" s="1376"/>
      <c r="EL188" s="1376"/>
      <c r="EM188" s="1362"/>
      <c r="EN188" s="1362"/>
      <c r="EO188" s="1363"/>
      <c r="EP188" s="1363"/>
      <c r="EQ188" s="1363"/>
      <c r="ES188" s="1403"/>
      <c r="EU188" s="1411" t="e">
        <f>VLOOKUP(CP188,'Space Table'!$B$3:$L$160,8,FALSE)</f>
        <v>#N/A</v>
      </c>
      <c r="EV188" s="1411" t="e">
        <f>IF(EY188="Yes",VLOOKUP(AF188,Lookup_Control_Type_Table2,4,FALSE),VLOOKUP(AF188,Lookup_Control_Type_Table2,3,FALSE))</f>
        <v>#N/A</v>
      </c>
      <c r="EW188" s="1411" t="e">
        <f>VLOOKUP(AF188,Lookup!AU$3:AV$15,2,FALSE)</f>
        <v>#N/A</v>
      </c>
      <c r="EX188" s="1411" t="e">
        <f>VLOOKUP(EU186,Lookup_Control_Type_Table,2,FALSE)</f>
        <v>#N/A</v>
      </c>
      <c r="EY188" s="1411" t="e">
        <f>VLOOKUP(CP188,'Space Table'!$B$3:$L$160,7,FALSE)</f>
        <v>#N/A</v>
      </c>
      <c r="EZ188" s="1413"/>
      <c r="FB188" s="1365" t="str">
        <f>CONCATENATE(CN186," - ",AF188)</f>
        <v xml:space="preserve"> - </v>
      </c>
      <c r="FD188" s="1354"/>
      <c r="FE188" s="1354"/>
      <c r="FF188" s="138"/>
      <c r="FI188" s="1356" t="str">
        <f>IF(CN186="Exterior","Not Daylighted",G189)</f>
        <v>Not Daylighted</v>
      </c>
      <c r="FJ188" s="1356">
        <f>VLOOKUP(FI188,_Daylight_Table_Codes,2,FALSE)</f>
        <v>0</v>
      </c>
      <c r="FK188" s="1365">
        <f>AF188</f>
        <v>0</v>
      </c>
      <c r="FL188" s="1365" t="e">
        <f>VLOOKUP(FK188,_Control_Table,2,FALSE)</f>
        <v>#N/A</v>
      </c>
      <c r="FM188" s="1365" t="e">
        <f>IF(AND(FP188&gt;0,FK188="Occupancy Sensor"),"Daylight + Occupancy",IF(AND(FP188&gt;0,FL188&lt;4),"Interior Daylight Dimming",FK188))</f>
        <v>#N/A</v>
      </c>
      <c r="FO188" s="1364">
        <f>IF(CN186="Interior",VLOOKUP(CP186,Control_Savings_Interior,5,FALSE),0)</f>
        <v>0</v>
      </c>
      <c r="FP188" s="1361">
        <f>IF(CN188="Exterior",0,IF(FJ188=2,0.5,IF(OR(FJ188=1,FJ188=3),1,0)))</f>
        <v>0</v>
      </c>
      <c r="FQ188" s="1366">
        <f>IF(R187&gt;FO$37,(FO188*(FO$37/R187)),FO188)*FP188</f>
        <v>0</v>
      </c>
      <c r="FR188" s="1364">
        <f>DF188</f>
        <v>0</v>
      </c>
      <c r="FS188" s="1364">
        <f>ROUND(FR188+((1-FR188)*FQ188),2)</f>
        <v>0</v>
      </c>
      <c r="FT188" s="1364">
        <f>IF(__Retrofit_TI_NC=2,FS188,FR188)</f>
        <v>0</v>
      </c>
      <c r="FU188" s="1360">
        <f>IF(CO188="Interior",VLOOKUP(CP188,Control_Savings_Interior,4,FALSE),0)</f>
        <v>0</v>
      </c>
      <c r="FW188" s="1352"/>
      <c r="FX188" s="1352"/>
      <c r="FY188" s="1352"/>
      <c r="FZ188" s="1352"/>
      <c r="GA188" s="1352"/>
      <c r="GB188" s="1352"/>
      <c r="GC188" s="1352"/>
      <c r="GD188" s="1352"/>
      <c r="GE188" s="759" t="b">
        <f>IF(ISNUMBER(SEARCH("TLED",U188)),TRUE,FALSE)</f>
        <v>0</v>
      </c>
      <c r="GF188" s="1035" t="str">
        <f>IFERROR(VLOOKUP(U188,Fixtures!DM$93:DR$142,6,FALSE),"")</f>
        <v/>
      </c>
      <c r="GG188" s="1385"/>
      <c r="GI188" s="1383"/>
      <c r="GJ188" s="1379"/>
      <c r="GL188" s="1379"/>
      <c r="GM188" s="1379"/>
      <c r="HC188" s="1379"/>
      <c r="HD188" s="1379"/>
      <c r="HE188" s="1379"/>
      <c r="HF188" s="1379"/>
      <c r="HG188" s="1379"/>
      <c r="HH188" s="1379"/>
      <c r="HI188" s="1383"/>
      <c r="HJ188" s="1383"/>
      <c r="HK188" s="1383"/>
      <c r="HL188" s="1379"/>
      <c r="HM188" s="1379"/>
      <c r="HN188" s="1379"/>
      <c r="HO188" s="1379"/>
      <c r="HP188" s="1379"/>
      <c r="HQ188" s="1379"/>
      <c r="HR188" s="1379"/>
      <c r="HS188" s="1379"/>
      <c r="HT188" s="1379"/>
      <c r="HU188" s="1379"/>
      <c r="HW188" s="1383"/>
      <c r="HX188" s="1384" t="b">
        <f>HW186</f>
        <v>0</v>
      </c>
      <c r="HY188" s="1378"/>
      <c r="HZ188" s="436"/>
      <c r="IA188" s="1386"/>
      <c r="IB188" s="1380">
        <f>IF(IA186=TRUE,AC189,0)</f>
        <v>0</v>
      </c>
      <c r="IC188" s="1379"/>
      <c r="IF188" s="1380" t="e">
        <f>ROUND(T188*AB189*N187*R187/1000,0)</f>
        <v>#VALUE!</v>
      </c>
      <c r="IG188" s="1382"/>
      <c r="IH188" s="1384" t="e">
        <f>ROUND(T188*AB189*N187*R187/1000,0)</f>
        <v>#VALUE!</v>
      </c>
      <c r="II188" s="1382"/>
      <c r="IK188" s="1351" t="e">
        <f>IF($CO188="interior",IL188/2,VLOOKUP($CP188,Control_Savings_Exterior,IK$30,FALSE))</f>
        <v>#N/A</v>
      </c>
      <c r="IL188" s="1351" t="e">
        <f>IF($CO188="interior",VLOOKUP($CP188,Control_Savings_Interior,IL$30,FALSE),VLOOKUP($CP188,Control_Savings_Exterior,IL$30,FALSE))</f>
        <v>#N/A</v>
      </c>
      <c r="IM188" s="1351" t="e">
        <f>IF($CO188="interior",IF(R187&gt;FO$37,(IM$28*(FO$37/R187)),IM$28)*FP188,VLOOKUP($CP188,Control_Savings_Exterior,IM$30,FALSE))</f>
        <v>#N/A</v>
      </c>
      <c r="IN188" s="1351" t="e">
        <f>IF($CO188="interior",ROUND(((1-IL188)*IM188)+IL188,2),VLOOKUP($CP188,Control_Savings_Exterior,IN$30,FALSE))</f>
        <v>#N/A</v>
      </c>
      <c r="IO188" s="1351" t="e">
        <f>IF($CO188="interior", ROUND(((1-IL188)*(IM188*(1-IP$28)))+IP188,2), VLOOKUP($CP188,Control_Savings_Exterior,IO$30,FALSE))</f>
        <v>#N/A</v>
      </c>
      <c r="IP188" s="1351">
        <f>IF($CO188="interior",ROUND(((1-IL188)*IP$28)+IL188,2),0)</f>
        <v>0</v>
      </c>
    </row>
    <row r="189" spans="1:250" s="82" customFormat="1" ht="14.95" customHeight="1" thickTop="1" thickBot="1">
      <c r="B189" s="1421"/>
      <c r="C189" s="1422"/>
      <c r="D189" s="1423"/>
      <c r="E189" s="1462" t="s">
        <v>357</v>
      </c>
      <c r="F189" s="1463"/>
      <c r="G189" s="1464" t="s">
        <v>362</v>
      </c>
      <c r="H189" s="1465"/>
      <c r="I189" s="1465"/>
      <c r="J189" s="1465"/>
      <c r="K189" s="1465"/>
      <c r="L189" s="1466"/>
      <c r="M189" s="669">
        <f>IFERROR(VLOOKUP(G189,_Daylight_Table[],2,FALSE),0)</f>
        <v>0</v>
      </c>
      <c r="N189" s="670"/>
      <c r="O189" s="669" t="e">
        <f>VLOOKUP(G188,'Space Table'!$B$3:$L$160,11,FALSE)</f>
        <v>#N/A</v>
      </c>
      <c r="P189" s="1408"/>
      <c r="Q189" s="1409"/>
      <c r="R189" s="1409"/>
      <c r="S189" s="1402"/>
      <c r="T189" s="671" t="s">
        <v>281</v>
      </c>
      <c r="U189" s="1467" t="str">
        <f>IFERROR(VLOOKUP(U188,Fixtures!DM$93:DP$142,4,FALSE),"")</f>
        <v/>
      </c>
      <c r="V189" s="1468"/>
      <c r="W189" s="1468"/>
      <c r="X189" s="1468"/>
      <c r="Y189" s="1468"/>
      <c r="Z189" s="1468"/>
      <c r="AA189" s="1468"/>
      <c r="AB189" s="1046" t="str">
        <f>IFERROR(VLOOKUP(U188,Fixtures_Proposed_List,2,FALSE),"")</f>
        <v/>
      </c>
      <c r="AC189" s="1036" t="str">
        <f>IFERROR(ROUND(T188*AB189*N187*R187/1000,0),"")</f>
        <v/>
      </c>
      <c r="AD189" s="1037" t="str">
        <f>IFERROR(ROUND(T188*AB189/1000,2),"")</f>
        <v/>
      </c>
      <c r="AE189" s="1045" t="s">
        <v>281</v>
      </c>
      <c r="AF189" s="1469"/>
      <c r="AG189" s="1469"/>
      <c r="AH189" s="1469"/>
      <c r="AI189" s="1469"/>
      <c r="AJ189" s="1476"/>
      <c r="AK189" s="1471"/>
      <c r="AL189" s="1473"/>
      <c r="AM189" s="1443"/>
      <c r="AN189" s="1444"/>
      <c r="AO189" s="1449"/>
      <c r="AP189" s="1449"/>
      <c r="AQ189" s="1450"/>
      <c r="AR189" s="1453"/>
      <c r="AS189" s="1456"/>
      <c r="AT189" s="1459"/>
      <c r="AU189" s="517"/>
      <c r="AV189" s="1480"/>
      <c r="AW189" s="1480"/>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M189" s="1352"/>
      <c r="CN189" s="1352"/>
      <c r="CO189" s="1416"/>
      <c r="CP189" s="1418"/>
      <c r="CR189" s="1386"/>
      <c r="CS189" s="1355"/>
      <c r="CT189" s="1355"/>
      <c r="CU189" s="1375"/>
      <c r="CV189" s="1372"/>
      <c r="CW189" s="1372"/>
      <c r="CX189" s="1372"/>
      <c r="CY189" s="1487"/>
      <c r="CZ189" s="1487"/>
      <c r="DA189" s="1487"/>
      <c r="DC189" s="1355"/>
      <c r="DD189" s="1355"/>
      <c r="DE189" s="1375"/>
      <c r="DF189" s="1407"/>
      <c r="DG189" s="1372"/>
      <c r="DH189" s="1369"/>
      <c r="DK189" s="1484"/>
      <c r="DL189" s="1420"/>
      <c r="DN189" s="1403"/>
      <c r="DO189" s="1405"/>
      <c r="DP189" s="1355"/>
      <c r="DQ189" s="1405"/>
      <c r="DR189" s="1403"/>
      <c r="DS189" s="1489"/>
      <c r="DU189" s="1403"/>
      <c r="DV189" s="1405"/>
      <c r="DW189" s="1403"/>
      <c r="DX189" s="1403"/>
      <c r="DZ189" s="1481"/>
      <c r="EA189" s="1481"/>
      <c r="EC189" s="1482"/>
      <c r="ED189" s="1369"/>
      <c r="EE189" s="1372"/>
      <c r="EF189" s="1369"/>
      <c r="EG189" s="1369"/>
      <c r="EH189" s="1375"/>
      <c r="EI189" s="1375"/>
      <c r="EJ189" s="1363"/>
      <c r="EK189" s="1376"/>
      <c r="EL189" s="1376"/>
      <c r="EM189" s="1362"/>
      <c r="EN189" s="1362"/>
      <c r="EO189" s="1363"/>
      <c r="EP189" s="1363"/>
      <c r="EQ189" s="1363"/>
      <c r="ES189" s="1403"/>
      <c r="EU189" s="1488"/>
      <c r="EV189" s="1488"/>
      <c r="EW189" s="1488"/>
      <c r="EX189" s="1488"/>
      <c r="EY189" s="1488"/>
      <c r="EZ189" s="1414"/>
      <c r="FB189" s="1365"/>
      <c r="FD189" s="1355"/>
      <c r="FE189" s="1355"/>
      <c r="FF189" s="138"/>
      <c r="FI189" s="1357"/>
      <c r="FJ189" s="1357"/>
      <c r="FK189" s="1365"/>
      <c r="FL189" s="1365"/>
      <c r="FM189" s="1365"/>
      <c r="FO189" s="1361"/>
      <c r="FP189" s="1361"/>
      <c r="FQ189" s="1366"/>
      <c r="FR189" s="1361"/>
      <c r="FS189" s="1361"/>
      <c r="FT189" s="1361"/>
      <c r="FU189" s="1360"/>
      <c r="FW189" s="1352"/>
      <c r="FX189" s="1352"/>
      <c r="FY189" s="1352"/>
      <c r="FZ189" s="1352"/>
      <c r="GA189" s="1352"/>
      <c r="GB189" s="1352"/>
      <c r="GC189" s="1352"/>
      <c r="GD189" s="1352"/>
      <c r="GE189" s="759"/>
      <c r="GF189" s="1035"/>
      <c r="GG189" s="1385"/>
      <c r="GJ189" s="1034">
        <f>IF(GJ187=TRUE,0,GJ$16)</f>
        <v>0</v>
      </c>
      <c r="GL189" s="1034">
        <f>IF(GL187=TRUE,0,GL$16)</f>
        <v>36</v>
      </c>
      <c r="GM189" s="1034">
        <f>IF(GM187=TRUE,0,GM$16)</f>
        <v>35</v>
      </c>
      <c r="GN189" s="436"/>
      <c r="GO189" s="436"/>
      <c r="GP189" s="436"/>
      <c r="GQ189" s="436"/>
      <c r="GR189" s="436"/>
      <c r="HC189" s="1034">
        <f t="shared" ref="HC189:HH189" si="126">IF(HC187=TRUE,0,HC$16)</f>
        <v>19</v>
      </c>
      <c r="HD189" s="1034">
        <f t="shared" si="126"/>
        <v>18</v>
      </c>
      <c r="HE189" s="1034">
        <f t="shared" si="126"/>
        <v>17</v>
      </c>
      <c r="HF189" s="1034">
        <f t="shared" si="126"/>
        <v>16</v>
      </c>
      <c r="HG189" s="1034">
        <f t="shared" si="126"/>
        <v>0</v>
      </c>
      <c r="HH189" s="1034">
        <f t="shared" si="126"/>
        <v>0</v>
      </c>
      <c r="HI189" s="1034">
        <f>IF(HI187=TRUE,0,HI$16)</f>
        <v>13</v>
      </c>
      <c r="HJ189" s="1034">
        <f t="shared" ref="HJ189:HL189" si="127">IF(HJ187=TRUE,0,HJ$16)</f>
        <v>12</v>
      </c>
      <c r="HK189" s="1034">
        <f t="shared" si="127"/>
        <v>11</v>
      </c>
      <c r="HL189" s="1034">
        <f t="shared" si="127"/>
        <v>10</v>
      </c>
      <c r="HM189" s="1034">
        <f>IF(HM187=TRUE,0,HM$16)</f>
        <v>9</v>
      </c>
      <c r="HN189" s="1034">
        <f t="shared" ref="HN189:HR189" si="128">IF(HN187=TRUE,0,HN$16)</f>
        <v>0</v>
      </c>
      <c r="HO189" s="1034">
        <f t="shared" si="128"/>
        <v>0</v>
      </c>
      <c r="HP189" s="1034">
        <f t="shared" si="128"/>
        <v>0</v>
      </c>
      <c r="HQ189" s="1034">
        <f t="shared" si="128"/>
        <v>0</v>
      </c>
      <c r="HR189" s="1034">
        <f t="shared" si="128"/>
        <v>0</v>
      </c>
      <c r="HS189" s="1034">
        <f>IF(HS187=TRUE,0,HS$16)</f>
        <v>0</v>
      </c>
      <c r="HT189" s="1034">
        <f t="shared" ref="HT189" si="129">IF(HT187=TRUE,0,HT$16)</f>
        <v>0</v>
      </c>
      <c r="HU189" s="1034">
        <f>IF(HU187=TRUE,0,HU$16)</f>
        <v>1</v>
      </c>
      <c r="HW189" s="1034">
        <f>IF(GL187=FALSE,GL189,IF(GM187=FALSE,GM189,MAX(GJ189:HU189)))</f>
        <v>36</v>
      </c>
      <c r="HX189" s="1383"/>
      <c r="HY189" s="241" t="str">
        <f>VLOOKUP(HW189,_Error_Table,3,FALSE)</f>
        <v xml:space="preserve"> </v>
      </c>
      <c r="HZ189" s="241"/>
      <c r="IA189" s="1386"/>
      <c r="IB189" s="1380"/>
      <c r="IC189" s="1379"/>
      <c r="IF189" s="1380"/>
      <c r="IG189" s="1383"/>
      <c r="IH189" s="1383"/>
      <c r="II189" s="1383"/>
      <c r="IK189" s="1351"/>
      <c r="IL189" s="1351"/>
      <c r="IM189" s="1351"/>
      <c r="IN189" s="1351"/>
      <c r="IO189" s="1351"/>
      <c r="IP189" s="1351"/>
    </row>
    <row r="190" spans="1:250" s="82" customFormat="1" ht="5.0999999999999996" customHeight="1" thickBot="1">
      <c r="B190" s="763"/>
      <c r="C190" s="1038"/>
      <c r="D190" s="1038"/>
      <c r="E190" s="1490"/>
      <c r="F190" s="1490"/>
      <c r="G190" s="1490"/>
      <c r="H190" s="1490"/>
      <c r="I190" s="1490"/>
      <c r="J190" s="1490"/>
      <c r="K190" s="1490"/>
      <c r="L190" s="1490"/>
      <c r="M190" s="1490"/>
      <c r="N190" s="1490"/>
      <c r="O190" s="1490"/>
      <c r="P190" s="1490"/>
      <c r="Q190" s="1490"/>
      <c r="R190" s="1490"/>
      <c r="S190" s="1490"/>
      <c r="T190" s="1490"/>
      <c r="U190" s="1490"/>
      <c r="V190" s="1490"/>
      <c r="W190" s="1490"/>
      <c r="X190" s="1490"/>
      <c r="Y190" s="1490"/>
      <c r="Z190" s="1490"/>
      <c r="AA190" s="1490"/>
      <c r="AB190" s="1490"/>
      <c r="AC190" s="1490"/>
      <c r="AD190" s="1490"/>
      <c r="AE190" s="1490"/>
      <c r="AF190" s="1490"/>
      <c r="AG190" s="1490"/>
      <c r="AH190" s="1490"/>
      <c r="AI190" s="1490"/>
      <c r="AJ190" s="1490"/>
      <c r="AK190" s="1490"/>
      <c r="AL190" s="1490"/>
      <c r="AM190" s="1490"/>
      <c r="AN190" s="1490"/>
      <c r="AO190" s="1490"/>
      <c r="AP190" s="1490"/>
      <c r="AQ190" s="1490"/>
      <c r="AR190" s="1490"/>
      <c r="AS190" s="1490"/>
      <c r="AT190" s="1490"/>
      <c r="AU190" s="1041"/>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M190" s="749"/>
      <c r="CN190" s="749"/>
      <c r="CO190" s="1043"/>
      <c r="CP190" s="749"/>
      <c r="CS190" s="436"/>
      <c r="CT190" s="436"/>
      <c r="CU190" s="243"/>
      <c r="CV190" s="244"/>
      <c r="CW190" s="244"/>
      <c r="CX190" s="244"/>
      <c r="CY190" s="245"/>
      <c r="CZ190" s="245"/>
      <c r="DA190" s="245"/>
      <c r="DC190" s="750"/>
      <c r="DD190" s="751"/>
      <c r="DE190" s="752"/>
      <c r="DF190" s="753"/>
      <c r="DG190" s="754"/>
      <c r="DH190" s="754"/>
      <c r="DK190" s="244"/>
      <c r="DL190" s="750"/>
      <c r="DN190" s="750"/>
      <c r="DO190" s="755"/>
      <c r="DP190" s="436"/>
      <c r="DQ190" s="750"/>
      <c r="DR190" s="750"/>
      <c r="DS190" s="750"/>
      <c r="DU190" s="750"/>
      <c r="DV190" s="750"/>
      <c r="DW190" s="750"/>
      <c r="DX190" s="750"/>
      <c r="DZ190" s="756"/>
      <c r="EA190" s="756"/>
      <c r="EC190" s="754"/>
      <c r="ED190" s="754"/>
      <c r="EE190" s="244"/>
      <c r="EF190" s="754"/>
      <c r="EG190" s="754"/>
      <c r="EH190" s="243"/>
      <c r="EI190" s="243"/>
      <c r="EJ190" s="752"/>
      <c r="EK190" s="757"/>
      <c r="EL190" s="757"/>
      <c r="EM190" s="758"/>
      <c r="EN190" s="758"/>
      <c r="EO190" s="752"/>
      <c r="EP190" s="752"/>
      <c r="EQ190" s="752"/>
      <c r="ES190" s="750"/>
      <c r="EU190" s="436"/>
      <c r="EV190" s="436"/>
      <c r="EW190" s="436"/>
      <c r="EX190" s="436"/>
      <c r="EY190" s="436"/>
      <c r="EZ190" s="436"/>
      <c r="FB190" s="643"/>
      <c r="FD190" s="436"/>
      <c r="FE190" s="436"/>
      <c r="FF190" s="436"/>
      <c r="FO190" s="750"/>
      <c r="FP190" s="436"/>
      <c r="FQ190" s="436"/>
      <c r="FR190" s="750"/>
      <c r="FS190" s="750"/>
      <c r="FW190" s="749"/>
      <c r="FX190" s="749"/>
      <c r="FY190" s="749"/>
      <c r="FZ190" s="749"/>
      <c r="GA190" s="749"/>
      <c r="GB190" s="749"/>
      <c r="GC190" s="749"/>
      <c r="GD190" s="749"/>
      <c r="GE190" s="751"/>
      <c r="GF190" s="750"/>
      <c r="GG190" s="750"/>
    </row>
    <row r="191" spans="1:250" s="82" customFormat="1" ht="14.95" customHeight="1" thickTop="1" thickBot="1">
      <c r="B191" s="1421" t="str">
        <f>HY194</f>
        <v xml:space="preserve"> </v>
      </c>
      <c r="C191" s="1422">
        <f>C186+1</f>
        <v>30</v>
      </c>
      <c r="D191" s="1423"/>
      <c r="E191" s="1424" t="s">
        <v>242</v>
      </c>
      <c r="F191" s="1425"/>
      <c r="G191" s="1426"/>
      <c r="H191" s="1427"/>
      <c r="I191" s="1427"/>
      <c r="J191" s="1427"/>
      <c r="K191" s="1427"/>
      <c r="L191" s="1427"/>
      <c r="M191" s="1427"/>
      <c r="N191" s="1427"/>
      <c r="O191" s="1427"/>
      <c r="P191" s="1427"/>
      <c r="Q191" s="1427"/>
      <c r="R191" s="1427"/>
      <c r="S191" s="1428" t="s">
        <v>283</v>
      </c>
      <c r="T191" s="668" t="s">
        <v>190</v>
      </c>
      <c r="U191" s="1430" t="s">
        <v>186</v>
      </c>
      <c r="V191" s="1431"/>
      <c r="W191" s="1431"/>
      <c r="X191" s="1431"/>
      <c r="Y191" s="1431"/>
      <c r="Z191" s="1431"/>
      <c r="AA191" s="1431"/>
      <c r="AB191" s="1088" t="str">
        <f>IFERROR(IF(__Retrofit_TI_NC=0,VLOOKUP(U192,Fixtures_Existing_List,2,FALSE),ROUND(N193*R193/T193,10)),"")</f>
        <v/>
      </c>
      <c r="AC191" s="1039" t="str">
        <f>IFERROR(IF(__Retrofit_TI_NC=0,ROUND(T192*AB191*N192*R192/1000,0),IF(CN191="Interior",N193*R193*R192*N192*_C406_reduction/1000,N193*R193*R192*N192/1000)),"")</f>
        <v/>
      </c>
      <c r="AD191" s="1040" t="str">
        <f>IFERROR(IF(C$36=0,ROUND(T192*AB191/1000,2),N193*R193/1000),"")</f>
        <v/>
      </c>
      <c r="AE191" s="1044" t="s">
        <v>190</v>
      </c>
      <c r="AF191" s="1432" t="str">
        <f>IF(__Retrofit_TI_NC=2,CONCATENATE("Code min = ",DD191),IF(__Retrofit_TI_NC=1,"Emter what you think the existing control was"," Control"))</f>
        <v xml:space="preserve"> Control</v>
      </c>
      <c r="AG191" s="1432"/>
      <c r="AH191" s="1432"/>
      <c r="AI191" s="1432"/>
      <c r="AJ191" s="1433">
        <f>DF191</f>
        <v>0</v>
      </c>
      <c r="AK191" s="1435" t="str">
        <f>IFERROR(ROUND(AJ191*AC191,0),"")</f>
        <v/>
      </c>
      <c r="AL191" s="1437">
        <f>IFERROR(IF(HW191=FALSE,0,AC191-AK191),0)</f>
        <v>0</v>
      </c>
      <c r="AM191" s="1439">
        <f>AL191-AL193</f>
        <v>0</v>
      </c>
      <c r="AN191" s="1440"/>
      <c r="AO191" s="1445">
        <f>IFERROR(IF(HW191=FALSE,0,(T193*U194)+(AE193*AF194)),0)</f>
        <v>0</v>
      </c>
      <c r="AP191" s="1445"/>
      <c r="AQ191" s="1446"/>
      <c r="AR191" s="1451" t="s">
        <v>157</v>
      </c>
      <c r="AS191" s="1454">
        <f>IF(AR191="Yes",1,0)</f>
        <v>1</v>
      </c>
      <c r="AT191" s="1457" t="str">
        <f>IF(OR(DN191=4,DN191=5,DN191=6,DN191=12),CONCATENATE("$",IF(GD191=TRUE,Lookup!$B$11,Lookup!$B$2)," /lamp"),CONCATENATE(EA191,"/ kWh"))</f>
        <v>0/ kWh</v>
      </c>
      <c r="AU191" s="516"/>
      <c r="AV191" s="1478">
        <f>IFERROR(IF(GI192=TRUE,(AB194*T193)/R193,0),"NA")</f>
        <v>0</v>
      </c>
      <c r="AW191" s="1478" t="str">
        <f>IFERROR(N193*_C406_reduction,"NA")</f>
        <v>NA</v>
      </c>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M191" s="1352" t="str">
        <f>N192</f>
        <v/>
      </c>
      <c r="CN191" s="1352" t="str">
        <f>IFERROR(VLOOKUP(G192,_Lookup_Heat_Type_Table_New,3,FALSE),"")</f>
        <v/>
      </c>
      <c r="CO191" s="1415" t="str">
        <f>CN191</f>
        <v/>
      </c>
      <c r="CP191" s="1417" t="e">
        <f>VLOOKUP(G193,'Space Table'!$B$3:$L$160,9,FALSE)</f>
        <v>#N/A</v>
      </c>
      <c r="CR191" s="1386" t="s">
        <v>283</v>
      </c>
      <c r="CS191" s="1353">
        <f>IF(HW191=TRUE,T192,0)</f>
        <v>0</v>
      </c>
      <c r="CT191" s="1353" t="str">
        <f>IF(HW191=TRUE,U192,"")</f>
        <v/>
      </c>
      <c r="CU191" s="1353"/>
      <c r="CV191" s="1370">
        <f>IF(HW191=TRUE,AB191,0)</f>
        <v>0</v>
      </c>
      <c r="CW191" s="1370">
        <f>IF(HW191=TRUE,AC191,0)</f>
        <v>0</v>
      </c>
      <c r="CX191" s="1370">
        <f>IFERROR(IF(HW191=TRUE,CW191-CW193,0),0)</f>
        <v>0</v>
      </c>
      <c r="CY191" s="1485">
        <f>IF(HW191=TRUE,AD191,0)</f>
        <v>0</v>
      </c>
      <c r="CZ191" s="1485">
        <f>IF(HW191=TRUE,AD194,0)</f>
        <v>0</v>
      </c>
      <c r="DA191" s="1485">
        <f>IFERROR(CY191-CZ191,0)</f>
        <v>0</v>
      </c>
      <c r="DC191" s="1353">
        <f>IF(HW191=TRUE,AE192,0)</f>
        <v>0</v>
      </c>
      <c r="DD191" s="1460">
        <f>IF(__Retrofit_TI_NC=2,IF(CN191="Exterior",O194,FM191),FK191)</f>
        <v>0</v>
      </c>
      <c r="DE191" s="1353"/>
      <c r="DF191" s="1406">
        <f>IFERROR(IF(FL191=3,IK191,IF(FL191=4,IL191,IF(FL191=5,IM191,IF(FL191=6,IN191,IF(FL191=7,IO191,IF(FL191=8,IP191,0)))))),0)</f>
        <v>0</v>
      </c>
      <c r="DG191" s="1370">
        <f>IF(HW191=TRUE,AK191,0)</f>
        <v>0</v>
      </c>
      <c r="DH191" s="1369">
        <f>IFERROR(IF(HW191=TRUE,DG193-DG191,0),0)</f>
        <v>0</v>
      </c>
      <c r="DJ191" s="1483">
        <f>IFERROR(CW191-DG191,0)</f>
        <v>0</v>
      </c>
      <c r="DL191" s="1419">
        <f>DJ191-DK193</f>
        <v>0</v>
      </c>
      <c r="DN191" s="1403" t="str">
        <f>IFERROR(IF(AND(OR(FY191=4,FY191=5,FY191=6),OR(GB191=4,GB191=5,GB191=6)),FY191+8,VLOOKUP(CT193,Fixtures!R$31:Y$78,8,FALSE)),"")</f>
        <v/>
      </c>
      <c r="DO191" s="1404" t="str">
        <f>DN191</f>
        <v/>
      </c>
      <c r="DP191" s="1353" t="str">
        <f>IFERROR(VLOOKUP(DD193,Lookup!AU$3:AV$15,2,FALSE),"")</f>
        <v/>
      </c>
      <c r="DQ191" s="1404" t="str">
        <f>IF(DP191=7,"LLLC","")</f>
        <v/>
      </c>
      <c r="DR191" s="1403">
        <f>IFERROR(IF(OR(DN191=4,DN191=5,DN191=6,DN191=12,DN191=13,DN191=14),VLOOKUP(CT193,Fixtures!DN$27:EG$77,19,FALSE),1)*CS193,0)</f>
        <v>0</v>
      </c>
      <c r="DS191" s="1489">
        <f>IF(DP191=7,IF(DD191=DD193,0,DC193),0)</f>
        <v>0</v>
      </c>
      <c r="DU191" s="1403" t="str">
        <f>IFERROR(IF(EW191&lt;EW193,"Yes","No"),"")</f>
        <v/>
      </c>
      <c r="DV191" s="1404" t="str">
        <f>DU191</f>
        <v/>
      </c>
      <c r="DW191" s="1403">
        <f>IF(DU191="Yes",DC193,0)</f>
        <v>0</v>
      </c>
      <c r="DX191" s="1403">
        <f>DW191-DS191</f>
        <v>0</v>
      </c>
      <c r="DZ191" s="1481">
        <f>IFERROR(VLOOKUP(DN191,Lookup!AN$3:AO$16,2,FALSE),0)</f>
        <v>0</v>
      </c>
      <c r="EA191" s="1481">
        <f>IF(HW191=FALSE,0,IF(DU191="Yes",DZ191+Lookup!B$6,DZ191))</f>
        <v>0</v>
      </c>
      <c r="EC191" s="1482">
        <f>IF(HW191=TRUE,DJ191,0)</f>
        <v>0</v>
      </c>
      <c r="ED191" s="1369">
        <f>IF(HW191=TRUE,CW193,0)</f>
        <v>0</v>
      </c>
      <c r="EE191" s="1370">
        <f>IFERROR(EC191-ED191,0)</f>
        <v>0</v>
      </c>
      <c r="EF191" s="1369">
        <f>IF(HW191=TRUE,DG193,0)</f>
        <v>0</v>
      </c>
      <c r="EG191" s="1369">
        <f>IFERROR(EC191-ED191+EF191,0)</f>
        <v>0</v>
      </c>
      <c r="EH191" s="1373">
        <f>IF(HW191=TRUE,CS193*CU193,0)</f>
        <v>0</v>
      </c>
      <c r="EI191" s="1373">
        <f>IF(HW191=TRUE,DC193*DE193,0)</f>
        <v>0</v>
      </c>
      <c r="EJ191" s="1363">
        <f>AO191</f>
        <v>0</v>
      </c>
      <c r="EK191" s="1376" t="str">
        <f>IFERROR(IF(HW191=TRUE,VLOOKUP(DN191,Lookup!AN$3:AP$16,3,FALSE)*DR191,""),0)</f>
        <v/>
      </c>
      <c r="EL191" s="1376">
        <f>IF(HW191=TRUE,DW191*Lookup!AP$12,0)</f>
        <v>0</v>
      </c>
      <c r="EM191" s="1362">
        <f>IFERROR(IF(HW191=TRUE,EK191/EM$33,0),0)</f>
        <v>0</v>
      </c>
      <c r="EN191" s="1362">
        <f>IF(HW191=TRUE,EL191/EN$33,0)</f>
        <v>0</v>
      </c>
      <c r="EO191" s="1363">
        <f>IF(HW191=TRUE,EQ$33*EM191,0)</f>
        <v>0</v>
      </c>
      <c r="EP191" s="1363">
        <f>IF(HW191=TRUE,EQ$33*EN191,0)</f>
        <v>0</v>
      </c>
      <c r="EQ191" s="1363">
        <f>EO191+EP191</f>
        <v>0</v>
      </c>
      <c r="ES191" s="1403">
        <f>IF(G191="",0,1)</f>
        <v>0</v>
      </c>
      <c r="EU191" s="1410" t="e">
        <f>VLOOKUP(CP193,'Space Table'!$B$3:$L$160,8,FALSE)</f>
        <v>#N/A</v>
      </c>
      <c r="EV191" s="1410" t="e">
        <f>IF(EY191="Yes",VLOOKUP(DD191,Lookup_Control_Type_Table2,4,FALSE),VLOOKUP(DD191,Lookup_Control_Type_Table2,3,FALSE))</f>
        <v>#N/A</v>
      </c>
      <c r="EW191" s="1410" t="e">
        <f>VLOOKUP(DD191,Lookup!AU$3:AV$15,2,FALSE)</f>
        <v>#N/A</v>
      </c>
      <c r="EX191" s="1410" t="e">
        <f>VLOOKUP(EU191,Lookup_Control_Type_Table,2,FALSE)</f>
        <v>#N/A</v>
      </c>
      <c r="EY191" s="1410" t="e">
        <f>VLOOKUP(CP193,'Space Table'!$B$3:$L$160,7,FALSE)</f>
        <v>#N/A</v>
      </c>
      <c r="EZ191" s="1412" t="b">
        <f>ISNUMBER(SEARCH("TLED",U193))</f>
        <v>0</v>
      </c>
      <c r="FB191" s="1365" t="str">
        <f>CONCATENATE(CN191," - ",DD191)</f>
        <v xml:space="preserve"> - 0</v>
      </c>
      <c r="FD191" s="1353" t="str">
        <f>VLOOKUP(CT193,Fixtures!DN$27:EZ$77,38,FALSE)</f>
        <v/>
      </c>
      <c r="FE191" s="1353">
        <f>IFERROR(FD191*EE191,0)</f>
        <v>0</v>
      </c>
      <c r="FF191" s="138"/>
      <c r="FI191" s="1356" t="str">
        <f>IF(CN191="Exterior","Not Daylighted",G194)</f>
        <v>Not Daylighted</v>
      </c>
      <c r="FJ191" s="1356">
        <f>VLOOKUP(FI191,_Daylight_Table_Codes,2,FALSE)</f>
        <v>0</v>
      </c>
      <c r="FK191" s="1365">
        <f>IF(__Retrofit_TI_NC=2,VLOOKUP(G193,'Space Table'!$B$3:$L$160,11,FALSE),AF192)</f>
        <v>0</v>
      </c>
      <c r="FL191" s="1365" t="e">
        <f>VLOOKUP(FK191,_Control_Table,2,FALSE)</f>
        <v>#N/A</v>
      </c>
      <c r="FM191" s="1365" t="e">
        <f>IF(AND(FP191&gt;0,FK191="Occupancy Sensor"),"Daylight + Occupancy",IF(AND(FP191&gt;0,FL191&lt;4),"Interior Daylight Dimming",FK191))</f>
        <v>#N/A</v>
      </c>
      <c r="FO191" s="1364">
        <f>IF(CO191="Interior",VLOOKUP(CP191,Control_Savings_Interior,5,FALSE),0)</f>
        <v>0</v>
      </c>
      <c r="FP191" s="1361">
        <f>IF(CN191="Exterior",0,IF(FJ191=2,0.5,IF(OR(FJ191=1,FJ191=3),1,0)))</f>
        <v>0</v>
      </c>
      <c r="FQ191" s="1366"/>
      <c r="FR191" s="1367"/>
      <c r="FS191" s="1364"/>
      <c r="FT191" s="1367"/>
      <c r="FU191" s="1360"/>
      <c r="FW191" s="1352" t="str">
        <f>IFERROR(VLOOKUP(U192,_Exist_Fixture_Table,3,FALSE),"")</f>
        <v/>
      </c>
      <c r="FX191" s="1352" t="str">
        <f>VLOOKUP(CT191,_Exist_Fixture_Table,4,FALSE)</f>
        <v/>
      </c>
      <c r="FY191" s="1352">
        <f>IFERROR(VLOOKUP(FX191,Lookup!AM$6:AN$8,2,FALSE),0)</f>
        <v>0</v>
      </c>
      <c r="FZ191" s="1352" t="b">
        <f>IFERROR(IF(OR(GB191=4,GB191=5,GB191=6),TRUE,FALSE),"")</f>
        <v>0</v>
      </c>
      <c r="GA191" s="1352" t="str">
        <f>IFERROR(VLOOKUP(GB191,FY$6:FZ$10,2,FALSE),"")</f>
        <v/>
      </c>
      <c r="GB191" s="1352" t="str">
        <f>VLOOKUP(CT193,Fixtures!R$31:Y$78,8,FALSE)</f>
        <v/>
      </c>
      <c r="GC191" s="1352">
        <f>IF(AND(FW191=TRUE,FZ191=TRUE,OR(DN191=12,DN191=13,DN191=14)),FY191+8,0)</f>
        <v>0</v>
      </c>
      <c r="GD191" s="1352" t="b">
        <f>IF(OR(GC191=12,GC191=13,GC191=14),TRUE,FALSE)</f>
        <v>0</v>
      </c>
      <c r="GE191" s="759" t="b">
        <f>IF(ISNUMBER(SEARCH("TLED",U192)),TRUE,FALSE)</f>
        <v>0</v>
      </c>
      <c r="GF191" s="1035" t="str">
        <f>IFERROR(VLOOKUP(U192,Fixtures!BM$93:BR$142,6,FALSE),"")</f>
        <v/>
      </c>
      <c r="GG191" s="1385" t="b">
        <f>IF(OR(GE191=FALSE,GE193=FALSE),TRUE,IF(GF191-GF193&lt;5,FALSE,TRUE))</f>
        <v>1</v>
      </c>
      <c r="GK191" s="1034">
        <f>GL191</f>
        <v>0</v>
      </c>
      <c r="GL191" s="1034">
        <f>IF(G191="",0,1)</f>
        <v>0</v>
      </c>
      <c r="GM191" s="1034">
        <f>SUM(GN191:HB191)</f>
        <v>2</v>
      </c>
      <c r="GN191" s="1034">
        <f>IF(G192="",0,1)</f>
        <v>0</v>
      </c>
      <c r="GO191" s="1034">
        <f>IF(G193="",0,1)</f>
        <v>0</v>
      </c>
      <c r="GP191" s="1034">
        <f>IF(R192="",0,1)</f>
        <v>0</v>
      </c>
      <c r="GQ191" s="1034">
        <f>IF(__Retrofit_TI_NC=0,1,IF(R193="",0,1))</f>
        <v>1</v>
      </c>
      <c r="GR191" s="1034">
        <f>IF(CN191="Exterior",1,IF(G194="",0,1))</f>
        <v>1</v>
      </c>
      <c r="GS191" s="1034">
        <f>IF(__Retrofit_TI_NC&lt;&gt;0,1,IF(T192="",0,1))</f>
        <v>0</v>
      </c>
      <c r="GT191" s="1034">
        <f>IF(__Retrofit_TI_NC&lt;&gt;0,1,IF(U192="",0,1))</f>
        <v>0</v>
      </c>
      <c r="GU191" s="1034">
        <f>IF(T193="",0,1)</f>
        <v>0</v>
      </c>
      <c r="GV191" s="1034">
        <f>IF(U193="",0,1)</f>
        <v>0</v>
      </c>
      <c r="GW191" s="1034">
        <f>IF(__Retrofit_TI_NC=2,1,IF(U194="",0,1))</f>
        <v>0</v>
      </c>
      <c r="GX191" s="1034">
        <f>IF(__Retrofit_TI_NC&lt;&gt;0,1,IF(AE192="",0,1))</f>
        <v>0</v>
      </c>
      <c r="GY191" s="1034">
        <f>IF(__Retrofit_TI_NC&lt;&gt;0,1,IF(AF192="",0,1))</f>
        <v>0</v>
      </c>
      <c r="GZ191" s="1034">
        <f>IF(AE193="",0,1)</f>
        <v>0</v>
      </c>
      <c r="HA191" s="1034">
        <f>IF(AF193="",0,1)</f>
        <v>0</v>
      </c>
      <c r="HB191" s="1034">
        <f>IF(__Retrofit_TI_NC=2,1,IF(AF194="",0,1))</f>
        <v>0</v>
      </c>
      <c r="HV191" s="436"/>
      <c r="HW191" s="1384" t="b">
        <f>IF(OR(HW194=0,HW194=HT$16,HW194=HS$16,HW194=HU$16),TRUE,FALSE)</f>
        <v>0</v>
      </c>
      <c r="HX191" s="1377" t="b">
        <f>HW191</f>
        <v>0</v>
      </c>
      <c r="HY191" s="436"/>
      <c r="HZ191" s="436"/>
      <c r="IA191" s="1386" t="b">
        <f>IF(MAX(GJ194:HP194)&gt;5,FALSE,TRUE)</f>
        <v>0</v>
      </c>
      <c r="IB191" s="1380">
        <f>IF(IA191=TRUE,AC191,0)</f>
        <v>0</v>
      </c>
      <c r="IC191" s="1380">
        <f>IB191-IB193</f>
        <v>0</v>
      </c>
      <c r="IF191" s="1380" t="e">
        <f>ROUND(T192*VLOOKUP(U192,Fixtures_Existing_List,2,FALSE)*N192*R192/1000,0)</f>
        <v>#N/A</v>
      </c>
      <c r="IG191" s="1381" t="e">
        <f>IF191-IF193</f>
        <v>#N/A</v>
      </c>
      <c r="IH191" s="1384" t="e">
        <f>ROUND(IF(CN191="Interior",N193*R193*R192*N192*_C406_reduction/1000,N193*R193*R192*N192/1000),0)</f>
        <v>#N/A</v>
      </c>
      <c r="II191" s="1384" t="e">
        <f>IH191-IH193</f>
        <v>#N/A</v>
      </c>
      <c r="IK191" s="1351" t="e">
        <f>IF($CO191="interior",IL191/2,VLOOKUP($CP191,Control_Savings_Exterior,IK$30,FALSE))</f>
        <v>#N/A</v>
      </c>
      <c r="IL191" s="1351" t="e">
        <f>IF($CO191="interior",VLOOKUP($CP191,Control_Savings_Interior,IL$30,FALSE),VLOOKUP($CP191,Control_Savings_Exterior,IL$30,FALSE))</f>
        <v>#N/A</v>
      </c>
      <c r="IM191" s="1351" t="e">
        <f>IF($CO191="interior",IF(R192&gt;FO$37,(IM$28*(FO$37/R192)),IM$28)*FP191,VLOOKUP($CP191,Control_Savings_Exterior,IM$30,FALSE))</f>
        <v>#N/A</v>
      </c>
      <c r="IN191" s="1351" t="e">
        <f>IF($CO191="interior",ROUND(((1-IL191)*IM191)+IL191,2),VLOOKUP($CP191,Control_Savings_Exterior,IN$30,FALSE))</f>
        <v>#N/A</v>
      </c>
      <c r="IO191" s="1351" t="e">
        <f>IF($CO191="interior", ROUND(((1-IL191)*(IM191*(1-IP$28)))+IP191,2), VLOOKUP($CP191,Control_Savings_Exterior,IO$30,FALSE))</f>
        <v>#N/A</v>
      </c>
      <c r="IP191" s="1351">
        <f>IF($CO191="interior",ROUND(((1-IL191)*IP$28)+IL191,2),0)</f>
        <v>0</v>
      </c>
    </row>
    <row r="192" spans="1:250" s="82" customFormat="1" ht="14.95" customHeight="1" thickTop="1" thickBot="1">
      <c r="B192" s="1421"/>
      <c r="C192" s="1422"/>
      <c r="D192" s="1423"/>
      <c r="E192" s="1393" t="s">
        <v>244</v>
      </c>
      <c r="F192" s="1394"/>
      <c r="G192" s="1395"/>
      <c r="H192" s="1395"/>
      <c r="I192" s="1395"/>
      <c r="J192" s="1395"/>
      <c r="K192" s="1395"/>
      <c r="L192" s="1395"/>
      <c r="M192" s="509" t="e">
        <f>IF(__Retrofit_TI_NC&lt;&gt;0,IF(VLOOKUP(G193,'Space Table'!$B$3:$L$160,3,FALSE)&gt;0,1,0),IF(__Retrofit_TI_NC=VLOOKUP(G193,'Space Table'!$B$3:$L$160,3,FALSE),1,0))</f>
        <v>#N/A</v>
      </c>
      <c r="N192" s="509" t="str">
        <f>IFERROR(VLOOKUP(G192,_Lookup_Heat_Type_Table_New,2,FALSE),"")</f>
        <v/>
      </c>
      <c r="O192" s="509">
        <f>IF(__Retrofit_TI_NC=1,CONCATENATE("TI ",G192),IF(__Retrofit_TI_NC=2,CONCATENATE("NC ",G192),G192))</f>
        <v>0</v>
      </c>
      <c r="P192" s="1396" t="s">
        <v>352</v>
      </c>
      <c r="Q192" s="1396"/>
      <c r="R192" s="673"/>
      <c r="S192" s="1429"/>
      <c r="T192" s="675"/>
      <c r="U192" s="1496"/>
      <c r="V192" s="1497"/>
      <c r="W192" s="1497"/>
      <c r="X192" s="1497"/>
      <c r="Y192" s="1497"/>
      <c r="Z192" s="1497"/>
      <c r="AA192" s="1497"/>
      <c r="AB192" s="1497"/>
      <c r="AC192" s="1497"/>
      <c r="AD192" s="1498"/>
      <c r="AE192" s="675"/>
      <c r="AF192" s="1397"/>
      <c r="AG192" s="1397"/>
      <c r="AH192" s="1397"/>
      <c r="AI192" s="1397"/>
      <c r="AJ192" s="1434"/>
      <c r="AK192" s="1436"/>
      <c r="AL192" s="1438"/>
      <c r="AM192" s="1441"/>
      <c r="AN192" s="1442"/>
      <c r="AO192" s="1447"/>
      <c r="AP192" s="1447"/>
      <c r="AQ192" s="1448"/>
      <c r="AR192" s="1452"/>
      <c r="AS192" s="1455"/>
      <c r="AT192" s="1458"/>
      <c r="AU192" s="516"/>
      <c r="AV192" s="1479"/>
      <c r="AW192" s="1479"/>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M192" s="1352"/>
      <c r="CN192" s="1352"/>
      <c r="CO192" s="1416"/>
      <c r="CP192" s="1418"/>
      <c r="CR192" s="1386"/>
      <c r="CS192" s="1355"/>
      <c r="CT192" s="1355"/>
      <c r="CU192" s="1355"/>
      <c r="CV192" s="1372"/>
      <c r="CW192" s="1372"/>
      <c r="CX192" s="1371"/>
      <c r="CY192" s="1486"/>
      <c r="CZ192" s="1486"/>
      <c r="DA192" s="1486"/>
      <c r="DC192" s="1355"/>
      <c r="DD192" s="1461"/>
      <c r="DE192" s="1355"/>
      <c r="DF192" s="1407"/>
      <c r="DG192" s="1372"/>
      <c r="DH192" s="1369"/>
      <c r="DJ192" s="1484"/>
      <c r="DL192" s="1419"/>
      <c r="DN192" s="1403"/>
      <c r="DO192" s="1405"/>
      <c r="DP192" s="1354"/>
      <c r="DQ192" s="1405"/>
      <c r="DR192" s="1403"/>
      <c r="DS192" s="1489"/>
      <c r="DU192" s="1403"/>
      <c r="DV192" s="1405"/>
      <c r="DW192" s="1403"/>
      <c r="DX192" s="1403"/>
      <c r="DZ192" s="1481"/>
      <c r="EA192" s="1481"/>
      <c r="EC192" s="1482"/>
      <c r="ED192" s="1369"/>
      <c r="EE192" s="1371"/>
      <c r="EF192" s="1369"/>
      <c r="EG192" s="1369"/>
      <c r="EH192" s="1374"/>
      <c r="EI192" s="1374"/>
      <c r="EJ192" s="1363"/>
      <c r="EK192" s="1376"/>
      <c r="EL192" s="1376"/>
      <c r="EM192" s="1362"/>
      <c r="EN192" s="1362"/>
      <c r="EO192" s="1363"/>
      <c r="EP192" s="1363"/>
      <c r="EQ192" s="1363"/>
      <c r="ES192" s="1403"/>
      <c r="EU192" s="1411"/>
      <c r="EV192" s="1411"/>
      <c r="EW192" s="1411"/>
      <c r="EX192" s="1411"/>
      <c r="EY192" s="1411"/>
      <c r="EZ192" s="1413"/>
      <c r="FB192" s="1365"/>
      <c r="FD192" s="1354"/>
      <c r="FE192" s="1354"/>
      <c r="FF192" s="138"/>
      <c r="FI192" s="1357"/>
      <c r="FJ192" s="1357"/>
      <c r="FK192" s="1365"/>
      <c r="FL192" s="1365"/>
      <c r="FM192" s="1365"/>
      <c r="FO192" s="1361"/>
      <c r="FP192" s="1361"/>
      <c r="FQ192" s="1366"/>
      <c r="FR192" s="1368"/>
      <c r="FS192" s="1361"/>
      <c r="FT192" s="1368"/>
      <c r="FU192" s="1360"/>
      <c r="FW192" s="1352"/>
      <c r="FX192" s="1352"/>
      <c r="FY192" s="1352"/>
      <c r="FZ192" s="1352"/>
      <c r="GA192" s="1352"/>
      <c r="GB192" s="1352"/>
      <c r="GC192" s="1352"/>
      <c r="GD192" s="1352"/>
      <c r="GE192" s="759"/>
      <c r="GF192" s="1035"/>
      <c r="GG192" s="1385"/>
      <c r="GI192" s="1384" t="b">
        <f>IF(AND(GL192=TRUE,GM192=TRUE),TRUE,FALSE)</f>
        <v>0</v>
      </c>
      <c r="GJ192" s="1379" t="b">
        <f>IFERROR(IF(__Retrofit_TI_NC=2,TRUE,IF(AR191="Yes",TRUE,FALSE)),FALSE)</f>
        <v>1</v>
      </c>
      <c r="GL192" s="1379" t="b">
        <f>IFERROR(IF(GL191=1,TRUE,FALSE),FALSE)</f>
        <v>0</v>
      </c>
      <c r="GM192" s="1379" t="b">
        <f>IFERROR(IF(GM191=GM$14,TRUE,FALSE),FALSE)</f>
        <v>0</v>
      </c>
      <c r="HC192" s="1379" t="b">
        <f>IFERROR(IF(M192=1,TRUE,FALSE),FALSE)</f>
        <v>0</v>
      </c>
      <c r="HD192" s="1379" t="b">
        <f>IFERROR(IF(M193=1,TRUE,FALSE),FALSE)</f>
        <v>0</v>
      </c>
      <c r="HE192" s="1379" t="b">
        <f>IFERROR(IF(__Retrofit_TI_NC&lt;&gt;0,TRUE,IFERROR(IF(VLOOKUP(U192,Fixtures_Existing_List,2,FALSE)&lt;&gt;"",TRUE,FALSE),FALSE)),FALSE)</f>
        <v>0</v>
      </c>
      <c r="HF192" s="1379" t="b">
        <f>IFERROR(IF(VLOOKUP(U193,Fixtures_Proposed_List,2,FALSE)&lt;&gt;"",TRUE,FALSE),FALSE)</f>
        <v>0</v>
      </c>
      <c r="HG192" s="1379" t="b">
        <f>IF(AND(__Retrofit_TI_NC=2,EZ191=TRUE),FALSE,TRUE)</f>
        <v>1</v>
      </c>
      <c r="HH192" s="1379" t="b">
        <f>GG191</f>
        <v>1</v>
      </c>
      <c r="HI192" s="1384" t="b">
        <f>IF(ISERROR(MATCH(FB191,_Control_Match[],0))=TRUE,FALSE,TRUE)</f>
        <v>0</v>
      </c>
      <c r="HJ192" s="1384" t="b">
        <f>IFERROR(IF(EU191&lt;&gt;EV191,FALSE,TRUE),FALSE)</f>
        <v>0</v>
      </c>
      <c r="HK192" s="1384" t="b">
        <f>IFERROR(IF(EU193&lt;&gt;EV193,FALSE,TRUE),FALSE)</f>
        <v>0</v>
      </c>
      <c r="HL192" s="1379" t="b">
        <f>IFERROR(IF(CN191="Exterior",TRUE,IF(OR(AND(FJ191=0,EW193&gt;4),AND(FJ191=4,EW193&gt;4,EW193&lt;7)),FALSE,TRUE)),FALSE)</f>
        <v>0</v>
      </c>
      <c r="HM192" s="1379" t="b">
        <f>IFERROR(IF(AND(FL193=7,EZ191=TRUE),FALSE,TRUE),FALSE)</f>
        <v>0</v>
      </c>
      <c r="HN192" s="1379" t="b">
        <f>IFERROR(IF(AND(T193&lt;&gt;AE193,AF193="Interior LLLC")=TRUE,FALSE,TRUE),FALSE)</f>
        <v>1</v>
      </c>
      <c r="HO192" s="1379" t="b">
        <f>IFERROR(IF(OR(AF193=Lookup!AU$13,AF193=Lookup!AU$14)=TRUE,IF(AE193&gt;T193,FALSE,TRUE),TRUE),FALSE)</f>
        <v>1</v>
      </c>
      <c r="HP192" s="1379" t="b">
        <f>IFERROR(IF(__Retrofit_TI_NC=2,IF(EW193&lt;EW191,FALSE,TRUE),TRUE),FALSE)</f>
        <v>1</v>
      </c>
      <c r="HQ192" s="1379" t="b">
        <f>IF(CN191="Interior",IG$6,TRUE)</f>
        <v>1</v>
      </c>
      <c r="HR192" s="1379" t="b">
        <f>IF(CN191="Exterior",IG$8,TRUE)</f>
        <v>1</v>
      </c>
      <c r="HS192" s="1379" t="b">
        <f>IFERROR(IF(__Retrofit_TI_NC&lt;&gt;0,IF(AW191&lt;AV191,FALSE,TRUE),TRUE),FALSE)</f>
        <v>1</v>
      </c>
      <c r="HT192" s="1379" t="b">
        <f>IFERROR(IF(AND(G192="Exterior",R192&gt;4200),FALSE,TRUE),FALSE)</f>
        <v>1</v>
      </c>
      <c r="HU192" s="1379" t="b">
        <f>IFERROR(IF(AB194/AB191&lt;HU$18,FALSE,TRUE),FALSE)</f>
        <v>0</v>
      </c>
      <c r="HW192" s="1382"/>
      <c r="HX192" s="1378"/>
      <c r="HY192" s="1377" t="str">
        <f>VLOOKUP(HW194,_Error_Table,4,FALSE)</f>
        <v>White</v>
      </c>
      <c r="HZ192" s="436"/>
      <c r="IA192" s="1386"/>
      <c r="IB192" s="1380"/>
      <c r="IC192" s="1379"/>
      <c r="IF192" s="1380"/>
      <c r="IG192" s="1382"/>
      <c r="IH192" s="1382"/>
      <c r="II192" s="1382"/>
      <c r="IK192" s="1351"/>
      <c r="IL192" s="1351"/>
      <c r="IM192" s="1351"/>
      <c r="IN192" s="1351"/>
      <c r="IO192" s="1351"/>
      <c r="IP192" s="1351"/>
    </row>
    <row r="193" spans="1:250" s="82" customFormat="1" ht="14.95" customHeight="1" thickTop="1" thickBot="1">
      <c r="A193" s="82">
        <f>ROW()</f>
        <v>193</v>
      </c>
      <c r="B193" s="1421"/>
      <c r="C193" s="1422"/>
      <c r="D193" s="1423"/>
      <c r="E193" s="1393" t="s">
        <v>245</v>
      </c>
      <c r="F193" s="1394"/>
      <c r="G193" s="1398"/>
      <c r="H193" s="1399"/>
      <c r="I193" s="1399"/>
      <c r="J193" s="1399"/>
      <c r="K193" s="1399"/>
      <c r="L193" s="1400"/>
      <c r="M193" s="509">
        <f>IFERROR(IF(IF(__Retrofit_TI_NC&lt;&gt;0,IF(CN191="Interior",MATCH(G193,Lookup_Interior_New,0),MATCH(G193,Lookup_Exterior_New,0)),IF(CN191="Interior",MATCH(G193,Lookup_Interior,0),MATCH(G193,Lookup_Exterior_Areas,0)))&gt;0,1,0),0)</f>
        <v>0</v>
      </c>
      <c r="N193" s="509" t="e">
        <f>IF(__Retrofit_TI_NC=1,
VLOOKUP(G193,'Space Table'!$B$3:$L$160,4,FALSE),
IF(__Retrofit_TI_NC=2,VLOOKUP(G193,'Space Table'!$B$3:$L$160,5,FALSE),VLOOKUP(G193,'Space Table'!$B$3:$L$160,5,FALSE)))</f>
        <v>#N/A</v>
      </c>
      <c r="O193" s="509">
        <f>G193</f>
        <v>0</v>
      </c>
      <c r="P193" s="1394" t="s">
        <v>355</v>
      </c>
      <c r="Q193" s="1394"/>
      <c r="R193" s="674"/>
      <c r="S193" s="1401" t="s">
        <v>284</v>
      </c>
      <c r="T193" s="672"/>
      <c r="U193" s="1499"/>
      <c r="V193" s="1500"/>
      <c r="W193" s="1500"/>
      <c r="X193" s="1500"/>
      <c r="Y193" s="1500"/>
      <c r="Z193" s="1500"/>
      <c r="AA193" s="1500"/>
      <c r="AB193" s="1501"/>
      <c r="AC193" s="1501"/>
      <c r="AD193" s="1502"/>
      <c r="AE193" s="672"/>
      <c r="AF193" s="1474"/>
      <c r="AG193" s="1474"/>
      <c r="AH193" s="1474"/>
      <c r="AI193" s="1474"/>
      <c r="AJ193" s="1475">
        <f>DF193</f>
        <v>0</v>
      </c>
      <c r="AK193" s="1470" t="str">
        <f>IFERROR(ROUND(AJ193*AC194,0),"")</f>
        <v/>
      </c>
      <c r="AL193" s="1472">
        <f>IFERROR(IF(HW191=FALSE,0,AC194-AK193),0)</f>
        <v>0</v>
      </c>
      <c r="AM193" s="1441"/>
      <c r="AN193" s="1442"/>
      <c r="AO193" s="1447"/>
      <c r="AP193" s="1447"/>
      <c r="AQ193" s="1448"/>
      <c r="AR193" s="1452"/>
      <c r="AS193" s="1455"/>
      <c r="AT193" s="1458"/>
      <c r="AU193" s="516"/>
      <c r="AV193" s="1479"/>
      <c r="AW193" s="1479"/>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M193" s="1352"/>
      <c r="CN193" s="1352"/>
      <c r="CO193" s="1415" t="str">
        <f>CN191</f>
        <v/>
      </c>
      <c r="CP193" s="1417" t="e">
        <f>CP191</f>
        <v>#N/A</v>
      </c>
      <c r="CR193" s="1386" t="s">
        <v>284</v>
      </c>
      <c r="CS193" s="1353">
        <f>IF(HW191=TRUE,T193,0)</f>
        <v>0</v>
      </c>
      <c r="CT193" s="1353" t="str">
        <f>IF(HW191=TRUE,U193,"")</f>
        <v/>
      </c>
      <c r="CU193" s="1373">
        <f>IF(HW191=TRUE,U194,0)</f>
        <v>0</v>
      </c>
      <c r="CV193" s="1370">
        <f>IF(HW191=TRUE,AB194,0)</f>
        <v>0</v>
      </c>
      <c r="CW193" s="1370">
        <f>IF(HW191=TRUE,AC194,0)</f>
        <v>0</v>
      </c>
      <c r="CX193" s="1371"/>
      <c r="CY193" s="1486"/>
      <c r="CZ193" s="1486"/>
      <c r="DA193" s="1486"/>
      <c r="DC193" s="1353">
        <f>IF(HW191=TRUE,AE193,0)</f>
        <v>0</v>
      </c>
      <c r="DD193" s="1353" t="str">
        <f>IF(HW191=TRUE,AF193,"")</f>
        <v/>
      </c>
      <c r="DE193" s="1373">
        <f>AF194</f>
        <v>0</v>
      </c>
      <c r="DF193" s="1406">
        <f>IFERROR(IF(FL193=3,IK193,IF(FL193=4,IL193,IF(FL193=5,IM193,IF(FL193=6,IN193,IF(FL193=7,IO193,IF(FL193=8,IP193,0)))))),0)</f>
        <v>0</v>
      </c>
      <c r="DG193" s="1370">
        <f>IF(HW191=TRUE,AK193,0)</f>
        <v>0</v>
      </c>
      <c r="DH193" s="1369"/>
      <c r="DK193" s="1483">
        <f>IFERROR(CW193-DG193,0)</f>
        <v>0</v>
      </c>
      <c r="DL193" s="1420"/>
      <c r="DN193" s="1403"/>
      <c r="DO193" s="1477" t="str">
        <f>DN191</f>
        <v/>
      </c>
      <c r="DP193" s="1354"/>
      <c r="DQ193" s="1477" t="str">
        <f>IF(DP191=7,"LLLC","")</f>
        <v/>
      </c>
      <c r="DR193" s="1403"/>
      <c r="DS193" s="1489"/>
      <c r="DU193" s="1403"/>
      <c r="DV193" s="1404" t="str">
        <f>DU191</f>
        <v/>
      </c>
      <c r="DW193" s="1403"/>
      <c r="DX193" s="1403"/>
      <c r="DZ193" s="1481"/>
      <c r="EA193" s="1481"/>
      <c r="EC193" s="1482"/>
      <c r="ED193" s="1369"/>
      <c r="EE193" s="1371"/>
      <c r="EF193" s="1369"/>
      <c r="EG193" s="1369"/>
      <c r="EH193" s="1374"/>
      <c r="EI193" s="1374"/>
      <c r="EJ193" s="1363"/>
      <c r="EK193" s="1376"/>
      <c r="EL193" s="1376"/>
      <c r="EM193" s="1362"/>
      <c r="EN193" s="1362"/>
      <c r="EO193" s="1363"/>
      <c r="EP193" s="1363"/>
      <c r="EQ193" s="1363"/>
      <c r="ES193" s="1403"/>
      <c r="EU193" s="1411" t="e">
        <f>VLOOKUP(CP193,'Space Table'!$B$3:$L$160,8,FALSE)</f>
        <v>#N/A</v>
      </c>
      <c r="EV193" s="1411" t="e">
        <f>IF(EY193="Yes",VLOOKUP(AF193,Lookup_Control_Type_Table2,4,FALSE),VLOOKUP(AF193,Lookup_Control_Type_Table2,3,FALSE))</f>
        <v>#N/A</v>
      </c>
      <c r="EW193" s="1411" t="e">
        <f>VLOOKUP(AF193,Lookup!AU$3:AV$15,2,FALSE)</f>
        <v>#N/A</v>
      </c>
      <c r="EX193" s="1411" t="e">
        <f>VLOOKUP(EU191,Lookup_Control_Type_Table,2,FALSE)</f>
        <v>#N/A</v>
      </c>
      <c r="EY193" s="1411" t="e">
        <f>VLOOKUP(CP193,'Space Table'!$B$3:$L$160,7,FALSE)</f>
        <v>#N/A</v>
      </c>
      <c r="EZ193" s="1413"/>
      <c r="FB193" s="1365" t="str">
        <f>CONCATENATE(CN191," - ",AF193)</f>
        <v xml:space="preserve"> - </v>
      </c>
      <c r="FD193" s="1354"/>
      <c r="FE193" s="1354"/>
      <c r="FF193" s="138"/>
      <c r="FI193" s="1356" t="str">
        <f>IF(CN191="Exterior","Not Daylighted",G194)</f>
        <v>Not Daylighted</v>
      </c>
      <c r="FJ193" s="1356">
        <f>VLOOKUP(FI193,_Daylight_Table_Codes,2,FALSE)</f>
        <v>0</v>
      </c>
      <c r="FK193" s="1365">
        <f>AF193</f>
        <v>0</v>
      </c>
      <c r="FL193" s="1365" t="e">
        <f>VLOOKUP(FK193,_Control_Table,2,FALSE)</f>
        <v>#N/A</v>
      </c>
      <c r="FM193" s="1365" t="e">
        <f>IF(AND(FP193&gt;0,FK193="Occupancy Sensor"),"Daylight + Occupancy",IF(AND(FP193&gt;0,FL193&lt;4),"Interior Daylight Dimming",FK193))</f>
        <v>#N/A</v>
      </c>
      <c r="FO193" s="1364">
        <f>IF(CN191="Interior",VLOOKUP(CP191,Control_Savings_Interior,5,FALSE),0)</f>
        <v>0</v>
      </c>
      <c r="FP193" s="1361">
        <f>IF(CN193="Exterior",0,IF(FJ193=2,0.5,IF(OR(FJ193=1,FJ193=3),1,0)))</f>
        <v>0</v>
      </c>
      <c r="FQ193" s="1366">
        <f>IF(R192&gt;FO$37,(FO193*(FO$37/R192)),FO193)*FP193</f>
        <v>0</v>
      </c>
      <c r="FR193" s="1364">
        <f>DF193</f>
        <v>0</v>
      </c>
      <c r="FS193" s="1364">
        <f>ROUND(FR193+((1-FR193)*FQ193),2)</f>
        <v>0</v>
      </c>
      <c r="FT193" s="1364">
        <f>IF(__Retrofit_TI_NC=2,FS193,FR193)</f>
        <v>0</v>
      </c>
      <c r="FU193" s="1360">
        <f>IF(CO193="Interior",VLOOKUP(CP193,Control_Savings_Interior,4,FALSE),0)</f>
        <v>0</v>
      </c>
      <c r="FW193" s="1352"/>
      <c r="FX193" s="1352"/>
      <c r="FY193" s="1352"/>
      <c r="FZ193" s="1352"/>
      <c r="GA193" s="1352"/>
      <c r="GB193" s="1352"/>
      <c r="GC193" s="1352"/>
      <c r="GD193" s="1352"/>
      <c r="GE193" s="759" t="b">
        <f>IF(ISNUMBER(SEARCH("TLED",U193)),TRUE,FALSE)</f>
        <v>0</v>
      </c>
      <c r="GF193" s="1035" t="str">
        <f>IFERROR(VLOOKUP(U193,Fixtures!DM$93:DR$142,6,FALSE),"")</f>
        <v/>
      </c>
      <c r="GG193" s="1385"/>
      <c r="GI193" s="1383"/>
      <c r="GJ193" s="1379"/>
      <c r="GL193" s="1379"/>
      <c r="GM193" s="1379"/>
      <c r="HC193" s="1379"/>
      <c r="HD193" s="1379"/>
      <c r="HE193" s="1379"/>
      <c r="HF193" s="1379"/>
      <c r="HG193" s="1379"/>
      <c r="HH193" s="1379"/>
      <c r="HI193" s="1383"/>
      <c r="HJ193" s="1383"/>
      <c r="HK193" s="1383"/>
      <c r="HL193" s="1379"/>
      <c r="HM193" s="1379"/>
      <c r="HN193" s="1379"/>
      <c r="HO193" s="1379"/>
      <c r="HP193" s="1379"/>
      <c r="HQ193" s="1379"/>
      <c r="HR193" s="1379"/>
      <c r="HS193" s="1379"/>
      <c r="HT193" s="1379"/>
      <c r="HU193" s="1379"/>
      <c r="HW193" s="1383"/>
      <c r="HX193" s="1384" t="b">
        <f>HW191</f>
        <v>0</v>
      </c>
      <c r="HY193" s="1378"/>
      <c r="HZ193" s="436"/>
      <c r="IA193" s="1386"/>
      <c r="IB193" s="1380">
        <f>IF(IA191=TRUE,AC194,0)</f>
        <v>0</v>
      </c>
      <c r="IC193" s="1379"/>
      <c r="IF193" s="1380" t="e">
        <f>ROUND(T193*AB194*N192*R192/1000,0)</f>
        <v>#VALUE!</v>
      </c>
      <c r="IG193" s="1382"/>
      <c r="IH193" s="1384" t="e">
        <f>ROUND(T193*AB194*N192*R192/1000,0)</f>
        <v>#VALUE!</v>
      </c>
      <c r="II193" s="1382"/>
      <c r="IK193" s="1351" t="e">
        <f>IF($CO193="interior",IL193/2,VLOOKUP($CP193,Control_Savings_Exterior,IK$30,FALSE))</f>
        <v>#N/A</v>
      </c>
      <c r="IL193" s="1351" t="e">
        <f>IF($CO193="interior",VLOOKUP($CP193,Control_Savings_Interior,IL$30,FALSE),VLOOKUP($CP193,Control_Savings_Exterior,IL$30,FALSE))</f>
        <v>#N/A</v>
      </c>
      <c r="IM193" s="1351" t="e">
        <f>IF($CO193="interior",IF(R192&gt;FO$37,(IM$28*(FO$37/R192)),IM$28)*FP193,VLOOKUP($CP193,Control_Savings_Exterior,IM$30,FALSE))</f>
        <v>#N/A</v>
      </c>
      <c r="IN193" s="1351" t="e">
        <f>IF($CO193="interior",ROUND(((1-IL193)*IM193)+IL193,2),VLOOKUP($CP193,Control_Savings_Exterior,IN$30,FALSE))</f>
        <v>#N/A</v>
      </c>
      <c r="IO193" s="1351" t="e">
        <f>IF($CO193="interior", ROUND(((1-IL193)*(IM193*(1-IP$28)))+IP193,2), VLOOKUP($CP193,Control_Savings_Exterior,IO$30,FALSE))</f>
        <v>#N/A</v>
      </c>
      <c r="IP193" s="1351">
        <f>IF($CO193="interior",ROUND(((1-IL193)*IP$28)+IL193,2),0)</f>
        <v>0</v>
      </c>
    </row>
    <row r="194" spans="1:250" s="82" customFormat="1" ht="14.95" customHeight="1" thickTop="1" thickBot="1">
      <c r="B194" s="1421"/>
      <c r="C194" s="1422"/>
      <c r="D194" s="1423"/>
      <c r="E194" s="1462" t="s">
        <v>357</v>
      </c>
      <c r="F194" s="1463"/>
      <c r="G194" s="1464" t="s">
        <v>362</v>
      </c>
      <c r="H194" s="1465"/>
      <c r="I194" s="1465"/>
      <c r="J194" s="1465"/>
      <c r="K194" s="1465"/>
      <c r="L194" s="1466"/>
      <c r="M194" s="669">
        <f>IFERROR(VLOOKUP(G194,_Daylight_Table[],2,FALSE),0)</f>
        <v>0</v>
      </c>
      <c r="N194" s="670"/>
      <c r="O194" s="669" t="e">
        <f>VLOOKUP(G193,'Space Table'!$B$3:$L$160,11,FALSE)</f>
        <v>#N/A</v>
      </c>
      <c r="P194" s="1408"/>
      <c r="Q194" s="1409"/>
      <c r="R194" s="1409"/>
      <c r="S194" s="1402"/>
      <c r="T194" s="671" t="s">
        <v>281</v>
      </c>
      <c r="U194" s="1467" t="str">
        <f>IFERROR(VLOOKUP(U193,Fixtures!DM$93:DP$142,4,FALSE),"")</f>
        <v/>
      </c>
      <c r="V194" s="1468"/>
      <c r="W194" s="1468"/>
      <c r="X194" s="1468"/>
      <c r="Y194" s="1468"/>
      <c r="Z194" s="1468"/>
      <c r="AA194" s="1468"/>
      <c r="AB194" s="1046" t="str">
        <f>IFERROR(VLOOKUP(U193,Fixtures_Proposed_List,2,FALSE),"")</f>
        <v/>
      </c>
      <c r="AC194" s="1036" t="str">
        <f>IFERROR(ROUND(T193*AB194*N192*R192/1000,0),"")</f>
        <v/>
      </c>
      <c r="AD194" s="1037" t="str">
        <f>IFERROR(ROUND(T193*AB194/1000,2),"")</f>
        <v/>
      </c>
      <c r="AE194" s="1045" t="s">
        <v>281</v>
      </c>
      <c r="AF194" s="1469"/>
      <c r="AG194" s="1469"/>
      <c r="AH194" s="1469"/>
      <c r="AI194" s="1469"/>
      <c r="AJ194" s="1476"/>
      <c r="AK194" s="1471"/>
      <c r="AL194" s="1473"/>
      <c r="AM194" s="1443"/>
      <c r="AN194" s="1444"/>
      <c r="AO194" s="1449"/>
      <c r="AP194" s="1449"/>
      <c r="AQ194" s="1450"/>
      <c r="AR194" s="1453"/>
      <c r="AS194" s="1456"/>
      <c r="AT194" s="1459"/>
      <c r="AU194" s="517"/>
      <c r="AV194" s="1480"/>
      <c r="AW194" s="1480"/>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M194" s="1352"/>
      <c r="CN194" s="1352"/>
      <c r="CO194" s="1416"/>
      <c r="CP194" s="1418"/>
      <c r="CR194" s="1386"/>
      <c r="CS194" s="1355"/>
      <c r="CT194" s="1355"/>
      <c r="CU194" s="1375"/>
      <c r="CV194" s="1372"/>
      <c r="CW194" s="1372"/>
      <c r="CX194" s="1372"/>
      <c r="CY194" s="1487"/>
      <c r="CZ194" s="1487"/>
      <c r="DA194" s="1487"/>
      <c r="DC194" s="1355"/>
      <c r="DD194" s="1355"/>
      <c r="DE194" s="1375"/>
      <c r="DF194" s="1407"/>
      <c r="DG194" s="1372"/>
      <c r="DH194" s="1369"/>
      <c r="DK194" s="1484"/>
      <c r="DL194" s="1420"/>
      <c r="DN194" s="1403"/>
      <c r="DO194" s="1405"/>
      <c r="DP194" s="1355"/>
      <c r="DQ194" s="1405"/>
      <c r="DR194" s="1403"/>
      <c r="DS194" s="1489"/>
      <c r="DU194" s="1403"/>
      <c r="DV194" s="1405"/>
      <c r="DW194" s="1403"/>
      <c r="DX194" s="1403"/>
      <c r="DZ194" s="1481"/>
      <c r="EA194" s="1481"/>
      <c r="EC194" s="1482"/>
      <c r="ED194" s="1369"/>
      <c r="EE194" s="1372"/>
      <c r="EF194" s="1369"/>
      <c r="EG194" s="1369"/>
      <c r="EH194" s="1375"/>
      <c r="EI194" s="1375"/>
      <c r="EJ194" s="1363"/>
      <c r="EK194" s="1376"/>
      <c r="EL194" s="1376"/>
      <c r="EM194" s="1362"/>
      <c r="EN194" s="1362"/>
      <c r="EO194" s="1363"/>
      <c r="EP194" s="1363"/>
      <c r="EQ194" s="1363"/>
      <c r="ES194" s="1403"/>
      <c r="EU194" s="1488"/>
      <c r="EV194" s="1488"/>
      <c r="EW194" s="1488"/>
      <c r="EX194" s="1488"/>
      <c r="EY194" s="1488"/>
      <c r="EZ194" s="1414"/>
      <c r="FB194" s="1365"/>
      <c r="FD194" s="1355"/>
      <c r="FE194" s="1355"/>
      <c r="FF194" s="138"/>
      <c r="FI194" s="1357"/>
      <c r="FJ194" s="1357"/>
      <c r="FK194" s="1365"/>
      <c r="FL194" s="1365"/>
      <c r="FM194" s="1365"/>
      <c r="FO194" s="1361"/>
      <c r="FP194" s="1361"/>
      <c r="FQ194" s="1366"/>
      <c r="FR194" s="1361"/>
      <c r="FS194" s="1361"/>
      <c r="FT194" s="1361"/>
      <c r="FU194" s="1360"/>
      <c r="FW194" s="1352"/>
      <c r="FX194" s="1352"/>
      <c r="FY194" s="1352"/>
      <c r="FZ194" s="1352"/>
      <c r="GA194" s="1352"/>
      <c r="GB194" s="1352"/>
      <c r="GC194" s="1352"/>
      <c r="GD194" s="1352"/>
      <c r="GE194" s="759"/>
      <c r="GF194" s="1035"/>
      <c r="GG194" s="1385"/>
      <c r="GJ194" s="1034">
        <f>IF(GJ192=TRUE,0,GJ$16)</f>
        <v>0</v>
      </c>
      <c r="GL194" s="1034">
        <f>IF(GL192=TRUE,0,GL$16)</f>
        <v>36</v>
      </c>
      <c r="GM194" s="1034">
        <f>IF(GM192=TRUE,0,GM$16)</f>
        <v>35</v>
      </c>
      <c r="GN194" s="436"/>
      <c r="GO194" s="436"/>
      <c r="GP194" s="436"/>
      <c r="GQ194" s="436"/>
      <c r="GR194" s="436"/>
      <c r="HC194" s="1034">
        <f t="shared" ref="HC194:HH194" si="130">IF(HC192=TRUE,0,HC$16)</f>
        <v>19</v>
      </c>
      <c r="HD194" s="1034">
        <f t="shared" si="130"/>
        <v>18</v>
      </c>
      <c r="HE194" s="1034">
        <f t="shared" si="130"/>
        <v>17</v>
      </c>
      <c r="HF194" s="1034">
        <f t="shared" si="130"/>
        <v>16</v>
      </c>
      <c r="HG194" s="1034">
        <f t="shared" si="130"/>
        <v>0</v>
      </c>
      <c r="HH194" s="1034">
        <f t="shared" si="130"/>
        <v>0</v>
      </c>
      <c r="HI194" s="1034">
        <f>IF(HI192=TRUE,0,HI$16)</f>
        <v>13</v>
      </c>
      <c r="HJ194" s="1034">
        <f t="shared" ref="HJ194:HL194" si="131">IF(HJ192=TRUE,0,HJ$16)</f>
        <v>12</v>
      </c>
      <c r="HK194" s="1034">
        <f t="shared" si="131"/>
        <v>11</v>
      </c>
      <c r="HL194" s="1034">
        <f t="shared" si="131"/>
        <v>10</v>
      </c>
      <c r="HM194" s="1034">
        <f>IF(HM192=TRUE,0,HM$16)</f>
        <v>9</v>
      </c>
      <c r="HN194" s="1034">
        <f t="shared" ref="HN194:HR194" si="132">IF(HN192=TRUE,0,HN$16)</f>
        <v>0</v>
      </c>
      <c r="HO194" s="1034">
        <f t="shared" si="132"/>
        <v>0</v>
      </c>
      <c r="HP194" s="1034">
        <f t="shared" si="132"/>
        <v>0</v>
      </c>
      <c r="HQ194" s="1034">
        <f t="shared" si="132"/>
        <v>0</v>
      </c>
      <c r="HR194" s="1034">
        <f t="shared" si="132"/>
        <v>0</v>
      </c>
      <c r="HS194" s="1034">
        <f>IF(HS192=TRUE,0,HS$16)</f>
        <v>0</v>
      </c>
      <c r="HT194" s="1034">
        <f t="shared" ref="HT194" si="133">IF(HT192=TRUE,0,HT$16)</f>
        <v>0</v>
      </c>
      <c r="HU194" s="1034">
        <f>IF(HU192=TRUE,0,HU$16)</f>
        <v>1</v>
      </c>
      <c r="HW194" s="1034">
        <f>IF(GL192=FALSE,GL194,IF(GM192=FALSE,GM194,MAX(GJ194:HU194)))</f>
        <v>36</v>
      </c>
      <c r="HX194" s="1383"/>
      <c r="HY194" s="241" t="str">
        <f>VLOOKUP(HW194,_Error_Table,3,FALSE)</f>
        <v xml:space="preserve"> </v>
      </c>
      <c r="HZ194" s="241"/>
      <c r="IA194" s="1386"/>
      <c r="IB194" s="1380"/>
      <c r="IC194" s="1379"/>
      <c r="IF194" s="1380"/>
      <c r="IG194" s="1383"/>
      <c r="IH194" s="1383"/>
      <c r="II194" s="1383"/>
      <c r="IK194" s="1351"/>
      <c r="IL194" s="1351"/>
      <c r="IM194" s="1351"/>
      <c r="IN194" s="1351"/>
      <c r="IO194" s="1351"/>
      <c r="IP194" s="1351"/>
    </row>
    <row r="195" spans="1:250" s="82" customFormat="1" ht="5.0999999999999996" customHeight="1" thickBot="1">
      <c r="B195" s="763"/>
      <c r="C195" s="1038"/>
      <c r="D195" s="1038"/>
      <c r="E195" s="1490"/>
      <c r="F195" s="1490"/>
      <c r="G195" s="1490"/>
      <c r="H195" s="1490"/>
      <c r="I195" s="1490"/>
      <c r="J195" s="1490"/>
      <c r="K195" s="1490"/>
      <c r="L195" s="1490"/>
      <c r="M195" s="1490"/>
      <c r="N195" s="1490"/>
      <c r="O195" s="1490"/>
      <c r="P195" s="1490"/>
      <c r="Q195" s="1490"/>
      <c r="R195" s="1490"/>
      <c r="S195" s="1490"/>
      <c r="T195" s="1490"/>
      <c r="U195" s="1490"/>
      <c r="V195" s="1490"/>
      <c r="W195" s="1490"/>
      <c r="X195" s="1490"/>
      <c r="Y195" s="1490"/>
      <c r="Z195" s="1490"/>
      <c r="AA195" s="1490"/>
      <c r="AB195" s="1490"/>
      <c r="AC195" s="1490"/>
      <c r="AD195" s="1490"/>
      <c r="AE195" s="1490"/>
      <c r="AF195" s="1490"/>
      <c r="AG195" s="1490"/>
      <c r="AH195" s="1490"/>
      <c r="AI195" s="1490"/>
      <c r="AJ195" s="1490"/>
      <c r="AK195" s="1490"/>
      <c r="AL195" s="1490"/>
      <c r="AM195" s="1490"/>
      <c r="AN195" s="1490"/>
      <c r="AO195" s="1490"/>
      <c r="AP195" s="1490"/>
      <c r="AQ195" s="1490"/>
      <c r="AR195" s="1490"/>
      <c r="AS195" s="1490"/>
      <c r="AT195" s="1490"/>
      <c r="AU195" s="1041"/>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M195" s="749"/>
      <c r="CN195" s="749"/>
      <c r="CO195" s="1043"/>
      <c r="CP195" s="749"/>
      <c r="CS195" s="436"/>
      <c r="CT195" s="436"/>
      <c r="CU195" s="243"/>
      <c r="CV195" s="244"/>
      <c r="CW195" s="244"/>
      <c r="CX195" s="244"/>
      <c r="CY195" s="245"/>
      <c r="CZ195" s="245"/>
      <c r="DA195" s="245"/>
      <c r="DC195" s="750"/>
      <c r="DD195" s="751"/>
      <c r="DE195" s="752"/>
      <c r="DF195" s="753"/>
      <c r="DG195" s="754"/>
      <c r="DH195" s="754"/>
      <c r="DK195" s="244"/>
      <c r="DL195" s="750"/>
      <c r="DN195" s="750"/>
      <c r="DO195" s="755"/>
      <c r="DP195" s="436"/>
      <c r="DQ195" s="750"/>
      <c r="DR195" s="750"/>
      <c r="DS195" s="750"/>
      <c r="DU195" s="750"/>
      <c r="DV195" s="750"/>
      <c r="DW195" s="750"/>
      <c r="DX195" s="750"/>
      <c r="DZ195" s="756"/>
      <c r="EA195" s="756"/>
      <c r="EC195" s="754"/>
      <c r="ED195" s="754"/>
      <c r="EE195" s="244"/>
      <c r="EF195" s="754"/>
      <c r="EG195" s="754"/>
      <c r="EH195" s="243"/>
      <c r="EI195" s="243"/>
      <c r="EJ195" s="752"/>
      <c r="EK195" s="757"/>
      <c r="EL195" s="757"/>
      <c r="EM195" s="758"/>
      <c r="EN195" s="758"/>
      <c r="EO195" s="752"/>
      <c r="EP195" s="752"/>
      <c r="EQ195" s="752"/>
      <c r="ES195" s="750"/>
      <c r="EU195" s="436"/>
      <c r="EV195" s="436"/>
      <c r="EW195" s="436"/>
      <c r="EX195" s="436"/>
      <c r="EY195" s="436"/>
      <c r="EZ195" s="436"/>
      <c r="FB195" s="643"/>
      <c r="FD195" s="436"/>
      <c r="FE195" s="436"/>
      <c r="FF195" s="436"/>
      <c r="FO195" s="750"/>
      <c r="FP195" s="436"/>
      <c r="FQ195" s="436"/>
      <c r="FR195" s="750"/>
      <c r="FS195" s="750"/>
      <c r="FW195" s="749"/>
      <c r="FX195" s="749"/>
      <c r="FY195" s="749"/>
      <c r="FZ195" s="749"/>
      <c r="GA195" s="749"/>
      <c r="GB195" s="749"/>
      <c r="GC195" s="749"/>
      <c r="GD195" s="749"/>
      <c r="GE195" s="751"/>
      <c r="GF195" s="750"/>
      <c r="GG195" s="750"/>
    </row>
    <row r="196" spans="1:250" s="82" customFormat="1" ht="14.95" customHeight="1" thickTop="1" thickBot="1">
      <c r="B196" s="1421" t="str">
        <f>HY199</f>
        <v xml:space="preserve"> </v>
      </c>
      <c r="C196" s="1422">
        <f>C191+1</f>
        <v>31</v>
      </c>
      <c r="D196" s="1423"/>
      <c r="E196" s="1424" t="s">
        <v>242</v>
      </c>
      <c r="F196" s="1425"/>
      <c r="G196" s="1426"/>
      <c r="H196" s="1427"/>
      <c r="I196" s="1427"/>
      <c r="J196" s="1427"/>
      <c r="K196" s="1427"/>
      <c r="L196" s="1427"/>
      <c r="M196" s="1427"/>
      <c r="N196" s="1427"/>
      <c r="O196" s="1427"/>
      <c r="P196" s="1427"/>
      <c r="Q196" s="1427"/>
      <c r="R196" s="1427"/>
      <c r="S196" s="1428" t="s">
        <v>283</v>
      </c>
      <c r="T196" s="668" t="s">
        <v>190</v>
      </c>
      <c r="U196" s="1430" t="s">
        <v>186</v>
      </c>
      <c r="V196" s="1431"/>
      <c r="W196" s="1431"/>
      <c r="X196" s="1431"/>
      <c r="Y196" s="1431"/>
      <c r="Z196" s="1431"/>
      <c r="AA196" s="1431"/>
      <c r="AB196" s="1088" t="str">
        <f>IFERROR(IF(__Retrofit_TI_NC=0,VLOOKUP(U197,Fixtures_Existing_List,2,FALSE),ROUND(N198*R198/T198,10)),"")</f>
        <v/>
      </c>
      <c r="AC196" s="1039" t="str">
        <f>IFERROR(IF(__Retrofit_TI_NC=0,ROUND(T197*AB196*N197*R197/1000,0),IF(CN196="Interior",N198*R198*R197*N197*_C406_reduction/1000,N198*R198*R197*N197/1000)),"")</f>
        <v/>
      </c>
      <c r="AD196" s="1040" t="str">
        <f>IFERROR(IF(C$36=0,ROUND(T197*AB196/1000,2),N198*R198/1000),"")</f>
        <v/>
      </c>
      <c r="AE196" s="1044" t="s">
        <v>190</v>
      </c>
      <c r="AF196" s="1432" t="str">
        <f>IF(__Retrofit_TI_NC=2,CONCATENATE("Code min = ",DD196),IF(__Retrofit_TI_NC=1,"Emter what you think the existing control was"," Control"))</f>
        <v xml:space="preserve"> Control</v>
      </c>
      <c r="AG196" s="1432"/>
      <c r="AH196" s="1432"/>
      <c r="AI196" s="1432"/>
      <c r="AJ196" s="1433">
        <f>DF196</f>
        <v>0</v>
      </c>
      <c r="AK196" s="1435" t="str">
        <f>IFERROR(ROUND(AJ196*AC196,0),"")</f>
        <v/>
      </c>
      <c r="AL196" s="1437">
        <f>IFERROR(IF(HW196=FALSE,0,AC196-AK196),0)</f>
        <v>0</v>
      </c>
      <c r="AM196" s="1439">
        <f>AL196-AL198</f>
        <v>0</v>
      </c>
      <c r="AN196" s="1440"/>
      <c r="AO196" s="1445">
        <f>IFERROR(IF(HW196=FALSE,0,(T198*U199)+(AE198*AF199)),0)</f>
        <v>0</v>
      </c>
      <c r="AP196" s="1445"/>
      <c r="AQ196" s="1446"/>
      <c r="AR196" s="1451" t="s">
        <v>157</v>
      </c>
      <c r="AS196" s="1454">
        <f>IF(AR196="Yes",1,0)</f>
        <v>1</v>
      </c>
      <c r="AT196" s="1457" t="str">
        <f>IF(OR(DN196=4,DN196=5,DN196=6,DN196=12),CONCATENATE("$",IF(GD196=TRUE,Lookup!$B$11,Lookup!$B$2)," /lamp"),CONCATENATE(EA196,"/ kWh"))</f>
        <v>0/ kWh</v>
      </c>
      <c r="AU196" s="516"/>
      <c r="AV196" s="1478">
        <f>IFERROR(IF(GI197=TRUE,(AB199*T198)/R198,0),"NA")</f>
        <v>0</v>
      </c>
      <c r="AW196" s="1478" t="str">
        <f>IFERROR(N198*_C406_reduction,"NA")</f>
        <v>NA</v>
      </c>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M196" s="1352" t="str">
        <f>N197</f>
        <v/>
      </c>
      <c r="CN196" s="1352" t="str">
        <f>IFERROR(VLOOKUP(G197,_Lookup_Heat_Type_Table_New,3,FALSE),"")</f>
        <v/>
      </c>
      <c r="CO196" s="1415" t="str">
        <f>CN196</f>
        <v/>
      </c>
      <c r="CP196" s="1417" t="e">
        <f>VLOOKUP(G198,'Space Table'!$B$3:$L$160,9,FALSE)</f>
        <v>#N/A</v>
      </c>
      <c r="CR196" s="1386" t="s">
        <v>283</v>
      </c>
      <c r="CS196" s="1353">
        <f>IF(HW196=TRUE,T197,0)</f>
        <v>0</v>
      </c>
      <c r="CT196" s="1353" t="str">
        <f>IF(HW196=TRUE,U197,"")</f>
        <v/>
      </c>
      <c r="CU196" s="1353"/>
      <c r="CV196" s="1370">
        <f>IF(HW196=TRUE,AB196,0)</f>
        <v>0</v>
      </c>
      <c r="CW196" s="1370">
        <f>IF(HW196=TRUE,AC196,0)</f>
        <v>0</v>
      </c>
      <c r="CX196" s="1370">
        <f>IFERROR(IF(HW196=TRUE,CW196-CW198,0),0)</f>
        <v>0</v>
      </c>
      <c r="CY196" s="1485">
        <f>IF(HW196=TRUE,AD196,0)</f>
        <v>0</v>
      </c>
      <c r="CZ196" s="1485">
        <f>IF(HW196=TRUE,AD199,0)</f>
        <v>0</v>
      </c>
      <c r="DA196" s="1485">
        <f>IFERROR(CY196-CZ196,0)</f>
        <v>0</v>
      </c>
      <c r="DC196" s="1353">
        <f>IF(HW196=TRUE,AE197,0)</f>
        <v>0</v>
      </c>
      <c r="DD196" s="1460">
        <f>IF(__Retrofit_TI_NC=2,IF(CN196="Exterior",O199,FM196),FK196)</f>
        <v>0</v>
      </c>
      <c r="DE196" s="1353"/>
      <c r="DF196" s="1406">
        <f>IFERROR(IF(FL196=3,IK196,IF(FL196=4,IL196,IF(FL196=5,IM196,IF(FL196=6,IN196,IF(FL196=7,IO196,IF(FL196=8,IP196,0)))))),0)</f>
        <v>0</v>
      </c>
      <c r="DG196" s="1370">
        <f>IF(HW196=TRUE,AK196,0)</f>
        <v>0</v>
      </c>
      <c r="DH196" s="1369">
        <f>IFERROR(IF(HW196=TRUE,DG198-DG196,0),0)</f>
        <v>0</v>
      </c>
      <c r="DJ196" s="1483">
        <f>IFERROR(CW196-DG196,0)</f>
        <v>0</v>
      </c>
      <c r="DL196" s="1419">
        <f>DJ196-DK198</f>
        <v>0</v>
      </c>
      <c r="DN196" s="1403" t="str">
        <f>IFERROR(IF(AND(OR(FY196=4,FY196=5,FY196=6),OR(GB196=4,GB196=5,GB196=6)),FY196+8,VLOOKUP(CT198,Fixtures!R$31:Y$78,8,FALSE)),"")</f>
        <v/>
      </c>
      <c r="DO196" s="1404" t="str">
        <f>DN196</f>
        <v/>
      </c>
      <c r="DP196" s="1353" t="str">
        <f>IFERROR(VLOOKUP(DD198,Lookup!AU$3:AV$15,2,FALSE),"")</f>
        <v/>
      </c>
      <c r="DQ196" s="1404" t="str">
        <f>IF(DP196=7,"LLLC","")</f>
        <v/>
      </c>
      <c r="DR196" s="1403">
        <f>IFERROR(IF(OR(DN196=4,DN196=5,DN196=6,DN196=12,DN196=13,DN196=14),VLOOKUP(CT198,Fixtures!DN$27:EG$77,19,FALSE),1)*CS198,0)</f>
        <v>0</v>
      </c>
      <c r="DS196" s="1489">
        <f>IF(DP196=7,IF(DD196=DD198,0,DC198),0)</f>
        <v>0</v>
      </c>
      <c r="DU196" s="1403" t="str">
        <f>IFERROR(IF(EW196&lt;EW198,"Yes","No"),"")</f>
        <v/>
      </c>
      <c r="DV196" s="1404" t="str">
        <f>DU196</f>
        <v/>
      </c>
      <c r="DW196" s="1403">
        <f>IF(DU196="Yes",DC198,0)</f>
        <v>0</v>
      </c>
      <c r="DX196" s="1403">
        <f>DW196-DS196</f>
        <v>0</v>
      </c>
      <c r="DZ196" s="1481">
        <f>IFERROR(VLOOKUP(DN196,Lookup!AN$3:AO$16,2,FALSE),0)</f>
        <v>0</v>
      </c>
      <c r="EA196" s="1481">
        <f>IF(HW196=FALSE,0,IF(DU196="Yes",DZ196+Lookup!B$6,DZ196))</f>
        <v>0</v>
      </c>
      <c r="EC196" s="1482">
        <f>IF(HW196=TRUE,DJ196,0)</f>
        <v>0</v>
      </c>
      <c r="ED196" s="1369">
        <f>IF(HW196=TRUE,CW198,0)</f>
        <v>0</v>
      </c>
      <c r="EE196" s="1370">
        <f>IFERROR(EC196-ED196,0)</f>
        <v>0</v>
      </c>
      <c r="EF196" s="1369">
        <f>IF(HW196=TRUE,DG198,0)</f>
        <v>0</v>
      </c>
      <c r="EG196" s="1369">
        <f>IFERROR(EC196-ED196+EF196,0)</f>
        <v>0</v>
      </c>
      <c r="EH196" s="1373">
        <f>IF(HW196=TRUE,CS198*CU198,0)</f>
        <v>0</v>
      </c>
      <c r="EI196" s="1373">
        <f>IF(HW196=TRUE,DC198*DE198,0)</f>
        <v>0</v>
      </c>
      <c r="EJ196" s="1363">
        <f>AO196</f>
        <v>0</v>
      </c>
      <c r="EK196" s="1376" t="str">
        <f>IFERROR(IF(HW196=TRUE,VLOOKUP(DN196,Lookup!AN$3:AP$16,3,FALSE)*DR196,""),0)</f>
        <v/>
      </c>
      <c r="EL196" s="1376">
        <f>IF(HW196=TRUE,DW196*Lookup!AP$12,0)</f>
        <v>0</v>
      </c>
      <c r="EM196" s="1362">
        <f>IFERROR(IF(HW196=TRUE,EK196/EM$33,0),0)</f>
        <v>0</v>
      </c>
      <c r="EN196" s="1362">
        <f>IF(HW196=TRUE,EL196/EN$33,0)</f>
        <v>0</v>
      </c>
      <c r="EO196" s="1363">
        <f>IF(HW196=TRUE,EQ$33*EM196,0)</f>
        <v>0</v>
      </c>
      <c r="EP196" s="1363">
        <f>IF(HW196=TRUE,EQ$33*EN196,0)</f>
        <v>0</v>
      </c>
      <c r="EQ196" s="1363">
        <f>EO196+EP196</f>
        <v>0</v>
      </c>
      <c r="ES196" s="1403">
        <f>IF(G196="",0,1)</f>
        <v>0</v>
      </c>
      <c r="EU196" s="1410" t="e">
        <f>VLOOKUP(CP198,'Space Table'!$B$3:$L$160,8,FALSE)</f>
        <v>#N/A</v>
      </c>
      <c r="EV196" s="1410" t="e">
        <f>IF(EY196="Yes",VLOOKUP(DD196,Lookup_Control_Type_Table2,4,FALSE),VLOOKUP(DD196,Lookup_Control_Type_Table2,3,FALSE))</f>
        <v>#N/A</v>
      </c>
      <c r="EW196" s="1410" t="e">
        <f>VLOOKUP(DD196,Lookup!AU$3:AV$15,2,FALSE)</f>
        <v>#N/A</v>
      </c>
      <c r="EX196" s="1410" t="e">
        <f>VLOOKUP(EU196,Lookup_Control_Type_Table,2,FALSE)</f>
        <v>#N/A</v>
      </c>
      <c r="EY196" s="1410" t="e">
        <f>VLOOKUP(CP198,'Space Table'!$B$3:$L$160,7,FALSE)</f>
        <v>#N/A</v>
      </c>
      <c r="EZ196" s="1412" t="b">
        <f>ISNUMBER(SEARCH("TLED",U198))</f>
        <v>0</v>
      </c>
      <c r="FB196" s="1365" t="str">
        <f>CONCATENATE(CN196," - ",DD196)</f>
        <v xml:space="preserve"> - 0</v>
      </c>
      <c r="FD196" s="1353" t="str">
        <f>VLOOKUP(CT198,Fixtures!DN$27:EZ$77,38,FALSE)</f>
        <v/>
      </c>
      <c r="FE196" s="1353">
        <f>IFERROR(FD196*EE196,0)</f>
        <v>0</v>
      </c>
      <c r="FF196" s="138"/>
      <c r="FI196" s="1356" t="str">
        <f>IF(CN196="Exterior","Not Daylighted",G199)</f>
        <v>Not Daylighted</v>
      </c>
      <c r="FJ196" s="1356">
        <f>VLOOKUP(FI196,_Daylight_Table_Codes,2,FALSE)</f>
        <v>0</v>
      </c>
      <c r="FK196" s="1365">
        <f>IF(__Retrofit_TI_NC=2,VLOOKUP(G198,'Space Table'!$B$3:$L$160,11,FALSE),AF197)</f>
        <v>0</v>
      </c>
      <c r="FL196" s="1365" t="e">
        <f>VLOOKUP(FK196,_Control_Table,2,FALSE)</f>
        <v>#N/A</v>
      </c>
      <c r="FM196" s="1365" t="e">
        <f>IF(AND(FP196&gt;0,FK196="Occupancy Sensor"),"Daylight + Occupancy",IF(AND(FP196&gt;0,FL196&lt;4),"Interior Daylight Dimming",FK196))</f>
        <v>#N/A</v>
      </c>
      <c r="FO196" s="1364">
        <f>IF(CO196="Interior",VLOOKUP(CP196,Control_Savings_Interior,5,FALSE),0)</f>
        <v>0</v>
      </c>
      <c r="FP196" s="1361">
        <f>IF(CN196="Exterior",0,IF(FJ196=2,0.5,IF(OR(FJ196=1,FJ196=3),1,0)))</f>
        <v>0</v>
      </c>
      <c r="FQ196" s="1366"/>
      <c r="FR196" s="1367"/>
      <c r="FS196" s="1364"/>
      <c r="FT196" s="1367"/>
      <c r="FU196" s="1360"/>
      <c r="FW196" s="1352" t="str">
        <f>IFERROR(VLOOKUP(U197,_Exist_Fixture_Table,3,FALSE),"")</f>
        <v/>
      </c>
      <c r="FX196" s="1352" t="str">
        <f>VLOOKUP(CT196,_Exist_Fixture_Table,4,FALSE)</f>
        <v/>
      </c>
      <c r="FY196" s="1352">
        <f>IFERROR(VLOOKUP(FX196,Lookup!AM$6:AN$8,2,FALSE),0)</f>
        <v>0</v>
      </c>
      <c r="FZ196" s="1352" t="b">
        <f>IFERROR(IF(OR(GB196=4,GB196=5,GB196=6),TRUE,FALSE),"")</f>
        <v>0</v>
      </c>
      <c r="GA196" s="1352" t="str">
        <f>IFERROR(VLOOKUP(GB196,FY$6:FZ$10,2,FALSE),"")</f>
        <v/>
      </c>
      <c r="GB196" s="1352" t="str">
        <f>VLOOKUP(CT198,Fixtures!R$31:Y$78,8,FALSE)</f>
        <v/>
      </c>
      <c r="GC196" s="1352">
        <f>IF(AND(FW196=TRUE,FZ196=TRUE,OR(DN196=12,DN196=13,DN196=14)),FY196+8,0)</f>
        <v>0</v>
      </c>
      <c r="GD196" s="1352" t="b">
        <f>IF(OR(GC196=12,GC196=13,GC196=14),TRUE,FALSE)</f>
        <v>0</v>
      </c>
      <c r="GE196" s="759" t="b">
        <f>IF(ISNUMBER(SEARCH("TLED",U197)),TRUE,FALSE)</f>
        <v>0</v>
      </c>
      <c r="GF196" s="1035" t="str">
        <f>IFERROR(VLOOKUP(U197,Fixtures!BM$93:BR$142,6,FALSE),"")</f>
        <v/>
      </c>
      <c r="GG196" s="1385" t="b">
        <f>IF(OR(GE196=FALSE,GE198=FALSE),TRUE,IF(GF196-GF198&lt;5,FALSE,TRUE))</f>
        <v>1</v>
      </c>
      <c r="GK196" s="1034">
        <f>GL196</f>
        <v>0</v>
      </c>
      <c r="GL196" s="1034">
        <f>IF(G196="",0,1)</f>
        <v>0</v>
      </c>
      <c r="GM196" s="1034">
        <f>SUM(GN196:HB196)</f>
        <v>2</v>
      </c>
      <c r="GN196" s="1034">
        <f>IF(G197="",0,1)</f>
        <v>0</v>
      </c>
      <c r="GO196" s="1034">
        <f>IF(G198="",0,1)</f>
        <v>0</v>
      </c>
      <c r="GP196" s="1034">
        <f>IF(R197="",0,1)</f>
        <v>0</v>
      </c>
      <c r="GQ196" s="1034">
        <f>IF(__Retrofit_TI_NC=0,1,IF(R198="",0,1))</f>
        <v>1</v>
      </c>
      <c r="GR196" s="1034">
        <f>IF(CN196="Exterior",1,IF(G199="",0,1))</f>
        <v>1</v>
      </c>
      <c r="GS196" s="1034">
        <f>IF(__Retrofit_TI_NC&lt;&gt;0,1,IF(T197="",0,1))</f>
        <v>0</v>
      </c>
      <c r="GT196" s="1034">
        <f>IF(__Retrofit_TI_NC&lt;&gt;0,1,IF(U197="",0,1))</f>
        <v>0</v>
      </c>
      <c r="GU196" s="1034">
        <f>IF(T198="",0,1)</f>
        <v>0</v>
      </c>
      <c r="GV196" s="1034">
        <f>IF(U198="",0,1)</f>
        <v>0</v>
      </c>
      <c r="GW196" s="1034">
        <f>IF(__Retrofit_TI_NC=2,1,IF(U199="",0,1))</f>
        <v>0</v>
      </c>
      <c r="GX196" s="1034">
        <f>IF(__Retrofit_TI_NC&lt;&gt;0,1,IF(AE197="",0,1))</f>
        <v>0</v>
      </c>
      <c r="GY196" s="1034">
        <f>IF(__Retrofit_TI_NC&lt;&gt;0,1,IF(AF197="",0,1))</f>
        <v>0</v>
      </c>
      <c r="GZ196" s="1034">
        <f>IF(AE198="",0,1)</f>
        <v>0</v>
      </c>
      <c r="HA196" s="1034">
        <f>IF(AF198="",0,1)</f>
        <v>0</v>
      </c>
      <c r="HB196" s="1034">
        <f>IF(__Retrofit_TI_NC=2,1,IF(AF199="",0,1))</f>
        <v>0</v>
      </c>
      <c r="HV196" s="436"/>
      <c r="HW196" s="1384" t="b">
        <f>IF(OR(HW199=0,HW199=HT$16,HW199=HS$16,HW199=HU$16),TRUE,FALSE)</f>
        <v>0</v>
      </c>
      <c r="HX196" s="1377" t="b">
        <f>HW196</f>
        <v>0</v>
      </c>
      <c r="HY196" s="436"/>
      <c r="HZ196" s="436"/>
      <c r="IA196" s="1386" t="b">
        <f>IF(MAX(GJ199:HP199)&gt;5,FALSE,TRUE)</f>
        <v>0</v>
      </c>
      <c r="IB196" s="1380">
        <f>IF(IA196=TRUE,AC196,0)</f>
        <v>0</v>
      </c>
      <c r="IC196" s="1380">
        <f>IB196-IB198</f>
        <v>0</v>
      </c>
      <c r="IF196" s="1380" t="e">
        <f>ROUND(T197*VLOOKUP(U197,Fixtures_Existing_List,2,FALSE)*N197*R197/1000,0)</f>
        <v>#N/A</v>
      </c>
      <c r="IG196" s="1381" t="e">
        <f>IF196-IF198</f>
        <v>#N/A</v>
      </c>
      <c r="IH196" s="1384" t="e">
        <f>ROUND(IF(CN196="Interior",N198*R198*R197*N197*_C406_reduction/1000,N198*R198*R197*N197/1000),0)</f>
        <v>#N/A</v>
      </c>
      <c r="II196" s="1384" t="e">
        <f>IH196-IH198</f>
        <v>#N/A</v>
      </c>
      <c r="IK196" s="1351" t="e">
        <f>IF($CO196="interior",IL196/2,VLOOKUP($CP196,Control_Savings_Exterior,IK$30,FALSE))</f>
        <v>#N/A</v>
      </c>
      <c r="IL196" s="1351" t="e">
        <f>IF($CO196="interior",VLOOKUP($CP196,Control_Savings_Interior,IL$30,FALSE),VLOOKUP($CP196,Control_Savings_Exterior,IL$30,FALSE))</f>
        <v>#N/A</v>
      </c>
      <c r="IM196" s="1351" t="e">
        <f>IF($CO196="interior",IF(R197&gt;FO$37,(IM$28*(FO$37/R197)),IM$28)*FP196,VLOOKUP($CP196,Control_Savings_Exterior,IM$30,FALSE))</f>
        <v>#N/A</v>
      </c>
      <c r="IN196" s="1351" t="e">
        <f>IF($CO196="interior",ROUND(((1-IL196)*IM196)+IL196,2),VLOOKUP($CP196,Control_Savings_Exterior,IN$30,FALSE))</f>
        <v>#N/A</v>
      </c>
      <c r="IO196" s="1351" t="e">
        <f>IF($CO196="interior", ROUND(((1-IL196)*(IM196*(1-IP$28)))+IP196,2), VLOOKUP($CP196,Control_Savings_Exterior,IO$30,FALSE))</f>
        <v>#N/A</v>
      </c>
      <c r="IP196" s="1351">
        <f>IF($CO196="interior",ROUND(((1-IL196)*IP$28)+IL196,2),0)</f>
        <v>0</v>
      </c>
    </row>
    <row r="197" spans="1:250" s="82" customFormat="1" ht="14.95" customHeight="1" thickTop="1" thickBot="1">
      <c r="B197" s="1421"/>
      <c r="C197" s="1422"/>
      <c r="D197" s="1423"/>
      <c r="E197" s="1393" t="s">
        <v>244</v>
      </c>
      <c r="F197" s="1394"/>
      <c r="G197" s="1395"/>
      <c r="H197" s="1395"/>
      <c r="I197" s="1395"/>
      <c r="J197" s="1395"/>
      <c r="K197" s="1395"/>
      <c r="L197" s="1395"/>
      <c r="M197" s="509" t="e">
        <f>IF(__Retrofit_TI_NC&lt;&gt;0,IF(VLOOKUP(G198,'Space Table'!$B$3:$L$160,3,FALSE)&gt;0,1,0),IF(__Retrofit_TI_NC=VLOOKUP(G198,'Space Table'!$B$3:$L$160,3,FALSE),1,0))</f>
        <v>#N/A</v>
      </c>
      <c r="N197" s="509" t="str">
        <f>IFERROR(VLOOKUP(G197,_Lookup_Heat_Type_Table_New,2,FALSE),"")</f>
        <v/>
      </c>
      <c r="O197" s="509">
        <f>IF(__Retrofit_TI_NC=1,CONCATENATE("TI ",G197),IF(__Retrofit_TI_NC=2,CONCATENATE("NC ",G197),G197))</f>
        <v>0</v>
      </c>
      <c r="P197" s="1396" t="s">
        <v>352</v>
      </c>
      <c r="Q197" s="1396"/>
      <c r="R197" s="673"/>
      <c r="S197" s="1429"/>
      <c r="T197" s="675"/>
      <c r="U197" s="1496"/>
      <c r="V197" s="1497"/>
      <c r="W197" s="1497"/>
      <c r="X197" s="1497"/>
      <c r="Y197" s="1497"/>
      <c r="Z197" s="1497"/>
      <c r="AA197" s="1497"/>
      <c r="AB197" s="1497"/>
      <c r="AC197" s="1497"/>
      <c r="AD197" s="1498"/>
      <c r="AE197" s="675"/>
      <c r="AF197" s="1397"/>
      <c r="AG197" s="1397"/>
      <c r="AH197" s="1397"/>
      <c r="AI197" s="1397"/>
      <c r="AJ197" s="1434"/>
      <c r="AK197" s="1436"/>
      <c r="AL197" s="1438"/>
      <c r="AM197" s="1441"/>
      <c r="AN197" s="1442"/>
      <c r="AO197" s="1447"/>
      <c r="AP197" s="1447"/>
      <c r="AQ197" s="1448"/>
      <c r="AR197" s="1452"/>
      <c r="AS197" s="1455"/>
      <c r="AT197" s="1458"/>
      <c r="AU197" s="516"/>
      <c r="AV197" s="1479"/>
      <c r="AW197" s="1479"/>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M197" s="1352"/>
      <c r="CN197" s="1352"/>
      <c r="CO197" s="1416"/>
      <c r="CP197" s="1418"/>
      <c r="CR197" s="1386"/>
      <c r="CS197" s="1355"/>
      <c r="CT197" s="1355"/>
      <c r="CU197" s="1355"/>
      <c r="CV197" s="1372"/>
      <c r="CW197" s="1372"/>
      <c r="CX197" s="1371"/>
      <c r="CY197" s="1486"/>
      <c r="CZ197" s="1486"/>
      <c r="DA197" s="1486"/>
      <c r="DC197" s="1355"/>
      <c r="DD197" s="1461"/>
      <c r="DE197" s="1355"/>
      <c r="DF197" s="1407"/>
      <c r="DG197" s="1372"/>
      <c r="DH197" s="1369"/>
      <c r="DJ197" s="1484"/>
      <c r="DL197" s="1419"/>
      <c r="DN197" s="1403"/>
      <c r="DO197" s="1405"/>
      <c r="DP197" s="1354"/>
      <c r="DQ197" s="1405"/>
      <c r="DR197" s="1403"/>
      <c r="DS197" s="1489"/>
      <c r="DU197" s="1403"/>
      <c r="DV197" s="1405"/>
      <c r="DW197" s="1403"/>
      <c r="DX197" s="1403"/>
      <c r="DZ197" s="1481"/>
      <c r="EA197" s="1481"/>
      <c r="EC197" s="1482"/>
      <c r="ED197" s="1369"/>
      <c r="EE197" s="1371"/>
      <c r="EF197" s="1369"/>
      <c r="EG197" s="1369"/>
      <c r="EH197" s="1374"/>
      <c r="EI197" s="1374"/>
      <c r="EJ197" s="1363"/>
      <c r="EK197" s="1376"/>
      <c r="EL197" s="1376"/>
      <c r="EM197" s="1362"/>
      <c r="EN197" s="1362"/>
      <c r="EO197" s="1363"/>
      <c r="EP197" s="1363"/>
      <c r="EQ197" s="1363"/>
      <c r="ES197" s="1403"/>
      <c r="EU197" s="1411"/>
      <c r="EV197" s="1411"/>
      <c r="EW197" s="1411"/>
      <c r="EX197" s="1411"/>
      <c r="EY197" s="1411"/>
      <c r="EZ197" s="1413"/>
      <c r="FB197" s="1365"/>
      <c r="FD197" s="1354"/>
      <c r="FE197" s="1354"/>
      <c r="FF197" s="138"/>
      <c r="FI197" s="1357"/>
      <c r="FJ197" s="1357"/>
      <c r="FK197" s="1365"/>
      <c r="FL197" s="1365"/>
      <c r="FM197" s="1365"/>
      <c r="FO197" s="1361"/>
      <c r="FP197" s="1361"/>
      <c r="FQ197" s="1366"/>
      <c r="FR197" s="1368"/>
      <c r="FS197" s="1361"/>
      <c r="FT197" s="1368"/>
      <c r="FU197" s="1360"/>
      <c r="FW197" s="1352"/>
      <c r="FX197" s="1352"/>
      <c r="FY197" s="1352"/>
      <c r="FZ197" s="1352"/>
      <c r="GA197" s="1352"/>
      <c r="GB197" s="1352"/>
      <c r="GC197" s="1352"/>
      <c r="GD197" s="1352"/>
      <c r="GE197" s="759"/>
      <c r="GF197" s="1035"/>
      <c r="GG197" s="1385"/>
      <c r="GI197" s="1384" t="b">
        <f>IF(AND(GL197=TRUE,GM197=TRUE),TRUE,FALSE)</f>
        <v>0</v>
      </c>
      <c r="GJ197" s="1379" t="b">
        <f>IFERROR(IF(__Retrofit_TI_NC=2,TRUE,IF(AR196="Yes",TRUE,FALSE)),FALSE)</f>
        <v>1</v>
      </c>
      <c r="GL197" s="1379" t="b">
        <f>IFERROR(IF(GL196=1,TRUE,FALSE),FALSE)</f>
        <v>0</v>
      </c>
      <c r="GM197" s="1379" t="b">
        <f>IFERROR(IF(GM196=GM$14,TRUE,FALSE),FALSE)</f>
        <v>0</v>
      </c>
      <c r="HC197" s="1379" t="b">
        <f>IFERROR(IF(M197=1,TRUE,FALSE),FALSE)</f>
        <v>0</v>
      </c>
      <c r="HD197" s="1379" t="b">
        <f>IFERROR(IF(M198=1,TRUE,FALSE),FALSE)</f>
        <v>0</v>
      </c>
      <c r="HE197" s="1379" t="b">
        <f>IFERROR(IF(__Retrofit_TI_NC&lt;&gt;0,TRUE,IFERROR(IF(VLOOKUP(U197,Fixtures_Existing_List,2,FALSE)&lt;&gt;"",TRUE,FALSE),FALSE)),FALSE)</f>
        <v>0</v>
      </c>
      <c r="HF197" s="1379" t="b">
        <f>IFERROR(IF(VLOOKUP(U198,Fixtures_Proposed_List,2,FALSE)&lt;&gt;"",TRUE,FALSE),FALSE)</f>
        <v>0</v>
      </c>
      <c r="HG197" s="1379" t="b">
        <f>IF(AND(__Retrofit_TI_NC=2,EZ196=TRUE),FALSE,TRUE)</f>
        <v>1</v>
      </c>
      <c r="HH197" s="1379" t="b">
        <f>GG196</f>
        <v>1</v>
      </c>
      <c r="HI197" s="1384" t="b">
        <f>IF(ISERROR(MATCH(FB196,_Control_Match[],0))=TRUE,FALSE,TRUE)</f>
        <v>0</v>
      </c>
      <c r="HJ197" s="1384" t="b">
        <f>IFERROR(IF(EU196&lt;&gt;EV196,FALSE,TRUE),FALSE)</f>
        <v>0</v>
      </c>
      <c r="HK197" s="1384" t="b">
        <f>IFERROR(IF(EU198&lt;&gt;EV198,FALSE,TRUE),FALSE)</f>
        <v>0</v>
      </c>
      <c r="HL197" s="1379" t="b">
        <f>IFERROR(IF(CN196="Exterior",TRUE,IF(OR(AND(FJ196=0,EW198&gt;4),AND(FJ196=4,EW198&gt;4,EW198&lt;7)),FALSE,TRUE)),FALSE)</f>
        <v>0</v>
      </c>
      <c r="HM197" s="1379" t="b">
        <f>IFERROR(IF(AND(FL198=7,EZ196=TRUE),FALSE,TRUE),FALSE)</f>
        <v>0</v>
      </c>
      <c r="HN197" s="1379" t="b">
        <f>IFERROR(IF(AND(T198&lt;&gt;AE198,AF198="Interior LLLC")=TRUE,FALSE,TRUE),FALSE)</f>
        <v>1</v>
      </c>
      <c r="HO197" s="1379" t="b">
        <f>IFERROR(IF(OR(AF198=Lookup!AU$13,AF198=Lookup!AU$14)=TRUE,IF(AE198&gt;T198,FALSE,TRUE),TRUE),FALSE)</f>
        <v>1</v>
      </c>
      <c r="HP197" s="1379" t="b">
        <f>IFERROR(IF(__Retrofit_TI_NC=2,IF(EW198&lt;EW196,FALSE,TRUE),TRUE),FALSE)</f>
        <v>1</v>
      </c>
      <c r="HQ197" s="1379" t="b">
        <f>IF(CN196="Interior",IG$6,TRUE)</f>
        <v>1</v>
      </c>
      <c r="HR197" s="1379" t="b">
        <f>IF(CN196="Exterior",IG$8,TRUE)</f>
        <v>1</v>
      </c>
      <c r="HS197" s="1379" t="b">
        <f>IFERROR(IF(__Retrofit_TI_NC&lt;&gt;0,IF(AW196&lt;AV196,FALSE,TRUE),TRUE),FALSE)</f>
        <v>1</v>
      </c>
      <c r="HT197" s="1379" t="b">
        <f>IFERROR(IF(AND(G197="Exterior",R197&gt;4200),FALSE,TRUE),FALSE)</f>
        <v>1</v>
      </c>
      <c r="HU197" s="1379" t="b">
        <f>IFERROR(IF(AB199/AB196&lt;HU$18,FALSE,TRUE),FALSE)</f>
        <v>0</v>
      </c>
      <c r="HW197" s="1382"/>
      <c r="HX197" s="1378"/>
      <c r="HY197" s="1377" t="str">
        <f>VLOOKUP(HW199,_Error_Table,4,FALSE)</f>
        <v>White</v>
      </c>
      <c r="HZ197" s="436"/>
      <c r="IA197" s="1386"/>
      <c r="IB197" s="1380"/>
      <c r="IC197" s="1379"/>
      <c r="IF197" s="1380"/>
      <c r="IG197" s="1382"/>
      <c r="IH197" s="1382"/>
      <c r="II197" s="1382"/>
      <c r="IK197" s="1351"/>
      <c r="IL197" s="1351"/>
      <c r="IM197" s="1351"/>
      <c r="IN197" s="1351"/>
      <c r="IO197" s="1351"/>
      <c r="IP197" s="1351"/>
    </row>
    <row r="198" spans="1:250" s="82" customFormat="1" ht="14.95" customHeight="1" thickTop="1" thickBot="1">
      <c r="A198" s="82">
        <f>ROW()</f>
        <v>198</v>
      </c>
      <c r="B198" s="1421"/>
      <c r="C198" s="1422"/>
      <c r="D198" s="1423"/>
      <c r="E198" s="1393" t="s">
        <v>245</v>
      </c>
      <c r="F198" s="1394"/>
      <c r="G198" s="1398"/>
      <c r="H198" s="1399"/>
      <c r="I198" s="1399"/>
      <c r="J198" s="1399"/>
      <c r="K198" s="1399"/>
      <c r="L198" s="1400"/>
      <c r="M198" s="509">
        <f>IFERROR(IF(IF(__Retrofit_TI_NC&lt;&gt;0,IF(CN196="Interior",MATCH(G198,Lookup_Interior_New,0),MATCH(G198,Lookup_Exterior_New,0)),IF(CN196="Interior",MATCH(G198,Lookup_Interior,0),MATCH(G198,Lookup_Exterior_Areas,0)))&gt;0,1,0),0)</f>
        <v>0</v>
      </c>
      <c r="N198" s="509" t="e">
        <f>IF(__Retrofit_TI_NC=1,
VLOOKUP(G198,'Space Table'!$B$3:$L$160,4,FALSE),
IF(__Retrofit_TI_NC=2,VLOOKUP(G198,'Space Table'!$B$3:$L$160,5,FALSE),VLOOKUP(G198,'Space Table'!$B$3:$L$160,5,FALSE)))</f>
        <v>#N/A</v>
      </c>
      <c r="O198" s="509">
        <f>G198</f>
        <v>0</v>
      </c>
      <c r="P198" s="1394" t="s">
        <v>355</v>
      </c>
      <c r="Q198" s="1394"/>
      <c r="R198" s="674"/>
      <c r="S198" s="1401" t="s">
        <v>284</v>
      </c>
      <c r="T198" s="672"/>
      <c r="U198" s="1499"/>
      <c r="V198" s="1500"/>
      <c r="W198" s="1500"/>
      <c r="X198" s="1500"/>
      <c r="Y198" s="1500"/>
      <c r="Z198" s="1500"/>
      <c r="AA198" s="1500"/>
      <c r="AB198" s="1501"/>
      <c r="AC198" s="1501"/>
      <c r="AD198" s="1502"/>
      <c r="AE198" s="672"/>
      <c r="AF198" s="1474"/>
      <c r="AG198" s="1474"/>
      <c r="AH198" s="1474"/>
      <c r="AI198" s="1474"/>
      <c r="AJ198" s="1475">
        <f>DF198</f>
        <v>0</v>
      </c>
      <c r="AK198" s="1470" t="str">
        <f>IFERROR(ROUND(AJ198*AC199,0),"")</f>
        <v/>
      </c>
      <c r="AL198" s="1472">
        <f>IFERROR(IF(HW196=FALSE,0,AC199-AK198),0)</f>
        <v>0</v>
      </c>
      <c r="AM198" s="1441"/>
      <c r="AN198" s="1442"/>
      <c r="AO198" s="1447"/>
      <c r="AP198" s="1447"/>
      <c r="AQ198" s="1448"/>
      <c r="AR198" s="1452"/>
      <c r="AS198" s="1455"/>
      <c r="AT198" s="1458"/>
      <c r="AU198" s="516"/>
      <c r="AV198" s="1479"/>
      <c r="AW198" s="1479"/>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M198" s="1352"/>
      <c r="CN198" s="1352"/>
      <c r="CO198" s="1415" t="str">
        <f>CN196</f>
        <v/>
      </c>
      <c r="CP198" s="1417" t="e">
        <f>CP196</f>
        <v>#N/A</v>
      </c>
      <c r="CR198" s="1386" t="s">
        <v>284</v>
      </c>
      <c r="CS198" s="1353">
        <f>IF(HW196=TRUE,T198,0)</f>
        <v>0</v>
      </c>
      <c r="CT198" s="1353" t="str">
        <f>IF(HW196=TRUE,U198,"")</f>
        <v/>
      </c>
      <c r="CU198" s="1373">
        <f>IF(HW196=TRUE,U199,0)</f>
        <v>0</v>
      </c>
      <c r="CV198" s="1370">
        <f>IF(HW196=TRUE,AB199,0)</f>
        <v>0</v>
      </c>
      <c r="CW198" s="1370">
        <f>IF(HW196=TRUE,AC199,0)</f>
        <v>0</v>
      </c>
      <c r="CX198" s="1371"/>
      <c r="CY198" s="1486"/>
      <c r="CZ198" s="1486"/>
      <c r="DA198" s="1486"/>
      <c r="DC198" s="1353">
        <f>IF(HW196=TRUE,AE198,0)</f>
        <v>0</v>
      </c>
      <c r="DD198" s="1353" t="str">
        <f>IF(HW196=TRUE,AF198,"")</f>
        <v/>
      </c>
      <c r="DE198" s="1373">
        <f>AF199</f>
        <v>0</v>
      </c>
      <c r="DF198" s="1406">
        <f>IFERROR(IF(FL198=3,IK198,IF(FL198=4,IL198,IF(FL198=5,IM198,IF(FL198=6,IN198,IF(FL198=7,IO198,IF(FL198=8,IP198,0)))))),0)</f>
        <v>0</v>
      </c>
      <c r="DG198" s="1370">
        <f>IF(HW196=TRUE,AK198,0)</f>
        <v>0</v>
      </c>
      <c r="DH198" s="1369"/>
      <c r="DK198" s="1483">
        <f>IFERROR(CW198-DG198,0)</f>
        <v>0</v>
      </c>
      <c r="DL198" s="1420"/>
      <c r="DN198" s="1403"/>
      <c r="DO198" s="1477" t="str">
        <f>DN196</f>
        <v/>
      </c>
      <c r="DP198" s="1354"/>
      <c r="DQ198" s="1477" t="str">
        <f>IF(DP196=7,"LLLC","")</f>
        <v/>
      </c>
      <c r="DR198" s="1403"/>
      <c r="DS198" s="1489"/>
      <c r="DU198" s="1403"/>
      <c r="DV198" s="1404" t="str">
        <f>DU196</f>
        <v/>
      </c>
      <c r="DW198" s="1403"/>
      <c r="DX198" s="1403"/>
      <c r="DZ198" s="1481"/>
      <c r="EA198" s="1481"/>
      <c r="EC198" s="1482"/>
      <c r="ED198" s="1369"/>
      <c r="EE198" s="1371"/>
      <c r="EF198" s="1369"/>
      <c r="EG198" s="1369"/>
      <c r="EH198" s="1374"/>
      <c r="EI198" s="1374"/>
      <c r="EJ198" s="1363"/>
      <c r="EK198" s="1376"/>
      <c r="EL198" s="1376"/>
      <c r="EM198" s="1362"/>
      <c r="EN198" s="1362"/>
      <c r="EO198" s="1363"/>
      <c r="EP198" s="1363"/>
      <c r="EQ198" s="1363"/>
      <c r="ES198" s="1403"/>
      <c r="EU198" s="1411" t="e">
        <f>VLOOKUP(CP198,'Space Table'!$B$3:$L$160,8,FALSE)</f>
        <v>#N/A</v>
      </c>
      <c r="EV198" s="1411" t="e">
        <f>IF(EY198="Yes",VLOOKUP(AF198,Lookup_Control_Type_Table2,4,FALSE),VLOOKUP(AF198,Lookup_Control_Type_Table2,3,FALSE))</f>
        <v>#N/A</v>
      </c>
      <c r="EW198" s="1411" t="e">
        <f>VLOOKUP(AF198,Lookup!AU$3:AV$15,2,FALSE)</f>
        <v>#N/A</v>
      </c>
      <c r="EX198" s="1411" t="e">
        <f>VLOOKUP(EU196,Lookup_Control_Type_Table,2,FALSE)</f>
        <v>#N/A</v>
      </c>
      <c r="EY198" s="1411" t="e">
        <f>VLOOKUP(CP198,'Space Table'!$B$3:$L$160,7,FALSE)</f>
        <v>#N/A</v>
      </c>
      <c r="EZ198" s="1413"/>
      <c r="FB198" s="1365" t="str">
        <f>CONCATENATE(CN196," - ",AF198)</f>
        <v xml:space="preserve"> - </v>
      </c>
      <c r="FD198" s="1354"/>
      <c r="FE198" s="1354"/>
      <c r="FF198" s="138"/>
      <c r="FI198" s="1356" t="str">
        <f>IF(CN196="Exterior","Not Daylighted",G199)</f>
        <v>Not Daylighted</v>
      </c>
      <c r="FJ198" s="1356">
        <f>VLOOKUP(FI198,_Daylight_Table_Codes,2,FALSE)</f>
        <v>0</v>
      </c>
      <c r="FK198" s="1365">
        <f>AF198</f>
        <v>0</v>
      </c>
      <c r="FL198" s="1365" t="e">
        <f>VLOOKUP(FK198,_Control_Table,2,FALSE)</f>
        <v>#N/A</v>
      </c>
      <c r="FM198" s="1365" t="e">
        <f>IF(AND(FP198&gt;0,FK198="Occupancy Sensor"),"Daylight + Occupancy",IF(AND(FP198&gt;0,FL198&lt;4),"Interior Daylight Dimming",FK198))</f>
        <v>#N/A</v>
      </c>
      <c r="FO198" s="1364">
        <f>IF(CN196="Interior",VLOOKUP(CP196,Control_Savings_Interior,5,FALSE),0)</f>
        <v>0</v>
      </c>
      <c r="FP198" s="1361">
        <f>IF(CN198="Exterior",0,IF(FJ198=2,0.5,IF(OR(FJ198=1,FJ198=3),1,0)))</f>
        <v>0</v>
      </c>
      <c r="FQ198" s="1366">
        <f>IF(R197&gt;FO$37,(FO198*(FO$37/R197)),FO198)*FP198</f>
        <v>0</v>
      </c>
      <c r="FR198" s="1364">
        <f>DF198</f>
        <v>0</v>
      </c>
      <c r="FS198" s="1364">
        <f>ROUND(FR198+((1-FR198)*FQ198),2)</f>
        <v>0</v>
      </c>
      <c r="FT198" s="1364">
        <f>IF(__Retrofit_TI_NC=2,FS198,FR198)</f>
        <v>0</v>
      </c>
      <c r="FU198" s="1360">
        <f>IF(CO198="Interior",VLOOKUP(CP198,Control_Savings_Interior,4,FALSE),0)</f>
        <v>0</v>
      </c>
      <c r="FW198" s="1352"/>
      <c r="FX198" s="1352"/>
      <c r="FY198" s="1352"/>
      <c r="FZ198" s="1352"/>
      <c r="GA198" s="1352"/>
      <c r="GB198" s="1352"/>
      <c r="GC198" s="1352"/>
      <c r="GD198" s="1352"/>
      <c r="GE198" s="759" t="b">
        <f>IF(ISNUMBER(SEARCH("TLED",U198)),TRUE,FALSE)</f>
        <v>0</v>
      </c>
      <c r="GF198" s="1035" t="str">
        <f>IFERROR(VLOOKUP(U198,Fixtures!DM$93:DR$142,6,FALSE),"")</f>
        <v/>
      </c>
      <c r="GG198" s="1385"/>
      <c r="GI198" s="1383"/>
      <c r="GJ198" s="1379"/>
      <c r="GL198" s="1379"/>
      <c r="GM198" s="1379"/>
      <c r="HC198" s="1379"/>
      <c r="HD198" s="1379"/>
      <c r="HE198" s="1379"/>
      <c r="HF198" s="1379"/>
      <c r="HG198" s="1379"/>
      <c r="HH198" s="1379"/>
      <c r="HI198" s="1383"/>
      <c r="HJ198" s="1383"/>
      <c r="HK198" s="1383"/>
      <c r="HL198" s="1379"/>
      <c r="HM198" s="1379"/>
      <c r="HN198" s="1379"/>
      <c r="HO198" s="1379"/>
      <c r="HP198" s="1379"/>
      <c r="HQ198" s="1379"/>
      <c r="HR198" s="1379"/>
      <c r="HS198" s="1379"/>
      <c r="HT198" s="1379"/>
      <c r="HU198" s="1379"/>
      <c r="HW198" s="1383"/>
      <c r="HX198" s="1384" t="b">
        <f>HW196</f>
        <v>0</v>
      </c>
      <c r="HY198" s="1378"/>
      <c r="HZ198" s="436"/>
      <c r="IA198" s="1386"/>
      <c r="IB198" s="1380">
        <f>IF(IA196=TRUE,AC199,0)</f>
        <v>0</v>
      </c>
      <c r="IC198" s="1379"/>
      <c r="IF198" s="1380" t="e">
        <f>ROUND(T198*AB199*N197*R197/1000,0)</f>
        <v>#VALUE!</v>
      </c>
      <c r="IG198" s="1382"/>
      <c r="IH198" s="1384" t="e">
        <f>ROUND(T198*AB199*N197*R197/1000,0)</f>
        <v>#VALUE!</v>
      </c>
      <c r="II198" s="1382"/>
      <c r="IK198" s="1351" t="e">
        <f>IF($CO198="interior",IL198/2,VLOOKUP($CP198,Control_Savings_Exterior,IK$30,FALSE))</f>
        <v>#N/A</v>
      </c>
      <c r="IL198" s="1351" t="e">
        <f>IF($CO198="interior",VLOOKUP($CP198,Control_Savings_Interior,IL$30,FALSE),VLOOKUP($CP198,Control_Savings_Exterior,IL$30,FALSE))</f>
        <v>#N/A</v>
      </c>
      <c r="IM198" s="1351" t="e">
        <f>IF($CO198="interior",IF(R197&gt;FO$37,(IM$28*(FO$37/R197)),IM$28)*FP198,VLOOKUP($CP198,Control_Savings_Exterior,IM$30,FALSE))</f>
        <v>#N/A</v>
      </c>
      <c r="IN198" s="1351" t="e">
        <f>IF($CO198="interior",ROUND(((1-IL198)*IM198)+IL198,2),VLOOKUP($CP198,Control_Savings_Exterior,IN$30,FALSE))</f>
        <v>#N/A</v>
      </c>
      <c r="IO198" s="1351" t="e">
        <f>IF($CO198="interior", ROUND(((1-IL198)*(IM198*(1-IP$28)))+IP198,2), VLOOKUP($CP198,Control_Savings_Exterior,IO$30,FALSE))</f>
        <v>#N/A</v>
      </c>
      <c r="IP198" s="1351">
        <f>IF($CO198="interior",ROUND(((1-IL198)*IP$28)+IL198,2),0)</f>
        <v>0</v>
      </c>
    </row>
    <row r="199" spans="1:250" s="82" customFormat="1" ht="14.95" customHeight="1" thickTop="1" thickBot="1">
      <c r="B199" s="1421"/>
      <c r="C199" s="1422"/>
      <c r="D199" s="1423"/>
      <c r="E199" s="1462" t="s">
        <v>357</v>
      </c>
      <c r="F199" s="1463"/>
      <c r="G199" s="1464" t="s">
        <v>362</v>
      </c>
      <c r="H199" s="1465"/>
      <c r="I199" s="1465"/>
      <c r="J199" s="1465"/>
      <c r="K199" s="1465"/>
      <c r="L199" s="1466"/>
      <c r="M199" s="669">
        <f>IFERROR(VLOOKUP(G199,_Daylight_Table[],2,FALSE),0)</f>
        <v>0</v>
      </c>
      <c r="N199" s="670"/>
      <c r="O199" s="669" t="e">
        <f>VLOOKUP(G198,'Space Table'!$B$3:$L$160,11,FALSE)</f>
        <v>#N/A</v>
      </c>
      <c r="P199" s="1408"/>
      <c r="Q199" s="1409"/>
      <c r="R199" s="1409"/>
      <c r="S199" s="1402"/>
      <c r="T199" s="671" t="s">
        <v>281</v>
      </c>
      <c r="U199" s="1467" t="str">
        <f>IFERROR(VLOOKUP(U198,Fixtures!DM$93:DP$142,4,FALSE),"")</f>
        <v/>
      </c>
      <c r="V199" s="1468"/>
      <c r="W199" s="1468"/>
      <c r="X199" s="1468"/>
      <c r="Y199" s="1468"/>
      <c r="Z199" s="1468"/>
      <c r="AA199" s="1468"/>
      <c r="AB199" s="1046" t="str">
        <f>IFERROR(VLOOKUP(U198,Fixtures_Proposed_List,2,FALSE),"")</f>
        <v/>
      </c>
      <c r="AC199" s="1036" t="str">
        <f>IFERROR(ROUND(T198*AB199*N197*R197/1000,0),"")</f>
        <v/>
      </c>
      <c r="AD199" s="1037" t="str">
        <f>IFERROR(ROUND(T198*AB199/1000,2),"")</f>
        <v/>
      </c>
      <c r="AE199" s="1045" t="s">
        <v>281</v>
      </c>
      <c r="AF199" s="1469"/>
      <c r="AG199" s="1469"/>
      <c r="AH199" s="1469"/>
      <c r="AI199" s="1469"/>
      <c r="AJ199" s="1476"/>
      <c r="AK199" s="1471"/>
      <c r="AL199" s="1473"/>
      <c r="AM199" s="1443"/>
      <c r="AN199" s="1444"/>
      <c r="AO199" s="1449"/>
      <c r="AP199" s="1449"/>
      <c r="AQ199" s="1450"/>
      <c r="AR199" s="1453"/>
      <c r="AS199" s="1456"/>
      <c r="AT199" s="1459"/>
      <c r="AU199" s="517"/>
      <c r="AV199" s="1480"/>
      <c r="AW199" s="1480"/>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M199" s="1352"/>
      <c r="CN199" s="1352"/>
      <c r="CO199" s="1416"/>
      <c r="CP199" s="1418"/>
      <c r="CR199" s="1386"/>
      <c r="CS199" s="1355"/>
      <c r="CT199" s="1355"/>
      <c r="CU199" s="1375"/>
      <c r="CV199" s="1372"/>
      <c r="CW199" s="1372"/>
      <c r="CX199" s="1372"/>
      <c r="CY199" s="1487"/>
      <c r="CZ199" s="1487"/>
      <c r="DA199" s="1487"/>
      <c r="DC199" s="1355"/>
      <c r="DD199" s="1355"/>
      <c r="DE199" s="1375"/>
      <c r="DF199" s="1407"/>
      <c r="DG199" s="1372"/>
      <c r="DH199" s="1369"/>
      <c r="DK199" s="1484"/>
      <c r="DL199" s="1420"/>
      <c r="DN199" s="1403"/>
      <c r="DO199" s="1405"/>
      <c r="DP199" s="1355"/>
      <c r="DQ199" s="1405"/>
      <c r="DR199" s="1403"/>
      <c r="DS199" s="1489"/>
      <c r="DU199" s="1403"/>
      <c r="DV199" s="1405"/>
      <c r="DW199" s="1403"/>
      <c r="DX199" s="1403"/>
      <c r="DZ199" s="1481"/>
      <c r="EA199" s="1481"/>
      <c r="EC199" s="1482"/>
      <c r="ED199" s="1369"/>
      <c r="EE199" s="1372"/>
      <c r="EF199" s="1369"/>
      <c r="EG199" s="1369"/>
      <c r="EH199" s="1375"/>
      <c r="EI199" s="1375"/>
      <c r="EJ199" s="1363"/>
      <c r="EK199" s="1376"/>
      <c r="EL199" s="1376"/>
      <c r="EM199" s="1362"/>
      <c r="EN199" s="1362"/>
      <c r="EO199" s="1363"/>
      <c r="EP199" s="1363"/>
      <c r="EQ199" s="1363"/>
      <c r="ES199" s="1403"/>
      <c r="EU199" s="1488"/>
      <c r="EV199" s="1488"/>
      <c r="EW199" s="1488"/>
      <c r="EX199" s="1488"/>
      <c r="EY199" s="1488"/>
      <c r="EZ199" s="1414"/>
      <c r="FB199" s="1365"/>
      <c r="FD199" s="1355"/>
      <c r="FE199" s="1355"/>
      <c r="FF199" s="138"/>
      <c r="FI199" s="1357"/>
      <c r="FJ199" s="1357"/>
      <c r="FK199" s="1365"/>
      <c r="FL199" s="1365"/>
      <c r="FM199" s="1365"/>
      <c r="FO199" s="1361"/>
      <c r="FP199" s="1361"/>
      <c r="FQ199" s="1366"/>
      <c r="FR199" s="1361"/>
      <c r="FS199" s="1361"/>
      <c r="FT199" s="1361"/>
      <c r="FU199" s="1360"/>
      <c r="FW199" s="1352"/>
      <c r="FX199" s="1352"/>
      <c r="FY199" s="1352"/>
      <c r="FZ199" s="1352"/>
      <c r="GA199" s="1352"/>
      <c r="GB199" s="1352"/>
      <c r="GC199" s="1352"/>
      <c r="GD199" s="1352"/>
      <c r="GE199" s="759"/>
      <c r="GF199" s="1035"/>
      <c r="GG199" s="1385"/>
      <c r="GJ199" s="1034">
        <f>IF(GJ197=TRUE,0,GJ$16)</f>
        <v>0</v>
      </c>
      <c r="GL199" s="1034">
        <f>IF(GL197=TRUE,0,GL$16)</f>
        <v>36</v>
      </c>
      <c r="GM199" s="1034">
        <f>IF(GM197=TRUE,0,GM$16)</f>
        <v>35</v>
      </c>
      <c r="GN199" s="436"/>
      <c r="GO199" s="436"/>
      <c r="GP199" s="436"/>
      <c r="GQ199" s="436"/>
      <c r="GR199" s="436"/>
      <c r="HC199" s="1034">
        <f t="shared" ref="HC199:HH199" si="134">IF(HC197=TRUE,0,HC$16)</f>
        <v>19</v>
      </c>
      <c r="HD199" s="1034">
        <f t="shared" si="134"/>
        <v>18</v>
      </c>
      <c r="HE199" s="1034">
        <f t="shared" si="134"/>
        <v>17</v>
      </c>
      <c r="HF199" s="1034">
        <f t="shared" si="134"/>
        <v>16</v>
      </c>
      <c r="HG199" s="1034">
        <f t="shared" si="134"/>
        <v>0</v>
      </c>
      <c r="HH199" s="1034">
        <f t="shared" si="134"/>
        <v>0</v>
      </c>
      <c r="HI199" s="1034">
        <f>IF(HI197=TRUE,0,HI$16)</f>
        <v>13</v>
      </c>
      <c r="HJ199" s="1034">
        <f t="shared" ref="HJ199:HL199" si="135">IF(HJ197=TRUE,0,HJ$16)</f>
        <v>12</v>
      </c>
      <c r="HK199" s="1034">
        <f t="shared" si="135"/>
        <v>11</v>
      </c>
      <c r="HL199" s="1034">
        <f t="shared" si="135"/>
        <v>10</v>
      </c>
      <c r="HM199" s="1034">
        <f>IF(HM197=TRUE,0,HM$16)</f>
        <v>9</v>
      </c>
      <c r="HN199" s="1034">
        <f t="shared" ref="HN199:HR199" si="136">IF(HN197=TRUE,0,HN$16)</f>
        <v>0</v>
      </c>
      <c r="HO199" s="1034">
        <f t="shared" si="136"/>
        <v>0</v>
      </c>
      <c r="HP199" s="1034">
        <f t="shared" si="136"/>
        <v>0</v>
      </c>
      <c r="HQ199" s="1034">
        <f t="shared" si="136"/>
        <v>0</v>
      </c>
      <c r="HR199" s="1034">
        <f t="shared" si="136"/>
        <v>0</v>
      </c>
      <c r="HS199" s="1034">
        <f>IF(HS197=TRUE,0,HS$16)</f>
        <v>0</v>
      </c>
      <c r="HT199" s="1034">
        <f t="shared" ref="HT199" si="137">IF(HT197=TRUE,0,HT$16)</f>
        <v>0</v>
      </c>
      <c r="HU199" s="1034">
        <f>IF(HU197=TRUE,0,HU$16)</f>
        <v>1</v>
      </c>
      <c r="HW199" s="1034">
        <f>IF(GL197=FALSE,GL199,IF(GM197=FALSE,GM199,MAX(GJ199:HU199)))</f>
        <v>36</v>
      </c>
      <c r="HX199" s="1383"/>
      <c r="HY199" s="241" t="str">
        <f>VLOOKUP(HW199,_Error_Table,3,FALSE)</f>
        <v xml:space="preserve"> </v>
      </c>
      <c r="HZ199" s="241"/>
      <c r="IA199" s="1386"/>
      <c r="IB199" s="1380"/>
      <c r="IC199" s="1379"/>
      <c r="IF199" s="1380"/>
      <c r="IG199" s="1383"/>
      <c r="IH199" s="1383"/>
      <c r="II199" s="1383"/>
      <c r="IK199" s="1351"/>
      <c r="IL199" s="1351"/>
      <c r="IM199" s="1351"/>
      <c r="IN199" s="1351"/>
      <c r="IO199" s="1351"/>
      <c r="IP199" s="1351"/>
    </row>
    <row r="200" spans="1:250" s="82" customFormat="1" ht="5.0999999999999996" customHeight="1" thickBot="1">
      <c r="B200" s="763"/>
      <c r="C200" s="1038"/>
      <c r="D200" s="1038"/>
      <c r="E200" s="1490"/>
      <c r="F200" s="1490"/>
      <c r="G200" s="1490"/>
      <c r="H200" s="1490"/>
      <c r="I200" s="1490"/>
      <c r="J200" s="1490"/>
      <c r="K200" s="1490"/>
      <c r="L200" s="1490"/>
      <c r="M200" s="1490"/>
      <c r="N200" s="1490"/>
      <c r="O200" s="1490"/>
      <c r="P200" s="1490"/>
      <c r="Q200" s="1490"/>
      <c r="R200" s="1490"/>
      <c r="S200" s="1490"/>
      <c r="T200" s="1490"/>
      <c r="U200" s="1490"/>
      <c r="V200" s="1490"/>
      <c r="W200" s="1490"/>
      <c r="X200" s="1490"/>
      <c r="Y200" s="1490"/>
      <c r="Z200" s="1490"/>
      <c r="AA200" s="1490"/>
      <c r="AB200" s="1490"/>
      <c r="AC200" s="1490"/>
      <c r="AD200" s="1490"/>
      <c r="AE200" s="1490"/>
      <c r="AF200" s="1490"/>
      <c r="AG200" s="1490"/>
      <c r="AH200" s="1490"/>
      <c r="AI200" s="1490"/>
      <c r="AJ200" s="1490"/>
      <c r="AK200" s="1490"/>
      <c r="AL200" s="1490"/>
      <c r="AM200" s="1490"/>
      <c r="AN200" s="1490"/>
      <c r="AO200" s="1490"/>
      <c r="AP200" s="1490"/>
      <c r="AQ200" s="1490"/>
      <c r="AR200" s="1490"/>
      <c r="AS200" s="1490"/>
      <c r="AT200" s="1490"/>
      <c r="AU200" s="1041"/>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M200" s="749"/>
      <c r="CN200" s="749"/>
      <c r="CO200" s="1043"/>
      <c r="CP200" s="749"/>
      <c r="CS200" s="436"/>
      <c r="CT200" s="436"/>
      <c r="CU200" s="243"/>
      <c r="CV200" s="244"/>
      <c r="CW200" s="244"/>
      <c r="CX200" s="244"/>
      <c r="CY200" s="245"/>
      <c r="CZ200" s="245"/>
      <c r="DA200" s="245"/>
      <c r="DC200" s="750"/>
      <c r="DD200" s="751"/>
      <c r="DE200" s="752"/>
      <c r="DF200" s="753"/>
      <c r="DG200" s="754"/>
      <c r="DH200" s="754"/>
      <c r="DK200" s="244"/>
      <c r="DL200" s="750"/>
      <c r="DN200" s="750"/>
      <c r="DO200" s="755"/>
      <c r="DP200" s="436"/>
      <c r="DQ200" s="750"/>
      <c r="DR200" s="750"/>
      <c r="DS200" s="750"/>
      <c r="DU200" s="750"/>
      <c r="DV200" s="750"/>
      <c r="DW200" s="750"/>
      <c r="DX200" s="750"/>
      <c r="DZ200" s="756"/>
      <c r="EA200" s="756"/>
      <c r="EC200" s="754"/>
      <c r="ED200" s="754"/>
      <c r="EE200" s="244"/>
      <c r="EF200" s="754"/>
      <c r="EG200" s="754"/>
      <c r="EH200" s="243"/>
      <c r="EI200" s="243"/>
      <c r="EJ200" s="752"/>
      <c r="EK200" s="757"/>
      <c r="EL200" s="757"/>
      <c r="EM200" s="758"/>
      <c r="EN200" s="758"/>
      <c r="EO200" s="752"/>
      <c r="EP200" s="752"/>
      <c r="EQ200" s="752"/>
      <c r="ES200" s="750"/>
      <c r="EU200" s="436"/>
      <c r="EV200" s="436"/>
      <c r="EW200" s="436"/>
      <c r="EX200" s="436"/>
      <c r="EY200" s="436"/>
      <c r="EZ200" s="436"/>
      <c r="FB200" s="643"/>
      <c r="FD200" s="436"/>
      <c r="FE200" s="436"/>
      <c r="FF200" s="436"/>
      <c r="FO200" s="750"/>
      <c r="FP200" s="436"/>
      <c r="FQ200" s="436"/>
      <c r="FR200" s="750"/>
      <c r="FS200" s="750"/>
      <c r="FW200" s="749"/>
      <c r="FX200" s="749"/>
      <c r="FY200" s="749"/>
      <c r="FZ200" s="749"/>
      <c r="GA200" s="749"/>
      <c r="GB200" s="749"/>
      <c r="GC200" s="749"/>
      <c r="GD200" s="749"/>
      <c r="GE200" s="751"/>
      <c r="GF200" s="750"/>
      <c r="GG200" s="750"/>
    </row>
    <row r="201" spans="1:250" s="82" customFormat="1" ht="14.95" customHeight="1" thickTop="1" thickBot="1">
      <c r="B201" s="1421" t="str">
        <f>HY204</f>
        <v xml:space="preserve"> </v>
      </c>
      <c r="C201" s="1422">
        <f>C196+1</f>
        <v>32</v>
      </c>
      <c r="D201" s="1423"/>
      <c r="E201" s="1424" t="s">
        <v>242</v>
      </c>
      <c r="F201" s="1425"/>
      <c r="G201" s="1426"/>
      <c r="H201" s="1427"/>
      <c r="I201" s="1427"/>
      <c r="J201" s="1427"/>
      <c r="K201" s="1427"/>
      <c r="L201" s="1427"/>
      <c r="M201" s="1427"/>
      <c r="N201" s="1427"/>
      <c r="O201" s="1427"/>
      <c r="P201" s="1427"/>
      <c r="Q201" s="1427"/>
      <c r="R201" s="1427"/>
      <c r="S201" s="1428" t="s">
        <v>283</v>
      </c>
      <c r="T201" s="668" t="s">
        <v>190</v>
      </c>
      <c r="U201" s="1430" t="s">
        <v>186</v>
      </c>
      <c r="V201" s="1431"/>
      <c r="W201" s="1431"/>
      <c r="X201" s="1431"/>
      <c r="Y201" s="1431"/>
      <c r="Z201" s="1431"/>
      <c r="AA201" s="1431"/>
      <c r="AB201" s="1088" t="str">
        <f>IFERROR(IF(__Retrofit_TI_NC=0,VLOOKUP(U202,Fixtures_Existing_List,2,FALSE),ROUND(N203*R203/T203,10)),"")</f>
        <v/>
      </c>
      <c r="AC201" s="1039" t="str">
        <f>IFERROR(IF(__Retrofit_TI_NC=0,ROUND(T202*AB201*N202*R202/1000,0),IF(CN201="Interior",N203*R203*R202*N202*_C406_reduction/1000,N203*R203*R202*N202/1000)),"")</f>
        <v/>
      </c>
      <c r="AD201" s="1040" t="str">
        <f>IFERROR(IF(C$36=0,ROUND(T202*AB201/1000,2),N203*R203/1000),"")</f>
        <v/>
      </c>
      <c r="AE201" s="1044" t="s">
        <v>190</v>
      </c>
      <c r="AF201" s="1432" t="str">
        <f>IF(__Retrofit_TI_NC=2,CONCATENATE("Code min = ",DD201),IF(__Retrofit_TI_NC=1,"Emter what you think the existing control was"," Control"))</f>
        <v xml:space="preserve"> Control</v>
      </c>
      <c r="AG201" s="1432"/>
      <c r="AH201" s="1432"/>
      <c r="AI201" s="1432"/>
      <c r="AJ201" s="1433">
        <f>DF201</f>
        <v>0</v>
      </c>
      <c r="AK201" s="1435" t="str">
        <f>IFERROR(ROUND(AJ201*AC201,0),"")</f>
        <v/>
      </c>
      <c r="AL201" s="1437">
        <f>IFERROR(IF(HW201=FALSE,0,AC201-AK201),0)</f>
        <v>0</v>
      </c>
      <c r="AM201" s="1439">
        <f>AL201-AL203</f>
        <v>0</v>
      </c>
      <c r="AN201" s="1440"/>
      <c r="AO201" s="1445">
        <f>IFERROR(IF(HW201=FALSE,0,(T203*U204)+(AE203*AF204)),0)</f>
        <v>0</v>
      </c>
      <c r="AP201" s="1445"/>
      <c r="AQ201" s="1446"/>
      <c r="AR201" s="1451" t="s">
        <v>157</v>
      </c>
      <c r="AS201" s="1454">
        <f>IF(AR201="Yes",1,0)</f>
        <v>1</v>
      </c>
      <c r="AT201" s="1457" t="str">
        <f>IF(OR(DN201=4,DN201=5,DN201=6,DN201=12),CONCATENATE("$",IF(GD201=TRUE,Lookup!$B$11,Lookup!$B$2)," /lamp"),CONCATENATE(EA201,"/ kWh"))</f>
        <v>0/ kWh</v>
      </c>
      <c r="AU201" s="516"/>
      <c r="AV201" s="1478">
        <f>IFERROR(IF(GI202=TRUE,(AB204*T203)/R203,0),"NA")</f>
        <v>0</v>
      </c>
      <c r="AW201" s="1478" t="str">
        <f>IFERROR(N203*_C406_reduction,"NA")</f>
        <v>NA</v>
      </c>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M201" s="1352" t="str">
        <f>N202</f>
        <v/>
      </c>
      <c r="CN201" s="1352" t="str">
        <f>IFERROR(VLOOKUP(G202,_Lookup_Heat_Type_Table_New,3,FALSE),"")</f>
        <v/>
      </c>
      <c r="CO201" s="1415" t="str">
        <f>CN201</f>
        <v/>
      </c>
      <c r="CP201" s="1417" t="e">
        <f>VLOOKUP(G203,'Space Table'!$B$3:$L$160,9,FALSE)</f>
        <v>#N/A</v>
      </c>
      <c r="CR201" s="1386" t="s">
        <v>283</v>
      </c>
      <c r="CS201" s="1353">
        <f>IF(HW201=TRUE,T202,0)</f>
        <v>0</v>
      </c>
      <c r="CT201" s="1353" t="str">
        <f>IF(HW201=TRUE,U202,"")</f>
        <v/>
      </c>
      <c r="CU201" s="1353"/>
      <c r="CV201" s="1370">
        <f>IF(HW201=TRUE,AB201,0)</f>
        <v>0</v>
      </c>
      <c r="CW201" s="1370">
        <f>IF(HW201=TRUE,AC201,0)</f>
        <v>0</v>
      </c>
      <c r="CX201" s="1370">
        <f>IFERROR(IF(HW201=TRUE,CW201-CW203,0),0)</f>
        <v>0</v>
      </c>
      <c r="CY201" s="1485">
        <f>IF(HW201=TRUE,AD201,0)</f>
        <v>0</v>
      </c>
      <c r="CZ201" s="1485">
        <f>IF(HW201=TRUE,AD204,0)</f>
        <v>0</v>
      </c>
      <c r="DA201" s="1485">
        <f>IFERROR(CY201-CZ201,0)</f>
        <v>0</v>
      </c>
      <c r="DC201" s="1353">
        <f>IF(HW201=TRUE,AE202,0)</f>
        <v>0</v>
      </c>
      <c r="DD201" s="1460">
        <f>IF(__Retrofit_TI_NC=2,IF(CN201="Exterior",O204,FM201),FK201)</f>
        <v>0</v>
      </c>
      <c r="DE201" s="1353"/>
      <c r="DF201" s="1406">
        <f>IFERROR(IF(FL201=3,IK201,IF(FL201=4,IL201,IF(FL201=5,IM201,IF(FL201=6,IN201,IF(FL201=7,IO201,IF(FL201=8,IP201,0)))))),0)</f>
        <v>0</v>
      </c>
      <c r="DG201" s="1370">
        <f>IF(HW201=TRUE,AK201,0)</f>
        <v>0</v>
      </c>
      <c r="DH201" s="1369">
        <f>IFERROR(IF(HW201=TRUE,DG203-DG201,0),0)</f>
        <v>0</v>
      </c>
      <c r="DJ201" s="1483">
        <f>IFERROR(CW201-DG201,0)</f>
        <v>0</v>
      </c>
      <c r="DL201" s="1419">
        <f>DJ201-DK203</f>
        <v>0</v>
      </c>
      <c r="DN201" s="1403" t="str">
        <f>IFERROR(IF(AND(OR(FY201=4,FY201=5,FY201=6),OR(GB201=4,GB201=5,GB201=6)),FY201+8,VLOOKUP(CT203,Fixtures!R$31:Y$78,8,FALSE)),"")</f>
        <v/>
      </c>
      <c r="DO201" s="1404" t="str">
        <f>DN201</f>
        <v/>
      </c>
      <c r="DP201" s="1353" t="str">
        <f>IFERROR(VLOOKUP(DD203,Lookup!AU$3:AV$15,2,FALSE),"")</f>
        <v/>
      </c>
      <c r="DQ201" s="1404" t="str">
        <f>IF(DP201=7,"LLLC","")</f>
        <v/>
      </c>
      <c r="DR201" s="1403">
        <f>IFERROR(IF(OR(DN201=4,DN201=5,DN201=6,DN201=12,DN201=13,DN201=14),VLOOKUP(CT203,Fixtures!DN$27:EG$77,19,FALSE),1)*CS203,0)</f>
        <v>0</v>
      </c>
      <c r="DS201" s="1489">
        <f>IF(DP201=7,IF(DD201=DD203,0,DC203),0)</f>
        <v>0</v>
      </c>
      <c r="DU201" s="1403" t="str">
        <f>IFERROR(IF(EW201&lt;EW203,"Yes","No"),"")</f>
        <v/>
      </c>
      <c r="DV201" s="1404" t="str">
        <f>DU201</f>
        <v/>
      </c>
      <c r="DW201" s="1403">
        <f>IF(DU201="Yes",DC203,0)</f>
        <v>0</v>
      </c>
      <c r="DX201" s="1403">
        <f>DW201-DS201</f>
        <v>0</v>
      </c>
      <c r="DZ201" s="1481">
        <f>IFERROR(VLOOKUP(DN201,Lookup!AN$3:AO$16,2,FALSE),0)</f>
        <v>0</v>
      </c>
      <c r="EA201" s="1481">
        <f>IF(HW201=FALSE,0,IF(DU201="Yes",DZ201+Lookup!B$6,DZ201))</f>
        <v>0</v>
      </c>
      <c r="EC201" s="1482">
        <f>IF(HW201=TRUE,DJ201,0)</f>
        <v>0</v>
      </c>
      <c r="ED201" s="1369">
        <f>IF(HW201=TRUE,CW203,0)</f>
        <v>0</v>
      </c>
      <c r="EE201" s="1370">
        <f>IFERROR(EC201-ED201,0)</f>
        <v>0</v>
      </c>
      <c r="EF201" s="1369">
        <f>IF(HW201=TRUE,DG203,0)</f>
        <v>0</v>
      </c>
      <c r="EG201" s="1369">
        <f>IFERROR(EC201-ED201+EF201,0)</f>
        <v>0</v>
      </c>
      <c r="EH201" s="1373">
        <f>IF(HW201=TRUE,CS203*CU203,0)</f>
        <v>0</v>
      </c>
      <c r="EI201" s="1373">
        <f>IF(HW201=TRUE,DC203*DE203,0)</f>
        <v>0</v>
      </c>
      <c r="EJ201" s="1363">
        <f>AO201</f>
        <v>0</v>
      </c>
      <c r="EK201" s="1376" t="str">
        <f>IFERROR(IF(HW201=TRUE,VLOOKUP(DN201,Lookup!AN$3:AP$16,3,FALSE)*DR201,""),0)</f>
        <v/>
      </c>
      <c r="EL201" s="1376">
        <f>IF(HW201=TRUE,DW201*Lookup!AP$12,0)</f>
        <v>0</v>
      </c>
      <c r="EM201" s="1362">
        <f>IFERROR(IF(HW201=TRUE,EK201/EM$33,0),0)</f>
        <v>0</v>
      </c>
      <c r="EN201" s="1362">
        <f>IF(HW201=TRUE,EL201/EN$33,0)</f>
        <v>0</v>
      </c>
      <c r="EO201" s="1363">
        <f>IF(HW201=TRUE,EQ$33*EM201,0)</f>
        <v>0</v>
      </c>
      <c r="EP201" s="1363">
        <f>IF(HW201=TRUE,EQ$33*EN201,0)</f>
        <v>0</v>
      </c>
      <c r="EQ201" s="1363">
        <f>EO201+EP201</f>
        <v>0</v>
      </c>
      <c r="ES201" s="1403">
        <f>IF(G201="",0,1)</f>
        <v>0</v>
      </c>
      <c r="EU201" s="1410" t="e">
        <f>VLOOKUP(CP203,'Space Table'!$B$3:$L$160,8,FALSE)</f>
        <v>#N/A</v>
      </c>
      <c r="EV201" s="1410" t="e">
        <f>IF(EY201="Yes",VLOOKUP(DD201,Lookup_Control_Type_Table2,4,FALSE),VLOOKUP(DD201,Lookup_Control_Type_Table2,3,FALSE))</f>
        <v>#N/A</v>
      </c>
      <c r="EW201" s="1410" t="e">
        <f>VLOOKUP(DD201,Lookup!AU$3:AV$15,2,FALSE)</f>
        <v>#N/A</v>
      </c>
      <c r="EX201" s="1410" t="e">
        <f>VLOOKUP(EU201,Lookup_Control_Type_Table,2,FALSE)</f>
        <v>#N/A</v>
      </c>
      <c r="EY201" s="1410" t="e">
        <f>VLOOKUP(CP203,'Space Table'!$B$3:$L$160,7,FALSE)</f>
        <v>#N/A</v>
      </c>
      <c r="EZ201" s="1412" t="b">
        <f>ISNUMBER(SEARCH("TLED",U203))</f>
        <v>0</v>
      </c>
      <c r="FB201" s="1365" t="str">
        <f>CONCATENATE(CN201," - ",DD201)</f>
        <v xml:space="preserve"> - 0</v>
      </c>
      <c r="FD201" s="1353" t="str">
        <f>VLOOKUP(CT203,Fixtures!DN$27:EZ$77,38,FALSE)</f>
        <v/>
      </c>
      <c r="FE201" s="1353">
        <f>IFERROR(FD201*EE201,0)</f>
        <v>0</v>
      </c>
      <c r="FF201" s="138"/>
      <c r="FI201" s="1356" t="str">
        <f>IF(CN201="Exterior","Not Daylighted",G204)</f>
        <v>Not Daylighted</v>
      </c>
      <c r="FJ201" s="1356">
        <f>VLOOKUP(FI201,_Daylight_Table_Codes,2,FALSE)</f>
        <v>0</v>
      </c>
      <c r="FK201" s="1365">
        <f>IF(__Retrofit_TI_NC=2,VLOOKUP(G203,'Space Table'!$B$3:$L$160,11,FALSE),AF202)</f>
        <v>0</v>
      </c>
      <c r="FL201" s="1365" t="e">
        <f>VLOOKUP(FK201,_Control_Table,2,FALSE)</f>
        <v>#N/A</v>
      </c>
      <c r="FM201" s="1365" t="e">
        <f>IF(AND(FP201&gt;0,FK201="Occupancy Sensor"),"Daylight + Occupancy",IF(AND(FP201&gt;0,FL201&lt;4),"Interior Daylight Dimming",FK201))</f>
        <v>#N/A</v>
      </c>
      <c r="FO201" s="1364">
        <f>IF(CO201="Interior",VLOOKUP(CP201,Control_Savings_Interior,5,FALSE),0)</f>
        <v>0</v>
      </c>
      <c r="FP201" s="1361">
        <f>IF(CN201="Exterior",0,IF(FJ201=2,0.5,IF(OR(FJ201=1,FJ201=3),1,0)))</f>
        <v>0</v>
      </c>
      <c r="FQ201" s="1366"/>
      <c r="FR201" s="1367"/>
      <c r="FS201" s="1364"/>
      <c r="FT201" s="1367"/>
      <c r="FU201" s="1360"/>
      <c r="FW201" s="1352" t="str">
        <f>IFERROR(VLOOKUP(U202,_Exist_Fixture_Table,3,FALSE),"")</f>
        <v/>
      </c>
      <c r="FX201" s="1352" t="str">
        <f>VLOOKUP(CT201,_Exist_Fixture_Table,4,FALSE)</f>
        <v/>
      </c>
      <c r="FY201" s="1352">
        <f>IFERROR(VLOOKUP(FX201,Lookup!AM$6:AN$8,2,FALSE),0)</f>
        <v>0</v>
      </c>
      <c r="FZ201" s="1352" t="b">
        <f>IFERROR(IF(OR(GB201=4,GB201=5,GB201=6),TRUE,FALSE),"")</f>
        <v>0</v>
      </c>
      <c r="GA201" s="1352" t="str">
        <f>IFERROR(VLOOKUP(GB201,FY$6:FZ$10,2,FALSE),"")</f>
        <v/>
      </c>
      <c r="GB201" s="1352" t="str">
        <f>VLOOKUP(CT203,Fixtures!R$31:Y$78,8,FALSE)</f>
        <v/>
      </c>
      <c r="GC201" s="1352">
        <f>IF(AND(FW201=TRUE,FZ201=TRUE,OR(DN201=12,DN201=13,DN201=14)),FY201+8,0)</f>
        <v>0</v>
      </c>
      <c r="GD201" s="1352" t="b">
        <f>IF(OR(GC201=12,GC201=13,GC201=14),TRUE,FALSE)</f>
        <v>0</v>
      </c>
      <c r="GE201" s="759" t="b">
        <f>IF(ISNUMBER(SEARCH("TLED",U202)),TRUE,FALSE)</f>
        <v>0</v>
      </c>
      <c r="GF201" s="1035" t="str">
        <f>IFERROR(VLOOKUP(U202,Fixtures!BM$93:BR$142,6,FALSE),"")</f>
        <v/>
      </c>
      <c r="GG201" s="1385" t="b">
        <f>IF(OR(GE201=FALSE,GE203=FALSE),TRUE,IF(GF201-GF203&lt;5,FALSE,TRUE))</f>
        <v>1</v>
      </c>
      <c r="GK201" s="1034">
        <f>GL201</f>
        <v>0</v>
      </c>
      <c r="GL201" s="1034">
        <f>IF(G201="",0,1)</f>
        <v>0</v>
      </c>
      <c r="GM201" s="1034">
        <f>SUM(GN201:HB201)</f>
        <v>2</v>
      </c>
      <c r="GN201" s="1034">
        <f>IF(G202="",0,1)</f>
        <v>0</v>
      </c>
      <c r="GO201" s="1034">
        <f>IF(G203="",0,1)</f>
        <v>0</v>
      </c>
      <c r="GP201" s="1034">
        <f>IF(R202="",0,1)</f>
        <v>0</v>
      </c>
      <c r="GQ201" s="1034">
        <f>IF(__Retrofit_TI_NC=0,1,IF(R203="",0,1))</f>
        <v>1</v>
      </c>
      <c r="GR201" s="1034">
        <f>IF(CN201="Exterior",1,IF(G204="",0,1))</f>
        <v>1</v>
      </c>
      <c r="GS201" s="1034">
        <f>IF(__Retrofit_TI_NC&lt;&gt;0,1,IF(T202="",0,1))</f>
        <v>0</v>
      </c>
      <c r="GT201" s="1034">
        <f>IF(__Retrofit_TI_NC&lt;&gt;0,1,IF(U202="",0,1))</f>
        <v>0</v>
      </c>
      <c r="GU201" s="1034">
        <f>IF(T203="",0,1)</f>
        <v>0</v>
      </c>
      <c r="GV201" s="1034">
        <f>IF(U203="",0,1)</f>
        <v>0</v>
      </c>
      <c r="GW201" s="1034">
        <f>IF(__Retrofit_TI_NC=2,1,IF(U204="",0,1))</f>
        <v>0</v>
      </c>
      <c r="GX201" s="1034">
        <f>IF(__Retrofit_TI_NC&lt;&gt;0,1,IF(AE202="",0,1))</f>
        <v>0</v>
      </c>
      <c r="GY201" s="1034">
        <f>IF(__Retrofit_TI_NC&lt;&gt;0,1,IF(AF202="",0,1))</f>
        <v>0</v>
      </c>
      <c r="GZ201" s="1034">
        <f>IF(AE203="",0,1)</f>
        <v>0</v>
      </c>
      <c r="HA201" s="1034">
        <f>IF(AF203="",0,1)</f>
        <v>0</v>
      </c>
      <c r="HB201" s="1034">
        <f>IF(__Retrofit_TI_NC=2,1,IF(AF204="",0,1))</f>
        <v>0</v>
      </c>
      <c r="HV201" s="436"/>
      <c r="HW201" s="1384" t="b">
        <f>IF(OR(HW204=0,HW204=HT$16,HW204=HS$16,HW204=HU$16),TRUE,FALSE)</f>
        <v>0</v>
      </c>
      <c r="HX201" s="1377" t="b">
        <f>HW201</f>
        <v>0</v>
      </c>
      <c r="HY201" s="436"/>
      <c r="HZ201" s="436"/>
      <c r="IA201" s="1386" t="b">
        <f>IF(MAX(GJ204:HP204)&gt;5,FALSE,TRUE)</f>
        <v>0</v>
      </c>
      <c r="IB201" s="1380">
        <f>IF(IA201=TRUE,AC201,0)</f>
        <v>0</v>
      </c>
      <c r="IC201" s="1380">
        <f>IB201-IB203</f>
        <v>0</v>
      </c>
      <c r="IF201" s="1380" t="e">
        <f>ROUND(T202*VLOOKUP(U202,Fixtures_Existing_List,2,FALSE)*N202*R202/1000,0)</f>
        <v>#N/A</v>
      </c>
      <c r="IG201" s="1381" t="e">
        <f>IF201-IF203</f>
        <v>#N/A</v>
      </c>
      <c r="IH201" s="1384" t="e">
        <f>ROUND(IF(CN201="Interior",N203*R203*R202*N202*_C406_reduction/1000,N203*R203*R202*N202/1000),0)</f>
        <v>#N/A</v>
      </c>
      <c r="II201" s="1384" t="e">
        <f>IH201-IH203</f>
        <v>#N/A</v>
      </c>
      <c r="IK201" s="1351" t="e">
        <f>IF($CO201="interior",IL201/2,VLOOKUP($CP201,Control_Savings_Exterior,IK$30,FALSE))</f>
        <v>#N/A</v>
      </c>
      <c r="IL201" s="1351" t="e">
        <f>IF($CO201="interior",VLOOKUP($CP201,Control_Savings_Interior,IL$30,FALSE),VLOOKUP($CP201,Control_Savings_Exterior,IL$30,FALSE))</f>
        <v>#N/A</v>
      </c>
      <c r="IM201" s="1351" t="e">
        <f>IF($CO201="interior",IF(R202&gt;FO$37,(IM$28*(FO$37/R202)),IM$28)*FP201,VLOOKUP($CP201,Control_Savings_Exterior,IM$30,FALSE))</f>
        <v>#N/A</v>
      </c>
      <c r="IN201" s="1351" t="e">
        <f>IF($CO201="interior",ROUND(((1-IL201)*IM201)+IL201,2),VLOOKUP($CP201,Control_Savings_Exterior,IN$30,FALSE))</f>
        <v>#N/A</v>
      </c>
      <c r="IO201" s="1351" t="e">
        <f>IF($CO201="interior", ROUND(((1-IL201)*(IM201*(1-IP$28)))+IP201,2), VLOOKUP($CP201,Control_Savings_Exterior,IO$30,FALSE))</f>
        <v>#N/A</v>
      </c>
      <c r="IP201" s="1351">
        <f>IF($CO201="interior",ROUND(((1-IL201)*IP$28)+IL201,2),0)</f>
        <v>0</v>
      </c>
    </row>
    <row r="202" spans="1:250" s="82" customFormat="1" ht="14.95" customHeight="1" thickTop="1" thickBot="1">
      <c r="B202" s="1421"/>
      <c r="C202" s="1422"/>
      <c r="D202" s="1423"/>
      <c r="E202" s="1393" t="s">
        <v>244</v>
      </c>
      <c r="F202" s="1394"/>
      <c r="G202" s="1395"/>
      <c r="H202" s="1395"/>
      <c r="I202" s="1395"/>
      <c r="J202" s="1395"/>
      <c r="K202" s="1395"/>
      <c r="L202" s="1395"/>
      <c r="M202" s="509" t="e">
        <f>IF(__Retrofit_TI_NC&lt;&gt;0,IF(VLOOKUP(G203,'Space Table'!$B$3:$L$160,3,FALSE)&gt;0,1,0),IF(__Retrofit_TI_NC=VLOOKUP(G203,'Space Table'!$B$3:$L$160,3,FALSE),1,0))</f>
        <v>#N/A</v>
      </c>
      <c r="N202" s="509" t="str">
        <f>IFERROR(VLOOKUP(G202,_Lookup_Heat_Type_Table_New,2,FALSE),"")</f>
        <v/>
      </c>
      <c r="O202" s="509">
        <f>IF(__Retrofit_TI_NC=1,CONCATENATE("TI ",G202),IF(__Retrofit_TI_NC=2,CONCATENATE("NC ",G202),G202))</f>
        <v>0</v>
      </c>
      <c r="P202" s="1396" t="s">
        <v>352</v>
      </c>
      <c r="Q202" s="1396"/>
      <c r="R202" s="673"/>
      <c r="S202" s="1429"/>
      <c r="T202" s="675"/>
      <c r="U202" s="1496"/>
      <c r="V202" s="1497"/>
      <c r="W202" s="1497"/>
      <c r="X202" s="1497"/>
      <c r="Y202" s="1497"/>
      <c r="Z202" s="1497"/>
      <c r="AA202" s="1497"/>
      <c r="AB202" s="1497"/>
      <c r="AC202" s="1497"/>
      <c r="AD202" s="1498"/>
      <c r="AE202" s="675"/>
      <c r="AF202" s="1397"/>
      <c r="AG202" s="1397"/>
      <c r="AH202" s="1397"/>
      <c r="AI202" s="1397"/>
      <c r="AJ202" s="1434"/>
      <c r="AK202" s="1436"/>
      <c r="AL202" s="1438"/>
      <c r="AM202" s="1441"/>
      <c r="AN202" s="1442"/>
      <c r="AO202" s="1447"/>
      <c r="AP202" s="1447"/>
      <c r="AQ202" s="1448"/>
      <c r="AR202" s="1452"/>
      <c r="AS202" s="1455"/>
      <c r="AT202" s="1458"/>
      <c r="AU202" s="516"/>
      <c r="AV202" s="1479"/>
      <c r="AW202" s="1479"/>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M202" s="1352"/>
      <c r="CN202" s="1352"/>
      <c r="CO202" s="1416"/>
      <c r="CP202" s="1418"/>
      <c r="CR202" s="1386"/>
      <c r="CS202" s="1355"/>
      <c r="CT202" s="1355"/>
      <c r="CU202" s="1355"/>
      <c r="CV202" s="1372"/>
      <c r="CW202" s="1372"/>
      <c r="CX202" s="1371"/>
      <c r="CY202" s="1486"/>
      <c r="CZ202" s="1486"/>
      <c r="DA202" s="1486"/>
      <c r="DC202" s="1355"/>
      <c r="DD202" s="1461"/>
      <c r="DE202" s="1355"/>
      <c r="DF202" s="1407"/>
      <c r="DG202" s="1372"/>
      <c r="DH202" s="1369"/>
      <c r="DJ202" s="1484"/>
      <c r="DL202" s="1419"/>
      <c r="DN202" s="1403"/>
      <c r="DO202" s="1405"/>
      <c r="DP202" s="1354"/>
      <c r="DQ202" s="1405"/>
      <c r="DR202" s="1403"/>
      <c r="DS202" s="1489"/>
      <c r="DU202" s="1403"/>
      <c r="DV202" s="1405"/>
      <c r="DW202" s="1403"/>
      <c r="DX202" s="1403"/>
      <c r="DZ202" s="1481"/>
      <c r="EA202" s="1481"/>
      <c r="EC202" s="1482"/>
      <c r="ED202" s="1369"/>
      <c r="EE202" s="1371"/>
      <c r="EF202" s="1369"/>
      <c r="EG202" s="1369"/>
      <c r="EH202" s="1374"/>
      <c r="EI202" s="1374"/>
      <c r="EJ202" s="1363"/>
      <c r="EK202" s="1376"/>
      <c r="EL202" s="1376"/>
      <c r="EM202" s="1362"/>
      <c r="EN202" s="1362"/>
      <c r="EO202" s="1363"/>
      <c r="EP202" s="1363"/>
      <c r="EQ202" s="1363"/>
      <c r="ES202" s="1403"/>
      <c r="EU202" s="1411"/>
      <c r="EV202" s="1411"/>
      <c r="EW202" s="1411"/>
      <c r="EX202" s="1411"/>
      <c r="EY202" s="1411"/>
      <c r="EZ202" s="1413"/>
      <c r="FB202" s="1365"/>
      <c r="FD202" s="1354"/>
      <c r="FE202" s="1354"/>
      <c r="FF202" s="138"/>
      <c r="FI202" s="1357"/>
      <c r="FJ202" s="1357"/>
      <c r="FK202" s="1365"/>
      <c r="FL202" s="1365"/>
      <c r="FM202" s="1365"/>
      <c r="FO202" s="1361"/>
      <c r="FP202" s="1361"/>
      <c r="FQ202" s="1366"/>
      <c r="FR202" s="1368"/>
      <c r="FS202" s="1361"/>
      <c r="FT202" s="1368"/>
      <c r="FU202" s="1360"/>
      <c r="FW202" s="1352"/>
      <c r="FX202" s="1352"/>
      <c r="FY202" s="1352"/>
      <c r="FZ202" s="1352"/>
      <c r="GA202" s="1352"/>
      <c r="GB202" s="1352"/>
      <c r="GC202" s="1352"/>
      <c r="GD202" s="1352"/>
      <c r="GE202" s="759"/>
      <c r="GF202" s="1035"/>
      <c r="GG202" s="1385"/>
      <c r="GI202" s="1384" t="b">
        <f>IF(AND(GL202=TRUE,GM202=TRUE),TRUE,FALSE)</f>
        <v>0</v>
      </c>
      <c r="GJ202" s="1379" t="b">
        <f>IFERROR(IF(__Retrofit_TI_NC=2,TRUE,IF(AR201="Yes",TRUE,FALSE)),FALSE)</f>
        <v>1</v>
      </c>
      <c r="GL202" s="1379" t="b">
        <f>IFERROR(IF(GL201=1,TRUE,FALSE),FALSE)</f>
        <v>0</v>
      </c>
      <c r="GM202" s="1379" t="b">
        <f>IFERROR(IF(GM201=GM$14,TRUE,FALSE),FALSE)</f>
        <v>0</v>
      </c>
      <c r="HC202" s="1379" t="b">
        <f>IFERROR(IF(M202=1,TRUE,FALSE),FALSE)</f>
        <v>0</v>
      </c>
      <c r="HD202" s="1379" t="b">
        <f>IFERROR(IF(M203=1,TRUE,FALSE),FALSE)</f>
        <v>0</v>
      </c>
      <c r="HE202" s="1379" t="b">
        <f>IFERROR(IF(__Retrofit_TI_NC&lt;&gt;0,TRUE,IFERROR(IF(VLOOKUP(U202,Fixtures_Existing_List,2,FALSE)&lt;&gt;"",TRUE,FALSE),FALSE)),FALSE)</f>
        <v>0</v>
      </c>
      <c r="HF202" s="1379" t="b">
        <f>IFERROR(IF(VLOOKUP(U203,Fixtures_Proposed_List,2,FALSE)&lt;&gt;"",TRUE,FALSE),FALSE)</f>
        <v>0</v>
      </c>
      <c r="HG202" s="1379" t="b">
        <f>IF(AND(__Retrofit_TI_NC=2,EZ201=TRUE),FALSE,TRUE)</f>
        <v>1</v>
      </c>
      <c r="HH202" s="1379" t="b">
        <f>GG201</f>
        <v>1</v>
      </c>
      <c r="HI202" s="1384" t="b">
        <f>IF(ISERROR(MATCH(FB201,_Control_Match[],0))=TRUE,FALSE,TRUE)</f>
        <v>0</v>
      </c>
      <c r="HJ202" s="1384" t="b">
        <f>IFERROR(IF(EU201&lt;&gt;EV201,FALSE,TRUE),FALSE)</f>
        <v>0</v>
      </c>
      <c r="HK202" s="1384" t="b">
        <f>IFERROR(IF(EU203&lt;&gt;EV203,FALSE,TRUE),FALSE)</f>
        <v>0</v>
      </c>
      <c r="HL202" s="1379" t="b">
        <f>IFERROR(IF(CN201="Exterior",TRUE,IF(OR(AND(FJ201=0,EW203&gt;4),AND(FJ201=4,EW203&gt;4,EW203&lt;7)),FALSE,TRUE)),FALSE)</f>
        <v>0</v>
      </c>
      <c r="HM202" s="1379" t="b">
        <f>IFERROR(IF(AND(FL203=7,EZ201=TRUE),FALSE,TRUE),FALSE)</f>
        <v>0</v>
      </c>
      <c r="HN202" s="1379" t="b">
        <f>IFERROR(IF(AND(T203&lt;&gt;AE203,AF203="Interior LLLC")=TRUE,FALSE,TRUE),FALSE)</f>
        <v>1</v>
      </c>
      <c r="HO202" s="1379" t="b">
        <f>IFERROR(IF(OR(AF203=Lookup!AU$13,AF203=Lookup!AU$14)=TRUE,IF(AE203&gt;T203,FALSE,TRUE),TRUE),FALSE)</f>
        <v>1</v>
      </c>
      <c r="HP202" s="1379" t="b">
        <f>IFERROR(IF(__Retrofit_TI_NC=2,IF(EW203&lt;EW201,FALSE,TRUE),TRUE),FALSE)</f>
        <v>1</v>
      </c>
      <c r="HQ202" s="1379" t="b">
        <f>IF(CN201="Interior",IG$6,TRUE)</f>
        <v>1</v>
      </c>
      <c r="HR202" s="1379" t="b">
        <f>IF(CN201="Exterior",IG$8,TRUE)</f>
        <v>1</v>
      </c>
      <c r="HS202" s="1379" t="b">
        <f>IFERROR(IF(__Retrofit_TI_NC&lt;&gt;0,IF(AW201&lt;AV201,FALSE,TRUE),TRUE),FALSE)</f>
        <v>1</v>
      </c>
      <c r="HT202" s="1379" t="b">
        <f>IFERROR(IF(AND(G202="Exterior",R202&gt;4200),FALSE,TRUE),FALSE)</f>
        <v>1</v>
      </c>
      <c r="HU202" s="1379" t="b">
        <f>IFERROR(IF(AB204/AB201&lt;HU$18,FALSE,TRUE),FALSE)</f>
        <v>0</v>
      </c>
      <c r="HW202" s="1382"/>
      <c r="HX202" s="1378"/>
      <c r="HY202" s="1377" t="str">
        <f>VLOOKUP(HW204,_Error_Table,4,FALSE)</f>
        <v>White</v>
      </c>
      <c r="HZ202" s="436"/>
      <c r="IA202" s="1386"/>
      <c r="IB202" s="1380"/>
      <c r="IC202" s="1379"/>
      <c r="IF202" s="1380"/>
      <c r="IG202" s="1382"/>
      <c r="IH202" s="1382"/>
      <c r="II202" s="1382"/>
      <c r="IK202" s="1351"/>
      <c r="IL202" s="1351"/>
      <c r="IM202" s="1351"/>
      <c r="IN202" s="1351"/>
      <c r="IO202" s="1351"/>
      <c r="IP202" s="1351"/>
    </row>
    <row r="203" spans="1:250" s="82" customFormat="1" ht="14.95" customHeight="1" thickTop="1" thickBot="1">
      <c r="A203" s="82">
        <f>ROW()</f>
        <v>203</v>
      </c>
      <c r="B203" s="1421"/>
      <c r="C203" s="1422"/>
      <c r="D203" s="1423"/>
      <c r="E203" s="1393" t="s">
        <v>245</v>
      </c>
      <c r="F203" s="1394"/>
      <c r="G203" s="1398"/>
      <c r="H203" s="1399"/>
      <c r="I203" s="1399"/>
      <c r="J203" s="1399"/>
      <c r="K203" s="1399"/>
      <c r="L203" s="1400"/>
      <c r="M203" s="509">
        <f>IFERROR(IF(IF(__Retrofit_TI_NC&lt;&gt;0,IF(CN201="Interior",MATCH(G203,Lookup_Interior_New,0),MATCH(G203,Lookup_Exterior_New,0)),IF(CN201="Interior",MATCH(G203,Lookup_Interior,0),MATCH(G203,Lookup_Exterior_Areas,0)))&gt;0,1,0),0)</f>
        <v>0</v>
      </c>
      <c r="N203" s="509" t="e">
        <f>IF(__Retrofit_TI_NC=1,
VLOOKUP(G203,'Space Table'!$B$3:$L$160,4,FALSE),
IF(__Retrofit_TI_NC=2,VLOOKUP(G203,'Space Table'!$B$3:$L$160,5,FALSE),VLOOKUP(G203,'Space Table'!$B$3:$L$160,5,FALSE)))</f>
        <v>#N/A</v>
      </c>
      <c r="O203" s="509">
        <f>G203</f>
        <v>0</v>
      </c>
      <c r="P203" s="1394" t="s">
        <v>355</v>
      </c>
      <c r="Q203" s="1394"/>
      <c r="R203" s="674"/>
      <c r="S203" s="1401" t="s">
        <v>284</v>
      </c>
      <c r="T203" s="672"/>
      <c r="U203" s="1499"/>
      <c r="V203" s="1500"/>
      <c r="W203" s="1500"/>
      <c r="X203" s="1500"/>
      <c r="Y203" s="1500"/>
      <c r="Z203" s="1500"/>
      <c r="AA203" s="1500"/>
      <c r="AB203" s="1501"/>
      <c r="AC203" s="1501"/>
      <c r="AD203" s="1502"/>
      <c r="AE203" s="672"/>
      <c r="AF203" s="1474"/>
      <c r="AG203" s="1474"/>
      <c r="AH203" s="1474"/>
      <c r="AI203" s="1474"/>
      <c r="AJ203" s="1475">
        <f>DF203</f>
        <v>0</v>
      </c>
      <c r="AK203" s="1470" t="str">
        <f>IFERROR(ROUND(AJ203*AC204,0),"")</f>
        <v/>
      </c>
      <c r="AL203" s="1472">
        <f>IFERROR(IF(HW201=FALSE,0,AC204-AK203),0)</f>
        <v>0</v>
      </c>
      <c r="AM203" s="1441"/>
      <c r="AN203" s="1442"/>
      <c r="AO203" s="1447"/>
      <c r="AP203" s="1447"/>
      <c r="AQ203" s="1448"/>
      <c r="AR203" s="1452"/>
      <c r="AS203" s="1455"/>
      <c r="AT203" s="1458"/>
      <c r="AU203" s="516"/>
      <c r="AV203" s="1479"/>
      <c r="AW203" s="1479"/>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M203" s="1352"/>
      <c r="CN203" s="1352"/>
      <c r="CO203" s="1415" t="str">
        <f>CN201</f>
        <v/>
      </c>
      <c r="CP203" s="1417" t="e">
        <f>CP201</f>
        <v>#N/A</v>
      </c>
      <c r="CR203" s="1386" t="s">
        <v>284</v>
      </c>
      <c r="CS203" s="1353">
        <f>IF(HW201=TRUE,T203,0)</f>
        <v>0</v>
      </c>
      <c r="CT203" s="1353" t="str">
        <f>IF(HW201=TRUE,U203,"")</f>
        <v/>
      </c>
      <c r="CU203" s="1373">
        <f>IF(HW201=TRUE,U204,0)</f>
        <v>0</v>
      </c>
      <c r="CV203" s="1370">
        <f>IF(HW201=TRUE,AB204,0)</f>
        <v>0</v>
      </c>
      <c r="CW203" s="1370">
        <f>IF(HW201=TRUE,AC204,0)</f>
        <v>0</v>
      </c>
      <c r="CX203" s="1371"/>
      <c r="CY203" s="1486"/>
      <c r="CZ203" s="1486"/>
      <c r="DA203" s="1486"/>
      <c r="DC203" s="1353">
        <f>IF(HW201=TRUE,AE203,0)</f>
        <v>0</v>
      </c>
      <c r="DD203" s="1353" t="str">
        <f>IF(HW201=TRUE,AF203,"")</f>
        <v/>
      </c>
      <c r="DE203" s="1373">
        <f>AF204</f>
        <v>0</v>
      </c>
      <c r="DF203" s="1406">
        <f>IFERROR(IF(FL203=3,IK203,IF(FL203=4,IL203,IF(FL203=5,IM203,IF(FL203=6,IN203,IF(FL203=7,IO203,IF(FL203=8,IP203,0)))))),0)</f>
        <v>0</v>
      </c>
      <c r="DG203" s="1370">
        <f>IF(HW201=TRUE,AK203,0)</f>
        <v>0</v>
      </c>
      <c r="DH203" s="1369"/>
      <c r="DK203" s="1483">
        <f>IFERROR(CW203-DG203,0)</f>
        <v>0</v>
      </c>
      <c r="DL203" s="1420"/>
      <c r="DN203" s="1403"/>
      <c r="DO203" s="1477" t="str">
        <f>DN201</f>
        <v/>
      </c>
      <c r="DP203" s="1354"/>
      <c r="DQ203" s="1477" t="str">
        <f>IF(DP201=7,"LLLC","")</f>
        <v/>
      </c>
      <c r="DR203" s="1403"/>
      <c r="DS203" s="1489"/>
      <c r="DU203" s="1403"/>
      <c r="DV203" s="1404" t="str">
        <f>DU201</f>
        <v/>
      </c>
      <c r="DW203" s="1403"/>
      <c r="DX203" s="1403"/>
      <c r="DZ203" s="1481"/>
      <c r="EA203" s="1481"/>
      <c r="EC203" s="1482"/>
      <c r="ED203" s="1369"/>
      <c r="EE203" s="1371"/>
      <c r="EF203" s="1369"/>
      <c r="EG203" s="1369"/>
      <c r="EH203" s="1374"/>
      <c r="EI203" s="1374"/>
      <c r="EJ203" s="1363"/>
      <c r="EK203" s="1376"/>
      <c r="EL203" s="1376"/>
      <c r="EM203" s="1362"/>
      <c r="EN203" s="1362"/>
      <c r="EO203" s="1363"/>
      <c r="EP203" s="1363"/>
      <c r="EQ203" s="1363"/>
      <c r="ES203" s="1403"/>
      <c r="EU203" s="1411" t="e">
        <f>VLOOKUP(CP203,'Space Table'!$B$3:$L$160,8,FALSE)</f>
        <v>#N/A</v>
      </c>
      <c r="EV203" s="1411" t="e">
        <f>IF(EY203="Yes",VLOOKUP(AF203,Lookup_Control_Type_Table2,4,FALSE),VLOOKUP(AF203,Lookup_Control_Type_Table2,3,FALSE))</f>
        <v>#N/A</v>
      </c>
      <c r="EW203" s="1411" t="e">
        <f>VLOOKUP(AF203,Lookup!AU$3:AV$15,2,FALSE)</f>
        <v>#N/A</v>
      </c>
      <c r="EX203" s="1411" t="e">
        <f>VLOOKUP(EU201,Lookup_Control_Type_Table,2,FALSE)</f>
        <v>#N/A</v>
      </c>
      <c r="EY203" s="1411" t="e">
        <f>VLOOKUP(CP203,'Space Table'!$B$3:$L$160,7,FALSE)</f>
        <v>#N/A</v>
      </c>
      <c r="EZ203" s="1413"/>
      <c r="FB203" s="1365" t="str">
        <f>CONCATENATE(CN201," - ",AF203)</f>
        <v xml:space="preserve"> - </v>
      </c>
      <c r="FD203" s="1354"/>
      <c r="FE203" s="1354"/>
      <c r="FF203" s="138"/>
      <c r="FI203" s="1356" t="str">
        <f>IF(CN201="Exterior","Not Daylighted",G204)</f>
        <v>Not Daylighted</v>
      </c>
      <c r="FJ203" s="1356">
        <f>VLOOKUP(FI203,_Daylight_Table_Codes,2,FALSE)</f>
        <v>0</v>
      </c>
      <c r="FK203" s="1365">
        <f>AF203</f>
        <v>0</v>
      </c>
      <c r="FL203" s="1365" t="e">
        <f>VLOOKUP(FK203,_Control_Table,2,FALSE)</f>
        <v>#N/A</v>
      </c>
      <c r="FM203" s="1365" t="e">
        <f>IF(AND(FP203&gt;0,FK203="Occupancy Sensor"),"Daylight + Occupancy",IF(AND(FP203&gt;0,FL203&lt;4),"Interior Daylight Dimming",FK203))</f>
        <v>#N/A</v>
      </c>
      <c r="FO203" s="1364">
        <f>IF(CN201="Interior",VLOOKUP(CP201,Control_Savings_Interior,5,FALSE),0)</f>
        <v>0</v>
      </c>
      <c r="FP203" s="1361">
        <f>IF(CN203="Exterior",0,IF(FJ203=2,0.5,IF(OR(FJ203=1,FJ203=3),1,0)))</f>
        <v>0</v>
      </c>
      <c r="FQ203" s="1366">
        <f>IF(R202&gt;FO$37,(FO203*(FO$37/R202)),FO203)*FP203</f>
        <v>0</v>
      </c>
      <c r="FR203" s="1364">
        <f>DF203</f>
        <v>0</v>
      </c>
      <c r="FS203" s="1364">
        <f>ROUND(FR203+((1-FR203)*FQ203),2)</f>
        <v>0</v>
      </c>
      <c r="FT203" s="1364">
        <f>IF(__Retrofit_TI_NC=2,FS203,FR203)</f>
        <v>0</v>
      </c>
      <c r="FU203" s="1360">
        <f>IF(CO203="Interior",VLOOKUP(CP203,Control_Savings_Interior,4,FALSE),0)</f>
        <v>0</v>
      </c>
      <c r="FW203" s="1352"/>
      <c r="FX203" s="1352"/>
      <c r="FY203" s="1352"/>
      <c r="FZ203" s="1352"/>
      <c r="GA203" s="1352"/>
      <c r="GB203" s="1352"/>
      <c r="GC203" s="1352"/>
      <c r="GD203" s="1352"/>
      <c r="GE203" s="759" t="b">
        <f>IF(ISNUMBER(SEARCH("TLED",U203)),TRUE,FALSE)</f>
        <v>0</v>
      </c>
      <c r="GF203" s="1035" t="str">
        <f>IFERROR(VLOOKUP(U203,Fixtures!DM$93:DR$142,6,FALSE),"")</f>
        <v/>
      </c>
      <c r="GG203" s="1385"/>
      <c r="GI203" s="1383"/>
      <c r="GJ203" s="1379"/>
      <c r="GL203" s="1379"/>
      <c r="GM203" s="1379"/>
      <c r="HC203" s="1379"/>
      <c r="HD203" s="1379"/>
      <c r="HE203" s="1379"/>
      <c r="HF203" s="1379"/>
      <c r="HG203" s="1379"/>
      <c r="HH203" s="1379"/>
      <c r="HI203" s="1383"/>
      <c r="HJ203" s="1383"/>
      <c r="HK203" s="1383"/>
      <c r="HL203" s="1379"/>
      <c r="HM203" s="1379"/>
      <c r="HN203" s="1379"/>
      <c r="HO203" s="1379"/>
      <c r="HP203" s="1379"/>
      <c r="HQ203" s="1379"/>
      <c r="HR203" s="1379"/>
      <c r="HS203" s="1379"/>
      <c r="HT203" s="1379"/>
      <c r="HU203" s="1379"/>
      <c r="HW203" s="1383"/>
      <c r="HX203" s="1384" t="b">
        <f>HW201</f>
        <v>0</v>
      </c>
      <c r="HY203" s="1378"/>
      <c r="HZ203" s="436"/>
      <c r="IA203" s="1386"/>
      <c r="IB203" s="1380">
        <f>IF(IA201=TRUE,AC204,0)</f>
        <v>0</v>
      </c>
      <c r="IC203" s="1379"/>
      <c r="IF203" s="1380" t="e">
        <f>ROUND(T203*AB204*N202*R202/1000,0)</f>
        <v>#VALUE!</v>
      </c>
      <c r="IG203" s="1382"/>
      <c r="IH203" s="1384" t="e">
        <f>ROUND(T203*AB204*N202*R202/1000,0)</f>
        <v>#VALUE!</v>
      </c>
      <c r="II203" s="1382"/>
      <c r="IK203" s="1351" t="e">
        <f>IF($CO203="interior",IL203/2,VLOOKUP($CP203,Control_Savings_Exterior,IK$30,FALSE))</f>
        <v>#N/A</v>
      </c>
      <c r="IL203" s="1351" t="e">
        <f>IF($CO203="interior",VLOOKUP($CP203,Control_Savings_Interior,IL$30,FALSE),VLOOKUP($CP203,Control_Savings_Exterior,IL$30,FALSE))</f>
        <v>#N/A</v>
      </c>
      <c r="IM203" s="1351" t="e">
        <f>IF($CO203="interior",IF(R202&gt;FO$37,(IM$28*(FO$37/R202)),IM$28)*FP203,VLOOKUP($CP203,Control_Savings_Exterior,IM$30,FALSE))</f>
        <v>#N/A</v>
      </c>
      <c r="IN203" s="1351" t="e">
        <f>IF($CO203="interior",ROUND(((1-IL203)*IM203)+IL203,2),VLOOKUP($CP203,Control_Savings_Exterior,IN$30,FALSE))</f>
        <v>#N/A</v>
      </c>
      <c r="IO203" s="1351" t="e">
        <f>IF($CO203="interior", ROUND(((1-IL203)*(IM203*(1-IP$28)))+IP203,2), VLOOKUP($CP203,Control_Savings_Exterior,IO$30,FALSE))</f>
        <v>#N/A</v>
      </c>
      <c r="IP203" s="1351">
        <f>IF($CO203="interior",ROUND(((1-IL203)*IP$28)+IL203,2),0)</f>
        <v>0</v>
      </c>
    </row>
    <row r="204" spans="1:250" s="82" customFormat="1" ht="14.95" customHeight="1" thickTop="1" thickBot="1">
      <c r="B204" s="1421"/>
      <c r="C204" s="1422"/>
      <c r="D204" s="1423"/>
      <c r="E204" s="1462" t="s">
        <v>357</v>
      </c>
      <c r="F204" s="1463"/>
      <c r="G204" s="1464" t="s">
        <v>362</v>
      </c>
      <c r="H204" s="1465"/>
      <c r="I204" s="1465"/>
      <c r="J204" s="1465"/>
      <c r="K204" s="1465"/>
      <c r="L204" s="1466"/>
      <c r="M204" s="669">
        <f>IFERROR(VLOOKUP(G204,_Daylight_Table[],2,FALSE),0)</f>
        <v>0</v>
      </c>
      <c r="N204" s="670"/>
      <c r="O204" s="669" t="e">
        <f>VLOOKUP(G203,'Space Table'!$B$3:$L$160,11,FALSE)</f>
        <v>#N/A</v>
      </c>
      <c r="P204" s="1408"/>
      <c r="Q204" s="1409"/>
      <c r="R204" s="1409"/>
      <c r="S204" s="1402"/>
      <c r="T204" s="671" t="s">
        <v>281</v>
      </c>
      <c r="U204" s="1467" t="str">
        <f>IFERROR(VLOOKUP(U203,Fixtures!DM$93:DP$142,4,FALSE),"")</f>
        <v/>
      </c>
      <c r="V204" s="1468"/>
      <c r="W204" s="1468"/>
      <c r="X204" s="1468"/>
      <c r="Y204" s="1468"/>
      <c r="Z204" s="1468"/>
      <c r="AA204" s="1468"/>
      <c r="AB204" s="1046" t="str">
        <f>IFERROR(VLOOKUP(U203,Fixtures_Proposed_List,2,FALSE),"")</f>
        <v/>
      </c>
      <c r="AC204" s="1036" t="str">
        <f>IFERROR(ROUND(T203*AB204*N202*R202/1000,0),"")</f>
        <v/>
      </c>
      <c r="AD204" s="1037" t="str">
        <f>IFERROR(ROUND(T203*AB204/1000,2),"")</f>
        <v/>
      </c>
      <c r="AE204" s="1045" t="s">
        <v>281</v>
      </c>
      <c r="AF204" s="1469"/>
      <c r="AG204" s="1469"/>
      <c r="AH204" s="1469"/>
      <c r="AI204" s="1469"/>
      <c r="AJ204" s="1476"/>
      <c r="AK204" s="1471"/>
      <c r="AL204" s="1473"/>
      <c r="AM204" s="1443"/>
      <c r="AN204" s="1444"/>
      <c r="AO204" s="1449"/>
      <c r="AP204" s="1449"/>
      <c r="AQ204" s="1450"/>
      <c r="AR204" s="1453"/>
      <c r="AS204" s="1456"/>
      <c r="AT204" s="1459"/>
      <c r="AU204" s="517"/>
      <c r="AV204" s="1480"/>
      <c r="AW204" s="1480"/>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M204" s="1352"/>
      <c r="CN204" s="1352"/>
      <c r="CO204" s="1416"/>
      <c r="CP204" s="1418"/>
      <c r="CR204" s="1386"/>
      <c r="CS204" s="1355"/>
      <c r="CT204" s="1355"/>
      <c r="CU204" s="1375"/>
      <c r="CV204" s="1372"/>
      <c r="CW204" s="1372"/>
      <c r="CX204" s="1372"/>
      <c r="CY204" s="1487"/>
      <c r="CZ204" s="1487"/>
      <c r="DA204" s="1487"/>
      <c r="DC204" s="1355"/>
      <c r="DD204" s="1355"/>
      <c r="DE204" s="1375"/>
      <c r="DF204" s="1407"/>
      <c r="DG204" s="1372"/>
      <c r="DH204" s="1369"/>
      <c r="DK204" s="1484"/>
      <c r="DL204" s="1420"/>
      <c r="DN204" s="1403"/>
      <c r="DO204" s="1405"/>
      <c r="DP204" s="1355"/>
      <c r="DQ204" s="1405"/>
      <c r="DR204" s="1403"/>
      <c r="DS204" s="1489"/>
      <c r="DU204" s="1403"/>
      <c r="DV204" s="1405"/>
      <c r="DW204" s="1403"/>
      <c r="DX204" s="1403"/>
      <c r="DZ204" s="1481"/>
      <c r="EA204" s="1481"/>
      <c r="EC204" s="1482"/>
      <c r="ED204" s="1369"/>
      <c r="EE204" s="1372"/>
      <c r="EF204" s="1369"/>
      <c r="EG204" s="1369"/>
      <c r="EH204" s="1375"/>
      <c r="EI204" s="1375"/>
      <c r="EJ204" s="1363"/>
      <c r="EK204" s="1376"/>
      <c r="EL204" s="1376"/>
      <c r="EM204" s="1362"/>
      <c r="EN204" s="1362"/>
      <c r="EO204" s="1363"/>
      <c r="EP204" s="1363"/>
      <c r="EQ204" s="1363"/>
      <c r="ES204" s="1403"/>
      <c r="EU204" s="1488"/>
      <c r="EV204" s="1488"/>
      <c r="EW204" s="1488"/>
      <c r="EX204" s="1488"/>
      <c r="EY204" s="1488"/>
      <c r="EZ204" s="1414"/>
      <c r="FB204" s="1365"/>
      <c r="FD204" s="1355"/>
      <c r="FE204" s="1355"/>
      <c r="FF204" s="138"/>
      <c r="FI204" s="1357"/>
      <c r="FJ204" s="1357"/>
      <c r="FK204" s="1365"/>
      <c r="FL204" s="1365"/>
      <c r="FM204" s="1365"/>
      <c r="FO204" s="1361"/>
      <c r="FP204" s="1361"/>
      <c r="FQ204" s="1366"/>
      <c r="FR204" s="1361"/>
      <c r="FS204" s="1361"/>
      <c r="FT204" s="1361"/>
      <c r="FU204" s="1360"/>
      <c r="FW204" s="1352"/>
      <c r="FX204" s="1352"/>
      <c r="FY204" s="1352"/>
      <c r="FZ204" s="1352"/>
      <c r="GA204" s="1352"/>
      <c r="GB204" s="1352"/>
      <c r="GC204" s="1352"/>
      <c r="GD204" s="1352"/>
      <c r="GE204" s="759"/>
      <c r="GF204" s="1035"/>
      <c r="GG204" s="1385"/>
      <c r="GJ204" s="1034">
        <f>IF(GJ202=TRUE,0,GJ$16)</f>
        <v>0</v>
      </c>
      <c r="GL204" s="1034">
        <f>IF(GL202=TRUE,0,GL$16)</f>
        <v>36</v>
      </c>
      <c r="GM204" s="1034">
        <f>IF(GM202=TRUE,0,GM$16)</f>
        <v>35</v>
      </c>
      <c r="GN204" s="436"/>
      <c r="GO204" s="436"/>
      <c r="GP204" s="436"/>
      <c r="GQ204" s="436"/>
      <c r="GR204" s="436"/>
      <c r="HC204" s="1034">
        <f t="shared" ref="HC204:HH204" si="138">IF(HC202=TRUE,0,HC$16)</f>
        <v>19</v>
      </c>
      <c r="HD204" s="1034">
        <f t="shared" si="138"/>
        <v>18</v>
      </c>
      <c r="HE204" s="1034">
        <f t="shared" si="138"/>
        <v>17</v>
      </c>
      <c r="HF204" s="1034">
        <f t="shared" si="138"/>
        <v>16</v>
      </c>
      <c r="HG204" s="1034">
        <f t="shared" si="138"/>
        <v>0</v>
      </c>
      <c r="HH204" s="1034">
        <f t="shared" si="138"/>
        <v>0</v>
      </c>
      <c r="HI204" s="1034">
        <f>IF(HI202=TRUE,0,HI$16)</f>
        <v>13</v>
      </c>
      <c r="HJ204" s="1034">
        <f t="shared" ref="HJ204:HL204" si="139">IF(HJ202=TRUE,0,HJ$16)</f>
        <v>12</v>
      </c>
      <c r="HK204" s="1034">
        <f t="shared" si="139"/>
        <v>11</v>
      </c>
      <c r="HL204" s="1034">
        <f t="shared" si="139"/>
        <v>10</v>
      </c>
      <c r="HM204" s="1034">
        <f>IF(HM202=TRUE,0,HM$16)</f>
        <v>9</v>
      </c>
      <c r="HN204" s="1034">
        <f t="shared" ref="HN204:HR204" si="140">IF(HN202=TRUE,0,HN$16)</f>
        <v>0</v>
      </c>
      <c r="HO204" s="1034">
        <f t="shared" si="140"/>
        <v>0</v>
      </c>
      <c r="HP204" s="1034">
        <f t="shared" si="140"/>
        <v>0</v>
      </c>
      <c r="HQ204" s="1034">
        <f t="shared" si="140"/>
        <v>0</v>
      </c>
      <c r="HR204" s="1034">
        <f t="shared" si="140"/>
        <v>0</v>
      </c>
      <c r="HS204" s="1034">
        <f>IF(HS202=TRUE,0,HS$16)</f>
        <v>0</v>
      </c>
      <c r="HT204" s="1034">
        <f t="shared" ref="HT204" si="141">IF(HT202=TRUE,0,HT$16)</f>
        <v>0</v>
      </c>
      <c r="HU204" s="1034">
        <f>IF(HU202=TRUE,0,HU$16)</f>
        <v>1</v>
      </c>
      <c r="HW204" s="1034">
        <f>IF(GL202=FALSE,GL204,IF(GM202=FALSE,GM204,MAX(GJ204:HU204)))</f>
        <v>36</v>
      </c>
      <c r="HX204" s="1383"/>
      <c r="HY204" s="241" t="str">
        <f>VLOOKUP(HW204,_Error_Table,3,FALSE)</f>
        <v xml:space="preserve"> </v>
      </c>
      <c r="HZ204" s="241"/>
      <c r="IA204" s="1386"/>
      <c r="IB204" s="1380"/>
      <c r="IC204" s="1379"/>
      <c r="IF204" s="1380"/>
      <c r="IG204" s="1383"/>
      <c r="IH204" s="1383"/>
      <c r="II204" s="1383"/>
      <c r="IK204" s="1351"/>
      <c r="IL204" s="1351"/>
      <c r="IM204" s="1351"/>
      <c r="IN204" s="1351"/>
      <c r="IO204" s="1351"/>
      <c r="IP204" s="1351"/>
    </row>
    <row r="205" spans="1:250" s="82" customFormat="1" ht="5.0999999999999996" customHeight="1" thickBot="1">
      <c r="B205" s="763"/>
      <c r="C205" s="1038"/>
      <c r="D205" s="1038"/>
      <c r="E205" s="1490"/>
      <c r="F205" s="1490"/>
      <c r="G205" s="1490"/>
      <c r="H205" s="1490"/>
      <c r="I205" s="1490"/>
      <c r="J205" s="1490"/>
      <c r="K205" s="1490"/>
      <c r="L205" s="1490"/>
      <c r="M205" s="1490"/>
      <c r="N205" s="1490"/>
      <c r="O205" s="1490"/>
      <c r="P205" s="1490"/>
      <c r="Q205" s="1490"/>
      <c r="R205" s="1490"/>
      <c r="S205" s="1490"/>
      <c r="T205" s="1490"/>
      <c r="U205" s="1490"/>
      <c r="V205" s="1490"/>
      <c r="W205" s="1490"/>
      <c r="X205" s="1490"/>
      <c r="Y205" s="1490"/>
      <c r="Z205" s="1490"/>
      <c r="AA205" s="1490"/>
      <c r="AB205" s="1490"/>
      <c r="AC205" s="1490"/>
      <c r="AD205" s="1490"/>
      <c r="AE205" s="1490"/>
      <c r="AF205" s="1490"/>
      <c r="AG205" s="1490"/>
      <c r="AH205" s="1490"/>
      <c r="AI205" s="1490"/>
      <c r="AJ205" s="1490"/>
      <c r="AK205" s="1490"/>
      <c r="AL205" s="1490"/>
      <c r="AM205" s="1490"/>
      <c r="AN205" s="1490"/>
      <c r="AO205" s="1490"/>
      <c r="AP205" s="1490"/>
      <c r="AQ205" s="1490"/>
      <c r="AR205" s="1490"/>
      <c r="AS205" s="1490"/>
      <c r="AT205" s="1490"/>
      <c r="AU205" s="1041"/>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M205" s="749"/>
      <c r="CN205" s="749"/>
      <c r="CO205" s="1043"/>
      <c r="CP205" s="749"/>
      <c r="CS205" s="436"/>
      <c r="CT205" s="436"/>
      <c r="CU205" s="243"/>
      <c r="CV205" s="244"/>
      <c r="CW205" s="244"/>
      <c r="CX205" s="244"/>
      <c r="CY205" s="245"/>
      <c r="CZ205" s="245"/>
      <c r="DA205" s="245"/>
      <c r="DC205" s="750"/>
      <c r="DD205" s="751"/>
      <c r="DE205" s="752"/>
      <c r="DF205" s="753"/>
      <c r="DG205" s="754"/>
      <c r="DH205" s="754"/>
      <c r="DK205" s="244"/>
      <c r="DL205" s="750"/>
      <c r="DN205" s="750"/>
      <c r="DO205" s="755"/>
      <c r="DP205" s="436"/>
      <c r="DQ205" s="750"/>
      <c r="DR205" s="750"/>
      <c r="DS205" s="750"/>
      <c r="DU205" s="750"/>
      <c r="DV205" s="750"/>
      <c r="DW205" s="750"/>
      <c r="DX205" s="750"/>
      <c r="DZ205" s="756"/>
      <c r="EA205" s="756"/>
      <c r="EC205" s="754"/>
      <c r="ED205" s="754"/>
      <c r="EE205" s="244"/>
      <c r="EF205" s="754"/>
      <c r="EG205" s="754"/>
      <c r="EH205" s="243"/>
      <c r="EI205" s="243"/>
      <c r="EJ205" s="752"/>
      <c r="EK205" s="757"/>
      <c r="EL205" s="757"/>
      <c r="EM205" s="758"/>
      <c r="EN205" s="758"/>
      <c r="EO205" s="752"/>
      <c r="EP205" s="752"/>
      <c r="EQ205" s="752"/>
      <c r="ES205" s="750"/>
      <c r="EU205" s="436"/>
      <c r="EV205" s="436"/>
      <c r="EW205" s="436"/>
      <c r="EX205" s="436"/>
      <c r="EY205" s="436"/>
      <c r="EZ205" s="436"/>
      <c r="FB205" s="643"/>
      <c r="FD205" s="436"/>
      <c r="FE205" s="436"/>
      <c r="FF205" s="436"/>
      <c r="FO205" s="750"/>
      <c r="FP205" s="436"/>
      <c r="FQ205" s="436"/>
      <c r="FR205" s="750"/>
      <c r="FS205" s="750"/>
      <c r="FW205" s="749"/>
      <c r="FX205" s="749"/>
      <c r="FY205" s="749"/>
      <c r="FZ205" s="749"/>
      <c r="GA205" s="749"/>
      <c r="GB205" s="749"/>
      <c r="GC205" s="749"/>
      <c r="GD205" s="749"/>
      <c r="GE205" s="751"/>
      <c r="GF205" s="750"/>
      <c r="GG205" s="750"/>
    </row>
    <row r="206" spans="1:250" s="82" customFormat="1" ht="14.95" customHeight="1" thickTop="1" thickBot="1">
      <c r="B206" s="1421" t="str">
        <f>HY209</f>
        <v xml:space="preserve"> </v>
      </c>
      <c r="C206" s="1422">
        <f>C201+1</f>
        <v>33</v>
      </c>
      <c r="D206" s="1423"/>
      <c r="E206" s="1424" t="s">
        <v>242</v>
      </c>
      <c r="F206" s="1425"/>
      <c r="G206" s="1426"/>
      <c r="H206" s="1427"/>
      <c r="I206" s="1427"/>
      <c r="J206" s="1427"/>
      <c r="K206" s="1427"/>
      <c r="L206" s="1427"/>
      <c r="M206" s="1427"/>
      <c r="N206" s="1427"/>
      <c r="O206" s="1427"/>
      <c r="P206" s="1427"/>
      <c r="Q206" s="1427"/>
      <c r="R206" s="1427"/>
      <c r="S206" s="1428" t="s">
        <v>283</v>
      </c>
      <c r="T206" s="668" t="s">
        <v>190</v>
      </c>
      <c r="U206" s="1430" t="s">
        <v>186</v>
      </c>
      <c r="V206" s="1431"/>
      <c r="W206" s="1431"/>
      <c r="X206" s="1431"/>
      <c r="Y206" s="1431"/>
      <c r="Z206" s="1431"/>
      <c r="AA206" s="1431"/>
      <c r="AB206" s="1088" t="str">
        <f>IFERROR(IF(__Retrofit_TI_NC=0,VLOOKUP(U207,Fixtures_Existing_List,2,FALSE),ROUND(N208*R208/T208,10)),"")</f>
        <v/>
      </c>
      <c r="AC206" s="1039" t="str">
        <f>IFERROR(IF(__Retrofit_TI_NC=0,ROUND(T207*AB206*N207*R207/1000,0),IF(CN206="Interior",N208*R208*R207*N207*_C406_reduction/1000,N208*R208*R207*N207/1000)),"")</f>
        <v/>
      </c>
      <c r="AD206" s="1040" t="str">
        <f>IFERROR(IF(C$36=0,ROUND(T207*AB206/1000,2),N208*R208/1000),"")</f>
        <v/>
      </c>
      <c r="AE206" s="1044" t="s">
        <v>190</v>
      </c>
      <c r="AF206" s="1432" t="str">
        <f>IF(__Retrofit_TI_NC=2,CONCATENATE("Code min = ",DD206),IF(__Retrofit_TI_NC=1,"Emter what you think the existing control was"," Control"))</f>
        <v xml:space="preserve"> Control</v>
      </c>
      <c r="AG206" s="1432"/>
      <c r="AH206" s="1432"/>
      <c r="AI206" s="1432"/>
      <c r="AJ206" s="1433">
        <f>DF206</f>
        <v>0</v>
      </c>
      <c r="AK206" s="1435" t="str">
        <f>IFERROR(ROUND(AJ206*AC206,0),"")</f>
        <v/>
      </c>
      <c r="AL206" s="1437">
        <f>IFERROR(IF(HW206=FALSE,0,AC206-AK206),0)</f>
        <v>0</v>
      </c>
      <c r="AM206" s="1439">
        <f>AL206-AL208</f>
        <v>0</v>
      </c>
      <c r="AN206" s="1440"/>
      <c r="AO206" s="1445">
        <f>IFERROR(IF(HW206=FALSE,0,(T208*U209)+(AE208*AF209)),0)</f>
        <v>0</v>
      </c>
      <c r="AP206" s="1445"/>
      <c r="AQ206" s="1446"/>
      <c r="AR206" s="1451" t="s">
        <v>157</v>
      </c>
      <c r="AS206" s="1454">
        <f>IF(AR206="Yes",1,0)</f>
        <v>1</v>
      </c>
      <c r="AT206" s="1457" t="str">
        <f>IF(OR(DN206=4,DN206=5,DN206=6,DN206=12),CONCATENATE("$",IF(GD206=TRUE,Lookup!$B$11,Lookup!$B$2)," /lamp"),CONCATENATE(EA206,"/ kWh"))</f>
        <v>0/ kWh</v>
      </c>
      <c r="AU206" s="516"/>
      <c r="AV206" s="1478">
        <f>IFERROR(IF(GI207=TRUE,(AB209*T208)/R208,0),"NA")</f>
        <v>0</v>
      </c>
      <c r="AW206" s="1478" t="str">
        <f>IFERROR(N208*_C406_reduction,"NA")</f>
        <v>NA</v>
      </c>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M206" s="1352" t="str">
        <f>N207</f>
        <v/>
      </c>
      <c r="CN206" s="1352" t="str">
        <f>IFERROR(VLOOKUP(G207,_Lookup_Heat_Type_Table_New,3,FALSE),"")</f>
        <v/>
      </c>
      <c r="CO206" s="1415" t="str">
        <f>CN206</f>
        <v/>
      </c>
      <c r="CP206" s="1417" t="e">
        <f>VLOOKUP(G208,'Space Table'!$B$3:$L$160,9,FALSE)</f>
        <v>#N/A</v>
      </c>
      <c r="CR206" s="1386" t="s">
        <v>283</v>
      </c>
      <c r="CS206" s="1353">
        <f>IF(HW206=TRUE,T207,0)</f>
        <v>0</v>
      </c>
      <c r="CT206" s="1353" t="str">
        <f>IF(HW206=TRUE,U207,"")</f>
        <v/>
      </c>
      <c r="CU206" s="1353"/>
      <c r="CV206" s="1370">
        <f>IF(HW206=TRUE,AB206,0)</f>
        <v>0</v>
      </c>
      <c r="CW206" s="1370">
        <f>IF(HW206=TRUE,AC206,0)</f>
        <v>0</v>
      </c>
      <c r="CX206" s="1370">
        <f>IFERROR(IF(HW206=TRUE,CW206-CW208,0),0)</f>
        <v>0</v>
      </c>
      <c r="CY206" s="1485">
        <f>IF(HW206=TRUE,AD206,0)</f>
        <v>0</v>
      </c>
      <c r="CZ206" s="1485">
        <f>IF(HW206=TRUE,AD209,0)</f>
        <v>0</v>
      </c>
      <c r="DA206" s="1485">
        <f>IFERROR(CY206-CZ206,0)</f>
        <v>0</v>
      </c>
      <c r="DC206" s="1353">
        <f>IF(HW206=TRUE,AE207,0)</f>
        <v>0</v>
      </c>
      <c r="DD206" s="1460">
        <f>IF(__Retrofit_TI_NC=2,IF(CN206="Exterior",O209,FM206),FK206)</f>
        <v>0</v>
      </c>
      <c r="DE206" s="1353"/>
      <c r="DF206" s="1406">
        <f>IFERROR(IF(FL206=3,IK206,IF(FL206=4,IL206,IF(FL206=5,IM206,IF(FL206=6,IN206,IF(FL206=7,IO206,IF(FL206=8,IP206,0)))))),0)</f>
        <v>0</v>
      </c>
      <c r="DG206" s="1370">
        <f>IF(HW206=TRUE,AK206,0)</f>
        <v>0</v>
      </c>
      <c r="DH206" s="1369">
        <f>IFERROR(IF(HW206=TRUE,DG208-DG206,0),0)</f>
        <v>0</v>
      </c>
      <c r="DJ206" s="1483">
        <f>IFERROR(CW206-DG206,0)</f>
        <v>0</v>
      </c>
      <c r="DL206" s="1419">
        <f>DJ206-DK208</f>
        <v>0</v>
      </c>
      <c r="DN206" s="1403" t="str">
        <f>IFERROR(IF(AND(OR(FY206=4,FY206=5,FY206=6),OR(GB206=4,GB206=5,GB206=6)),FY206+8,VLOOKUP(CT208,Fixtures!R$31:Y$78,8,FALSE)),"")</f>
        <v/>
      </c>
      <c r="DO206" s="1404" t="str">
        <f>DN206</f>
        <v/>
      </c>
      <c r="DP206" s="1353" t="str">
        <f>IFERROR(VLOOKUP(DD208,Lookup!AU$3:AV$15,2,FALSE),"")</f>
        <v/>
      </c>
      <c r="DQ206" s="1404" t="str">
        <f>IF(DP206=7,"LLLC","")</f>
        <v/>
      </c>
      <c r="DR206" s="1403">
        <f>IFERROR(IF(OR(DN206=4,DN206=5,DN206=6,DN206=12,DN206=13,DN206=14),VLOOKUP(CT208,Fixtures!DN$27:EG$77,19,FALSE),1)*CS208,0)</f>
        <v>0</v>
      </c>
      <c r="DS206" s="1489">
        <f>IF(DP206=7,IF(DD206=DD208,0,DC208),0)</f>
        <v>0</v>
      </c>
      <c r="DU206" s="1403" t="str">
        <f>IFERROR(IF(EW206&lt;EW208,"Yes","No"),"")</f>
        <v/>
      </c>
      <c r="DV206" s="1404" t="str">
        <f>DU206</f>
        <v/>
      </c>
      <c r="DW206" s="1403">
        <f>IF(DU206="Yes",DC208,0)</f>
        <v>0</v>
      </c>
      <c r="DX206" s="1403">
        <f>DW206-DS206</f>
        <v>0</v>
      </c>
      <c r="DZ206" s="1481">
        <f>IFERROR(VLOOKUP(DN206,Lookup!AN$3:AO$16,2,FALSE),0)</f>
        <v>0</v>
      </c>
      <c r="EA206" s="1481">
        <f>IF(HW206=FALSE,0,IF(DU206="Yes",DZ206+Lookup!B$6,DZ206))</f>
        <v>0</v>
      </c>
      <c r="EC206" s="1482">
        <f>IF(HW206=TRUE,DJ206,0)</f>
        <v>0</v>
      </c>
      <c r="ED206" s="1369">
        <f>IF(HW206=TRUE,CW208,0)</f>
        <v>0</v>
      </c>
      <c r="EE206" s="1370">
        <f>IFERROR(EC206-ED206,0)</f>
        <v>0</v>
      </c>
      <c r="EF206" s="1369">
        <f>IF(HW206=TRUE,DG208,0)</f>
        <v>0</v>
      </c>
      <c r="EG206" s="1369">
        <f>IFERROR(EC206-ED206+EF206,0)</f>
        <v>0</v>
      </c>
      <c r="EH206" s="1373">
        <f>IF(HW206=TRUE,CS208*CU208,0)</f>
        <v>0</v>
      </c>
      <c r="EI206" s="1373">
        <f>IF(HW206=TRUE,DC208*DE208,0)</f>
        <v>0</v>
      </c>
      <c r="EJ206" s="1363">
        <f>AO206</f>
        <v>0</v>
      </c>
      <c r="EK206" s="1376" t="str">
        <f>IFERROR(IF(HW206=TRUE,VLOOKUP(DN206,Lookup!AN$3:AP$16,3,FALSE)*DR206,""),0)</f>
        <v/>
      </c>
      <c r="EL206" s="1376">
        <f>IF(HW206=TRUE,DW206*Lookup!AP$12,0)</f>
        <v>0</v>
      </c>
      <c r="EM206" s="1362">
        <f>IFERROR(IF(HW206=TRUE,EK206/EM$33,0),0)</f>
        <v>0</v>
      </c>
      <c r="EN206" s="1362">
        <f>IF(HW206=TRUE,EL206/EN$33,0)</f>
        <v>0</v>
      </c>
      <c r="EO206" s="1363">
        <f>IF(HW206=TRUE,EQ$33*EM206,0)</f>
        <v>0</v>
      </c>
      <c r="EP206" s="1363">
        <f>IF(HW206=TRUE,EQ$33*EN206,0)</f>
        <v>0</v>
      </c>
      <c r="EQ206" s="1363">
        <f>EO206+EP206</f>
        <v>0</v>
      </c>
      <c r="ES206" s="1403">
        <f>IF(G206="",0,1)</f>
        <v>0</v>
      </c>
      <c r="EU206" s="1410" t="e">
        <f>VLOOKUP(CP208,'Space Table'!$B$3:$L$160,8,FALSE)</f>
        <v>#N/A</v>
      </c>
      <c r="EV206" s="1410" t="e">
        <f>IF(EY206="Yes",VLOOKUP(DD206,Lookup_Control_Type_Table2,4,FALSE),VLOOKUP(DD206,Lookup_Control_Type_Table2,3,FALSE))</f>
        <v>#N/A</v>
      </c>
      <c r="EW206" s="1410" t="e">
        <f>VLOOKUP(DD206,Lookup!AU$3:AV$15,2,FALSE)</f>
        <v>#N/A</v>
      </c>
      <c r="EX206" s="1410" t="e">
        <f>VLOOKUP(EU206,Lookup_Control_Type_Table,2,FALSE)</f>
        <v>#N/A</v>
      </c>
      <c r="EY206" s="1410" t="e">
        <f>VLOOKUP(CP208,'Space Table'!$B$3:$L$160,7,FALSE)</f>
        <v>#N/A</v>
      </c>
      <c r="EZ206" s="1412" t="b">
        <f>ISNUMBER(SEARCH("TLED",U208))</f>
        <v>0</v>
      </c>
      <c r="FB206" s="1365" t="str">
        <f>CONCATENATE(CN206," - ",DD206)</f>
        <v xml:space="preserve"> - 0</v>
      </c>
      <c r="FD206" s="1353" t="str">
        <f>VLOOKUP(CT208,Fixtures!DN$27:EZ$77,38,FALSE)</f>
        <v/>
      </c>
      <c r="FE206" s="1353">
        <f>IFERROR(FD206*EE206,0)</f>
        <v>0</v>
      </c>
      <c r="FF206" s="138"/>
      <c r="FI206" s="1356" t="str">
        <f>IF(CN206="Exterior","Not Daylighted",G209)</f>
        <v>Not Daylighted</v>
      </c>
      <c r="FJ206" s="1356">
        <f>VLOOKUP(FI206,_Daylight_Table_Codes,2,FALSE)</f>
        <v>0</v>
      </c>
      <c r="FK206" s="1365">
        <f>IF(__Retrofit_TI_NC=2,VLOOKUP(G208,'Space Table'!$B$3:$L$160,11,FALSE),AF207)</f>
        <v>0</v>
      </c>
      <c r="FL206" s="1365" t="e">
        <f>VLOOKUP(FK206,_Control_Table,2,FALSE)</f>
        <v>#N/A</v>
      </c>
      <c r="FM206" s="1365" t="e">
        <f>IF(AND(FP206&gt;0,FK206="Occupancy Sensor"),"Daylight + Occupancy",IF(AND(FP206&gt;0,FL206&lt;4),"Interior Daylight Dimming",FK206))</f>
        <v>#N/A</v>
      </c>
      <c r="FO206" s="1364">
        <f>IF(CO206="Interior",VLOOKUP(CP206,Control_Savings_Interior,5,FALSE),0)</f>
        <v>0</v>
      </c>
      <c r="FP206" s="1361">
        <f>IF(CN206="Exterior",0,IF(FJ206=2,0.5,IF(OR(FJ206=1,FJ206=3),1,0)))</f>
        <v>0</v>
      </c>
      <c r="FQ206" s="1366"/>
      <c r="FR206" s="1367"/>
      <c r="FS206" s="1364"/>
      <c r="FT206" s="1367"/>
      <c r="FU206" s="1360"/>
      <c r="FW206" s="1352" t="str">
        <f>IFERROR(VLOOKUP(U207,_Exist_Fixture_Table,3,FALSE),"")</f>
        <v/>
      </c>
      <c r="FX206" s="1352" t="str">
        <f>VLOOKUP(CT206,_Exist_Fixture_Table,4,FALSE)</f>
        <v/>
      </c>
      <c r="FY206" s="1352">
        <f>IFERROR(VLOOKUP(FX206,Lookup!AM$6:AN$8,2,FALSE),0)</f>
        <v>0</v>
      </c>
      <c r="FZ206" s="1352" t="b">
        <f>IFERROR(IF(OR(GB206=4,GB206=5,GB206=6),TRUE,FALSE),"")</f>
        <v>0</v>
      </c>
      <c r="GA206" s="1352" t="str">
        <f>IFERROR(VLOOKUP(GB206,FY$6:FZ$10,2,FALSE),"")</f>
        <v/>
      </c>
      <c r="GB206" s="1352" t="str">
        <f>VLOOKUP(CT208,Fixtures!R$31:Y$78,8,FALSE)</f>
        <v/>
      </c>
      <c r="GC206" s="1352">
        <f>IF(AND(FW206=TRUE,FZ206=TRUE,OR(DN206=12,DN206=13,DN206=14)),FY206+8,0)</f>
        <v>0</v>
      </c>
      <c r="GD206" s="1352" t="b">
        <f>IF(OR(GC206=12,GC206=13,GC206=14),TRUE,FALSE)</f>
        <v>0</v>
      </c>
      <c r="GE206" s="759" t="b">
        <f>IF(ISNUMBER(SEARCH("TLED",U207)),TRUE,FALSE)</f>
        <v>0</v>
      </c>
      <c r="GF206" s="1035" t="str">
        <f>IFERROR(VLOOKUP(U207,Fixtures!BM$93:BR$142,6,FALSE),"")</f>
        <v/>
      </c>
      <c r="GG206" s="1385" t="b">
        <f>IF(OR(GE206=FALSE,GE208=FALSE),TRUE,IF(GF206-GF208&lt;5,FALSE,TRUE))</f>
        <v>1</v>
      </c>
      <c r="GK206" s="1034">
        <f>GL206</f>
        <v>0</v>
      </c>
      <c r="GL206" s="1034">
        <f>IF(G206="",0,1)</f>
        <v>0</v>
      </c>
      <c r="GM206" s="1034">
        <f>SUM(GN206:HB206)</f>
        <v>2</v>
      </c>
      <c r="GN206" s="1034">
        <f>IF(G207="",0,1)</f>
        <v>0</v>
      </c>
      <c r="GO206" s="1034">
        <f>IF(G208="",0,1)</f>
        <v>0</v>
      </c>
      <c r="GP206" s="1034">
        <f>IF(R207="",0,1)</f>
        <v>0</v>
      </c>
      <c r="GQ206" s="1034">
        <f>IF(__Retrofit_TI_NC=0,1,IF(R208="",0,1))</f>
        <v>1</v>
      </c>
      <c r="GR206" s="1034">
        <f>IF(CN206="Exterior",1,IF(G209="",0,1))</f>
        <v>1</v>
      </c>
      <c r="GS206" s="1034">
        <f>IF(__Retrofit_TI_NC&lt;&gt;0,1,IF(T207="",0,1))</f>
        <v>0</v>
      </c>
      <c r="GT206" s="1034">
        <f>IF(__Retrofit_TI_NC&lt;&gt;0,1,IF(U207="",0,1))</f>
        <v>0</v>
      </c>
      <c r="GU206" s="1034">
        <f>IF(T208="",0,1)</f>
        <v>0</v>
      </c>
      <c r="GV206" s="1034">
        <f>IF(U208="",0,1)</f>
        <v>0</v>
      </c>
      <c r="GW206" s="1034">
        <f>IF(__Retrofit_TI_NC=2,1,IF(U209="",0,1))</f>
        <v>0</v>
      </c>
      <c r="GX206" s="1034">
        <f>IF(__Retrofit_TI_NC&lt;&gt;0,1,IF(AE207="",0,1))</f>
        <v>0</v>
      </c>
      <c r="GY206" s="1034">
        <f>IF(__Retrofit_TI_NC&lt;&gt;0,1,IF(AF207="",0,1))</f>
        <v>0</v>
      </c>
      <c r="GZ206" s="1034">
        <f>IF(AE208="",0,1)</f>
        <v>0</v>
      </c>
      <c r="HA206" s="1034">
        <f>IF(AF208="",0,1)</f>
        <v>0</v>
      </c>
      <c r="HB206" s="1034">
        <f>IF(__Retrofit_TI_NC=2,1,IF(AF209="",0,1))</f>
        <v>0</v>
      </c>
      <c r="HV206" s="436"/>
      <c r="HW206" s="1384" t="b">
        <f>IF(OR(HW209=0,HW209=HT$16,HW209=HS$16,HW209=HU$16),TRUE,FALSE)</f>
        <v>0</v>
      </c>
      <c r="HX206" s="1377" t="b">
        <f>HW206</f>
        <v>0</v>
      </c>
      <c r="HY206" s="436"/>
      <c r="HZ206" s="436"/>
      <c r="IA206" s="1386" t="b">
        <f>IF(MAX(GJ209:HP209)&gt;5,FALSE,TRUE)</f>
        <v>0</v>
      </c>
      <c r="IB206" s="1380">
        <f>IF(IA206=TRUE,AC206,0)</f>
        <v>0</v>
      </c>
      <c r="IC206" s="1380">
        <f>IB206-IB208</f>
        <v>0</v>
      </c>
      <c r="IF206" s="1380" t="e">
        <f>ROUND(T207*VLOOKUP(U207,Fixtures_Existing_List,2,FALSE)*N207*R207/1000,0)</f>
        <v>#N/A</v>
      </c>
      <c r="IG206" s="1381" t="e">
        <f>IF206-IF208</f>
        <v>#N/A</v>
      </c>
      <c r="IH206" s="1384" t="e">
        <f>ROUND(IF(CN206="Interior",N208*R208*R207*N207*_C406_reduction/1000,N208*R208*R207*N207/1000),0)</f>
        <v>#N/A</v>
      </c>
      <c r="II206" s="1384" t="e">
        <f>IH206-IH208</f>
        <v>#N/A</v>
      </c>
      <c r="IK206" s="1351" t="e">
        <f>IF($CO206="interior",IL206/2,VLOOKUP($CP206,Control_Savings_Exterior,IK$30,FALSE))</f>
        <v>#N/A</v>
      </c>
      <c r="IL206" s="1351" t="e">
        <f>IF($CO206="interior",VLOOKUP($CP206,Control_Savings_Interior,IL$30,FALSE),VLOOKUP($CP206,Control_Savings_Exterior,IL$30,FALSE))</f>
        <v>#N/A</v>
      </c>
      <c r="IM206" s="1351" t="e">
        <f>IF($CO206="interior",IF(R207&gt;FO$37,(IM$28*(FO$37/R207)),IM$28)*FP206,VLOOKUP($CP206,Control_Savings_Exterior,IM$30,FALSE))</f>
        <v>#N/A</v>
      </c>
      <c r="IN206" s="1351" t="e">
        <f>IF($CO206="interior",ROUND(((1-IL206)*IM206)+IL206,2),VLOOKUP($CP206,Control_Savings_Exterior,IN$30,FALSE))</f>
        <v>#N/A</v>
      </c>
      <c r="IO206" s="1351" t="e">
        <f>IF($CO206="interior", ROUND(((1-IL206)*(IM206*(1-IP$28)))+IP206,2), VLOOKUP($CP206,Control_Savings_Exterior,IO$30,FALSE))</f>
        <v>#N/A</v>
      </c>
      <c r="IP206" s="1351">
        <f>IF($CO206="interior",ROUND(((1-IL206)*IP$28)+IL206,2),0)</f>
        <v>0</v>
      </c>
    </row>
    <row r="207" spans="1:250" s="82" customFormat="1" ht="14.95" customHeight="1" thickTop="1" thickBot="1">
      <c r="B207" s="1421"/>
      <c r="C207" s="1422"/>
      <c r="D207" s="1423"/>
      <c r="E207" s="1393" t="s">
        <v>244</v>
      </c>
      <c r="F207" s="1394"/>
      <c r="G207" s="1395"/>
      <c r="H207" s="1395"/>
      <c r="I207" s="1395"/>
      <c r="J207" s="1395"/>
      <c r="K207" s="1395"/>
      <c r="L207" s="1395"/>
      <c r="M207" s="509" t="e">
        <f>IF(__Retrofit_TI_NC&lt;&gt;0,IF(VLOOKUP(G208,'Space Table'!$B$3:$L$160,3,FALSE)&gt;0,1,0),IF(__Retrofit_TI_NC=VLOOKUP(G208,'Space Table'!$B$3:$L$160,3,FALSE),1,0))</f>
        <v>#N/A</v>
      </c>
      <c r="N207" s="509" t="str">
        <f>IFERROR(VLOOKUP(G207,_Lookup_Heat_Type_Table_New,2,FALSE),"")</f>
        <v/>
      </c>
      <c r="O207" s="509">
        <f>IF(__Retrofit_TI_NC=1,CONCATENATE("TI ",G207),IF(__Retrofit_TI_NC=2,CONCATENATE("NC ",G207),G207))</f>
        <v>0</v>
      </c>
      <c r="P207" s="1396" t="s">
        <v>352</v>
      </c>
      <c r="Q207" s="1396"/>
      <c r="R207" s="673"/>
      <c r="S207" s="1429"/>
      <c r="T207" s="675"/>
      <c r="U207" s="1496"/>
      <c r="V207" s="1497"/>
      <c r="W207" s="1497"/>
      <c r="X207" s="1497"/>
      <c r="Y207" s="1497"/>
      <c r="Z207" s="1497"/>
      <c r="AA207" s="1497"/>
      <c r="AB207" s="1497"/>
      <c r="AC207" s="1497"/>
      <c r="AD207" s="1498"/>
      <c r="AE207" s="675"/>
      <c r="AF207" s="1397"/>
      <c r="AG207" s="1397"/>
      <c r="AH207" s="1397"/>
      <c r="AI207" s="1397"/>
      <c r="AJ207" s="1434"/>
      <c r="AK207" s="1436"/>
      <c r="AL207" s="1438"/>
      <c r="AM207" s="1441"/>
      <c r="AN207" s="1442"/>
      <c r="AO207" s="1447"/>
      <c r="AP207" s="1447"/>
      <c r="AQ207" s="1448"/>
      <c r="AR207" s="1452"/>
      <c r="AS207" s="1455"/>
      <c r="AT207" s="1458"/>
      <c r="AU207" s="516"/>
      <c r="AV207" s="1479"/>
      <c r="AW207" s="1479"/>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M207" s="1352"/>
      <c r="CN207" s="1352"/>
      <c r="CO207" s="1416"/>
      <c r="CP207" s="1418"/>
      <c r="CR207" s="1386"/>
      <c r="CS207" s="1355"/>
      <c r="CT207" s="1355"/>
      <c r="CU207" s="1355"/>
      <c r="CV207" s="1372"/>
      <c r="CW207" s="1372"/>
      <c r="CX207" s="1371"/>
      <c r="CY207" s="1486"/>
      <c r="CZ207" s="1486"/>
      <c r="DA207" s="1486"/>
      <c r="DC207" s="1355"/>
      <c r="DD207" s="1461"/>
      <c r="DE207" s="1355"/>
      <c r="DF207" s="1407"/>
      <c r="DG207" s="1372"/>
      <c r="DH207" s="1369"/>
      <c r="DJ207" s="1484"/>
      <c r="DL207" s="1419"/>
      <c r="DN207" s="1403"/>
      <c r="DO207" s="1405"/>
      <c r="DP207" s="1354"/>
      <c r="DQ207" s="1405"/>
      <c r="DR207" s="1403"/>
      <c r="DS207" s="1489"/>
      <c r="DU207" s="1403"/>
      <c r="DV207" s="1405"/>
      <c r="DW207" s="1403"/>
      <c r="DX207" s="1403"/>
      <c r="DZ207" s="1481"/>
      <c r="EA207" s="1481"/>
      <c r="EC207" s="1482"/>
      <c r="ED207" s="1369"/>
      <c r="EE207" s="1371"/>
      <c r="EF207" s="1369"/>
      <c r="EG207" s="1369"/>
      <c r="EH207" s="1374"/>
      <c r="EI207" s="1374"/>
      <c r="EJ207" s="1363"/>
      <c r="EK207" s="1376"/>
      <c r="EL207" s="1376"/>
      <c r="EM207" s="1362"/>
      <c r="EN207" s="1362"/>
      <c r="EO207" s="1363"/>
      <c r="EP207" s="1363"/>
      <c r="EQ207" s="1363"/>
      <c r="ES207" s="1403"/>
      <c r="EU207" s="1411"/>
      <c r="EV207" s="1411"/>
      <c r="EW207" s="1411"/>
      <c r="EX207" s="1411"/>
      <c r="EY207" s="1411"/>
      <c r="EZ207" s="1413"/>
      <c r="FB207" s="1365"/>
      <c r="FD207" s="1354"/>
      <c r="FE207" s="1354"/>
      <c r="FF207" s="138"/>
      <c r="FI207" s="1357"/>
      <c r="FJ207" s="1357"/>
      <c r="FK207" s="1365"/>
      <c r="FL207" s="1365"/>
      <c r="FM207" s="1365"/>
      <c r="FO207" s="1361"/>
      <c r="FP207" s="1361"/>
      <c r="FQ207" s="1366"/>
      <c r="FR207" s="1368"/>
      <c r="FS207" s="1361"/>
      <c r="FT207" s="1368"/>
      <c r="FU207" s="1360"/>
      <c r="FW207" s="1352"/>
      <c r="FX207" s="1352"/>
      <c r="FY207" s="1352"/>
      <c r="FZ207" s="1352"/>
      <c r="GA207" s="1352"/>
      <c r="GB207" s="1352"/>
      <c r="GC207" s="1352"/>
      <c r="GD207" s="1352"/>
      <c r="GE207" s="759"/>
      <c r="GF207" s="1035"/>
      <c r="GG207" s="1385"/>
      <c r="GI207" s="1384" t="b">
        <f>IF(AND(GL207=TRUE,GM207=TRUE),TRUE,FALSE)</f>
        <v>0</v>
      </c>
      <c r="GJ207" s="1379" t="b">
        <f>IFERROR(IF(__Retrofit_TI_NC=2,TRUE,IF(AR206="Yes",TRUE,FALSE)),FALSE)</f>
        <v>1</v>
      </c>
      <c r="GL207" s="1379" t="b">
        <f>IFERROR(IF(GL206=1,TRUE,FALSE),FALSE)</f>
        <v>0</v>
      </c>
      <c r="GM207" s="1379" t="b">
        <f>IFERROR(IF(GM206=GM$14,TRUE,FALSE),FALSE)</f>
        <v>0</v>
      </c>
      <c r="HC207" s="1379" t="b">
        <f>IFERROR(IF(M207=1,TRUE,FALSE),FALSE)</f>
        <v>0</v>
      </c>
      <c r="HD207" s="1379" t="b">
        <f>IFERROR(IF(M208=1,TRUE,FALSE),FALSE)</f>
        <v>0</v>
      </c>
      <c r="HE207" s="1379" t="b">
        <f>IFERROR(IF(__Retrofit_TI_NC&lt;&gt;0,TRUE,IFERROR(IF(VLOOKUP(U207,Fixtures_Existing_List,2,FALSE)&lt;&gt;"",TRUE,FALSE),FALSE)),FALSE)</f>
        <v>0</v>
      </c>
      <c r="HF207" s="1379" t="b">
        <f>IFERROR(IF(VLOOKUP(U208,Fixtures_Proposed_List,2,FALSE)&lt;&gt;"",TRUE,FALSE),FALSE)</f>
        <v>0</v>
      </c>
      <c r="HG207" s="1379" t="b">
        <f>IF(AND(__Retrofit_TI_NC=2,EZ206=TRUE),FALSE,TRUE)</f>
        <v>1</v>
      </c>
      <c r="HH207" s="1379" t="b">
        <f>GG206</f>
        <v>1</v>
      </c>
      <c r="HI207" s="1384" t="b">
        <f>IF(ISERROR(MATCH(FB206,_Control_Match[],0))=TRUE,FALSE,TRUE)</f>
        <v>0</v>
      </c>
      <c r="HJ207" s="1384" t="b">
        <f>IFERROR(IF(EU206&lt;&gt;EV206,FALSE,TRUE),FALSE)</f>
        <v>0</v>
      </c>
      <c r="HK207" s="1384" t="b">
        <f>IFERROR(IF(EU208&lt;&gt;EV208,FALSE,TRUE),FALSE)</f>
        <v>0</v>
      </c>
      <c r="HL207" s="1379" t="b">
        <f>IFERROR(IF(CN206="Exterior",TRUE,IF(OR(AND(FJ206=0,EW208&gt;4),AND(FJ206=4,EW208&gt;4,EW208&lt;7)),FALSE,TRUE)),FALSE)</f>
        <v>0</v>
      </c>
      <c r="HM207" s="1379" t="b">
        <f>IFERROR(IF(AND(FL208=7,EZ206=TRUE),FALSE,TRUE),FALSE)</f>
        <v>0</v>
      </c>
      <c r="HN207" s="1379" t="b">
        <f>IFERROR(IF(AND(T208&lt;&gt;AE208,AF208="Interior LLLC")=TRUE,FALSE,TRUE),FALSE)</f>
        <v>1</v>
      </c>
      <c r="HO207" s="1379" t="b">
        <f>IFERROR(IF(OR(AF208=Lookup!AU$13,AF208=Lookup!AU$14)=TRUE,IF(AE208&gt;T208,FALSE,TRUE),TRUE),FALSE)</f>
        <v>1</v>
      </c>
      <c r="HP207" s="1379" t="b">
        <f>IFERROR(IF(__Retrofit_TI_NC=2,IF(EW208&lt;EW206,FALSE,TRUE),TRUE),FALSE)</f>
        <v>1</v>
      </c>
      <c r="HQ207" s="1379" t="b">
        <f>IF(CN206="Interior",IG$6,TRUE)</f>
        <v>1</v>
      </c>
      <c r="HR207" s="1379" t="b">
        <f>IF(CN206="Exterior",IG$8,TRUE)</f>
        <v>1</v>
      </c>
      <c r="HS207" s="1379" t="b">
        <f>IFERROR(IF(__Retrofit_TI_NC&lt;&gt;0,IF(AW206&lt;AV206,FALSE,TRUE),TRUE),FALSE)</f>
        <v>1</v>
      </c>
      <c r="HT207" s="1379" t="b">
        <f>IFERROR(IF(AND(G207="Exterior",R207&gt;4200),FALSE,TRUE),FALSE)</f>
        <v>1</v>
      </c>
      <c r="HU207" s="1379" t="b">
        <f>IFERROR(IF(AB209/AB206&lt;HU$18,FALSE,TRUE),FALSE)</f>
        <v>0</v>
      </c>
      <c r="HW207" s="1382"/>
      <c r="HX207" s="1378"/>
      <c r="HY207" s="1377" t="str">
        <f>VLOOKUP(HW209,_Error_Table,4,FALSE)</f>
        <v>White</v>
      </c>
      <c r="HZ207" s="436"/>
      <c r="IA207" s="1386"/>
      <c r="IB207" s="1380"/>
      <c r="IC207" s="1379"/>
      <c r="IF207" s="1380"/>
      <c r="IG207" s="1382"/>
      <c r="IH207" s="1382"/>
      <c r="II207" s="1382"/>
      <c r="IK207" s="1351"/>
      <c r="IL207" s="1351"/>
      <c r="IM207" s="1351"/>
      <c r="IN207" s="1351"/>
      <c r="IO207" s="1351"/>
      <c r="IP207" s="1351"/>
    </row>
    <row r="208" spans="1:250" s="82" customFormat="1" ht="14.95" customHeight="1" thickTop="1" thickBot="1">
      <c r="A208" s="82">
        <f>ROW()</f>
        <v>208</v>
      </c>
      <c r="B208" s="1421"/>
      <c r="C208" s="1422"/>
      <c r="D208" s="1423"/>
      <c r="E208" s="1393" t="s">
        <v>245</v>
      </c>
      <c r="F208" s="1394"/>
      <c r="G208" s="1398"/>
      <c r="H208" s="1399"/>
      <c r="I208" s="1399"/>
      <c r="J208" s="1399"/>
      <c r="K208" s="1399"/>
      <c r="L208" s="1400"/>
      <c r="M208" s="509">
        <f>IFERROR(IF(IF(__Retrofit_TI_NC&lt;&gt;0,IF(CN206="Interior",MATCH(G208,Lookup_Interior_New,0),MATCH(G208,Lookup_Exterior_New,0)),IF(CN206="Interior",MATCH(G208,Lookup_Interior,0),MATCH(G208,Lookup_Exterior_Areas,0)))&gt;0,1,0),0)</f>
        <v>0</v>
      </c>
      <c r="N208" s="509" t="e">
        <f>IF(__Retrofit_TI_NC=1,
VLOOKUP(G208,'Space Table'!$B$3:$L$160,4,FALSE),
IF(__Retrofit_TI_NC=2,VLOOKUP(G208,'Space Table'!$B$3:$L$160,5,FALSE),VLOOKUP(G208,'Space Table'!$B$3:$L$160,5,FALSE)))</f>
        <v>#N/A</v>
      </c>
      <c r="O208" s="509">
        <f>G208</f>
        <v>0</v>
      </c>
      <c r="P208" s="1394" t="s">
        <v>355</v>
      </c>
      <c r="Q208" s="1394"/>
      <c r="R208" s="674"/>
      <c r="S208" s="1401" t="s">
        <v>284</v>
      </c>
      <c r="T208" s="672"/>
      <c r="U208" s="1499"/>
      <c r="V208" s="1500"/>
      <c r="W208" s="1500"/>
      <c r="X208" s="1500"/>
      <c r="Y208" s="1500"/>
      <c r="Z208" s="1500"/>
      <c r="AA208" s="1500"/>
      <c r="AB208" s="1501"/>
      <c r="AC208" s="1501"/>
      <c r="AD208" s="1502"/>
      <c r="AE208" s="672"/>
      <c r="AF208" s="1474"/>
      <c r="AG208" s="1474"/>
      <c r="AH208" s="1474"/>
      <c r="AI208" s="1474"/>
      <c r="AJ208" s="1475">
        <f>DF208</f>
        <v>0</v>
      </c>
      <c r="AK208" s="1470" t="str">
        <f>IFERROR(ROUND(AJ208*AC209,0),"")</f>
        <v/>
      </c>
      <c r="AL208" s="1472">
        <f>IFERROR(IF(HW206=FALSE,0,AC209-AK208),0)</f>
        <v>0</v>
      </c>
      <c r="AM208" s="1441"/>
      <c r="AN208" s="1442"/>
      <c r="AO208" s="1447"/>
      <c r="AP208" s="1447"/>
      <c r="AQ208" s="1448"/>
      <c r="AR208" s="1452"/>
      <c r="AS208" s="1455"/>
      <c r="AT208" s="1458"/>
      <c r="AU208" s="516"/>
      <c r="AV208" s="1479"/>
      <c r="AW208" s="1479"/>
      <c r="BC208" s="38"/>
      <c r="BD208" s="38"/>
      <c r="BE208" s="38"/>
      <c r="BF208" s="38"/>
      <c r="BG208" s="38"/>
      <c r="BH208" s="38"/>
      <c r="BI208" s="38"/>
      <c r="BJ208" s="38"/>
      <c r="BK208" s="38"/>
      <c r="BL208" s="38"/>
      <c r="BM208" s="38"/>
      <c r="BN208" s="38"/>
      <c r="BO208" s="38"/>
      <c r="BP208" s="38"/>
      <c r="BQ208" s="38"/>
      <c r="BR208" s="38"/>
      <c r="BS208" s="38"/>
      <c r="BT208" s="38"/>
      <c r="BU208" s="38"/>
      <c r="BV208" s="38"/>
      <c r="BW208" s="38"/>
      <c r="BX208" s="38"/>
      <c r="BY208" s="38"/>
      <c r="BZ208" s="38"/>
      <c r="CA208" s="38"/>
      <c r="CB208" s="38"/>
      <c r="CC208" s="38"/>
      <c r="CD208" s="38"/>
      <c r="CE208" s="38"/>
      <c r="CF208" s="38"/>
      <c r="CG208" s="38"/>
      <c r="CH208" s="38"/>
      <c r="CI208" s="38"/>
      <c r="CM208" s="1352"/>
      <c r="CN208" s="1352"/>
      <c r="CO208" s="1415" t="str">
        <f>CN206</f>
        <v/>
      </c>
      <c r="CP208" s="1417" t="e">
        <f>CP206</f>
        <v>#N/A</v>
      </c>
      <c r="CR208" s="1386" t="s">
        <v>284</v>
      </c>
      <c r="CS208" s="1353">
        <f>IF(HW206=TRUE,T208,0)</f>
        <v>0</v>
      </c>
      <c r="CT208" s="1353" t="str">
        <f>IF(HW206=TRUE,U208,"")</f>
        <v/>
      </c>
      <c r="CU208" s="1373">
        <f>IF(HW206=TRUE,U209,0)</f>
        <v>0</v>
      </c>
      <c r="CV208" s="1370">
        <f>IF(HW206=TRUE,AB209,0)</f>
        <v>0</v>
      </c>
      <c r="CW208" s="1370">
        <f>IF(HW206=TRUE,AC209,0)</f>
        <v>0</v>
      </c>
      <c r="CX208" s="1371"/>
      <c r="CY208" s="1486"/>
      <c r="CZ208" s="1486"/>
      <c r="DA208" s="1486"/>
      <c r="DC208" s="1353">
        <f>IF(HW206=TRUE,AE208,0)</f>
        <v>0</v>
      </c>
      <c r="DD208" s="1353" t="str">
        <f>IF(HW206=TRUE,AF208,"")</f>
        <v/>
      </c>
      <c r="DE208" s="1373">
        <f>AF209</f>
        <v>0</v>
      </c>
      <c r="DF208" s="1406">
        <f>IFERROR(IF(FL208=3,IK208,IF(FL208=4,IL208,IF(FL208=5,IM208,IF(FL208=6,IN208,IF(FL208=7,IO208,IF(FL208=8,IP208,0)))))),0)</f>
        <v>0</v>
      </c>
      <c r="DG208" s="1370">
        <f>IF(HW206=TRUE,AK208,0)</f>
        <v>0</v>
      </c>
      <c r="DH208" s="1369"/>
      <c r="DK208" s="1483">
        <f>IFERROR(CW208-DG208,0)</f>
        <v>0</v>
      </c>
      <c r="DL208" s="1420"/>
      <c r="DN208" s="1403"/>
      <c r="DO208" s="1477" t="str">
        <f>DN206</f>
        <v/>
      </c>
      <c r="DP208" s="1354"/>
      <c r="DQ208" s="1477" t="str">
        <f>IF(DP206=7,"LLLC","")</f>
        <v/>
      </c>
      <c r="DR208" s="1403"/>
      <c r="DS208" s="1489"/>
      <c r="DU208" s="1403"/>
      <c r="DV208" s="1404" t="str">
        <f>DU206</f>
        <v/>
      </c>
      <c r="DW208" s="1403"/>
      <c r="DX208" s="1403"/>
      <c r="DZ208" s="1481"/>
      <c r="EA208" s="1481"/>
      <c r="EC208" s="1482"/>
      <c r="ED208" s="1369"/>
      <c r="EE208" s="1371"/>
      <c r="EF208" s="1369"/>
      <c r="EG208" s="1369"/>
      <c r="EH208" s="1374"/>
      <c r="EI208" s="1374"/>
      <c r="EJ208" s="1363"/>
      <c r="EK208" s="1376"/>
      <c r="EL208" s="1376"/>
      <c r="EM208" s="1362"/>
      <c r="EN208" s="1362"/>
      <c r="EO208" s="1363"/>
      <c r="EP208" s="1363"/>
      <c r="EQ208" s="1363"/>
      <c r="ES208" s="1403"/>
      <c r="EU208" s="1411" t="e">
        <f>VLOOKUP(CP208,'Space Table'!$B$3:$L$160,8,FALSE)</f>
        <v>#N/A</v>
      </c>
      <c r="EV208" s="1411" t="e">
        <f>IF(EY208="Yes",VLOOKUP(AF208,Lookup_Control_Type_Table2,4,FALSE),VLOOKUP(AF208,Lookup_Control_Type_Table2,3,FALSE))</f>
        <v>#N/A</v>
      </c>
      <c r="EW208" s="1411" t="e">
        <f>VLOOKUP(AF208,Lookup!AU$3:AV$15,2,FALSE)</f>
        <v>#N/A</v>
      </c>
      <c r="EX208" s="1411" t="e">
        <f>VLOOKUP(EU206,Lookup_Control_Type_Table,2,FALSE)</f>
        <v>#N/A</v>
      </c>
      <c r="EY208" s="1411" t="e">
        <f>VLOOKUP(CP208,'Space Table'!$B$3:$L$160,7,FALSE)</f>
        <v>#N/A</v>
      </c>
      <c r="EZ208" s="1413"/>
      <c r="FB208" s="1365" t="str">
        <f>CONCATENATE(CN206," - ",AF208)</f>
        <v xml:space="preserve"> - </v>
      </c>
      <c r="FD208" s="1354"/>
      <c r="FE208" s="1354"/>
      <c r="FF208" s="138"/>
      <c r="FI208" s="1356" t="str">
        <f>IF(CN206="Exterior","Not Daylighted",G209)</f>
        <v>Not Daylighted</v>
      </c>
      <c r="FJ208" s="1356">
        <f>VLOOKUP(FI208,_Daylight_Table_Codes,2,FALSE)</f>
        <v>0</v>
      </c>
      <c r="FK208" s="1365">
        <f>AF208</f>
        <v>0</v>
      </c>
      <c r="FL208" s="1365" t="e">
        <f>VLOOKUP(FK208,_Control_Table,2,FALSE)</f>
        <v>#N/A</v>
      </c>
      <c r="FM208" s="1365" t="e">
        <f>IF(AND(FP208&gt;0,FK208="Occupancy Sensor"),"Daylight + Occupancy",IF(AND(FP208&gt;0,FL208&lt;4),"Interior Daylight Dimming",FK208))</f>
        <v>#N/A</v>
      </c>
      <c r="FO208" s="1364">
        <f>IF(CN206="Interior",VLOOKUP(CP206,Control_Savings_Interior,5,FALSE),0)</f>
        <v>0</v>
      </c>
      <c r="FP208" s="1361">
        <f>IF(CN208="Exterior",0,IF(FJ208=2,0.5,IF(OR(FJ208=1,FJ208=3),1,0)))</f>
        <v>0</v>
      </c>
      <c r="FQ208" s="1366">
        <f>IF(R207&gt;FO$37,(FO208*(FO$37/R207)),FO208)*FP208</f>
        <v>0</v>
      </c>
      <c r="FR208" s="1364">
        <f>DF208</f>
        <v>0</v>
      </c>
      <c r="FS208" s="1364">
        <f>ROUND(FR208+((1-FR208)*FQ208),2)</f>
        <v>0</v>
      </c>
      <c r="FT208" s="1364">
        <f>IF(__Retrofit_TI_NC=2,FS208,FR208)</f>
        <v>0</v>
      </c>
      <c r="FU208" s="1360">
        <f>IF(CO208="Interior",VLOOKUP(CP208,Control_Savings_Interior,4,FALSE),0)</f>
        <v>0</v>
      </c>
      <c r="FW208" s="1352"/>
      <c r="FX208" s="1352"/>
      <c r="FY208" s="1352"/>
      <c r="FZ208" s="1352"/>
      <c r="GA208" s="1352"/>
      <c r="GB208" s="1352"/>
      <c r="GC208" s="1352"/>
      <c r="GD208" s="1352"/>
      <c r="GE208" s="759" t="b">
        <f>IF(ISNUMBER(SEARCH("TLED",U208)),TRUE,FALSE)</f>
        <v>0</v>
      </c>
      <c r="GF208" s="1035" t="str">
        <f>IFERROR(VLOOKUP(U208,Fixtures!DM$93:DR$142,6,FALSE),"")</f>
        <v/>
      </c>
      <c r="GG208" s="1385"/>
      <c r="GI208" s="1383"/>
      <c r="GJ208" s="1379"/>
      <c r="GL208" s="1379"/>
      <c r="GM208" s="1379"/>
      <c r="HC208" s="1379"/>
      <c r="HD208" s="1379"/>
      <c r="HE208" s="1379"/>
      <c r="HF208" s="1379"/>
      <c r="HG208" s="1379"/>
      <c r="HH208" s="1379"/>
      <c r="HI208" s="1383"/>
      <c r="HJ208" s="1383"/>
      <c r="HK208" s="1383"/>
      <c r="HL208" s="1379"/>
      <c r="HM208" s="1379"/>
      <c r="HN208" s="1379"/>
      <c r="HO208" s="1379"/>
      <c r="HP208" s="1379"/>
      <c r="HQ208" s="1379"/>
      <c r="HR208" s="1379"/>
      <c r="HS208" s="1379"/>
      <c r="HT208" s="1379"/>
      <c r="HU208" s="1379"/>
      <c r="HW208" s="1383"/>
      <c r="HX208" s="1384" t="b">
        <f>HW206</f>
        <v>0</v>
      </c>
      <c r="HY208" s="1378"/>
      <c r="HZ208" s="436"/>
      <c r="IA208" s="1386"/>
      <c r="IB208" s="1380">
        <f>IF(IA206=TRUE,AC209,0)</f>
        <v>0</v>
      </c>
      <c r="IC208" s="1379"/>
      <c r="IF208" s="1380" t="e">
        <f>ROUND(T208*AB209*N207*R207/1000,0)</f>
        <v>#VALUE!</v>
      </c>
      <c r="IG208" s="1382"/>
      <c r="IH208" s="1384" t="e">
        <f>ROUND(T208*AB209*N207*R207/1000,0)</f>
        <v>#VALUE!</v>
      </c>
      <c r="II208" s="1382"/>
      <c r="IK208" s="1351" t="e">
        <f>IF($CO208="interior",IL208/2,VLOOKUP($CP208,Control_Savings_Exterior,IK$30,FALSE))</f>
        <v>#N/A</v>
      </c>
      <c r="IL208" s="1351" t="e">
        <f>IF($CO208="interior",VLOOKUP($CP208,Control_Savings_Interior,IL$30,FALSE),VLOOKUP($CP208,Control_Savings_Exterior,IL$30,FALSE))</f>
        <v>#N/A</v>
      </c>
      <c r="IM208" s="1351" t="e">
        <f>IF($CO208="interior",IF(R207&gt;FO$37,(IM$28*(FO$37/R207)),IM$28)*FP208,VLOOKUP($CP208,Control_Savings_Exterior,IM$30,FALSE))</f>
        <v>#N/A</v>
      </c>
      <c r="IN208" s="1351" t="e">
        <f>IF($CO208="interior",ROUND(((1-IL208)*IM208)+IL208,2),VLOOKUP($CP208,Control_Savings_Exterior,IN$30,FALSE))</f>
        <v>#N/A</v>
      </c>
      <c r="IO208" s="1351" t="e">
        <f>IF($CO208="interior", ROUND(((1-IL208)*(IM208*(1-IP$28)))+IP208,2), VLOOKUP($CP208,Control_Savings_Exterior,IO$30,FALSE))</f>
        <v>#N/A</v>
      </c>
      <c r="IP208" s="1351">
        <f>IF($CO208="interior",ROUND(((1-IL208)*IP$28)+IL208,2),0)</f>
        <v>0</v>
      </c>
    </row>
    <row r="209" spans="1:250" s="82" customFormat="1" ht="14.95" customHeight="1" thickTop="1" thickBot="1">
      <c r="B209" s="1421"/>
      <c r="C209" s="1422"/>
      <c r="D209" s="1423"/>
      <c r="E209" s="1462" t="s">
        <v>357</v>
      </c>
      <c r="F209" s="1463"/>
      <c r="G209" s="1464" t="s">
        <v>362</v>
      </c>
      <c r="H209" s="1465"/>
      <c r="I209" s="1465"/>
      <c r="J209" s="1465"/>
      <c r="K209" s="1465"/>
      <c r="L209" s="1466"/>
      <c r="M209" s="669">
        <f>IFERROR(VLOOKUP(G209,_Daylight_Table[],2,FALSE),0)</f>
        <v>0</v>
      </c>
      <c r="N209" s="670"/>
      <c r="O209" s="669" t="e">
        <f>VLOOKUP(G208,'Space Table'!$B$3:$L$160,11,FALSE)</f>
        <v>#N/A</v>
      </c>
      <c r="P209" s="1408"/>
      <c r="Q209" s="1409"/>
      <c r="R209" s="1409"/>
      <c r="S209" s="1402"/>
      <c r="T209" s="671" t="s">
        <v>281</v>
      </c>
      <c r="U209" s="1467" t="str">
        <f>IFERROR(VLOOKUP(U208,Fixtures!DM$93:DP$142,4,FALSE),"")</f>
        <v/>
      </c>
      <c r="V209" s="1468"/>
      <c r="W209" s="1468"/>
      <c r="X209" s="1468"/>
      <c r="Y209" s="1468"/>
      <c r="Z209" s="1468"/>
      <c r="AA209" s="1468"/>
      <c r="AB209" s="1046" t="str">
        <f>IFERROR(VLOOKUP(U208,Fixtures_Proposed_List,2,FALSE),"")</f>
        <v/>
      </c>
      <c r="AC209" s="1036" t="str">
        <f>IFERROR(ROUND(T208*AB209*N207*R207/1000,0),"")</f>
        <v/>
      </c>
      <c r="AD209" s="1037" t="str">
        <f>IFERROR(ROUND(T208*AB209/1000,2),"")</f>
        <v/>
      </c>
      <c r="AE209" s="1045" t="s">
        <v>281</v>
      </c>
      <c r="AF209" s="1469"/>
      <c r="AG209" s="1469"/>
      <c r="AH209" s="1469"/>
      <c r="AI209" s="1469"/>
      <c r="AJ209" s="1476"/>
      <c r="AK209" s="1471"/>
      <c r="AL209" s="1473"/>
      <c r="AM209" s="1443"/>
      <c r="AN209" s="1444"/>
      <c r="AO209" s="1449"/>
      <c r="AP209" s="1449"/>
      <c r="AQ209" s="1450"/>
      <c r="AR209" s="1453"/>
      <c r="AS209" s="1456"/>
      <c r="AT209" s="1459"/>
      <c r="AU209" s="517"/>
      <c r="AV209" s="1480"/>
      <c r="AW209" s="1480"/>
      <c r="BC209" s="38"/>
      <c r="BD209" s="38"/>
      <c r="BE209" s="38"/>
      <c r="BF209" s="38"/>
      <c r="BG209" s="38"/>
      <c r="BH209" s="38"/>
      <c r="BI209" s="38"/>
      <c r="BJ209" s="38"/>
      <c r="BK209" s="38"/>
      <c r="BL209" s="38"/>
      <c r="BM209" s="38"/>
      <c r="BN209" s="38"/>
      <c r="BO209" s="38"/>
      <c r="BP209" s="38"/>
      <c r="BQ209" s="38"/>
      <c r="BR209" s="38"/>
      <c r="BS209" s="38"/>
      <c r="BT209" s="38"/>
      <c r="BU209" s="38"/>
      <c r="BV209" s="38"/>
      <c r="BW209" s="38"/>
      <c r="BX209" s="38"/>
      <c r="BY209" s="38"/>
      <c r="BZ209" s="38"/>
      <c r="CA209" s="38"/>
      <c r="CB209" s="38"/>
      <c r="CC209" s="38"/>
      <c r="CD209" s="38"/>
      <c r="CE209" s="38"/>
      <c r="CF209" s="38"/>
      <c r="CG209" s="38"/>
      <c r="CH209" s="38"/>
      <c r="CI209" s="38"/>
      <c r="CM209" s="1352"/>
      <c r="CN209" s="1352"/>
      <c r="CO209" s="1416"/>
      <c r="CP209" s="1418"/>
      <c r="CR209" s="1386"/>
      <c r="CS209" s="1355"/>
      <c r="CT209" s="1355"/>
      <c r="CU209" s="1375"/>
      <c r="CV209" s="1372"/>
      <c r="CW209" s="1372"/>
      <c r="CX209" s="1372"/>
      <c r="CY209" s="1487"/>
      <c r="CZ209" s="1487"/>
      <c r="DA209" s="1487"/>
      <c r="DC209" s="1355"/>
      <c r="DD209" s="1355"/>
      <c r="DE209" s="1375"/>
      <c r="DF209" s="1407"/>
      <c r="DG209" s="1372"/>
      <c r="DH209" s="1369"/>
      <c r="DK209" s="1484"/>
      <c r="DL209" s="1420"/>
      <c r="DN209" s="1403"/>
      <c r="DO209" s="1405"/>
      <c r="DP209" s="1355"/>
      <c r="DQ209" s="1405"/>
      <c r="DR209" s="1403"/>
      <c r="DS209" s="1489"/>
      <c r="DU209" s="1403"/>
      <c r="DV209" s="1405"/>
      <c r="DW209" s="1403"/>
      <c r="DX209" s="1403"/>
      <c r="DZ209" s="1481"/>
      <c r="EA209" s="1481"/>
      <c r="EC209" s="1482"/>
      <c r="ED209" s="1369"/>
      <c r="EE209" s="1372"/>
      <c r="EF209" s="1369"/>
      <c r="EG209" s="1369"/>
      <c r="EH209" s="1375"/>
      <c r="EI209" s="1375"/>
      <c r="EJ209" s="1363"/>
      <c r="EK209" s="1376"/>
      <c r="EL209" s="1376"/>
      <c r="EM209" s="1362"/>
      <c r="EN209" s="1362"/>
      <c r="EO209" s="1363"/>
      <c r="EP209" s="1363"/>
      <c r="EQ209" s="1363"/>
      <c r="ES209" s="1403"/>
      <c r="EU209" s="1488"/>
      <c r="EV209" s="1488"/>
      <c r="EW209" s="1488"/>
      <c r="EX209" s="1488"/>
      <c r="EY209" s="1488"/>
      <c r="EZ209" s="1414"/>
      <c r="FB209" s="1365"/>
      <c r="FD209" s="1355"/>
      <c r="FE209" s="1355"/>
      <c r="FF209" s="138"/>
      <c r="FI209" s="1357"/>
      <c r="FJ209" s="1357"/>
      <c r="FK209" s="1365"/>
      <c r="FL209" s="1365"/>
      <c r="FM209" s="1365"/>
      <c r="FO209" s="1361"/>
      <c r="FP209" s="1361"/>
      <c r="FQ209" s="1366"/>
      <c r="FR209" s="1361"/>
      <c r="FS209" s="1361"/>
      <c r="FT209" s="1361"/>
      <c r="FU209" s="1360"/>
      <c r="FW209" s="1352"/>
      <c r="FX209" s="1352"/>
      <c r="FY209" s="1352"/>
      <c r="FZ209" s="1352"/>
      <c r="GA209" s="1352"/>
      <c r="GB209" s="1352"/>
      <c r="GC209" s="1352"/>
      <c r="GD209" s="1352"/>
      <c r="GE209" s="759"/>
      <c r="GF209" s="1035"/>
      <c r="GG209" s="1385"/>
      <c r="GJ209" s="1034">
        <f>IF(GJ207=TRUE,0,GJ$16)</f>
        <v>0</v>
      </c>
      <c r="GL209" s="1034">
        <f>IF(GL207=TRUE,0,GL$16)</f>
        <v>36</v>
      </c>
      <c r="GM209" s="1034">
        <f>IF(GM207=TRUE,0,GM$16)</f>
        <v>35</v>
      </c>
      <c r="GN209" s="436"/>
      <c r="GO209" s="436"/>
      <c r="GP209" s="436"/>
      <c r="GQ209" s="436"/>
      <c r="GR209" s="436"/>
      <c r="HC209" s="1034">
        <f t="shared" ref="HC209:HH209" si="142">IF(HC207=TRUE,0,HC$16)</f>
        <v>19</v>
      </c>
      <c r="HD209" s="1034">
        <f t="shared" si="142"/>
        <v>18</v>
      </c>
      <c r="HE209" s="1034">
        <f t="shared" si="142"/>
        <v>17</v>
      </c>
      <c r="HF209" s="1034">
        <f t="shared" si="142"/>
        <v>16</v>
      </c>
      <c r="HG209" s="1034">
        <f t="shared" si="142"/>
        <v>0</v>
      </c>
      <c r="HH209" s="1034">
        <f t="shared" si="142"/>
        <v>0</v>
      </c>
      <c r="HI209" s="1034">
        <f>IF(HI207=TRUE,0,HI$16)</f>
        <v>13</v>
      </c>
      <c r="HJ209" s="1034">
        <f t="shared" ref="HJ209:HL209" si="143">IF(HJ207=TRUE,0,HJ$16)</f>
        <v>12</v>
      </c>
      <c r="HK209" s="1034">
        <f t="shared" si="143"/>
        <v>11</v>
      </c>
      <c r="HL209" s="1034">
        <f t="shared" si="143"/>
        <v>10</v>
      </c>
      <c r="HM209" s="1034">
        <f>IF(HM207=TRUE,0,HM$16)</f>
        <v>9</v>
      </c>
      <c r="HN209" s="1034">
        <f t="shared" ref="HN209:HR209" si="144">IF(HN207=TRUE,0,HN$16)</f>
        <v>0</v>
      </c>
      <c r="HO209" s="1034">
        <f t="shared" si="144"/>
        <v>0</v>
      </c>
      <c r="HP209" s="1034">
        <f t="shared" si="144"/>
        <v>0</v>
      </c>
      <c r="HQ209" s="1034">
        <f t="shared" si="144"/>
        <v>0</v>
      </c>
      <c r="HR209" s="1034">
        <f t="shared" si="144"/>
        <v>0</v>
      </c>
      <c r="HS209" s="1034">
        <f>IF(HS207=TRUE,0,HS$16)</f>
        <v>0</v>
      </c>
      <c r="HT209" s="1034">
        <f t="shared" ref="HT209" si="145">IF(HT207=TRUE,0,HT$16)</f>
        <v>0</v>
      </c>
      <c r="HU209" s="1034">
        <f>IF(HU207=TRUE,0,HU$16)</f>
        <v>1</v>
      </c>
      <c r="HW209" s="1034">
        <f>IF(GL207=FALSE,GL209,IF(GM207=FALSE,GM209,MAX(GJ209:HU209)))</f>
        <v>36</v>
      </c>
      <c r="HX209" s="1383"/>
      <c r="HY209" s="241" t="str">
        <f>VLOOKUP(HW209,_Error_Table,3,FALSE)</f>
        <v xml:space="preserve"> </v>
      </c>
      <c r="HZ209" s="241"/>
      <c r="IA209" s="1386"/>
      <c r="IB209" s="1380"/>
      <c r="IC209" s="1379"/>
      <c r="IF209" s="1380"/>
      <c r="IG209" s="1383"/>
      <c r="IH209" s="1383"/>
      <c r="II209" s="1383"/>
      <c r="IK209" s="1351"/>
      <c r="IL209" s="1351"/>
      <c r="IM209" s="1351"/>
      <c r="IN209" s="1351"/>
      <c r="IO209" s="1351"/>
      <c r="IP209" s="1351"/>
    </row>
    <row r="210" spans="1:250" s="82" customFormat="1" ht="5.0999999999999996" customHeight="1" thickBot="1">
      <c r="B210" s="763"/>
      <c r="C210" s="1038"/>
      <c r="D210" s="1038"/>
      <c r="E210" s="1490"/>
      <c r="F210" s="1490"/>
      <c r="G210" s="1490"/>
      <c r="H210" s="1490"/>
      <c r="I210" s="1490"/>
      <c r="J210" s="1490"/>
      <c r="K210" s="1490"/>
      <c r="L210" s="1490"/>
      <c r="M210" s="1490"/>
      <c r="N210" s="1490"/>
      <c r="O210" s="1490"/>
      <c r="P210" s="1490"/>
      <c r="Q210" s="1490"/>
      <c r="R210" s="1490"/>
      <c r="S210" s="1490"/>
      <c r="T210" s="1490"/>
      <c r="U210" s="1490"/>
      <c r="V210" s="1490"/>
      <c r="W210" s="1490"/>
      <c r="X210" s="1490"/>
      <c r="Y210" s="1490"/>
      <c r="Z210" s="1490"/>
      <c r="AA210" s="1490"/>
      <c r="AB210" s="1490"/>
      <c r="AC210" s="1490"/>
      <c r="AD210" s="1490"/>
      <c r="AE210" s="1490"/>
      <c r="AF210" s="1490"/>
      <c r="AG210" s="1490"/>
      <c r="AH210" s="1490"/>
      <c r="AI210" s="1490"/>
      <c r="AJ210" s="1490"/>
      <c r="AK210" s="1490"/>
      <c r="AL210" s="1490"/>
      <c r="AM210" s="1490"/>
      <c r="AN210" s="1490"/>
      <c r="AO210" s="1490"/>
      <c r="AP210" s="1490"/>
      <c r="AQ210" s="1490"/>
      <c r="AR210" s="1490"/>
      <c r="AS210" s="1490"/>
      <c r="AT210" s="1490"/>
      <c r="AU210" s="1041"/>
      <c r="BC210" s="38"/>
      <c r="BD210" s="38"/>
      <c r="BE210" s="38"/>
      <c r="BF210" s="38"/>
      <c r="BG210" s="38"/>
      <c r="BH210" s="38"/>
      <c r="BI210" s="38"/>
      <c r="BJ210" s="38"/>
      <c r="BK210" s="38"/>
      <c r="BL210" s="38"/>
      <c r="BM210" s="38"/>
      <c r="BN210" s="38"/>
      <c r="BO210" s="38"/>
      <c r="BP210" s="38"/>
      <c r="BQ210" s="38"/>
      <c r="BR210" s="38"/>
      <c r="BS210" s="38"/>
      <c r="BT210" s="38"/>
      <c r="BU210" s="38"/>
      <c r="BV210" s="38"/>
      <c r="BW210" s="38"/>
      <c r="BX210" s="38"/>
      <c r="BY210" s="38"/>
      <c r="BZ210" s="38"/>
      <c r="CA210" s="38"/>
      <c r="CB210" s="38"/>
      <c r="CC210" s="38"/>
      <c r="CD210" s="38"/>
      <c r="CE210" s="38"/>
      <c r="CF210" s="38"/>
      <c r="CG210" s="38"/>
      <c r="CH210" s="38"/>
      <c r="CI210" s="38"/>
      <c r="CM210" s="749"/>
      <c r="CN210" s="749"/>
      <c r="CO210" s="1043"/>
      <c r="CP210" s="749"/>
      <c r="CS210" s="436"/>
      <c r="CT210" s="436"/>
      <c r="CU210" s="243"/>
      <c r="CV210" s="244"/>
      <c r="CW210" s="244"/>
      <c r="CX210" s="244"/>
      <c r="CY210" s="245"/>
      <c r="CZ210" s="245"/>
      <c r="DA210" s="245"/>
      <c r="DC210" s="750"/>
      <c r="DD210" s="751"/>
      <c r="DE210" s="752"/>
      <c r="DF210" s="753"/>
      <c r="DG210" s="754"/>
      <c r="DH210" s="754"/>
      <c r="DK210" s="244"/>
      <c r="DL210" s="750"/>
      <c r="DN210" s="750"/>
      <c r="DO210" s="755"/>
      <c r="DP210" s="436"/>
      <c r="DQ210" s="750"/>
      <c r="DR210" s="750"/>
      <c r="DS210" s="750"/>
      <c r="DU210" s="750"/>
      <c r="DV210" s="750"/>
      <c r="DW210" s="750"/>
      <c r="DX210" s="750"/>
      <c r="DZ210" s="756"/>
      <c r="EA210" s="756"/>
      <c r="EC210" s="754"/>
      <c r="ED210" s="754"/>
      <c r="EE210" s="244"/>
      <c r="EF210" s="754"/>
      <c r="EG210" s="754"/>
      <c r="EH210" s="243"/>
      <c r="EI210" s="243"/>
      <c r="EJ210" s="752"/>
      <c r="EK210" s="757"/>
      <c r="EL210" s="757"/>
      <c r="EM210" s="758"/>
      <c r="EN210" s="758"/>
      <c r="EO210" s="752"/>
      <c r="EP210" s="752"/>
      <c r="EQ210" s="752"/>
      <c r="ES210" s="750"/>
      <c r="EU210" s="436"/>
      <c r="EV210" s="436"/>
      <c r="EW210" s="436"/>
      <c r="EX210" s="436"/>
      <c r="EY210" s="436"/>
      <c r="EZ210" s="436"/>
      <c r="FB210" s="643"/>
      <c r="FD210" s="436"/>
      <c r="FE210" s="436"/>
      <c r="FF210" s="436"/>
      <c r="FO210" s="750"/>
      <c r="FP210" s="436"/>
      <c r="FQ210" s="436"/>
      <c r="FR210" s="750"/>
      <c r="FS210" s="750"/>
      <c r="FW210" s="749"/>
      <c r="FX210" s="749"/>
      <c r="FY210" s="749"/>
      <c r="FZ210" s="749"/>
      <c r="GA210" s="749"/>
      <c r="GB210" s="749"/>
      <c r="GC210" s="749"/>
      <c r="GD210" s="749"/>
      <c r="GE210" s="751"/>
      <c r="GF210" s="750"/>
      <c r="GG210" s="750"/>
    </row>
    <row r="211" spans="1:250" s="82" customFormat="1" ht="14.95" customHeight="1" thickTop="1" thickBot="1">
      <c r="B211" s="1421" t="str">
        <f>HY214</f>
        <v xml:space="preserve"> </v>
      </c>
      <c r="C211" s="1422">
        <f>C206+1</f>
        <v>34</v>
      </c>
      <c r="D211" s="1423"/>
      <c r="E211" s="1424" t="s">
        <v>242</v>
      </c>
      <c r="F211" s="1425"/>
      <c r="G211" s="1426"/>
      <c r="H211" s="1427"/>
      <c r="I211" s="1427"/>
      <c r="J211" s="1427"/>
      <c r="K211" s="1427"/>
      <c r="L211" s="1427"/>
      <c r="M211" s="1427"/>
      <c r="N211" s="1427"/>
      <c r="O211" s="1427"/>
      <c r="P211" s="1427"/>
      <c r="Q211" s="1427"/>
      <c r="R211" s="1427"/>
      <c r="S211" s="1428" t="s">
        <v>283</v>
      </c>
      <c r="T211" s="668" t="s">
        <v>190</v>
      </c>
      <c r="U211" s="1430" t="s">
        <v>186</v>
      </c>
      <c r="V211" s="1431"/>
      <c r="W211" s="1431"/>
      <c r="X211" s="1431"/>
      <c r="Y211" s="1431"/>
      <c r="Z211" s="1431"/>
      <c r="AA211" s="1431"/>
      <c r="AB211" s="1088" t="str">
        <f>IFERROR(IF(__Retrofit_TI_NC=0,VLOOKUP(U212,Fixtures_Existing_List,2,FALSE),ROUND(N213*R213/T213,10)),"")</f>
        <v/>
      </c>
      <c r="AC211" s="1039" t="str">
        <f>IFERROR(IF(__Retrofit_TI_NC=0,ROUND(T212*AB211*N212*R212/1000,0),IF(CN211="Interior",N213*R213*R212*N212*_C406_reduction/1000,N213*R213*R212*N212/1000)),"")</f>
        <v/>
      </c>
      <c r="AD211" s="1040" t="str">
        <f>IFERROR(IF(C$36=0,ROUND(T212*AB211/1000,2),N213*R213/1000),"")</f>
        <v/>
      </c>
      <c r="AE211" s="1044" t="s">
        <v>190</v>
      </c>
      <c r="AF211" s="1432" t="str">
        <f>IF(__Retrofit_TI_NC=2,CONCATENATE("Code min = ",DD211),IF(__Retrofit_TI_NC=1,"Emter what you think the existing control was"," Control"))</f>
        <v xml:space="preserve"> Control</v>
      </c>
      <c r="AG211" s="1432"/>
      <c r="AH211" s="1432"/>
      <c r="AI211" s="1432"/>
      <c r="AJ211" s="1433">
        <f>DF211</f>
        <v>0</v>
      </c>
      <c r="AK211" s="1435" t="str">
        <f>IFERROR(ROUND(AJ211*AC211,0),"")</f>
        <v/>
      </c>
      <c r="AL211" s="1437">
        <f>IFERROR(IF(HW211=FALSE,0,AC211-AK211),0)</f>
        <v>0</v>
      </c>
      <c r="AM211" s="1439">
        <f>AL211-AL213</f>
        <v>0</v>
      </c>
      <c r="AN211" s="1440"/>
      <c r="AO211" s="1445">
        <f>IFERROR(IF(HW211=FALSE,0,(T213*U214)+(AE213*AF214)),0)</f>
        <v>0</v>
      </c>
      <c r="AP211" s="1445"/>
      <c r="AQ211" s="1446"/>
      <c r="AR211" s="1451" t="s">
        <v>157</v>
      </c>
      <c r="AS211" s="1454">
        <f>IF(AR211="Yes",1,0)</f>
        <v>1</v>
      </c>
      <c r="AT211" s="1457" t="str">
        <f>IF(OR(DN211=4,DN211=5,DN211=6,DN211=12),CONCATENATE("$",IF(GD211=TRUE,Lookup!$B$11,Lookup!$B$2)," /lamp"),CONCATENATE(EA211,"/ kWh"))</f>
        <v>0/ kWh</v>
      </c>
      <c r="AU211" s="516"/>
      <c r="AV211" s="1478">
        <f>IFERROR(IF(GI212=TRUE,(AB214*T213)/R213,0),"NA")</f>
        <v>0</v>
      </c>
      <c r="AW211" s="1478" t="str">
        <f>IFERROR(N213*_C406_reduction,"NA")</f>
        <v>NA</v>
      </c>
      <c r="BC211" s="38"/>
      <c r="BD211" s="38"/>
      <c r="BE211" s="38"/>
      <c r="BF211" s="38"/>
      <c r="BG211" s="38"/>
      <c r="BH211" s="38"/>
      <c r="BI211" s="38"/>
      <c r="BJ211" s="38"/>
      <c r="BK211" s="38"/>
      <c r="BL211" s="38"/>
      <c r="BM211" s="38"/>
      <c r="BN211" s="38"/>
      <c r="BO211" s="38"/>
      <c r="BP211" s="38"/>
      <c r="BQ211" s="38"/>
      <c r="BR211" s="38"/>
      <c r="BS211" s="38"/>
      <c r="BT211" s="38"/>
      <c r="BU211" s="38"/>
      <c r="BV211" s="38"/>
      <c r="BW211" s="38"/>
      <c r="BX211" s="38"/>
      <c r="BY211" s="38"/>
      <c r="BZ211" s="38"/>
      <c r="CA211" s="38"/>
      <c r="CB211" s="38"/>
      <c r="CC211" s="38"/>
      <c r="CD211" s="38"/>
      <c r="CE211" s="38"/>
      <c r="CF211" s="38"/>
      <c r="CG211" s="38"/>
      <c r="CH211" s="38"/>
      <c r="CI211" s="38"/>
      <c r="CM211" s="1352" t="str">
        <f>N212</f>
        <v/>
      </c>
      <c r="CN211" s="1352" t="str">
        <f>IFERROR(VLOOKUP(G212,_Lookup_Heat_Type_Table_New,3,FALSE),"")</f>
        <v/>
      </c>
      <c r="CO211" s="1415" t="str">
        <f>CN211</f>
        <v/>
      </c>
      <c r="CP211" s="1417" t="e">
        <f>VLOOKUP(G213,'Space Table'!$B$3:$L$160,9,FALSE)</f>
        <v>#N/A</v>
      </c>
      <c r="CR211" s="1386" t="s">
        <v>283</v>
      </c>
      <c r="CS211" s="1353">
        <f>IF(HW211=TRUE,T212,0)</f>
        <v>0</v>
      </c>
      <c r="CT211" s="1353" t="str">
        <f>IF(HW211=TRUE,U212,"")</f>
        <v/>
      </c>
      <c r="CU211" s="1353"/>
      <c r="CV211" s="1370">
        <f>IF(HW211=TRUE,AB211,0)</f>
        <v>0</v>
      </c>
      <c r="CW211" s="1370">
        <f>IF(HW211=TRUE,AC211,0)</f>
        <v>0</v>
      </c>
      <c r="CX211" s="1370">
        <f>IFERROR(IF(HW211=TRUE,CW211-CW213,0),0)</f>
        <v>0</v>
      </c>
      <c r="CY211" s="1485">
        <f>IF(HW211=TRUE,AD211,0)</f>
        <v>0</v>
      </c>
      <c r="CZ211" s="1485">
        <f>IF(HW211=TRUE,AD214,0)</f>
        <v>0</v>
      </c>
      <c r="DA211" s="1485">
        <f>IFERROR(CY211-CZ211,0)</f>
        <v>0</v>
      </c>
      <c r="DC211" s="1353">
        <f>IF(HW211=TRUE,AE212,0)</f>
        <v>0</v>
      </c>
      <c r="DD211" s="1460">
        <f>IF(__Retrofit_TI_NC=2,IF(CN211="Exterior",O214,FM211),FK211)</f>
        <v>0</v>
      </c>
      <c r="DE211" s="1353"/>
      <c r="DF211" s="1406">
        <f>IFERROR(IF(FL211=3,IK211,IF(FL211=4,IL211,IF(FL211=5,IM211,IF(FL211=6,IN211,IF(FL211=7,IO211,IF(FL211=8,IP211,0)))))),0)</f>
        <v>0</v>
      </c>
      <c r="DG211" s="1370">
        <f>IF(HW211=TRUE,AK211,0)</f>
        <v>0</v>
      </c>
      <c r="DH211" s="1369">
        <f>IFERROR(IF(HW211=TRUE,DG213-DG211,0),0)</f>
        <v>0</v>
      </c>
      <c r="DJ211" s="1483">
        <f>IFERROR(CW211-DG211,0)</f>
        <v>0</v>
      </c>
      <c r="DL211" s="1419">
        <f>DJ211-DK213</f>
        <v>0</v>
      </c>
      <c r="DN211" s="1403" t="str">
        <f>IFERROR(IF(AND(OR(FY211=4,FY211=5,FY211=6),OR(GB211=4,GB211=5,GB211=6)),FY211+8,VLOOKUP(CT213,Fixtures!R$31:Y$78,8,FALSE)),"")</f>
        <v/>
      </c>
      <c r="DO211" s="1404" t="str">
        <f>DN211</f>
        <v/>
      </c>
      <c r="DP211" s="1353" t="str">
        <f>IFERROR(VLOOKUP(DD213,Lookup!AU$3:AV$15,2,FALSE),"")</f>
        <v/>
      </c>
      <c r="DQ211" s="1404" t="str">
        <f>IF(DP211=7,"LLLC","")</f>
        <v/>
      </c>
      <c r="DR211" s="1403">
        <f>IFERROR(IF(OR(DN211=4,DN211=5,DN211=6,DN211=12,DN211=13,DN211=14),VLOOKUP(CT213,Fixtures!DN$27:EG$77,19,FALSE),1)*CS213,0)</f>
        <v>0</v>
      </c>
      <c r="DS211" s="1489">
        <f>IF(DP211=7,IF(DD211=DD213,0,DC213),0)</f>
        <v>0</v>
      </c>
      <c r="DU211" s="1403" t="str">
        <f>IFERROR(IF(EW211&lt;EW213,"Yes","No"),"")</f>
        <v/>
      </c>
      <c r="DV211" s="1404" t="str">
        <f>DU211</f>
        <v/>
      </c>
      <c r="DW211" s="1403">
        <f>IF(DU211="Yes",DC213,0)</f>
        <v>0</v>
      </c>
      <c r="DX211" s="1403">
        <f>DW211-DS211</f>
        <v>0</v>
      </c>
      <c r="DZ211" s="1481">
        <f>IFERROR(VLOOKUP(DN211,Lookup!AN$3:AO$16,2,FALSE),0)</f>
        <v>0</v>
      </c>
      <c r="EA211" s="1481">
        <f>IF(HW211=FALSE,0,IF(DU211="Yes",DZ211+Lookup!B$6,DZ211))</f>
        <v>0</v>
      </c>
      <c r="EC211" s="1482">
        <f>IF(HW211=TRUE,DJ211,0)</f>
        <v>0</v>
      </c>
      <c r="ED211" s="1369">
        <f>IF(HW211=TRUE,CW213,0)</f>
        <v>0</v>
      </c>
      <c r="EE211" s="1370">
        <f>IFERROR(EC211-ED211,0)</f>
        <v>0</v>
      </c>
      <c r="EF211" s="1369">
        <f>IF(HW211=TRUE,DG213,0)</f>
        <v>0</v>
      </c>
      <c r="EG211" s="1369">
        <f>IFERROR(EC211-ED211+EF211,0)</f>
        <v>0</v>
      </c>
      <c r="EH211" s="1373">
        <f>IF(HW211=TRUE,CS213*CU213,0)</f>
        <v>0</v>
      </c>
      <c r="EI211" s="1373">
        <f>IF(HW211=TRUE,DC213*DE213,0)</f>
        <v>0</v>
      </c>
      <c r="EJ211" s="1363">
        <f>AO211</f>
        <v>0</v>
      </c>
      <c r="EK211" s="1376" t="str">
        <f>IFERROR(IF(HW211=TRUE,VLOOKUP(DN211,Lookup!AN$3:AP$16,3,FALSE)*DR211,""),0)</f>
        <v/>
      </c>
      <c r="EL211" s="1376">
        <f>IF(HW211=TRUE,DW211*Lookup!AP$12,0)</f>
        <v>0</v>
      </c>
      <c r="EM211" s="1362">
        <f>IFERROR(IF(HW211=TRUE,EK211/EM$33,0),0)</f>
        <v>0</v>
      </c>
      <c r="EN211" s="1362">
        <f>IF(HW211=TRUE,EL211/EN$33,0)</f>
        <v>0</v>
      </c>
      <c r="EO211" s="1363">
        <f>IF(HW211=TRUE,EQ$33*EM211,0)</f>
        <v>0</v>
      </c>
      <c r="EP211" s="1363">
        <f>IF(HW211=TRUE,EQ$33*EN211,0)</f>
        <v>0</v>
      </c>
      <c r="EQ211" s="1363">
        <f>EO211+EP211</f>
        <v>0</v>
      </c>
      <c r="ES211" s="1403">
        <f>IF(G211="",0,1)</f>
        <v>0</v>
      </c>
      <c r="EU211" s="1410" t="e">
        <f>VLOOKUP(CP213,'Space Table'!$B$3:$L$160,8,FALSE)</f>
        <v>#N/A</v>
      </c>
      <c r="EV211" s="1410" t="e">
        <f>IF(EY211="Yes",VLOOKUP(DD211,Lookup_Control_Type_Table2,4,FALSE),VLOOKUP(DD211,Lookup_Control_Type_Table2,3,FALSE))</f>
        <v>#N/A</v>
      </c>
      <c r="EW211" s="1410" t="e">
        <f>VLOOKUP(DD211,Lookup!AU$3:AV$15,2,FALSE)</f>
        <v>#N/A</v>
      </c>
      <c r="EX211" s="1410" t="e">
        <f>VLOOKUP(EU211,Lookup_Control_Type_Table,2,FALSE)</f>
        <v>#N/A</v>
      </c>
      <c r="EY211" s="1410" t="e">
        <f>VLOOKUP(CP213,'Space Table'!$B$3:$L$160,7,FALSE)</f>
        <v>#N/A</v>
      </c>
      <c r="EZ211" s="1412" t="b">
        <f>ISNUMBER(SEARCH("TLED",U213))</f>
        <v>0</v>
      </c>
      <c r="FB211" s="1365" t="str">
        <f>CONCATENATE(CN211," - ",DD211)</f>
        <v xml:space="preserve"> - 0</v>
      </c>
      <c r="FD211" s="1353" t="str">
        <f>VLOOKUP(CT213,Fixtures!DN$27:EZ$77,38,FALSE)</f>
        <v/>
      </c>
      <c r="FE211" s="1353">
        <f>IFERROR(FD211*EE211,0)</f>
        <v>0</v>
      </c>
      <c r="FF211" s="138"/>
      <c r="FI211" s="1356" t="str">
        <f>IF(CN211="Exterior","Not Daylighted",G214)</f>
        <v>Not Daylighted</v>
      </c>
      <c r="FJ211" s="1356">
        <f>VLOOKUP(FI211,_Daylight_Table_Codes,2,FALSE)</f>
        <v>0</v>
      </c>
      <c r="FK211" s="1365">
        <f>IF(__Retrofit_TI_NC=2,VLOOKUP(G213,'Space Table'!$B$3:$L$160,11,FALSE),AF212)</f>
        <v>0</v>
      </c>
      <c r="FL211" s="1365" t="e">
        <f>VLOOKUP(FK211,_Control_Table,2,FALSE)</f>
        <v>#N/A</v>
      </c>
      <c r="FM211" s="1365" t="e">
        <f>IF(AND(FP211&gt;0,FK211="Occupancy Sensor"),"Daylight + Occupancy",IF(AND(FP211&gt;0,FL211&lt;4),"Interior Daylight Dimming",FK211))</f>
        <v>#N/A</v>
      </c>
      <c r="FO211" s="1364">
        <f>IF(CO211="Interior",VLOOKUP(CP211,Control_Savings_Interior,5,FALSE),0)</f>
        <v>0</v>
      </c>
      <c r="FP211" s="1361">
        <f>IF(CN211="Exterior",0,IF(FJ211=2,0.5,IF(OR(FJ211=1,FJ211=3),1,0)))</f>
        <v>0</v>
      </c>
      <c r="FQ211" s="1366"/>
      <c r="FR211" s="1367"/>
      <c r="FS211" s="1364"/>
      <c r="FT211" s="1367"/>
      <c r="FU211" s="1360"/>
      <c r="FW211" s="1352" t="str">
        <f>IFERROR(VLOOKUP(U212,_Exist_Fixture_Table,3,FALSE),"")</f>
        <v/>
      </c>
      <c r="FX211" s="1352" t="str">
        <f>VLOOKUP(CT211,_Exist_Fixture_Table,4,FALSE)</f>
        <v/>
      </c>
      <c r="FY211" s="1352">
        <f>IFERROR(VLOOKUP(FX211,Lookup!AM$6:AN$8,2,FALSE),0)</f>
        <v>0</v>
      </c>
      <c r="FZ211" s="1352" t="b">
        <f>IFERROR(IF(OR(GB211=4,GB211=5,GB211=6),TRUE,FALSE),"")</f>
        <v>0</v>
      </c>
      <c r="GA211" s="1352" t="str">
        <f>IFERROR(VLOOKUP(GB211,FY$6:FZ$10,2,FALSE),"")</f>
        <v/>
      </c>
      <c r="GB211" s="1352" t="str">
        <f>VLOOKUP(CT213,Fixtures!R$31:Y$78,8,FALSE)</f>
        <v/>
      </c>
      <c r="GC211" s="1352">
        <f>IF(AND(FW211=TRUE,FZ211=TRUE,OR(DN211=12,DN211=13,DN211=14)),FY211+8,0)</f>
        <v>0</v>
      </c>
      <c r="GD211" s="1352" t="b">
        <f>IF(OR(GC211=12,GC211=13,GC211=14),TRUE,FALSE)</f>
        <v>0</v>
      </c>
      <c r="GE211" s="759" t="b">
        <f>IF(ISNUMBER(SEARCH("TLED",U212)),TRUE,FALSE)</f>
        <v>0</v>
      </c>
      <c r="GF211" s="1035" t="str">
        <f>IFERROR(VLOOKUP(U212,Fixtures!BM$93:BR$142,6,FALSE),"")</f>
        <v/>
      </c>
      <c r="GG211" s="1385" t="b">
        <f>IF(OR(GE211=FALSE,GE213=FALSE),TRUE,IF(GF211-GF213&lt;5,FALSE,TRUE))</f>
        <v>1</v>
      </c>
      <c r="GK211" s="1034">
        <f>GL211</f>
        <v>0</v>
      </c>
      <c r="GL211" s="1034">
        <f>IF(G211="",0,1)</f>
        <v>0</v>
      </c>
      <c r="GM211" s="1034">
        <f>SUM(GN211:HB211)</f>
        <v>2</v>
      </c>
      <c r="GN211" s="1034">
        <f>IF(G212="",0,1)</f>
        <v>0</v>
      </c>
      <c r="GO211" s="1034">
        <f>IF(G213="",0,1)</f>
        <v>0</v>
      </c>
      <c r="GP211" s="1034">
        <f>IF(R212="",0,1)</f>
        <v>0</v>
      </c>
      <c r="GQ211" s="1034">
        <f>IF(__Retrofit_TI_NC=0,1,IF(R213="",0,1))</f>
        <v>1</v>
      </c>
      <c r="GR211" s="1034">
        <f>IF(CN211="Exterior",1,IF(G214="",0,1))</f>
        <v>1</v>
      </c>
      <c r="GS211" s="1034">
        <f>IF(__Retrofit_TI_NC&lt;&gt;0,1,IF(T212="",0,1))</f>
        <v>0</v>
      </c>
      <c r="GT211" s="1034">
        <f>IF(__Retrofit_TI_NC&lt;&gt;0,1,IF(U212="",0,1))</f>
        <v>0</v>
      </c>
      <c r="GU211" s="1034">
        <f>IF(T213="",0,1)</f>
        <v>0</v>
      </c>
      <c r="GV211" s="1034">
        <f>IF(U213="",0,1)</f>
        <v>0</v>
      </c>
      <c r="GW211" s="1034">
        <f>IF(__Retrofit_TI_NC=2,1,IF(U214="",0,1))</f>
        <v>0</v>
      </c>
      <c r="GX211" s="1034">
        <f>IF(__Retrofit_TI_NC&lt;&gt;0,1,IF(AE212="",0,1))</f>
        <v>0</v>
      </c>
      <c r="GY211" s="1034">
        <f>IF(__Retrofit_TI_NC&lt;&gt;0,1,IF(AF212="",0,1))</f>
        <v>0</v>
      </c>
      <c r="GZ211" s="1034">
        <f>IF(AE213="",0,1)</f>
        <v>0</v>
      </c>
      <c r="HA211" s="1034">
        <f>IF(AF213="",0,1)</f>
        <v>0</v>
      </c>
      <c r="HB211" s="1034">
        <f>IF(__Retrofit_TI_NC=2,1,IF(AF214="",0,1))</f>
        <v>0</v>
      </c>
      <c r="HV211" s="436"/>
      <c r="HW211" s="1384" t="b">
        <f>IF(OR(HW214=0,HW214=HT$16,HW214=HS$16,HW214=HU$16),TRUE,FALSE)</f>
        <v>0</v>
      </c>
      <c r="HX211" s="1377" t="b">
        <f>HW211</f>
        <v>0</v>
      </c>
      <c r="HY211" s="436"/>
      <c r="HZ211" s="436"/>
      <c r="IA211" s="1386" t="b">
        <f>IF(MAX(GJ214:HP214)&gt;5,FALSE,TRUE)</f>
        <v>0</v>
      </c>
      <c r="IB211" s="1380">
        <f>IF(IA211=TRUE,AC211,0)</f>
        <v>0</v>
      </c>
      <c r="IC211" s="1380">
        <f>IB211-IB213</f>
        <v>0</v>
      </c>
      <c r="IF211" s="1380" t="e">
        <f>ROUND(T212*VLOOKUP(U212,Fixtures_Existing_List,2,FALSE)*N212*R212/1000,0)</f>
        <v>#N/A</v>
      </c>
      <c r="IG211" s="1381" t="e">
        <f>IF211-IF213</f>
        <v>#N/A</v>
      </c>
      <c r="IH211" s="1384" t="e">
        <f>ROUND(IF(CN211="Interior",N213*R213*R212*N212*_C406_reduction/1000,N213*R213*R212*N212/1000),0)</f>
        <v>#N/A</v>
      </c>
      <c r="II211" s="1384" t="e">
        <f>IH211-IH213</f>
        <v>#N/A</v>
      </c>
      <c r="IK211" s="1351" t="e">
        <f>IF($CO211="interior",IL211/2,VLOOKUP($CP211,Control_Savings_Exterior,IK$30,FALSE))</f>
        <v>#N/A</v>
      </c>
      <c r="IL211" s="1351" t="e">
        <f>IF($CO211="interior",VLOOKUP($CP211,Control_Savings_Interior,IL$30,FALSE),VLOOKUP($CP211,Control_Savings_Exterior,IL$30,FALSE))</f>
        <v>#N/A</v>
      </c>
      <c r="IM211" s="1351" t="e">
        <f>IF($CO211="interior",IF(R212&gt;FO$37,(IM$28*(FO$37/R212)),IM$28)*FP211,VLOOKUP($CP211,Control_Savings_Exterior,IM$30,FALSE))</f>
        <v>#N/A</v>
      </c>
      <c r="IN211" s="1351" t="e">
        <f>IF($CO211="interior",ROUND(((1-IL211)*IM211)+IL211,2),VLOOKUP($CP211,Control_Savings_Exterior,IN$30,FALSE))</f>
        <v>#N/A</v>
      </c>
      <c r="IO211" s="1351" t="e">
        <f>IF($CO211="interior", ROUND(((1-IL211)*(IM211*(1-IP$28)))+IP211,2), VLOOKUP($CP211,Control_Savings_Exterior,IO$30,FALSE))</f>
        <v>#N/A</v>
      </c>
      <c r="IP211" s="1351">
        <f>IF($CO211="interior",ROUND(((1-IL211)*IP$28)+IL211,2),0)</f>
        <v>0</v>
      </c>
    </row>
    <row r="212" spans="1:250" s="82" customFormat="1" ht="14.95" customHeight="1" thickTop="1" thickBot="1">
      <c r="B212" s="1421"/>
      <c r="C212" s="1422"/>
      <c r="D212" s="1423"/>
      <c r="E212" s="1393" t="s">
        <v>244</v>
      </c>
      <c r="F212" s="1394"/>
      <c r="G212" s="1395"/>
      <c r="H212" s="1395"/>
      <c r="I212" s="1395"/>
      <c r="J212" s="1395"/>
      <c r="K212" s="1395"/>
      <c r="L212" s="1395"/>
      <c r="M212" s="509" t="e">
        <f>IF(__Retrofit_TI_NC&lt;&gt;0,IF(VLOOKUP(G213,'Space Table'!$B$3:$L$160,3,FALSE)&gt;0,1,0),IF(__Retrofit_TI_NC=VLOOKUP(G213,'Space Table'!$B$3:$L$160,3,FALSE),1,0))</f>
        <v>#N/A</v>
      </c>
      <c r="N212" s="509" t="str">
        <f>IFERROR(VLOOKUP(G212,_Lookup_Heat_Type_Table_New,2,FALSE),"")</f>
        <v/>
      </c>
      <c r="O212" s="509">
        <f>IF(__Retrofit_TI_NC=1,CONCATENATE("TI ",G212),IF(__Retrofit_TI_NC=2,CONCATENATE("NC ",G212),G212))</f>
        <v>0</v>
      </c>
      <c r="P212" s="1396" t="s">
        <v>352</v>
      </c>
      <c r="Q212" s="1396"/>
      <c r="R212" s="673"/>
      <c r="S212" s="1429"/>
      <c r="T212" s="675"/>
      <c r="U212" s="1496"/>
      <c r="V212" s="1497"/>
      <c r="W212" s="1497"/>
      <c r="X212" s="1497"/>
      <c r="Y212" s="1497"/>
      <c r="Z212" s="1497"/>
      <c r="AA212" s="1497"/>
      <c r="AB212" s="1497"/>
      <c r="AC212" s="1497"/>
      <c r="AD212" s="1498"/>
      <c r="AE212" s="675"/>
      <c r="AF212" s="1397"/>
      <c r="AG212" s="1397"/>
      <c r="AH212" s="1397"/>
      <c r="AI212" s="1397"/>
      <c r="AJ212" s="1434"/>
      <c r="AK212" s="1436"/>
      <c r="AL212" s="1438"/>
      <c r="AM212" s="1441"/>
      <c r="AN212" s="1442"/>
      <c r="AO212" s="1447"/>
      <c r="AP212" s="1447"/>
      <c r="AQ212" s="1448"/>
      <c r="AR212" s="1452"/>
      <c r="AS212" s="1455"/>
      <c r="AT212" s="1458"/>
      <c r="AU212" s="516"/>
      <c r="AV212" s="1479"/>
      <c r="AW212" s="1479"/>
      <c r="BC212" s="38"/>
      <c r="BD212" s="38"/>
      <c r="BE212" s="38"/>
      <c r="BF212" s="38"/>
      <c r="BG212" s="38"/>
      <c r="BH212" s="38"/>
      <c r="BI212" s="38"/>
      <c r="BJ212" s="38"/>
      <c r="BK212" s="38"/>
      <c r="BL212" s="38"/>
      <c r="BM212" s="38"/>
      <c r="BN212" s="38"/>
      <c r="BO212" s="38"/>
      <c r="BP212" s="38"/>
      <c r="BQ212" s="38"/>
      <c r="BR212" s="38"/>
      <c r="BS212" s="38"/>
      <c r="BT212" s="38"/>
      <c r="BU212" s="38"/>
      <c r="BV212" s="38"/>
      <c r="BW212" s="38"/>
      <c r="BX212" s="38"/>
      <c r="BY212" s="38"/>
      <c r="BZ212" s="38"/>
      <c r="CA212" s="38"/>
      <c r="CB212" s="38"/>
      <c r="CC212" s="38"/>
      <c r="CD212" s="38"/>
      <c r="CE212" s="38"/>
      <c r="CF212" s="38"/>
      <c r="CG212" s="38"/>
      <c r="CH212" s="38"/>
      <c r="CI212" s="38"/>
      <c r="CM212" s="1352"/>
      <c r="CN212" s="1352"/>
      <c r="CO212" s="1416"/>
      <c r="CP212" s="1418"/>
      <c r="CR212" s="1386"/>
      <c r="CS212" s="1355"/>
      <c r="CT212" s="1355"/>
      <c r="CU212" s="1355"/>
      <c r="CV212" s="1372"/>
      <c r="CW212" s="1372"/>
      <c r="CX212" s="1371"/>
      <c r="CY212" s="1486"/>
      <c r="CZ212" s="1486"/>
      <c r="DA212" s="1486"/>
      <c r="DC212" s="1355"/>
      <c r="DD212" s="1461"/>
      <c r="DE212" s="1355"/>
      <c r="DF212" s="1407"/>
      <c r="DG212" s="1372"/>
      <c r="DH212" s="1369"/>
      <c r="DJ212" s="1484"/>
      <c r="DL212" s="1419"/>
      <c r="DN212" s="1403"/>
      <c r="DO212" s="1405"/>
      <c r="DP212" s="1354"/>
      <c r="DQ212" s="1405"/>
      <c r="DR212" s="1403"/>
      <c r="DS212" s="1489"/>
      <c r="DU212" s="1403"/>
      <c r="DV212" s="1405"/>
      <c r="DW212" s="1403"/>
      <c r="DX212" s="1403"/>
      <c r="DZ212" s="1481"/>
      <c r="EA212" s="1481"/>
      <c r="EC212" s="1482"/>
      <c r="ED212" s="1369"/>
      <c r="EE212" s="1371"/>
      <c r="EF212" s="1369"/>
      <c r="EG212" s="1369"/>
      <c r="EH212" s="1374"/>
      <c r="EI212" s="1374"/>
      <c r="EJ212" s="1363"/>
      <c r="EK212" s="1376"/>
      <c r="EL212" s="1376"/>
      <c r="EM212" s="1362"/>
      <c r="EN212" s="1362"/>
      <c r="EO212" s="1363"/>
      <c r="EP212" s="1363"/>
      <c r="EQ212" s="1363"/>
      <c r="ES212" s="1403"/>
      <c r="EU212" s="1411"/>
      <c r="EV212" s="1411"/>
      <c r="EW212" s="1411"/>
      <c r="EX212" s="1411"/>
      <c r="EY212" s="1411"/>
      <c r="EZ212" s="1413"/>
      <c r="FB212" s="1365"/>
      <c r="FD212" s="1354"/>
      <c r="FE212" s="1354"/>
      <c r="FF212" s="138"/>
      <c r="FI212" s="1357"/>
      <c r="FJ212" s="1357"/>
      <c r="FK212" s="1365"/>
      <c r="FL212" s="1365"/>
      <c r="FM212" s="1365"/>
      <c r="FO212" s="1361"/>
      <c r="FP212" s="1361"/>
      <c r="FQ212" s="1366"/>
      <c r="FR212" s="1368"/>
      <c r="FS212" s="1361"/>
      <c r="FT212" s="1368"/>
      <c r="FU212" s="1360"/>
      <c r="FW212" s="1352"/>
      <c r="FX212" s="1352"/>
      <c r="FY212" s="1352"/>
      <c r="FZ212" s="1352"/>
      <c r="GA212" s="1352"/>
      <c r="GB212" s="1352"/>
      <c r="GC212" s="1352"/>
      <c r="GD212" s="1352"/>
      <c r="GE212" s="759"/>
      <c r="GF212" s="1035"/>
      <c r="GG212" s="1385"/>
      <c r="GI212" s="1384" t="b">
        <f>IF(AND(GL212=TRUE,GM212=TRUE),TRUE,FALSE)</f>
        <v>0</v>
      </c>
      <c r="GJ212" s="1379" t="b">
        <f>IFERROR(IF(__Retrofit_TI_NC=2,TRUE,IF(AR211="Yes",TRUE,FALSE)),FALSE)</f>
        <v>1</v>
      </c>
      <c r="GL212" s="1379" t="b">
        <f>IFERROR(IF(GL211=1,TRUE,FALSE),FALSE)</f>
        <v>0</v>
      </c>
      <c r="GM212" s="1379" t="b">
        <f>IFERROR(IF(GM211=GM$14,TRUE,FALSE),FALSE)</f>
        <v>0</v>
      </c>
      <c r="HC212" s="1379" t="b">
        <f>IFERROR(IF(M212=1,TRUE,FALSE),FALSE)</f>
        <v>0</v>
      </c>
      <c r="HD212" s="1379" t="b">
        <f>IFERROR(IF(M213=1,TRUE,FALSE),FALSE)</f>
        <v>0</v>
      </c>
      <c r="HE212" s="1379" t="b">
        <f>IFERROR(IF(__Retrofit_TI_NC&lt;&gt;0,TRUE,IFERROR(IF(VLOOKUP(U212,Fixtures_Existing_List,2,FALSE)&lt;&gt;"",TRUE,FALSE),FALSE)),FALSE)</f>
        <v>0</v>
      </c>
      <c r="HF212" s="1379" t="b">
        <f>IFERROR(IF(VLOOKUP(U213,Fixtures_Proposed_List,2,FALSE)&lt;&gt;"",TRUE,FALSE),FALSE)</f>
        <v>0</v>
      </c>
      <c r="HG212" s="1379" t="b">
        <f>IF(AND(__Retrofit_TI_NC=2,EZ211=TRUE),FALSE,TRUE)</f>
        <v>1</v>
      </c>
      <c r="HH212" s="1379" t="b">
        <f>GG211</f>
        <v>1</v>
      </c>
      <c r="HI212" s="1384" t="b">
        <f>IF(ISERROR(MATCH(FB211,_Control_Match[],0))=TRUE,FALSE,TRUE)</f>
        <v>0</v>
      </c>
      <c r="HJ212" s="1384" t="b">
        <f>IFERROR(IF(EU211&lt;&gt;EV211,FALSE,TRUE),FALSE)</f>
        <v>0</v>
      </c>
      <c r="HK212" s="1384" t="b">
        <f>IFERROR(IF(EU213&lt;&gt;EV213,FALSE,TRUE),FALSE)</f>
        <v>0</v>
      </c>
      <c r="HL212" s="1379" t="b">
        <f>IFERROR(IF(CN211="Exterior",TRUE,IF(OR(AND(FJ211=0,EW213&gt;4),AND(FJ211=4,EW213&gt;4,EW213&lt;7)),FALSE,TRUE)),FALSE)</f>
        <v>0</v>
      </c>
      <c r="HM212" s="1379" t="b">
        <f>IFERROR(IF(AND(FL213=7,EZ211=TRUE),FALSE,TRUE),FALSE)</f>
        <v>0</v>
      </c>
      <c r="HN212" s="1379" t="b">
        <f>IFERROR(IF(AND(T213&lt;&gt;AE213,AF213="Interior LLLC")=TRUE,FALSE,TRUE),FALSE)</f>
        <v>1</v>
      </c>
      <c r="HO212" s="1379" t="b">
        <f>IFERROR(IF(OR(AF213=Lookup!AU$13,AF213=Lookup!AU$14)=TRUE,IF(AE213&gt;T213,FALSE,TRUE),TRUE),FALSE)</f>
        <v>1</v>
      </c>
      <c r="HP212" s="1379" t="b">
        <f>IFERROR(IF(__Retrofit_TI_NC=2,IF(EW213&lt;EW211,FALSE,TRUE),TRUE),FALSE)</f>
        <v>1</v>
      </c>
      <c r="HQ212" s="1379" t="b">
        <f>IF(CN211="Interior",IG$6,TRUE)</f>
        <v>1</v>
      </c>
      <c r="HR212" s="1379" t="b">
        <f>IF(CN211="Exterior",IG$8,TRUE)</f>
        <v>1</v>
      </c>
      <c r="HS212" s="1379" t="b">
        <f>IFERROR(IF(__Retrofit_TI_NC&lt;&gt;0,IF(AW211&lt;AV211,FALSE,TRUE),TRUE),FALSE)</f>
        <v>1</v>
      </c>
      <c r="HT212" s="1379" t="b">
        <f>IFERROR(IF(AND(G212="Exterior",R212&gt;4200),FALSE,TRUE),FALSE)</f>
        <v>1</v>
      </c>
      <c r="HU212" s="1379" t="b">
        <f>IFERROR(IF(AB214/AB211&lt;HU$18,FALSE,TRUE),FALSE)</f>
        <v>0</v>
      </c>
      <c r="HW212" s="1382"/>
      <c r="HX212" s="1378"/>
      <c r="HY212" s="1377" t="str">
        <f>VLOOKUP(HW214,_Error_Table,4,FALSE)</f>
        <v>White</v>
      </c>
      <c r="HZ212" s="436"/>
      <c r="IA212" s="1386"/>
      <c r="IB212" s="1380"/>
      <c r="IC212" s="1379"/>
      <c r="IF212" s="1380"/>
      <c r="IG212" s="1382"/>
      <c r="IH212" s="1382"/>
      <c r="II212" s="1382"/>
      <c r="IK212" s="1351"/>
      <c r="IL212" s="1351"/>
      <c r="IM212" s="1351"/>
      <c r="IN212" s="1351"/>
      <c r="IO212" s="1351"/>
      <c r="IP212" s="1351"/>
    </row>
    <row r="213" spans="1:250" s="82" customFormat="1" ht="14.95" customHeight="1" thickTop="1" thickBot="1">
      <c r="A213" s="82">
        <f>ROW()</f>
        <v>213</v>
      </c>
      <c r="B213" s="1421"/>
      <c r="C213" s="1422"/>
      <c r="D213" s="1423"/>
      <c r="E213" s="1393" t="s">
        <v>245</v>
      </c>
      <c r="F213" s="1394"/>
      <c r="G213" s="1398"/>
      <c r="H213" s="1399"/>
      <c r="I213" s="1399"/>
      <c r="J213" s="1399"/>
      <c r="K213" s="1399"/>
      <c r="L213" s="1400"/>
      <c r="M213" s="509">
        <f>IFERROR(IF(IF(__Retrofit_TI_NC&lt;&gt;0,IF(CN211="Interior",MATCH(G213,Lookup_Interior_New,0),MATCH(G213,Lookup_Exterior_New,0)),IF(CN211="Interior",MATCH(G213,Lookup_Interior,0),MATCH(G213,Lookup_Exterior_Areas,0)))&gt;0,1,0),0)</f>
        <v>0</v>
      </c>
      <c r="N213" s="509" t="e">
        <f>IF(__Retrofit_TI_NC=1,
VLOOKUP(G213,'Space Table'!$B$3:$L$160,4,FALSE),
IF(__Retrofit_TI_NC=2,VLOOKUP(G213,'Space Table'!$B$3:$L$160,5,FALSE),VLOOKUP(G213,'Space Table'!$B$3:$L$160,5,FALSE)))</f>
        <v>#N/A</v>
      </c>
      <c r="O213" s="509">
        <f>G213</f>
        <v>0</v>
      </c>
      <c r="P213" s="1394" t="s">
        <v>355</v>
      </c>
      <c r="Q213" s="1394"/>
      <c r="R213" s="674"/>
      <c r="S213" s="1401" t="s">
        <v>284</v>
      </c>
      <c r="T213" s="672"/>
      <c r="U213" s="1499"/>
      <c r="V213" s="1500"/>
      <c r="W213" s="1500"/>
      <c r="X213" s="1500"/>
      <c r="Y213" s="1500"/>
      <c r="Z213" s="1500"/>
      <c r="AA213" s="1500"/>
      <c r="AB213" s="1501"/>
      <c r="AC213" s="1501"/>
      <c r="AD213" s="1502"/>
      <c r="AE213" s="672"/>
      <c r="AF213" s="1474"/>
      <c r="AG213" s="1474"/>
      <c r="AH213" s="1474"/>
      <c r="AI213" s="1474"/>
      <c r="AJ213" s="1475">
        <f>DF213</f>
        <v>0</v>
      </c>
      <c r="AK213" s="1470" t="str">
        <f>IFERROR(ROUND(AJ213*AC214,0),"")</f>
        <v/>
      </c>
      <c r="AL213" s="1472">
        <f>IFERROR(IF(HW211=FALSE,0,AC214-AK213),0)</f>
        <v>0</v>
      </c>
      <c r="AM213" s="1441"/>
      <c r="AN213" s="1442"/>
      <c r="AO213" s="1447"/>
      <c r="AP213" s="1447"/>
      <c r="AQ213" s="1448"/>
      <c r="AR213" s="1452"/>
      <c r="AS213" s="1455"/>
      <c r="AT213" s="1458"/>
      <c r="AU213" s="516"/>
      <c r="AV213" s="1479"/>
      <c r="AW213" s="1479"/>
      <c r="BC213" s="38"/>
      <c r="BD213" s="38"/>
      <c r="BE213" s="38"/>
      <c r="BF213" s="38"/>
      <c r="BG213" s="38"/>
      <c r="BH213" s="38"/>
      <c r="BI213" s="38"/>
      <c r="BJ213" s="38"/>
      <c r="BK213" s="38"/>
      <c r="BL213" s="38"/>
      <c r="BM213" s="38"/>
      <c r="BN213" s="38"/>
      <c r="BO213" s="38"/>
      <c r="BP213" s="38"/>
      <c r="BQ213" s="38"/>
      <c r="BR213" s="38"/>
      <c r="BS213" s="38"/>
      <c r="BT213" s="38"/>
      <c r="BU213" s="38"/>
      <c r="BV213" s="38"/>
      <c r="BW213" s="38"/>
      <c r="BX213" s="38"/>
      <c r="BY213" s="38"/>
      <c r="BZ213" s="38"/>
      <c r="CA213" s="38"/>
      <c r="CB213" s="38"/>
      <c r="CC213" s="38"/>
      <c r="CD213" s="38"/>
      <c r="CE213" s="38"/>
      <c r="CF213" s="38"/>
      <c r="CG213" s="38"/>
      <c r="CH213" s="38"/>
      <c r="CI213" s="38"/>
      <c r="CM213" s="1352"/>
      <c r="CN213" s="1352"/>
      <c r="CO213" s="1415" t="str">
        <f>CN211</f>
        <v/>
      </c>
      <c r="CP213" s="1417" t="e">
        <f>CP211</f>
        <v>#N/A</v>
      </c>
      <c r="CR213" s="1386" t="s">
        <v>284</v>
      </c>
      <c r="CS213" s="1353">
        <f>IF(HW211=TRUE,T213,0)</f>
        <v>0</v>
      </c>
      <c r="CT213" s="1353" t="str">
        <f>IF(HW211=TRUE,U213,"")</f>
        <v/>
      </c>
      <c r="CU213" s="1373">
        <f>IF(HW211=TRUE,U214,0)</f>
        <v>0</v>
      </c>
      <c r="CV213" s="1370">
        <f>IF(HW211=TRUE,AB214,0)</f>
        <v>0</v>
      </c>
      <c r="CW213" s="1370">
        <f>IF(HW211=TRUE,AC214,0)</f>
        <v>0</v>
      </c>
      <c r="CX213" s="1371"/>
      <c r="CY213" s="1486"/>
      <c r="CZ213" s="1486"/>
      <c r="DA213" s="1486"/>
      <c r="DC213" s="1353">
        <f>IF(HW211=TRUE,AE213,0)</f>
        <v>0</v>
      </c>
      <c r="DD213" s="1353" t="str">
        <f>IF(HW211=TRUE,AF213,"")</f>
        <v/>
      </c>
      <c r="DE213" s="1373">
        <f>AF214</f>
        <v>0</v>
      </c>
      <c r="DF213" s="1406">
        <f>IFERROR(IF(FL213=3,IK213,IF(FL213=4,IL213,IF(FL213=5,IM213,IF(FL213=6,IN213,IF(FL213=7,IO213,IF(FL213=8,IP213,0)))))),0)</f>
        <v>0</v>
      </c>
      <c r="DG213" s="1370">
        <f>IF(HW211=TRUE,AK213,0)</f>
        <v>0</v>
      </c>
      <c r="DH213" s="1369"/>
      <c r="DK213" s="1483">
        <f>IFERROR(CW213-DG213,0)</f>
        <v>0</v>
      </c>
      <c r="DL213" s="1420"/>
      <c r="DN213" s="1403"/>
      <c r="DO213" s="1477" t="str">
        <f>DN211</f>
        <v/>
      </c>
      <c r="DP213" s="1354"/>
      <c r="DQ213" s="1477" t="str">
        <f>IF(DP211=7,"LLLC","")</f>
        <v/>
      </c>
      <c r="DR213" s="1403"/>
      <c r="DS213" s="1489"/>
      <c r="DU213" s="1403"/>
      <c r="DV213" s="1404" t="str">
        <f>DU211</f>
        <v/>
      </c>
      <c r="DW213" s="1403"/>
      <c r="DX213" s="1403"/>
      <c r="DZ213" s="1481"/>
      <c r="EA213" s="1481"/>
      <c r="EC213" s="1482"/>
      <c r="ED213" s="1369"/>
      <c r="EE213" s="1371"/>
      <c r="EF213" s="1369"/>
      <c r="EG213" s="1369"/>
      <c r="EH213" s="1374"/>
      <c r="EI213" s="1374"/>
      <c r="EJ213" s="1363"/>
      <c r="EK213" s="1376"/>
      <c r="EL213" s="1376"/>
      <c r="EM213" s="1362"/>
      <c r="EN213" s="1362"/>
      <c r="EO213" s="1363"/>
      <c r="EP213" s="1363"/>
      <c r="EQ213" s="1363"/>
      <c r="ES213" s="1403"/>
      <c r="EU213" s="1411" t="e">
        <f>VLOOKUP(CP213,'Space Table'!$B$3:$L$160,8,FALSE)</f>
        <v>#N/A</v>
      </c>
      <c r="EV213" s="1411" t="e">
        <f>IF(EY213="Yes",VLOOKUP(AF213,Lookup_Control_Type_Table2,4,FALSE),VLOOKUP(AF213,Lookup_Control_Type_Table2,3,FALSE))</f>
        <v>#N/A</v>
      </c>
      <c r="EW213" s="1411" t="e">
        <f>VLOOKUP(AF213,Lookup!AU$3:AV$15,2,FALSE)</f>
        <v>#N/A</v>
      </c>
      <c r="EX213" s="1411" t="e">
        <f>VLOOKUP(EU211,Lookup_Control_Type_Table,2,FALSE)</f>
        <v>#N/A</v>
      </c>
      <c r="EY213" s="1411" t="e">
        <f>VLOOKUP(CP213,'Space Table'!$B$3:$L$160,7,FALSE)</f>
        <v>#N/A</v>
      </c>
      <c r="EZ213" s="1413"/>
      <c r="FB213" s="1365" t="str">
        <f>CONCATENATE(CN211," - ",AF213)</f>
        <v xml:space="preserve"> - </v>
      </c>
      <c r="FD213" s="1354"/>
      <c r="FE213" s="1354"/>
      <c r="FF213" s="138"/>
      <c r="FI213" s="1356" t="str">
        <f>IF(CN211="Exterior","Not Daylighted",G214)</f>
        <v>Not Daylighted</v>
      </c>
      <c r="FJ213" s="1356">
        <f>VLOOKUP(FI213,_Daylight_Table_Codes,2,FALSE)</f>
        <v>0</v>
      </c>
      <c r="FK213" s="1365">
        <f>AF213</f>
        <v>0</v>
      </c>
      <c r="FL213" s="1365" t="e">
        <f>VLOOKUP(FK213,_Control_Table,2,FALSE)</f>
        <v>#N/A</v>
      </c>
      <c r="FM213" s="1365" t="e">
        <f>IF(AND(FP213&gt;0,FK213="Occupancy Sensor"),"Daylight + Occupancy",IF(AND(FP213&gt;0,FL213&lt;4),"Interior Daylight Dimming",FK213))</f>
        <v>#N/A</v>
      </c>
      <c r="FO213" s="1364">
        <f>IF(CN211="Interior",VLOOKUP(CP211,Control_Savings_Interior,5,FALSE),0)</f>
        <v>0</v>
      </c>
      <c r="FP213" s="1361">
        <f>IF(CN213="Exterior",0,IF(FJ213=2,0.5,IF(OR(FJ213=1,FJ213=3),1,0)))</f>
        <v>0</v>
      </c>
      <c r="FQ213" s="1366">
        <f>IF(R212&gt;FO$37,(FO213*(FO$37/R212)),FO213)*FP213</f>
        <v>0</v>
      </c>
      <c r="FR213" s="1364">
        <f>DF213</f>
        <v>0</v>
      </c>
      <c r="FS213" s="1364">
        <f>ROUND(FR213+((1-FR213)*FQ213),2)</f>
        <v>0</v>
      </c>
      <c r="FT213" s="1364">
        <f>IF(__Retrofit_TI_NC=2,FS213,FR213)</f>
        <v>0</v>
      </c>
      <c r="FU213" s="1360">
        <f>IF(CO213="Interior",VLOOKUP(CP213,Control_Savings_Interior,4,FALSE),0)</f>
        <v>0</v>
      </c>
      <c r="FW213" s="1352"/>
      <c r="FX213" s="1352"/>
      <c r="FY213" s="1352"/>
      <c r="FZ213" s="1352"/>
      <c r="GA213" s="1352"/>
      <c r="GB213" s="1352"/>
      <c r="GC213" s="1352"/>
      <c r="GD213" s="1352"/>
      <c r="GE213" s="759" t="b">
        <f>IF(ISNUMBER(SEARCH("TLED",U213)),TRUE,FALSE)</f>
        <v>0</v>
      </c>
      <c r="GF213" s="1035" t="str">
        <f>IFERROR(VLOOKUP(U213,Fixtures!DM$93:DR$142,6,FALSE),"")</f>
        <v/>
      </c>
      <c r="GG213" s="1385"/>
      <c r="GI213" s="1383"/>
      <c r="GJ213" s="1379"/>
      <c r="GL213" s="1379"/>
      <c r="GM213" s="1379"/>
      <c r="HC213" s="1379"/>
      <c r="HD213" s="1379"/>
      <c r="HE213" s="1379"/>
      <c r="HF213" s="1379"/>
      <c r="HG213" s="1379"/>
      <c r="HH213" s="1379"/>
      <c r="HI213" s="1383"/>
      <c r="HJ213" s="1383"/>
      <c r="HK213" s="1383"/>
      <c r="HL213" s="1379"/>
      <c r="HM213" s="1379"/>
      <c r="HN213" s="1379"/>
      <c r="HO213" s="1379"/>
      <c r="HP213" s="1379"/>
      <c r="HQ213" s="1379"/>
      <c r="HR213" s="1379"/>
      <c r="HS213" s="1379"/>
      <c r="HT213" s="1379"/>
      <c r="HU213" s="1379"/>
      <c r="HW213" s="1383"/>
      <c r="HX213" s="1384" t="b">
        <f>HW211</f>
        <v>0</v>
      </c>
      <c r="HY213" s="1378"/>
      <c r="HZ213" s="436"/>
      <c r="IA213" s="1386"/>
      <c r="IB213" s="1380">
        <f>IF(IA211=TRUE,AC214,0)</f>
        <v>0</v>
      </c>
      <c r="IC213" s="1379"/>
      <c r="IF213" s="1380" t="e">
        <f>ROUND(T213*AB214*N212*R212/1000,0)</f>
        <v>#VALUE!</v>
      </c>
      <c r="IG213" s="1382"/>
      <c r="IH213" s="1384" t="e">
        <f>ROUND(T213*AB214*N212*R212/1000,0)</f>
        <v>#VALUE!</v>
      </c>
      <c r="II213" s="1382"/>
      <c r="IK213" s="1351" t="e">
        <f>IF($CO213="interior",IL213/2,VLOOKUP($CP213,Control_Savings_Exterior,IK$30,FALSE))</f>
        <v>#N/A</v>
      </c>
      <c r="IL213" s="1351" t="e">
        <f>IF($CO213="interior",VLOOKUP($CP213,Control_Savings_Interior,IL$30,FALSE),VLOOKUP($CP213,Control_Savings_Exterior,IL$30,FALSE))</f>
        <v>#N/A</v>
      </c>
      <c r="IM213" s="1351" t="e">
        <f>IF($CO213="interior",IF(R212&gt;FO$37,(IM$28*(FO$37/R212)),IM$28)*FP213,VLOOKUP($CP213,Control_Savings_Exterior,IM$30,FALSE))</f>
        <v>#N/A</v>
      </c>
      <c r="IN213" s="1351" t="e">
        <f>IF($CO213="interior",ROUND(((1-IL213)*IM213)+IL213,2),VLOOKUP($CP213,Control_Savings_Exterior,IN$30,FALSE))</f>
        <v>#N/A</v>
      </c>
      <c r="IO213" s="1351" t="e">
        <f>IF($CO213="interior", ROUND(((1-IL213)*(IM213*(1-IP$28)))+IP213,2), VLOOKUP($CP213,Control_Savings_Exterior,IO$30,FALSE))</f>
        <v>#N/A</v>
      </c>
      <c r="IP213" s="1351">
        <f>IF($CO213="interior",ROUND(((1-IL213)*IP$28)+IL213,2),0)</f>
        <v>0</v>
      </c>
    </row>
    <row r="214" spans="1:250" s="82" customFormat="1" ht="14.95" customHeight="1" thickTop="1" thickBot="1">
      <c r="B214" s="1421"/>
      <c r="C214" s="1422"/>
      <c r="D214" s="1423"/>
      <c r="E214" s="1462" t="s">
        <v>357</v>
      </c>
      <c r="F214" s="1463"/>
      <c r="G214" s="1464" t="s">
        <v>362</v>
      </c>
      <c r="H214" s="1465"/>
      <c r="I214" s="1465"/>
      <c r="J214" s="1465"/>
      <c r="K214" s="1465"/>
      <c r="L214" s="1466"/>
      <c r="M214" s="669">
        <f>IFERROR(VLOOKUP(G214,_Daylight_Table[],2,FALSE),0)</f>
        <v>0</v>
      </c>
      <c r="N214" s="670"/>
      <c r="O214" s="669" t="e">
        <f>VLOOKUP(G213,'Space Table'!$B$3:$L$160,11,FALSE)</f>
        <v>#N/A</v>
      </c>
      <c r="P214" s="1408"/>
      <c r="Q214" s="1409"/>
      <c r="R214" s="1409"/>
      <c r="S214" s="1402"/>
      <c r="T214" s="671" t="s">
        <v>281</v>
      </c>
      <c r="U214" s="1467" t="str">
        <f>IFERROR(VLOOKUP(U213,Fixtures!DM$93:DP$142,4,FALSE),"")</f>
        <v/>
      </c>
      <c r="V214" s="1468"/>
      <c r="W214" s="1468"/>
      <c r="X214" s="1468"/>
      <c r="Y214" s="1468"/>
      <c r="Z214" s="1468"/>
      <c r="AA214" s="1468"/>
      <c r="AB214" s="1046" t="str">
        <f>IFERROR(VLOOKUP(U213,Fixtures_Proposed_List,2,FALSE),"")</f>
        <v/>
      </c>
      <c r="AC214" s="1036" t="str">
        <f>IFERROR(ROUND(T213*AB214*N212*R212/1000,0),"")</f>
        <v/>
      </c>
      <c r="AD214" s="1037" t="str">
        <f>IFERROR(ROUND(T213*AB214/1000,2),"")</f>
        <v/>
      </c>
      <c r="AE214" s="1045" t="s">
        <v>281</v>
      </c>
      <c r="AF214" s="1469"/>
      <c r="AG214" s="1469"/>
      <c r="AH214" s="1469"/>
      <c r="AI214" s="1469"/>
      <c r="AJ214" s="1476"/>
      <c r="AK214" s="1471"/>
      <c r="AL214" s="1473"/>
      <c r="AM214" s="1443"/>
      <c r="AN214" s="1444"/>
      <c r="AO214" s="1449"/>
      <c r="AP214" s="1449"/>
      <c r="AQ214" s="1450"/>
      <c r="AR214" s="1453"/>
      <c r="AS214" s="1456"/>
      <c r="AT214" s="1459"/>
      <c r="AU214" s="517"/>
      <c r="AV214" s="1480"/>
      <c r="AW214" s="1480"/>
      <c r="BC214" s="38"/>
      <c r="BD214" s="38"/>
      <c r="BE214" s="38"/>
      <c r="BF214" s="38"/>
      <c r="BG214" s="38"/>
      <c r="BH214" s="38"/>
      <c r="BI214" s="38"/>
      <c r="BJ214" s="38"/>
      <c r="BK214" s="38"/>
      <c r="BL214" s="38"/>
      <c r="BM214" s="38"/>
      <c r="BN214" s="38"/>
      <c r="BO214" s="38"/>
      <c r="BP214" s="38"/>
      <c r="BQ214" s="38"/>
      <c r="BR214" s="38"/>
      <c r="BS214" s="38"/>
      <c r="BT214" s="38"/>
      <c r="BU214" s="38"/>
      <c r="BV214" s="38"/>
      <c r="BW214" s="38"/>
      <c r="BX214" s="38"/>
      <c r="BY214" s="38"/>
      <c r="BZ214" s="38"/>
      <c r="CA214" s="38"/>
      <c r="CB214" s="38"/>
      <c r="CC214" s="38"/>
      <c r="CD214" s="38"/>
      <c r="CE214" s="38"/>
      <c r="CF214" s="38"/>
      <c r="CG214" s="38"/>
      <c r="CH214" s="38"/>
      <c r="CI214" s="38"/>
      <c r="CM214" s="1352"/>
      <c r="CN214" s="1352"/>
      <c r="CO214" s="1416"/>
      <c r="CP214" s="1418"/>
      <c r="CR214" s="1386"/>
      <c r="CS214" s="1355"/>
      <c r="CT214" s="1355"/>
      <c r="CU214" s="1375"/>
      <c r="CV214" s="1372"/>
      <c r="CW214" s="1372"/>
      <c r="CX214" s="1372"/>
      <c r="CY214" s="1487"/>
      <c r="CZ214" s="1487"/>
      <c r="DA214" s="1487"/>
      <c r="DC214" s="1355"/>
      <c r="DD214" s="1355"/>
      <c r="DE214" s="1375"/>
      <c r="DF214" s="1407"/>
      <c r="DG214" s="1372"/>
      <c r="DH214" s="1369"/>
      <c r="DK214" s="1484"/>
      <c r="DL214" s="1420"/>
      <c r="DN214" s="1403"/>
      <c r="DO214" s="1405"/>
      <c r="DP214" s="1355"/>
      <c r="DQ214" s="1405"/>
      <c r="DR214" s="1403"/>
      <c r="DS214" s="1489"/>
      <c r="DU214" s="1403"/>
      <c r="DV214" s="1405"/>
      <c r="DW214" s="1403"/>
      <c r="DX214" s="1403"/>
      <c r="DZ214" s="1481"/>
      <c r="EA214" s="1481"/>
      <c r="EC214" s="1482"/>
      <c r="ED214" s="1369"/>
      <c r="EE214" s="1372"/>
      <c r="EF214" s="1369"/>
      <c r="EG214" s="1369"/>
      <c r="EH214" s="1375"/>
      <c r="EI214" s="1375"/>
      <c r="EJ214" s="1363"/>
      <c r="EK214" s="1376"/>
      <c r="EL214" s="1376"/>
      <c r="EM214" s="1362"/>
      <c r="EN214" s="1362"/>
      <c r="EO214" s="1363"/>
      <c r="EP214" s="1363"/>
      <c r="EQ214" s="1363"/>
      <c r="ES214" s="1403"/>
      <c r="EU214" s="1488"/>
      <c r="EV214" s="1488"/>
      <c r="EW214" s="1488"/>
      <c r="EX214" s="1488"/>
      <c r="EY214" s="1488"/>
      <c r="EZ214" s="1414"/>
      <c r="FB214" s="1365"/>
      <c r="FD214" s="1355"/>
      <c r="FE214" s="1355"/>
      <c r="FF214" s="138"/>
      <c r="FI214" s="1357"/>
      <c r="FJ214" s="1357"/>
      <c r="FK214" s="1365"/>
      <c r="FL214" s="1365"/>
      <c r="FM214" s="1365"/>
      <c r="FO214" s="1361"/>
      <c r="FP214" s="1361"/>
      <c r="FQ214" s="1366"/>
      <c r="FR214" s="1361"/>
      <c r="FS214" s="1361"/>
      <c r="FT214" s="1361"/>
      <c r="FU214" s="1360"/>
      <c r="FW214" s="1352"/>
      <c r="FX214" s="1352"/>
      <c r="FY214" s="1352"/>
      <c r="FZ214" s="1352"/>
      <c r="GA214" s="1352"/>
      <c r="GB214" s="1352"/>
      <c r="GC214" s="1352"/>
      <c r="GD214" s="1352"/>
      <c r="GE214" s="759"/>
      <c r="GF214" s="1035"/>
      <c r="GG214" s="1385"/>
      <c r="GJ214" s="1034">
        <f>IF(GJ212=TRUE,0,GJ$16)</f>
        <v>0</v>
      </c>
      <c r="GL214" s="1034">
        <f>IF(GL212=TRUE,0,GL$16)</f>
        <v>36</v>
      </c>
      <c r="GM214" s="1034">
        <f>IF(GM212=TRUE,0,GM$16)</f>
        <v>35</v>
      </c>
      <c r="GN214" s="436"/>
      <c r="GO214" s="436"/>
      <c r="GP214" s="436"/>
      <c r="GQ214" s="436"/>
      <c r="GR214" s="436"/>
      <c r="HC214" s="1034">
        <f t="shared" ref="HC214:HH214" si="146">IF(HC212=TRUE,0,HC$16)</f>
        <v>19</v>
      </c>
      <c r="HD214" s="1034">
        <f t="shared" si="146"/>
        <v>18</v>
      </c>
      <c r="HE214" s="1034">
        <f t="shared" si="146"/>
        <v>17</v>
      </c>
      <c r="HF214" s="1034">
        <f t="shared" si="146"/>
        <v>16</v>
      </c>
      <c r="HG214" s="1034">
        <f t="shared" si="146"/>
        <v>0</v>
      </c>
      <c r="HH214" s="1034">
        <f t="shared" si="146"/>
        <v>0</v>
      </c>
      <c r="HI214" s="1034">
        <f>IF(HI212=TRUE,0,HI$16)</f>
        <v>13</v>
      </c>
      <c r="HJ214" s="1034">
        <f t="shared" ref="HJ214:HL214" si="147">IF(HJ212=TRUE,0,HJ$16)</f>
        <v>12</v>
      </c>
      <c r="HK214" s="1034">
        <f t="shared" si="147"/>
        <v>11</v>
      </c>
      <c r="HL214" s="1034">
        <f t="shared" si="147"/>
        <v>10</v>
      </c>
      <c r="HM214" s="1034">
        <f>IF(HM212=TRUE,0,HM$16)</f>
        <v>9</v>
      </c>
      <c r="HN214" s="1034">
        <f t="shared" ref="HN214:HR214" si="148">IF(HN212=TRUE,0,HN$16)</f>
        <v>0</v>
      </c>
      <c r="HO214" s="1034">
        <f t="shared" si="148"/>
        <v>0</v>
      </c>
      <c r="HP214" s="1034">
        <f t="shared" si="148"/>
        <v>0</v>
      </c>
      <c r="HQ214" s="1034">
        <f t="shared" si="148"/>
        <v>0</v>
      </c>
      <c r="HR214" s="1034">
        <f t="shared" si="148"/>
        <v>0</v>
      </c>
      <c r="HS214" s="1034">
        <f>IF(HS212=TRUE,0,HS$16)</f>
        <v>0</v>
      </c>
      <c r="HT214" s="1034">
        <f t="shared" ref="HT214" si="149">IF(HT212=TRUE,0,HT$16)</f>
        <v>0</v>
      </c>
      <c r="HU214" s="1034">
        <f>IF(HU212=TRUE,0,HU$16)</f>
        <v>1</v>
      </c>
      <c r="HW214" s="1034">
        <f>IF(GL212=FALSE,GL214,IF(GM212=FALSE,GM214,MAX(GJ214:HU214)))</f>
        <v>36</v>
      </c>
      <c r="HX214" s="1383"/>
      <c r="HY214" s="241" t="str">
        <f>VLOOKUP(HW214,_Error_Table,3,FALSE)</f>
        <v xml:space="preserve"> </v>
      </c>
      <c r="HZ214" s="241"/>
      <c r="IA214" s="1386"/>
      <c r="IB214" s="1380"/>
      <c r="IC214" s="1379"/>
      <c r="IF214" s="1380"/>
      <c r="IG214" s="1383"/>
      <c r="IH214" s="1383"/>
      <c r="II214" s="1383"/>
      <c r="IK214" s="1351"/>
      <c r="IL214" s="1351"/>
      <c r="IM214" s="1351"/>
      <c r="IN214" s="1351"/>
      <c r="IO214" s="1351"/>
      <c r="IP214" s="1351"/>
    </row>
    <row r="215" spans="1:250" s="82" customFormat="1" ht="5.0999999999999996" customHeight="1" thickBot="1">
      <c r="B215" s="763"/>
      <c r="C215" s="1038"/>
      <c r="D215" s="1038"/>
      <c r="E215" s="1490"/>
      <c r="F215" s="1490"/>
      <c r="G215" s="1490"/>
      <c r="H215" s="1490"/>
      <c r="I215" s="1490"/>
      <c r="J215" s="1490"/>
      <c r="K215" s="1490"/>
      <c r="L215" s="1490"/>
      <c r="M215" s="1490"/>
      <c r="N215" s="1490"/>
      <c r="O215" s="1490"/>
      <c r="P215" s="1490"/>
      <c r="Q215" s="1490"/>
      <c r="R215" s="1490"/>
      <c r="S215" s="1490"/>
      <c r="T215" s="1490"/>
      <c r="U215" s="1490"/>
      <c r="V215" s="1490"/>
      <c r="W215" s="1490"/>
      <c r="X215" s="1490"/>
      <c r="Y215" s="1490"/>
      <c r="Z215" s="1490"/>
      <c r="AA215" s="1490"/>
      <c r="AB215" s="1490"/>
      <c r="AC215" s="1490"/>
      <c r="AD215" s="1490"/>
      <c r="AE215" s="1490"/>
      <c r="AF215" s="1490"/>
      <c r="AG215" s="1490"/>
      <c r="AH215" s="1490"/>
      <c r="AI215" s="1490"/>
      <c r="AJ215" s="1490"/>
      <c r="AK215" s="1490"/>
      <c r="AL215" s="1490"/>
      <c r="AM215" s="1490"/>
      <c r="AN215" s="1490"/>
      <c r="AO215" s="1490"/>
      <c r="AP215" s="1490"/>
      <c r="AQ215" s="1490"/>
      <c r="AR215" s="1490"/>
      <c r="AS215" s="1490"/>
      <c r="AT215" s="1490"/>
      <c r="AU215" s="1041"/>
      <c r="BC215" s="38"/>
      <c r="BD215" s="38"/>
      <c r="BE215" s="38"/>
      <c r="BF215" s="38"/>
      <c r="BG215" s="38"/>
      <c r="BH215" s="38"/>
      <c r="BI215" s="38"/>
      <c r="BJ215" s="38"/>
      <c r="BK215" s="38"/>
      <c r="BL215" s="38"/>
      <c r="BM215" s="38"/>
      <c r="BN215" s="38"/>
      <c r="BO215" s="38"/>
      <c r="BP215" s="38"/>
      <c r="BQ215" s="38"/>
      <c r="BR215" s="38"/>
      <c r="BS215" s="38"/>
      <c r="BT215" s="38"/>
      <c r="BU215" s="38"/>
      <c r="BV215" s="38"/>
      <c r="BW215" s="38"/>
      <c r="BX215" s="38"/>
      <c r="BY215" s="38"/>
      <c r="BZ215" s="38"/>
      <c r="CA215" s="38"/>
      <c r="CB215" s="38"/>
      <c r="CC215" s="38"/>
      <c r="CD215" s="38"/>
      <c r="CE215" s="38"/>
      <c r="CF215" s="38"/>
      <c r="CG215" s="38"/>
      <c r="CH215" s="38"/>
      <c r="CI215" s="38"/>
      <c r="CM215" s="749"/>
      <c r="CN215" s="749"/>
      <c r="CO215" s="1043"/>
      <c r="CP215" s="749"/>
      <c r="CS215" s="436"/>
      <c r="CT215" s="436"/>
      <c r="CU215" s="243"/>
      <c r="CV215" s="244"/>
      <c r="CW215" s="244"/>
      <c r="CX215" s="244"/>
      <c r="CY215" s="245"/>
      <c r="CZ215" s="245"/>
      <c r="DA215" s="245"/>
      <c r="DC215" s="750"/>
      <c r="DD215" s="751"/>
      <c r="DE215" s="752"/>
      <c r="DF215" s="753"/>
      <c r="DG215" s="754"/>
      <c r="DH215" s="754"/>
      <c r="DK215" s="244"/>
      <c r="DL215" s="750"/>
      <c r="DN215" s="750"/>
      <c r="DO215" s="755"/>
      <c r="DP215" s="436"/>
      <c r="DQ215" s="750"/>
      <c r="DR215" s="750"/>
      <c r="DS215" s="750"/>
      <c r="DU215" s="750"/>
      <c r="DV215" s="750"/>
      <c r="DW215" s="750"/>
      <c r="DX215" s="750"/>
      <c r="DZ215" s="756"/>
      <c r="EA215" s="756"/>
      <c r="EC215" s="754"/>
      <c r="ED215" s="754"/>
      <c r="EE215" s="244"/>
      <c r="EF215" s="754"/>
      <c r="EG215" s="754"/>
      <c r="EH215" s="243"/>
      <c r="EI215" s="243"/>
      <c r="EJ215" s="752"/>
      <c r="EK215" s="757"/>
      <c r="EL215" s="757"/>
      <c r="EM215" s="758"/>
      <c r="EN215" s="758"/>
      <c r="EO215" s="752"/>
      <c r="EP215" s="752"/>
      <c r="EQ215" s="752"/>
      <c r="ES215" s="750"/>
      <c r="EU215" s="436"/>
      <c r="EV215" s="436"/>
      <c r="EW215" s="436"/>
      <c r="EX215" s="436"/>
      <c r="EY215" s="436"/>
      <c r="EZ215" s="436"/>
      <c r="FB215" s="643"/>
      <c r="FD215" s="436"/>
      <c r="FE215" s="436"/>
      <c r="FF215" s="436"/>
      <c r="FO215" s="750"/>
      <c r="FP215" s="436"/>
      <c r="FQ215" s="436"/>
      <c r="FR215" s="750"/>
      <c r="FS215" s="750"/>
      <c r="FW215" s="749"/>
      <c r="FX215" s="749"/>
      <c r="FY215" s="749"/>
      <c r="FZ215" s="749"/>
      <c r="GA215" s="749"/>
      <c r="GB215" s="749"/>
      <c r="GC215" s="749"/>
      <c r="GD215" s="749"/>
      <c r="GE215" s="751"/>
      <c r="GF215" s="750"/>
      <c r="GG215" s="750"/>
    </row>
    <row r="216" spans="1:250" s="82" customFormat="1" ht="14.95" customHeight="1" thickTop="1" thickBot="1">
      <c r="B216" s="1421" t="str">
        <f>HY219</f>
        <v xml:space="preserve"> </v>
      </c>
      <c r="C216" s="1422">
        <f>C211+1</f>
        <v>35</v>
      </c>
      <c r="D216" s="1423"/>
      <c r="E216" s="1424" t="s">
        <v>242</v>
      </c>
      <c r="F216" s="1425"/>
      <c r="G216" s="1426"/>
      <c r="H216" s="1427"/>
      <c r="I216" s="1427"/>
      <c r="J216" s="1427"/>
      <c r="K216" s="1427"/>
      <c r="L216" s="1427"/>
      <c r="M216" s="1427"/>
      <c r="N216" s="1427"/>
      <c r="O216" s="1427"/>
      <c r="P216" s="1427"/>
      <c r="Q216" s="1427"/>
      <c r="R216" s="1427"/>
      <c r="S216" s="1428" t="s">
        <v>283</v>
      </c>
      <c r="T216" s="668" t="s">
        <v>190</v>
      </c>
      <c r="U216" s="1430" t="s">
        <v>186</v>
      </c>
      <c r="V216" s="1431"/>
      <c r="W216" s="1431"/>
      <c r="X216" s="1431"/>
      <c r="Y216" s="1431"/>
      <c r="Z216" s="1431"/>
      <c r="AA216" s="1431"/>
      <c r="AB216" s="1088" t="str">
        <f>IFERROR(IF(__Retrofit_TI_NC=0,VLOOKUP(U217,Fixtures_Existing_List,2,FALSE),ROUND(N218*R218/T218,10)),"")</f>
        <v/>
      </c>
      <c r="AC216" s="1039" t="str">
        <f>IFERROR(IF(__Retrofit_TI_NC=0,ROUND(T217*AB216*N217*R217/1000,0),IF(CN216="Interior",N218*R218*R217*N217*_C406_reduction/1000,N218*R218*R217*N217/1000)),"")</f>
        <v/>
      </c>
      <c r="AD216" s="1040" t="str">
        <f>IFERROR(IF(C$36=0,ROUND(T217*AB216/1000,2),N218*R218/1000),"")</f>
        <v/>
      </c>
      <c r="AE216" s="1044" t="s">
        <v>190</v>
      </c>
      <c r="AF216" s="1432" t="str">
        <f>IF(__Retrofit_TI_NC=2,CONCATENATE("Code min = ",DD216),IF(__Retrofit_TI_NC=1,"Emter what you think the existing control was"," Control"))</f>
        <v xml:space="preserve"> Control</v>
      </c>
      <c r="AG216" s="1432"/>
      <c r="AH216" s="1432"/>
      <c r="AI216" s="1432"/>
      <c r="AJ216" s="1433">
        <f>DF216</f>
        <v>0</v>
      </c>
      <c r="AK216" s="1435" t="str">
        <f>IFERROR(ROUND(AJ216*AC216,0),"")</f>
        <v/>
      </c>
      <c r="AL216" s="1437">
        <f>IFERROR(IF(HW216=FALSE,0,AC216-AK216),0)</f>
        <v>0</v>
      </c>
      <c r="AM216" s="1439">
        <f>AL216-AL218</f>
        <v>0</v>
      </c>
      <c r="AN216" s="1440"/>
      <c r="AO216" s="1445">
        <f>IFERROR(IF(HW216=FALSE,0,(T218*U219)+(AE218*AF219)),0)</f>
        <v>0</v>
      </c>
      <c r="AP216" s="1445"/>
      <c r="AQ216" s="1446"/>
      <c r="AR216" s="1451" t="s">
        <v>157</v>
      </c>
      <c r="AS216" s="1454">
        <f>IF(AR216="Yes",1,0)</f>
        <v>1</v>
      </c>
      <c r="AT216" s="1457" t="str">
        <f>IF(OR(DN216=4,DN216=5,DN216=6,DN216=12),CONCATENATE("$",IF(GD216=TRUE,Lookup!$B$11,Lookup!$B$2)," /lamp"),CONCATENATE(EA216,"/ kWh"))</f>
        <v>0/ kWh</v>
      </c>
      <c r="AU216" s="516"/>
      <c r="AV216" s="1478">
        <f>IFERROR(IF(GI217=TRUE,(AB219*T218)/R218,0),"NA")</f>
        <v>0</v>
      </c>
      <c r="AW216" s="1478" t="str">
        <f>IFERROR(N218*_C406_reduction,"NA")</f>
        <v>NA</v>
      </c>
      <c r="BC216" s="38"/>
      <c r="BD216" s="38"/>
      <c r="BE216" s="38"/>
      <c r="BF216" s="38"/>
      <c r="BG216" s="38"/>
      <c r="BH216" s="38"/>
      <c r="BI216" s="38"/>
      <c r="BJ216" s="38"/>
      <c r="BK216" s="38"/>
      <c r="BL216" s="38"/>
      <c r="BM216" s="38"/>
      <c r="BN216" s="38"/>
      <c r="BO216" s="38"/>
      <c r="BP216" s="38"/>
      <c r="BQ216" s="38"/>
      <c r="BR216" s="38"/>
      <c r="BS216" s="38"/>
      <c r="BT216" s="38"/>
      <c r="BU216" s="38"/>
      <c r="BV216" s="38"/>
      <c r="BW216" s="38"/>
      <c r="BX216" s="38"/>
      <c r="BY216" s="38"/>
      <c r="BZ216" s="38"/>
      <c r="CA216" s="38"/>
      <c r="CB216" s="38"/>
      <c r="CC216" s="38"/>
      <c r="CD216" s="38"/>
      <c r="CE216" s="38"/>
      <c r="CF216" s="38"/>
      <c r="CG216" s="38"/>
      <c r="CH216" s="38"/>
      <c r="CI216" s="38"/>
      <c r="CM216" s="1352" t="str">
        <f>N217</f>
        <v/>
      </c>
      <c r="CN216" s="1352" t="str">
        <f>IFERROR(VLOOKUP(G217,_Lookup_Heat_Type_Table_New,3,FALSE),"")</f>
        <v/>
      </c>
      <c r="CO216" s="1415" t="str">
        <f>CN216</f>
        <v/>
      </c>
      <c r="CP216" s="1417" t="e">
        <f>VLOOKUP(G218,'Space Table'!$B$3:$L$160,9,FALSE)</f>
        <v>#N/A</v>
      </c>
      <c r="CR216" s="1386" t="s">
        <v>283</v>
      </c>
      <c r="CS216" s="1353">
        <f>IF(HW216=TRUE,T217,0)</f>
        <v>0</v>
      </c>
      <c r="CT216" s="1353" t="str">
        <f>IF(HW216=TRUE,U217,"")</f>
        <v/>
      </c>
      <c r="CU216" s="1353"/>
      <c r="CV216" s="1370">
        <f>IF(HW216=TRUE,AB216,0)</f>
        <v>0</v>
      </c>
      <c r="CW216" s="1370">
        <f>IF(HW216=TRUE,AC216,0)</f>
        <v>0</v>
      </c>
      <c r="CX216" s="1370">
        <f>IFERROR(IF(HW216=TRUE,CW216-CW218,0),0)</f>
        <v>0</v>
      </c>
      <c r="CY216" s="1485">
        <f>IF(HW216=TRUE,AD216,0)</f>
        <v>0</v>
      </c>
      <c r="CZ216" s="1485">
        <f>IF(HW216=TRUE,AD219,0)</f>
        <v>0</v>
      </c>
      <c r="DA216" s="1485">
        <f>IFERROR(CY216-CZ216,0)</f>
        <v>0</v>
      </c>
      <c r="DC216" s="1353">
        <f>IF(HW216=TRUE,AE217,0)</f>
        <v>0</v>
      </c>
      <c r="DD216" s="1460">
        <f>IF(__Retrofit_TI_NC=2,IF(CN216="Exterior",O219,FM216),FK216)</f>
        <v>0</v>
      </c>
      <c r="DE216" s="1353"/>
      <c r="DF216" s="1406">
        <f>IFERROR(IF(FL216=3,IK216,IF(FL216=4,IL216,IF(FL216=5,IM216,IF(FL216=6,IN216,IF(FL216=7,IO216,IF(FL216=8,IP216,0)))))),0)</f>
        <v>0</v>
      </c>
      <c r="DG216" s="1370">
        <f>IF(HW216=TRUE,AK216,0)</f>
        <v>0</v>
      </c>
      <c r="DH216" s="1369">
        <f>IFERROR(IF(HW216=TRUE,DG218-DG216,0),0)</f>
        <v>0</v>
      </c>
      <c r="DJ216" s="1483">
        <f>IFERROR(CW216-DG216,0)</f>
        <v>0</v>
      </c>
      <c r="DL216" s="1419">
        <f>DJ216-DK218</f>
        <v>0</v>
      </c>
      <c r="DN216" s="1403" t="str">
        <f>IFERROR(IF(AND(OR(FY216=4,FY216=5,FY216=6),OR(GB216=4,GB216=5,GB216=6)),FY216+8,VLOOKUP(CT218,Fixtures!R$31:Y$78,8,FALSE)),"")</f>
        <v/>
      </c>
      <c r="DO216" s="1404" t="str">
        <f>DN216</f>
        <v/>
      </c>
      <c r="DP216" s="1353" t="str">
        <f>IFERROR(VLOOKUP(DD218,Lookup!AU$3:AV$15,2,FALSE),"")</f>
        <v/>
      </c>
      <c r="DQ216" s="1404" t="str">
        <f>IF(DP216=7,"LLLC","")</f>
        <v/>
      </c>
      <c r="DR216" s="1403">
        <f>IFERROR(IF(OR(DN216=4,DN216=5,DN216=6,DN216=12,DN216=13,DN216=14),VLOOKUP(CT218,Fixtures!DN$27:EG$77,19,FALSE),1)*CS218,0)</f>
        <v>0</v>
      </c>
      <c r="DS216" s="1489">
        <f>IF(DP216=7,IF(DD216=DD218,0,DC218),0)</f>
        <v>0</v>
      </c>
      <c r="DU216" s="1403" t="str">
        <f>IFERROR(IF(EW216&lt;EW218,"Yes","No"),"")</f>
        <v/>
      </c>
      <c r="DV216" s="1404" t="str">
        <f>DU216</f>
        <v/>
      </c>
      <c r="DW216" s="1403">
        <f>IF(DU216="Yes",DC218,0)</f>
        <v>0</v>
      </c>
      <c r="DX216" s="1403">
        <f>DW216-DS216</f>
        <v>0</v>
      </c>
      <c r="DZ216" s="1481">
        <f>IFERROR(VLOOKUP(DN216,Lookup!AN$3:AO$16,2,FALSE),0)</f>
        <v>0</v>
      </c>
      <c r="EA216" s="1481">
        <f>IF(HW216=FALSE,0,IF(DU216="Yes",DZ216+Lookup!B$6,DZ216))</f>
        <v>0</v>
      </c>
      <c r="EC216" s="1482">
        <f>IF(HW216=TRUE,DJ216,0)</f>
        <v>0</v>
      </c>
      <c r="ED216" s="1369">
        <f>IF(HW216=TRUE,CW218,0)</f>
        <v>0</v>
      </c>
      <c r="EE216" s="1370">
        <f>IFERROR(EC216-ED216,0)</f>
        <v>0</v>
      </c>
      <c r="EF216" s="1369">
        <f>IF(HW216=TRUE,DG218,0)</f>
        <v>0</v>
      </c>
      <c r="EG216" s="1369">
        <f>IFERROR(EC216-ED216+EF216,0)</f>
        <v>0</v>
      </c>
      <c r="EH216" s="1373">
        <f>IF(HW216=TRUE,CS218*CU218,0)</f>
        <v>0</v>
      </c>
      <c r="EI216" s="1373">
        <f>IF(HW216=TRUE,DC218*DE218,0)</f>
        <v>0</v>
      </c>
      <c r="EJ216" s="1363">
        <f>AO216</f>
        <v>0</v>
      </c>
      <c r="EK216" s="1376" t="str">
        <f>IFERROR(IF(HW216=TRUE,VLOOKUP(DN216,Lookup!AN$3:AP$16,3,FALSE)*DR216,""),0)</f>
        <v/>
      </c>
      <c r="EL216" s="1376">
        <f>IF(HW216=TRUE,DW216*Lookup!AP$12,0)</f>
        <v>0</v>
      </c>
      <c r="EM216" s="1362">
        <f>IFERROR(IF(HW216=TRUE,EK216/EM$33,0),0)</f>
        <v>0</v>
      </c>
      <c r="EN216" s="1362">
        <f>IF(HW216=TRUE,EL216/EN$33,0)</f>
        <v>0</v>
      </c>
      <c r="EO216" s="1363">
        <f>IF(HW216=TRUE,EQ$33*EM216,0)</f>
        <v>0</v>
      </c>
      <c r="EP216" s="1363">
        <f>IF(HW216=TRUE,EQ$33*EN216,0)</f>
        <v>0</v>
      </c>
      <c r="EQ216" s="1363">
        <f>EO216+EP216</f>
        <v>0</v>
      </c>
      <c r="ES216" s="1403">
        <f>IF(G216="",0,1)</f>
        <v>0</v>
      </c>
      <c r="EU216" s="1410" t="e">
        <f>VLOOKUP(CP218,'Space Table'!$B$3:$L$160,8,FALSE)</f>
        <v>#N/A</v>
      </c>
      <c r="EV216" s="1410" t="e">
        <f>IF(EY216="Yes",VLOOKUP(DD216,Lookup_Control_Type_Table2,4,FALSE),VLOOKUP(DD216,Lookup_Control_Type_Table2,3,FALSE))</f>
        <v>#N/A</v>
      </c>
      <c r="EW216" s="1410" t="e">
        <f>VLOOKUP(DD216,Lookup!AU$3:AV$15,2,FALSE)</f>
        <v>#N/A</v>
      </c>
      <c r="EX216" s="1410" t="e">
        <f>VLOOKUP(EU216,Lookup_Control_Type_Table,2,FALSE)</f>
        <v>#N/A</v>
      </c>
      <c r="EY216" s="1410" t="e">
        <f>VLOOKUP(CP218,'Space Table'!$B$3:$L$160,7,FALSE)</f>
        <v>#N/A</v>
      </c>
      <c r="EZ216" s="1412" t="b">
        <f>ISNUMBER(SEARCH("TLED",U218))</f>
        <v>0</v>
      </c>
      <c r="FB216" s="1365" t="str">
        <f>CONCATENATE(CN216," - ",DD216)</f>
        <v xml:space="preserve"> - 0</v>
      </c>
      <c r="FD216" s="1353" t="str">
        <f>VLOOKUP(CT218,Fixtures!DN$27:EZ$77,38,FALSE)</f>
        <v/>
      </c>
      <c r="FE216" s="1353">
        <f>IFERROR(FD216*EE216,0)</f>
        <v>0</v>
      </c>
      <c r="FF216" s="138"/>
      <c r="FI216" s="1356" t="str">
        <f>IF(CN216="Exterior","Not Daylighted",G219)</f>
        <v>Not Daylighted</v>
      </c>
      <c r="FJ216" s="1356">
        <f>VLOOKUP(FI216,_Daylight_Table_Codes,2,FALSE)</f>
        <v>0</v>
      </c>
      <c r="FK216" s="1365">
        <f>IF(__Retrofit_TI_NC=2,VLOOKUP(G218,'Space Table'!$B$3:$L$160,11,FALSE),AF217)</f>
        <v>0</v>
      </c>
      <c r="FL216" s="1365" t="e">
        <f>VLOOKUP(FK216,_Control_Table,2,FALSE)</f>
        <v>#N/A</v>
      </c>
      <c r="FM216" s="1365" t="e">
        <f>IF(AND(FP216&gt;0,FK216="Occupancy Sensor"),"Daylight + Occupancy",IF(AND(FP216&gt;0,FL216&lt;4),"Interior Daylight Dimming",FK216))</f>
        <v>#N/A</v>
      </c>
      <c r="FO216" s="1364">
        <f>IF(CO216="Interior",VLOOKUP(CP216,Control_Savings_Interior,5,FALSE),0)</f>
        <v>0</v>
      </c>
      <c r="FP216" s="1361">
        <f>IF(CN216="Exterior",0,IF(FJ216=2,0.5,IF(OR(FJ216=1,FJ216=3),1,0)))</f>
        <v>0</v>
      </c>
      <c r="FQ216" s="1366"/>
      <c r="FR216" s="1367"/>
      <c r="FS216" s="1364"/>
      <c r="FT216" s="1367"/>
      <c r="FU216" s="1360"/>
      <c r="FW216" s="1352" t="str">
        <f>IFERROR(VLOOKUP(U217,_Exist_Fixture_Table,3,FALSE),"")</f>
        <v/>
      </c>
      <c r="FX216" s="1352" t="str">
        <f>VLOOKUP(CT216,_Exist_Fixture_Table,4,FALSE)</f>
        <v/>
      </c>
      <c r="FY216" s="1352">
        <f>IFERROR(VLOOKUP(FX216,Lookup!AM$6:AN$8,2,FALSE),0)</f>
        <v>0</v>
      </c>
      <c r="FZ216" s="1352" t="b">
        <f>IFERROR(IF(OR(GB216=4,GB216=5,GB216=6),TRUE,FALSE),"")</f>
        <v>0</v>
      </c>
      <c r="GA216" s="1352" t="str">
        <f>IFERROR(VLOOKUP(GB216,FY$6:FZ$10,2,FALSE),"")</f>
        <v/>
      </c>
      <c r="GB216" s="1352" t="str">
        <f>VLOOKUP(CT218,Fixtures!R$31:Y$78,8,FALSE)</f>
        <v/>
      </c>
      <c r="GC216" s="1352">
        <f>IF(AND(FW216=TRUE,FZ216=TRUE,OR(DN216=12,DN216=13,DN216=14)),FY216+8,0)</f>
        <v>0</v>
      </c>
      <c r="GD216" s="1352" t="b">
        <f>IF(OR(GC216=12,GC216=13,GC216=14),TRUE,FALSE)</f>
        <v>0</v>
      </c>
      <c r="GE216" s="759" t="b">
        <f>IF(ISNUMBER(SEARCH("TLED",U217)),TRUE,FALSE)</f>
        <v>0</v>
      </c>
      <c r="GF216" s="1035" t="str">
        <f>IFERROR(VLOOKUP(U217,Fixtures!BM$93:BR$142,6,FALSE),"")</f>
        <v/>
      </c>
      <c r="GG216" s="1385" t="b">
        <f>IF(OR(GE216=FALSE,GE218=FALSE),TRUE,IF(GF216-GF218&lt;5,FALSE,TRUE))</f>
        <v>1</v>
      </c>
      <c r="GK216" s="1034">
        <f>GL216</f>
        <v>0</v>
      </c>
      <c r="GL216" s="1034">
        <f>IF(G216="",0,1)</f>
        <v>0</v>
      </c>
      <c r="GM216" s="1034">
        <f>SUM(GN216:HB216)</f>
        <v>2</v>
      </c>
      <c r="GN216" s="1034">
        <f>IF(G217="",0,1)</f>
        <v>0</v>
      </c>
      <c r="GO216" s="1034">
        <f>IF(G218="",0,1)</f>
        <v>0</v>
      </c>
      <c r="GP216" s="1034">
        <f>IF(R217="",0,1)</f>
        <v>0</v>
      </c>
      <c r="GQ216" s="1034">
        <f>IF(__Retrofit_TI_NC=0,1,IF(R218="",0,1))</f>
        <v>1</v>
      </c>
      <c r="GR216" s="1034">
        <f>IF(CN216="Exterior",1,IF(G219="",0,1))</f>
        <v>1</v>
      </c>
      <c r="GS216" s="1034">
        <f>IF(__Retrofit_TI_NC&lt;&gt;0,1,IF(T217="",0,1))</f>
        <v>0</v>
      </c>
      <c r="GT216" s="1034">
        <f>IF(__Retrofit_TI_NC&lt;&gt;0,1,IF(U217="",0,1))</f>
        <v>0</v>
      </c>
      <c r="GU216" s="1034">
        <f>IF(T218="",0,1)</f>
        <v>0</v>
      </c>
      <c r="GV216" s="1034">
        <f>IF(U218="",0,1)</f>
        <v>0</v>
      </c>
      <c r="GW216" s="1034">
        <f>IF(__Retrofit_TI_NC=2,1,IF(U219="",0,1))</f>
        <v>0</v>
      </c>
      <c r="GX216" s="1034">
        <f>IF(__Retrofit_TI_NC&lt;&gt;0,1,IF(AE217="",0,1))</f>
        <v>0</v>
      </c>
      <c r="GY216" s="1034">
        <f>IF(__Retrofit_TI_NC&lt;&gt;0,1,IF(AF217="",0,1))</f>
        <v>0</v>
      </c>
      <c r="GZ216" s="1034">
        <f>IF(AE218="",0,1)</f>
        <v>0</v>
      </c>
      <c r="HA216" s="1034">
        <f>IF(AF218="",0,1)</f>
        <v>0</v>
      </c>
      <c r="HB216" s="1034">
        <f>IF(__Retrofit_TI_NC=2,1,IF(AF219="",0,1))</f>
        <v>0</v>
      </c>
      <c r="HV216" s="436"/>
      <c r="HW216" s="1384" t="b">
        <f>IF(OR(HW219=0,HW219=HT$16,HW219=HS$16,HW219=HU$16),TRUE,FALSE)</f>
        <v>0</v>
      </c>
      <c r="HX216" s="1377" t="b">
        <f>HW216</f>
        <v>0</v>
      </c>
      <c r="HY216" s="436"/>
      <c r="HZ216" s="436"/>
      <c r="IA216" s="1386" t="b">
        <f>IF(MAX(GJ219:HP219)&gt;5,FALSE,TRUE)</f>
        <v>0</v>
      </c>
      <c r="IB216" s="1380">
        <f>IF(IA216=TRUE,AC216,0)</f>
        <v>0</v>
      </c>
      <c r="IC216" s="1380">
        <f>IB216-IB218</f>
        <v>0</v>
      </c>
      <c r="IF216" s="1380" t="e">
        <f>ROUND(T217*VLOOKUP(U217,Fixtures_Existing_List,2,FALSE)*N217*R217/1000,0)</f>
        <v>#N/A</v>
      </c>
      <c r="IG216" s="1381" t="e">
        <f>IF216-IF218</f>
        <v>#N/A</v>
      </c>
      <c r="IH216" s="1384" t="e">
        <f>ROUND(IF(CN216="Interior",N218*R218*R217*N217*_C406_reduction/1000,N218*R218*R217*N217/1000),0)</f>
        <v>#N/A</v>
      </c>
      <c r="II216" s="1384" t="e">
        <f>IH216-IH218</f>
        <v>#N/A</v>
      </c>
      <c r="IK216" s="1351" t="e">
        <f>IF($CO216="interior",IL216/2,VLOOKUP($CP216,Control_Savings_Exterior,IK$30,FALSE))</f>
        <v>#N/A</v>
      </c>
      <c r="IL216" s="1351" t="e">
        <f>IF($CO216="interior",VLOOKUP($CP216,Control_Savings_Interior,IL$30,FALSE),VLOOKUP($CP216,Control_Savings_Exterior,IL$30,FALSE))</f>
        <v>#N/A</v>
      </c>
      <c r="IM216" s="1351" t="e">
        <f>IF($CO216="interior",IF(R217&gt;FO$37,(IM$28*(FO$37/R217)),IM$28)*FP216,VLOOKUP($CP216,Control_Savings_Exterior,IM$30,FALSE))</f>
        <v>#N/A</v>
      </c>
      <c r="IN216" s="1351" t="e">
        <f>IF($CO216="interior",ROUND(((1-IL216)*IM216)+IL216,2),VLOOKUP($CP216,Control_Savings_Exterior,IN$30,FALSE))</f>
        <v>#N/A</v>
      </c>
      <c r="IO216" s="1351" t="e">
        <f>IF($CO216="interior", ROUND(((1-IL216)*(IM216*(1-IP$28)))+IP216,2), VLOOKUP($CP216,Control_Savings_Exterior,IO$30,FALSE))</f>
        <v>#N/A</v>
      </c>
      <c r="IP216" s="1351">
        <f>IF($CO216="interior",ROUND(((1-IL216)*IP$28)+IL216,2),0)</f>
        <v>0</v>
      </c>
    </row>
    <row r="217" spans="1:250" s="82" customFormat="1" ht="14.95" customHeight="1" thickTop="1" thickBot="1">
      <c r="B217" s="1421"/>
      <c r="C217" s="1422"/>
      <c r="D217" s="1423"/>
      <c r="E217" s="1393" t="s">
        <v>244</v>
      </c>
      <c r="F217" s="1394"/>
      <c r="G217" s="1395"/>
      <c r="H217" s="1395"/>
      <c r="I217" s="1395"/>
      <c r="J217" s="1395"/>
      <c r="K217" s="1395"/>
      <c r="L217" s="1395"/>
      <c r="M217" s="509" t="e">
        <f>IF(__Retrofit_TI_NC&lt;&gt;0,IF(VLOOKUP(G218,'Space Table'!$B$3:$L$160,3,FALSE)&gt;0,1,0),IF(__Retrofit_TI_NC=VLOOKUP(G218,'Space Table'!$B$3:$L$160,3,FALSE),1,0))</f>
        <v>#N/A</v>
      </c>
      <c r="N217" s="509" t="str">
        <f>IFERROR(VLOOKUP(G217,_Lookup_Heat_Type_Table_New,2,FALSE),"")</f>
        <v/>
      </c>
      <c r="O217" s="509">
        <f>IF(__Retrofit_TI_NC=1,CONCATENATE("TI ",G217),IF(__Retrofit_TI_NC=2,CONCATENATE("NC ",G217),G217))</f>
        <v>0</v>
      </c>
      <c r="P217" s="1396" t="s">
        <v>352</v>
      </c>
      <c r="Q217" s="1396"/>
      <c r="R217" s="673"/>
      <c r="S217" s="1429"/>
      <c r="T217" s="675"/>
      <c r="U217" s="1496"/>
      <c r="V217" s="1497"/>
      <c r="W217" s="1497"/>
      <c r="X217" s="1497"/>
      <c r="Y217" s="1497"/>
      <c r="Z217" s="1497"/>
      <c r="AA217" s="1497"/>
      <c r="AB217" s="1497"/>
      <c r="AC217" s="1497"/>
      <c r="AD217" s="1498"/>
      <c r="AE217" s="675"/>
      <c r="AF217" s="1397"/>
      <c r="AG217" s="1397"/>
      <c r="AH217" s="1397"/>
      <c r="AI217" s="1397"/>
      <c r="AJ217" s="1434"/>
      <c r="AK217" s="1436"/>
      <c r="AL217" s="1438"/>
      <c r="AM217" s="1441"/>
      <c r="AN217" s="1442"/>
      <c r="AO217" s="1447"/>
      <c r="AP217" s="1447"/>
      <c r="AQ217" s="1448"/>
      <c r="AR217" s="1452"/>
      <c r="AS217" s="1455"/>
      <c r="AT217" s="1458"/>
      <c r="AU217" s="516"/>
      <c r="AV217" s="1479"/>
      <c r="AW217" s="1479"/>
      <c r="BC217" s="38"/>
      <c r="BD217" s="38"/>
      <c r="BE217" s="38"/>
      <c r="BF217" s="38"/>
      <c r="BG217" s="38"/>
      <c r="BH217" s="38"/>
      <c r="BI217" s="38"/>
      <c r="BJ217" s="38"/>
      <c r="BK217" s="38"/>
      <c r="BL217" s="38"/>
      <c r="BM217" s="38"/>
      <c r="BN217" s="38"/>
      <c r="BO217" s="38"/>
      <c r="BP217" s="38"/>
      <c r="BQ217" s="38"/>
      <c r="BR217" s="38"/>
      <c r="BS217" s="38"/>
      <c r="BT217" s="38"/>
      <c r="BU217" s="38"/>
      <c r="BV217" s="38"/>
      <c r="BW217" s="38"/>
      <c r="BX217" s="38"/>
      <c r="BY217" s="38"/>
      <c r="BZ217" s="38"/>
      <c r="CA217" s="38"/>
      <c r="CB217" s="38"/>
      <c r="CC217" s="38"/>
      <c r="CD217" s="38"/>
      <c r="CE217" s="38"/>
      <c r="CF217" s="38"/>
      <c r="CG217" s="38"/>
      <c r="CH217" s="38"/>
      <c r="CI217" s="38"/>
      <c r="CM217" s="1352"/>
      <c r="CN217" s="1352"/>
      <c r="CO217" s="1416"/>
      <c r="CP217" s="1418"/>
      <c r="CR217" s="1386"/>
      <c r="CS217" s="1355"/>
      <c r="CT217" s="1355"/>
      <c r="CU217" s="1355"/>
      <c r="CV217" s="1372"/>
      <c r="CW217" s="1372"/>
      <c r="CX217" s="1371"/>
      <c r="CY217" s="1486"/>
      <c r="CZ217" s="1486"/>
      <c r="DA217" s="1486"/>
      <c r="DC217" s="1355"/>
      <c r="DD217" s="1461"/>
      <c r="DE217" s="1355"/>
      <c r="DF217" s="1407"/>
      <c r="DG217" s="1372"/>
      <c r="DH217" s="1369"/>
      <c r="DJ217" s="1484"/>
      <c r="DL217" s="1419"/>
      <c r="DN217" s="1403"/>
      <c r="DO217" s="1405"/>
      <c r="DP217" s="1354"/>
      <c r="DQ217" s="1405"/>
      <c r="DR217" s="1403"/>
      <c r="DS217" s="1489"/>
      <c r="DU217" s="1403"/>
      <c r="DV217" s="1405"/>
      <c r="DW217" s="1403"/>
      <c r="DX217" s="1403"/>
      <c r="DZ217" s="1481"/>
      <c r="EA217" s="1481"/>
      <c r="EC217" s="1482"/>
      <c r="ED217" s="1369"/>
      <c r="EE217" s="1371"/>
      <c r="EF217" s="1369"/>
      <c r="EG217" s="1369"/>
      <c r="EH217" s="1374"/>
      <c r="EI217" s="1374"/>
      <c r="EJ217" s="1363"/>
      <c r="EK217" s="1376"/>
      <c r="EL217" s="1376"/>
      <c r="EM217" s="1362"/>
      <c r="EN217" s="1362"/>
      <c r="EO217" s="1363"/>
      <c r="EP217" s="1363"/>
      <c r="EQ217" s="1363"/>
      <c r="ES217" s="1403"/>
      <c r="EU217" s="1411"/>
      <c r="EV217" s="1411"/>
      <c r="EW217" s="1411"/>
      <c r="EX217" s="1411"/>
      <c r="EY217" s="1411"/>
      <c r="EZ217" s="1413"/>
      <c r="FB217" s="1365"/>
      <c r="FD217" s="1354"/>
      <c r="FE217" s="1354"/>
      <c r="FF217" s="138"/>
      <c r="FI217" s="1357"/>
      <c r="FJ217" s="1357"/>
      <c r="FK217" s="1365"/>
      <c r="FL217" s="1365"/>
      <c r="FM217" s="1365"/>
      <c r="FO217" s="1361"/>
      <c r="FP217" s="1361"/>
      <c r="FQ217" s="1366"/>
      <c r="FR217" s="1368"/>
      <c r="FS217" s="1361"/>
      <c r="FT217" s="1368"/>
      <c r="FU217" s="1360"/>
      <c r="FW217" s="1352"/>
      <c r="FX217" s="1352"/>
      <c r="FY217" s="1352"/>
      <c r="FZ217" s="1352"/>
      <c r="GA217" s="1352"/>
      <c r="GB217" s="1352"/>
      <c r="GC217" s="1352"/>
      <c r="GD217" s="1352"/>
      <c r="GE217" s="759"/>
      <c r="GF217" s="1035"/>
      <c r="GG217" s="1385"/>
      <c r="GI217" s="1384" t="b">
        <f>IF(AND(GL217=TRUE,GM217=TRUE),TRUE,FALSE)</f>
        <v>0</v>
      </c>
      <c r="GJ217" s="1379" t="b">
        <f>IFERROR(IF(__Retrofit_TI_NC=2,TRUE,IF(AR216="Yes",TRUE,FALSE)),FALSE)</f>
        <v>1</v>
      </c>
      <c r="GL217" s="1379" t="b">
        <f>IFERROR(IF(GL216=1,TRUE,FALSE),FALSE)</f>
        <v>0</v>
      </c>
      <c r="GM217" s="1379" t="b">
        <f>IFERROR(IF(GM216=GM$14,TRUE,FALSE),FALSE)</f>
        <v>0</v>
      </c>
      <c r="HC217" s="1379" t="b">
        <f>IFERROR(IF(M217=1,TRUE,FALSE),FALSE)</f>
        <v>0</v>
      </c>
      <c r="HD217" s="1379" t="b">
        <f>IFERROR(IF(M218=1,TRUE,FALSE),FALSE)</f>
        <v>0</v>
      </c>
      <c r="HE217" s="1379" t="b">
        <f>IFERROR(IF(__Retrofit_TI_NC&lt;&gt;0,TRUE,IFERROR(IF(VLOOKUP(U217,Fixtures_Existing_List,2,FALSE)&lt;&gt;"",TRUE,FALSE),FALSE)),FALSE)</f>
        <v>0</v>
      </c>
      <c r="HF217" s="1379" t="b">
        <f>IFERROR(IF(VLOOKUP(U218,Fixtures_Proposed_List,2,FALSE)&lt;&gt;"",TRUE,FALSE),FALSE)</f>
        <v>0</v>
      </c>
      <c r="HG217" s="1379" t="b">
        <f>IF(AND(__Retrofit_TI_NC=2,EZ216=TRUE),FALSE,TRUE)</f>
        <v>1</v>
      </c>
      <c r="HH217" s="1379" t="b">
        <f>GG216</f>
        <v>1</v>
      </c>
      <c r="HI217" s="1384" t="b">
        <f>IF(ISERROR(MATCH(FB216,_Control_Match[],0))=TRUE,FALSE,TRUE)</f>
        <v>0</v>
      </c>
      <c r="HJ217" s="1384" t="b">
        <f>IFERROR(IF(EU216&lt;&gt;EV216,FALSE,TRUE),FALSE)</f>
        <v>0</v>
      </c>
      <c r="HK217" s="1384" t="b">
        <f>IFERROR(IF(EU218&lt;&gt;EV218,FALSE,TRUE),FALSE)</f>
        <v>0</v>
      </c>
      <c r="HL217" s="1379" t="b">
        <f>IFERROR(IF(CN216="Exterior",TRUE,IF(OR(AND(FJ216=0,EW218&gt;4),AND(FJ216=4,EW218&gt;4,EW218&lt;7)),FALSE,TRUE)),FALSE)</f>
        <v>0</v>
      </c>
      <c r="HM217" s="1379" t="b">
        <f>IFERROR(IF(AND(FL218=7,EZ216=TRUE),FALSE,TRUE),FALSE)</f>
        <v>0</v>
      </c>
      <c r="HN217" s="1379" t="b">
        <f>IFERROR(IF(AND(T218&lt;&gt;AE218,AF218="Interior LLLC")=TRUE,FALSE,TRUE),FALSE)</f>
        <v>1</v>
      </c>
      <c r="HO217" s="1379" t="b">
        <f>IFERROR(IF(OR(AF218=Lookup!AU$13,AF218=Lookup!AU$14)=TRUE,IF(AE218&gt;T218,FALSE,TRUE),TRUE),FALSE)</f>
        <v>1</v>
      </c>
      <c r="HP217" s="1379" t="b">
        <f>IFERROR(IF(__Retrofit_TI_NC=2,IF(EW218&lt;EW216,FALSE,TRUE),TRUE),FALSE)</f>
        <v>1</v>
      </c>
      <c r="HQ217" s="1379" t="b">
        <f>IF(CN216="Interior",IG$6,TRUE)</f>
        <v>1</v>
      </c>
      <c r="HR217" s="1379" t="b">
        <f>IF(CN216="Exterior",IG$8,TRUE)</f>
        <v>1</v>
      </c>
      <c r="HS217" s="1379" t="b">
        <f>IFERROR(IF(__Retrofit_TI_NC&lt;&gt;0,IF(AW216&lt;AV216,FALSE,TRUE),TRUE),FALSE)</f>
        <v>1</v>
      </c>
      <c r="HT217" s="1379" t="b">
        <f>IFERROR(IF(AND(G217="Exterior",R217&gt;4200),FALSE,TRUE),FALSE)</f>
        <v>1</v>
      </c>
      <c r="HU217" s="1379" t="b">
        <f>IFERROR(IF(AB219/AB216&lt;HU$18,FALSE,TRUE),FALSE)</f>
        <v>0</v>
      </c>
      <c r="HW217" s="1382"/>
      <c r="HX217" s="1378"/>
      <c r="HY217" s="1377" t="str">
        <f>VLOOKUP(HW219,_Error_Table,4,FALSE)</f>
        <v>White</v>
      </c>
      <c r="HZ217" s="436"/>
      <c r="IA217" s="1386"/>
      <c r="IB217" s="1380"/>
      <c r="IC217" s="1379"/>
      <c r="IF217" s="1380"/>
      <c r="IG217" s="1382"/>
      <c r="IH217" s="1382"/>
      <c r="II217" s="1382"/>
      <c r="IK217" s="1351"/>
      <c r="IL217" s="1351"/>
      <c r="IM217" s="1351"/>
      <c r="IN217" s="1351"/>
      <c r="IO217" s="1351"/>
      <c r="IP217" s="1351"/>
    </row>
    <row r="218" spans="1:250" s="82" customFormat="1" ht="14.95" customHeight="1" thickTop="1" thickBot="1">
      <c r="A218" s="82">
        <f>ROW()</f>
        <v>218</v>
      </c>
      <c r="B218" s="1421"/>
      <c r="C218" s="1422"/>
      <c r="D218" s="1423"/>
      <c r="E218" s="1393" t="s">
        <v>245</v>
      </c>
      <c r="F218" s="1394"/>
      <c r="G218" s="1398"/>
      <c r="H218" s="1399"/>
      <c r="I218" s="1399"/>
      <c r="J218" s="1399"/>
      <c r="K218" s="1399"/>
      <c r="L218" s="1400"/>
      <c r="M218" s="509">
        <f>IFERROR(IF(IF(__Retrofit_TI_NC&lt;&gt;0,IF(CN216="Interior",MATCH(G218,Lookup_Interior_New,0),MATCH(G218,Lookup_Exterior_New,0)),IF(CN216="Interior",MATCH(G218,Lookup_Interior,0),MATCH(G218,Lookup_Exterior_Areas,0)))&gt;0,1,0),0)</f>
        <v>0</v>
      </c>
      <c r="N218" s="509" t="e">
        <f>IF(__Retrofit_TI_NC=1,
VLOOKUP(G218,'Space Table'!$B$3:$L$160,4,FALSE),
IF(__Retrofit_TI_NC=2,VLOOKUP(G218,'Space Table'!$B$3:$L$160,5,FALSE),VLOOKUP(G218,'Space Table'!$B$3:$L$160,5,FALSE)))</f>
        <v>#N/A</v>
      </c>
      <c r="O218" s="509">
        <f>G218</f>
        <v>0</v>
      </c>
      <c r="P218" s="1394" t="s">
        <v>355</v>
      </c>
      <c r="Q218" s="1394"/>
      <c r="R218" s="674"/>
      <c r="S218" s="1401" t="s">
        <v>284</v>
      </c>
      <c r="T218" s="672"/>
      <c r="U218" s="1499"/>
      <c r="V218" s="1500"/>
      <c r="W218" s="1500"/>
      <c r="X218" s="1500"/>
      <c r="Y218" s="1500"/>
      <c r="Z218" s="1500"/>
      <c r="AA218" s="1500"/>
      <c r="AB218" s="1501"/>
      <c r="AC218" s="1501"/>
      <c r="AD218" s="1502"/>
      <c r="AE218" s="672"/>
      <c r="AF218" s="1474"/>
      <c r="AG218" s="1474"/>
      <c r="AH218" s="1474"/>
      <c r="AI218" s="1474"/>
      <c r="AJ218" s="1475">
        <f>DF218</f>
        <v>0</v>
      </c>
      <c r="AK218" s="1470" t="str">
        <f>IFERROR(ROUND(AJ218*AC219,0),"")</f>
        <v/>
      </c>
      <c r="AL218" s="1472">
        <f>IFERROR(IF(HW216=FALSE,0,AC219-AK218),0)</f>
        <v>0</v>
      </c>
      <c r="AM218" s="1441"/>
      <c r="AN218" s="1442"/>
      <c r="AO218" s="1447"/>
      <c r="AP218" s="1447"/>
      <c r="AQ218" s="1448"/>
      <c r="AR218" s="1452"/>
      <c r="AS218" s="1455"/>
      <c r="AT218" s="1458"/>
      <c r="AU218" s="516"/>
      <c r="AV218" s="1479"/>
      <c r="AW218" s="1479"/>
      <c r="BC218" s="38"/>
      <c r="BD218" s="38"/>
      <c r="BE218" s="38"/>
      <c r="BF218" s="38"/>
      <c r="BG218" s="38"/>
      <c r="BH218" s="38"/>
      <c r="BI218" s="38"/>
      <c r="BJ218" s="38"/>
      <c r="BK218" s="38"/>
      <c r="BL218" s="38"/>
      <c r="BM218" s="38"/>
      <c r="BN218" s="38"/>
      <c r="BO218" s="38"/>
      <c r="BP218" s="38"/>
      <c r="BQ218" s="38"/>
      <c r="BR218" s="38"/>
      <c r="BS218" s="38"/>
      <c r="BT218" s="38"/>
      <c r="BU218" s="38"/>
      <c r="BV218" s="38"/>
      <c r="BW218" s="38"/>
      <c r="BX218" s="38"/>
      <c r="BY218" s="38"/>
      <c r="BZ218" s="38"/>
      <c r="CA218" s="38"/>
      <c r="CB218" s="38"/>
      <c r="CC218" s="38"/>
      <c r="CD218" s="38"/>
      <c r="CE218" s="38"/>
      <c r="CF218" s="38"/>
      <c r="CG218" s="38"/>
      <c r="CH218" s="38"/>
      <c r="CI218" s="38"/>
      <c r="CM218" s="1352"/>
      <c r="CN218" s="1352"/>
      <c r="CO218" s="1415" t="str">
        <f>CN216</f>
        <v/>
      </c>
      <c r="CP218" s="1417" t="e">
        <f>CP216</f>
        <v>#N/A</v>
      </c>
      <c r="CR218" s="1386" t="s">
        <v>284</v>
      </c>
      <c r="CS218" s="1353">
        <f>IF(HW216=TRUE,T218,0)</f>
        <v>0</v>
      </c>
      <c r="CT218" s="1353" t="str">
        <f>IF(HW216=TRUE,U218,"")</f>
        <v/>
      </c>
      <c r="CU218" s="1373">
        <f>IF(HW216=TRUE,U219,0)</f>
        <v>0</v>
      </c>
      <c r="CV218" s="1370">
        <f>IF(HW216=TRUE,AB219,0)</f>
        <v>0</v>
      </c>
      <c r="CW218" s="1370">
        <f>IF(HW216=TRUE,AC219,0)</f>
        <v>0</v>
      </c>
      <c r="CX218" s="1371"/>
      <c r="CY218" s="1486"/>
      <c r="CZ218" s="1486"/>
      <c r="DA218" s="1486"/>
      <c r="DC218" s="1353">
        <f>IF(HW216=TRUE,AE218,0)</f>
        <v>0</v>
      </c>
      <c r="DD218" s="1353" t="str">
        <f>IF(HW216=TRUE,AF218,"")</f>
        <v/>
      </c>
      <c r="DE218" s="1373">
        <f>AF219</f>
        <v>0</v>
      </c>
      <c r="DF218" s="1406">
        <f>IFERROR(IF(FL218=3,IK218,IF(FL218=4,IL218,IF(FL218=5,IM218,IF(FL218=6,IN218,IF(FL218=7,IO218,IF(FL218=8,IP218,0)))))),0)</f>
        <v>0</v>
      </c>
      <c r="DG218" s="1370">
        <f>IF(HW216=TRUE,AK218,0)</f>
        <v>0</v>
      </c>
      <c r="DH218" s="1369"/>
      <c r="DK218" s="1483">
        <f>IFERROR(CW218-DG218,0)</f>
        <v>0</v>
      </c>
      <c r="DL218" s="1420"/>
      <c r="DN218" s="1403"/>
      <c r="DO218" s="1477" t="str">
        <f>DN216</f>
        <v/>
      </c>
      <c r="DP218" s="1354"/>
      <c r="DQ218" s="1477" t="str">
        <f>IF(DP216=7,"LLLC","")</f>
        <v/>
      </c>
      <c r="DR218" s="1403"/>
      <c r="DS218" s="1489"/>
      <c r="DU218" s="1403"/>
      <c r="DV218" s="1404" t="str">
        <f>DU216</f>
        <v/>
      </c>
      <c r="DW218" s="1403"/>
      <c r="DX218" s="1403"/>
      <c r="DZ218" s="1481"/>
      <c r="EA218" s="1481"/>
      <c r="EC218" s="1482"/>
      <c r="ED218" s="1369"/>
      <c r="EE218" s="1371"/>
      <c r="EF218" s="1369"/>
      <c r="EG218" s="1369"/>
      <c r="EH218" s="1374"/>
      <c r="EI218" s="1374"/>
      <c r="EJ218" s="1363"/>
      <c r="EK218" s="1376"/>
      <c r="EL218" s="1376"/>
      <c r="EM218" s="1362"/>
      <c r="EN218" s="1362"/>
      <c r="EO218" s="1363"/>
      <c r="EP218" s="1363"/>
      <c r="EQ218" s="1363"/>
      <c r="ES218" s="1403"/>
      <c r="EU218" s="1411" t="e">
        <f>VLOOKUP(CP218,'Space Table'!$B$3:$L$160,8,FALSE)</f>
        <v>#N/A</v>
      </c>
      <c r="EV218" s="1411" t="e">
        <f>IF(EY218="Yes",VLOOKUP(AF218,Lookup_Control_Type_Table2,4,FALSE),VLOOKUP(AF218,Lookup_Control_Type_Table2,3,FALSE))</f>
        <v>#N/A</v>
      </c>
      <c r="EW218" s="1411" t="e">
        <f>VLOOKUP(AF218,Lookup!AU$3:AV$15,2,FALSE)</f>
        <v>#N/A</v>
      </c>
      <c r="EX218" s="1411" t="e">
        <f>VLOOKUP(EU216,Lookup_Control_Type_Table,2,FALSE)</f>
        <v>#N/A</v>
      </c>
      <c r="EY218" s="1411" t="e">
        <f>VLOOKUP(CP218,'Space Table'!$B$3:$L$160,7,FALSE)</f>
        <v>#N/A</v>
      </c>
      <c r="EZ218" s="1413"/>
      <c r="FB218" s="1365" t="str">
        <f>CONCATENATE(CN216," - ",AF218)</f>
        <v xml:space="preserve"> - </v>
      </c>
      <c r="FD218" s="1354"/>
      <c r="FE218" s="1354"/>
      <c r="FF218" s="138"/>
      <c r="FI218" s="1356" t="str">
        <f>IF(CN216="Exterior","Not Daylighted",G219)</f>
        <v>Not Daylighted</v>
      </c>
      <c r="FJ218" s="1356">
        <f>VLOOKUP(FI218,_Daylight_Table_Codes,2,FALSE)</f>
        <v>0</v>
      </c>
      <c r="FK218" s="1365">
        <f>AF218</f>
        <v>0</v>
      </c>
      <c r="FL218" s="1365" t="e">
        <f>VLOOKUP(FK218,_Control_Table,2,FALSE)</f>
        <v>#N/A</v>
      </c>
      <c r="FM218" s="1365" t="e">
        <f>IF(AND(FP218&gt;0,FK218="Occupancy Sensor"),"Daylight + Occupancy",IF(AND(FP218&gt;0,FL218&lt;4),"Interior Daylight Dimming",FK218))</f>
        <v>#N/A</v>
      </c>
      <c r="FO218" s="1364">
        <f>IF(CN216="Interior",VLOOKUP(CP216,Control_Savings_Interior,5,FALSE),0)</f>
        <v>0</v>
      </c>
      <c r="FP218" s="1361">
        <f>IF(CN218="Exterior",0,IF(FJ218=2,0.5,IF(OR(FJ218=1,FJ218=3),1,0)))</f>
        <v>0</v>
      </c>
      <c r="FQ218" s="1366">
        <f>IF(R217&gt;FO$37,(FO218*(FO$37/R217)),FO218)*FP218</f>
        <v>0</v>
      </c>
      <c r="FR218" s="1364">
        <f>DF218</f>
        <v>0</v>
      </c>
      <c r="FS218" s="1364">
        <f>ROUND(FR218+((1-FR218)*FQ218),2)</f>
        <v>0</v>
      </c>
      <c r="FT218" s="1364">
        <f>IF(__Retrofit_TI_NC=2,FS218,FR218)</f>
        <v>0</v>
      </c>
      <c r="FU218" s="1360">
        <f>IF(CO218="Interior",VLOOKUP(CP218,Control_Savings_Interior,4,FALSE),0)</f>
        <v>0</v>
      </c>
      <c r="FW218" s="1352"/>
      <c r="FX218" s="1352"/>
      <c r="FY218" s="1352"/>
      <c r="FZ218" s="1352"/>
      <c r="GA218" s="1352"/>
      <c r="GB218" s="1352"/>
      <c r="GC218" s="1352"/>
      <c r="GD218" s="1352"/>
      <c r="GE218" s="759" t="b">
        <f>IF(ISNUMBER(SEARCH("TLED",U218)),TRUE,FALSE)</f>
        <v>0</v>
      </c>
      <c r="GF218" s="1035" t="str">
        <f>IFERROR(VLOOKUP(U218,Fixtures!DM$93:DR$142,6,FALSE),"")</f>
        <v/>
      </c>
      <c r="GG218" s="1385"/>
      <c r="GI218" s="1383"/>
      <c r="GJ218" s="1379"/>
      <c r="GL218" s="1379"/>
      <c r="GM218" s="1379"/>
      <c r="HC218" s="1379"/>
      <c r="HD218" s="1379"/>
      <c r="HE218" s="1379"/>
      <c r="HF218" s="1379"/>
      <c r="HG218" s="1379"/>
      <c r="HH218" s="1379"/>
      <c r="HI218" s="1383"/>
      <c r="HJ218" s="1383"/>
      <c r="HK218" s="1383"/>
      <c r="HL218" s="1379"/>
      <c r="HM218" s="1379"/>
      <c r="HN218" s="1379"/>
      <c r="HO218" s="1379"/>
      <c r="HP218" s="1379"/>
      <c r="HQ218" s="1379"/>
      <c r="HR218" s="1379"/>
      <c r="HS218" s="1379"/>
      <c r="HT218" s="1379"/>
      <c r="HU218" s="1379"/>
      <c r="HW218" s="1383"/>
      <c r="HX218" s="1384" t="b">
        <f>HW216</f>
        <v>0</v>
      </c>
      <c r="HY218" s="1378"/>
      <c r="HZ218" s="436"/>
      <c r="IA218" s="1386"/>
      <c r="IB218" s="1380">
        <f>IF(IA216=TRUE,AC219,0)</f>
        <v>0</v>
      </c>
      <c r="IC218" s="1379"/>
      <c r="IF218" s="1380" t="e">
        <f>ROUND(T218*AB219*N217*R217/1000,0)</f>
        <v>#VALUE!</v>
      </c>
      <c r="IG218" s="1382"/>
      <c r="IH218" s="1384" t="e">
        <f>ROUND(T218*AB219*N217*R217/1000,0)</f>
        <v>#VALUE!</v>
      </c>
      <c r="II218" s="1382"/>
      <c r="IK218" s="1351" t="e">
        <f>IF($CO218="interior",IL218/2,VLOOKUP($CP218,Control_Savings_Exterior,IK$30,FALSE))</f>
        <v>#N/A</v>
      </c>
      <c r="IL218" s="1351" t="e">
        <f>IF($CO218="interior",VLOOKUP($CP218,Control_Savings_Interior,IL$30,FALSE),VLOOKUP($CP218,Control_Savings_Exterior,IL$30,FALSE))</f>
        <v>#N/A</v>
      </c>
      <c r="IM218" s="1351" t="e">
        <f>IF($CO218="interior",IF(R217&gt;FO$37,(IM$28*(FO$37/R217)),IM$28)*FP218,VLOOKUP($CP218,Control_Savings_Exterior,IM$30,FALSE))</f>
        <v>#N/A</v>
      </c>
      <c r="IN218" s="1351" t="e">
        <f>IF($CO218="interior",ROUND(((1-IL218)*IM218)+IL218,2),VLOOKUP($CP218,Control_Savings_Exterior,IN$30,FALSE))</f>
        <v>#N/A</v>
      </c>
      <c r="IO218" s="1351" t="e">
        <f>IF($CO218="interior", ROUND(((1-IL218)*(IM218*(1-IP$28)))+IP218,2), VLOOKUP($CP218,Control_Savings_Exterior,IO$30,FALSE))</f>
        <v>#N/A</v>
      </c>
      <c r="IP218" s="1351">
        <f>IF($CO218="interior",ROUND(((1-IL218)*IP$28)+IL218,2),0)</f>
        <v>0</v>
      </c>
    </row>
    <row r="219" spans="1:250" s="82" customFormat="1" ht="14.95" customHeight="1" thickTop="1" thickBot="1">
      <c r="B219" s="1421"/>
      <c r="C219" s="1422"/>
      <c r="D219" s="1423"/>
      <c r="E219" s="1462" t="s">
        <v>357</v>
      </c>
      <c r="F219" s="1463"/>
      <c r="G219" s="1464" t="s">
        <v>362</v>
      </c>
      <c r="H219" s="1465"/>
      <c r="I219" s="1465"/>
      <c r="J219" s="1465"/>
      <c r="K219" s="1465"/>
      <c r="L219" s="1466"/>
      <c r="M219" s="669">
        <f>IFERROR(VLOOKUP(G219,_Daylight_Table[],2,FALSE),0)</f>
        <v>0</v>
      </c>
      <c r="N219" s="670"/>
      <c r="O219" s="669" t="e">
        <f>VLOOKUP(G218,'Space Table'!$B$3:$L$160,11,FALSE)</f>
        <v>#N/A</v>
      </c>
      <c r="P219" s="1408"/>
      <c r="Q219" s="1409"/>
      <c r="R219" s="1409"/>
      <c r="S219" s="1402"/>
      <c r="T219" s="671" t="s">
        <v>281</v>
      </c>
      <c r="U219" s="1467" t="str">
        <f>IFERROR(VLOOKUP(U218,Fixtures!DM$93:DP$142,4,FALSE),"")</f>
        <v/>
      </c>
      <c r="V219" s="1468"/>
      <c r="W219" s="1468"/>
      <c r="X219" s="1468"/>
      <c r="Y219" s="1468"/>
      <c r="Z219" s="1468"/>
      <c r="AA219" s="1468"/>
      <c r="AB219" s="1046" t="str">
        <f>IFERROR(VLOOKUP(U218,Fixtures_Proposed_List,2,FALSE),"")</f>
        <v/>
      </c>
      <c r="AC219" s="1036" t="str">
        <f>IFERROR(ROUND(T218*AB219*N217*R217/1000,0),"")</f>
        <v/>
      </c>
      <c r="AD219" s="1037" t="str">
        <f>IFERROR(ROUND(T218*AB219/1000,2),"")</f>
        <v/>
      </c>
      <c r="AE219" s="1045" t="s">
        <v>281</v>
      </c>
      <c r="AF219" s="1469"/>
      <c r="AG219" s="1469"/>
      <c r="AH219" s="1469"/>
      <c r="AI219" s="1469"/>
      <c r="AJ219" s="1476"/>
      <c r="AK219" s="1471"/>
      <c r="AL219" s="1473"/>
      <c r="AM219" s="1443"/>
      <c r="AN219" s="1444"/>
      <c r="AO219" s="1449"/>
      <c r="AP219" s="1449"/>
      <c r="AQ219" s="1450"/>
      <c r="AR219" s="1453"/>
      <c r="AS219" s="1456"/>
      <c r="AT219" s="1459"/>
      <c r="AU219" s="517"/>
      <c r="AV219" s="1480"/>
      <c r="AW219" s="1480"/>
      <c r="BC219" s="38"/>
      <c r="BD219" s="38"/>
      <c r="BE219" s="38"/>
      <c r="BF219" s="38"/>
      <c r="BG219" s="38"/>
      <c r="BH219" s="38"/>
      <c r="BI219" s="38"/>
      <c r="BJ219" s="38"/>
      <c r="BK219" s="38"/>
      <c r="BL219" s="38"/>
      <c r="BM219" s="38"/>
      <c r="BN219" s="38"/>
      <c r="BO219" s="38"/>
      <c r="BP219" s="38"/>
      <c r="BQ219" s="38"/>
      <c r="BR219" s="38"/>
      <c r="BS219" s="38"/>
      <c r="BT219" s="38"/>
      <c r="BU219" s="38"/>
      <c r="BV219" s="38"/>
      <c r="BW219" s="38"/>
      <c r="BX219" s="38"/>
      <c r="BY219" s="38"/>
      <c r="BZ219" s="38"/>
      <c r="CA219" s="38"/>
      <c r="CB219" s="38"/>
      <c r="CC219" s="38"/>
      <c r="CD219" s="38"/>
      <c r="CE219" s="38"/>
      <c r="CF219" s="38"/>
      <c r="CG219" s="38"/>
      <c r="CH219" s="38"/>
      <c r="CI219" s="38"/>
      <c r="CM219" s="1352"/>
      <c r="CN219" s="1352"/>
      <c r="CO219" s="1416"/>
      <c r="CP219" s="1418"/>
      <c r="CR219" s="1386"/>
      <c r="CS219" s="1355"/>
      <c r="CT219" s="1355"/>
      <c r="CU219" s="1375"/>
      <c r="CV219" s="1372"/>
      <c r="CW219" s="1372"/>
      <c r="CX219" s="1372"/>
      <c r="CY219" s="1487"/>
      <c r="CZ219" s="1487"/>
      <c r="DA219" s="1487"/>
      <c r="DC219" s="1355"/>
      <c r="DD219" s="1355"/>
      <c r="DE219" s="1375"/>
      <c r="DF219" s="1407"/>
      <c r="DG219" s="1372"/>
      <c r="DH219" s="1369"/>
      <c r="DK219" s="1484"/>
      <c r="DL219" s="1420"/>
      <c r="DN219" s="1403"/>
      <c r="DO219" s="1405"/>
      <c r="DP219" s="1355"/>
      <c r="DQ219" s="1405"/>
      <c r="DR219" s="1403"/>
      <c r="DS219" s="1489"/>
      <c r="DU219" s="1403"/>
      <c r="DV219" s="1405"/>
      <c r="DW219" s="1403"/>
      <c r="DX219" s="1403"/>
      <c r="DZ219" s="1481"/>
      <c r="EA219" s="1481"/>
      <c r="EC219" s="1482"/>
      <c r="ED219" s="1369"/>
      <c r="EE219" s="1372"/>
      <c r="EF219" s="1369"/>
      <c r="EG219" s="1369"/>
      <c r="EH219" s="1375"/>
      <c r="EI219" s="1375"/>
      <c r="EJ219" s="1363"/>
      <c r="EK219" s="1376"/>
      <c r="EL219" s="1376"/>
      <c r="EM219" s="1362"/>
      <c r="EN219" s="1362"/>
      <c r="EO219" s="1363"/>
      <c r="EP219" s="1363"/>
      <c r="EQ219" s="1363"/>
      <c r="ES219" s="1403"/>
      <c r="EU219" s="1488"/>
      <c r="EV219" s="1488"/>
      <c r="EW219" s="1488"/>
      <c r="EX219" s="1488"/>
      <c r="EY219" s="1488"/>
      <c r="EZ219" s="1414"/>
      <c r="FB219" s="1365"/>
      <c r="FD219" s="1355"/>
      <c r="FE219" s="1355"/>
      <c r="FF219" s="138"/>
      <c r="FI219" s="1357"/>
      <c r="FJ219" s="1357"/>
      <c r="FK219" s="1365"/>
      <c r="FL219" s="1365"/>
      <c r="FM219" s="1365"/>
      <c r="FO219" s="1361"/>
      <c r="FP219" s="1361"/>
      <c r="FQ219" s="1366"/>
      <c r="FR219" s="1361"/>
      <c r="FS219" s="1361"/>
      <c r="FT219" s="1361"/>
      <c r="FU219" s="1360"/>
      <c r="FW219" s="1352"/>
      <c r="FX219" s="1352"/>
      <c r="FY219" s="1352"/>
      <c r="FZ219" s="1352"/>
      <c r="GA219" s="1352"/>
      <c r="GB219" s="1352"/>
      <c r="GC219" s="1352"/>
      <c r="GD219" s="1352"/>
      <c r="GE219" s="759"/>
      <c r="GF219" s="1035"/>
      <c r="GG219" s="1385"/>
      <c r="GJ219" s="1034">
        <f>IF(GJ217=TRUE,0,GJ$16)</f>
        <v>0</v>
      </c>
      <c r="GL219" s="1034">
        <f>IF(GL217=TRUE,0,GL$16)</f>
        <v>36</v>
      </c>
      <c r="GM219" s="1034">
        <f>IF(GM217=TRUE,0,GM$16)</f>
        <v>35</v>
      </c>
      <c r="GN219" s="436"/>
      <c r="GO219" s="436"/>
      <c r="GP219" s="436"/>
      <c r="GQ219" s="436"/>
      <c r="GR219" s="436"/>
      <c r="HC219" s="1034">
        <f t="shared" ref="HC219:HH219" si="150">IF(HC217=TRUE,0,HC$16)</f>
        <v>19</v>
      </c>
      <c r="HD219" s="1034">
        <f t="shared" si="150"/>
        <v>18</v>
      </c>
      <c r="HE219" s="1034">
        <f t="shared" si="150"/>
        <v>17</v>
      </c>
      <c r="HF219" s="1034">
        <f t="shared" si="150"/>
        <v>16</v>
      </c>
      <c r="HG219" s="1034">
        <f t="shared" si="150"/>
        <v>0</v>
      </c>
      <c r="HH219" s="1034">
        <f t="shared" si="150"/>
        <v>0</v>
      </c>
      <c r="HI219" s="1034">
        <f>IF(HI217=TRUE,0,HI$16)</f>
        <v>13</v>
      </c>
      <c r="HJ219" s="1034">
        <f t="shared" ref="HJ219:HL219" si="151">IF(HJ217=TRUE,0,HJ$16)</f>
        <v>12</v>
      </c>
      <c r="HK219" s="1034">
        <f t="shared" si="151"/>
        <v>11</v>
      </c>
      <c r="HL219" s="1034">
        <f t="shared" si="151"/>
        <v>10</v>
      </c>
      <c r="HM219" s="1034">
        <f>IF(HM217=TRUE,0,HM$16)</f>
        <v>9</v>
      </c>
      <c r="HN219" s="1034">
        <f t="shared" ref="HN219:HR219" si="152">IF(HN217=TRUE,0,HN$16)</f>
        <v>0</v>
      </c>
      <c r="HO219" s="1034">
        <f t="shared" si="152"/>
        <v>0</v>
      </c>
      <c r="HP219" s="1034">
        <f t="shared" si="152"/>
        <v>0</v>
      </c>
      <c r="HQ219" s="1034">
        <f t="shared" si="152"/>
        <v>0</v>
      </c>
      <c r="HR219" s="1034">
        <f t="shared" si="152"/>
        <v>0</v>
      </c>
      <c r="HS219" s="1034">
        <f>IF(HS217=TRUE,0,HS$16)</f>
        <v>0</v>
      </c>
      <c r="HT219" s="1034">
        <f t="shared" ref="HT219" si="153">IF(HT217=TRUE,0,HT$16)</f>
        <v>0</v>
      </c>
      <c r="HU219" s="1034">
        <f>IF(HU217=TRUE,0,HU$16)</f>
        <v>1</v>
      </c>
      <c r="HW219" s="1034">
        <f>IF(GL217=FALSE,GL219,IF(GM217=FALSE,GM219,MAX(GJ219:HU219)))</f>
        <v>36</v>
      </c>
      <c r="HX219" s="1383"/>
      <c r="HY219" s="241" t="str">
        <f>VLOOKUP(HW219,_Error_Table,3,FALSE)</f>
        <v xml:space="preserve"> </v>
      </c>
      <c r="HZ219" s="241"/>
      <c r="IA219" s="1386"/>
      <c r="IB219" s="1380"/>
      <c r="IC219" s="1379"/>
      <c r="IF219" s="1380"/>
      <c r="IG219" s="1383"/>
      <c r="IH219" s="1383"/>
      <c r="II219" s="1383"/>
      <c r="IK219" s="1351"/>
      <c r="IL219" s="1351"/>
      <c r="IM219" s="1351"/>
      <c r="IN219" s="1351"/>
      <c r="IO219" s="1351"/>
      <c r="IP219" s="1351"/>
    </row>
    <row r="220" spans="1:250" s="82" customFormat="1" ht="5.0999999999999996" customHeight="1" thickBot="1">
      <c r="B220" s="763"/>
      <c r="C220" s="1038"/>
      <c r="D220" s="1038"/>
      <c r="E220" s="1490"/>
      <c r="F220" s="1490"/>
      <c r="G220" s="1490"/>
      <c r="H220" s="1490"/>
      <c r="I220" s="1490"/>
      <c r="J220" s="1490"/>
      <c r="K220" s="1490"/>
      <c r="L220" s="1490"/>
      <c r="M220" s="1490"/>
      <c r="N220" s="1490"/>
      <c r="O220" s="1490"/>
      <c r="P220" s="1490"/>
      <c r="Q220" s="1490"/>
      <c r="R220" s="1490"/>
      <c r="S220" s="1490"/>
      <c r="T220" s="1490"/>
      <c r="U220" s="1490"/>
      <c r="V220" s="1490"/>
      <c r="W220" s="1490"/>
      <c r="X220" s="1490"/>
      <c r="Y220" s="1490"/>
      <c r="Z220" s="1490"/>
      <c r="AA220" s="1490"/>
      <c r="AB220" s="1490"/>
      <c r="AC220" s="1490"/>
      <c r="AD220" s="1490"/>
      <c r="AE220" s="1490"/>
      <c r="AF220" s="1490"/>
      <c r="AG220" s="1490"/>
      <c r="AH220" s="1490"/>
      <c r="AI220" s="1490"/>
      <c r="AJ220" s="1490"/>
      <c r="AK220" s="1490"/>
      <c r="AL220" s="1490"/>
      <c r="AM220" s="1490"/>
      <c r="AN220" s="1490"/>
      <c r="AO220" s="1490"/>
      <c r="AP220" s="1490"/>
      <c r="AQ220" s="1490"/>
      <c r="AR220" s="1490"/>
      <c r="AS220" s="1490"/>
      <c r="AT220" s="1490"/>
      <c r="AU220" s="1041"/>
      <c r="BC220" s="38"/>
      <c r="BD220" s="38"/>
      <c r="BE220" s="38"/>
      <c r="BF220" s="38"/>
      <c r="BG220" s="38"/>
      <c r="BH220" s="38"/>
      <c r="BI220" s="38"/>
      <c r="BJ220" s="38"/>
      <c r="BK220" s="38"/>
      <c r="BL220" s="38"/>
      <c r="BM220" s="38"/>
      <c r="BN220" s="38"/>
      <c r="BO220" s="38"/>
      <c r="BP220" s="38"/>
      <c r="BQ220" s="38"/>
      <c r="BR220" s="38"/>
      <c r="BS220" s="38"/>
      <c r="BT220" s="38"/>
      <c r="BU220" s="38"/>
      <c r="BV220" s="38"/>
      <c r="BW220" s="38"/>
      <c r="BX220" s="38"/>
      <c r="BY220" s="38"/>
      <c r="BZ220" s="38"/>
      <c r="CA220" s="38"/>
      <c r="CB220" s="38"/>
      <c r="CC220" s="38"/>
      <c r="CD220" s="38"/>
      <c r="CE220" s="38"/>
      <c r="CF220" s="38"/>
      <c r="CG220" s="38"/>
      <c r="CH220" s="38"/>
      <c r="CI220" s="38"/>
      <c r="CM220" s="749"/>
      <c r="CN220" s="749"/>
      <c r="CO220" s="1043"/>
      <c r="CP220" s="749"/>
      <c r="CS220" s="436"/>
      <c r="CT220" s="436"/>
      <c r="CU220" s="243"/>
      <c r="CV220" s="244"/>
      <c r="CW220" s="244"/>
      <c r="CX220" s="244"/>
      <c r="CY220" s="245"/>
      <c r="CZ220" s="245"/>
      <c r="DA220" s="245"/>
      <c r="DC220" s="750"/>
      <c r="DD220" s="751"/>
      <c r="DE220" s="752"/>
      <c r="DF220" s="753"/>
      <c r="DG220" s="754"/>
      <c r="DH220" s="754"/>
      <c r="DK220" s="244"/>
      <c r="DL220" s="750"/>
      <c r="DN220" s="750"/>
      <c r="DO220" s="755"/>
      <c r="DP220" s="436"/>
      <c r="DQ220" s="750"/>
      <c r="DR220" s="750"/>
      <c r="DS220" s="750"/>
      <c r="DU220" s="750"/>
      <c r="DV220" s="750"/>
      <c r="DW220" s="750"/>
      <c r="DX220" s="750"/>
      <c r="DZ220" s="756"/>
      <c r="EA220" s="756"/>
      <c r="EC220" s="754"/>
      <c r="ED220" s="754"/>
      <c r="EE220" s="244"/>
      <c r="EF220" s="754"/>
      <c r="EG220" s="754"/>
      <c r="EH220" s="243"/>
      <c r="EI220" s="243"/>
      <c r="EJ220" s="752"/>
      <c r="EK220" s="757"/>
      <c r="EL220" s="757"/>
      <c r="EM220" s="758"/>
      <c r="EN220" s="758"/>
      <c r="EO220" s="752"/>
      <c r="EP220" s="752"/>
      <c r="EQ220" s="752"/>
      <c r="ES220" s="750"/>
      <c r="EU220" s="436"/>
      <c r="EV220" s="436"/>
      <c r="EW220" s="436"/>
      <c r="EX220" s="436"/>
      <c r="EY220" s="436"/>
      <c r="EZ220" s="436"/>
      <c r="FB220" s="643"/>
      <c r="FD220" s="436"/>
      <c r="FE220" s="436"/>
      <c r="FF220" s="436"/>
      <c r="FO220" s="750"/>
      <c r="FP220" s="436"/>
      <c r="FQ220" s="436"/>
      <c r="FR220" s="750"/>
      <c r="FS220" s="750"/>
      <c r="FW220" s="749"/>
      <c r="FX220" s="749"/>
      <c r="FY220" s="749"/>
      <c r="FZ220" s="749"/>
      <c r="GA220" s="749"/>
      <c r="GB220" s="749"/>
      <c r="GC220" s="749"/>
      <c r="GD220" s="749"/>
      <c r="GE220" s="751"/>
      <c r="GF220" s="750"/>
      <c r="GG220" s="750"/>
    </row>
    <row r="221" spans="1:250" s="82" customFormat="1" ht="14.95" customHeight="1" thickTop="1" thickBot="1">
      <c r="B221" s="1421" t="str">
        <f>HY224</f>
        <v xml:space="preserve"> </v>
      </c>
      <c r="C221" s="1422">
        <f>C216+1</f>
        <v>36</v>
      </c>
      <c r="D221" s="1423"/>
      <c r="E221" s="1424" t="s">
        <v>242</v>
      </c>
      <c r="F221" s="1425"/>
      <c r="G221" s="1426"/>
      <c r="H221" s="1427"/>
      <c r="I221" s="1427"/>
      <c r="J221" s="1427"/>
      <c r="K221" s="1427"/>
      <c r="L221" s="1427"/>
      <c r="M221" s="1427"/>
      <c r="N221" s="1427"/>
      <c r="O221" s="1427"/>
      <c r="P221" s="1427"/>
      <c r="Q221" s="1427"/>
      <c r="R221" s="1427"/>
      <c r="S221" s="1428" t="s">
        <v>283</v>
      </c>
      <c r="T221" s="668" t="s">
        <v>190</v>
      </c>
      <c r="U221" s="1430" t="s">
        <v>186</v>
      </c>
      <c r="V221" s="1431"/>
      <c r="W221" s="1431"/>
      <c r="X221" s="1431"/>
      <c r="Y221" s="1431"/>
      <c r="Z221" s="1431"/>
      <c r="AA221" s="1431"/>
      <c r="AB221" s="1088" t="str">
        <f>IFERROR(IF(__Retrofit_TI_NC=0,VLOOKUP(U222,Fixtures_Existing_List,2,FALSE),ROUND(N223*R223/T223,10)),"")</f>
        <v/>
      </c>
      <c r="AC221" s="1039" t="str">
        <f>IFERROR(IF(__Retrofit_TI_NC=0,ROUND(T222*AB221*N222*R222/1000,0),IF(CN221="Interior",N223*R223*R222*N222*_C406_reduction/1000,N223*R223*R222*N222/1000)),"")</f>
        <v/>
      </c>
      <c r="AD221" s="1040" t="str">
        <f>IFERROR(IF(C$36=0,ROUND(T222*AB221/1000,2),N223*R223/1000),"")</f>
        <v/>
      </c>
      <c r="AE221" s="1044" t="s">
        <v>190</v>
      </c>
      <c r="AF221" s="1432" t="str">
        <f>IF(__Retrofit_TI_NC=2,CONCATENATE("Code min = ",DD221),IF(__Retrofit_TI_NC=1,"Emter what you think the existing control was"," Control"))</f>
        <v xml:space="preserve"> Control</v>
      </c>
      <c r="AG221" s="1432"/>
      <c r="AH221" s="1432"/>
      <c r="AI221" s="1432"/>
      <c r="AJ221" s="1433">
        <f>DF221</f>
        <v>0</v>
      </c>
      <c r="AK221" s="1435" t="str">
        <f>IFERROR(ROUND(AJ221*AC221,0),"")</f>
        <v/>
      </c>
      <c r="AL221" s="1437">
        <f>IFERROR(IF(HW221=FALSE,0,AC221-AK221),0)</f>
        <v>0</v>
      </c>
      <c r="AM221" s="1439">
        <f>AL221-AL223</f>
        <v>0</v>
      </c>
      <c r="AN221" s="1440"/>
      <c r="AO221" s="1445">
        <f>IFERROR(IF(HW221=FALSE,0,(T223*U224)+(AE223*AF224)),0)</f>
        <v>0</v>
      </c>
      <c r="AP221" s="1445"/>
      <c r="AQ221" s="1446"/>
      <c r="AR221" s="1451" t="s">
        <v>157</v>
      </c>
      <c r="AS221" s="1454">
        <f>IF(AR221="Yes",1,0)</f>
        <v>1</v>
      </c>
      <c r="AT221" s="1457" t="str">
        <f>IF(OR(DN221=4,DN221=5,DN221=6,DN221=12),CONCATENATE("$",IF(GD221=TRUE,Lookup!$B$11,Lookup!$B$2)," /lamp"),CONCATENATE(EA221,"/ kWh"))</f>
        <v>0/ kWh</v>
      </c>
      <c r="AU221" s="516"/>
      <c r="AV221" s="1478">
        <f>IFERROR(IF(GI222=TRUE,(AB224*T223)/R223,0),"NA")</f>
        <v>0</v>
      </c>
      <c r="AW221" s="1478" t="str">
        <f>IFERROR(N223*_C406_reduction,"NA")</f>
        <v>NA</v>
      </c>
      <c r="BC221" s="38"/>
      <c r="BD221" s="38"/>
      <c r="BE221" s="38"/>
      <c r="BF221" s="38"/>
      <c r="BG221" s="38"/>
      <c r="BH221" s="38"/>
      <c r="BI221" s="38"/>
      <c r="BJ221" s="38"/>
      <c r="BK221" s="38"/>
      <c r="BL221" s="38"/>
      <c r="BM221" s="38"/>
      <c r="BN221" s="38"/>
      <c r="BO221" s="38"/>
      <c r="BP221" s="38"/>
      <c r="BQ221" s="38"/>
      <c r="BR221" s="38"/>
      <c r="BS221" s="38"/>
      <c r="BT221" s="38"/>
      <c r="BU221" s="38"/>
      <c r="BV221" s="38"/>
      <c r="BW221" s="38"/>
      <c r="BX221" s="38"/>
      <c r="BY221" s="38"/>
      <c r="BZ221" s="38"/>
      <c r="CA221" s="38"/>
      <c r="CB221" s="38"/>
      <c r="CC221" s="38"/>
      <c r="CD221" s="38"/>
      <c r="CE221" s="38"/>
      <c r="CF221" s="38"/>
      <c r="CG221" s="38"/>
      <c r="CH221" s="38"/>
      <c r="CI221" s="38"/>
      <c r="CM221" s="1352" t="str">
        <f>N222</f>
        <v/>
      </c>
      <c r="CN221" s="1352" t="str">
        <f>IFERROR(VLOOKUP(G222,_Lookup_Heat_Type_Table_New,3,FALSE),"")</f>
        <v/>
      </c>
      <c r="CO221" s="1415" t="str">
        <f>CN221</f>
        <v/>
      </c>
      <c r="CP221" s="1417" t="e">
        <f>VLOOKUP(G223,'Space Table'!$B$3:$L$160,9,FALSE)</f>
        <v>#N/A</v>
      </c>
      <c r="CR221" s="1386" t="s">
        <v>283</v>
      </c>
      <c r="CS221" s="1353">
        <f>IF(HW221=TRUE,T222,0)</f>
        <v>0</v>
      </c>
      <c r="CT221" s="1353" t="str">
        <f>IF(HW221=TRUE,U222,"")</f>
        <v/>
      </c>
      <c r="CU221" s="1353"/>
      <c r="CV221" s="1370">
        <f>IF(HW221=TRUE,AB221,0)</f>
        <v>0</v>
      </c>
      <c r="CW221" s="1370">
        <f>IF(HW221=TRUE,AC221,0)</f>
        <v>0</v>
      </c>
      <c r="CX221" s="1370">
        <f>IFERROR(IF(HW221=TRUE,CW221-CW223,0),0)</f>
        <v>0</v>
      </c>
      <c r="CY221" s="1485">
        <f>IF(HW221=TRUE,AD221,0)</f>
        <v>0</v>
      </c>
      <c r="CZ221" s="1485">
        <f>IF(HW221=TRUE,AD224,0)</f>
        <v>0</v>
      </c>
      <c r="DA221" s="1485">
        <f>IFERROR(CY221-CZ221,0)</f>
        <v>0</v>
      </c>
      <c r="DC221" s="1353">
        <f>IF(HW221=TRUE,AE222,0)</f>
        <v>0</v>
      </c>
      <c r="DD221" s="1460">
        <f>IF(__Retrofit_TI_NC=2,IF(CN221="Exterior",O224,FM221),FK221)</f>
        <v>0</v>
      </c>
      <c r="DE221" s="1353"/>
      <c r="DF221" s="1406">
        <f>IFERROR(IF(FL221=3,IK221,IF(FL221=4,IL221,IF(FL221=5,IM221,IF(FL221=6,IN221,IF(FL221=7,IO221,IF(FL221=8,IP221,0)))))),0)</f>
        <v>0</v>
      </c>
      <c r="DG221" s="1370">
        <f>IF(HW221=TRUE,AK221,0)</f>
        <v>0</v>
      </c>
      <c r="DH221" s="1369">
        <f>IFERROR(IF(HW221=TRUE,DG223-DG221,0),0)</f>
        <v>0</v>
      </c>
      <c r="DJ221" s="1483">
        <f>IFERROR(CW221-DG221,0)</f>
        <v>0</v>
      </c>
      <c r="DL221" s="1419">
        <f>DJ221-DK223</f>
        <v>0</v>
      </c>
      <c r="DN221" s="1403" t="str">
        <f>IFERROR(IF(AND(OR(FY221=4,FY221=5,FY221=6),OR(GB221=4,GB221=5,GB221=6)),FY221+8,VLOOKUP(CT223,Fixtures!R$31:Y$78,8,FALSE)),"")</f>
        <v/>
      </c>
      <c r="DO221" s="1404" t="str">
        <f>DN221</f>
        <v/>
      </c>
      <c r="DP221" s="1353" t="str">
        <f>IFERROR(VLOOKUP(DD223,Lookup!AU$3:AV$15,2,FALSE),"")</f>
        <v/>
      </c>
      <c r="DQ221" s="1404" t="str">
        <f>IF(DP221=7,"LLLC","")</f>
        <v/>
      </c>
      <c r="DR221" s="1403">
        <f>IFERROR(IF(OR(DN221=4,DN221=5,DN221=6,DN221=12,DN221=13,DN221=14),VLOOKUP(CT223,Fixtures!DN$27:EG$77,19,FALSE),1)*CS223,0)</f>
        <v>0</v>
      </c>
      <c r="DS221" s="1489">
        <f>IF(DP221=7,IF(DD221=DD223,0,DC223),0)</f>
        <v>0</v>
      </c>
      <c r="DU221" s="1403" t="str">
        <f>IFERROR(IF(EW221&lt;EW223,"Yes","No"),"")</f>
        <v/>
      </c>
      <c r="DV221" s="1404" t="str">
        <f>DU221</f>
        <v/>
      </c>
      <c r="DW221" s="1403">
        <f>IF(DU221="Yes",DC223,0)</f>
        <v>0</v>
      </c>
      <c r="DX221" s="1403">
        <f>DW221-DS221</f>
        <v>0</v>
      </c>
      <c r="DZ221" s="1481">
        <f>IFERROR(VLOOKUP(DN221,Lookup!AN$3:AO$16,2,FALSE),0)</f>
        <v>0</v>
      </c>
      <c r="EA221" s="1481">
        <f>IF(HW221=FALSE,0,IF(DU221="Yes",DZ221+Lookup!B$6,DZ221))</f>
        <v>0</v>
      </c>
      <c r="EC221" s="1482">
        <f>IF(HW221=TRUE,DJ221,0)</f>
        <v>0</v>
      </c>
      <c r="ED221" s="1369">
        <f>IF(HW221=TRUE,CW223,0)</f>
        <v>0</v>
      </c>
      <c r="EE221" s="1370">
        <f>IFERROR(EC221-ED221,0)</f>
        <v>0</v>
      </c>
      <c r="EF221" s="1369">
        <f>IF(HW221=TRUE,DG223,0)</f>
        <v>0</v>
      </c>
      <c r="EG221" s="1369">
        <f>IFERROR(EC221-ED221+EF221,0)</f>
        <v>0</v>
      </c>
      <c r="EH221" s="1373">
        <f>IF(HW221=TRUE,CS223*CU223,0)</f>
        <v>0</v>
      </c>
      <c r="EI221" s="1373">
        <f>IF(HW221=TRUE,DC223*DE223,0)</f>
        <v>0</v>
      </c>
      <c r="EJ221" s="1363">
        <f>AO221</f>
        <v>0</v>
      </c>
      <c r="EK221" s="1376" t="str">
        <f>IFERROR(IF(HW221=TRUE,VLOOKUP(DN221,Lookup!AN$3:AP$16,3,FALSE)*DR221,""),0)</f>
        <v/>
      </c>
      <c r="EL221" s="1376">
        <f>IF(HW221=TRUE,DW221*Lookup!AP$12,0)</f>
        <v>0</v>
      </c>
      <c r="EM221" s="1362">
        <f>IFERROR(IF(HW221=TRUE,EK221/EM$33,0),0)</f>
        <v>0</v>
      </c>
      <c r="EN221" s="1362">
        <f>IF(HW221=TRUE,EL221/EN$33,0)</f>
        <v>0</v>
      </c>
      <c r="EO221" s="1363">
        <f>IF(HW221=TRUE,EQ$33*EM221,0)</f>
        <v>0</v>
      </c>
      <c r="EP221" s="1363">
        <f>IF(HW221=TRUE,EQ$33*EN221,0)</f>
        <v>0</v>
      </c>
      <c r="EQ221" s="1363">
        <f>EO221+EP221</f>
        <v>0</v>
      </c>
      <c r="ES221" s="1403">
        <f>IF(G221="",0,1)</f>
        <v>0</v>
      </c>
      <c r="EU221" s="1410" t="e">
        <f>VLOOKUP(CP223,'Space Table'!$B$3:$L$160,8,FALSE)</f>
        <v>#N/A</v>
      </c>
      <c r="EV221" s="1410" t="e">
        <f>IF(EY221="Yes",VLOOKUP(DD221,Lookup_Control_Type_Table2,4,FALSE),VLOOKUP(DD221,Lookup_Control_Type_Table2,3,FALSE))</f>
        <v>#N/A</v>
      </c>
      <c r="EW221" s="1410" t="e">
        <f>VLOOKUP(DD221,Lookup!AU$3:AV$15,2,FALSE)</f>
        <v>#N/A</v>
      </c>
      <c r="EX221" s="1410" t="e">
        <f>VLOOKUP(EU221,Lookup_Control_Type_Table,2,FALSE)</f>
        <v>#N/A</v>
      </c>
      <c r="EY221" s="1410" t="e">
        <f>VLOOKUP(CP223,'Space Table'!$B$3:$L$160,7,FALSE)</f>
        <v>#N/A</v>
      </c>
      <c r="EZ221" s="1412" t="b">
        <f>ISNUMBER(SEARCH("TLED",U223))</f>
        <v>0</v>
      </c>
      <c r="FB221" s="1365" t="str">
        <f>CONCATENATE(CN221," - ",DD221)</f>
        <v xml:space="preserve"> - 0</v>
      </c>
      <c r="FD221" s="1353" t="str">
        <f>VLOOKUP(CT223,Fixtures!DN$27:EZ$77,38,FALSE)</f>
        <v/>
      </c>
      <c r="FE221" s="1353">
        <f>IFERROR(FD221*EE221,0)</f>
        <v>0</v>
      </c>
      <c r="FF221" s="138"/>
      <c r="FI221" s="1356" t="str">
        <f>IF(CN221="Exterior","Not Daylighted",G224)</f>
        <v>Not Daylighted</v>
      </c>
      <c r="FJ221" s="1356">
        <f>VLOOKUP(FI221,_Daylight_Table_Codes,2,FALSE)</f>
        <v>0</v>
      </c>
      <c r="FK221" s="1365">
        <f>IF(__Retrofit_TI_NC=2,VLOOKUP(G223,'Space Table'!$B$3:$L$160,11,FALSE),AF222)</f>
        <v>0</v>
      </c>
      <c r="FL221" s="1365" t="e">
        <f>VLOOKUP(FK221,_Control_Table,2,FALSE)</f>
        <v>#N/A</v>
      </c>
      <c r="FM221" s="1365" t="e">
        <f>IF(AND(FP221&gt;0,FK221="Occupancy Sensor"),"Daylight + Occupancy",IF(AND(FP221&gt;0,FL221&lt;4),"Interior Daylight Dimming",FK221))</f>
        <v>#N/A</v>
      </c>
      <c r="FO221" s="1364">
        <f>IF(CO221="Interior",VLOOKUP(CP221,Control_Savings_Interior,5,FALSE),0)</f>
        <v>0</v>
      </c>
      <c r="FP221" s="1361">
        <f>IF(CN221="Exterior",0,IF(FJ221=2,0.5,IF(OR(FJ221=1,FJ221=3),1,0)))</f>
        <v>0</v>
      </c>
      <c r="FQ221" s="1366"/>
      <c r="FR221" s="1367"/>
      <c r="FS221" s="1364"/>
      <c r="FT221" s="1367"/>
      <c r="FU221" s="1360"/>
      <c r="FW221" s="1352" t="str">
        <f>IFERROR(VLOOKUP(U222,_Exist_Fixture_Table,3,FALSE),"")</f>
        <v/>
      </c>
      <c r="FX221" s="1352" t="str">
        <f>VLOOKUP(CT221,_Exist_Fixture_Table,4,FALSE)</f>
        <v/>
      </c>
      <c r="FY221" s="1352">
        <f>IFERROR(VLOOKUP(FX221,Lookup!AM$6:AN$8,2,FALSE),0)</f>
        <v>0</v>
      </c>
      <c r="FZ221" s="1352" t="b">
        <f>IFERROR(IF(OR(GB221=4,GB221=5,GB221=6),TRUE,FALSE),"")</f>
        <v>0</v>
      </c>
      <c r="GA221" s="1352" t="str">
        <f>IFERROR(VLOOKUP(GB221,FY$6:FZ$10,2,FALSE),"")</f>
        <v/>
      </c>
      <c r="GB221" s="1352" t="str">
        <f>VLOOKUP(CT223,Fixtures!R$31:Y$78,8,FALSE)</f>
        <v/>
      </c>
      <c r="GC221" s="1352">
        <f>IF(AND(FW221=TRUE,FZ221=TRUE,OR(DN221=12,DN221=13,DN221=14)),FY221+8,0)</f>
        <v>0</v>
      </c>
      <c r="GD221" s="1352" t="b">
        <f>IF(OR(GC221=12,GC221=13,GC221=14),TRUE,FALSE)</f>
        <v>0</v>
      </c>
      <c r="GE221" s="759" t="b">
        <f>IF(ISNUMBER(SEARCH("TLED",U222)),TRUE,FALSE)</f>
        <v>0</v>
      </c>
      <c r="GF221" s="1035" t="str">
        <f>IFERROR(VLOOKUP(U222,Fixtures!BM$93:BR$142,6,FALSE),"")</f>
        <v/>
      </c>
      <c r="GG221" s="1385" t="b">
        <f>IF(OR(GE221=FALSE,GE223=FALSE),TRUE,IF(GF221-GF223&lt;5,FALSE,TRUE))</f>
        <v>1</v>
      </c>
      <c r="GK221" s="1034">
        <f>GL221</f>
        <v>0</v>
      </c>
      <c r="GL221" s="1034">
        <f>IF(G221="",0,1)</f>
        <v>0</v>
      </c>
      <c r="GM221" s="1034">
        <f>SUM(GN221:HB221)</f>
        <v>2</v>
      </c>
      <c r="GN221" s="1034">
        <f>IF(G222="",0,1)</f>
        <v>0</v>
      </c>
      <c r="GO221" s="1034">
        <f>IF(G223="",0,1)</f>
        <v>0</v>
      </c>
      <c r="GP221" s="1034">
        <f>IF(R222="",0,1)</f>
        <v>0</v>
      </c>
      <c r="GQ221" s="1034">
        <f>IF(__Retrofit_TI_NC=0,1,IF(R223="",0,1))</f>
        <v>1</v>
      </c>
      <c r="GR221" s="1034">
        <f>IF(CN221="Exterior",1,IF(G224="",0,1))</f>
        <v>1</v>
      </c>
      <c r="GS221" s="1034">
        <f>IF(__Retrofit_TI_NC&lt;&gt;0,1,IF(T222="",0,1))</f>
        <v>0</v>
      </c>
      <c r="GT221" s="1034">
        <f>IF(__Retrofit_TI_NC&lt;&gt;0,1,IF(U222="",0,1))</f>
        <v>0</v>
      </c>
      <c r="GU221" s="1034">
        <f>IF(T223="",0,1)</f>
        <v>0</v>
      </c>
      <c r="GV221" s="1034">
        <f>IF(U223="",0,1)</f>
        <v>0</v>
      </c>
      <c r="GW221" s="1034">
        <f>IF(__Retrofit_TI_NC=2,1,IF(U224="",0,1))</f>
        <v>0</v>
      </c>
      <c r="GX221" s="1034">
        <f>IF(__Retrofit_TI_NC&lt;&gt;0,1,IF(AE222="",0,1))</f>
        <v>0</v>
      </c>
      <c r="GY221" s="1034">
        <f>IF(__Retrofit_TI_NC&lt;&gt;0,1,IF(AF222="",0,1))</f>
        <v>0</v>
      </c>
      <c r="GZ221" s="1034">
        <f>IF(AE223="",0,1)</f>
        <v>0</v>
      </c>
      <c r="HA221" s="1034">
        <f>IF(AF223="",0,1)</f>
        <v>0</v>
      </c>
      <c r="HB221" s="1034">
        <f>IF(__Retrofit_TI_NC=2,1,IF(AF224="",0,1))</f>
        <v>0</v>
      </c>
      <c r="HV221" s="436"/>
      <c r="HW221" s="1384" t="b">
        <f>IF(OR(HW224=0,HW224=HT$16,HW224=HS$16,HW224=HU$16),TRUE,FALSE)</f>
        <v>0</v>
      </c>
      <c r="HX221" s="1377" t="b">
        <f>HW221</f>
        <v>0</v>
      </c>
      <c r="HY221" s="436"/>
      <c r="HZ221" s="436"/>
      <c r="IA221" s="1386" t="b">
        <f>IF(MAX(GJ224:HP224)&gt;5,FALSE,TRUE)</f>
        <v>0</v>
      </c>
      <c r="IB221" s="1380">
        <f>IF(IA221=TRUE,AC221,0)</f>
        <v>0</v>
      </c>
      <c r="IC221" s="1380">
        <f>IB221-IB223</f>
        <v>0</v>
      </c>
      <c r="IF221" s="1380" t="e">
        <f>ROUND(T222*VLOOKUP(U222,Fixtures_Existing_List,2,FALSE)*N222*R222/1000,0)</f>
        <v>#N/A</v>
      </c>
      <c r="IG221" s="1381" t="e">
        <f>IF221-IF223</f>
        <v>#N/A</v>
      </c>
      <c r="IH221" s="1384" t="e">
        <f>ROUND(IF(CN221="Interior",N223*R223*R222*N222*_C406_reduction/1000,N223*R223*R222*N222/1000),0)</f>
        <v>#N/A</v>
      </c>
      <c r="II221" s="1384" t="e">
        <f>IH221-IH223</f>
        <v>#N/A</v>
      </c>
      <c r="IK221" s="1351" t="e">
        <f>IF($CO221="interior",IL221/2,VLOOKUP($CP221,Control_Savings_Exterior,IK$30,FALSE))</f>
        <v>#N/A</v>
      </c>
      <c r="IL221" s="1351" t="e">
        <f>IF($CO221="interior",VLOOKUP($CP221,Control_Savings_Interior,IL$30,FALSE),VLOOKUP($CP221,Control_Savings_Exterior,IL$30,FALSE))</f>
        <v>#N/A</v>
      </c>
      <c r="IM221" s="1351" t="e">
        <f>IF($CO221="interior",IF(R222&gt;FO$37,(IM$28*(FO$37/R222)),IM$28)*FP221,VLOOKUP($CP221,Control_Savings_Exterior,IM$30,FALSE))</f>
        <v>#N/A</v>
      </c>
      <c r="IN221" s="1351" t="e">
        <f>IF($CO221="interior",ROUND(((1-IL221)*IM221)+IL221,2),VLOOKUP($CP221,Control_Savings_Exterior,IN$30,FALSE))</f>
        <v>#N/A</v>
      </c>
      <c r="IO221" s="1351" t="e">
        <f>IF($CO221="interior", ROUND(((1-IL221)*(IM221*(1-IP$28)))+IP221,2), VLOOKUP($CP221,Control_Savings_Exterior,IO$30,FALSE))</f>
        <v>#N/A</v>
      </c>
      <c r="IP221" s="1351">
        <f>IF($CO221="interior",ROUND(((1-IL221)*IP$28)+IL221,2),0)</f>
        <v>0</v>
      </c>
    </row>
    <row r="222" spans="1:250" s="82" customFormat="1" ht="14.95" customHeight="1" thickTop="1" thickBot="1">
      <c r="B222" s="1421"/>
      <c r="C222" s="1422"/>
      <c r="D222" s="1423"/>
      <c r="E222" s="1393" t="s">
        <v>244</v>
      </c>
      <c r="F222" s="1394"/>
      <c r="G222" s="1395"/>
      <c r="H222" s="1395"/>
      <c r="I222" s="1395"/>
      <c r="J222" s="1395"/>
      <c r="K222" s="1395"/>
      <c r="L222" s="1395"/>
      <c r="M222" s="509" t="e">
        <f>IF(__Retrofit_TI_NC&lt;&gt;0,IF(VLOOKUP(G223,'Space Table'!$B$3:$L$160,3,FALSE)&gt;0,1,0),IF(__Retrofit_TI_NC=VLOOKUP(G223,'Space Table'!$B$3:$L$160,3,FALSE),1,0))</f>
        <v>#N/A</v>
      </c>
      <c r="N222" s="509" t="str">
        <f>IFERROR(VLOOKUP(G222,_Lookup_Heat_Type_Table_New,2,FALSE),"")</f>
        <v/>
      </c>
      <c r="O222" s="509">
        <f>IF(__Retrofit_TI_NC=1,CONCATENATE("TI ",G222),IF(__Retrofit_TI_NC=2,CONCATENATE("NC ",G222),G222))</f>
        <v>0</v>
      </c>
      <c r="P222" s="1396" t="s">
        <v>352</v>
      </c>
      <c r="Q222" s="1396"/>
      <c r="R222" s="673"/>
      <c r="S222" s="1429"/>
      <c r="T222" s="675"/>
      <c r="U222" s="1496"/>
      <c r="V222" s="1497"/>
      <c r="W222" s="1497"/>
      <c r="X222" s="1497"/>
      <c r="Y222" s="1497"/>
      <c r="Z222" s="1497"/>
      <c r="AA222" s="1497"/>
      <c r="AB222" s="1497"/>
      <c r="AC222" s="1497"/>
      <c r="AD222" s="1498"/>
      <c r="AE222" s="675"/>
      <c r="AF222" s="1397"/>
      <c r="AG222" s="1397"/>
      <c r="AH222" s="1397"/>
      <c r="AI222" s="1397"/>
      <c r="AJ222" s="1434"/>
      <c r="AK222" s="1436"/>
      <c r="AL222" s="1438"/>
      <c r="AM222" s="1441"/>
      <c r="AN222" s="1442"/>
      <c r="AO222" s="1447"/>
      <c r="AP222" s="1447"/>
      <c r="AQ222" s="1448"/>
      <c r="AR222" s="1452"/>
      <c r="AS222" s="1455"/>
      <c r="AT222" s="1458"/>
      <c r="AU222" s="516"/>
      <c r="AV222" s="1479"/>
      <c r="AW222" s="1479"/>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M222" s="1352"/>
      <c r="CN222" s="1352"/>
      <c r="CO222" s="1416"/>
      <c r="CP222" s="1418"/>
      <c r="CR222" s="1386"/>
      <c r="CS222" s="1355"/>
      <c r="CT222" s="1355"/>
      <c r="CU222" s="1355"/>
      <c r="CV222" s="1372"/>
      <c r="CW222" s="1372"/>
      <c r="CX222" s="1371"/>
      <c r="CY222" s="1486"/>
      <c r="CZ222" s="1486"/>
      <c r="DA222" s="1486"/>
      <c r="DC222" s="1355"/>
      <c r="DD222" s="1461"/>
      <c r="DE222" s="1355"/>
      <c r="DF222" s="1407"/>
      <c r="DG222" s="1372"/>
      <c r="DH222" s="1369"/>
      <c r="DJ222" s="1484"/>
      <c r="DL222" s="1419"/>
      <c r="DN222" s="1403"/>
      <c r="DO222" s="1405"/>
      <c r="DP222" s="1354"/>
      <c r="DQ222" s="1405"/>
      <c r="DR222" s="1403"/>
      <c r="DS222" s="1489"/>
      <c r="DU222" s="1403"/>
      <c r="DV222" s="1405"/>
      <c r="DW222" s="1403"/>
      <c r="DX222" s="1403"/>
      <c r="DZ222" s="1481"/>
      <c r="EA222" s="1481"/>
      <c r="EC222" s="1482"/>
      <c r="ED222" s="1369"/>
      <c r="EE222" s="1371"/>
      <c r="EF222" s="1369"/>
      <c r="EG222" s="1369"/>
      <c r="EH222" s="1374"/>
      <c r="EI222" s="1374"/>
      <c r="EJ222" s="1363"/>
      <c r="EK222" s="1376"/>
      <c r="EL222" s="1376"/>
      <c r="EM222" s="1362"/>
      <c r="EN222" s="1362"/>
      <c r="EO222" s="1363"/>
      <c r="EP222" s="1363"/>
      <c r="EQ222" s="1363"/>
      <c r="ES222" s="1403"/>
      <c r="EU222" s="1411"/>
      <c r="EV222" s="1411"/>
      <c r="EW222" s="1411"/>
      <c r="EX222" s="1411"/>
      <c r="EY222" s="1411"/>
      <c r="EZ222" s="1413"/>
      <c r="FB222" s="1365"/>
      <c r="FD222" s="1354"/>
      <c r="FE222" s="1354"/>
      <c r="FF222" s="138"/>
      <c r="FI222" s="1357"/>
      <c r="FJ222" s="1357"/>
      <c r="FK222" s="1365"/>
      <c r="FL222" s="1365"/>
      <c r="FM222" s="1365"/>
      <c r="FO222" s="1361"/>
      <c r="FP222" s="1361"/>
      <c r="FQ222" s="1366"/>
      <c r="FR222" s="1368"/>
      <c r="FS222" s="1361"/>
      <c r="FT222" s="1368"/>
      <c r="FU222" s="1360"/>
      <c r="FW222" s="1352"/>
      <c r="FX222" s="1352"/>
      <c r="FY222" s="1352"/>
      <c r="FZ222" s="1352"/>
      <c r="GA222" s="1352"/>
      <c r="GB222" s="1352"/>
      <c r="GC222" s="1352"/>
      <c r="GD222" s="1352"/>
      <c r="GE222" s="759"/>
      <c r="GF222" s="1035"/>
      <c r="GG222" s="1385"/>
      <c r="GI222" s="1384" t="b">
        <f>IF(AND(GL222=TRUE,GM222=TRUE),TRUE,FALSE)</f>
        <v>0</v>
      </c>
      <c r="GJ222" s="1379" t="b">
        <f>IFERROR(IF(__Retrofit_TI_NC=2,TRUE,IF(AR221="Yes",TRUE,FALSE)),FALSE)</f>
        <v>1</v>
      </c>
      <c r="GL222" s="1379" t="b">
        <f>IFERROR(IF(GL221=1,TRUE,FALSE),FALSE)</f>
        <v>0</v>
      </c>
      <c r="GM222" s="1379" t="b">
        <f>IFERROR(IF(GM221=GM$14,TRUE,FALSE),FALSE)</f>
        <v>0</v>
      </c>
      <c r="HC222" s="1379" t="b">
        <f>IFERROR(IF(M222=1,TRUE,FALSE),FALSE)</f>
        <v>0</v>
      </c>
      <c r="HD222" s="1379" t="b">
        <f>IFERROR(IF(M223=1,TRUE,FALSE),FALSE)</f>
        <v>0</v>
      </c>
      <c r="HE222" s="1379" t="b">
        <f>IFERROR(IF(__Retrofit_TI_NC&lt;&gt;0,TRUE,IFERROR(IF(VLOOKUP(U222,Fixtures_Existing_List,2,FALSE)&lt;&gt;"",TRUE,FALSE),FALSE)),FALSE)</f>
        <v>0</v>
      </c>
      <c r="HF222" s="1379" t="b">
        <f>IFERROR(IF(VLOOKUP(U223,Fixtures_Proposed_List,2,FALSE)&lt;&gt;"",TRUE,FALSE),FALSE)</f>
        <v>0</v>
      </c>
      <c r="HG222" s="1379" t="b">
        <f>IF(AND(__Retrofit_TI_NC=2,EZ221=TRUE),FALSE,TRUE)</f>
        <v>1</v>
      </c>
      <c r="HH222" s="1379" t="b">
        <f>GG221</f>
        <v>1</v>
      </c>
      <c r="HI222" s="1384" t="b">
        <f>IF(ISERROR(MATCH(FB221,_Control_Match[],0))=TRUE,FALSE,TRUE)</f>
        <v>0</v>
      </c>
      <c r="HJ222" s="1384" t="b">
        <f>IFERROR(IF(EU221&lt;&gt;EV221,FALSE,TRUE),FALSE)</f>
        <v>0</v>
      </c>
      <c r="HK222" s="1384" t="b">
        <f>IFERROR(IF(EU223&lt;&gt;EV223,FALSE,TRUE),FALSE)</f>
        <v>0</v>
      </c>
      <c r="HL222" s="1379" t="b">
        <f>IFERROR(IF(CN221="Exterior",TRUE,IF(OR(AND(FJ221=0,EW223&gt;4),AND(FJ221=4,EW223&gt;4,EW223&lt;7)),FALSE,TRUE)),FALSE)</f>
        <v>0</v>
      </c>
      <c r="HM222" s="1379" t="b">
        <f>IFERROR(IF(AND(FL223=7,EZ221=TRUE),FALSE,TRUE),FALSE)</f>
        <v>0</v>
      </c>
      <c r="HN222" s="1379" t="b">
        <f>IFERROR(IF(AND(T223&lt;&gt;AE223,AF223="Interior LLLC")=TRUE,FALSE,TRUE),FALSE)</f>
        <v>1</v>
      </c>
      <c r="HO222" s="1379" t="b">
        <f>IFERROR(IF(OR(AF223=Lookup!AU$13,AF223=Lookup!AU$14)=TRUE,IF(AE223&gt;T223,FALSE,TRUE),TRUE),FALSE)</f>
        <v>1</v>
      </c>
      <c r="HP222" s="1379" t="b">
        <f>IFERROR(IF(__Retrofit_TI_NC=2,IF(EW223&lt;EW221,FALSE,TRUE),TRUE),FALSE)</f>
        <v>1</v>
      </c>
      <c r="HQ222" s="1379" t="b">
        <f>IF(CN221="Interior",IG$6,TRUE)</f>
        <v>1</v>
      </c>
      <c r="HR222" s="1379" t="b">
        <f>IF(CN221="Exterior",IG$8,TRUE)</f>
        <v>1</v>
      </c>
      <c r="HS222" s="1379" t="b">
        <f>IFERROR(IF(__Retrofit_TI_NC&lt;&gt;0,IF(AW221&lt;AV221,FALSE,TRUE),TRUE),FALSE)</f>
        <v>1</v>
      </c>
      <c r="HT222" s="1379" t="b">
        <f>IFERROR(IF(AND(G222="Exterior",R222&gt;4200),FALSE,TRUE),FALSE)</f>
        <v>1</v>
      </c>
      <c r="HU222" s="1379" t="b">
        <f>IFERROR(IF(AB224/AB221&lt;HU$18,FALSE,TRUE),FALSE)</f>
        <v>0</v>
      </c>
      <c r="HW222" s="1382"/>
      <c r="HX222" s="1378"/>
      <c r="HY222" s="1377" t="str">
        <f>VLOOKUP(HW224,_Error_Table,4,FALSE)</f>
        <v>White</v>
      </c>
      <c r="HZ222" s="436"/>
      <c r="IA222" s="1386"/>
      <c r="IB222" s="1380"/>
      <c r="IC222" s="1379"/>
      <c r="IF222" s="1380"/>
      <c r="IG222" s="1382"/>
      <c r="IH222" s="1382"/>
      <c r="II222" s="1382"/>
      <c r="IK222" s="1351"/>
      <c r="IL222" s="1351"/>
      <c r="IM222" s="1351"/>
      <c r="IN222" s="1351"/>
      <c r="IO222" s="1351"/>
      <c r="IP222" s="1351"/>
    </row>
    <row r="223" spans="1:250" s="82" customFormat="1" ht="14.95" customHeight="1" thickTop="1" thickBot="1">
      <c r="A223" s="82">
        <f>ROW()</f>
        <v>223</v>
      </c>
      <c r="B223" s="1421"/>
      <c r="C223" s="1422"/>
      <c r="D223" s="1423"/>
      <c r="E223" s="1393" t="s">
        <v>245</v>
      </c>
      <c r="F223" s="1394"/>
      <c r="G223" s="1398"/>
      <c r="H223" s="1399"/>
      <c r="I223" s="1399"/>
      <c r="J223" s="1399"/>
      <c r="K223" s="1399"/>
      <c r="L223" s="1400"/>
      <c r="M223" s="509">
        <f>IFERROR(IF(IF(__Retrofit_TI_NC&lt;&gt;0,IF(CN221="Interior",MATCH(G223,Lookup_Interior_New,0),MATCH(G223,Lookup_Exterior_New,0)),IF(CN221="Interior",MATCH(G223,Lookup_Interior,0),MATCH(G223,Lookup_Exterior_Areas,0)))&gt;0,1,0),0)</f>
        <v>0</v>
      </c>
      <c r="N223" s="509" t="e">
        <f>IF(__Retrofit_TI_NC=1,
VLOOKUP(G223,'Space Table'!$B$3:$L$160,4,FALSE),
IF(__Retrofit_TI_NC=2,VLOOKUP(G223,'Space Table'!$B$3:$L$160,5,FALSE),VLOOKUP(G223,'Space Table'!$B$3:$L$160,5,FALSE)))</f>
        <v>#N/A</v>
      </c>
      <c r="O223" s="509">
        <f>G223</f>
        <v>0</v>
      </c>
      <c r="P223" s="1394" t="s">
        <v>355</v>
      </c>
      <c r="Q223" s="1394"/>
      <c r="R223" s="674"/>
      <c r="S223" s="1401" t="s">
        <v>284</v>
      </c>
      <c r="T223" s="672"/>
      <c r="U223" s="1499"/>
      <c r="V223" s="1500"/>
      <c r="W223" s="1500"/>
      <c r="X223" s="1500"/>
      <c r="Y223" s="1500"/>
      <c r="Z223" s="1500"/>
      <c r="AA223" s="1500"/>
      <c r="AB223" s="1501"/>
      <c r="AC223" s="1501"/>
      <c r="AD223" s="1502"/>
      <c r="AE223" s="672"/>
      <c r="AF223" s="1474"/>
      <c r="AG223" s="1474"/>
      <c r="AH223" s="1474"/>
      <c r="AI223" s="1474"/>
      <c r="AJ223" s="1475">
        <f>DF223</f>
        <v>0</v>
      </c>
      <c r="AK223" s="1470" t="str">
        <f>IFERROR(ROUND(AJ223*AC224,0),"")</f>
        <v/>
      </c>
      <c r="AL223" s="1472">
        <f>IFERROR(IF(HW221=FALSE,0,AC224-AK223),0)</f>
        <v>0</v>
      </c>
      <c r="AM223" s="1441"/>
      <c r="AN223" s="1442"/>
      <c r="AO223" s="1447"/>
      <c r="AP223" s="1447"/>
      <c r="AQ223" s="1448"/>
      <c r="AR223" s="1452"/>
      <c r="AS223" s="1455"/>
      <c r="AT223" s="1458"/>
      <c r="AU223" s="516"/>
      <c r="AV223" s="1479"/>
      <c r="AW223" s="1479"/>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M223" s="1352"/>
      <c r="CN223" s="1352"/>
      <c r="CO223" s="1415" t="str">
        <f>CN221</f>
        <v/>
      </c>
      <c r="CP223" s="1417" t="e">
        <f>CP221</f>
        <v>#N/A</v>
      </c>
      <c r="CR223" s="1386" t="s">
        <v>284</v>
      </c>
      <c r="CS223" s="1353">
        <f>IF(HW221=TRUE,T223,0)</f>
        <v>0</v>
      </c>
      <c r="CT223" s="1353" t="str">
        <f>IF(HW221=TRUE,U223,"")</f>
        <v/>
      </c>
      <c r="CU223" s="1373">
        <f>IF(HW221=TRUE,U224,0)</f>
        <v>0</v>
      </c>
      <c r="CV223" s="1370">
        <f>IF(HW221=TRUE,AB224,0)</f>
        <v>0</v>
      </c>
      <c r="CW223" s="1370">
        <f>IF(HW221=TRUE,AC224,0)</f>
        <v>0</v>
      </c>
      <c r="CX223" s="1371"/>
      <c r="CY223" s="1486"/>
      <c r="CZ223" s="1486"/>
      <c r="DA223" s="1486"/>
      <c r="DC223" s="1353">
        <f>IF(HW221=TRUE,AE223,0)</f>
        <v>0</v>
      </c>
      <c r="DD223" s="1353" t="str">
        <f>IF(HW221=TRUE,AF223,"")</f>
        <v/>
      </c>
      <c r="DE223" s="1373">
        <f>AF224</f>
        <v>0</v>
      </c>
      <c r="DF223" s="1406">
        <f>IFERROR(IF(FL223=3,IK223,IF(FL223=4,IL223,IF(FL223=5,IM223,IF(FL223=6,IN223,IF(FL223=7,IO223,IF(FL223=8,IP223,0)))))),0)</f>
        <v>0</v>
      </c>
      <c r="DG223" s="1370">
        <f>IF(HW221=TRUE,AK223,0)</f>
        <v>0</v>
      </c>
      <c r="DH223" s="1369"/>
      <c r="DK223" s="1483">
        <f>IFERROR(CW223-DG223,0)</f>
        <v>0</v>
      </c>
      <c r="DL223" s="1420"/>
      <c r="DN223" s="1403"/>
      <c r="DO223" s="1477" t="str">
        <f>DN221</f>
        <v/>
      </c>
      <c r="DP223" s="1354"/>
      <c r="DQ223" s="1477" t="str">
        <f>IF(DP221=7,"LLLC","")</f>
        <v/>
      </c>
      <c r="DR223" s="1403"/>
      <c r="DS223" s="1489"/>
      <c r="DU223" s="1403"/>
      <c r="DV223" s="1404" t="str">
        <f>DU221</f>
        <v/>
      </c>
      <c r="DW223" s="1403"/>
      <c r="DX223" s="1403"/>
      <c r="DZ223" s="1481"/>
      <c r="EA223" s="1481"/>
      <c r="EC223" s="1482"/>
      <c r="ED223" s="1369"/>
      <c r="EE223" s="1371"/>
      <c r="EF223" s="1369"/>
      <c r="EG223" s="1369"/>
      <c r="EH223" s="1374"/>
      <c r="EI223" s="1374"/>
      <c r="EJ223" s="1363"/>
      <c r="EK223" s="1376"/>
      <c r="EL223" s="1376"/>
      <c r="EM223" s="1362"/>
      <c r="EN223" s="1362"/>
      <c r="EO223" s="1363"/>
      <c r="EP223" s="1363"/>
      <c r="EQ223" s="1363"/>
      <c r="ES223" s="1403"/>
      <c r="EU223" s="1411" t="e">
        <f>VLOOKUP(CP223,'Space Table'!$B$3:$L$160,8,FALSE)</f>
        <v>#N/A</v>
      </c>
      <c r="EV223" s="1411" t="e">
        <f>IF(EY223="Yes",VLOOKUP(AF223,Lookup_Control_Type_Table2,4,FALSE),VLOOKUP(AF223,Lookup_Control_Type_Table2,3,FALSE))</f>
        <v>#N/A</v>
      </c>
      <c r="EW223" s="1411" t="e">
        <f>VLOOKUP(AF223,Lookup!AU$3:AV$15,2,FALSE)</f>
        <v>#N/A</v>
      </c>
      <c r="EX223" s="1411" t="e">
        <f>VLOOKUP(EU221,Lookup_Control_Type_Table,2,FALSE)</f>
        <v>#N/A</v>
      </c>
      <c r="EY223" s="1411" t="e">
        <f>VLOOKUP(CP223,'Space Table'!$B$3:$L$160,7,FALSE)</f>
        <v>#N/A</v>
      </c>
      <c r="EZ223" s="1413"/>
      <c r="FB223" s="1365" t="str">
        <f>CONCATENATE(CN221," - ",AF223)</f>
        <v xml:space="preserve"> - </v>
      </c>
      <c r="FD223" s="1354"/>
      <c r="FE223" s="1354"/>
      <c r="FF223" s="138"/>
      <c r="FI223" s="1356" t="str">
        <f>IF(CN221="Exterior","Not Daylighted",G224)</f>
        <v>Not Daylighted</v>
      </c>
      <c r="FJ223" s="1356">
        <f>VLOOKUP(FI223,_Daylight_Table_Codes,2,FALSE)</f>
        <v>0</v>
      </c>
      <c r="FK223" s="1365">
        <f>AF223</f>
        <v>0</v>
      </c>
      <c r="FL223" s="1365" t="e">
        <f>VLOOKUP(FK223,_Control_Table,2,FALSE)</f>
        <v>#N/A</v>
      </c>
      <c r="FM223" s="1365" t="e">
        <f>IF(AND(FP223&gt;0,FK223="Occupancy Sensor"),"Daylight + Occupancy",IF(AND(FP223&gt;0,FL223&lt;4),"Interior Daylight Dimming",FK223))</f>
        <v>#N/A</v>
      </c>
      <c r="FO223" s="1364">
        <f>IF(CN221="Interior",VLOOKUP(CP221,Control_Savings_Interior,5,FALSE),0)</f>
        <v>0</v>
      </c>
      <c r="FP223" s="1361">
        <f>IF(CN223="Exterior",0,IF(FJ223=2,0.5,IF(OR(FJ223=1,FJ223=3),1,0)))</f>
        <v>0</v>
      </c>
      <c r="FQ223" s="1366">
        <f>IF(R222&gt;FO$37,(FO223*(FO$37/R222)),FO223)*FP223</f>
        <v>0</v>
      </c>
      <c r="FR223" s="1364">
        <f>DF223</f>
        <v>0</v>
      </c>
      <c r="FS223" s="1364">
        <f>ROUND(FR223+((1-FR223)*FQ223),2)</f>
        <v>0</v>
      </c>
      <c r="FT223" s="1364">
        <f>IF(__Retrofit_TI_NC=2,FS223,FR223)</f>
        <v>0</v>
      </c>
      <c r="FU223" s="1360">
        <f>IF(CO223="Interior",VLOOKUP(CP223,Control_Savings_Interior,4,FALSE),0)</f>
        <v>0</v>
      </c>
      <c r="FW223" s="1352"/>
      <c r="FX223" s="1352"/>
      <c r="FY223" s="1352"/>
      <c r="FZ223" s="1352"/>
      <c r="GA223" s="1352"/>
      <c r="GB223" s="1352"/>
      <c r="GC223" s="1352"/>
      <c r="GD223" s="1352"/>
      <c r="GE223" s="759" t="b">
        <f>IF(ISNUMBER(SEARCH("TLED",U223)),TRUE,FALSE)</f>
        <v>0</v>
      </c>
      <c r="GF223" s="1035" t="str">
        <f>IFERROR(VLOOKUP(U223,Fixtures!DM$93:DR$142,6,FALSE),"")</f>
        <v/>
      </c>
      <c r="GG223" s="1385"/>
      <c r="GI223" s="1383"/>
      <c r="GJ223" s="1379"/>
      <c r="GL223" s="1379"/>
      <c r="GM223" s="1379"/>
      <c r="HC223" s="1379"/>
      <c r="HD223" s="1379"/>
      <c r="HE223" s="1379"/>
      <c r="HF223" s="1379"/>
      <c r="HG223" s="1379"/>
      <c r="HH223" s="1379"/>
      <c r="HI223" s="1383"/>
      <c r="HJ223" s="1383"/>
      <c r="HK223" s="1383"/>
      <c r="HL223" s="1379"/>
      <c r="HM223" s="1379"/>
      <c r="HN223" s="1379"/>
      <c r="HO223" s="1379"/>
      <c r="HP223" s="1379"/>
      <c r="HQ223" s="1379"/>
      <c r="HR223" s="1379"/>
      <c r="HS223" s="1379"/>
      <c r="HT223" s="1379"/>
      <c r="HU223" s="1379"/>
      <c r="HW223" s="1383"/>
      <c r="HX223" s="1384" t="b">
        <f>HW221</f>
        <v>0</v>
      </c>
      <c r="HY223" s="1378"/>
      <c r="HZ223" s="436"/>
      <c r="IA223" s="1386"/>
      <c r="IB223" s="1380">
        <f>IF(IA221=TRUE,AC224,0)</f>
        <v>0</v>
      </c>
      <c r="IC223" s="1379"/>
      <c r="IF223" s="1380" t="e">
        <f>ROUND(T223*AB224*N222*R222/1000,0)</f>
        <v>#VALUE!</v>
      </c>
      <c r="IG223" s="1382"/>
      <c r="IH223" s="1384" t="e">
        <f>ROUND(T223*AB224*N222*R222/1000,0)</f>
        <v>#VALUE!</v>
      </c>
      <c r="II223" s="1382"/>
      <c r="IK223" s="1351" t="e">
        <f>IF($CO223="interior",IL223/2,VLOOKUP($CP223,Control_Savings_Exterior,IK$30,FALSE))</f>
        <v>#N/A</v>
      </c>
      <c r="IL223" s="1351" t="e">
        <f>IF($CO223="interior",VLOOKUP($CP223,Control_Savings_Interior,IL$30,FALSE),VLOOKUP($CP223,Control_Savings_Exterior,IL$30,FALSE))</f>
        <v>#N/A</v>
      </c>
      <c r="IM223" s="1351" t="e">
        <f>IF($CO223="interior",IF(R222&gt;FO$37,(IM$28*(FO$37/R222)),IM$28)*FP223,VLOOKUP($CP223,Control_Savings_Exterior,IM$30,FALSE))</f>
        <v>#N/A</v>
      </c>
      <c r="IN223" s="1351" t="e">
        <f>IF($CO223="interior",ROUND(((1-IL223)*IM223)+IL223,2),VLOOKUP($CP223,Control_Savings_Exterior,IN$30,FALSE))</f>
        <v>#N/A</v>
      </c>
      <c r="IO223" s="1351" t="e">
        <f>IF($CO223="interior", ROUND(((1-IL223)*(IM223*(1-IP$28)))+IP223,2), VLOOKUP($CP223,Control_Savings_Exterior,IO$30,FALSE))</f>
        <v>#N/A</v>
      </c>
      <c r="IP223" s="1351">
        <f>IF($CO223="interior",ROUND(((1-IL223)*IP$28)+IL223,2),0)</f>
        <v>0</v>
      </c>
    </row>
    <row r="224" spans="1:250" s="82" customFormat="1" ht="14.95" customHeight="1" thickTop="1" thickBot="1">
      <c r="B224" s="1421"/>
      <c r="C224" s="1422"/>
      <c r="D224" s="1423"/>
      <c r="E224" s="1462" t="s">
        <v>357</v>
      </c>
      <c r="F224" s="1463"/>
      <c r="G224" s="1464" t="s">
        <v>362</v>
      </c>
      <c r="H224" s="1465"/>
      <c r="I224" s="1465"/>
      <c r="J224" s="1465"/>
      <c r="K224" s="1465"/>
      <c r="L224" s="1466"/>
      <c r="M224" s="669">
        <f>IFERROR(VLOOKUP(G224,_Daylight_Table[],2,FALSE),0)</f>
        <v>0</v>
      </c>
      <c r="N224" s="670"/>
      <c r="O224" s="669" t="e">
        <f>VLOOKUP(G223,'Space Table'!$B$3:$L$160,11,FALSE)</f>
        <v>#N/A</v>
      </c>
      <c r="P224" s="1408"/>
      <c r="Q224" s="1409"/>
      <c r="R224" s="1409"/>
      <c r="S224" s="1402"/>
      <c r="T224" s="671" t="s">
        <v>281</v>
      </c>
      <c r="U224" s="1467"/>
      <c r="V224" s="1468"/>
      <c r="W224" s="1468"/>
      <c r="X224" s="1468"/>
      <c r="Y224" s="1468"/>
      <c r="Z224" s="1468"/>
      <c r="AA224" s="1468"/>
      <c r="AB224" s="1046" t="str">
        <f>IFERROR(VLOOKUP(U223,Fixtures_Proposed_List,2,FALSE),"")</f>
        <v/>
      </c>
      <c r="AC224" s="1036" t="str">
        <f>IFERROR(ROUND(T223*AB224*N222*R222/1000,0),"")</f>
        <v/>
      </c>
      <c r="AD224" s="1037" t="str">
        <f>IFERROR(ROUND(T223*AB224/1000,2),"")</f>
        <v/>
      </c>
      <c r="AE224" s="1045" t="s">
        <v>281</v>
      </c>
      <c r="AF224" s="1469"/>
      <c r="AG224" s="1469"/>
      <c r="AH224" s="1469"/>
      <c r="AI224" s="1469"/>
      <c r="AJ224" s="1476"/>
      <c r="AK224" s="1471"/>
      <c r="AL224" s="1473"/>
      <c r="AM224" s="1443"/>
      <c r="AN224" s="1444"/>
      <c r="AO224" s="1449"/>
      <c r="AP224" s="1449"/>
      <c r="AQ224" s="1450"/>
      <c r="AR224" s="1453"/>
      <c r="AS224" s="1456"/>
      <c r="AT224" s="1459"/>
      <c r="AU224" s="517"/>
      <c r="AV224" s="1480"/>
      <c r="AW224" s="1480"/>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M224" s="1352"/>
      <c r="CN224" s="1352"/>
      <c r="CO224" s="1416"/>
      <c r="CP224" s="1418"/>
      <c r="CR224" s="1386"/>
      <c r="CS224" s="1355"/>
      <c r="CT224" s="1355"/>
      <c r="CU224" s="1375"/>
      <c r="CV224" s="1372"/>
      <c r="CW224" s="1372"/>
      <c r="CX224" s="1372"/>
      <c r="CY224" s="1487"/>
      <c r="CZ224" s="1487"/>
      <c r="DA224" s="1487"/>
      <c r="DC224" s="1355"/>
      <c r="DD224" s="1355"/>
      <c r="DE224" s="1375"/>
      <c r="DF224" s="1407"/>
      <c r="DG224" s="1372"/>
      <c r="DH224" s="1369"/>
      <c r="DK224" s="1484"/>
      <c r="DL224" s="1420"/>
      <c r="DN224" s="1403"/>
      <c r="DO224" s="1405"/>
      <c r="DP224" s="1355"/>
      <c r="DQ224" s="1405"/>
      <c r="DR224" s="1403"/>
      <c r="DS224" s="1489"/>
      <c r="DU224" s="1403"/>
      <c r="DV224" s="1405"/>
      <c r="DW224" s="1403"/>
      <c r="DX224" s="1403"/>
      <c r="DZ224" s="1481"/>
      <c r="EA224" s="1481"/>
      <c r="EC224" s="1482"/>
      <c r="ED224" s="1369"/>
      <c r="EE224" s="1372"/>
      <c r="EF224" s="1369"/>
      <c r="EG224" s="1369"/>
      <c r="EH224" s="1375"/>
      <c r="EI224" s="1375"/>
      <c r="EJ224" s="1363"/>
      <c r="EK224" s="1376"/>
      <c r="EL224" s="1376"/>
      <c r="EM224" s="1362"/>
      <c r="EN224" s="1362"/>
      <c r="EO224" s="1363"/>
      <c r="EP224" s="1363"/>
      <c r="EQ224" s="1363"/>
      <c r="ES224" s="1403"/>
      <c r="EU224" s="1488"/>
      <c r="EV224" s="1488"/>
      <c r="EW224" s="1488"/>
      <c r="EX224" s="1488"/>
      <c r="EY224" s="1488"/>
      <c r="EZ224" s="1414"/>
      <c r="FB224" s="1365"/>
      <c r="FD224" s="1355"/>
      <c r="FE224" s="1355"/>
      <c r="FF224" s="138"/>
      <c r="FI224" s="1357"/>
      <c r="FJ224" s="1357"/>
      <c r="FK224" s="1365"/>
      <c r="FL224" s="1365"/>
      <c r="FM224" s="1365"/>
      <c r="FO224" s="1361"/>
      <c r="FP224" s="1361"/>
      <c r="FQ224" s="1366"/>
      <c r="FR224" s="1361"/>
      <c r="FS224" s="1361"/>
      <c r="FT224" s="1361"/>
      <c r="FU224" s="1360"/>
      <c r="FW224" s="1352"/>
      <c r="FX224" s="1352"/>
      <c r="FY224" s="1352"/>
      <c r="FZ224" s="1352"/>
      <c r="GA224" s="1352"/>
      <c r="GB224" s="1352"/>
      <c r="GC224" s="1352"/>
      <c r="GD224" s="1352"/>
      <c r="GE224" s="759"/>
      <c r="GF224" s="1035"/>
      <c r="GG224" s="1385"/>
      <c r="GJ224" s="1034">
        <f>IF(GJ222=TRUE,0,GJ$16)</f>
        <v>0</v>
      </c>
      <c r="GL224" s="1034">
        <f>IF(GL222=TRUE,0,GL$16)</f>
        <v>36</v>
      </c>
      <c r="GM224" s="1034">
        <f>IF(GM222=TRUE,0,GM$16)</f>
        <v>35</v>
      </c>
      <c r="GN224" s="436"/>
      <c r="GO224" s="436"/>
      <c r="GP224" s="436"/>
      <c r="GQ224" s="436"/>
      <c r="GR224" s="436"/>
      <c r="HC224" s="1034">
        <f t="shared" ref="HC224:HH224" si="154">IF(HC222=TRUE,0,HC$16)</f>
        <v>19</v>
      </c>
      <c r="HD224" s="1034">
        <f t="shared" si="154"/>
        <v>18</v>
      </c>
      <c r="HE224" s="1034">
        <f t="shared" si="154"/>
        <v>17</v>
      </c>
      <c r="HF224" s="1034">
        <f t="shared" si="154"/>
        <v>16</v>
      </c>
      <c r="HG224" s="1034">
        <f t="shared" si="154"/>
        <v>0</v>
      </c>
      <c r="HH224" s="1034">
        <f t="shared" si="154"/>
        <v>0</v>
      </c>
      <c r="HI224" s="1034">
        <f>IF(HI222=TRUE,0,HI$16)</f>
        <v>13</v>
      </c>
      <c r="HJ224" s="1034">
        <f t="shared" ref="HJ224:HL224" si="155">IF(HJ222=TRUE,0,HJ$16)</f>
        <v>12</v>
      </c>
      <c r="HK224" s="1034">
        <f t="shared" si="155"/>
        <v>11</v>
      </c>
      <c r="HL224" s="1034">
        <f t="shared" si="155"/>
        <v>10</v>
      </c>
      <c r="HM224" s="1034">
        <f>IF(HM222=TRUE,0,HM$16)</f>
        <v>9</v>
      </c>
      <c r="HN224" s="1034">
        <f t="shared" ref="HN224:HR224" si="156">IF(HN222=TRUE,0,HN$16)</f>
        <v>0</v>
      </c>
      <c r="HO224" s="1034">
        <f t="shared" si="156"/>
        <v>0</v>
      </c>
      <c r="HP224" s="1034">
        <f t="shared" si="156"/>
        <v>0</v>
      </c>
      <c r="HQ224" s="1034">
        <f t="shared" si="156"/>
        <v>0</v>
      </c>
      <c r="HR224" s="1034">
        <f t="shared" si="156"/>
        <v>0</v>
      </c>
      <c r="HS224" s="1034">
        <f>IF(HS222=TRUE,0,HS$16)</f>
        <v>0</v>
      </c>
      <c r="HT224" s="1034">
        <f t="shared" ref="HT224" si="157">IF(HT222=TRUE,0,HT$16)</f>
        <v>0</v>
      </c>
      <c r="HU224" s="1034">
        <f>IF(HU222=TRUE,0,HU$16)</f>
        <v>1</v>
      </c>
      <c r="HW224" s="1034">
        <f>IF(GL222=FALSE,GL224,IF(GM222=FALSE,GM224,MAX(GJ224:HU224)))</f>
        <v>36</v>
      </c>
      <c r="HX224" s="1383"/>
      <c r="HY224" s="241" t="str">
        <f>VLOOKUP(HW224,_Error_Table,3,FALSE)</f>
        <v xml:space="preserve"> </v>
      </c>
      <c r="HZ224" s="241"/>
      <c r="IA224" s="1386"/>
      <c r="IB224" s="1380"/>
      <c r="IC224" s="1379"/>
      <c r="IF224" s="1380"/>
      <c r="IG224" s="1383"/>
      <c r="IH224" s="1383"/>
      <c r="II224" s="1383"/>
      <c r="IK224" s="1351"/>
      <c r="IL224" s="1351"/>
      <c r="IM224" s="1351"/>
      <c r="IN224" s="1351"/>
      <c r="IO224" s="1351"/>
      <c r="IP224" s="1351"/>
    </row>
    <row r="225" spans="1:250" s="82" customFormat="1" ht="5.0999999999999996" customHeight="1" thickBot="1">
      <c r="B225" s="763"/>
      <c r="C225" s="1038"/>
      <c r="D225" s="1038"/>
      <c r="E225" s="1490"/>
      <c r="F225" s="1490"/>
      <c r="G225" s="1490"/>
      <c r="H225" s="1490"/>
      <c r="I225" s="1490"/>
      <c r="J225" s="1490"/>
      <c r="K225" s="1490"/>
      <c r="L225" s="1490"/>
      <c r="M225" s="1490"/>
      <c r="N225" s="1490"/>
      <c r="O225" s="1490"/>
      <c r="P225" s="1490"/>
      <c r="Q225" s="1490"/>
      <c r="R225" s="1490"/>
      <c r="S225" s="1490"/>
      <c r="T225" s="1490"/>
      <c r="U225" s="1490"/>
      <c r="V225" s="1490"/>
      <c r="W225" s="1490"/>
      <c r="X225" s="1490"/>
      <c r="Y225" s="1490"/>
      <c r="Z225" s="1490"/>
      <c r="AA225" s="1490"/>
      <c r="AB225" s="1490"/>
      <c r="AC225" s="1490"/>
      <c r="AD225" s="1490"/>
      <c r="AE225" s="1490"/>
      <c r="AF225" s="1490"/>
      <c r="AG225" s="1490"/>
      <c r="AH225" s="1490"/>
      <c r="AI225" s="1490"/>
      <c r="AJ225" s="1490"/>
      <c r="AK225" s="1490"/>
      <c r="AL225" s="1490"/>
      <c r="AM225" s="1490"/>
      <c r="AN225" s="1490"/>
      <c r="AO225" s="1490"/>
      <c r="AP225" s="1490"/>
      <c r="AQ225" s="1490"/>
      <c r="AR225" s="1490"/>
      <c r="AS225" s="1490"/>
      <c r="AT225" s="1490"/>
      <c r="AU225" s="1041"/>
      <c r="BC225" s="38"/>
      <c r="BD225" s="38"/>
      <c r="BE225" s="38"/>
      <c r="BF225" s="38"/>
      <c r="BG225" s="38"/>
      <c r="BH225" s="38"/>
      <c r="BI225" s="38"/>
      <c r="BJ225" s="38"/>
      <c r="BK225" s="38"/>
      <c r="BL225" s="38"/>
      <c r="BM225" s="38"/>
      <c r="BN225" s="38"/>
      <c r="BO225" s="38"/>
      <c r="BP225" s="38"/>
      <c r="BQ225" s="38"/>
      <c r="BR225" s="38"/>
      <c r="BS225" s="38"/>
      <c r="BT225" s="38"/>
      <c r="BU225" s="38"/>
      <c r="BV225" s="38"/>
      <c r="BW225" s="38"/>
      <c r="BX225" s="38"/>
      <c r="BY225" s="38"/>
      <c r="BZ225" s="38"/>
      <c r="CA225" s="38"/>
      <c r="CB225" s="38"/>
      <c r="CC225" s="38"/>
      <c r="CD225" s="38"/>
      <c r="CE225" s="38"/>
      <c r="CF225" s="38"/>
      <c r="CG225" s="38"/>
      <c r="CH225" s="38"/>
      <c r="CI225" s="38"/>
      <c r="CM225" s="749"/>
      <c r="CN225" s="749"/>
      <c r="CO225" s="1043"/>
      <c r="CP225" s="749"/>
      <c r="CS225" s="436"/>
      <c r="CT225" s="436"/>
      <c r="CU225" s="243"/>
      <c r="CV225" s="244"/>
      <c r="CW225" s="244"/>
      <c r="CX225" s="244"/>
      <c r="CY225" s="245"/>
      <c r="CZ225" s="245"/>
      <c r="DA225" s="245"/>
      <c r="DC225" s="750"/>
      <c r="DD225" s="751"/>
      <c r="DE225" s="752"/>
      <c r="DF225" s="753"/>
      <c r="DG225" s="754"/>
      <c r="DH225" s="754"/>
      <c r="DK225" s="244"/>
      <c r="DL225" s="750"/>
      <c r="DN225" s="750"/>
      <c r="DO225" s="755"/>
      <c r="DP225" s="436"/>
      <c r="DQ225" s="750"/>
      <c r="DR225" s="750"/>
      <c r="DS225" s="750"/>
      <c r="DU225" s="750"/>
      <c r="DV225" s="750"/>
      <c r="DW225" s="750"/>
      <c r="DX225" s="750"/>
      <c r="DZ225" s="756"/>
      <c r="EA225" s="756"/>
      <c r="EC225" s="754"/>
      <c r="ED225" s="754"/>
      <c r="EE225" s="244"/>
      <c r="EF225" s="754"/>
      <c r="EG225" s="754"/>
      <c r="EH225" s="243"/>
      <c r="EI225" s="243"/>
      <c r="EJ225" s="752"/>
      <c r="EK225" s="757"/>
      <c r="EL225" s="757"/>
      <c r="EM225" s="758"/>
      <c r="EN225" s="758"/>
      <c r="EO225" s="752"/>
      <c r="EP225" s="752"/>
      <c r="EQ225" s="752"/>
      <c r="ES225" s="750"/>
      <c r="EU225" s="436"/>
      <c r="EV225" s="436"/>
      <c r="EW225" s="436"/>
      <c r="EX225" s="436"/>
      <c r="EY225" s="436"/>
      <c r="EZ225" s="436"/>
      <c r="FB225" s="643"/>
      <c r="FD225" s="436"/>
      <c r="FE225" s="436"/>
      <c r="FF225" s="436"/>
      <c r="FO225" s="750"/>
      <c r="FP225" s="436"/>
      <c r="FQ225" s="436"/>
      <c r="FR225" s="750"/>
      <c r="FS225" s="750"/>
      <c r="FW225" s="749"/>
      <c r="FX225" s="749"/>
      <c r="FY225" s="749"/>
      <c r="FZ225" s="749"/>
      <c r="GA225" s="749"/>
      <c r="GB225" s="749"/>
      <c r="GC225" s="749"/>
      <c r="GD225" s="749"/>
      <c r="GE225" s="751"/>
      <c r="GF225" s="750"/>
      <c r="GG225" s="750"/>
    </row>
    <row r="226" spans="1:250" s="82" customFormat="1" ht="14.95" customHeight="1" thickTop="1" thickBot="1">
      <c r="B226" s="1421" t="str">
        <f>HY229</f>
        <v xml:space="preserve"> </v>
      </c>
      <c r="C226" s="1422">
        <f>C221+1</f>
        <v>37</v>
      </c>
      <c r="D226" s="1423"/>
      <c r="E226" s="1424" t="s">
        <v>242</v>
      </c>
      <c r="F226" s="1425"/>
      <c r="G226" s="1426"/>
      <c r="H226" s="1427"/>
      <c r="I226" s="1427"/>
      <c r="J226" s="1427"/>
      <c r="K226" s="1427"/>
      <c r="L226" s="1427"/>
      <c r="M226" s="1427"/>
      <c r="N226" s="1427"/>
      <c r="O226" s="1427"/>
      <c r="P226" s="1427"/>
      <c r="Q226" s="1427"/>
      <c r="R226" s="1427"/>
      <c r="S226" s="1428" t="s">
        <v>283</v>
      </c>
      <c r="T226" s="668" t="s">
        <v>190</v>
      </c>
      <c r="U226" s="1430" t="s">
        <v>186</v>
      </c>
      <c r="V226" s="1431"/>
      <c r="W226" s="1431"/>
      <c r="X226" s="1431"/>
      <c r="Y226" s="1431"/>
      <c r="Z226" s="1431"/>
      <c r="AA226" s="1431"/>
      <c r="AB226" s="1088" t="str">
        <f>IFERROR(IF(__Retrofit_TI_NC=0,VLOOKUP(U227,Fixtures_Existing_List,2,FALSE),ROUND(N228*R228/T228,10)),"")</f>
        <v/>
      </c>
      <c r="AC226" s="1039" t="str">
        <f>IFERROR(IF(__Retrofit_TI_NC=0,ROUND(T227*AB226*N227*R227/1000,0),IF(CN226="Interior",N228*R228*R227*N227*_C406_reduction/1000,N228*R228*R227*N227/1000)),"")</f>
        <v/>
      </c>
      <c r="AD226" s="1040" t="str">
        <f>IFERROR(IF(C$36=0,ROUND(T227*AB226/1000,2),N228*R228/1000),"")</f>
        <v/>
      </c>
      <c r="AE226" s="1044" t="s">
        <v>190</v>
      </c>
      <c r="AF226" s="1432" t="str">
        <f>IF(__Retrofit_TI_NC=2,CONCATENATE("Code min = ",DD226),IF(__Retrofit_TI_NC=1,"Emter what you think the existing control was"," Control"))</f>
        <v xml:space="preserve"> Control</v>
      </c>
      <c r="AG226" s="1432"/>
      <c r="AH226" s="1432"/>
      <c r="AI226" s="1432"/>
      <c r="AJ226" s="1433">
        <f>DF226</f>
        <v>0</v>
      </c>
      <c r="AK226" s="1435" t="str">
        <f>IFERROR(ROUND(AJ226*AC226,0),"")</f>
        <v/>
      </c>
      <c r="AL226" s="1437">
        <f>IFERROR(IF(HW226=FALSE,0,AC226-AK226),0)</f>
        <v>0</v>
      </c>
      <c r="AM226" s="1439">
        <f>AL226-AL228</f>
        <v>0</v>
      </c>
      <c r="AN226" s="1440"/>
      <c r="AO226" s="1445">
        <f>IFERROR(IF(HW226=FALSE,0,(T228*U229)+(AE228*AF229)),0)</f>
        <v>0</v>
      </c>
      <c r="AP226" s="1445"/>
      <c r="AQ226" s="1446"/>
      <c r="AR226" s="1451" t="s">
        <v>157</v>
      </c>
      <c r="AS226" s="1454">
        <f>IF(AR226="Yes",1,0)</f>
        <v>1</v>
      </c>
      <c r="AT226" s="1457" t="str">
        <f>IF(OR(DN226=4,DN226=5,DN226=6,DN226=12),CONCATENATE("$",IF(GD226=TRUE,Lookup!$B$11,Lookup!$B$2)," /lamp"),CONCATENATE(EA226,"/ kWh"))</f>
        <v>0/ kWh</v>
      </c>
      <c r="AU226" s="516"/>
      <c r="AV226" s="1478">
        <f>IFERROR(IF(GI227=TRUE,(AB229*T228)/R228,0),"NA")</f>
        <v>0</v>
      </c>
      <c r="AW226" s="1478" t="str">
        <f>IFERROR(N228*_C406_reduction,"NA")</f>
        <v>NA</v>
      </c>
      <c r="BC226" s="38"/>
      <c r="BD226" s="38"/>
      <c r="BE226" s="38"/>
      <c r="BF226" s="38"/>
      <c r="BG226" s="38"/>
      <c r="BH226" s="38"/>
      <c r="BI226" s="38"/>
      <c r="BJ226" s="38"/>
      <c r="BK226" s="38"/>
      <c r="BL226" s="38"/>
      <c r="BM226" s="38"/>
      <c r="BN226" s="38"/>
      <c r="BO226" s="38"/>
      <c r="BP226" s="38"/>
      <c r="BQ226" s="38"/>
      <c r="BR226" s="38"/>
      <c r="BS226" s="38"/>
      <c r="BT226" s="38"/>
      <c r="BU226" s="38"/>
      <c r="BV226" s="38"/>
      <c r="BW226" s="38"/>
      <c r="BX226" s="38"/>
      <c r="BY226" s="38"/>
      <c r="BZ226" s="38"/>
      <c r="CA226" s="38"/>
      <c r="CB226" s="38"/>
      <c r="CC226" s="38"/>
      <c r="CD226" s="38"/>
      <c r="CE226" s="38"/>
      <c r="CF226" s="38"/>
      <c r="CG226" s="38"/>
      <c r="CH226" s="38"/>
      <c r="CI226" s="38"/>
      <c r="CM226" s="1352" t="str">
        <f>N227</f>
        <v/>
      </c>
      <c r="CN226" s="1352" t="str">
        <f>IFERROR(VLOOKUP(G227,_Lookup_Heat_Type_Table_New,3,FALSE),"")</f>
        <v/>
      </c>
      <c r="CO226" s="1415" t="str">
        <f>CN226</f>
        <v/>
      </c>
      <c r="CP226" s="1417" t="e">
        <f>VLOOKUP(G228,'Space Table'!$B$3:$L$160,9,FALSE)</f>
        <v>#N/A</v>
      </c>
      <c r="CR226" s="1386" t="s">
        <v>283</v>
      </c>
      <c r="CS226" s="1353">
        <f>IF(HW226=TRUE,T227,0)</f>
        <v>0</v>
      </c>
      <c r="CT226" s="1353" t="str">
        <f>IF(HW226=TRUE,U227,"")</f>
        <v/>
      </c>
      <c r="CU226" s="1353"/>
      <c r="CV226" s="1370">
        <f>IF(HW226=TRUE,AB226,0)</f>
        <v>0</v>
      </c>
      <c r="CW226" s="1370">
        <f>IF(HW226=TRUE,AC226,0)</f>
        <v>0</v>
      </c>
      <c r="CX226" s="1370">
        <f>IFERROR(IF(HW226=TRUE,CW226-CW228,0),0)</f>
        <v>0</v>
      </c>
      <c r="CY226" s="1485">
        <f>IF(HW226=TRUE,AD226,0)</f>
        <v>0</v>
      </c>
      <c r="CZ226" s="1485">
        <f>IF(HW226=TRUE,AD229,0)</f>
        <v>0</v>
      </c>
      <c r="DA226" s="1485">
        <f>IFERROR(CY226-CZ226,0)</f>
        <v>0</v>
      </c>
      <c r="DC226" s="1353">
        <f>IF(HW226=TRUE,AE227,0)</f>
        <v>0</v>
      </c>
      <c r="DD226" s="1460">
        <f>IF(__Retrofit_TI_NC=2,IF(CN226="Exterior",O229,FM226),FK226)</f>
        <v>0</v>
      </c>
      <c r="DE226" s="1353"/>
      <c r="DF226" s="1406">
        <f>IFERROR(IF(FL226=3,IK226,IF(FL226=4,IL226,IF(FL226=5,IM226,IF(FL226=6,IN226,IF(FL226=7,IO226,IF(FL226=8,IP226,0)))))),0)</f>
        <v>0</v>
      </c>
      <c r="DG226" s="1370">
        <f>IF(HW226=TRUE,AK226,0)</f>
        <v>0</v>
      </c>
      <c r="DH226" s="1369">
        <f>IFERROR(IF(HW226=TRUE,DG228-DG226,0),0)</f>
        <v>0</v>
      </c>
      <c r="DJ226" s="1483">
        <f>IFERROR(CW226-DG226,0)</f>
        <v>0</v>
      </c>
      <c r="DL226" s="1419">
        <f>DJ226-DK228</f>
        <v>0</v>
      </c>
      <c r="DN226" s="1403" t="str">
        <f>IFERROR(IF(AND(OR(FY226=4,FY226=5,FY226=6),OR(GB226=4,GB226=5,GB226=6)),FY226+8,VLOOKUP(CT228,Fixtures!R$31:Y$78,8,FALSE)),"")</f>
        <v/>
      </c>
      <c r="DO226" s="1404" t="str">
        <f>DN226</f>
        <v/>
      </c>
      <c r="DP226" s="1353" t="str">
        <f>IFERROR(VLOOKUP(DD228,Lookup!AU$3:AV$15,2,FALSE),"")</f>
        <v/>
      </c>
      <c r="DQ226" s="1404" t="str">
        <f>IF(DP226=7,"LLLC","")</f>
        <v/>
      </c>
      <c r="DR226" s="1403">
        <f>IFERROR(IF(OR(DN226=4,DN226=5,DN226=6,DN226=12,DN226=13,DN226=14),VLOOKUP(CT228,Fixtures!DN$27:EG$77,19,FALSE),1)*CS228,0)</f>
        <v>0</v>
      </c>
      <c r="DS226" s="1489">
        <f>IF(DP226=7,IF(DD226=DD228,0,DC228),0)</f>
        <v>0</v>
      </c>
      <c r="DU226" s="1403" t="str">
        <f>IFERROR(IF(EW226&lt;EW228,"Yes","No"),"")</f>
        <v/>
      </c>
      <c r="DV226" s="1404" t="str">
        <f>DU226</f>
        <v/>
      </c>
      <c r="DW226" s="1403">
        <f>IF(DU226="Yes",DC228,0)</f>
        <v>0</v>
      </c>
      <c r="DX226" s="1403">
        <f>DW226-DS226</f>
        <v>0</v>
      </c>
      <c r="DZ226" s="1481">
        <f>IFERROR(VLOOKUP(DN226,Lookup!AN$3:AO$16,2,FALSE),0)</f>
        <v>0</v>
      </c>
      <c r="EA226" s="1481">
        <f>IF(HW226=FALSE,0,IF(DU226="Yes",DZ226+Lookup!B$6,DZ226))</f>
        <v>0</v>
      </c>
      <c r="EC226" s="1482">
        <f>IF(HW226=TRUE,DJ226,0)</f>
        <v>0</v>
      </c>
      <c r="ED226" s="1369">
        <f>IF(HW226=TRUE,CW228,0)</f>
        <v>0</v>
      </c>
      <c r="EE226" s="1370">
        <f>IFERROR(EC226-ED226,0)</f>
        <v>0</v>
      </c>
      <c r="EF226" s="1369">
        <f>IF(HW226=TRUE,DG228,0)</f>
        <v>0</v>
      </c>
      <c r="EG226" s="1369">
        <f>IFERROR(EC226-ED226+EF226,0)</f>
        <v>0</v>
      </c>
      <c r="EH226" s="1373">
        <f>IF(HW226=TRUE,CS228*CU228,0)</f>
        <v>0</v>
      </c>
      <c r="EI226" s="1373">
        <f>IF(HW226=TRUE,DC228*DE228,0)</f>
        <v>0</v>
      </c>
      <c r="EJ226" s="1363">
        <f>AO226</f>
        <v>0</v>
      </c>
      <c r="EK226" s="1376" t="str">
        <f>IFERROR(IF(HW226=TRUE,VLOOKUP(DN226,Lookup!AN$3:AP$16,3,FALSE)*DR226,""),0)</f>
        <v/>
      </c>
      <c r="EL226" s="1376">
        <f>IF(HW226=TRUE,DW226*Lookup!AP$12,0)</f>
        <v>0</v>
      </c>
      <c r="EM226" s="1362">
        <f>IFERROR(IF(HW226=TRUE,EK226/EM$33,0),0)</f>
        <v>0</v>
      </c>
      <c r="EN226" s="1362">
        <f>IF(HW226=TRUE,EL226/EN$33,0)</f>
        <v>0</v>
      </c>
      <c r="EO226" s="1363">
        <f>IF(HW226=TRUE,EQ$33*EM226,0)</f>
        <v>0</v>
      </c>
      <c r="EP226" s="1363">
        <f>IF(HW226=TRUE,EQ$33*EN226,0)</f>
        <v>0</v>
      </c>
      <c r="EQ226" s="1363">
        <f>EO226+EP226</f>
        <v>0</v>
      </c>
      <c r="ES226" s="1403">
        <f>IF(G226="",0,1)</f>
        <v>0</v>
      </c>
      <c r="EU226" s="1410" t="e">
        <f>VLOOKUP(CP228,'Space Table'!$B$3:$L$160,8,FALSE)</f>
        <v>#N/A</v>
      </c>
      <c r="EV226" s="1410" t="e">
        <f>IF(EY226="Yes",VLOOKUP(DD226,Lookup_Control_Type_Table2,4,FALSE),VLOOKUP(DD226,Lookup_Control_Type_Table2,3,FALSE))</f>
        <v>#N/A</v>
      </c>
      <c r="EW226" s="1410" t="e">
        <f>VLOOKUP(DD226,Lookup!AU$3:AV$15,2,FALSE)</f>
        <v>#N/A</v>
      </c>
      <c r="EX226" s="1410" t="e">
        <f>VLOOKUP(EU226,Lookup_Control_Type_Table,2,FALSE)</f>
        <v>#N/A</v>
      </c>
      <c r="EY226" s="1410" t="e">
        <f>VLOOKUP(CP228,'Space Table'!$B$3:$L$160,7,FALSE)</f>
        <v>#N/A</v>
      </c>
      <c r="EZ226" s="1412" t="b">
        <f>ISNUMBER(SEARCH("TLED",U228))</f>
        <v>0</v>
      </c>
      <c r="FB226" s="1365" t="str">
        <f>CONCATENATE(CN226," - ",DD226)</f>
        <v xml:space="preserve"> - 0</v>
      </c>
      <c r="FD226" s="1353" t="str">
        <f>VLOOKUP(CT228,Fixtures!DN$27:EZ$77,38,FALSE)</f>
        <v/>
      </c>
      <c r="FE226" s="1353">
        <f>IFERROR(FD226*EE226,0)</f>
        <v>0</v>
      </c>
      <c r="FF226" s="138"/>
      <c r="FI226" s="1356" t="str">
        <f>IF(CN226="Exterior","Not Daylighted",G229)</f>
        <v>Not Daylighted</v>
      </c>
      <c r="FJ226" s="1356">
        <f>VLOOKUP(FI226,_Daylight_Table_Codes,2,FALSE)</f>
        <v>0</v>
      </c>
      <c r="FK226" s="1365">
        <f>IF(__Retrofit_TI_NC=2,VLOOKUP(G228,'Space Table'!$B$3:$L$160,11,FALSE),AF227)</f>
        <v>0</v>
      </c>
      <c r="FL226" s="1365" t="e">
        <f>VLOOKUP(FK226,_Control_Table,2,FALSE)</f>
        <v>#N/A</v>
      </c>
      <c r="FM226" s="1365" t="e">
        <f>IF(AND(FP226&gt;0,FK226="Occupancy Sensor"),"Daylight + Occupancy",IF(AND(FP226&gt;0,FL226&lt;4),"Interior Daylight Dimming",FK226))</f>
        <v>#N/A</v>
      </c>
      <c r="FO226" s="1364">
        <f>IF(CO226="Interior",VLOOKUP(CP226,Control_Savings_Interior,5,FALSE),0)</f>
        <v>0</v>
      </c>
      <c r="FP226" s="1361">
        <f>IF(CN226="Exterior",0,IF(FJ226=2,0.5,IF(OR(FJ226=1,FJ226=3),1,0)))</f>
        <v>0</v>
      </c>
      <c r="FQ226" s="1366"/>
      <c r="FR226" s="1367"/>
      <c r="FS226" s="1364"/>
      <c r="FT226" s="1367"/>
      <c r="FU226" s="1360"/>
      <c r="FW226" s="1352" t="str">
        <f>IFERROR(VLOOKUP(U227,_Exist_Fixture_Table,3,FALSE),"")</f>
        <v/>
      </c>
      <c r="FX226" s="1352" t="str">
        <f>VLOOKUP(CT226,_Exist_Fixture_Table,4,FALSE)</f>
        <v/>
      </c>
      <c r="FY226" s="1352">
        <f>IFERROR(VLOOKUP(FX226,Lookup!AM$6:AN$8,2,FALSE),0)</f>
        <v>0</v>
      </c>
      <c r="FZ226" s="1352" t="b">
        <f>IFERROR(IF(OR(GB226=4,GB226=5,GB226=6),TRUE,FALSE),"")</f>
        <v>0</v>
      </c>
      <c r="GA226" s="1352" t="str">
        <f>IFERROR(VLOOKUP(GB226,FY$6:FZ$10,2,FALSE),"")</f>
        <v/>
      </c>
      <c r="GB226" s="1352" t="str">
        <f>VLOOKUP(CT228,Fixtures!R$31:Y$78,8,FALSE)</f>
        <v/>
      </c>
      <c r="GC226" s="1352">
        <f>IF(AND(FW226=TRUE,FZ226=TRUE,OR(DN226=12,DN226=13,DN226=14)),FY226+8,0)</f>
        <v>0</v>
      </c>
      <c r="GD226" s="1352" t="b">
        <f>IF(OR(GC226=12,GC226=13,GC226=14),TRUE,FALSE)</f>
        <v>0</v>
      </c>
      <c r="GE226" s="759" t="b">
        <f>IF(ISNUMBER(SEARCH("TLED",U227)),TRUE,FALSE)</f>
        <v>0</v>
      </c>
      <c r="GF226" s="1035" t="str">
        <f>IFERROR(VLOOKUP(U227,Fixtures!BM$93:BR$142,6,FALSE),"")</f>
        <v/>
      </c>
      <c r="GG226" s="1385" t="b">
        <f>IF(OR(GE226=FALSE,GE228=FALSE),TRUE,IF(GF226-GF228&lt;5,FALSE,TRUE))</f>
        <v>1</v>
      </c>
      <c r="GK226" s="1034">
        <f>GL226</f>
        <v>0</v>
      </c>
      <c r="GL226" s="1034">
        <f>IF(G226="",0,1)</f>
        <v>0</v>
      </c>
      <c r="GM226" s="1034">
        <f>SUM(GN226:HB226)</f>
        <v>2</v>
      </c>
      <c r="GN226" s="1034">
        <f>IF(G227="",0,1)</f>
        <v>0</v>
      </c>
      <c r="GO226" s="1034">
        <f>IF(G228="",0,1)</f>
        <v>0</v>
      </c>
      <c r="GP226" s="1034">
        <f>IF(R227="",0,1)</f>
        <v>0</v>
      </c>
      <c r="GQ226" s="1034">
        <f>IF(__Retrofit_TI_NC=0,1,IF(R228="",0,1))</f>
        <v>1</v>
      </c>
      <c r="GR226" s="1034">
        <f>IF(CN226="Exterior",1,IF(G229="",0,1))</f>
        <v>1</v>
      </c>
      <c r="GS226" s="1034">
        <f>IF(__Retrofit_TI_NC&lt;&gt;0,1,IF(T227="",0,1))</f>
        <v>0</v>
      </c>
      <c r="GT226" s="1034">
        <f>IF(__Retrofit_TI_NC&lt;&gt;0,1,IF(U227="",0,1))</f>
        <v>0</v>
      </c>
      <c r="GU226" s="1034">
        <f>IF(T228="",0,1)</f>
        <v>0</v>
      </c>
      <c r="GV226" s="1034">
        <f>IF(U228="",0,1)</f>
        <v>0</v>
      </c>
      <c r="GW226" s="1034">
        <f>IF(__Retrofit_TI_NC=2,1,IF(U229="",0,1))</f>
        <v>0</v>
      </c>
      <c r="GX226" s="1034">
        <f>IF(__Retrofit_TI_NC&lt;&gt;0,1,IF(AE227="",0,1))</f>
        <v>0</v>
      </c>
      <c r="GY226" s="1034">
        <f>IF(__Retrofit_TI_NC&lt;&gt;0,1,IF(AF227="",0,1))</f>
        <v>0</v>
      </c>
      <c r="GZ226" s="1034">
        <f>IF(AE228="",0,1)</f>
        <v>0</v>
      </c>
      <c r="HA226" s="1034">
        <f>IF(AF228="",0,1)</f>
        <v>0</v>
      </c>
      <c r="HB226" s="1034">
        <f>IF(__Retrofit_TI_NC=2,1,IF(AF229="",0,1))</f>
        <v>0</v>
      </c>
      <c r="HV226" s="436"/>
      <c r="HW226" s="1384" t="b">
        <f>IF(OR(HW229=0,HW229=HT$16,HW229=HS$16,HW229=HU$16),TRUE,FALSE)</f>
        <v>0</v>
      </c>
      <c r="HX226" s="1377" t="b">
        <f>HW226</f>
        <v>0</v>
      </c>
      <c r="HY226" s="436"/>
      <c r="HZ226" s="436"/>
      <c r="IA226" s="1386" t="b">
        <f>IF(MAX(GJ229:HP229)&gt;5,FALSE,TRUE)</f>
        <v>0</v>
      </c>
      <c r="IB226" s="1380">
        <f>IF(IA226=TRUE,AC226,0)</f>
        <v>0</v>
      </c>
      <c r="IC226" s="1380">
        <f>IB226-IB228</f>
        <v>0</v>
      </c>
      <c r="IF226" s="1380" t="e">
        <f>ROUND(T227*VLOOKUP(U227,Fixtures_Existing_List,2,FALSE)*N227*R227/1000,0)</f>
        <v>#N/A</v>
      </c>
      <c r="IG226" s="1381" t="e">
        <f>IF226-IF228</f>
        <v>#N/A</v>
      </c>
      <c r="IH226" s="1384" t="e">
        <f>ROUND(IF(CN226="Interior",N228*R228*R227*N227*_C406_reduction/1000,N228*R228*R227*N227/1000),0)</f>
        <v>#N/A</v>
      </c>
      <c r="II226" s="1384" t="e">
        <f>IH226-IH228</f>
        <v>#N/A</v>
      </c>
      <c r="IK226" s="1351" t="e">
        <f>IF($CO226="interior",IL226/2,VLOOKUP($CP226,Control_Savings_Exterior,IK$30,FALSE))</f>
        <v>#N/A</v>
      </c>
      <c r="IL226" s="1351" t="e">
        <f>IF($CO226="interior",VLOOKUP($CP226,Control_Savings_Interior,IL$30,FALSE),VLOOKUP($CP226,Control_Savings_Exterior,IL$30,FALSE))</f>
        <v>#N/A</v>
      </c>
      <c r="IM226" s="1351" t="e">
        <f>IF($CO226="interior",IF(R227&gt;FO$37,(IM$28*(FO$37/R227)),IM$28)*FP226,VLOOKUP($CP226,Control_Savings_Exterior,IM$30,FALSE))</f>
        <v>#N/A</v>
      </c>
      <c r="IN226" s="1351" t="e">
        <f>IF($CO226="interior",ROUND(((1-IL226)*IM226)+IL226,2),VLOOKUP($CP226,Control_Savings_Exterior,IN$30,FALSE))</f>
        <v>#N/A</v>
      </c>
      <c r="IO226" s="1351" t="e">
        <f>IF($CO226="interior", ROUND(((1-IL226)*(IM226*(1-IP$28)))+IP226,2), VLOOKUP($CP226,Control_Savings_Exterior,IO$30,FALSE))</f>
        <v>#N/A</v>
      </c>
      <c r="IP226" s="1351">
        <f>IF($CO226="interior",ROUND(((1-IL226)*IP$28)+IL226,2),0)</f>
        <v>0</v>
      </c>
    </row>
    <row r="227" spans="1:250" s="82" customFormat="1" ht="14.95" customHeight="1" thickTop="1" thickBot="1">
      <c r="B227" s="1421"/>
      <c r="C227" s="1422"/>
      <c r="D227" s="1423"/>
      <c r="E227" s="1393" t="s">
        <v>244</v>
      </c>
      <c r="F227" s="1394"/>
      <c r="G227" s="1395"/>
      <c r="H227" s="1395"/>
      <c r="I227" s="1395"/>
      <c r="J227" s="1395"/>
      <c r="K227" s="1395"/>
      <c r="L227" s="1395"/>
      <c r="M227" s="509" t="e">
        <f>IF(__Retrofit_TI_NC&lt;&gt;0,IF(VLOOKUP(G228,'Space Table'!$B$3:$L$160,3,FALSE)&gt;0,1,0),IF(__Retrofit_TI_NC=VLOOKUP(G228,'Space Table'!$B$3:$L$160,3,FALSE),1,0))</f>
        <v>#N/A</v>
      </c>
      <c r="N227" s="509" t="str">
        <f>IFERROR(VLOOKUP(G227,_Lookup_Heat_Type_Table_New,2,FALSE),"")</f>
        <v/>
      </c>
      <c r="O227" s="509">
        <f>IF(__Retrofit_TI_NC=1,CONCATENATE("TI ",G227),IF(__Retrofit_TI_NC=2,CONCATENATE("NC ",G227),G227))</f>
        <v>0</v>
      </c>
      <c r="P227" s="1396" t="s">
        <v>352</v>
      </c>
      <c r="Q227" s="1396"/>
      <c r="R227" s="673"/>
      <c r="S227" s="1429"/>
      <c r="T227" s="675"/>
      <c r="U227" s="1496"/>
      <c r="V227" s="1497"/>
      <c r="W227" s="1497"/>
      <c r="X227" s="1497"/>
      <c r="Y227" s="1497"/>
      <c r="Z227" s="1497"/>
      <c r="AA227" s="1497"/>
      <c r="AB227" s="1497"/>
      <c r="AC227" s="1497"/>
      <c r="AD227" s="1498"/>
      <c r="AE227" s="675"/>
      <c r="AF227" s="1397"/>
      <c r="AG227" s="1397"/>
      <c r="AH227" s="1397"/>
      <c r="AI227" s="1397"/>
      <c r="AJ227" s="1434"/>
      <c r="AK227" s="1436"/>
      <c r="AL227" s="1438"/>
      <c r="AM227" s="1441"/>
      <c r="AN227" s="1442"/>
      <c r="AO227" s="1447"/>
      <c r="AP227" s="1447"/>
      <c r="AQ227" s="1448"/>
      <c r="AR227" s="1452"/>
      <c r="AS227" s="1455"/>
      <c r="AT227" s="1458"/>
      <c r="AU227" s="516"/>
      <c r="AV227" s="1479"/>
      <c r="AW227" s="1479"/>
      <c r="BC227" s="38"/>
      <c r="BD227" s="38"/>
      <c r="BE227" s="38"/>
      <c r="BF227" s="38"/>
      <c r="BG227" s="38"/>
      <c r="BH227" s="38"/>
      <c r="BI227" s="38"/>
      <c r="BJ227" s="38"/>
      <c r="BK227" s="38"/>
      <c r="BL227" s="38"/>
      <c r="BM227" s="38"/>
      <c r="BN227" s="38"/>
      <c r="BO227" s="38"/>
      <c r="BP227" s="38"/>
      <c r="BQ227" s="38"/>
      <c r="BR227" s="38"/>
      <c r="BS227" s="38"/>
      <c r="BT227" s="38"/>
      <c r="BU227" s="38"/>
      <c r="BV227" s="38"/>
      <c r="BW227" s="38"/>
      <c r="BX227" s="38"/>
      <c r="BY227" s="38"/>
      <c r="BZ227" s="38"/>
      <c r="CA227" s="38"/>
      <c r="CB227" s="38"/>
      <c r="CC227" s="38"/>
      <c r="CD227" s="38"/>
      <c r="CE227" s="38"/>
      <c r="CF227" s="38"/>
      <c r="CG227" s="38"/>
      <c r="CH227" s="38"/>
      <c r="CI227" s="38"/>
      <c r="CM227" s="1352"/>
      <c r="CN227" s="1352"/>
      <c r="CO227" s="1416"/>
      <c r="CP227" s="1418"/>
      <c r="CR227" s="1386"/>
      <c r="CS227" s="1355"/>
      <c r="CT227" s="1355"/>
      <c r="CU227" s="1355"/>
      <c r="CV227" s="1372"/>
      <c r="CW227" s="1372"/>
      <c r="CX227" s="1371"/>
      <c r="CY227" s="1486"/>
      <c r="CZ227" s="1486"/>
      <c r="DA227" s="1486"/>
      <c r="DC227" s="1355"/>
      <c r="DD227" s="1461"/>
      <c r="DE227" s="1355"/>
      <c r="DF227" s="1407"/>
      <c r="DG227" s="1372"/>
      <c r="DH227" s="1369"/>
      <c r="DJ227" s="1484"/>
      <c r="DL227" s="1419"/>
      <c r="DN227" s="1403"/>
      <c r="DO227" s="1405"/>
      <c r="DP227" s="1354"/>
      <c r="DQ227" s="1405"/>
      <c r="DR227" s="1403"/>
      <c r="DS227" s="1489"/>
      <c r="DU227" s="1403"/>
      <c r="DV227" s="1405"/>
      <c r="DW227" s="1403"/>
      <c r="DX227" s="1403"/>
      <c r="DZ227" s="1481"/>
      <c r="EA227" s="1481"/>
      <c r="EC227" s="1482"/>
      <c r="ED227" s="1369"/>
      <c r="EE227" s="1371"/>
      <c r="EF227" s="1369"/>
      <c r="EG227" s="1369"/>
      <c r="EH227" s="1374"/>
      <c r="EI227" s="1374"/>
      <c r="EJ227" s="1363"/>
      <c r="EK227" s="1376"/>
      <c r="EL227" s="1376"/>
      <c r="EM227" s="1362"/>
      <c r="EN227" s="1362"/>
      <c r="EO227" s="1363"/>
      <c r="EP227" s="1363"/>
      <c r="EQ227" s="1363"/>
      <c r="ES227" s="1403"/>
      <c r="EU227" s="1411"/>
      <c r="EV227" s="1411"/>
      <c r="EW227" s="1411"/>
      <c r="EX227" s="1411"/>
      <c r="EY227" s="1411"/>
      <c r="EZ227" s="1413"/>
      <c r="FB227" s="1365"/>
      <c r="FD227" s="1354"/>
      <c r="FE227" s="1354"/>
      <c r="FF227" s="138"/>
      <c r="FI227" s="1357"/>
      <c r="FJ227" s="1357"/>
      <c r="FK227" s="1365"/>
      <c r="FL227" s="1365"/>
      <c r="FM227" s="1365"/>
      <c r="FO227" s="1361"/>
      <c r="FP227" s="1361"/>
      <c r="FQ227" s="1366"/>
      <c r="FR227" s="1368"/>
      <c r="FS227" s="1361"/>
      <c r="FT227" s="1368"/>
      <c r="FU227" s="1360"/>
      <c r="FW227" s="1352"/>
      <c r="FX227" s="1352"/>
      <c r="FY227" s="1352"/>
      <c r="FZ227" s="1352"/>
      <c r="GA227" s="1352"/>
      <c r="GB227" s="1352"/>
      <c r="GC227" s="1352"/>
      <c r="GD227" s="1352"/>
      <c r="GE227" s="759"/>
      <c r="GF227" s="1035"/>
      <c r="GG227" s="1385"/>
      <c r="GI227" s="1384" t="b">
        <f>IF(AND(GL227=TRUE,GM227=TRUE),TRUE,FALSE)</f>
        <v>0</v>
      </c>
      <c r="GJ227" s="1379" t="b">
        <f>IFERROR(IF(__Retrofit_TI_NC=2,TRUE,IF(AR226="Yes",TRUE,FALSE)),FALSE)</f>
        <v>1</v>
      </c>
      <c r="GL227" s="1379" t="b">
        <f>IFERROR(IF(GL226=1,TRUE,FALSE),FALSE)</f>
        <v>0</v>
      </c>
      <c r="GM227" s="1379" t="b">
        <f>IFERROR(IF(GM226=GM$14,TRUE,FALSE),FALSE)</f>
        <v>0</v>
      </c>
      <c r="HC227" s="1379" t="b">
        <f>IFERROR(IF(M227=1,TRUE,FALSE),FALSE)</f>
        <v>0</v>
      </c>
      <c r="HD227" s="1379" t="b">
        <f>IFERROR(IF(M228=1,TRUE,FALSE),FALSE)</f>
        <v>0</v>
      </c>
      <c r="HE227" s="1379" t="b">
        <f>IFERROR(IF(__Retrofit_TI_NC&lt;&gt;0,TRUE,IFERROR(IF(VLOOKUP(U227,Fixtures_Existing_List,2,FALSE)&lt;&gt;"",TRUE,FALSE),FALSE)),FALSE)</f>
        <v>0</v>
      </c>
      <c r="HF227" s="1379" t="b">
        <f>IFERROR(IF(VLOOKUP(U228,Fixtures_Proposed_List,2,FALSE)&lt;&gt;"",TRUE,FALSE),FALSE)</f>
        <v>0</v>
      </c>
      <c r="HG227" s="1379" t="b">
        <f>IF(AND(__Retrofit_TI_NC=2,EZ226=TRUE),FALSE,TRUE)</f>
        <v>1</v>
      </c>
      <c r="HH227" s="1379" t="b">
        <f>GG226</f>
        <v>1</v>
      </c>
      <c r="HI227" s="1384" t="b">
        <f>IF(ISERROR(MATCH(FB226,_Control_Match[],0))=TRUE,FALSE,TRUE)</f>
        <v>0</v>
      </c>
      <c r="HJ227" s="1384" t="b">
        <f>IFERROR(IF(EU226&lt;&gt;EV226,FALSE,TRUE),FALSE)</f>
        <v>0</v>
      </c>
      <c r="HK227" s="1384" t="b">
        <f>IFERROR(IF(EU228&lt;&gt;EV228,FALSE,TRUE),FALSE)</f>
        <v>0</v>
      </c>
      <c r="HL227" s="1379" t="b">
        <f>IFERROR(IF(CN226="Exterior",TRUE,IF(OR(AND(FJ226=0,EW228&gt;4),AND(FJ226=4,EW228&gt;4,EW228&lt;7)),FALSE,TRUE)),FALSE)</f>
        <v>0</v>
      </c>
      <c r="HM227" s="1379" t="b">
        <f>IFERROR(IF(AND(FL228=7,EZ226=TRUE),FALSE,TRUE),FALSE)</f>
        <v>0</v>
      </c>
      <c r="HN227" s="1379" t="b">
        <f>IFERROR(IF(AND(T228&lt;&gt;AE228,AF228="Interior LLLC")=TRUE,FALSE,TRUE),FALSE)</f>
        <v>1</v>
      </c>
      <c r="HO227" s="1379" t="b">
        <f>IFERROR(IF(OR(AF228=Lookup!AU$13,AF228=Lookup!AU$14)=TRUE,IF(AE228&gt;T228,FALSE,TRUE),TRUE),FALSE)</f>
        <v>1</v>
      </c>
      <c r="HP227" s="1379" t="b">
        <f>IFERROR(IF(__Retrofit_TI_NC=2,IF(EW228&lt;EW226,FALSE,TRUE),TRUE),FALSE)</f>
        <v>1</v>
      </c>
      <c r="HQ227" s="1379" t="b">
        <f>IF(CN226="Interior",IG$6,TRUE)</f>
        <v>1</v>
      </c>
      <c r="HR227" s="1379" t="b">
        <f>IF(CN226="Exterior",IG$8,TRUE)</f>
        <v>1</v>
      </c>
      <c r="HS227" s="1379" t="b">
        <f>IFERROR(IF(__Retrofit_TI_NC&lt;&gt;0,IF(AW226&lt;AV226,FALSE,TRUE),TRUE),FALSE)</f>
        <v>1</v>
      </c>
      <c r="HT227" s="1379" t="b">
        <f>IFERROR(IF(AND(G227="Exterior",R227&gt;4200),FALSE,TRUE),FALSE)</f>
        <v>1</v>
      </c>
      <c r="HU227" s="1379" t="b">
        <f>IFERROR(IF(AB229/AB226&lt;HU$18,FALSE,TRUE),FALSE)</f>
        <v>0</v>
      </c>
      <c r="HW227" s="1382"/>
      <c r="HX227" s="1378"/>
      <c r="HY227" s="1377" t="str">
        <f>VLOOKUP(HW229,_Error_Table,4,FALSE)</f>
        <v>White</v>
      </c>
      <c r="HZ227" s="436"/>
      <c r="IA227" s="1386"/>
      <c r="IB227" s="1380"/>
      <c r="IC227" s="1379"/>
      <c r="IF227" s="1380"/>
      <c r="IG227" s="1382"/>
      <c r="IH227" s="1382"/>
      <c r="II227" s="1382"/>
      <c r="IK227" s="1351"/>
      <c r="IL227" s="1351"/>
      <c r="IM227" s="1351"/>
      <c r="IN227" s="1351"/>
      <c r="IO227" s="1351"/>
      <c r="IP227" s="1351"/>
    </row>
    <row r="228" spans="1:250" s="82" customFormat="1" ht="14.95" customHeight="1" thickTop="1" thickBot="1">
      <c r="A228" s="82">
        <f>ROW()</f>
        <v>228</v>
      </c>
      <c r="B228" s="1421"/>
      <c r="C228" s="1422"/>
      <c r="D228" s="1423"/>
      <c r="E228" s="1393" t="s">
        <v>245</v>
      </c>
      <c r="F228" s="1394"/>
      <c r="G228" s="1398"/>
      <c r="H228" s="1399"/>
      <c r="I228" s="1399"/>
      <c r="J228" s="1399"/>
      <c r="K228" s="1399"/>
      <c r="L228" s="1400"/>
      <c r="M228" s="509">
        <f>IFERROR(IF(IF(__Retrofit_TI_NC&lt;&gt;0,IF(CN226="Interior",MATCH(G228,Lookup_Interior_New,0),MATCH(G228,Lookup_Exterior_New,0)),IF(CN226="Interior",MATCH(G228,Lookup_Interior,0),MATCH(G228,Lookup_Exterior_Areas,0)))&gt;0,1,0),0)</f>
        <v>0</v>
      </c>
      <c r="N228" s="509" t="e">
        <f>IF(__Retrofit_TI_NC=1,
VLOOKUP(G228,'Space Table'!$B$3:$L$160,4,FALSE),
IF(__Retrofit_TI_NC=2,VLOOKUP(G228,'Space Table'!$B$3:$L$160,5,FALSE),VLOOKUP(G228,'Space Table'!$B$3:$L$160,5,FALSE)))</f>
        <v>#N/A</v>
      </c>
      <c r="O228" s="509">
        <f>G228</f>
        <v>0</v>
      </c>
      <c r="P228" s="1394" t="s">
        <v>355</v>
      </c>
      <c r="Q228" s="1394"/>
      <c r="R228" s="674"/>
      <c r="S228" s="1401" t="s">
        <v>284</v>
      </c>
      <c r="T228" s="672"/>
      <c r="U228" s="1499"/>
      <c r="V228" s="1500"/>
      <c r="W228" s="1500"/>
      <c r="X228" s="1500"/>
      <c r="Y228" s="1500"/>
      <c r="Z228" s="1500"/>
      <c r="AA228" s="1500"/>
      <c r="AB228" s="1501"/>
      <c r="AC228" s="1501"/>
      <c r="AD228" s="1502"/>
      <c r="AE228" s="672"/>
      <c r="AF228" s="1474"/>
      <c r="AG228" s="1474"/>
      <c r="AH228" s="1474"/>
      <c r="AI228" s="1474"/>
      <c r="AJ228" s="1475">
        <f>DF228</f>
        <v>0</v>
      </c>
      <c r="AK228" s="1470" t="str">
        <f>IFERROR(ROUND(AJ228*AC229,0),"")</f>
        <v/>
      </c>
      <c r="AL228" s="1472">
        <f>IFERROR(IF(HW226=FALSE,0,AC229-AK228),0)</f>
        <v>0</v>
      </c>
      <c r="AM228" s="1441"/>
      <c r="AN228" s="1442"/>
      <c r="AO228" s="1447"/>
      <c r="AP228" s="1447"/>
      <c r="AQ228" s="1448"/>
      <c r="AR228" s="1452"/>
      <c r="AS228" s="1455"/>
      <c r="AT228" s="1458"/>
      <c r="AU228" s="516"/>
      <c r="AV228" s="1479"/>
      <c r="AW228" s="1479"/>
      <c r="BC228" s="38"/>
      <c r="BD228" s="38"/>
      <c r="BE228" s="38"/>
      <c r="BF228" s="38"/>
      <c r="BG228" s="38"/>
      <c r="BH228" s="38"/>
      <c r="BI228" s="38"/>
      <c r="BJ228" s="38"/>
      <c r="BK228" s="38"/>
      <c r="BL228" s="38"/>
      <c r="BM228" s="38"/>
      <c r="BN228" s="38"/>
      <c r="BO228" s="38"/>
      <c r="BP228" s="38"/>
      <c r="BQ228" s="38"/>
      <c r="BR228" s="38"/>
      <c r="BS228" s="38"/>
      <c r="BT228" s="38"/>
      <c r="BU228" s="38"/>
      <c r="BV228" s="38"/>
      <c r="BW228" s="38"/>
      <c r="BX228" s="38"/>
      <c r="BY228" s="38"/>
      <c r="BZ228" s="38"/>
      <c r="CA228" s="38"/>
      <c r="CB228" s="38"/>
      <c r="CC228" s="38"/>
      <c r="CD228" s="38"/>
      <c r="CE228" s="38"/>
      <c r="CF228" s="38"/>
      <c r="CG228" s="38"/>
      <c r="CH228" s="38"/>
      <c r="CI228" s="38"/>
      <c r="CM228" s="1352"/>
      <c r="CN228" s="1352"/>
      <c r="CO228" s="1415" t="str">
        <f>CN226</f>
        <v/>
      </c>
      <c r="CP228" s="1417" t="e">
        <f>CP226</f>
        <v>#N/A</v>
      </c>
      <c r="CR228" s="1386" t="s">
        <v>284</v>
      </c>
      <c r="CS228" s="1353">
        <f>IF(HW226=TRUE,T228,0)</f>
        <v>0</v>
      </c>
      <c r="CT228" s="1353" t="str">
        <f>IF(HW226=TRUE,U228,"")</f>
        <v/>
      </c>
      <c r="CU228" s="1373">
        <f>IF(HW226=TRUE,U229,0)</f>
        <v>0</v>
      </c>
      <c r="CV228" s="1370">
        <f>IF(HW226=TRUE,AB229,0)</f>
        <v>0</v>
      </c>
      <c r="CW228" s="1370">
        <f>IF(HW226=TRUE,AC229,0)</f>
        <v>0</v>
      </c>
      <c r="CX228" s="1371"/>
      <c r="CY228" s="1486"/>
      <c r="CZ228" s="1486"/>
      <c r="DA228" s="1486"/>
      <c r="DC228" s="1353">
        <f>IF(HW226=TRUE,AE228,0)</f>
        <v>0</v>
      </c>
      <c r="DD228" s="1353" t="str">
        <f>IF(HW226=TRUE,AF228,"")</f>
        <v/>
      </c>
      <c r="DE228" s="1373">
        <f>AF229</f>
        <v>0</v>
      </c>
      <c r="DF228" s="1406">
        <f>IFERROR(IF(FL228=3,IK228,IF(FL228=4,IL228,IF(FL228=5,IM228,IF(FL228=6,IN228,IF(FL228=7,IO228,IF(FL228=8,IP228,0)))))),0)</f>
        <v>0</v>
      </c>
      <c r="DG228" s="1370">
        <f>IF(HW226=TRUE,AK228,0)</f>
        <v>0</v>
      </c>
      <c r="DH228" s="1369"/>
      <c r="DK228" s="1483">
        <f>IFERROR(CW228-DG228,0)</f>
        <v>0</v>
      </c>
      <c r="DL228" s="1420"/>
      <c r="DN228" s="1403"/>
      <c r="DO228" s="1477" t="str">
        <f>DN226</f>
        <v/>
      </c>
      <c r="DP228" s="1354"/>
      <c r="DQ228" s="1477" t="str">
        <f>IF(DP226=7,"LLLC","")</f>
        <v/>
      </c>
      <c r="DR228" s="1403"/>
      <c r="DS228" s="1489"/>
      <c r="DU228" s="1403"/>
      <c r="DV228" s="1404" t="str">
        <f>DU226</f>
        <v/>
      </c>
      <c r="DW228" s="1403"/>
      <c r="DX228" s="1403"/>
      <c r="DZ228" s="1481"/>
      <c r="EA228" s="1481"/>
      <c r="EC228" s="1482"/>
      <c r="ED228" s="1369"/>
      <c r="EE228" s="1371"/>
      <c r="EF228" s="1369"/>
      <c r="EG228" s="1369"/>
      <c r="EH228" s="1374"/>
      <c r="EI228" s="1374"/>
      <c r="EJ228" s="1363"/>
      <c r="EK228" s="1376"/>
      <c r="EL228" s="1376"/>
      <c r="EM228" s="1362"/>
      <c r="EN228" s="1362"/>
      <c r="EO228" s="1363"/>
      <c r="EP228" s="1363"/>
      <c r="EQ228" s="1363"/>
      <c r="ES228" s="1403"/>
      <c r="EU228" s="1411" t="e">
        <f>VLOOKUP(CP228,'Space Table'!$B$3:$L$160,8,FALSE)</f>
        <v>#N/A</v>
      </c>
      <c r="EV228" s="1411" t="e">
        <f>IF(EY228="Yes",VLOOKUP(AF228,Lookup_Control_Type_Table2,4,FALSE),VLOOKUP(AF228,Lookup_Control_Type_Table2,3,FALSE))</f>
        <v>#N/A</v>
      </c>
      <c r="EW228" s="1411" t="e">
        <f>VLOOKUP(AF228,Lookup!AU$3:AV$15,2,FALSE)</f>
        <v>#N/A</v>
      </c>
      <c r="EX228" s="1411" t="e">
        <f>VLOOKUP(EU226,Lookup_Control_Type_Table,2,FALSE)</f>
        <v>#N/A</v>
      </c>
      <c r="EY228" s="1411" t="e">
        <f>VLOOKUP(CP228,'Space Table'!$B$3:$L$160,7,FALSE)</f>
        <v>#N/A</v>
      </c>
      <c r="EZ228" s="1413"/>
      <c r="FB228" s="1365" t="str">
        <f>CONCATENATE(CN226," - ",AF228)</f>
        <v xml:space="preserve"> - </v>
      </c>
      <c r="FD228" s="1354"/>
      <c r="FE228" s="1354"/>
      <c r="FF228" s="138"/>
      <c r="FI228" s="1356" t="str">
        <f>IF(CN226="Exterior","Not Daylighted",G229)</f>
        <v>Not Daylighted</v>
      </c>
      <c r="FJ228" s="1356">
        <f>VLOOKUP(FI228,_Daylight_Table_Codes,2,FALSE)</f>
        <v>0</v>
      </c>
      <c r="FK228" s="1365">
        <f>AF228</f>
        <v>0</v>
      </c>
      <c r="FL228" s="1365" t="e">
        <f>VLOOKUP(FK228,_Control_Table,2,FALSE)</f>
        <v>#N/A</v>
      </c>
      <c r="FM228" s="1365" t="e">
        <f>IF(AND(FP228&gt;0,FK228="Occupancy Sensor"),"Daylight + Occupancy",IF(AND(FP228&gt;0,FL228&lt;4),"Interior Daylight Dimming",FK228))</f>
        <v>#N/A</v>
      </c>
      <c r="FO228" s="1364">
        <f>IF(CN226="Interior",VLOOKUP(CP226,Control_Savings_Interior,5,FALSE),0)</f>
        <v>0</v>
      </c>
      <c r="FP228" s="1361">
        <f>IF(CN228="Exterior",0,IF(FJ228=2,0.5,IF(OR(FJ228=1,FJ228=3),1,0)))</f>
        <v>0</v>
      </c>
      <c r="FQ228" s="1366">
        <f>IF(R227&gt;FO$37,(FO228*(FO$37/R227)),FO228)*FP228</f>
        <v>0</v>
      </c>
      <c r="FR228" s="1364">
        <f>DF228</f>
        <v>0</v>
      </c>
      <c r="FS228" s="1364">
        <f>ROUND(FR228+((1-FR228)*FQ228),2)</f>
        <v>0</v>
      </c>
      <c r="FT228" s="1364">
        <f>IF(__Retrofit_TI_NC=2,FS228,FR228)</f>
        <v>0</v>
      </c>
      <c r="FU228" s="1360">
        <f>IF(CO228="Interior",VLOOKUP(CP228,Control_Savings_Interior,4,FALSE),0)</f>
        <v>0</v>
      </c>
      <c r="FW228" s="1352"/>
      <c r="FX228" s="1352"/>
      <c r="FY228" s="1352"/>
      <c r="FZ228" s="1352"/>
      <c r="GA228" s="1352"/>
      <c r="GB228" s="1352"/>
      <c r="GC228" s="1352"/>
      <c r="GD228" s="1352"/>
      <c r="GE228" s="759" t="b">
        <f>IF(ISNUMBER(SEARCH("TLED",U228)),TRUE,FALSE)</f>
        <v>0</v>
      </c>
      <c r="GF228" s="1035" t="str">
        <f>IFERROR(VLOOKUP(U228,Fixtures!DM$93:DR$142,6,FALSE),"")</f>
        <v/>
      </c>
      <c r="GG228" s="1385"/>
      <c r="GI228" s="1383"/>
      <c r="GJ228" s="1379"/>
      <c r="GL228" s="1379"/>
      <c r="GM228" s="1379"/>
      <c r="HC228" s="1379"/>
      <c r="HD228" s="1379"/>
      <c r="HE228" s="1379"/>
      <c r="HF228" s="1379"/>
      <c r="HG228" s="1379"/>
      <c r="HH228" s="1379"/>
      <c r="HI228" s="1383"/>
      <c r="HJ228" s="1383"/>
      <c r="HK228" s="1383"/>
      <c r="HL228" s="1379"/>
      <c r="HM228" s="1379"/>
      <c r="HN228" s="1379"/>
      <c r="HO228" s="1379"/>
      <c r="HP228" s="1379"/>
      <c r="HQ228" s="1379"/>
      <c r="HR228" s="1379"/>
      <c r="HS228" s="1379"/>
      <c r="HT228" s="1379"/>
      <c r="HU228" s="1379"/>
      <c r="HW228" s="1383"/>
      <c r="HX228" s="1384" t="b">
        <f>HW226</f>
        <v>0</v>
      </c>
      <c r="HY228" s="1378"/>
      <c r="HZ228" s="436"/>
      <c r="IA228" s="1386"/>
      <c r="IB228" s="1380">
        <f>IF(IA226=TRUE,AC229,0)</f>
        <v>0</v>
      </c>
      <c r="IC228" s="1379"/>
      <c r="IF228" s="1380" t="e">
        <f>ROUND(T228*AB229*N227*R227/1000,0)</f>
        <v>#VALUE!</v>
      </c>
      <c r="IG228" s="1382"/>
      <c r="IH228" s="1384" t="e">
        <f>ROUND(T228*AB229*N227*R227/1000,0)</f>
        <v>#VALUE!</v>
      </c>
      <c r="II228" s="1382"/>
      <c r="IK228" s="1351" t="e">
        <f>IF($CO228="interior",IL228/2,VLOOKUP($CP228,Control_Savings_Exterior,IK$30,FALSE))</f>
        <v>#N/A</v>
      </c>
      <c r="IL228" s="1351" t="e">
        <f>IF($CO228="interior",VLOOKUP($CP228,Control_Savings_Interior,IL$30,FALSE),VLOOKUP($CP228,Control_Savings_Exterior,IL$30,FALSE))</f>
        <v>#N/A</v>
      </c>
      <c r="IM228" s="1351" t="e">
        <f>IF($CO228="interior",IF(R227&gt;FO$37,(IM$28*(FO$37/R227)),IM$28)*FP228,VLOOKUP($CP228,Control_Savings_Exterior,IM$30,FALSE))</f>
        <v>#N/A</v>
      </c>
      <c r="IN228" s="1351" t="e">
        <f>IF($CO228="interior",ROUND(((1-IL228)*IM228)+IL228,2),VLOOKUP($CP228,Control_Savings_Exterior,IN$30,FALSE))</f>
        <v>#N/A</v>
      </c>
      <c r="IO228" s="1351" t="e">
        <f>IF($CO228="interior", ROUND(((1-IL228)*(IM228*(1-IP$28)))+IP228,2), VLOOKUP($CP228,Control_Savings_Exterior,IO$30,FALSE))</f>
        <v>#N/A</v>
      </c>
      <c r="IP228" s="1351">
        <f>IF($CO228="interior",ROUND(((1-IL228)*IP$28)+IL228,2),0)</f>
        <v>0</v>
      </c>
    </row>
    <row r="229" spans="1:250" s="82" customFormat="1" ht="14.95" customHeight="1" thickTop="1" thickBot="1">
      <c r="B229" s="1421"/>
      <c r="C229" s="1422"/>
      <c r="D229" s="1423"/>
      <c r="E229" s="1462" t="s">
        <v>357</v>
      </c>
      <c r="F229" s="1463"/>
      <c r="G229" s="1464" t="s">
        <v>362</v>
      </c>
      <c r="H229" s="1465"/>
      <c r="I229" s="1465"/>
      <c r="J229" s="1465"/>
      <c r="K229" s="1465"/>
      <c r="L229" s="1466"/>
      <c r="M229" s="669">
        <f>IFERROR(VLOOKUP(G229,_Daylight_Table[],2,FALSE),0)</f>
        <v>0</v>
      </c>
      <c r="N229" s="670"/>
      <c r="O229" s="669" t="e">
        <f>VLOOKUP(G228,'Space Table'!$B$3:$L$160,11,FALSE)</f>
        <v>#N/A</v>
      </c>
      <c r="P229" s="1408"/>
      <c r="Q229" s="1409"/>
      <c r="R229" s="1409"/>
      <c r="S229" s="1402"/>
      <c r="T229" s="671" t="s">
        <v>281</v>
      </c>
      <c r="U229" s="1467" t="str">
        <f>IFERROR(VLOOKUP(U228,Fixtures!DM$93:DP$142,4,FALSE),"")</f>
        <v/>
      </c>
      <c r="V229" s="1468"/>
      <c r="W229" s="1468"/>
      <c r="X229" s="1468"/>
      <c r="Y229" s="1468"/>
      <c r="Z229" s="1468"/>
      <c r="AA229" s="1468"/>
      <c r="AB229" s="1046" t="str">
        <f>IFERROR(VLOOKUP(U228,Fixtures_Proposed_List,2,FALSE),"")</f>
        <v/>
      </c>
      <c r="AC229" s="1036" t="str">
        <f>IFERROR(ROUND(T228*AB229*N227*R227/1000,0),"")</f>
        <v/>
      </c>
      <c r="AD229" s="1037" t="str">
        <f>IFERROR(ROUND(T228*AB229/1000,2),"")</f>
        <v/>
      </c>
      <c r="AE229" s="1045" t="s">
        <v>281</v>
      </c>
      <c r="AF229" s="1469"/>
      <c r="AG229" s="1469"/>
      <c r="AH229" s="1469"/>
      <c r="AI229" s="1469"/>
      <c r="AJ229" s="1476"/>
      <c r="AK229" s="1471"/>
      <c r="AL229" s="1473"/>
      <c r="AM229" s="1443"/>
      <c r="AN229" s="1444"/>
      <c r="AO229" s="1449"/>
      <c r="AP229" s="1449"/>
      <c r="AQ229" s="1450"/>
      <c r="AR229" s="1453"/>
      <c r="AS229" s="1456"/>
      <c r="AT229" s="1459"/>
      <c r="AU229" s="517"/>
      <c r="AV229" s="1480"/>
      <c r="AW229" s="1480"/>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M229" s="1352"/>
      <c r="CN229" s="1352"/>
      <c r="CO229" s="1416"/>
      <c r="CP229" s="1418"/>
      <c r="CR229" s="1386"/>
      <c r="CS229" s="1355"/>
      <c r="CT229" s="1355"/>
      <c r="CU229" s="1375"/>
      <c r="CV229" s="1372"/>
      <c r="CW229" s="1372"/>
      <c r="CX229" s="1372"/>
      <c r="CY229" s="1487"/>
      <c r="CZ229" s="1487"/>
      <c r="DA229" s="1487"/>
      <c r="DC229" s="1355"/>
      <c r="DD229" s="1355"/>
      <c r="DE229" s="1375"/>
      <c r="DF229" s="1407"/>
      <c r="DG229" s="1372"/>
      <c r="DH229" s="1369"/>
      <c r="DK229" s="1484"/>
      <c r="DL229" s="1420"/>
      <c r="DN229" s="1403"/>
      <c r="DO229" s="1405"/>
      <c r="DP229" s="1355"/>
      <c r="DQ229" s="1405"/>
      <c r="DR229" s="1403"/>
      <c r="DS229" s="1489"/>
      <c r="DU229" s="1403"/>
      <c r="DV229" s="1405"/>
      <c r="DW229" s="1403"/>
      <c r="DX229" s="1403"/>
      <c r="DZ229" s="1481"/>
      <c r="EA229" s="1481"/>
      <c r="EC229" s="1482"/>
      <c r="ED229" s="1369"/>
      <c r="EE229" s="1372"/>
      <c r="EF229" s="1369"/>
      <c r="EG229" s="1369"/>
      <c r="EH229" s="1375"/>
      <c r="EI229" s="1375"/>
      <c r="EJ229" s="1363"/>
      <c r="EK229" s="1376"/>
      <c r="EL229" s="1376"/>
      <c r="EM229" s="1362"/>
      <c r="EN229" s="1362"/>
      <c r="EO229" s="1363"/>
      <c r="EP229" s="1363"/>
      <c r="EQ229" s="1363"/>
      <c r="ES229" s="1403"/>
      <c r="EU229" s="1488"/>
      <c r="EV229" s="1488"/>
      <c r="EW229" s="1488"/>
      <c r="EX229" s="1488"/>
      <c r="EY229" s="1488"/>
      <c r="EZ229" s="1414"/>
      <c r="FB229" s="1365"/>
      <c r="FD229" s="1355"/>
      <c r="FE229" s="1355"/>
      <c r="FF229" s="138"/>
      <c r="FI229" s="1357"/>
      <c r="FJ229" s="1357"/>
      <c r="FK229" s="1365"/>
      <c r="FL229" s="1365"/>
      <c r="FM229" s="1365"/>
      <c r="FO229" s="1361"/>
      <c r="FP229" s="1361"/>
      <c r="FQ229" s="1366"/>
      <c r="FR229" s="1361"/>
      <c r="FS229" s="1361"/>
      <c r="FT229" s="1361"/>
      <c r="FU229" s="1360"/>
      <c r="FW229" s="1352"/>
      <c r="FX229" s="1352"/>
      <c r="FY229" s="1352"/>
      <c r="FZ229" s="1352"/>
      <c r="GA229" s="1352"/>
      <c r="GB229" s="1352"/>
      <c r="GC229" s="1352"/>
      <c r="GD229" s="1352"/>
      <c r="GE229" s="759"/>
      <c r="GF229" s="1035"/>
      <c r="GG229" s="1385"/>
      <c r="GJ229" s="1034">
        <f>IF(GJ227=TRUE,0,GJ$16)</f>
        <v>0</v>
      </c>
      <c r="GL229" s="1034">
        <f>IF(GL227=TRUE,0,GL$16)</f>
        <v>36</v>
      </c>
      <c r="GM229" s="1034">
        <f>IF(GM227=TRUE,0,GM$16)</f>
        <v>35</v>
      </c>
      <c r="GN229" s="436"/>
      <c r="GO229" s="436"/>
      <c r="GP229" s="436"/>
      <c r="GQ229" s="436"/>
      <c r="GR229" s="436"/>
      <c r="HC229" s="1034">
        <f t="shared" ref="HC229:HH229" si="158">IF(HC227=TRUE,0,HC$16)</f>
        <v>19</v>
      </c>
      <c r="HD229" s="1034">
        <f t="shared" si="158"/>
        <v>18</v>
      </c>
      <c r="HE229" s="1034">
        <f t="shared" si="158"/>
        <v>17</v>
      </c>
      <c r="HF229" s="1034">
        <f t="shared" si="158"/>
        <v>16</v>
      </c>
      <c r="HG229" s="1034">
        <f t="shared" si="158"/>
        <v>0</v>
      </c>
      <c r="HH229" s="1034">
        <f t="shared" si="158"/>
        <v>0</v>
      </c>
      <c r="HI229" s="1034">
        <f>IF(HI227=TRUE,0,HI$16)</f>
        <v>13</v>
      </c>
      <c r="HJ229" s="1034">
        <f t="shared" ref="HJ229:HL229" si="159">IF(HJ227=TRUE,0,HJ$16)</f>
        <v>12</v>
      </c>
      <c r="HK229" s="1034">
        <f t="shared" si="159"/>
        <v>11</v>
      </c>
      <c r="HL229" s="1034">
        <f t="shared" si="159"/>
        <v>10</v>
      </c>
      <c r="HM229" s="1034">
        <f>IF(HM227=TRUE,0,HM$16)</f>
        <v>9</v>
      </c>
      <c r="HN229" s="1034">
        <f t="shared" ref="HN229:HR229" si="160">IF(HN227=TRUE,0,HN$16)</f>
        <v>0</v>
      </c>
      <c r="HO229" s="1034">
        <f t="shared" si="160"/>
        <v>0</v>
      </c>
      <c r="HP229" s="1034">
        <f t="shared" si="160"/>
        <v>0</v>
      </c>
      <c r="HQ229" s="1034">
        <f t="shared" si="160"/>
        <v>0</v>
      </c>
      <c r="HR229" s="1034">
        <f t="shared" si="160"/>
        <v>0</v>
      </c>
      <c r="HS229" s="1034">
        <f>IF(HS227=TRUE,0,HS$16)</f>
        <v>0</v>
      </c>
      <c r="HT229" s="1034">
        <f t="shared" ref="HT229" si="161">IF(HT227=TRUE,0,HT$16)</f>
        <v>0</v>
      </c>
      <c r="HU229" s="1034">
        <f>IF(HU227=TRUE,0,HU$16)</f>
        <v>1</v>
      </c>
      <c r="HW229" s="1034">
        <f>IF(GL227=FALSE,GL229,IF(GM227=FALSE,GM229,MAX(GJ229:HU229)))</f>
        <v>36</v>
      </c>
      <c r="HX229" s="1383"/>
      <c r="HY229" s="241" t="str">
        <f>VLOOKUP(HW229,_Error_Table,3,FALSE)</f>
        <v xml:space="preserve"> </v>
      </c>
      <c r="HZ229" s="241"/>
      <c r="IA229" s="1386"/>
      <c r="IB229" s="1380"/>
      <c r="IC229" s="1379"/>
      <c r="IF229" s="1380"/>
      <c r="IG229" s="1383"/>
      <c r="IH229" s="1383"/>
      <c r="II229" s="1383"/>
      <c r="IK229" s="1351"/>
      <c r="IL229" s="1351"/>
      <c r="IM229" s="1351"/>
      <c r="IN229" s="1351"/>
      <c r="IO229" s="1351"/>
      <c r="IP229" s="1351"/>
    </row>
    <row r="230" spans="1:250" s="82" customFormat="1" ht="5.0999999999999996" customHeight="1" thickBot="1">
      <c r="B230" s="763"/>
      <c r="C230" s="1038"/>
      <c r="D230" s="1038"/>
      <c r="E230" s="1490"/>
      <c r="F230" s="1490"/>
      <c r="G230" s="1490"/>
      <c r="H230" s="1490"/>
      <c r="I230" s="1490"/>
      <c r="J230" s="1490"/>
      <c r="K230" s="1490"/>
      <c r="L230" s="1490"/>
      <c r="M230" s="1490"/>
      <c r="N230" s="1490"/>
      <c r="O230" s="1490"/>
      <c r="P230" s="1490"/>
      <c r="Q230" s="1490"/>
      <c r="R230" s="1490"/>
      <c r="S230" s="1490"/>
      <c r="T230" s="1490"/>
      <c r="U230" s="1490"/>
      <c r="V230" s="1490"/>
      <c r="W230" s="1490"/>
      <c r="X230" s="1490"/>
      <c r="Y230" s="1490"/>
      <c r="Z230" s="1490"/>
      <c r="AA230" s="1490"/>
      <c r="AB230" s="1490"/>
      <c r="AC230" s="1490"/>
      <c r="AD230" s="1490"/>
      <c r="AE230" s="1490"/>
      <c r="AF230" s="1490"/>
      <c r="AG230" s="1490"/>
      <c r="AH230" s="1490"/>
      <c r="AI230" s="1490"/>
      <c r="AJ230" s="1490"/>
      <c r="AK230" s="1490"/>
      <c r="AL230" s="1490"/>
      <c r="AM230" s="1490"/>
      <c r="AN230" s="1490"/>
      <c r="AO230" s="1490"/>
      <c r="AP230" s="1490"/>
      <c r="AQ230" s="1490"/>
      <c r="AR230" s="1490"/>
      <c r="AS230" s="1490"/>
      <c r="AT230" s="1490"/>
      <c r="AU230" s="1041"/>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M230" s="749"/>
      <c r="CN230" s="749"/>
      <c r="CO230" s="1043"/>
      <c r="CP230" s="749"/>
      <c r="CS230" s="436"/>
      <c r="CT230" s="436"/>
      <c r="CU230" s="243"/>
      <c r="CV230" s="244"/>
      <c r="CW230" s="244"/>
      <c r="CX230" s="244"/>
      <c r="CY230" s="245"/>
      <c r="CZ230" s="245"/>
      <c r="DA230" s="245"/>
      <c r="DC230" s="750"/>
      <c r="DD230" s="751"/>
      <c r="DE230" s="752"/>
      <c r="DF230" s="753"/>
      <c r="DG230" s="754"/>
      <c r="DH230" s="754"/>
      <c r="DK230" s="244"/>
      <c r="DL230" s="750"/>
      <c r="DN230" s="750"/>
      <c r="DO230" s="755"/>
      <c r="DP230" s="436"/>
      <c r="DQ230" s="750"/>
      <c r="DR230" s="750"/>
      <c r="DS230" s="750"/>
      <c r="DU230" s="750"/>
      <c r="DV230" s="750"/>
      <c r="DW230" s="750"/>
      <c r="DX230" s="750"/>
      <c r="DZ230" s="756"/>
      <c r="EA230" s="756"/>
      <c r="EC230" s="754"/>
      <c r="ED230" s="754"/>
      <c r="EE230" s="244"/>
      <c r="EF230" s="754"/>
      <c r="EG230" s="754"/>
      <c r="EH230" s="243"/>
      <c r="EI230" s="243"/>
      <c r="EJ230" s="752"/>
      <c r="EK230" s="757"/>
      <c r="EL230" s="757"/>
      <c r="EM230" s="758"/>
      <c r="EN230" s="758"/>
      <c r="EO230" s="752"/>
      <c r="EP230" s="752"/>
      <c r="EQ230" s="752"/>
      <c r="ES230" s="750"/>
      <c r="EU230" s="436"/>
      <c r="EV230" s="436"/>
      <c r="EW230" s="436"/>
      <c r="EX230" s="436"/>
      <c r="EY230" s="436"/>
      <c r="EZ230" s="436"/>
      <c r="FB230" s="643"/>
      <c r="FD230" s="436"/>
      <c r="FE230" s="436"/>
      <c r="FF230" s="436"/>
      <c r="FO230" s="750"/>
      <c r="FP230" s="436"/>
      <c r="FQ230" s="436"/>
      <c r="FR230" s="750"/>
      <c r="FS230" s="750"/>
      <c r="FW230" s="749"/>
      <c r="FX230" s="749"/>
      <c r="FY230" s="749"/>
      <c r="FZ230" s="749"/>
      <c r="GA230" s="749"/>
      <c r="GB230" s="749"/>
      <c r="GC230" s="749"/>
      <c r="GD230" s="749"/>
      <c r="GE230" s="751"/>
      <c r="GF230" s="750"/>
      <c r="GG230" s="750"/>
    </row>
    <row r="231" spans="1:250" s="82" customFormat="1" ht="14.95" customHeight="1" thickTop="1" thickBot="1">
      <c r="B231" s="1421" t="str">
        <f>HY234</f>
        <v xml:space="preserve"> </v>
      </c>
      <c r="C231" s="1422">
        <f>C226+1</f>
        <v>38</v>
      </c>
      <c r="D231" s="1423"/>
      <c r="E231" s="1424" t="s">
        <v>242</v>
      </c>
      <c r="F231" s="1425"/>
      <c r="G231" s="1426"/>
      <c r="H231" s="1427"/>
      <c r="I231" s="1427"/>
      <c r="J231" s="1427"/>
      <c r="K231" s="1427"/>
      <c r="L231" s="1427"/>
      <c r="M231" s="1427"/>
      <c r="N231" s="1427"/>
      <c r="O231" s="1427"/>
      <c r="P231" s="1427"/>
      <c r="Q231" s="1427"/>
      <c r="R231" s="1427"/>
      <c r="S231" s="1428" t="s">
        <v>283</v>
      </c>
      <c r="T231" s="668" t="s">
        <v>190</v>
      </c>
      <c r="U231" s="1430" t="s">
        <v>186</v>
      </c>
      <c r="V231" s="1431"/>
      <c r="W231" s="1431"/>
      <c r="X231" s="1431"/>
      <c r="Y231" s="1431"/>
      <c r="Z231" s="1431"/>
      <c r="AA231" s="1431"/>
      <c r="AB231" s="1088" t="str">
        <f>IFERROR(IF(__Retrofit_TI_NC=0,VLOOKUP(U232,Fixtures_Existing_List,2,FALSE),ROUND(N233*R233/T233,10)),"")</f>
        <v/>
      </c>
      <c r="AC231" s="1039" t="str">
        <f>IFERROR(IF(__Retrofit_TI_NC=0,ROUND(T232*AB231*N232*R232/1000,0),IF(CN231="Interior",N233*R233*R232*N232*_C406_reduction/1000,N233*R233*R232*N232/1000)),"")</f>
        <v/>
      </c>
      <c r="AD231" s="1040" t="str">
        <f>IFERROR(IF(C$36=0,ROUND(T232*AB231/1000,2),N233*R233/1000),"")</f>
        <v/>
      </c>
      <c r="AE231" s="1044" t="s">
        <v>190</v>
      </c>
      <c r="AF231" s="1432" t="str">
        <f>IF(__Retrofit_TI_NC=2,CONCATENATE("Code min = ",DD231),IF(__Retrofit_TI_NC=1,"Emter what you think the existing control was"," Control"))</f>
        <v xml:space="preserve"> Control</v>
      </c>
      <c r="AG231" s="1432"/>
      <c r="AH231" s="1432"/>
      <c r="AI231" s="1432"/>
      <c r="AJ231" s="1433">
        <f>DF231</f>
        <v>0</v>
      </c>
      <c r="AK231" s="1435" t="str">
        <f>IFERROR(ROUND(AJ231*AC231,0),"")</f>
        <v/>
      </c>
      <c r="AL231" s="1437">
        <f>IFERROR(IF(HW231=FALSE,0,AC231-AK231),0)</f>
        <v>0</v>
      </c>
      <c r="AM231" s="1439">
        <f>AL231-AL233</f>
        <v>0</v>
      </c>
      <c r="AN231" s="1440"/>
      <c r="AO231" s="1445">
        <f>IFERROR(IF(HW231=FALSE,0,(T233*U234)+(AE233*AF234)),0)</f>
        <v>0</v>
      </c>
      <c r="AP231" s="1445"/>
      <c r="AQ231" s="1446"/>
      <c r="AR231" s="1451" t="s">
        <v>157</v>
      </c>
      <c r="AS231" s="1454">
        <f>IF(AR231="Yes",1,0)</f>
        <v>1</v>
      </c>
      <c r="AT231" s="1457" t="str">
        <f>IF(OR(DN231=4,DN231=5,DN231=6,DN231=12),CONCATENATE("$",IF(GD231=TRUE,Lookup!$B$11,Lookup!$B$2)," /lamp"),CONCATENATE(EA231,"/ kWh"))</f>
        <v>0/ kWh</v>
      </c>
      <c r="AU231" s="516"/>
      <c r="AV231" s="1478">
        <f>IFERROR(IF(GI232=TRUE,(AB234*T233)/R233,0),"NA")</f>
        <v>0</v>
      </c>
      <c r="AW231" s="1478" t="str">
        <f>IFERROR(N233*_C406_reduction,"NA")</f>
        <v>NA</v>
      </c>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M231" s="1352" t="str">
        <f>N232</f>
        <v/>
      </c>
      <c r="CN231" s="1352" t="str">
        <f>IFERROR(VLOOKUP(G232,_Lookup_Heat_Type_Table_New,3,FALSE),"")</f>
        <v/>
      </c>
      <c r="CO231" s="1415" t="str">
        <f>CN231</f>
        <v/>
      </c>
      <c r="CP231" s="1417" t="e">
        <f>VLOOKUP(G233,'Space Table'!$B$3:$L$160,9,FALSE)</f>
        <v>#N/A</v>
      </c>
      <c r="CR231" s="1386" t="s">
        <v>283</v>
      </c>
      <c r="CS231" s="1353">
        <f>IF(HW231=TRUE,T232,0)</f>
        <v>0</v>
      </c>
      <c r="CT231" s="1353" t="str">
        <f>IF(HW231=TRUE,U232,"")</f>
        <v/>
      </c>
      <c r="CU231" s="1353"/>
      <c r="CV231" s="1370">
        <f>IF(HW231=TRUE,AB231,0)</f>
        <v>0</v>
      </c>
      <c r="CW231" s="1370">
        <f>IF(HW231=TRUE,AC231,0)</f>
        <v>0</v>
      </c>
      <c r="CX231" s="1370">
        <f>IFERROR(IF(HW231=TRUE,CW231-CW233,0),0)</f>
        <v>0</v>
      </c>
      <c r="CY231" s="1485">
        <f>IF(HW231=TRUE,AD231,0)</f>
        <v>0</v>
      </c>
      <c r="CZ231" s="1485">
        <f>IF(HW231=TRUE,AD234,0)</f>
        <v>0</v>
      </c>
      <c r="DA231" s="1485">
        <f>IFERROR(CY231-CZ231,0)</f>
        <v>0</v>
      </c>
      <c r="DC231" s="1353">
        <f>IF(HW231=TRUE,AE232,0)</f>
        <v>0</v>
      </c>
      <c r="DD231" s="1460">
        <f>IF(__Retrofit_TI_NC=2,IF(CN231="Exterior",O234,FM231),FK231)</f>
        <v>0</v>
      </c>
      <c r="DE231" s="1353"/>
      <c r="DF231" s="1406">
        <f>IFERROR(IF(FL231=3,IK231,IF(FL231=4,IL231,IF(FL231=5,IM231,IF(FL231=6,IN231,IF(FL231=7,IO231,IF(FL231=8,IP231,0)))))),0)</f>
        <v>0</v>
      </c>
      <c r="DG231" s="1370">
        <f>IF(HW231=TRUE,AK231,0)</f>
        <v>0</v>
      </c>
      <c r="DH231" s="1369">
        <f>IFERROR(IF(HW231=TRUE,DG233-DG231,0),0)</f>
        <v>0</v>
      </c>
      <c r="DJ231" s="1483">
        <f>IFERROR(CW231-DG231,0)</f>
        <v>0</v>
      </c>
      <c r="DL231" s="1419">
        <f>DJ231-DK233</f>
        <v>0</v>
      </c>
      <c r="DN231" s="1403" t="str">
        <f>IFERROR(IF(AND(OR(FY231=4,FY231=5,FY231=6),OR(GB231=4,GB231=5,GB231=6)),FY231+8,VLOOKUP(CT233,Fixtures!R$31:Y$78,8,FALSE)),"")</f>
        <v/>
      </c>
      <c r="DO231" s="1404" t="str">
        <f>DN231</f>
        <v/>
      </c>
      <c r="DP231" s="1353" t="str">
        <f>IFERROR(VLOOKUP(DD233,Lookup!AU$3:AV$15,2,FALSE),"")</f>
        <v/>
      </c>
      <c r="DQ231" s="1404" t="str">
        <f>IF(DP231=7,"LLLC","")</f>
        <v/>
      </c>
      <c r="DR231" s="1403">
        <f>IFERROR(IF(OR(DN231=4,DN231=5,DN231=6,DN231=12,DN231=13,DN231=14),VLOOKUP(CT233,Fixtures!DN$27:EG$77,19,FALSE),1)*CS233,0)</f>
        <v>0</v>
      </c>
      <c r="DS231" s="1489">
        <f>IF(DP231=7,IF(DD231=DD233,0,DC233),0)</f>
        <v>0</v>
      </c>
      <c r="DU231" s="1403" t="str">
        <f>IFERROR(IF(EW231&lt;EW233,"Yes","No"),"")</f>
        <v/>
      </c>
      <c r="DV231" s="1404" t="str">
        <f>DU231</f>
        <v/>
      </c>
      <c r="DW231" s="1403">
        <f>IF(DU231="Yes",DC233,0)</f>
        <v>0</v>
      </c>
      <c r="DX231" s="1403">
        <f>DW231-DS231</f>
        <v>0</v>
      </c>
      <c r="DZ231" s="1481">
        <f>IFERROR(VLOOKUP(DN231,Lookup!AN$3:AO$16,2,FALSE),0)</f>
        <v>0</v>
      </c>
      <c r="EA231" s="1481">
        <f>IF(HW231=FALSE,0,IF(DU231="Yes",DZ231+Lookup!B$6,DZ231))</f>
        <v>0</v>
      </c>
      <c r="EC231" s="1482">
        <f>IF(HW231=TRUE,DJ231,0)</f>
        <v>0</v>
      </c>
      <c r="ED231" s="1369">
        <f>IF(HW231=TRUE,CW233,0)</f>
        <v>0</v>
      </c>
      <c r="EE231" s="1370">
        <f>IFERROR(EC231-ED231,0)</f>
        <v>0</v>
      </c>
      <c r="EF231" s="1369">
        <f>IF(HW231=TRUE,DG233,0)</f>
        <v>0</v>
      </c>
      <c r="EG231" s="1369">
        <f>IFERROR(EC231-ED231+EF231,0)</f>
        <v>0</v>
      </c>
      <c r="EH231" s="1373">
        <f>IF(HW231=TRUE,CS233*CU233,0)</f>
        <v>0</v>
      </c>
      <c r="EI231" s="1373">
        <f>IF(HW231=TRUE,DC233*DE233,0)</f>
        <v>0</v>
      </c>
      <c r="EJ231" s="1363">
        <f>AO231</f>
        <v>0</v>
      </c>
      <c r="EK231" s="1376" t="str">
        <f>IFERROR(IF(HW231=TRUE,VLOOKUP(DN231,Lookup!AN$3:AP$16,3,FALSE)*DR231,""),0)</f>
        <v/>
      </c>
      <c r="EL231" s="1376">
        <f>IF(HW231=TRUE,DW231*Lookup!AP$12,0)</f>
        <v>0</v>
      </c>
      <c r="EM231" s="1362">
        <f>IFERROR(IF(HW231=TRUE,EK231/EM$33,0),0)</f>
        <v>0</v>
      </c>
      <c r="EN231" s="1362">
        <f>IF(HW231=TRUE,EL231/EN$33,0)</f>
        <v>0</v>
      </c>
      <c r="EO231" s="1363">
        <f>IF(HW231=TRUE,EQ$33*EM231,0)</f>
        <v>0</v>
      </c>
      <c r="EP231" s="1363">
        <f>IF(HW231=TRUE,EQ$33*EN231,0)</f>
        <v>0</v>
      </c>
      <c r="EQ231" s="1363">
        <f>EO231+EP231</f>
        <v>0</v>
      </c>
      <c r="ES231" s="1403">
        <f>IF(G231="",0,1)</f>
        <v>0</v>
      </c>
      <c r="EU231" s="1410" t="e">
        <f>VLOOKUP(CP233,'Space Table'!$B$3:$L$160,8,FALSE)</f>
        <v>#N/A</v>
      </c>
      <c r="EV231" s="1410" t="e">
        <f>IF(EY231="Yes",VLOOKUP(DD231,Lookup_Control_Type_Table2,4,FALSE),VLOOKUP(DD231,Lookup_Control_Type_Table2,3,FALSE))</f>
        <v>#N/A</v>
      </c>
      <c r="EW231" s="1410" t="e">
        <f>VLOOKUP(DD231,Lookup!AU$3:AV$15,2,FALSE)</f>
        <v>#N/A</v>
      </c>
      <c r="EX231" s="1410" t="e">
        <f>VLOOKUP(EU231,Lookup_Control_Type_Table,2,FALSE)</f>
        <v>#N/A</v>
      </c>
      <c r="EY231" s="1410" t="e">
        <f>VLOOKUP(CP233,'Space Table'!$B$3:$L$160,7,FALSE)</f>
        <v>#N/A</v>
      </c>
      <c r="EZ231" s="1412" t="b">
        <f>ISNUMBER(SEARCH("TLED",U233))</f>
        <v>0</v>
      </c>
      <c r="FB231" s="1365" t="str">
        <f>CONCATENATE(CN231," - ",DD231)</f>
        <v xml:space="preserve"> - 0</v>
      </c>
      <c r="FD231" s="1353" t="str">
        <f>VLOOKUP(CT233,Fixtures!DN$27:EZ$77,38,FALSE)</f>
        <v/>
      </c>
      <c r="FE231" s="1353">
        <f>IFERROR(FD231*EE231,0)</f>
        <v>0</v>
      </c>
      <c r="FF231" s="138"/>
      <c r="FI231" s="1356" t="str">
        <f>IF(CN231="Exterior","Not Daylighted",G234)</f>
        <v>Not Daylighted</v>
      </c>
      <c r="FJ231" s="1356">
        <f>VLOOKUP(FI231,_Daylight_Table_Codes,2,FALSE)</f>
        <v>0</v>
      </c>
      <c r="FK231" s="1365">
        <f>IF(__Retrofit_TI_NC=2,VLOOKUP(G233,'Space Table'!$B$3:$L$160,11,FALSE),AF232)</f>
        <v>0</v>
      </c>
      <c r="FL231" s="1365" t="e">
        <f>VLOOKUP(FK231,_Control_Table,2,FALSE)</f>
        <v>#N/A</v>
      </c>
      <c r="FM231" s="1365" t="e">
        <f>IF(AND(FP231&gt;0,FK231="Occupancy Sensor"),"Daylight + Occupancy",IF(AND(FP231&gt;0,FL231&lt;4),"Interior Daylight Dimming",FK231))</f>
        <v>#N/A</v>
      </c>
      <c r="FO231" s="1364">
        <f>IF(CO231="Interior",VLOOKUP(CP231,Control_Savings_Interior,5,FALSE),0)</f>
        <v>0</v>
      </c>
      <c r="FP231" s="1361">
        <f>IF(CN231="Exterior",0,IF(FJ231=2,0.5,IF(OR(FJ231=1,FJ231=3),1,0)))</f>
        <v>0</v>
      </c>
      <c r="FQ231" s="1366"/>
      <c r="FR231" s="1367"/>
      <c r="FS231" s="1364"/>
      <c r="FT231" s="1367"/>
      <c r="FU231" s="1360"/>
      <c r="FW231" s="1352" t="str">
        <f>IFERROR(VLOOKUP(U232,_Exist_Fixture_Table,3,FALSE),"")</f>
        <v/>
      </c>
      <c r="FX231" s="1352" t="str">
        <f>VLOOKUP(CT231,_Exist_Fixture_Table,4,FALSE)</f>
        <v/>
      </c>
      <c r="FY231" s="1352">
        <f>IFERROR(VLOOKUP(FX231,Lookup!AM$6:AN$8,2,FALSE),0)</f>
        <v>0</v>
      </c>
      <c r="FZ231" s="1352" t="b">
        <f>IFERROR(IF(OR(GB231=4,GB231=5,GB231=6),TRUE,FALSE),"")</f>
        <v>0</v>
      </c>
      <c r="GA231" s="1352" t="str">
        <f>IFERROR(VLOOKUP(GB231,FY$6:FZ$10,2,FALSE),"")</f>
        <v/>
      </c>
      <c r="GB231" s="1352" t="str">
        <f>VLOOKUP(CT233,Fixtures!R$31:Y$78,8,FALSE)</f>
        <v/>
      </c>
      <c r="GC231" s="1352">
        <f>IF(AND(FW231=TRUE,FZ231=TRUE,OR(DN231=12,DN231=13,DN231=14)),FY231+8,0)</f>
        <v>0</v>
      </c>
      <c r="GD231" s="1352" t="b">
        <f>IF(OR(GC231=12,GC231=13,GC231=14),TRUE,FALSE)</f>
        <v>0</v>
      </c>
      <c r="GE231" s="759" t="b">
        <f>IF(ISNUMBER(SEARCH("TLED",U232)),TRUE,FALSE)</f>
        <v>0</v>
      </c>
      <c r="GF231" s="1035" t="str">
        <f>IFERROR(VLOOKUP(U232,Fixtures!BM$93:BR$142,6,FALSE),"")</f>
        <v/>
      </c>
      <c r="GG231" s="1385" t="b">
        <f>IF(OR(GE231=FALSE,GE233=FALSE),TRUE,IF(GF231-GF233&lt;5,FALSE,TRUE))</f>
        <v>1</v>
      </c>
      <c r="GK231" s="1034">
        <f>GL231</f>
        <v>0</v>
      </c>
      <c r="GL231" s="1034">
        <f>IF(G231="",0,1)</f>
        <v>0</v>
      </c>
      <c r="GM231" s="1034">
        <f>SUM(GN231:HB231)</f>
        <v>2</v>
      </c>
      <c r="GN231" s="1034">
        <f>IF(G232="",0,1)</f>
        <v>0</v>
      </c>
      <c r="GO231" s="1034">
        <f>IF(G233="",0,1)</f>
        <v>0</v>
      </c>
      <c r="GP231" s="1034">
        <f>IF(R232="",0,1)</f>
        <v>0</v>
      </c>
      <c r="GQ231" s="1034">
        <f>IF(__Retrofit_TI_NC=0,1,IF(R233="",0,1))</f>
        <v>1</v>
      </c>
      <c r="GR231" s="1034">
        <f>IF(CN231="Exterior",1,IF(G234="",0,1))</f>
        <v>1</v>
      </c>
      <c r="GS231" s="1034">
        <f>IF(__Retrofit_TI_NC&lt;&gt;0,1,IF(T232="",0,1))</f>
        <v>0</v>
      </c>
      <c r="GT231" s="1034">
        <f>IF(__Retrofit_TI_NC&lt;&gt;0,1,IF(U232="",0,1))</f>
        <v>0</v>
      </c>
      <c r="GU231" s="1034">
        <f>IF(T233="",0,1)</f>
        <v>0</v>
      </c>
      <c r="GV231" s="1034">
        <f>IF(U233="",0,1)</f>
        <v>0</v>
      </c>
      <c r="GW231" s="1034">
        <f>IF(__Retrofit_TI_NC=2,1,IF(U234="",0,1))</f>
        <v>0</v>
      </c>
      <c r="GX231" s="1034">
        <f>IF(__Retrofit_TI_NC&lt;&gt;0,1,IF(AE232="",0,1))</f>
        <v>0</v>
      </c>
      <c r="GY231" s="1034">
        <f>IF(__Retrofit_TI_NC&lt;&gt;0,1,IF(AF232="",0,1))</f>
        <v>0</v>
      </c>
      <c r="GZ231" s="1034">
        <f>IF(AE233="",0,1)</f>
        <v>0</v>
      </c>
      <c r="HA231" s="1034">
        <f>IF(AF233="",0,1)</f>
        <v>0</v>
      </c>
      <c r="HB231" s="1034">
        <f>IF(__Retrofit_TI_NC=2,1,IF(AF234="",0,1))</f>
        <v>0</v>
      </c>
      <c r="HV231" s="436"/>
      <c r="HW231" s="1384" t="b">
        <f>IF(OR(HW234=0,HW234=HT$16,HW234=HS$16,HW234=HU$16),TRUE,FALSE)</f>
        <v>0</v>
      </c>
      <c r="HX231" s="1377" t="b">
        <f>HW231</f>
        <v>0</v>
      </c>
      <c r="HY231" s="436"/>
      <c r="HZ231" s="436"/>
      <c r="IA231" s="1386" t="b">
        <f>IF(MAX(GJ234:HP234)&gt;5,FALSE,TRUE)</f>
        <v>0</v>
      </c>
      <c r="IB231" s="1380">
        <f>IF(IA231=TRUE,AC231,0)</f>
        <v>0</v>
      </c>
      <c r="IC231" s="1380">
        <f>IB231-IB233</f>
        <v>0</v>
      </c>
      <c r="IF231" s="1380" t="e">
        <f>ROUND(T232*VLOOKUP(U232,Fixtures_Existing_List,2,FALSE)*N232*R232/1000,0)</f>
        <v>#N/A</v>
      </c>
      <c r="IG231" s="1381" t="e">
        <f>IF231-IF233</f>
        <v>#N/A</v>
      </c>
      <c r="IH231" s="1384" t="e">
        <f>ROUND(IF(CN231="Interior",N233*R233*R232*N232*_C406_reduction/1000,N233*R233*R232*N232/1000),0)</f>
        <v>#N/A</v>
      </c>
      <c r="II231" s="1384" t="e">
        <f>IH231-IH233</f>
        <v>#N/A</v>
      </c>
      <c r="IK231" s="1351" t="e">
        <f>IF($CO231="interior",IL231/2,VLOOKUP($CP231,Control_Savings_Exterior,IK$30,FALSE))</f>
        <v>#N/A</v>
      </c>
      <c r="IL231" s="1351" t="e">
        <f>IF($CO231="interior",VLOOKUP($CP231,Control_Savings_Interior,IL$30,FALSE),VLOOKUP($CP231,Control_Savings_Exterior,IL$30,FALSE))</f>
        <v>#N/A</v>
      </c>
      <c r="IM231" s="1351" t="e">
        <f>IF($CO231="interior",IF(R232&gt;FO$37,(IM$28*(FO$37/R232)),IM$28)*FP231,VLOOKUP($CP231,Control_Savings_Exterior,IM$30,FALSE))</f>
        <v>#N/A</v>
      </c>
      <c r="IN231" s="1351" t="e">
        <f>IF($CO231="interior",ROUND(((1-IL231)*IM231)+IL231,2),VLOOKUP($CP231,Control_Savings_Exterior,IN$30,FALSE))</f>
        <v>#N/A</v>
      </c>
      <c r="IO231" s="1351" t="e">
        <f>IF($CO231="interior", ROUND(((1-IL231)*(IM231*(1-IP$28)))+IP231,2), VLOOKUP($CP231,Control_Savings_Exterior,IO$30,FALSE))</f>
        <v>#N/A</v>
      </c>
      <c r="IP231" s="1351">
        <f>IF($CO231="interior",ROUND(((1-IL231)*IP$28)+IL231,2),0)</f>
        <v>0</v>
      </c>
    </row>
    <row r="232" spans="1:250" s="82" customFormat="1" ht="14.95" customHeight="1" thickTop="1" thickBot="1">
      <c r="B232" s="1421"/>
      <c r="C232" s="1422"/>
      <c r="D232" s="1423"/>
      <c r="E232" s="1393" t="s">
        <v>244</v>
      </c>
      <c r="F232" s="1394"/>
      <c r="G232" s="1395"/>
      <c r="H232" s="1395"/>
      <c r="I232" s="1395"/>
      <c r="J232" s="1395"/>
      <c r="K232" s="1395"/>
      <c r="L232" s="1395"/>
      <c r="M232" s="509" t="e">
        <f>IF(__Retrofit_TI_NC&lt;&gt;0,IF(VLOOKUP(G233,'Space Table'!$B$3:$L$160,3,FALSE)&gt;0,1,0),IF(__Retrofit_TI_NC=VLOOKUP(G233,'Space Table'!$B$3:$L$160,3,FALSE),1,0))</f>
        <v>#N/A</v>
      </c>
      <c r="N232" s="509" t="str">
        <f>IFERROR(VLOOKUP(G232,_Lookup_Heat_Type_Table_New,2,FALSE),"")</f>
        <v/>
      </c>
      <c r="O232" s="509">
        <f>IF(__Retrofit_TI_NC=1,CONCATENATE("TI ",G232),IF(__Retrofit_TI_NC=2,CONCATENATE("NC ",G232),G232))</f>
        <v>0</v>
      </c>
      <c r="P232" s="1396" t="s">
        <v>352</v>
      </c>
      <c r="Q232" s="1396"/>
      <c r="R232" s="673"/>
      <c r="S232" s="1429"/>
      <c r="T232" s="675"/>
      <c r="U232" s="1496"/>
      <c r="V232" s="1497"/>
      <c r="W232" s="1497"/>
      <c r="X232" s="1497"/>
      <c r="Y232" s="1497"/>
      <c r="Z232" s="1497"/>
      <c r="AA232" s="1497"/>
      <c r="AB232" s="1497"/>
      <c r="AC232" s="1497"/>
      <c r="AD232" s="1498"/>
      <c r="AE232" s="675"/>
      <c r="AF232" s="1397"/>
      <c r="AG232" s="1397"/>
      <c r="AH232" s="1397"/>
      <c r="AI232" s="1397"/>
      <c r="AJ232" s="1434"/>
      <c r="AK232" s="1436"/>
      <c r="AL232" s="1438"/>
      <c r="AM232" s="1441"/>
      <c r="AN232" s="1442"/>
      <c r="AO232" s="1447"/>
      <c r="AP232" s="1447"/>
      <c r="AQ232" s="1448"/>
      <c r="AR232" s="1452"/>
      <c r="AS232" s="1455"/>
      <c r="AT232" s="1458"/>
      <c r="AU232" s="516"/>
      <c r="AV232" s="1479"/>
      <c r="AW232" s="1479"/>
      <c r="BC232" s="38"/>
      <c r="BD232" s="38"/>
      <c r="BE232" s="38"/>
      <c r="BF232" s="38"/>
      <c r="BG232" s="38"/>
      <c r="BH232" s="38"/>
      <c r="BI232" s="38"/>
      <c r="BJ232" s="38"/>
      <c r="BK232" s="38"/>
      <c r="BL232" s="38"/>
      <c r="BM232" s="38"/>
      <c r="BN232" s="38"/>
      <c r="BO232" s="38"/>
      <c r="BP232" s="38"/>
      <c r="BQ232" s="38"/>
      <c r="BR232" s="38"/>
      <c r="BS232" s="38"/>
      <c r="BT232" s="38"/>
      <c r="BU232" s="38"/>
      <c r="BV232" s="38"/>
      <c r="BW232" s="38"/>
      <c r="BX232" s="38"/>
      <c r="BY232" s="38"/>
      <c r="BZ232" s="38"/>
      <c r="CA232" s="38"/>
      <c r="CB232" s="38"/>
      <c r="CC232" s="38"/>
      <c r="CD232" s="38"/>
      <c r="CE232" s="38"/>
      <c r="CF232" s="38"/>
      <c r="CG232" s="38"/>
      <c r="CH232" s="38"/>
      <c r="CI232" s="38"/>
      <c r="CM232" s="1352"/>
      <c r="CN232" s="1352"/>
      <c r="CO232" s="1416"/>
      <c r="CP232" s="1418"/>
      <c r="CR232" s="1386"/>
      <c r="CS232" s="1355"/>
      <c r="CT232" s="1355"/>
      <c r="CU232" s="1355"/>
      <c r="CV232" s="1372"/>
      <c r="CW232" s="1372"/>
      <c r="CX232" s="1371"/>
      <c r="CY232" s="1486"/>
      <c r="CZ232" s="1486"/>
      <c r="DA232" s="1486"/>
      <c r="DC232" s="1355"/>
      <c r="DD232" s="1461"/>
      <c r="DE232" s="1355"/>
      <c r="DF232" s="1407"/>
      <c r="DG232" s="1372"/>
      <c r="DH232" s="1369"/>
      <c r="DJ232" s="1484"/>
      <c r="DL232" s="1419"/>
      <c r="DN232" s="1403"/>
      <c r="DO232" s="1405"/>
      <c r="DP232" s="1354"/>
      <c r="DQ232" s="1405"/>
      <c r="DR232" s="1403"/>
      <c r="DS232" s="1489"/>
      <c r="DU232" s="1403"/>
      <c r="DV232" s="1405"/>
      <c r="DW232" s="1403"/>
      <c r="DX232" s="1403"/>
      <c r="DZ232" s="1481"/>
      <c r="EA232" s="1481"/>
      <c r="EC232" s="1482"/>
      <c r="ED232" s="1369"/>
      <c r="EE232" s="1371"/>
      <c r="EF232" s="1369"/>
      <c r="EG232" s="1369"/>
      <c r="EH232" s="1374"/>
      <c r="EI232" s="1374"/>
      <c r="EJ232" s="1363"/>
      <c r="EK232" s="1376"/>
      <c r="EL232" s="1376"/>
      <c r="EM232" s="1362"/>
      <c r="EN232" s="1362"/>
      <c r="EO232" s="1363"/>
      <c r="EP232" s="1363"/>
      <c r="EQ232" s="1363"/>
      <c r="ES232" s="1403"/>
      <c r="EU232" s="1411"/>
      <c r="EV232" s="1411"/>
      <c r="EW232" s="1411"/>
      <c r="EX232" s="1411"/>
      <c r="EY232" s="1411"/>
      <c r="EZ232" s="1413"/>
      <c r="FB232" s="1365"/>
      <c r="FD232" s="1354"/>
      <c r="FE232" s="1354"/>
      <c r="FF232" s="138"/>
      <c r="FI232" s="1357"/>
      <c r="FJ232" s="1357"/>
      <c r="FK232" s="1365"/>
      <c r="FL232" s="1365"/>
      <c r="FM232" s="1365"/>
      <c r="FO232" s="1361"/>
      <c r="FP232" s="1361"/>
      <c r="FQ232" s="1366"/>
      <c r="FR232" s="1368"/>
      <c r="FS232" s="1361"/>
      <c r="FT232" s="1368"/>
      <c r="FU232" s="1360"/>
      <c r="FW232" s="1352"/>
      <c r="FX232" s="1352"/>
      <c r="FY232" s="1352"/>
      <c r="FZ232" s="1352"/>
      <c r="GA232" s="1352"/>
      <c r="GB232" s="1352"/>
      <c r="GC232" s="1352"/>
      <c r="GD232" s="1352"/>
      <c r="GE232" s="759"/>
      <c r="GF232" s="1035"/>
      <c r="GG232" s="1385"/>
      <c r="GI232" s="1384" t="b">
        <f>IF(AND(GL232=TRUE,GM232=TRUE),TRUE,FALSE)</f>
        <v>0</v>
      </c>
      <c r="GJ232" s="1379" t="b">
        <f>IFERROR(IF(__Retrofit_TI_NC=2,TRUE,IF(AR231="Yes",TRUE,FALSE)),FALSE)</f>
        <v>1</v>
      </c>
      <c r="GL232" s="1379" t="b">
        <f>IFERROR(IF(GL231=1,TRUE,FALSE),FALSE)</f>
        <v>0</v>
      </c>
      <c r="GM232" s="1379" t="b">
        <f>IFERROR(IF(GM231=GM$14,TRUE,FALSE),FALSE)</f>
        <v>0</v>
      </c>
      <c r="HC232" s="1379" t="b">
        <f>IFERROR(IF(M232=1,TRUE,FALSE),FALSE)</f>
        <v>0</v>
      </c>
      <c r="HD232" s="1379" t="b">
        <f>IFERROR(IF(M233=1,TRUE,FALSE),FALSE)</f>
        <v>0</v>
      </c>
      <c r="HE232" s="1379" t="b">
        <f>IFERROR(IF(__Retrofit_TI_NC&lt;&gt;0,TRUE,IFERROR(IF(VLOOKUP(U232,Fixtures_Existing_List,2,FALSE)&lt;&gt;"",TRUE,FALSE),FALSE)),FALSE)</f>
        <v>0</v>
      </c>
      <c r="HF232" s="1379" t="b">
        <f>IFERROR(IF(VLOOKUP(U233,Fixtures_Proposed_List,2,FALSE)&lt;&gt;"",TRUE,FALSE),FALSE)</f>
        <v>0</v>
      </c>
      <c r="HG232" s="1379" t="b">
        <f>IF(AND(__Retrofit_TI_NC=2,EZ231=TRUE),FALSE,TRUE)</f>
        <v>1</v>
      </c>
      <c r="HH232" s="1379" t="b">
        <f>GG231</f>
        <v>1</v>
      </c>
      <c r="HI232" s="1384" t="b">
        <f>IF(ISERROR(MATCH(FB231,_Control_Match[],0))=TRUE,FALSE,TRUE)</f>
        <v>0</v>
      </c>
      <c r="HJ232" s="1384" t="b">
        <f>IFERROR(IF(EU231&lt;&gt;EV231,FALSE,TRUE),FALSE)</f>
        <v>0</v>
      </c>
      <c r="HK232" s="1384" t="b">
        <f>IFERROR(IF(EU233&lt;&gt;EV233,FALSE,TRUE),FALSE)</f>
        <v>0</v>
      </c>
      <c r="HL232" s="1379" t="b">
        <f>IFERROR(IF(CN231="Exterior",TRUE,IF(OR(AND(FJ231=0,EW233&gt;4),AND(FJ231=4,EW233&gt;4,EW233&lt;7)),FALSE,TRUE)),FALSE)</f>
        <v>0</v>
      </c>
      <c r="HM232" s="1379" t="b">
        <f>IFERROR(IF(AND(FL233=7,EZ231=TRUE),FALSE,TRUE),FALSE)</f>
        <v>0</v>
      </c>
      <c r="HN232" s="1379" t="b">
        <f>IFERROR(IF(AND(T233&lt;&gt;AE233,AF233="Interior LLLC")=TRUE,FALSE,TRUE),FALSE)</f>
        <v>1</v>
      </c>
      <c r="HO232" s="1379" t="b">
        <f>IFERROR(IF(OR(AF233=Lookup!AU$13,AF233=Lookup!AU$14)=TRUE,IF(AE233&gt;T233,FALSE,TRUE),TRUE),FALSE)</f>
        <v>1</v>
      </c>
      <c r="HP232" s="1379" t="b">
        <f>IFERROR(IF(__Retrofit_TI_NC=2,IF(EW233&lt;EW231,FALSE,TRUE),TRUE),FALSE)</f>
        <v>1</v>
      </c>
      <c r="HQ232" s="1379" t="b">
        <f>IF(CN231="Interior",IG$6,TRUE)</f>
        <v>1</v>
      </c>
      <c r="HR232" s="1379" t="b">
        <f>IF(CN231="Exterior",IG$8,TRUE)</f>
        <v>1</v>
      </c>
      <c r="HS232" s="1379" t="b">
        <f>IFERROR(IF(__Retrofit_TI_NC&lt;&gt;0,IF(AW231&lt;AV231,FALSE,TRUE),TRUE),FALSE)</f>
        <v>1</v>
      </c>
      <c r="HT232" s="1379" t="b">
        <f>IFERROR(IF(AND(G232="Exterior",R232&gt;4200),FALSE,TRUE),FALSE)</f>
        <v>1</v>
      </c>
      <c r="HU232" s="1379" t="b">
        <f>IFERROR(IF(AB234/AB231&lt;HU$18,FALSE,TRUE),FALSE)</f>
        <v>0</v>
      </c>
      <c r="HW232" s="1382"/>
      <c r="HX232" s="1378"/>
      <c r="HY232" s="1377" t="str">
        <f>VLOOKUP(HW234,_Error_Table,4,FALSE)</f>
        <v>White</v>
      </c>
      <c r="HZ232" s="436"/>
      <c r="IA232" s="1386"/>
      <c r="IB232" s="1380"/>
      <c r="IC232" s="1379"/>
      <c r="IF232" s="1380"/>
      <c r="IG232" s="1382"/>
      <c r="IH232" s="1382"/>
      <c r="II232" s="1382"/>
      <c r="IK232" s="1351"/>
      <c r="IL232" s="1351"/>
      <c r="IM232" s="1351"/>
      <c r="IN232" s="1351"/>
      <c r="IO232" s="1351"/>
      <c r="IP232" s="1351"/>
    </row>
    <row r="233" spans="1:250" s="82" customFormat="1" ht="14.95" customHeight="1" thickTop="1" thickBot="1">
      <c r="A233" s="82">
        <f>ROW()</f>
        <v>233</v>
      </c>
      <c r="B233" s="1421"/>
      <c r="C233" s="1422"/>
      <c r="D233" s="1423"/>
      <c r="E233" s="1393" t="s">
        <v>245</v>
      </c>
      <c r="F233" s="1394"/>
      <c r="G233" s="1398"/>
      <c r="H233" s="1399"/>
      <c r="I233" s="1399"/>
      <c r="J233" s="1399"/>
      <c r="K233" s="1399"/>
      <c r="L233" s="1400"/>
      <c r="M233" s="509">
        <f>IFERROR(IF(IF(__Retrofit_TI_NC&lt;&gt;0,IF(CN231="Interior",MATCH(G233,Lookup_Interior_New,0),MATCH(G233,Lookup_Exterior_New,0)),IF(CN231="Interior",MATCH(G233,Lookup_Interior,0),MATCH(G233,Lookup_Exterior_Areas,0)))&gt;0,1,0),0)</f>
        <v>0</v>
      </c>
      <c r="N233" s="509" t="e">
        <f>IF(__Retrofit_TI_NC=1,
VLOOKUP(G233,'Space Table'!$B$3:$L$160,4,FALSE),
IF(__Retrofit_TI_NC=2,VLOOKUP(G233,'Space Table'!$B$3:$L$160,5,FALSE),VLOOKUP(G233,'Space Table'!$B$3:$L$160,5,FALSE)))</f>
        <v>#N/A</v>
      </c>
      <c r="O233" s="509">
        <f>G233</f>
        <v>0</v>
      </c>
      <c r="P233" s="1394" t="s">
        <v>355</v>
      </c>
      <c r="Q233" s="1394"/>
      <c r="R233" s="674"/>
      <c r="S233" s="1401" t="s">
        <v>284</v>
      </c>
      <c r="T233" s="672"/>
      <c r="U233" s="1499"/>
      <c r="V233" s="1500"/>
      <c r="W233" s="1500"/>
      <c r="X233" s="1500"/>
      <c r="Y233" s="1500"/>
      <c r="Z233" s="1500"/>
      <c r="AA233" s="1500"/>
      <c r="AB233" s="1501"/>
      <c r="AC233" s="1501"/>
      <c r="AD233" s="1502"/>
      <c r="AE233" s="672"/>
      <c r="AF233" s="1474"/>
      <c r="AG233" s="1474"/>
      <c r="AH233" s="1474"/>
      <c r="AI233" s="1474"/>
      <c r="AJ233" s="1475">
        <f>DF233</f>
        <v>0</v>
      </c>
      <c r="AK233" s="1470" t="str">
        <f>IFERROR(ROUND(AJ233*AC234,0),"")</f>
        <v/>
      </c>
      <c r="AL233" s="1472">
        <f>IFERROR(IF(HW231=FALSE,0,AC234-AK233),0)</f>
        <v>0</v>
      </c>
      <c r="AM233" s="1441"/>
      <c r="AN233" s="1442"/>
      <c r="AO233" s="1447"/>
      <c r="AP233" s="1447"/>
      <c r="AQ233" s="1448"/>
      <c r="AR233" s="1452"/>
      <c r="AS233" s="1455"/>
      <c r="AT233" s="1458"/>
      <c r="AU233" s="516"/>
      <c r="AV233" s="1479"/>
      <c r="AW233" s="1479"/>
      <c r="BC233" s="38"/>
      <c r="BD233" s="38"/>
      <c r="BE233" s="38"/>
      <c r="BF233" s="38"/>
      <c r="BG233" s="38"/>
      <c r="BH233" s="38"/>
      <c r="BI233" s="38"/>
      <c r="BJ233" s="38"/>
      <c r="BK233" s="38"/>
      <c r="BL233" s="38"/>
      <c r="BM233" s="38"/>
      <c r="BN233" s="38"/>
      <c r="BO233" s="38"/>
      <c r="BP233" s="38"/>
      <c r="BQ233" s="38"/>
      <c r="BR233" s="38"/>
      <c r="BS233" s="38"/>
      <c r="BT233" s="38"/>
      <c r="BU233" s="38"/>
      <c r="BV233" s="38"/>
      <c r="BW233" s="38"/>
      <c r="BX233" s="38"/>
      <c r="BY233" s="38"/>
      <c r="BZ233" s="38"/>
      <c r="CA233" s="38"/>
      <c r="CB233" s="38"/>
      <c r="CC233" s="38"/>
      <c r="CD233" s="38"/>
      <c r="CE233" s="38"/>
      <c r="CF233" s="38"/>
      <c r="CG233" s="38"/>
      <c r="CH233" s="38"/>
      <c r="CI233" s="38"/>
      <c r="CM233" s="1352"/>
      <c r="CN233" s="1352"/>
      <c r="CO233" s="1415" t="str">
        <f>CN231</f>
        <v/>
      </c>
      <c r="CP233" s="1417" t="e">
        <f>CP231</f>
        <v>#N/A</v>
      </c>
      <c r="CR233" s="1386" t="s">
        <v>284</v>
      </c>
      <c r="CS233" s="1353">
        <f>IF(HW231=TRUE,T233,0)</f>
        <v>0</v>
      </c>
      <c r="CT233" s="1353" t="str">
        <f>IF(HW231=TRUE,U233,"")</f>
        <v/>
      </c>
      <c r="CU233" s="1373">
        <f>IF(HW231=TRUE,U234,0)</f>
        <v>0</v>
      </c>
      <c r="CV233" s="1370">
        <f>IF(HW231=TRUE,AB234,0)</f>
        <v>0</v>
      </c>
      <c r="CW233" s="1370">
        <f>IF(HW231=TRUE,AC234,0)</f>
        <v>0</v>
      </c>
      <c r="CX233" s="1371"/>
      <c r="CY233" s="1486"/>
      <c r="CZ233" s="1486"/>
      <c r="DA233" s="1486"/>
      <c r="DC233" s="1353">
        <f>IF(HW231=TRUE,AE233,0)</f>
        <v>0</v>
      </c>
      <c r="DD233" s="1353" t="str">
        <f>IF(HW231=TRUE,AF233,"")</f>
        <v/>
      </c>
      <c r="DE233" s="1373">
        <f>AF234</f>
        <v>0</v>
      </c>
      <c r="DF233" s="1406">
        <f>IFERROR(IF(FL233=3,IK233,IF(FL233=4,IL233,IF(FL233=5,IM233,IF(FL233=6,IN233,IF(FL233=7,IO233,IF(FL233=8,IP233,0)))))),0)</f>
        <v>0</v>
      </c>
      <c r="DG233" s="1370">
        <f>IF(HW231=TRUE,AK233,0)</f>
        <v>0</v>
      </c>
      <c r="DH233" s="1369"/>
      <c r="DK233" s="1483">
        <f>IFERROR(CW233-DG233,0)</f>
        <v>0</v>
      </c>
      <c r="DL233" s="1420"/>
      <c r="DN233" s="1403"/>
      <c r="DO233" s="1477" t="str">
        <f>DN231</f>
        <v/>
      </c>
      <c r="DP233" s="1354"/>
      <c r="DQ233" s="1477" t="str">
        <f>IF(DP231=7,"LLLC","")</f>
        <v/>
      </c>
      <c r="DR233" s="1403"/>
      <c r="DS233" s="1489"/>
      <c r="DU233" s="1403"/>
      <c r="DV233" s="1404" t="str">
        <f>DU231</f>
        <v/>
      </c>
      <c r="DW233" s="1403"/>
      <c r="DX233" s="1403"/>
      <c r="DZ233" s="1481"/>
      <c r="EA233" s="1481"/>
      <c r="EC233" s="1482"/>
      <c r="ED233" s="1369"/>
      <c r="EE233" s="1371"/>
      <c r="EF233" s="1369"/>
      <c r="EG233" s="1369"/>
      <c r="EH233" s="1374"/>
      <c r="EI233" s="1374"/>
      <c r="EJ233" s="1363"/>
      <c r="EK233" s="1376"/>
      <c r="EL233" s="1376"/>
      <c r="EM233" s="1362"/>
      <c r="EN233" s="1362"/>
      <c r="EO233" s="1363"/>
      <c r="EP233" s="1363"/>
      <c r="EQ233" s="1363"/>
      <c r="ES233" s="1403"/>
      <c r="EU233" s="1411" t="e">
        <f>VLOOKUP(CP233,'Space Table'!$B$3:$L$160,8,FALSE)</f>
        <v>#N/A</v>
      </c>
      <c r="EV233" s="1411" t="e">
        <f>IF(EY233="Yes",VLOOKUP(AF233,Lookup_Control_Type_Table2,4,FALSE),VLOOKUP(AF233,Lookup_Control_Type_Table2,3,FALSE))</f>
        <v>#N/A</v>
      </c>
      <c r="EW233" s="1411" t="e">
        <f>VLOOKUP(AF233,Lookup!AU$3:AV$15,2,FALSE)</f>
        <v>#N/A</v>
      </c>
      <c r="EX233" s="1411" t="e">
        <f>VLOOKUP(EU231,Lookup_Control_Type_Table,2,FALSE)</f>
        <v>#N/A</v>
      </c>
      <c r="EY233" s="1411" t="e">
        <f>VLOOKUP(CP233,'Space Table'!$B$3:$L$160,7,FALSE)</f>
        <v>#N/A</v>
      </c>
      <c r="EZ233" s="1413"/>
      <c r="FB233" s="1365" t="str">
        <f>CONCATENATE(CN231," - ",AF233)</f>
        <v xml:space="preserve"> - </v>
      </c>
      <c r="FD233" s="1354"/>
      <c r="FE233" s="1354"/>
      <c r="FF233" s="138"/>
      <c r="FI233" s="1356" t="str">
        <f>IF(CN231="Exterior","Not Daylighted",G234)</f>
        <v>Not Daylighted</v>
      </c>
      <c r="FJ233" s="1356">
        <f>VLOOKUP(FI233,_Daylight_Table_Codes,2,FALSE)</f>
        <v>0</v>
      </c>
      <c r="FK233" s="1365">
        <f>AF233</f>
        <v>0</v>
      </c>
      <c r="FL233" s="1365" t="e">
        <f>VLOOKUP(FK233,_Control_Table,2,FALSE)</f>
        <v>#N/A</v>
      </c>
      <c r="FM233" s="1365" t="e">
        <f>IF(AND(FP233&gt;0,FK233="Occupancy Sensor"),"Daylight + Occupancy",IF(AND(FP233&gt;0,FL233&lt;4),"Interior Daylight Dimming",FK233))</f>
        <v>#N/A</v>
      </c>
      <c r="FO233" s="1364">
        <f>IF(CN231="Interior",VLOOKUP(CP231,Control_Savings_Interior,5,FALSE),0)</f>
        <v>0</v>
      </c>
      <c r="FP233" s="1361">
        <f>IF(CN233="Exterior",0,IF(FJ233=2,0.5,IF(OR(FJ233=1,FJ233=3),1,0)))</f>
        <v>0</v>
      </c>
      <c r="FQ233" s="1366">
        <f>IF(R232&gt;FO$37,(FO233*(FO$37/R232)),FO233)*FP233</f>
        <v>0</v>
      </c>
      <c r="FR233" s="1364">
        <f>DF233</f>
        <v>0</v>
      </c>
      <c r="FS233" s="1364">
        <f>ROUND(FR233+((1-FR233)*FQ233),2)</f>
        <v>0</v>
      </c>
      <c r="FT233" s="1364">
        <f>IF(__Retrofit_TI_NC=2,FS233,FR233)</f>
        <v>0</v>
      </c>
      <c r="FU233" s="1360">
        <f>IF(CO233="Interior",VLOOKUP(CP233,Control_Savings_Interior,4,FALSE),0)</f>
        <v>0</v>
      </c>
      <c r="FW233" s="1352"/>
      <c r="FX233" s="1352"/>
      <c r="FY233" s="1352"/>
      <c r="FZ233" s="1352"/>
      <c r="GA233" s="1352"/>
      <c r="GB233" s="1352"/>
      <c r="GC233" s="1352"/>
      <c r="GD233" s="1352"/>
      <c r="GE233" s="759" t="b">
        <f>IF(ISNUMBER(SEARCH("TLED",U233)),TRUE,FALSE)</f>
        <v>0</v>
      </c>
      <c r="GF233" s="1035" t="str">
        <f>IFERROR(VLOOKUP(U233,Fixtures!DM$93:DR$142,6,FALSE),"")</f>
        <v/>
      </c>
      <c r="GG233" s="1385"/>
      <c r="GI233" s="1383"/>
      <c r="GJ233" s="1379"/>
      <c r="GL233" s="1379"/>
      <c r="GM233" s="1379"/>
      <c r="HC233" s="1379"/>
      <c r="HD233" s="1379"/>
      <c r="HE233" s="1379"/>
      <c r="HF233" s="1379"/>
      <c r="HG233" s="1379"/>
      <c r="HH233" s="1379"/>
      <c r="HI233" s="1383"/>
      <c r="HJ233" s="1383"/>
      <c r="HK233" s="1383"/>
      <c r="HL233" s="1379"/>
      <c r="HM233" s="1379"/>
      <c r="HN233" s="1379"/>
      <c r="HO233" s="1379"/>
      <c r="HP233" s="1379"/>
      <c r="HQ233" s="1379"/>
      <c r="HR233" s="1379"/>
      <c r="HS233" s="1379"/>
      <c r="HT233" s="1379"/>
      <c r="HU233" s="1379"/>
      <c r="HW233" s="1383"/>
      <c r="HX233" s="1384" t="b">
        <f>HW231</f>
        <v>0</v>
      </c>
      <c r="HY233" s="1378"/>
      <c r="HZ233" s="436"/>
      <c r="IA233" s="1386"/>
      <c r="IB233" s="1380">
        <f>IF(IA231=TRUE,AC234,0)</f>
        <v>0</v>
      </c>
      <c r="IC233" s="1379"/>
      <c r="IF233" s="1380" t="e">
        <f>ROUND(T233*AB234*N232*R232/1000,0)</f>
        <v>#VALUE!</v>
      </c>
      <c r="IG233" s="1382"/>
      <c r="IH233" s="1384" t="e">
        <f>ROUND(T233*AB234*N232*R232/1000,0)</f>
        <v>#VALUE!</v>
      </c>
      <c r="II233" s="1382"/>
      <c r="IK233" s="1351" t="e">
        <f>IF($CO233="interior",IL233/2,VLOOKUP($CP233,Control_Savings_Exterior,IK$30,FALSE))</f>
        <v>#N/A</v>
      </c>
      <c r="IL233" s="1351" t="e">
        <f>IF($CO233="interior",VLOOKUP($CP233,Control_Savings_Interior,IL$30,FALSE),VLOOKUP($CP233,Control_Savings_Exterior,IL$30,FALSE))</f>
        <v>#N/A</v>
      </c>
      <c r="IM233" s="1351" t="e">
        <f>IF($CO233="interior",IF(R232&gt;FO$37,(IM$28*(FO$37/R232)),IM$28)*FP233,VLOOKUP($CP233,Control_Savings_Exterior,IM$30,FALSE))</f>
        <v>#N/A</v>
      </c>
      <c r="IN233" s="1351" t="e">
        <f>IF($CO233="interior",ROUND(((1-IL233)*IM233)+IL233,2),VLOOKUP($CP233,Control_Savings_Exterior,IN$30,FALSE))</f>
        <v>#N/A</v>
      </c>
      <c r="IO233" s="1351" t="e">
        <f>IF($CO233="interior", ROUND(((1-IL233)*(IM233*(1-IP$28)))+IP233,2), VLOOKUP($CP233,Control_Savings_Exterior,IO$30,FALSE))</f>
        <v>#N/A</v>
      </c>
      <c r="IP233" s="1351">
        <f>IF($CO233="interior",ROUND(((1-IL233)*IP$28)+IL233,2),0)</f>
        <v>0</v>
      </c>
    </row>
    <row r="234" spans="1:250" s="82" customFormat="1" ht="14.95" customHeight="1" thickTop="1" thickBot="1">
      <c r="B234" s="1421"/>
      <c r="C234" s="1422"/>
      <c r="D234" s="1423"/>
      <c r="E234" s="1462" t="s">
        <v>357</v>
      </c>
      <c r="F234" s="1463"/>
      <c r="G234" s="1464" t="s">
        <v>362</v>
      </c>
      <c r="H234" s="1465"/>
      <c r="I234" s="1465"/>
      <c r="J234" s="1465"/>
      <c r="K234" s="1465"/>
      <c r="L234" s="1466"/>
      <c r="M234" s="669">
        <f>IFERROR(VLOOKUP(G234,_Daylight_Table[],2,FALSE),0)</f>
        <v>0</v>
      </c>
      <c r="N234" s="670"/>
      <c r="O234" s="669" t="e">
        <f>VLOOKUP(G233,'Space Table'!$B$3:$L$160,11,FALSE)</f>
        <v>#N/A</v>
      </c>
      <c r="P234" s="1408"/>
      <c r="Q234" s="1409"/>
      <c r="R234" s="1409"/>
      <c r="S234" s="1402"/>
      <c r="T234" s="671" t="s">
        <v>281</v>
      </c>
      <c r="U234" s="1467" t="str">
        <f>IFERROR(VLOOKUP(U233,Fixtures!DM$93:DP$142,4,FALSE),"")</f>
        <v/>
      </c>
      <c r="V234" s="1468"/>
      <c r="W234" s="1468"/>
      <c r="X234" s="1468"/>
      <c r="Y234" s="1468"/>
      <c r="Z234" s="1468"/>
      <c r="AA234" s="1468"/>
      <c r="AB234" s="1046" t="str">
        <f>IFERROR(VLOOKUP(U233,Fixtures_Proposed_List,2,FALSE),"")</f>
        <v/>
      </c>
      <c r="AC234" s="1036" t="str">
        <f>IFERROR(ROUND(T233*AB234*N232*R232/1000,0),"")</f>
        <v/>
      </c>
      <c r="AD234" s="1037" t="str">
        <f>IFERROR(ROUND(T233*AB234/1000,2),"")</f>
        <v/>
      </c>
      <c r="AE234" s="1045" t="s">
        <v>281</v>
      </c>
      <c r="AF234" s="1469"/>
      <c r="AG234" s="1469"/>
      <c r="AH234" s="1469"/>
      <c r="AI234" s="1469"/>
      <c r="AJ234" s="1476"/>
      <c r="AK234" s="1471"/>
      <c r="AL234" s="1473"/>
      <c r="AM234" s="1443"/>
      <c r="AN234" s="1444"/>
      <c r="AO234" s="1449"/>
      <c r="AP234" s="1449"/>
      <c r="AQ234" s="1450"/>
      <c r="AR234" s="1453"/>
      <c r="AS234" s="1456"/>
      <c r="AT234" s="1459"/>
      <c r="AU234" s="517"/>
      <c r="AV234" s="1480"/>
      <c r="AW234" s="1480"/>
      <c r="BC234" s="38"/>
      <c r="BD234" s="38"/>
      <c r="BE234" s="38"/>
      <c r="BF234" s="38"/>
      <c r="BG234" s="38"/>
      <c r="BH234" s="38"/>
      <c r="BI234" s="38"/>
      <c r="BJ234" s="38"/>
      <c r="BK234" s="38"/>
      <c r="BL234" s="38"/>
      <c r="BM234" s="38"/>
      <c r="BN234" s="38"/>
      <c r="BO234" s="38"/>
      <c r="BP234" s="38"/>
      <c r="BQ234" s="38"/>
      <c r="BR234" s="38"/>
      <c r="BS234" s="38"/>
      <c r="BT234" s="38"/>
      <c r="BU234" s="38"/>
      <c r="BV234" s="38"/>
      <c r="BW234" s="38"/>
      <c r="BX234" s="38"/>
      <c r="BY234" s="38"/>
      <c r="BZ234" s="38"/>
      <c r="CA234" s="38"/>
      <c r="CB234" s="38"/>
      <c r="CC234" s="38"/>
      <c r="CD234" s="38"/>
      <c r="CE234" s="38"/>
      <c r="CF234" s="38"/>
      <c r="CG234" s="38"/>
      <c r="CH234" s="38"/>
      <c r="CI234" s="38"/>
      <c r="CM234" s="1352"/>
      <c r="CN234" s="1352"/>
      <c r="CO234" s="1416"/>
      <c r="CP234" s="1418"/>
      <c r="CR234" s="1386"/>
      <c r="CS234" s="1355"/>
      <c r="CT234" s="1355"/>
      <c r="CU234" s="1375"/>
      <c r="CV234" s="1372"/>
      <c r="CW234" s="1372"/>
      <c r="CX234" s="1372"/>
      <c r="CY234" s="1487"/>
      <c r="CZ234" s="1487"/>
      <c r="DA234" s="1487"/>
      <c r="DC234" s="1355"/>
      <c r="DD234" s="1355"/>
      <c r="DE234" s="1375"/>
      <c r="DF234" s="1407"/>
      <c r="DG234" s="1372"/>
      <c r="DH234" s="1369"/>
      <c r="DK234" s="1484"/>
      <c r="DL234" s="1420"/>
      <c r="DN234" s="1403"/>
      <c r="DO234" s="1405"/>
      <c r="DP234" s="1355"/>
      <c r="DQ234" s="1405"/>
      <c r="DR234" s="1403"/>
      <c r="DS234" s="1489"/>
      <c r="DU234" s="1403"/>
      <c r="DV234" s="1405"/>
      <c r="DW234" s="1403"/>
      <c r="DX234" s="1403"/>
      <c r="DZ234" s="1481"/>
      <c r="EA234" s="1481"/>
      <c r="EC234" s="1482"/>
      <c r="ED234" s="1369"/>
      <c r="EE234" s="1372"/>
      <c r="EF234" s="1369"/>
      <c r="EG234" s="1369"/>
      <c r="EH234" s="1375"/>
      <c r="EI234" s="1375"/>
      <c r="EJ234" s="1363"/>
      <c r="EK234" s="1376"/>
      <c r="EL234" s="1376"/>
      <c r="EM234" s="1362"/>
      <c r="EN234" s="1362"/>
      <c r="EO234" s="1363"/>
      <c r="EP234" s="1363"/>
      <c r="EQ234" s="1363"/>
      <c r="ES234" s="1403"/>
      <c r="EU234" s="1488"/>
      <c r="EV234" s="1488"/>
      <c r="EW234" s="1488"/>
      <c r="EX234" s="1488"/>
      <c r="EY234" s="1488"/>
      <c r="EZ234" s="1414"/>
      <c r="FB234" s="1365"/>
      <c r="FD234" s="1355"/>
      <c r="FE234" s="1355"/>
      <c r="FF234" s="138"/>
      <c r="FI234" s="1357"/>
      <c r="FJ234" s="1357"/>
      <c r="FK234" s="1365"/>
      <c r="FL234" s="1365"/>
      <c r="FM234" s="1365"/>
      <c r="FO234" s="1361"/>
      <c r="FP234" s="1361"/>
      <c r="FQ234" s="1366"/>
      <c r="FR234" s="1361"/>
      <c r="FS234" s="1361"/>
      <c r="FT234" s="1361"/>
      <c r="FU234" s="1360"/>
      <c r="FW234" s="1352"/>
      <c r="FX234" s="1352"/>
      <c r="FY234" s="1352"/>
      <c r="FZ234" s="1352"/>
      <c r="GA234" s="1352"/>
      <c r="GB234" s="1352"/>
      <c r="GC234" s="1352"/>
      <c r="GD234" s="1352"/>
      <c r="GE234" s="759"/>
      <c r="GF234" s="1035"/>
      <c r="GG234" s="1385"/>
      <c r="GJ234" s="1034">
        <f>IF(GJ232=TRUE,0,GJ$16)</f>
        <v>0</v>
      </c>
      <c r="GL234" s="1034">
        <f>IF(GL232=TRUE,0,GL$16)</f>
        <v>36</v>
      </c>
      <c r="GM234" s="1034">
        <f>IF(GM232=TRUE,0,GM$16)</f>
        <v>35</v>
      </c>
      <c r="GN234" s="436"/>
      <c r="GO234" s="436"/>
      <c r="GP234" s="436"/>
      <c r="GQ234" s="436"/>
      <c r="GR234" s="436"/>
      <c r="HC234" s="1034">
        <f t="shared" ref="HC234:HH234" si="162">IF(HC232=TRUE,0,HC$16)</f>
        <v>19</v>
      </c>
      <c r="HD234" s="1034">
        <f t="shared" si="162"/>
        <v>18</v>
      </c>
      <c r="HE234" s="1034">
        <f t="shared" si="162"/>
        <v>17</v>
      </c>
      <c r="HF234" s="1034">
        <f t="shared" si="162"/>
        <v>16</v>
      </c>
      <c r="HG234" s="1034">
        <f t="shared" si="162"/>
        <v>0</v>
      </c>
      <c r="HH234" s="1034">
        <f t="shared" si="162"/>
        <v>0</v>
      </c>
      <c r="HI234" s="1034">
        <f>IF(HI232=TRUE,0,HI$16)</f>
        <v>13</v>
      </c>
      <c r="HJ234" s="1034">
        <f t="shared" ref="HJ234:HL234" si="163">IF(HJ232=TRUE,0,HJ$16)</f>
        <v>12</v>
      </c>
      <c r="HK234" s="1034">
        <f t="shared" si="163"/>
        <v>11</v>
      </c>
      <c r="HL234" s="1034">
        <f t="shared" si="163"/>
        <v>10</v>
      </c>
      <c r="HM234" s="1034">
        <f>IF(HM232=TRUE,0,HM$16)</f>
        <v>9</v>
      </c>
      <c r="HN234" s="1034">
        <f t="shared" ref="HN234:HR234" si="164">IF(HN232=TRUE,0,HN$16)</f>
        <v>0</v>
      </c>
      <c r="HO234" s="1034">
        <f t="shared" si="164"/>
        <v>0</v>
      </c>
      <c r="HP234" s="1034">
        <f t="shared" si="164"/>
        <v>0</v>
      </c>
      <c r="HQ234" s="1034">
        <f t="shared" si="164"/>
        <v>0</v>
      </c>
      <c r="HR234" s="1034">
        <f t="shared" si="164"/>
        <v>0</v>
      </c>
      <c r="HS234" s="1034">
        <f>IF(HS232=TRUE,0,HS$16)</f>
        <v>0</v>
      </c>
      <c r="HT234" s="1034">
        <f t="shared" ref="HT234" si="165">IF(HT232=TRUE,0,HT$16)</f>
        <v>0</v>
      </c>
      <c r="HU234" s="1034">
        <f>IF(HU232=TRUE,0,HU$16)</f>
        <v>1</v>
      </c>
      <c r="HW234" s="1034">
        <f>IF(GL232=FALSE,GL234,IF(GM232=FALSE,GM234,MAX(GJ234:HU234)))</f>
        <v>36</v>
      </c>
      <c r="HX234" s="1383"/>
      <c r="HY234" s="241" t="str">
        <f>VLOOKUP(HW234,_Error_Table,3,FALSE)</f>
        <v xml:space="preserve"> </v>
      </c>
      <c r="HZ234" s="241"/>
      <c r="IA234" s="1386"/>
      <c r="IB234" s="1380"/>
      <c r="IC234" s="1379"/>
      <c r="IF234" s="1380"/>
      <c r="IG234" s="1383"/>
      <c r="IH234" s="1383"/>
      <c r="II234" s="1383"/>
      <c r="IK234" s="1351"/>
      <c r="IL234" s="1351"/>
      <c r="IM234" s="1351"/>
      <c r="IN234" s="1351"/>
      <c r="IO234" s="1351"/>
      <c r="IP234" s="1351"/>
    </row>
    <row r="235" spans="1:250" s="82" customFormat="1" ht="5.0999999999999996" customHeight="1" thickTop="1" thickBot="1">
      <c r="B235" s="763"/>
      <c r="C235" s="1038"/>
      <c r="D235" s="1038"/>
      <c r="E235" s="1562"/>
      <c r="F235" s="1563"/>
      <c r="G235" s="1563"/>
      <c r="H235" s="1563"/>
      <c r="I235" s="1563"/>
      <c r="J235" s="1563"/>
      <c r="K235" s="1563"/>
      <c r="L235" s="1563"/>
      <c r="M235" s="1563"/>
      <c r="N235" s="1563"/>
      <c r="O235" s="1563"/>
      <c r="P235" s="1563"/>
      <c r="Q235" s="1563"/>
      <c r="R235" s="1563"/>
      <c r="S235" s="1563"/>
      <c r="T235" s="1563"/>
      <c r="U235" s="1563"/>
      <c r="V235" s="1563"/>
      <c r="W235" s="1563"/>
      <c r="X235" s="1563"/>
      <c r="Y235" s="1563"/>
      <c r="Z235" s="1563"/>
      <c r="AA235" s="1563"/>
      <c r="AB235" s="1563"/>
      <c r="AC235" s="1563"/>
      <c r="AD235" s="1563"/>
      <c r="AE235" s="1563"/>
      <c r="AF235" s="1563"/>
      <c r="AG235" s="1563"/>
      <c r="AH235" s="1563"/>
      <c r="AI235" s="1563"/>
      <c r="AJ235" s="1563"/>
      <c r="AK235" s="1563"/>
      <c r="AL235" s="1563"/>
      <c r="AM235" s="1563"/>
      <c r="AN235" s="1563"/>
      <c r="AO235" s="1563"/>
      <c r="AP235" s="1563"/>
      <c r="AQ235" s="1563"/>
      <c r="AR235" s="1563"/>
      <c r="AS235" s="1563"/>
      <c r="AT235" s="1564"/>
      <c r="AU235" s="1041"/>
      <c r="BC235" s="38"/>
      <c r="BD235" s="38"/>
      <c r="BE235" s="38"/>
      <c r="BF235" s="38"/>
      <c r="BG235" s="38"/>
      <c r="BH235" s="38"/>
      <c r="BI235" s="38"/>
      <c r="BJ235" s="38"/>
      <c r="BK235" s="38"/>
      <c r="BL235" s="38"/>
      <c r="BM235" s="38"/>
      <c r="BN235" s="38"/>
      <c r="BO235" s="38"/>
      <c r="BP235" s="38"/>
      <c r="BQ235" s="38"/>
      <c r="BR235" s="38"/>
      <c r="BS235" s="38"/>
      <c r="BT235" s="38"/>
      <c r="BU235" s="38"/>
      <c r="BV235" s="38"/>
      <c r="BW235" s="38"/>
      <c r="BX235" s="38"/>
      <c r="BY235" s="38"/>
      <c r="BZ235" s="38"/>
      <c r="CA235" s="38"/>
      <c r="CB235" s="38"/>
      <c r="CC235" s="38"/>
      <c r="CD235" s="38"/>
      <c r="CE235" s="38"/>
      <c r="CF235" s="38"/>
      <c r="CG235" s="38"/>
      <c r="CH235" s="38"/>
      <c r="CI235" s="38"/>
      <c r="CM235" s="749"/>
      <c r="CN235" s="749"/>
      <c r="CO235" s="1043"/>
      <c r="CP235" s="749"/>
      <c r="CS235" s="436"/>
      <c r="CT235" s="436"/>
      <c r="CU235" s="243"/>
      <c r="CV235" s="244"/>
      <c r="CW235" s="244"/>
      <c r="CX235" s="244"/>
      <c r="CY235" s="245"/>
      <c r="CZ235" s="245"/>
      <c r="DA235" s="245"/>
      <c r="DC235" s="750"/>
      <c r="DD235" s="751"/>
      <c r="DE235" s="752"/>
      <c r="DF235" s="753"/>
      <c r="DG235" s="754"/>
      <c r="DH235" s="754"/>
      <c r="DK235" s="244"/>
      <c r="DL235" s="750"/>
      <c r="DN235" s="750"/>
      <c r="DO235" s="755"/>
      <c r="DP235" s="436"/>
      <c r="DQ235" s="750"/>
      <c r="DR235" s="750"/>
      <c r="DS235" s="750"/>
      <c r="DU235" s="750"/>
      <c r="DV235" s="750"/>
      <c r="DW235" s="750"/>
      <c r="DX235" s="750"/>
      <c r="DZ235" s="756"/>
      <c r="EA235" s="756"/>
      <c r="EC235" s="754"/>
      <c r="ED235" s="754"/>
      <c r="EE235" s="244"/>
      <c r="EF235" s="754"/>
      <c r="EG235" s="754"/>
      <c r="EH235" s="243"/>
      <c r="EI235" s="243"/>
      <c r="EJ235" s="752"/>
      <c r="EK235" s="757"/>
      <c r="EL235" s="757"/>
      <c r="EM235" s="758"/>
      <c r="EN235" s="758"/>
      <c r="EO235" s="752"/>
      <c r="EP235" s="752"/>
      <c r="EQ235" s="752"/>
      <c r="ES235" s="750"/>
      <c r="EU235" s="436"/>
      <c r="EV235" s="436"/>
      <c r="EW235" s="436"/>
      <c r="EX235" s="436"/>
      <c r="EY235" s="436"/>
      <c r="EZ235" s="436"/>
      <c r="FB235" s="643"/>
      <c r="FD235" s="436"/>
      <c r="FE235" s="436"/>
      <c r="FF235" s="436"/>
      <c r="FO235" s="750"/>
      <c r="FP235" s="436"/>
      <c r="FQ235" s="436"/>
      <c r="FR235" s="750"/>
      <c r="FS235" s="750"/>
      <c r="FW235" s="749"/>
      <c r="FX235" s="749"/>
      <c r="FY235" s="749"/>
      <c r="FZ235" s="749"/>
      <c r="GA235" s="749"/>
      <c r="GB235" s="749"/>
      <c r="GC235" s="749"/>
      <c r="GD235" s="749"/>
      <c r="GE235" s="751"/>
      <c r="GF235" s="750"/>
      <c r="GG235" s="750"/>
    </row>
    <row r="236" spans="1:250" s="82" customFormat="1" ht="14.95" customHeight="1" thickTop="1" thickBot="1">
      <c r="B236" s="1421" t="str">
        <f>HY239</f>
        <v xml:space="preserve"> </v>
      </c>
      <c r="C236" s="1422">
        <f>C231+1</f>
        <v>39</v>
      </c>
      <c r="D236" s="1423"/>
      <c r="E236" s="1424" t="s">
        <v>242</v>
      </c>
      <c r="F236" s="1425"/>
      <c r="G236" s="1426"/>
      <c r="H236" s="1427"/>
      <c r="I236" s="1427"/>
      <c r="J236" s="1427"/>
      <c r="K236" s="1427"/>
      <c r="L236" s="1427"/>
      <c r="M236" s="1427"/>
      <c r="N236" s="1427"/>
      <c r="O236" s="1427"/>
      <c r="P236" s="1427"/>
      <c r="Q236" s="1427"/>
      <c r="R236" s="1427"/>
      <c r="S236" s="1428" t="s">
        <v>283</v>
      </c>
      <c r="T236" s="668" t="s">
        <v>190</v>
      </c>
      <c r="U236" s="1430" t="s">
        <v>186</v>
      </c>
      <c r="V236" s="1431"/>
      <c r="W236" s="1431"/>
      <c r="X236" s="1431"/>
      <c r="Y236" s="1431"/>
      <c r="Z236" s="1431"/>
      <c r="AA236" s="1431"/>
      <c r="AB236" s="1088" t="str">
        <f>IFERROR(IF(__Retrofit_TI_NC=0,VLOOKUP(U237,Fixtures_Existing_List,2,FALSE),ROUND(N238*R238/T238,10)),"")</f>
        <v/>
      </c>
      <c r="AC236" s="1039" t="str">
        <f>IFERROR(IF(__Retrofit_TI_NC=0,ROUND(T237*AB236*N237*R237/1000,0),IF(CN236="Interior",N238*R238*R237*N237*_C406_reduction/1000,N238*R238*R237*N237/1000)),"")</f>
        <v/>
      </c>
      <c r="AD236" s="1040" t="str">
        <f>IFERROR(IF(C$36=0,ROUND(T237*AB236/1000,2),N238*R238/1000),"")</f>
        <v/>
      </c>
      <c r="AE236" s="1044" t="s">
        <v>190</v>
      </c>
      <c r="AF236" s="1432" t="str">
        <f>IF(__Retrofit_TI_NC=2,CONCATENATE("Code min = ",DD236),IF(__Retrofit_TI_NC=1,"Emter what you think the existing control was"," Control"))</f>
        <v xml:space="preserve"> Control</v>
      </c>
      <c r="AG236" s="1432"/>
      <c r="AH236" s="1432"/>
      <c r="AI236" s="1432"/>
      <c r="AJ236" s="1433">
        <f>DF236</f>
        <v>0</v>
      </c>
      <c r="AK236" s="1435" t="str">
        <f>IFERROR(ROUND(AJ236*AC236,0),"")</f>
        <v/>
      </c>
      <c r="AL236" s="1437">
        <f>IFERROR(IF(HW236=FALSE,0,AC236-AK236),0)</f>
        <v>0</v>
      </c>
      <c r="AM236" s="1439">
        <f>AL236-AL238</f>
        <v>0</v>
      </c>
      <c r="AN236" s="1440"/>
      <c r="AO236" s="1445">
        <f>IFERROR(IF(HW236=FALSE,0,(T238*U239)+(AE238*AF239)),0)</f>
        <v>0</v>
      </c>
      <c r="AP236" s="1445"/>
      <c r="AQ236" s="1446"/>
      <c r="AR236" s="1451" t="s">
        <v>157</v>
      </c>
      <c r="AS236" s="1454">
        <f>IF(AR236="Yes",1,0)</f>
        <v>1</v>
      </c>
      <c r="AT236" s="1457" t="str">
        <f>IF(OR(DN236=4,DN236=5,DN236=6,DN236=12),CONCATENATE("$",IF(GD236=TRUE,Lookup!$B$11,Lookup!$B$2)," /lamp"),CONCATENATE(EA236,"/ kWh"))</f>
        <v>0/ kWh</v>
      </c>
      <c r="AU236" s="516"/>
      <c r="AV236" s="1478">
        <f>IFERROR(IF(GI237=TRUE,(AB239*T238)/R238,0),"NA")</f>
        <v>0</v>
      </c>
      <c r="AW236" s="1478" t="str">
        <f>IFERROR(N238*_C406_reduction,"NA")</f>
        <v>NA</v>
      </c>
      <c r="BC236" s="38"/>
      <c r="BD236" s="38"/>
      <c r="BE236" s="38"/>
      <c r="BF236" s="38"/>
      <c r="BG236" s="38"/>
      <c r="BH236" s="38"/>
      <c r="BI236" s="38"/>
      <c r="BJ236" s="38"/>
      <c r="BK236" s="38"/>
      <c r="BL236" s="38"/>
      <c r="BM236" s="38"/>
      <c r="BN236" s="38"/>
      <c r="BO236" s="38"/>
      <c r="BP236" s="38"/>
      <c r="BQ236" s="38"/>
      <c r="BR236" s="38"/>
      <c r="BS236" s="38"/>
      <c r="BT236" s="38"/>
      <c r="BU236" s="38"/>
      <c r="BV236" s="38"/>
      <c r="BW236" s="38"/>
      <c r="BX236" s="38"/>
      <c r="BY236" s="38"/>
      <c r="BZ236" s="38"/>
      <c r="CA236" s="38"/>
      <c r="CB236" s="38"/>
      <c r="CC236" s="38"/>
      <c r="CD236" s="38"/>
      <c r="CE236" s="38"/>
      <c r="CF236" s="38"/>
      <c r="CG236" s="38"/>
      <c r="CH236" s="38"/>
      <c r="CI236" s="38"/>
      <c r="CM236" s="1352" t="str">
        <f>N237</f>
        <v/>
      </c>
      <c r="CN236" s="1352" t="str">
        <f>IFERROR(VLOOKUP(G237,_Lookup_Heat_Type_Table_New,3,FALSE),"")</f>
        <v/>
      </c>
      <c r="CO236" s="1415" t="str">
        <f>CN236</f>
        <v/>
      </c>
      <c r="CP236" s="1417" t="e">
        <f>VLOOKUP(G238,'Space Table'!$B$3:$L$160,9,FALSE)</f>
        <v>#N/A</v>
      </c>
      <c r="CR236" s="1386" t="s">
        <v>283</v>
      </c>
      <c r="CS236" s="1353">
        <f>IF(HW236=TRUE,T237,0)</f>
        <v>0</v>
      </c>
      <c r="CT236" s="1353" t="str">
        <f>IF(HW236=TRUE,U237,"")</f>
        <v/>
      </c>
      <c r="CU236" s="1353"/>
      <c r="CV236" s="1370">
        <f>IF(HW236=TRUE,AB236,0)</f>
        <v>0</v>
      </c>
      <c r="CW236" s="1370">
        <f>IF(HW236=TRUE,AC236,0)</f>
        <v>0</v>
      </c>
      <c r="CX236" s="1370">
        <f>IFERROR(IF(HW236=TRUE,CW236-CW238,0),0)</f>
        <v>0</v>
      </c>
      <c r="CY236" s="1485">
        <f>IF(HW236=TRUE,AD236,0)</f>
        <v>0</v>
      </c>
      <c r="CZ236" s="1485">
        <f>IF(HW236=TRUE,AD239,0)</f>
        <v>0</v>
      </c>
      <c r="DA236" s="1485">
        <f>IFERROR(CY236-CZ236,0)</f>
        <v>0</v>
      </c>
      <c r="DC236" s="1353">
        <f>IF(HW236=TRUE,AE237,0)</f>
        <v>0</v>
      </c>
      <c r="DD236" s="1460">
        <f>IF(__Retrofit_TI_NC=2,IF(CN236="Exterior",O239,FM236),FK236)</f>
        <v>0</v>
      </c>
      <c r="DE236" s="1353"/>
      <c r="DF236" s="1406">
        <f>IFERROR(IF(FL236=3,IK236,IF(FL236=4,IL236,IF(FL236=5,IM236,IF(FL236=6,IN236,IF(FL236=7,IO236,IF(FL236=8,IP236,0)))))),0)</f>
        <v>0</v>
      </c>
      <c r="DG236" s="1370">
        <f>IF(HW236=TRUE,AK236,0)</f>
        <v>0</v>
      </c>
      <c r="DH236" s="1369">
        <f>IFERROR(IF(HW236=TRUE,DG238-DG236,0),0)</f>
        <v>0</v>
      </c>
      <c r="DJ236" s="1483">
        <f>IFERROR(CW236-DG236,0)</f>
        <v>0</v>
      </c>
      <c r="DL236" s="1419">
        <f>DJ236-DK238</f>
        <v>0</v>
      </c>
      <c r="DN236" s="1403" t="str">
        <f>IFERROR(IF(AND(OR(FY236=4,FY236=5,FY236=6),OR(GB236=4,GB236=5,GB236=6)),FY236+8,VLOOKUP(CT238,Fixtures!R$31:Y$78,8,FALSE)),"")</f>
        <v/>
      </c>
      <c r="DO236" s="1404" t="str">
        <f>DN236</f>
        <v/>
      </c>
      <c r="DP236" s="1353" t="str">
        <f>IFERROR(VLOOKUP(DD238,Lookup!AU$3:AV$15,2,FALSE),"")</f>
        <v/>
      </c>
      <c r="DQ236" s="1404" t="str">
        <f>IF(DP236=7,"LLLC","")</f>
        <v/>
      </c>
      <c r="DR236" s="1403">
        <f>IFERROR(IF(OR(DN236=4,DN236=5,DN236=6,DN236=12,DN236=13,DN236=14),VLOOKUP(CT238,Fixtures!DN$27:EG$77,19,FALSE),1)*CS238,0)</f>
        <v>0</v>
      </c>
      <c r="DS236" s="1489">
        <f>IF(DP236=7,IF(DD236=DD238,0,DC238),0)</f>
        <v>0</v>
      </c>
      <c r="DU236" s="1403" t="str">
        <f>IFERROR(IF(EW236&lt;EW238,"Yes","No"),"")</f>
        <v/>
      </c>
      <c r="DV236" s="1404" t="str">
        <f>DU236</f>
        <v/>
      </c>
      <c r="DW236" s="1403">
        <f>IF(DU236="Yes",DC238,0)</f>
        <v>0</v>
      </c>
      <c r="DX236" s="1403">
        <f>DW236-DS236</f>
        <v>0</v>
      </c>
      <c r="DZ236" s="1481">
        <f>IFERROR(VLOOKUP(DN236,Lookup!AN$3:AO$16,2,FALSE),0)</f>
        <v>0</v>
      </c>
      <c r="EA236" s="1481">
        <f>IF(HW236=FALSE,0,IF(DU236="Yes",DZ236+Lookup!B$6,DZ236))</f>
        <v>0</v>
      </c>
      <c r="EC236" s="1482">
        <f>IF(HW236=TRUE,DJ236,0)</f>
        <v>0</v>
      </c>
      <c r="ED236" s="1369">
        <f>IF(HW236=TRUE,CW238,0)</f>
        <v>0</v>
      </c>
      <c r="EE236" s="1370">
        <f>IFERROR(EC236-ED236,0)</f>
        <v>0</v>
      </c>
      <c r="EF236" s="1369">
        <f>IF(HW236=TRUE,DG238,0)</f>
        <v>0</v>
      </c>
      <c r="EG236" s="1369">
        <f>IFERROR(EC236-ED236+EF236,0)</f>
        <v>0</v>
      </c>
      <c r="EH236" s="1373">
        <f>IF(HW236=TRUE,CS238*CU238,0)</f>
        <v>0</v>
      </c>
      <c r="EI236" s="1373">
        <f>IF(HW236=TRUE,DC238*DE238,0)</f>
        <v>0</v>
      </c>
      <c r="EJ236" s="1363">
        <f>AO236</f>
        <v>0</v>
      </c>
      <c r="EK236" s="1376" t="str">
        <f>IFERROR(IF(HW236=TRUE,VLOOKUP(DN236,Lookup!AN$3:AP$16,3,FALSE)*DR236,""),0)</f>
        <v/>
      </c>
      <c r="EL236" s="1376">
        <f>IF(HW236=TRUE,DW236*Lookup!AP$12,0)</f>
        <v>0</v>
      </c>
      <c r="EM236" s="1362">
        <f>IFERROR(IF(HW236=TRUE,EK236/EM$33,0),0)</f>
        <v>0</v>
      </c>
      <c r="EN236" s="1362">
        <f>IF(HW236=TRUE,EL236/EN$33,0)</f>
        <v>0</v>
      </c>
      <c r="EO236" s="1363">
        <f>IF(HW236=TRUE,EQ$33*EM236,0)</f>
        <v>0</v>
      </c>
      <c r="EP236" s="1363">
        <f>IF(HW236=TRUE,EQ$33*EN236,0)</f>
        <v>0</v>
      </c>
      <c r="EQ236" s="1363">
        <f>EO236+EP236</f>
        <v>0</v>
      </c>
      <c r="ES236" s="1403">
        <f>IF(G236="",0,1)</f>
        <v>0</v>
      </c>
      <c r="EU236" s="1410" t="e">
        <f>VLOOKUP(CP238,'Space Table'!$B$3:$L$160,8,FALSE)</f>
        <v>#N/A</v>
      </c>
      <c r="EV236" s="1410" t="e">
        <f>IF(EY236="Yes",VLOOKUP(DD236,Lookup_Control_Type_Table2,4,FALSE),VLOOKUP(DD236,Lookup_Control_Type_Table2,3,FALSE))</f>
        <v>#N/A</v>
      </c>
      <c r="EW236" s="1410" t="e">
        <f>VLOOKUP(DD236,Lookup!AU$3:AV$15,2,FALSE)</f>
        <v>#N/A</v>
      </c>
      <c r="EX236" s="1410" t="e">
        <f>VLOOKUP(EU236,Lookup_Control_Type_Table,2,FALSE)</f>
        <v>#N/A</v>
      </c>
      <c r="EY236" s="1410" t="e">
        <f>VLOOKUP(CP238,'Space Table'!$B$3:$L$160,7,FALSE)</f>
        <v>#N/A</v>
      </c>
      <c r="EZ236" s="1412" t="b">
        <f>ISNUMBER(SEARCH("TLED",U238))</f>
        <v>0</v>
      </c>
      <c r="FB236" s="1365" t="str">
        <f>CONCATENATE(CN236," - ",DD236)</f>
        <v xml:space="preserve"> - 0</v>
      </c>
      <c r="FD236" s="1353" t="str">
        <f>VLOOKUP(CT238,Fixtures!DN$27:EZ$77,38,FALSE)</f>
        <v/>
      </c>
      <c r="FE236" s="1353">
        <f>IFERROR(FD236*EE236,0)</f>
        <v>0</v>
      </c>
      <c r="FF236" s="138"/>
      <c r="FI236" s="1356" t="str">
        <f>IF(CN236="Exterior","Not Daylighted",G239)</f>
        <v>Not Daylighted</v>
      </c>
      <c r="FJ236" s="1356">
        <f>VLOOKUP(FI236,_Daylight_Table_Codes,2,FALSE)</f>
        <v>0</v>
      </c>
      <c r="FK236" s="1365">
        <f>IF(__Retrofit_TI_NC=2,VLOOKUP(G238,'Space Table'!$B$3:$L$160,11,FALSE),AF237)</f>
        <v>0</v>
      </c>
      <c r="FL236" s="1365" t="e">
        <f>VLOOKUP(FK236,_Control_Table,2,FALSE)</f>
        <v>#N/A</v>
      </c>
      <c r="FM236" s="1365" t="e">
        <f>IF(AND(FP236&gt;0,FK236="Occupancy Sensor"),"Daylight + Occupancy",IF(AND(FP236&gt;0,FL236&lt;4),"Interior Daylight Dimming",FK236))</f>
        <v>#N/A</v>
      </c>
      <c r="FO236" s="1364">
        <f>IF(CO236="Interior",VLOOKUP(CP236,Control_Savings_Interior,5,FALSE),0)</f>
        <v>0</v>
      </c>
      <c r="FP236" s="1361">
        <f>IF(CN236="Exterior",0,IF(FJ236=2,0.5,IF(OR(FJ236=1,FJ236=3),1,0)))</f>
        <v>0</v>
      </c>
      <c r="FQ236" s="1366"/>
      <c r="FR236" s="1367"/>
      <c r="FS236" s="1364"/>
      <c r="FT236" s="1367"/>
      <c r="FU236" s="1360"/>
      <c r="FW236" s="1352" t="str">
        <f>IFERROR(VLOOKUP(U237,_Exist_Fixture_Table,3,FALSE),"")</f>
        <v/>
      </c>
      <c r="FX236" s="1352" t="str">
        <f>VLOOKUP(CT236,_Exist_Fixture_Table,4,FALSE)</f>
        <v/>
      </c>
      <c r="FY236" s="1352">
        <f>IFERROR(VLOOKUP(FX236,Lookup!AM$6:AN$8,2,FALSE),0)</f>
        <v>0</v>
      </c>
      <c r="FZ236" s="1352" t="b">
        <f>IFERROR(IF(OR(GB236=4,GB236=5,GB236=6),TRUE,FALSE),"")</f>
        <v>0</v>
      </c>
      <c r="GA236" s="1352" t="str">
        <f>IFERROR(VLOOKUP(GB236,FY$6:FZ$10,2,FALSE),"")</f>
        <v/>
      </c>
      <c r="GB236" s="1352" t="str">
        <f>VLOOKUP(CT238,Fixtures!R$31:Y$78,8,FALSE)</f>
        <v/>
      </c>
      <c r="GC236" s="1352">
        <f>IF(AND(FW236=TRUE,FZ236=TRUE,OR(DN236=12,DN236=13,DN236=14)),FY236+8,0)</f>
        <v>0</v>
      </c>
      <c r="GD236" s="1352" t="b">
        <f>IF(OR(GC236=12,GC236=13,GC236=14),TRUE,FALSE)</f>
        <v>0</v>
      </c>
      <c r="GE236" s="759" t="b">
        <f>IF(ISNUMBER(SEARCH("TLED",U237)),TRUE,FALSE)</f>
        <v>0</v>
      </c>
      <c r="GF236" s="1035" t="str">
        <f>IFERROR(VLOOKUP(U237,Fixtures!BM$93:BR$142,6,FALSE),"")</f>
        <v/>
      </c>
      <c r="GG236" s="1385" t="b">
        <f>IF(OR(GE236=FALSE,GE238=FALSE),TRUE,IF(GF236-GF238&lt;5,FALSE,TRUE))</f>
        <v>1</v>
      </c>
      <c r="GK236" s="1034">
        <f>GL236</f>
        <v>0</v>
      </c>
      <c r="GL236" s="1034">
        <f>IF(G236="",0,1)</f>
        <v>0</v>
      </c>
      <c r="GM236" s="1034">
        <f>SUM(GN236:HB236)</f>
        <v>2</v>
      </c>
      <c r="GN236" s="1034">
        <f>IF(G237="",0,1)</f>
        <v>0</v>
      </c>
      <c r="GO236" s="1034">
        <f>IF(G238="",0,1)</f>
        <v>0</v>
      </c>
      <c r="GP236" s="1034">
        <f>IF(R237="",0,1)</f>
        <v>0</v>
      </c>
      <c r="GQ236" s="1034">
        <f>IF(__Retrofit_TI_NC=0,1,IF(R238="",0,1))</f>
        <v>1</v>
      </c>
      <c r="GR236" s="1034">
        <f>IF(CN236="Exterior",1,IF(G239="",0,1))</f>
        <v>1</v>
      </c>
      <c r="GS236" s="1034">
        <f>IF(__Retrofit_TI_NC&lt;&gt;0,1,IF(T237="",0,1))</f>
        <v>0</v>
      </c>
      <c r="GT236" s="1034">
        <f>IF(__Retrofit_TI_NC&lt;&gt;0,1,IF(U237="",0,1))</f>
        <v>0</v>
      </c>
      <c r="GU236" s="1034">
        <f>IF(T238="",0,1)</f>
        <v>0</v>
      </c>
      <c r="GV236" s="1034">
        <f>IF(U238="",0,1)</f>
        <v>0</v>
      </c>
      <c r="GW236" s="1034">
        <f>IF(__Retrofit_TI_NC=2,1,IF(U239="",0,1))</f>
        <v>0</v>
      </c>
      <c r="GX236" s="1034">
        <f>IF(__Retrofit_TI_NC&lt;&gt;0,1,IF(AE237="",0,1))</f>
        <v>0</v>
      </c>
      <c r="GY236" s="1034">
        <f>IF(__Retrofit_TI_NC&lt;&gt;0,1,IF(AF237="",0,1))</f>
        <v>0</v>
      </c>
      <c r="GZ236" s="1034">
        <f>IF(AE238="",0,1)</f>
        <v>0</v>
      </c>
      <c r="HA236" s="1034">
        <f>IF(AF238="",0,1)</f>
        <v>0</v>
      </c>
      <c r="HB236" s="1034">
        <f>IF(__Retrofit_TI_NC=2,1,IF(AF239="",0,1))</f>
        <v>0</v>
      </c>
      <c r="HV236" s="436"/>
      <c r="HW236" s="1384" t="b">
        <f>IF(OR(HW239=0,HW239=HT$16,HW239=HS$16,HW239=HU$16),TRUE,FALSE)</f>
        <v>0</v>
      </c>
      <c r="HX236" s="1377" t="b">
        <f>HW236</f>
        <v>0</v>
      </c>
      <c r="HY236" s="436"/>
      <c r="HZ236" s="436"/>
      <c r="IA236" s="1386" t="b">
        <f>IF(MAX(GJ239:HP239)&gt;5,FALSE,TRUE)</f>
        <v>0</v>
      </c>
      <c r="IB236" s="1380">
        <f>IF(IA236=TRUE,AC236,0)</f>
        <v>0</v>
      </c>
      <c r="IC236" s="1380">
        <f>IB236-IB238</f>
        <v>0</v>
      </c>
      <c r="IF236" s="1380" t="e">
        <f>ROUND(T237*VLOOKUP(U237,Fixtures_Existing_List,2,FALSE)*N237*R237/1000,0)</f>
        <v>#N/A</v>
      </c>
      <c r="IG236" s="1381" t="e">
        <f>IF236-IF238</f>
        <v>#N/A</v>
      </c>
      <c r="IH236" s="1384" t="e">
        <f>ROUND(IF(CN236="Interior",N238*R238*R237*N237*_C406_reduction/1000,N238*R238*R237*N237/1000),0)</f>
        <v>#N/A</v>
      </c>
      <c r="II236" s="1384" t="e">
        <f>IH236-IH238</f>
        <v>#N/A</v>
      </c>
      <c r="IK236" s="1351" t="e">
        <f>IF($CO236="interior",IL236/2,VLOOKUP($CP236,Control_Savings_Exterior,IK$30,FALSE))</f>
        <v>#N/A</v>
      </c>
      <c r="IL236" s="1351" t="e">
        <f>IF($CO236="interior",VLOOKUP($CP236,Control_Savings_Interior,IL$30,FALSE),VLOOKUP($CP236,Control_Savings_Exterior,IL$30,FALSE))</f>
        <v>#N/A</v>
      </c>
      <c r="IM236" s="1351" t="e">
        <f>IF($CO236="interior",IF(R237&gt;FO$37,(IM$28*(FO$37/R237)),IM$28)*FP236,VLOOKUP($CP236,Control_Savings_Exterior,IM$30,FALSE))</f>
        <v>#N/A</v>
      </c>
      <c r="IN236" s="1351" t="e">
        <f>IF($CO236="interior",ROUND(((1-IL236)*IM236)+IL236,2),VLOOKUP($CP236,Control_Savings_Exterior,IN$30,FALSE))</f>
        <v>#N/A</v>
      </c>
      <c r="IO236" s="1351" t="e">
        <f>IF($CO236="interior", ROUND(((1-IL236)*(IM236*(1-IP$28)))+IP236,2), VLOOKUP($CP236,Control_Savings_Exterior,IO$30,FALSE))</f>
        <v>#N/A</v>
      </c>
      <c r="IP236" s="1351">
        <f>IF($CO236="interior",ROUND(((1-IL236)*IP$28)+IL236,2),0)</f>
        <v>0</v>
      </c>
    </row>
    <row r="237" spans="1:250" s="82" customFormat="1" ht="14.95" customHeight="1" thickTop="1" thickBot="1">
      <c r="B237" s="1421"/>
      <c r="C237" s="1422"/>
      <c r="D237" s="1423"/>
      <c r="E237" s="1393" t="s">
        <v>244</v>
      </c>
      <c r="F237" s="1394"/>
      <c r="G237" s="1395"/>
      <c r="H237" s="1395"/>
      <c r="I237" s="1395"/>
      <c r="J237" s="1395"/>
      <c r="K237" s="1395"/>
      <c r="L237" s="1395"/>
      <c r="M237" s="509" t="e">
        <f>IF(__Retrofit_TI_NC&lt;&gt;0,IF(VLOOKUP(G238,'Space Table'!$B$3:$L$160,3,FALSE)&gt;0,1,0),IF(__Retrofit_TI_NC=VLOOKUP(G238,'Space Table'!$B$3:$L$160,3,FALSE),1,0))</f>
        <v>#N/A</v>
      </c>
      <c r="N237" s="509" t="str">
        <f>IFERROR(VLOOKUP(G237,_Lookup_Heat_Type_Table_New,2,FALSE),"")</f>
        <v/>
      </c>
      <c r="O237" s="509">
        <f>IF(__Retrofit_TI_NC=1,CONCATENATE("TI ",G237),IF(__Retrofit_TI_NC=2,CONCATENATE("NC ",G237),G237))</f>
        <v>0</v>
      </c>
      <c r="P237" s="1396" t="s">
        <v>352</v>
      </c>
      <c r="Q237" s="1396"/>
      <c r="R237" s="673"/>
      <c r="S237" s="1429"/>
      <c r="T237" s="675"/>
      <c r="U237" s="1496"/>
      <c r="V237" s="1497"/>
      <c r="W237" s="1497"/>
      <c r="X237" s="1497"/>
      <c r="Y237" s="1497"/>
      <c r="Z237" s="1497"/>
      <c r="AA237" s="1497"/>
      <c r="AB237" s="1497"/>
      <c r="AC237" s="1497"/>
      <c r="AD237" s="1498"/>
      <c r="AE237" s="675"/>
      <c r="AF237" s="1397"/>
      <c r="AG237" s="1397"/>
      <c r="AH237" s="1397"/>
      <c r="AI237" s="1397"/>
      <c r="AJ237" s="1434"/>
      <c r="AK237" s="1436"/>
      <c r="AL237" s="1438"/>
      <c r="AM237" s="1441"/>
      <c r="AN237" s="1442"/>
      <c r="AO237" s="1447"/>
      <c r="AP237" s="1447"/>
      <c r="AQ237" s="1448"/>
      <c r="AR237" s="1452"/>
      <c r="AS237" s="1455"/>
      <c r="AT237" s="1458"/>
      <c r="AU237" s="516"/>
      <c r="AV237" s="1479"/>
      <c r="AW237" s="1479"/>
      <c r="BC237" s="38"/>
      <c r="BD237" s="38"/>
      <c r="BE237" s="38"/>
      <c r="BF237" s="38"/>
      <c r="BG237" s="38"/>
      <c r="BH237" s="38"/>
      <c r="BI237" s="38"/>
      <c r="BJ237" s="38"/>
      <c r="BK237" s="38"/>
      <c r="BL237" s="38"/>
      <c r="BM237" s="38"/>
      <c r="BN237" s="38"/>
      <c r="BO237" s="38"/>
      <c r="BP237" s="38"/>
      <c r="BQ237" s="38"/>
      <c r="BR237" s="38"/>
      <c r="BS237" s="38"/>
      <c r="BT237" s="38"/>
      <c r="BU237" s="38"/>
      <c r="BV237" s="38"/>
      <c r="BW237" s="38"/>
      <c r="BX237" s="38"/>
      <c r="BY237" s="38"/>
      <c r="BZ237" s="38"/>
      <c r="CA237" s="38"/>
      <c r="CB237" s="38"/>
      <c r="CC237" s="38"/>
      <c r="CD237" s="38"/>
      <c r="CE237" s="38"/>
      <c r="CF237" s="38"/>
      <c r="CG237" s="38"/>
      <c r="CH237" s="38"/>
      <c r="CI237" s="38"/>
      <c r="CM237" s="1352"/>
      <c r="CN237" s="1352"/>
      <c r="CO237" s="1416"/>
      <c r="CP237" s="1418"/>
      <c r="CR237" s="1386"/>
      <c r="CS237" s="1355"/>
      <c r="CT237" s="1355"/>
      <c r="CU237" s="1355"/>
      <c r="CV237" s="1372"/>
      <c r="CW237" s="1372"/>
      <c r="CX237" s="1371"/>
      <c r="CY237" s="1486"/>
      <c r="CZ237" s="1486"/>
      <c r="DA237" s="1486"/>
      <c r="DC237" s="1355"/>
      <c r="DD237" s="1461"/>
      <c r="DE237" s="1355"/>
      <c r="DF237" s="1407"/>
      <c r="DG237" s="1372"/>
      <c r="DH237" s="1369"/>
      <c r="DJ237" s="1484"/>
      <c r="DL237" s="1419"/>
      <c r="DN237" s="1403"/>
      <c r="DO237" s="1405"/>
      <c r="DP237" s="1354"/>
      <c r="DQ237" s="1405"/>
      <c r="DR237" s="1403"/>
      <c r="DS237" s="1489"/>
      <c r="DU237" s="1403"/>
      <c r="DV237" s="1405"/>
      <c r="DW237" s="1403"/>
      <c r="DX237" s="1403"/>
      <c r="DZ237" s="1481"/>
      <c r="EA237" s="1481"/>
      <c r="EC237" s="1482"/>
      <c r="ED237" s="1369"/>
      <c r="EE237" s="1371"/>
      <c r="EF237" s="1369"/>
      <c r="EG237" s="1369"/>
      <c r="EH237" s="1374"/>
      <c r="EI237" s="1374"/>
      <c r="EJ237" s="1363"/>
      <c r="EK237" s="1376"/>
      <c r="EL237" s="1376"/>
      <c r="EM237" s="1362"/>
      <c r="EN237" s="1362"/>
      <c r="EO237" s="1363"/>
      <c r="EP237" s="1363"/>
      <c r="EQ237" s="1363"/>
      <c r="ES237" s="1403"/>
      <c r="EU237" s="1411"/>
      <c r="EV237" s="1411"/>
      <c r="EW237" s="1411"/>
      <c r="EX237" s="1411"/>
      <c r="EY237" s="1411"/>
      <c r="EZ237" s="1413"/>
      <c r="FB237" s="1365"/>
      <c r="FD237" s="1354"/>
      <c r="FE237" s="1354"/>
      <c r="FF237" s="138"/>
      <c r="FI237" s="1357"/>
      <c r="FJ237" s="1357"/>
      <c r="FK237" s="1365"/>
      <c r="FL237" s="1365"/>
      <c r="FM237" s="1365"/>
      <c r="FO237" s="1361"/>
      <c r="FP237" s="1361"/>
      <c r="FQ237" s="1366"/>
      <c r="FR237" s="1368"/>
      <c r="FS237" s="1361"/>
      <c r="FT237" s="1368"/>
      <c r="FU237" s="1360"/>
      <c r="FW237" s="1352"/>
      <c r="FX237" s="1352"/>
      <c r="FY237" s="1352"/>
      <c r="FZ237" s="1352"/>
      <c r="GA237" s="1352"/>
      <c r="GB237" s="1352"/>
      <c r="GC237" s="1352"/>
      <c r="GD237" s="1352"/>
      <c r="GE237" s="759"/>
      <c r="GF237" s="1035"/>
      <c r="GG237" s="1385"/>
      <c r="GI237" s="1384" t="b">
        <f>IF(AND(GL237=TRUE,GM237=TRUE),TRUE,FALSE)</f>
        <v>0</v>
      </c>
      <c r="GJ237" s="1379" t="b">
        <f>IFERROR(IF(__Retrofit_TI_NC=2,TRUE,IF(AR236="Yes",TRUE,FALSE)),FALSE)</f>
        <v>1</v>
      </c>
      <c r="GL237" s="1379" t="b">
        <f>IFERROR(IF(GL236=1,TRUE,FALSE),FALSE)</f>
        <v>0</v>
      </c>
      <c r="GM237" s="1379" t="b">
        <f>IFERROR(IF(GM236=GM$14,TRUE,FALSE),FALSE)</f>
        <v>0</v>
      </c>
      <c r="HC237" s="1379" t="b">
        <f>IFERROR(IF(M237=1,TRUE,FALSE),FALSE)</f>
        <v>0</v>
      </c>
      <c r="HD237" s="1379" t="b">
        <f>IFERROR(IF(M238=1,TRUE,FALSE),FALSE)</f>
        <v>0</v>
      </c>
      <c r="HE237" s="1379" t="b">
        <f>IFERROR(IF(__Retrofit_TI_NC&lt;&gt;0,TRUE,IFERROR(IF(VLOOKUP(U237,Fixtures_Existing_List,2,FALSE)&lt;&gt;"",TRUE,FALSE),FALSE)),FALSE)</f>
        <v>0</v>
      </c>
      <c r="HF237" s="1379" t="b">
        <f>IFERROR(IF(VLOOKUP(U238,Fixtures_Proposed_List,2,FALSE)&lt;&gt;"",TRUE,FALSE),FALSE)</f>
        <v>0</v>
      </c>
      <c r="HG237" s="1379" t="b">
        <f>IF(AND(__Retrofit_TI_NC=2,EZ236=TRUE),FALSE,TRUE)</f>
        <v>1</v>
      </c>
      <c r="HH237" s="1379" t="b">
        <f>GG236</f>
        <v>1</v>
      </c>
      <c r="HI237" s="1384" t="b">
        <f>IF(ISERROR(MATCH(FB236,_Control_Match[],0))=TRUE,FALSE,TRUE)</f>
        <v>0</v>
      </c>
      <c r="HJ237" s="1384" t="b">
        <f>IFERROR(IF(EU236&lt;&gt;EV236,FALSE,TRUE),FALSE)</f>
        <v>0</v>
      </c>
      <c r="HK237" s="1384" t="b">
        <f>IFERROR(IF(EU238&lt;&gt;EV238,FALSE,TRUE),FALSE)</f>
        <v>0</v>
      </c>
      <c r="HL237" s="1379" t="b">
        <f>IFERROR(IF(CN236="Exterior",TRUE,IF(OR(AND(FJ236=0,EW238&gt;4),AND(FJ236=4,EW238&gt;4,EW238&lt;7)),FALSE,TRUE)),FALSE)</f>
        <v>0</v>
      </c>
      <c r="HM237" s="1379" t="b">
        <f>IFERROR(IF(AND(FL238=7,EZ236=TRUE),FALSE,TRUE),FALSE)</f>
        <v>0</v>
      </c>
      <c r="HN237" s="1379" t="b">
        <f>IFERROR(IF(AND(T238&lt;&gt;AE238,AF238="Interior LLLC")=TRUE,FALSE,TRUE),FALSE)</f>
        <v>1</v>
      </c>
      <c r="HO237" s="1379" t="b">
        <f>IFERROR(IF(OR(AF238=Lookup!AU$13,AF238=Lookup!AU$14)=TRUE,IF(AE238&gt;T238,FALSE,TRUE),TRUE),FALSE)</f>
        <v>1</v>
      </c>
      <c r="HP237" s="1379" t="b">
        <f>IFERROR(IF(__Retrofit_TI_NC=2,IF(EW238&lt;EW236,FALSE,TRUE),TRUE),FALSE)</f>
        <v>1</v>
      </c>
      <c r="HQ237" s="1379" t="b">
        <f>IF(CN236="Interior",IG$6,TRUE)</f>
        <v>1</v>
      </c>
      <c r="HR237" s="1379" t="b">
        <f>IF(CN236="Exterior",IG$8,TRUE)</f>
        <v>1</v>
      </c>
      <c r="HS237" s="1379" t="b">
        <f>IFERROR(IF(__Retrofit_TI_NC&lt;&gt;0,IF(AW236&lt;AV236,FALSE,TRUE),TRUE),FALSE)</f>
        <v>1</v>
      </c>
      <c r="HT237" s="1379" t="b">
        <f>IFERROR(IF(AND(G237="Exterior",R237&gt;4200),FALSE,TRUE),FALSE)</f>
        <v>1</v>
      </c>
      <c r="HU237" s="1379" t="b">
        <f>IFERROR(IF(AB239/AB236&lt;HU$18,FALSE,TRUE),FALSE)</f>
        <v>0</v>
      </c>
      <c r="HW237" s="1382"/>
      <c r="HX237" s="1378"/>
      <c r="HY237" s="1377" t="str">
        <f>VLOOKUP(HW239,_Error_Table,4,FALSE)</f>
        <v>White</v>
      </c>
      <c r="HZ237" s="436"/>
      <c r="IA237" s="1386"/>
      <c r="IB237" s="1380"/>
      <c r="IC237" s="1379"/>
      <c r="IF237" s="1380"/>
      <c r="IG237" s="1382"/>
      <c r="IH237" s="1382"/>
      <c r="II237" s="1382"/>
      <c r="IK237" s="1351"/>
      <c r="IL237" s="1351"/>
      <c r="IM237" s="1351"/>
      <c r="IN237" s="1351"/>
      <c r="IO237" s="1351"/>
      <c r="IP237" s="1351"/>
    </row>
    <row r="238" spans="1:250" s="82" customFormat="1" ht="14.95" customHeight="1" thickTop="1" thickBot="1">
      <c r="A238" s="82">
        <f>ROW()</f>
        <v>238</v>
      </c>
      <c r="B238" s="1421"/>
      <c r="C238" s="1422"/>
      <c r="D238" s="1423"/>
      <c r="E238" s="1393" t="s">
        <v>245</v>
      </c>
      <c r="F238" s="1394"/>
      <c r="G238" s="1398"/>
      <c r="H238" s="1399"/>
      <c r="I238" s="1399"/>
      <c r="J238" s="1399"/>
      <c r="K238" s="1399"/>
      <c r="L238" s="1400"/>
      <c r="M238" s="509">
        <f>IFERROR(IF(IF(__Retrofit_TI_NC&lt;&gt;0,IF(CN236="Interior",MATCH(G238,Lookup_Interior_New,0),MATCH(G238,Lookup_Exterior_New,0)),IF(CN236="Interior",MATCH(G238,Lookup_Interior,0),MATCH(G238,Lookup_Exterior_Areas,0)))&gt;0,1,0),0)</f>
        <v>0</v>
      </c>
      <c r="N238" s="509" t="e">
        <f>IF(__Retrofit_TI_NC=1,
VLOOKUP(G238,'Space Table'!$B$3:$L$160,4,FALSE),
IF(__Retrofit_TI_NC=2,VLOOKUP(G238,'Space Table'!$B$3:$L$160,5,FALSE),VLOOKUP(G238,'Space Table'!$B$3:$L$160,5,FALSE)))</f>
        <v>#N/A</v>
      </c>
      <c r="O238" s="509">
        <f>G238</f>
        <v>0</v>
      </c>
      <c r="P238" s="1394" t="s">
        <v>355</v>
      </c>
      <c r="Q238" s="1394"/>
      <c r="R238" s="674"/>
      <c r="S238" s="1401" t="s">
        <v>284</v>
      </c>
      <c r="T238" s="672"/>
      <c r="U238" s="1499"/>
      <c r="V238" s="1500"/>
      <c r="W238" s="1500"/>
      <c r="X238" s="1500"/>
      <c r="Y238" s="1500"/>
      <c r="Z238" s="1500"/>
      <c r="AA238" s="1500"/>
      <c r="AB238" s="1501"/>
      <c r="AC238" s="1501"/>
      <c r="AD238" s="1502"/>
      <c r="AE238" s="672"/>
      <c r="AF238" s="1474"/>
      <c r="AG238" s="1474"/>
      <c r="AH238" s="1474"/>
      <c r="AI238" s="1474"/>
      <c r="AJ238" s="1475">
        <f>DF238</f>
        <v>0</v>
      </c>
      <c r="AK238" s="1470" t="str">
        <f>IFERROR(ROUND(AJ238*AC239,0),"")</f>
        <v/>
      </c>
      <c r="AL238" s="1472">
        <f>IFERROR(IF(HW236=FALSE,0,AC239-AK238),0)</f>
        <v>0</v>
      </c>
      <c r="AM238" s="1441"/>
      <c r="AN238" s="1442"/>
      <c r="AO238" s="1447"/>
      <c r="AP238" s="1447"/>
      <c r="AQ238" s="1448"/>
      <c r="AR238" s="1452"/>
      <c r="AS238" s="1455"/>
      <c r="AT238" s="1458"/>
      <c r="AU238" s="516"/>
      <c r="AV238" s="1479"/>
      <c r="AW238" s="1479"/>
      <c r="BC238" s="38"/>
      <c r="BD238" s="38"/>
      <c r="BE238" s="38"/>
      <c r="BF238" s="38"/>
      <c r="BG238" s="38"/>
      <c r="BH238" s="38"/>
      <c r="BI238" s="38"/>
      <c r="BJ238" s="38"/>
      <c r="BK238" s="38"/>
      <c r="BL238" s="38"/>
      <c r="BM238" s="38"/>
      <c r="BN238" s="38"/>
      <c r="BO238" s="38"/>
      <c r="BP238" s="38"/>
      <c r="BQ238" s="38"/>
      <c r="BR238" s="38"/>
      <c r="BS238" s="38"/>
      <c r="BT238" s="38"/>
      <c r="BU238" s="38"/>
      <c r="BV238" s="38"/>
      <c r="BW238" s="38"/>
      <c r="BX238" s="38"/>
      <c r="BY238" s="38"/>
      <c r="BZ238" s="38"/>
      <c r="CA238" s="38"/>
      <c r="CB238" s="38"/>
      <c r="CC238" s="38"/>
      <c r="CD238" s="38"/>
      <c r="CE238" s="38"/>
      <c r="CF238" s="38"/>
      <c r="CG238" s="38"/>
      <c r="CH238" s="38"/>
      <c r="CI238" s="38"/>
      <c r="CM238" s="1352"/>
      <c r="CN238" s="1352"/>
      <c r="CO238" s="1415" t="str">
        <f>CN236</f>
        <v/>
      </c>
      <c r="CP238" s="1417" t="e">
        <f>CP236</f>
        <v>#N/A</v>
      </c>
      <c r="CR238" s="1386" t="s">
        <v>284</v>
      </c>
      <c r="CS238" s="1353">
        <f>IF(HW236=TRUE,T238,0)</f>
        <v>0</v>
      </c>
      <c r="CT238" s="1353" t="str">
        <f>IF(HW236=TRUE,U238,"")</f>
        <v/>
      </c>
      <c r="CU238" s="1373">
        <f>IF(HW236=TRUE,U239,0)</f>
        <v>0</v>
      </c>
      <c r="CV238" s="1370">
        <f>IF(HW236=TRUE,AB239,0)</f>
        <v>0</v>
      </c>
      <c r="CW238" s="1370">
        <f>IF(HW236=TRUE,AC239,0)</f>
        <v>0</v>
      </c>
      <c r="CX238" s="1371"/>
      <c r="CY238" s="1486"/>
      <c r="CZ238" s="1486"/>
      <c r="DA238" s="1486"/>
      <c r="DC238" s="1353">
        <f>IF(HW236=TRUE,AE238,0)</f>
        <v>0</v>
      </c>
      <c r="DD238" s="1353" t="str">
        <f>IF(HW236=TRUE,AF238,"")</f>
        <v/>
      </c>
      <c r="DE238" s="1373">
        <f>AF239</f>
        <v>0</v>
      </c>
      <c r="DF238" s="1406">
        <f>IFERROR(IF(FL238=3,IK238,IF(FL238=4,IL238,IF(FL238=5,IM238,IF(FL238=6,IN238,IF(FL238=7,IO238,IF(FL238=8,IP238,0)))))),0)</f>
        <v>0</v>
      </c>
      <c r="DG238" s="1370">
        <f>IF(HW236=TRUE,AK238,0)</f>
        <v>0</v>
      </c>
      <c r="DH238" s="1369"/>
      <c r="DK238" s="1483">
        <f>IFERROR(CW238-DG238,0)</f>
        <v>0</v>
      </c>
      <c r="DL238" s="1420"/>
      <c r="DN238" s="1403"/>
      <c r="DO238" s="1477" t="str">
        <f>DN236</f>
        <v/>
      </c>
      <c r="DP238" s="1354"/>
      <c r="DQ238" s="1477" t="str">
        <f>IF(DP236=7,"LLLC","")</f>
        <v/>
      </c>
      <c r="DR238" s="1403"/>
      <c r="DS238" s="1489"/>
      <c r="DU238" s="1403"/>
      <c r="DV238" s="1404" t="str">
        <f>DU236</f>
        <v/>
      </c>
      <c r="DW238" s="1403"/>
      <c r="DX238" s="1403"/>
      <c r="DZ238" s="1481"/>
      <c r="EA238" s="1481"/>
      <c r="EC238" s="1482"/>
      <c r="ED238" s="1369"/>
      <c r="EE238" s="1371"/>
      <c r="EF238" s="1369"/>
      <c r="EG238" s="1369"/>
      <c r="EH238" s="1374"/>
      <c r="EI238" s="1374"/>
      <c r="EJ238" s="1363"/>
      <c r="EK238" s="1376"/>
      <c r="EL238" s="1376"/>
      <c r="EM238" s="1362"/>
      <c r="EN238" s="1362"/>
      <c r="EO238" s="1363"/>
      <c r="EP238" s="1363"/>
      <c r="EQ238" s="1363"/>
      <c r="ES238" s="1403"/>
      <c r="EU238" s="1411" t="e">
        <f>VLOOKUP(CP238,'Space Table'!$B$3:$L$160,8,FALSE)</f>
        <v>#N/A</v>
      </c>
      <c r="EV238" s="1411" t="e">
        <f>IF(EY238="Yes",VLOOKUP(AF238,Lookup_Control_Type_Table2,4,FALSE),VLOOKUP(AF238,Lookup_Control_Type_Table2,3,FALSE))</f>
        <v>#N/A</v>
      </c>
      <c r="EW238" s="1411" t="e">
        <f>VLOOKUP(AF238,Lookup!AU$3:AV$15,2,FALSE)</f>
        <v>#N/A</v>
      </c>
      <c r="EX238" s="1411" t="e">
        <f>VLOOKUP(EU236,Lookup_Control_Type_Table,2,FALSE)</f>
        <v>#N/A</v>
      </c>
      <c r="EY238" s="1411" t="e">
        <f>VLOOKUP(CP238,'Space Table'!$B$3:$L$160,7,FALSE)</f>
        <v>#N/A</v>
      </c>
      <c r="EZ238" s="1413"/>
      <c r="FB238" s="1365" t="str">
        <f>CONCATENATE(CN236," - ",AF238)</f>
        <v xml:space="preserve"> - </v>
      </c>
      <c r="FD238" s="1354"/>
      <c r="FE238" s="1354"/>
      <c r="FF238" s="138"/>
      <c r="FI238" s="1356" t="str">
        <f>IF(CN236="Exterior","Not Daylighted",G239)</f>
        <v>Not Daylighted</v>
      </c>
      <c r="FJ238" s="1356">
        <f>VLOOKUP(FI238,_Daylight_Table_Codes,2,FALSE)</f>
        <v>0</v>
      </c>
      <c r="FK238" s="1365">
        <f>AF238</f>
        <v>0</v>
      </c>
      <c r="FL238" s="1365" t="e">
        <f>VLOOKUP(FK238,_Control_Table,2,FALSE)</f>
        <v>#N/A</v>
      </c>
      <c r="FM238" s="1365" t="e">
        <f>IF(AND(FP238&gt;0,FK238="Occupancy Sensor"),"Daylight + Occupancy",IF(AND(FP238&gt;0,FL238&lt;4),"Interior Daylight Dimming",FK238))</f>
        <v>#N/A</v>
      </c>
      <c r="FO238" s="1364">
        <f>IF(CN236="Interior",VLOOKUP(CP236,Control_Savings_Interior,5,FALSE),0)</f>
        <v>0</v>
      </c>
      <c r="FP238" s="1361">
        <f>IF(CN238="Exterior",0,IF(FJ238=2,0.5,IF(OR(FJ238=1,FJ238=3),1,0)))</f>
        <v>0</v>
      </c>
      <c r="FQ238" s="1366">
        <f>IF(R237&gt;FO$37,(FO238*(FO$37/R237)),FO238)*FP238</f>
        <v>0</v>
      </c>
      <c r="FR238" s="1364">
        <f>DF238</f>
        <v>0</v>
      </c>
      <c r="FS238" s="1364">
        <f>ROUND(FR238+((1-FR238)*FQ238),2)</f>
        <v>0</v>
      </c>
      <c r="FT238" s="1364">
        <f>IF(__Retrofit_TI_NC=2,FS238,FR238)</f>
        <v>0</v>
      </c>
      <c r="FU238" s="1360">
        <f>IF(CO238="Interior",VLOOKUP(CP238,Control_Savings_Interior,4,FALSE),0)</f>
        <v>0</v>
      </c>
      <c r="FW238" s="1352"/>
      <c r="FX238" s="1352"/>
      <c r="FY238" s="1352"/>
      <c r="FZ238" s="1352"/>
      <c r="GA238" s="1352"/>
      <c r="GB238" s="1352"/>
      <c r="GC238" s="1352"/>
      <c r="GD238" s="1352"/>
      <c r="GE238" s="759" t="b">
        <f>IF(ISNUMBER(SEARCH("TLED",U238)),TRUE,FALSE)</f>
        <v>0</v>
      </c>
      <c r="GF238" s="1035" t="str">
        <f>IFERROR(VLOOKUP(U238,Fixtures!DM$93:DR$142,6,FALSE),"")</f>
        <v/>
      </c>
      <c r="GG238" s="1385"/>
      <c r="GI238" s="1383"/>
      <c r="GJ238" s="1379"/>
      <c r="GL238" s="1379"/>
      <c r="GM238" s="1379"/>
      <c r="HC238" s="1379"/>
      <c r="HD238" s="1379"/>
      <c r="HE238" s="1379"/>
      <c r="HF238" s="1379"/>
      <c r="HG238" s="1379"/>
      <c r="HH238" s="1379"/>
      <c r="HI238" s="1383"/>
      <c r="HJ238" s="1383"/>
      <c r="HK238" s="1383"/>
      <c r="HL238" s="1379"/>
      <c r="HM238" s="1379"/>
      <c r="HN238" s="1379"/>
      <c r="HO238" s="1379"/>
      <c r="HP238" s="1379"/>
      <c r="HQ238" s="1379"/>
      <c r="HR238" s="1379"/>
      <c r="HS238" s="1379"/>
      <c r="HT238" s="1379"/>
      <c r="HU238" s="1379"/>
      <c r="HW238" s="1383"/>
      <c r="HX238" s="1384" t="b">
        <f>HW236</f>
        <v>0</v>
      </c>
      <c r="HY238" s="1378"/>
      <c r="HZ238" s="436"/>
      <c r="IA238" s="1386"/>
      <c r="IB238" s="1380">
        <f>IF(IA236=TRUE,AC239,0)</f>
        <v>0</v>
      </c>
      <c r="IC238" s="1379"/>
      <c r="IF238" s="1380" t="e">
        <f>ROUND(T238*AB239*N237*R237/1000,0)</f>
        <v>#VALUE!</v>
      </c>
      <c r="IG238" s="1382"/>
      <c r="IH238" s="1384" t="e">
        <f>ROUND(T238*AB239*N237*R237/1000,0)</f>
        <v>#VALUE!</v>
      </c>
      <c r="II238" s="1382"/>
      <c r="IK238" s="1351" t="e">
        <f>IF($CO238="interior",IL238/2,VLOOKUP($CP238,Control_Savings_Exterior,IK$30,FALSE))</f>
        <v>#N/A</v>
      </c>
      <c r="IL238" s="1351" t="e">
        <f>IF($CO238="interior",VLOOKUP($CP238,Control_Savings_Interior,IL$30,FALSE),VLOOKUP($CP238,Control_Savings_Exterior,IL$30,FALSE))</f>
        <v>#N/A</v>
      </c>
      <c r="IM238" s="1351" t="e">
        <f>IF($CO238="interior",IF(R237&gt;FO$37,(IM$28*(FO$37/R237)),IM$28)*FP238,VLOOKUP($CP238,Control_Savings_Exterior,IM$30,FALSE))</f>
        <v>#N/A</v>
      </c>
      <c r="IN238" s="1351" t="e">
        <f>IF($CO238="interior",ROUND(((1-IL238)*IM238)+IL238,2),VLOOKUP($CP238,Control_Savings_Exterior,IN$30,FALSE))</f>
        <v>#N/A</v>
      </c>
      <c r="IO238" s="1351" t="e">
        <f>IF($CO238="interior", ROUND(((1-IL238)*(IM238*(1-IP$28)))+IP238,2), VLOOKUP($CP238,Control_Savings_Exterior,IO$30,FALSE))</f>
        <v>#N/A</v>
      </c>
      <c r="IP238" s="1351">
        <f>IF($CO238="interior",ROUND(((1-IL238)*IP$28)+IL238,2),0)</f>
        <v>0</v>
      </c>
    </row>
    <row r="239" spans="1:250" s="82" customFormat="1" ht="14.95" customHeight="1" thickTop="1" thickBot="1">
      <c r="B239" s="1421"/>
      <c r="C239" s="1422"/>
      <c r="D239" s="1423"/>
      <c r="E239" s="1462" t="s">
        <v>357</v>
      </c>
      <c r="F239" s="1463"/>
      <c r="G239" s="1464" t="s">
        <v>362</v>
      </c>
      <c r="H239" s="1465"/>
      <c r="I239" s="1465"/>
      <c r="J239" s="1465"/>
      <c r="K239" s="1465"/>
      <c r="L239" s="1466"/>
      <c r="M239" s="669">
        <f>IFERROR(VLOOKUP(G239,_Daylight_Table[],2,FALSE),0)</f>
        <v>0</v>
      </c>
      <c r="N239" s="670"/>
      <c r="O239" s="669" t="e">
        <f>VLOOKUP(G238,'Space Table'!$B$3:$L$160,11,FALSE)</f>
        <v>#N/A</v>
      </c>
      <c r="P239" s="1408"/>
      <c r="Q239" s="1409"/>
      <c r="R239" s="1409"/>
      <c r="S239" s="1402"/>
      <c r="T239" s="671" t="s">
        <v>281</v>
      </c>
      <c r="U239" s="1467" t="str">
        <f>IFERROR(VLOOKUP(U238,Fixtures!DM$93:DP$142,4,FALSE),"")</f>
        <v/>
      </c>
      <c r="V239" s="1468"/>
      <c r="W239" s="1468"/>
      <c r="X239" s="1468"/>
      <c r="Y239" s="1468"/>
      <c r="Z239" s="1468"/>
      <c r="AA239" s="1468"/>
      <c r="AB239" s="1046" t="str">
        <f>IFERROR(VLOOKUP(U238,Fixtures_Proposed_List,2,FALSE),"")</f>
        <v/>
      </c>
      <c r="AC239" s="1036" t="str">
        <f>IFERROR(ROUND(T238*AB239*N237*R237/1000,0),"")</f>
        <v/>
      </c>
      <c r="AD239" s="1037" t="str">
        <f>IFERROR(ROUND(T238*AB239/1000,2),"")</f>
        <v/>
      </c>
      <c r="AE239" s="1045" t="s">
        <v>281</v>
      </c>
      <c r="AF239" s="1469"/>
      <c r="AG239" s="1469"/>
      <c r="AH239" s="1469"/>
      <c r="AI239" s="1469"/>
      <c r="AJ239" s="1476"/>
      <c r="AK239" s="1471"/>
      <c r="AL239" s="1473"/>
      <c r="AM239" s="1443"/>
      <c r="AN239" s="1444"/>
      <c r="AO239" s="1449"/>
      <c r="AP239" s="1449"/>
      <c r="AQ239" s="1450"/>
      <c r="AR239" s="1453"/>
      <c r="AS239" s="1456"/>
      <c r="AT239" s="1459"/>
      <c r="AU239" s="517"/>
      <c r="AV239" s="1480"/>
      <c r="AW239" s="1480"/>
      <c r="BC239" s="38"/>
      <c r="BD239" s="38"/>
      <c r="BE239" s="38"/>
      <c r="BF239" s="38"/>
      <c r="BG239" s="38"/>
      <c r="BH239" s="38"/>
      <c r="BI239" s="38"/>
      <c r="BJ239" s="38"/>
      <c r="BK239" s="38"/>
      <c r="BL239" s="38"/>
      <c r="BM239" s="38"/>
      <c r="BN239" s="38"/>
      <c r="BO239" s="38"/>
      <c r="BP239" s="38"/>
      <c r="BQ239" s="38"/>
      <c r="BR239" s="38"/>
      <c r="BS239" s="38"/>
      <c r="BT239" s="38"/>
      <c r="BU239" s="38"/>
      <c r="BV239" s="38"/>
      <c r="BW239" s="38"/>
      <c r="BX239" s="38"/>
      <c r="BY239" s="38"/>
      <c r="BZ239" s="38"/>
      <c r="CA239" s="38"/>
      <c r="CB239" s="38"/>
      <c r="CC239" s="38"/>
      <c r="CD239" s="38"/>
      <c r="CE239" s="38"/>
      <c r="CF239" s="38"/>
      <c r="CG239" s="38"/>
      <c r="CH239" s="38"/>
      <c r="CI239" s="38"/>
      <c r="CM239" s="1352"/>
      <c r="CN239" s="1352"/>
      <c r="CO239" s="1416"/>
      <c r="CP239" s="1418"/>
      <c r="CR239" s="1386"/>
      <c r="CS239" s="1355"/>
      <c r="CT239" s="1355"/>
      <c r="CU239" s="1375"/>
      <c r="CV239" s="1372"/>
      <c r="CW239" s="1372"/>
      <c r="CX239" s="1372"/>
      <c r="CY239" s="1487"/>
      <c r="CZ239" s="1487"/>
      <c r="DA239" s="1487"/>
      <c r="DC239" s="1355"/>
      <c r="DD239" s="1355"/>
      <c r="DE239" s="1375"/>
      <c r="DF239" s="1407"/>
      <c r="DG239" s="1372"/>
      <c r="DH239" s="1369"/>
      <c r="DK239" s="1484"/>
      <c r="DL239" s="1420"/>
      <c r="DN239" s="1403"/>
      <c r="DO239" s="1405"/>
      <c r="DP239" s="1355"/>
      <c r="DQ239" s="1405"/>
      <c r="DR239" s="1403"/>
      <c r="DS239" s="1489"/>
      <c r="DU239" s="1403"/>
      <c r="DV239" s="1405"/>
      <c r="DW239" s="1403"/>
      <c r="DX239" s="1403"/>
      <c r="DZ239" s="1481"/>
      <c r="EA239" s="1481"/>
      <c r="EC239" s="1482"/>
      <c r="ED239" s="1369"/>
      <c r="EE239" s="1372"/>
      <c r="EF239" s="1369"/>
      <c r="EG239" s="1369"/>
      <c r="EH239" s="1375"/>
      <c r="EI239" s="1375"/>
      <c r="EJ239" s="1363"/>
      <c r="EK239" s="1376"/>
      <c r="EL239" s="1376"/>
      <c r="EM239" s="1362"/>
      <c r="EN239" s="1362"/>
      <c r="EO239" s="1363"/>
      <c r="EP239" s="1363"/>
      <c r="EQ239" s="1363"/>
      <c r="ES239" s="1403"/>
      <c r="EU239" s="1488"/>
      <c r="EV239" s="1488"/>
      <c r="EW239" s="1488"/>
      <c r="EX239" s="1488"/>
      <c r="EY239" s="1488"/>
      <c r="EZ239" s="1414"/>
      <c r="FB239" s="1365"/>
      <c r="FD239" s="1355"/>
      <c r="FE239" s="1355"/>
      <c r="FF239" s="138"/>
      <c r="FI239" s="1357"/>
      <c r="FJ239" s="1357"/>
      <c r="FK239" s="1365"/>
      <c r="FL239" s="1365"/>
      <c r="FM239" s="1365"/>
      <c r="FO239" s="1361"/>
      <c r="FP239" s="1361"/>
      <c r="FQ239" s="1366"/>
      <c r="FR239" s="1361"/>
      <c r="FS239" s="1361"/>
      <c r="FT239" s="1361"/>
      <c r="FU239" s="1360"/>
      <c r="FW239" s="1352"/>
      <c r="FX239" s="1352"/>
      <c r="FY239" s="1352"/>
      <c r="FZ239" s="1352"/>
      <c r="GA239" s="1352"/>
      <c r="GB239" s="1352"/>
      <c r="GC239" s="1352"/>
      <c r="GD239" s="1352"/>
      <c r="GE239" s="759"/>
      <c r="GF239" s="1035"/>
      <c r="GG239" s="1385"/>
      <c r="GJ239" s="1034">
        <f>IF(GJ237=TRUE,0,GJ$16)</f>
        <v>0</v>
      </c>
      <c r="GL239" s="1034">
        <f>IF(GL237=TRUE,0,GL$16)</f>
        <v>36</v>
      </c>
      <c r="GM239" s="1034">
        <f>IF(GM237=TRUE,0,GM$16)</f>
        <v>35</v>
      </c>
      <c r="GN239" s="436"/>
      <c r="GO239" s="436"/>
      <c r="GP239" s="436"/>
      <c r="GQ239" s="436"/>
      <c r="GR239" s="436"/>
      <c r="HC239" s="1034">
        <f t="shared" ref="HC239:HH239" si="166">IF(HC237=TRUE,0,HC$16)</f>
        <v>19</v>
      </c>
      <c r="HD239" s="1034">
        <f t="shared" si="166"/>
        <v>18</v>
      </c>
      <c r="HE239" s="1034">
        <f t="shared" si="166"/>
        <v>17</v>
      </c>
      <c r="HF239" s="1034">
        <f t="shared" si="166"/>
        <v>16</v>
      </c>
      <c r="HG239" s="1034">
        <f t="shared" si="166"/>
        <v>0</v>
      </c>
      <c r="HH239" s="1034">
        <f t="shared" si="166"/>
        <v>0</v>
      </c>
      <c r="HI239" s="1034">
        <f>IF(HI237=TRUE,0,HI$16)</f>
        <v>13</v>
      </c>
      <c r="HJ239" s="1034">
        <f t="shared" ref="HJ239:HL239" si="167">IF(HJ237=TRUE,0,HJ$16)</f>
        <v>12</v>
      </c>
      <c r="HK239" s="1034">
        <f t="shared" si="167"/>
        <v>11</v>
      </c>
      <c r="HL239" s="1034">
        <f t="shared" si="167"/>
        <v>10</v>
      </c>
      <c r="HM239" s="1034">
        <f>IF(HM237=TRUE,0,HM$16)</f>
        <v>9</v>
      </c>
      <c r="HN239" s="1034">
        <f t="shared" ref="HN239:HR239" si="168">IF(HN237=TRUE,0,HN$16)</f>
        <v>0</v>
      </c>
      <c r="HO239" s="1034">
        <f t="shared" si="168"/>
        <v>0</v>
      </c>
      <c r="HP239" s="1034">
        <f t="shared" si="168"/>
        <v>0</v>
      </c>
      <c r="HQ239" s="1034">
        <f t="shared" si="168"/>
        <v>0</v>
      </c>
      <c r="HR239" s="1034">
        <f t="shared" si="168"/>
        <v>0</v>
      </c>
      <c r="HS239" s="1034">
        <f>IF(HS237=TRUE,0,HS$16)</f>
        <v>0</v>
      </c>
      <c r="HT239" s="1034">
        <f t="shared" ref="HT239" si="169">IF(HT237=TRUE,0,HT$16)</f>
        <v>0</v>
      </c>
      <c r="HU239" s="1034">
        <f>IF(HU237=TRUE,0,HU$16)</f>
        <v>1</v>
      </c>
      <c r="HW239" s="1034">
        <f>IF(GL237=FALSE,GL239,IF(GM237=FALSE,GM239,MAX(GJ239:HU239)))</f>
        <v>36</v>
      </c>
      <c r="HX239" s="1383"/>
      <c r="HY239" s="241" t="str">
        <f>VLOOKUP(HW239,_Error_Table,3,FALSE)</f>
        <v xml:space="preserve"> </v>
      </c>
      <c r="HZ239" s="241"/>
      <c r="IA239" s="1386"/>
      <c r="IB239" s="1380"/>
      <c r="IC239" s="1379"/>
      <c r="IF239" s="1380"/>
      <c r="IG239" s="1383"/>
      <c r="IH239" s="1383"/>
      <c r="II239" s="1383"/>
      <c r="IK239" s="1351"/>
      <c r="IL239" s="1351"/>
      <c r="IM239" s="1351"/>
      <c r="IN239" s="1351"/>
      <c r="IO239" s="1351"/>
      <c r="IP239" s="1351"/>
    </row>
    <row r="240" spans="1:250" s="82" customFormat="1" ht="5.0999999999999996" customHeight="1" thickBot="1">
      <c r="B240" s="763"/>
      <c r="C240" s="1038"/>
      <c r="D240" s="1038"/>
      <c r="E240" s="1490"/>
      <c r="F240" s="1490"/>
      <c r="G240" s="1490"/>
      <c r="H240" s="1490"/>
      <c r="I240" s="1490"/>
      <c r="J240" s="1490"/>
      <c r="K240" s="1490"/>
      <c r="L240" s="1490"/>
      <c r="M240" s="1490"/>
      <c r="N240" s="1490"/>
      <c r="O240" s="1490"/>
      <c r="P240" s="1490"/>
      <c r="Q240" s="1490"/>
      <c r="R240" s="1490"/>
      <c r="S240" s="1490"/>
      <c r="T240" s="1490"/>
      <c r="U240" s="1490"/>
      <c r="V240" s="1490"/>
      <c r="W240" s="1490"/>
      <c r="X240" s="1490"/>
      <c r="Y240" s="1490"/>
      <c r="Z240" s="1490"/>
      <c r="AA240" s="1490"/>
      <c r="AB240" s="1490"/>
      <c r="AC240" s="1490"/>
      <c r="AD240" s="1490"/>
      <c r="AE240" s="1490"/>
      <c r="AF240" s="1490"/>
      <c r="AG240" s="1490"/>
      <c r="AH240" s="1490"/>
      <c r="AI240" s="1490"/>
      <c r="AJ240" s="1490"/>
      <c r="AK240" s="1490"/>
      <c r="AL240" s="1490"/>
      <c r="AM240" s="1490"/>
      <c r="AN240" s="1490"/>
      <c r="AO240" s="1490"/>
      <c r="AP240" s="1490"/>
      <c r="AQ240" s="1490"/>
      <c r="AR240" s="1490"/>
      <c r="AS240" s="1490"/>
      <c r="AT240" s="1490"/>
      <c r="AU240" s="1041"/>
      <c r="BC240" s="38"/>
      <c r="BD240" s="38"/>
      <c r="BE240" s="38"/>
      <c r="BF240" s="38"/>
      <c r="BG240" s="38"/>
      <c r="BH240" s="38"/>
      <c r="BI240" s="38"/>
      <c r="BJ240" s="38"/>
      <c r="BK240" s="38"/>
      <c r="BL240" s="38"/>
      <c r="BM240" s="38"/>
      <c r="BN240" s="38"/>
      <c r="BO240" s="38"/>
      <c r="BP240" s="38"/>
      <c r="BQ240" s="38"/>
      <c r="BR240" s="38"/>
      <c r="BS240" s="38"/>
      <c r="BT240" s="38"/>
      <c r="BU240" s="38"/>
      <c r="BV240" s="38"/>
      <c r="BW240" s="38"/>
      <c r="BX240" s="38"/>
      <c r="BY240" s="38"/>
      <c r="BZ240" s="38"/>
      <c r="CA240" s="38"/>
      <c r="CB240" s="38"/>
      <c r="CC240" s="38"/>
      <c r="CD240" s="38"/>
      <c r="CE240" s="38"/>
      <c r="CF240" s="38"/>
      <c r="CG240" s="38"/>
      <c r="CH240" s="38"/>
      <c r="CI240" s="38"/>
      <c r="CM240" s="749"/>
      <c r="CN240" s="749"/>
      <c r="CO240" s="1043"/>
      <c r="CP240" s="749"/>
      <c r="CS240" s="436"/>
      <c r="CT240" s="436"/>
      <c r="CU240" s="243"/>
      <c r="CV240" s="244"/>
      <c r="CW240" s="244"/>
      <c r="CX240" s="244"/>
      <c r="CY240" s="245"/>
      <c r="CZ240" s="245"/>
      <c r="DA240" s="245"/>
      <c r="DC240" s="750"/>
      <c r="DD240" s="751"/>
      <c r="DE240" s="752"/>
      <c r="DF240" s="753"/>
      <c r="DG240" s="754"/>
      <c r="DH240" s="754"/>
      <c r="DK240" s="244"/>
      <c r="DL240" s="750"/>
      <c r="DN240" s="750"/>
      <c r="DO240" s="755"/>
      <c r="DP240" s="436"/>
      <c r="DQ240" s="750"/>
      <c r="DR240" s="750"/>
      <c r="DS240" s="750"/>
      <c r="DU240" s="750"/>
      <c r="DV240" s="750"/>
      <c r="DW240" s="750"/>
      <c r="DX240" s="750"/>
      <c r="DZ240" s="756"/>
      <c r="EA240" s="756"/>
      <c r="EC240" s="754"/>
      <c r="ED240" s="754"/>
      <c r="EE240" s="244"/>
      <c r="EF240" s="754"/>
      <c r="EG240" s="754"/>
      <c r="EH240" s="243"/>
      <c r="EI240" s="243"/>
      <c r="EJ240" s="752"/>
      <c r="EK240" s="757"/>
      <c r="EL240" s="757"/>
      <c r="EM240" s="758"/>
      <c r="EN240" s="758"/>
      <c r="EO240" s="752"/>
      <c r="EP240" s="752"/>
      <c r="EQ240" s="752"/>
      <c r="ES240" s="750"/>
      <c r="EU240" s="436"/>
      <c r="EV240" s="436"/>
      <c r="EW240" s="436"/>
      <c r="EX240" s="436"/>
      <c r="EY240" s="436"/>
      <c r="EZ240" s="436"/>
      <c r="FB240" s="643"/>
      <c r="FD240" s="436"/>
      <c r="FE240" s="436"/>
      <c r="FF240" s="436"/>
      <c r="FO240" s="750"/>
      <c r="FP240" s="436"/>
      <c r="FQ240" s="436"/>
      <c r="FR240" s="750"/>
      <c r="FS240" s="750"/>
      <c r="FW240" s="749"/>
      <c r="FX240" s="749"/>
      <c r="FY240" s="749"/>
      <c r="FZ240" s="749"/>
      <c r="GA240" s="749"/>
      <c r="GB240" s="749"/>
      <c r="GC240" s="749"/>
      <c r="GD240" s="749"/>
      <c r="GE240" s="751"/>
      <c r="GF240" s="750"/>
      <c r="GG240" s="750"/>
    </row>
    <row r="241" spans="1:250" s="82" customFormat="1" ht="14.95" customHeight="1" thickTop="1" thickBot="1">
      <c r="B241" s="1421" t="str">
        <f>HY244</f>
        <v xml:space="preserve"> </v>
      </c>
      <c r="C241" s="1422">
        <f>C236+1</f>
        <v>40</v>
      </c>
      <c r="D241" s="1423"/>
      <c r="E241" s="1424" t="s">
        <v>242</v>
      </c>
      <c r="F241" s="1425"/>
      <c r="G241" s="1426"/>
      <c r="H241" s="1427"/>
      <c r="I241" s="1427"/>
      <c r="J241" s="1427"/>
      <c r="K241" s="1427"/>
      <c r="L241" s="1427"/>
      <c r="M241" s="1427"/>
      <c r="N241" s="1427"/>
      <c r="O241" s="1427"/>
      <c r="P241" s="1427"/>
      <c r="Q241" s="1427"/>
      <c r="R241" s="1427"/>
      <c r="S241" s="1428" t="s">
        <v>283</v>
      </c>
      <c r="T241" s="668" t="s">
        <v>190</v>
      </c>
      <c r="U241" s="1430" t="s">
        <v>186</v>
      </c>
      <c r="V241" s="1431"/>
      <c r="W241" s="1431"/>
      <c r="X241" s="1431"/>
      <c r="Y241" s="1431"/>
      <c r="Z241" s="1431"/>
      <c r="AA241" s="1431"/>
      <c r="AB241" s="1088" t="str">
        <f>IFERROR(IF(__Retrofit_TI_NC=0,VLOOKUP(U242,Fixtures_Existing_List,2,FALSE),ROUND(N243*R243/T243,10)),"")</f>
        <v/>
      </c>
      <c r="AC241" s="1039" t="str">
        <f>IFERROR(IF(__Retrofit_TI_NC=0,ROUND(T242*AB241*N242*R242/1000,0),IF(CN241="Interior",N243*R243*R242*N242*_C406_reduction/1000,N243*R243*R242*N242/1000)),"")</f>
        <v/>
      </c>
      <c r="AD241" s="1040" t="str">
        <f>IFERROR(IF(C$36=0,ROUND(T242*AB241/1000,2),N243*R243/1000),"")</f>
        <v/>
      </c>
      <c r="AE241" s="1044" t="s">
        <v>190</v>
      </c>
      <c r="AF241" s="1432" t="str">
        <f>IF(__Retrofit_TI_NC=2,CONCATENATE("Code min = ",DD241),IF(__Retrofit_TI_NC=1,"Emter what you think the existing control was"," Control"))</f>
        <v xml:space="preserve"> Control</v>
      </c>
      <c r="AG241" s="1432"/>
      <c r="AH241" s="1432"/>
      <c r="AI241" s="1432"/>
      <c r="AJ241" s="1433">
        <f>DF241</f>
        <v>0</v>
      </c>
      <c r="AK241" s="1435" t="str">
        <f>IFERROR(ROUND(AJ241*AC241,0),"")</f>
        <v/>
      </c>
      <c r="AL241" s="1437">
        <f>IFERROR(IF(HW241=FALSE,0,AC241-AK241),0)</f>
        <v>0</v>
      </c>
      <c r="AM241" s="1439">
        <f>AL241-AL243</f>
        <v>0</v>
      </c>
      <c r="AN241" s="1440"/>
      <c r="AO241" s="1445">
        <f>IFERROR(IF(HW241=FALSE,0,(T243*U244)+(AE243*AF244)),0)</f>
        <v>0</v>
      </c>
      <c r="AP241" s="1445"/>
      <c r="AQ241" s="1446"/>
      <c r="AR241" s="1451" t="s">
        <v>157</v>
      </c>
      <c r="AS241" s="1454">
        <f>IF(AR241="Yes",1,0)</f>
        <v>1</v>
      </c>
      <c r="AT241" s="1457" t="str">
        <f>IF(OR(DN241=4,DN241=5,DN241=6,DN241=12),CONCATENATE("$",IF(GD241=TRUE,Lookup!$B$11,Lookup!$B$2)," /lamp"),CONCATENATE(EA241,"/ kWh"))</f>
        <v>0/ kWh</v>
      </c>
      <c r="AU241" s="516"/>
      <c r="AV241" s="1478">
        <f>IFERROR(IF(GI242=TRUE,(AB244*T243)/R243,0),"NA")</f>
        <v>0</v>
      </c>
      <c r="AW241" s="1478" t="str">
        <f>IFERROR(N243*_C406_reduction,"NA")</f>
        <v>NA</v>
      </c>
      <c r="BC241" s="38"/>
      <c r="BD241" s="38"/>
      <c r="BE241" s="38"/>
      <c r="BF241" s="38"/>
      <c r="BG241" s="38"/>
      <c r="BH241" s="38"/>
      <c r="BI241" s="38"/>
      <c r="BJ241" s="38"/>
      <c r="BK241" s="38"/>
      <c r="BL241" s="38"/>
      <c r="BM241" s="38"/>
      <c r="BN241" s="38"/>
      <c r="BO241" s="38"/>
      <c r="BP241" s="38"/>
      <c r="BQ241" s="38"/>
      <c r="BR241" s="38"/>
      <c r="BS241" s="38"/>
      <c r="BT241" s="38"/>
      <c r="BU241" s="38"/>
      <c r="BV241" s="38"/>
      <c r="BW241" s="38"/>
      <c r="BX241" s="38"/>
      <c r="BY241" s="38"/>
      <c r="BZ241" s="38"/>
      <c r="CA241" s="38"/>
      <c r="CB241" s="38"/>
      <c r="CC241" s="38"/>
      <c r="CD241" s="38"/>
      <c r="CE241" s="38"/>
      <c r="CF241" s="38"/>
      <c r="CG241" s="38"/>
      <c r="CH241" s="38"/>
      <c r="CI241" s="38"/>
      <c r="CM241" s="1352" t="str">
        <f>N242</f>
        <v/>
      </c>
      <c r="CN241" s="1352" t="str">
        <f>IFERROR(VLOOKUP(G242,_Lookup_Heat_Type_Table_New,3,FALSE),"")</f>
        <v/>
      </c>
      <c r="CO241" s="1415" t="str">
        <f>CN241</f>
        <v/>
      </c>
      <c r="CP241" s="1417" t="e">
        <f>VLOOKUP(G243,'Space Table'!$B$3:$L$160,9,FALSE)</f>
        <v>#N/A</v>
      </c>
      <c r="CR241" s="1386" t="s">
        <v>283</v>
      </c>
      <c r="CS241" s="1353">
        <f>IF(HW241=TRUE,T242,0)</f>
        <v>0</v>
      </c>
      <c r="CT241" s="1353" t="str">
        <f>IF(HW241=TRUE,U242,"")</f>
        <v/>
      </c>
      <c r="CU241" s="1353"/>
      <c r="CV241" s="1370">
        <f>IF(HW241=TRUE,AB241,0)</f>
        <v>0</v>
      </c>
      <c r="CW241" s="1370">
        <f>IF(HW241=TRUE,AC241,0)</f>
        <v>0</v>
      </c>
      <c r="CX241" s="1370">
        <f>IFERROR(IF(HW241=TRUE,CW241-CW243,0),0)</f>
        <v>0</v>
      </c>
      <c r="CY241" s="1485">
        <f>IF(HW241=TRUE,AD241,0)</f>
        <v>0</v>
      </c>
      <c r="CZ241" s="1485">
        <f>IF(HW241=TRUE,AD244,0)</f>
        <v>0</v>
      </c>
      <c r="DA241" s="1485">
        <f>IFERROR(CY241-CZ241,0)</f>
        <v>0</v>
      </c>
      <c r="DC241" s="1353">
        <f>IF(HW241=TRUE,AE242,0)</f>
        <v>0</v>
      </c>
      <c r="DD241" s="1460">
        <f>IF(__Retrofit_TI_NC=2,IF(CN241="Exterior",O244,FM241),FK241)</f>
        <v>0</v>
      </c>
      <c r="DE241" s="1353"/>
      <c r="DF241" s="1406">
        <f>IFERROR(IF(FL241=3,IK241,IF(FL241=4,IL241,IF(FL241=5,IM241,IF(FL241=6,IN241,IF(FL241=7,IO241,IF(FL241=8,IP241,0)))))),0)</f>
        <v>0</v>
      </c>
      <c r="DG241" s="1370">
        <f>IF(HW241=TRUE,AK241,0)</f>
        <v>0</v>
      </c>
      <c r="DH241" s="1369">
        <f>IFERROR(IF(HW241=TRUE,DG243-DG241,0),0)</f>
        <v>0</v>
      </c>
      <c r="DJ241" s="1483">
        <f>IFERROR(CW241-DG241,0)</f>
        <v>0</v>
      </c>
      <c r="DL241" s="1419">
        <f>DJ241-DK243</f>
        <v>0</v>
      </c>
      <c r="DN241" s="1403" t="str">
        <f>IFERROR(IF(AND(OR(FY241=4,FY241=5,FY241=6),OR(GB241=4,GB241=5,GB241=6)),FY241+8,VLOOKUP(CT243,Fixtures!R$31:Y$78,8,FALSE)),"")</f>
        <v/>
      </c>
      <c r="DO241" s="1404" t="str">
        <f>DN241</f>
        <v/>
      </c>
      <c r="DP241" s="1353" t="str">
        <f>IFERROR(VLOOKUP(DD243,Lookup!AU$3:AV$15,2,FALSE),"")</f>
        <v/>
      </c>
      <c r="DQ241" s="1404" t="str">
        <f>IF(DP241=7,"LLLC","")</f>
        <v/>
      </c>
      <c r="DR241" s="1403">
        <f>IFERROR(IF(OR(DN241=4,DN241=5,DN241=6,DN241=12,DN241=13,DN241=14),VLOOKUP(CT243,Fixtures!DN$27:EG$77,19,FALSE),1)*CS243,0)</f>
        <v>0</v>
      </c>
      <c r="DS241" s="1489">
        <f>IF(DP241=7,IF(DD241=DD243,0,DC243),0)</f>
        <v>0</v>
      </c>
      <c r="DU241" s="1403" t="str">
        <f>IFERROR(IF(EW241&lt;EW243,"Yes","No"),"")</f>
        <v/>
      </c>
      <c r="DV241" s="1404" t="str">
        <f>DU241</f>
        <v/>
      </c>
      <c r="DW241" s="1403">
        <f>IF(DU241="Yes",DC243,0)</f>
        <v>0</v>
      </c>
      <c r="DX241" s="1403">
        <f>DW241-DS241</f>
        <v>0</v>
      </c>
      <c r="DZ241" s="1481">
        <f>IFERROR(VLOOKUP(DN241,Lookup!AN$3:AO$16,2,FALSE),0)</f>
        <v>0</v>
      </c>
      <c r="EA241" s="1481">
        <f>IF(HW241=FALSE,0,IF(DU241="Yes",DZ241+Lookup!B$6,DZ241))</f>
        <v>0</v>
      </c>
      <c r="EC241" s="1482">
        <f>IF(HW241=TRUE,DJ241,0)</f>
        <v>0</v>
      </c>
      <c r="ED241" s="1369">
        <f>IF(HW241=TRUE,CW243,0)</f>
        <v>0</v>
      </c>
      <c r="EE241" s="1370">
        <f>IFERROR(EC241-ED241,0)</f>
        <v>0</v>
      </c>
      <c r="EF241" s="1369">
        <f>IF(HW241=TRUE,DG243,0)</f>
        <v>0</v>
      </c>
      <c r="EG241" s="1369">
        <f>IFERROR(EC241-ED241+EF241,0)</f>
        <v>0</v>
      </c>
      <c r="EH241" s="1373">
        <f>IF(HW241=TRUE,CS243*CU243,0)</f>
        <v>0</v>
      </c>
      <c r="EI241" s="1373">
        <f>IF(HW241=TRUE,DC243*DE243,0)</f>
        <v>0</v>
      </c>
      <c r="EJ241" s="1363">
        <f>AO241</f>
        <v>0</v>
      </c>
      <c r="EK241" s="1376" t="str">
        <f>IFERROR(IF(HW241=TRUE,VLOOKUP(DN241,Lookup!AN$3:AP$16,3,FALSE)*DR241,""),0)</f>
        <v/>
      </c>
      <c r="EL241" s="1376">
        <f>IF(HW241=TRUE,DW241*Lookup!AP$12,0)</f>
        <v>0</v>
      </c>
      <c r="EM241" s="1362">
        <f>IFERROR(IF(HW241=TRUE,EK241/EM$33,0),0)</f>
        <v>0</v>
      </c>
      <c r="EN241" s="1362">
        <f>IF(HW241=TRUE,EL241/EN$33,0)</f>
        <v>0</v>
      </c>
      <c r="EO241" s="1363">
        <f>IF(HW241=TRUE,EQ$33*EM241,0)</f>
        <v>0</v>
      </c>
      <c r="EP241" s="1363">
        <f>IF(HW241=TRUE,EQ$33*EN241,0)</f>
        <v>0</v>
      </c>
      <c r="EQ241" s="1363">
        <f>EO241+EP241</f>
        <v>0</v>
      </c>
      <c r="ES241" s="1403">
        <f>IF(G241="",0,1)</f>
        <v>0</v>
      </c>
      <c r="EU241" s="1410" t="e">
        <f>VLOOKUP(CP243,'Space Table'!$B$3:$L$160,8,FALSE)</f>
        <v>#N/A</v>
      </c>
      <c r="EV241" s="1410" t="e">
        <f>IF(EY241="Yes",VLOOKUP(DD241,Lookup_Control_Type_Table2,4,FALSE),VLOOKUP(DD241,Lookup_Control_Type_Table2,3,FALSE))</f>
        <v>#N/A</v>
      </c>
      <c r="EW241" s="1410" t="e">
        <f>VLOOKUP(DD241,Lookup!AU$3:AV$15,2,FALSE)</f>
        <v>#N/A</v>
      </c>
      <c r="EX241" s="1410" t="e">
        <f>VLOOKUP(EU241,Lookup_Control_Type_Table,2,FALSE)</f>
        <v>#N/A</v>
      </c>
      <c r="EY241" s="1410" t="e">
        <f>VLOOKUP(CP243,'Space Table'!$B$3:$L$160,7,FALSE)</f>
        <v>#N/A</v>
      </c>
      <c r="EZ241" s="1412" t="b">
        <f>ISNUMBER(SEARCH("TLED",U243))</f>
        <v>0</v>
      </c>
      <c r="FB241" s="1365" t="str">
        <f>CONCATENATE(CN241," - ",DD241)</f>
        <v xml:space="preserve"> - 0</v>
      </c>
      <c r="FD241" s="1353" t="str">
        <f>VLOOKUP(CT243,Fixtures!DN$27:EZ$77,38,FALSE)</f>
        <v/>
      </c>
      <c r="FE241" s="1353">
        <f>IFERROR(FD241*EE241,0)</f>
        <v>0</v>
      </c>
      <c r="FF241" s="138"/>
      <c r="FI241" s="1356" t="str">
        <f>IF(CN241="Exterior","Not Daylighted",G244)</f>
        <v>Not Daylighted</v>
      </c>
      <c r="FJ241" s="1356">
        <f>VLOOKUP(FI241,_Daylight_Table_Codes,2,FALSE)</f>
        <v>0</v>
      </c>
      <c r="FK241" s="1365">
        <f>IF(__Retrofit_TI_NC=2,VLOOKUP(G243,'Space Table'!$B$3:$L$160,11,FALSE),AF242)</f>
        <v>0</v>
      </c>
      <c r="FL241" s="1365" t="e">
        <f>VLOOKUP(FK241,_Control_Table,2,FALSE)</f>
        <v>#N/A</v>
      </c>
      <c r="FM241" s="1365" t="e">
        <f>IF(AND(FP241&gt;0,FK241="Occupancy Sensor"),"Daylight + Occupancy",IF(AND(FP241&gt;0,FL241&lt;4),"Interior Daylight Dimming",FK241))</f>
        <v>#N/A</v>
      </c>
      <c r="FO241" s="1364">
        <f>IF(CO241="Interior",VLOOKUP(CP241,Control_Savings_Interior,5,FALSE),0)</f>
        <v>0</v>
      </c>
      <c r="FP241" s="1361">
        <f>IF(CN241="Exterior",0,IF(FJ241=2,0.5,IF(OR(FJ241=1,FJ241=3),1,0)))</f>
        <v>0</v>
      </c>
      <c r="FQ241" s="1366"/>
      <c r="FR241" s="1367"/>
      <c r="FS241" s="1364"/>
      <c r="FT241" s="1367"/>
      <c r="FU241" s="1360"/>
      <c r="FW241" s="1352" t="str">
        <f>IFERROR(VLOOKUP(U242,_Exist_Fixture_Table,3,FALSE),"")</f>
        <v/>
      </c>
      <c r="FX241" s="1352" t="str">
        <f>VLOOKUP(CT241,_Exist_Fixture_Table,4,FALSE)</f>
        <v/>
      </c>
      <c r="FY241" s="1352">
        <f>IFERROR(VLOOKUP(FX241,Lookup!AM$6:AN$8,2,FALSE),0)</f>
        <v>0</v>
      </c>
      <c r="FZ241" s="1352" t="b">
        <f>IFERROR(IF(OR(GB241=4,GB241=5,GB241=6),TRUE,FALSE),"")</f>
        <v>0</v>
      </c>
      <c r="GA241" s="1352" t="str">
        <f>IFERROR(VLOOKUP(GB241,FY$6:FZ$10,2,FALSE),"")</f>
        <v/>
      </c>
      <c r="GB241" s="1352" t="str">
        <f>VLOOKUP(CT243,Fixtures!R$31:Y$78,8,FALSE)</f>
        <v/>
      </c>
      <c r="GC241" s="1352">
        <f>IF(AND(FW241=TRUE,FZ241=TRUE,OR(DN241=12,DN241=13,DN241=14)),FY241+8,0)</f>
        <v>0</v>
      </c>
      <c r="GD241" s="1352" t="b">
        <f>IF(OR(GC241=12,GC241=13,GC241=14),TRUE,FALSE)</f>
        <v>0</v>
      </c>
      <c r="GE241" s="759" t="b">
        <f>IF(ISNUMBER(SEARCH("TLED",U242)),TRUE,FALSE)</f>
        <v>0</v>
      </c>
      <c r="GF241" s="1035" t="str">
        <f>IFERROR(VLOOKUP(U242,Fixtures!BM$93:BR$142,6,FALSE),"")</f>
        <v/>
      </c>
      <c r="GG241" s="1385" t="b">
        <f>IF(OR(GE241=FALSE,GE243=FALSE),TRUE,IF(GF241-GF243&lt;5,FALSE,TRUE))</f>
        <v>1</v>
      </c>
      <c r="GK241" s="1034">
        <f>GL241</f>
        <v>0</v>
      </c>
      <c r="GL241" s="1034">
        <f>IF(G241="",0,1)</f>
        <v>0</v>
      </c>
      <c r="GM241" s="1034">
        <f>SUM(GN241:HB241)</f>
        <v>2</v>
      </c>
      <c r="GN241" s="1034">
        <f>IF(G242="",0,1)</f>
        <v>0</v>
      </c>
      <c r="GO241" s="1034">
        <f>IF(G243="",0,1)</f>
        <v>0</v>
      </c>
      <c r="GP241" s="1034">
        <f>IF(R242="",0,1)</f>
        <v>0</v>
      </c>
      <c r="GQ241" s="1034">
        <f>IF(__Retrofit_TI_NC=0,1,IF(R243="",0,1))</f>
        <v>1</v>
      </c>
      <c r="GR241" s="1034">
        <f>IF(CN241="Exterior",1,IF(G244="",0,1))</f>
        <v>1</v>
      </c>
      <c r="GS241" s="1034">
        <f>IF(__Retrofit_TI_NC&lt;&gt;0,1,IF(T242="",0,1))</f>
        <v>0</v>
      </c>
      <c r="GT241" s="1034">
        <f>IF(__Retrofit_TI_NC&lt;&gt;0,1,IF(U242="",0,1))</f>
        <v>0</v>
      </c>
      <c r="GU241" s="1034">
        <f>IF(T243="",0,1)</f>
        <v>0</v>
      </c>
      <c r="GV241" s="1034">
        <f>IF(U243="",0,1)</f>
        <v>0</v>
      </c>
      <c r="GW241" s="1034">
        <f>IF(__Retrofit_TI_NC=2,1,IF(U244="",0,1))</f>
        <v>0</v>
      </c>
      <c r="GX241" s="1034">
        <f>IF(__Retrofit_TI_NC&lt;&gt;0,1,IF(AE242="",0,1))</f>
        <v>0</v>
      </c>
      <c r="GY241" s="1034">
        <f>IF(__Retrofit_TI_NC&lt;&gt;0,1,IF(AF242="",0,1))</f>
        <v>0</v>
      </c>
      <c r="GZ241" s="1034">
        <f>IF(AE243="",0,1)</f>
        <v>0</v>
      </c>
      <c r="HA241" s="1034">
        <f>IF(AF243="",0,1)</f>
        <v>0</v>
      </c>
      <c r="HB241" s="1034">
        <f>IF(__Retrofit_TI_NC=2,1,IF(AF244="",0,1))</f>
        <v>0</v>
      </c>
      <c r="HV241" s="436"/>
      <c r="HW241" s="1384" t="b">
        <f>IF(OR(HW244=0,HW244=HT$16,HW244=HS$16,HW244=HU$16),TRUE,FALSE)</f>
        <v>0</v>
      </c>
      <c r="HX241" s="1377" t="b">
        <f>HW241</f>
        <v>0</v>
      </c>
      <c r="HY241" s="436"/>
      <c r="HZ241" s="436"/>
      <c r="IA241" s="1386" t="b">
        <f>IF(MAX(GJ244:HP244)&gt;5,FALSE,TRUE)</f>
        <v>0</v>
      </c>
      <c r="IB241" s="1380">
        <f>IF(IA241=TRUE,AC241,0)</f>
        <v>0</v>
      </c>
      <c r="IC241" s="1380">
        <f>IB241-IB243</f>
        <v>0</v>
      </c>
      <c r="IF241" s="1380" t="e">
        <f>ROUND(T242*VLOOKUP(U242,Fixtures_Existing_List,2,FALSE)*N242*R242/1000,0)</f>
        <v>#N/A</v>
      </c>
      <c r="IG241" s="1381" t="e">
        <f>IF241-IF243</f>
        <v>#N/A</v>
      </c>
      <c r="IH241" s="1384" t="e">
        <f>ROUND(IF(CN241="Interior",N243*R243*R242*N242*_C406_reduction/1000,N243*R243*R242*N242/1000),0)</f>
        <v>#N/A</v>
      </c>
      <c r="II241" s="1384" t="e">
        <f>IH241-IH243</f>
        <v>#N/A</v>
      </c>
      <c r="IK241" s="1351" t="e">
        <f>IF($CO241="interior",IL241/2,VLOOKUP($CP241,Control_Savings_Exterior,IK$30,FALSE))</f>
        <v>#N/A</v>
      </c>
      <c r="IL241" s="1351" t="e">
        <f>IF($CO241="interior",VLOOKUP($CP241,Control_Savings_Interior,IL$30,FALSE),VLOOKUP($CP241,Control_Savings_Exterior,IL$30,FALSE))</f>
        <v>#N/A</v>
      </c>
      <c r="IM241" s="1351" t="e">
        <f>IF($CO241="interior",IF(R242&gt;FO$37,(IM$28*(FO$37/R242)),IM$28)*FP241,VLOOKUP($CP241,Control_Savings_Exterior,IM$30,FALSE))</f>
        <v>#N/A</v>
      </c>
      <c r="IN241" s="1351" t="e">
        <f>IF($CO241="interior",ROUND(((1-IL241)*IM241)+IL241,2),VLOOKUP($CP241,Control_Savings_Exterior,IN$30,FALSE))</f>
        <v>#N/A</v>
      </c>
      <c r="IO241" s="1351" t="e">
        <f>IF($CO241="interior", ROUND(((1-IL241)*(IM241*(1-IP$28)))+IP241,2), VLOOKUP($CP241,Control_Savings_Exterior,IO$30,FALSE))</f>
        <v>#N/A</v>
      </c>
      <c r="IP241" s="1351">
        <f>IF($CO241="interior",ROUND(((1-IL241)*IP$28)+IL241,2),0)</f>
        <v>0</v>
      </c>
    </row>
    <row r="242" spans="1:250" s="82" customFormat="1" ht="14.95" customHeight="1" thickTop="1" thickBot="1">
      <c r="B242" s="1421"/>
      <c r="C242" s="1422"/>
      <c r="D242" s="1423"/>
      <c r="E242" s="1393" t="s">
        <v>244</v>
      </c>
      <c r="F242" s="1394"/>
      <c r="G242" s="1395"/>
      <c r="H242" s="1395"/>
      <c r="I242" s="1395"/>
      <c r="J242" s="1395"/>
      <c r="K242" s="1395"/>
      <c r="L242" s="1395"/>
      <c r="M242" s="509" t="e">
        <f>IF(__Retrofit_TI_NC&lt;&gt;0,IF(VLOOKUP(G243,'Space Table'!$B$3:$L$160,3,FALSE)&gt;0,1,0),IF(__Retrofit_TI_NC=VLOOKUP(G243,'Space Table'!$B$3:$L$160,3,FALSE),1,0))</f>
        <v>#N/A</v>
      </c>
      <c r="N242" s="509" t="str">
        <f>IFERROR(VLOOKUP(G242,_Lookup_Heat_Type_Table_New,2,FALSE),"")</f>
        <v/>
      </c>
      <c r="O242" s="509">
        <f>IF(__Retrofit_TI_NC=1,CONCATENATE("TI ",G242),IF(__Retrofit_TI_NC=2,CONCATENATE("NC ",G242),G242))</f>
        <v>0</v>
      </c>
      <c r="P242" s="1396" t="s">
        <v>352</v>
      </c>
      <c r="Q242" s="1396"/>
      <c r="R242" s="673"/>
      <c r="S242" s="1429"/>
      <c r="T242" s="675"/>
      <c r="U242" s="1496"/>
      <c r="V242" s="1497"/>
      <c r="W242" s="1497"/>
      <c r="X242" s="1497"/>
      <c r="Y242" s="1497"/>
      <c r="Z242" s="1497"/>
      <c r="AA242" s="1497"/>
      <c r="AB242" s="1497"/>
      <c r="AC242" s="1497"/>
      <c r="AD242" s="1498"/>
      <c r="AE242" s="675"/>
      <c r="AF242" s="1397"/>
      <c r="AG242" s="1397"/>
      <c r="AH242" s="1397"/>
      <c r="AI242" s="1397"/>
      <c r="AJ242" s="1434"/>
      <c r="AK242" s="1436"/>
      <c r="AL242" s="1438"/>
      <c r="AM242" s="1441"/>
      <c r="AN242" s="1442"/>
      <c r="AO242" s="1447"/>
      <c r="AP242" s="1447"/>
      <c r="AQ242" s="1448"/>
      <c r="AR242" s="1452"/>
      <c r="AS242" s="1455"/>
      <c r="AT242" s="1458"/>
      <c r="AU242" s="516"/>
      <c r="AV242" s="1479"/>
      <c r="AW242" s="1479"/>
      <c r="BC242" s="38"/>
      <c r="BD242" s="38"/>
      <c r="BE242" s="38"/>
      <c r="BF242" s="38"/>
      <c r="BG242" s="38"/>
      <c r="BH242" s="38"/>
      <c r="BI242" s="38"/>
      <c r="BJ242" s="38"/>
      <c r="BK242" s="38"/>
      <c r="BL242" s="38"/>
      <c r="BM242" s="38"/>
      <c r="BN242" s="38"/>
      <c r="BO242" s="38"/>
      <c r="BP242" s="38"/>
      <c r="BQ242" s="38"/>
      <c r="BR242" s="38"/>
      <c r="BS242" s="38"/>
      <c r="BT242" s="38"/>
      <c r="BU242" s="38"/>
      <c r="BV242" s="38"/>
      <c r="BW242" s="38"/>
      <c r="BX242" s="38"/>
      <c r="BY242" s="38"/>
      <c r="BZ242" s="38"/>
      <c r="CA242" s="38"/>
      <c r="CB242" s="38"/>
      <c r="CC242" s="38"/>
      <c r="CD242" s="38"/>
      <c r="CE242" s="38"/>
      <c r="CF242" s="38"/>
      <c r="CG242" s="38"/>
      <c r="CH242" s="38"/>
      <c r="CI242" s="38"/>
      <c r="CM242" s="1352"/>
      <c r="CN242" s="1352"/>
      <c r="CO242" s="1416"/>
      <c r="CP242" s="1418"/>
      <c r="CR242" s="1386"/>
      <c r="CS242" s="1355"/>
      <c r="CT242" s="1355"/>
      <c r="CU242" s="1355"/>
      <c r="CV242" s="1372"/>
      <c r="CW242" s="1372"/>
      <c r="CX242" s="1371"/>
      <c r="CY242" s="1486"/>
      <c r="CZ242" s="1486"/>
      <c r="DA242" s="1486"/>
      <c r="DC242" s="1355"/>
      <c r="DD242" s="1461"/>
      <c r="DE242" s="1355"/>
      <c r="DF242" s="1407"/>
      <c r="DG242" s="1372"/>
      <c r="DH242" s="1369"/>
      <c r="DJ242" s="1484"/>
      <c r="DL242" s="1419"/>
      <c r="DN242" s="1403"/>
      <c r="DO242" s="1405"/>
      <c r="DP242" s="1354"/>
      <c r="DQ242" s="1405"/>
      <c r="DR242" s="1403"/>
      <c r="DS242" s="1489"/>
      <c r="DU242" s="1403"/>
      <c r="DV242" s="1405"/>
      <c r="DW242" s="1403"/>
      <c r="DX242" s="1403"/>
      <c r="DZ242" s="1481"/>
      <c r="EA242" s="1481"/>
      <c r="EC242" s="1482"/>
      <c r="ED242" s="1369"/>
      <c r="EE242" s="1371"/>
      <c r="EF242" s="1369"/>
      <c r="EG242" s="1369"/>
      <c r="EH242" s="1374"/>
      <c r="EI242" s="1374"/>
      <c r="EJ242" s="1363"/>
      <c r="EK242" s="1376"/>
      <c r="EL242" s="1376"/>
      <c r="EM242" s="1362"/>
      <c r="EN242" s="1362"/>
      <c r="EO242" s="1363"/>
      <c r="EP242" s="1363"/>
      <c r="EQ242" s="1363"/>
      <c r="ES242" s="1403"/>
      <c r="EU242" s="1411"/>
      <c r="EV242" s="1411"/>
      <c r="EW242" s="1411"/>
      <c r="EX242" s="1411"/>
      <c r="EY242" s="1411"/>
      <c r="EZ242" s="1413"/>
      <c r="FB242" s="1365"/>
      <c r="FD242" s="1354"/>
      <c r="FE242" s="1354"/>
      <c r="FF242" s="138"/>
      <c r="FI242" s="1357"/>
      <c r="FJ242" s="1357"/>
      <c r="FK242" s="1365"/>
      <c r="FL242" s="1365"/>
      <c r="FM242" s="1365"/>
      <c r="FO242" s="1361"/>
      <c r="FP242" s="1361"/>
      <c r="FQ242" s="1366"/>
      <c r="FR242" s="1368"/>
      <c r="FS242" s="1361"/>
      <c r="FT242" s="1368"/>
      <c r="FU242" s="1360"/>
      <c r="FW242" s="1352"/>
      <c r="FX242" s="1352"/>
      <c r="FY242" s="1352"/>
      <c r="FZ242" s="1352"/>
      <c r="GA242" s="1352"/>
      <c r="GB242" s="1352"/>
      <c r="GC242" s="1352"/>
      <c r="GD242" s="1352"/>
      <c r="GE242" s="759"/>
      <c r="GF242" s="1035"/>
      <c r="GG242" s="1385"/>
      <c r="GI242" s="1384" t="b">
        <f>IF(AND(GL242=TRUE,GM242=TRUE),TRUE,FALSE)</f>
        <v>0</v>
      </c>
      <c r="GJ242" s="1379" t="b">
        <f>IFERROR(IF(__Retrofit_TI_NC=2,TRUE,IF(AR241="Yes",TRUE,FALSE)),FALSE)</f>
        <v>1</v>
      </c>
      <c r="GL242" s="1379" t="b">
        <f>IFERROR(IF(GL241=1,TRUE,FALSE),FALSE)</f>
        <v>0</v>
      </c>
      <c r="GM242" s="1379" t="b">
        <f>IFERROR(IF(GM241=GM$14,TRUE,FALSE),FALSE)</f>
        <v>0</v>
      </c>
      <c r="HC242" s="1379" t="b">
        <f>IFERROR(IF(M242=1,TRUE,FALSE),FALSE)</f>
        <v>0</v>
      </c>
      <c r="HD242" s="1379" t="b">
        <f>IFERROR(IF(M243=1,TRUE,FALSE),FALSE)</f>
        <v>0</v>
      </c>
      <c r="HE242" s="1379" t="b">
        <f>IFERROR(IF(__Retrofit_TI_NC&lt;&gt;0,TRUE,IFERROR(IF(VLOOKUP(U242,Fixtures_Existing_List,2,FALSE)&lt;&gt;"",TRUE,FALSE),FALSE)),FALSE)</f>
        <v>0</v>
      </c>
      <c r="HF242" s="1379" t="b">
        <f>IFERROR(IF(VLOOKUP(U243,Fixtures_Proposed_List,2,FALSE)&lt;&gt;"",TRUE,FALSE),FALSE)</f>
        <v>0</v>
      </c>
      <c r="HG242" s="1379" t="b">
        <f>IF(AND(__Retrofit_TI_NC=2,EZ241=TRUE),FALSE,TRUE)</f>
        <v>1</v>
      </c>
      <c r="HH242" s="1379" t="b">
        <f>GG241</f>
        <v>1</v>
      </c>
      <c r="HI242" s="1384" t="b">
        <f>IF(ISERROR(MATCH(FB241,_Control_Match[],0))=TRUE,FALSE,TRUE)</f>
        <v>0</v>
      </c>
      <c r="HJ242" s="1384" t="b">
        <f>IFERROR(IF(EU241&lt;&gt;EV241,FALSE,TRUE),FALSE)</f>
        <v>0</v>
      </c>
      <c r="HK242" s="1384" t="b">
        <f>IFERROR(IF(EU243&lt;&gt;EV243,FALSE,TRUE),FALSE)</f>
        <v>0</v>
      </c>
      <c r="HL242" s="1379" t="b">
        <f>IFERROR(IF(CN241="Exterior",TRUE,IF(OR(AND(FJ241=0,EW243&gt;4),AND(FJ241=4,EW243&gt;4,EW243&lt;7)),FALSE,TRUE)),FALSE)</f>
        <v>0</v>
      </c>
      <c r="HM242" s="1379" t="b">
        <f>IFERROR(IF(AND(FL243=7,EZ241=TRUE),FALSE,TRUE),FALSE)</f>
        <v>0</v>
      </c>
      <c r="HN242" s="1379" t="b">
        <f>IFERROR(IF(AND(T243&lt;&gt;AE243,AF243="Interior LLLC")=TRUE,FALSE,TRUE),FALSE)</f>
        <v>1</v>
      </c>
      <c r="HO242" s="1379" t="b">
        <f>IFERROR(IF(OR(AF243=Lookup!AU$13,AF243=Lookup!AU$14)=TRUE,IF(AE243&gt;T243,FALSE,TRUE),TRUE),FALSE)</f>
        <v>1</v>
      </c>
      <c r="HP242" s="1379" t="b">
        <f>IFERROR(IF(__Retrofit_TI_NC=2,IF(EW243&lt;EW241,FALSE,TRUE),TRUE),FALSE)</f>
        <v>1</v>
      </c>
      <c r="HQ242" s="1379" t="b">
        <f>IF(CN241="Interior",IG$6,TRUE)</f>
        <v>1</v>
      </c>
      <c r="HR242" s="1379" t="b">
        <f>IF(CN241="Exterior",IG$8,TRUE)</f>
        <v>1</v>
      </c>
      <c r="HS242" s="1379" t="b">
        <f>IFERROR(IF(__Retrofit_TI_NC&lt;&gt;0,IF(AW241&lt;AV241,FALSE,TRUE),TRUE),FALSE)</f>
        <v>1</v>
      </c>
      <c r="HT242" s="1379" t="b">
        <f>IFERROR(IF(AND(G242="Exterior",R242&gt;4200),FALSE,TRUE),FALSE)</f>
        <v>1</v>
      </c>
      <c r="HU242" s="1379" t="b">
        <f>IFERROR(IF(AB244/AB241&lt;HU$18,FALSE,TRUE),FALSE)</f>
        <v>0</v>
      </c>
      <c r="HW242" s="1382"/>
      <c r="HX242" s="1378"/>
      <c r="HY242" s="1377" t="str">
        <f>VLOOKUP(HW244,_Error_Table,4,FALSE)</f>
        <v>White</v>
      </c>
      <c r="HZ242" s="436"/>
      <c r="IA242" s="1386"/>
      <c r="IB242" s="1380"/>
      <c r="IC242" s="1379"/>
      <c r="IF242" s="1380"/>
      <c r="IG242" s="1382"/>
      <c r="IH242" s="1382"/>
      <c r="II242" s="1382"/>
      <c r="IK242" s="1351"/>
      <c r="IL242" s="1351"/>
      <c r="IM242" s="1351"/>
      <c r="IN242" s="1351"/>
      <c r="IO242" s="1351"/>
      <c r="IP242" s="1351"/>
    </row>
    <row r="243" spans="1:250" s="82" customFormat="1" ht="14.95" customHeight="1" thickTop="1" thickBot="1">
      <c r="A243" s="82">
        <f>ROW()</f>
        <v>243</v>
      </c>
      <c r="B243" s="1421"/>
      <c r="C243" s="1422"/>
      <c r="D243" s="1423"/>
      <c r="E243" s="1393" t="s">
        <v>245</v>
      </c>
      <c r="F243" s="1394"/>
      <c r="G243" s="1398"/>
      <c r="H243" s="1399"/>
      <c r="I243" s="1399"/>
      <c r="J243" s="1399"/>
      <c r="K243" s="1399"/>
      <c r="L243" s="1400"/>
      <c r="M243" s="509">
        <f>IFERROR(IF(IF(__Retrofit_TI_NC&lt;&gt;0,IF(CN241="Interior",MATCH(G243,Lookup_Interior_New,0),MATCH(G243,Lookup_Exterior_New,0)),IF(CN241="Interior",MATCH(G243,Lookup_Interior,0),MATCH(G243,Lookup_Exterior_Areas,0)))&gt;0,1,0),0)</f>
        <v>0</v>
      </c>
      <c r="N243" s="509" t="e">
        <f>IF(__Retrofit_TI_NC=1,
VLOOKUP(G243,'Space Table'!$B$3:$L$160,4,FALSE),
IF(__Retrofit_TI_NC=2,VLOOKUP(G243,'Space Table'!$B$3:$L$160,5,FALSE),VLOOKUP(G243,'Space Table'!$B$3:$L$160,5,FALSE)))</f>
        <v>#N/A</v>
      </c>
      <c r="O243" s="509">
        <f>G243</f>
        <v>0</v>
      </c>
      <c r="P243" s="1394" t="s">
        <v>355</v>
      </c>
      <c r="Q243" s="1394"/>
      <c r="R243" s="674"/>
      <c r="S243" s="1401" t="s">
        <v>284</v>
      </c>
      <c r="T243" s="672"/>
      <c r="U243" s="1499"/>
      <c r="V243" s="1500"/>
      <c r="W243" s="1500"/>
      <c r="X243" s="1500"/>
      <c r="Y243" s="1500"/>
      <c r="Z243" s="1500"/>
      <c r="AA243" s="1500"/>
      <c r="AB243" s="1501"/>
      <c r="AC243" s="1501"/>
      <c r="AD243" s="1502"/>
      <c r="AE243" s="672"/>
      <c r="AF243" s="1474"/>
      <c r="AG243" s="1474"/>
      <c r="AH243" s="1474"/>
      <c r="AI243" s="1474"/>
      <c r="AJ243" s="1475">
        <f>DF243</f>
        <v>0</v>
      </c>
      <c r="AK243" s="1470" t="str">
        <f>IFERROR(ROUND(AJ243*AC244,0),"")</f>
        <v/>
      </c>
      <c r="AL243" s="1472">
        <f>IFERROR(IF(HW241=FALSE,0,AC244-AK243),0)</f>
        <v>0</v>
      </c>
      <c r="AM243" s="1441"/>
      <c r="AN243" s="1442"/>
      <c r="AO243" s="1447"/>
      <c r="AP243" s="1447"/>
      <c r="AQ243" s="1448"/>
      <c r="AR243" s="1452"/>
      <c r="AS243" s="1455"/>
      <c r="AT243" s="1458"/>
      <c r="AU243" s="516"/>
      <c r="AV243" s="1479"/>
      <c r="AW243" s="1479"/>
      <c r="BC243" s="38"/>
      <c r="BD243" s="38"/>
      <c r="BE243" s="38"/>
      <c r="BF243" s="38"/>
      <c r="BG243" s="38"/>
      <c r="BH243" s="38"/>
      <c r="BI243" s="38"/>
      <c r="BJ243" s="38"/>
      <c r="BK243" s="38"/>
      <c r="BL243" s="38"/>
      <c r="BM243" s="38"/>
      <c r="BN243" s="38"/>
      <c r="BO243" s="38"/>
      <c r="BP243" s="38"/>
      <c r="BQ243" s="38"/>
      <c r="BR243" s="38"/>
      <c r="BS243" s="38"/>
      <c r="BT243" s="38"/>
      <c r="BU243" s="38"/>
      <c r="BV243" s="38"/>
      <c r="BW243" s="38"/>
      <c r="BX243" s="38"/>
      <c r="BY243" s="38"/>
      <c r="BZ243" s="38"/>
      <c r="CA243" s="38"/>
      <c r="CB243" s="38"/>
      <c r="CC243" s="38"/>
      <c r="CD243" s="38"/>
      <c r="CE243" s="38"/>
      <c r="CF243" s="38"/>
      <c r="CG243" s="38"/>
      <c r="CH243" s="38"/>
      <c r="CI243" s="38"/>
      <c r="CM243" s="1352"/>
      <c r="CN243" s="1352"/>
      <c r="CO243" s="1415" t="str">
        <f>CN241</f>
        <v/>
      </c>
      <c r="CP243" s="1417" t="e">
        <f>CP241</f>
        <v>#N/A</v>
      </c>
      <c r="CR243" s="1386" t="s">
        <v>284</v>
      </c>
      <c r="CS243" s="1353">
        <f>IF(HW241=TRUE,T243,0)</f>
        <v>0</v>
      </c>
      <c r="CT243" s="1353" t="str">
        <f>IF(HW241=TRUE,U243,"")</f>
        <v/>
      </c>
      <c r="CU243" s="1373">
        <f>IF(HW241=TRUE,U244,0)</f>
        <v>0</v>
      </c>
      <c r="CV243" s="1370">
        <f>IF(HW241=TRUE,AB244,0)</f>
        <v>0</v>
      </c>
      <c r="CW243" s="1370">
        <f>IF(HW241=TRUE,AC244,0)</f>
        <v>0</v>
      </c>
      <c r="CX243" s="1371"/>
      <c r="CY243" s="1486"/>
      <c r="CZ243" s="1486"/>
      <c r="DA243" s="1486"/>
      <c r="DC243" s="1353">
        <f>IF(HW241=TRUE,AE243,0)</f>
        <v>0</v>
      </c>
      <c r="DD243" s="1353" t="str">
        <f>IF(HW241=TRUE,AF243,"")</f>
        <v/>
      </c>
      <c r="DE243" s="1373">
        <f>AF244</f>
        <v>0</v>
      </c>
      <c r="DF243" s="1406">
        <f>IFERROR(IF(FL243=3,IK243,IF(FL243=4,IL243,IF(FL243=5,IM243,IF(FL243=6,IN243,IF(FL243=7,IO243,IF(FL243=8,IP243,0)))))),0)</f>
        <v>0</v>
      </c>
      <c r="DG243" s="1370">
        <f>IF(HW241=TRUE,AK243,0)</f>
        <v>0</v>
      </c>
      <c r="DH243" s="1369"/>
      <c r="DK243" s="1483">
        <f>IFERROR(CW243-DG243,0)</f>
        <v>0</v>
      </c>
      <c r="DL243" s="1420"/>
      <c r="DN243" s="1403"/>
      <c r="DO243" s="1477" t="str">
        <f>DN241</f>
        <v/>
      </c>
      <c r="DP243" s="1354"/>
      <c r="DQ243" s="1477" t="str">
        <f>IF(DP241=7,"LLLC","")</f>
        <v/>
      </c>
      <c r="DR243" s="1403"/>
      <c r="DS243" s="1489"/>
      <c r="DU243" s="1403"/>
      <c r="DV243" s="1404" t="str">
        <f>DU241</f>
        <v/>
      </c>
      <c r="DW243" s="1403"/>
      <c r="DX243" s="1403"/>
      <c r="DZ243" s="1481"/>
      <c r="EA243" s="1481"/>
      <c r="EC243" s="1482"/>
      <c r="ED243" s="1369"/>
      <c r="EE243" s="1371"/>
      <c r="EF243" s="1369"/>
      <c r="EG243" s="1369"/>
      <c r="EH243" s="1374"/>
      <c r="EI243" s="1374"/>
      <c r="EJ243" s="1363"/>
      <c r="EK243" s="1376"/>
      <c r="EL243" s="1376"/>
      <c r="EM243" s="1362"/>
      <c r="EN243" s="1362"/>
      <c r="EO243" s="1363"/>
      <c r="EP243" s="1363"/>
      <c r="EQ243" s="1363"/>
      <c r="ES243" s="1403"/>
      <c r="EU243" s="1411" t="e">
        <f>VLOOKUP(CP243,'Space Table'!$B$3:$L$160,8,FALSE)</f>
        <v>#N/A</v>
      </c>
      <c r="EV243" s="1411" t="e">
        <f>IF(EY243="Yes",VLOOKUP(AF243,Lookup_Control_Type_Table2,4,FALSE),VLOOKUP(AF243,Lookup_Control_Type_Table2,3,FALSE))</f>
        <v>#N/A</v>
      </c>
      <c r="EW243" s="1411" t="e">
        <f>VLOOKUP(AF243,Lookup!AU$3:AV$15,2,FALSE)</f>
        <v>#N/A</v>
      </c>
      <c r="EX243" s="1411" t="e">
        <f>VLOOKUP(EU241,Lookup_Control_Type_Table,2,FALSE)</f>
        <v>#N/A</v>
      </c>
      <c r="EY243" s="1411" t="e">
        <f>VLOOKUP(CP243,'Space Table'!$B$3:$L$160,7,FALSE)</f>
        <v>#N/A</v>
      </c>
      <c r="EZ243" s="1413"/>
      <c r="FB243" s="1365" t="str">
        <f>CONCATENATE(CN241," - ",AF243)</f>
        <v xml:space="preserve"> - </v>
      </c>
      <c r="FD243" s="1354"/>
      <c r="FE243" s="1354"/>
      <c r="FF243" s="138"/>
      <c r="FI243" s="1356" t="str">
        <f>IF(CN241="Exterior","Not Daylighted",G244)</f>
        <v>Not Daylighted</v>
      </c>
      <c r="FJ243" s="1356">
        <f>VLOOKUP(FI243,_Daylight_Table_Codes,2,FALSE)</f>
        <v>0</v>
      </c>
      <c r="FK243" s="1365">
        <f>AF243</f>
        <v>0</v>
      </c>
      <c r="FL243" s="1365" t="e">
        <f>VLOOKUP(FK243,_Control_Table,2,FALSE)</f>
        <v>#N/A</v>
      </c>
      <c r="FM243" s="1365" t="e">
        <f>IF(AND(FP243&gt;0,FK243="Occupancy Sensor"),"Daylight + Occupancy",IF(AND(FP243&gt;0,FL243&lt;4),"Interior Daylight Dimming",FK243))</f>
        <v>#N/A</v>
      </c>
      <c r="FO243" s="1364">
        <f>IF(CN241="Interior",VLOOKUP(CP241,Control_Savings_Interior,5,FALSE),0)</f>
        <v>0</v>
      </c>
      <c r="FP243" s="1361">
        <f>IF(CN243="Exterior",0,IF(FJ243=2,0.5,IF(OR(FJ243=1,FJ243=3),1,0)))</f>
        <v>0</v>
      </c>
      <c r="FQ243" s="1366">
        <f>IF(R242&gt;FO$37,(FO243*(FO$37/R242)),FO243)*FP243</f>
        <v>0</v>
      </c>
      <c r="FR243" s="1364">
        <f>DF243</f>
        <v>0</v>
      </c>
      <c r="FS243" s="1364">
        <f>ROUND(FR243+((1-FR243)*FQ243),2)</f>
        <v>0</v>
      </c>
      <c r="FT243" s="1364">
        <f>IF(__Retrofit_TI_NC=2,FS243,FR243)</f>
        <v>0</v>
      </c>
      <c r="FU243" s="1360">
        <f>IF(CO243="Interior",VLOOKUP(CP243,Control_Savings_Interior,4,FALSE),0)</f>
        <v>0</v>
      </c>
      <c r="FW243" s="1352"/>
      <c r="FX243" s="1352"/>
      <c r="FY243" s="1352"/>
      <c r="FZ243" s="1352"/>
      <c r="GA243" s="1352"/>
      <c r="GB243" s="1352"/>
      <c r="GC243" s="1352"/>
      <c r="GD243" s="1352"/>
      <c r="GE243" s="759" t="b">
        <f>IF(ISNUMBER(SEARCH("TLED",U243)),TRUE,FALSE)</f>
        <v>0</v>
      </c>
      <c r="GF243" s="1035" t="str">
        <f>IFERROR(VLOOKUP(U243,Fixtures!DM$93:DR$142,6,FALSE),"")</f>
        <v/>
      </c>
      <c r="GG243" s="1385"/>
      <c r="GI243" s="1383"/>
      <c r="GJ243" s="1379"/>
      <c r="GL243" s="1379"/>
      <c r="GM243" s="1379"/>
      <c r="HC243" s="1379"/>
      <c r="HD243" s="1379"/>
      <c r="HE243" s="1379"/>
      <c r="HF243" s="1379"/>
      <c r="HG243" s="1379"/>
      <c r="HH243" s="1379"/>
      <c r="HI243" s="1383"/>
      <c r="HJ243" s="1383"/>
      <c r="HK243" s="1383"/>
      <c r="HL243" s="1379"/>
      <c r="HM243" s="1379"/>
      <c r="HN243" s="1379"/>
      <c r="HO243" s="1379"/>
      <c r="HP243" s="1379"/>
      <c r="HQ243" s="1379"/>
      <c r="HR243" s="1379"/>
      <c r="HS243" s="1379"/>
      <c r="HT243" s="1379"/>
      <c r="HU243" s="1379"/>
      <c r="HW243" s="1383"/>
      <c r="HX243" s="1384" t="b">
        <f>HW241</f>
        <v>0</v>
      </c>
      <c r="HY243" s="1378"/>
      <c r="HZ243" s="436"/>
      <c r="IA243" s="1386"/>
      <c r="IB243" s="1380">
        <f>IF(IA241=TRUE,AC244,0)</f>
        <v>0</v>
      </c>
      <c r="IC243" s="1379"/>
      <c r="IF243" s="1380" t="e">
        <f>ROUND(T243*AB244*N242*R242/1000,0)</f>
        <v>#VALUE!</v>
      </c>
      <c r="IG243" s="1382"/>
      <c r="IH243" s="1384" t="e">
        <f>ROUND(T243*AB244*N242*R242/1000,0)</f>
        <v>#VALUE!</v>
      </c>
      <c r="II243" s="1382"/>
      <c r="IK243" s="1351" t="e">
        <f>IF($CO243="interior",IL243/2,VLOOKUP($CP243,Control_Savings_Exterior,IK$30,FALSE))</f>
        <v>#N/A</v>
      </c>
      <c r="IL243" s="1351" t="e">
        <f>IF($CO243="interior",VLOOKUP($CP243,Control_Savings_Interior,IL$30,FALSE),VLOOKUP($CP243,Control_Savings_Exterior,IL$30,FALSE))</f>
        <v>#N/A</v>
      </c>
      <c r="IM243" s="1351" t="e">
        <f>IF($CO243="interior",IF(R242&gt;FO$37,(IM$28*(FO$37/R242)),IM$28)*FP243,VLOOKUP($CP243,Control_Savings_Exterior,IM$30,FALSE))</f>
        <v>#N/A</v>
      </c>
      <c r="IN243" s="1351" t="e">
        <f>IF($CO243="interior",ROUND(((1-IL243)*IM243)+IL243,2),VLOOKUP($CP243,Control_Savings_Exterior,IN$30,FALSE))</f>
        <v>#N/A</v>
      </c>
      <c r="IO243" s="1351" t="e">
        <f>IF($CO243="interior", ROUND(((1-IL243)*(IM243*(1-IP$28)))+IP243,2), VLOOKUP($CP243,Control_Savings_Exterior,IO$30,FALSE))</f>
        <v>#N/A</v>
      </c>
      <c r="IP243" s="1351">
        <f>IF($CO243="interior",ROUND(((1-IL243)*IP$28)+IL243,2),0)</f>
        <v>0</v>
      </c>
    </row>
    <row r="244" spans="1:250" s="82" customFormat="1" ht="14.95" customHeight="1" thickTop="1" thickBot="1">
      <c r="B244" s="1421"/>
      <c r="C244" s="1422"/>
      <c r="D244" s="1423"/>
      <c r="E244" s="1462" t="s">
        <v>357</v>
      </c>
      <c r="F244" s="1463"/>
      <c r="G244" s="1464" t="s">
        <v>362</v>
      </c>
      <c r="H244" s="1465"/>
      <c r="I244" s="1465"/>
      <c r="J244" s="1465"/>
      <c r="K244" s="1465"/>
      <c r="L244" s="1466"/>
      <c r="M244" s="669">
        <f>IFERROR(VLOOKUP(G244,_Daylight_Table[],2,FALSE),0)</f>
        <v>0</v>
      </c>
      <c r="N244" s="670"/>
      <c r="O244" s="669" t="e">
        <f>VLOOKUP(G243,'Space Table'!$B$3:$L$160,11,FALSE)</f>
        <v>#N/A</v>
      </c>
      <c r="P244" s="1408"/>
      <c r="Q244" s="1409"/>
      <c r="R244" s="1409"/>
      <c r="S244" s="1402"/>
      <c r="T244" s="671" t="s">
        <v>281</v>
      </c>
      <c r="U244" s="1467" t="str">
        <f>IFERROR(VLOOKUP(U243,Fixtures!DM$93:DP$142,4,FALSE),"")</f>
        <v/>
      </c>
      <c r="V244" s="1468"/>
      <c r="W244" s="1468"/>
      <c r="X244" s="1468"/>
      <c r="Y244" s="1468"/>
      <c r="Z244" s="1468"/>
      <c r="AA244" s="1468"/>
      <c r="AB244" s="1046" t="str">
        <f>IFERROR(VLOOKUP(U243,Fixtures_Proposed_List,2,FALSE),"")</f>
        <v/>
      </c>
      <c r="AC244" s="1036" t="str">
        <f>IFERROR(ROUND(T243*AB244*N242*R242/1000,0),"")</f>
        <v/>
      </c>
      <c r="AD244" s="1037" t="str">
        <f>IFERROR(ROUND(T243*AB244/1000,2),"")</f>
        <v/>
      </c>
      <c r="AE244" s="1045" t="s">
        <v>281</v>
      </c>
      <c r="AF244" s="1469"/>
      <c r="AG244" s="1469"/>
      <c r="AH244" s="1469"/>
      <c r="AI244" s="1469"/>
      <c r="AJ244" s="1476"/>
      <c r="AK244" s="1471"/>
      <c r="AL244" s="1473"/>
      <c r="AM244" s="1443"/>
      <c r="AN244" s="1444"/>
      <c r="AO244" s="1449"/>
      <c r="AP244" s="1449"/>
      <c r="AQ244" s="1450"/>
      <c r="AR244" s="1453"/>
      <c r="AS244" s="1456"/>
      <c r="AT244" s="1459"/>
      <c r="AU244" s="517"/>
      <c r="AV244" s="1480"/>
      <c r="AW244" s="1480"/>
      <c r="BC244" s="38"/>
      <c r="BD244" s="38"/>
      <c r="BE244" s="38"/>
      <c r="BF244" s="38"/>
      <c r="BG244" s="38"/>
      <c r="BH244" s="38"/>
      <c r="BI244" s="38"/>
      <c r="BJ244" s="38"/>
      <c r="BK244" s="38"/>
      <c r="BL244" s="38"/>
      <c r="BM244" s="38"/>
      <c r="BN244" s="38"/>
      <c r="BO244" s="38"/>
      <c r="BP244" s="38"/>
      <c r="BQ244" s="38"/>
      <c r="BR244" s="38"/>
      <c r="BS244" s="38"/>
      <c r="BT244" s="38"/>
      <c r="BU244" s="38"/>
      <c r="BV244" s="38"/>
      <c r="BW244" s="38"/>
      <c r="BX244" s="38"/>
      <c r="BY244" s="38"/>
      <c r="BZ244" s="38"/>
      <c r="CA244" s="38"/>
      <c r="CB244" s="38"/>
      <c r="CC244" s="38"/>
      <c r="CD244" s="38"/>
      <c r="CE244" s="38"/>
      <c r="CF244" s="38"/>
      <c r="CG244" s="38"/>
      <c r="CH244" s="38"/>
      <c r="CI244" s="38"/>
      <c r="CM244" s="1352"/>
      <c r="CN244" s="1352"/>
      <c r="CO244" s="1416"/>
      <c r="CP244" s="1418"/>
      <c r="CR244" s="1386"/>
      <c r="CS244" s="1355"/>
      <c r="CT244" s="1355"/>
      <c r="CU244" s="1375"/>
      <c r="CV244" s="1372"/>
      <c r="CW244" s="1372"/>
      <c r="CX244" s="1372"/>
      <c r="CY244" s="1487"/>
      <c r="CZ244" s="1487"/>
      <c r="DA244" s="1487"/>
      <c r="DC244" s="1355"/>
      <c r="DD244" s="1355"/>
      <c r="DE244" s="1375"/>
      <c r="DF244" s="1407"/>
      <c r="DG244" s="1372"/>
      <c r="DH244" s="1369"/>
      <c r="DK244" s="1484"/>
      <c r="DL244" s="1420"/>
      <c r="DN244" s="1403"/>
      <c r="DO244" s="1405"/>
      <c r="DP244" s="1355"/>
      <c r="DQ244" s="1405"/>
      <c r="DR244" s="1403"/>
      <c r="DS244" s="1489"/>
      <c r="DU244" s="1403"/>
      <c r="DV244" s="1405"/>
      <c r="DW244" s="1403"/>
      <c r="DX244" s="1403"/>
      <c r="DZ244" s="1481"/>
      <c r="EA244" s="1481"/>
      <c r="EC244" s="1482"/>
      <c r="ED244" s="1369"/>
      <c r="EE244" s="1372"/>
      <c r="EF244" s="1369"/>
      <c r="EG244" s="1369"/>
      <c r="EH244" s="1375"/>
      <c r="EI244" s="1375"/>
      <c r="EJ244" s="1363"/>
      <c r="EK244" s="1376"/>
      <c r="EL244" s="1376"/>
      <c r="EM244" s="1362"/>
      <c r="EN244" s="1362"/>
      <c r="EO244" s="1363"/>
      <c r="EP244" s="1363"/>
      <c r="EQ244" s="1363"/>
      <c r="ES244" s="1403"/>
      <c r="EU244" s="1488"/>
      <c r="EV244" s="1488"/>
      <c r="EW244" s="1488"/>
      <c r="EX244" s="1488"/>
      <c r="EY244" s="1488"/>
      <c r="EZ244" s="1414"/>
      <c r="FB244" s="1365"/>
      <c r="FD244" s="1355"/>
      <c r="FE244" s="1355"/>
      <c r="FF244" s="138"/>
      <c r="FI244" s="1357"/>
      <c r="FJ244" s="1357"/>
      <c r="FK244" s="1365"/>
      <c r="FL244" s="1365"/>
      <c r="FM244" s="1365"/>
      <c r="FO244" s="1361"/>
      <c r="FP244" s="1361"/>
      <c r="FQ244" s="1366"/>
      <c r="FR244" s="1361"/>
      <c r="FS244" s="1361"/>
      <c r="FT244" s="1361"/>
      <c r="FU244" s="1360"/>
      <c r="FW244" s="1352"/>
      <c r="FX244" s="1352"/>
      <c r="FY244" s="1352"/>
      <c r="FZ244" s="1352"/>
      <c r="GA244" s="1352"/>
      <c r="GB244" s="1352"/>
      <c r="GC244" s="1352"/>
      <c r="GD244" s="1352"/>
      <c r="GE244" s="759"/>
      <c r="GF244" s="1035"/>
      <c r="GG244" s="1385"/>
      <c r="GJ244" s="1034">
        <f>IF(GJ242=TRUE,0,GJ$16)</f>
        <v>0</v>
      </c>
      <c r="GL244" s="1034">
        <f>IF(GL242=TRUE,0,GL$16)</f>
        <v>36</v>
      </c>
      <c r="GM244" s="1034">
        <f>IF(GM242=TRUE,0,GM$16)</f>
        <v>35</v>
      </c>
      <c r="GN244" s="436"/>
      <c r="GO244" s="436"/>
      <c r="GP244" s="436"/>
      <c r="GQ244" s="436"/>
      <c r="GR244" s="436"/>
      <c r="HC244" s="1034">
        <f t="shared" ref="HC244:HH244" si="170">IF(HC242=TRUE,0,HC$16)</f>
        <v>19</v>
      </c>
      <c r="HD244" s="1034">
        <f t="shared" si="170"/>
        <v>18</v>
      </c>
      <c r="HE244" s="1034">
        <f t="shared" si="170"/>
        <v>17</v>
      </c>
      <c r="HF244" s="1034">
        <f t="shared" si="170"/>
        <v>16</v>
      </c>
      <c r="HG244" s="1034">
        <f t="shared" si="170"/>
        <v>0</v>
      </c>
      <c r="HH244" s="1034">
        <f t="shared" si="170"/>
        <v>0</v>
      </c>
      <c r="HI244" s="1034">
        <f>IF(HI242=TRUE,0,HI$16)</f>
        <v>13</v>
      </c>
      <c r="HJ244" s="1034">
        <f t="shared" ref="HJ244:HL244" si="171">IF(HJ242=TRUE,0,HJ$16)</f>
        <v>12</v>
      </c>
      <c r="HK244" s="1034">
        <f t="shared" si="171"/>
        <v>11</v>
      </c>
      <c r="HL244" s="1034">
        <f t="shared" si="171"/>
        <v>10</v>
      </c>
      <c r="HM244" s="1034">
        <f>IF(HM242=TRUE,0,HM$16)</f>
        <v>9</v>
      </c>
      <c r="HN244" s="1034">
        <f t="shared" ref="HN244:HR244" si="172">IF(HN242=TRUE,0,HN$16)</f>
        <v>0</v>
      </c>
      <c r="HO244" s="1034">
        <f t="shared" si="172"/>
        <v>0</v>
      </c>
      <c r="HP244" s="1034">
        <f t="shared" si="172"/>
        <v>0</v>
      </c>
      <c r="HQ244" s="1034">
        <f t="shared" si="172"/>
        <v>0</v>
      </c>
      <c r="HR244" s="1034">
        <f t="shared" si="172"/>
        <v>0</v>
      </c>
      <c r="HS244" s="1034">
        <f>IF(HS242=TRUE,0,HS$16)</f>
        <v>0</v>
      </c>
      <c r="HT244" s="1034">
        <f t="shared" ref="HT244" si="173">IF(HT242=TRUE,0,HT$16)</f>
        <v>0</v>
      </c>
      <c r="HU244" s="1034">
        <f>IF(HU242=TRUE,0,HU$16)</f>
        <v>1</v>
      </c>
      <c r="HW244" s="1034">
        <f>IF(GL242=FALSE,GL244,IF(GM242=FALSE,GM244,MAX(GJ244:HU244)))</f>
        <v>36</v>
      </c>
      <c r="HX244" s="1383"/>
      <c r="HY244" s="241" t="str">
        <f>VLOOKUP(HW244,_Error_Table,3,FALSE)</f>
        <v xml:space="preserve"> </v>
      </c>
      <c r="HZ244" s="241"/>
      <c r="IA244" s="1386"/>
      <c r="IB244" s="1380"/>
      <c r="IC244" s="1379"/>
      <c r="IF244" s="1380"/>
      <c r="IG244" s="1383"/>
      <c r="IH244" s="1383"/>
      <c r="II244" s="1383"/>
      <c r="IK244" s="1351"/>
      <c r="IL244" s="1351"/>
      <c r="IM244" s="1351"/>
      <c r="IN244" s="1351"/>
      <c r="IO244" s="1351"/>
      <c r="IP244" s="1351"/>
    </row>
    <row r="245" spans="1:250" s="82" customFormat="1">
      <c r="B245" s="763"/>
      <c r="C245" s="437"/>
      <c r="D245" s="437"/>
      <c r="E245" s="1490"/>
      <c r="F245" s="1490"/>
      <c r="G245" s="1490"/>
      <c r="H245" s="1490"/>
      <c r="I245" s="1490"/>
      <c r="J245" s="1490"/>
      <c r="K245" s="1490"/>
      <c r="L245" s="1490"/>
      <c r="M245" s="1490"/>
      <c r="N245" s="1490"/>
      <c r="O245" s="1490"/>
      <c r="P245" s="1490"/>
      <c r="Q245" s="1490"/>
      <c r="R245" s="1490"/>
      <c r="S245" s="1490"/>
      <c r="T245" s="1490"/>
      <c r="U245" s="1490"/>
      <c r="V245" s="1490"/>
      <c r="W245" s="1490"/>
      <c r="X245" s="1490"/>
      <c r="Y245" s="1490"/>
      <c r="Z245" s="1490"/>
      <c r="AA245" s="1490"/>
      <c r="AB245" s="1490"/>
      <c r="AC245" s="1490"/>
      <c r="AD245" s="1490"/>
      <c r="AE245" s="1490"/>
      <c r="AF245" s="1490"/>
      <c r="AG245" s="1490"/>
      <c r="AH245" s="1490"/>
      <c r="AI245" s="1490"/>
      <c r="AJ245" s="1490"/>
      <c r="AK245" s="1490"/>
      <c r="AL245" s="1490"/>
      <c r="AM245" s="1490"/>
      <c r="AN245" s="1490"/>
      <c r="AO245" s="1490"/>
      <c r="AP245" s="1490"/>
      <c r="AQ245" s="1490"/>
      <c r="AR245" s="1490"/>
      <c r="AS245" s="1490"/>
      <c r="AT245" s="1490"/>
      <c r="AU245" s="518"/>
      <c r="BC245" s="38"/>
      <c r="BD245" s="38"/>
      <c r="BE245" s="38"/>
      <c r="BF245" s="38"/>
      <c r="BG245" s="38"/>
      <c r="BH245" s="38"/>
      <c r="BI245" s="38"/>
      <c r="BJ245" s="38"/>
      <c r="BK245" s="38"/>
      <c r="BL245" s="38"/>
      <c r="BM245" s="38"/>
      <c r="BN245" s="38"/>
      <c r="BO245" s="38"/>
      <c r="BP245" s="38"/>
      <c r="BQ245" s="38"/>
      <c r="BR245" s="38"/>
      <c r="BS245" s="38"/>
      <c r="BT245" s="38"/>
      <c r="BU245" s="38"/>
      <c r="BV245" s="38"/>
      <c r="BW245" s="38"/>
      <c r="BX245" s="38"/>
      <c r="BY245" s="38"/>
      <c r="BZ245" s="38"/>
      <c r="CA245" s="38"/>
      <c r="CB245" s="38"/>
      <c r="CC245" s="38"/>
      <c r="CD245" s="38"/>
      <c r="CE245" s="38"/>
      <c r="CF245" s="38"/>
      <c r="CG245" s="38"/>
      <c r="CH245" s="38"/>
      <c r="CI245" s="38"/>
      <c r="CM245" s="749"/>
      <c r="CN245" s="749"/>
      <c r="CO245" s="485"/>
      <c r="CP245" s="749"/>
      <c r="CS245" s="436"/>
      <c r="CT245" s="436"/>
      <c r="CU245" s="243"/>
      <c r="CV245" s="244"/>
      <c r="CW245" s="244"/>
      <c r="CX245" s="244"/>
      <c r="CY245" s="245"/>
      <c r="CZ245" s="245"/>
      <c r="DA245" s="245"/>
      <c r="DC245" s="750"/>
      <c r="DD245" s="751"/>
      <c r="DE245" s="752"/>
      <c r="DF245" s="753"/>
      <c r="DG245" s="754"/>
      <c r="DH245" s="754"/>
      <c r="DK245" s="244"/>
      <c r="DL245" s="750"/>
      <c r="DN245" s="750"/>
      <c r="DO245" s="755"/>
      <c r="DP245" s="436"/>
      <c r="DQ245" s="750"/>
      <c r="DR245" s="750"/>
      <c r="DS245" s="750"/>
      <c r="DU245" s="750"/>
      <c r="DV245" s="750"/>
      <c r="DW245" s="750"/>
      <c r="DX245" s="750"/>
      <c r="DZ245" s="756"/>
      <c r="EA245" s="756"/>
      <c r="EC245" s="754"/>
      <c r="ED245" s="754"/>
      <c r="EE245" s="244"/>
      <c r="EF245" s="754"/>
      <c r="EG245" s="754"/>
      <c r="EH245" s="243"/>
      <c r="EI245" s="243"/>
      <c r="EJ245" s="752"/>
      <c r="EK245" s="757"/>
      <c r="EL245" s="757"/>
      <c r="EM245" s="758"/>
      <c r="EN245" s="758"/>
      <c r="EO245" s="752"/>
      <c r="EP245" s="752"/>
      <c r="EQ245" s="752"/>
      <c r="ES245" s="750"/>
      <c r="EU245" s="436"/>
      <c r="EV245" s="436"/>
      <c r="EW245" s="436"/>
      <c r="EX245" s="436"/>
      <c r="EY245" s="436"/>
      <c r="EZ245" s="436"/>
      <c r="FB245" s="643"/>
      <c r="FD245" s="436"/>
      <c r="FE245" s="436"/>
      <c r="FF245" s="436"/>
      <c r="FO245" s="750"/>
      <c r="FP245" s="436"/>
      <c r="FQ245" s="436"/>
      <c r="FR245" s="750"/>
      <c r="FS245" s="750"/>
      <c r="FW245" s="749"/>
      <c r="FX245" s="749"/>
      <c r="FY245" s="749"/>
      <c r="FZ245" s="749"/>
      <c r="GA245" s="749"/>
      <c r="GB245" s="749"/>
      <c r="GC245" s="749"/>
      <c r="GD245" s="749"/>
      <c r="GE245" s="751"/>
      <c r="GF245" s="750"/>
      <c r="GG245" s="750"/>
    </row>
    <row r="246" spans="1:250">
      <c r="DU246" s="755"/>
      <c r="DV246" s="755"/>
      <c r="DW246" s="755"/>
      <c r="DX246" s="755"/>
      <c r="DY246" s="755"/>
      <c r="DZ246" s="755"/>
      <c r="EA246" s="755"/>
      <c r="EB246" s="755"/>
      <c r="EC246" s="764" t="s">
        <v>283</v>
      </c>
      <c r="ED246" s="764" t="s">
        <v>284</v>
      </c>
      <c r="EE246" s="764" t="s">
        <v>186</v>
      </c>
      <c r="EF246" s="764" t="s">
        <v>286</v>
      </c>
      <c r="EG246" s="764" t="s">
        <v>287</v>
      </c>
      <c r="EH246" s="764"/>
      <c r="EI246" s="764"/>
      <c r="EJ246" s="764" t="s">
        <v>288</v>
      </c>
      <c r="EK246" s="764" t="s">
        <v>186</v>
      </c>
      <c r="EL246" s="764" t="s">
        <v>286</v>
      </c>
      <c r="EM246" s="764" t="s">
        <v>186</v>
      </c>
      <c r="EN246" s="764" t="s">
        <v>286</v>
      </c>
      <c r="EO246" s="764" t="s">
        <v>186</v>
      </c>
      <c r="EP246" s="764" t="s">
        <v>286</v>
      </c>
      <c r="EQ246" s="764"/>
      <c r="ES246" s="38">
        <f>ROW()</f>
        <v>246</v>
      </c>
    </row>
    <row r="247" spans="1:250" s="82" customFormat="1" ht="20.25" customHeight="1">
      <c r="B247" s="247"/>
      <c r="C247" s="437"/>
      <c r="D247" s="437"/>
      <c r="E247" s="247"/>
      <c r="F247" s="247"/>
      <c r="G247" s="247"/>
      <c r="H247" s="247"/>
      <c r="I247" s="485"/>
      <c r="J247" s="485"/>
      <c r="K247" s="485"/>
      <c r="L247" s="485"/>
      <c r="M247" s="485"/>
      <c r="N247" s="485"/>
      <c r="O247" s="485"/>
      <c r="P247" s="485"/>
      <c r="Q247" s="485"/>
      <c r="R247" s="436"/>
      <c r="S247" s="242"/>
      <c r="T247" s="436"/>
      <c r="U247" s="241"/>
      <c r="V247" s="241"/>
      <c r="W247" s="241"/>
      <c r="X247" s="241"/>
      <c r="Y247" s="241"/>
      <c r="Z247" s="241"/>
      <c r="AA247" s="243"/>
      <c r="AB247" s="436"/>
      <c r="AC247" s="244"/>
      <c r="AD247" s="245"/>
      <c r="AE247" s="436"/>
      <c r="AF247" s="241"/>
      <c r="AG247" s="241"/>
      <c r="AH247" s="241"/>
      <c r="AI247" s="243"/>
      <c r="AJ247" s="246"/>
      <c r="AK247" s="244"/>
      <c r="AL247" s="244"/>
      <c r="AM247" s="1540" t="s">
        <v>332</v>
      </c>
      <c r="AN247" s="1541"/>
      <c r="AO247" s="1529" t="s">
        <v>350</v>
      </c>
      <c r="AP247" s="1529"/>
      <c r="AQ247" s="1529" t="s">
        <v>205</v>
      </c>
      <c r="AR247" s="1529"/>
      <c r="AS247" s="1529"/>
      <c r="AT247" s="1529"/>
      <c r="AU247" s="485"/>
      <c r="BC247" s="38"/>
      <c r="BD247" s="38"/>
      <c r="BE247" s="38"/>
      <c r="BF247" s="38"/>
      <c r="BG247" s="38"/>
      <c r="BH247" s="38"/>
      <c r="BI247" s="38"/>
      <c r="BJ247" s="38"/>
      <c r="BK247" s="38"/>
      <c r="BL247" s="38"/>
      <c r="BM247" s="38"/>
      <c r="BN247" s="38"/>
      <c r="BO247" s="38"/>
      <c r="BP247" s="38"/>
      <c r="BQ247" s="38"/>
      <c r="BR247" s="38"/>
      <c r="BS247" s="38"/>
      <c r="BT247" s="38"/>
      <c r="BU247" s="38"/>
      <c r="BV247" s="38"/>
      <c r="BW247" s="38"/>
      <c r="BX247" s="38"/>
      <c r="BY247" s="38"/>
      <c r="BZ247" s="38"/>
      <c r="CA247" s="38"/>
      <c r="CB247" s="38"/>
      <c r="CC247" s="38"/>
      <c r="CD247" s="38"/>
      <c r="CE247" s="38"/>
      <c r="CF247" s="38"/>
      <c r="CG247" s="38"/>
      <c r="CH247" s="38"/>
      <c r="CI247" s="38"/>
      <c r="CM247" s="105" t="s">
        <v>290</v>
      </c>
      <c r="CN247" s="105" t="s">
        <v>291</v>
      </c>
      <c r="CO247" s="105"/>
      <c r="CP247" s="105" t="s">
        <v>292</v>
      </c>
      <c r="CQ247" s="38"/>
      <c r="CR247" s="38"/>
      <c r="CS247" s="37" t="s">
        <v>280</v>
      </c>
      <c r="CT247" s="38"/>
      <c r="CU247" s="105" t="s">
        <v>281</v>
      </c>
      <c r="CV247" s="38"/>
      <c r="CW247" s="38"/>
      <c r="CX247" s="105" t="s">
        <v>282</v>
      </c>
      <c r="CY247" s="105" t="s">
        <v>283</v>
      </c>
      <c r="CZ247" s="105" t="s">
        <v>284</v>
      </c>
      <c r="DA247" s="105" t="s">
        <v>285</v>
      </c>
      <c r="DB247" s="436"/>
      <c r="DC247" s="37" t="s">
        <v>293</v>
      </c>
      <c r="DD247" s="38"/>
      <c r="DE247" s="105" t="s">
        <v>281</v>
      </c>
      <c r="DF247" s="37"/>
      <c r="DG247" s="105" t="s">
        <v>282</v>
      </c>
      <c r="DH247" s="105" t="s">
        <v>282</v>
      </c>
      <c r="DI247" s="38"/>
      <c r="DJ247" s="105" t="s">
        <v>348</v>
      </c>
      <c r="DK247" s="105" t="s">
        <v>348</v>
      </c>
      <c r="DL247" s="105" t="s">
        <v>233</v>
      </c>
      <c r="DM247" s="38"/>
      <c r="DN247" s="1358" t="s">
        <v>186</v>
      </c>
      <c r="DO247" s="1358"/>
      <c r="DP247" s="105" t="s">
        <v>286</v>
      </c>
      <c r="DQ247" s="105"/>
      <c r="DR247" s="105" t="s">
        <v>294</v>
      </c>
      <c r="DS247" s="105" t="s">
        <v>294</v>
      </c>
      <c r="DT247" s="38"/>
      <c r="DU247" s="1358" t="s">
        <v>286</v>
      </c>
      <c r="DV247" s="1358"/>
      <c r="DW247" s="105" t="s">
        <v>294</v>
      </c>
      <c r="DX247" s="105" t="s">
        <v>295</v>
      </c>
      <c r="DY247" s="38"/>
      <c r="DZ247" s="105" t="s">
        <v>296</v>
      </c>
      <c r="EA247" s="105" t="s">
        <v>297</v>
      </c>
      <c r="EB247" s="436"/>
      <c r="EC247" s="689" t="s">
        <v>186</v>
      </c>
      <c r="ED247" s="689" t="s">
        <v>186</v>
      </c>
      <c r="EE247" s="689" t="s">
        <v>298</v>
      </c>
      <c r="EF247" s="689" t="s">
        <v>298</v>
      </c>
      <c r="EG247" s="689" t="s">
        <v>298</v>
      </c>
      <c r="EH247" s="689" t="s">
        <v>186</v>
      </c>
      <c r="EI247" s="689" t="s">
        <v>286</v>
      </c>
      <c r="EJ247" s="689" t="s">
        <v>286</v>
      </c>
      <c r="EK247" s="689" t="s">
        <v>299</v>
      </c>
      <c r="EL247" s="689" t="s">
        <v>299</v>
      </c>
      <c r="EM247" s="689" t="s">
        <v>299</v>
      </c>
      <c r="EN247" s="689" t="s">
        <v>299</v>
      </c>
      <c r="EO247" s="689" t="s">
        <v>299</v>
      </c>
      <c r="EP247" s="689" t="s">
        <v>299</v>
      </c>
      <c r="EQ247" s="689" t="s">
        <v>299</v>
      </c>
      <c r="ER247" s="436"/>
      <c r="ES247" s="436"/>
      <c r="EU247" s="436"/>
      <c r="EV247" s="436"/>
      <c r="EW247" s="436"/>
      <c r="EX247" s="436"/>
      <c r="EY247" s="436"/>
      <c r="EZ247" s="436"/>
      <c r="FD247" s="436"/>
      <c r="FE247" s="436"/>
      <c r="FF247" s="436"/>
      <c r="FI247" s="105" t="s">
        <v>300</v>
      </c>
      <c r="FJ247" s="105" t="s">
        <v>301</v>
      </c>
      <c r="FK247" s="105" t="s">
        <v>302</v>
      </c>
      <c r="FL247" s="105" t="s">
        <v>303</v>
      </c>
      <c r="FM247" s="38"/>
      <c r="FN247" s="38" t="s">
        <v>304</v>
      </c>
      <c r="FO247" s="105">
        <v>3200</v>
      </c>
      <c r="FP247" s="105" t="s">
        <v>305</v>
      </c>
      <c r="FQ247" s="105" t="s">
        <v>306</v>
      </c>
      <c r="FR247" s="105" t="s">
        <v>307</v>
      </c>
      <c r="FS247" s="105" t="s">
        <v>306</v>
      </c>
      <c r="FT247" s="38"/>
      <c r="FU247" s="38"/>
    </row>
    <row r="248" spans="1:250" s="82" customFormat="1" ht="20.25" customHeight="1" thickBot="1">
      <c r="B248" s="247"/>
      <c r="C248" s="660">
        <f>1+C170</f>
        <v>4</v>
      </c>
      <c r="D248" s="437"/>
      <c r="E248" s="241" t="str">
        <f>CONCATENATE(AF$20," - page ",C248)</f>
        <v xml:space="preserve"> - page 4</v>
      </c>
      <c r="F248" s="247"/>
      <c r="G248" s="247"/>
      <c r="H248" s="247"/>
      <c r="I248" s="485"/>
      <c r="J248" s="485"/>
      <c r="K248" s="485"/>
      <c r="L248" s="485"/>
      <c r="M248" s="485"/>
      <c r="N248" s="485"/>
      <c r="O248" s="485"/>
      <c r="P248" s="485"/>
      <c r="Q248" s="485"/>
      <c r="R248" s="436"/>
      <c r="S248" s="242"/>
      <c r="T248" s="436"/>
      <c r="U248" s="241"/>
      <c r="V248" s="241"/>
      <c r="W248" s="241"/>
      <c r="X248" s="241"/>
      <c r="Y248" s="241"/>
      <c r="Z248" s="241"/>
      <c r="AA248" s="243"/>
      <c r="AB248" s="677" t="s">
        <v>132</v>
      </c>
      <c r="AC248" s="677" t="s">
        <v>282</v>
      </c>
      <c r="AD248" s="677" t="s">
        <v>312</v>
      </c>
      <c r="AE248" s="436"/>
      <c r="AF248" s="241"/>
      <c r="AG248" s="241"/>
      <c r="AH248" s="241"/>
      <c r="AI248" s="243"/>
      <c r="AJ248" s="678" t="s">
        <v>233</v>
      </c>
      <c r="AK248" s="678" t="s">
        <v>332</v>
      </c>
      <c r="AL248" s="679" t="s">
        <v>349</v>
      </c>
      <c r="AM248" s="1565">
        <f>AX$4</f>
        <v>0</v>
      </c>
      <c r="AN248" s="1566"/>
      <c r="AO248" s="1567">
        <f>AX$6</f>
        <v>0</v>
      </c>
      <c r="AP248" s="1568"/>
      <c r="AQ248" s="1569"/>
      <c r="AR248" s="1561">
        <f>AX$2</f>
        <v>0</v>
      </c>
      <c r="AS248" s="1561"/>
      <c r="AT248" s="1379"/>
      <c r="AU248" s="436"/>
      <c r="BC248" s="38"/>
      <c r="BD248" s="38"/>
      <c r="BE248" s="38"/>
      <c r="BF248" s="38"/>
      <c r="BG248" s="38"/>
      <c r="BH248" s="38"/>
      <c r="BI248" s="38"/>
      <c r="BJ248" s="38"/>
      <c r="BK248" s="38"/>
      <c r="BL248" s="38"/>
      <c r="BM248" s="38"/>
      <c r="BN248" s="38"/>
      <c r="BO248" s="38"/>
      <c r="BP248" s="38"/>
      <c r="BQ248" s="38"/>
      <c r="BR248" s="38"/>
      <c r="BS248" s="38"/>
      <c r="BT248" s="38"/>
      <c r="BU248" s="38"/>
      <c r="BV248" s="38"/>
      <c r="BW248" s="38"/>
      <c r="BX248" s="38"/>
      <c r="BY248" s="38"/>
      <c r="BZ248" s="38"/>
      <c r="CA248" s="38"/>
      <c r="CB248" s="38"/>
      <c r="CC248" s="38"/>
      <c r="CD248" s="38"/>
      <c r="CE248" s="38"/>
      <c r="CF248" s="38"/>
      <c r="CG248" s="38"/>
      <c r="CH248" s="38"/>
      <c r="CI248" s="38"/>
      <c r="CM248" s="105" t="s">
        <v>310</v>
      </c>
      <c r="CN248" s="105" t="s">
        <v>277</v>
      </c>
      <c r="CO248" s="105"/>
      <c r="CP248" s="105" t="s">
        <v>172</v>
      </c>
      <c r="CQ248" s="38"/>
      <c r="CR248" s="38"/>
      <c r="CS248" s="105" t="s">
        <v>190</v>
      </c>
      <c r="CT248" s="105" t="s">
        <v>186</v>
      </c>
      <c r="CU248" s="105" t="s">
        <v>311</v>
      </c>
      <c r="CV248" s="105" t="s">
        <v>132</v>
      </c>
      <c r="CW248" s="105" t="s">
        <v>282</v>
      </c>
      <c r="CX248" s="105" t="s">
        <v>285</v>
      </c>
      <c r="CY248" s="105" t="s">
        <v>312</v>
      </c>
      <c r="CZ248" s="105" t="s">
        <v>312</v>
      </c>
      <c r="DA248" s="105" t="s">
        <v>312</v>
      </c>
      <c r="DB248" s="436"/>
      <c r="DC248" s="105" t="s">
        <v>190</v>
      </c>
      <c r="DD248" s="37" t="s">
        <v>286</v>
      </c>
      <c r="DE248" s="105" t="s">
        <v>311</v>
      </c>
      <c r="DF248" s="105" t="s">
        <v>313</v>
      </c>
      <c r="DG248" s="105" t="s">
        <v>285</v>
      </c>
      <c r="DH248" s="105" t="s">
        <v>285</v>
      </c>
      <c r="DI248" s="38"/>
      <c r="DJ248" s="105" t="s">
        <v>349</v>
      </c>
      <c r="DK248" s="105" t="s">
        <v>284</v>
      </c>
      <c r="DL248" s="38"/>
      <c r="DM248" s="38"/>
      <c r="DN248" s="1359" t="s">
        <v>172</v>
      </c>
      <c r="DO248" s="1359"/>
      <c r="DP248" s="105" t="s">
        <v>172</v>
      </c>
      <c r="DQ248" s="105"/>
      <c r="DR248" s="105" t="s">
        <v>186</v>
      </c>
      <c r="DS248" s="105" t="s">
        <v>314</v>
      </c>
      <c r="DT248" s="38"/>
      <c r="DU248" s="1359" t="s">
        <v>315</v>
      </c>
      <c r="DV248" s="1359"/>
      <c r="DW248" s="105" t="s">
        <v>316</v>
      </c>
      <c r="DX248" s="105" t="s">
        <v>314</v>
      </c>
      <c r="DY248" s="38"/>
      <c r="DZ248" s="105" t="s">
        <v>205</v>
      </c>
      <c r="EA248" s="105" t="s">
        <v>205</v>
      </c>
      <c r="EB248" s="436"/>
      <c r="EC248" s="689" t="s">
        <v>282</v>
      </c>
      <c r="ED248" s="689" t="s">
        <v>282</v>
      </c>
      <c r="EE248" s="689" t="s">
        <v>282</v>
      </c>
      <c r="EF248" s="689" t="s">
        <v>282</v>
      </c>
      <c r="EG248" s="689" t="s">
        <v>282</v>
      </c>
      <c r="EH248" s="689" t="s">
        <v>281</v>
      </c>
      <c r="EI248" s="689" t="s">
        <v>281</v>
      </c>
      <c r="EJ248" s="689" t="s">
        <v>281</v>
      </c>
      <c r="EK248" s="689" t="s">
        <v>317</v>
      </c>
      <c r="EL248" s="689" t="s">
        <v>317</v>
      </c>
      <c r="EM248" s="689" t="s">
        <v>318</v>
      </c>
      <c r="EN248" s="689" t="s">
        <v>318</v>
      </c>
      <c r="EO248" s="689" t="s">
        <v>281</v>
      </c>
      <c r="EP248" s="689" t="s">
        <v>281</v>
      </c>
      <c r="EQ248" s="689" t="s">
        <v>281</v>
      </c>
      <c r="ER248" s="436"/>
      <c r="ES248" s="436">
        <f>SUM(ES249:ES322)</f>
        <v>0</v>
      </c>
      <c r="EU248" s="436"/>
      <c r="EV248" s="436"/>
      <c r="EW248" s="436"/>
      <c r="EX248" s="436"/>
      <c r="EY248" s="89" t="s">
        <v>314</v>
      </c>
      <c r="EZ248" s="89" t="s">
        <v>170</v>
      </c>
      <c r="FD248" s="436"/>
      <c r="FE248" s="436"/>
      <c r="FF248" s="436"/>
      <c r="FI248" s="38"/>
      <c r="FJ248" s="105" t="s">
        <v>273</v>
      </c>
      <c r="FK248" s="38"/>
      <c r="FL248" s="38"/>
      <c r="FM248" s="38"/>
      <c r="FN248" s="38" t="s">
        <v>233</v>
      </c>
      <c r="FO248" s="105" t="s">
        <v>305</v>
      </c>
      <c r="FP248" s="105" t="s">
        <v>320</v>
      </c>
      <c r="FQ248" s="105" t="s">
        <v>305</v>
      </c>
      <c r="FR248" s="105" t="s">
        <v>286</v>
      </c>
      <c r="FS248" s="37" t="s">
        <v>321</v>
      </c>
      <c r="FT248" s="38"/>
      <c r="FU248" s="105" t="s">
        <v>322</v>
      </c>
    </row>
    <row r="249" spans="1:250" s="82" customFormat="1" ht="14.95" customHeight="1" thickTop="1" thickBot="1">
      <c r="B249" s="1421" t="str">
        <f>HY252</f>
        <v xml:space="preserve"> </v>
      </c>
      <c r="C249" s="1422">
        <f>C241+1</f>
        <v>41</v>
      </c>
      <c r="D249" s="1423"/>
      <c r="E249" s="1424" t="s">
        <v>242</v>
      </c>
      <c r="F249" s="1425"/>
      <c r="G249" s="1426"/>
      <c r="H249" s="1427"/>
      <c r="I249" s="1427"/>
      <c r="J249" s="1427"/>
      <c r="K249" s="1427"/>
      <c r="L249" s="1427"/>
      <c r="M249" s="1427"/>
      <c r="N249" s="1427"/>
      <c r="O249" s="1427"/>
      <c r="P249" s="1427"/>
      <c r="Q249" s="1427"/>
      <c r="R249" s="1427"/>
      <c r="S249" s="1428" t="s">
        <v>283</v>
      </c>
      <c r="T249" s="668" t="s">
        <v>190</v>
      </c>
      <c r="U249" s="1430" t="s">
        <v>186</v>
      </c>
      <c r="V249" s="1431"/>
      <c r="W249" s="1431"/>
      <c r="X249" s="1431"/>
      <c r="Y249" s="1431"/>
      <c r="Z249" s="1431"/>
      <c r="AA249" s="1431"/>
      <c r="AB249" s="1088" t="str">
        <f>IFERROR(IF(__Retrofit_TI_NC=0,VLOOKUP(U250,Fixtures_Existing_List,2,FALSE),ROUND(N251*R251/T251,10)),"")</f>
        <v/>
      </c>
      <c r="AC249" s="1039" t="str">
        <f>IFERROR(IF(__Retrofit_TI_NC=0,ROUND(T250*AB249*N250*R250/1000,0),IF(CN249="Interior",N251*R251*R250*N250*_C406_reduction/1000,N251*R251*R250*N250/1000)),"")</f>
        <v/>
      </c>
      <c r="AD249" s="1040" t="str">
        <f>IFERROR(IF(C$36=0,ROUND(T250*AB249/1000,2),N251*R251/1000),"")</f>
        <v/>
      </c>
      <c r="AE249" s="1044" t="s">
        <v>190</v>
      </c>
      <c r="AF249" s="1432" t="str">
        <f>IF(__Retrofit_TI_NC=2,CONCATENATE("Code min = ",DD249),IF(__Retrofit_TI_NC=1,"Emter what you think the existing control was"," Control"))</f>
        <v xml:space="preserve"> Control</v>
      </c>
      <c r="AG249" s="1432"/>
      <c r="AH249" s="1432"/>
      <c r="AI249" s="1432"/>
      <c r="AJ249" s="1433">
        <f>DF249</f>
        <v>0</v>
      </c>
      <c r="AK249" s="1435" t="str">
        <f>IFERROR(ROUND(AJ249*AC249,0),"")</f>
        <v/>
      </c>
      <c r="AL249" s="1437">
        <f>IFERROR(IF(HW249=FALSE,0,AC249-AK249),0)</f>
        <v>0</v>
      </c>
      <c r="AM249" s="1439">
        <f>AL249-AL251</f>
        <v>0</v>
      </c>
      <c r="AN249" s="1440"/>
      <c r="AO249" s="1445">
        <f>IFERROR(IF(HW249=FALSE,0,(T251*U252)+(AE251*AF252)),0)</f>
        <v>0</v>
      </c>
      <c r="AP249" s="1445"/>
      <c r="AQ249" s="1446"/>
      <c r="AR249" s="1451" t="s">
        <v>157</v>
      </c>
      <c r="AS249" s="1454">
        <f>IF(AR249="Yes",1,0)</f>
        <v>1</v>
      </c>
      <c r="AT249" s="1457" t="str">
        <f>IF(OR(DN249=4,DN249=5,DN249=6,DN249=12),CONCATENATE("$",IF(GD249=TRUE,Lookup!$B$11,Lookup!$B$2)," /lamp"),CONCATENATE(EA249,"/ kWh"))</f>
        <v>0/ kWh</v>
      </c>
      <c r="AU249" s="516"/>
      <c r="AV249" s="1478">
        <f>IFERROR(IF(GI250=TRUE,(AB252*T251)/R251,0),"NA")</f>
        <v>0</v>
      </c>
      <c r="AW249" s="1478" t="str">
        <f>IFERROR(N251*_C406_reduction,"NA")</f>
        <v>NA</v>
      </c>
      <c r="BC249" s="38"/>
      <c r="BD249" s="38"/>
      <c r="BE249" s="38"/>
      <c r="BF249" s="38"/>
      <c r="BG249" s="38"/>
      <c r="BH249" s="38"/>
      <c r="BI249" s="38"/>
      <c r="BJ249" s="38"/>
      <c r="BK249" s="38"/>
      <c r="BL249" s="38"/>
      <c r="BM249" s="38"/>
      <c r="BN249" s="38"/>
      <c r="BO249" s="38"/>
      <c r="BP249" s="38"/>
      <c r="BQ249" s="38"/>
      <c r="BR249" s="38"/>
      <c r="BS249" s="38"/>
      <c r="BT249" s="38"/>
      <c r="BU249" s="38"/>
      <c r="BV249" s="38"/>
      <c r="BW249" s="38"/>
      <c r="BX249" s="38"/>
      <c r="BY249" s="38"/>
      <c r="BZ249" s="38"/>
      <c r="CA249" s="38"/>
      <c r="CB249" s="38"/>
      <c r="CC249" s="38"/>
      <c r="CD249" s="38"/>
      <c r="CE249" s="38"/>
      <c r="CF249" s="38"/>
      <c r="CG249" s="38"/>
      <c r="CH249" s="38"/>
      <c r="CI249" s="38"/>
      <c r="CM249" s="1352" t="str">
        <f>N250</f>
        <v/>
      </c>
      <c r="CN249" s="1352" t="str">
        <f>IFERROR(VLOOKUP(G250,_Lookup_Heat_Type_Table_New,3,FALSE),"")</f>
        <v/>
      </c>
      <c r="CO249" s="1415" t="str">
        <f>CN249</f>
        <v/>
      </c>
      <c r="CP249" s="1417" t="e">
        <f>VLOOKUP(G251,'Space Table'!$B$3:$L$160,9,FALSE)</f>
        <v>#N/A</v>
      </c>
      <c r="CR249" s="1386" t="s">
        <v>283</v>
      </c>
      <c r="CS249" s="1353">
        <f>IF(HW249=TRUE,T250,0)</f>
        <v>0</v>
      </c>
      <c r="CT249" s="1353" t="str">
        <f>IF(HW249=TRUE,U250,"")</f>
        <v/>
      </c>
      <c r="CU249" s="1353"/>
      <c r="CV249" s="1370">
        <f>IF(HW249=TRUE,AB249,0)</f>
        <v>0</v>
      </c>
      <c r="CW249" s="1370">
        <f>IF(HW249=TRUE,AC249,0)</f>
        <v>0</v>
      </c>
      <c r="CX249" s="1370">
        <f>IFERROR(IF(HW249=TRUE,CW249-CW251,0),0)</f>
        <v>0</v>
      </c>
      <c r="CY249" s="1485">
        <f>IF(HW249=TRUE,AD249,0)</f>
        <v>0</v>
      </c>
      <c r="CZ249" s="1485">
        <f>IF(HW249=TRUE,AD252,0)</f>
        <v>0</v>
      </c>
      <c r="DA249" s="1485">
        <f>IFERROR(CY249-CZ249,0)</f>
        <v>0</v>
      </c>
      <c r="DC249" s="1353">
        <f>IF(HW249=TRUE,AE250,0)</f>
        <v>0</v>
      </c>
      <c r="DD249" s="1460">
        <f>IF(__Retrofit_TI_NC=2,IF(CN249="Exterior",O252,FM249),FK249)</f>
        <v>0</v>
      </c>
      <c r="DE249" s="1353"/>
      <c r="DF249" s="1406">
        <f>IFERROR(IF(FL249=3,IK249,IF(FL249=4,IL249,IF(FL249=5,IM249,IF(FL249=6,IN249,IF(FL249=7,IO249,IF(FL249=8,IP249,0)))))),0)</f>
        <v>0</v>
      </c>
      <c r="DG249" s="1370">
        <f>IF(HW249=TRUE,AK249,0)</f>
        <v>0</v>
      </c>
      <c r="DH249" s="1369">
        <f>IFERROR(IF(HW249=TRUE,DG251-DG249,0),0)</f>
        <v>0</v>
      </c>
      <c r="DJ249" s="1483">
        <f>IFERROR(CW249-DG249,0)</f>
        <v>0</v>
      </c>
      <c r="DL249" s="1419">
        <f>DJ249-DK251</f>
        <v>0</v>
      </c>
      <c r="DN249" s="1403" t="str">
        <f>IFERROR(IF(AND(OR(FY249=4,FY249=5,FY249=6),OR(GB249=4,GB249=5,GB249=6)),FY249+8,VLOOKUP(CT251,Fixtures!R$31:Y$78,8,FALSE)),"")</f>
        <v/>
      </c>
      <c r="DO249" s="1404" t="str">
        <f>DN249</f>
        <v/>
      </c>
      <c r="DP249" s="1353" t="str">
        <f>IFERROR(VLOOKUP(DD251,Lookup!AU$3:AV$15,2,FALSE),"")</f>
        <v/>
      </c>
      <c r="DQ249" s="1404" t="str">
        <f>IF(DP249=7,"LLLC","")</f>
        <v/>
      </c>
      <c r="DR249" s="1403">
        <f>IFERROR(IF(OR(DN249=4,DN249=5,DN249=6,DN249=12,DN249=13,DN249=14),VLOOKUP(CT251,Fixtures!DN$27:EG$77,19,FALSE),1)*CS251,0)</f>
        <v>0</v>
      </c>
      <c r="DS249" s="1489">
        <f>IF(DP249=7,IF(DD249=DD251,0,DC251),0)</f>
        <v>0</v>
      </c>
      <c r="DU249" s="1403" t="str">
        <f>IFERROR(IF(EW249&lt;EW251,"Yes","No"),"")</f>
        <v/>
      </c>
      <c r="DV249" s="1404" t="str">
        <f>DU249</f>
        <v/>
      </c>
      <c r="DW249" s="1403">
        <f>IF(DU249="Yes",DC251,0)</f>
        <v>0</v>
      </c>
      <c r="DX249" s="1403">
        <f>DW249-DS249</f>
        <v>0</v>
      </c>
      <c r="DZ249" s="1481">
        <f>IFERROR(VLOOKUP(DN249,Lookup!AN$3:AO$16,2,FALSE),0)</f>
        <v>0</v>
      </c>
      <c r="EA249" s="1481">
        <f>IF(HW249=FALSE,0,IF(DU249="Yes",DZ249+Lookup!B$6,DZ249))</f>
        <v>0</v>
      </c>
      <c r="EC249" s="1482">
        <f>IF(HW249=TRUE,DJ249,0)</f>
        <v>0</v>
      </c>
      <c r="ED249" s="1369">
        <f>IF(HW249=TRUE,CW251,0)</f>
        <v>0</v>
      </c>
      <c r="EE249" s="1370">
        <f>IFERROR(EC249-ED249,0)</f>
        <v>0</v>
      </c>
      <c r="EF249" s="1369">
        <f>IF(HW249=TRUE,DG251,0)</f>
        <v>0</v>
      </c>
      <c r="EG249" s="1369">
        <f>IFERROR(EC249-ED249+EF249,0)</f>
        <v>0</v>
      </c>
      <c r="EH249" s="1373">
        <f>IF(HW249=TRUE,CS251*CU251,0)</f>
        <v>0</v>
      </c>
      <c r="EI249" s="1373">
        <f>IF(HW249=TRUE,DC251*DE251,0)</f>
        <v>0</v>
      </c>
      <c r="EJ249" s="1363">
        <f>AO249</f>
        <v>0</v>
      </c>
      <c r="EK249" s="1376" t="str">
        <f>IFERROR(IF(HW249=TRUE,VLOOKUP(DN249,Lookup!AN$3:AP$16,3,FALSE)*DR249,""),0)</f>
        <v/>
      </c>
      <c r="EL249" s="1376">
        <f>IF(HW249=TRUE,DW249*Lookup!AP$12,0)</f>
        <v>0</v>
      </c>
      <c r="EM249" s="1362">
        <f>IFERROR(IF(HW249=TRUE,EK249/EM$33,0),0)</f>
        <v>0</v>
      </c>
      <c r="EN249" s="1362">
        <f>IF(HW249=TRUE,EL249/EN$33,0)</f>
        <v>0</v>
      </c>
      <c r="EO249" s="1363">
        <f>IF(HW249=TRUE,EQ$33*EM249,0)</f>
        <v>0</v>
      </c>
      <c r="EP249" s="1363">
        <f>IF(HW249=TRUE,EQ$33*EN249,0)</f>
        <v>0</v>
      </c>
      <c r="EQ249" s="1363">
        <f>EO249+EP249</f>
        <v>0</v>
      </c>
      <c r="ES249" s="1403">
        <f>IF(G249="",0,1)</f>
        <v>0</v>
      </c>
      <c r="EU249" s="1410" t="e">
        <f>VLOOKUP(CP251,'Space Table'!$B$3:$L$160,8,FALSE)</f>
        <v>#N/A</v>
      </c>
      <c r="EV249" s="1410" t="e">
        <f>IF(EY249="Yes",VLOOKUP(DD249,Lookup_Control_Type_Table2,4,FALSE),VLOOKUP(DD249,Lookup_Control_Type_Table2,3,FALSE))</f>
        <v>#N/A</v>
      </c>
      <c r="EW249" s="1410" t="e">
        <f>VLOOKUP(DD249,Lookup!AU$3:AV$15,2,FALSE)</f>
        <v>#N/A</v>
      </c>
      <c r="EX249" s="1410" t="e">
        <f>VLOOKUP(EU249,Lookup_Control_Type_Table,2,FALSE)</f>
        <v>#N/A</v>
      </c>
      <c r="EY249" s="1410" t="e">
        <f>VLOOKUP(CP251,'Space Table'!$B$3:$L$160,7,FALSE)</f>
        <v>#N/A</v>
      </c>
      <c r="EZ249" s="1412" t="b">
        <f>ISNUMBER(SEARCH("TLED",U251))</f>
        <v>0</v>
      </c>
      <c r="FB249" s="1365" t="str">
        <f>CONCATENATE(CN249," - ",DD249)</f>
        <v xml:space="preserve"> - 0</v>
      </c>
      <c r="FD249" s="1353" t="str">
        <f>VLOOKUP(CT251,Fixtures!DN$27:EZ$77,38,FALSE)</f>
        <v/>
      </c>
      <c r="FE249" s="1353">
        <f>IFERROR(FD249*EE249,0)</f>
        <v>0</v>
      </c>
      <c r="FF249" s="138"/>
      <c r="FI249" s="1356" t="str">
        <f>IF(CN249="Exterior","Not Daylighted",G252)</f>
        <v>Not Daylighted</v>
      </c>
      <c r="FJ249" s="1356">
        <f>VLOOKUP(FI249,_Daylight_Table_Codes,2,FALSE)</f>
        <v>0</v>
      </c>
      <c r="FK249" s="1365">
        <f>IF(__Retrofit_TI_NC=2,VLOOKUP(G251,'Space Table'!$B$3:$L$160,11,FALSE),AF250)</f>
        <v>0</v>
      </c>
      <c r="FL249" s="1365" t="e">
        <f>VLOOKUP(FK249,_Control_Table,2,FALSE)</f>
        <v>#N/A</v>
      </c>
      <c r="FM249" s="1365" t="e">
        <f>IF(AND(FP249&gt;0,FK249="Occupancy Sensor"),"Daylight + Occupancy",IF(AND(FP249&gt;0,FL249&lt;4),"Interior Daylight Dimming",FK249))</f>
        <v>#N/A</v>
      </c>
      <c r="FO249" s="1364">
        <f>IF(CO249="Interior",VLOOKUP(CP249,Control_Savings_Interior,5,FALSE),0)</f>
        <v>0</v>
      </c>
      <c r="FP249" s="1361">
        <f>IF(CN249="Exterior",0,IF(FJ249=2,0.5,IF(OR(FJ249=1,FJ249=3),1,0)))</f>
        <v>0</v>
      </c>
      <c r="FQ249" s="1366"/>
      <c r="FR249" s="1367"/>
      <c r="FS249" s="1364"/>
      <c r="FT249" s="1367"/>
      <c r="FU249" s="1360"/>
      <c r="FW249" s="1352" t="str">
        <f>IFERROR(VLOOKUP(U250,_Exist_Fixture_Table,3,FALSE),"")</f>
        <v/>
      </c>
      <c r="FX249" s="1352" t="str">
        <f>VLOOKUP(CT249,_Exist_Fixture_Table,4,FALSE)</f>
        <v/>
      </c>
      <c r="FY249" s="1352">
        <f>IFERROR(VLOOKUP(FX249,Lookup!AM$6:AN$8,2,FALSE),0)</f>
        <v>0</v>
      </c>
      <c r="FZ249" s="1352" t="b">
        <f>IFERROR(IF(OR(GB249=4,GB249=5,GB249=6),TRUE,FALSE),"")</f>
        <v>0</v>
      </c>
      <c r="GA249" s="1352" t="str">
        <f>IFERROR(VLOOKUP(GB249,FY$6:FZ$10,2,FALSE),"")</f>
        <v/>
      </c>
      <c r="GB249" s="1352" t="str">
        <f>VLOOKUP(CT251,Fixtures!R$31:Y$78,8,FALSE)</f>
        <v/>
      </c>
      <c r="GC249" s="1352">
        <f>IF(AND(FW249=TRUE,FZ249=TRUE,OR(DN249=12,DN249=13,DN249=14)),FY249+8,0)</f>
        <v>0</v>
      </c>
      <c r="GD249" s="1352" t="b">
        <f>IF(OR(GC249=12,GC249=13,GC249=14),TRUE,FALSE)</f>
        <v>0</v>
      </c>
      <c r="GE249" s="759" t="b">
        <f>IF(ISNUMBER(SEARCH("TLED",U250)),TRUE,FALSE)</f>
        <v>0</v>
      </c>
      <c r="GF249" s="1035" t="str">
        <f>IFERROR(VLOOKUP(U250,Fixtures!BM$93:BR$142,6,FALSE),"")</f>
        <v/>
      </c>
      <c r="GG249" s="1385" t="b">
        <f>IF(OR(GE249=FALSE,GE251=FALSE),TRUE,IF(GF249-GF251&lt;5,FALSE,TRUE))</f>
        <v>1</v>
      </c>
      <c r="GK249" s="1034">
        <f>GL249</f>
        <v>0</v>
      </c>
      <c r="GL249" s="1034">
        <f>IF(G249="",0,1)</f>
        <v>0</v>
      </c>
      <c r="GM249" s="1034">
        <f>SUM(GN249:HB249)</f>
        <v>2</v>
      </c>
      <c r="GN249" s="1034">
        <f>IF(G250="",0,1)</f>
        <v>0</v>
      </c>
      <c r="GO249" s="1034">
        <f>IF(G251="",0,1)</f>
        <v>0</v>
      </c>
      <c r="GP249" s="1034">
        <f>IF(R250="",0,1)</f>
        <v>0</v>
      </c>
      <c r="GQ249" s="1034">
        <f>IF(__Retrofit_TI_NC=0,1,IF(R251="",0,1))</f>
        <v>1</v>
      </c>
      <c r="GR249" s="1034">
        <f>IF(CN249="Exterior",1,IF(G252="",0,1))</f>
        <v>1</v>
      </c>
      <c r="GS249" s="1034">
        <f>IF(__Retrofit_TI_NC&lt;&gt;0,1,IF(T250="",0,1))</f>
        <v>0</v>
      </c>
      <c r="GT249" s="1034">
        <f>IF(__Retrofit_TI_NC&lt;&gt;0,1,IF(U250="",0,1))</f>
        <v>0</v>
      </c>
      <c r="GU249" s="1034">
        <f>IF(T251="",0,1)</f>
        <v>0</v>
      </c>
      <c r="GV249" s="1034">
        <f>IF(U251="",0,1)</f>
        <v>0</v>
      </c>
      <c r="GW249" s="1034">
        <f>IF(__Retrofit_TI_NC=2,1,IF(U252="",0,1))</f>
        <v>0</v>
      </c>
      <c r="GX249" s="1034">
        <f>IF(__Retrofit_TI_NC&lt;&gt;0,1,IF(AE250="",0,1))</f>
        <v>0</v>
      </c>
      <c r="GY249" s="1034">
        <f>IF(__Retrofit_TI_NC&lt;&gt;0,1,IF(AF250="",0,1))</f>
        <v>0</v>
      </c>
      <c r="GZ249" s="1034">
        <f>IF(AE251="",0,1)</f>
        <v>0</v>
      </c>
      <c r="HA249" s="1034">
        <f>IF(AF251="",0,1)</f>
        <v>0</v>
      </c>
      <c r="HB249" s="1034">
        <f>IF(__Retrofit_TI_NC=2,1,IF(AF252="",0,1))</f>
        <v>0</v>
      </c>
      <c r="HV249" s="436"/>
      <c r="HW249" s="1384" t="b">
        <f>IF(OR(HW252=0,HW252=HT$16,HW252=HS$16,HW252=HU$16),TRUE,FALSE)</f>
        <v>0</v>
      </c>
      <c r="HX249" s="1377" t="b">
        <f>HW249</f>
        <v>0</v>
      </c>
      <c r="HY249" s="436"/>
      <c r="HZ249" s="436"/>
      <c r="IA249" s="1386" t="b">
        <f>IF(MAX(GJ252:HP252)&gt;5,FALSE,TRUE)</f>
        <v>0</v>
      </c>
      <c r="IB249" s="1380">
        <f>IF(IA249=TRUE,AC249,0)</f>
        <v>0</v>
      </c>
      <c r="IC249" s="1380">
        <f>IB249-IB251</f>
        <v>0</v>
      </c>
      <c r="IF249" s="1380" t="e">
        <f>ROUND(T250*VLOOKUP(U250,Fixtures_Existing_List,2,FALSE)*N250*R250/1000,0)</f>
        <v>#N/A</v>
      </c>
      <c r="IG249" s="1381" t="e">
        <f>IF249-IF251</f>
        <v>#N/A</v>
      </c>
      <c r="IH249" s="1384" t="e">
        <f>ROUND(IF(CN249="Interior",N251*R251*R250*N250*_C406_reduction/1000,N251*R251*R250*N250/1000),0)</f>
        <v>#N/A</v>
      </c>
      <c r="II249" s="1384" t="e">
        <f>IH249-IH251</f>
        <v>#N/A</v>
      </c>
      <c r="IK249" s="1351" t="e">
        <f>IF($CO249="interior",IL249/2,VLOOKUP($CP249,Control_Savings_Exterior,IK$30,FALSE))</f>
        <v>#N/A</v>
      </c>
      <c r="IL249" s="1351" t="e">
        <f>IF($CO249="interior",VLOOKUP($CP249,Control_Savings_Interior,IL$30,FALSE),VLOOKUP($CP249,Control_Savings_Exterior,IL$30,FALSE))</f>
        <v>#N/A</v>
      </c>
      <c r="IM249" s="1351" t="e">
        <f>IF($CO249="interior",IF(R250&gt;FO$37,(IM$28*(FO$37/R250)),IM$28)*FP249,VLOOKUP($CP249,Control_Savings_Exterior,IM$30,FALSE))</f>
        <v>#N/A</v>
      </c>
      <c r="IN249" s="1351" t="e">
        <f>IF($CO249="interior",ROUND(((1-IL249)*IM249)+IL249,2),VLOOKUP($CP249,Control_Savings_Exterior,IN$30,FALSE))</f>
        <v>#N/A</v>
      </c>
      <c r="IO249" s="1351" t="e">
        <f>IF($CO249="interior", ROUND(((1-IL249)*(IM249*(1-IP$28)))+IP249,2), VLOOKUP($CP249,Control_Savings_Exterior,IO$30,FALSE))</f>
        <v>#N/A</v>
      </c>
      <c r="IP249" s="1351">
        <f>IF($CO249="interior",ROUND(((1-IL249)*IP$28)+IL249,2),0)</f>
        <v>0</v>
      </c>
    </row>
    <row r="250" spans="1:250" s="82" customFormat="1" ht="14.95" customHeight="1" thickTop="1" thickBot="1">
      <c r="B250" s="1421"/>
      <c r="C250" s="1422"/>
      <c r="D250" s="1423"/>
      <c r="E250" s="1393" t="s">
        <v>244</v>
      </c>
      <c r="F250" s="1394"/>
      <c r="G250" s="1395"/>
      <c r="H250" s="1395"/>
      <c r="I250" s="1395"/>
      <c r="J250" s="1395"/>
      <c r="K250" s="1395"/>
      <c r="L250" s="1395"/>
      <c r="M250" s="509" t="e">
        <f>IF(__Retrofit_TI_NC&lt;&gt;0,IF(VLOOKUP(G251,'Space Table'!$B$3:$L$160,3,FALSE)&gt;0,1,0),IF(__Retrofit_TI_NC=VLOOKUP(G251,'Space Table'!$B$3:$L$160,3,FALSE),1,0))</f>
        <v>#N/A</v>
      </c>
      <c r="N250" s="509" t="str">
        <f>IFERROR(VLOOKUP(G250,_Lookup_Heat_Type_Table_New,2,FALSE),"")</f>
        <v/>
      </c>
      <c r="O250" s="509">
        <f>IF(__Retrofit_TI_NC=1,CONCATENATE("TI ",G250),IF(__Retrofit_TI_NC=2,CONCATENATE("NC ",G250),G250))</f>
        <v>0</v>
      </c>
      <c r="P250" s="1396" t="s">
        <v>352</v>
      </c>
      <c r="Q250" s="1396"/>
      <c r="R250" s="673"/>
      <c r="S250" s="1429"/>
      <c r="T250" s="675"/>
      <c r="U250" s="1496"/>
      <c r="V250" s="1497"/>
      <c r="W250" s="1497"/>
      <c r="X250" s="1497"/>
      <c r="Y250" s="1497"/>
      <c r="Z250" s="1497"/>
      <c r="AA250" s="1497"/>
      <c r="AB250" s="1497"/>
      <c r="AC250" s="1497"/>
      <c r="AD250" s="1498"/>
      <c r="AE250" s="675"/>
      <c r="AF250" s="1397"/>
      <c r="AG250" s="1397"/>
      <c r="AH250" s="1397"/>
      <c r="AI250" s="1397"/>
      <c r="AJ250" s="1434"/>
      <c r="AK250" s="1436"/>
      <c r="AL250" s="1438"/>
      <c r="AM250" s="1441"/>
      <c r="AN250" s="1442"/>
      <c r="AO250" s="1447"/>
      <c r="AP250" s="1447"/>
      <c r="AQ250" s="1448"/>
      <c r="AR250" s="1452"/>
      <c r="AS250" s="1455"/>
      <c r="AT250" s="1458"/>
      <c r="AU250" s="516"/>
      <c r="AV250" s="1479"/>
      <c r="AW250" s="1479"/>
      <c r="BC250" s="38"/>
      <c r="BD250" s="38"/>
      <c r="BE250" s="38"/>
      <c r="BF250" s="38"/>
      <c r="BG250" s="38"/>
      <c r="BH250" s="38"/>
      <c r="BI250" s="38"/>
      <c r="BJ250" s="38"/>
      <c r="BK250" s="38"/>
      <c r="BL250" s="38"/>
      <c r="BM250" s="38"/>
      <c r="BN250" s="38"/>
      <c r="BO250" s="38"/>
      <c r="BP250" s="38"/>
      <c r="BQ250" s="38"/>
      <c r="BR250" s="38"/>
      <c r="BS250" s="38"/>
      <c r="BT250" s="38"/>
      <c r="BU250" s="38"/>
      <c r="BV250" s="38"/>
      <c r="BW250" s="38"/>
      <c r="BX250" s="38"/>
      <c r="BY250" s="38"/>
      <c r="BZ250" s="38"/>
      <c r="CA250" s="38"/>
      <c r="CB250" s="38"/>
      <c r="CC250" s="38"/>
      <c r="CD250" s="38"/>
      <c r="CE250" s="38"/>
      <c r="CF250" s="38"/>
      <c r="CG250" s="38"/>
      <c r="CH250" s="38"/>
      <c r="CI250" s="38"/>
      <c r="CM250" s="1352"/>
      <c r="CN250" s="1352"/>
      <c r="CO250" s="1416"/>
      <c r="CP250" s="1418"/>
      <c r="CR250" s="1386"/>
      <c r="CS250" s="1355"/>
      <c r="CT250" s="1355"/>
      <c r="CU250" s="1355"/>
      <c r="CV250" s="1372"/>
      <c r="CW250" s="1372"/>
      <c r="CX250" s="1371"/>
      <c r="CY250" s="1486"/>
      <c r="CZ250" s="1486"/>
      <c r="DA250" s="1486"/>
      <c r="DC250" s="1355"/>
      <c r="DD250" s="1461"/>
      <c r="DE250" s="1355"/>
      <c r="DF250" s="1407"/>
      <c r="DG250" s="1372"/>
      <c r="DH250" s="1369"/>
      <c r="DJ250" s="1484"/>
      <c r="DL250" s="1419"/>
      <c r="DN250" s="1403"/>
      <c r="DO250" s="1405"/>
      <c r="DP250" s="1354"/>
      <c r="DQ250" s="1405"/>
      <c r="DR250" s="1403"/>
      <c r="DS250" s="1489"/>
      <c r="DU250" s="1403"/>
      <c r="DV250" s="1405"/>
      <c r="DW250" s="1403"/>
      <c r="DX250" s="1403"/>
      <c r="DZ250" s="1481"/>
      <c r="EA250" s="1481"/>
      <c r="EC250" s="1482"/>
      <c r="ED250" s="1369"/>
      <c r="EE250" s="1371"/>
      <c r="EF250" s="1369"/>
      <c r="EG250" s="1369"/>
      <c r="EH250" s="1374"/>
      <c r="EI250" s="1374"/>
      <c r="EJ250" s="1363"/>
      <c r="EK250" s="1376"/>
      <c r="EL250" s="1376"/>
      <c r="EM250" s="1362"/>
      <c r="EN250" s="1362"/>
      <c r="EO250" s="1363"/>
      <c r="EP250" s="1363"/>
      <c r="EQ250" s="1363"/>
      <c r="ES250" s="1403"/>
      <c r="EU250" s="1411"/>
      <c r="EV250" s="1411"/>
      <c r="EW250" s="1411"/>
      <c r="EX250" s="1411"/>
      <c r="EY250" s="1411"/>
      <c r="EZ250" s="1413"/>
      <c r="FB250" s="1365"/>
      <c r="FD250" s="1354"/>
      <c r="FE250" s="1354"/>
      <c r="FF250" s="138"/>
      <c r="FI250" s="1357"/>
      <c r="FJ250" s="1357"/>
      <c r="FK250" s="1365"/>
      <c r="FL250" s="1365"/>
      <c r="FM250" s="1365"/>
      <c r="FO250" s="1361"/>
      <c r="FP250" s="1361"/>
      <c r="FQ250" s="1366"/>
      <c r="FR250" s="1368"/>
      <c r="FS250" s="1361"/>
      <c r="FT250" s="1368"/>
      <c r="FU250" s="1360"/>
      <c r="FW250" s="1352"/>
      <c r="FX250" s="1352"/>
      <c r="FY250" s="1352"/>
      <c r="FZ250" s="1352"/>
      <c r="GA250" s="1352"/>
      <c r="GB250" s="1352"/>
      <c r="GC250" s="1352"/>
      <c r="GD250" s="1352"/>
      <c r="GE250" s="759"/>
      <c r="GF250" s="1035"/>
      <c r="GG250" s="1385"/>
      <c r="GI250" s="1384" t="b">
        <f>IF(AND(GL250=TRUE,GM250=TRUE),TRUE,FALSE)</f>
        <v>0</v>
      </c>
      <c r="GJ250" s="1379" t="b">
        <f>IFERROR(IF(__Retrofit_TI_NC=2,TRUE,IF(AR249="Yes",TRUE,FALSE)),FALSE)</f>
        <v>1</v>
      </c>
      <c r="GL250" s="1379" t="b">
        <f>IFERROR(IF(GL249=1,TRUE,FALSE),FALSE)</f>
        <v>0</v>
      </c>
      <c r="GM250" s="1379" t="b">
        <f>IFERROR(IF(GM249=GM$14,TRUE,FALSE),FALSE)</f>
        <v>0</v>
      </c>
      <c r="HC250" s="1379" t="b">
        <f>IFERROR(IF(M250=1,TRUE,FALSE),FALSE)</f>
        <v>0</v>
      </c>
      <c r="HD250" s="1379" t="b">
        <f>IFERROR(IF(M251=1,TRUE,FALSE),FALSE)</f>
        <v>0</v>
      </c>
      <c r="HE250" s="1379" t="b">
        <f>IFERROR(IF(__Retrofit_TI_NC&lt;&gt;0,TRUE,IFERROR(IF(VLOOKUP(U250,Fixtures_Existing_List,2,FALSE)&lt;&gt;"",TRUE,FALSE),FALSE)),FALSE)</f>
        <v>0</v>
      </c>
      <c r="HF250" s="1379" t="b">
        <f>IFERROR(IF(VLOOKUP(U251,Fixtures_Proposed_List,2,FALSE)&lt;&gt;"",TRUE,FALSE),FALSE)</f>
        <v>0</v>
      </c>
      <c r="HG250" s="1379" t="b">
        <f>IF(AND(__Retrofit_TI_NC=2,EZ249=TRUE),FALSE,TRUE)</f>
        <v>1</v>
      </c>
      <c r="HH250" s="1379" t="b">
        <f>GG249</f>
        <v>1</v>
      </c>
      <c r="HI250" s="1384" t="b">
        <f>IF(ISERROR(MATCH(FB249,_Control_Match[],0))=TRUE,FALSE,TRUE)</f>
        <v>0</v>
      </c>
      <c r="HJ250" s="1384" t="b">
        <f>IFERROR(IF(EU249&lt;&gt;EV249,FALSE,TRUE),FALSE)</f>
        <v>0</v>
      </c>
      <c r="HK250" s="1384" t="b">
        <f>IFERROR(IF(EU251&lt;&gt;EV251,FALSE,TRUE),FALSE)</f>
        <v>0</v>
      </c>
      <c r="HL250" s="1379" t="b">
        <f>IFERROR(IF(CN249="Exterior",TRUE,IF(OR(AND(FJ249=0,EW251&gt;4),AND(FJ249=4,EW251&gt;4,EW251&lt;7)),FALSE,TRUE)),FALSE)</f>
        <v>0</v>
      </c>
      <c r="HM250" s="1379" t="b">
        <f>IFERROR(IF(AND(FL251=7,EZ249=TRUE),FALSE,TRUE),FALSE)</f>
        <v>0</v>
      </c>
      <c r="HN250" s="1379" t="b">
        <f>IFERROR(IF(AND(T251&lt;&gt;AE251,AF251="Interior LLLC")=TRUE,FALSE,TRUE),FALSE)</f>
        <v>1</v>
      </c>
      <c r="HO250" s="1379" t="b">
        <f>IFERROR(IF(OR(AF251=Lookup!AU$13,AF251=Lookup!AU$14)=TRUE,IF(AE251&gt;T251,FALSE,TRUE),TRUE),FALSE)</f>
        <v>1</v>
      </c>
      <c r="HP250" s="1379" t="b">
        <f>IFERROR(IF(__Retrofit_TI_NC=2,IF(EW251&lt;EW249,FALSE,TRUE),TRUE),FALSE)</f>
        <v>1</v>
      </c>
      <c r="HQ250" s="1379" t="b">
        <f>IF(CN249="Interior",IG$6,TRUE)</f>
        <v>1</v>
      </c>
      <c r="HR250" s="1379" t="b">
        <f>IF(CN249="Exterior",IG$8,TRUE)</f>
        <v>1</v>
      </c>
      <c r="HS250" s="1379" t="b">
        <f>IFERROR(IF(__Retrofit_TI_NC&lt;&gt;0,IF(AW249&lt;AV249,FALSE,TRUE),TRUE),FALSE)</f>
        <v>1</v>
      </c>
      <c r="HT250" s="1379" t="b">
        <f>IFERROR(IF(AND(G250="Exterior",R250&gt;4200),FALSE,TRUE),FALSE)</f>
        <v>1</v>
      </c>
      <c r="HU250" s="1379" t="b">
        <f>IFERROR(IF(AB252/AB249&lt;HU$18,FALSE,TRUE),FALSE)</f>
        <v>0</v>
      </c>
      <c r="HW250" s="1382"/>
      <c r="HX250" s="1378"/>
      <c r="HY250" s="1377" t="str">
        <f>VLOOKUP(HW252,_Error_Table,4,FALSE)</f>
        <v>White</v>
      </c>
      <c r="HZ250" s="436"/>
      <c r="IA250" s="1386"/>
      <c r="IB250" s="1380"/>
      <c r="IC250" s="1379"/>
      <c r="IF250" s="1380"/>
      <c r="IG250" s="1382"/>
      <c r="IH250" s="1382"/>
      <c r="II250" s="1382"/>
      <c r="IK250" s="1351"/>
      <c r="IL250" s="1351"/>
      <c r="IM250" s="1351"/>
      <c r="IN250" s="1351"/>
      <c r="IO250" s="1351"/>
      <c r="IP250" s="1351"/>
    </row>
    <row r="251" spans="1:250" s="82" customFormat="1" ht="14.95" customHeight="1" thickTop="1" thickBot="1">
      <c r="A251" s="82">
        <f>ROW()</f>
        <v>251</v>
      </c>
      <c r="B251" s="1421"/>
      <c r="C251" s="1422"/>
      <c r="D251" s="1423"/>
      <c r="E251" s="1393" t="s">
        <v>245</v>
      </c>
      <c r="F251" s="1394"/>
      <c r="G251" s="1398"/>
      <c r="H251" s="1399"/>
      <c r="I251" s="1399"/>
      <c r="J251" s="1399"/>
      <c r="K251" s="1399"/>
      <c r="L251" s="1400"/>
      <c r="M251" s="509">
        <f>IFERROR(IF(IF(__Retrofit_TI_NC&lt;&gt;0,IF(CN249="Interior",MATCH(G251,Lookup_Interior_New,0),MATCH(G251,Lookup_Exterior_New,0)),IF(CN249="Interior",MATCH(G251,Lookup_Interior,0),MATCH(G251,Lookup_Exterior_Areas,0)))&gt;0,1,0),0)</f>
        <v>0</v>
      </c>
      <c r="N251" s="509" t="e">
        <f>IF(__Retrofit_TI_NC=1,
VLOOKUP(G251,'Space Table'!$B$3:$L$160,4,FALSE),
IF(__Retrofit_TI_NC=2,VLOOKUP(G251,'Space Table'!$B$3:$L$160,5,FALSE),VLOOKUP(G251,'Space Table'!$B$3:$L$160,5,FALSE)))</f>
        <v>#N/A</v>
      </c>
      <c r="O251" s="509">
        <f>G251</f>
        <v>0</v>
      </c>
      <c r="P251" s="1394" t="s">
        <v>355</v>
      </c>
      <c r="Q251" s="1394"/>
      <c r="R251" s="674"/>
      <c r="S251" s="1401" t="s">
        <v>284</v>
      </c>
      <c r="T251" s="672"/>
      <c r="U251" s="1499"/>
      <c r="V251" s="1500"/>
      <c r="W251" s="1500"/>
      <c r="X251" s="1500"/>
      <c r="Y251" s="1500"/>
      <c r="Z251" s="1500"/>
      <c r="AA251" s="1500"/>
      <c r="AB251" s="1501"/>
      <c r="AC251" s="1501"/>
      <c r="AD251" s="1502"/>
      <c r="AE251" s="672"/>
      <c r="AF251" s="1474"/>
      <c r="AG251" s="1474"/>
      <c r="AH251" s="1474"/>
      <c r="AI251" s="1474"/>
      <c r="AJ251" s="1475">
        <f>DF251</f>
        <v>0</v>
      </c>
      <c r="AK251" s="1470" t="str">
        <f>IFERROR(ROUND(AJ251*AC252,0),"")</f>
        <v/>
      </c>
      <c r="AL251" s="1472">
        <f>IFERROR(IF(HW249=FALSE,0,AC252-AK251),0)</f>
        <v>0</v>
      </c>
      <c r="AM251" s="1441"/>
      <c r="AN251" s="1442"/>
      <c r="AO251" s="1447"/>
      <c r="AP251" s="1447"/>
      <c r="AQ251" s="1448"/>
      <c r="AR251" s="1452"/>
      <c r="AS251" s="1455"/>
      <c r="AT251" s="1458"/>
      <c r="AU251" s="516"/>
      <c r="AV251" s="1479"/>
      <c r="AW251" s="1479"/>
      <c r="BC251" s="38"/>
      <c r="BD251" s="38"/>
      <c r="BE251" s="38"/>
      <c r="BF251" s="38"/>
      <c r="BG251" s="38"/>
      <c r="BH251" s="38"/>
      <c r="BI251" s="38"/>
      <c r="BJ251" s="38"/>
      <c r="BK251" s="38"/>
      <c r="BL251" s="38"/>
      <c r="BM251" s="38"/>
      <c r="BN251" s="38"/>
      <c r="BO251" s="38"/>
      <c r="BP251" s="38"/>
      <c r="BQ251" s="38"/>
      <c r="BR251" s="38"/>
      <c r="BS251" s="38"/>
      <c r="BT251" s="38"/>
      <c r="BU251" s="38"/>
      <c r="BV251" s="38"/>
      <c r="BW251" s="38"/>
      <c r="BX251" s="38"/>
      <c r="BY251" s="38"/>
      <c r="BZ251" s="38"/>
      <c r="CA251" s="38"/>
      <c r="CB251" s="38"/>
      <c r="CC251" s="38"/>
      <c r="CD251" s="38"/>
      <c r="CE251" s="38"/>
      <c r="CF251" s="38"/>
      <c r="CG251" s="38"/>
      <c r="CH251" s="38"/>
      <c r="CI251" s="38"/>
      <c r="CM251" s="1352"/>
      <c r="CN251" s="1352"/>
      <c r="CO251" s="1415" t="str">
        <f>CN249</f>
        <v/>
      </c>
      <c r="CP251" s="1417" t="e">
        <f>CP249</f>
        <v>#N/A</v>
      </c>
      <c r="CR251" s="1386" t="s">
        <v>284</v>
      </c>
      <c r="CS251" s="1353">
        <f>IF(HW249=TRUE,T251,0)</f>
        <v>0</v>
      </c>
      <c r="CT251" s="1353" t="str">
        <f>IF(HW249=TRUE,U251,"")</f>
        <v/>
      </c>
      <c r="CU251" s="1373">
        <f>IF(HW249=TRUE,U252,0)</f>
        <v>0</v>
      </c>
      <c r="CV251" s="1370">
        <f>IF(HW249=TRUE,AB252,0)</f>
        <v>0</v>
      </c>
      <c r="CW251" s="1370">
        <f>IF(HW249=TRUE,AC252,0)</f>
        <v>0</v>
      </c>
      <c r="CX251" s="1371"/>
      <c r="CY251" s="1486"/>
      <c r="CZ251" s="1486"/>
      <c r="DA251" s="1486"/>
      <c r="DC251" s="1353">
        <f>IF(HW249=TRUE,AE251,0)</f>
        <v>0</v>
      </c>
      <c r="DD251" s="1353" t="str">
        <f>IF(HW249=TRUE,AF251,"")</f>
        <v/>
      </c>
      <c r="DE251" s="1373">
        <f>AF252</f>
        <v>0</v>
      </c>
      <c r="DF251" s="1406">
        <f>IFERROR(IF(FL251=3,IK251,IF(FL251=4,IL251,IF(FL251=5,IM251,IF(FL251=6,IN251,IF(FL251=7,IO251,IF(FL251=8,IP251,0)))))),0)</f>
        <v>0</v>
      </c>
      <c r="DG251" s="1370">
        <f>IF(HW249=TRUE,AK251,0)</f>
        <v>0</v>
      </c>
      <c r="DH251" s="1369"/>
      <c r="DK251" s="1483">
        <f>IFERROR(CW251-DG251,0)</f>
        <v>0</v>
      </c>
      <c r="DL251" s="1420"/>
      <c r="DN251" s="1403"/>
      <c r="DO251" s="1477" t="str">
        <f>DN249</f>
        <v/>
      </c>
      <c r="DP251" s="1354"/>
      <c r="DQ251" s="1477" t="str">
        <f>IF(DP249=7,"LLLC","")</f>
        <v/>
      </c>
      <c r="DR251" s="1403"/>
      <c r="DS251" s="1489"/>
      <c r="DU251" s="1403"/>
      <c r="DV251" s="1404" t="str">
        <f>DU249</f>
        <v/>
      </c>
      <c r="DW251" s="1403"/>
      <c r="DX251" s="1403"/>
      <c r="DZ251" s="1481"/>
      <c r="EA251" s="1481"/>
      <c r="EC251" s="1482"/>
      <c r="ED251" s="1369"/>
      <c r="EE251" s="1371"/>
      <c r="EF251" s="1369"/>
      <c r="EG251" s="1369"/>
      <c r="EH251" s="1374"/>
      <c r="EI251" s="1374"/>
      <c r="EJ251" s="1363"/>
      <c r="EK251" s="1376"/>
      <c r="EL251" s="1376"/>
      <c r="EM251" s="1362"/>
      <c r="EN251" s="1362"/>
      <c r="EO251" s="1363"/>
      <c r="EP251" s="1363"/>
      <c r="EQ251" s="1363"/>
      <c r="ES251" s="1403"/>
      <c r="EU251" s="1411" t="e">
        <f>VLOOKUP(CP251,'Space Table'!$B$3:$L$160,8,FALSE)</f>
        <v>#N/A</v>
      </c>
      <c r="EV251" s="1411" t="e">
        <f>IF(EY251="Yes",VLOOKUP(AF251,Lookup_Control_Type_Table2,4,FALSE),VLOOKUP(AF251,Lookup_Control_Type_Table2,3,FALSE))</f>
        <v>#N/A</v>
      </c>
      <c r="EW251" s="1411" t="e">
        <f>VLOOKUP(AF251,Lookup!AU$3:AV$15,2,FALSE)</f>
        <v>#N/A</v>
      </c>
      <c r="EX251" s="1411" t="e">
        <f>VLOOKUP(EU249,Lookup_Control_Type_Table,2,FALSE)</f>
        <v>#N/A</v>
      </c>
      <c r="EY251" s="1411" t="e">
        <f>VLOOKUP(CP251,'Space Table'!$B$3:$L$160,7,FALSE)</f>
        <v>#N/A</v>
      </c>
      <c r="EZ251" s="1413"/>
      <c r="FB251" s="1365" t="str">
        <f>CONCATENATE(CN249," - ",AF251)</f>
        <v xml:space="preserve"> - </v>
      </c>
      <c r="FD251" s="1354"/>
      <c r="FE251" s="1354"/>
      <c r="FF251" s="138"/>
      <c r="FI251" s="1356" t="str">
        <f>IF(CN249="Exterior","Not Daylighted",G252)</f>
        <v>Not Daylighted</v>
      </c>
      <c r="FJ251" s="1356">
        <f>VLOOKUP(FI251,_Daylight_Table_Codes,2,FALSE)</f>
        <v>0</v>
      </c>
      <c r="FK251" s="1365">
        <f>AF251</f>
        <v>0</v>
      </c>
      <c r="FL251" s="1365" t="e">
        <f>VLOOKUP(FK251,_Control_Table,2,FALSE)</f>
        <v>#N/A</v>
      </c>
      <c r="FM251" s="1365" t="e">
        <f>IF(AND(FP251&gt;0,FK251="Occupancy Sensor"),"Daylight + Occupancy",IF(AND(FP251&gt;0,FL251&lt;4),"Interior Daylight Dimming",FK251))</f>
        <v>#N/A</v>
      </c>
      <c r="FO251" s="1364">
        <f>IF(CN249="Interior",VLOOKUP(CP249,Control_Savings_Interior,5,FALSE),0)</f>
        <v>0</v>
      </c>
      <c r="FP251" s="1361">
        <f>IF(CN251="Exterior",0,IF(FJ251=2,0.5,IF(OR(FJ251=1,FJ251=3),1,0)))</f>
        <v>0</v>
      </c>
      <c r="FQ251" s="1366">
        <f>IF(R250&gt;FO$37,(FO251*(FO$37/R250)),FO251)*FP251</f>
        <v>0</v>
      </c>
      <c r="FR251" s="1364">
        <f>DF251</f>
        <v>0</v>
      </c>
      <c r="FS251" s="1364">
        <f>ROUND(FR251+((1-FR251)*FQ251),2)</f>
        <v>0</v>
      </c>
      <c r="FT251" s="1364">
        <f>IF(__Retrofit_TI_NC=2,FS251,FR251)</f>
        <v>0</v>
      </c>
      <c r="FU251" s="1360">
        <f>IF(CO251="Interior",VLOOKUP(CP251,Control_Savings_Interior,4,FALSE),0)</f>
        <v>0</v>
      </c>
      <c r="FW251" s="1352"/>
      <c r="FX251" s="1352"/>
      <c r="FY251" s="1352"/>
      <c r="FZ251" s="1352"/>
      <c r="GA251" s="1352"/>
      <c r="GB251" s="1352"/>
      <c r="GC251" s="1352"/>
      <c r="GD251" s="1352"/>
      <c r="GE251" s="759" t="b">
        <f>IF(ISNUMBER(SEARCH("TLED",U251)),TRUE,FALSE)</f>
        <v>0</v>
      </c>
      <c r="GF251" s="1035" t="str">
        <f>IFERROR(VLOOKUP(U251,Fixtures!DM$93:DR$142,6,FALSE),"")</f>
        <v/>
      </c>
      <c r="GG251" s="1385"/>
      <c r="GI251" s="1383"/>
      <c r="GJ251" s="1379"/>
      <c r="GL251" s="1379"/>
      <c r="GM251" s="1379"/>
      <c r="HC251" s="1379"/>
      <c r="HD251" s="1379"/>
      <c r="HE251" s="1379"/>
      <c r="HF251" s="1379"/>
      <c r="HG251" s="1379"/>
      <c r="HH251" s="1379"/>
      <c r="HI251" s="1383"/>
      <c r="HJ251" s="1383"/>
      <c r="HK251" s="1383"/>
      <c r="HL251" s="1379"/>
      <c r="HM251" s="1379"/>
      <c r="HN251" s="1379"/>
      <c r="HO251" s="1379"/>
      <c r="HP251" s="1379"/>
      <c r="HQ251" s="1379"/>
      <c r="HR251" s="1379"/>
      <c r="HS251" s="1379"/>
      <c r="HT251" s="1379"/>
      <c r="HU251" s="1379"/>
      <c r="HW251" s="1383"/>
      <c r="HX251" s="1384" t="b">
        <f>HW249</f>
        <v>0</v>
      </c>
      <c r="HY251" s="1378"/>
      <c r="HZ251" s="436"/>
      <c r="IA251" s="1386"/>
      <c r="IB251" s="1380">
        <f>IF(IA249=TRUE,AC252,0)</f>
        <v>0</v>
      </c>
      <c r="IC251" s="1379"/>
      <c r="IF251" s="1380" t="e">
        <f>ROUND(T251*AB252*N250*R250/1000,0)</f>
        <v>#VALUE!</v>
      </c>
      <c r="IG251" s="1382"/>
      <c r="IH251" s="1384" t="e">
        <f>ROUND(T251*AB252*N250*R250/1000,0)</f>
        <v>#VALUE!</v>
      </c>
      <c r="II251" s="1382"/>
      <c r="IK251" s="1351" t="e">
        <f>IF($CO251="interior",IL251/2,VLOOKUP($CP251,Control_Savings_Exterior,IK$30,FALSE))</f>
        <v>#N/A</v>
      </c>
      <c r="IL251" s="1351" t="e">
        <f>IF($CO251="interior",VLOOKUP($CP251,Control_Savings_Interior,IL$30,FALSE),VLOOKUP($CP251,Control_Savings_Exterior,IL$30,FALSE))</f>
        <v>#N/A</v>
      </c>
      <c r="IM251" s="1351" t="e">
        <f>IF($CO251="interior",IF(R250&gt;FO$37,(IM$28*(FO$37/R250)),IM$28)*FP251,VLOOKUP($CP251,Control_Savings_Exterior,IM$30,FALSE))</f>
        <v>#N/A</v>
      </c>
      <c r="IN251" s="1351" t="e">
        <f>IF($CO251="interior",ROUND(((1-IL251)*IM251)+IL251,2),VLOOKUP($CP251,Control_Savings_Exterior,IN$30,FALSE))</f>
        <v>#N/A</v>
      </c>
      <c r="IO251" s="1351" t="e">
        <f>IF($CO251="interior", ROUND(((1-IL251)*(IM251*(1-IP$28)))+IP251,2), VLOOKUP($CP251,Control_Savings_Exterior,IO$30,FALSE))</f>
        <v>#N/A</v>
      </c>
      <c r="IP251" s="1351">
        <f>IF($CO251="interior",ROUND(((1-IL251)*IP$28)+IL251,2),0)</f>
        <v>0</v>
      </c>
    </row>
    <row r="252" spans="1:250" s="82" customFormat="1" ht="14.95" customHeight="1" thickTop="1" thickBot="1">
      <c r="B252" s="1421"/>
      <c r="C252" s="1422"/>
      <c r="D252" s="1423"/>
      <c r="E252" s="1462" t="s">
        <v>357</v>
      </c>
      <c r="F252" s="1463"/>
      <c r="G252" s="1464" t="s">
        <v>362</v>
      </c>
      <c r="H252" s="1465"/>
      <c r="I252" s="1465"/>
      <c r="J252" s="1465"/>
      <c r="K252" s="1465"/>
      <c r="L252" s="1466"/>
      <c r="M252" s="669">
        <f>IFERROR(VLOOKUP(G252,_Daylight_Table[],2,FALSE),0)</f>
        <v>0</v>
      </c>
      <c r="N252" s="670"/>
      <c r="O252" s="669" t="e">
        <f>VLOOKUP(G251,'Space Table'!$B$3:$L$160,11,FALSE)</f>
        <v>#N/A</v>
      </c>
      <c r="P252" s="1408"/>
      <c r="Q252" s="1409"/>
      <c r="R252" s="1409"/>
      <c r="S252" s="1402"/>
      <c r="T252" s="671" t="s">
        <v>281</v>
      </c>
      <c r="U252" s="1467" t="str">
        <f>IFERROR(VLOOKUP(U251,Fixtures!DM$93:DP$142,4,FALSE),"")</f>
        <v/>
      </c>
      <c r="V252" s="1468"/>
      <c r="W252" s="1468"/>
      <c r="X252" s="1468"/>
      <c r="Y252" s="1468"/>
      <c r="Z252" s="1468"/>
      <c r="AA252" s="1468"/>
      <c r="AB252" s="1046" t="str">
        <f>IFERROR(VLOOKUP(U251,Fixtures_Proposed_List,2,FALSE),"")</f>
        <v/>
      </c>
      <c r="AC252" s="1036" t="str">
        <f>IFERROR(ROUND(T251*AB252*N250*R250/1000,0),"")</f>
        <v/>
      </c>
      <c r="AD252" s="1037" t="str">
        <f>IFERROR(ROUND(T251*AB252/1000,2),"")</f>
        <v/>
      </c>
      <c r="AE252" s="1045" t="s">
        <v>281</v>
      </c>
      <c r="AF252" s="1469"/>
      <c r="AG252" s="1469"/>
      <c r="AH252" s="1469"/>
      <c r="AI252" s="1469"/>
      <c r="AJ252" s="1476"/>
      <c r="AK252" s="1471"/>
      <c r="AL252" s="1473"/>
      <c r="AM252" s="1443"/>
      <c r="AN252" s="1444"/>
      <c r="AO252" s="1449"/>
      <c r="AP252" s="1449"/>
      <c r="AQ252" s="1450"/>
      <c r="AR252" s="1453"/>
      <c r="AS252" s="1456"/>
      <c r="AT252" s="1459"/>
      <c r="AU252" s="517"/>
      <c r="AV252" s="1480"/>
      <c r="AW252" s="1480"/>
      <c r="BC252" s="38"/>
      <c r="BD252" s="38"/>
      <c r="BE252" s="38"/>
      <c r="BF252" s="38"/>
      <c r="BG252" s="38"/>
      <c r="BH252" s="38"/>
      <c r="BI252" s="38"/>
      <c r="BJ252" s="38"/>
      <c r="BK252" s="38"/>
      <c r="BL252" s="38"/>
      <c r="BM252" s="38"/>
      <c r="BN252" s="38"/>
      <c r="BO252" s="38"/>
      <c r="BP252" s="38"/>
      <c r="BQ252" s="38"/>
      <c r="BR252" s="38"/>
      <c r="BS252" s="38"/>
      <c r="BT252" s="38"/>
      <c r="BU252" s="38"/>
      <c r="BV252" s="38"/>
      <c r="BW252" s="38"/>
      <c r="BX252" s="38"/>
      <c r="BY252" s="38"/>
      <c r="BZ252" s="38"/>
      <c r="CA252" s="38"/>
      <c r="CB252" s="38"/>
      <c r="CC252" s="38"/>
      <c r="CD252" s="38"/>
      <c r="CE252" s="38"/>
      <c r="CF252" s="38"/>
      <c r="CG252" s="38"/>
      <c r="CH252" s="38"/>
      <c r="CI252" s="38"/>
      <c r="CM252" s="1352"/>
      <c r="CN252" s="1352"/>
      <c r="CO252" s="1416"/>
      <c r="CP252" s="1418"/>
      <c r="CR252" s="1386"/>
      <c r="CS252" s="1355"/>
      <c r="CT252" s="1355"/>
      <c r="CU252" s="1375"/>
      <c r="CV252" s="1372"/>
      <c r="CW252" s="1372"/>
      <c r="CX252" s="1372"/>
      <c r="CY252" s="1487"/>
      <c r="CZ252" s="1487"/>
      <c r="DA252" s="1487"/>
      <c r="DC252" s="1355"/>
      <c r="DD252" s="1355"/>
      <c r="DE252" s="1375"/>
      <c r="DF252" s="1407"/>
      <c r="DG252" s="1372"/>
      <c r="DH252" s="1369"/>
      <c r="DK252" s="1484"/>
      <c r="DL252" s="1420"/>
      <c r="DN252" s="1403"/>
      <c r="DO252" s="1405"/>
      <c r="DP252" s="1355"/>
      <c r="DQ252" s="1405"/>
      <c r="DR252" s="1403"/>
      <c r="DS252" s="1489"/>
      <c r="DU252" s="1403"/>
      <c r="DV252" s="1405"/>
      <c r="DW252" s="1403"/>
      <c r="DX252" s="1403"/>
      <c r="DZ252" s="1481"/>
      <c r="EA252" s="1481"/>
      <c r="EC252" s="1482"/>
      <c r="ED252" s="1369"/>
      <c r="EE252" s="1372"/>
      <c r="EF252" s="1369"/>
      <c r="EG252" s="1369"/>
      <c r="EH252" s="1375"/>
      <c r="EI252" s="1375"/>
      <c r="EJ252" s="1363"/>
      <c r="EK252" s="1376"/>
      <c r="EL252" s="1376"/>
      <c r="EM252" s="1362"/>
      <c r="EN252" s="1362"/>
      <c r="EO252" s="1363"/>
      <c r="EP252" s="1363"/>
      <c r="EQ252" s="1363"/>
      <c r="ES252" s="1403"/>
      <c r="EU252" s="1488"/>
      <c r="EV252" s="1488"/>
      <c r="EW252" s="1488"/>
      <c r="EX252" s="1488"/>
      <c r="EY252" s="1488"/>
      <c r="EZ252" s="1414"/>
      <c r="FB252" s="1365"/>
      <c r="FD252" s="1355"/>
      <c r="FE252" s="1355"/>
      <c r="FF252" s="138"/>
      <c r="FI252" s="1357"/>
      <c r="FJ252" s="1357"/>
      <c r="FK252" s="1365"/>
      <c r="FL252" s="1365"/>
      <c r="FM252" s="1365"/>
      <c r="FO252" s="1361"/>
      <c r="FP252" s="1361"/>
      <c r="FQ252" s="1366"/>
      <c r="FR252" s="1361"/>
      <c r="FS252" s="1361"/>
      <c r="FT252" s="1361"/>
      <c r="FU252" s="1360"/>
      <c r="FW252" s="1352"/>
      <c r="FX252" s="1352"/>
      <c r="FY252" s="1352"/>
      <c r="FZ252" s="1352"/>
      <c r="GA252" s="1352"/>
      <c r="GB252" s="1352"/>
      <c r="GC252" s="1352"/>
      <c r="GD252" s="1352"/>
      <c r="GE252" s="759"/>
      <c r="GF252" s="1035"/>
      <c r="GG252" s="1385"/>
      <c r="GJ252" s="1034">
        <f>IF(GJ250=TRUE,0,GJ$16)</f>
        <v>0</v>
      </c>
      <c r="GL252" s="1034">
        <f>IF(GL250=TRUE,0,GL$16)</f>
        <v>36</v>
      </c>
      <c r="GM252" s="1034">
        <f>IF(GM250=TRUE,0,GM$16)</f>
        <v>35</v>
      </c>
      <c r="GN252" s="436"/>
      <c r="GO252" s="436"/>
      <c r="GP252" s="436"/>
      <c r="GQ252" s="436"/>
      <c r="GR252" s="436"/>
      <c r="HC252" s="1034">
        <f t="shared" ref="HC252:HH252" si="174">IF(HC250=TRUE,0,HC$16)</f>
        <v>19</v>
      </c>
      <c r="HD252" s="1034">
        <f t="shared" si="174"/>
        <v>18</v>
      </c>
      <c r="HE252" s="1034">
        <f t="shared" si="174"/>
        <v>17</v>
      </c>
      <c r="HF252" s="1034">
        <f t="shared" si="174"/>
        <v>16</v>
      </c>
      <c r="HG252" s="1034">
        <f t="shared" si="174"/>
        <v>0</v>
      </c>
      <c r="HH252" s="1034">
        <f t="shared" si="174"/>
        <v>0</v>
      </c>
      <c r="HI252" s="1034">
        <f>IF(HI250=TRUE,0,HI$16)</f>
        <v>13</v>
      </c>
      <c r="HJ252" s="1034">
        <f t="shared" ref="HJ252:HL252" si="175">IF(HJ250=TRUE,0,HJ$16)</f>
        <v>12</v>
      </c>
      <c r="HK252" s="1034">
        <f t="shared" si="175"/>
        <v>11</v>
      </c>
      <c r="HL252" s="1034">
        <f t="shared" si="175"/>
        <v>10</v>
      </c>
      <c r="HM252" s="1034">
        <f>IF(HM250=TRUE,0,HM$16)</f>
        <v>9</v>
      </c>
      <c r="HN252" s="1034">
        <f t="shared" ref="HN252:HR252" si="176">IF(HN250=TRUE,0,HN$16)</f>
        <v>0</v>
      </c>
      <c r="HO252" s="1034">
        <f t="shared" si="176"/>
        <v>0</v>
      </c>
      <c r="HP252" s="1034">
        <f t="shared" si="176"/>
        <v>0</v>
      </c>
      <c r="HQ252" s="1034">
        <f t="shared" si="176"/>
        <v>0</v>
      </c>
      <c r="HR252" s="1034">
        <f t="shared" si="176"/>
        <v>0</v>
      </c>
      <c r="HS252" s="1034">
        <f>IF(HS250=TRUE,0,HS$16)</f>
        <v>0</v>
      </c>
      <c r="HT252" s="1034">
        <f t="shared" ref="HT252" si="177">IF(HT250=TRUE,0,HT$16)</f>
        <v>0</v>
      </c>
      <c r="HU252" s="1034">
        <f>IF(HU250=TRUE,0,HU$16)</f>
        <v>1</v>
      </c>
      <c r="HW252" s="1034">
        <f>IF(GL250=FALSE,GL252,IF(GM250=FALSE,GM252,MAX(GJ252:HU252)))</f>
        <v>36</v>
      </c>
      <c r="HX252" s="1383"/>
      <c r="HY252" s="241" t="str">
        <f>VLOOKUP(HW252,_Error_Table,3,FALSE)</f>
        <v xml:space="preserve"> </v>
      </c>
      <c r="HZ252" s="241"/>
      <c r="IA252" s="1386"/>
      <c r="IB252" s="1380"/>
      <c r="IC252" s="1379"/>
      <c r="IF252" s="1380"/>
      <c r="IG252" s="1383"/>
      <c r="IH252" s="1383"/>
      <c r="II252" s="1383"/>
      <c r="IK252" s="1351"/>
      <c r="IL252" s="1351"/>
      <c r="IM252" s="1351"/>
      <c r="IN252" s="1351"/>
      <c r="IO252" s="1351"/>
      <c r="IP252" s="1351"/>
    </row>
    <row r="253" spans="1:250" s="82" customFormat="1" ht="5.0999999999999996" customHeight="1" thickBot="1">
      <c r="B253" s="763"/>
      <c r="C253" s="1038"/>
      <c r="D253" s="1038"/>
      <c r="E253" s="1490"/>
      <c r="F253" s="1490"/>
      <c r="G253" s="1490"/>
      <c r="H253" s="1490"/>
      <c r="I253" s="1490"/>
      <c r="J253" s="1490"/>
      <c r="K253" s="1490"/>
      <c r="L253" s="1490"/>
      <c r="M253" s="1490"/>
      <c r="N253" s="1490"/>
      <c r="O253" s="1490"/>
      <c r="P253" s="1490"/>
      <c r="Q253" s="1490"/>
      <c r="R253" s="1490"/>
      <c r="S253" s="1490"/>
      <c r="T253" s="1490"/>
      <c r="U253" s="1490"/>
      <c r="V253" s="1490"/>
      <c r="W253" s="1490"/>
      <c r="X253" s="1490"/>
      <c r="Y253" s="1490"/>
      <c r="Z253" s="1490"/>
      <c r="AA253" s="1490"/>
      <c r="AB253" s="1490"/>
      <c r="AC253" s="1490"/>
      <c r="AD253" s="1490"/>
      <c r="AE253" s="1490"/>
      <c r="AF253" s="1490"/>
      <c r="AG253" s="1490"/>
      <c r="AH253" s="1490"/>
      <c r="AI253" s="1490"/>
      <c r="AJ253" s="1490"/>
      <c r="AK253" s="1490"/>
      <c r="AL253" s="1490"/>
      <c r="AM253" s="1490"/>
      <c r="AN253" s="1490"/>
      <c r="AO253" s="1490"/>
      <c r="AP253" s="1490"/>
      <c r="AQ253" s="1490"/>
      <c r="AR253" s="1490"/>
      <c r="AS253" s="1490"/>
      <c r="AT253" s="1490"/>
      <c r="AU253" s="1041"/>
      <c r="BC253" s="38"/>
      <c r="BD253" s="38"/>
      <c r="BE253" s="38"/>
      <c r="BF253" s="38"/>
      <c r="BG253" s="38"/>
      <c r="BH253" s="38"/>
      <c r="BI253" s="38"/>
      <c r="BJ253" s="38"/>
      <c r="BK253" s="38"/>
      <c r="BL253" s="38"/>
      <c r="BM253" s="38"/>
      <c r="BN253" s="38"/>
      <c r="BO253" s="38"/>
      <c r="BP253" s="38"/>
      <c r="BQ253" s="38"/>
      <c r="BR253" s="38"/>
      <c r="BS253" s="38"/>
      <c r="BT253" s="38"/>
      <c r="BU253" s="38"/>
      <c r="BV253" s="38"/>
      <c r="BW253" s="38"/>
      <c r="BX253" s="38"/>
      <c r="BY253" s="38"/>
      <c r="BZ253" s="38"/>
      <c r="CA253" s="38"/>
      <c r="CB253" s="38"/>
      <c r="CC253" s="38"/>
      <c r="CD253" s="38"/>
      <c r="CE253" s="38"/>
      <c r="CF253" s="38"/>
      <c r="CG253" s="38"/>
      <c r="CH253" s="38"/>
      <c r="CI253" s="38"/>
      <c r="CM253" s="749"/>
      <c r="CN253" s="749"/>
      <c r="CO253" s="1043"/>
      <c r="CP253" s="749"/>
      <c r="CS253" s="436"/>
      <c r="CT253" s="436"/>
      <c r="CU253" s="243"/>
      <c r="CV253" s="244"/>
      <c r="CW253" s="244"/>
      <c r="CX253" s="244"/>
      <c r="CY253" s="245"/>
      <c r="CZ253" s="245"/>
      <c r="DA253" s="245"/>
      <c r="DC253" s="750"/>
      <c r="DD253" s="751"/>
      <c r="DE253" s="752"/>
      <c r="DF253" s="753"/>
      <c r="DG253" s="754"/>
      <c r="DH253" s="754"/>
      <c r="DK253" s="244"/>
      <c r="DL253" s="750"/>
      <c r="DN253" s="750"/>
      <c r="DO253" s="755"/>
      <c r="DP253" s="436"/>
      <c r="DQ253" s="750"/>
      <c r="DR253" s="750"/>
      <c r="DS253" s="750"/>
      <c r="DU253" s="750"/>
      <c r="DV253" s="750"/>
      <c r="DW253" s="750"/>
      <c r="DX253" s="750"/>
      <c r="DZ253" s="756"/>
      <c r="EA253" s="756"/>
      <c r="EC253" s="754"/>
      <c r="ED253" s="754"/>
      <c r="EE253" s="244"/>
      <c r="EF253" s="754"/>
      <c r="EG253" s="754"/>
      <c r="EH253" s="243"/>
      <c r="EI253" s="243"/>
      <c r="EJ253" s="752"/>
      <c r="EK253" s="757"/>
      <c r="EL253" s="757"/>
      <c r="EM253" s="758"/>
      <c r="EN253" s="758"/>
      <c r="EO253" s="752"/>
      <c r="EP253" s="752"/>
      <c r="EQ253" s="752"/>
      <c r="ES253" s="750"/>
      <c r="EU253" s="436"/>
      <c r="EV253" s="436"/>
      <c r="EW253" s="436"/>
      <c r="EX253" s="436"/>
      <c r="EY253" s="436"/>
      <c r="EZ253" s="436"/>
      <c r="FB253" s="643"/>
      <c r="FD253" s="436"/>
      <c r="FE253" s="436"/>
      <c r="FF253" s="436"/>
      <c r="FO253" s="750"/>
      <c r="FP253" s="436"/>
      <c r="FQ253" s="436"/>
      <c r="FR253" s="750"/>
      <c r="FS253" s="750"/>
      <c r="FW253" s="749"/>
      <c r="FX253" s="749"/>
      <c r="FY253" s="749"/>
      <c r="FZ253" s="749"/>
      <c r="GA253" s="749"/>
      <c r="GB253" s="749"/>
      <c r="GC253" s="749"/>
      <c r="GD253" s="749"/>
      <c r="GE253" s="751"/>
      <c r="GF253" s="750"/>
      <c r="GG253" s="750"/>
    </row>
    <row r="254" spans="1:250" s="82" customFormat="1" ht="14.95" customHeight="1" thickTop="1" thickBot="1">
      <c r="B254" s="1421" t="str">
        <f>HY257</f>
        <v xml:space="preserve"> </v>
      </c>
      <c r="C254" s="1422">
        <f>C249+1</f>
        <v>42</v>
      </c>
      <c r="D254" s="1423"/>
      <c r="E254" s="1424" t="s">
        <v>242</v>
      </c>
      <c r="F254" s="1425"/>
      <c r="G254" s="1426"/>
      <c r="H254" s="1427"/>
      <c r="I254" s="1427"/>
      <c r="J254" s="1427"/>
      <c r="K254" s="1427"/>
      <c r="L254" s="1427"/>
      <c r="M254" s="1427"/>
      <c r="N254" s="1427"/>
      <c r="O254" s="1427"/>
      <c r="P254" s="1427"/>
      <c r="Q254" s="1427"/>
      <c r="R254" s="1427"/>
      <c r="S254" s="1428" t="s">
        <v>283</v>
      </c>
      <c r="T254" s="668" t="s">
        <v>190</v>
      </c>
      <c r="U254" s="1430" t="s">
        <v>186</v>
      </c>
      <c r="V254" s="1431"/>
      <c r="W254" s="1431"/>
      <c r="X254" s="1431"/>
      <c r="Y254" s="1431"/>
      <c r="Z254" s="1431"/>
      <c r="AA254" s="1431"/>
      <c r="AB254" s="1088" t="str">
        <f>IFERROR(IF(__Retrofit_TI_NC=0,VLOOKUP(U255,Fixtures_Existing_List,2,FALSE),ROUND(N256*R256/T256,10)),"")</f>
        <v/>
      </c>
      <c r="AC254" s="1039" t="str">
        <f>IFERROR(IF(__Retrofit_TI_NC=0,ROUND(T255*AB254*N255*R255/1000,0),IF(CN254="Interior",N256*R256*R255*N255*_C406_reduction/1000,N256*R256*R255*N255/1000)),"")</f>
        <v/>
      </c>
      <c r="AD254" s="1040" t="str">
        <f>IFERROR(IF(C$36=0,ROUND(T255*AB254/1000,2),N256*R256/1000),"")</f>
        <v/>
      </c>
      <c r="AE254" s="1044" t="s">
        <v>190</v>
      </c>
      <c r="AF254" s="1432" t="str">
        <f>IF(__Retrofit_TI_NC=2,CONCATENATE("Code min = ",DD254),IF(__Retrofit_TI_NC=1,"Emter what you think the existing control was"," Control"))</f>
        <v xml:space="preserve"> Control</v>
      </c>
      <c r="AG254" s="1432"/>
      <c r="AH254" s="1432"/>
      <c r="AI254" s="1432"/>
      <c r="AJ254" s="1433">
        <f>DF254</f>
        <v>0</v>
      </c>
      <c r="AK254" s="1435" t="str">
        <f>IFERROR(ROUND(AJ254*AC254,0),"")</f>
        <v/>
      </c>
      <c r="AL254" s="1437">
        <f>IFERROR(IF(HW254=FALSE,0,AC254-AK254),0)</f>
        <v>0</v>
      </c>
      <c r="AM254" s="1439">
        <f>AL254-AL256</f>
        <v>0</v>
      </c>
      <c r="AN254" s="1440"/>
      <c r="AO254" s="1445">
        <f>IFERROR(IF(HW254=FALSE,0,(T256*U257)+(AE256*AF257)),0)</f>
        <v>0</v>
      </c>
      <c r="AP254" s="1445"/>
      <c r="AQ254" s="1446"/>
      <c r="AR254" s="1451" t="s">
        <v>157</v>
      </c>
      <c r="AS254" s="1454">
        <f>IF(AR254="Yes",1,0)</f>
        <v>1</v>
      </c>
      <c r="AT254" s="1457" t="str">
        <f>IF(OR(DN254=4,DN254=5,DN254=6,DN254=12),CONCATENATE("$",IF(GD254=TRUE,Lookup!$B$11,Lookup!$B$2)," /lamp"),CONCATENATE(EA254,"/ kWh"))</f>
        <v>0/ kWh</v>
      </c>
      <c r="AU254" s="516"/>
      <c r="AV254" s="1478">
        <f>IFERROR(IF(GI255=TRUE,(AB257*T256)/R256,0),"NA")</f>
        <v>0</v>
      </c>
      <c r="AW254" s="1478" t="str">
        <f>IFERROR(N256*_C406_reduction,"NA")</f>
        <v>NA</v>
      </c>
      <c r="BC254" s="38"/>
      <c r="BD254" s="38"/>
      <c r="BE254" s="38"/>
      <c r="BF254" s="38"/>
      <c r="BG254" s="38"/>
      <c r="BH254" s="38"/>
      <c r="BI254" s="38"/>
      <c r="BJ254" s="38"/>
      <c r="BK254" s="38"/>
      <c r="BL254" s="38"/>
      <c r="BM254" s="38"/>
      <c r="BN254" s="38"/>
      <c r="BO254" s="38"/>
      <c r="BP254" s="38"/>
      <c r="BQ254" s="38"/>
      <c r="BR254" s="38"/>
      <c r="BS254" s="38"/>
      <c r="BT254" s="38"/>
      <c r="BU254" s="38"/>
      <c r="BV254" s="38"/>
      <c r="BW254" s="38"/>
      <c r="BX254" s="38"/>
      <c r="BY254" s="38"/>
      <c r="BZ254" s="38"/>
      <c r="CA254" s="38"/>
      <c r="CB254" s="38"/>
      <c r="CC254" s="38"/>
      <c r="CD254" s="38"/>
      <c r="CE254" s="38"/>
      <c r="CF254" s="38"/>
      <c r="CG254" s="38"/>
      <c r="CH254" s="38"/>
      <c r="CI254" s="38"/>
      <c r="CM254" s="1352" t="str">
        <f>N255</f>
        <v/>
      </c>
      <c r="CN254" s="1352" t="str">
        <f>IFERROR(VLOOKUP(G255,_Lookup_Heat_Type_Table_New,3,FALSE),"")</f>
        <v/>
      </c>
      <c r="CO254" s="1415" t="str">
        <f>CN254</f>
        <v/>
      </c>
      <c r="CP254" s="1417" t="e">
        <f>VLOOKUP(G256,'Space Table'!$B$3:$L$160,9,FALSE)</f>
        <v>#N/A</v>
      </c>
      <c r="CR254" s="1386" t="s">
        <v>283</v>
      </c>
      <c r="CS254" s="1353">
        <f>IF(HW254=TRUE,T255,0)</f>
        <v>0</v>
      </c>
      <c r="CT254" s="1353" t="str">
        <f>IF(HW254=TRUE,U255,"")</f>
        <v/>
      </c>
      <c r="CU254" s="1353"/>
      <c r="CV254" s="1370">
        <f>IF(HW254=TRUE,AB254,0)</f>
        <v>0</v>
      </c>
      <c r="CW254" s="1370">
        <f>IF(HW254=TRUE,AC254,0)</f>
        <v>0</v>
      </c>
      <c r="CX254" s="1370">
        <f>IFERROR(IF(HW254=TRUE,CW254-CW256,0),0)</f>
        <v>0</v>
      </c>
      <c r="CY254" s="1485">
        <f>IF(HW254=TRUE,AD254,0)</f>
        <v>0</v>
      </c>
      <c r="CZ254" s="1485">
        <f>IF(HW254=TRUE,AD257,0)</f>
        <v>0</v>
      </c>
      <c r="DA254" s="1485">
        <f>IFERROR(CY254-CZ254,0)</f>
        <v>0</v>
      </c>
      <c r="DC254" s="1353">
        <f>IF(HW254=TRUE,AE255,0)</f>
        <v>0</v>
      </c>
      <c r="DD254" s="1460">
        <f>IF(__Retrofit_TI_NC=2,IF(CN254="Exterior",O257,FM254),FK254)</f>
        <v>0</v>
      </c>
      <c r="DE254" s="1353"/>
      <c r="DF254" s="1406">
        <f>IFERROR(IF(FL254=3,IK254,IF(FL254=4,IL254,IF(FL254=5,IM254,IF(FL254=6,IN254,IF(FL254=7,IO254,IF(FL254=8,IP254,0)))))),0)</f>
        <v>0</v>
      </c>
      <c r="DG254" s="1370">
        <f>IF(HW254=TRUE,AK254,0)</f>
        <v>0</v>
      </c>
      <c r="DH254" s="1369">
        <f>IFERROR(IF(HW254=TRUE,DG256-DG254,0),0)</f>
        <v>0</v>
      </c>
      <c r="DJ254" s="1483">
        <f>IFERROR(CW254-DG254,0)</f>
        <v>0</v>
      </c>
      <c r="DL254" s="1419">
        <f>DJ254-DK256</f>
        <v>0</v>
      </c>
      <c r="DN254" s="1403" t="str">
        <f>IFERROR(IF(AND(OR(FY254=4,FY254=5,FY254=6),OR(GB254=4,GB254=5,GB254=6)),FY254+8,VLOOKUP(CT256,Fixtures!R$31:Y$78,8,FALSE)),"")</f>
        <v/>
      </c>
      <c r="DO254" s="1404" t="str">
        <f>DN254</f>
        <v/>
      </c>
      <c r="DP254" s="1353" t="str">
        <f>IFERROR(VLOOKUP(DD256,Lookup!AU$3:AV$15,2,FALSE),"")</f>
        <v/>
      </c>
      <c r="DQ254" s="1404" t="str">
        <f>IF(DP254=7,"LLLC","")</f>
        <v/>
      </c>
      <c r="DR254" s="1403">
        <f>IFERROR(IF(OR(DN254=4,DN254=5,DN254=6,DN254=12,DN254=13,DN254=14),VLOOKUP(CT256,Fixtures!DN$27:EG$77,19,FALSE),1)*CS256,0)</f>
        <v>0</v>
      </c>
      <c r="DS254" s="1489">
        <f>IF(DP254=7,IF(DD254=DD256,0,DC256),0)</f>
        <v>0</v>
      </c>
      <c r="DU254" s="1403" t="str">
        <f>IFERROR(IF(EW254&lt;EW256,"Yes","No"),"")</f>
        <v/>
      </c>
      <c r="DV254" s="1404" t="str">
        <f>DU254</f>
        <v/>
      </c>
      <c r="DW254" s="1403">
        <f>IF(DU254="Yes",DC256,0)</f>
        <v>0</v>
      </c>
      <c r="DX254" s="1403">
        <f>DW254-DS254</f>
        <v>0</v>
      </c>
      <c r="DZ254" s="1481">
        <f>IFERROR(VLOOKUP(DN254,Lookup!AN$3:AO$16,2,FALSE),0)</f>
        <v>0</v>
      </c>
      <c r="EA254" s="1481">
        <f>IF(HW254=FALSE,0,IF(DU254="Yes",DZ254+Lookup!B$6,DZ254))</f>
        <v>0</v>
      </c>
      <c r="EC254" s="1482">
        <f>IF(HW254=TRUE,DJ254,0)</f>
        <v>0</v>
      </c>
      <c r="ED254" s="1369">
        <f>IF(HW254=TRUE,CW256,0)</f>
        <v>0</v>
      </c>
      <c r="EE254" s="1370">
        <f>IFERROR(EC254-ED254,0)</f>
        <v>0</v>
      </c>
      <c r="EF254" s="1369">
        <f>IF(HW254=TRUE,DG256,0)</f>
        <v>0</v>
      </c>
      <c r="EG254" s="1369">
        <f>IFERROR(EC254-ED254+EF254,0)</f>
        <v>0</v>
      </c>
      <c r="EH254" s="1373">
        <f>IF(HW254=TRUE,CS256*CU256,0)</f>
        <v>0</v>
      </c>
      <c r="EI254" s="1373">
        <f>IF(HW254=TRUE,DC256*DE256,0)</f>
        <v>0</v>
      </c>
      <c r="EJ254" s="1363">
        <f>AO254</f>
        <v>0</v>
      </c>
      <c r="EK254" s="1376" t="str">
        <f>IFERROR(IF(HW254=TRUE,VLOOKUP(DN254,Lookup!AN$3:AP$16,3,FALSE)*DR254,""),0)</f>
        <v/>
      </c>
      <c r="EL254" s="1376">
        <f>IF(HW254=TRUE,DW254*Lookup!AP$12,0)</f>
        <v>0</v>
      </c>
      <c r="EM254" s="1362">
        <f>IFERROR(IF(HW254=TRUE,EK254/EM$33,0),0)</f>
        <v>0</v>
      </c>
      <c r="EN254" s="1362">
        <f>IF(HW254=TRUE,EL254/EN$33,0)</f>
        <v>0</v>
      </c>
      <c r="EO254" s="1363">
        <f>IF(HW254=TRUE,EQ$33*EM254,0)</f>
        <v>0</v>
      </c>
      <c r="EP254" s="1363">
        <f>IF(HW254=TRUE,EQ$33*EN254,0)</f>
        <v>0</v>
      </c>
      <c r="EQ254" s="1363">
        <f>EO254+EP254</f>
        <v>0</v>
      </c>
      <c r="ES254" s="1403">
        <f>IF(G254="",0,1)</f>
        <v>0</v>
      </c>
      <c r="EU254" s="1410" t="e">
        <f>VLOOKUP(CP256,'Space Table'!$B$3:$L$160,8,FALSE)</f>
        <v>#N/A</v>
      </c>
      <c r="EV254" s="1410" t="e">
        <f>IF(EY254="Yes",VLOOKUP(DD254,Lookup_Control_Type_Table2,4,FALSE),VLOOKUP(DD254,Lookup_Control_Type_Table2,3,FALSE))</f>
        <v>#N/A</v>
      </c>
      <c r="EW254" s="1410" t="e">
        <f>VLOOKUP(DD254,Lookup!AU$3:AV$15,2,FALSE)</f>
        <v>#N/A</v>
      </c>
      <c r="EX254" s="1410" t="e">
        <f>VLOOKUP(EU254,Lookup_Control_Type_Table,2,FALSE)</f>
        <v>#N/A</v>
      </c>
      <c r="EY254" s="1410" t="e">
        <f>VLOOKUP(CP256,'Space Table'!$B$3:$L$160,7,FALSE)</f>
        <v>#N/A</v>
      </c>
      <c r="EZ254" s="1412" t="b">
        <f>ISNUMBER(SEARCH("TLED",U256))</f>
        <v>0</v>
      </c>
      <c r="FB254" s="1365" t="str">
        <f>CONCATENATE(CN254," - ",DD254)</f>
        <v xml:space="preserve"> - 0</v>
      </c>
      <c r="FD254" s="1353" t="str">
        <f>VLOOKUP(CT256,Fixtures!DN$27:EZ$77,38,FALSE)</f>
        <v/>
      </c>
      <c r="FE254" s="1353">
        <f>IFERROR(FD254*EE254,0)</f>
        <v>0</v>
      </c>
      <c r="FF254" s="138"/>
      <c r="FI254" s="1356" t="str">
        <f>IF(CN254="Exterior","Not Daylighted",G257)</f>
        <v>Not Daylighted</v>
      </c>
      <c r="FJ254" s="1356">
        <f>VLOOKUP(FI254,_Daylight_Table_Codes,2,FALSE)</f>
        <v>0</v>
      </c>
      <c r="FK254" s="1365">
        <f>IF(__Retrofit_TI_NC=2,VLOOKUP(G256,'Space Table'!$B$3:$L$160,11,FALSE),AF255)</f>
        <v>0</v>
      </c>
      <c r="FL254" s="1365" t="e">
        <f>VLOOKUP(FK254,_Control_Table,2,FALSE)</f>
        <v>#N/A</v>
      </c>
      <c r="FM254" s="1365" t="e">
        <f>IF(AND(FP254&gt;0,FK254="Occupancy Sensor"),"Daylight + Occupancy",IF(AND(FP254&gt;0,FL254&lt;4),"Interior Daylight Dimming",FK254))</f>
        <v>#N/A</v>
      </c>
      <c r="FO254" s="1364">
        <f>IF(CO254="Interior",VLOOKUP(CP254,Control_Savings_Interior,5,FALSE),0)</f>
        <v>0</v>
      </c>
      <c r="FP254" s="1361">
        <f>IF(CN254="Exterior",0,IF(FJ254=2,0.5,IF(OR(FJ254=1,FJ254=3),1,0)))</f>
        <v>0</v>
      </c>
      <c r="FQ254" s="1366"/>
      <c r="FR254" s="1367"/>
      <c r="FS254" s="1364"/>
      <c r="FT254" s="1367"/>
      <c r="FU254" s="1360"/>
      <c r="FW254" s="1352" t="str">
        <f>IFERROR(VLOOKUP(U255,_Exist_Fixture_Table,3,FALSE),"")</f>
        <v/>
      </c>
      <c r="FX254" s="1352" t="str">
        <f>VLOOKUP(CT254,_Exist_Fixture_Table,4,FALSE)</f>
        <v/>
      </c>
      <c r="FY254" s="1352">
        <f>IFERROR(VLOOKUP(FX254,Lookup!AM$6:AN$8,2,FALSE),0)</f>
        <v>0</v>
      </c>
      <c r="FZ254" s="1352" t="b">
        <f>IFERROR(IF(OR(GB254=4,GB254=5,GB254=6),TRUE,FALSE),"")</f>
        <v>0</v>
      </c>
      <c r="GA254" s="1352" t="str">
        <f>IFERROR(VLOOKUP(GB254,FY$6:FZ$10,2,FALSE),"")</f>
        <v/>
      </c>
      <c r="GB254" s="1352" t="str">
        <f>VLOOKUP(CT256,Fixtures!R$31:Y$78,8,FALSE)</f>
        <v/>
      </c>
      <c r="GC254" s="1352">
        <f>IF(AND(FW254=TRUE,FZ254=TRUE,OR(DN254=12,DN254=13,DN254=14)),FY254+8,0)</f>
        <v>0</v>
      </c>
      <c r="GD254" s="1352" t="b">
        <f>IF(OR(GC254=12,GC254=13,GC254=14),TRUE,FALSE)</f>
        <v>0</v>
      </c>
      <c r="GE254" s="759" t="b">
        <f>IF(ISNUMBER(SEARCH("TLED",U255)),TRUE,FALSE)</f>
        <v>0</v>
      </c>
      <c r="GF254" s="1035" t="str">
        <f>IFERROR(VLOOKUP(U255,Fixtures!BM$93:BR$142,6,FALSE),"")</f>
        <v/>
      </c>
      <c r="GG254" s="1385" t="b">
        <f>IF(OR(GE254=FALSE,GE256=FALSE),TRUE,IF(GF254-GF256&lt;5,FALSE,TRUE))</f>
        <v>1</v>
      </c>
      <c r="GK254" s="1034">
        <f>GL254</f>
        <v>0</v>
      </c>
      <c r="GL254" s="1034">
        <f>IF(G254="",0,1)</f>
        <v>0</v>
      </c>
      <c r="GM254" s="1034">
        <f>SUM(GN254:HB254)</f>
        <v>2</v>
      </c>
      <c r="GN254" s="1034">
        <f>IF(G255="",0,1)</f>
        <v>0</v>
      </c>
      <c r="GO254" s="1034">
        <f>IF(G256="",0,1)</f>
        <v>0</v>
      </c>
      <c r="GP254" s="1034">
        <f>IF(R255="",0,1)</f>
        <v>0</v>
      </c>
      <c r="GQ254" s="1034">
        <f>IF(__Retrofit_TI_NC=0,1,IF(R256="",0,1))</f>
        <v>1</v>
      </c>
      <c r="GR254" s="1034">
        <f>IF(CN254="Exterior",1,IF(G257="",0,1))</f>
        <v>1</v>
      </c>
      <c r="GS254" s="1034">
        <f>IF(__Retrofit_TI_NC&lt;&gt;0,1,IF(T255="",0,1))</f>
        <v>0</v>
      </c>
      <c r="GT254" s="1034">
        <f>IF(__Retrofit_TI_NC&lt;&gt;0,1,IF(U255="",0,1))</f>
        <v>0</v>
      </c>
      <c r="GU254" s="1034">
        <f>IF(T256="",0,1)</f>
        <v>0</v>
      </c>
      <c r="GV254" s="1034">
        <f>IF(U256="",0,1)</f>
        <v>0</v>
      </c>
      <c r="GW254" s="1034">
        <f>IF(__Retrofit_TI_NC=2,1,IF(U257="",0,1))</f>
        <v>0</v>
      </c>
      <c r="GX254" s="1034">
        <f>IF(__Retrofit_TI_NC&lt;&gt;0,1,IF(AE255="",0,1))</f>
        <v>0</v>
      </c>
      <c r="GY254" s="1034">
        <f>IF(__Retrofit_TI_NC&lt;&gt;0,1,IF(AF255="",0,1))</f>
        <v>0</v>
      </c>
      <c r="GZ254" s="1034">
        <f>IF(AE256="",0,1)</f>
        <v>0</v>
      </c>
      <c r="HA254" s="1034">
        <f>IF(AF256="",0,1)</f>
        <v>0</v>
      </c>
      <c r="HB254" s="1034">
        <f>IF(__Retrofit_TI_NC=2,1,IF(AF257="",0,1))</f>
        <v>0</v>
      </c>
      <c r="HV254" s="436"/>
      <c r="HW254" s="1384" t="b">
        <f>IF(OR(HW257=0,HW257=HT$16,HW257=HS$16,HW257=HU$16),TRUE,FALSE)</f>
        <v>0</v>
      </c>
      <c r="HX254" s="1377" t="b">
        <f>HW254</f>
        <v>0</v>
      </c>
      <c r="HY254" s="436"/>
      <c r="HZ254" s="436"/>
      <c r="IA254" s="1386" t="b">
        <f>IF(MAX(GJ257:HP257)&gt;5,FALSE,TRUE)</f>
        <v>0</v>
      </c>
      <c r="IB254" s="1380">
        <f>IF(IA254=TRUE,AC254,0)</f>
        <v>0</v>
      </c>
      <c r="IC254" s="1380">
        <f>IB254-IB256</f>
        <v>0</v>
      </c>
      <c r="IF254" s="1380" t="e">
        <f>ROUND(T255*VLOOKUP(U255,Fixtures_Existing_List,2,FALSE)*N255*R255/1000,0)</f>
        <v>#N/A</v>
      </c>
      <c r="IG254" s="1381" t="e">
        <f>IF254-IF256</f>
        <v>#N/A</v>
      </c>
      <c r="IH254" s="1384" t="e">
        <f>ROUND(IF(CN254="Interior",N256*R256*R255*N255*_C406_reduction/1000,N256*R256*R255*N255/1000),0)</f>
        <v>#N/A</v>
      </c>
      <c r="II254" s="1384" t="e">
        <f>IH254-IH256</f>
        <v>#N/A</v>
      </c>
      <c r="IK254" s="1351" t="e">
        <f>IF($CO254="interior",IL254/2,VLOOKUP($CP254,Control_Savings_Exterior,IK$30,FALSE))</f>
        <v>#N/A</v>
      </c>
      <c r="IL254" s="1351" t="e">
        <f>IF($CO254="interior",VLOOKUP($CP254,Control_Savings_Interior,IL$30,FALSE),VLOOKUP($CP254,Control_Savings_Exterior,IL$30,FALSE))</f>
        <v>#N/A</v>
      </c>
      <c r="IM254" s="1351" t="e">
        <f>IF($CO254="interior",IF(R255&gt;FO$37,(IM$28*(FO$37/R255)),IM$28)*FP254,VLOOKUP($CP254,Control_Savings_Exterior,IM$30,FALSE))</f>
        <v>#N/A</v>
      </c>
      <c r="IN254" s="1351" t="e">
        <f>IF($CO254="interior",ROUND(((1-IL254)*IM254)+IL254,2),VLOOKUP($CP254,Control_Savings_Exterior,IN$30,FALSE))</f>
        <v>#N/A</v>
      </c>
      <c r="IO254" s="1351" t="e">
        <f>IF($CO254="interior", ROUND(((1-IL254)*(IM254*(1-IP$28)))+IP254,2), VLOOKUP($CP254,Control_Savings_Exterior,IO$30,FALSE))</f>
        <v>#N/A</v>
      </c>
      <c r="IP254" s="1351">
        <f>IF($CO254="interior",ROUND(((1-IL254)*IP$28)+IL254,2),0)</f>
        <v>0</v>
      </c>
    </row>
    <row r="255" spans="1:250" s="82" customFormat="1" ht="14.95" customHeight="1" thickTop="1" thickBot="1">
      <c r="B255" s="1421"/>
      <c r="C255" s="1422"/>
      <c r="D255" s="1423"/>
      <c r="E255" s="1393" t="s">
        <v>244</v>
      </c>
      <c r="F255" s="1394"/>
      <c r="G255" s="1395"/>
      <c r="H255" s="1395"/>
      <c r="I255" s="1395"/>
      <c r="J255" s="1395"/>
      <c r="K255" s="1395"/>
      <c r="L255" s="1395"/>
      <c r="M255" s="509" t="e">
        <f>IF(__Retrofit_TI_NC&lt;&gt;0,IF(VLOOKUP(G256,'Space Table'!$B$3:$L$160,3,FALSE)&gt;0,1,0),IF(__Retrofit_TI_NC=VLOOKUP(G256,'Space Table'!$B$3:$L$160,3,FALSE),1,0))</f>
        <v>#N/A</v>
      </c>
      <c r="N255" s="509" t="str">
        <f>IFERROR(VLOOKUP(G255,_Lookup_Heat_Type_Table_New,2,FALSE),"")</f>
        <v/>
      </c>
      <c r="O255" s="509">
        <f>IF(__Retrofit_TI_NC=1,CONCATENATE("TI ",G255),IF(__Retrofit_TI_NC=2,CONCATENATE("NC ",G255),G255))</f>
        <v>0</v>
      </c>
      <c r="P255" s="1396" t="s">
        <v>352</v>
      </c>
      <c r="Q255" s="1396"/>
      <c r="R255" s="673"/>
      <c r="S255" s="1429"/>
      <c r="T255" s="675"/>
      <c r="U255" s="1496"/>
      <c r="V255" s="1497"/>
      <c r="W255" s="1497"/>
      <c r="X255" s="1497"/>
      <c r="Y255" s="1497"/>
      <c r="Z255" s="1497"/>
      <c r="AA255" s="1497"/>
      <c r="AB255" s="1497"/>
      <c r="AC255" s="1497"/>
      <c r="AD255" s="1498"/>
      <c r="AE255" s="675"/>
      <c r="AF255" s="1397"/>
      <c r="AG255" s="1397"/>
      <c r="AH255" s="1397"/>
      <c r="AI255" s="1397"/>
      <c r="AJ255" s="1434"/>
      <c r="AK255" s="1436"/>
      <c r="AL255" s="1438"/>
      <c r="AM255" s="1441"/>
      <c r="AN255" s="1442"/>
      <c r="AO255" s="1447"/>
      <c r="AP255" s="1447"/>
      <c r="AQ255" s="1448"/>
      <c r="AR255" s="1452"/>
      <c r="AS255" s="1455"/>
      <c r="AT255" s="1458"/>
      <c r="AU255" s="516"/>
      <c r="AV255" s="1479"/>
      <c r="AW255" s="1479"/>
      <c r="BC255" s="38"/>
      <c r="BD255" s="38"/>
      <c r="BE255" s="38"/>
      <c r="BF255" s="38"/>
      <c r="BG255" s="38"/>
      <c r="BH255" s="38"/>
      <c r="BI255" s="38"/>
      <c r="BJ255" s="38"/>
      <c r="BK255" s="38"/>
      <c r="BL255" s="38"/>
      <c r="BM255" s="38"/>
      <c r="BN255" s="38"/>
      <c r="BO255" s="38"/>
      <c r="BP255" s="38"/>
      <c r="BQ255" s="38"/>
      <c r="BR255" s="38"/>
      <c r="BS255" s="38"/>
      <c r="BT255" s="38"/>
      <c r="BU255" s="38"/>
      <c r="BV255" s="38"/>
      <c r="BW255" s="38"/>
      <c r="BX255" s="38"/>
      <c r="BY255" s="38"/>
      <c r="BZ255" s="38"/>
      <c r="CA255" s="38"/>
      <c r="CB255" s="38"/>
      <c r="CC255" s="38"/>
      <c r="CD255" s="38"/>
      <c r="CE255" s="38"/>
      <c r="CF255" s="38"/>
      <c r="CG255" s="38"/>
      <c r="CH255" s="38"/>
      <c r="CI255" s="38"/>
      <c r="CM255" s="1352"/>
      <c r="CN255" s="1352"/>
      <c r="CO255" s="1416"/>
      <c r="CP255" s="1418"/>
      <c r="CR255" s="1386"/>
      <c r="CS255" s="1355"/>
      <c r="CT255" s="1355"/>
      <c r="CU255" s="1355"/>
      <c r="CV255" s="1372"/>
      <c r="CW255" s="1372"/>
      <c r="CX255" s="1371"/>
      <c r="CY255" s="1486"/>
      <c r="CZ255" s="1486"/>
      <c r="DA255" s="1486"/>
      <c r="DC255" s="1355"/>
      <c r="DD255" s="1461"/>
      <c r="DE255" s="1355"/>
      <c r="DF255" s="1407"/>
      <c r="DG255" s="1372"/>
      <c r="DH255" s="1369"/>
      <c r="DJ255" s="1484"/>
      <c r="DL255" s="1419"/>
      <c r="DN255" s="1403"/>
      <c r="DO255" s="1405"/>
      <c r="DP255" s="1354"/>
      <c r="DQ255" s="1405"/>
      <c r="DR255" s="1403"/>
      <c r="DS255" s="1489"/>
      <c r="DU255" s="1403"/>
      <c r="DV255" s="1405"/>
      <c r="DW255" s="1403"/>
      <c r="DX255" s="1403"/>
      <c r="DZ255" s="1481"/>
      <c r="EA255" s="1481"/>
      <c r="EC255" s="1482"/>
      <c r="ED255" s="1369"/>
      <c r="EE255" s="1371"/>
      <c r="EF255" s="1369"/>
      <c r="EG255" s="1369"/>
      <c r="EH255" s="1374"/>
      <c r="EI255" s="1374"/>
      <c r="EJ255" s="1363"/>
      <c r="EK255" s="1376"/>
      <c r="EL255" s="1376"/>
      <c r="EM255" s="1362"/>
      <c r="EN255" s="1362"/>
      <c r="EO255" s="1363"/>
      <c r="EP255" s="1363"/>
      <c r="EQ255" s="1363"/>
      <c r="ES255" s="1403"/>
      <c r="EU255" s="1411"/>
      <c r="EV255" s="1411"/>
      <c r="EW255" s="1411"/>
      <c r="EX255" s="1411"/>
      <c r="EY255" s="1411"/>
      <c r="EZ255" s="1413"/>
      <c r="FB255" s="1365"/>
      <c r="FD255" s="1354"/>
      <c r="FE255" s="1354"/>
      <c r="FF255" s="138"/>
      <c r="FI255" s="1357"/>
      <c r="FJ255" s="1357"/>
      <c r="FK255" s="1365"/>
      <c r="FL255" s="1365"/>
      <c r="FM255" s="1365"/>
      <c r="FO255" s="1361"/>
      <c r="FP255" s="1361"/>
      <c r="FQ255" s="1366"/>
      <c r="FR255" s="1368"/>
      <c r="FS255" s="1361"/>
      <c r="FT255" s="1368"/>
      <c r="FU255" s="1360"/>
      <c r="FW255" s="1352"/>
      <c r="FX255" s="1352"/>
      <c r="FY255" s="1352"/>
      <c r="FZ255" s="1352"/>
      <c r="GA255" s="1352"/>
      <c r="GB255" s="1352"/>
      <c r="GC255" s="1352"/>
      <c r="GD255" s="1352"/>
      <c r="GE255" s="759"/>
      <c r="GF255" s="1035"/>
      <c r="GG255" s="1385"/>
      <c r="GI255" s="1384" t="b">
        <f>IF(AND(GL255=TRUE,GM255=TRUE),TRUE,FALSE)</f>
        <v>0</v>
      </c>
      <c r="GJ255" s="1379" t="b">
        <f>IFERROR(IF(__Retrofit_TI_NC=2,TRUE,IF(AR254="Yes",TRUE,FALSE)),FALSE)</f>
        <v>1</v>
      </c>
      <c r="GL255" s="1379" t="b">
        <f>IFERROR(IF(GL254=1,TRUE,FALSE),FALSE)</f>
        <v>0</v>
      </c>
      <c r="GM255" s="1379" t="b">
        <f>IFERROR(IF(GM254=GM$14,TRUE,FALSE),FALSE)</f>
        <v>0</v>
      </c>
      <c r="HC255" s="1379" t="b">
        <f>IFERROR(IF(M255=1,TRUE,FALSE),FALSE)</f>
        <v>0</v>
      </c>
      <c r="HD255" s="1379" t="b">
        <f>IFERROR(IF(M256=1,TRUE,FALSE),FALSE)</f>
        <v>0</v>
      </c>
      <c r="HE255" s="1379" t="b">
        <f>IFERROR(IF(__Retrofit_TI_NC&lt;&gt;0,TRUE,IFERROR(IF(VLOOKUP(U255,Fixtures_Existing_List,2,FALSE)&lt;&gt;"",TRUE,FALSE),FALSE)),FALSE)</f>
        <v>0</v>
      </c>
      <c r="HF255" s="1379" t="b">
        <f>IFERROR(IF(VLOOKUP(U256,Fixtures_Proposed_List,2,FALSE)&lt;&gt;"",TRUE,FALSE),FALSE)</f>
        <v>0</v>
      </c>
      <c r="HG255" s="1379" t="b">
        <f>IF(AND(__Retrofit_TI_NC=2,EZ254=TRUE),FALSE,TRUE)</f>
        <v>1</v>
      </c>
      <c r="HH255" s="1379" t="b">
        <f>GG254</f>
        <v>1</v>
      </c>
      <c r="HI255" s="1384" t="b">
        <f>IF(ISERROR(MATCH(FB254,_Control_Match[],0))=TRUE,FALSE,TRUE)</f>
        <v>0</v>
      </c>
      <c r="HJ255" s="1384" t="b">
        <f>IFERROR(IF(EU254&lt;&gt;EV254,FALSE,TRUE),FALSE)</f>
        <v>0</v>
      </c>
      <c r="HK255" s="1384" t="b">
        <f>IFERROR(IF(EU256&lt;&gt;EV256,FALSE,TRUE),FALSE)</f>
        <v>0</v>
      </c>
      <c r="HL255" s="1379" t="b">
        <f>IFERROR(IF(CN254="Exterior",TRUE,IF(OR(AND(FJ254=0,EW256&gt;4),AND(FJ254=4,EW256&gt;4,EW256&lt;7)),FALSE,TRUE)),FALSE)</f>
        <v>0</v>
      </c>
      <c r="HM255" s="1379" t="b">
        <f>IFERROR(IF(AND(FL256=7,EZ254=TRUE),FALSE,TRUE),FALSE)</f>
        <v>0</v>
      </c>
      <c r="HN255" s="1379" t="b">
        <f>IFERROR(IF(AND(T256&lt;&gt;AE256,AF256="Interior LLLC")=TRUE,FALSE,TRUE),FALSE)</f>
        <v>1</v>
      </c>
      <c r="HO255" s="1379" t="b">
        <f>IFERROR(IF(OR(AF256=Lookup!AU$13,AF256=Lookup!AU$14)=TRUE,IF(AE256&gt;T256,FALSE,TRUE),TRUE),FALSE)</f>
        <v>1</v>
      </c>
      <c r="HP255" s="1379" t="b">
        <f>IFERROR(IF(__Retrofit_TI_NC=2,IF(EW256&lt;EW254,FALSE,TRUE),TRUE),FALSE)</f>
        <v>1</v>
      </c>
      <c r="HQ255" s="1379" t="b">
        <f>IF(CN254="Interior",IG$6,TRUE)</f>
        <v>1</v>
      </c>
      <c r="HR255" s="1379" t="b">
        <f>IF(CN254="Exterior",IG$8,TRUE)</f>
        <v>1</v>
      </c>
      <c r="HS255" s="1379" t="b">
        <f>IFERROR(IF(__Retrofit_TI_NC&lt;&gt;0,IF(AW254&lt;AV254,FALSE,TRUE),TRUE),FALSE)</f>
        <v>1</v>
      </c>
      <c r="HT255" s="1379" t="b">
        <f>IFERROR(IF(AND(G255="Exterior",R255&gt;4200),FALSE,TRUE),FALSE)</f>
        <v>1</v>
      </c>
      <c r="HU255" s="1379" t="b">
        <f>IFERROR(IF(AB257/AB254&lt;HU$18,FALSE,TRUE),FALSE)</f>
        <v>0</v>
      </c>
      <c r="HW255" s="1382"/>
      <c r="HX255" s="1378"/>
      <c r="HY255" s="1377" t="str">
        <f>VLOOKUP(HW257,_Error_Table,4,FALSE)</f>
        <v>White</v>
      </c>
      <c r="HZ255" s="436"/>
      <c r="IA255" s="1386"/>
      <c r="IB255" s="1380"/>
      <c r="IC255" s="1379"/>
      <c r="IF255" s="1380"/>
      <c r="IG255" s="1382"/>
      <c r="IH255" s="1382"/>
      <c r="II255" s="1382"/>
      <c r="IK255" s="1351"/>
      <c r="IL255" s="1351"/>
      <c r="IM255" s="1351"/>
      <c r="IN255" s="1351"/>
      <c r="IO255" s="1351"/>
      <c r="IP255" s="1351"/>
    </row>
    <row r="256" spans="1:250" s="82" customFormat="1" ht="14.95" customHeight="1" thickTop="1" thickBot="1">
      <c r="A256" s="82">
        <f>ROW()</f>
        <v>256</v>
      </c>
      <c r="B256" s="1421"/>
      <c r="C256" s="1422"/>
      <c r="D256" s="1423"/>
      <c r="E256" s="1393" t="s">
        <v>245</v>
      </c>
      <c r="F256" s="1394"/>
      <c r="G256" s="1398"/>
      <c r="H256" s="1399"/>
      <c r="I256" s="1399"/>
      <c r="J256" s="1399"/>
      <c r="K256" s="1399"/>
      <c r="L256" s="1400"/>
      <c r="M256" s="509">
        <f>IFERROR(IF(IF(__Retrofit_TI_NC&lt;&gt;0,IF(CN254="Interior",MATCH(G256,Lookup_Interior_New,0),MATCH(G256,Lookup_Exterior_New,0)),IF(CN254="Interior",MATCH(G256,Lookup_Interior,0),MATCH(G256,Lookup_Exterior_Areas,0)))&gt;0,1,0),0)</f>
        <v>0</v>
      </c>
      <c r="N256" s="509" t="e">
        <f>IF(__Retrofit_TI_NC=1,
VLOOKUP(G256,'Space Table'!$B$3:$L$160,4,FALSE),
IF(__Retrofit_TI_NC=2,VLOOKUP(G256,'Space Table'!$B$3:$L$160,5,FALSE),VLOOKUP(G256,'Space Table'!$B$3:$L$160,5,FALSE)))</f>
        <v>#N/A</v>
      </c>
      <c r="O256" s="509">
        <f>G256</f>
        <v>0</v>
      </c>
      <c r="P256" s="1394" t="s">
        <v>355</v>
      </c>
      <c r="Q256" s="1394"/>
      <c r="R256" s="674"/>
      <c r="S256" s="1401" t="s">
        <v>284</v>
      </c>
      <c r="T256" s="672"/>
      <c r="U256" s="1499"/>
      <c r="V256" s="1500"/>
      <c r="W256" s="1500"/>
      <c r="X256" s="1500"/>
      <c r="Y256" s="1500"/>
      <c r="Z256" s="1500"/>
      <c r="AA256" s="1500"/>
      <c r="AB256" s="1501"/>
      <c r="AC256" s="1501"/>
      <c r="AD256" s="1502"/>
      <c r="AE256" s="672"/>
      <c r="AF256" s="1474"/>
      <c r="AG256" s="1474"/>
      <c r="AH256" s="1474"/>
      <c r="AI256" s="1474"/>
      <c r="AJ256" s="1475">
        <f>DF256</f>
        <v>0</v>
      </c>
      <c r="AK256" s="1470" t="str">
        <f>IFERROR(ROUND(AJ256*AC257,0),"")</f>
        <v/>
      </c>
      <c r="AL256" s="1472">
        <f>IFERROR(IF(HW254=FALSE,0,AC257-AK256),0)</f>
        <v>0</v>
      </c>
      <c r="AM256" s="1441"/>
      <c r="AN256" s="1442"/>
      <c r="AO256" s="1447"/>
      <c r="AP256" s="1447"/>
      <c r="AQ256" s="1448"/>
      <c r="AR256" s="1452"/>
      <c r="AS256" s="1455"/>
      <c r="AT256" s="1458"/>
      <c r="AU256" s="516"/>
      <c r="AV256" s="1479"/>
      <c r="AW256" s="1479"/>
      <c r="BC256" s="38"/>
      <c r="BD256" s="38"/>
      <c r="BE256" s="38"/>
      <c r="BF256" s="38"/>
      <c r="BG256" s="38"/>
      <c r="BH256" s="38"/>
      <c r="BI256" s="38"/>
      <c r="BJ256" s="38"/>
      <c r="BK256" s="38"/>
      <c r="BL256" s="38"/>
      <c r="BM256" s="38"/>
      <c r="BN256" s="38"/>
      <c r="BO256" s="38"/>
      <c r="BP256" s="38"/>
      <c r="BQ256" s="38"/>
      <c r="BR256" s="38"/>
      <c r="BS256" s="38"/>
      <c r="BT256" s="38"/>
      <c r="BU256" s="38"/>
      <c r="BV256" s="38"/>
      <c r="BW256" s="38"/>
      <c r="BX256" s="38"/>
      <c r="BY256" s="38"/>
      <c r="BZ256" s="38"/>
      <c r="CA256" s="38"/>
      <c r="CB256" s="38"/>
      <c r="CC256" s="38"/>
      <c r="CD256" s="38"/>
      <c r="CE256" s="38"/>
      <c r="CF256" s="38"/>
      <c r="CG256" s="38"/>
      <c r="CH256" s="38"/>
      <c r="CI256" s="38"/>
      <c r="CM256" s="1352"/>
      <c r="CN256" s="1352"/>
      <c r="CO256" s="1415" t="str">
        <f>CN254</f>
        <v/>
      </c>
      <c r="CP256" s="1417" t="e">
        <f>CP254</f>
        <v>#N/A</v>
      </c>
      <c r="CR256" s="1386" t="s">
        <v>284</v>
      </c>
      <c r="CS256" s="1353">
        <f>IF(HW254=TRUE,T256,0)</f>
        <v>0</v>
      </c>
      <c r="CT256" s="1353" t="str">
        <f>IF(HW254=TRUE,U256,"")</f>
        <v/>
      </c>
      <c r="CU256" s="1373">
        <f>IF(HW254=TRUE,U257,0)</f>
        <v>0</v>
      </c>
      <c r="CV256" s="1370">
        <f>IF(HW254=TRUE,AB257,0)</f>
        <v>0</v>
      </c>
      <c r="CW256" s="1370">
        <f>IF(HW254=TRUE,AC257,0)</f>
        <v>0</v>
      </c>
      <c r="CX256" s="1371"/>
      <c r="CY256" s="1486"/>
      <c r="CZ256" s="1486"/>
      <c r="DA256" s="1486"/>
      <c r="DC256" s="1353">
        <f>IF(HW254=TRUE,AE256,0)</f>
        <v>0</v>
      </c>
      <c r="DD256" s="1353" t="str">
        <f>IF(HW254=TRUE,AF256,"")</f>
        <v/>
      </c>
      <c r="DE256" s="1373">
        <f>AF257</f>
        <v>0</v>
      </c>
      <c r="DF256" s="1406">
        <f>IFERROR(IF(FL256=3,IK256,IF(FL256=4,IL256,IF(FL256=5,IM256,IF(FL256=6,IN256,IF(FL256=7,IO256,IF(FL256=8,IP256,0)))))),0)</f>
        <v>0</v>
      </c>
      <c r="DG256" s="1370">
        <f>IF(HW254=TRUE,AK256,0)</f>
        <v>0</v>
      </c>
      <c r="DH256" s="1369"/>
      <c r="DK256" s="1483">
        <f>IFERROR(CW256-DG256,0)</f>
        <v>0</v>
      </c>
      <c r="DL256" s="1420"/>
      <c r="DN256" s="1403"/>
      <c r="DO256" s="1477" t="str">
        <f>DN254</f>
        <v/>
      </c>
      <c r="DP256" s="1354"/>
      <c r="DQ256" s="1477" t="str">
        <f>IF(DP254=7,"LLLC","")</f>
        <v/>
      </c>
      <c r="DR256" s="1403"/>
      <c r="DS256" s="1489"/>
      <c r="DU256" s="1403"/>
      <c r="DV256" s="1404" t="str">
        <f>DU254</f>
        <v/>
      </c>
      <c r="DW256" s="1403"/>
      <c r="DX256" s="1403"/>
      <c r="DZ256" s="1481"/>
      <c r="EA256" s="1481"/>
      <c r="EC256" s="1482"/>
      <c r="ED256" s="1369"/>
      <c r="EE256" s="1371"/>
      <c r="EF256" s="1369"/>
      <c r="EG256" s="1369"/>
      <c r="EH256" s="1374"/>
      <c r="EI256" s="1374"/>
      <c r="EJ256" s="1363"/>
      <c r="EK256" s="1376"/>
      <c r="EL256" s="1376"/>
      <c r="EM256" s="1362"/>
      <c r="EN256" s="1362"/>
      <c r="EO256" s="1363"/>
      <c r="EP256" s="1363"/>
      <c r="EQ256" s="1363"/>
      <c r="ES256" s="1403"/>
      <c r="EU256" s="1411" t="e">
        <f>VLOOKUP(CP256,'Space Table'!$B$3:$L$160,8,FALSE)</f>
        <v>#N/A</v>
      </c>
      <c r="EV256" s="1411" t="e">
        <f>IF(EY256="Yes",VLOOKUP(AF256,Lookup_Control_Type_Table2,4,FALSE),VLOOKUP(AF256,Lookup_Control_Type_Table2,3,FALSE))</f>
        <v>#N/A</v>
      </c>
      <c r="EW256" s="1411" t="e">
        <f>VLOOKUP(AF256,Lookup!AU$3:AV$15,2,FALSE)</f>
        <v>#N/A</v>
      </c>
      <c r="EX256" s="1411" t="e">
        <f>VLOOKUP(EU254,Lookup_Control_Type_Table,2,FALSE)</f>
        <v>#N/A</v>
      </c>
      <c r="EY256" s="1411" t="e">
        <f>VLOOKUP(CP256,'Space Table'!$B$3:$L$160,7,FALSE)</f>
        <v>#N/A</v>
      </c>
      <c r="EZ256" s="1413"/>
      <c r="FB256" s="1365" t="str">
        <f>CONCATENATE(CN254," - ",AF256)</f>
        <v xml:space="preserve"> - </v>
      </c>
      <c r="FD256" s="1354"/>
      <c r="FE256" s="1354"/>
      <c r="FF256" s="138"/>
      <c r="FI256" s="1356" t="str">
        <f>IF(CN254="Exterior","Not Daylighted",G257)</f>
        <v>Not Daylighted</v>
      </c>
      <c r="FJ256" s="1356">
        <f>VLOOKUP(FI256,_Daylight_Table_Codes,2,FALSE)</f>
        <v>0</v>
      </c>
      <c r="FK256" s="1365">
        <f>AF256</f>
        <v>0</v>
      </c>
      <c r="FL256" s="1365" t="e">
        <f>VLOOKUP(FK256,_Control_Table,2,FALSE)</f>
        <v>#N/A</v>
      </c>
      <c r="FM256" s="1365" t="e">
        <f>IF(AND(FP256&gt;0,FK256="Occupancy Sensor"),"Daylight + Occupancy",IF(AND(FP256&gt;0,FL256&lt;4),"Interior Daylight Dimming",FK256))</f>
        <v>#N/A</v>
      </c>
      <c r="FO256" s="1364">
        <f>IF(CN254="Interior",VLOOKUP(CP254,Control_Savings_Interior,5,FALSE),0)</f>
        <v>0</v>
      </c>
      <c r="FP256" s="1361">
        <f>IF(CN256="Exterior",0,IF(FJ256=2,0.5,IF(OR(FJ256=1,FJ256=3),1,0)))</f>
        <v>0</v>
      </c>
      <c r="FQ256" s="1366">
        <f>IF(R255&gt;FO$37,(FO256*(FO$37/R255)),FO256)*FP256</f>
        <v>0</v>
      </c>
      <c r="FR256" s="1364">
        <f>DF256</f>
        <v>0</v>
      </c>
      <c r="FS256" s="1364">
        <f>ROUND(FR256+((1-FR256)*FQ256),2)</f>
        <v>0</v>
      </c>
      <c r="FT256" s="1364">
        <f>IF(__Retrofit_TI_NC=2,FS256,FR256)</f>
        <v>0</v>
      </c>
      <c r="FU256" s="1360">
        <f>IF(CO256="Interior",VLOOKUP(CP256,Control_Savings_Interior,4,FALSE),0)</f>
        <v>0</v>
      </c>
      <c r="FW256" s="1352"/>
      <c r="FX256" s="1352"/>
      <c r="FY256" s="1352"/>
      <c r="FZ256" s="1352"/>
      <c r="GA256" s="1352"/>
      <c r="GB256" s="1352"/>
      <c r="GC256" s="1352"/>
      <c r="GD256" s="1352"/>
      <c r="GE256" s="759" t="b">
        <f>IF(ISNUMBER(SEARCH("TLED",U256)),TRUE,FALSE)</f>
        <v>0</v>
      </c>
      <c r="GF256" s="1035" t="str">
        <f>IFERROR(VLOOKUP(U256,Fixtures!DM$93:DR$142,6,FALSE),"")</f>
        <v/>
      </c>
      <c r="GG256" s="1385"/>
      <c r="GI256" s="1383"/>
      <c r="GJ256" s="1379"/>
      <c r="GL256" s="1379"/>
      <c r="GM256" s="1379"/>
      <c r="HC256" s="1379"/>
      <c r="HD256" s="1379"/>
      <c r="HE256" s="1379"/>
      <c r="HF256" s="1379"/>
      <c r="HG256" s="1379"/>
      <c r="HH256" s="1379"/>
      <c r="HI256" s="1383"/>
      <c r="HJ256" s="1383"/>
      <c r="HK256" s="1383"/>
      <c r="HL256" s="1379"/>
      <c r="HM256" s="1379"/>
      <c r="HN256" s="1379"/>
      <c r="HO256" s="1379"/>
      <c r="HP256" s="1379"/>
      <c r="HQ256" s="1379"/>
      <c r="HR256" s="1379"/>
      <c r="HS256" s="1379"/>
      <c r="HT256" s="1379"/>
      <c r="HU256" s="1379"/>
      <c r="HW256" s="1383"/>
      <c r="HX256" s="1384" t="b">
        <f>HW254</f>
        <v>0</v>
      </c>
      <c r="HY256" s="1378"/>
      <c r="HZ256" s="436"/>
      <c r="IA256" s="1386"/>
      <c r="IB256" s="1380">
        <f>IF(IA254=TRUE,AC257,0)</f>
        <v>0</v>
      </c>
      <c r="IC256" s="1379"/>
      <c r="IF256" s="1380" t="e">
        <f>ROUND(T256*AB257*N255*R255/1000,0)</f>
        <v>#VALUE!</v>
      </c>
      <c r="IG256" s="1382"/>
      <c r="IH256" s="1384" t="e">
        <f>ROUND(T256*AB257*N255*R255/1000,0)</f>
        <v>#VALUE!</v>
      </c>
      <c r="II256" s="1382"/>
      <c r="IK256" s="1351" t="e">
        <f>IF($CO256="interior",IL256/2,VLOOKUP($CP256,Control_Savings_Exterior,IK$30,FALSE))</f>
        <v>#N/A</v>
      </c>
      <c r="IL256" s="1351" t="e">
        <f>IF($CO256="interior",VLOOKUP($CP256,Control_Savings_Interior,IL$30,FALSE),VLOOKUP($CP256,Control_Savings_Exterior,IL$30,FALSE))</f>
        <v>#N/A</v>
      </c>
      <c r="IM256" s="1351" t="e">
        <f>IF($CO256="interior",IF(R255&gt;FO$37,(IM$28*(FO$37/R255)),IM$28)*FP256,VLOOKUP($CP256,Control_Savings_Exterior,IM$30,FALSE))</f>
        <v>#N/A</v>
      </c>
      <c r="IN256" s="1351" t="e">
        <f>IF($CO256="interior",ROUND(((1-IL256)*IM256)+IL256,2),VLOOKUP($CP256,Control_Savings_Exterior,IN$30,FALSE))</f>
        <v>#N/A</v>
      </c>
      <c r="IO256" s="1351" t="e">
        <f>IF($CO256="interior", ROUND(((1-IL256)*(IM256*(1-IP$28)))+IP256,2), VLOOKUP($CP256,Control_Savings_Exterior,IO$30,FALSE))</f>
        <v>#N/A</v>
      </c>
      <c r="IP256" s="1351">
        <f>IF($CO256="interior",ROUND(((1-IL256)*IP$28)+IL256,2),0)</f>
        <v>0</v>
      </c>
    </row>
    <row r="257" spans="1:250" s="82" customFormat="1" ht="14.95" customHeight="1" thickTop="1" thickBot="1">
      <c r="B257" s="1421"/>
      <c r="C257" s="1422"/>
      <c r="D257" s="1423"/>
      <c r="E257" s="1462" t="s">
        <v>357</v>
      </c>
      <c r="F257" s="1463"/>
      <c r="G257" s="1464" t="s">
        <v>362</v>
      </c>
      <c r="H257" s="1465"/>
      <c r="I257" s="1465"/>
      <c r="J257" s="1465"/>
      <c r="K257" s="1465"/>
      <c r="L257" s="1466"/>
      <c r="M257" s="669">
        <f>IFERROR(VLOOKUP(G257,_Daylight_Table[],2,FALSE),0)</f>
        <v>0</v>
      </c>
      <c r="N257" s="670"/>
      <c r="O257" s="669" t="e">
        <f>VLOOKUP(G256,'Space Table'!$B$3:$L$160,11,FALSE)</f>
        <v>#N/A</v>
      </c>
      <c r="P257" s="1408"/>
      <c r="Q257" s="1409"/>
      <c r="R257" s="1409"/>
      <c r="S257" s="1402"/>
      <c r="T257" s="671" t="s">
        <v>281</v>
      </c>
      <c r="U257" s="1467" t="str">
        <f>IFERROR(VLOOKUP(U256,Fixtures!DM$93:DP$142,4,FALSE),"")</f>
        <v/>
      </c>
      <c r="V257" s="1468"/>
      <c r="W257" s="1468"/>
      <c r="X257" s="1468"/>
      <c r="Y257" s="1468"/>
      <c r="Z257" s="1468"/>
      <c r="AA257" s="1468"/>
      <c r="AB257" s="1046" t="str">
        <f>IFERROR(VLOOKUP(U256,Fixtures_Proposed_List,2,FALSE),"")</f>
        <v/>
      </c>
      <c r="AC257" s="1036" t="str">
        <f>IFERROR(ROUND(T256*AB257*N255*R255/1000,0),"")</f>
        <v/>
      </c>
      <c r="AD257" s="1037" t="str">
        <f>IFERROR(ROUND(T256*AB257/1000,2),"")</f>
        <v/>
      </c>
      <c r="AE257" s="1045" t="s">
        <v>281</v>
      </c>
      <c r="AF257" s="1469"/>
      <c r="AG257" s="1469"/>
      <c r="AH257" s="1469"/>
      <c r="AI257" s="1469"/>
      <c r="AJ257" s="1476"/>
      <c r="AK257" s="1471"/>
      <c r="AL257" s="1473"/>
      <c r="AM257" s="1443"/>
      <c r="AN257" s="1444"/>
      <c r="AO257" s="1449"/>
      <c r="AP257" s="1449"/>
      <c r="AQ257" s="1450"/>
      <c r="AR257" s="1453"/>
      <c r="AS257" s="1456"/>
      <c r="AT257" s="1459"/>
      <c r="AU257" s="517"/>
      <c r="AV257" s="1480"/>
      <c r="AW257" s="1480"/>
      <c r="BC257" s="38"/>
      <c r="BD257" s="38"/>
      <c r="BE257" s="38"/>
      <c r="BF257" s="38"/>
      <c r="BG257" s="38"/>
      <c r="BH257" s="38"/>
      <c r="BI257" s="38"/>
      <c r="BJ257" s="38"/>
      <c r="BK257" s="38"/>
      <c r="BL257" s="38"/>
      <c r="BM257" s="38"/>
      <c r="BN257" s="38"/>
      <c r="BO257" s="38"/>
      <c r="BP257" s="38"/>
      <c r="BQ257" s="38"/>
      <c r="BR257" s="38"/>
      <c r="BS257" s="38"/>
      <c r="BT257" s="38"/>
      <c r="BU257" s="38"/>
      <c r="BV257" s="38"/>
      <c r="BW257" s="38"/>
      <c r="BX257" s="38"/>
      <c r="BY257" s="38"/>
      <c r="BZ257" s="38"/>
      <c r="CA257" s="38"/>
      <c r="CB257" s="38"/>
      <c r="CC257" s="38"/>
      <c r="CD257" s="38"/>
      <c r="CE257" s="38"/>
      <c r="CF257" s="38"/>
      <c r="CG257" s="38"/>
      <c r="CH257" s="38"/>
      <c r="CI257" s="38"/>
      <c r="CM257" s="1352"/>
      <c r="CN257" s="1352"/>
      <c r="CO257" s="1416"/>
      <c r="CP257" s="1418"/>
      <c r="CR257" s="1386"/>
      <c r="CS257" s="1355"/>
      <c r="CT257" s="1355"/>
      <c r="CU257" s="1375"/>
      <c r="CV257" s="1372"/>
      <c r="CW257" s="1372"/>
      <c r="CX257" s="1372"/>
      <c r="CY257" s="1487"/>
      <c r="CZ257" s="1487"/>
      <c r="DA257" s="1487"/>
      <c r="DC257" s="1355"/>
      <c r="DD257" s="1355"/>
      <c r="DE257" s="1375"/>
      <c r="DF257" s="1407"/>
      <c r="DG257" s="1372"/>
      <c r="DH257" s="1369"/>
      <c r="DK257" s="1484"/>
      <c r="DL257" s="1420"/>
      <c r="DN257" s="1403"/>
      <c r="DO257" s="1405"/>
      <c r="DP257" s="1355"/>
      <c r="DQ257" s="1405"/>
      <c r="DR257" s="1403"/>
      <c r="DS257" s="1489"/>
      <c r="DU257" s="1403"/>
      <c r="DV257" s="1405"/>
      <c r="DW257" s="1403"/>
      <c r="DX257" s="1403"/>
      <c r="DZ257" s="1481"/>
      <c r="EA257" s="1481"/>
      <c r="EC257" s="1482"/>
      <c r="ED257" s="1369"/>
      <c r="EE257" s="1372"/>
      <c r="EF257" s="1369"/>
      <c r="EG257" s="1369"/>
      <c r="EH257" s="1375"/>
      <c r="EI257" s="1375"/>
      <c r="EJ257" s="1363"/>
      <c r="EK257" s="1376"/>
      <c r="EL257" s="1376"/>
      <c r="EM257" s="1362"/>
      <c r="EN257" s="1362"/>
      <c r="EO257" s="1363"/>
      <c r="EP257" s="1363"/>
      <c r="EQ257" s="1363"/>
      <c r="ES257" s="1403"/>
      <c r="EU257" s="1488"/>
      <c r="EV257" s="1488"/>
      <c r="EW257" s="1488"/>
      <c r="EX257" s="1488"/>
      <c r="EY257" s="1488"/>
      <c r="EZ257" s="1414"/>
      <c r="FB257" s="1365"/>
      <c r="FD257" s="1355"/>
      <c r="FE257" s="1355"/>
      <c r="FF257" s="138"/>
      <c r="FI257" s="1357"/>
      <c r="FJ257" s="1357"/>
      <c r="FK257" s="1365"/>
      <c r="FL257" s="1365"/>
      <c r="FM257" s="1365"/>
      <c r="FO257" s="1361"/>
      <c r="FP257" s="1361"/>
      <c r="FQ257" s="1366"/>
      <c r="FR257" s="1361"/>
      <c r="FS257" s="1361"/>
      <c r="FT257" s="1361"/>
      <c r="FU257" s="1360"/>
      <c r="FW257" s="1352"/>
      <c r="FX257" s="1352"/>
      <c r="FY257" s="1352"/>
      <c r="FZ257" s="1352"/>
      <c r="GA257" s="1352"/>
      <c r="GB257" s="1352"/>
      <c r="GC257" s="1352"/>
      <c r="GD257" s="1352"/>
      <c r="GE257" s="759"/>
      <c r="GF257" s="1035"/>
      <c r="GG257" s="1385"/>
      <c r="GJ257" s="1034">
        <f>IF(GJ255=TRUE,0,GJ$16)</f>
        <v>0</v>
      </c>
      <c r="GL257" s="1034">
        <f>IF(GL255=TRUE,0,GL$16)</f>
        <v>36</v>
      </c>
      <c r="GM257" s="1034">
        <f>IF(GM255=TRUE,0,GM$16)</f>
        <v>35</v>
      </c>
      <c r="GN257" s="436"/>
      <c r="GO257" s="436"/>
      <c r="GP257" s="436"/>
      <c r="GQ257" s="436"/>
      <c r="GR257" s="436"/>
      <c r="HC257" s="1034">
        <f t="shared" ref="HC257:HH257" si="178">IF(HC255=TRUE,0,HC$16)</f>
        <v>19</v>
      </c>
      <c r="HD257" s="1034">
        <f t="shared" si="178"/>
        <v>18</v>
      </c>
      <c r="HE257" s="1034">
        <f t="shared" si="178"/>
        <v>17</v>
      </c>
      <c r="HF257" s="1034">
        <f t="shared" si="178"/>
        <v>16</v>
      </c>
      <c r="HG257" s="1034">
        <f t="shared" si="178"/>
        <v>0</v>
      </c>
      <c r="HH257" s="1034">
        <f t="shared" si="178"/>
        <v>0</v>
      </c>
      <c r="HI257" s="1034">
        <f>IF(HI255=TRUE,0,HI$16)</f>
        <v>13</v>
      </c>
      <c r="HJ257" s="1034">
        <f t="shared" ref="HJ257:HL257" si="179">IF(HJ255=TRUE,0,HJ$16)</f>
        <v>12</v>
      </c>
      <c r="HK257" s="1034">
        <f t="shared" si="179"/>
        <v>11</v>
      </c>
      <c r="HL257" s="1034">
        <f t="shared" si="179"/>
        <v>10</v>
      </c>
      <c r="HM257" s="1034">
        <f>IF(HM255=TRUE,0,HM$16)</f>
        <v>9</v>
      </c>
      <c r="HN257" s="1034">
        <f t="shared" ref="HN257:HR257" si="180">IF(HN255=TRUE,0,HN$16)</f>
        <v>0</v>
      </c>
      <c r="HO257" s="1034">
        <f t="shared" si="180"/>
        <v>0</v>
      </c>
      <c r="HP257" s="1034">
        <f t="shared" si="180"/>
        <v>0</v>
      </c>
      <c r="HQ257" s="1034">
        <f t="shared" si="180"/>
        <v>0</v>
      </c>
      <c r="HR257" s="1034">
        <f t="shared" si="180"/>
        <v>0</v>
      </c>
      <c r="HS257" s="1034">
        <f>IF(HS255=TRUE,0,HS$16)</f>
        <v>0</v>
      </c>
      <c r="HT257" s="1034">
        <f t="shared" ref="HT257" si="181">IF(HT255=TRUE,0,HT$16)</f>
        <v>0</v>
      </c>
      <c r="HU257" s="1034">
        <f>IF(HU255=TRUE,0,HU$16)</f>
        <v>1</v>
      </c>
      <c r="HW257" s="1034">
        <f>IF(GL255=FALSE,GL257,IF(GM255=FALSE,GM257,MAX(GJ257:HU257)))</f>
        <v>36</v>
      </c>
      <c r="HX257" s="1383"/>
      <c r="HY257" s="241" t="str">
        <f>VLOOKUP(HW257,_Error_Table,3,FALSE)</f>
        <v xml:space="preserve"> </v>
      </c>
      <c r="HZ257" s="241"/>
      <c r="IA257" s="1386"/>
      <c r="IB257" s="1380"/>
      <c r="IC257" s="1379"/>
      <c r="IF257" s="1380"/>
      <c r="IG257" s="1383"/>
      <c r="IH257" s="1383"/>
      <c r="II257" s="1383"/>
      <c r="IK257" s="1351"/>
      <c r="IL257" s="1351"/>
      <c r="IM257" s="1351"/>
      <c r="IN257" s="1351"/>
      <c r="IO257" s="1351"/>
      <c r="IP257" s="1351"/>
    </row>
    <row r="258" spans="1:250" s="82" customFormat="1" ht="5.0999999999999996" customHeight="1" thickBot="1">
      <c r="B258" s="763"/>
      <c r="C258" s="1038"/>
      <c r="D258" s="1038"/>
      <c r="E258" s="1490"/>
      <c r="F258" s="1490"/>
      <c r="G258" s="1490"/>
      <c r="H258" s="1490"/>
      <c r="I258" s="1490"/>
      <c r="J258" s="1490"/>
      <c r="K258" s="1490"/>
      <c r="L258" s="1490"/>
      <c r="M258" s="1490"/>
      <c r="N258" s="1490"/>
      <c r="O258" s="1490"/>
      <c r="P258" s="1490"/>
      <c r="Q258" s="1490"/>
      <c r="R258" s="1490"/>
      <c r="S258" s="1490"/>
      <c r="T258" s="1490"/>
      <c r="U258" s="1490"/>
      <c r="V258" s="1490"/>
      <c r="W258" s="1490"/>
      <c r="X258" s="1490"/>
      <c r="Y258" s="1490"/>
      <c r="Z258" s="1490"/>
      <c r="AA258" s="1490"/>
      <c r="AB258" s="1490"/>
      <c r="AC258" s="1490"/>
      <c r="AD258" s="1490"/>
      <c r="AE258" s="1490"/>
      <c r="AF258" s="1490"/>
      <c r="AG258" s="1490"/>
      <c r="AH258" s="1490"/>
      <c r="AI258" s="1490"/>
      <c r="AJ258" s="1490"/>
      <c r="AK258" s="1490"/>
      <c r="AL258" s="1490"/>
      <c r="AM258" s="1490"/>
      <c r="AN258" s="1490"/>
      <c r="AO258" s="1490"/>
      <c r="AP258" s="1490"/>
      <c r="AQ258" s="1490"/>
      <c r="AR258" s="1490"/>
      <c r="AS258" s="1490"/>
      <c r="AT258" s="1490"/>
      <c r="AU258" s="1041"/>
      <c r="BC258" s="38"/>
      <c r="BD258" s="38"/>
      <c r="BE258" s="38"/>
      <c r="BF258" s="38"/>
      <c r="BG258" s="38"/>
      <c r="BH258" s="38"/>
      <c r="BI258" s="38"/>
      <c r="BJ258" s="38"/>
      <c r="BK258" s="38"/>
      <c r="BL258" s="38"/>
      <c r="BM258" s="38"/>
      <c r="BN258" s="38"/>
      <c r="BO258" s="38"/>
      <c r="BP258" s="38"/>
      <c r="BQ258" s="38"/>
      <c r="BR258" s="38"/>
      <c r="BS258" s="38"/>
      <c r="BT258" s="38"/>
      <c r="BU258" s="38"/>
      <c r="BV258" s="38"/>
      <c r="BW258" s="38"/>
      <c r="BX258" s="38"/>
      <c r="BY258" s="38"/>
      <c r="BZ258" s="38"/>
      <c r="CA258" s="38"/>
      <c r="CB258" s="38"/>
      <c r="CC258" s="38"/>
      <c r="CD258" s="38"/>
      <c r="CE258" s="38"/>
      <c r="CF258" s="38"/>
      <c r="CG258" s="38"/>
      <c r="CH258" s="38"/>
      <c r="CI258" s="38"/>
      <c r="CM258" s="749"/>
      <c r="CN258" s="749"/>
      <c r="CO258" s="1043"/>
      <c r="CP258" s="749"/>
      <c r="CS258" s="436"/>
      <c r="CT258" s="436"/>
      <c r="CU258" s="243"/>
      <c r="CV258" s="244"/>
      <c r="CW258" s="244"/>
      <c r="CX258" s="244"/>
      <c r="CY258" s="245"/>
      <c r="CZ258" s="245"/>
      <c r="DA258" s="245"/>
      <c r="DC258" s="750"/>
      <c r="DD258" s="751"/>
      <c r="DE258" s="752"/>
      <c r="DF258" s="753"/>
      <c r="DG258" s="754"/>
      <c r="DH258" s="754"/>
      <c r="DK258" s="244"/>
      <c r="DL258" s="750"/>
      <c r="DN258" s="750"/>
      <c r="DO258" s="755"/>
      <c r="DP258" s="436"/>
      <c r="DQ258" s="750"/>
      <c r="DR258" s="750"/>
      <c r="DS258" s="750"/>
      <c r="DU258" s="750"/>
      <c r="DV258" s="750"/>
      <c r="DW258" s="750"/>
      <c r="DX258" s="750"/>
      <c r="DZ258" s="756"/>
      <c r="EA258" s="756"/>
      <c r="EC258" s="754"/>
      <c r="ED258" s="754"/>
      <c r="EE258" s="244"/>
      <c r="EF258" s="754"/>
      <c r="EG258" s="754"/>
      <c r="EH258" s="243"/>
      <c r="EI258" s="243"/>
      <c r="EJ258" s="752"/>
      <c r="EK258" s="757"/>
      <c r="EL258" s="757"/>
      <c r="EM258" s="758"/>
      <c r="EN258" s="758"/>
      <c r="EO258" s="752"/>
      <c r="EP258" s="752"/>
      <c r="EQ258" s="752"/>
      <c r="ES258" s="750"/>
      <c r="EU258" s="436"/>
      <c r="EV258" s="436"/>
      <c r="EW258" s="436"/>
      <c r="EX258" s="436"/>
      <c r="EY258" s="436"/>
      <c r="EZ258" s="436"/>
      <c r="FB258" s="643"/>
      <c r="FD258" s="436"/>
      <c r="FE258" s="436"/>
      <c r="FF258" s="436"/>
      <c r="FO258" s="750"/>
      <c r="FP258" s="436"/>
      <c r="FQ258" s="436"/>
      <c r="FR258" s="750"/>
      <c r="FS258" s="750"/>
      <c r="FW258" s="749"/>
      <c r="FX258" s="749"/>
      <c r="FY258" s="749"/>
      <c r="FZ258" s="749"/>
      <c r="GA258" s="749"/>
      <c r="GB258" s="749"/>
      <c r="GC258" s="749"/>
      <c r="GD258" s="749"/>
      <c r="GE258" s="751"/>
      <c r="GF258" s="750"/>
      <c r="GG258" s="750"/>
    </row>
    <row r="259" spans="1:250" s="82" customFormat="1" ht="14.95" customHeight="1" thickTop="1" thickBot="1">
      <c r="B259" s="1421" t="str">
        <f>HY262</f>
        <v xml:space="preserve"> </v>
      </c>
      <c r="C259" s="1422">
        <f>C254+1</f>
        <v>43</v>
      </c>
      <c r="D259" s="1423"/>
      <c r="E259" s="1424" t="s">
        <v>242</v>
      </c>
      <c r="F259" s="1425"/>
      <c r="G259" s="1426"/>
      <c r="H259" s="1427"/>
      <c r="I259" s="1427"/>
      <c r="J259" s="1427"/>
      <c r="K259" s="1427"/>
      <c r="L259" s="1427"/>
      <c r="M259" s="1427"/>
      <c r="N259" s="1427"/>
      <c r="O259" s="1427"/>
      <c r="P259" s="1427"/>
      <c r="Q259" s="1427"/>
      <c r="R259" s="1427"/>
      <c r="S259" s="1428" t="s">
        <v>283</v>
      </c>
      <c r="T259" s="668" t="s">
        <v>190</v>
      </c>
      <c r="U259" s="1430" t="s">
        <v>186</v>
      </c>
      <c r="V259" s="1431"/>
      <c r="W259" s="1431"/>
      <c r="X259" s="1431"/>
      <c r="Y259" s="1431"/>
      <c r="Z259" s="1431"/>
      <c r="AA259" s="1431"/>
      <c r="AB259" s="1088" t="str">
        <f>IFERROR(IF(__Retrofit_TI_NC=0,VLOOKUP(U260,Fixtures_Existing_List,2,FALSE),ROUND(N261*R261/T261,10)),"")</f>
        <v/>
      </c>
      <c r="AC259" s="1039" t="str">
        <f>IFERROR(IF(__Retrofit_TI_NC=0,ROUND(T260*AB259*N260*R260/1000,0),IF(CN259="Interior",N261*R261*R260*N260*_C406_reduction/1000,N261*R261*R260*N260/1000)),"")</f>
        <v/>
      </c>
      <c r="AD259" s="1040" t="str">
        <f>IFERROR(IF(C$36=0,ROUND(T260*AB259/1000,2),N261*R261/1000),"")</f>
        <v/>
      </c>
      <c r="AE259" s="1044" t="s">
        <v>190</v>
      </c>
      <c r="AF259" s="1432" t="str">
        <f>IF(__Retrofit_TI_NC=2,CONCATENATE("Code min = ",DD259),IF(__Retrofit_TI_NC=1,"Emter what you think the existing control was"," Control"))</f>
        <v xml:space="preserve"> Control</v>
      </c>
      <c r="AG259" s="1432"/>
      <c r="AH259" s="1432"/>
      <c r="AI259" s="1432"/>
      <c r="AJ259" s="1433">
        <f>DF259</f>
        <v>0</v>
      </c>
      <c r="AK259" s="1435" t="str">
        <f>IFERROR(ROUND(AJ259*AC259,0),"")</f>
        <v/>
      </c>
      <c r="AL259" s="1437">
        <f>IFERROR(IF(HW259=FALSE,0,AC259-AK259),0)</f>
        <v>0</v>
      </c>
      <c r="AM259" s="1439">
        <f>AL259-AL261</f>
        <v>0</v>
      </c>
      <c r="AN259" s="1440"/>
      <c r="AO259" s="1445">
        <f>IFERROR(IF(HW259=FALSE,0,(T261*U262)+(AE261*AF262)),0)</f>
        <v>0</v>
      </c>
      <c r="AP259" s="1445"/>
      <c r="AQ259" s="1446"/>
      <c r="AR259" s="1451" t="s">
        <v>157</v>
      </c>
      <c r="AS259" s="1454">
        <f>IF(AR259="Yes",1,0)</f>
        <v>1</v>
      </c>
      <c r="AT259" s="1457" t="str">
        <f>IF(OR(DN259=4,DN259=5,DN259=6,DN259=12),CONCATENATE("$",IF(GD259=TRUE,Lookup!$B$11,Lookup!$B$2)," /lamp"),CONCATENATE(EA259,"/ kWh"))</f>
        <v>0/ kWh</v>
      </c>
      <c r="AU259" s="516"/>
      <c r="AV259" s="1478">
        <f>IFERROR(IF(GI260=TRUE,(AB262*T261)/R261,0),"NA")</f>
        <v>0</v>
      </c>
      <c r="AW259" s="1478" t="str">
        <f>IFERROR(N261*_C406_reduction,"NA")</f>
        <v>NA</v>
      </c>
      <c r="BC259" s="38"/>
      <c r="BD259" s="38"/>
      <c r="BE259" s="38"/>
      <c r="BF259" s="38"/>
      <c r="BG259" s="38"/>
      <c r="BH259" s="38"/>
      <c r="BI259" s="38"/>
      <c r="BJ259" s="38"/>
      <c r="BK259" s="38"/>
      <c r="BL259" s="38"/>
      <c r="BM259" s="38"/>
      <c r="BN259" s="38"/>
      <c r="BO259" s="38"/>
      <c r="BP259" s="38"/>
      <c r="BQ259" s="38"/>
      <c r="BR259" s="38"/>
      <c r="BS259" s="38"/>
      <c r="BT259" s="38"/>
      <c r="BU259" s="38"/>
      <c r="BV259" s="38"/>
      <c r="BW259" s="38"/>
      <c r="BX259" s="38"/>
      <c r="BY259" s="38"/>
      <c r="BZ259" s="38"/>
      <c r="CA259" s="38"/>
      <c r="CB259" s="38"/>
      <c r="CC259" s="38"/>
      <c r="CD259" s="38"/>
      <c r="CE259" s="38"/>
      <c r="CF259" s="38"/>
      <c r="CG259" s="38"/>
      <c r="CH259" s="38"/>
      <c r="CI259" s="38"/>
      <c r="CM259" s="1352" t="str">
        <f>N260</f>
        <v/>
      </c>
      <c r="CN259" s="1352" t="str">
        <f>IFERROR(VLOOKUP(G260,_Lookup_Heat_Type_Table_New,3,FALSE),"")</f>
        <v/>
      </c>
      <c r="CO259" s="1415" t="str">
        <f>CN259</f>
        <v/>
      </c>
      <c r="CP259" s="1417" t="e">
        <f>VLOOKUP(G261,'Space Table'!$B$3:$L$160,9,FALSE)</f>
        <v>#N/A</v>
      </c>
      <c r="CR259" s="1386" t="s">
        <v>283</v>
      </c>
      <c r="CS259" s="1353">
        <f>IF(HW259=TRUE,T260,0)</f>
        <v>0</v>
      </c>
      <c r="CT259" s="1353" t="str">
        <f>IF(HW259=TRUE,U260,"")</f>
        <v/>
      </c>
      <c r="CU259" s="1353"/>
      <c r="CV259" s="1370">
        <f>IF(HW259=TRUE,AB259,0)</f>
        <v>0</v>
      </c>
      <c r="CW259" s="1370">
        <f>IF(HW259=TRUE,AC259,0)</f>
        <v>0</v>
      </c>
      <c r="CX259" s="1370">
        <f>IFERROR(IF(HW259=TRUE,CW259-CW261,0),0)</f>
        <v>0</v>
      </c>
      <c r="CY259" s="1485">
        <f>IF(HW259=TRUE,AD259,0)</f>
        <v>0</v>
      </c>
      <c r="CZ259" s="1485">
        <f>IF(HW259=TRUE,AD262,0)</f>
        <v>0</v>
      </c>
      <c r="DA259" s="1485">
        <f>IFERROR(CY259-CZ259,0)</f>
        <v>0</v>
      </c>
      <c r="DC259" s="1353">
        <f>IF(HW259=TRUE,AE260,0)</f>
        <v>0</v>
      </c>
      <c r="DD259" s="1460">
        <f>IF(__Retrofit_TI_NC=2,IF(CN259="Exterior",O262,FM259),FK259)</f>
        <v>0</v>
      </c>
      <c r="DE259" s="1353"/>
      <c r="DF259" s="1406">
        <f>IFERROR(IF(FL259=3,IK259,IF(FL259=4,IL259,IF(FL259=5,IM259,IF(FL259=6,IN259,IF(FL259=7,IO259,IF(FL259=8,IP259,0)))))),0)</f>
        <v>0</v>
      </c>
      <c r="DG259" s="1370">
        <f>IF(HW259=TRUE,AK259,0)</f>
        <v>0</v>
      </c>
      <c r="DH259" s="1369">
        <f>IFERROR(IF(HW259=TRUE,DG261-DG259,0),0)</f>
        <v>0</v>
      </c>
      <c r="DJ259" s="1483">
        <f>IFERROR(CW259-DG259,0)</f>
        <v>0</v>
      </c>
      <c r="DL259" s="1419">
        <f>DJ259-DK261</f>
        <v>0</v>
      </c>
      <c r="DN259" s="1403" t="str">
        <f>IFERROR(IF(AND(OR(FY259=4,FY259=5,FY259=6),OR(GB259=4,GB259=5,GB259=6)),FY259+8,VLOOKUP(CT261,Fixtures!R$31:Y$78,8,FALSE)),"")</f>
        <v/>
      </c>
      <c r="DO259" s="1404" t="str">
        <f>DN259</f>
        <v/>
      </c>
      <c r="DP259" s="1353" t="str">
        <f>IFERROR(VLOOKUP(DD261,Lookup!AU$3:AV$15,2,FALSE),"")</f>
        <v/>
      </c>
      <c r="DQ259" s="1404" t="str">
        <f>IF(DP259=7,"LLLC","")</f>
        <v/>
      </c>
      <c r="DR259" s="1403">
        <f>IFERROR(IF(OR(DN259=4,DN259=5,DN259=6,DN259=12,DN259=13,DN259=14),VLOOKUP(CT261,Fixtures!DN$27:EG$77,19,FALSE),1)*CS261,0)</f>
        <v>0</v>
      </c>
      <c r="DS259" s="1489">
        <f>IF(DP259=7,IF(DD259=DD261,0,DC261),0)</f>
        <v>0</v>
      </c>
      <c r="DU259" s="1403" t="str">
        <f>IFERROR(IF(EW259&lt;EW261,"Yes","No"),"")</f>
        <v/>
      </c>
      <c r="DV259" s="1404" t="str">
        <f>DU259</f>
        <v/>
      </c>
      <c r="DW259" s="1403">
        <f>IF(DU259="Yes",DC261,0)</f>
        <v>0</v>
      </c>
      <c r="DX259" s="1403">
        <f>DW259-DS259</f>
        <v>0</v>
      </c>
      <c r="DZ259" s="1481">
        <f>IFERROR(VLOOKUP(DN259,Lookup!AN$3:AO$16,2,FALSE),0)</f>
        <v>0</v>
      </c>
      <c r="EA259" s="1481">
        <f>IF(HW259=FALSE,0,IF(DU259="Yes",DZ259+Lookup!B$6,DZ259))</f>
        <v>0</v>
      </c>
      <c r="EC259" s="1482">
        <f>IF(HW259=TRUE,DJ259,0)</f>
        <v>0</v>
      </c>
      <c r="ED259" s="1369">
        <f>IF(HW259=TRUE,CW261,0)</f>
        <v>0</v>
      </c>
      <c r="EE259" s="1370">
        <f>IFERROR(EC259-ED259,0)</f>
        <v>0</v>
      </c>
      <c r="EF259" s="1369">
        <f>IF(HW259=TRUE,DG261,0)</f>
        <v>0</v>
      </c>
      <c r="EG259" s="1369">
        <f>IFERROR(EC259-ED259+EF259,0)</f>
        <v>0</v>
      </c>
      <c r="EH259" s="1373">
        <f>IF(HW259=TRUE,CS261*CU261,0)</f>
        <v>0</v>
      </c>
      <c r="EI259" s="1373">
        <f>IF(HW259=TRUE,DC261*DE261,0)</f>
        <v>0</v>
      </c>
      <c r="EJ259" s="1363">
        <f>AO259</f>
        <v>0</v>
      </c>
      <c r="EK259" s="1376" t="str">
        <f>IFERROR(IF(HW259=TRUE,VLOOKUP(DN259,Lookup!AN$3:AP$16,3,FALSE)*DR259,""),0)</f>
        <v/>
      </c>
      <c r="EL259" s="1376">
        <f>IF(HW259=TRUE,DW259*Lookup!AP$12,0)</f>
        <v>0</v>
      </c>
      <c r="EM259" s="1362">
        <f>IFERROR(IF(HW259=TRUE,EK259/EM$33,0),0)</f>
        <v>0</v>
      </c>
      <c r="EN259" s="1362">
        <f>IF(HW259=TRUE,EL259/EN$33,0)</f>
        <v>0</v>
      </c>
      <c r="EO259" s="1363">
        <f>IF(HW259=TRUE,EQ$33*EM259,0)</f>
        <v>0</v>
      </c>
      <c r="EP259" s="1363">
        <f>IF(HW259=TRUE,EQ$33*EN259,0)</f>
        <v>0</v>
      </c>
      <c r="EQ259" s="1363">
        <f>EO259+EP259</f>
        <v>0</v>
      </c>
      <c r="ES259" s="1403">
        <f>IF(G259="",0,1)</f>
        <v>0</v>
      </c>
      <c r="EU259" s="1410" t="e">
        <f>VLOOKUP(CP261,'Space Table'!$B$3:$L$160,8,FALSE)</f>
        <v>#N/A</v>
      </c>
      <c r="EV259" s="1410" t="e">
        <f>IF(EY259="Yes",VLOOKUP(DD259,Lookup_Control_Type_Table2,4,FALSE),VLOOKUP(DD259,Lookup_Control_Type_Table2,3,FALSE))</f>
        <v>#N/A</v>
      </c>
      <c r="EW259" s="1410" t="e">
        <f>VLOOKUP(DD259,Lookup!AU$3:AV$15,2,FALSE)</f>
        <v>#N/A</v>
      </c>
      <c r="EX259" s="1410" t="e">
        <f>VLOOKUP(EU259,Lookup_Control_Type_Table,2,FALSE)</f>
        <v>#N/A</v>
      </c>
      <c r="EY259" s="1410" t="e">
        <f>VLOOKUP(CP261,'Space Table'!$B$3:$L$160,7,FALSE)</f>
        <v>#N/A</v>
      </c>
      <c r="EZ259" s="1412" t="b">
        <f>ISNUMBER(SEARCH("TLED",U261))</f>
        <v>0</v>
      </c>
      <c r="FB259" s="1365" t="str">
        <f>CONCATENATE(CN259," - ",DD259)</f>
        <v xml:space="preserve"> - 0</v>
      </c>
      <c r="FD259" s="1353" t="str">
        <f>VLOOKUP(CT261,Fixtures!DN$27:EZ$77,38,FALSE)</f>
        <v/>
      </c>
      <c r="FE259" s="1353">
        <f>IFERROR(FD259*EE259,0)</f>
        <v>0</v>
      </c>
      <c r="FF259" s="138"/>
      <c r="FI259" s="1356" t="str">
        <f>IF(CN259="Exterior","Not Daylighted",G262)</f>
        <v>Not Daylighted</v>
      </c>
      <c r="FJ259" s="1356">
        <f>VLOOKUP(FI259,_Daylight_Table_Codes,2,FALSE)</f>
        <v>0</v>
      </c>
      <c r="FK259" s="1365">
        <f>IF(__Retrofit_TI_NC=2,VLOOKUP(G261,'Space Table'!$B$3:$L$160,11,FALSE),AF260)</f>
        <v>0</v>
      </c>
      <c r="FL259" s="1365" t="e">
        <f>VLOOKUP(FK259,_Control_Table,2,FALSE)</f>
        <v>#N/A</v>
      </c>
      <c r="FM259" s="1365" t="e">
        <f>IF(AND(FP259&gt;0,FK259="Occupancy Sensor"),"Daylight + Occupancy",IF(AND(FP259&gt;0,FL259&lt;4),"Interior Daylight Dimming",FK259))</f>
        <v>#N/A</v>
      </c>
      <c r="FO259" s="1364">
        <f>IF(CO259="Interior",VLOOKUP(CP259,Control_Savings_Interior,5,FALSE),0)</f>
        <v>0</v>
      </c>
      <c r="FP259" s="1361">
        <f>IF(CN259="Exterior",0,IF(FJ259=2,0.5,IF(OR(FJ259=1,FJ259=3),1,0)))</f>
        <v>0</v>
      </c>
      <c r="FQ259" s="1366"/>
      <c r="FR259" s="1367"/>
      <c r="FS259" s="1364"/>
      <c r="FT259" s="1367"/>
      <c r="FU259" s="1360"/>
      <c r="FW259" s="1352" t="str">
        <f>IFERROR(VLOOKUP(U260,_Exist_Fixture_Table,3,FALSE),"")</f>
        <v/>
      </c>
      <c r="FX259" s="1352" t="str">
        <f>VLOOKUP(CT259,_Exist_Fixture_Table,4,FALSE)</f>
        <v/>
      </c>
      <c r="FY259" s="1352">
        <f>IFERROR(VLOOKUP(FX259,Lookup!AM$6:AN$8,2,FALSE),0)</f>
        <v>0</v>
      </c>
      <c r="FZ259" s="1352" t="b">
        <f>IFERROR(IF(OR(GB259=4,GB259=5,GB259=6),TRUE,FALSE),"")</f>
        <v>0</v>
      </c>
      <c r="GA259" s="1352" t="str">
        <f>IFERROR(VLOOKUP(GB259,FY$6:FZ$10,2,FALSE),"")</f>
        <v/>
      </c>
      <c r="GB259" s="1352" t="str">
        <f>VLOOKUP(CT261,Fixtures!R$31:Y$78,8,FALSE)</f>
        <v/>
      </c>
      <c r="GC259" s="1352">
        <f>IF(AND(FW259=TRUE,FZ259=TRUE,OR(DN259=12,DN259=13,DN259=14)),FY259+8,0)</f>
        <v>0</v>
      </c>
      <c r="GD259" s="1352" t="b">
        <f>IF(OR(GC259=12,GC259=13,GC259=14),TRUE,FALSE)</f>
        <v>0</v>
      </c>
      <c r="GE259" s="759" t="b">
        <f>IF(ISNUMBER(SEARCH("TLED",U260)),TRUE,FALSE)</f>
        <v>0</v>
      </c>
      <c r="GF259" s="1035" t="str">
        <f>IFERROR(VLOOKUP(U260,Fixtures!BM$93:BR$142,6,FALSE),"")</f>
        <v/>
      </c>
      <c r="GG259" s="1385" t="b">
        <f>IF(OR(GE259=FALSE,GE261=FALSE),TRUE,IF(GF259-GF261&lt;5,FALSE,TRUE))</f>
        <v>1</v>
      </c>
      <c r="GK259" s="1034">
        <f>GL259</f>
        <v>0</v>
      </c>
      <c r="GL259" s="1034">
        <f>IF(G259="",0,1)</f>
        <v>0</v>
      </c>
      <c r="GM259" s="1034">
        <f>SUM(GN259:HB259)</f>
        <v>2</v>
      </c>
      <c r="GN259" s="1034">
        <f>IF(G260="",0,1)</f>
        <v>0</v>
      </c>
      <c r="GO259" s="1034">
        <f>IF(G261="",0,1)</f>
        <v>0</v>
      </c>
      <c r="GP259" s="1034">
        <f>IF(R260="",0,1)</f>
        <v>0</v>
      </c>
      <c r="GQ259" s="1034">
        <f>IF(__Retrofit_TI_NC=0,1,IF(R261="",0,1))</f>
        <v>1</v>
      </c>
      <c r="GR259" s="1034">
        <f>IF(CN259="Exterior",1,IF(G262="",0,1))</f>
        <v>1</v>
      </c>
      <c r="GS259" s="1034">
        <f>IF(__Retrofit_TI_NC&lt;&gt;0,1,IF(T260="",0,1))</f>
        <v>0</v>
      </c>
      <c r="GT259" s="1034">
        <f>IF(__Retrofit_TI_NC&lt;&gt;0,1,IF(U260="",0,1))</f>
        <v>0</v>
      </c>
      <c r="GU259" s="1034">
        <f>IF(T261="",0,1)</f>
        <v>0</v>
      </c>
      <c r="GV259" s="1034">
        <f>IF(U261="",0,1)</f>
        <v>0</v>
      </c>
      <c r="GW259" s="1034">
        <f>IF(__Retrofit_TI_NC=2,1,IF(U262="",0,1))</f>
        <v>0</v>
      </c>
      <c r="GX259" s="1034">
        <f>IF(__Retrofit_TI_NC&lt;&gt;0,1,IF(AE260="",0,1))</f>
        <v>0</v>
      </c>
      <c r="GY259" s="1034">
        <f>IF(__Retrofit_TI_NC&lt;&gt;0,1,IF(AF260="",0,1))</f>
        <v>0</v>
      </c>
      <c r="GZ259" s="1034">
        <f>IF(AE261="",0,1)</f>
        <v>0</v>
      </c>
      <c r="HA259" s="1034">
        <f>IF(AF261="",0,1)</f>
        <v>0</v>
      </c>
      <c r="HB259" s="1034">
        <f>IF(__Retrofit_TI_NC=2,1,IF(AF262="",0,1))</f>
        <v>0</v>
      </c>
      <c r="HV259" s="436"/>
      <c r="HW259" s="1384" t="b">
        <f>IF(OR(HW262=0,HW262=HT$16,HW262=HS$16,HW262=HU$16),TRUE,FALSE)</f>
        <v>0</v>
      </c>
      <c r="HX259" s="1377" t="b">
        <f>HW259</f>
        <v>0</v>
      </c>
      <c r="HY259" s="436"/>
      <c r="HZ259" s="436"/>
      <c r="IA259" s="1386" t="b">
        <f>IF(MAX(GJ262:HP262)&gt;5,FALSE,TRUE)</f>
        <v>0</v>
      </c>
      <c r="IB259" s="1380">
        <f>IF(IA259=TRUE,AC259,0)</f>
        <v>0</v>
      </c>
      <c r="IC259" s="1380">
        <f>IB259-IB261</f>
        <v>0</v>
      </c>
      <c r="IF259" s="1380" t="e">
        <f>ROUND(T260*VLOOKUP(U260,Fixtures_Existing_List,2,FALSE)*N260*R260/1000,0)</f>
        <v>#N/A</v>
      </c>
      <c r="IG259" s="1381" t="e">
        <f>IF259-IF261</f>
        <v>#N/A</v>
      </c>
      <c r="IH259" s="1384" t="e">
        <f>ROUND(IF(CN259="Interior",N261*R261*R260*N260*_C406_reduction/1000,N261*R261*R260*N260/1000),0)</f>
        <v>#N/A</v>
      </c>
      <c r="II259" s="1384" t="e">
        <f>IH259-IH261</f>
        <v>#N/A</v>
      </c>
      <c r="IK259" s="1351" t="e">
        <f>IF($CO259="interior",IL259/2,VLOOKUP($CP259,Control_Savings_Exterior,IK$30,FALSE))</f>
        <v>#N/A</v>
      </c>
      <c r="IL259" s="1351" t="e">
        <f>IF($CO259="interior",VLOOKUP($CP259,Control_Savings_Interior,IL$30,FALSE),VLOOKUP($CP259,Control_Savings_Exterior,IL$30,FALSE))</f>
        <v>#N/A</v>
      </c>
      <c r="IM259" s="1351" t="e">
        <f>IF($CO259="interior",IF(R260&gt;FO$37,(IM$28*(FO$37/R260)),IM$28)*FP259,VLOOKUP($CP259,Control_Savings_Exterior,IM$30,FALSE))</f>
        <v>#N/A</v>
      </c>
      <c r="IN259" s="1351" t="e">
        <f>IF($CO259="interior",ROUND(((1-IL259)*IM259)+IL259,2),VLOOKUP($CP259,Control_Savings_Exterior,IN$30,FALSE))</f>
        <v>#N/A</v>
      </c>
      <c r="IO259" s="1351" t="e">
        <f>IF($CO259="interior", ROUND(((1-IL259)*(IM259*(1-IP$28)))+IP259,2), VLOOKUP($CP259,Control_Savings_Exterior,IO$30,FALSE))</f>
        <v>#N/A</v>
      </c>
      <c r="IP259" s="1351">
        <f>IF($CO259="interior",ROUND(((1-IL259)*IP$28)+IL259,2),0)</f>
        <v>0</v>
      </c>
    </row>
    <row r="260" spans="1:250" s="82" customFormat="1" ht="14.95" customHeight="1" thickTop="1" thickBot="1">
      <c r="B260" s="1421"/>
      <c r="C260" s="1422"/>
      <c r="D260" s="1423"/>
      <c r="E260" s="1393" t="s">
        <v>244</v>
      </c>
      <c r="F260" s="1394"/>
      <c r="G260" s="1395"/>
      <c r="H260" s="1395"/>
      <c r="I260" s="1395"/>
      <c r="J260" s="1395"/>
      <c r="K260" s="1395"/>
      <c r="L260" s="1395"/>
      <c r="M260" s="509" t="e">
        <f>IF(__Retrofit_TI_NC&lt;&gt;0,IF(VLOOKUP(G261,'Space Table'!$B$3:$L$160,3,FALSE)&gt;0,1,0),IF(__Retrofit_TI_NC=VLOOKUP(G261,'Space Table'!$B$3:$L$160,3,FALSE),1,0))</f>
        <v>#N/A</v>
      </c>
      <c r="N260" s="509" t="str">
        <f>IFERROR(VLOOKUP(G260,_Lookup_Heat_Type_Table_New,2,FALSE),"")</f>
        <v/>
      </c>
      <c r="O260" s="509">
        <f>IF(__Retrofit_TI_NC=1,CONCATENATE("TI ",G260),IF(__Retrofit_TI_NC=2,CONCATENATE("NC ",G260),G260))</f>
        <v>0</v>
      </c>
      <c r="P260" s="1396" t="s">
        <v>352</v>
      </c>
      <c r="Q260" s="1396"/>
      <c r="R260" s="673"/>
      <c r="S260" s="1429"/>
      <c r="T260" s="675"/>
      <c r="U260" s="1496"/>
      <c r="V260" s="1497"/>
      <c r="W260" s="1497"/>
      <c r="X260" s="1497"/>
      <c r="Y260" s="1497"/>
      <c r="Z260" s="1497"/>
      <c r="AA260" s="1497"/>
      <c r="AB260" s="1497"/>
      <c r="AC260" s="1497"/>
      <c r="AD260" s="1498"/>
      <c r="AE260" s="675"/>
      <c r="AF260" s="1397"/>
      <c r="AG260" s="1397"/>
      <c r="AH260" s="1397"/>
      <c r="AI260" s="1397"/>
      <c r="AJ260" s="1434"/>
      <c r="AK260" s="1436"/>
      <c r="AL260" s="1438"/>
      <c r="AM260" s="1441"/>
      <c r="AN260" s="1442"/>
      <c r="AO260" s="1447"/>
      <c r="AP260" s="1447"/>
      <c r="AQ260" s="1448"/>
      <c r="AR260" s="1452"/>
      <c r="AS260" s="1455"/>
      <c r="AT260" s="1458"/>
      <c r="AU260" s="516"/>
      <c r="AV260" s="1479"/>
      <c r="AW260" s="1479"/>
      <c r="BC260" s="38"/>
      <c r="BD260" s="38"/>
      <c r="BE260" s="38"/>
      <c r="BF260" s="38"/>
      <c r="BG260" s="38"/>
      <c r="BH260" s="38"/>
      <c r="BI260" s="38"/>
      <c r="BJ260" s="38"/>
      <c r="BK260" s="38"/>
      <c r="BL260" s="38"/>
      <c r="BM260" s="38"/>
      <c r="BN260" s="38"/>
      <c r="BO260" s="38"/>
      <c r="BP260" s="38"/>
      <c r="BQ260" s="38"/>
      <c r="BR260" s="38"/>
      <c r="BS260" s="38"/>
      <c r="BT260" s="38"/>
      <c r="BU260" s="38"/>
      <c r="BV260" s="38"/>
      <c r="BW260" s="38"/>
      <c r="BX260" s="38"/>
      <c r="BY260" s="38"/>
      <c r="BZ260" s="38"/>
      <c r="CA260" s="38"/>
      <c r="CB260" s="38"/>
      <c r="CC260" s="38"/>
      <c r="CD260" s="38"/>
      <c r="CE260" s="38"/>
      <c r="CF260" s="38"/>
      <c r="CG260" s="38"/>
      <c r="CH260" s="38"/>
      <c r="CI260" s="38"/>
      <c r="CM260" s="1352"/>
      <c r="CN260" s="1352"/>
      <c r="CO260" s="1416"/>
      <c r="CP260" s="1418"/>
      <c r="CR260" s="1386"/>
      <c r="CS260" s="1355"/>
      <c r="CT260" s="1355"/>
      <c r="CU260" s="1355"/>
      <c r="CV260" s="1372"/>
      <c r="CW260" s="1372"/>
      <c r="CX260" s="1371"/>
      <c r="CY260" s="1486"/>
      <c r="CZ260" s="1486"/>
      <c r="DA260" s="1486"/>
      <c r="DC260" s="1355"/>
      <c r="DD260" s="1461"/>
      <c r="DE260" s="1355"/>
      <c r="DF260" s="1407"/>
      <c r="DG260" s="1372"/>
      <c r="DH260" s="1369"/>
      <c r="DJ260" s="1484"/>
      <c r="DL260" s="1419"/>
      <c r="DN260" s="1403"/>
      <c r="DO260" s="1405"/>
      <c r="DP260" s="1354"/>
      <c r="DQ260" s="1405"/>
      <c r="DR260" s="1403"/>
      <c r="DS260" s="1489"/>
      <c r="DU260" s="1403"/>
      <c r="DV260" s="1405"/>
      <c r="DW260" s="1403"/>
      <c r="DX260" s="1403"/>
      <c r="DZ260" s="1481"/>
      <c r="EA260" s="1481"/>
      <c r="EC260" s="1482"/>
      <c r="ED260" s="1369"/>
      <c r="EE260" s="1371"/>
      <c r="EF260" s="1369"/>
      <c r="EG260" s="1369"/>
      <c r="EH260" s="1374"/>
      <c r="EI260" s="1374"/>
      <c r="EJ260" s="1363"/>
      <c r="EK260" s="1376"/>
      <c r="EL260" s="1376"/>
      <c r="EM260" s="1362"/>
      <c r="EN260" s="1362"/>
      <c r="EO260" s="1363"/>
      <c r="EP260" s="1363"/>
      <c r="EQ260" s="1363"/>
      <c r="ES260" s="1403"/>
      <c r="EU260" s="1411"/>
      <c r="EV260" s="1411"/>
      <c r="EW260" s="1411"/>
      <c r="EX260" s="1411"/>
      <c r="EY260" s="1411"/>
      <c r="EZ260" s="1413"/>
      <c r="FB260" s="1365"/>
      <c r="FD260" s="1354"/>
      <c r="FE260" s="1354"/>
      <c r="FF260" s="138"/>
      <c r="FI260" s="1357"/>
      <c r="FJ260" s="1357"/>
      <c r="FK260" s="1365"/>
      <c r="FL260" s="1365"/>
      <c r="FM260" s="1365"/>
      <c r="FO260" s="1361"/>
      <c r="FP260" s="1361"/>
      <c r="FQ260" s="1366"/>
      <c r="FR260" s="1368"/>
      <c r="FS260" s="1361"/>
      <c r="FT260" s="1368"/>
      <c r="FU260" s="1360"/>
      <c r="FW260" s="1352"/>
      <c r="FX260" s="1352"/>
      <c r="FY260" s="1352"/>
      <c r="FZ260" s="1352"/>
      <c r="GA260" s="1352"/>
      <c r="GB260" s="1352"/>
      <c r="GC260" s="1352"/>
      <c r="GD260" s="1352"/>
      <c r="GE260" s="759"/>
      <c r="GF260" s="1035"/>
      <c r="GG260" s="1385"/>
      <c r="GI260" s="1384" t="b">
        <f>IF(AND(GL260=TRUE,GM260=TRUE),TRUE,FALSE)</f>
        <v>0</v>
      </c>
      <c r="GJ260" s="1379" t="b">
        <f>IFERROR(IF(__Retrofit_TI_NC=2,TRUE,IF(AR259="Yes",TRUE,FALSE)),FALSE)</f>
        <v>1</v>
      </c>
      <c r="GL260" s="1379" t="b">
        <f>IFERROR(IF(GL259=1,TRUE,FALSE),FALSE)</f>
        <v>0</v>
      </c>
      <c r="GM260" s="1379" t="b">
        <f>IFERROR(IF(GM259=GM$14,TRUE,FALSE),FALSE)</f>
        <v>0</v>
      </c>
      <c r="HC260" s="1379" t="b">
        <f>IFERROR(IF(M260=1,TRUE,FALSE),FALSE)</f>
        <v>0</v>
      </c>
      <c r="HD260" s="1379" t="b">
        <f>IFERROR(IF(M261=1,TRUE,FALSE),FALSE)</f>
        <v>0</v>
      </c>
      <c r="HE260" s="1379" t="b">
        <f>IFERROR(IF(__Retrofit_TI_NC&lt;&gt;0,TRUE,IFERROR(IF(VLOOKUP(U260,Fixtures_Existing_List,2,FALSE)&lt;&gt;"",TRUE,FALSE),FALSE)),FALSE)</f>
        <v>0</v>
      </c>
      <c r="HF260" s="1379" t="b">
        <f>IFERROR(IF(VLOOKUP(U261,Fixtures_Proposed_List,2,FALSE)&lt;&gt;"",TRUE,FALSE),FALSE)</f>
        <v>0</v>
      </c>
      <c r="HG260" s="1379" t="b">
        <f>IF(AND(__Retrofit_TI_NC=2,EZ259=TRUE),FALSE,TRUE)</f>
        <v>1</v>
      </c>
      <c r="HH260" s="1379" t="b">
        <f>GG259</f>
        <v>1</v>
      </c>
      <c r="HI260" s="1384" t="b">
        <f>IF(ISERROR(MATCH(FB259,_Control_Match[],0))=TRUE,FALSE,TRUE)</f>
        <v>0</v>
      </c>
      <c r="HJ260" s="1384" t="b">
        <f>IFERROR(IF(EU259&lt;&gt;EV259,FALSE,TRUE),FALSE)</f>
        <v>0</v>
      </c>
      <c r="HK260" s="1384" t="b">
        <f>IFERROR(IF(EU261&lt;&gt;EV261,FALSE,TRUE),FALSE)</f>
        <v>0</v>
      </c>
      <c r="HL260" s="1379" t="b">
        <f>IFERROR(IF(CN259="Exterior",TRUE,IF(OR(AND(FJ259=0,EW261&gt;4),AND(FJ259=4,EW261&gt;4,EW261&lt;7)),FALSE,TRUE)),FALSE)</f>
        <v>0</v>
      </c>
      <c r="HM260" s="1379" t="b">
        <f>IFERROR(IF(AND(FL261=7,EZ259=TRUE),FALSE,TRUE),FALSE)</f>
        <v>0</v>
      </c>
      <c r="HN260" s="1379" t="b">
        <f>IFERROR(IF(AND(T261&lt;&gt;AE261,AF261="Interior LLLC")=TRUE,FALSE,TRUE),FALSE)</f>
        <v>1</v>
      </c>
      <c r="HO260" s="1379" t="b">
        <f>IFERROR(IF(OR(AF261=Lookup!AU$13,AF261=Lookup!AU$14)=TRUE,IF(AE261&gt;T261,FALSE,TRUE),TRUE),FALSE)</f>
        <v>1</v>
      </c>
      <c r="HP260" s="1379" t="b">
        <f>IFERROR(IF(__Retrofit_TI_NC=2,IF(EW261&lt;EW259,FALSE,TRUE),TRUE),FALSE)</f>
        <v>1</v>
      </c>
      <c r="HQ260" s="1379" t="b">
        <f>IF(CN259="Interior",IG$6,TRUE)</f>
        <v>1</v>
      </c>
      <c r="HR260" s="1379" t="b">
        <f>IF(CN259="Exterior",IG$8,TRUE)</f>
        <v>1</v>
      </c>
      <c r="HS260" s="1379" t="b">
        <f>IFERROR(IF(__Retrofit_TI_NC&lt;&gt;0,IF(AW259&lt;AV259,FALSE,TRUE),TRUE),FALSE)</f>
        <v>1</v>
      </c>
      <c r="HT260" s="1379" t="b">
        <f>IFERROR(IF(AND(G260="Exterior",R260&gt;4200),FALSE,TRUE),FALSE)</f>
        <v>1</v>
      </c>
      <c r="HU260" s="1379" t="b">
        <f>IFERROR(IF(AB262/AB259&lt;HU$18,FALSE,TRUE),FALSE)</f>
        <v>0</v>
      </c>
      <c r="HW260" s="1382"/>
      <c r="HX260" s="1378"/>
      <c r="HY260" s="1377" t="str">
        <f>VLOOKUP(HW262,_Error_Table,4,FALSE)</f>
        <v>White</v>
      </c>
      <c r="HZ260" s="436"/>
      <c r="IA260" s="1386"/>
      <c r="IB260" s="1380"/>
      <c r="IC260" s="1379"/>
      <c r="IF260" s="1380"/>
      <c r="IG260" s="1382"/>
      <c r="IH260" s="1382"/>
      <c r="II260" s="1382"/>
      <c r="IK260" s="1351"/>
      <c r="IL260" s="1351"/>
      <c r="IM260" s="1351"/>
      <c r="IN260" s="1351"/>
      <c r="IO260" s="1351"/>
      <c r="IP260" s="1351"/>
    </row>
    <row r="261" spans="1:250" s="82" customFormat="1" ht="14.95" customHeight="1" thickTop="1" thickBot="1">
      <c r="A261" s="82">
        <f>ROW()</f>
        <v>261</v>
      </c>
      <c r="B261" s="1421"/>
      <c r="C261" s="1422"/>
      <c r="D261" s="1423"/>
      <c r="E261" s="1393" t="s">
        <v>245</v>
      </c>
      <c r="F261" s="1394"/>
      <c r="G261" s="1398"/>
      <c r="H261" s="1399"/>
      <c r="I261" s="1399"/>
      <c r="J261" s="1399"/>
      <c r="K261" s="1399"/>
      <c r="L261" s="1400"/>
      <c r="M261" s="509">
        <f>IFERROR(IF(IF(__Retrofit_TI_NC&lt;&gt;0,IF(CN259="Interior",MATCH(G261,Lookup_Interior_New,0),MATCH(G261,Lookup_Exterior_New,0)),IF(CN259="Interior",MATCH(G261,Lookup_Interior,0),MATCH(G261,Lookup_Exterior_Areas,0)))&gt;0,1,0),0)</f>
        <v>0</v>
      </c>
      <c r="N261" s="509" t="e">
        <f>IF(__Retrofit_TI_NC=1,
VLOOKUP(G261,'Space Table'!$B$3:$L$160,4,FALSE),
IF(__Retrofit_TI_NC=2,VLOOKUP(G261,'Space Table'!$B$3:$L$160,5,FALSE),VLOOKUP(G261,'Space Table'!$B$3:$L$160,5,FALSE)))</f>
        <v>#N/A</v>
      </c>
      <c r="O261" s="509">
        <f>G261</f>
        <v>0</v>
      </c>
      <c r="P261" s="1394" t="s">
        <v>355</v>
      </c>
      <c r="Q261" s="1394"/>
      <c r="R261" s="674"/>
      <c r="S261" s="1401" t="s">
        <v>284</v>
      </c>
      <c r="T261" s="672"/>
      <c r="U261" s="1499"/>
      <c r="V261" s="1500"/>
      <c r="W261" s="1500"/>
      <c r="X261" s="1500"/>
      <c r="Y261" s="1500"/>
      <c r="Z261" s="1500"/>
      <c r="AA261" s="1500"/>
      <c r="AB261" s="1501"/>
      <c r="AC261" s="1501"/>
      <c r="AD261" s="1502"/>
      <c r="AE261" s="672"/>
      <c r="AF261" s="1474"/>
      <c r="AG261" s="1474"/>
      <c r="AH261" s="1474"/>
      <c r="AI261" s="1474"/>
      <c r="AJ261" s="1475">
        <f>DF261</f>
        <v>0</v>
      </c>
      <c r="AK261" s="1470" t="str">
        <f>IFERROR(ROUND(AJ261*AC262,0),"")</f>
        <v/>
      </c>
      <c r="AL261" s="1472">
        <f>IFERROR(IF(HW259=FALSE,0,AC262-AK261),0)</f>
        <v>0</v>
      </c>
      <c r="AM261" s="1441"/>
      <c r="AN261" s="1442"/>
      <c r="AO261" s="1447"/>
      <c r="AP261" s="1447"/>
      <c r="AQ261" s="1448"/>
      <c r="AR261" s="1452"/>
      <c r="AS261" s="1455"/>
      <c r="AT261" s="1458"/>
      <c r="AU261" s="516"/>
      <c r="AV261" s="1479"/>
      <c r="AW261" s="1479"/>
      <c r="BC261" s="38"/>
      <c r="BD261" s="38"/>
      <c r="BE261" s="38"/>
      <c r="BF261" s="38"/>
      <c r="BG261" s="38"/>
      <c r="BH261" s="38"/>
      <c r="BI261" s="38"/>
      <c r="BJ261" s="38"/>
      <c r="BK261" s="38"/>
      <c r="BL261" s="38"/>
      <c r="BM261" s="38"/>
      <c r="BN261" s="38"/>
      <c r="BO261" s="38"/>
      <c r="BP261" s="38"/>
      <c r="BQ261" s="38"/>
      <c r="BR261" s="38"/>
      <c r="BS261" s="38"/>
      <c r="BT261" s="38"/>
      <c r="BU261" s="38"/>
      <c r="BV261" s="38"/>
      <c r="BW261" s="38"/>
      <c r="BX261" s="38"/>
      <c r="BY261" s="38"/>
      <c r="BZ261" s="38"/>
      <c r="CA261" s="38"/>
      <c r="CB261" s="38"/>
      <c r="CC261" s="38"/>
      <c r="CD261" s="38"/>
      <c r="CE261" s="38"/>
      <c r="CF261" s="38"/>
      <c r="CG261" s="38"/>
      <c r="CH261" s="38"/>
      <c r="CI261" s="38"/>
      <c r="CM261" s="1352"/>
      <c r="CN261" s="1352"/>
      <c r="CO261" s="1415" t="str">
        <f>CN259</f>
        <v/>
      </c>
      <c r="CP261" s="1417" t="e">
        <f>CP259</f>
        <v>#N/A</v>
      </c>
      <c r="CR261" s="1386" t="s">
        <v>284</v>
      </c>
      <c r="CS261" s="1353">
        <f>IF(HW259=TRUE,T261,0)</f>
        <v>0</v>
      </c>
      <c r="CT261" s="1353" t="str">
        <f>IF(HW259=TRUE,U261,"")</f>
        <v/>
      </c>
      <c r="CU261" s="1373">
        <f>IF(HW259=TRUE,U262,0)</f>
        <v>0</v>
      </c>
      <c r="CV261" s="1370">
        <f>IF(HW259=TRUE,AB262,0)</f>
        <v>0</v>
      </c>
      <c r="CW261" s="1370">
        <f>IF(HW259=TRUE,AC262,0)</f>
        <v>0</v>
      </c>
      <c r="CX261" s="1371"/>
      <c r="CY261" s="1486"/>
      <c r="CZ261" s="1486"/>
      <c r="DA261" s="1486"/>
      <c r="DC261" s="1353">
        <f>IF(HW259=TRUE,AE261,0)</f>
        <v>0</v>
      </c>
      <c r="DD261" s="1353" t="str">
        <f>IF(HW259=TRUE,AF261,"")</f>
        <v/>
      </c>
      <c r="DE261" s="1373">
        <f>AF262</f>
        <v>0</v>
      </c>
      <c r="DF261" s="1406">
        <f>IFERROR(IF(FL261=3,IK261,IF(FL261=4,IL261,IF(FL261=5,IM261,IF(FL261=6,IN261,IF(FL261=7,IO261,IF(FL261=8,IP261,0)))))),0)</f>
        <v>0</v>
      </c>
      <c r="DG261" s="1370">
        <f>IF(HW259=TRUE,AK261,0)</f>
        <v>0</v>
      </c>
      <c r="DH261" s="1369"/>
      <c r="DK261" s="1483">
        <f>IFERROR(CW261-DG261,0)</f>
        <v>0</v>
      </c>
      <c r="DL261" s="1420"/>
      <c r="DN261" s="1403"/>
      <c r="DO261" s="1477" t="str">
        <f>DN259</f>
        <v/>
      </c>
      <c r="DP261" s="1354"/>
      <c r="DQ261" s="1477" t="str">
        <f>IF(DP259=7,"LLLC","")</f>
        <v/>
      </c>
      <c r="DR261" s="1403"/>
      <c r="DS261" s="1489"/>
      <c r="DU261" s="1403"/>
      <c r="DV261" s="1404" t="str">
        <f>DU259</f>
        <v/>
      </c>
      <c r="DW261" s="1403"/>
      <c r="DX261" s="1403"/>
      <c r="DZ261" s="1481"/>
      <c r="EA261" s="1481"/>
      <c r="EC261" s="1482"/>
      <c r="ED261" s="1369"/>
      <c r="EE261" s="1371"/>
      <c r="EF261" s="1369"/>
      <c r="EG261" s="1369"/>
      <c r="EH261" s="1374"/>
      <c r="EI261" s="1374"/>
      <c r="EJ261" s="1363"/>
      <c r="EK261" s="1376"/>
      <c r="EL261" s="1376"/>
      <c r="EM261" s="1362"/>
      <c r="EN261" s="1362"/>
      <c r="EO261" s="1363"/>
      <c r="EP261" s="1363"/>
      <c r="EQ261" s="1363"/>
      <c r="ES261" s="1403"/>
      <c r="EU261" s="1411" t="e">
        <f>VLOOKUP(CP261,'Space Table'!$B$3:$L$160,8,FALSE)</f>
        <v>#N/A</v>
      </c>
      <c r="EV261" s="1411" t="e">
        <f>IF(EY261="Yes",VLOOKUP(AF261,Lookup_Control_Type_Table2,4,FALSE),VLOOKUP(AF261,Lookup_Control_Type_Table2,3,FALSE))</f>
        <v>#N/A</v>
      </c>
      <c r="EW261" s="1411" t="e">
        <f>VLOOKUP(AF261,Lookup!AU$3:AV$15,2,FALSE)</f>
        <v>#N/A</v>
      </c>
      <c r="EX261" s="1411" t="e">
        <f>VLOOKUP(EU259,Lookup_Control_Type_Table,2,FALSE)</f>
        <v>#N/A</v>
      </c>
      <c r="EY261" s="1411" t="e">
        <f>VLOOKUP(CP261,'Space Table'!$B$3:$L$160,7,FALSE)</f>
        <v>#N/A</v>
      </c>
      <c r="EZ261" s="1413"/>
      <c r="FB261" s="1365" t="str">
        <f>CONCATENATE(CN259," - ",AF261)</f>
        <v xml:space="preserve"> - </v>
      </c>
      <c r="FD261" s="1354"/>
      <c r="FE261" s="1354"/>
      <c r="FF261" s="138"/>
      <c r="FI261" s="1356" t="str">
        <f>IF(CN259="Exterior","Not Daylighted",G262)</f>
        <v>Not Daylighted</v>
      </c>
      <c r="FJ261" s="1356">
        <f>VLOOKUP(FI261,_Daylight_Table_Codes,2,FALSE)</f>
        <v>0</v>
      </c>
      <c r="FK261" s="1365">
        <f>AF261</f>
        <v>0</v>
      </c>
      <c r="FL261" s="1365" t="e">
        <f>VLOOKUP(FK261,_Control_Table,2,FALSE)</f>
        <v>#N/A</v>
      </c>
      <c r="FM261" s="1365" t="e">
        <f>IF(AND(FP261&gt;0,FK261="Occupancy Sensor"),"Daylight + Occupancy",IF(AND(FP261&gt;0,FL261&lt;4),"Interior Daylight Dimming",FK261))</f>
        <v>#N/A</v>
      </c>
      <c r="FO261" s="1364">
        <f>IF(CN259="Interior",VLOOKUP(CP259,Control_Savings_Interior,5,FALSE),0)</f>
        <v>0</v>
      </c>
      <c r="FP261" s="1361">
        <f>IF(CN261="Exterior",0,IF(FJ261=2,0.5,IF(OR(FJ261=1,FJ261=3),1,0)))</f>
        <v>0</v>
      </c>
      <c r="FQ261" s="1366">
        <f>IF(R260&gt;FO$37,(FO261*(FO$37/R260)),FO261)*FP261</f>
        <v>0</v>
      </c>
      <c r="FR261" s="1364">
        <f>DF261</f>
        <v>0</v>
      </c>
      <c r="FS261" s="1364">
        <f>ROUND(FR261+((1-FR261)*FQ261),2)</f>
        <v>0</v>
      </c>
      <c r="FT261" s="1364">
        <f>IF(__Retrofit_TI_NC=2,FS261,FR261)</f>
        <v>0</v>
      </c>
      <c r="FU261" s="1360">
        <f>IF(CO261="Interior",VLOOKUP(CP261,Control_Savings_Interior,4,FALSE),0)</f>
        <v>0</v>
      </c>
      <c r="FW261" s="1352"/>
      <c r="FX261" s="1352"/>
      <c r="FY261" s="1352"/>
      <c r="FZ261" s="1352"/>
      <c r="GA261" s="1352"/>
      <c r="GB261" s="1352"/>
      <c r="GC261" s="1352"/>
      <c r="GD261" s="1352"/>
      <c r="GE261" s="759" t="b">
        <f>IF(ISNUMBER(SEARCH("TLED",U261)),TRUE,FALSE)</f>
        <v>0</v>
      </c>
      <c r="GF261" s="1035" t="str">
        <f>IFERROR(VLOOKUP(U261,Fixtures!DM$93:DR$142,6,FALSE),"")</f>
        <v/>
      </c>
      <c r="GG261" s="1385"/>
      <c r="GI261" s="1383"/>
      <c r="GJ261" s="1379"/>
      <c r="GL261" s="1379"/>
      <c r="GM261" s="1379"/>
      <c r="HC261" s="1379"/>
      <c r="HD261" s="1379"/>
      <c r="HE261" s="1379"/>
      <c r="HF261" s="1379"/>
      <c r="HG261" s="1379"/>
      <c r="HH261" s="1379"/>
      <c r="HI261" s="1383"/>
      <c r="HJ261" s="1383"/>
      <c r="HK261" s="1383"/>
      <c r="HL261" s="1379"/>
      <c r="HM261" s="1379"/>
      <c r="HN261" s="1379"/>
      <c r="HO261" s="1379"/>
      <c r="HP261" s="1379"/>
      <c r="HQ261" s="1379"/>
      <c r="HR261" s="1379"/>
      <c r="HS261" s="1379"/>
      <c r="HT261" s="1379"/>
      <c r="HU261" s="1379"/>
      <c r="HW261" s="1383"/>
      <c r="HX261" s="1384" t="b">
        <f>HW259</f>
        <v>0</v>
      </c>
      <c r="HY261" s="1378"/>
      <c r="HZ261" s="436"/>
      <c r="IA261" s="1386"/>
      <c r="IB261" s="1380">
        <f>IF(IA259=TRUE,AC262,0)</f>
        <v>0</v>
      </c>
      <c r="IC261" s="1379"/>
      <c r="IF261" s="1380" t="e">
        <f>ROUND(T261*AB262*N260*R260/1000,0)</f>
        <v>#VALUE!</v>
      </c>
      <c r="IG261" s="1382"/>
      <c r="IH261" s="1384" t="e">
        <f>ROUND(T261*AB262*N260*R260/1000,0)</f>
        <v>#VALUE!</v>
      </c>
      <c r="II261" s="1382"/>
      <c r="IK261" s="1351" t="e">
        <f>IF($CO261="interior",IL261/2,VLOOKUP($CP261,Control_Savings_Exterior,IK$30,FALSE))</f>
        <v>#N/A</v>
      </c>
      <c r="IL261" s="1351" t="e">
        <f>IF($CO261="interior",VLOOKUP($CP261,Control_Savings_Interior,IL$30,FALSE),VLOOKUP($CP261,Control_Savings_Exterior,IL$30,FALSE))</f>
        <v>#N/A</v>
      </c>
      <c r="IM261" s="1351" t="e">
        <f>IF($CO261="interior",IF(R260&gt;FO$37,(IM$28*(FO$37/R260)),IM$28)*FP261,VLOOKUP($CP261,Control_Savings_Exterior,IM$30,FALSE))</f>
        <v>#N/A</v>
      </c>
      <c r="IN261" s="1351" t="e">
        <f>IF($CO261="interior",ROUND(((1-IL261)*IM261)+IL261,2),VLOOKUP($CP261,Control_Savings_Exterior,IN$30,FALSE))</f>
        <v>#N/A</v>
      </c>
      <c r="IO261" s="1351" t="e">
        <f>IF($CO261="interior", ROUND(((1-IL261)*(IM261*(1-IP$28)))+IP261,2), VLOOKUP($CP261,Control_Savings_Exterior,IO$30,FALSE))</f>
        <v>#N/A</v>
      </c>
      <c r="IP261" s="1351">
        <f>IF($CO261="interior",ROUND(((1-IL261)*IP$28)+IL261,2),0)</f>
        <v>0</v>
      </c>
    </row>
    <row r="262" spans="1:250" s="82" customFormat="1" ht="14.95" customHeight="1" thickTop="1" thickBot="1">
      <c r="B262" s="1421"/>
      <c r="C262" s="1422"/>
      <c r="D262" s="1423"/>
      <c r="E262" s="1462" t="s">
        <v>357</v>
      </c>
      <c r="F262" s="1463"/>
      <c r="G262" s="1464" t="s">
        <v>362</v>
      </c>
      <c r="H262" s="1465"/>
      <c r="I262" s="1465"/>
      <c r="J262" s="1465"/>
      <c r="K262" s="1465"/>
      <c r="L262" s="1466"/>
      <c r="M262" s="669">
        <f>IFERROR(VLOOKUP(G262,_Daylight_Table[],2,FALSE),0)</f>
        <v>0</v>
      </c>
      <c r="N262" s="670"/>
      <c r="O262" s="669" t="e">
        <f>VLOOKUP(G261,'Space Table'!$B$3:$L$160,11,FALSE)</f>
        <v>#N/A</v>
      </c>
      <c r="P262" s="1408"/>
      <c r="Q262" s="1409"/>
      <c r="R262" s="1409"/>
      <c r="S262" s="1402"/>
      <c r="T262" s="671" t="s">
        <v>281</v>
      </c>
      <c r="U262" s="1467" t="str">
        <f>IFERROR(VLOOKUP(U261,Fixtures!DM$93:DP$142,4,FALSE),"")</f>
        <v/>
      </c>
      <c r="V262" s="1468"/>
      <c r="W262" s="1468"/>
      <c r="X262" s="1468"/>
      <c r="Y262" s="1468"/>
      <c r="Z262" s="1468"/>
      <c r="AA262" s="1468"/>
      <c r="AB262" s="1046" t="str">
        <f>IFERROR(VLOOKUP(U261,Fixtures_Proposed_List,2,FALSE),"")</f>
        <v/>
      </c>
      <c r="AC262" s="1036" t="str">
        <f>IFERROR(ROUND(T261*AB262*N260*R260/1000,0),"")</f>
        <v/>
      </c>
      <c r="AD262" s="1037" t="str">
        <f>IFERROR(ROUND(T261*AB262/1000,2),"")</f>
        <v/>
      </c>
      <c r="AE262" s="1045" t="s">
        <v>281</v>
      </c>
      <c r="AF262" s="1469"/>
      <c r="AG262" s="1469"/>
      <c r="AH262" s="1469"/>
      <c r="AI262" s="1469"/>
      <c r="AJ262" s="1476"/>
      <c r="AK262" s="1471"/>
      <c r="AL262" s="1473"/>
      <c r="AM262" s="1443"/>
      <c r="AN262" s="1444"/>
      <c r="AO262" s="1449"/>
      <c r="AP262" s="1449"/>
      <c r="AQ262" s="1450"/>
      <c r="AR262" s="1453"/>
      <c r="AS262" s="1456"/>
      <c r="AT262" s="1459"/>
      <c r="AU262" s="517"/>
      <c r="AV262" s="1480"/>
      <c r="AW262" s="1480"/>
      <c r="BC262" s="38"/>
      <c r="BD262" s="38"/>
      <c r="BE262" s="38"/>
      <c r="BF262" s="38"/>
      <c r="BG262" s="38"/>
      <c r="BH262" s="38"/>
      <c r="BI262" s="38"/>
      <c r="BJ262" s="38"/>
      <c r="BK262" s="38"/>
      <c r="BL262" s="38"/>
      <c r="BM262" s="38"/>
      <c r="BN262" s="38"/>
      <c r="BO262" s="38"/>
      <c r="BP262" s="38"/>
      <c r="BQ262" s="38"/>
      <c r="BR262" s="38"/>
      <c r="BS262" s="38"/>
      <c r="BT262" s="38"/>
      <c r="BU262" s="38"/>
      <c r="BV262" s="38"/>
      <c r="BW262" s="38"/>
      <c r="BX262" s="38"/>
      <c r="BY262" s="38"/>
      <c r="BZ262" s="38"/>
      <c r="CA262" s="38"/>
      <c r="CB262" s="38"/>
      <c r="CC262" s="38"/>
      <c r="CD262" s="38"/>
      <c r="CE262" s="38"/>
      <c r="CF262" s="38"/>
      <c r="CG262" s="38"/>
      <c r="CH262" s="38"/>
      <c r="CI262" s="38"/>
      <c r="CM262" s="1352"/>
      <c r="CN262" s="1352"/>
      <c r="CO262" s="1416"/>
      <c r="CP262" s="1418"/>
      <c r="CR262" s="1386"/>
      <c r="CS262" s="1355"/>
      <c r="CT262" s="1355"/>
      <c r="CU262" s="1375"/>
      <c r="CV262" s="1372"/>
      <c r="CW262" s="1372"/>
      <c r="CX262" s="1372"/>
      <c r="CY262" s="1487"/>
      <c r="CZ262" s="1487"/>
      <c r="DA262" s="1487"/>
      <c r="DC262" s="1355"/>
      <c r="DD262" s="1355"/>
      <c r="DE262" s="1375"/>
      <c r="DF262" s="1407"/>
      <c r="DG262" s="1372"/>
      <c r="DH262" s="1369"/>
      <c r="DK262" s="1484"/>
      <c r="DL262" s="1420"/>
      <c r="DN262" s="1403"/>
      <c r="DO262" s="1405"/>
      <c r="DP262" s="1355"/>
      <c r="DQ262" s="1405"/>
      <c r="DR262" s="1403"/>
      <c r="DS262" s="1489"/>
      <c r="DU262" s="1403"/>
      <c r="DV262" s="1405"/>
      <c r="DW262" s="1403"/>
      <c r="DX262" s="1403"/>
      <c r="DZ262" s="1481"/>
      <c r="EA262" s="1481"/>
      <c r="EC262" s="1482"/>
      <c r="ED262" s="1369"/>
      <c r="EE262" s="1372"/>
      <c r="EF262" s="1369"/>
      <c r="EG262" s="1369"/>
      <c r="EH262" s="1375"/>
      <c r="EI262" s="1375"/>
      <c r="EJ262" s="1363"/>
      <c r="EK262" s="1376"/>
      <c r="EL262" s="1376"/>
      <c r="EM262" s="1362"/>
      <c r="EN262" s="1362"/>
      <c r="EO262" s="1363"/>
      <c r="EP262" s="1363"/>
      <c r="EQ262" s="1363"/>
      <c r="ES262" s="1403"/>
      <c r="EU262" s="1488"/>
      <c r="EV262" s="1488"/>
      <c r="EW262" s="1488"/>
      <c r="EX262" s="1488"/>
      <c r="EY262" s="1488"/>
      <c r="EZ262" s="1414"/>
      <c r="FB262" s="1365"/>
      <c r="FD262" s="1355"/>
      <c r="FE262" s="1355"/>
      <c r="FF262" s="138"/>
      <c r="FI262" s="1357"/>
      <c r="FJ262" s="1357"/>
      <c r="FK262" s="1365"/>
      <c r="FL262" s="1365"/>
      <c r="FM262" s="1365"/>
      <c r="FO262" s="1361"/>
      <c r="FP262" s="1361"/>
      <c r="FQ262" s="1366"/>
      <c r="FR262" s="1361"/>
      <c r="FS262" s="1361"/>
      <c r="FT262" s="1361"/>
      <c r="FU262" s="1360"/>
      <c r="FW262" s="1352"/>
      <c r="FX262" s="1352"/>
      <c r="FY262" s="1352"/>
      <c r="FZ262" s="1352"/>
      <c r="GA262" s="1352"/>
      <c r="GB262" s="1352"/>
      <c r="GC262" s="1352"/>
      <c r="GD262" s="1352"/>
      <c r="GE262" s="759"/>
      <c r="GF262" s="1035"/>
      <c r="GG262" s="1385"/>
      <c r="GJ262" s="1034">
        <f>IF(GJ260=TRUE,0,GJ$16)</f>
        <v>0</v>
      </c>
      <c r="GL262" s="1034">
        <f>IF(GL260=TRUE,0,GL$16)</f>
        <v>36</v>
      </c>
      <c r="GM262" s="1034">
        <f>IF(GM260=TRUE,0,GM$16)</f>
        <v>35</v>
      </c>
      <c r="GN262" s="436"/>
      <c r="GO262" s="436"/>
      <c r="GP262" s="436"/>
      <c r="GQ262" s="436"/>
      <c r="GR262" s="436"/>
      <c r="HC262" s="1034">
        <f t="shared" ref="HC262:HH262" si="182">IF(HC260=TRUE,0,HC$16)</f>
        <v>19</v>
      </c>
      <c r="HD262" s="1034">
        <f t="shared" si="182"/>
        <v>18</v>
      </c>
      <c r="HE262" s="1034">
        <f t="shared" si="182"/>
        <v>17</v>
      </c>
      <c r="HF262" s="1034">
        <f t="shared" si="182"/>
        <v>16</v>
      </c>
      <c r="HG262" s="1034">
        <f t="shared" si="182"/>
        <v>0</v>
      </c>
      <c r="HH262" s="1034">
        <f t="shared" si="182"/>
        <v>0</v>
      </c>
      <c r="HI262" s="1034">
        <f>IF(HI260=TRUE,0,HI$16)</f>
        <v>13</v>
      </c>
      <c r="HJ262" s="1034">
        <f t="shared" ref="HJ262:HL262" si="183">IF(HJ260=TRUE,0,HJ$16)</f>
        <v>12</v>
      </c>
      <c r="HK262" s="1034">
        <f t="shared" si="183"/>
        <v>11</v>
      </c>
      <c r="HL262" s="1034">
        <f t="shared" si="183"/>
        <v>10</v>
      </c>
      <c r="HM262" s="1034">
        <f>IF(HM260=TRUE,0,HM$16)</f>
        <v>9</v>
      </c>
      <c r="HN262" s="1034">
        <f t="shared" ref="HN262:HR262" si="184">IF(HN260=TRUE,0,HN$16)</f>
        <v>0</v>
      </c>
      <c r="HO262" s="1034">
        <f t="shared" si="184"/>
        <v>0</v>
      </c>
      <c r="HP262" s="1034">
        <f t="shared" si="184"/>
        <v>0</v>
      </c>
      <c r="HQ262" s="1034">
        <f t="shared" si="184"/>
        <v>0</v>
      </c>
      <c r="HR262" s="1034">
        <f t="shared" si="184"/>
        <v>0</v>
      </c>
      <c r="HS262" s="1034">
        <f>IF(HS260=TRUE,0,HS$16)</f>
        <v>0</v>
      </c>
      <c r="HT262" s="1034">
        <f t="shared" ref="HT262" si="185">IF(HT260=TRUE,0,HT$16)</f>
        <v>0</v>
      </c>
      <c r="HU262" s="1034">
        <f>IF(HU260=TRUE,0,HU$16)</f>
        <v>1</v>
      </c>
      <c r="HW262" s="1034">
        <f>IF(GL260=FALSE,GL262,IF(GM260=FALSE,GM262,MAX(GJ262:HU262)))</f>
        <v>36</v>
      </c>
      <c r="HX262" s="1383"/>
      <c r="HY262" s="241" t="str">
        <f>VLOOKUP(HW262,_Error_Table,3,FALSE)</f>
        <v xml:space="preserve"> </v>
      </c>
      <c r="HZ262" s="241"/>
      <c r="IA262" s="1386"/>
      <c r="IB262" s="1380"/>
      <c r="IC262" s="1379"/>
      <c r="IF262" s="1380"/>
      <c r="IG262" s="1383"/>
      <c r="IH262" s="1383"/>
      <c r="II262" s="1383"/>
      <c r="IK262" s="1351"/>
      <c r="IL262" s="1351"/>
      <c r="IM262" s="1351"/>
      <c r="IN262" s="1351"/>
      <c r="IO262" s="1351"/>
      <c r="IP262" s="1351"/>
    </row>
    <row r="263" spans="1:250" s="82" customFormat="1" ht="5.0999999999999996" customHeight="1" thickBot="1">
      <c r="B263" s="763"/>
      <c r="C263" s="1038"/>
      <c r="D263" s="1038"/>
      <c r="E263" s="1490"/>
      <c r="F263" s="1490"/>
      <c r="G263" s="1490"/>
      <c r="H263" s="1490"/>
      <c r="I263" s="1490"/>
      <c r="J263" s="1490"/>
      <c r="K263" s="1490"/>
      <c r="L263" s="1490"/>
      <c r="M263" s="1490"/>
      <c r="N263" s="1490"/>
      <c r="O263" s="1490"/>
      <c r="P263" s="1490"/>
      <c r="Q263" s="1490"/>
      <c r="R263" s="1490"/>
      <c r="S263" s="1490"/>
      <c r="T263" s="1490"/>
      <c r="U263" s="1490"/>
      <c r="V263" s="1490"/>
      <c r="W263" s="1490"/>
      <c r="X263" s="1490"/>
      <c r="Y263" s="1490"/>
      <c r="Z263" s="1490"/>
      <c r="AA263" s="1490"/>
      <c r="AB263" s="1490"/>
      <c r="AC263" s="1490"/>
      <c r="AD263" s="1490"/>
      <c r="AE263" s="1490"/>
      <c r="AF263" s="1490"/>
      <c r="AG263" s="1490"/>
      <c r="AH263" s="1490"/>
      <c r="AI263" s="1490"/>
      <c r="AJ263" s="1490"/>
      <c r="AK263" s="1490"/>
      <c r="AL263" s="1490"/>
      <c r="AM263" s="1490"/>
      <c r="AN263" s="1490"/>
      <c r="AO263" s="1490"/>
      <c r="AP263" s="1490"/>
      <c r="AQ263" s="1490"/>
      <c r="AR263" s="1490"/>
      <c r="AS263" s="1490"/>
      <c r="AT263" s="1490"/>
      <c r="AU263" s="1041"/>
      <c r="BC263" s="38"/>
      <c r="BD263" s="38"/>
      <c r="BE263" s="38"/>
      <c r="BF263" s="38"/>
      <c r="BG263" s="38"/>
      <c r="BH263" s="38"/>
      <c r="BI263" s="38"/>
      <c r="BJ263" s="38"/>
      <c r="BK263" s="38"/>
      <c r="BL263" s="38"/>
      <c r="BM263" s="38"/>
      <c r="BN263" s="38"/>
      <c r="BO263" s="38"/>
      <c r="BP263" s="38"/>
      <c r="BQ263" s="38"/>
      <c r="BR263" s="38"/>
      <c r="BS263" s="38"/>
      <c r="BT263" s="38"/>
      <c r="BU263" s="38"/>
      <c r="BV263" s="38"/>
      <c r="BW263" s="38"/>
      <c r="BX263" s="38"/>
      <c r="BY263" s="38"/>
      <c r="BZ263" s="38"/>
      <c r="CA263" s="38"/>
      <c r="CB263" s="38"/>
      <c r="CC263" s="38"/>
      <c r="CD263" s="38"/>
      <c r="CE263" s="38"/>
      <c r="CF263" s="38"/>
      <c r="CG263" s="38"/>
      <c r="CH263" s="38"/>
      <c r="CI263" s="38"/>
      <c r="CM263" s="749"/>
      <c r="CN263" s="749"/>
      <c r="CO263" s="1043"/>
      <c r="CP263" s="749"/>
      <c r="CS263" s="436"/>
      <c r="CT263" s="436"/>
      <c r="CU263" s="243"/>
      <c r="CV263" s="244"/>
      <c r="CW263" s="244"/>
      <c r="CX263" s="244"/>
      <c r="CY263" s="245"/>
      <c r="CZ263" s="245"/>
      <c r="DA263" s="245"/>
      <c r="DC263" s="750"/>
      <c r="DD263" s="751"/>
      <c r="DE263" s="752"/>
      <c r="DF263" s="753"/>
      <c r="DG263" s="754"/>
      <c r="DH263" s="754"/>
      <c r="DK263" s="244"/>
      <c r="DL263" s="750"/>
      <c r="DN263" s="750"/>
      <c r="DO263" s="755"/>
      <c r="DP263" s="436"/>
      <c r="DQ263" s="750"/>
      <c r="DR263" s="750"/>
      <c r="DS263" s="750"/>
      <c r="DU263" s="750"/>
      <c r="DV263" s="750"/>
      <c r="DW263" s="750"/>
      <c r="DX263" s="750"/>
      <c r="DZ263" s="756"/>
      <c r="EA263" s="756"/>
      <c r="EC263" s="754"/>
      <c r="ED263" s="754"/>
      <c r="EE263" s="244"/>
      <c r="EF263" s="754"/>
      <c r="EG263" s="754"/>
      <c r="EH263" s="243"/>
      <c r="EI263" s="243"/>
      <c r="EJ263" s="752"/>
      <c r="EK263" s="757"/>
      <c r="EL263" s="757"/>
      <c r="EM263" s="758"/>
      <c r="EN263" s="758"/>
      <c r="EO263" s="752"/>
      <c r="EP263" s="752"/>
      <c r="EQ263" s="752"/>
      <c r="ES263" s="750"/>
      <c r="EU263" s="436"/>
      <c r="EV263" s="436"/>
      <c r="EW263" s="436"/>
      <c r="EX263" s="436"/>
      <c r="EY263" s="436"/>
      <c r="EZ263" s="436"/>
      <c r="FB263" s="643"/>
      <c r="FD263" s="436"/>
      <c r="FE263" s="436"/>
      <c r="FF263" s="436"/>
      <c r="FO263" s="750"/>
      <c r="FP263" s="436"/>
      <c r="FQ263" s="436"/>
      <c r="FR263" s="750"/>
      <c r="FS263" s="750"/>
      <c r="FW263" s="749"/>
      <c r="FX263" s="749"/>
      <c r="FY263" s="749"/>
      <c r="FZ263" s="749"/>
      <c r="GA263" s="749"/>
      <c r="GB263" s="749"/>
      <c r="GC263" s="749"/>
      <c r="GD263" s="749"/>
      <c r="GE263" s="751"/>
      <c r="GF263" s="750"/>
      <c r="GG263" s="750"/>
    </row>
    <row r="264" spans="1:250" s="82" customFormat="1" ht="14.95" customHeight="1" thickTop="1" thickBot="1">
      <c r="B264" s="1421" t="str">
        <f>HY267</f>
        <v xml:space="preserve"> </v>
      </c>
      <c r="C264" s="1422">
        <f>C259+1</f>
        <v>44</v>
      </c>
      <c r="D264" s="1423"/>
      <c r="E264" s="1424" t="s">
        <v>242</v>
      </c>
      <c r="F264" s="1425"/>
      <c r="G264" s="1426"/>
      <c r="H264" s="1427"/>
      <c r="I264" s="1427"/>
      <c r="J264" s="1427"/>
      <c r="K264" s="1427"/>
      <c r="L264" s="1427"/>
      <c r="M264" s="1427"/>
      <c r="N264" s="1427"/>
      <c r="O264" s="1427"/>
      <c r="P264" s="1427"/>
      <c r="Q264" s="1427"/>
      <c r="R264" s="1427"/>
      <c r="S264" s="1428" t="s">
        <v>283</v>
      </c>
      <c r="T264" s="668" t="s">
        <v>190</v>
      </c>
      <c r="U264" s="1430" t="s">
        <v>186</v>
      </c>
      <c r="V264" s="1431"/>
      <c r="W264" s="1431"/>
      <c r="X264" s="1431"/>
      <c r="Y264" s="1431"/>
      <c r="Z264" s="1431"/>
      <c r="AA264" s="1431"/>
      <c r="AB264" s="1088" t="str">
        <f>IFERROR(IF(__Retrofit_TI_NC=0,VLOOKUP(U265,Fixtures_Existing_List,2,FALSE),ROUND(N266*R266/T266,10)),"")</f>
        <v/>
      </c>
      <c r="AC264" s="1039" t="str">
        <f>IFERROR(IF(__Retrofit_TI_NC=0,ROUND(T265*AB264*N265*R265/1000,0),IF(CN264="Interior",N266*R266*R265*N265*_C406_reduction/1000,N266*R266*R265*N265/1000)),"")</f>
        <v/>
      </c>
      <c r="AD264" s="1040" t="str">
        <f>IFERROR(IF(C$36=0,ROUND(T265*AB264/1000,2),N266*R266/1000),"")</f>
        <v/>
      </c>
      <c r="AE264" s="1044" t="s">
        <v>190</v>
      </c>
      <c r="AF264" s="1432" t="str">
        <f>IF(__Retrofit_TI_NC=2,CONCATENATE("Code min = ",DD264),IF(__Retrofit_TI_NC=1,"Emter what you think the existing control was"," Control"))</f>
        <v xml:space="preserve"> Control</v>
      </c>
      <c r="AG264" s="1432"/>
      <c r="AH264" s="1432"/>
      <c r="AI264" s="1432"/>
      <c r="AJ264" s="1433">
        <f>DF264</f>
        <v>0</v>
      </c>
      <c r="AK264" s="1435" t="str">
        <f>IFERROR(ROUND(AJ264*AC264,0),"")</f>
        <v/>
      </c>
      <c r="AL264" s="1437">
        <f>IFERROR(IF(HW264=FALSE,0,AC264-AK264),0)</f>
        <v>0</v>
      </c>
      <c r="AM264" s="1439">
        <f>AL264-AL266</f>
        <v>0</v>
      </c>
      <c r="AN264" s="1440"/>
      <c r="AO264" s="1445">
        <f>IFERROR(IF(HW264=FALSE,0,(T266*U267)+(AE266*AF267)),0)</f>
        <v>0</v>
      </c>
      <c r="AP264" s="1445"/>
      <c r="AQ264" s="1446"/>
      <c r="AR264" s="1451" t="s">
        <v>157</v>
      </c>
      <c r="AS264" s="1454">
        <f>IF(AR264="Yes",1,0)</f>
        <v>1</v>
      </c>
      <c r="AT264" s="1457" t="str">
        <f>IF(OR(DN264=4,DN264=5,DN264=6,DN264=12),CONCATENATE("$",IF(GD264=TRUE,Lookup!$B$11,Lookup!$B$2)," /lamp"),CONCATENATE(EA264,"/ kWh"))</f>
        <v>0/ kWh</v>
      </c>
      <c r="AU264" s="516"/>
      <c r="AV264" s="1478">
        <f>IFERROR(IF(GI265=TRUE,(AB267*T266)/R266,0),"NA")</f>
        <v>0</v>
      </c>
      <c r="AW264" s="1478" t="str">
        <f>IFERROR(N266*_C406_reduction,"NA")</f>
        <v>NA</v>
      </c>
      <c r="BC264" s="38"/>
      <c r="BD264" s="38"/>
      <c r="BE264" s="38"/>
      <c r="BF264" s="38"/>
      <c r="BG264" s="38"/>
      <c r="BH264" s="38"/>
      <c r="BI264" s="38"/>
      <c r="BJ264" s="38"/>
      <c r="BK264" s="38"/>
      <c r="BL264" s="38"/>
      <c r="BM264" s="38"/>
      <c r="BN264" s="38"/>
      <c r="BO264" s="38"/>
      <c r="BP264" s="38"/>
      <c r="BQ264" s="38"/>
      <c r="BR264" s="38"/>
      <c r="BS264" s="38"/>
      <c r="BT264" s="38"/>
      <c r="BU264" s="38"/>
      <c r="BV264" s="38"/>
      <c r="BW264" s="38"/>
      <c r="BX264" s="38"/>
      <c r="BY264" s="38"/>
      <c r="BZ264" s="38"/>
      <c r="CA264" s="38"/>
      <c r="CB264" s="38"/>
      <c r="CC264" s="38"/>
      <c r="CD264" s="38"/>
      <c r="CE264" s="38"/>
      <c r="CF264" s="38"/>
      <c r="CG264" s="38"/>
      <c r="CH264" s="38"/>
      <c r="CI264" s="38"/>
      <c r="CM264" s="1352" t="str">
        <f>N265</f>
        <v/>
      </c>
      <c r="CN264" s="1352" t="str">
        <f>IFERROR(VLOOKUP(G265,_Lookup_Heat_Type_Table_New,3,FALSE),"")</f>
        <v/>
      </c>
      <c r="CO264" s="1415" t="str">
        <f>CN264</f>
        <v/>
      </c>
      <c r="CP264" s="1417" t="e">
        <f>VLOOKUP(G266,'Space Table'!$B$3:$L$160,9,FALSE)</f>
        <v>#N/A</v>
      </c>
      <c r="CR264" s="1386" t="s">
        <v>283</v>
      </c>
      <c r="CS264" s="1353">
        <f>IF(HW264=TRUE,T265,0)</f>
        <v>0</v>
      </c>
      <c r="CT264" s="1353" t="str">
        <f>IF(HW264=TRUE,U265,"")</f>
        <v/>
      </c>
      <c r="CU264" s="1353"/>
      <c r="CV264" s="1370">
        <f>IF(HW264=TRUE,AB264,0)</f>
        <v>0</v>
      </c>
      <c r="CW264" s="1370">
        <f>IF(HW264=TRUE,AC264,0)</f>
        <v>0</v>
      </c>
      <c r="CX264" s="1370">
        <f>IFERROR(IF(HW264=TRUE,CW264-CW266,0),0)</f>
        <v>0</v>
      </c>
      <c r="CY264" s="1485">
        <f>IF(HW264=TRUE,AD264,0)</f>
        <v>0</v>
      </c>
      <c r="CZ264" s="1485">
        <f>IF(HW264=TRUE,AD267,0)</f>
        <v>0</v>
      </c>
      <c r="DA264" s="1485">
        <f>IFERROR(CY264-CZ264,0)</f>
        <v>0</v>
      </c>
      <c r="DC264" s="1353">
        <f>IF(HW264=TRUE,AE265,0)</f>
        <v>0</v>
      </c>
      <c r="DD264" s="1460">
        <f>IF(__Retrofit_TI_NC=2,IF(CN264="Exterior",O267,FM264),FK264)</f>
        <v>0</v>
      </c>
      <c r="DE264" s="1353"/>
      <c r="DF264" s="1406">
        <f>IFERROR(IF(FL264=3,IK264,IF(FL264=4,IL264,IF(FL264=5,IM264,IF(FL264=6,IN264,IF(FL264=7,IO264,IF(FL264=8,IP264,0)))))),0)</f>
        <v>0</v>
      </c>
      <c r="DG264" s="1370">
        <f>IF(HW264=TRUE,AK264,0)</f>
        <v>0</v>
      </c>
      <c r="DH264" s="1369">
        <f>IFERROR(IF(HW264=TRUE,DG266-DG264,0),0)</f>
        <v>0</v>
      </c>
      <c r="DJ264" s="1483">
        <f>IFERROR(CW264-DG264,0)</f>
        <v>0</v>
      </c>
      <c r="DL264" s="1419">
        <f>DJ264-DK266</f>
        <v>0</v>
      </c>
      <c r="DN264" s="1403" t="str">
        <f>IFERROR(IF(AND(OR(FY264=4,FY264=5,FY264=6),OR(GB264=4,GB264=5,GB264=6)),FY264+8,VLOOKUP(CT266,Fixtures!R$31:Y$78,8,FALSE)),"")</f>
        <v/>
      </c>
      <c r="DO264" s="1404" t="str">
        <f>DN264</f>
        <v/>
      </c>
      <c r="DP264" s="1353" t="str">
        <f>IFERROR(VLOOKUP(DD266,Lookup!AU$3:AV$15,2,FALSE),"")</f>
        <v/>
      </c>
      <c r="DQ264" s="1404" t="str">
        <f>IF(DP264=7,"LLLC","")</f>
        <v/>
      </c>
      <c r="DR264" s="1403">
        <f>IFERROR(IF(OR(DN264=4,DN264=5,DN264=6,DN264=12,DN264=13,DN264=14),VLOOKUP(CT266,Fixtures!DN$27:EG$77,19,FALSE),1)*CS266,0)</f>
        <v>0</v>
      </c>
      <c r="DS264" s="1489">
        <f>IF(DP264=7,IF(DD264=DD266,0,DC266),0)</f>
        <v>0</v>
      </c>
      <c r="DU264" s="1403" t="str">
        <f>IFERROR(IF(EW264&lt;EW266,"Yes","No"),"")</f>
        <v/>
      </c>
      <c r="DV264" s="1404" t="str">
        <f>DU264</f>
        <v/>
      </c>
      <c r="DW264" s="1403">
        <f>IF(DU264="Yes",DC266,0)</f>
        <v>0</v>
      </c>
      <c r="DX264" s="1403">
        <f>DW264-DS264</f>
        <v>0</v>
      </c>
      <c r="DZ264" s="1481">
        <f>IFERROR(VLOOKUP(DN264,Lookup!AN$3:AO$16,2,FALSE),0)</f>
        <v>0</v>
      </c>
      <c r="EA264" s="1481">
        <f>IF(HW264=FALSE,0,IF(DU264="Yes",DZ264+Lookup!B$6,DZ264))</f>
        <v>0</v>
      </c>
      <c r="EC264" s="1482">
        <f>IF(HW264=TRUE,DJ264,0)</f>
        <v>0</v>
      </c>
      <c r="ED264" s="1369">
        <f>IF(HW264=TRUE,CW266,0)</f>
        <v>0</v>
      </c>
      <c r="EE264" s="1370">
        <f>IFERROR(EC264-ED264,0)</f>
        <v>0</v>
      </c>
      <c r="EF264" s="1369">
        <f>IF(HW264=TRUE,DG266,0)</f>
        <v>0</v>
      </c>
      <c r="EG264" s="1369">
        <f>IFERROR(EC264-ED264+EF264,0)</f>
        <v>0</v>
      </c>
      <c r="EH264" s="1373">
        <f>IF(HW264=TRUE,CS266*CU266,0)</f>
        <v>0</v>
      </c>
      <c r="EI264" s="1373">
        <f>IF(HW264=TRUE,DC266*DE266,0)</f>
        <v>0</v>
      </c>
      <c r="EJ264" s="1363">
        <f>AO264</f>
        <v>0</v>
      </c>
      <c r="EK264" s="1376" t="str">
        <f>IFERROR(IF(HW264=TRUE,VLOOKUP(DN264,Lookup!AN$3:AP$16,3,FALSE)*DR264,""),0)</f>
        <v/>
      </c>
      <c r="EL264" s="1376">
        <f>IF(HW264=TRUE,DW264*Lookup!AP$12,0)</f>
        <v>0</v>
      </c>
      <c r="EM264" s="1362">
        <f>IFERROR(IF(HW264=TRUE,EK264/EM$33,0),0)</f>
        <v>0</v>
      </c>
      <c r="EN264" s="1362">
        <f>IF(HW264=TRUE,EL264/EN$33,0)</f>
        <v>0</v>
      </c>
      <c r="EO264" s="1363">
        <f>IF(HW264=TRUE,EQ$33*EM264,0)</f>
        <v>0</v>
      </c>
      <c r="EP264" s="1363">
        <f>IF(HW264=TRUE,EQ$33*EN264,0)</f>
        <v>0</v>
      </c>
      <c r="EQ264" s="1363">
        <f>EO264+EP264</f>
        <v>0</v>
      </c>
      <c r="ES264" s="1403">
        <f>IF(G264="",0,1)</f>
        <v>0</v>
      </c>
      <c r="EU264" s="1410" t="e">
        <f>VLOOKUP(CP266,'Space Table'!$B$3:$L$160,8,FALSE)</f>
        <v>#N/A</v>
      </c>
      <c r="EV264" s="1410" t="e">
        <f>IF(EY264="Yes",VLOOKUP(DD264,Lookup_Control_Type_Table2,4,FALSE),VLOOKUP(DD264,Lookup_Control_Type_Table2,3,FALSE))</f>
        <v>#N/A</v>
      </c>
      <c r="EW264" s="1410" t="e">
        <f>VLOOKUP(DD264,Lookup!AU$3:AV$15,2,FALSE)</f>
        <v>#N/A</v>
      </c>
      <c r="EX264" s="1410" t="e">
        <f>VLOOKUP(EU264,Lookup_Control_Type_Table,2,FALSE)</f>
        <v>#N/A</v>
      </c>
      <c r="EY264" s="1410" t="e">
        <f>VLOOKUP(CP266,'Space Table'!$B$3:$L$160,7,FALSE)</f>
        <v>#N/A</v>
      </c>
      <c r="EZ264" s="1412" t="b">
        <f>ISNUMBER(SEARCH("TLED",U266))</f>
        <v>0</v>
      </c>
      <c r="FB264" s="1365" t="str">
        <f>CONCATENATE(CN264," - ",DD264)</f>
        <v xml:space="preserve"> - 0</v>
      </c>
      <c r="FD264" s="1353" t="str">
        <f>VLOOKUP(CT266,Fixtures!DN$27:EZ$77,38,FALSE)</f>
        <v/>
      </c>
      <c r="FE264" s="1353">
        <f>IFERROR(FD264*EE264,0)</f>
        <v>0</v>
      </c>
      <c r="FF264" s="138"/>
      <c r="FI264" s="1356" t="str">
        <f>IF(CN264="Exterior","Not Daylighted",G267)</f>
        <v>Not Daylighted</v>
      </c>
      <c r="FJ264" s="1356">
        <f>VLOOKUP(FI264,_Daylight_Table_Codes,2,FALSE)</f>
        <v>0</v>
      </c>
      <c r="FK264" s="1365">
        <f>IF(__Retrofit_TI_NC=2,VLOOKUP(G266,'Space Table'!$B$3:$L$160,11,FALSE),AF265)</f>
        <v>0</v>
      </c>
      <c r="FL264" s="1365" t="e">
        <f>VLOOKUP(FK264,_Control_Table,2,FALSE)</f>
        <v>#N/A</v>
      </c>
      <c r="FM264" s="1365" t="e">
        <f>IF(AND(FP264&gt;0,FK264="Occupancy Sensor"),"Daylight + Occupancy",IF(AND(FP264&gt;0,FL264&lt;4),"Interior Daylight Dimming",FK264))</f>
        <v>#N/A</v>
      </c>
      <c r="FO264" s="1364">
        <f>IF(CO264="Interior",VLOOKUP(CP264,Control_Savings_Interior,5,FALSE),0)</f>
        <v>0</v>
      </c>
      <c r="FP264" s="1361">
        <f>IF(CN264="Exterior",0,IF(FJ264=2,0.5,IF(OR(FJ264=1,FJ264=3),1,0)))</f>
        <v>0</v>
      </c>
      <c r="FQ264" s="1366"/>
      <c r="FR264" s="1367"/>
      <c r="FS264" s="1364"/>
      <c r="FT264" s="1367"/>
      <c r="FU264" s="1360"/>
      <c r="FW264" s="1352" t="str">
        <f>IFERROR(VLOOKUP(U265,_Exist_Fixture_Table,3,FALSE),"")</f>
        <v/>
      </c>
      <c r="FX264" s="1352" t="str">
        <f>VLOOKUP(CT264,_Exist_Fixture_Table,4,FALSE)</f>
        <v/>
      </c>
      <c r="FY264" s="1352">
        <f>IFERROR(VLOOKUP(FX264,Lookup!AM$6:AN$8,2,FALSE),0)</f>
        <v>0</v>
      </c>
      <c r="FZ264" s="1352" t="b">
        <f>IFERROR(IF(OR(GB264=4,GB264=5,GB264=6),TRUE,FALSE),"")</f>
        <v>0</v>
      </c>
      <c r="GA264" s="1352" t="str">
        <f>IFERROR(VLOOKUP(GB264,FY$6:FZ$10,2,FALSE),"")</f>
        <v/>
      </c>
      <c r="GB264" s="1352" t="str">
        <f>VLOOKUP(CT266,Fixtures!R$31:Y$78,8,FALSE)</f>
        <v/>
      </c>
      <c r="GC264" s="1352">
        <f>IF(AND(FW264=TRUE,FZ264=TRUE,OR(DN264=12,DN264=13,DN264=14)),FY264+8,0)</f>
        <v>0</v>
      </c>
      <c r="GD264" s="1352" t="b">
        <f>IF(OR(GC264=12,GC264=13,GC264=14),TRUE,FALSE)</f>
        <v>0</v>
      </c>
      <c r="GE264" s="759" t="b">
        <f>IF(ISNUMBER(SEARCH("TLED",U265)),TRUE,FALSE)</f>
        <v>0</v>
      </c>
      <c r="GF264" s="1035" t="str">
        <f>IFERROR(VLOOKUP(U265,Fixtures!BM$93:BR$142,6,FALSE),"")</f>
        <v/>
      </c>
      <c r="GG264" s="1385" t="b">
        <f>IF(OR(GE264=FALSE,GE266=FALSE),TRUE,IF(GF264-GF266&lt;5,FALSE,TRUE))</f>
        <v>1</v>
      </c>
      <c r="GK264" s="1034">
        <f>GL264</f>
        <v>0</v>
      </c>
      <c r="GL264" s="1034">
        <f>IF(G264="",0,1)</f>
        <v>0</v>
      </c>
      <c r="GM264" s="1034">
        <f>SUM(GN264:HB264)</f>
        <v>2</v>
      </c>
      <c r="GN264" s="1034">
        <f>IF(G265="",0,1)</f>
        <v>0</v>
      </c>
      <c r="GO264" s="1034">
        <f>IF(G266="",0,1)</f>
        <v>0</v>
      </c>
      <c r="GP264" s="1034">
        <f>IF(R265="",0,1)</f>
        <v>0</v>
      </c>
      <c r="GQ264" s="1034">
        <f>IF(__Retrofit_TI_NC=0,1,IF(R266="",0,1))</f>
        <v>1</v>
      </c>
      <c r="GR264" s="1034">
        <f>IF(CN264="Exterior",1,IF(G267="",0,1))</f>
        <v>1</v>
      </c>
      <c r="GS264" s="1034">
        <f>IF(__Retrofit_TI_NC&lt;&gt;0,1,IF(T265="",0,1))</f>
        <v>0</v>
      </c>
      <c r="GT264" s="1034">
        <f>IF(__Retrofit_TI_NC&lt;&gt;0,1,IF(U265="",0,1))</f>
        <v>0</v>
      </c>
      <c r="GU264" s="1034">
        <f>IF(T266="",0,1)</f>
        <v>0</v>
      </c>
      <c r="GV264" s="1034">
        <f>IF(U266="",0,1)</f>
        <v>0</v>
      </c>
      <c r="GW264" s="1034">
        <f>IF(__Retrofit_TI_NC=2,1,IF(U267="",0,1))</f>
        <v>0</v>
      </c>
      <c r="GX264" s="1034">
        <f>IF(__Retrofit_TI_NC&lt;&gt;0,1,IF(AE265="",0,1))</f>
        <v>0</v>
      </c>
      <c r="GY264" s="1034">
        <f>IF(__Retrofit_TI_NC&lt;&gt;0,1,IF(AF265="",0,1))</f>
        <v>0</v>
      </c>
      <c r="GZ264" s="1034">
        <f>IF(AE266="",0,1)</f>
        <v>0</v>
      </c>
      <c r="HA264" s="1034">
        <f>IF(AF266="",0,1)</f>
        <v>0</v>
      </c>
      <c r="HB264" s="1034">
        <f>IF(__Retrofit_TI_NC=2,1,IF(AF267="",0,1))</f>
        <v>0</v>
      </c>
      <c r="HV264" s="436"/>
      <c r="HW264" s="1384" t="b">
        <f>IF(OR(HW267=0,HW267=HT$16,HW267=HS$16,HW267=HU$16),TRUE,FALSE)</f>
        <v>0</v>
      </c>
      <c r="HX264" s="1377" t="b">
        <f>HW264</f>
        <v>0</v>
      </c>
      <c r="HY264" s="436"/>
      <c r="HZ264" s="436"/>
      <c r="IA264" s="1386" t="b">
        <f>IF(MAX(GJ267:HP267)&gt;5,FALSE,TRUE)</f>
        <v>0</v>
      </c>
      <c r="IB264" s="1380">
        <f>IF(IA264=TRUE,AC264,0)</f>
        <v>0</v>
      </c>
      <c r="IC264" s="1380">
        <f>IB264-IB266</f>
        <v>0</v>
      </c>
      <c r="IF264" s="1380" t="e">
        <f>ROUND(T265*VLOOKUP(U265,Fixtures_Existing_List,2,FALSE)*N265*R265/1000,0)</f>
        <v>#N/A</v>
      </c>
      <c r="IG264" s="1381" t="e">
        <f>IF264-IF266</f>
        <v>#N/A</v>
      </c>
      <c r="IH264" s="1384" t="e">
        <f>ROUND(IF(CN264="Interior",N266*R266*R265*N265*_C406_reduction/1000,N266*R266*R265*N265/1000),0)</f>
        <v>#N/A</v>
      </c>
      <c r="II264" s="1384" t="e">
        <f>IH264-IH266</f>
        <v>#N/A</v>
      </c>
      <c r="IK264" s="1351" t="e">
        <f>IF($CO264="interior",IL264/2,VLOOKUP($CP264,Control_Savings_Exterior,IK$30,FALSE))</f>
        <v>#N/A</v>
      </c>
      <c r="IL264" s="1351" t="e">
        <f>IF($CO264="interior",VLOOKUP($CP264,Control_Savings_Interior,IL$30,FALSE),VLOOKUP($CP264,Control_Savings_Exterior,IL$30,FALSE))</f>
        <v>#N/A</v>
      </c>
      <c r="IM264" s="1351" t="e">
        <f>IF($CO264="interior",IF(R265&gt;FO$37,(IM$28*(FO$37/R265)),IM$28)*FP264,VLOOKUP($CP264,Control_Savings_Exterior,IM$30,FALSE))</f>
        <v>#N/A</v>
      </c>
      <c r="IN264" s="1351" t="e">
        <f>IF($CO264="interior",ROUND(((1-IL264)*IM264)+IL264,2),VLOOKUP($CP264,Control_Savings_Exterior,IN$30,FALSE))</f>
        <v>#N/A</v>
      </c>
      <c r="IO264" s="1351" t="e">
        <f>IF($CO264="interior", ROUND(((1-IL264)*(IM264*(1-IP$28)))+IP264,2), VLOOKUP($CP264,Control_Savings_Exterior,IO$30,FALSE))</f>
        <v>#N/A</v>
      </c>
      <c r="IP264" s="1351">
        <f>IF($CO264="interior",ROUND(((1-IL264)*IP$28)+IL264,2),0)</f>
        <v>0</v>
      </c>
    </row>
    <row r="265" spans="1:250" s="82" customFormat="1" ht="14.95" customHeight="1" thickTop="1" thickBot="1">
      <c r="B265" s="1421"/>
      <c r="C265" s="1422"/>
      <c r="D265" s="1423"/>
      <c r="E265" s="1393" t="s">
        <v>244</v>
      </c>
      <c r="F265" s="1394"/>
      <c r="G265" s="1395"/>
      <c r="H265" s="1395"/>
      <c r="I265" s="1395"/>
      <c r="J265" s="1395"/>
      <c r="K265" s="1395"/>
      <c r="L265" s="1395"/>
      <c r="M265" s="509" t="e">
        <f>IF(__Retrofit_TI_NC&lt;&gt;0,IF(VLOOKUP(G266,'Space Table'!$B$3:$L$160,3,FALSE)&gt;0,1,0),IF(__Retrofit_TI_NC=VLOOKUP(G266,'Space Table'!$B$3:$L$160,3,FALSE),1,0))</f>
        <v>#N/A</v>
      </c>
      <c r="N265" s="509" t="str">
        <f>IFERROR(VLOOKUP(G265,_Lookup_Heat_Type_Table_New,2,FALSE),"")</f>
        <v/>
      </c>
      <c r="O265" s="509">
        <f>IF(__Retrofit_TI_NC=1,CONCATENATE("TI ",G265),IF(__Retrofit_TI_NC=2,CONCATENATE("NC ",G265),G265))</f>
        <v>0</v>
      </c>
      <c r="P265" s="1396" t="s">
        <v>352</v>
      </c>
      <c r="Q265" s="1396"/>
      <c r="R265" s="673"/>
      <c r="S265" s="1429"/>
      <c r="T265" s="675"/>
      <c r="U265" s="1496"/>
      <c r="V265" s="1497"/>
      <c r="W265" s="1497"/>
      <c r="X265" s="1497"/>
      <c r="Y265" s="1497"/>
      <c r="Z265" s="1497"/>
      <c r="AA265" s="1497"/>
      <c r="AB265" s="1497"/>
      <c r="AC265" s="1497"/>
      <c r="AD265" s="1498"/>
      <c r="AE265" s="675"/>
      <c r="AF265" s="1397"/>
      <c r="AG265" s="1397"/>
      <c r="AH265" s="1397"/>
      <c r="AI265" s="1397"/>
      <c r="AJ265" s="1434"/>
      <c r="AK265" s="1436"/>
      <c r="AL265" s="1438"/>
      <c r="AM265" s="1441"/>
      <c r="AN265" s="1442"/>
      <c r="AO265" s="1447"/>
      <c r="AP265" s="1447"/>
      <c r="AQ265" s="1448"/>
      <c r="AR265" s="1452"/>
      <c r="AS265" s="1455"/>
      <c r="AT265" s="1458"/>
      <c r="AU265" s="516"/>
      <c r="AV265" s="1479"/>
      <c r="AW265" s="1479"/>
      <c r="BC265" s="38"/>
      <c r="BD265" s="38"/>
      <c r="BE265" s="38"/>
      <c r="BF265" s="38"/>
      <c r="BG265" s="38"/>
      <c r="BH265" s="38"/>
      <c r="BI265" s="38"/>
      <c r="BJ265" s="38"/>
      <c r="BK265" s="38"/>
      <c r="BL265" s="38"/>
      <c r="BM265" s="38"/>
      <c r="BN265" s="38"/>
      <c r="BO265" s="38"/>
      <c r="BP265" s="38"/>
      <c r="BQ265" s="38"/>
      <c r="BR265" s="38"/>
      <c r="BS265" s="38"/>
      <c r="BT265" s="38"/>
      <c r="BU265" s="38"/>
      <c r="BV265" s="38"/>
      <c r="BW265" s="38"/>
      <c r="BX265" s="38"/>
      <c r="BY265" s="38"/>
      <c r="BZ265" s="38"/>
      <c r="CA265" s="38"/>
      <c r="CB265" s="38"/>
      <c r="CC265" s="38"/>
      <c r="CD265" s="38"/>
      <c r="CE265" s="38"/>
      <c r="CF265" s="38"/>
      <c r="CG265" s="38"/>
      <c r="CH265" s="38"/>
      <c r="CI265" s="38"/>
      <c r="CM265" s="1352"/>
      <c r="CN265" s="1352"/>
      <c r="CO265" s="1416"/>
      <c r="CP265" s="1418"/>
      <c r="CR265" s="1386"/>
      <c r="CS265" s="1355"/>
      <c r="CT265" s="1355"/>
      <c r="CU265" s="1355"/>
      <c r="CV265" s="1372"/>
      <c r="CW265" s="1372"/>
      <c r="CX265" s="1371"/>
      <c r="CY265" s="1486"/>
      <c r="CZ265" s="1486"/>
      <c r="DA265" s="1486"/>
      <c r="DC265" s="1355"/>
      <c r="DD265" s="1461"/>
      <c r="DE265" s="1355"/>
      <c r="DF265" s="1407"/>
      <c r="DG265" s="1372"/>
      <c r="DH265" s="1369"/>
      <c r="DJ265" s="1484"/>
      <c r="DL265" s="1419"/>
      <c r="DN265" s="1403"/>
      <c r="DO265" s="1405"/>
      <c r="DP265" s="1354"/>
      <c r="DQ265" s="1405"/>
      <c r="DR265" s="1403"/>
      <c r="DS265" s="1489"/>
      <c r="DU265" s="1403"/>
      <c r="DV265" s="1405"/>
      <c r="DW265" s="1403"/>
      <c r="DX265" s="1403"/>
      <c r="DZ265" s="1481"/>
      <c r="EA265" s="1481"/>
      <c r="EC265" s="1482"/>
      <c r="ED265" s="1369"/>
      <c r="EE265" s="1371"/>
      <c r="EF265" s="1369"/>
      <c r="EG265" s="1369"/>
      <c r="EH265" s="1374"/>
      <c r="EI265" s="1374"/>
      <c r="EJ265" s="1363"/>
      <c r="EK265" s="1376"/>
      <c r="EL265" s="1376"/>
      <c r="EM265" s="1362"/>
      <c r="EN265" s="1362"/>
      <c r="EO265" s="1363"/>
      <c r="EP265" s="1363"/>
      <c r="EQ265" s="1363"/>
      <c r="ES265" s="1403"/>
      <c r="EU265" s="1411"/>
      <c r="EV265" s="1411"/>
      <c r="EW265" s="1411"/>
      <c r="EX265" s="1411"/>
      <c r="EY265" s="1411"/>
      <c r="EZ265" s="1413"/>
      <c r="FB265" s="1365"/>
      <c r="FD265" s="1354"/>
      <c r="FE265" s="1354"/>
      <c r="FF265" s="138"/>
      <c r="FI265" s="1357"/>
      <c r="FJ265" s="1357"/>
      <c r="FK265" s="1365"/>
      <c r="FL265" s="1365"/>
      <c r="FM265" s="1365"/>
      <c r="FO265" s="1361"/>
      <c r="FP265" s="1361"/>
      <c r="FQ265" s="1366"/>
      <c r="FR265" s="1368"/>
      <c r="FS265" s="1361"/>
      <c r="FT265" s="1368"/>
      <c r="FU265" s="1360"/>
      <c r="FW265" s="1352"/>
      <c r="FX265" s="1352"/>
      <c r="FY265" s="1352"/>
      <c r="FZ265" s="1352"/>
      <c r="GA265" s="1352"/>
      <c r="GB265" s="1352"/>
      <c r="GC265" s="1352"/>
      <c r="GD265" s="1352"/>
      <c r="GE265" s="759"/>
      <c r="GF265" s="1035"/>
      <c r="GG265" s="1385"/>
      <c r="GI265" s="1384" t="b">
        <f>IF(AND(GL265=TRUE,GM265=TRUE),TRUE,FALSE)</f>
        <v>0</v>
      </c>
      <c r="GJ265" s="1379" t="b">
        <f>IFERROR(IF(__Retrofit_TI_NC=2,TRUE,IF(AR264="Yes",TRUE,FALSE)),FALSE)</f>
        <v>1</v>
      </c>
      <c r="GL265" s="1379" t="b">
        <f>IFERROR(IF(GL264=1,TRUE,FALSE),FALSE)</f>
        <v>0</v>
      </c>
      <c r="GM265" s="1379" t="b">
        <f>IFERROR(IF(GM264=GM$14,TRUE,FALSE),FALSE)</f>
        <v>0</v>
      </c>
      <c r="HC265" s="1379" t="b">
        <f>IFERROR(IF(M265=1,TRUE,FALSE),FALSE)</f>
        <v>0</v>
      </c>
      <c r="HD265" s="1379" t="b">
        <f>IFERROR(IF(M266=1,TRUE,FALSE),FALSE)</f>
        <v>0</v>
      </c>
      <c r="HE265" s="1379" t="b">
        <f>IFERROR(IF(__Retrofit_TI_NC&lt;&gt;0,TRUE,IFERROR(IF(VLOOKUP(U265,Fixtures_Existing_List,2,FALSE)&lt;&gt;"",TRUE,FALSE),FALSE)),FALSE)</f>
        <v>0</v>
      </c>
      <c r="HF265" s="1379" t="b">
        <f>IFERROR(IF(VLOOKUP(U266,Fixtures_Proposed_List,2,FALSE)&lt;&gt;"",TRUE,FALSE),FALSE)</f>
        <v>0</v>
      </c>
      <c r="HG265" s="1379" t="b">
        <f>IF(AND(__Retrofit_TI_NC=2,EZ264=TRUE),FALSE,TRUE)</f>
        <v>1</v>
      </c>
      <c r="HH265" s="1379" t="b">
        <f>GG264</f>
        <v>1</v>
      </c>
      <c r="HI265" s="1384" t="b">
        <f>IF(ISERROR(MATCH(FB264,_Control_Match[],0))=TRUE,FALSE,TRUE)</f>
        <v>0</v>
      </c>
      <c r="HJ265" s="1384" t="b">
        <f>IFERROR(IF(EU264&lt;&gt;EV264,FALSE,TRUE),FALSE)</f>
        <v>0</v>
      </c>
      <c r="HK265" s="1384" t="b">
        <f>IFERROR(IF(EU266&lt;&gt;EV266,FALSE,TRUE),FALSE)</f>
        <v>0</v>
      </c>
      <c r="HL265" s="1379" t="b">
        <f>IFERROR(IF(CN264="Exterior",TRUE,IF(OR(AND(FJ264=0,EW266&gt;4),AND(FJ264=4,EW266&gt;4,EW266&lt;7)),FALSE,TRUE)),FALSE)</f>
        <v>0</v>
      </c>
      <c r="HM265" s="1379" t="b">
        <f>IFERROR(IF(AND(FL266=7,EZ264=TRUE),FALSE,TRUE),FALSE)</f>
        <v>0</v>
      </c>
      <c r="HN265" s="1379" t="b">
        <f>IFERROR(IF(AND(T266&lt;&gt;AE266,AF266="Interior LLLC")=TRUE,FALSE,TRUE),FALSE)</f>
        <v>1</v>
      </c>
      <c r="HO265" s="1379" t="b">
        <f>IFERROR(IF(OR(AF266=Lookup!AU$13,AF266=Lookup!AU$14)=TRUE,IF(AE266&gt;T266,FALSE,TRUE),TRUE),FALSE)</f>
        <v>1</v>
      </c>
      <c r="HP265" s="1379" t="b">
        <f>IFERROR(IF(__Retrofit_TI_NC=2,IF(EW266&lt;EW264,FALSE,TRUE),TRUE),FALSE)</f>
        <v>1</v>
      </c>
      <c r="HQ265" s="1379" t="b">
        <f>IF(CN264="Interior",IG$6,TRUE)</f>
        <v>1</v>
      </c>
      <c r="HR265" s="1379" t="b">
        <f>IF(CN264="Exterior",IG$8,TRUE)</f>
        <v>1</v>
      </c>
      <c r="HS265" s="1379" t="b">
        <f>IFERROR(IF(__Retrofit_TI_NC&lt;&gt;0,IF(AW264&lt;AV264,FALSE,TRUE),TRUE),FALSE)</f>
        <v>1</v>
      </c>
      <c r="HT265" s="1379" t="b">
        <f>IFERROR(IF(AND(G265="Exterior",R265&gt;4200),FALSE,TRUE),FALSE)</f>
        <v>1</v>
      </c>
      <c r="HU265" s="1379" t="b">
        <f>IFERROR(IF(AB267/AB264&lt;HU$18,FALSE,TRUE),FALSE)</f>
        <v>0</v>
      </c>
      <c r="HW265" s="1382"/>
      <c r="HX265" s="1378"/>
      <c r="HY265" s="1377" t="str">
        <f>VLOOKUP(HW267,_Error_Table,4,FALSE)</f>
        <v>White</v>
      </c>
      <c r="HZ265" s="436"/>
      <c r="IA265" s="1386"/>
      <c r="IB265" s="1380"/>
      <c r="IC265" s="1379"/>
      <c r="IF265" s="1380"/>
      <c r="IG265" s="1382"/>
      <c r="IH265" s="1382"/>
      <c r="II265" s="1382"/>
      <c r="IK265" s="1351"/>
      <c r="IL265" s="1351"/>
      <c r="IM265" s="1351"/>
      <c r="IN265" s="1351"/>
      <c r="IO265" s="1351"/>
      <c r="IP265" s="1351"/>
    </row>
    <row r="266" spans="1:250" s="82" customFormat="1" ht="14.95" customHeight="1" thickTop="1" thickBot="1">
      <c r="A266" s="82">
        <f>ROW()</f>
        <v>266</v>
      </c>
      <c r="B266" s="1421"/>
      <c r="C266" s="1422"/>
      <c r="D266" s="1423"/>
      <c r="E266" s="1393" t="s">
        <v>245</v>
      </c>
      <c r="F266" s="1394"/>
      <c r="G266" s="1398"/>
      <c r="H266" s="1399"/>
      <c r="I266" s="1399"/>
      <c r="J266" s="1399"/>
      <c r="K266" s="1399"/>
      <c r="L266" s="1400"/>
      <c r="M266" s="509">
        <f>IFERROR(IF(IF(__Retrofit_TI_NC&lt;&gt;0,IF(CN264="Interior",MATCH(G266,Lookup_Interior_New,0),MATCH(G266,Lookup_Exterior_New,0)),IF(CN264="Interior",MATCH(G266,Lookup_Interior,0),MATCH(G266,Lookup_Exterior_Areas,0)))&gt;0,1,0),0)</f>
        <v>0</v>
      </c>
      <c r="N266" s="509" t="e">
        <f>IF(__Retrofit_TI_NC=1,
VLOOKUP(G266,'Space Table'!$B$3:$L$160,4,FALSE),
IF(__Retrofit_TI_NC=2,VLOOKUP(G266,'Space Table'!$B$3:$L$160,5,FALSE),VLOOKUP(G266,'Space Table'!$B$3:$L$160,5,FALSE)))</f>
        <v>#N/A</v>
      </c>
      <c r="O266" s="509">
        <f>G266</f>
        <v>0</v>
      </c>
      <c r="P266" s="1394" t="s">
        <v>355</v>
      </c>
      <c r="Q266" s="1394"/>
      <c r="R266" s="674"/>
      <c r="S266" s="1401" t="s">
        <v>284</v>
      </c>
      <c r="T266" s="672"/>
      <c r="U266" s="1499"/>
      <c r="V266" s="1500"/>
      <c r="W266" s="1500"/>
      <c r="X266" s="1500"/>
      <c r="Y266" s="1500"/>
      <c r="Z266" s="1500"/>
      <c r="AA266" s="1500"/>
      <c r="AB266" s="1501"/>
      <c r="AC266" s="1501"/>
      <c r="AD266" s="1502"/>
      <c r="AE266" s="672"/>
      <c r="AF266" s="1474"/>
      <c r="AG266" s="1474"/>
      <c r="AH266" s="1474"/>
      <c r="AI266" s="1474"/>
      <c r="AJ266" s="1475">
        <f>DF266</f>
        <v>0</v>
      </c>
      <c r="AK266" s="1470" t="str">
        <f>IFERROR(ROUND(AJ266*AC267,0),"")</f>
        <v/>
      </c>
      <c r="AL266" s="1472">
        <f>IFERROR(IF(HW264=FALSE,0,AC267-AK266),0)</f>
        <v>0</v>
      </c>
      <c r="AM266" s="1441"/>
      <c r="AN266" s="1442"/>
      <c r="AO266" s="1447"/>
      <c r="AP266" s="1447"/>
      <c r="AQ266" s="1448"/>
      <c r="AR266" s="1452"/>
      <c r="AS266" s="1455"/>
      <c r="AT266" s="1458"/>
      <c r="AU266" s="516"/>
      <c r="AV266" s="1479"/>
      <c r="AW266" s="1479"/>
      <c r="BC266" s="38"/>
      <c r="BD266" s="38"/>
      <c r="BE266" s="38"/>
      <c r="BF266" s="38"/>
      <c r="BG266" s="38"/>
      <c r="BH266" s="38"/>
      <c r="BI266" s="38"/>
      <c r="BJ266" s="38"/>
      <c r="BK266" s="38"/>
      <c r="BL266" s="38"/>
      <c r="BM266" s="38"/>
      <c r="BN266" s="38"/>
      <c r="BO266" s="38"/>
      <c r="BP266" s="38"/>
      <c r="BQ266" s="38"/>
      <c r="BR266" s="38"/>
      <c r="BS266" s="38"/>
      <c r="BT266" s="38"/>
      <c r="BU266" s="38"/>
      <c r="BV266" s="38"/>
      <c r="BW266" s="38"/>
      <c r="BX266" s="38"/>
      <c r="BY266" s="38"/>
      <c r="BZ266" s="38"/>
      <c r="CA266" s="38"/>
      <c r="CB266" s="38"/>
      <c r="CC266" s="38"/>
      <c r="CD266" s="38"/>
      <c r="CE266" s="38"/>
      <c r="CF266" s="38"/>
      <c r="CG266" s="38"/>
      <c r="CH266" s="38"/>
      <c r="CI266" s="38"/>
      <c r="CM266" s="1352"/>
      <c r="CN266" s="1352"/>
      <c r="CO266" s="1415" t="str">
        <f>CN264</f>
        <v/>
      </c>
      <c r="CP266" s="1417" t="e">
        <f>CP264</f>
        <v>#N/A</v>
      </c>
      <c r="CR266" s="1386" t="s">
        <v>284</v>
      </c>
      <c r="CS266" s="1353">
        <f>IF(HW264=TRUE,T266,0)</f>
        <v>0</v>
      </c>
      <c r="CT266" s="1353" t="str">
        <f>IF(HW264=TRUE,U266,"")</f>
        <v/>
      </c>
      <c r="CU266" s="1373">
        <f>IF(HW264=TRUE,U267,0)</f>
        <v>0</v>
      </c>
      <c r="CV266" s="1370">
        <f>IF(HW264=TRUE,AB267,0)</f>
        <v>0</v>
      </c>
      <c r="CW266" s="1370">
        <f>IF(HW264=TRUE,AC267,0)</f>
        <v>0</v>
      </c>
      <c r="CX266" s="1371"/>
      <c r="CY266" s="1486"/>
      <c r="CZ266" s="1486"/>
      <c r="DA266" s="1486"/>
      <c r="DC266" s="1353">
        <f>IF(HW264=TRUE,AE266,0)</f>
        <v>0</v>
      </c>
      <c r="DD266" s="1353" t="str">
        <f>IF(HW264=TRUE,AF266,"")</f>
        <v/>
      </c>
      <c r="DE266" s="1373">
        <f>AF267</f>
        <v>0</v>
      </c>
      <c r="DF266" s="1406">
        <f>IFERROR(IF(FL266=3,IK266,IF(FL266=4,IL266,IF(FL266=5,IM266,IF(FL266=6,IN266,IF(FL266=7,IO266,IF(FL266=8,IP266,0)))))),0)</f>
        <v>0</v>
      </c>
      <c r="DG266" s="1370">
        <f>IF(HW264=TRUE,AK266,0)</f>
        <v>0</v>
      </c>
      <c r="DH266" s="1369"/>
      <c r="DK266" s="1483">
        <f>IFERROR(CW266-DG266,0)</f>
        <v>0</v>
      </c>
      <c r="DL266" s="1420"/>
      <c r="DN266" s="1403"/>
      <c r="DO266" s="1477" t="str">
        <f>DN264</f>
        <v/>
      </c>
      <c r="DP266" s="1354"/>
      <c r="DQ266" s="1477" t="str">
        <f>IF(DP264=7,"LLLC","")</f>
        <v/>
      </c>
      <c r="DR266" s="1403"/>
      <c r="DS266" s="1489"/>
      <c r="DU266" s="1403"/>
      <c r="DV266" s="1404" t="str">
        <f>DU264</f>
        <v/>
      </c>
      <c r="DW266" s="1403"/>
      <c r="DX266" s="1403"/>
      <c r="DZ266" s="1481"/>
      <c r="EA266" s="1481"/>
      <c r="EC266" s="1482"/>
      <c r="ED266" s="1369"/>
      <c r="EE266" s="1371"/>
      <c r="EF266" s="1369"/>
      <c r="EG266" s="1369"/>
      <c r="EH266" s="1374"/>
      <c r="EI266" s="1374"/>
      <c r="EJ266" s="1363"/>
      <c r="EK266" s="1376"/>
      <c r="EL266" s="1376"/>
      <c r="EM266" s="1362"/>
      <c r="EN266" s="1362"/>
      <c r="EO266" s="1363"/>
      <c r="EP266" s="1363"/>
      <c r="EQ266" s="1363"/>
      <c r="ES266" s="1403"/>
      <c r="EU266" s="1411" t="e">
        <f>VLOOKUP(CP266,'Space Table'!$B$3:$L$160,8,FALSE)</f>
        <v>#N/A</v>
      </c>
      <c r="EV266" s="1411" t="e">
        <f>IF(EY266="Yes",VLOOKUP(AF266,Lookup_Control_Type_Table2,4,FALSE),VLOOKUP(AF266,Lookup_Control_Type_Table2,3,FALSE))</f>
        <v>#N/A</v>
      </c>
      <c r="EW266" s="1411" t="e">
        <f>VLOOKUP(AF266,Lookup!AU$3:AV$15,2,FALSE)</f>
        <v>#N/A</v>
      </c>
      <c r="EX266" s="1411" t="e">
        <f>VLOOKUP(EU264,Lookup_Control_Type_Table,2,FALSE)</f>
        <v>#N/A</v>
      </c>
      <c r="EY266" s="1411" t="e">
        <f>VLOOKUP(CP266,'Space Table'!$B$3:$L$160,7,FALSE)</f>
        <v>#N/A</v>
      </c>
      <c r="EZ266" s="1413"/>
      <c r="FB266" s="1365" t="str">
        <f>CONCATENATE(CN264," - ",AF266)</f>
        <v xml:space="preserve"> - </v>
      </c>
      <c r="FD266" s="1354"/>
      <c r="FE266" s="1354"/>
      <c r="FF266" s="138"/>
      <c r="FI266" s="1356" t="str">
        <f>IF(CN264="Exterior","Not Daylighted",G267)</f>
        <v>Not Daylighted</v>
      </c>
      <c r="FJ266" s="1356">
        <f>VLOOKUP(FI266,_Daylight_Table_Codes,2,FALSE)</f>
        <v>0</v>
      </c>
      <c r="FK266" s="1365">
        <f>AF266</f>
        <v>0</v>
      </c>
      <c r="FL266" s="1365" t="e">
        <f>VLOOKUP(FK266,_Control_Table,2,FALSE)</f>
        <v>#N/A</v>
      </c>
      <c r="FM266" s="1365" t="e">
        <f>IF(AND(FP266&gt;0,FK266="Occupancy Sensor"),"Daylight + Occupancy",IF(AND(FP266&gt;0,FL266&lt;4),"Interior Daylight Dimming",FK266))</f>
        <v>#N/A</v>
      </c>
      <c r="FO266" s="1364">
        <f>IF(CN264="Interior",VLOOKUP(CP264,Control_Savings_Interior,5,FALSE),0)</f>
        <v>0</v>
      </c>
      <c r="FP266" s="1361">
        <f>IF(CN266="Exterior",0,IF(FJ266=2,0.5,IF(OR(FJ266=1,FJ266=3),1,0)))</f>
        <v>0</v>
      </c>
      <c r="FQ266" s="1366">
        <f>IF(R265&gt;FO$37,(FO266*(FO$37/R265)),FO266)*FP266</f>
        <v>0</v>
      </c>
      <c r="FR266" s="1364">
        <f>DF266</f>
        <v>0</v>
      </c>
      <c r="FS266" s="1364">
        <f>ROUND(FR266+((1-FR266)*FQ266),2)</f>
        <v>0</v>
      </c>
      <c r="FT266" s="1364">
        <f>IF(__Retrofit_TI_NC=2,FS266,FR266)</f>
        <v>0</v>
      </c>
      <c r="FU266" s="1360">
        <f>IF(CO266="Interior",VLOOKUP(CP266,Control_Savings_Interior,4,FALSE),0)</f>
        <v>0</v>
      </c>
      <c r="FW266" s="1352"/>
      <c r="FX266" s="1352"/>
      <c r="FY266" s="1352"/>
      <c r="FZ266" s="1352"/>
      <c r="GA266" s="1352"/>
      <c r="GB266" s="1352"/>
      <c r="GC266" s="1352"/>
      <c r="GD266" s="1352"/>
      <c r="GE266" s="759" t="b">
        <f>IF(ISNUMBER(SEARCH("TLED",U266)),TRUE,FALSE)</f>
        <v>0</v>
      </c>
      <c r="GF266" s="1035" t="str">
        <f>IFERROR(VLOOKUP(U266,Fixtures!DM$93:DR$142,6,FALSE),"")</f>
        <v/>
      </c>
      <c r="GG266" s="1385"/>
      <c r="GI266" s="1383"/>
      <c r="GJ266" s="1379"/>
      <c r="GL266" s="1379"/>
      <c r="GM266" s="1379"/>
      <c r="HC266" s="1379"/>
      <c r="HD266" s="1379"/>
      <c r="HE266" s="1379"/>
      <c r="HF266" s="1379"/>
      <c r="HG266" s="1379"/>
      <c r="HH266" s="1379"/>
      <c r="HI266" s="1383"/>
      <c r="HJ266" s="1383"/>
      <c r="HK266" s="1383"/>
      <c r="HL266" s="1379"/>
      <c r="HM266" s="1379"/>
      <c r="HN266" s="1379"/>
      <c r="HO266" s="1379"/>
      <c r="HP266" s="1379"/>
      <c r="HQ266" s="1379"/>
      <c r="HR266" s="1379"/>
      <c r="HS266" s="1379"/>
      <c r="HT266" s="1379"/>
      <c r="HU266" s="1379"/>
      <c r="HW266" s="1383"/>
      <c r="HX266" s="1384" t="b">
        <f>HW264</f>
        <v>0</v>
      </c>
      <c r="HY266" s="1378"/>
      <c r="HZ266" s="436"/>
      <c r="IA266" s="1386"/>
      <c r="IB266" s="1380">
        <f>IF(IA264=TRUE,AC267,0)</f>
        <v>0</v>
      </c>
      <c r="IC266" s="1379"/>
      <c r="IF266" s="1380" t="e">
        <f>ROUND(T266*AB267*N265*R265/1000,0)</f>
        <v>#VALUE!</v>
      </c>
      <c r="IG266" s="1382"/>
      <c r="IH266" s="1384" t="e">
        <f>ROUND(T266*AB267*N265*R265/1000,0)</f>
        <v>#VALUE!</v>
      </c>
      <c r="II266" s="1382"/>
      <c r="IK266" s="1351" t="e">
        <f>IF($CO266="interior",IL266/2,VLOOKUP($CP266,Control_Savings_Exterior,IK$30,FALSE))</f>
        <v>#N/A</v>
      </c>
      <c r="IL266" s="1351" t="e">
        <f>IF($CO266="interior",VLOOKUP($CP266,Control_Savings_Interior,IL$30,FALSE),VLOOKUP($CP266,Control_Savings_Exterior,IL$30,FALSE))</f>
        <v>#N/A</v>
      </c>
      <c r="IM266" s="1351" t="e">
        <f>IF($CO266="interior",IF(R265&gt;FO$37,(IM$28*(FO$37/R265)),IM$28)*FP266,VLOOKUP($CP266,Control_Savings_Exterior,IM$30,FALSE))</f>
        <v>#N/A</v>
      </c>
      <c r="IN266" s="1351" t="e">
        <f>IF($CO266="interior",ROUND(((1-IL266)*IM266)+IL266,2),VLOOKUP($CP266,Control_Savings_Exterior,IN$30,FALSE))</f>
        <v>#N/A</v>
      </c>
      <c r="IO266" s="1351" t="e">
        <f>IF($CO266="interior", ROUND(((1-IL266)*(IM266*(1-IP$28)))+IP266,2), VLOOKUP($CP266,Control_Savings_Exterior,IO$30,FALSE))</f>
        <v>#N/A</v>
      </c>
      <c r="IP266" s="1351">
        <f>IF($CO266="interior",ROUND(((1-IL266)*IP$28)+IL266,2),0)</f>
        <v>0</v>
      </c>
    </row>
    <row r="267" spans="1:250" s="82" customFormat="1" ht="14.95" customHeight="1" thickTop="1" thickBot="1">
      <c r="B267" s="1421"/>
      <c r="C267" s="1422"/>
      <c r="D267" s="1423"/>
      <c r="E267" s="1462" t="s">
        <v>357</v>
      </c>
      <c r="F267" s="1463"/>
      <c r="G267" s="1464" t="s">
        <v>362</v>
      </c>
      <c r="H267" s="1465"/>
      <c r="I267" s="1465"/>
      <c r="J267" s="1465"/>
      <c r="K267" s="1465"/>
      <c r="L267" s="1466"/>
      <c r="M267" s="669">
        <f>IFERROR(VLOOKUP(G267,_Daylight_Table[],2,FALSE),0)</f>
        <v>0</v>
      </c>
      <c r="N267" s="670"/>
      <c r="O267" s="669" t="e">
        <f>VLOOKUP(G266,'Space Table'!$B$3:$L$160,11,FALSE)</f>
        <v>#N/A</v>
      </c>
      <c r="P267" s="1408"/>
      <c r="Q267" s="1409"/>
      <c r="R267" s="1409"/>
      <c r="S267" s="1402"/>
      <c r="T267" s="671" t="s">
        <v>281</v>
      </c>
      <c r="U267" s="1467" t="str">
        <f>IFERROR(VLOOKUP(U266,Fixtures!DM$93:DP$142,4,FALSE),"")</f>
        <v/>
      </c>
      <c r="V267" s="1468"/>
      <c r="W267" s="1468"/>
      <c r="X267" s="1468"/>
      <c r="Y267" s="1468"/>
      <c r="Z267" s="1468"/>
      <c r="AA267" s="1468"/>
      <c r="AB267" s="1046" t="str">
        <f>IFERROR(VLOOKUP(U266,Fixtures_Proposed_List,2,FALSE),"")</f>
        <v/>
      </c>
      <c r="AC267" s="1036" t="str">
        <f>IFERROR(ROUND(T266*AB267*N265*R265/1000,0),"")</f>
        <v/>
      </c>
      <c r="AD267" s="1037" t="str">
        <f>IFERROR(ROUND(T266*AB267/1000,2),"")</f>
        <v/>
      </c>
      <c r="AE267" s="1045" t="s">
        <v>281</v>
      </c>
      <c r="AF267" s="1469"/>
      <c r="AG267" s="1469"/>
      <c r="AH267" s="1469"/>
      <c r="AI267" s="1469"/>
      <c r="AJ267" s="1476"/>
      <c r="AK267" s="1471"/>
      <c r="AL267" s="1473"/>
      <c r="AM267" s="1443"/>
      <c r="AN267" s="1444"/>
      <c r="AO267" s="1449"/>
      <c r="AP267" s="1449"/>
      <c r="AQ267" s="1450"/>
      <c r="AR267" s="1453"/>
      <c r="AS267" s="1456"/>
      <c r="AT267" s="1459"/>
      <c r="AU267" s="517"/>
      <c r="AV267" s="1480"/>
      <c r="AW267" s="1480"/>
      <c r="BC267" s="38"/>
      <c r="BD267" s="38"/>
      <c r="BE267" s="38"/>
      <c r="BF267" s="38"/>
      <c r="BG267" s="38"/>
      <c r="BH267" s="38"/>
      <c r="BI267" s="38"/>
      <c r="BJ267" s="38"/>
      <c r="BK267" s="38"/>
      <c r="BL267" s="38"/>
      <c r="BM267" s="38"/>
      <c r="BN267" s="38"/>
      <c r="BO267" s="38"/>
      <c r="BP267" s="38"/>
      <c r="BQ267" s="38"/>
      <c r="BR267" s="38"/>
      <c r="BS267" s="38"/>
      <c r="BT267" s="38"/>
      <c r="BU267" s="38"/>
      <c r="BV267" s="38"/>
      <c r="BW267" s="38"/>
      <c r="BX267" s="38"/>
      <c r="BY267" s="38"/>
      <c r="BZ267" s="38"/>
      <c r="CA267" s="38"/>
      <c r="CB267" s="38"/>
      <c r="CC267" s="38"/>
      <c r="CD267" s="38"/>
      <c r="CE267" s="38"/>
      <c r="CF267" s="38"/>
      <c r="CG267" s="38"/>
      <c r="CH267" s="38"/>
      <c r="CI267" s="38"/>
      <c r="CM267" s="1352"/>
      <c r="CN267" s="1352"/>
      <c r="CO267" s="1416"/>
      <c r="CP267" s="1418"/>
      <c r="CR267" s="1386"/>
      <c r="CS267" s="1355"/>
      <c r="CT267" s="1355"/>
      <c r="CU267" s="1375"/>
      <c r="CV267" s="1372"/>
      <c r="CW267" s="1372"/>
      <c r="CX267" s="1372"/>
      <c r="CY267" s="1487"/>
      <c r="CZ267" s="1487"/>
      <c r="DA267" s="1487"/>
      <c r="DC267" s="1355"/>
      <c r="DD267" s="1355"/>
      <c r="DE267" s="1375"/>
      <c r="DF267" s="1407"/>
      <c r="DG267" s="1372"/>
      <c r="DH267" s="1369"/>
      <c r="DK267" s="1484"/>
      <c r="DL267" s="1420"/>
      <c r="DN267" s="1403"/>
      <c r="DO267" s="1405"/>
      <c r="DP267" s="1355"/>
      <c r="DQ267" s="1405"/>
      <c r="DR267" s="1403"/>
      <c r="DS267" s="1489"/>
      <c r="DU267" s="1403"/>
      <c r="DV267" s="1405"/>
      <c r="DW267" s="1403"/>
      <c r="DX267" s="1403"/>
      <c r="DZ267" s="1481"/>
      <c r="EA267" s="1481"/>
      <c r="EC267" s="1482"/>
      <c r="ED267" s="1369"/>
      <c r="EE267" s="1372"/>
      <c r="EF267" s="1369"/>
      <c r="EG267" s="1369"/>
      <c r="EH267" s="1375"/>
      <c r="EI267" s="1375"/>
      <c r="EJ267" s="1363"/>
      <c r="EK267" s="1376"/>
      <c r="EL267" s="1376"/>
      <c r="EM267" s="1362"/>
      <c r="EN267" s="1362"/>
      <c r="EO267" s="1363"/>
      <c r="EP267" s="1363"/>
      <c r="EQ267" s="1363"/>
      <c r="ES267" s="1403"/>
      <c r="EU267" s="1488"/>
      <c r="EV267" s="1488"/>
      <c r="EW267" s="1488"/>
      <c r="EX267" s="1488"/>
      <c r="EY267" s="1488"/>
      <c r="EZ267" s="1414"/>
      <c r="FB267" s="1365"/>
      <c r="FD267" s="1355"/>
      <c r="FE267" s="1355"/>
      <c r="FF267" s="138"/>
      <c r="FI267" s="1357"/>
      <c r="FJ267" s="1357"/>
      <c r="FK267" s="1365"/>
      <c r="FL267" s="1365"/>
      <c r="FM267" s="1365"/>
      <c r="FO267" s="1361"/>
      <c r="FP267" s="1361"/>
      <c r="FQ267" s="1366"/>
      <c r="FR267" s="1361"/>
      <c r="FS267" s="1361"/>
      <c r="FT267" s="1361"/>
      <c r="FU267" s="1360"/>
      <c r="FW267" s="1352"/>
      <c r="FX267" s="1352"/>
      <c r="FY267" s="1352"/>
      <c r="FZ267" s="1352"/>
      <c r="GA267" s="1352"/>
      <c r="GB267" s="1352"/>
      <c r="GC267" s="1352"/>
      <c r="GD267" s="1352"/>
      <c r="GE267" s="759"/>
      <c r="GF267" s="1035"/>
      <c r="GG267" s="1385"/>
      <c r="GJ267" s="1034">
        <f>IF(GJ265=TRUE,0,GJ$16)</f>
        <v>0</v>
      </c>
      <c r="GL267" s="1034">
        <f>IF(GL265=TRUE,0,GL$16)</f>
        <v>36</v>
      </c>
      <c r="GM267" s="1034">
        <f>IF(GM265=TRUE,0,GM$16)</f>
        <v>35</v>
      </c>
      <c r="GN267" s="436"/>
      <c r="GO267" s="436"/>
      <c r="GP267" s="436"/>
      <c r="GQ267" s="436"/>
      <c r="GR267" s="436"/>
      <c r="HC267" s="1034">
        <f t="shared" ref="HC267:HH267" si="186">IF(HC265=TRUE,0,HC$16)</f>
        <v>19</v>
      </c>
      <c r="HD267" s="1034">
        <f t="shared" si="186"/>
        <v>18</v>
      </c>
      <c r="HE267" s="1034">
        <f t="shared" si="186"/>
        <v>17</v>
      </c>
      <c r="HF267" s="1034">
        <f t="shared" si="186"/>
        <v>16</v>
      </c>
      <c r="HG267" s="1034">
        <f t="shared" si="186"/>
        <v>0</v>
      </c>
      <c r="HH267" s="1034">
        <f t="shared" si="186"/>
        <v>0</v>
      </c>
      <c r="HI267" s="1034">
        <f>IF(HI265=TRUE,0,HI$16)</f>
        <v>13</v>
      </c>
      <c r="HJ267" s="1034">
        <f t="shared" ref="HJ267:HL267" si="187">IF(HJ265=TRUE,0,HJ$16)</f>
        <v>12</v>
      </c>
      <c r="HK267" s="1034">
        <f t="shared" si="187"/>
        <v>11</v>
      </c>
      <c r="HL267" s="1034">
        <f t="shared" si="187"/>
        <v>10</v>
      </c>
      <c r="HM267" s="1034">
        <f>IF(HM265=TRUE,0,HM$16)</f>
        <v>9</v>
      </c>
      <c r="HN267" s="1034">
        <f t="shared" ref="HN267:HR267" si="188">IF(HN265=TRUE,0,HN$16)</f>
        <v>0</v>
      </c>
      <c r="HO267" s="1034">
        <f t="shared" si="188"/>
        <v>0</v>
      </c>
      <c r="HP267" s="1034">
        <f t="shared" si="188"/>
        <v>0</v>
      </c>
      <c r="HQ267" s="1034">
        <f t="shared" si="188"/>
        <v>0</v>
      </c>
      <c r="HR267" s="1034">
        <f t="shared" si="188"/>
        <v>0</v>
      </c>
      <c r="HS267" s="1034">
        <f>IF(HS265=TRUE,0,HS$16)</f>
        <v>0</v>
      </c>
      <c r="HT267" s="1034">
        <f t="shared" ref="HT267" si="189">IF(HT265=TRUE,0,HT$16)</f>
        <v>0</v>
      </c>
      <c r="HU267" s="1034">
        <f>IF(HU265=TRUE,0,HU$16)</f>
        <v>1</v>
      </c>
      <c r="HW267" s="1034">
        <f>IF(GL265=FALSE,GL267,IF(GM265=FALSE,GM267,MAX(GJ267:HU267)))</f>
        <v>36</v>
      </c>
      <c r="HX267" s="1383"/>
      <c r="HY267" s="241" t="str">
        <f>VLOOKUP(HW267,_Error_Table,3,FALSE)</f>
        <v xml:space="preserve"> </v>
      </c>
      <c r="HZ267" s="241"/>
      <c r="IA267" s="1386"/>
      <c r="IB267" s="1380"/>
      <c r="IC267" s="1379"/>
      <c r="IF267" s="1380"/>
      <c r="IG267" s="1383"/>
      <c r="IH267" s="1383"/>
      <c r="II267" s="1383"/>
      <c r="IK267" s="1351"/>
      <c r="IL267" s="1351"/>
      <c r="IM267" s="1351"/>
      <c r="IN267" s="1351"/>
      <c r="IO267" s="1351"/>
      <c r="IP267" s="1351"/>
    </row>
    <row r="268" spans="1:250" s="82" customFormat="1" ht="5.0999999999999996" customHeight="1" thickBot="1">
      <c r="B268" s="763"/>
      <c r="C268" s="1038"/>
      <c r="D268" s="1038"/>
      <c r="E268" s="1490"/>
      <c r="F268" s="1490"/>
      <c r="G268" s="1490"/>
      <c r="H268" s="1490"/>
      <c r="I268" s="1490"/>
      <c r="J268" s="1490"/>
      <c r="K268" s="1490"/>
      <c r="L268" s="1490"/>
      <c r="M268" s="1490"/>
      <c r="N268" s="1490"/>
      <c r="O268" s="1490"/>
      <c r="P268" s="1490"/>
      <c r="Q268" s="1490"/>
      <c r="R268" s="1490"/>
      <c r="S268" s="1490"/>
      <c r="T268" s="1490"/>
      <c r="U268" s="1490"/>
      <c r="V268" s="1490"/>
      <c r="W268" s="1490"/>
      <c r="X268" s="1490"/>
      <c r="Y268" s="1490"/>
      <c r="Z268" s="1490"/>
      <c r="AA268" s="1490"/>
      <c r="AB268" s="1490"/>
      <c r="AC268" s="1490"/>
      <c r="AD268" s="1490"/>
      <c r="AE268" s="1490"/>
      <c r="AF268" s="1490"/>
      <c r="AG268" s="1490"/>
      <c r="AH268" s="1490"/>
      <c r="AI268" s="1490"/>
      <c r="AJ268" s="1490"/>
      <c r="AK268" s="1490"/>
      <c r="AL268" s="1490"/>
      <c r="AM268" s="1490"/>
      <c r="AN268" s="1490"/>
      <c r="AO268" s="1490"/>
      <c r="AP268" s="1490"/>
      <c r="AQ268" s="1490"/>
      <c r="AR268" s="1490"/>
      <c r="AS268" s="1490"/>
      <c r="AT268" s="1490"/>
      <c r="AU268" s="1041"/>
      <c r="BC268" s="38"/>
      <c r="BD268" s="38"/>
      <c r="BE268" s="38"/>
      <c r="BF268" s="38"/>
      <c r="BG268" s="38"/>
      <c r="BH268" s="38"/>
      <c r="BI268" s="38"/>
      <c r="BJ268" s="38"/>
      <c r="BK268" s="38"/>
      <c r="BL268" s="38"/>
      <c r="BM268" s="38"/>
      <c r="BN268" s="38"/>
      <c r="BO268" s="38"/>
      <c r="BP268" s="38"/>
      <c r="BQ268" s="38"/>
      <c r="BR268" s="38"/>
      <c r="BS268" s="38"/>
      <c r="BT268" s="38"/>
      <c r="BU268" s="38"/>
      <c r="BV268" s="38"/>
      <c r="BW268" s="38"/>
      <c r="BX268" s="38"/>
      <c r="BY268" s="38"/>
      <c r="BZ268" s="38"/>
      <c r="CA268" s="38"/>
      <c r="CB268" s="38"/>
      <c r="CC268" s="38"/>
      <c r="CD268" s="38"/>
      <c r="CE268" s="38"/>
      <c r="CF268" s="38"/>
      <c r="CG268" s="38"/>
      <c r="CH268" s="38"/>
      <c r="CI268" s="38"/>
      <c r="CM268" s="749"/>
      <c r="CN268" s="749"/>
      <c r="CO268" s="1043"/>
      <c r="CP268" s="749"/>
      <c r="CS268" s="436"/>
      <c r="CT268" s="436"/>
      <c r="CU268" s="243"/>
      <c r="CV268" s="244"/>
      <c r="CW268" s="244"/>
      <c r="CX268" s="244"/>
      <c r="CY268" s="245"/>
      <c r="CZ268" s="245"/>
      <c r="DA268" s="245"/>
      <c r="DC268" s="750"/>
      <c r="DD268" s="751"/>
      <c r="DE268" s="752"/>
      <c r="DF268" s="753"/>
      <c r="DG268" s="754"/>
      <c r="DH268" s="754"/>
      <c r="DK268" s="244"/>
      <c r="DL268" s="750"/>
      <c r="DN268" s="750"/>
      <c r="DO268" s="755"/>
      <c r="DP268" s="436"/>
      <c r="DQ268" s="750"/>
      <c r="DR268" s="750"/>
      <c r="DS268" s="750"/>
      <c r="DU268" s="750"/>
      <c r="DV268" s="750"/>
      <c r="DW268" s="750"/>
      <c r="DX268" s="750"/>
      <c r="DZ268" s="756"/>
      <c r="EA268" s="756"/>
      <c r="EC268" s="754"/>
      <c r="ED268" s="754"/>
      <c r="EE268" s="244"/>
      <c r="EF268" s="754"/>
      <c r="EG268" s="754"/>
      <c r="EH268" s="243"/>
      <c r="EI268" s="243"/>
      <c r="EJ268" s="752"/>
      <c r="EK268" s="757"/>
      <c r="EL268" s="757"/>
      <c r="EM268" s="758"/>
      <c r="EN268" s="758"/>
      <c r="EO268" s="752"/>
      <c r="EP268" s="752"/>
      <c r="EQ268" s="752"/>
      <c r="ES268" s="750"/>
      <c r="EU268" s="436"/>
      <c r="EV268" s="436"/>
      <c r="EW268" s="436"/>
      <c r="EX268" s="436"/>
      <c r="EY268" s="436"/>
      <c r="EZ268" s="436"/>
      <c r="FB268" s="643"/>
      <c r="FD268" s="436"/>
      <c r="FE268" s="436"/>
      <c r="FF268" s="436"/>
      <c r="FO268" s="750"/>
      <c r="FP268" s="436"/>
      <c r="FQ268" s="436"/>
      <c r="FR268" s="750"/>
      <c r="FS268" s="750"/>
      <c r="FW268" s="749"/>
      <c r="FX268" s="749"/>
      <c r="FY268" s="749"/>
      <c r="FZ268" s="749"/>
      <c r="GA268" s="749"/>
      <c r="GB268" s="749"/>
      <c r="GC268" s="749"/>
      <c r="GD268" s="749"/>
      <c r="GE268" s="751"/>
      <c r="GF268" s="750"/>
      <c r="GG268" s="750"/>
    </row>
    <row r="269" spans="1:250" s="82" customFormat="1" ht="14.95" customHeight="1" thickTop="1" thickBot="1">
      <c r="B269" s="1421" t="str">
        <f>HY272</f>
        <v xml:space="preserve"> </v>
      </c>
      <c r="C269" s="1422">
        <f>C264+1</f>
        <v>45</v>
      </c>
      <c r="D269" s="1423"/>
      <c r="E269" s="1424" t="s">
        <v>242</v>
      </c>
      <c r="F269" s="1425"/>
      <c r="G269" s="1426"/>
      <c r="H269" s="1427"/>
      <c r="I269" s="1427"/>
      <c r="J269" s="1427"/>
      <c r="K269" s="1427"/>
      <c r="L269" s="1427"/>
      <c r="M269" s="1427"/>
      <c r="N269" s="1427"/>
      <c r="O269" s="1427"/>
      <c r="P269" s="1427"/>
      <c r="Q269" s="1427"/>
      <c r="R269" s="1427"/>
      <c r="S269" s="1428" t="s">
        <v>283</v>
      </c>
      <c r="T269" s="668" t="s">
        <v>190</v>
      </c>
      <c r="U269" s="1430" t="s">
        <v>186</v>
      </c>
      <c r="V269" s="1431"/>
      <c r="W269" s="1431"/>
      <c r="X269" s="1431"/>
      <c r="Y269" s="1431"/>
      <c r="Z269" s="1431"/>
      <c r="AA269" s="1431"/>
      <c r="AB269" s="1088" t="str">
        <f>IFERROR(IF(__Retrofit_TI_NC=0,VLOOKUP(U270,Fixtures_Existing_List,2,FALSE),ROUND(N271*R271/T271,10)),"")</f>
        <v/>
      </c>
      <c r="AC269" s="1039" t="str">
        <f>IFERROR(IF(__Retrofit_TI_NC=0,ROUND(T270*AB269*N270*R270/1000,0),IF(CN269="Interior",N271*R271*R270*N270*_C406_reduction/1000,N271*R271*R270*N270/1000)),"")</f>
        <v/>
      </c>
      <c r="AD269" s="1040" t="str">
        <f>IFERROR(IF(C$36=0,ROUND(T270*AB269/1000,2),N271*R271/1000),"")</f>
        <v/>
      </c>
      <c r="AE269" s="1044" t="s">
        <v>190</v>
      </c>
      <c r="AF269" s="1432" t="str">
        <f>IF(__Retrofit_TI_NC=2,CONCATENATE("Code min = ",DD269),IF(__Retrofit_TI_NC=1,"Emter what you think the existing control was"," Control"))</f>
        <v xml:space="preserve"> Control</v>
      </c>
      <c r="AG269" s="1432"/>
      <c r="AH269" s="1432"/>
      <c r="AI269" s="1432"/>
      <c r="AJ269" s="1433">
        <f>DF269</f>
        <v>0</v>
      </c>
      <c r="AK269" s="1435" t="str">
        <f>IFERROR(ROUND(AJ269*AC269,0),"")</f>
        <v/>
      </c>
      <c r="AL269" s="1437">
        <f>IFERROR(IF(HW269=FALSE,0,AC269-AK269),0)</f>
        <v>0</v>
      </c>
      <c r="AM269" s="1439">
        <f>AL269-AL271</f>
        <v>0</v>
      </c>
      <c r="AN269" s="1440"/>
      <c r="AO269" s="1445">
        <f>IFERROR(IF(HW269=FALSE,0,(T271*U272)+(AE271*AF272)),0)</f>
        <v>0</v>
      </c>
      <c r="AP269" s="1445"/>
      <c r="AQ269" s="1446"/>
      <c r="AR269" s="1451" t="s">
        <v>157</v>
      </c>
      <c r="AS269" s="1454">
        <f>IF(AR269="Yes",1,0)</f>
        <v>1</v>
      </c>
      <c r="AT269" s="1457" t="str">
        <f>IF(OR(DN269=4,DN269=5,DN269=6,DN269=12),CONCATENATE("$",IF(GD269=TRUE,Lookup!$B$11,Lookup!$B$2)," /lamp"),CONCATENATE(EA269,"/ kWh"))</f>
        <v>0/ kWh</v>
      </c>
      <c r="AU269" s="516"/>
      <c r="AV269" s="1478">
        <f>IFERROR(IF(GI270=TRUE,(AB272*T271)/R271,0),"NA")</f>
        <v>0</v>
      </c>
      <c r="AW269" s="1478" t="str">
        <f>IFERROR(N271*_C406_reduction,"NA")</f>
        <v>NA</v>
      </c>
      <c r="BC269" s="38"/>
      <c r="BD269" s="38"/>
      <c r="BE269" s="38"/>
      <c r="BF269" s="38"/>
      <c r="BG269" s="38"/>
      <c r="BH269" s="38"/>
      <c r="BI269" s="38"/>
      <c r="BJ269" s="38"/>
      <c r="BK269" s="38"/>
      <c r="BL269" s="38"/>
      <c r="BM269" s="38"/>
      <c r="BN269" s="38"/>
      <c r="BO269" s="38"/>
      <c r="BP269" s="38"/>
      <c r="BQ269" s="38"/>
      <c r="BR269" s="38"/>
      <c r="BS269" s="38"/>
      <c r="BT269" s="38"/>
      <c r="BU269" s="38"/>
      <c r="BV269" s="38"/>
      <c r="BW269" s="38"/>
      <c r="BX269" s="38"/>
      <c r="BY269" s="38"/>
      <c r="BZ269" s="38"/>
      <c r="CA269" s="38"/>
      <c r="CB269" s="38"/>
      <c r="CC269" s="38"/>
      <c r="CD269" s="38"/>
      <c r="CE269" s="38"/>
      <c r="CF269" s="38"/>
      <c r="CG269" s="38"/>
      <c r="CH269" s="38"/>
      <c r="CI269" s="38"/>
      <c r="CM269" s="1352" t="str">
        <f>N270</f>
        <v/>
      </c>
      <c r="CN269" s="1352" t="str">
        <f>IFERROR(VLOOKUP(G270,_Lookup_Heat_Type_Table_New,3,FALSE),"")</f>
        <v/>
      </c>
      <c r="CO269" s="1415" t="str">
        <f>CN269</f>
        <v/>
      </c>
      <c r="CP269" s="1417" t="e">
        <f>VLOOKUP(G271,'Space Table'!$B$3:$L$160,9,FALSE)</f>
        <v>#N/A</v>
      </c>
      <c r="CR269" s="1386" t="s">
        <v>283</v>
      </c>
      <c r="CS269" s="1353">
        <f>IF(HW269=TRUE,T270,0)</f>
        <v>0</v>
      </c>
      <c r="CT269" s="1353" t="str">
        <f>IF(HW269=TRUE,U270,"")</f>
        <v/>
      </c>
      <c r="CU269" s="1353"/>
      <c r="CV269" s="1370">
        <f>IF(HW269=TRUE,AB269,0)</f>
        <v>0</v>
      </c>
      <c r="CW269" s="1370">
        <f>IF(HW269=TRUE,AC269,0)</f>
        <v>0</v>
      </c>
      <c r="CX269" s="1370">
        <f>IFERROR(IF(HW269=TRUE,CW269-CW271,0),0)</f>
        <v>0</v>
      </c>
      <c r="CY269" s="1485">
        <f>IF(HW269=TRUE,AD269,0)</f>
        <v>0</v>
      </c>
      <c r="CZ269" s="1485">
        <f>IF(HW269=TRUE,AD272,0)</f>
        <v>0</v>
      </c>
      <c r="DA269" s="1485">
        <f>IFERROR(CY269-CZ269,0)</f>
        <v>0</v>
      </c>
      <c r="DC269" s="1353">
        <f>IF(HW269=TRUE,AE270,0)</f>
        <v>0</v>
      </c>
      <c r="DD269" s="1460">
        <f>IF(__Retrofit_TI_NC=2,IF(CN269="Exterior",O272,FM269),FK269)</f>
        <v>0</v>
      </c>
      <c r="DE269" s="1353"/>
      <c r="DF269" s="1406">
        <f>IFERROR(IF(FL269=3,IK269,IF(FL269=4,IL269,IF(FL269=5,IM269,IF(FL269=6,IN269,IF(FL269=7,IO269,IF(FL269=8,IP269,0)))))),0)</f>
        <v>0</v>
      </c>
      <c r="DG269" s="1370">
        <f>IF(HW269=TRUE,AK269,0)</f>
        <v>0</v>
      </c>
      <c r="DH269" s="1369">
        <f>IFERROR(IF(HW269=TRUE,DG271-DG269,0),0)</f>
        <v>0</v>
      </c>
      <c r="DJ269" s="1483">
        <f>IFERROR(CW269-DG269,0)</f>
        <v>0</v>
      </c>
      <c r="DL269" s="1419">
        <f>DJ269-DK271</f>
        <v>0</v>
      </c>
      <c r="DN269" s="1403" t="str">
        <f>IFERROR(IF(AND(OR(FY269=4,FY269=5,FY269=6),OR(GB269=4,GB269=5,GB269=6)),FY269+8,VLOOKUP(CT271,Fixtures!R$31:Y$78,8,FALSE)),"")</f>
        <v/>
      </c>
      <c r="DO269" s="1404" t="str">
        <f>DN269</f>
        <v/>
      </c>
      <c r="DP269" s="1353" t="str">
        <f>IFERROR(VLOOKUP(DD271,Lookup!AU$3:AV$15,2,FALSE),"")</f>
        <v/>
      </c>
      <c r="DQ269" s="1404" t="str">
        <f>IF(DP269=7,"LLLC","")</f>
        <v/>
      </c>
      <c r="DR269" s="1403">
        <f>IFERROR(IF(OR(DN269=4,DN269=5,DN269=6,DN269=12,DN269=13,DN269=14),VLOOKUP(CT271,Fixtures!DN$27:EG$77,19,FALSE),1)*CS271,0)</f>
        <v>0</v>
      </c>
      <c r="DS269" s="1489">
        <f>IF(DP269=7,IF(DD269=DD271,0,DC271),0)</f>
        <v>0</v>
      </c>
      <c r="DU269" s="1403" t="str">
        <f>IFERROR(IF(EW269&lt;EW271,"Yes","No"),"")</f>
        <v/>
      </c>
      <c r="DV269" s="1404" t="str">
        <f>DU269</f>
        <v/>
      </c>
      <c r="DW269" s="1403">
        <f>IF(DU269="Yes",DC271,0)</f>
        <v>0</v>
      </c>
      <c r="DX269" s="1403">
        <f>DW269-DS269</f>
        <v>0</v>
      </c>
      <c r="DZ269" s="1481">
        <f>IFERROR(VLOOKUP(DN269,Lookup!AN$3:AO$16,2,FALSE),0)</f>
        <v>0</v>
      </c>
      <c r="EA269" s="1481">
        <f>IF(HW269=FALSE,0,IF(DU269="Yes",DZ269+Lookup!B$6,DZ269))</f>
        <v>0</v>
      </c>
      <c r="EC269" s="1482">
        <f>IF(HW269=TRUE,DJ269,0)</f>
        <v>0</v>
      </c>
      <c r="ED269" s="1369">
        <f>IF(HW269=TRUE,CW271,0)</f>
        <v>0</v>
      </c>
      <c r="EE269" s="1370">
        <f>IFERROR(EC269-ED269,0)</f>
        <v>0</v>
      </c>
      <c r="EF269" s="1369">
        <f>IF(HW269=TRUE,DG271,0)</f>
        <v>0</v>
      </c>
      <c r="EG269" s="1369">
        <f>IFERROR(EC269-ED269+EF269,0)</f>
        <v>0</v>
      </c>
      <c r="EH269" s="1373">
        <f>IF(HW269=TRUE,CS271*CU271,0)</f>
        <v>0</v>
      </c>
      <c r="EI269" s="1373">
        <f>IF(HW269=TRUE,DC271*DE271,0)</f>
        <v>0</v>
      </c>
      <c r="EJ269" s="1363">
        <f>AO269</f>
        <v>0</v>
      </c>
      <c r="EK269" s="1376" t="str">
        <f>IFERROR(IF(HW269=TRUE,VLOOKUP(DN269,Lookup!AN$3:AP$16,3,FALSE)*DR269,""),0)</f>
        <v/>
      </c>
      <c r="EL269" s="1376">
        <f>IF(HW269=TRUE,DW269*Lookup!AP$12,0)</f>
        <v>0</v>
      </c>
      <c r="EM269" s="1362">
        <f>IFERROR(IF(HW269=TRUE,EK269/EM$33,0),0)</f>
        <v>0</v>
      </c>
      <c r="EN269" s="1362">
        <f>IF(HW269=TRUE,EL269/EN$33,0)</f>
        <v>0</v>
      </c>
      <c r="EO269" s="1363">
        <f>IF(HW269=TRUE,EQ$33*EM269,0)</f>
        <v>0</v>
      </c>
      <c r="EP269" s="1363">
        <f>IF(HW269=TRUE,EQ$33*EN269,0)</f>
        <v>0</v>
      </c>
      <c r="EQ269" s="1363">
        <f>EO269+EP269</f>
        <v>0</v>
      </c>
      <c r="ES269" s="1403">
        <f>IF(G269="",0,1)</f>
        <v>0</v>
      </c>
      <c r="EU269" s="1410" t="e">
        <f>VLOOKUP(CP271,'Space Table'!$B$3:$L$160,8,FALSE)</f>
        <v>#N/A</v>
      </c>
      <c r="EV269" s="1410" t="e">
        <f>IF(EY269="Yes",VLOOKUP(DD269,Lookup_Control_Type_Table2,4,FALSE),VLOOKUP(DD269,Lookup_Control_Type_Table2,3,FALSE))</f>
        <v>#N/A</v>
      </c>
      <c r="EW269" s="1410" t="e">
        <f>VLOOKUP(DD269,Lookup!AU$3:AV$15,2,FALSE)</f>
        <v>#N/A</v>
      </c>
      <c r="EX269" s="1410" t="e">
        <f>VLOOKUP(EU269,Lookup_Control_Type_Table,2,FALSE)</f>
        <v>#N/A</v>
      </c>
      <c r="EY269" s="1410" t="e">
        <f>VLOOKUP(CP271,'Space Table'!$B$3:$L$160,7,FALSE)</f>
        <v>#N/A</v>
      </c>
      <c r="EZ269" s="1412" t="b">
        <f>ISNUMBER(SEARCH("TLED",U271))</f>
        <v>0</v>
      </c>
      <c r="FB269" s="1365" t="str">
        <f>CONCATENATE(CN269," - ",DD269)</f>
        <v xml:space="preserve"> - 0</v>
      </c>
      <c r="FD269" s="1353" t="str">
        <f>VLOOKUP(CT271,Fixtures!DN$27:EZ$77,38,FALSE)</f>
        <v/>
      </c>
      <c r="FE269" s="1353">
        <f>IFERROR(FD269*EE269,0)</f>
        <v>0</v>
      </c>
      <c r="FF269" s="138"/>
      <c r="FI269" s="1356" t="str">
        <f>IF(CN269="Exterior","Not Daylighted",G272)</f>
        <v>Not Daylighted</v>
      </c>
      <c r="FJ269" s="1356">
        <f>VLOOKUP(FI269,_Daylight_Table_Codes,2,FALSE)</f>
        <v>0</v>
      </c>
      <c r="FK269" s="1365">
        <f>IF(__Retrofit_TI_NC=2,VLOOKUP(G271,'Space Table'!$B$3:$L$160,11,FALSE),AF270)</f>
        <v>0</v>
      </c>
      <c r="FL269" s="1365" t="e">
        <f>VLOOKUP(FK269,_Control_Table,2,FALSE)</f>
        <v>#N/A</v>
      </c>
      <c r="FM269" s="1365" t="e">
        <f>IF(AND(FP269&gt;0,FK269="Occupancy Sensor"),"Daylight + Occupancy",IF(AND(FP269&gt;0,FL269&lt;4),"Interior Daylight Dimming",FK269))</f>
        <v>#N/A</v>
      </c>
      <c r="FO269" s="1364">
        <f>IF(CO269="Interior",VLOOKUP(CP269,Control_Savings_Interior,5,FALSE),0)</f>
        <v>0</v>
      </c>
      <c r="FP269" s="1361">
        <f>IF(CN269="Exterior",0,IF(FJ269=2,0.5,IF(OR(FJ269=1,FJ269=3),1,0)))</f>
        <v>0</v>
      </c>
      <c r="FQ269" s="1366"/>
      <c r="FR269" s="1367"/>
      <c r="FS269" s="1364"/>
      <c r="FT269" s="1367"/>
      <c r="FU269" s="1360"/>
      <c r="FW269" s="1352" t="str">
        <f>IFERROR(VLOOKUP(U270,_Exist_Fixture_Table,3,FALSE),"")</f>
        <v/>
      </c>
      <c r="FX269" s="1352" t="str">
        <f>VLOOKUP(CT269,_Exist_Fixture_Table,4,FALSE)</f>
        <v/>
      </c>
      <c r="FY269" s="1352">
        <f>IFERROR(VLOOKUP(FX269,Lookup!AM$6:AN$8,2,FALSE),0)</f>
        <v>0</v>
      </c>
      <c r="FZ269" s="1352" t="b">
        <f>IFERROR(IF(OR(GB269=4,GB269=5,GB269=6),TRUE,FALSE),"")</f>
        <v>0</v>
      </c>
      <c r="GA269" s="1352" t="str">
        <f>IFERROR(VLOOKUP(GB269,FY$6:FZ$10,2,FALSE),"")</f>
        <v/>
      </c>
      <c r="GB269" s="1352" t="str">
        <f>VLOOKUP(CT271,Fixtures!R$31:Y$78,8,FALSE)</f>
        <v/>
      </c>
      <c r="GC269" s="1352">
        <f>IF(AND(FW269=TRUE,FZ269=TRUE,OR(DN269=12,DN269=13,DN269=14)),FY269+8,0)</f>
        <v>0</v>
      </c>
      <c r="GD269" s="1352" t="b">
        <f>IF(OR(GC269=12,GC269=13,GC269=14),TRUE,FALSE)</f>
        <v>0</v>
      </c>
      <c r="GE269" s="759" t="b">
        <f>IF(ISNUMBER(SEARCH("TLED",U270)),TRUE,FALSE)</f>
        <v>0</v>
      </c>
      <c r="GF269" s="1035" t="str">
        <f>IFERROR(VLOOKUP(U270,Fixtures!BM$93:BR$142,6,FALSE),"")</f>
        <v/>
      </c>
      <c r="GG269" s="1385" t="b">
        <f>IF(OR(GE269=FALSE,GE271=FALSE),TRUE,IF(GF269-GF271&lt;5,FALSE,TRUE))</f>
        <v>1</v>
      </c>
      <c r="GK269" s="1034">
        <f>GL269</f>
        <v>0</v>
      </c>
      <c r="GL269" s="1034">
        <f>IF(G269="",0,1)</f>
        <v>0</v>
      </c>
      <c r="GM269" s="1034">
        <f>SUM(GN269:HB269)</f>
        <v>2</v>
      </c>
      <c r="GN269" s="1034">
        <f>IF(G270="",0,1)</f>
        <v>0</v>
      </c>
      <c r="GO269" s="1034">
        <f>IF(G271="",0,1)</f>
        <v>0</v>
      </c>
      <c r="GP269" s="1034">
        <f>IF(R270="",0,1)</f>
        <v>0</v>
      </c>
      <c r="GQ269" s="1034">
        <f>IF(__Retrofit_TI_NC=0,1,IF(R271="",0,1))</f>
        <v>1</v>
      </c>
      <c r="GR269" s="1034">
        <f>IF(CN269="Exterior",1,IF(G272="",0,1))</f>
        <v>1</v>
      </c>
      <c r="GS269" s="1034">
        <f>IF(__Retrofit_TI_NC&lt;&gt;0,1,IF(T270="",0,1))</f>
        <v>0</v>
      </c>
      <c r="GT269" s="1034">
        <f>IF(__Retrofit_TI_NC&lt;&gt;0,1,IF(U270="",0,1))</f>
        <v>0</v>
      </c>
      <c r="GU269" s="1034">
        <f>IF(T271="",0,1)</f>
        <v>0</v>
      </c>
      <c r="GV269" s="1034">
        <f>IF(U271="",0,1)</f>
        <v>0</v>
      </c>
      <c r="GW269" s="1034">
        <f>IF(__Retrofit_TI_NC=2,1,IF(U272="",0,1))</f>
        <v>0</v>
      </c>
      <c r="GX269" s="1034">
        <f>IF(__Retrofit_TI_NC&lt;&gt;0,1,IF(AE270="",0,1))</f>
        <v>0</v>
      </c>
      <c r="GY269" s="1034">
        <f>IF(__Retrofit_TI_NC&lt;&gt;0,1,IF(AF270="",0,1))</f>
        <v>0</v>
      </c>
      <c r="GZ269" s="1034">
        <f>IF(AE271="",0,1)</f>
        <v>0</v>
      </c>
      <c r="HA269" s="1034">
        <f>IF(AF271="",0,1)</f>
        <v>0</v>
      </c>
      <c r="HB269" s="1034">
        <f>IF(__Retrofit_TI_NC=2,1,IF(AF272="",0,1))</f>
        <v>0</v>
      </c>
      <c r="HV269" s="436"/>
      <c r="HW269" s="1384" t="b">
        <f>IF(OR(HW272=0,HW272=HT$16,HW272=HS$16,HW272=HU$16),TRUE,FALSE)</f>
        <v>0</v>
      </c>
      <c r="HX269" s="1377" t="b">
        <f>HW269</f>
        <v>0</v>
      </c>
      <c r="HY269" s="436"/>
      <c r="HZ269" s="436"/>
      <c r="IA269" s="1386" t="b">
        <f>IF(MAX(GJ272:HP272)&gt;5,FALSE,TRUE)</f>
        <v>0</v>
      </c>
      <c r="IB269" s="1380">
        <f>IF(IA269=TRUE,AC269,0)</f>
        <v>0</v>
      </c>
      <c r="IC269" s="1380">
        <f>IB269-IB271</f>
        <v>0</v>
      </c>
      <c r="IF269" s="1380" t="e">
        <f>ROUND(T270*VLOOKUP(U270,Fixtures_Existing_List,2,FALSE)*N270*R270/1000,0)</f>
        <v>#N/A</v>
      </c>
      <c r="IG269" s="1381" t="e">
        <f>IF269-IF271</f>
        <v>#N/A</v>
      </c>
      <c r="IH269" s="1384" t="e">
        <f>ROUND(IF(CN269="Interior",N271*R271*R270*N270*_C406_reduction/1000,N271*R271*R270*N270/1000),0)</f>
        <v>#N/A</v>
      </c>
      <c r="II269" s="1384" t="e">
        <f>IH269-IH271</f>
        <v>#N/A</v>
      </c>
      <c r="IK269" s="1351" t="e">
        <f>IF($CO269="interior",IL269/2,VLOOKUP($CP269,Control_Savings_Exterior,IK$30,FALSE))</f>
        <v>#N/A</v>
      </c>
      <c r="IL269" s="1351" t="e">
        <f>IF($CO269="interior",VLOOKUP($CP269,Control_Savings_Interior,IL$30,FALSE),VLOOKUP($CP269,Control_Savings_Exterior,IL$30,FALSE))</f>
        <v>#N/A</v>
      </c>
      <c r="IM269" s="1351" t="e">
        <f>IF($CO269="interior",IF(R270&gt;FO$37,(IM$28*(FO$37/R270)),IM$28)*FP269,VLOOKUP($CP269,Control_Savings_Exterior,IM$30,FALSE))</f>
        <v>#N/A</v>
      </c>
      <c r="IN269" s="1351" t="e">
        <f>IF($CO269="interior",ROUND(((1-IL269)*IM269)+IL269,2),VLOOKUP($CP269,Control_Savings_Exterior,IN$30,FALSE))</f>
        <v>#N/A</v>
      </c>
      <c r="IO269" s="1351" t="e">
        <f>IF($CO269="interior", ROUND(((1-IL269)*(IM269*(1-IP$28)))+IP269,2), VLOOKUP($CP269,Control_Savings_Exterior,IO$30,FALSE))</f>
        <v>#N/A</v>
      </c>
      <c r="IP269" s="1351">
        <f>IF($CO269="interior",ROUND(((1-IL269)*IP$28)+IL269,2),0)</f>
        <v>0</v>
      </c>
    </row>
    <row r="270" spans="1:250" s="82" customFormat="1" ht="14.95" customHeight="1" thickTop="1" thickBot="1">
      <c r="B270" s="1421"/>
      <c r="C270" s="1422"/>
      <c r="D270" s="1423"/>
      <c r="E270" s="1393" t="s">
        <v>244</v>
      </c>
      <c r="F270" s="1394"/>
      <c r="G270" s="1395"/>
      <c r="H270" s="1395"/>
      <c r="I270" s="1395"/>
      <c r="J270" s="1395"/>
      <c r="K270" s="1395"/>
      <c r="L270" s="1395"/>
      <c r="M270" s="509" t="e">
        <f>IF(__Retrofit_TI_NC&lt;&gt;0,IF(VLOOKUP(G271,'Space Table'!$B$3:$L$160,3,FALSE)&gt;0,1,0),IF(__Retrofit_TI_NC=VLOOKUP(G271,'Space Table'!$B$3:$L$160,3,FALSE),1,0))</f>
        <v>#N/A</v>
      </c>
      <c r="N270" s="509" t="str">
        <f>IFERROR(VLOOKUP(G270,_Lookup_Heat_Type_Table_New,2,FALSE),"")</f>
        <v/>
      </c>
      <c r="O270" s="509">
        <f>IF(__Retrofit_TI_NC=1,CONCATENATE("TI ",G270),IF(__Retrofit_TI_NC=2,CONCATENATE("NC ",G270),G270))</f>
        <v>0</v>
      </c>
      <c r="P270" s="1396" t="s">
        <v>352</v>
      </c>
      <c r="Q270" s="1396"/>
      <c r="R270" s="673"/>
      <c r="S270" s="1429"/>
      <c r="T270" s="675"/>
      <c r="U270" s="1496"/>
      <c r="V270" s="1497"/>
      <c r="W270" s="1497"/>
      <c r="X270" s="1497"/>
      <c r="Y270" s="1497"/>
      <c r="Z270" s="1497"/>
      <c r="AA270" s="1497"/>
      <c r="AB270" s="1497"/>
      <c r="AC270" s="1497"/>
      <c r="AD270" s="1498"/>
      <c r="AE270" s="675"/>
      <c r="AF270" s="1397"/>
      <c r="AG270" s="1397"/>
      <c r="AH270" s="1397"/>
      <c r="AI270" s="1397"/>
      <c r="AJ270" s="1434"/>
      <c r="AK270" s="1436"/>
      <c r="AL270" s="1438"/>
      <c r="AM270" s="1441"/>
      <c r="AN270" s="1442"/>
      <c r="AO270" s="1447"/>
      <c r="AP270" s="1447"/>
      <c r="AQ270" s="1448"/>
      <c r="AR270" s="1452"/>
      <c r="AS270" s="1455"/>
      <c r="AT270" s="1458"/>
      <c r="AU270" s="516"/>
      <c r="AV270" s="1479"/>
      <c r="AW270" s="1479"/>
      <c r="BC270" s="38"/>
      <c r="BD270" s="38"/>
      <c r="BE270" s="38"/>
      <c r="BF270" s="38"/>
      <c r="BG270" s="38"/>
      <c r="BH270" s="38"/>
      <c r="BI270" s="38"/>
      <c r="BJ270" s="38"/>
      <c r="BK270" s="38"/>
      <c r="BL270" s="38"/>
      <c r="BM270" s="38"/>
      <c r="BN270" s="38"/>
      <c r="BO270" s="38"/>
      <c r="BP270" s="38"/>
      <c r="BQ270" s="38"/>
      <c r="BR270" s="38"/>
      <c r="BS270" s="38"/>
      <c r="BT270" s="38"/>
      <c r="BU270" s="38"/>
      <c r="BV270" s="38"/>
      <c r="BW270" s="38"/>
      <c r="BX270" s="38"/>
      <c r="BY270" s="38"/>
      <c r="BZ270" s="38"/>
      <c r="CA270" s="38"/>
      <c r="CB270" s="38"/>
      <c r="CC270" s="38"/>
      <c r="CD270" s="38"/>
      <c r="CE270" s="38"/>
      <c r="CF270" s="38"/>
      <c r="CG270" s="38"/>
      <c r="CH270" s="38"/>
      <c r="CI270" s="38"/>
      <c r="CM270" s="1352"/>
      <c r="CN270" s="1352"/>
      <c r="CO270" s="1416"/>
      <c r="CP270" s="1418"/>
      <c r="CR270" s="1386"/>
      <c r="CS270" s="1355"/>
      <c r="CT270" s="1355"/>
      <c r="CU270" s="1355"/>
      <c r="CV270" s="1372"/>
      <c r="CW270" s="1372"/>
      <c r="CX270" s="1371"/>
      <c r="CY270" s="1486"/>
      <c r="CZ270" s="1486"/>
      <c r="DA270" s="1486"/>
      <c r="DC270" s="1355"/>
      <c r="DD270" s="1461"/>
      <c r="DE270" s="1355"/>
      <c r="DF270" s="1407"/>
      <c r="DG270" s="1372"/>
      <c r="DH270" s="1369"/>
      <c r="DJ270" s="1484"/>
      <c r="DL270" s="1419"/>
      <c r="DN270" s="1403"/>
      <c r="DO270" s="1405"/>
      <c r="DP270" s="1354"/>
      <c r="DQ270" s="1405"/>
      <c r="DR270" s="1403"/>
      <c r="DS270" s="1489"/>
      <c r="DU270" s="1403"/>
      <c r="DV270" s="1405"/>
      <c r="DW270" s="1403"/>
      <c r="DX270" s="1403"/>
      <c r="DZ270" s="1481"/>
      <c r="EA270" s="1481"/>
      <c r="EC270" s="1482"/>
      <c r="ED270" s="1369"/>
      <c r="EE270" s="1371"/>
      <c r="EF270" s="1369"/>
      <c r="EG270" s="1369"/>
      <c r="EH270" s="1374"/>
      <c r="EI270" s="1374"/>
      <c r="EJ270" s="1363"/>
      <c r="EK270" s="1376"/>
      <c r="EL270" s="1376"/>
      <c r="EM270" s="1362"/>
      <c r="EN270" s="1362"/>
      <c r="EO270" s="1363"/>
      <c r="EP270" s="1363"/>
      <c r="EQ270" s="1363"/>
      <c r="ES270" s="1403"/>
      <c r="EU270" s="1411"/>
      <c r="EV270" s="1411"/>
      <c r="EW270" s="1411"/>
      <c r="EX270" s="1411"/>
      <c r="EY270" s="1411"/>
      <c r="EZ270" s="1413"/>
      <c r="FB270" s="1365"/>
      <c r="FD270" s="1354"/>
      <c r="FE270" s="1354"/>
      <c r="FF270" s="138"/>
      <c r="FI270" s="1357"/>
      <c r="FJ270" s="1357"/>
      <c r="FK270" s="1365"/>
      <c r="FL270" s="1365"/>
      <c r="FM270" s="1365"/>
      <c r="FO270" s="1361"/>
      <c r="FP270" s="1361"/>
      <c r="FQ270" s="1366"/>
      <c r="FR270" s="1368"/>
      <c r="FS270" s="1361"/>
      <c r="FT270" s="1368"/>
      <c r="FU270" s="1360"/>
      <c r="FW270" s="1352"/>
      <c r="FX270" s="1352"/>
      <c r="FY270" s="1352"/>
      <c r="FZ270" s="1352"/>
      <c r="GA270" s="1352"/>
      <c r="GB270" s="1352"/>
      <c r="GC270" s="1352"/>
      <c r="GD270" s="1352"/>
      <c r="GE270" s="759"/>
      <c r="GF270" s="1035"/>
      <c r="GG270" s="1385"/>
      <c r="GI270" s="1384" t="b">
        <f>IF(AND(GL270=TRUE,GM270=TRUE),TRUE,FALSE)</f>
        <v>0</v>
      </c>
      <c r="GJ270" s="1379" t="b">
        <f>IFERROR(IF(__Retrofit_TI_NC=2,TRUE,IF(AR269="Yes",TRUE,FALSE)),FALSE)</f>
        <v>1</v>
      </c>
      <c r="GL270" s="1379" t="b">
        <f>IFERROR(IF(GL269=1,TRUE,FALSE),FALSE)</f>
        <v>0</v>
      </c>
      <c r="GM270" s="1379" t="b">
        <f>IFERROR(IF(GM269=GM$14,TRUE,FALSE),FALSE)</f>
        <v>0</v>
      </c>
      <c r="HC270" s="1379" t="b">
        <f>IFERROR(IF(M270=1,TRUE,FALSE),FALSE)</f>
        <v>0</v>
      </c>
      <c r="HD270" s="1379" t="b">
        <f>IFERROR(IF(M271=1,TRUE,FALSE),FALSE)</f>
        <v>0</v>
      </c>
      <c r="HE270" s="1379" t="b">
        <f>IFERROR(IF(__Retrofit_TI_NC&lt;&gt;0,TRUE,IFERROR(IF(VLOOKUP(U270,Fixtures_Existing_List,2,FALSE)&lt;&gt;"",TRUE,FALSE),FALSE)),FALSE)</f>
        <v>0</v>
      </c>
      <c r="HF270" s="1379" t="b">
        <f>IFERROR(IF(VLOOKUP(U271,Fixtures_Proposed_List,2,FALSE)&lt;&gt;"",TRUE,FALSE),FALSE)</f>
        <v>0</v>
      </c>
      <c r="HG270" s="1379" t="b">
        <f>IF(AND(__Retrofit_TI_NC=2,EZ269=TRUE),FALSE,TRUE)</f>
        <v>1</v>
      </c>
      <c r="HH270" s="1379" t="b">
        <f>GG269</f>
        <v>1</v>
      </c>
      <c r="HI270" s="1384" t="b">
        <f>IF(ISERROR(MATCH(FB269,_Control_Match[],0))=TRUE,FALSE,TRUE)</f>
        <v>0</v>
      </c>
      <c r="HJ270" s="1384" t="b">
        <f>IFERROR(IF(EU269&lt;&gt;EV269,FALSE,TRUE),FALSE)</f>
        <v>0</v>
      </c>
      <c r="HK270" s="1384" t="b">
        <f>IFERROR(IF(EU271&lt;&gt;EV271,FALSE,TRUE),FALSE)</f>
        <v>0</v>
      </c>
      <c r="HL270" s="1379" t="b">
        <f>IFERROR(IF(CN269="Exterior",TRUE,IF(OR(AND(FJ269=0,EW271&gt;4),AND(FJ269=4,EW271&gt;4,EW271&lt;7)),FALSE,TRUE)),FALSE)</f>
        <v>0</v>
      </c>
      <c r="HM270" s="1379" t="b">
        <f>IFERROR(IF(AND(FL271=7,EZ269=TRUE),FALSE,TRUE),FALSE)</f>
        <v>0</v>
      </c>
      <c r="HN270" s="1379" t="b">
        <f>IFERROR(IF(AND(T271&lt;&gt;AE271,AF271="Interior LLLC")=TRUE,FALSE,TRUE),FALSE)</f>
        <v>1</v>
      </c>
      <c r="HO270" s="1379" t="b">
        <f>IFERROR(IF(OR(AF271=Lookup!AU$13,AF271=Lookup!AU$14)=TRUE,IF(AE271&gt;T271,FALSE,TRUE),TRUE),FALSE)</f>
        <v>1</v>
      </c>
      <c r="HP270" s="1379" t="b">
        <f>IFERROR(IF(__Retrofit_TI_NC=2,IF(EW271&lt;EW269,FALSE,TRUE),TRUE),FALSE)</f>
        <v>1</v>
      </c>
      <c r="HQ270" s="1379" t="b">
        <f>IF(CN269="Interior",IG$6,TRUE)</f>
        <v>1</v>
      </c>
      <c r="HR270" s="1379" t="b">
        <f>IF(CN269="Exterior",IG$8,TRUE)</f>
        <v>1</v>
      </c>
      <c r="HS270" s="1379" t="b">
        <f>IFERROR(IF(__Retrofit_TI_NC&lt;&gt;0,IF(AW269&lt;AV269,FALSE,TRUE),TRUE),FALSE)</f>
        <v>1</v>
      </c>
      <c r="HT270" s="1379" t="b">
        <f>IFERROR(IF(AND(G270="Exterior",R270&gt;4200),FALSE,TRUE),FALSE)</f>
        <v>1</v>
      </c>
      <c r="HU270" s="1379" t="b">
        <f>IFERROR(IF(AB272/AB269&lt;HU$18,FALSE,TRUE),FALSE)</f>
        <v>0</v>
      </c>
      <c r="HW270" s="1382"/>
      <c r="HX270" s="1378"/>
      <c r="HY270" s="1377" t="str">
        <f>VLOOKUP(HW272,_Error_Table,4,FALSE)</f>
        <v>White</v>
      </c>
      <c r="HZ270" s="436"/>
      <c r="IA270" s="1386"/>
      <c r="IB270" s="1380"/>
      <c r="IC270" s="1379"/>
      <c r="IF270" s="1380"/>
      <c r="IG270" s="1382"/>
      <c r="IH270" s="1382"/>
      <c r="II270" s="1382"/>
      <c r="IK270" s="1351"/>
      <c r="IL270" s="1351"/>
      <c r="IM270" s="1351"/>
      <c r="IN270" s="1351"/>
      <c r="IO270" s="1351"/>
      <c r="IP270" s="1351"/>
    </row>
    <row r="271" spans="1:250" s="82" customFormat="1" ht="14.95" customHeight="1" thickTop="1" thickBot="1">
      <c r="A271" s="82">
        <f>ROW()</f>
        <v>271</v>
      </c>
      <c r="B271" s="1421"/>
      <c r="C271" s="1422"/>
      <c r="D271" s="1423"/>
      <c r="E271" s="1393" t="s">
        <v>245</v>
      </c>
      <c r="F271" s="1394"/>
      <c r="G271" s="1398"/>
      <c r="H271" s="1399"/>
      <c r="I271" s="1399"/>
      <c r="J271" s="1399"/>
      <c r="K271" s="1399"/>
      <c r="L271" s="1400"/>
      <c r="M271" s="509">
        <f>IFERROR(IF(IF(__Retrofit_TI_NC&lt;&gt;0,IF(CN269="Interior",MATCH(G271,Lookup_Interior_New,0),MATCH(G271,Lookup_Exterior_New,0)),IF(CN269="Interior",MATCH(G271,Lookup_Interior,0),MATCH(G271,Lookup_Exterior_Areas,0)))&gt;0,1,0),0)</f>
        <v>0</v>
      </c>
      <c r="N271" s="509" t="e">
        <f>IF(__Retrofit_TI_NC=1,
VLOOKUP(G271,'Space Table'!$B$3:$L$160,4,FALSE),
IF(__Retrofit_TI_NC=2,VLOOKUP(G271,'Space Table'!$B$3:$L$160,5,FALSE),VLOOKUP(G271,'Space Table'!$B$3:$L$160,5,FALSE)))</f>
        <v>#N/A</v>
      </c>
      <c r="O271" s="509">
        <f>G271</f>
        <v>0</v>
      </c>
      <c r="P271" s="1394" t="s">
        <v>355</v>
      </c>
      <c r="Q271" s="1394"/>
      <c r="R271" s="674"/>
      <c r="S271" s="1401" t="s">
        <v>284</v>
      </c>
      <c r="T271" s="672"/>
      <c r="U271" s="1499"/>
      <c r="V271" s="1500"/>
      <c r="W271" s="1500"/>
      <c r="X271" s="1500"/>
      <c r="Y271" s="1500"/>
      <c r="Z271" s="1500"/>
      <c r="AA271" s="1500"/>
      <c r="AB271" s="1501"/>
      <c r="AC271" s="1501"/>
      <c r="AD271" s="1502"/>
      <c r="AE271" s="672"/>
      <c r="AF271" s="1474"/>
      <c r="AG271" s="1474"/>
      <c r="AH271" s="1474"/>
      <c r="AI271" s="1474"/>
      <c r="AJ271" s="1475">
        <f>DF271</f>
        <v>0</v>
      </c>
      <c r="AK271" s="1470" t="str">
        <f>IFERROR(ROUND(AJ271*AC272,0),"")</f>
        <v/>
      </c>
      <c r="AL271" s="1472">
        <f>IFERROR(IF(HW269=FALSE,0,AC272-AK271),0)</f>
        <v>0</v>
      </c>
      <c r="AM271" s="1441"/>
      <c r="AN271" s="1442"/>
      <c r="AO271" s="1447"/>
      <c r="AP271" s="1447"/>
      <c r="AQ271" s="1448"/>
      <c r="AR271" s="1452"/>
      <c r="AS271" s="1455"/>
      <c r="AT271" s="1458"/>
      <c r="AU271" s="516"/>
      <c r="AV271" s="1479"/>
      <c r="AW271" s="1479"/>
      <c r="BC271" s="38"/>
      <c r="BD271" s="38"/>
      <c r="BE271" s="38"/>
      <c r="BF271" s="38"/>
      <c r="BG271" s="38"/>
      <c r="BH271" s="38"/>
      <c r="BI271" s="38"/>
      <c r="BJ271" s="38"/>
      <c r="BK271" s="38"/>
      <c r="BL271" s="38"/>
      <c r="BM271" s="38"/>
      <c r="BN271" s="38"/>
      <c r="BO271" s="38"/>
      <c r="BP271" s="38"/>
      <c r="BQ271" s="38"/>
      <c r="BR271" s="38"/>
      <c r="BS271" s="38"/>
      <c r="BT271" s="38"/>
      <c r="BU271" s="38"/>
      <c r="BV271" s="38"/>
      <c r="BW271" s="38"/>
      <c r="BX271" s="38"/>
      <c r="BY271" s="38"/>
      <c r="BZ271" s="38"/>
      <c r="CA271" s="38"/>
      <c r="CB271" s="38"/>
      <c r="CC271" s="38"/>
      <c r="CD271" s="38"/>
      <c r="CE271" s="38"/>
      <c r="CF271" s="38"/>
      <c r="CG271" s="38"/>
      <c r="CH271" s="38"/>
      <c r="CI271" s="38"/>
      <c r="CM271" s="1352"/>
      <c r="CN271" s="1352"/>
      <c r="CO271" s="1415" t="str">
        <f>CN269</f>
        <v/>
      </c>
      <c r="CP271" s="1417" t="e">
        <f>CP269</f>
        <v>#N/A</v>
      </c>
      <c r="CR271" s="1386" t="s">
        <v>284</v>
      </c>
      <c r="CS271" s="1353">
        <f>IF(HW269=TRUE,T271,0)</f>
        <v>0</v>
      </c>
      <c r="CT271" s="1353" t="str">
        <f>IF(HW269=TRUE,U271,"")</f>
        <v/>
      </c>
      <c r="CU271" s="1373">
        <f>IF(HW269=TRUE,U272,0)</f>
        <v>0</v>
      </c>
      <c r="CV271" s="1370">
        <f>IF(HW269=TRUE,AB272,0)</f>
        <v>0</v>
      </c>
      <c r="CW271" s="1370">
        <f>IF(HW269=TRUE,AC272,0)</f>
        <v>0</v>
      </c>
      <c r="CX271" s="1371"/>
      <c r="CY271" s="1486"/>
      <c r="CZ271" s="1486"/>
      <c r="DA271" s="1486"/>
      <c r="DC271" s="1353">
        <f>IF(HW269=TRUE,AE271,0)</f>
        <v>0</v>
      </c>
      <c r="DD271" s="1353" t="str">
        <f>IF(HW269=TRUE,AF271,"")</f>
        <v/>
      </c>
      <c r="DE271" s="1373">
        <f>AF272</f>
        <v>0</v>
      </c>
      <c r="DF271" s="1406">
        <f>IFERROR(IF(FL271=3,IK271,IF(FL271=4,IL271,IF(FL271=5,IM271,IF(FL271=6,IN271,IF(FL271=7,IO271,IF(FL271=8,IP271,0)))))),0)</f>
        <v>0</v>
      </c>
      <c r="DG271" s="1370">
        <f>IF(HW269=TRUE,AK271,0)</f>
        <v>0</v>
      </c>
      <c r="DH271" s="1369"/>
      <c r="DK271" s="1483">
        <f>IFERROR(CW271-DG271,0)</f>
        <v>0</v>
      </c>
      <c r="DL271" s="1420"/>
      <c r="DN271" s="1403"/>
      <c r="DO271" s="1477" t="str">
        <f>DN269</f>
        <v/>
      </c>
      <c r="DP271" s="1354"/>
      <c r="DQ271" s="1477" t="str">
        <f>IF(DP269=7,"LLLC","")</f>
        <v/>
      </c>
      <c r="DR271" s="1403"/>
      <c r="DS271" s="1489"/>
      <c r="DU271" s="1403"/>
      <c r="DV271" s="1404" t="str">
        <f>DU269</f>
        <v/>
      </c>
      <c r="DW271" s="1403"/>
      <c r="DX271" s="1403"/>
      <c r="DZ271" s="1481"/>
      <c r="EA271" s="1481"/>
      <c r="EC271" s="1482"/>
      <c r="ED271" s="1369"/>
      <c r="EE271" s="1371"/>
      <c r="EF271" s="1369"/>
      <c r="EG271" s="1369"/>
      <c r="EH271" s="1374"/>
      <c r="EI271" s="1374"/>
      <c r="EJ271" s="1363"/>
      <c r="EK271" s="1376"/>
      <c r="EL271" s="1376"/>
      <c r="EM271" s="1362"/>
      <c r="EN271" s="1362"/>
      <c r="EO271" s="1363"/>
      <c r="EP271" s="1363"/>
      <c r="EQ271" s="1363"/>
      <c r="ES271" s="1403"/>
      <c r="EU271" s="1411" t="e">
        <f>VLOOKUP(CP271,'Space Table'!$B$3:$L$160,8,FALSE)</f>
        <v>#N/A</v>
      </c>
      <c r="EV271" s="1411" t="e">
        <f>IF(EY271="Yes",VLOOKUP(AF271,Lookup_Control_Type_Table2,4,FALSE),VLOOKUP(AF271,Lookup_Control_Type_Table2,3,FALSE))</f>
        <v>#N/A</v>
      </c>
      <c r="EW271" s="1411" t="e">
        <f>VLOOKUP(AF271,Lookup!AU$3:AV$15,2,FALSE)</f>
        <v>#N/A</v>
      </c>
      <c r="EX271" s="1411" t="e">
        <f>VLOOKUP(EU269,Lookup_Control_Type_Table,2,FALSE)</f>
        <v>#N/A</v>
      </c>
      <c r="EY271" s="1411" t="e">
        <f>VLOOKUP(CP271,'Space Table'!$B$3:$L$160,7,FALSE)</f>
        <v>#N/A</v>
      </c>
      <c r="EZ271" s="1413"/>
      <c r="FB271" s="1365" t="str">
        <f>CONCATENATE(CN269," - ",AF271)</f>
        <v xml:space="preserve"> - </v>
      </c>
      <c r="FD271" s="1354"/>
      <c r="FE271" s="1354"/>
      <c r="FF271" s="138"/>
      <c r="FI271" s="1356" t="str">
        <f>IF(CN269="Exterior","Not Daylighted",G272)</f>
        <v>Not Daylighted</v>
      </c>
      <c r="FJ271" s="1356">
        <f>VLOOKUP(FI271,_Daylight_Table_Codes,2,FALSE)</f>
        <v>0</v>
      </c>
      <c r="FK271" s="1365">
        <f>AF271</f>
        <v>0</v>
      </c>
      <c r="FL271" s="1365" t="e">
        <f>VLOOKUP(FK271,_Control_Table,2,FALSE)</f>
        <v>#N/A</v>
      </c>
      <c r="FM271" s="1365" t="e">
        <f>IF(AND(FP271&gt;0,FK271="Occupancy Sensor"),"Daylight + Occupancy",IF(AND(FP271&gt;0,FL271&lt;4),"Interior Daylight Dimming",FK271))</f>
        <v>#N/A</v>
      </c>
      <c r="FO271" s="1364">
        <f>IF(CN269="Interior",VLOOKUP(CP269,Control_Savings_Interior,5,FALSE),0)</f>
        <v>0</v>
      </c>
      <c r="FP271" s="1361">
        <f>IF(CN271="Exterior",0,IF(FJ271=2,0.5,IF(OR(FJ271=1,FJ271=3),1,0)))</f>
        <v>0</v>
      </c>
      <c r="FQ271" s="1366">
        <f>IF(R270&gt;FO$37,(FO271*(FO$37/R270)),FO271)*FP271</f>
        <v>0</v>
      </c>
      <c r="FR271" s="1364">
        <f>DF271</f>
        <v>0</v>
      </c>
      <c r="FS271" s="1364">
        <f>ROUND(FR271+((1-FR271)*FQ271),2)</f>
        <v>0</v>
      </c>
      <c r="FT271" s="1364">
        <f>IF(__Retrofit_TI_NC=2,FS271,FR271)</f>
        <v>0</v>
      </c>
      <c r="FU271" s="1360">
        <f>IF(CO271="Interior",VLOOKUP(CP271,Control_Savings_Interior,4,FALSE),0)</f>
        <v>0</v>
      </c>
      <c r="FW271" s="1352"/>
      <c r="FX271" s="1352"/>
      <c r="FY271" s="1352"/>
      <c r="FZ271" s="1352"/>
      <c r="GA271" s="1352"/>
      <c r="GB271" s="1352"/>
      <c r="GC271" s="1352"/>
      <c r="GD271" s="1352"/>
      <c r="GE271" s="759" t="b">
        <f>IF(ISNUMBER(SEARCH("TLED",U271)),TRUE,FALSE)</f>
        <v>0</v>
      </c>
      <c r="GF271" s="1035" t="str">
        <f>IFERROR(VLOOKUP(U271,Fixtures!DM$93:DR$142,6,FALSE),"")</f>
        <v/>
      </c>
      <c r="GG271" s="1385"/>
      <c r="GI271" s="1383"/>
      <c r="GJ271" s="1379"/>
      <c r="GL271" s="1379"/>
      <c r="GM271" s="1379"/>
      <c r="HC271" s="1379"/>
      <c r="HD271" s="1379"/>
      <c r="HE271" s="1379"/>
      <c r="HF271" s="1379"/>
      <c r="HG271" s="1379"/>
      <c r="HH271" s="1379"/>
      <c r="HI271" s="1383"/>
      <c r="HJ271" s="1383"/>
      <c r="HK271" s="1383"/>
      <c r="HL271" s="1379"/>
      <c r="HM271" s="1379"/>
      <c r="HN271" s="1379"/>
      <c r="HO271" s="1379"/>
      <c r="HP271" s="1379"/>
      <c r="HQ271" s="1379"/>
      <c r="HR271" s="1379"/>
      <c r="HS271" s="1379"/>
      <c r="HT271" s="1379"/>
      <c r="HU271" s="1379"/>
      <c r="HW271" s="1383"/>
      <c r="HX271" s="1384" t="b">
        <f>HW269</f>
        <v>0</v>
      </c>
      <c r="HY271" s="1378"/>
      <c r="HZ271" s="436"/>
      <c r="IA271" s="1386"/>
      <c r="IB271" s="1380">
        <f>IF(IA269=TRUE,AC272,0)</f>
        <v>0</v>
      </c>
      <c r="IC271" s="1379"/>
      <c r="IF271" s="1380" t="e">
        <f>ROUND(T271*AB272*N270*R270/1000,0)</f>
        <v>#VALUE!</v>
      </c>
      <c r="IG271" s="1382"/>
      <c r="IH271" s="1384" t="e">
        <f>ROUND(T271*AB272*N270*R270/1000,0)</f>
        <v>#VALUE!</v>
      </c>
      <c r="II271" s="1382"/>
      <c r="IK271" s="1351" t="e">
        <f>IF($CO271="interior",IL271/2,VLOOKUP($CP271,Control_Savings_Exterior,IK$30,FALSE))</f>
        <v>#N/A</v>
      </c>
      <c r="IL271" s="1351" t="e">
        <f>IF($CO271="interior",VLOOKUP($CP271,Control_Savings_Interior,IL$30,FALSE),VLOOKUP($CP271,Control_Savings_Exterior,IL$30,FALSE))</f>
        <v>#N/A</v>
      </c>
      <c r="IM271" s="1351" t="e">
        <f>IF($CO271="interior",IF(R270&gt;FO$37,(IM$28*(FO$37/R270)),IM$28)*FP271,VLOOKUP($CP271,Control_Savings_Exterior,IM$30,FALSE))</f>
        <v>#N/A</v>
      </c>
      <c r="IN271" s="1351" t="e">
        <f>IF($CO271="interior",ROUND(((1-IL271)*IM271)+IL271,2),VLOOKUP($CP271,Control_Savings_Exterior,IN$30,FALSE))</f>
        <v>#N/A</v>
      </c>
      <c r="IO271" s="1351" t="e">
        <f>IF($CO271="interior", ROUND(((1-IL271)*(IM271*(1-IP$28)))+IP271,2), VLOOKUP($CP271,Control_Savings_Exterior,IO$30,FALSE))</f>
        <v>#N/A</v>
      </c>
      <c r="IP271" s="1351">
        <f>IF($CO271="interior",ROUND(((1-IL271)*IP$28)+IL271,2),0)</f>
        <v>0</v>
      </c>
    </row>
    <row r="272" spans="1:250" s="82" customFormat="1" ht="14.95" customHeight="1" thickTop="1" thickBot="1">
      <c r="B272" s="1421"/>
      <c r="C272" s="1422"/>
      <c r="D272" s="1423"/>
      <c r="E272" s="1462" t="s">
        <v>357</v>
      </c>
      <c r="F272" s="1463"/>
      <c r="G272" s="1464" t="s">
        <v>362</v>
      </c>
      <c r="H272" s="1465"/>
      <c r="I272" s="1465"/>
      <c r="J272" s="1465"/>
      <c r="K272" s="1465"/>
      <c r="L272" s="1466"/>
      <c r="M272" s="669">
        <f>IFERROR(VLOOKUP(G272,_Daylight_Table[],2,FALSE),0)</f>
        <v>0</v>
      </c>
      <c r="N272" s="670"/>
      <c r="O272" s="669" t="e">
        <f>VLOOKUP(G271,'Space Table'!$B$3:$L$160,11,FALSE)</f>
        <v>#N/A</v>
      </c>
      <c r="P272" s="1408"/>
      <c r="Q272" s="1409"/>
      <c r="R272" s="1409"/>
      <c r="S272" s="1402"/>
      <c r="T272" s="671" t="s">
        <v>281</v>
      </c>
      <c r="U272" s="1467" t="str">
        <f>IFERROR(VLOOKUP(U271,Fixtures!DM$93:DP$142,4,FALSE),"")</f>
        <v/>
      </c>
      <c r="V272" s="1468"/>
      <c r="W272" s="1468"/>
      <c r="X272" s="1468"/>
      <c r="Y272" s="1468"/>
      <c r="Z272" s="1468"/>
      <c r="AA272" s="1468"/>
      <c r="AB272" s="1046" t="str">
        <f>IFERROR(VLOOKUP(U271,Fixtures_Proposed_List,2,FALSE),"")</f>
        <v/>
      </c>
      <c r="AC272" s="1036" t="str">
        <f>IFERROR(ROUND(T271*AB272*N270*R270/1000,0),"")</f>
        <v/>
      </c>
      <c r="AD272" s="1037" t="str">
        <f>IFERROR(ROUND(T271*AB272/1000,2),"")</f>
        <v/>
      </c>
      <c r="AE272" s="1045" t="s">
        <v>281</v>
      </c>
      <c r="AF272" s="1469"/>
      <c r="AG272" s="1469"/>
      <c r="AH272" s="1469"/>
      <c r="AI272" s="1469"/>
      <c r="AJ272" s="1476"/>
      <c r="AK272" s="1471"/>
      <c r="AL272" s="1473"/>
      <c r="AM272" s="1443"/>
      <c r="AN272" s="1444"/>
      <c r="AO272" s="1449"/>
      <c r="AP272" s="1449"/>
      <c r="AQ272" s="1450"/>
      <c r="AR272" s="1453"/>
      <c r="AS272" s="1456"/>
      <c r="AT272" s="1459"/>
      <c r="AU272" s="517"/>
      <c r="AV272" s="1480"/>
      <c r="AW272" s="1480"/>
      <c r="BC272" s="38"/>
      <c r="BD272" s="38"/>
      <c r="BE272" s="38"/>
      <c r="BF272" s="38"/>
      <c r="BG272" s="38"/>
      <c r="BH272" s="38"/>
      <c r="BI272" s="38"/>
      <c r="BJ272" s="38"/>
      <c r="BK272" s="38"/>
      <c r="BL272" s="38"/>
      <c r="BM272" s="38"/>
      <c r="BN272" s="38"/>
      <c r="BO272" s="38"/>
      <c r="BP272" s="38"/>
      <c r="BQ272" s="38"/>
      <c r="BR272" s="38"/>
      <c r="BS272" s="38"/>
      <c r="BT272" s="38"/>
      <c r="BU272" s="38"/>
      <c r="BV272" s="38"/>
      <c r="BW272" s="38"/>
      <c r="BX272" s="38"/>
      <c r="BY272" s="38"/>
      <c r="BZ272" s="38"/>
      <c r="CA272" s="38"/>
      <c r="CB272" s="38"/>
      <c r="CC272" s="38"/>
      <c r="CD272" s="38"/>
      <c r="CE272" s="38"/>
      <c r="CF272" s="38"/>
      <c r="CG272" s="38"/>
      <c r="CH272" s="38"/>
      <c r="CI272" s="38"/>
      <c r="CM272" s="1352"/>
      <c r="CN272" s="1352"/>
      <c r="CO272" s="1416"/>
      <c r="CP272" s="1418"/>
      <c r="CR272" s="1386"/>
      <c r="CS272" s="1355"/>
      <c r="CT272" s="1355"/>
      <c r="CU272" s="1375"/>
      <c r="CV272" s="1372"/>
      <c r="CW272" s="1372"/>
      <c r="CX272" s="1372"/>
      <c r="CY272" s="1487"/>
      <c r="CZ272" s="1487"/>
      <c r="DA272" s="1487"/>
      <c r="DC272" s="1355"/>
      <c r="DD272" s="1355"/>
      <c r="DE272" s="1375"/>
      <c r="DF272" s="1407"/>
      <c r="DG272" s="1372"/>
      <c r="DH272" s="1369"/>
      <c r="DK272" s="1484"/>
      <c r="DL272" s="1420"/>
      <c r="DN272" s="1403"/>
      <c r="DO272" s="1405"/>
      <c r="DP272" s="1355"/>
      <c r="DQ272" s="1405"/>
      <c r="DR272" s="1403"/>
      <c r="DS272" s="1489"/>
      <c r="DU272" s="1403"/>
      <c r="DV272" s="1405"/>
      <c r="DW272" s="1403"/>
      <c r="DX272" s="1403"/>
      <c r="DZ272" s="1481"/>
      <c r="EA272" s="1481"/>
      <c r="EC272" s="1482"/>
      <c r="ED272" s="1369"/>
      <c r="EE272" s="1372"/>
      <c r="EF272" s="1369"/>
      <c r="EG272" s="1369"/>
      <c r="EH272" s="1375"/>
      <c r="EI272" s="1375"/>
      <c r="EJ272" s="1363"/>
      <c r="EK272" s="1376"/>
      <c r="EL272" s="1376"/>
      <c r="EM272" s="1362"/>
      <c r="EN272" s="1362"/>
      <c r="EO272" s="1363"/>
      <c r="EP272" s="1363"/>
      <c r="EQ272" s="1363"/>
      <c r="ES272" s="1403"/>
      <c r="EU272" s="1488"/>
      <c r="EV272" s="1488"/>
      <c r="EW272" s="1488"/>
      <c r="EX272" s="1488"/>
      <c r="EY272" s="1488"/>
      <c r="EZ272" s="1414"/>
      <c r="FB272" s="1365"/>
      <c r="FD272" s="1355"/>
      <c r="FE272" s="1355"/>
      <c r="FF272" s="138"/>
      <c r="FI272" s="1357"/>
      <c r="FJ272" s="1357"/>
      <c r="FK272" s="1365"/>
      <c r="FL272" s="1365"/>
      <c r="FM272" s="1365"/>
      <c r="FO272" s="1361"/>
      <c r="FP272" s="1361"/>
      <c r="FQ272" s="1366"/>
      <c r="FR272" s="1361"/>
      <c r="FS272" s="1361"/>
      <c r="FT272" s="1361"/>
      <c r="FU272" s="1360"/>
      <c r="FW272" s="1352"/>
      <c r="FX272" s="1352"/>
      <c r="FY272" s="1352"/>
      <c r="FZ272" s="1352"/>
      <c r="GA272" s="1352"/>
      <c r="GB272" s="1352"/>
      <c r="GC272" s="1352"/>
      <c r="GD272" s="1352"/>
      <c r="GE272" s="759"/>
      <c r="GF272" s="1035"/>
      <c r="GG272" s="1385"/>
      <c r="GJ272" s="1034">
        <f>IF(GJ270=TRUE,0,GJ$16)</f>
        <v>0</v>
      </c>
      <c r="GL272" s="1034">
        <f>IF(GL270=TRUE,0,GL$16)</f>
        <v>36</v>
      </c>
      <c r="GM272" s="1034">
        <f>IF(GM270=TRUE,0,GM$16)</f>
        <v>35</v>
      </c>
      <c r="GN272" s="436"/>
      <c r="GO272" s="436"/>
      <c r="GP272" s="436"/>
      <c r="GQ272" s="436"/>
      <c r="GR272" s="436"/>
      <c r="HC272" s="1034">
        <f t="shared" ref="HC272:HH272" si="190">IF(HC270=TRUE,0,HC$16)</f>
        <v>19</v>
      </c>
      <c r="HD272" s="1034">
        <f t="shared" si="190"/>
        <v>18</v>
      </c>
      <c r="HE272" s="1034">
        <f t="shared" si="190"/>
        <v>17</v>
      </c>
      <c r="HF272" s="1034">
        <f t="shared" si="190"/>
        <v>16</v>
      </c>
      <c r="HG272" s="1034">
        <f t="shared" si="190"/>
        <v>0</v>
      </c>
      <c r="HH272" s="1034">
        <f t="shared" si="190"/>
        <v>0</v>
      </c>
      <c r="HI272" s="1034">
        <f>IF(HI270=TRUE,0,HI$16)</f>
        <v>13</v>
      </c>
      <c r="HJ272" s="1034">
        <f t="shared" ref="HJ272:HL272" si="191">IF(HJ270=TRUE,0,HJ$16)</f>
        <v>12</v>
      </c>
      <c r="HK272" s="1034">
        <f t="shared" si="191"/>
        <v>11</v>
      </c>
      <c r="HL272" s="1034">
        <f t="shared" si="191"/>
        <v>10</v>
      </c>
      <c r="HM272" s="1034">
        <f>IF(HM270=TRUE,0,HM$16)</f>
        <v>9</v>
      </c>
      <c r="HN272" s="1034">
        <f t="shared" ref="HN272:HR272" si="192">IF(HN270=TRUE,0,HN$16)</f>
        <v>0</v>
      </c>
      <c r="HO272" s="1034">
        <f t="shared" si="192"/>
        <v>0</v>
      </c>
      <c r="HP272" s="1034">
        <f t="shared" si="192"/>
        <v>0</v>
      </c>
      <c r="HQ272" s="1034">
        <f t="shared" si="192"/>
        <v>0</v>
      </c>
      <c r="HR272" s="1034">
        <f t="shared" si="192"/>
        <v>0</v>
      </c>
      <c r="HS272" s="1034">
        <f>IF(HS270=TRUE,0,HS$16)</f>
        <v>0</v>
      </c>
      <c r="HT272" s="1034">
        <f t="shared" ref="HT272" si="193">IF(HT270=TRUE,0,HT$16)</f>
        <v>0</v>
      </c>
      <c r="HU272" s="1034">
        <f>IF(HU270=TRUE,0,HU$16)</f>
        <v>1</v>
      </c>
      <c r="HW272" s="1034">
        <f>IF(GL270=FALSE,GL272,IF(GM270=FALSE,GM272,MAX(GJ272:HU272)))</f>
        <v>36</v>
      </c>
      <c r="HX272" s="1383"/>
      <c r="HY272" s="241" t="str">
        <f>VLOOKUP(HW272,_Error_Table,3,FALSE)</f>
        <v xml:space="preserve"> </v>
      </c>
      <c r="HZ272" s="241"/>
      <c r="IA272" s="1386"/>
      <c r="IB272" s="1380"/>
      <c r="IC272" s="1379"/>
      <c r="IF272" s="1380"/>
      <c r="IG272" s="1383"/>
      <c r="IH272" s="1383"/>
      <c r="II272" s="1383"/>
      <c r="IK272" s="1351"/>
      <c r="IL272" s="1351"/>
      <c r="IM272" s="1351"/>
      <c r="IN272" s="1351"/>
      <c r="IO272" s="1351"/>
      <c r="IP272" s="1351"/>
    </row>
    <row r="273" spans="1:250" s="82" customFormat="1" ht="5.0999999999999996" customHeight="1" thickBot="1">
      <c r="B273" s="763"/>
      <c r="C273" s="1038"/>
      <c r="D273" s="1038"/>
      <c r="E273" s="1490"/>
      <c r="F273" s="1490"/>
      <c r="G273" s="1490"/>
      <c r="H273" s="1490"/>
      <c r="I273" s="1490"/>
      <c r="J273" s="1490"/>
      <c r="K273" s="1490"/>
      <c r="L273" s="1490"/>
      <c r="M273" s="1490"/>
      <c r="N273" s="1490"/>
      <c r="O273" s="1490"/>
      <c r="P273" s="1490"/>
      <c r="Q273" s="1490"/>
      <c r="R273" s="1490"/>
      <c r="S273" s="1490"/>
      <c r="T273" s="1490"/>
      <c r="U273" s="1490"/>
      <c r="V273" s="1490"/>
      <c r="W273" s="1490"/>
      <c r="X273" s="1490"/>
      <c r="Y273" s="1490"/>
      <c r="Z273" s="1490"/>
      <c r="AA273" s="1490"/>
      <c r="AB273" s="1490"/>
      <c r="AC273" s="1490"/>
      <c r="AD273" s="1490"/>
      <c r="AE273" s="1490"/>
      <c r="AF273" s="1490"/>
      <c r="AG273" s="1490"/>
      <c r="AH273" s="1490"/>
      <c r="AI273" s="1490"/>
      <c r="AJ273" s="1490"/>
      <c r="AK273" s="1490"/>
      <c r="AL273" s="1490"/>
      <c r="AM273" s="1490"/>
      <c r="AN273" s="1490"/>
      <c r="AO273" s="1490"/>
      <c r="AP273" s="1490"/>
      <c r="AQ273" s="1490"/>
      <c r="AR273" s="1490"/>
      <c r="AS273" s="1490"/>
      <c r="AT273" s="1490"/>
      <c r="AU273" s="1041"/>
      <c r="BC273" s="38"/>
      <c r="BD273" s="38"/>
      <c r="BE273" s="38"/>
      <c r="BF273" s="38"/>
      <c r="BG273" s="38"/>
      <c r="BH273" s="38"/>
      <c r="BI273" s="38"/>
      <c r="BJ273" s="38"/>
      <c r="BK273" s="38"/>
      <c r="BL273" s="38"/>
      <c r="BM273" s="38"/>
      <c r="BN273" s="38"/>
      <c r="BO273" s="38"/>
      <c r="BP273" s="38"/>
      <c r="BQ273" s="38"/>
      <c r="BR273" s="38"/>
      <c r="BS273" s="38"/>
      <c r="BT273" s="38"/>
      <c r="BU273" s="38"/>
      <c r="BV273" s="38"/>
      <c r="BW273" s="38"/>
      <c r="BX273" s="38"/>
      <c r="BY273" s="38"/>
      <c r="BZ273" s="38"/>
      <c r="CA273" s="38"/>
      <c r="CB273" s="38"/>
      <c r="CC273" s="38"/>
      <c r="CD273" s="38"/>
      <c r="CE273" s="38"/>
      <c r="CF273" s="38"/>
      <c r="CG273" s="38"/>
      <c r="CH273" s="38"/>
      <c r="CI273" s="38"/>
      <c r="CM273" s="749"/>
      <c r="CN273" s="749"/>
      <c r="CO273" s="1043"/>
      <c r="CP273" s="749"/>
      <c r="CS273" s="436"/>
      <c r="CT273" s="436"/>
      <c r="CU273" s="243"/>
      <c r="CV273" s="244"/>
      <c r="CW273" s="244"/>
      <c r="CX273" s="244"/>
      <c r="CY273" s="245"/>
      <c r="CZ273" s="245"/>
      <c r="DA273" s="245"/>
      <c r="DC273" s="750"/>
      <c r="DD273" s="751"/>
      <c r="DE273" s="752"/>
      <c r="DF273" s="753"/>
      <c r="DG273" s="754"/>
      <c r="DH273" s="754"/>
      <c r="DK273" s="244"/>
      <c r="DL273" s="750"/>
      <c r="DN273" s="750"/>
      <c r="DO273" s="755"/>
      <c r="DP273" s="436"/>
      <c r="DQ273" s="750"/>
      <c r="DR273" s="750"/>
      <c r="DS273" s="750"/>
      <c r="DU273" s="750"/>
      <c r="DV273" s="750"/>
      <c r="DW273" s="750"/>
      <c r="DX273" s="750"/>
      <c r="DZ273" s="756"/>
      <c r="EA273" s="756"/>
      <c r="EC273" s="754"/>
      <c r="ED273" s="754"/>
      <c r="EE273" s="244"/>
      <c r="EF273" s="754"/>
      <c r="EG273" s="754"/>
      <c r="EH273" s="243"/>
      <c r="EI273" s="243"/>
      <c r="EJ273" s="752"/>
      <c r="EK273" s="757"/>
      <c r="EL273" s="757"/>
      <c r="EM273" s="758"/>
      <c r="EN273" s="758"/>
      <c r="EO273" s="752"/>
      <c r="EP273" s="752"/>
      <c r="EQ273" s="752"/>
      <c r="ES273" s="750"/>
      <c r="EU273" s="436"/>
      <c r="EV273" s="436"/>
      <c r="EW273" s="436"/>
      <c r="EX273" s="436"/>
      <c r="EY273" s="436"/>
      <c r="EZ273" s="436"/>
      <c r="FB273" s="643"/>
      <c r="FD273" s="436"/>
      <c r="FE273" s="436"/>
      <c r="FF273" s="436"/>
      <c r="FO273" s="750"/>
      <c r="FP273" s="436"/>
      <c r="FQ273" s="436"/>
      <c r="FR273" s="750"/>
      <c r="FS273" s="750"/>
      <c r="FW273" s="749"/>
      <c r="FX273" s="749"/>
      <c r="FY273" s="749"/>
      <c r="FZ273" s="749"/>
      <c r="GA273" s="749"/>
      <c r="GB273" s="749"/>
      <c r="GC273" s="749"/>
      <c r="GD273" s="749"/>
      <c r="GE273" s="751"/>
      <c r="GF273" s="750"/>
      <c r="GG273" s="750"/>
    </row>
    <row r="274" spans="1:250" s="82" customFormat="1" ht="14.95" customHeight="1" thickTop="1" thickBot="1">
      <c r="B274" s="1421" t="str">
        <f>HY277</f>
        <v xml:space="preserve"> </v>
      </c>
      <c r="C274" s="1422">
        <f>C269+1</f>
        <v>46</v>
      </c>
      <c r="D274" s="1423"/>
      <c r="E274" s="1424" t="s">
        <v>242</v>
      </c>
      <c r="F274" s="1425"/>
      <c r="G274" s="1426"/>
      <c r="H274" s="1427"/>
      <c r="I274" s="1427"/>
      <c r="J274" s="1427"/>
      <c r="K274" s="1427"/>
      <c r="L274" s="1427"/>
      <c r="M274" s="1427"/>
      <c r="N274" s="1427"/>
      <c r="O274" s="1427"/>
      <c r="P274" s="1427"/>
      <c r="Q274" s="1427"/>
      <c r="R274" s="1427"/>
      <c r="S274" s="1428" t="s">
        <v>283</v>
      </c>
      <c r="T274" s="668" t="s">
        <v>190</v>
      </c>
      <c r="U274" s="1430" t="s">
        <v>186</v>
      </c>
      <c r="V274" s="1431"/>
      <c r="W274" s="1431"/>
      <c r="X274" s="1431"/>
      <c r="Y274" s="1431"/>
      <c r="Z274" s="1431"/>
      <c r="AA274" s="1431"/>
      <c r="AB274" s="1088" t="str">
        <f>IFERROR(IF(__Retrofit_TI_NC=0,VLOOKUP(U275,Fixtures_Existing_List,2,FALSE),ROUND(N276*R276/T276,10)),"")</f>
        <v/>
      </c>
      <c r="AC274" s="1039" t="str">
        <f>IFERROR(IF(__Retrofit_TI_NC=0,ROUND(T275*AB274*N275*R275/1000,0),IF(CN274="Interior",N276*R276*R275*N275*_C406_reduction/1000,N276*R276*R275*N275/1000)),"")</f>
        <v/>
      </c>
      <c r="AD274" s="1040" t="str">
        <f>IFERROR(IF(C$36=0,ROUND(T275*AB274/1000,2),N276*R276/1000),"")</f>
        <v/>
      </c>
      <c r="AE274" s="1044" t="s">
        <v>190</v>
      </c>
      <c r="AF274" s="1432" t="str">
        <f>IF(__Retrofit_TI_NC=2,CONCATENATE("Code min = ",DD274),IF(__Retrofit_TI_NC=1,"Emter what you think the existing control was"," Control"))</f>
        <v xml:space="preserve"> Control</v>
      </c>
      <c r="AG274" s="1432"/>
      <c r="AH274" s="1432"/>
      <c r="AI274" s="1432"/>
      <c r="AJ274" s="1433">
        <f>DF274</f>
        <v>0</v>
      </c>
      <c r="AK274" s="1435" t="str">
        <f>IFERROR(ROUND(AJ274*AC274,0),"")</f>
        <v/>
      </c>
      <c r="AL274" s="1437">
        <f>IFERROR(IF(HW274=FALSE,0,AC274-AK274),0)</f>
        <v>0</v>
      </c>
      <c r="AM274" s="1439">
        <f>AL274-AL276</f>
        <v>0</v>
      </c>
      <c r="AN274" s="1440"/>
      <c r="AO274" s="1445">
        <f>IFERROR(IF(HW274=FALSE,0,(T276*U277)+(AE276*AF277)),0)</f>
        <v>0</v>
      </c>
      <c r="AP274" s="1445"/>
      <c r="AQ274" s="1446"/>
      <c r="AR274" s="1451" t="s">
        <v>157</v>
      </c>
      <c r="AS274" s="1454">
        <f>IF(AR274="Yes",1,0)</f>
        <v>1</v>
      </c>
      <c r="AT274" s="1457" t="str">
        <f>IF(OR(DN274=4,DN274=5,DN274=6,DN274=12),CONCATENATE("$",IF(GD274=TRUE,Lookup!$B$11,Lookup!$B$2)," /lamp"),CONCATENATE(EA274,"/ kWh"))</f>
        <v>0/ kWh</v>
      </c>
      <c r="AU274" s="516"/>
      <c r="AV274" s="1478">
        <f>IFERROR(IF(GI275=TRUE,(AB277*T276)/R276,0),"NA")</f>
        <v>0</v>
      </c>
      <c r="AW274" s="1478" t="str">
        <f>IFERROR(N276*_C406_reduction,"NA")</f>
        <v>NA</v>
      </c>
      <c r="BC274" s="38"/>
      <c r="BD274" s="38"/>
      <c r="BE274" s="38"/>
      <c r="BF274" s="38"/>
      <c r="BG274" s="38"/>
      <c r="BH274" s="38"/>
      <c r="BI274" s="38"/>
      <c r="BJ274" s="38"/>
      <c r="BK274" s="38"/>
      <c r="BL274" s="38"/>
      <c r="BM274" s="38"/>
      <c r="BN274" s="38"/>
      <c r="BO274" s="38"/>
      <c r="BP274" s="38"/>
      <c r="BQ274" s="38"/>
      <c r="BR274" s="38"/>
      <c r="BS274" s="38"/>
      <c r="BT274" s="38"/>
      <c r="BU274" s="38"/>
      <c r="BV274" s="38"/>
      <c r="BW274" s="38"/>
      <c r="BX274" s="38"/>
      <c r="BY274" s="38"/>
      <c r="BZ274" s="38"/>
      <c r="CA274" s="38"/>
      <c r="CB274" s="38"/>
      <c r="CC274" s="38"/>
      <c r="CD274" s="38"/>
      <c r="CE274" s="38"/>
      <c r="CF274" s="38"/>
      <c r="CG274" s="38"/>
      <c r="CH274" s="38"/>
      <c r="CI274" s="38"/>
      <c r="CM274" s="1352" t="str">
        <f>N275</f>
        <v/>
      </c>
      <c r="CN274" s="1352" t="str">
        <f>IFERROR(VLOOKUP(G275,_Lookup_Heat_Type_Table_New,3,FALSE),"")</f>
        <v/>
      </c>
      <c r="CO274" s="1415" t="str">
        <f>CN274</f>
        <v/>
      </c>
      <c r="CP274" s="1417" t="e">
        <f>VLOOKUP(G276,'Space Table'!$B$3:$L$160,9,FALSE)</f>
        <v>#N/A</v>
      </c>
      <c r="CR274" s="1386" t="s">
        <v>283</v>
      </c>
      <c r="CS274" s="1353">
        <f>IF(HW274=TRUE,T275,0)</f>
        <v>0</v>
      </c>
      <c r="CT274" s="1353" t="str">
        <f>IF(HW274=TRUE,U275,"")</f>
        <v/>
      </c>
      <c r="CU274" s="1353"/>
      <c r="CV274" s="1370">
        <f>IF(HW274=TRUE,AB274,0)</f>
        <v>0</v>
      </c>
      <c r="CW274" s="1370">
        <f>IF(HW274=TRUE,AC274,0)</f>
        <v>0</v>
      </c>
      <c r="CX274" s="1370">
        <f>IFERROR(IF(HW274=TRUE,CW274-CW276,0),0)</f>
        <v>0</v>
      </c>
      <c r="CY274" s="1485">
        <f>IF(HW274=TRUE,AD274,0)</f>
        <v>0</v>
      </c>
      <c r="CZ274" s="1485">
        <f>IF(HW274=TRUE,AD277,0)</f>
        <v>0</v>
      </c>
      <c r="DA274" s="1485">
        <f>IFERROR(CY274-CZ274,0)</f>
        <v>0</v>
      </c>
      <c r="DC274" s="1353">
        <f>IF(HW274=TRUE,AE275,0)</f>
        <v>0</v>
      </c>
      <c r="DD274" s="1460">
        <f>IF(__Retrofit_TI_NC=2,IF(CN274="Exterior",O277,FM274),FK274)</f>
        <v>0</v>
      </c>
      <c r="DE274" s="1353"/>
      <c r="DF274" s="1406">
        <f>IFERROR(IF(FL274=3,IK274,IF(FL274=4,IL274,IF(FL274=5,IM274,IF(FL274=6,IN274,IF(FL274=7,IO274,IF(FL274=8,IP274,0)))))),0)</f>
        <v>0</v>
      </c>
      <c r="DG274" s="1370">
        <f>IF(HW274=TRUE,AK274,0)</f>
        <v>0</v>
      </c>
      <c r="DH274" s="1369">
        <f>IFERROR(IF(HW274=TRUE,DG276-DG274,0),0)</f>
        <v>0</v>
      </c>
      <c r="DJ274" s="1483">
        <f>IFERROR(CW274-DG274,0)</f>
        <v>0</v>
      </c>
      <c r="DL274" s="1419">
        <f>DJ274-DK276</f>
        <v>0</v>
      </c>
      <c r="DN274" s="1403" t="str">
        <f>IFERROR(IF(AND(OR(FY274=4,FY274=5,FY274=6),OR(GB274=4,GB274=5,GB274=6)),FY274+8,VLOOKUP(CT276,Fixtures!R$31:Y$78,8,FALSE)),"")</f>
        <v/>
      </c>
      <c r="DO274" s="1404" t="str">
        <f>DN274</f>
        <v/>
      </c>
      <c r="DP274" s="1353" t="str">
        <f>IFERROR(VLOOKUP(DD276,Lookup!AU$3:AV$15,2,FALSE),"")</f>
        <v/>
      </c>
      <c r="DQ274" s="1404" t="str">
        <f>IF(DP274=7,"LLLC","")</f>
        <v/>
      </c>
      <c r="DR274" s="1403">
        <f>IFERROR(IF(OR(DN274=4,DN274=5,DN274=6,DN274=12,DN274=13,DN274=14),VLOOKUP(CT276,Fixtures!DN$27:EG$77,19,FALSE),1)*CS276,0)</f>
        <v>0</v>
      </c>
      <c r="DS274" s="1489">
        <f>IF(DP274=7,IF(DD274=DD276,0,DC276),0)</f>
        <v>0</v>
      </c>
      <c r="DU274" s="1403" t="str">
        <f>IFERROR(IF(EW274&lt;EW276,"Yes","No"),"")</f>
        <v/>
      </c>
      <c r="DV274" s="1404" t="str">
        <f>DU274</f>
        <v/>
      </c>
      <c r="DW274" s="1403">
        <f>IF(DU274="Yes",DC276,0)</f>
        <v>0</v>
      </c>
      <c r="DX274" s="1403">
        <f>DW274-DS274</f>
        <v>0</v>
      </c>
      <c r="DZ274" s="1481">
        <f>IFERROR(VLOOKUP(DN274,Lookup!AN$3:AO$16,2,FALSE),0)</f>
        <v>0</v>
      </c>
      <c r="EA274" s="1481">
        <f>IF(HW274=FALSE,0,IF(DU274="Yes",DZ274+Lookup!B$6,DZ274))</f>
        <v>0</v>
      </c>
      <c r="EC274" s="1482">
        <f>IF(HW274=TRUE,DJ274,0)</f>
        <v>0</v>
      </c>
      <c r="ED274" s="1369">
        <f>IF(HW274=TRUE,CW276,0)</f>
        <v>0</v>
      </c>
      <c r="EE274" s="1370">
        <f>IFERROR(EC274-ED274,0)</f>
        <v>0</v>
      </c>
      <c r="EF274" s="1369">
        <f>IF(HW274=TRUE,DG276,0)</f>
        <v>0</v>
      </c>
      <c r="EG274" s="1369">
        <f>IFERROR(EC274-ED274+EF274,0)</f>
        <v>0</v>
      </c>
      <c r="EH274" s="1373">
        <f>IF(HW274=TRUE,CS276*CU276,0)</f>
        <v>0</v>
      </c>
      <c r="EI274" s="1373">
        <f>IF(HW274=TRUE,DC276*DE276,0)</f>
        <v>0</v>
      </c>
      <c r="EJ274" s="1363">
        <f>AO274</f>
        <v>0</v>
      </c>
      <c r="EK274" s="1376" t="str">
        <f>IFERROR(IF(HW274=TRUE,VLOOKUP(DN274,Lookup!AN$3:AP$16,3,FALSE)*DR274,""),0)</f>
        <v/>
      </c>
      <c r="EL274" s="1376">
        <f>IF(HW274=TRUE,DW274*Lookup!AP$12,0)</f>
        <v>0</v>
      </c>
      <c r="EM274" s="1362">
        <f>IFERROR(IF(HW274=TRUE,EK274/EM$33,0),0)</f>
        <v>0</v>
      </c>
      <c r="EN274" s="1362">
        <f>IF(HW274=TRUE,EL274/EN$33,0)</f>
        <v>0</v>
      </c>
      <c r="EO274" s="1363">
        <f>IF(HW274=TRUE,EQ$33*EM274,0)</f>
        <v>0</v>
      </c>
      <c r="EP274" s="1363">
        <f>IF(HW274=TRUE,EQ$33*EN274,0)</f>
        <v>0</v>
      </c>
      <c r="EQ274" s="1363">
        <f>EO274+EP274</f>
        <v>0</v>
      </c>
      <c r="ES274" s="1403">
        <f>IF(G274="",0,1)</f>
        <v>0</v>
      </c>
      <c r="EU274" s="1410" t="e">
        <f>VLOOKUP(CP276,'Space Table'!$B$3:$L$160,8,FALSE)</f>
        <v>#N/A</v>
      </c>
      <c r="EV274" s="1410" t="e">
        <f>IF(EY274="Yes",VLOOKUP(DD274,Lookup_Control_Type_Table2,4,FALSE),VLOOKUP(DD274,Lookup_Control_Type_Table2,3,FALSE))</f>
        <v>#N/A</v>
      </c>
      <c r="EW274" s="1410" t="e">
        <f>VLOOKUP(DD274,Lookup!AU$3:AV$15,2,FALSE)</f>
        <v>#N/A</v>
      </c>
      <c r="EX274" s="1410" t="e">
        <f>VLOOKUP(EU274,Lookup_Control_Type_Table,2,FALSE)</f>
        <v>#N/A</v>
      </c>
      <c r="EY274" s="1410" t="e">
        <f>VLOOKUP(CP276,'Space Table'!$B$3:$L$160,7,FALSE)</f>
        <v>#N/A</v>
      </c>
      <c r="EZ274" s="1412" t="b">
        <f>ISNUMBER(SEARCH("TLED",U276))</f>
        <v>0</v>
      </c>
      <c r="FB274" s="1365" t="str">
        <f>CONCATENATE(CN274," - ",DD274)</f>
        <v xml:space="preserve"> - 0</v>
      </c>
      <c r="FD274" s="1353" t="str">
        <f>VLOOKUP(CT276,Fixtures!DN$27:EZ$77,38,FALSE)</f>
        <v/>
      </c>
      <c r="FE274" s="1353">
        <f>IFERROR(FD274*EE274,0)</f>
        <v>0</v>
      </c>
      <c r="FF274" s="138"/>
      <c r="FI274" s="1356" t="str">
        <f>IF(CN274="Exterior","Not Daylighted",G277)</f>
        <v>Not Daylighted</v>
      </c>
      <c r="FJ274" s="1356">
        <f>VLOOKUP(FI274,_Daylight_Table_Codes,2,FALSE)</f>
        <v>0</v>
      </c>
      <c r="FK274" s="1365">
        <f>IF(__Retrofit_TI_NC=2,VLOOKUP(G276,'Space Table'!$B$3:$L$160,11,FALSE),AF275)</f>
        <v>0</v>
      </c>
      <c r="FL274" s="1365" t="e">
        <f>VLOOKUP(FK274,_Control_Table,2,FALSE)</f>
        <v>#N/A</v>
      </c>
      <c r="FM274" s="1365" t="e">
        <f>IF(AND(FP274&gt;0,FK274="Occupancy Sensor"),"Daylight + Occupancy",IF(AND(FP274&gt;0,FL274&lt;4),"Interior Daylight Dimming",FK274))</f>
        <v>#N/A</v>
      </c>
      <c r="FO274" s="1364">
        <f>IF(CO274="Interior",VLOOKUP(CP274,Control_Savings_Interior,5,FALSE),0)</f>
        <v>0</v>
      </c>
      <c r="FP274" s="1361">
        <f>IF(CN274="Exterior",0,IF(FJ274=2,0.5,IF(OR(FJ274=1,FJ274=3),1,0)))</f>
        <v>0</v>
      </c>
      <c r="FQ274" s="1366"/>
      <c r="FR274" s="1367"/>
      <c r="FS274" s="1364"/>
      <c r="FT274" s="1367"/>
      <c r="FU274" s="1360"/>
      <c r="FW274" s="1352" t="str">
        <f>IFERROR(VLOOKUP(U275,_Exist_Fixture_Table,3,FALSE),"")</f>
        <v/>
      </c>
      <c r="FX274" s="1352" t="str">
        <f>VLOOKUP(CT274,_Exist_Fixture_Table,4,FALSE)</f>
        <v/>
      </c>
      <c r="FY274" s="1352">
        <f>IFERROR(VLOOKUP(FX274,Lookup!AM$6:AN$8,2,FALSE),0)</f>
        <v>0</v>
      </c>
      <c r="FZ274" s="1352" t="b">
        <f>IFERROR(IF(OR(GB274=4,GB274=5,GB274=6),TRUE,FALSE),"")</f>
        <v>0</v>
      </c>
      <c r="GA274" s="1352" t="str">
        <f>IFERROR(VLOOKUP(GB274,FY$6:FZ$10,2,FALSE),"")</f>
        <v/>
      </c>
      <c r="GB274" s="1352" t="str">
        <f>VLOOKUP(CT276,Fixtures!R$31:Y$78,8,FALSE)</f>
        <v/>
      </c>
      <c r="GC274" s="1352">
        <f>IF(AND(FW274=TRUE,FZ274=TRUE,OR(DN274=12,DN274=13,DN274=14)),FY274+8,0)</f>
        <v>0</v>
      </c>
      <c r="GD274" s="1352" t="b">
        <f>IF(OR(GC274=12,GC274=13,GC274=14),TRUE,FALSE)</f>
        <v>0</v>
      </c>
      <c r="GE274" s="759" t="b">
        <f>IF(ISNUMBER(SEARCH("TLED",U275)),TRUE,FALSE)</f>
        <v>0</v>
      </c>
      <c r="GF274" s="1035" t="str">
        <f>IFERROR(VLOOKUP(U275,Fixtures!BM$93:BR$142,6,FALSE),"")</f>
        <v/>
      </c>
      <c r="GG274" s="1385" t="b">
        <f>IF(OR(GE274=FALSE,GE276=FALSE),TRUE,IF(GF274-GF276&lt;5,FALSE,TRUE))</f>
        <v>1</v>
      </c>
      <c r="GK274" s="1034">
        <f>GL274</f>
        <v>0</v>
      </c>
      <c r="GL274" s="1034">
        <f>IF(G274="",0,1)</f>
        <v>0</v>
      </c>
      <c r="GM274" s="1034">
        <f>SUM(GN274:HB274)</f>
        <v>2</v>
      </c>
      <c r="GN274" s="1034">
        <f>IF(G275="",0,1)</f>
        <v>0</v>
      </c>
      <c r="GO274" s="1034">
        <f>IF(G276="",0,1)</f>
        <v>0</v>
      </c>
      <c r="GP274" s="1034">
        <f>IF(R275="",0,1)</f>
        <v>0</v>
      </c>
      <c r="GQ274" s="1034">
        <f>IF(__Retrofit_TI_NC=0,1,IF(R276="",0,1))</f>
        <v>1</v>
      </c>
      <c r="GR274" s="1034">
        <f>IF(CN274="Exterior",1,IF(G277="",0,1))</f>
        <v>1</v>
      </c>
      <c r="GS274" s="1034">
        <f>IF(__Retrofit_TI_NC&lt;&gt;0,1,IF(T275="",0,1))</f>
        <v>0</v>
      </c>
      <c r="GT274" s="1034">
        <f>IF(__Retrofit_TI_NC&lt;&gt;0,1,IF(U275="",0,1))</f>
        <v>0</v>
      </c>
      <c r="GU274" s="1034">
        <f>IF(T276="",0,1)</f>
        <v>0</v>
      </c>
      <c r="GV274" s="1034">
        <f>IF(U276="",0,1)</f>
        <v>0</v>
      </c>
      <c r="GW274" s="1034">
        <f>IF(__Retrofit_TI_NC=2,1,IF(U277="",0,1))</f>
        <v>0</v>
      </c>
      <c r="GX274" s="1034">
        <f>IF(__Retrofit_TI_NC&lt;&gt;0,1,IF(AE275="",0,1))</f>
        <v>0</v>
      </c>
      <c r="GY274" s="1034">
        <f>IF(__Retrofit_TI_NC&lt;&gt;0,1,IF(AF275="",0,1))</f>
        <v>0</v>
      </c>
      <c r="GZ274" s="1034">
        <f>IF(AE276="",0,1)</f>
        <v>0</v>
      </c>
      <c r="HA274" s="1034">
        <f>IF(AF276="",0,1)</f>
        <v>0</v>
      </c>
      <c r="HB274" s="1034">
        <f>IF(__Retrofit_TI_NC=2,1,IF(AF277="",0,1))</f>
        <v>0</v>
      </c>
      <c r="HV274" s="436"/>
      <c r="HW274" s="1384" t="b">
        <f>IF(OR(HW277=0,HW277=HT$16,HW277=HS$16,HW277=HU$16),TRUE,FALSE)</f>
        <v>0</v>
      </c>
      <c r="HX274" s="1377" t="b">
        <f>HW274</f>
        <v>0</v>
      </c>
      <c r="HY274" s="436"/>
      <c r="HZ274" s="436"/>
      <c r="IA274" s="1386" t="b">
        <f>IF(MAX(GJ277:HP277)&gt;5,FALSE,TRUE)</f>
        <v>0</v>
      </c>
      <c r="IB274" s="1380">
        <f>IF(IA274=TRUE,AC274,0)</f>
        <v>0</v>
      </c>
      <c r="IC274" s="1380">
        <f>IB274-IB276</f>
        <v>0</v>
      </c>
      <c r="IF274" s="1380" t="e">
        <f>ROUND(T275*VLOOKUP(U275,Fixtures_Existing_List,2,FALSE)*N275*R275/1000,0)</f>
        <v>#N/A</v>
      </c>
      <c r="IG274" s="1381" t="e">
        <f>IF274-IF276</f>
        <v>#N/A</v>
      </c>
      <c r="IH274" s="1384" t="e">
        <f>ROUND(IF(CN274="Interior",N276*R276*R275*N275*_C406_reduction/1000,N276*R276*R275*N275/1000),0)</f>
        <v>#N/A</v>
      </c>
      <c r="II274" s="1384" t="e">
        <f>IH274-IH276</f>
        <v>#N/A</v>
      </c>
      <c r="IK274" s="1351" t="e">
        <f>IF($CO274="interior",IL274/2,VLOOKUP($CP274,Control_Savings_Exterior,IK$30,FALSE))</f>
        <v>#N/A</v>
      </c>
      <c r="IL274" s="1351" t="e">
        <f>IF($CO274="interior",VLOOKUP($CP274,Control_Savings_Interior,IL$30,FALSE),VLOOKUP($CP274,Control_Savings_Exterior,IL$30,FALSE))</f>
        <v>#N/A</v>
      </c>
      <c r="IM274" s="1351" t="e">
        <f>IF($CO274="interior",IF(R275&gt;FO$37,(IM$28*(FO$37/R275)),IM$28)*FP274,VLOOKUP($CP274,Control_Savings_Exterior,IM$30,FALSE))</f>
        <v>#N/A</v>
      </c>
      <c r="IN274" s="1351" t="e">
        <f>IF($CO274="interior",ROUND(((1-IL274)*IM274)+IL274,2),VLOOKUP($CP274,Control_Savings_Exterior,IN$30,FALSE))</f>
        <v>#N/A</v>
      </c>
      <c r="IO274" s="1351" t="e">
        <f>IF($CO274="interior", ROUND(((1-IL274)*(IM274*(1-IP$28)))+IP274,2), VLOOKUP($CP274,Control_Savings_Exterior,IO$30,FALSE))</f>
        <v>#N/A</v>
      </c>
      <c r="IP274" s="1351">
        <f>IF($CO274="interior",ROUND(((1-IL274)*IP$28)+IL274,2),0)</f>
        <v>0</v>
      </c>
    </row>
    <row r="275" spans="1:250" s="82" customFormat="1" ht="14.95" customHeight="1" thickTop="1" thickBot="1">
      <c r="B275" s="1421"/>
      <c r="C275" s="1422"/>
      <c r="D275" s="1423"/>
      <c r="E275" s="1393" t="s">
        <v>244</v>
      </c>
      <c r="F275" s="1394"/>
      <c r="G275" s="1395"/>
      <c r="H275" s="1395"/>
      <c r="I275" s="1395"/>
      <c r="J275" s="1395"/>
      <c r="K275" s="1395"/>
      <c r="L275" s="1395"/>
      <c r="M275" s="509" t="e">
        <f>IF(__Retrofit_TI_NC&lt;&gt;0,IF(VLOOKUP(G276,'Space Table'!$B$3:$L$160,3,FALSE)&gt;0,1,0),IF(__Retrofit_TI_NC=VLOOKUP(G276,'Space Table'!$B$3:$L$160,3,FALSE),1,0))</f>
        <v>#N/A</v>
      </c>
      <c r="N275" s="509" t="str">
        <f>IFERROR(VLOOKUP(G275,_Lookup_Heat_Type_Table_New,2,FALSE),"")</f>
        <v/>
      </c>
      <c r="O275" s="509">
        <f>IF(__Retrofit_TI_NC=1,CONCATENATE("TI ",G275),IF(__Retrofit_TI_NC=2,CONCATENATE("NC ",G275),G275))</f>
        <v>0</v>
      </c>
      <c r="P275" s="1396" t="s">
        <v>352</v>
      </c>
      <c r="Q275" s="1396"/>
      <c r="R275" s="673"/>
      <c r="S275" s="1429"/>
      <c r="T275" s="675"/>
      <c r="U275" s="1496"/>
      <c r="V275" s="1497"/>
      <c r="W275" s="1497"/>
      <c r="X275" s="1497"/>
      <c r="Y275" s="1497"/>
      <c r="Z275" s="1497"/>
      <c r="AA275" s="1497"/>
      <c r="AB275" s="1497"/>
      <c r="AC275" s="1497"/>
      <c r="AD275" s="1498"/>
      <c r="AE275" s="675"/>
      <c r="AF275" s="1397"/>
      <c r="AG275" s="1397"/>
      <c r="AH275" s="1397"/>
      <c r="AI275" s="1397"/>
      <c r="AJ275" s="1434"/>
      <c r="AK275" s="1436"/>
      <c r="AL275" s="1438"/>
      <c r="AM275" s="1441"/>
      <c r="AN275" s="1442"/>
      <c r="AO275" s="1447"/>
      <c r="AP275" s="1447"/>
      <c r="AQ275" s="1448"/>
      <c r="AR275" s="1452"/>
      <c r="AS275" s="1455"/>
      <c r="AT275" s="1458"/>
      <c r="AU275" s="516"/>
      <c r="AV275" s="1479"/>
      <c r="AW275" s="1479"/>
      <c r="BC275" s="38"/>
      <c r="BD275" s="38"/>
      <c r="BE275" s="38"/>
      <c r="BF275" s="38"/>
      <c r="BG275" s="38"/>
      <c r="BH275" s="38"/>
      <c r="BI275" s="38"/>
      <c r="BJ275" s="38"/>
      <c r="BK275" s="38"/>
      <c r="BL275" s="38"/>
      <c r="BM275" s="38"/>
      <c r="BN275" s="38"/>
      <c r="BO275" s="38"/>
      <c r="BP275" s="38"/>
      <c r="BQ275" s="38"/>
      <c r="BR275" s="38"/>
      <c r="BS275" s="38"/>
      <c r="BT275" s="38"/>
      <c r="BU275" s="38"/>
      <c r="BV275" s="38"/>
      <c r="BW275" s="38"/>
      <c r="BX275" s="38"/>
      <c r="BY275" s="38"/>
      <c r="BZ275" s="38"/>
      <c r="CA275" s="38"/>
      <c r="CB275" s="38"/>
      <c r="CC275" s="38"/>
      <c r="CD275" s="38"/>
      <c r="CE275" s="38"/>
      <c r="CF275" s="38"/>
      <c r="CG275" s="38"/>
      <c r="CH275" s="38"/>
      <c r="CI275" s="38"/>
      <c r="CM275" s="1352"/>
      <c r="CN275" s="1352"/>
      <c r="CO275" s="1416"/>
      <c r="CP275" s="1418"/>
      <c r="CR275" s="1386"/>
      <c r="CS275" s="1355"/>
      <c r="CT275" s="1355"/>
      <c r="CU275" s="1355"/>
      <c r="CV275" s="1372"/>
      <c r="CW275" s="1372"/>
      <c r="CX275" s="1371"/>
      <c r="CY275" s="1486"/>
      <c r="CZ275" s="1486"/>
      <c r="DA275" s="1486"/>
      <c r="DC275" s="1355"/>
      <c r="DD275" s="1461"/>
      <c r="DE275" s="1355"/>
      <c r="DF275" s="1407"/>
      <c r="DG275" s="1372"/>
      <c r="DH275" s="1369"/>
      <c r="DJ275" s="1484"/>
      <c r="DL275" s="1419"/>
      <c r="DN275" s="1403"/>
      <c r="DO275" s="1405"/>
      <c r="DP275" s="1354"/>
      <c r="DQ275" s="1405"/>
      <c r="DR275" s="1403"/>
      <c r="DS275" s="1489"/>
      <c r="DU275" s="1403"/>
      <c r="DV275" s="1405"/>
      <c r="DW275" s="1403"/>
      <c r="DX275" s="1403"/>
      <c r="DZ275" s="1481"/>
      <c r="EA275" s="1481"/>
      <c r="EC275" s="1482"/>
      <c r="ED275" s="1369"/>
      <c r="EE275" s="1371"/>
      <c r="EF275" s="1369"/>
      <c r="EG275" s="1369"/>
      <c r="EH275" s="1374"/>
      <c r="EI275" s="1374"/>
      <c r="EJ275" s="1363"/>
      <c r="EK275" s="1376"/>
      <c r="EL275" s="1376"/>
      <c r="EM275" s="1362"/>
      <c r="EN275" s="1362"/>
      <c r="EO275" s="1363"/>
      <c r="EP275" s="1363"/>
      <c r="EQ275" s="1363"/>
      <c r="ES275" s="1403"/>
      <c r="EU275" s="1411"/>
      <c r="EV275" s="1411"/>
      <c r="EW275" s="1411"/>
      <c r="EX275" s="1411"/>
      <c r="EY275" s="1411"/>
      <c r="EZ275" s="1413"/>
      <c r="FB275" s="1365"/>
      <c r="FD275" s="1354"/>
      <c r="FE275" s="1354"/>
      <c r="FF275" s="138"/>
      <c r="FI275" s="1357"/>
      <c r="FJ275" s="1357"/>
      <c r="FK275" s="1365"/>
      <c r="FL275" s="1365"/>
      <c r="FM275" s="1365"/>
      <c r="FO275" s="1361"/>
      <c r="FP275" s="1361"/>
      <c r="FQ275" s="1366"/>
      <c r="FR275" s="1368"/>
      <c r="FS275" s="1361"/>
      <c r="FT275" s="1368"/>
      <c r="FU275" s="1360"/>
      <c r="FW275" s="1352"/>
      <c r="FX275" s="1352"/>
      <c r="FY275" s="1352"/>
      <c r="FZ275" s="1352"/>
      <c r="GA275" s="1352"/>
      <c r="GB275" s="1352"/>
      <c r="GC275" s="1352"/>
      <c r="GD275" s="1352"/>
      <c r="GE275" s="759"/>
      <c r="GF275" s="1035"/>
      <c r="GG275" s="1385"/>
      <c r="GI275" s="1384" t="b">
        <f>IF(AND(GL275=TRUE,GM275=TRUE),TRUE,FALSE)</f>
        <v>0</v>
      </c>
      <c r="GJ275" s="1379" t="b">
        <f>IFERROR(IF(__Retrofit_TI_NC=2,TRUE,IF(AR274="Yes",TRUE,FALSE)),FALSE)</f>
        <v>1</v>
      </c>
      <c r="GL275" s="1379" t="b">
        <f>IFERROR(IF(GL274=1,TRUE,FALSE),FALSE)</f>
        <v>0</v>
      </c>
      <c r="GM275" s="1379" t="b">
        <f>IFERROR(IF(GM274=GM$14,TRUE,FALSE),FALSE)</f>
        <v>0</v>
      </c>
      <c r="HC275" s="1379" t="b">
        <f>IFERROR(IF(M275=1,TRUE,FALSE),FALSE)</f>
        <v>0</v>
      </c>
      <c r="HD275" s="1379" t="b">
        <f>IFERROR(IF(M276=1,TRUE,FALSE),FALSE)</f>
        <v>0</v>
      </c>
      <c r="HE275" s="1379" t="b">
        <f>IFERROR(IF(__Retrofit_TI_NC&lt;&gt;0,TRUE,IFERROR(IF(VLOOKUP(U275,Fixtures_Existing_List,2,FALSE)&lt;&gt;"",TRUE,FALSE),FALSE)),FALSE)</f>
        <v>0</v>
      </c>
      <c r="HF275" s="1379" t="b">
        <f>IFERROR(IF(VLOOKUP(U276,Fixtures_Proposed_List,2,FALSE)&lt;&gt;"",TRUE,FALSE),FALSE)</f>
        <v>0</v>
      </c>
      <c r="HG275" s="1379" t="b">
        <f>IF(AND(__Retrofit_TI_NC=2,EZ274=TRUE),FALSE,TRUE)</f>
        <v>1</v>
      </c>
      <c r="HH275" s="1379" t="b">
        <f>GG274</f>
        <v>1</v>
      </c>
      <c r="HI275" s="1384" t="b">
        <f>IF(ISERROR(MATCH(FB274,_Control_Match[],0))=TRUE,FALSE,TRUE)</f>
        <v>0</v>
      </c>
      <c r="HJ275" s="1384" t="b">
        <f>IFERROR(IF(EU274&lt;&gt;EV274,FALSE,TRUE),FALSE)</f>
        <v>0</v>
      </c>
      <c r="HK275" s="1384" t="b">
        <f>IFERROR(IF(EU276&lt;&gt;EV276,FALSE,TRUE),FALSE)</f>
        <v>0</v>
      </c>
      <c r="HL275" s="1379" t="b">
        <f>IFERROR(IF(CN274="Exterior",TRUE,IF(OR(AND(FJ274=0,EW276&gt;4),AND(FJ274=4,EW276&gt;4,EW276&lt;7)),FALSE,TRUE)),FALSE)</f>
        <v>0</v>
      </c>
      <c r="HM275" s="1379" t="b">
        <f>IFERROR(IF(AND(FL276=7,EZ274=TRUE),FALSE,TRUE),FALSE)</f>
        <v>0</v>
      </c>
      <c r="HN275" s="1379" t="b">
        <f>IFERROR(IF(AND(T276&lt;&gt;AE276,AF276="Interior LLLC")=TRUE,FALSE,TRUE),FALSE)</f>
        <v>1</v>
      </c>
      <c r="HO275" s="1379" t="b">
        <f>IFERROR(IF(OR(AF276=Lookup!AU$13,AF276=Lookup!AU$14)=TRUE,IF(AE276&gt;T276,FALSE,TRUE),TRUE),FALSE)</f>
        <v>1</v>
      </c>
      <c r="HP275" s="1379" t="b">
        <f>IFERROR(IF(__Retrofit_TI_NC=2,IF(EW276&lt;EW274,FALSE,TRUE),TRUE),FALSE)</f>
        <v>1</v>
      </c>
      <c r="HQ275" s="1379" t="b">
        <f>IF(CN274="Interior",IG$6,TRUE)</f>
        <v>1</v>
      </c>
      <c r="HR275" s="1379" t="b">
        <f>IF(CN274="Exterior",IG$8,TRUE)</f>
        <v>1</v>
      </c>
      <c r="HS275" s="1379" t="b">
        <f>IFERROR(IF(__Retrofit_TI_NC&lt;&gt;0,IF(AW274&lt;AV274,FALSE,TRUE),TRUE),FALSE)</f>
        <v>1</v>
      </c>
      <c r="HT275" s="1379" t="b">
        <f>IFERROR(IF(AND(G275="Exterior",R275&gt;4200),FALSE,TRUE),FALSE)</f>
        <v>1</v>
      </c>
      <c r="HU275" s="1379" t="b">
        <f>IFERROR(IF(AB277/AB274&lt;HU$18,FALSE,TRUE),FALSE)</f>
        <v>0</v>
      </c>
      <c r="HW275" s="1382"/>
      <c r="HX275" s="1378"/>
      <c r="HY275" s="1377" t="str">
        <f>VLOOKUP(HW277,_Error_Table,4,FALSE)</f>
        <v>White</v>
      </c>
      <c r="HZ275" s="436"/>
      <c r="IA275" s="1386"/>
      <c r="IB275" s="1380"/>
      <c r="IC275" s="1379"/>
      <c r="IF275" s="1380"/>
      <c r="IG275" s="1382"/>
      <c r="IH275" s="1382"/>
      <c r="II275" s="1382"/>
      <c r="IK275" s="1351"/>
      <c r="IL275" s="1351"/>
      <c r="IM275" s="1351"/>
      <c r="IN275" s="1351"/>
      <c r="IO275" s="1351"/>
      <c r="IP275" s="1351"/>
    </row>
    <row r="276" spans="1:250" s="82" customFormat="1" ht="14.95" customHeight="1" thickTop="1" thickBot="1">
      <c r="A276" s="82">
        <f>ROW()</f>
        <v>276</v>
      </c>
      <c r="B276" s="1421"/>
      <c r="C276" s="1422"/>
      <c r="D276" s="1423"/>
      <c r="E276" s="1393" t="s">
        <v>245</v>
      </c>
      <c r="F276" s="1394"/>
      <c r="G276" s="1398"/>
      <c r="H276" s="1399"/>
      <c r="I276" s="1399"/>
      <c r="J276" s="1399"/>
      <c r="K276" s="1399"/>
      <c r="L276" s="1400"/>
      <c r="M276" s="509">
        <f>IFERROR(IF(IF(__Retrofit_TI_NC&lt;&gt;0,IF(CN274="Interior",MATCH(G276,Lookup_Interior_New,0),MATCH(G276,Lookup_Exterior_New,0)),IF(CN274="Interior",MATCH(G276,Lookup_Interior,0),MATCH(G276,Lookup_Exterior_Areas,0)))&gt;0,1,0),0)</f>
        <v>0</v>
      </c>
      <c r="N276" s="509" t="e">
        <f>IF(__Retrofit_TI_NC=1,
VLOOKUP(G276,'Space Table'!$B$3:$L$160,4,FALSE),
IF(__Retrofit_TI_NC=2,VLOOKUP(G276,'Space Table'!$B$3:$L$160,5,FALSE),VLOOKUP(G276,'Space Table'!$B$3:$L$160,5,FALSE)))</f>
        <v>#N/A</v>
      </c>
      <c r="O276" s="509">
        <f>G276</f>
        <v>0</v>
      </c>
      <c r="P276" s="1394" t="s">
        <v>355</v>
      </c>
      <c r="Q276" s="1394"/>
      <c r="R276" s="674"/>
      <c r="S276" s="1401" t="s">
        <v>284</v>
      </c>
      <c r="T276" s="672"/>
      <c r="U276" s="1499"/>
      <c r="V276" s="1500"/>
      <c r="W276" s="1500"/>
      <c r="X276" s="1500"/>
      <c r="Y276" s="1500"/>
      <c r="Z276" s="1500"/>
      <c r="AA276" s="1500"/>
      <c r="AB276" s="1501"/>
      <c r="AC276" s="1501"/>
      <c r="AD276" s="1502"/>
      <c r="AE276" s="672"/>
      <c r="AF276" s="1474"/>
      <c r="AG276" s="1474"/>
      <c r="AH276" s="1474"/>
      <c r="AI276" s="1474"/>
      <c r="AJ276" s="1475">
        <f>DF276</f>
        <v>0</v>
      </c>
      <c r="AK276" s="1470" t="str">
        <f>IFERROR(ROUND(AJ276*AC277,0),"")</f>
        <v/>
      </c>
      <c r="AL276" s="1472">
        <f>IFERROR(IF(HW274=FALSE,0,AC277-AK276),0)</f>
        <v>0</v>
      </c>
      <c r="AM276" s="1441"/>
      <c r="AN276" s="1442"/>
      <c r="AO276" s="1447"/>
      <c r="AP276" s="1447"/>
      <c r="AQ276" s="1448"/>
      <c r="AR276" s="1452"/>
      <c r="AS276" s="1455"/>
      <c r="AT276" s="1458"/>
      <c r="AU276" s="516"/>
      <c r="AV276" s="1479"/>
      <c r="AW276" s="1479"/>
      <c r="BC276" s="38"/>
      <c r="BD276" s="38"/>
      <c r="BE276" s="38"/>
      <c r="BF276" s="38"/>
      <c r="BG276" s="38"/>
      <c r="BH276" s="38"/>
      <c r="BI276" s="38"/>
      <c r="BJ276" s="38"/>
      <c r="BK276" s="38"/>
      <c r="BL276" s="38"/>
      <c r="BM276" s="38"/>
      <c r="BN276" s="38"/>
      <c r="BO276" s="38"/>
      <c r="BP276" s="38"/>
      <c r="BQ276" s="38"/>
      <c r="BR276" s="38"/>
      <c r="BS276" s="38"/>
      <c r="BT276" s="38"/>
      <c r="BU276" s="38"/>
      <c r="BV276" s="38"/>
      <c r="BW276" s="38"/>
      <c r="BX276" s="38"/>
      <c r="BY276" s="38"/>
      <c r="BZ276" s="38"/>
      <c r="CA276" s="38"/>
      <c r="CB276" s="38"/>
      <c r="CC276" s="38"/>
      <c r="CD276" s="38"/>
      <c r="CE276" s="38"/>
      <c r="CF276" s="38"/>
      <c r="CG276" s="38"/>
      <c r="CH276" s="38"/>
      <c r="CI276" s="38"/>
      <c r="CM276" s="1352"/>
      <c r="CN276" s="1352"/>
      <c r="CO276" s="1415" t="str">
        <f>CN274</f>
        <v/>
      </c>
      <c r="CP276" s="1417" t="e">
        <f>CP274</f>
        <v>#N/A</v>
      </c>
      <c r="CR276" s="1386" t="s">
        <v>284</v>
      </c>
      <c r="CS276" s="1353">
        <f>IF(HW274=TRUE,T276,0)</f>
        <v>0</v>
      </c>
      <c r="CT276" s="1353" t="str">
        <f>IF(HW274=TRUE,U276,"")</f>
        <v/>
      </c>
      <c r="CU276" s="1373">
        <f>IF(HW274=TRUE,U277,0)</f>
        <v>0</v>
      </c>
      <c r="CV276" s="1370">
        <f>IF(HW274=TRUE,AB277,0)</f>
        <v>0</v>
      </c>
      <c r="CW276" s="1370">
        <f>IF(HW274=TRUE,AC277,0)</f>
        <v>0</v>
      </c>
      <c r="CX276" s="1371"/>
      <c r="CY276" s="1486"/>
      <c r="CZ276" s="1486"/>
      <c r="DA276" s="1486"/>
      <c r="DC276" s="1353">
        <f>IF(HW274=TRUE,AE276,0)</f>
        <v>0</v>
      </c>
      <c r="DD276" s="1353" t="str">
        <f>IF(HW274=TRUE,AF276,"")</f>
        <v/>
      </c>
      <c r="DE276" s="1373">
        <f>AF277</f>
        <v>0</v>
      </c>
      <c r="DF276" s="1406">
        <f>IFERROR(IF(FL276=3,IK276,IF(FL276=4,IL276,IF(FL276=5,IM276,IF(FL276=6,IN276,IF(FL276=7,IO276,IF(FL276=8,IP276,0)))))),0)</f>
        <v>0</v>
      </c>
      <c r="DG276" s="1370">
        <f>IF(HW274=TRUE,AK276,0)</f>
        <v>0</v>
      </c>
      <c r="DH276" s="1369"/>
      <c r="DK276" s="1483">
        <f>IFERROR(CW276-DG276,0)</f>
        <v>0</v>
      </c>
      <c r="DL276" s="1420"/>
      <c r="DN276" s="1403"/>
      <c r="DO276" s="1477" t="str">
        <f>DN274</f>
        <v/>
      </c>
      <c r="DP276" s="1354"/>
      <c r="DQ276" s="1477" t="str">
        <f>IF(DP274=7,"LLLC","")</f>
        <v/>
      </c>
      <c r="DR276" s="1403"/>
      <c r="DS276" s="1489"/>
      <c r="DU276" s="1403"/>
      <c r="DV276" s="1404" t="str">
        <f>DU274</f>
        <v/>
      </c>
      <c r="DW276" s="1403"/>
      <c r="DX276" s="1403"/>
      <c r="DZ276" s="1481"/>
      <c r="EA276" s="1481"/>
      <c r="EC276" s="1482"/>
      <c r="ED276" s="1369"/>
      <c r="EE276" s="1371"/>
      <c r="EF276" s="1369"/>
      <c r="EG276" s="1369"/>
      <c r="EH276" s="1374"/>
      <c r="EI276" s="1374"/>
      <c r="EJ276" s="1363"/>
      <c r="EK276" s="1376"/>
      <c r="EL276" s="1376"/>
      <c r="EM276" s="1362"/>
      <c r="EN276" s="1362"/>
      <c r="EO276" s="1363"/>
      <c r="EP276" s="1363"/>
      <c r="EQ276" s="1363"/>
      <c r="ES276" s="1403"/>
      <c r="EU276" s="1411" t="e">
        <f>VLOOKUP(CP276,'Space Table'!$B$3:$L$160,8,FALSE)</f>
        <v>#N/A</v>
      </c>
      <c r="EV276" s="1411" t="e">
        <f>IF(EY276="Yes",VLOOKUP(AF276,Lookup_Control_Type_Table2,4,FALSE),VLOOKUP(AF276,Lookup_Control_Type_Table2,3,FALSE))</f>
        <v>#N/A</v>
      </c>
      <c r="EW276" s="1411" t="e">
        <f>VLOOKUP(AF276,Lookup!AU$3:AV$15,2,FALSE)</f>
        <v>#N/A</v>
      </c>
      <c r="EX276" s="1411" t="e">
        <f>VLOOKUP(EU274,Lookup_Control_Type_Table,2,FALSE)</f>
        <v>#N/A</v>
      </c>
      <c r="EY276" s="1411" t="e">
        <f>VLOOKUP(CP276,'Space Table'!$B$3:$L$160,7,FALSE)</f>
        <v>#N/A</v>
      </c>
      <c r="EZ276" s="1413"/>
      <c r="FB276" s="1365" t="str">
        <f>CONCATENATE(CN274," - ",AF276)</f>
        <v xml:space="preserve"> - </v>
      </c>
      <c r="FD276" s="1354"/>
      <c r="FE276" s="1354"/>
      <c r="FF276" s="138"/>
      <c r="FI276" s="1356" t="str">
        <f>IF(CN274="Exterior","Not Daylighted",G277)</f>
        <v>Not Daylighted</v>
      </c>
      <c r="FJ276" s="1356">
        <f>VLOOKUP(FI276,_Daylight_Table_Codes,2,FALSE)</f>
        <v>0</v>
      </c>
      <c r="FK276" s="1365">
        <f>AF276</f>
        <v>0</v>
      </c>
      <c r="FL276" s="1365" t="e">
        <f>VLOOKUP(FK276,_Control_Table,2,FALSE)</f>
        <v>#N/A</v>
      </c>
      <c r="FM276" s="1365" t="e">
        <f>IF(AND(FP276&gt;0,FK276="Occupancy Sensor"),"Daylight + Occupancy",IF(AND(FP276&gt;0,FL276&lt;4),"Interior Daylight Dimming",FK276))</f>
        <v>#N/A</v>
      </c>
      <c r="FO276" s="1364">
        <f>IF(CN274="Interior",VLOOKUP(CP274,Control_Savings_Interior,5,FALSE),0)</f>
        <v>0</v>
      </c>
      <c r="FP276" s="1361">
        <f>IF(CN276="Exterior",0,IF(FJ276=2,0.5,IF(OR(FJ276=1,FJ276=3),1,0)))</f>
        <v>0</v>
      </c>
      <c r="FQ276" s="1366">
        <f>IF(R275&gt;FO$37,(FO276*(FO$37/R275)),FO276)*FP276</f>
        <v>0</v>
      </c>
      <c r="FR276" s="1364">
        <f>DF276</f>
        <v>0</v>
      </c>
      <c r="FS276" s="1364">
        <f>ROUND(FR276+((1-FR276)*FQ276),2)</f>
        <v>0</v>
      </c>
      <c r="FT276" s="1364">
        <f>IF(__Retrofit_TI_NC=2,FS276,FR276)</f>
        <v>0</v>
      </c>
      <c r="FU276" s="1360">
        <f>IF(CO276="Interior",VLOOKUP(CP276,Control_Savings_Interior,4,FALSE),0)</f>
        <v>0</v>
      </c>
      <c r="FW276" s="1352"/>
      <c r="FX276" s="1352"/>
      <c r="FY276" s="1352"/>
      <c r="FZ276" s="1352"/>
      <c r="GA276" s="1352"/>
      <c r="GB276" s="1352"/>
      <c r="GC276" s="1352"/>
      <c r="GD276" s="1352"/>
      <c r="GE276" s="759" t="b">
        <f>IF(ISNUMBER(SEARCH("TLED",U276)),TRUE,FALSE)</f>
        <v>0</v>
      </c>
      <c r="GF276" s="1035" t="str">
        <f>IFERROR(VLOOKUP(U276,Fixtures!DM$93:DR$142,6,FALSE),"")</f>
        <v/>
      </c>
      <c r="GG276" s="1385"/>
      <c r="GI276" s="1383"/>
      <c r="GJ276" s="1379"/>
      <c r="GL276" s="1379"/>
      <c r="GM276" s="1379"/>
      <c r="HC276" s="1379"/>
      <c r="HD276" s="1379"/>
      <c r="HE276" s="1379"/>
      <c r="HF276" s="1379"/>
      <c r="HG276" s="1379"/>
      <c r="HH276" s="1379"/>
      <c r="HI276" s="1383"/>
      <c r="HJ276" s="1383"/>
      <c r="HK276" s="1383"/>
      <c r="HL276" s="1379"/>
      <c r="HM276" s="1379"/>
      <c r="HN276" s="1379"/>
      <c r="HO276" s="1379"/>
      <c r="HP276" s="1379"/>
      <c r="HQ276" s="1379"/>
      <c r="HR276" s="1379"/>
      <c r="HS276" s="1379"/>
      <c r="HT276" s="1379"/>
      <c r="HU276" s="1379"/>
      <c r="HW276" s="1383"/>
      <c r="HX276" s="1384" t="b">
        <f>HW274</f>
        <v>0</v>
      </c>
      <c r="HY276" s="1378"/>
      <c r="HZ276" s="436"/>
      <c r="IA276" s="1386"/>
      <c r="IB276" s="1380">
        <f>IF(IA274=TRUE,AC277,0)</f>
        <v>0</v>
      </c>
      <c r="IC276" s="1379"/>
      <c r="IF276" s="1380" t="e">
        <f>ROUND(T276*AB277*N275*R275/1000,0)</f>
        <v>#VALUE!</v>
      </c>
      <c r="IG276" s="1382"/>
      <c r="IH276" s="1384" t="e">
        <f>ROUND(T276*AB277*N275*R275/1000,0)</f>
        <v>#VALUE!</v>
      </c>
      <c r="II276" s="1382"/>
      <c r="IK276" s="1351" t="e">
        <f>IF($CO276="interior",IL276/2,VLOOKUP($CP276,Control_Savings_Exterior,IK$30,FALSE))</f>
        <v>#N/A</v>
      </c>
      <c r="IL276" s="1351" t="e">
        <f>IF($CO276="interior",VLOOKUP($CP276,Control_Savings_Interior,IL$30,FALSE),VLOOKUP($CP276,Control_Savings_Exterior,IL$30,FALSE))</f>
        <v>#N/A</v>
      </c>
      <c r="IM276" s="1351" t="e">
        <f>IF($CO276="interior",IF(R275&gt;FO$37,(IM$28*(FO$37/R275)),IM$28)*FP276,VLOOKUP($CP276,Control_Savings_Exterior,IM$30,FALSE))</f>
        <v>#N/A</v>
      </c>
      <c r="IN276" s="1351" t="e">
        <f>IF($CO276="interior",ROUND(((1-IL276)*IM276)+IL276,2),VLOOKUP($CP276,Control_Savings_Exterior,IN$30,FALSE))</f>
        <v>#N/A</v>
      </c>
      <c r="IO276" s="1351" t="e">
        <f>IF($CO276="interior", ROUND(((1-IL276)*(IM276*(1-IP$28)))+IP276,2), VLOOKUP($CP276,Control_Savings_Exterior,IO$30,FALSE))</f>
        <v>#N/A</v>
      </c>
      <c r="IP276" s="1351">
        <f>IF($CO276="interior",ROUND(((1-IL276)*IP$28)+IL276,2),0)</f>
        <v>0</v>
      </c>
    </row>
    <row r="277" spans="1:250" s="82" customFormat="1" ht="14.95" customHeight="1" thickTop="1" thickBot="1">
      <c r="B277" s="1421"/>
      <c r="C277" s="1422"/>
      <c r="D277" s="1423"/>
      <c r="E277" s="1462" t="s">
        <v>357</v>
      </c>
      <c r="F277" s="1463"/>
      <c r="G277" s="1464" t="s">
        <v>362</v>
      </c>
      <c r="H277" s="1465"/>
      <c r="I277" s="1465"/>
      <c r="J277" s="1465"/>
      <c r="K277" s="1465"/>
      <c r="L277" s="1466"/>
      <c r="M277" s="669">
        <f>IFERROR(VLOOKUP(G277,_Daylight_Table[],2,FALSE),0)</f>
        <v>0</v>
      </c>
      <c r="N277" s="670"/>
      <c r="O277" s="669" t="e">
        <f>VLOOKUP(G276,'Space Table'!$B$3:$L$160,11,FALSE)</f>
        <v>#N/A</v>
      </c>
      <c r="P277" s="1408"/>
      <c r="Q277" s="1409"/>
      <c r="R277" s="1409"/>
      <c r="S277" s="1402"/>
      <c r="T277" s="671" t="s">
        <v>281</v>
      </c>
      <c r="U277" s="1467" t="str">
        <f>IFERROR(VLOOKUP(U276,Fixtures!DM$93:DP$142,4,FALSE),"")</f>
        <v/>
      </c>
      <c r="V277" s="1468"/>
      <c r="W277" s="1468"/>
      <c r="X277" s="1468"/>
      <c r="Y277" s="1468"/>
      <c r="Z277" s="1468"/>
      <c r="AA277" s="1468"/>
      <c r="AB277" s="1046" t="str">
        <f>IFERROR(VLOOKUP(U276,Fixtures_Proposed_List,2,FALSE),"")</f>
        <v/>
      </c>
      <c r="AC277" s="1036" t="str">
        <f>IFERROR(ROUND(T276*AB277*N275*R275/1000,0),"")</f>
        <v/>
      </c>
      <c r="AD277" s="1037" t="str">
        <f>IFERROR(ROUND(T276*AB277/1000,2),"")</f>
        <v/>
      </c>
      <c r="AE277" s="1045" t="s">
        <v>281</v>
      </c>
      <c r="AF277" s="1469"/>
      <c r="AG277" s="1469"/>
      <c r="AH277" s="1469"/>
      <c r="AI277" s="1469"/>
      <c r="AJ277" s="1476"/>
      <c r="AK277" s="1471"/>
      <c r="AL277" s="1473"/>
      <c r="AM277" s="1443"/>
      <c r="AN277" s="1444"/>
      <c r="AO277" s="1449"/>
      <c r="AP277" s="1449"/>
      <c r="AQ277" s="1450"/>
      <c r="AR277" s="1453"/>
      <c r="AS277" s="1456"/>
      <c r="AT277" s="1459"/>
      <c r="AU277" s="517"/>
      <c r="AV277" s="1480"/>
      <c r="AW277" s="1480"/>
      <c r="BC277" s="38"/>
      <c r="BD277" s="38"/>
      <c r="BE277" s="38"/>
      <c r="BF277" s="38"/>
      <c r="BG277" s="38"/>
      <c r="BH277" s="38"/>
      <c r="BI277" s="38"/>
      <c r="BJ277" s="38"/>
      <c r="BK277" s="38"/>
      <c r="BL277" s="38"/>
      <c r="BM277" s="38"/>
      <c r="BN277" s="38"/>
      <c r="BO277" s="38"/>
      <c r="BP277" s="38"/>
      <c r="BQ277" s="38"/>
      <c r="BR277" s="38"/>
      <c r="BS277" s="38"/>
      <c r="BT277" s="38"/>
      <c r="BU277" s="38"/>
      <c r="BV277" s="38"/>
      <c r="BW277" s="38"/>
      <c r="BX277" s="38"/>
      <c r="BY277" s="38"/>
      <c r="BZ277" s="38"/>
      <c r="CA277" s="38"/>
      <c r="CB277" s="38"/>
      <c r="CC277" s="38"/>
      <c r="CD277" s="38"/>
      <c r="CE277" s="38"/>
      <c r="CF277" s="38"/>
      <c r="CG277" s="38"/>
      <c r="CH277" s="38"/>
      <c r="CI277" s="38"/>
      <c r="CM277" s="1352"/>
      <c r="CN277" s="1352"/>
      <c r="CO277" s="1416"/>
      <c r="CP277" s="1418"/>
      <c r="CR277" s="1386"/>
      <c r="CS277" s="1355"/>
      <c r="CT277" s="1355"/>
      <c r="CU277" s="1375"/>
      <c r="CV277" s="1372"/>
      <c r="CW277" s="1372"/>
      <c r="CX277" s="1372"/>
      <c r="CY277" s="1487"/>
      <c r="CZ277" s="1487"/>
      <c r="DA277" s="1487"/>
      <c r="DC277" s="1355"/>
      <c r="DD277" s="1355"/>
      <c r="DE277" s="1375"/>
      <c r="DF277" s="1407"/>
      <c r="DG277" s="1372"/>
      <c r="DH277" s="1369"/>
      <c r="DK277" s="1484"/>
      <c r="DL277" s="1420"/>
      <c r="DN277" s="1403"/>
      <c r="DO277" s="1405"/>
      <c r="DP277" s="1355"/>
      <c r="DQ277" s="1405"/>
      <c r="DR277" s="1403"/>
      <c r="DS277" s="1489"/>
      <c r="DU277" s="1403"/>
      <c r="DV277" s="1405"/>
      <c r="DW277" s="1403"/>
      <c r="DX277" s="1403"/>
      <c r="DZ277" s="1481"/>
      <c r="EA277" s="1481"/>
      <c r="EC277" s="1482"/>
      <c r="ED277" s="1369"/>
      <c r="EE277" s="1372"/>
      <c r="EF277" s="1369"/>
      <c r="EG277" s="1369"/>
      <c r="EH277" s="1375"/>
      <c r="EI277" s="1375"/>
      <c r="EJ277" s="1363"/>
      <c r="EK277" s="1376"/>
      <c r="EL277" s="1376"/>
      <c r="EM277" s="1362"/>
      <c r="EN277" s="1362"/>
      <c r="EO277" s="1363"/>
      <c r="EP277" s="1363"/>
      <c r="EQ277" s="1363"/>
      <c r="ES277" s="1403"/>
      <c r="EU277" s="1488"/>
      <c r="EV277" s="1488"/>
      <c r="EW277" s="1488"/>
      <c r="EX277" s="1488"/>
      <c r="EY277" s="1488"/>
      <c r="EZ277" s="1414"/>
      <c r="FB277" s="1365"/>
      <c r="FD277" s="1355"/>
      <c r="FE277" s="1355"/>
      <c r="FF277" s="138"/>
      <c r="FI277" s="1357"/>
      <c r="FJ277" s="1357"/>
      <c r="FK277" s="1365"/>
      <c r="FL277" s="1365"/>
      <c r="FM277" s="1365"/>
      <c r="FO277" s="1361"/>
      <c r="FP277" s="1361"/>
      <c r="FQ277" s="1366"/>
      <c r="FR277" s="1361"/>
      <c r="FS277" s="1361"/>
      <c r="FT277" s="1361"/>
      <c r="FU277" s="1360"/>
      <c r="FW277" s="1352"/>
      <c r="FX277" s="1352"/>
      <c r="FY277" s="1352"/>
      <c r="FZ277" s="1352"/>
      <c r="GA277" s="1352"/>
      <c r="GB277" s="1352"/>
      <c r="GC277" s="1352"/>
      <c r="GD277" s="1352"/>
      <c r="GE277" s="759"/>
      <c r="GF277" s="1035"/>
      <c r="GG277" s="1385"/>
      <c r="GJ277" s="1034">
        <f>IF(GJ275=TRUE,0,GJ$16)</f>
        <v>0</v>
      </c>
      <c r="GL277" s="1034">
        <f>IF(GL275=TRUE,0,GL$16)</f>
        <v>36</v>
      </c>
      <c r="GM277" s="1034">
        <f>IF(GM275=TRUE,0,GM$16)</f>
        <v>35</v>
      </c>
      <c r="GN277" s="436"/>
      <c r="GO277" s="436"/>
      <c r="GP277" s="436"/>
      <c r="GQ277" s="436"/>
      <c r="GR277" s="436"/>
      <c r="HC277" s="1034">
        <f t="shared" ref="HC277:HH277" si="194">IF(HC275=TRUE,0,HC$16)</f>
        <v>19</v>
      </c>
      <c r="HD277" s="1034">
        <f t="shared" si="194"/>
        <v>18</v>
      </c>
      <c r="HE277" s="1034">
        <f t="shared" si="194"/>
        <v>17</v>
      </c>
      <c r="HF277" s="1034">
        <f t="shared" si="194"/>
        <v>16</v>
      </c>
      <c r="HG277" s="1034">
        <f t="shared" si="194"/>
        <v>0</v>
      </c>
      <c r="HH277" s="1034">
        <f t="shared" si="194"/>
        <v>0</v>
      </c>
      <c r="HI277" s="1034">
        <f>IF(HI275=TRUE,0,HI$16)</f>
        <v>13</v>
      </c>
      <c r="HJ277" s="1034">
        <f t="shared" ref="HJ277:HL277" si="195">IF(HJ275=TRUE,0,HJ$16)</f>
        <v>12</v>
      </c>
      <c r="HK277" s="1034">
        <f t="shared" si="195"/>
        <v>11</v>
      </c>
      <c r="HL277" s="1034">
        <f t="shared" si="195"/>
        <v>10</v>
      </c>
      <c r="HM277" s="1034">
        <f>IF(HM275=TRUE,0,HM$16)</f>
        <v>9</v>
      </c>
      <c r="HN277" s="1034">
        <f t="shared" ref="HN277:HR277" si="196">IF(HN275=TRUE,0,HN$16)</f>
        <v>0</v>
      </c>
      <c r="HO277" s="1034">
        <f t="shared" si="196"/>
        <v>0</v>
      </c>
      <c r="HP277" s="1034">
        <f t="shared" si="196"/>
        <v>0</v>
      </c>
      <c r="HQ277" s="1034">
        <f t="shared" si="196"/>
        <v>0</v>
      </c>
      <c r="HR277" s="1034">
        <f t="shared" si="196"/>
        <v>0</v>
      </c>
      <c r="HS277" s="1034">
        <f>IF(HS275=TRUE,0,HS$16)</f>
        <v>0</v>
      </c>
      <c r="HT277" s="1034">
        <f t="shared" ref="HT277" si="197">IF(HT275=TRUE,0,HT$16)</f>
        <v>0</v>
      </c>
      <c r="HU277" s="1034">
        <f>IF(HU275=TRUE,0,HU$16)</f>
        <v>1</v>
      </c>
      <c r="HW277" s="1034">
        <f>IF(GL275=FALSE,GL277,IF(GM275=FALSE,GM277,MAX(GJ277:HU277)))</f>
        <v>36</v>
      </c>
      <c r="HX277" s="1383"/>
      <c r="HY277" s="241" t="str">
        <f>VLOOKUP(HW277,_Error_Table,3,FALSE)</f>
        <v xml:space="preserve"> </v>
      </c>
      <c r="HZ277" s="241"/>
      <c r="IA277" s="1386"/>
      <c r="IB277" s="1380"/>
      <c r="IC277" s="1379"/>
      <c r="IF277" s="1380"/>
      <c r="IG277" s="1383"/>
      <c r="IH277" s="1383"/>
      <c r="II277" s="1383"/>
      <c r="IK277" s="1351"/>
      <c r="IL277" s="1351"/>
      <c r="IM277" s="1351"/>
      <c r="IN277" s="1351"/>
      <c r="IO277" s="1351"/>
      <c r="IP277" s="1351"/>
    </row>
    <row r="278" spans="1:250" s="82" customFormat="1" ht="5.0999999999999996" customHeight="1" thickBot="1">
      <c r="B278" s="763"/>
      <c r="C278" s="1038"/>
      <c r="D278" s="1038"/>
      <c r="E278" s="1490"/>
      <c r="F278" s="1490"/>
      <c r="G278" s="1490"/>
      <c r="H278" s="1490"/>
      <c r="I278" s="1490"/>
      <c r="J278" s="1490"/>
      <c r="K278" s="1490"/>
      <c r="L278" s="1490"/>
      <c r="M278" s="1490"/>
      <c r="N278" s="1490"/>
      <c r="O278" s="1490"/>
      <c r="P278" s="1490"/>
      <c r="Q278" s="1490"/>
      <c r="R278" s="1490"/>
      <c r="S278" s="1490"/>
      <c r="T278" s="1490"/>
      <c r="U278" s="1490"/>
      <c r="V278" s="1490"/>
      <c r="W278" s="1490"/>
      <c r="X278" s="1490"/>
      <c r="Y278" s="1490"/>
      <c r="Z278" s="1490"/>
      <c r="AA278" s="1490"/>
      <c r="AB278" s="1490"/>
      <c r="AC278" s="1490"/>
      <c r="AD278" s="1490"/>
      <c r="AE278" s="1490"/>
      <c r="AF278" s="1490"/>
      <c r="AG278" s="1490"/>
      <c r="AH278" s="1490"/>
      <c r="AI278" s="1490"/>
      <c r="AJ278" s="1490"/>
      <c r="AK278" s="1490"/>
      <c r="AL278" s="1490"/>
      <c r="AM278" s="1490"/>
      <c r="AN278" s="1490"/>
      <c r="AO278" s="1490"/>
      <c r="AP278" s="1490"/>
      <c r="AQ278" s="1490"/>
      <c r="AR278" s="1490"/>
      <c r="AS278" s="1490"/>
      <c r="AT278" s="1490"/>
      <c r="AU278" s="1041"/>
      <c r="BC278" s="38"/>
      <c r="BD278" s="38"/>
      <c r="BE278" s="38"/>
      <c r="BF278" s="38"/>
      <c r="BG278" s="38"/>
      <c r="BH278" s="38"/>
      <c r="BI278" s="38"/>
      <c r="BJ278" s="38"/>
      <c r="BK278" s="38"/>
      <c r="BL278" s="38"/>
      <c r="BM278" s="38"/>
      <c r="BN278" s="38"/>
      <c r="BO278" s="38"/>
      <c r="BP278" s="38"/>
      <c r="BQ278" s="38"/>
      <c r="BR278" s="38"/>
      <c r="BS278" s="38"/>
      <c r="BT278" s="38"/>
      <c r="BU278" s="38"/>
      <c r="BV278" s="38"/>
      <c r="BW278" s="38"/>
      <c r="BX278" s="38"/>
      <c r="BY278" s="38"/>
      <c r="BZ278" s="38"/>
      <c r="CA278" s="38"/>
      <c r="CB278" s="38"/>
      <c r="CC278" s="38"/>
      <c r="CD278" s="38"/>
      <c r="CE278" s="38"/>
      <c r="CF278" s="38"/>
      <c r="CG278" s="38"/>
      <c r="CH278" s="38"/>
      <c r="CI278" s="38"/>
      <c r="CM278" s="749"/>
      <c r="CN278" s="749"/>
      <c r="CO278" s="1043"/>
      <c r="CP278" s="749"/>
      <c r="CS278" s="436"/>
      <c r="CT278" s="436"/>
      <c r="CU278" s="243"/>
      <c r="CV278" s="244"/>
      <c r="CW278" s="244"/>
      <c r="CX278" s="244"/>
      <c r="CY278" s="245"/>
      <c r="CZ278" s="245"/>
      <c r="DA278" s="245"/>
      <c r="DC278" s="750"/>
      <c r="DD278" s="751"/>
      <c r="DE278" s="752"/>
      <c r="DF278" s="753"/>
      <c r="DG278" s="754"/>
      <c r="DH278" s="754"/>
      <c r="DK278" s="244"/>
      <c r="DL278" s="750"/>
      <c r="DN278" s="750"/>
      <c r="DO278" s="755"/>
      <c r="DP278" s="436"/>
      <c r="DQ278" s="750"/>
      <c r="DR278" s="750"/>
      <c r="DS278" s="750"/>
      <c r="DU278" s="750"/>
      <c r="DV278" s="750"/>
      <c r="DW278" s="750"/>
      <c r="DX278" s="750"/>
      <c r="DZ278" s="756"/>
      <c r="EA278" s="756"/>
      <c r="EC278" s="754"/>
      <c r="ED278" s="754"/>
      <c r="EE278" s="244"/>
      <c r="EF278" s="754"/>
      <c r="EG278" s="754"/>
      <c r="EH278" s="243"/>
      <c r="EI278" s="243"/>
      <c r="EJ278" s="752"/>
      <c r="EK278" s="757"/>
      <c r="EL278" s="757"/>
      <c r="EM278" s="758"/>
      <c r="EN278" s="758"/>
      <c r="EO278" s="752"/>
      <c r="EP278" s="752"/>
      <c r="EQ278" s="752"/>
      <c r="ES278" s="750"/>
      <c r="EU278" s="436"/>
      <c r="EV278" s="436"/>
      <c r="EW278" s="436"/>
      <c r="EX278" s="436"/>
      <c r="EY278" s="436"/>
      <c r="EZ278" s="436"/>
      <c r="FB278" s="643"/>
      <c r="FD278" s="436"/>
      <c r="FE278" s="436"/>
      <c r="FF278" s="436"/>
      <c r="FO278" s="750"/>
      <c r="FP278" s="436"/>
      <c r="FQ278" s="436"/>
      <c r="FR278" s="750"/>
      <c r="FS278" s="750"/>
      <c r="FW278" s="749"/>
      <c r="FX278" s="749"/>
      <c r="FY278" s="749"/>
      <c r="FZ278" s="749"/>
      <c r="GA278" s="749"/>
      <c r="GB278" s="749"/>
      <c r="GC278" s="749"/>
      <c r="GD278" s="749"/>
      <c r="GE278" s="751"/>
      <c r="GF278" s="750"/>
      <c r="GG278" s="750"/>
    </row>
    <row r="279" spans="1:250" s="82" customFormat="1" ht="14.95" customHeight="1" thickTop="1" thickBot="1">
      <c r="B279" s="1421" t="str">
        <f>HY282</f>
        <v xml:space="preserve"> </v>
      </c>
      <c r="C279" s="1422">
        <f>C274+1</f>
        <v>47</v>
      </c>
      <c r="D279" s="1423"/>
      <c r="E279" s="1424" t="s">
        <v>242</v>
      </c>
      <c r="F279" s="1425"/>
      <c r="G279" s="1426"/>
      <c r="H279" s="1427"/>
      <c r="I279" s="1427"/>
      <c r="J279" s="1427"/>
      <c r="K279" s="1427"/>
      <c r="L279" s="1427"/>
      <c r="M279" s="1427"/>
      <c r="N279" s="1427"/>
      <c r="O279" s="1427"/>
      <c r="P279" s="1427"/>
      <c r="Q279" s="1427"/>
      <c r="R279" s="1427"/>
      <c r="S279" s="1428" t="s">
        <v>283</v>
      </c>
      <c r="T279" s="668" t="s">
        <v>190</v>
      </c>
      <c r="U279" s="1430" t="s">
        <v>186</v>
      </c>
      <c r="V279" s="1431"/>
      <c r="W279" s="1431"/>
      <c r="X279" s="1431"/>
      <c r="Y279" s="1431"/>
      <c r="Z279" s="1431"/>
      <c r="AA279" s="1431"/>
      <c r="AB279" s="1088" t="str">
        <f>IFERROR(IF(__Retrofit_TI_NC=0,VLOOKUP(U280,Fixtures_Existing_List,2,FALSE),ROUND(N281*R281/T281,10)),"")</f>
        <v/>
      </c>
      <c r="AC279" s="1039" t="str">
        <f>IFERROR(IF(__Retrofit_TI_NC=0,ROUND(T280*AB279*N280*R280/1000,0),IF(CN279="Interior",N281*R281*R280*N280*_C406_reduction/1000,N281*R281*R280*N280/1000)),"")</f>
        <v/>
      </c>
      <c r="AD279" s="1040" t="str">
        <f>IFERROR(IF(C$36=0,ROUND(T280*AB279/1000,2),N281*R281/1000),"")</f>
        <v/>
      </c>
      <c r="AE279" s="1044" t="s">
        <v>190</v>
      </c>
      <c r="AF279" s="1432" t="str">
        <f>IF(__Retrofit_TI_NC=2,CONCATENATE("Code min = ",DD279),IF(__Retrofit_TI_NC=1,"Emter what you think the existing control was"," Control"))</f>
        <v xml:space="preserve"> Control</v>
      </c>
      <c r="AG279" s="1432"/>
      <c r="AH279" s="1432"/>
      <c r="AI279" s="1432"/>
      <c r="AJ279" s="1433">
        <f>DF279</f>
        <v>0</v>
      </c>
      <c r="AK279" s="1435" t="str">
        <f>IFERROR(ROUND(AJ279*AC279,0),"")</f>
        <v/>
      </c>
      <c r="AL279" s="1437">
        <f>IFERROR(IF(HW279=FALSE,0,AC279-AK279),0)</f>
        <v>0</v>
      </c>
      <c r="AM279" s="1439">
        <f>AL279-AL281</f>
        <v>0</v>
      </c>
      <c r="AN279" s="1440"/>
      <c r="AO279" s="1445">
        <f>IFERROR(IF(HW279=FALSE,0,(T281*U282)+(AE281*AF282)),0)</f>
        <v>0</v>
      </c>
      <c r="AP279" s="1445"/>
      <c r="AQ279" s="1446"/>
      <c r="AR279" s="1451" t="s">
        <v>157</v>
      </c>
      <c r="AS279" s="1454">
        <f>IF(AR279="Yes",1,0)</f>
        <v>1</v>
      </c>
      <c r="AT279" s="1457" t="str">
        <f>IF(OR(DN279=4,DN279=5,DN279=6,DN279=12),CONCATENATE("$",IF(GD279=TRUE,Lookup!$B$11,Lookup!$B$2)," /lamp"),CONCATENATE(EA279,"/ kWh"))</f>
        <v>0/ kWh</v>
      </c>
      <c r="AU279" s="516"/>
      <c r="AV279" s="1478">
        <f>IFERROR(IF(GI280=TRUE,(AB282*T281)/R281,0),"NA")</f>
        <v>0</v>
      </c>
      <c r="AW279" s="1478" t="str">
        <f>IFERROR(N281*_C406_reduction,"NA")</f>
        <v>NA</v>
      </c>
      <c r="BC279" s="38"/>
      <c r="BD279" s="38"/>
      <c r="BE279" s="38"/>
      <c r="BF279" s="38"/>
      <c r="BG279" s="38"/>
      <c r="BH279" s="38"/>
      <c r="BI279" s="38"/>
      <c r="BJ279" s="38"/>
      <c r="BK279" s="38"/>
      <c r="BL279" s="38"/>
      <c r="BM279" s="38"/>
      <c r="BN279" s="38"/>
      <c r="BO279" s="38"/>
      <c r="BP279" s="38"/>
      <c r="BQ279" s="38"/>
      <c r="BR279" s="38"/>
      <c r="BS279" s="38"/>
      <c r="BT279" s="38"/>
      <c r="BU279" s="38"/>
      <c r="BV279" s="38"/>
      <c r="BW279" s="38"/>
      <c r="BX279" s="38"/>
      <c r="BY279" s="38"/>
      <c r="BZ279" s="38"/>
      <c r="CA279" s="38"/>
      <c r="CB279" s="38"/>
      <c r="CC279" s="38"/>
      <c r="CD279" s="38"/>
      <c r="CE279" s="38"/>
      <c r="CF279" s="38"/>
      <c r="CG279" s="38"/>
      <c r="CH279" s="38"/>
      <c r="CI279" s="38"/>
      <c r="CM279" s="1352" t="str">
        <f>N280</f>
        <v/>
      </c>
      <c r="CN279" s="1352" t="str">
        <f>IFERROR(VLOOKUP(G280,_Lookup_Heat_Type_Table_New,3,FALSE),"")</f>
        <v/>
      </c>
      <c r="CO279" s="1415" t="str">
        <f>CN279</f>
        <v/>
      </c>
      <c r="CP279" s="1417" t="e">
        <f>VLOOKUP(G281,'Space Table'!$B$3:$L$160,9,FALSE)</f>
        <v>#N/A</v>
      </c>
      <c r="CR279" s="1386" t="s">
        <v>283</v>
      </c>
      <c r="CS279" s="1353">
        <f>IF(HW279=TRUE,T280,0)</f>
        <v>0</v>
      </c>
      <c r="CT279" s="1353" t="str">
        <f>IF(HW279=TRUE,U280,"")</f>
        <v/>
      </c>
      <c r="CU279" s="1353"/>
      <c r="CV279" s="1370">
        <f>IF(HW279=TRUE,AB279,0)</f>
        <v>0</v>
      </c>
      <c r="CW279" s="1370">
        <f>IF(HW279=TRUE,AC279,0)</f>
        <v>0</v>
      </c>
      <c r="CX279" s="1370">
        <f>IFERROR(IF(HW279=TRUE,CW279-CW281,0),0)</f>
        <v>0</v>
      </c>
      <c r="CY279" s="1485">
        <f>IF(HW279=TRUE,AD279,0)</f>
        <v>0</v>
      </c>
      <c r="CZ279" s="1485">
        <f>IF(HW279=TRUE,AD282,0)</f>
        <v>0</v>
      </c>
      <c r="DA279" s="1485">
        <f>IFERROR(CY279-CZ279,0)</f>
        <v>0</v>
      </c>
      <c r="DC279" s="1353">
        <f>IF(HW279=TRUE,AE280,0)</f>
        <v>0</v>
      </c>
      <c r="DD279" s="1460">
        <f>IF(__Retrofit_TI_NC=2,IF(CN279="Exterior",O282,FM279),FK279)</f>
        <v>0</v>
      </c>
      <c r="DE279" s="1353"/>
      <c r="DF279" s="1406">
        <f>IFERROR(IF(FL279=3,IK279,IF(FL279=4,IL279,IF(FL279=5,IM279,IF(FL279=6,IN279,IF(FL279=7,IO279,IF(FL279=8,IP279,0)))))),0)</f>
        <v>0</v>
      </c>
      <c r="DG279" s="1370">
        <f>IF(HW279=TRUE,AK279,0)</f>
        <v>0</v>
      </c>
      <c r="DH279" s="1369">
        <f>IFERROR(IF(HW279=TRUE,DG281-DG279,0),0)</f>
        <v>0</v>
      </c>
      <c r="DJ279" s="1483">
        <f>IFERROR(CW279-DG279,0)</f>
        <v>0</v>
      </c>
      <c r="DL279" s="1419">
        <f>DJ279-DK281</f>
        <v>0</v>
      </c>
      <c r="DN279" s="1403" t="str">
        <f>IFERROR(IF(AND(OR(FY279=4,FY279=5,FY279=6),OR(GB279=4,GB279=5,GB279=6)),FY279+8,VLOOKUP(CT281,Fixtures!R$31:Y$78,8,FALSE)),"")</f>
        <v/>
      </c>
      <c r="DO279" s="1404" t="str">
        <f>DN279</f>
        <v/>
      </c>
      <c r="DP279" s="1353" t="str">
        <f>IFERROR(VLOOKUP(DD281,Lookup!AU$3:AV$15,2,FALSE),"")</f>
        <v/>
      </c>
      <c r="DQ279" s="1404" t="str">
        <f>IF(DP279=7,"LLLC","")</f>
        <v/>
      </c>
      <c r="DR279" s="1403">
        <f>IFERROR(IF(OR(DN279=4,DN279=5,DN279=6,DN279=12,DN279=13,DN279=14),VLOOKUP(CT281,Fixtures!DN$27:EG$77,19,FALSE),1)*CS281,0)</f>
        <v>0</v>
      </c>
      <c r="DS279" s="1489">
        <f>IF(DP279=7,IF(DD279=DD281,0,DC281),0)</f>
        <v>0</v>
      </c>
      <c r="DU279" s="1403" t="str">
        <f>IFERROR(IF(EW279&lt;EW281,"Yes","No"),"")</f>
        <v/>
      </c>
      <c r="DV279" s="1404" t="str">
        <f>DU279</f>
        <v/>
      </c>
      <c r="DW279" s="1403">
        <f>IF(DU279="Yes",DC281,0)</f>
        <v>0</v>
      </c>
      <c r="DX279" s="1403">
        <f>DW279-DS279</f>
        <v>0</v>
      </c>
      <c r="DZ279" s="1481">
        <f>IFERROR(VLOOKUP(DN279,Lookup!AN$3:AO$16,2,FALSE),0)</f>
        <v>0</v>
      </c>
      <c r="EA279" s="1481">
        <f>IF(HW279=FALSE,0,IF(DU279="Yes",DZ279+Lookup!B$6,DZ279))</f>
        <v>0</v>
      </c>
      <c r="EC279" s="1482">
        <f>IF(HW279=TRUE,DJ279,0)</f>
        <v>0</v>
      </c>
      <c r="ED279" s="1369">
        <f>IF(HW279=TRUE,CW281,0)</f>
        <v>0</v>
      </c>
      <c r="EE279" s="1370">
        <f>IFERROR(EC279-ED279,0)</f>
        <v>0</v>
      </c>
      <c r="EF279" s="1369">
        <f>IF(HW279=TRUE,DG281,0)</f>
        <v>0</v>
      </c>
      <c r="EG279" s="1369">
        <f>IFERROR(EC279-ED279+EF279,0)</f>
        <v>0</v>
      </c>
      <c r="EH279" s="1373">
        <f>IF(HW279=TRUE,CS281*CU281,0)</f>
        <v>0</v>
      </c>
      <c r="EI279" s="1373">
        <f>IF(HW279=TRUE,DC281*DE281,0)</f>
        <v>0</v>
      </c>
      <c r="EJ279" s="1363">
        <f>AO279</f>
        <v>0</v>
      </c>
      <c r="EK279" s="1376" t="str">
        <f>IFERROR(IF(HW279=TRUE,VLOOKUP(DN279,Lookup!AN$3:AP$16,3,FALSE)*DR279,""),0)</f>
        <v/>
      </c>
      <c r="EL279" s="1376">
        <f>IF(HW279=TRUE,DW279*Lookup!AP$12,0)</f>
        <v>0</v>
      </c>
      <c r="EM279" s="1362">
        <f>IFERROR(IF(HW279=TRUE,EK279/EM$33,0),0)</f>
        <v>0</v>
      </c>
      <c r="EN279" s="1362">
        <f>IF(HW279=TRUE,EL279/EN$33,0)</f>
        <v>0</v>
      </c>
      <c r="EO279" s="1363">
        <f>IF(HW279=TRUE,EQ$33*EM279,0)</f>
        <v>0</v>
      </c>
      <c r="EP279" s="1363">
        <f>IF(HW279=TRUE,EQ$33*EN279,0)</f>
        <v>0</v>
      </c>
      <c r="EQ279" s="1363">
        <f>EO279+EP279</f>
        <v>0</v>
      </c>
      <c r="ES279" s="1403">
        <f>IF(G279="",0,1)</f>
        <v>0</v>
      </c>
      <c r="EU279" s="1410" t="e">
        <f>VLOOKUP(CP281,'Space Table'!$B$3:$L$160,8,FALSE)</f>
        <v>#N/A</v>
      </c>
      <c r="EV279" s="1410" t="e">
        <f>IF(EY279="Yes",VLOOKUP(DD279,Lookup_Control_Type_Table2,4,FALSE),VLOOKUP(DD279,Lookup_Control_Type_Table2,3,FALSE))</f>
        <v>#N/A</v>
      </c>
      <c r="EW279" s="1410" t="e">
        <f>VLOOKUP(DD279,Lookup!AU$3:AV$15,2,FALSE)</f>
        <v>#N/A</v>
      </c>
      <c r="EX279" s="1410" t="e">
        <f>VLOOKUP(EU279,Lookup_Control_Type_Table,2,FALSE)</f>
        <v>#N/A</v>
      </c>
      <c r="EY279" s="1410" t="e">
        <f>VLOOKUP(CP281,'Space Table'!$B$3:$L$160,7,FALSE)</f>
        <v>#N/A</v>
      </c>
      <c r="EZ279" s="1412" t="b">
        <f>ISNUMBER(SEARCH("TLED",U281))</f>
        <v>0</v>
      </c>
      <c r="FB279" s="1365" t="str">
        <f>CONCATENATE(CN279," - ",DD279)</f>
        <v xml:space="preserve"> - 0</v>
      </c>
      <c r="FD279" s="1353" t="str">
        <f>VLOOKUP(CT281,Fixtures!DN$27:EZ$77,38,FALSE)</f>
        <v/>
      </c>
      <c r="FE279" s="1353">
        <f>IFERROR(FD279*EE279,0)</f>
        <v>0</v>
      </c>
      <c r="FF279" s="138"/>
      <c r="FI279" s="1356" t="str">
        <f>IF(CN279="Exterior","Not Daylighted",G282)</f>
        <v>Not Daylighted</v>
      </c>
      <c r="FJ279" s="1356">
        <f>VLOOKUP(FI279,_Daylight_Table_Codes,2,FALSE)</f>
        <v>0</v>
      </c>
      <c r="FK279" s="1365">
        <f>IF(__Retrofit_TI_NC=2,VLOOKUP(G281,'Space Table'!$B$3:$L$160,11,FALSE),AF280)</f>
        <v>0</v>
      </c>
      <c r="FL279" s="1365" t="e">
        <f>VLOOKUP(FK279,_Control_Table,2,FALSE)</f>
        <v>#N/A</v>
      </c>
      <c r="FM279" s="1365" t="e">
        <f>IF(AND(FP279&gt;0,FK279="Occupancy Sensor"),"Daylight + Occupancy",IF(AND(FP279&gt;0,FL279&lt;4),"Interior Daylight Dimming",FK279))</f>
        <v>#N/A</v>
      </c>
      <c r="FO279" s="1364">
        <f>IF(CO279="Interior",VLOOKUP(CP279,Control_Savings_Interior,5,FALSE),0)</f>
        <v>0</v>
      </c>
      <c r="FP279" s="1361">
        <f>IF(CN279="Exterior",0,IF(FJ279=2,0.5,IF(OR(FJ279=1,FJ279=3),1,0)))</f>
        <v>0</v>
      </c>
      <c r="FQ279" s="1366"/>
      <c r="FR279" s="1367"/>
      <c r="FS279" s="1364"/>
      <c r="FT279" s="1367"/>
      <c r="FU279" s="1360"/>
      <c r="FW279" s="1352" t="str">
        <f>IFERROR(VLOOKUP(U280,_Exist_Fixture_Table,3,FALSE),"")</f>
        <v/>
      </c>
      <c r="FX279" s="1352" t="str">
        <f>VLOOKUP(CT279,_Exist_Fixture_Table,4,FALSE)</f>
        <v/>
      </c>
      <c r="FY279" s="1352">
        <f>IFERROR(VLOOKUP(FX279,Lookup!AM$6:AN$8,2,FALSE),0)</f>
        <v>0</v>
      </c>
      <c r="FZ279" s="1352" t="b">
        <f>IFERROR(IF(OR(GB279=4,GB279=5,GB279=6),TRUE,FALSE),"")</f>
        <v>0</v>
      </c>
      <c r="GA279" s="1352" t="str">
        <f>IFERROR(VLOOKUP(GB279,FY$6:FZ$10,2,FALSE),"")</f>
        <v/>
      </c>
      <c r="GB279" s="1352" t="str">
        <f>VLOOKUP(CT281,Fixtures!R$31:Y$78,8,FALSE)</f>
        <v/>
      </c>
      <c r="GC279" s="1352">
        <f>IF(AND(FW279=TRUE,FZ279=TRUE,OR(DN279=12,DN279=13,DN279=14)),FY279+8,0)</f>
        <v>0</v>
      </c>
      <c r="GD279" s="1352" t="b">
        <f>IF(OR(GC279=12,GC279=13,GC279=14),TRUE,FALSE)</f>
        <v>0</v>
      </c>
      <c r="GE279" s="759" t="b">
        <f>IF(ISNUMBER(SEARCH("TLED",U280)),TRUE,FALSE)</f>
        <v>0</v>
      </c>
      <c r="GF279" s="1035" t="str">
        <f>IFERROR(VLOOKUP(U280,Fixtures!BM$93:BR$142,6,FALSE),"")</f>
        <v/>
      </c>
      <c r="GG279" s="1385" t="b">
        <f>IF(OR(GE279=FALSE,GE281=FALSE),TRUE,IF(GF279-GF281&lt;5,FALSE,TRUE))</f>
        <v>1</v>
      </c>
      <c r="GK279" s="1034">
        <f>GL279</f>
        <v>0</v>
      </c>
      <c r="GL279" s="1034">
        <f>IF(G279="",0,1)</f>
        <v>0</v>
      </c>
      <c r="GM279" s="1034">
        <f>SUM(GN279:HB279)</f>
        <v>2</v>
      </c>
      <c r="GN279" s="1034">
        <f>IF(G280="",0,1)</f>
        <v>0</v>
      </c>
      <c r="GO279" s="1034">
        <f>IF(G281="",0,1)</f>
        <v>0</v>
      </c>
      <c r="GP279" s="1034">
        <f>IF(R280="",0,1)</f>
        <v>0</v>
      </c>
      <c r="GQ279" s="1034">
        <f>IF(__Retrofit_TI_NC=0,1,IF(R281="",0,1))</f>
        <v>1</v>
      </c>
      <c r="GR279" s="1034">
        <f>IF(CN279="Exterior",1,IF(G282="",0,1))</f>
        <v>1</v>
      </c>
      <c r="GS279" s="1034">
        <f>IF(__Retrofit_TI_NC&lt;&gt;0,1,IF(T280="",0,1))</f>
        <v>0</v>
      </c>
      <c r="GT279" s="1034">
        <f>IF(__Retrofit_TI_NC&lt;&gt;0,1,IF(U280="",0,1))</f>
        <v>0</v>
      </c>
      <c r="GU279" s="1034">
        <f>IF(T281="",0,1)</f>
        <v>0</v>
      </c>
      <c r="GV279" s="1034">
        <f>IF(U281="",0,1)</f>
        <v>0</v>
      </c>
      <c r="GW279" s="1034">
        <f>IF(__Retrofit_TI_NC=2,1,IF(U282="",0,1))</f>
        <v>0</v>
      </c>
      <c r="GX279" s="1034">
        <f>IF(__Retrofit_TI_NC&lt;&gt;0,1,IF(AE280="",0,1))</f>
        <v>0</v>
      </c>
      <c r="GY279" s="1034">
        <f>IF(__Retrofit_TI_NC&lt;&gt;0,1,IF(AF280="",0,1))</f>
        <v>0</v>
      </c>
      <c r="GZ279" s="1034">
        <f>IF(AE281="",0,1)</f>
        <v>0</v>
      </c>
      <c r="HA279" s="1034">
        <f>IF(AF281="",0,1)</f>
        <v>0</v>
      </c>
      <c r="HB279" s="1034">
        <f>IF(__Retrofit_TI_NC=2,1,IF(AF282="",0,1))</f>
        <v>0</v>
      </c>
      <c r="HV279" s="436"/>
      <c r="HW279" s="1384" t="b">
        <f>IF(OR(HW282=0,HW282=HT$16,HW282=HS$16,HW282=HU$16),TRUE,FALSE)</f>
        <v>0</v>
      </c>
      <c r="HX279" s="1377" t="b">
        <f>HW279</f>
        <v>0</v>
      </c>
      <c r="HY279" s="436"/>
      <c r="HZ279" s="436"/>
      <c r="IA279" s="1386" t="b">
        <f>IF(MAX(GJ282:HP282)&gt;5,FALSE,TRUE)</f>
        <v>0</v>
      </c>
      <c r="IB279" s="1380">
        <f>IF(IA279=TRUE,AC279,0)</f>
        <v>0</v>
      </c>
      <c r="IC279" s="1380">
        <f>IB279-IB281</f>
        <v>0</v>
      </c>
      <c r="IF279" s="1380" t="e">
        <f>ROUND(T280*VLOOKUP(U280,Fixtures_Existing_List,2,FALSE)*N280*R280/1000,0)</f>
        <v>#N/A</v>
      </c>
      <c r="IG279" s="1381" t="e">
        <f>IF279-IF281</f>
        <v>#N/A</v>
      </c>
      <c r="IH279" s="1384" t="e">
        <f>ROUND(IF(CN279="Interior",N281*R281*R280*N280*_C406_reduction/1000,N281*R281*R280*N280/1000),0)</f>
        <v>#N/A</v>
      </c>
      <c r="II279" s="1384" t="e">
        <f>IH279-IH281</f>
        <v>#N/A</v>
      </c>
      <c r="IK279" s="1351" t="e">
        <f>IF($CO279="interior",IL279/2,VLOOKUP($CP279,Control_Savings_Exterior,IK$30,FALSE))</f>
        <v>#N/A</v>
      </c>
      <c r="IL279" s="1351" t="e">
        <f>IF($CO279="interior",VLOOKUP($CP279,Control_Savings_Interior,IL$30,FALSE),VLOOKUP($CP279,Control_Savings_Exterior,IL$30,FALSE))</f>
        <v>#N/A</v>
      </c>
      <c r="IM279" s="1351" t="e">
        <f>IF($CO279="interior",IF(R280&gt;FO$37,(IM$28*(FO$37/R280)),IM$28)*FP279,VLOOKUP($CP279,Control_Savings_Exterior,IM$30,FALSE))</f>
        <v>#N/A</v>
      </c>
      <c r="IN279" s="1351" t="e">
        <f>IF($CO279="interior",ROUND(((1-IL279)*IM279)+IL279,2),VLOOKUP($CP279,Control_Savings_Exterior,IN$30,FALSE))</f>
        <v>#N/A</v>
      </c>
      <c r="IO279" s="1351" t="e">
        <f>IF($CO279="interior", ROUND(((1-IL279)*(IM279*(1-IP$28)))+IP279,2), VLOOKUP($CP279,Control_Savings_Exterior,IO$30,FALSE))</f>
        <v>#N/A</v>
      </c>
      <c r="IP279" s="1351">
        <f>IF($CO279="interior",ROUND(((1-IL279)*IP$28)+IL279,2),0)</f>
        <v>0</v>
      </c>
    </row>
    <row r="280" spans="1:250" s="82" customFormat="1" ht="14.95" customHeight="1" thickTop="1" thickBot="1">
      <c r="B280" s="1421"/>
      <c r="C280" s="1422"/>
      <c r="D280" s="1423"/>
      <c r="E280" s="1393" t="s">
        <v>244</v>
      </c>
      <c r="F280" s="1394"/>
      <c r="G280" s="1395"/>
      <c r="H280" s="1395"/>
      <c r="I280" s="1395"/>
      <c r="J280" s="1395"/>
      <c r="K280" s="1395"/>
      <c r="L280" s="1395"/>
      <c r="M280" s="509" t="e">
        <f>IF(__Retrofit_TI_NC&lt;&gt;0,IF(VLOOKUP(G281,'Space Table'!$B$3:$L$160,3,FALSE)&gt;0,1,0),IF(__Retrofit_TI_NC=VLOOKUP(G281,'Space Table'!$B$3:$L$160,3,FALSE),1,0))</f>
        <v>#N/A</v>
      </c>
      <c r="N280" s="509" t="str">
        <f>IFERROR(VLOOKUP(G280,_Lookup_Heat_Type_Table_New,2,FALSE),"")</f>
        <v/>
      </c>
      <c r="O280" s="509">
        <f>IF(__Retrofit_TI_NC=1,CONCATENATE("TI ",G280),IF(__Retrofit_TI_NC=2,CONCATENATE("NC ",G280),G280))</f>
        <v>0</v>
      </c>
      <c r="P280" s="1396" t="s">
        <v>352</v>
      </c>
      <c r="Q280" s="1396"/>
      <c r="R280" s="673"/>
      <c r="S280" s="1429"/>
      <c r="T280" s="675"/>
      <c r="U280" s="1496"/>
      <c r="V280" s="1497"/>
      <c r="W280" s="1497"/>
      <c r="X280" s="1497"/>
      <c r="Y280" s="1497"/>
      <c r="Z280" s="1497"/>
      <c r="AA280" s="1497"/>
      <c r="AB280" s="1497"/>
      <c r="AC280" s="1497"/>
      <c r="AD280" s="1498"/>
      <c r="AE280" s="675"/>
      <c r="AF280" s="1397"/>
      <c r="AG280" s="1397"/>
      <c r="AH280" s="1397"/>
      <c r="AI280" s="1397"/>
      <c r="AJ280" s="1434"/>
      <c r="AK280" s="1436"/>
      <c r="AL280" s="1438"/>
      <c r="AM280" s="1441"/>
      <c r="AN280" s="1442"/>
      <c r="AO280" s="1447"/>
      <c r="AP280" s="1447"/>
      <c r="AQ280" s="1448"/>
      <c r="AR280" s="1452"/>
      <c r="AS280" s="1455"/>
      <c r="AT280" s="1458"/>
      <c r="AU280" s="516"/>
      <c r="AV280" s="1479"/>
      <c r="AW280" s="1479"/>
      <c r="BC280" s="38"/>
      <c r="BD280" s="38"/>
      <c r="BE280" s="38"/>
      <c r="BF280" s="38"/>
      <c r="BG280" s="38"/>
      <c r="BH280" s="38"/>
      <c r="BI280" s="38"/>
      <c r="BJ280" s="38"/>
      <c r="BK280" s="38"/>
      <c r="BL280" s="38"/>
      <c r="BM280" s="38"/>
      <c r="BN280" s="38"/>
      <c r="BO280" s="38"/>
      <c r="BP280" s="38"/>
      <c r="BQ280" s="38"/>
      <c r="BR280" s="38"/>
      <c r="BS280" s="38"/>
      <c r="BT280" s="38"/>
      <c r="BU280" s="38"/>
      <c r="BV280" s="38"/>
      <c r="BW280" s="38"/>
      <c r="BX280" s="38"/>
      <c r="BY280" s="38"/>
      <c r="BZ280" s="38"/>
      <c r="CA280" s="38"/>
      <c r="CB280" s="38"/>
      <c r="CC280" s="38"/>
      <c r="CD280" s="38"/>
      <c r="CE280" s="38"/>
      <c r="CF280" s="38"/>
      <c r="CG280" s="38"/>
      <c r="CH280" s="38"/>
      <c r="CI280" s="38"/>
      <c r="CM280" s="1352"/>
      <c r="CN280" s="1352"/>
      <c r="CO280" s="1416"/>
      <c r="CP280" s="1418"/>
      <c r="CR280" s="1386"/>
      <c r="CS280" s="1355"/>
      <c r="CT280" s="1355"/>
      <c r="CU280" s="1355"/>
      <c r="CV280" s="1372"/>
      <c r="CW280" s="1372"/>
      <c r="CX280" s="1371"/>
      <c r="CY280" s="1486"/>
      <c r="CZ280" s="1486"/>
      <c r="DA280" s="1486"/>
      <c r="DC280" s="1355"/>
      <c r="DD280" s="1461"/>
      <c r="DE280" s="1355"/>
      <c r="DF280" s="1407"/>
      <c r="DG280" s="1372"/>
      <c r="DH280" s="1369"/>
      <c r="DJ280" s="1484"/>
      <c r="DL280" s="1419"/>
      <c r="DN280" s="1403"/>
      <c r="DO280" s="1405"/>
      <c r="DP280" s="1354"/>
      <c r="DQ280" s="1405"/>
      <c r="DR280" s="1403"/>
      <c r="DS280" s="1489"/>
      <c r="DU280" s="1403"/>
      <c r="DV280" s="1405"/>
      <c r="DW280" s="1403"/>
      <c r="DX280" s="1403"/>
      <c r="DZ280" s="1481"/>
      <c r="EA280" s="1481"/>
      <c r="EC280" s="1482"/>
      <c r="ED280" s="1369"/>
      <c r="EE280" s="1371"/>
      <c r="EF280" s="1369"/>
      <c r="EG280" s="1369"/>
      <c r="EH280" s="1374"/>
      <c r="EI280" s="1374"/>
      <c r="EJ280" s="1363"/>
      <c r="EK280" s="1376"/>
      <c r="EL280" s="1376"/>
      <c r="EM280" s="1362"/>
      <c r="EN280" s="1362"/>
      <c r="EO280" s="1363"/>
      <c r="EP280" s="1363"/>
      <c r="EQ280" s="1363"/>
      <c r="ES280" s="1403"/>
      <c r="EU280" s="1411"/>
      <c r="EV280" s="1411"/>
      <c r="EW280" s="1411"/>
      <c r="EX280" s="1411"/>
      <c r="EY280" s="1411"/>
      <c r="EZ280" s="1413"/>
      <c r="FB280" s="1365"/>
      <c r="FD280" s="1354"/>
      <c r="FE280" s="1354"/>
      <c r="FF280" s="138"/>
      <c r="FI280" s="1357"/>
      <c r="FJ280" s="1357"/>
      <c r="FK280" s="1365"/>
      <c r="FL280" s="1365"/>
      <c r="FM280" s="1365"/>
      <c r="FO280" s="1361"/>
      <c r="FP280" s="1361"/>
      <c r="FQ280" s="1366"/>
      <c r="FR280" s="1368"/>
      <c r="FS280" s="1361"/>
      <c r="FT280" s="1368"/>
      <c r="FU280" s="1360"/>
      <c r="FW280" s="1352"/>
      <c r="FX280" s="1352"/>
      <c r="FY280" s="1352"/>
      <c r="FZ280" s="1352"/>
      <c r="GA280" s="1352"/>
      <c r="GB280" s="1352"/>
      <c r="GC280" s="1352"/>
      <c r="GD280" s="1352"/>
      <c r="GE280" s="759"/>
      <c r="GF280" s="1035"/>
      <c r="GG280" s="1385"/>
      <c r="GI280" s="1384" t="b">
        <f>IF(AND(GL280=TRUE,GM280=TRUE),TRUE,FALSE)</f>
        <v>0</v>
      </c>
      <c r="GJ280" s="1379" t="b">
        <f>IFERROR(IF(__Retrofit_TI_NC=2,TRUE,IF(AR279="Yes",TRUE,FALSE)),FALSE)</f>
        <v>1</v>
      </c>
      <c r="GL280" s="1379" t="b">
        <f>IFERROR(IF(GL279=1,TRUE,FALSE),FALSE)</f>
        <v>0</v>
      </c>
      <c r="GM280" s="1379" t="b">
        <f>IFERROR(IF(GM279=GM$14,TRUE,FALSE),FALSE)</f>
        <v>0</v>
      </c>
      <c r="HC280" s="1379" t="b">
        <f>IFERROR(IF(M280=1,TRUE,FALSE),FALSE)</f>
        <v>0</v>
      </c>
      <c r="HD280" s="1379" t="b">
        <f>IFERROR(IF(M281=1,TRUE,FALSE),FALSE)</f>
        <v>0</v>
      </c>
      <c r="HE280" s="1379" t="b">
        <f>IFERROR(IF(__Retrofit_TI_NC&lt;&gt;0,TRUE,IFERROR(IF(VLOOKUP(U280,Fixtures_Existing_List,2,FALSE)&lt;&gt;"",TRUE,FALSE),FALSE)),FALSE)</f>
        <v>0</v>
      </c>
      <c r="HF280" s="1379" t="b">
        <f>IFERROR(IF(VLOOKUP(U281,Fixtures_Proposed_List,2,FALSE)&lt;&gt;"",TRUE,FALSE),FALSE)</f>
        <v>0</v>
      </c>
      <c r="HG280" s="1379" t="b">
        <f>IF(AND(__Retrofit_TI_NC=2,EZ279=TRUE),FALSE,TRUE)</f>
        <v>1</v>
      </c>
      <c r="HH280" s="1379" t="b">
        <f>GG279</f>
        <v>1</v>
      </c>
      <c r="HI280" s="1384" t="b">
        <f>IF(ISERROR(MATCH(FB279,_Control_Match[],0))=TRUE,FALSE,TRUE)</f>
        <v>0</v>
      </c>
      <c r="HJ280" s="1384" t="b">
        <f>IFERROR(IF(EU279&lt;&gt;EV279,FALSE,TRUE),FALSE)</f>
        <v>0</v>
      </c>
      <c r="HK280" s="1384" t="b">
        <f>IFERROR(IF(EU281&lt;&gt;EV281,FALSE,TRUE),FALSE)</f>
        <v>0</v>
      </c>
      <c r="HL280" s="1379" t="b">
        <f>IFERROR(IF(CN279="Exterior",TRUE,IF(OR(AND(FJ279=0,EW281&gt;4),AND(FJ279=4,EW281&gt;4,EW281&lt;7)),FALSE,TRUE)),FALSE)</f>
        <v>0</v>
      </c>
      <c r="HM280" s="1379" t="b">
        <f>IFERROR(IF(AND(FL281=7,EZ279=TRUE),FALSE,TRUE),FALSE)</f>
        <v>0</v>
      </c>
      <c r="HN280" s="1379" t="b">
        <f>IFERROR(IF(AND(T281&lt;&gt;AE281,AF281="Interior LLLC")=TRUE,FALSE,TRUE),FALSE)</f>
        <v>1</v>
      </c>
      <c r="HO280" s="1379" t="b">
        <f>IFERROR(IF(OR(AF281=Lookup!AU$13,AF281=Lookup!AU$14)=TRUE,IF(AE281&gt;T281,FALSE,TRUE),TRUE),FALSE)</f>
        <v>1</v>
      </c>
      <c r="HP280" s="1379" t="b">
        <f>IFERROR(IF(__Retrofit_TI_NC=2,IF(EW281&lt;EW279,FALSE,TRUE),TRUE),FALSE)</f>
        <v>1</v>
      </c>
      <c r="HQ280" s="1379" t="b">
        <f>IF(CN279="Interior",IG$6,TRUE)</f>
        <v>1</v>
      </c>
      <c r="HR280" s="1379" t="b">
        <f>IF(CN279="Exterior",IG$8,TRUE)</f>
        <v>1</v>
      </c>
      <c r="HS280" s="1379" t="b">
        <f>IFERROR(IF(__Retrofit_TI_NC&lt;&gt;0,IF(AW279&lt;AV279,FALSE,TRUE),TRUE),FALSE)</f>
        <v>1</v>
      </c>
      <c r="HT280" s="1379" t="b">
        <f>IFERROR(IF(AND(G280="Exterior",R280&gt;4200),FALSE,TRUE),FALSE)</f>
        <v>1</v>
      </c>
      <c r="HU280" s="1379" t="b">
        <f>IFERROR(IF(AB282/AB279&lt;HU$18,FALSE,TRUE),FALSE)</f>
        <v>0</v>
      </c>
      <c r="HW280" s="1382"/>
      <c r="HX280" s="1378"/>
      <c r="HY280" s="1377" t="str">
        <f>VLOOKUP(HW282,_Error_Table,4,FALSE)</f>
        <v>White</v>
      </c>
      <c r="HZ280" s="436"/>
      <c r="IA280" s="1386"/>
      <c r="IB280" s="1380"/>
      <c r="IC280" s="1379"/>
      <c r="IF280" s="1380"/>
      <c r="IG280" s="1382"/>
      <c r="IH280" s="1382"/>
      <c r="II280" s="1382"/>
      <c r="IK280" s="1351"/>
      <c r="IL280" s="1351"/>
      <c r="IM280" s="1351"/>
      <c r="IN280" s="1351"/>
      <c r="IO280" s="1351"/>
      <c r="IP280" s="1351"/>
    </row>
    <row r="281" spans="1:250" s="82" customFormat="1" ht="14.95" customHeight="1" thickTop="1" thickBot="1">
      <c r="A281" s="82">
        <f>ROW()</f>
        <v>281</v>
      </c>
      <c r="B281" s="1421"/>
      <c r="C281" s="1422"/>
      <c r="D281" s="1423"/>
      <c r="E281" s="1393" t="s">
        <v>245</v>
      </c>
      <c r="F281" s="1394"/>
      <c r="G281" s="1398"/>
      <c r="H281" s="1399"/>
      <c r="I281" s="1399"/>
      <c r="J281" s="1399"/>
      <c r="K281" s="1399"/>
      <c r="L281" s="1400"/>
      <c r="M281" s="509">
        <f>IFERROR(IF(IF(__Retrofit_TI_NC&lt;&gt;0,IF(CN279="Interior",MATCH(G281,Lookup_Interior_New,0),MATCH(G281,Lookup_Exterior_New,0)),IF(CN279="Interior",MATCH(G281,Lookup_Interior,0),MATCH(G281,Lookup_Exterior_Areas,0)))&gt;0,1,0),0)</f>
        <v>0</v>
      </c>
      <c r="N281" s="509" t="e">
        <f>IF(__Retrofit_TI_NC=1,
VLOOKUP(G281,'Space Table'!$B$3:$L$160,4,FALSE),
IF(__Retrofit_TI_NC=2,VLOOKUP(G281,'Space Table'!$B$3:$L$160,5,FALSE),VLOOKUP(G281,'Space Table'!$B$3:$L$160,5,FALSE)))</f>
        <v>#N/A</v>
      </c>
      <c r="O281" s="509">
        <f>G281</f>
        <v>0</v>
      </c>
      <c r="P281" s="1394" t="s">
        <v>355</v>
      </c>
      <c r="Q281" s="1394"/>
      <c r="R281" s="674"/>
      <c r="S281" s="1401" t="s">
        <v>284</v>
      </c>
      <c r="T281" s="672"/>
      <c r="U281" s="1499"/>
      <c r="V281" s="1500"/>
      <c r="W281" s="1500"/>
      <c r="X281" s="1500"/>
      <c r="Y281" s="1500"/>
      <c r="Z281" s="1500"/>
      <c r="AA281" s="1500"/>
      <c r="AB281" s="1501"/>
      <c r="AC281" s="1501"/>
      <c r="AD281" s="1502"/>
      <c r="AE281" s="672"/>
      <c r="AF281" s="1474"/>
      <c r="AG281" s="1474"/>
      <c r="AH281" s="1474"/>
      <c r="AI281" s="1474"/>
      <c r="AJ281" s="1475">
        <f>DF281</f>
        <v>0</v>
      </c>
      <c r="AK281" s="1470" t="str">
        <f>IFERROR(ROUND(AJ281*AC282,0),"")</f>
        <v/>
      </c>
      <c r="AL281" s="1472">
        <f>IFERROR(IF(HW279=FALSE,0,AC282-AK281),0)</f>
        <v>0</v>
      </c>
      <c r="AM281" s="1441"/>
      <c r="AN281" s="1442"/>
      <c r="AO281" s="1447"/>
      <c r="AP281" s="1447"/>
      <c r="AQ281" s="1448"/>
      <c r="AR281" s="1452"/>
      <c r="AS281" s="1455"/>
      <c r="AT281" s="1458"/>
      <c r="AU281" s="516"/>
      <c r="AV281" s="1479"/>
      <c r="AW281" s="1479"/>
      <c r="BC281" s="38"/>
      <c r="BD281" s="38"/>
      <c r="BE281" s="38"/>
      <c r="BF281" s="38"/>
      <c r="BG281" s="38"/>
      <c r="BH281" s="38"/>
      <c r="BI281" s="38"/>
      <c r="BJ281" s="38"/>
      <c r="BK281" s="38"/>
      <c r="BL281" s="38"/>
      <c r="BM281" s="38"/>
      <c r="BN281" s="38"/>
      <c r="BO281" s="38"/>
      <c r="BP281" s="38"/>
      <c r="BQ281" s="38"/>
      <c r="BR281" s="38"/>
      <c r="BS281" s="38"/>
      <c r="BT281" s="38"/>
      <c r="BU281" s="38"/>
      <c r="BV281" s="38"/>
      <c r="BW281" s="38"/>
      <c r="BX281" s="38"/>
      <c r="BY281" s="38"/>
      <c r="BZ281" s="38"/>
      <c r="CA281" s="38"/>
      <c r="CB281" s="38"/>
      <c r="CC281" s="38"/>
      <c r="CD281" s="38"/>
      <c r="CE281" s="38"/>
      <c r="CF281" s="38"/>
      <c r="CG281" s="38"/>
      <c r="CH281" s="38"/>
      <c r="CI281" s="38"/>
      <c r="CM281" s="1352"/>
      <c r="CN281" s="1352"/>
      <c r="CO281" s="1415" t="str">
        <f>CN279</f>
        <v/>
      </c>
      <c r="CP281" s="1417" t="e">
        <f>CP279</f>
        <v>#N/A</v>
      </c>
      <c r="CR281" s="1386" t="s">
        <v>284</v>
      </c>
      <c r="CS281" s="1353">
        <f>IF(HW279=TRUE,T281,0)</f>
        <v>0</v>
      </c>
      <c r="CT281" s="1353" t="str">
        <f>IF(HW279=TRUE,U281,"")</f>
        <v/>
      </c>
      <c r="CU281" s="1373">
        <f>IF(HW279=TRUE,U282,0)</f>
        <v>0</v>
      </c>
      <c r="CV281" s="1370">
        <f>IF(HW279=TRUE,AB282,0)</f>
        <v>0</v>
      </c>
      <c r="CW281" s="1370">
        <f>IF(HW279=TRUE,AC282,0)</f>
        <v>0</v>
      </c>
      <c r="CX281" s="1371"/>
      <c r="CY281" s="1486"/>
      <c r="CZ281" s="1486"/>
      <c r="DA281" s="1486"/>
      <c r="DC281" s="1353">
        <f>IF(HW279=TRUE,AE281,0)</f>
        <v>0</v>
      </c>
      <c r="DD281" s="1353" t="str">
        <f>IF(HW279=TRUE,AF281,"")</f>
        <v/>
      </c>
      <c r="DE281" s="1373">
        <f>AF282</f>
        <v>0</v>
      </c>
      <c r="DF281" s="1406">
        <f>IFERROR(IF(FL281=3,IK281,IF(FL281=4,IL281,IF(FL281=5,IM281,IF(FL281=6,IN281,IF(FL281=7,IO281,IF(FL281=8,IP281,0)))))),0)</f>
        <v>0</v>
      </c>
      <c r="DG281" s="1370">
        <f>IF(HW279=TRUE,AK281,0)</f>
        <v>0</v>
      </c>
      <c r="DH281" s="1369"/>
      <c r="DK281" s="1483">
        <f>IFERROR(CW281-DG281,0)</f>
        <v>0</v>
      </c>
      <c r="DL281" s="1420"/>
      <c r="DN281" s="1403"/>
      <c r="DO281" s="1477" t="str">
        <f>DN279</f>
        <v/>
      </c>
      <c r="DP281" s="1354"/>
      <c r="DQ281" s="1477" t="str">
        <f>IF(DP279=7,"LLLC","")</f>
        <v/>
      </c>
      <c r="DR281" s="1403"/>
      <c r="DS281" s="1489"/>
      <c r="DU281" s="1403"/>
      <c r="DV281" s="1404" t="str">
        <f>DU279</f>
        <v/>
      </c>
      <c r="DW281" s="1403"/>
      <c r="DX281" s="1403"/>
      <c r="DZ281" s="1481"/>
      <c r="EA281" s="1481"/>
      <c r="EC281" s="1482"/>
      <c r="ED281" s="1369"/>
      <c r="EE281" s="1371"/>
      <c r="EF281" s="1369"/>
      <c r="EG281" s="1369"/>
      <c r="EH281" s="1374"/>
      <c r="EI281" s="1374"/>
      <c r="EJ281" s="1363"/>
      <c r="EK281" s="1376"/>
      <c r="EL281" s="1376"/>
      <c r="EM281" s="1362"/>
      <c r="EN281" s="1362"/>
      <c r="EO281" s="1363"/>
      <c r="EP281" s="1363"/>
      <c r="EQ281" s="1363"/>
      <c r="ES281" s="1403"/>
      <c r="EU281" s="1411" t="e">
        <f>VLOOKUP(CP281,'Space Table'!$B$3:$L$160,8,FALSE)</f>
        <v>#N/A</v>
      </c>
      <c r="EV281" s="1411" t="e">
        <f>IF(EY281="Yes",VLOOKUP(AF281,Lookup_Control_Type_Table2,4,FALSE),VLOOKUP(AF281,Lookup_Control_Type_Table2,3,FALSE))</f>
        <v>#N/A</v>
      </c>
      <c r="EW281" s="1411" t="e">
        <f>VLOOKUP(AF281,Lookup!AU$3:AV$15,2,FALSE)</f>
        <v>#N/A</v>
      </c>
      <c r="EX281" s="1411" t="e">
        <f>VLOOKUP(EU279,Lookup_Control_Type_Table,2,FALSE)</f>
        <v>#N/A</v>
      </c>
      <c r="EY281" s="1411" t="e">
        <f>VLOOKUP(CP281,'Space Table'!$B$3:$L$160,7,FALSE)</f>
        <v>#N/A</v>
      </c>
      <c r="EZ281" s="1413"/>
      <c r="FB281" s="1365" t="str">
        <f>CONCATENATE(CN279," - ",AF281)</f>
        <v xml:space="preserve"> - </v>
      </c>
      <c r="FD281" s="1354"/>
      <c r="FE281" s="1354"/>
      <c r="FF281" s="138"/>
      <c r="FI281" s="1356" t="str">
        <f>IF(CN279="Exterior","Not Daylighted",G282)</f>
        <v>Not Daylighted</v>
      </c>
      <c r="FJ281" s="1356">
        <f>VLOOKUP(FI281,_Daylight_Table_Codes,2,FALSE)</f>
        <v>0</v>
      </c>
      <c r="FK281" s="1365">
        <f>AF281</f>
        <v>0</v>
      </c>
      <c r="FL281" s="1365" t="e">
        <f>VLOOKUP(FK281,_Control_Table,2,FALSE)</f>
        <v>#N/A</v>
      </c>
      <c r="FM281" s="1365" t="e">
        <f>IF(AND(FP281&gt;0,FK281="Occupancy Sensor"),"Daylight + Occupancy",IF(AND(FP281&gt;0,FL281&lt;4),"Interior Daylight Dimming",FK281))</f>
        <v>#N/A</v>
      </c>
      <c r="FO281" s="1364">
        <f>IF(CN279="Interior",VLOOKUP(CP279,Control_Savings_Interior,5,FALSE),0)</f>
        <v>0</v>
      </c>
      <c r="FP281" s="1361">
        <f>IF(CN281="Exterior",0,IF(FJ281=2,0.5,IF(OR(FJ281=1,FJ281=3),1,0)))</f>
        <v>0</v>
      </c>
      <c r="FQ281" s="1366">
        <f>IF(R280&gt;FO$37,(FO281*(FO$37/R280)),FO281)*FP281</f>
        <v>0</v>
      </c>
      <c r="FR281" s="1364">
        <f>DF281</f>
        <v>0</v>
      </c>
      <c r="FS281" s="1364">
        <f>ROUND(FR281+((1-FR281)*FQ281),2)</f>
        <v>0</v>
      </c>
      <c r="FT281" s="1364">
        <f>IF(__Retrofit_TI_NC=2,FS281,FR281)</f>
        <v>0</v>
      </c>
      <c r="FU281" s="1360">
        <f>IF(CO281="Interior",VLOOKUP(CP281,Control_Savings_Interior,4,FALSE),0)</f>
        <v>0</v>
      </c>
      <c r="FW281" s="1352"/>
      <c r="FX281" s="1352"/>
      <c r="FY281" s="1352"/>
      <c r="FZ281" s="1352"/>
      <c r="GA281" s="1352"/>
      <c r="GB281" s="1352"/>
      <c r="GC281" s="1352"/>
      <c r="GD281" s="1352"/>
      <c r="GE281" s="759" t="b">
        <f>IF(ISNUMBER(SEARCH("TLED",U281)),TRUE,FALSE)</f>
        <v>0</v>
      </c>
      <c r="GF281" s="1035" t="str">
        <f>IFERROR(VLOOKUP(U281,Fixtures!DM$93:DR$142,6,FALSE),"")</f>
        <v/>
      </c>
      <c r="GG281" s="1385"/>
      <c r="GI281" s="1383"/>
      <c r="GJ281" s="1379"/>
      <c r="GL281" s="1379"/>
      <c r="GM281" s="1379"/>
      <c r="HC281" s="1379"/>
      <c r="HD281" s="1379"/>
      <c r="HE281" s="1379"/>
      <c r="HF281" s="1379"/>
      <c r="HG281" s="1379"/>
      <c r="HH281" s="1379"/>
      <c r="HI281" s="1383"/>
      <c r="HJ281" s="1383"/>
      <c r="HK281" s="1383"/>
      <c r="HL281" s="1379"/>
      <c r="HM281" s="1379"/>
      <c r="HN281" s="1379"/>
      <c r="HO281" s="1379"/>
      <c r="HP281" s="1379"/>
      <c r="HQ281" s="1379"/>
      <c r="HR281" s="1379"/>
      <c r="HS281" s="1379"/>
      <c r="HT281" s="1379"/>
      <c r="HU281" s="1379"/>
      <c r="HW281" s="1383"/>
      <c r="HX281" s="1384" t="b">
        <f>HW279</f>
        <v>0</v>
      </c>
      <c r="HY281" s="1378"/>
      <c r="HZ281" s="436"/>
      <c r="IA281" s="1386"/>
      <c r="IB281" s="1380">
        <f>IF(IA279=TRUE,AC282,0)</f>
        <v>0</v>
      </c>
      <c r="IC281" s="1379"/>
      <c r="IF281" s="1380" t="e">
        <f>ROUND(T281*AB282*N280*R280/1000,0)</f>
        <v>#VALUE!</v>
      </c>
      <c r="IG281" s="1382"/>
      <c r="IH281" s="1384" t="e">
        <f>ROUND(T281*AB282*N280*R280/1000,0)</f>
        <v>#VALUE!</v>
      </c>
      <c r="II281" s="1382"/>
      <c r="IK281" s="1351" t="e">
        <f>IF($CO281="interior",IL281/2,VLOOKUP($CP281,Control_Savings_Exterior,IK$30,FALSE))</f>
        <v>#N/A</v>
      </c>
      <c r="IL281" s="1351" t="e">
        <f>IF($CO281="interior",VLOOKUP($CP281,Control_Savings_Interior,IL$30,FALSE),VLOOKUP($CP281,Control_Savings_Exterior,IL$30,FALSE))</f>
        <v>#N/A</v>
      </c>
      <c r="IM281" s="1351" t="e">
        <f>IF($CO281="interior",IF(R280&gt;FO$37,(IM$28*(FO$37/R280)),IM$28)*FP281,VLOOKUP($CP281,Control_Savings_Exterior,IM$30,FALSE))</f>
        <v>#N/A</v>
      </c>
      <c r="IN281" s="1351" t="e">
        <f>IF($CO281="interior",ROUND(((1-IL281)*IM281)+IL281,2),VLOOKUP($CP281,Control_Savings_Exterior,IN$30,FALSE))</f>
        <v>#N/A</v>
      </c>
      <c r="IO281" s="1351" t="e">
        <f>IF($CO281="interior", ROUND(((1-IL281)*(IM281*(1-IP$28)))+IP281,2), VLOOKUP($CP281,Control_Savings_Exterior,IO$30,FALSE))</f>
        <v>#N/A</v>
      </c>
      <c r="IP281" s="1351">
        <f>IF($CO281="interior",ROUND(((1-IL281)*IP$28)+IL281,2),0)</f>
        <v>0</v>
      </c>
    </row>
    <row r="282" spans="1:250" s="82" customFormat="1" ht="14.95" customHeight="1" thickTop="1" thickBot="1">
      <c r="B282" s="1421"/>
      <c r="C282" s="1422"/>
      <c r="D282" s="1423"/>
      <c r="E282" s="1462" t="s">
        <v>357</v>
      </c>
      <c r="F282" s="1463"/>
      <c r="G282" s="1464" t="s">
        <v>362</v>
      </c>
      <c r="H282" s="1465"/>
      <c r="I282" s="1465"/>
      <c r="J282" s="1465"/>
      <c r="K282" s="1465"/>
      <c r="L282" s="1466"/>
      <c r="M282" s="669">
        <f>IFERROR(VLOOKUP(G282,_Daylight_Table[],2,FALSE),0)</f>
        <v>0</v>
      </c>
      <c r="N282" s="670"/>
      <c r="O282" s="669" t="e">
        <f>VLOOKUP(G281,'Space Table'!$B$3:$L$160,11,FALSE)</f>
        <v>#N/A</v>
      </c>
      <c r="P282" s="1408"/>
      <c r="Q282" s="1409"/>
      <c r="R282" s="1409"/>
      <c r="S282" s="1402"/>
      <c r="T282" s="671" t="s">
        <v>281</v>
      </c>
      <c r="U282" s="1467" t="str">
        <f>IFERROR(VLOOKUP(U281,Fixtures!DM$93:DP$142,4,FALSE),"")</f>
        <v/>
      </c>
      <c r="V282" s="1468"/>
      <c r="W282" s="1468"/>
      <c r="X282" s="1468"/>
      <c r="Y282" s="1468"/>
      <c r="Z282" s="1468"/>
      <c r="AA282" s="1468"/>
      <c r="AB282" s="1046" t="str">
        <f>IFERROR(VLOOKUP(U281,Fixtures_Proposed_List,2,FALSE),"")</f>
        <v/>
      </c>
      <c r="AC282" s="1036" t="str">
        <f>IFERROR(ROUND(T281*AB282*N280*R280/1000,0),"")</f>
        <v/>
      </c>
      <c r="AD282" s="1037" t="str">
        <f>IFERROR(ROUND(T281*AB282/1000,2),"")</f>
        <v/>
      </c>
      <c r="AE282" s="1045" t="s">
        <v>281</v>
      </c>
      <c r="AF282" s="1469"/>
      <c r="AG282" s="1469"/>
      <c r="AH282" s="1469"/>
      <c r="AI282" s="1469"/>
      <c r="AJ282" s="1476"/>
      <c r="AK282" s="1471"/>
      <c r="AL282" s="1473"/>
      <c r="AM282" s="1443"/>
      <c r="AN282" s="1444"/>
      <c r="AO282" s="1449"/>
      <c r="AP282" s="1449"/>
      <c r="AQ282" s="1450"/>
      <c r="AR282" s="1453"/>
      <c r="AS282" s="1456"/>
      <c r="AT282" s="1459"/>
      <c r="AU282" s="517"/>
      <c r="AV282" s="1480"/>
      <c r="AW282" s="1480"/>
      <c r="BC282" s="38"/>
      <c r="BD282" s="38"/>
      <c r="BE282" s="38"/>
      <c r="BF282" s="38"/>
      <c r="BG282" s="38"/>
      <c r="BH282" s="38"/>
      <c r="BI282" s="38"/>
      <c r="BJ282" s="38"/>
      <c r="BK282" s="38"/>
      <c r="BL282" s="38"/>
      <c r="BM282" s="38"/>
      <c r="BN282" s="38"/>
      <c r="BO282" s="38"/>
      <c r="BP282" s="38"/>
      <c r="BQ282" s="38"/>
      <c r="BR282" s="38"/>
      <c r="BS282" s="38"/>
      <c r="BT282" s="38"/>
      <c r="BU282" s="38"/>
      <c r="BV282" s="38"/>
      <c r="BW282" s="38"/>
      <c r="BX282" s="38"/>
      <c r="BY282" s="38"/>
      <c r="BZ282" s="38"/>
      <c r="CA282" s="38"/>
      <c r="CB282" s="38"/>
      <c r="CC282" s="38"/>
      <c r="CD282" s="38"/>
      <c r="CE282" s="38"/>
      <c r="CF282" s="38"/>
      <c r="CG282" s="38"/>
      <c r="CH282" s="38"/>
      <c r="CI282" s="38"/>
      <c r="CM282" s="1352"/>
      <c r="CN282" s="1352"/>
      <c r="CO282" s="1416"/>
      <c r="CP282" s="1418"/>
      <c r="CR282" s="1386"/>
      <c r="CS282" s="1355"/>
      <c r="CT282" s="1355"/>
      <c r="CU282" s="1375"/>
      <c r="CV282" s="1372"/>
      <c r="CW282" s="1372"/>
      <c r="CX282" s="1372"/>
      <c r="CY282" s="1487"/>
      <c r="CZ282" s="1487"/>
      <c r="DA282" s="1487"/>
      <c r="DC282" s="1355"/>
      <c r="DD282" s="1355"/>
      <c r="DE282" s="1375"/>
      <c r="DF282" s="1407"/>
      <c r="DG282" s="1372"/>
      <c r="DH282" s="1369"/>
      <c r="DK282" s="1484"/>
      <c r="DL282" s="1420"/>
      <c r="DN282" s="1403"/>
      <c r="DO282" s="1405"/>
      <c r="DP282" s="1355"/>
      <c r="DQ282" s="1405"/>
      <c r="DR282" s="1403"/>
      <c r="DS282" s="1489"/>
      <c r="DU282" s="1403"/>
      <c r="DV282" s="1405"/>
      <c r="DW282" s="1403"/>
      <c r="DX282" s="1403"/>
      <c r="DZ282" s="1481"/>
      <c r="EA282" s="1481"/>
      <c r="EC282" s="1482"/>
      <c r="ED282" s="1369"/>
      <c r="EE282" s="1372"/>
      <c r="EF282" s="1369"/>
      <c r="EG282" s="1369"/>
      <c r="EH282" s="1375"/>
      <c r="EI282" s="1375"/>
      <c r="EJ282" s="1363"/>
      <c r="EK282" s="1376"/>
      <c r="EL282" s="1376"/>
      <c r="EM282" s="1362"/>
      <c r="EN282" s="1362"/>
      <c r="EO282" s="1363"/>
      <c r="EP282" s="1363"/>
      <c r="EQ282" s="1363"/>
      <c r="ES282" s="1403"/>
      <c r="EU282" s="1488"/>
      <c r="EV282" s="1488"/>
      <c r="EW282" s="1488"/>
      <c r="EX282" s="1488"/>
      <c r="EY282" s="1488"/>
      <c r="EZ282" s="1414"/>
      <c r="FB282" s="1365"/>
      <c r="FD282" s="1355"/>
      <c r="FE282" s="1355"/>
      <c r="FF282" s="138"/>
      <c r="FI282" s="1357"/>
      <c r="FJ282" s="1357"/>
      <c r="FK282" s="1365"/>
      <c r="FL282" s="1365"/>
      <c r="FM282" s="1365"/>
      <c r="FO282" s="1361"/>
      <c r="FP282" s="1361"/>
      <c r="FQ282" s="1366"/>
      <c r="FR282" s="1361"/>
      <c r="FS282" s="1361"/>
      <c r="FT282" s="1361"/>
      <c r="FU282" s="1360"/>
      <c r="FW282" s="1352"/>
      <c r="FX282" s="1352"/>
      <c r="FY282" s="1352"/>
      <c r="FZ282" s="1352"/>
      <c r="GA282" s="1352"/>
      <c r="GB282" s="1352"/>
      <c r="GC282" s="1352"/>
      <c r="GD282" s="1352"/>
      <c r="GE282" s="759"/>
      <c r="GF282" s="1035"/>
      <c r="GG282" s="1385"/>
      <c r="GJ282" s="1034">
        <f>IF(GJ280=TRUE,0,GJ$16)</f>
        <v>0</v>
      </c>
      <c r="GL282" s="1034">
        <f>IF(GL280=TRUE,0,GL$16)</f>
        <v>36</v>
      </c>
      <c r="GM282" s="1034">
        <f>IF(GM280=TRUE,0,GM$16)</f>
        <v>35</v>
      </c>
      <c r="GN282" s="436"/>
      <c r="GO282" s="436"/>
      <c r="GP282" s="436"/>
      <c r="GQ282" s="436"/>
      <c r="GR282" s="436"/>
      <c r="HC282" s="1034">
        <f t="shared" ref="HC282:HH282" si="198">IF(HC280=TRUE,0,HC$16)</f>
        <v>19</v>
      </c>
      <c r="HD282" s="1034">
        <f t="shared" si="198"/>
        <v>18</v>
      </c>
      <c r="HE282" s="1034">
        <f t="shared" si="198"/>
        <v>17</v>
      </c>
      <c r="HF282" s="1034">
        <f t="shared" si="198"/>
        <v>16</v>
      </c>
      <c r="HG282" s="1034">
        <f t="shared" si="198"/>
        <v>0</v>
      </c>
      <c r="HH282" s="1034">
        <f t="shared" si="198"/>
        <v>0</v>
      </c>
      <c r="HI282" s="1034">
        <f>IF(HI280=TRUE,0,HI$16)</f>
        <v>13</v>
      </c>
      <c r="HJ282" s="1034">
        <f t="shared" ref="HJ282:HL282" si="199">IF(HJ280=TRUE,0,HJ$16)</f>
        <v>12</v>
      </c>
      <c r="HK282" s="1034">
        <f t="shared" si="199"/>
        <v>11</v>
      </c>
      <c r="HL282" s="1034">
        <f t="shared" si="199"/>
        <v>10</v>
      </c>
      <c r="HM282" s="1034">
        <f>IF(HM280=TRUE,0,HM$16)</f>
        <v>9</v>
      </c>
      <c r="HN282" s="1034">
        <f t="shared" ref="HN282:HR282" si="200">IF(HN280=TRUE,0,HN$16)</f>
        <v>0</v>
      </c>
      <c r="HO282" s="1034">
        <f t="shared" si="200"/>
        <v>0</v>
      </c>
      <c r="HP282" s="1034">
        <f t="shared" si="200"/>
        <v>0</v>
      </c>
      <c r="HQ282" s="1034">
        <f t="shared" si="200"/>
        <v>0</v>
      </c>
      <c r="HR282" s="1034">
        <f t="shared" si="200"/>
        <v>0</v>
      </c>
      <c r="HS282" s="1034">
        <f>IF(HS280=TRUE,0,HS$16)</f>
        <v>0</v>
      </c>
      <c r="HT282" s="1034">
        <f t="shared" ref="HT282" si="201">IF(HT280=TRUE,0,HT$16)</f>
        <v>0</v>
      </c>
      <c r="HU282" s="1034">
        <f>IF(HU280=TRUE,0,HU$16)</f>
        <v>1</v>
      </c>
      <c r="HW282" s="1034">
        <f>IF(GL280=FALSE,GL282,IF(GM280=FALSE,GM282,MAX(GJ282:HU282)))</f>
        <v>36</v>
      </c>
      <c r="HX282" s="1383"/>
      <c r="HY282" s="241" t="str">
        <f>VLOOKUP(HW282,_Error_Table,3,FALSE)</f>
        <v xml:space="preserve"> </v>
      </c>
      <c r="HZ282" s="241"/>
      <c r="IA282" s="1386"/>
      <c r="IB282" s="1380"/>
      <c r="IC282" s="1379"/>
      <c r="IF282" s="1380"/>
      <c r="IG282" s="1383"/>
      <c r="IH282" s="1383"/>
      <c r="II282" s="1383"/>
      <c r="IK282" s="1351"/>
      <c r="IL282" s="1351"/>
      <c r="IM282" s="1351"/>
      <c r="IN282" s="1351"/>
      <c r="IO282" s="1351"/>
      <c r="IP282" s="1351"/>
    </row>
    <row r="283" spans="1:250" s="82" customFormat="1" ht="5.0999999999999996" customHeight="1" thickBot="1">
      <c r="B283" s="763"/>
      <c r="C283" s="1038"/>
      <c r="D283" s="1038"/>
      <c r="E283" s="1490"/>
      <c r="F283" s="1490"/>
      <c r="G283" s="1490"/>
      <c r="H283" s="1490"/>
      <c r="I283" s="1490"/>
      <c r="J283" s="1490"/>
      <c r="K283" s="1490"/>
      <c r="L283" s="1490"/>
      <c r="M283" s="1490"/>
      <c r="N283" s="1490"/>
      <c r="O283" s="1490"/>
      <c r="P283" s="1490"/>
      <c r="Q283" s="1490"/>
      <c r="R283" s="1490"/>
      <c r="S283" s="1490"/>
      <c r="T283" s="1490"/>
      <c r="U283" s="1490"/>
      <c r="V283" s="1490"/>
      <c r="W283" s="1490"/>
      <c r="X283" s="1490"/>
      <c r="Y283" s="1490"/>
      <c r="Z283" s="1490"/>
      <c r="AA283" s="1490"/>
      <c r="AB283" s="1490"/>
      <c r="AC283" s="1490"/>
      <c r="AD283" s="1490"/>
      <c r="AE283" s="1490"/>
      <c r="AF283" s="1490"/>
      <c r="AG283" s="1490"/>
      <c r="AH283" s="1490"/>
      <c r="AI283" s="1490"/>
      <c r="AJ283" s="1490"/>
      <c r="AK283" s="1490"/>
      <c r="AL283" s="1490"/>
      <c r="AM283" s="1490"/>
      <c r="AN283" s="1490"/>
      <c r="AO283" s="1490"/>
      <c r="AP283" s="1490"/>
      <c r="AQ283" s="1490"/>
      <c r="AR283" s="1490"/>
      <c r="AS283" s="1490"/>
      <c r="AT283" s="1490"/>
      <c r="AU283" s="1041"/>
      <c r="BC283" s="38"/>
      <c r="BD283" s="38"/>
      <c r="BE283" s="38"/>
      <c r="BF283" s="38"/>
      <c r="BG283" s="38"/>
      <c r="BH283" s="38"/>
      <c r="BI283" s="38"/>
      <c r="BJ283" s="38"/>
      <c r="BK283" s="38"/>
      <c r="BL283" s="38"/>
      <c r="BM283" s="38"/>
      <c r="BN283" s="38"/>
      <c r="BO283" s="38"/>
      <c r="BP283" s="38"/>
      <c r="BQ283" s="38"/>
      <c r="BR283" s="38"/>
      <c r="BS283" s="38"/>
      <c r="BT283" s="38"/>
      <c r="BU283" s="38"/>
      <c r="BV283" s="38"/>
      <c r="BW283" s="38"/>
      <c r="BX283" s="38"/>
      <c r="BY283" s="38"/>
      <c r="BZ283" s="38"/>
      <c r="CA283" s="38"/>
      <c r="CB283" s="38"/>
      <c r="CC283" s="38"/>
      <c r="CD283" s="38"/>
      <c r="CE283" s="38"/>
      <c r="CF283" s="38"/>
      <c r="CG283" s="38"/>
      <c r="CH283" s="38"/>
      <c r="CI283" s="38"/>
      <c r="CM283" s="749"/>
      <c r="CN283" s="749"/>
      <c r="CO283" s="1043"/>
      <c r="CP283" s="749"/>
      <c r="CS283" s="436"/>
      <c r="CT283" s="436"/>
      <c r="CU283" s="243"/>
      <c r="CV283" s="244"/>
      <c r="CW283" s="244"/>
      <c r="CX283" s="244"/>
      <c r="CY283" s="245"/>
      <c r="CZ283" s="245"/>
      <c r="DA283" s="245"/>
      <c r="DC283" s="750"/>
      <c r="DD283" s="751"/>
      <c r="DE283" s="752"/>
      <c r="DF283" s="753"/>
      <c r="DG283" s="754"/>
      <c r="DH283" s="754"/>
      <c r="DK283" s="244"/>
      <c r="DL283" s="750"/>
      <c r="DN283" s="750"/>
      <c r="DO283" s="755"/>
      <c r="DP283" s="436"/>
      <c r="DQ283" s="750"/>
      <c r="DR283" s="750"/>
      <c r="DS283" s="750"/>
      <c r="DU283" s="750"/>
      <c r="DV283" s="750"/>
      <c r="DW283" s="750"/>
      <c r="DX283" s="750"/>
      <c r="DZ283" s="756"/>
      <c r="EA283" s="756"/>
      <c r="EC283" s="754"/>
      <c r="ED283" s="754"/>
      <c r="EE283" s="244"/>
      <c r="EF283" s="754"/>
      <c r="EG283" s="754"/>
      <c r="EH283" s="243"/>
      <c r="EI283" s="243"/>
      <c r="EJ283" s="752"/>
      <c r="EK283" s="757"/>
      <c r="EL283" s="757"/>
      <c r="EM283" s="758"/>
      <c r="EN283" s="758"/>
      <c r="EO283" s="752"/>
      <c r="EP283" s="752"/>
      <c r="EQ283" s="752"/>
      <c r="ES283" s="750"/>
      <c r="EU283" s="436"/>
      <c r="EV283" s="436"/>
      <c r="EW283" s="436"/>
      <c r="EX283" s="436"/>
      <c r="EY283" s="436"/>
      <c r="EZ283" s="436"/>
      <c r="FB283" s="643"/>
      <c r="FD283" s="436"/>
      <c r="FE283" s="436"/>
      <c r="FF283" s="436"/>
      <c r="FO283" s="750"/>
      <c r="FP283" s="436"/>
      <c r="FQ283" s="436"/>
      <c r="FR283" s="750"/>
      <c r="FS283" s="750"/>
      <c r="FW283" s="749"/>
      <c r="FX283" s="749"/>
      <c r="FY283" s="749"/>
      <c r="FZ283" s="749"/>
      <c r="GA283" s="749"/>
      <c r="GB283" s="749"/>
      <c r="GC283" s="749"/>
      <c r="GD283" s="749"/>
      <c r="GE283" s="751"/>
      <c r="GF283" s="750"/>
      <c r="GG283" s="750"/>
    </row>
    <row r="284" spans="1:250" s="82" customFormat="1" ht="14.95" customHeight="1" thickTop="1" thickBot="1">
      <c r="B284" s="1421" t="str">
        <f>HY287</f>
        <v xml:space="preserve"> </v>
      </c>
      <c r="C284" s="1422">
        <f>C279+1</f>
        <v>48</v>
      </c>
      <c r="D284" s="1423"/>
      <c r="E284" s="1424" t="s">
        <v>242</v>
      </c>
      <c r="F284" s="1425"/>
      <c r="G284" s="1426"/>
      <c r="H284" s="1427"/>
      <c r="I284" s="1427"/>
      <c r="J284" s="1427"/>
      <c r="K284" s="1427"/>
      <c r="L284" s="1427"/>
      <c r="M284" s="1427"/>
      <c r="N284" s="1427"/>
      <c r="O284" s="1427"/>
      <c r="P284" s="1427"/>
      <c r="Q284" s="1427"/>
      <c r="R284" s="1427"/>
      <c r="S284" s="1428" t="s">
        <v>283</v>
      </c>
      <c r="T284" s="668" t="s">
        <v>190</v>
      </c>
      <c r="U284" s="1430" t="s">
        <v>186</v>
      </c>
      <c r="V284" s="1431"/>
      <c r="W284" s="1431"/>
      <c r="X284" s="1431"/>
      <c r="Y284" s="1431"/>
      <c r="Z284" s="1431"/>
      <c r="AA284" s="1431"/>
      <c r="AB284" s="1088" t="str">
        <f>IFERROR(IF(__Retrofit_TI_NC=0,VLOOKUP(U285,Fixtures_Existing_List,2,FALSE),ROUND(N286*R286/T286,10)),"")</f>
        <v/>
      </c>
      <c r="AC284" s="1039" t="str">
        <f>IFERROR(IF(__Retrofit_TI_NC=0,ROUND(T285*AB284*N285*R285/1000,0),IF(CN284="Interior",N286*R286*R285*N285*_C406_reduction/1000,N286*R286*R285*N285/1000)),"")</f>
        <v/>
      </c>
      <c r="AD284" s="1040" t="str">
        <f>IFERROR(IF(C$36=0,ROUND(T285*AB284/1000,2),N286*R286/1000),"")</f>
        <v/>
      </c>
      <c r="AE284" s="1044" t="s">
        <v>190</v>
      </c>
      <c r="AF284" s="1432" t="str">
        <f>IF(__Retrofit_TI_NC=2,CONCATENATE("Code min = ",DD284),IF(__Retrofit_TI_NC=1,"Emter what you think the existing control was"," Control"))</f>
        <v xml:space="preserve"> Control</v>
      </c>
      <c r="AG284" s="1432"/>
      <c r="AH284" s="1432"/>
      <c r="AI284" s="1432"/>
      <c r="AJ284" s="1433">
        <f>DF284</f>
        <v>0</v>
      </c>
      <c r="AK284" s="1435" t="str">
        <f>IFERROR(ROUND(AJ284*AC284,0),"")</f>
        <v/>
      </c>
      <c r="AL284" s="1437">
        <f>IFERROR(IF(HW284=FALSE,0,AC284-AK284),0)</f>
        <v>0</v>
      </c>
      <c r="AM284" s="1439">
        <f>AL284-AL286</f>
        <v>0</v>
      </c>
      <c r="AN284" s="1440"/>
      <c r="AO284" s="1445">
        <f>IFERROR(IF(HW284=FALSE,0,(T286*U287)+(AE286*AF287)),0)</f>
        <v>0</v>
      </c>
      <c r="AP284" s="1445"/>
      <c r="AQ284" s="1446"/>
      <c r="AR284" s="1451" t="s">
        <v>157</v>
      </c>
      <c r="AS284" s="1454">
        <f>IF(AR284="Yes",1,0)</f>
        <v>1</v>
      </c>
      <c r="AT284" s="1457" t="str">
        <f>IF(OR(DN284=4,DN284=5,DN284=6,DN284=12),CONCATENATE("$",IF(GD284=TRUE,Lookup!$B$11,Lookup!$B$2)," /lamp"),CONCATENATE(EA284,"/ kWh"))</f>
        <v>0/ kWh</v>
      </c>
      <c r="AU284" s="516"/>
      <c r="AV284" s="1478">
        <f>IFERROR(IF(GI285=TRUE,(AB287*T286)/R286,0),"NA")</f>
        <v>0</v>
      </c>
      <c r="AW284" s="1478" t="str">
        <f>IFERROR(N286*_C406_reduction,"NA")</f>
        <v>NA</v>
      </c>
      <c r="BC284" s="38"/>
      <c r="BD284" s="38"/>
      <c r="BE284" s="38"/>
      <c r="BF284" s="38"/>
      <c r="BG284" s="38"/>
      <c r="BH284" s="38"/>
      <c r="BI284" s="38"/>
      <c r="BJ284" s="38"/>
      <c r="BK284" s="38"/>
      <c r="BL284" s="38"/>
      <c r="BM284" s="38"/>
      <c r="BN284" s="38"/>
      <c r="BO284" s="38"/>
      <c r="BP284" s="38"/>
      <c r="BQ284" s="38"/>
      <c r="BR284" s="38"/>
      <c r="BS284" s="38"/>
      <c r="BT284" s="38"/>
      <c r="BU284" s="38"/>
      <c r="BV284" s="38"/>
      <c r="BW284" s="38"/>
      <c r="BX284" s="38"/>
      <c r="BY284" s="38"/>
      <c r="BZ284" s="38"/>
      <c r="CA284" s="38"/>
      <c r="CB284" s="38"/>
      <c r="CC284" s="38"/>
      <c r="CD284" s="38"/>
      <c r="CE284" s="38"/>
      <c r="CF284" s="38"/>
      <c r="CG284" s="38"/>
      <c r="CH284" s="38"/>
      <c r="CI284" s="38"/>
      <c r="CM284" s="1352" t="str">
        <f>N285</f>
        <v/>
      </c>
      <c r="CN284" s="1352" t="str">
        <f>IFERROR(VLOOKUP(G285,_Lookup_Heat_Type_Table_New,3,FALSE),"")</f>
        <v/>
      </c>
      <c r="CO284" s="1415" t="str">
        <f>CN284</f>
        <v/>
      </c>
      <c r="CP284" s="1417" t="e">
        <f>VLOOKUP(G286,'Space Table'!$B$3:$L$160,9,FALSE)</f>
        <v>#N/A</v>
      </c>
      <c r="CR284" s="1386" t="s">
        <v>283</v>
      </c>
      <c r="CS284" s="1353">
        <f>IF(HW284=TRUE,T285,0)</f>
        <v>0</v>
      </c>
      <c r="CT284" s="1353" t="str">
        <f>IF(HW284=TRUE,U285,"")</f>
        <v/>
      </c>
      <c r="CU284" s="1353"/>
      <c r="CV284" s="1370">
        <f>IF(HW284=TRUE,AB284,0)</f>
        <v>0</v>
      </c>
      <c r="CW284" s="1370">
        <f>IF(HW284=TRUE,AC284,0)</f>
        <v>0</v>
      </c>
      <c r="CX284" s="1370">
        <f>IFERROR(IF(HW284=TRUE,CW284-CW286,0),0)</f>
        <v>0</v>
      </c>
      <c r="CY284" s="1485">
        <f>IF(HW284=TRUE,AD284,0)</f>
        <v>0</v>
      </c>
      <c r="CZ284" s="1485">
        <f>IF(HW284=TRUE,AD287,0)</f>
        <v>0</v>
      </c>
      <c r="DA284" s="1485">
        <f>IFERROR(CY284-CZ284,0)</f>
        <v>0</v>
      </c>
      <c r="DC284" s="1353">
        <f>IF(HW284=TRUE,AE285,0)</f>
        <v>0</v>
      </c>
      <c r="DD284" s="1460">
        <f>IF(__Retrofit_TI_NC=2,IF(CN284="Exterior",O287,FM284),FK284)</f>
        <v>0</v>
      </c>
      <c r="DE284" s="1353"/>
      <c r="DF284" s="1406">
        <f>IFERROR(IF(FL284=3,IK284,IF(FL284=4,IL284,IF(FL284=5,IM284,IF(FL284=6,IN284,IF(FL284=7,IO284,IF(FL284=8,IP284,0)))))),0)</f>
        <v>0</v>
      </c>
      <c r="DG284" s="1370">
        <f>IF(HW284=TRUE,AK284,0)</f>
        <v>0</v>
      </c>
      <c r="DH284" s="1369">
        <f>IFERROR(IF(HW284=TRUE,DG286-DG284,0),0)</f>
        <v>0</v>
      </c>
      <c r="DJ284" s="1483">
        <f>IFERROR(CW284-DG284,0)</f>
        <v>0</v>
      </c>
      <c r="DL284" s="1419">
        <f>DJ284-DK286</f>
        <v>0</v>
      </c>
      <c r="DN284" s="1403" t="str">
        <f>IFERROR(IF(AND(OR(FY284=4,FY284=5,FY284=6),OR(GB284=4,GB284=5,GB284=6)),FY284+8,VLOOKUP(CT286,Fixtures!R$31:Y$78,8,FALSE)),"")</f>
        <v/>
      </c>
      <c r="DO284" s="1404" t="str">
        <f>DN284</f>
        <v/>
      </c>
      <c r="DP284" s="1353" t="str">
        <f>IFERROR(VLOOKUP(DD286,Lookup!AU$3:AV$15,2,FALSE),"")</f>
        <v/>
      </c>
      <c r="DQ284" s="1404" t="str">
        <f>IF(DP284=7,"LLLC","")</f>
        <v/>
      </c>
      <c r="DR284" s="1403">
        <f>IFERROR(IF(OR(DN284=4,DN284=5,DN284=6,DN284=12,DN284=13,DN284=14),VLOOKUP(CT286,Fixtures!DN$27:EG$77,19,FALSE),1)*CS286,0)</f>
        <v>0</v>
      </c>
      <c r="DS284" s="1489">
        <f>IF(DP284=7,IF(DD284=DD286,0,DC286),0)</f>
        <v>0</v>
      </c>
      <c r="DU284" s="1403" t="str">
        <f>IFERROR(IF(EW284&lt;EW286,"Yes","No"),"")</f>
        <v/>
      </c>
      <c r="DV284" s="1404" t="str">
        <f>DU284</f>
        <v/>
      </c>
      <c r="DW284" s="1403">
        <f>IF(DU284="Yes",DC286,0)</f>
        <v>0</v>
      </c>
      <c r="DX284" s="1403">
        <f>DW284-DS284</f>
        <v>0</v>
      </c>
      <c r="DZ284" s="1481">
        <f>IFERROR(VLOOKUP(DN284,Lookup!AN$3:AO$16,2,FALSE),0)</f>
        <v>0</v>
      </c>
      <c r="EA284" s="1481">
        <f>IF(HW284=FALSE,0,IF(DU284="Yes",DZ284+Lookup!B$6,DZ284))</f>
        <v>0</v>
      </c>
      <c r="EC284" s="1482">
        <f>IF(HW284=TRUE,DJ284,0)</f>
        <v>0</v>
      </c>
      <c r="ED284" s="1369">
        <f>IF(HW284=TRUE,CW286,0)</f>
        <v>0</v>
      </c>
      <c r="EE284" s="1370">
        <f>IFERROR(EC284-ED284,0)</f>
        <v>0</v>
      </c>
      <c r="EF284" s="1369">
        <f>IF(HW284=TRUE,DG286,0)</f>
        <v>0</v>
      </c>
      <c r="EG284" s="1369">
        <f>IFERROR(EC284-ED284+EF284,0)</f>
        <v>0</v>
      </c>
      <c r="EH284" s="1373">
        <f>IF(HW284=TRUE,CS286*CU286,0)</f>
        <v>0</v>
      </c>
      <c r="EI284" s="1373">
        <f>IF(HW284=TRUE,DC286*DE286,0)</f>
        <v>0</v>
      </c>
      <c r="EJ284" s="1363">
        <f>AO284</f>
        <v>0</v>
      </c>
      <c r="EK284" s="1376" t="str">
        <f>IFERROR(IF(HW284=TRUE,VLOOKUP(DN284,Lookup!AN$3:AP$16,3,FALSE)*DR284,""),0)</f>
        <v/>
      </c>
      <c r="EL284" s="1376">
        <f>IF(HW284=TRUE,DW284*Lookup!AP$12,0)</f>
        <v>0</v>
      </c>
      <c r="EM284" s="1362">
        <f>IFERROR(IF(HW284=TRUE,EK284/EM$33,0),0)</f>
        <v>0</v>
      </c>
      <c r="EN284" s="1362">
        <f>IF(HW284=TRUE,EL284/EN$33,0)</f>
        <v>0</v>
      </c>
      <c r="EO284" s="1363">
        <f>IF(HW284=TRUE,EQ$33*EM284,0)</f>
        <v>0</v>
      </c>
      <c r="EP284" s="1363">
        <f>IF(HW284=TRUE,EQ$33*EN284,0)</f>
        <v>0</v>
      </c>
      <c r="EQ284" s="1363">
        <f>EO284+EP284</f>
        <v>0</v>
      </c>
      <c r="ES284" s="1403">
        <f>IF(G284="",0,1)</f>
        <v>0</v>
      </c>
      <c r="EU284" s="1410" t="e">
        <f>VLOOKUP(CP286,'Space Table'!$B$3:$L$160,8,FALSE)</f>
        <v>#N/A</v>
      </c>
      <c r="EV284" s="1410" t="e">
        <f>IF(EY284="Yes",VLOOKUP(DD284,Lookup_Control_Type_Table2,4,FALSE),VLOOKUP(DD284,Lookup_Control_Type_Table2,3,FALSE))</f>
        <v>#N/A</v>
      </c>
      <c r="EW284" s="1410" t="e">
        <f>VLOOKUP(DD284,Lookup!AU$3:AV$15,2,FALSE)</f>
        <v>#N/A</v>
      </c>
      <c r="EX284" s="1410" t="e">
        <f>VLOOKUP(EU284,Lookup_Control_Type_Table,2,FALSE)</f>
        <v>#N/A</v>
      </c>
      <c r="EY284" s="1410" t="e">
        <f>VLOOKUP(CP286,'Space Table'!$B$3:$L$160,7,FALSE)</f>
        <v>#N/A</v>
      </c>
      <c r="EZ284" s="1412" t="b">
        <f>ISNUMBER(SEARCH("TLED",U286))</f>
        <v>0</v>
      </c>
      <c r="FB284" s="1365" t="str">
        <f>CONCATENATE(CN284," - ",DD284)</f>
        <v xml:space="preserve"> - 0</v>
      </c>
      <c r="FD284" s="1353" t="str">
        <f>VLOOKUP(CT286,Fixtures!DN$27:EZ$77,38,FALSE)</f>
        <v/>
      </c>
      <c r="FE284" s="1353">
        <f>IFERROR(FD284*EE284,0)</f>
        <v>0</v>
      </c>
      <c r="FF284" s="138"/>
      <c r="FI284" s="1356" t="str">
        <f>IF(CN284="Exterior","Not Daylighted",G287)</f>
        <v>Not Daylighted</v>
      </c>
      <c r="FJ284" s="1356">
        <f>VLOOKUP(FI284,_Daylight_Table_Codes,2,FALSE)</f>
        <v>0</v>
      </c>
      <c r="FK284" s="1365">
        <f>IF(__Retrofit_TI_NC=2,VLOOKUP(G286,'Space Table'!$B$3:$L$160,11,FALSE),AF285)</f>
        <v>0</v>
      </c>
      <c r="FL284" s="1365" t="e">
        <f>VLOOKUP(FK284,_Control_Table,2,FALSE)</f>
        <v>#N/A</v>
      </c>
      <c r="FM284" s="1365" t="e">
        <f>IF(AND(FP284&gt;0,FK284="Occupancy Sensor"),"Daylight + Occupancy",IF(AND(FP284&gt;0,FL284&lt;4),"Interior Daylight Dimming",FK284))</f>
        <v>#N/A</v>
      </c>
      <c r="FO284" s="1364">
        <f>IF(CO284="Interior",VLOOKUP(CP284,Control_Savings_Interior,5,FALSE),0)</f>
        <v>0</v>
      </c>
      <c r="FP284" s="1361">
        <f>IF(CN284="Exterior",0,IF(FJ284=2,0.5,IF(OR(FJ284=1,FJ284=3),1,0)))</f>
        <v>0</v>
      </c>
      <c r="FQ284" s="1366"/>
      <c r="FR284" s="1367"/>
      <c r="FS284" s="1364"/>
      <c r="FT284" s="1367"/>
      <c r="FU284" s="1360"/>
      <c r="FW284" s="1352" t="str">
        <f>IFERROR(VLOOKUP(U285,_Exist_Fixture_Table,3,FALSE),"")</f>
        <v/>
      </c>
      <c r="FX284" s="1352" t="str">
        <f>VLOOKUP(CT284,_Exist_Fixture_Table,4,FALSE)</f>
        <v/>
      </c>
      <c r="FY284" s="1352">
        <f>IFERROR(VLOOKUP(FX284,Lookup!AM$6:AN$8,2,FALSE),0)</f>
        <v>0</v>
      </c>
      <c r="FZ284" s="1352" t="b">
        <f>IFERROR(IF(OR(GB284=4,GB284=5,GB284=6),TRUE,FALSE),"")</f>
        <v>0</v>
      </c>
      <c r="GA284" s="1352" t="str">
        <f>IFERROR(VLOOKUP(GB284,FY$6:FZ$10,2,FALSE),"")</f>
        <v/>
      </c>
      <c r="GB284" s="1352" t="str">
        <f>VLOOKUP(CT286,Fixtures!R$31:Y$78,8,FALSE)</f>
        <v/>
      </c>
      <c r="GC284" s="1352">
        <f>IF(AND(FW284=TRUE,FZ284=TRUE,OR(DN284=12,DN284=13,DN284=14)),FY284+8,0)</f>
        <v>0</v>
      </c>
      <c r="GD284" s="1352" t="b">
        <f>IF(OR(GC284=12,GC284=13,GC284=14),TRUE,FALSE)</f>
        <v>0</v>
      </c>
      <c r="GE284" s="759" t="b">
        <f>IF(ISNUMBER(SEARCH("TLED",U285)),TRUE,FALSE)</f>
        <v>0</v>
      </c>
      <c r="GF284" s="1035" t="str">
        <f>IFERROR(VLOOKUP(U285,Fixtures!BM$93:BR$142,6,FALSE),"")</f>
        <v/>
      </c>
      <c r="GG284" s="1385" t="b">
        <f>IF(OR(GE284=FALSE,GE286=FALSE),TRUE,IF(GF284-GF286&lt;5,FALSE,TRUE))</f>
        <v>1</v>
      </c>
      <c r="GK284" s="1034">
        <f>GL284</f>
        <v>0</v>
      </c>
      <c r="GL284" s="1034">
        <f>IF(G284="",0,1)</f>
        <v>0</v>
      </c>
      <c r="GM284" s="1034">
        <f>SUM(GN284:HB284)</f>
        <v>2</v>
      </c>
      <c r="GN284" s="1034">
        <f>IF(G285="",0,1)</f>
        <v>0</v>
      </c>
      <c r="GO284" s="1034">
        <f>IF(G286="",0,1)</f>
        <v>0</v>
      </c>
      <c r="GP284" s="1034">
        <f>IF(R285="",0,1)</f>
        <v>0</v>
      </c>
      <c r="GQ284" s="1034">
        <f>IF(__Retrofit_TI_NC=0,1,IF(R286="",0,1))</f>
        <v>1</v>
      </c>
      <c r="GR284" s="1034">
        <f>IF(CN284="Exterior",1,IF(G287="",0,1))</f>
        <v>1</v>
      </c>
      <c r="GS284" s="1034">
        <f>IF(__Retrofit_TI_NC&lt;&gt;0,1,IF(T285="",0,1))</f>
        <v>0</v>
      </c>
      <c r="GT284" s="1034">
        <f>IF(__Retrofit_TI_NC&lt;&gt;0,1,IF(U285="",0,1))</f>
        <v>0</v>
      </c>
      <c r="GU284" s="1034">
        <f>IF(T286="",0,1)</f>
        <v>0</v>
      </c>
      <c r="GV284" s="1034">
        <f>IF(U286="",0,1)</f>
        <v>0</v>
      </c>
      <c r="GW284" s="1034">
        <f>IF(__Retrofit_TI_NC=2,1,IF(U287="",0,1))</f>
        <v>0</v>
      </c>
      <c r="GX284" s="1034">
        <f>IF(__Retrofit_TI_NC&lt;&gt;0,1,IF(AE285="",0,1))</f>
        <v>0</v>
      </c>
      <c r="GY284" s="1034">
        <f>IF(__Retrofit_TI_NC&lt;&gt;0,1,IF(AF285="",0,1))</f>
        <v>0</v>
      </c>
      <c r="GZ284" s="1034">
        <f>IF(AE286="",0,1)</f>
        <v>0</v>
      </c>
      <c r="HA284" s="1034">
        <f>IF(AF286="",0,1)</f>
        <v>0</v>
      </c>
      <c r="HB284" s="1034">
        <f>IF(__Retrofit_TI_NC=2,1,IF(AF287="",0,1))</f>
        <v>0</v>
      </c>
      <c r="HV284" s="436"/>
      <c r="HW284" s="1384" t="b">
        <f>IF(OR(HW287=0,HW287=HT$16,HW287=HS$16,HW287=HU$16),TRUE,FALSE)</f>
        <v>0</v>
      </c>
      <c r="HX284" s="1377" t="b">
        <f>HW284</f>
        <v>0</v>
      </c>
      <c r="HY284" s="436"/>
      <c r="HZ284" s="436"/>
      <c r="IA284" s="1386" t="b">
        <f>IF(MAX(GJ287:HP287)&gt;5,FALSE,TRUE)</f>
        <v>0</v>
      </c>
      <c r="IB284" s="1380">
        <f>IF(IA284=TRUE,AC284,0)</f>
        <v>0</v>
      </c>
      <c r="IC284" s="1380">
        <f>IB284-IB286</f>
        <v>0</v>
      </c>
      <c r="IF284" s="1380" t="e">
        <f>ROUND(T285*VLOOKUP(U285,Fixtures_Existing_List,2,FALSE)*N285*R285/1000,0)</f>
        <v>#N/A</v>
      </c>
      <c r="IG284" s="1381" t="e">
        <f>IF284-IF286</f>
        <v>#N/A</v>
      </c>
      <c r="IH284" s="1384" t="e">
        <f>ROUND(IF(CN284="Interior",N286*R286*R285*N285*_C406_reduction/1000,N286*R286*R285*N285/1000),0)</f>
        <v>#N/A</v>
      </c>
      <c r="II284" s="1384" t="e">
        <f>IH284-IH286</f>
        <v>#N/A</v>
      </c>
      <c r="IK284" s="1351" t="e">
        <f>IF($CO284="interior",IL284/2,VLOOKUP($CP284,Control_Savings_Exterior,IK$30,FALSE))</f>
        <v>#N/A</v>
      </c>
      <c r="IL284" s="1351" t="e">
        <f>IF($CO284="interior",VLOOKUP($CP284,Control_Savings_Interior,IL$30,FALSE),VLOOKUP($CP284,Control_Savings_Exterior,IL$30,FALSE))</f>
        <v>#N/A</v>
      </c>
      <c r="IM284" s="1351" t="e">
        <f>IF($CO284="interior",IF(R285&gt;FO$37,(IM$28*(FO$37/R285)),IM$28)*FP284,VLOOKUP($CP284,Control_Savings_Exterior,IM$30,FALSE))</f>
        <v>#N/A</v>
      </c>
      <c r="IN284" s="1351" t="e">
        <f>IF($CO284="interior",ROUND(((1-IL284)*IM284)+IL284,2),VLOOKUP($CP284,Control_Savings_Exterior,IN$30,FALSE))</f>
        <v>#N/A</v>
      </c>
      <c r="IO284" s="1351" t="e">
        <f>IF($CO284="interior", ROUND(((1-IL284)*(IM284*(1-IP$28)))+IP284,2), VLOOKUP($CP284,Control_Savings_Exterior,IO$30,FALSE))</f>
        <v>#N/A</v>
      </c>
      <c r="IP284" s="1351">
        <f>IF($CO284="interior",ROUND(((1-IL284)*IP$28)+IL284,2),0)</f>
        <v>0</v>
      </c>
    </row>
    <row r="285" spans="1:250" s="82" customFormat="1" ht="14.95" customHeight="1" thickTop="1" thickBot="1">
      <c r="B285" s="1421"/>
      <c r="C285" s="1422"/>
      <c r="D285" s="1423"/>
      <c r="E285" s="1393" t="s">
        <v>244</v>
      </c>
      <c r="F285" s="1394"/>
      <c r="G285" s="1395"/>
      <c r="H285" s="1395"/>
      <c r="I285" s="1395"/>
      <c r="J285" s="1395"/>
      <c r="K285" s="1395"/>
      <c r="L285" s="1395"/>
      <c r="M285" s="509" t="e">
        <f>IF(__Retrofit_TI_NC&lt;&gt;0,IF(VLOOKUP(G286,'Space Table'!$B$3:$L$160,3,FALSE)&gt;0,1,0),IF(__Retrofit_TI_NC=VLOOKUP(G286,'Space Table'!$B$3:$L$160,3,FALSE),1,0))</f>
        <v>#N/A</v>
      </c>
      <c r="N285" s="509" t="str">
        <f>IFERROR(VLOOKUP(G285,_Lookup_Heat_Type_Table_New,2,FALSE),"")</f>
        <v/>
      </c>
      <c r="O285" s="509">
        <f>IF(__Retrofit_TI_NC=1,CONCATENATE("TI ",G285),IF(__Retrofit_TI_NC=2,CONCATENATE("NC ",G285),G285))</f>
        <v>0</v>
      </c>
      <c r="P285" s="1396" t="s">
        <v>352</v>
      </c>
      <c r="Q285" s="1396"/>
      <c r="R285" s="673"/>
      <c r="S285" s="1429"/>
      <c r="T285" s="675"/>
      <c r="U285" s="1496"/>
      <c r="V285" s="1497"/>
      <c r="W285" s="1497"/>
      <c r="X285" s="1497"/>
      <c r="Y285" s="1497"/>
      <c r="Z285" s="1497"/>
      <c r="AA285" s="1497"/>
      <c r="AB285" s="1497"/>
      <c r="AC285" s="1497"/>
      <c r="AD285" s="1498"/>
      <c r="AE285" s="675"/>
      <c r="AF285" s="1397"/>
      <c r="AG285" s="1397"/>
      <c r="AH285" s="1397"/>
      <c r="AI285" s="1397"/>
      <c r="AJ285" s="1434"/>
      <c r="AK285" s="1436"/>
      <c r="AL285" s="1438"/>
      <c r="AM285" s="1441"/>
      <c r="AN285" s="1442"/>
      <c r="AO285" s="1447"/>
      <c r="AP285" s="1447"/>
      <c r="AQ285" s="1448"/>
      <c r="AR285" s="1452"/>
      <c r="AS285" s="1455"/>
      <c r="AT285" s="1458"/>
      <c r="AU285" s="516"/>
      <c r="AV285" s="1479"/>
      <c r="AW285" s="1479"/>
      <c r="BC285" s="38"/>
      <c r="BD285" s="38"/>
      <c r="BE285" s="38"/>
      <c r="BF285" s="38"/>
      <c r="BG285" s="38"/>
      <c r="BH285" s="38"/>
      <c r="BI285" s="38"/>
      <c r="BJ285" s="38"/>
      <c r="BK285" s="38"/>
      <c r="BL285" s="38"/>
      <c r="BM285" s="38"/>
      <c r="BN285" s="38"/>
      <c r="BO285" s="38"/>
      <c r="BP285" s="38"/>
      <c r="BQ285" s="38"/>
      <c r="BR285" s="38"/>
      <c r="BS285" s="38"/>
      <c r="BT285" s="38"/>
      <c r="BU285" s="38"/>
      <c r="BV285" s="38"/>
      <c r="BW285" s="38"/>
      <c r="BX285" s="38"/>
      <c r="BY285" s="38"/>
      <c r="BZ285" s="38"/>
      <c r="CA285" s="38"/>
      <c r="CB285" s="38"/>
      <c r="CC285" s="38"/>
      <c r="CD285" s="38"/>
      <c r="CE285" s="38"/>
      <c r="CF285" s="38"/>
      <c r="CG285" s="38"/>
      <c r="CH285" s="38"/>
      <c r="CI285" s="38"/>
      <c r="CM285" s="1352"/>
      <c r="CN285" s="1352"/>
      <c r="CO285" s="1416"/>
      <c r="CP285" s="1418"/>
      <c r="CR285" s="1386"/>
      <c r="CS285" s="1355"/>
      <c r="CT285" s="1355"/>
      <c r="CU285" s="1355"/>
      <c r="CV285" s="1372"/>
      <c r="CW285" s="1372"/>
      <c r="CX285" s="1371"/>
      <c r="CY285" s="1486"/>
      <c r="CZ285" s="1486"/>
      <c r="DA285" s="1486"/>
      <c r="DC285" s="1355"/>
      <c r="DD285" s="1461"/>
      <c r="DE285" s="1355"/>
      <c r="DF285" s="1407"/>
      <c r="DG285" s="1372"/>
      <c r="DH285" s="1369"/>
      <c r="DJ285" s="1484"/>
      <c r="DL285" s="1419"/>
      <c r="DN285" s="1403"/>
      <c r="DO285" s="1405"/>
      <c r="DP285" s="1354"/>
      <c r="DQ285" s="1405"/>
      <c r="DR285" s="1403"/>
      <c r="DS285" s="1489"/>
      <c r="DU285" s="1403"/>
      <c r="DV285" s="1405"/>
      <c r="DW285" s="1403"/>
      <c r="DX285" s="1403"/>
      <c r="DZ285" s="1481"/>
      <c r="EA285" s="1481"/>
      <c r="EC285" s="1482"/>
      <c r="ED285" s="1369"/>
      <c r="EE285" s="1371"/>
      <c r="EF285" s="1369"/>
      <c r="EG285" s="1369"/>
      <c r="EH285" s="1374"/>
      <c r="EI285" s="1374"/>
      <c r="EJ285" s="1363"/>
      <c r="EK285" s="1376"/>
      <c r="EL285" s="1376"/>
      <c r="EM285" s="1362"/>
      <c r="EN285" s="1362"/>
      <c r="EO285" s="1363"/>
      <c r="EP285" s="1363"/>
      <c r="EQ285" s="1363"/>
      <c r="ES285" s="1403"/>
      <c r="EU285" s="1411"/>
      <c r="EV285" s="1411"/>
      <c r="EW285" s="1411"/>
      <c r="EX285" s="1411"/>
      <c r="EY285" s="1411"/>
      <c r="EZ285" s="1413"/>
      <c r="FB285" s="1365"/>
      <c r="FD285" s="1354"/>
      <c r="FE285" s="1354"/>
      <c r="FF285" s="138"/>
      <c r="FI285" s="1357"/>
      <c r="FJ285" s="1357"/>
      <c r="FK285" s="1365"/>
      <c r="FL285" s="1365"/>
      <c r="FM285" s="1365"/>
      <c r="FO285" s="1361"/>
      <c r="FP285" s="1361"/>
      <c r="FQ285" s="1366"/>
      <c r="FR285" s="1368"/>
      <c r="FS285" s="1361"/>
      <c r="FT285" s="1368"/>
      <c r="FU285" s="1360"/>
      <c r="FW285" s="1352"/>
      <c r="FX285" s="1352"/>
      <c r="FY285" s="1352"/>
      <c r="FZ285" s="1352"/>
      <c r="GA285" s="1352"/>
      <c r="GB285" s="1352"/>
      <c r="GC285" s="1352"/>
      <c r="GD285" s="1352"/>
      <c r="GE285" s="759"/>
      <c r="GF285" s="1035"/>
      <c r="GG285" s="1385"/>
      <c r="GI285" s="1384" t="b">
        <f>IF(AND(GL285=TRUE,GM285=TRUE),TRUE,FALSE)</f>
        <v>0</v>
      </c>
      <c r="GJ285" s="1379" t="b">
        <f>IFERROR(IF(__Retrofit_TI_NC=2,TRUE,IF(AR284="Yes",TRUE,FALSE)),FALSE)</f>
        <v>1</v>
      </c>
      <c r="GL285" s="1379" t="b">
        <f>IFERROR(IF(GL284=1,TRUE,FALSE),FALSE)</f>
        <v>0</v>
      </c>
      <c r="GM285" s="1379" t="b">
        <f>IFERROR(IF(GM284=GM$14,TRUE,FALSE),FALSE)</f>
        <v>0</v>
      </c>
      <c r="HC285" s="1379" t="b">
        <f>IFERROR(IF(M285=1,TRUE,FALSE),FALSE)</f>
        <v>0</v>
      </c>
      <c r="HD285" s="1379" t="b">
        <f>IFERROR(IF(M286=1,TRUE,FALSE),FALSE)</f>
        <v>0</v>
      </c>
      <c r="HE285" s="1379" t="b">
        <f>IFERROR(IF(__Retrofit_TI_NC&lt;&gt;0,TRUE,IFERROR(IF(VLOOKUP(U285,Fixtures_Existing_List,2,FALSE)&lt;&gt;"",TRUE,FALSE),FALSE)),FALSE)</f>
        <v>0</v>
      </c>
      <c r="HF285" s="1379" t="b">
        <f>IFERROR(IF(VLOOKUP(U286,Fixtures_Proposed_List,2,FALSE)&lt;&gt;"",TRUE,FALSE),FALSE)</f>
        <v>0</v>
      </c>
      <c r="HG285" s="1379" t="b">
        <f>IF(AND(__Retrofit_TI_NC=2,EZ284=TRUE),FALSE,TRUE)</f>
        <v>1</v>
      </c>
      <c r="HH285" s="1379" t="b">
        <f>GG284</f>
        <v>1</v>
      </c>
      <c r="HI285" s="1384" t="b">
        <f>IF(ISERROR(MATCH(FB284,_Control_Match[],0))=TRUE,FALSE,TRUE)</f>
        <v>0</v>
      </c>
      <c r="HJ285" s="1384" t="b">
        <f>IFERROR(IF(EU284&lt;&gt;EV284,FALSE,TRUE),FALSE)</f>
        <v>0</v>
      </c>
      <c r="HK285" s="1384" t="b">
        <f>IFERROR(IF(EU286&lt;&gt;EV286,FALSE,TRUE),FALSE)</f>
        <v>0</v>
      </c>
      <c r="HL285" s="1379" t="b">
        <f>IFERROR(IF(CN284="Exterior",TRUE,IF(OR(AND(FJ284=0,EW286&gt;4),AND(FJ284=4,EW286&gt;4,EW286&lt;7)),FALSE,TRUE)),FALSE)</f>
        <v>0</v>
      </c>
      <c r="HM285" s="1379" t="b">
        <f>IFERROR(IF(AND(FL286=7,EZ284=TRUE),FALSE,TRUE),FALSE)</f>
        <v>0</v>
      </c>
      <c r="HN285" s="1379" t="b">
        <f>IFERROR(IF(AND(T286&lt;&gt;AE286,AF286="Interior LLLC")=TRUE,FALSE,TRUE),FALSE)</f>
        <v>1</v>
      </c>
      <c r="HO285" s="1379" t="b">
        <f>IFERROR(IF(OR(AF286=Lookup!AU$13,AF286=Lookup!AU$14)=TRUE,IF(AE286&gt;T286,FALSE,TRUE),TRUE),FALSE)</f>
        <v>1</v>
      </c>
      <c r="HP285" s="1379" t="b">
        <f>IFERROR(IF(__Retrofit_TI_NC=2,IF(EW286&lt;EW284,FALSE,TRUE),TRUE),FALSE)</f>
        <v>1</v>
      </c>
      <c r="HQ285" s="1379" t="b">
        <f>IF(CN284="Interior",IG$6,TRUE)</f>
        <v>1</v>
      </c>
      <c r="HR285" s="1379" t="b">
        <f>IF(CN284="Exterior",IG$8,TRUE)</f>
        <v>1</v>
      </c>
      <c r="HS285" s="1379" t="b">
        <f>IFERROR(IF(__Retrofit_TI_NC&lt;&gt;0,IF(AW284&lt;AV284,FALSE,TRUE),TRUE),FALSE)</f>
        <v>1</v>
      </c>
      <c r="HT285" s="1379" t="b">
        <f>IFERROR(IF(AND(G285="Exterior",R285&gt;4200),FALSE,TRUE),FALSE)</f>
        <v>1</v>
      </c>
      <c r="HU285" s="1379" t="b">
        <f>IFERROR(IF(AB287/AB284&lt;HU$18,FALSE,TRUE),FALSE)</f>
        <v>0</v>
      </c>
      <c r="HW285" s="1382"/>
      <c r="HX285" s="1378"/>
      <c r="HY285" s="1377" t="str">
        <f>VLOOKUP(HW287,_Error_Table,4,FALSE)</f>
        <v>White</v>
      </c>
      <c r="HZ285" s="436"/>
      <c r="IA285" s="1386"/>
      <c r="IB285" s="1380"/>
      <c r="IC285" s="1379"/>
      <c r="IF285" s="1380"/>
      <c r="IG285" s="1382"/>
      <c r="IH285" s="1382"/>
      <c r="II285" s="1382"/>
      <c r="IK285" s="1351"/>
      <c r="IL285" s="1351"/>
      <c r="IM285" s="1351"/>
      <c r="IN285" s="1351"/>
      <c r="IO285" s="1351"/>
      <c r="IP285" s="1351"/>
    </row>
    <row r="286" spans="1:250" s="82" customFormat="1" ht="14.95" customHeight="1" thickTop="1" thickBot="1">
      <c r="A286" s="82">
        <f>ROW()</f>
        <v>286</v>
      </c>
      <c r="B286" s="1421"/>
      <c r="C286" s="1422"/>
      <c r="D286" s="1423"/>
      <c r="E286" s="1393" t="s">
        <v>245</v>
      </c>
      <c r="F286" s="1394"/>
      <c r="G286" s="1398"/>
      <c r="H286" s="1399"/>
      <c r="I286" s="1399"/>
      <c r="J286" s="1399"/>
      <c r="K286" s="1399"/>
      <c r="L286" s="1400"/>
      <c r="M286" s="509">
        <f>IFERROR(IF(IF(__Retrofit_TI_NC&lt;&gt;0,IF(CN284="Interior",MATCH(G286,Lookup_Interior_New,0),MATCH(G286,Lookup_Exterior_New,0)),IF(CN284="Interior",MATCH(G286,Lookup_Interior,0),MATCH(G286,Lookup_Exterior_Areas,0)))&gt;0,1,0),0)</f>
        <v>0</v>
      </c>
      <c r="N286" s="509" t="e">
        <f>IF(__Retrofit_TI_NC=1,
VLOOKUP(G286,'Space Table'!$B$3:$L$160,4,FALSE),
IF(__Retrofit_TI_NC=2,VLOOKUP(G286,'Space Table'!$B$3:$L$160,5,FALSE),VLOOKUP(G286,'Space Table'!$B$3:$L$160,5,FALSE)))</f>
        <v>#N/A</v>
      </c>
      <c r="O286" s="509">
        <f>G286</f>
        <v>0</v>
      </c>
      <c r="P286" s="1394" t="s">
        <v>355</v>
      </c>
      <c r="Q286" s="1394"/>
      <c r="R286" s="674"/>
      <c r="S286" s="1401" t="s">
        <v>284</v>
      </c>
      <c r="T286" s="672"/>
      <c r="U286" s="1499"/>
      <c r="V286" s="1500"/>
      <c r="W286" s="1500"/>
      <c r="X286" s="1500"/>
      <c r="Y286" s="1500"/>
      <c r="Z286" s="1500"/>
      <c r="AA286" s="1500"/>
      <c r="AB286" s="1501"/>
      <c r="AC286" s="1501"/>
      <c r="AD286" s="1502"/>
      <c r="AE286" s="672"/>
      <c r="AF286" s="1474"/>
      <c r="AG286" s="1474"/>
      <c r="AH286" s="1474"/>
      <c r="AI286" s="1474"/>
      <c r="AJ286" s="1475">
        <f>DF286</f>
        <v>0</v>
      </c>
      <c r="AK286" s="1470" t="str">
        <f>IFERROR(ROUND(AJ286*AC287,0),"")</f>
        <v/>
      </c>
      <c r="AL286" s="1472">
        <f>IFERROR(IF(HW284=FALSE,0,AC287-AK286),0)</f>
        <v>0</v>
      </c>
      <c r="AM286" s="1441"/>
      <c r="AN286" s="1442"/>
      <c r="AO286" s="1447"/>
      <c r="AP286" s="1447"/>
      <c r="AQ286" s="1448"/>
      <c r="AR286" s="1452"/>
      <c r="AS286" s="1455"/>
      <c r="AT286" s="1458"/>
      <c r="AU286" s="516"/>
      <c r="AV286" s="1479"/>
      <c r="AW286" s="1479"/>
      <c r="BC286" s="38"/>
      <c r="BD286" s="38"/>
      <c r="BE286" s="38"/>
      <c r="BF286" s="38"/>
      <c r="BG286" s="38"/>
      <c r="BH286" s="38"/>
      <c r="BI286" s="38"/>
      <c r="BJ286" s="38"/>
      <c r="BK286" s="38"/>
      <c r="BL286" s="38"/>
      <c r="BM286" s="38"/>
      <c r="BN286" s="38"/>
      <c r="BO286" s="38"/>
      <c r="BP286" s="38"/>
      <c r="BQ286" s="38"/>
      <c r="BR286" s="38"/>
      <c r="BS286" s="38"/>
      <c r="BT286" s="38"/>
      <c r="BU286" s="38"/>
      <c r="BV286" s="38"/>
      <c r="BW286" s="38"/>
      <c r="BX286" s="38"/>
      <c r="BY286" s="38"/>
      <c r="BZ286" s="38"/>
      <c r="CA286" s="38"/>
      <c r="CB286" s="38"/>
      <c r="CC286" s="38"/>
      <c r="CD286" s="38"/>
      <c r="CE286" s="38"/>
      <c r="CF286" s="38"/>
      <c r="CG286" s="38"/>
      <c r="CH286" s="38"/>
      <c r="CI286" s="38"/>
      <c r="CM286" s="1352"/>
      <c r="CN286" s="1352"/>
      <c r="CO286" s="1415" t="str">
        <f>CN284</f>
        <v/>
      </c>
      <c r="CP286" s="1417" t="e">
        <f>CP284</f>
        <v>#N/A</v>
      </c>
      <c r="CR286" s="1386" t="s">
        <v>284</v>
      </c>
      <c r="CS286" s="1353">
        <f>IF(HW284=TRUE,T286,0)</f>
        <v>0</v>
      </c>
      <c r="CT286" s="1353" t="str">
        <f>IF(HW284=TRUE,U286,"")</f>
        <v/>
      </c>
      <c r="CU286" s="1373">
        <f>IF(HW284=TRUE,U287,0)</f>
        <v>0</v>
      </c>
      <c r="CV286" s="1370">
        <f>IF(HW284=TRUE,AB287,0)</f>
        <v>0</v>
      </c>
      <c r="CW286" s="1370">
        <f>IF(HW284=TRUE,AC287,0)</f>
        <v>0</v>
      </c>
      <c r="CX286" s="1371"/>
      <c r="CY286" s="1486"/>
      <c r="CZ286" s="1486"/>
      <c r="DA286" s="1486"/>
      <c r="DC286" s="1353">
        <f>IF(HW284=TRUE,AE286,0)</f>
        <v>0</v>
      </c>
      <c r="DD286" s="1353" t="str">
        <f>IF(HW284=TRUE,AF286,"")</f>
        <v/>
      </c>
      <c r="DE286" s="1373">
        <f>AF287</f>
        <v>0</v>
      </c>
      <c r="DF286" s="1406">
        <f>IFERROR(IF(FL286=3,IK286,IF(FL286=4,IL286,IF(FL286=5,IM286,IF(FL286=6,IN286,IF(FL286=7,IO286,IF(FL286=8,IP286,0)))))),0)</f>
        <v>0</v>
      </c>
      <c r="DG286" s="1370">
        <f>IF(HW284=TRUE,AK286,0)</f>
        <v>0</v>
      </c>
      <c r="DH286" s="1369"/>
      <c r="DK286" s="1483">
        <f>IFERROR(CW286-DG286,0)</f>
        <v>0</v>
      </c>
      <c r="DL286" s="1420"/>
      <c r="DN286" s="1403"/>
      <c r="DO286" s="1477" t="str">
        <f>DN284</f>
        <v/>
      </c>
      <c r="DP286" s="1354"/>
      <c r="DQ286" s="1477" t="str">
        <f>IF(DP284=7,"LLLC","")</f>
        <v/>
      </c>
      <c r="DR286" s="1403"/>
      <c r="DS286" s="1489"/>
      <c r="DU286" s="1403"/>
      <c r="DV286" s="1404" t="str">
        <f>DU284</f>
        <v/>
      </c>
      <c r="DW286" s="1403"/>
      <c r="DX286" s="1403"/>
      <c r="DZ286" s="1481"/>
      <c r="EA286" s="1481"/>
      <c r="EC286" s="1482"/>
      <c r="ED286" s="1369"/>
      <c r="EE286" s="1371"/>
      <c r="EF286" s="1369"/>
      <c r="EG286" s="1369"/>
      <c r="EH286" s="1374"/>
      <c r="EI286" s="1374"/>
      <c r="EJ286" s="1363"/>
      <c r="EK286" s="1376"/>
      <c r="EL286" s="1376"/>
      <c r="EM286" s="1362"/>
      <c r="EN286" s="1362"/>
      <c r="EO286" s="1363"/>
      <c r="EP286" s="1363"/>
      <c r="EQ286" s="1363"/>
      <c r="ES286" s="1403"/>
      <c r="EU286" s="1411" t="e">
        <f>VLOOKUP(CP286,'Space Table'!$B$3:$L$160,8,FALSE)</f>
        <v>#N/A</v>
      </c>
      <c r="EV286" s="1411" t="e">
        <f>IF(EY286="Yes",VLOOKUP(AF286,Lookup_Control_Type_Table2,4,FALSE),VLOOKUP(AF286,Lookup_Control_Type_Table2,3,FALSE))</f>
        <v>#N/A</v>
      </c>
      <c r="EW286" s="1411" t="e">
        <f>VLOOKUP(AF286,Lookup!AU$3:AV$15,2,FALSE)</f>
        <v>#N/A</v>
      </c>
      <c r="EX286" s="1411" t="e">
        <f>VLOOKUP(EU284,Lookup_Control_Type_Table,2,FALSE)</f>
        <v>#N/A</v>
      </c>
      <c r="EY286" s="1411" t="e">
        <f>VLOOKUP(CP286,'Space Table'!$B$3:$L$160,7,FALSE)</f>
        <v>#N/A</v>
      </c>
      <c r="EZ286" s="1413"/>
      <c r="FB286" s="1365" t="str">
        <f>CONCATENATE(CN284," - ",AF286)</f>
        <v xml:space="preserve"> - </v>
      </c>
      <c r="FD286" s="1354"/>
      <c r="FE286" s="1354"/>
      <c r="FF286" s="138"/>
      <c r="FI286" s="1356" t="str">
        <f>IF(CN284="Exterior","Not Daylighted",G287)</f>
        <v>Not Daylighted</v>
      </c>
      <c r="FJ286" s="1356">
        <f>VLOOKUP(FI286,_Daylight_Table_Codes,2,FALSE)</f>
        <v>0</v>
      </c>
      <c r="FK286" s="1365">
        <f>AF286</f>
        <v>0</v>
      </c>
      <c r="FL286" s="1365" t="e">
        <f>VLOOKUP(FK286,_Control_Table,2,FALSE)</f>
        <v>#N/A</v>
      </c>
      <c r="FM286" s="1365" t="e">
        <f>IF(AND(FP286&gt;0,FK286="Occupancy Sensor"),"Daylight + Occupancy",IF(AND(FP286&gt;0,FL286&lt;4),"Interior Daylight Dimming",FK286))</f>
        <v>#N/A</v>
      </c>
      <c r="FO286" s="1364">
        <f>IF(CN284="Interior",VLOOKUP(CP284,Control_Savings_Interior,5,FALSE),0)</f>
        <v>0</v>
      </c>
      <c r="FP286" s="1361">
        <f>IF(CN286="Exterior",0,IF(FJ286=2,0.5,IF(OR(FJ286=1,FJ286=3),1,0)))</f>
        <v>0</v>
      </c>
      <c r="FQ286" s="1366">
        <f>IF(R285&gt;FO$37,(FO286*(FO$37/R285)),FO286)*FP286</f>
        <v>0</v>
      </c>
      <c r="FR286" s="1364">
        <f>DF286</f>
        <v>0</v>
      </c>
      <c r="FS286" s="1364">
        <f>ROUND(FR286+((1-FR286)*FQ286),2)</f>
        <v>0</v>
      </c>
      <c r="FT286" s="1364">
        <f>IF(__Retrofit_TI_NC=2,FS286,FR286)</f>
        <v>0</v>
      </c>
      <c r="FU286" s="1360">
        <f>IF(CO286="Interior",VLOOKUP(CP286,Control_Savings_Interior,4,FALSE),0)</f>
        <v>0</v>
      </c>
      <c r="FW286" s="1352"/>
      <c r="FX286" s="1352"/>
      <c r="FY286" s="1352"/>
      <c r="FZ286" s="1352"/>
      <c r="GA286" s="1352"/>
      <c r="GB286" s="1352"/>
      <c r="GC286" s="1352"/>
      <c r="GD286" s="1352"/>
      <c r="GE286" s="759" t="b">
        <f>IF(ISNUMBER(SEARCH("TLED",U286)),TRUE,FALSE)</f>
        <v>0</v>
      </c>
      <c r="GF286" s="1035" t="str">
        <f>IFERROR(VLOOKUP(U286,Fixtures!DM$93:DR$142,6,FALSE),"")</f>
        <v/>
      </c>
      <c r="GG286" s="1385"/>
      <c r="GI286" s="1383"/>
      <c r="GJ286" s="1379"/>
      <c r="GL286" s="1379"/>
      <c r="GM286" s="1379"/>
      <c r="HC286" s="1379"/>
      <c r="HD286" s="1379"/>
      <c r="HE286" s="1379"/>
      <c r="HF286" s="1379"/>
      <c r="HG286" s="1379"/>
      <c r="HH286" s="1379"/>
      <c r="HI286" s="1383"/>
      <c r="HJ286" s="1383"/>
      <c r="HK286" s="1383"/>
      <c r="HL286" s="1379"/>
      <c r="HM286" s="1379"/>
      <c r="HN286" s="1379"/>
      <c r="HO286" s="1379"/>
      <c r="HP286" s="1379"/>
      <c r="HQ286" s="1379"/>
      <c r="HR286" s="1379"/>
      <c r="HS286" s="1379"/>
      <c r="HT286" s="1379"/>
      <c r="HU286" s="1379"/>
      <c r="HW286" s="1383"/>
      <c r="HX286" s="1384" t="b">
        <f>HW284</f>
        <v>0</v>
      </c>
      <c r="HY286" s="1378"/>
      <c r="HZ286" s="436"/>
      <c r="IA286" s="1386"/>
      <c r="IB286" s="1380">
        <f>IF(IA284=TRUE,AC287,0)</f>
        <v>0</v>
      </c>
      <c r="IC286" s="1379"/>
      <c r="IF286" s="1380" t="e">
        <f>ROUND(T286*AB287*N285*R285/1000,0)</f>
        <v>#VALUE!</v>
      </c>
      <c r="IG286" s="1382"/>
      <c r="IH286" s="1384" t="e">
        <f>ROUND(T286*AB287*N285*R285/1000,0)</f>
        <v>#VALUE!</v>
      </c>
      <c r="II286" s="1382"/>
      <c r="IK286" s="1351" t="e">
        <f>IF($CO286="interior",IL286/2,VLOOKUP($CP286,Control_Savings_Exterior,IK$30,FALSE))</f>
        <v>#N/A</v>
      </c>
      <c r="IL286" s="1351" t="e">
        <f>IF($CO286="interior",VLOOKUP($CP286,Control_Savings_Interior,IL$30,FALSE),VLOOKUP($CP286,Control_Savings_Exterior,IL$30,FALSE))</f>
        <v>#N/A</v>
      </c>
      <c r="IM286" s="1351" t="e">
        <f>IF($CO286="interior",IF(R285&gt;FO$37,(IM$28*(FO$37/R285)),IM$28)*FP286,VLOOKUP($CP286,Control_Savings_Exterior,IM$30,FALSE))</f>
        <v>#N/A</v>
      </c>
      <c r="IN286" s="1351" t="e">
        <f>IF($CO286="interior",ROUND(((1-IL286)*IM286)+IL286,2),VLOOKUP($CP286,Control_Savings_Exterior,IN$30,FALSE))</f>
        <v>#N/A</v>
      </c>
      <c r="IO286" s="1351" t="e">
        <f>IF($CO286="interior", ROUND(((1-IL286)*(IM286*(1-IP$28)))+IP286,2), VLOOKUP($CP286,Control_Savings_Exterior,IO$30,FALSE))</f>
        <v>#N/A</v>
      </c>
      <c r="IP286" s="1351">
        <f>IF($CO286="interior",ROUND(((1-IL286)*IP$28)+IL286,2),0)</f>
        <v>0</v>
      </c>
    </row>
    <row r="287" spans="1:250" s="82" customFormat="1" ht="14.95" customHeight="1" thickTop="1" thickBot="1">
      <c r="B287" s="1421"/>
      <c r="C287" s="1422"/>
      <c r="D287" s="1423"/>
      <c r="E287" s="1462" t="s">
        <v>357</v>
      </c>
      <c r="F287" s="1463"/>
      <c r="G287" s="1464" t="s">
        <v>362</v>
      </c>
      <c r="H287" s="1465"/>
      <c r="I287" s="1465"/>
      <c r="J287" s="1465"/>
      <c r="K287" s="1465"/>
      <c r="L287" s="1466"/>
      <c r="M287" s="669">
        <f>IFERROR(VLOOKUP(G287,_Daylight_Table[],2,FALSE),0)</f>
        <v>0</v>
      </c>
      <c r="N287" s="670"/>
      <c r="O287" s="669" t="e">
        <f>VLOOKUP(G286,'Space Table'!$B$3:$L$160,11,FALSE)</f>
        <v>#N/A</v>
      </c>
      <c r="P287" s="1408"/>
      <c r="Q287" s="1409"/>
      <c r="R287" s="1409"/>
      <c r="S287" s="1402"/>
      <c r="T287" s="671" t="s">
        <v>281</v>
      </c>
      <c r="U287" s="1467" t="str">
        <f>IFERROR(VLOOKUP(U286,Fixtures!DM$93:DP$142,4,FALSE),"")</f>
        <v/>
      </c>
      <c r="V287" s="1468"/>
      <c r="W287" s="1468"/>
      <c r="X287" s="1468"/>
      <c r="Y287" s="1468"/>
      <c r="Z287" s="1468"/>
      <c r="AA287" s="1468"/>
      <c r="AB287" s="1046" t="str">
        <f>IFERROR(VLOOKUP(U286,Fixtures_Proposed_List,2,FALSE),"")</f>
        <v/>
      </c>
      <c r="AC287" s="1036" t="str">
        <f>IFERROR(ROUND(T286*AB287*N285*R285/1000,0),"")</f>
        <v/>
      </c>
      <c r="AD287" s="1037" t="str">
        <f>IFERROR(ROUND(T286*AB287/1000,2),"")</f>
        <v/>
      </c>
      <c r="AE287" s="1045" t="s">
        <v>281</v>
      </c>
      <c r="AF287" s="1469"/>
      <c r="AG287" s="1469"/>
      <c r="AH287" s="1469"/>
      <c r="AI287" s="1469"/>
      <c r="AJ287" s="1476"/>
      <c r="AK287" s="1471"/>
      <c r="AL287" s="1473"/>
      <c r="AM287" s="1443"/>
      <c r="AN287" s="1444"/>
      <c r="AO287" s="1449"/>
      <c r="AP287" s="1449"/>
      <c r="AQ287" s="1450"/>
      <c r="AR287" s="1453"/>
      <c r="AS287" s="1456"/>
      <c r="AT287" s="1459"/>
      <c r="AU287" s="517"/>
      <c r="AV287" s="1480"/>
      <c r="AW287" s="1480"/>
      <c r="BC287" s="38"/>
      <c r="BD287" s="38"/>
      <c r="BE287" s="38"/>
      <c r="BF287" s="38"/>
      <c r="BG287" s="38"/>
      <c r="BH287" s="38"/>
      <c r="BI287" s="38"/>
      <c r="BJ287" s="38"/>
      <c r="BK287" s="38"/>
      <c r="BL287" s="38"/>
      <c r="BM287" s="38"/>
      <c r="BN287" s="38"/>
      <c r="BO287" s="38"/>
      <c r="BP287" s="38"/>
      <c r="BQ287" s="38"/>
      <c r="BR287" s="38"/>
      <c r="BS287" s="38"/>
      <c r="BT287" s="38"/>
      <c r="BU287" s="38"/>
      <c r="BV287" s="38"/>
      <c r="BW287" s="38"/>
      <c r="BX287" s="38"/>
      <c r="BY287" s="38"/>
      <c r="BZ287" s="38"/>
      <c r="CA287" s="38"/>
      <c r="CB287" s="38"/>
      <c r="CC287" s="38"/>
      <c r="CD287" s="38"/>
      <c r="CE287" s="38"/>
      <c r="CF287" s="38"/>
      <c r="CG287" s="38"/>
      <c r="CH287" s="38"/>
      <c r="CI287" s="38"/>
      <c r="CM287" s="1352"/>
      <c r="CN287" s="1352"/>
      <c r="CO287" s="1416"/>
      <c r="CP287" s="1418"/>
      <c r="CR287" s="1386"/>
      <c r="CS287" s="1355"/>
      <c r="CT287" s="1355"/>
      <c r="CU287" s="1375"/>
      <c r="CV287" s="1372"/>
      <c r="CW287" s="1372"/>
      <c r="CX287" s="1372"/>
      <c r="CY287" s="1487"/>
      <c r="CZ287" s="1487"/>
      <c r="DA287" s="1487"/>
      <c r="DC287" s="1355"/>
      <c r="DD287" s="1355"/>
      <c r="DE287" s="1375"/>
      <c r="DF287" s="1407"/>
      <c r="DG287" s="1372"/>
      <c r="DH287" s="1369"/>
      <c r="DK287" s="1484"/>
      <c r="DL287" s="1420"/>
      <c r="DN287" s="1403"/>
      <c r="DO287" s="1405"/>
      <c r="DP287" s="1355"/>
      <c r="DQ287" s="1405"/>
      <c r="DR287" s="1403"/>
      <c r="DS287" s="1489"/>
      <c r="DU287" s="1403"/>
      <c r="DV287" s="1405"/>
      <c r="DW287" s="1403"/>
      <c r="DX287" s="1403"/>
      <c r="DZ287" s="1481"/>
      <c r="EA287" s="1481"/>
      <c r="EC287" s="1482"/>
      <c r="ED287" s="1369"/>
      <c r="EE287" s="1372"/>
      <c r="EF287" s="1369"/>
      <c r="EG287" s="1369"/>
      <c r="EH287" s="1375"/>
      <c r="EI287" s="1375"/>
      <c r="EJ287" s="1363"/>
      <c r="EK287" s="1376"/>
      <c r="EL287" s="1376"/>
      <c r="EM287" s="1362"/>
      <c r="EN287" s="1362"/>
      <c r="EO287" s="1363"/>
      <c r="EP287" s="1363"/>
      <c r="EQ287" s="1363"/>
      <c r="ES287" s="1403"/>
      <c r="EU287" s="1488"/>
      <c r="EV287" s="1488"/>
      <c r="EW287" s="1488"/>
      <c r="EX287" s="1488"/>
      <c r="EY287" s="1488"/>
      <c r="EZ287" s="1414"/>
      <c r="FB287" s="1365"/>
      <c r="FD287" s="1355"/>
      <c r="FE287" s="1355"/>
      <c r="FF287" s="138"/>
      <c r="FI287" s="1357"/>
      <c r="FJ287" s="1357"/>
      <c r="FK287" s="1365"/>
      <c r="FL287" s="1365"/>
      <c r="FM287" s="1365"/>
      <c r="FO287" s="1361"/>
      <c r="FP287" s="1361"/>
      <c r="FQ287" s="1366"/>
      <c r="FR287" s="1361"/>
      <c r="FS287" s="1361"/>
      <c r="FT287" s="1361"/>
      <c r="FU287" s="1360"/>
      <c r="FW287" s="1352"/>
      <c r="FX287" s="1352"/>
      <c r="FY287" s="1352"/>
      <c r="FZ287" s="1352"/>
      <c r="GA287" s="1352"/>
      <c r="GB287" s="1352"/>
      <c r="GC287" s="1352"/>
      <c r="GD287" s="1352"/>
      <c r="GE287" s="759"/>
      <c r="GF287" s="1035"/>
      <c r="GG287" s="1385"/>
      <c r="GJ287" s="1034">
        <f>IF(GJ285=TRUE,0,GJ$16)</f>
        <v>0</v>
      </c>
      <c r="GL287" s="1034">
        <f>IF(GL285=TRUE,0,GL$16)</f>
        <v>36</v>
      </c>
      <c r="GM287" s="1034">
        <f>IF(GM285=TRUE,0,GM$16)</f>
        <v>35</v>
      </c>
      <c r="GN287" s="436"/>
      <c r="GO287" s="436"/>
      <c r="GP287" s="436"/>
      <c r="GQ287" s="436"/>
      <c r="GR287" s="436"/>
      <c r="HC287" s="1034">
        <f t="shared" ref="HC287:HH287" si="202">IF(HC285=TRUE,0,HC$16)</f>
        <v>19</v>
      </c>
      <c r="HD287" s="1034">
        <f t="shared" si="202"/>
        <v>18</v>
      </c>
      <c r="HE287" s="1034">
        <f t="shared" si="202"/>
        <v>17</v>
      </c>
      <c r="HF287" s="1034">
        <f t="shared" si="202"/>
        <v>16</v>
      </c>
      <c r="HG287" s="1034">
        <f t="shared" si="202"/>
        <v>0</v>
      </c>
      <c r="HH287" s="1034">
        <f t="shared" si="202"/>
        <v>0</v>
      </c>
      <c r="HI287" s="1034">
        <f>IF(HI285=TRUE,0,HI$16)</f>
        <v>13</v>
      </c>
      <c r="HJ287" s="1034">
        <f t="shared" ref="HJ287:HL287" si="203">IF(HJ285=TRUE,0,HJ$16)</f>
        <v>12</v>
      </c>
      <c r="HK287" s="1034">
        <f t="shared" si="203"/>
        <v>11</v>
      </c>
      <c r="HL287" s="1034">
        <f t="shared" si="203"/>
        <v>10</v>
      </c>
      <c r="HM287" s="1034">
        <f>IF(HM285=TRUE,0,HM$16)</f>
        <v>9</v>
      </c>
      <c r="HN287" s="1034">
        <f t="shared" ref="HN287:HR287" si="204">IF(HN285=TRUE,0,HN$16)</f>
        <v>0</v>
      </c>
      <c r="HO287" s="1034">
        <f t="shared" si="204"/>
        <v>0</v>
      </c>
      <c r="HP287" s="1034">
        <f t="shared" si="204"/>
        <v>0</v>
      </c>
      <c r="HQ287" s="1034">
        <f t="shared" si="204"/>
        <v>0</v>
      </c>
      <c r="HR287" s="1034">
        <f t="shared" si="204"/>
        <v>0</v>
      </c>
      <c r="HS287" s="1034">
        <f>IF(HS285=TRUE,0,HS$16)</f>
        <v>0</v>
      </c>
      <c r="HT287" s="1034">
        <f t="shared" ref="HT287" si="205">IF(HT285=TRUE,0,HT$16)</f>
        <v>0</v>
      </c>
      <c r="HU287" s="1034">
        <f>IF(HU285=TRUE,0,HU$16)</f>
        <v>1</v>
      </c>
      <c r="HW287" s="1034">
        <f>IF(GL285=FALSE,GL287,IF(GM285=FALSE,GM287,MAX(GJ287:HU287)))</f>
        <v>36</v>
      </c>
      <c r="HX287" s="1383"/>
      <c r="HY287" s="241" t="str">
        <f>VLOOKUP(HW287,_Error_Table,3,FALSE)</f>
        <v xml:space="preserve"> </v>
      </c>
      <c r="HZ287" s="241"/>
      <c r="IA287" s="1386"/>
      <c r="IB287" s="1380"/>
      <c r="IC287" s="1379"/>
      <c r="IF287" s="1380"/>
      <c r="IG287" s="1383"/>
      <c r="IH287" s="1383"/>
      <c r="II287" s="1383"/>
      <c r="IK287" s="1351"/>
      <c r="IL287" s="1351"/>
      <c r="IM287" s="1351"/>
      <c r="IN287" s="1351"/>
      <c r="IO287" s="1351"/>
      <c r="IP287" s="1351"/>
    </row>
    <row r="288" spans="1:250" s="82" customFormat="1" ht="5.0999999999999996" customHeight="1" thickBot="1">
      <c r="B288" s="763"/>
      <c r="C288" s="1038"/>
      <c r="D288" s="1038"/>
      <c r="E288" s="1490"/>
      <c r="F288" s="1490"/>
      <c r="G288" s="1490"/>
      <c r="H288" s="1490"/>
      <c r="I288" s="1490"/>
      <c r="J288" s="1490"/>
      <c r="K288" s="1490"/>
      <c r="L288" s="1490"/>
      <c r="M288" s="1490"/>
      <c r="N288" s="1490"/>
      <c r="O288" s="1490"/>
      <c r="P288" s="1490"/>
      <c r="Q288" s="1490"/>
      <c r="R288" s="1490"/>
      <c r="S288" s="1490"/>
      <c r="T288" s="1490"/>
      <c r="U288" s="1490"/>
      <c r="V288" s="1490"/>
      <c r="W288" s="1490"/>
      <c r="X288" s="1490"/>
      <c r="Y288" s="1490"/>
      <c r="Z288" s="1490"/>
      <c r="AA288" s="1490"/>
      <c r="AB288" s="1490"/>
      <c r="AC288" s="1490"/>
      <c r="AD288" s="1490"/>
      <c r="AE288" s="1490"/>
      <c r="AF288" s="1490"/>
      <c r="AG288" s="1490"/>
      <c r="AH288" s="1490"/>
      <c r="AI288" s="1490"/>
      <c r="AJ288" s="1490"/>
      <c r="AK288" s="1490"/>
      <c r="AL288" s="1490"/>
      <c r="AM288" s="1490"/>
      <c r="AN288" s="1490"/>
      <c r="AO288" s="1490"/>
      <c r="AP288" s="1490"/>
      <c r="AQ288" s="1490"/>
      <c r="AR288" s="1490"/>
      <c r="AS288" s="1490"/>
      <c r="AT288" s="1490"/>
      <c r="AU288" s="1041"/>
      <c r="BC288" s="38"/>
      <c r="BD288" s="38"/>
      <c r="BE288" s="38"/>
      <c r="BF288" s="38"/>
      <c r="BG288" s="38"/>
      <c r="BH288" s="38"/>
      <c r="BI288" s="38"/>
      <c r="BJ288" s="38"/>
      <c r="BK288" s="38"/>
      <c r="BL288" s="38"/>
      <c r="BM288" s="38"/>
      <c r="BN288" s="38"/>
      <c r="BO288" s="38"/>
      <c r="BP288" s="38"/>
      <c r="BQ288" s="38"/>
      <c r="BR288" s="38"/>
      <c r="BS288" s="38"/>
      <c r="BT288" s="38"/>
      <c r="BU288" s="38"/>
      <c r="BV288" s="38"/>
      <c r="BW288" s="38"/>
      <c r="BX288" s="38"/>
      <c r="BY288" s="38"/>
      <c r="BZ288" s="38"/>
      <c r="CA288" s="38"/>
      <c r="CB288" s="38"/>
      <c r="CC288" s="38"/>
      <c r="CD288" s="38"/>
      <c r="CE288" s="38"/>
      <c r="CF288" s="38"/>
      <c r="CG288" s="38"/>
      <c r="CH288" s="38"/>
      <c r="CI288" s="38"/>
      <c r="CM288" s="749"/>
      <c r="CN288" s="749"/>
      <c r="CO288" s="1043"/>
      <c r="CP288" s="749"/>
      <c r="CS288" s="436"/>
      <c r="CT288" s="436"/>
      <c r="CU288" s="243"/>
      <c r="CV288" s="244"/>
      <c r="CW288" s="244"/>
      <c r="CX288" s="244"/>
      <c r="CY288" s="245"/>
      <c r="CZ288" s="245"/>
      <c r="DA288" s="245"/>
      <c r="DC288" s="750"/>
      <c r="DD288" s="751"/>
      <c r="DE288" s="752"/>
      <c r="DF288" s="753"/>
      <c r="DG288" s="754"/>
      <c r="DH288" s="754"/>
      <c r="DK288" s="244"/>
      <c r="DL288" s="750"/>
      <c r="DN288" s="750"/>
      <c r="DO288" s="755"/>
      <c r="DP288" s="436"/>
      <c r="DQ288" s="750"/>
      <c r="DR288" s="750"/>
      <c r="DS288" s="750"/>
      <c r="DU288" s="750"/>
      <c r="DV288" s="750"/>
      <c r="DW288" s="750"/>
      <c r="DX288" s="750"/>
      <c r="DZ288" s="756"/>
      <c r="EA288" s="756"/>
      <c r="EC288" s="754"/>
      <c r="ED288" s="754"/>
      <c r="EE288" s="244"/>
      <c r="EF288" s="754"/>
      <c r="EG288" s="754"/>
      <c r="EH288" s="243"/>
      <c r="EI288" s="243"/>
      <c r="EJ288" s="752"/>
      <c r="EK288" s="757"/>
      <c r="EL288" s="757"/>
      <c r="EM288" s="758"/>
      <c r="EN288" s="758"/>
      <c r="EO288" s="752"/>
      <c r="EP288" s="752"/>
      <c r="EQ288" s="752"/>
      <c r="ES288" s="750"/>
      <c r="EU288" s="436"/>
      <c r="EV288" s="436"/>
      <c r="EW288" s="436"/>
      <c r="EX288" s="436"/>
      <c r="EY288" s="436"/>
      <c r="EZ288" s="436"/>
      <c r="FB288" s="643"/>
      <c r="FD288" s="436"/>
      <c r="FE288" s="436"/>
      <c r="FF288" s="436"/>
      <c r="FO288" s="750"/>
      <c r="FP288" s="436"/>
      <c r="FQ288" s="436"/>
      <c r="FR288" s="750"/>
      <c r="FS288" s="750"/>
      <c r="FW288" s="749"/>
      <c r="FX288" s="749"/>
      <c r="FY288" s="749"/>
      <c r="FZ288" s="749"/>
      <c r="GA288" s="749"/>
      <c r="GB288" s="749"/>
      <c r="GC288" s="749"/>
      <c r="GD288" s="749"/>
      <c r="GE288" s="751"/>
      <c r="GF288" s="750"/>
      <c r="GG288" s="750"/>
    </row>
    <row r="289" spans="1:250" s="82" customFormat="1" ht="14.95" customHeight="1" thickTop="1" thickBot="1">
      <c r="B289" s="1421" t="str">
        <f>HY292</f>
        <v xml:space="preserve"> </v>
      </c>
      <c r="C289" s="1422">
        <f>C284+1</f>
        <v>49</v>
      </c>
      <c r="D289" s="1423"/>
      <c r="E289" s="1424" t="s">
        <v>242</v>
      </c>
      <c r="F289" s="1425"/>
      <c r="G289" s="1426"/>
      <c r="H289" s="1427"/>
      <c r="I289" s="1427"/>
      <c r="J289" s="1427"/>
      <c r="K289" s="1427"/>
      <c r="L289" s="1427"/>
      <c r="M289" s="1427"/>
      <c r="N289" s="1427"/>
      <c r="O289" s="1427"/>
      <c r="P289" s="1427"/>
      <c r="Q289" s="1427"/>
      <c r="R289" s="1427"/>
      <c r="S289" s="1428" t="s">
        <v>283</v>
      </c>
      <c r="T289" s="668" t="s">
        <v>190</v>
      </c>
      <c r="U289" s="1430" t="s">
        <v>186</v>
      </c>
      <c r="V289" s="1431"/>
      <c r="W289" s="1431"/>
      <c r="X289" s="1431"/>
      <c r="Y289" s="1431"/>
      <c r="Z289" s="1431"/>
      <c r="AA289" s="1431"/>
      <c r="AB289" s="1088" t="str">
        <f>IFERROR(IF(__Retrofit_TI_NC=0,VLOOKUP(U290,Fixtures_Existing_List,2,FALSE),ROUND(N291*R291/T291,10)),"")</f>
        <v/>
      </c>
      <c r="AC289" s="1039" t="str">
        <f>IFERROR(IF(__Retrofit_TI_NC=0,ROUND(T290*AB289*N290*R290/1000,0),IF(CN289="Interior",N291*R291*R290*N290*_C406_reduction/1000,N291*R291*R290*N290/1000)),"")</f>
        <v/>
      </c>
      <c r="AD289" s="1040" t="str">
        <f>IFERROR(IF(C$36=0,ROUND(T290*AB289/1000,2),N291*R291/1000),"")</f>
        <v/>
      </c>
      <c r="AE289" s="1044" t="s">
        <v>190</v>
      </c>
      <c r="AF289" s="1432" t="str">
        <f>IF(__Retrofit_TI_NC=2,CONCATENATE("Code min = ",DD289),IF(__Retrofit_TI_NC=1,"Emter what you think the existing control was"," Control"))</f>
        <v xml:space="preserve"> Control</v>
      </c>
      <c r="AG289" s="1432"/>
      <c r="AH289" s="1432"/>
      <c r="AI289" s="1432"/>
      <c r="AJ289" s="1433">
        <f>DF289</f>
        <v>0</v>
      </c>
      <c r="AK289" s="1435" t="str">
        <f>IFERROR(ROUND(AJ289*AC289,0),"")</f>
        <v/>
      </c>
      <c r="AL289" s="1437">
        <f>IFERROR(IF(HW289=FALSE,0,AC289-AK289),0)</f>
        <v>0</v>
      </c>
      <c r="AM289" s="1439">
        <f>AL289-AL291</f>
        <v>0</v>
      </c>
      <c r="AN289" s="1440"/>
      <c r="AO289" s="1445">
        <f>IFERROR(IF(HW289=FALSE,0,(T291*U292)+(AE291*AF292)),0)</f>
        <v>0</v>
      </c>
      <c r="AP289" s="1445"/>
      <c r="AQ289" s="1446"/>
      <c r="AR289" s="1451" t="s">
        <v>157</v>
      </c>
      <c r="AS289" s="1454">
        <f>IF(AR289="Yes",1,0)</f>
        <v>1</v>
      </c>
      <c r="AT289" s="1457" t="str">
        <f>IF(OR(DN289=4,DN289=5,DN289=6,DN289=12),CONCATENATE("$",IF(GD289=TRUE,Lookup!$B$11,Lookup!$B$2)," /lamp"),CONCATENATE(EA289,"/ kWh"))</f>
        <v>0/ kWh</v>
      </c>
      <c r="AU289" s="516"/>
      <c r="AV289" s="1478">
        <f>IFERROR(IF(GI290=TRUE,(AB292*T291)/R291,0),"NA")</f>
        <v>0</v>
      </c>
      <c r="AW289" s="1478" t="str">
        <f>IFERROR(N291*_C406_reduction,"NA")</f>
        <v>NA</v>
      </c>
      <c r="BC289" s="38"/>
      <c r="BD289" s="38"/>
      <c r="BE289" s="38"/>
      <c r="BF289" s="38"/>
      <c r="BG289" s="38"/>
      <c r="BH289" s="38"/>
      <c r="BI289" s="38"/>
      <c r="BJ289" s="38"/>
      <c r="BK289" s="38"/>
      <c r="BL289" s="38"/>
      <c r="BM289" s="38"/>
      <c r="BN289" s="38"/>
      <c r="BO289" s="38"/>
      <c r="BP289" s="38"/>
      <c r="BQ289" s="38"/>
      <c r="BR289" s="38"/>
      <c r="BS289" s="38"/>
      <c r="BT289" s="38"/>
      <c r="BU289" s="38"/>
      <c r="BV289" s="38"/>
      <c r="BW289" s="38"/>
      <c r="BX289" s="38"/>
      <c r="BY289" s="38"/>
      <c r="BZ289" s="38"/>
      <c r="CA289" s="38"/>
      <c r="CB289" s="38"/>
      <c r="CC289" s="38"/>
      <c r="CD289" s="38"/>
      <c r="CE289" s="38"/>
      <c r="CF289" s="38"/>
      <c r="CG289" s="38"/>
      <c r="CH289" s="38"/>
      <c r="CI289" s="38"/>
      <c r="CM289" s="1352" t="str">
        <f>N290</f>
        <v/>
      </c>
      <c r="CN289" s="1352" t="str">
        <f>IFERROR(VLOOKUP(G290,_Lookup_Heat_Type_Table_New,3,FALSE),"")</f>
        <v/>
      </c>
      <c r="CO289" s="1415" t="str">
        <f>CN289</f>
        <v/>
      </c>
      <c r="CP289" s="1417" t="e">
        <f>VLOOKUP(G291,'Space Table'!$B$3:$L$160,9,FALSE)</f>
        <v>#N/A</v>
      </c>
      <c r="CR289" s="1386" t="s">
        <v>283</v>
      </c>
      <c r="CS289" s="1353">
        <f>IF(HW289=TRUE,T290,0)</f>
        <v>0</v>
      </c>
      <c r="CT289" s="1353" t="str">
        <f>IF(HW289=TRUE,U290,"")</f>
        <v/>
      </c>
      <c r="CU289" s="1353"/>
      <c r="CV289" s="1370">
        <f>IF(HW289=TRUE,AB289,0)</f>
        <v>0</v>
      </c>
      <c r="CW289" s="1370">
        <f>IF(HW289=TRUE,AC289,0)</f>
        <v>0</v>
      </c>
      <c r="CX289" s="1370">
        <f>IFERROR(IF(HW289=TRUE,CW289-CW291,0),0)</f>
        <v>0</v>
      </c>
      <c r="CY289" s="1485">
        <f>IF(HW289=TRUE,AD289,0)</f>
        <v>0</v>
      </c>
      <c r="CZ289" s="1485">
        <f>IF(HW289=TRUE,AD292,0)</f>
        <v>0</v>
      </c>
      <c r="DA289" s="1485">
        <f>IFERROR(CY289-CZ289,0)</f>
        <v>0</v>
      </c>
      <c r="DC289" s="1353">
        <f>IF(HW289=TRUE,AE290,0)</f>
        <v>0</v>
      </c>
      <c r="DD289" s="1460">
        <f>IF(__Retrofit_TI_NC=2,IF(CN289="Exterior",O292,FM289),FK289)</f>
        <v>0</v>
      </c>
      <c r="DE289" s="1353"/>
      <c r="DF289" s="1406">
        <f>IFERROR(IF(FL289=3,IK289,IF(FL289=4,IL289,IF(FL289=5,IM289,IF(FL289=6,IN289,IF(FL289=7,IO289,IF(FL289=8,IP289,0)))))),0)</f>
        <v>0</v>
      </c>
      <c r="DG289" s="1370">
        <f>IF(HW289=TRUE,AK289,0)</f>
        <v>0</v>
      </c>
      <c r="DH289" s="1369">
        <f>IFERROR(IF(HW289=TRUE,DG291-DG289,0),0)</f>
        <v>0</v>
      </c>
      <c r="DJ289" s="1483">
        <f>IFERROR(CW289-DG289,0)</f>
        <v>0</v>
      </c>
      <c r="DL289" s="1419">
        <f>DJ289-DK291</f>
        <v>0</v>
      </c>
      <c r="DN289" s="1403" t="str">
        <f>IFERROR(IF(AND(OR(FY289=4,FY289=5,FY289=6),OR(GB289=4,GB289=5,GB289=6)),FY289+8,VLOOKUP(CT291,Fixtures!R$31:Y$78,8,FALSE)),"")</f>
        <v/>
      </c>
      <c r="DO289" s="1404" t="str">
        <f>DN289</f>
        <v/>
      </c>
      <c r="DP289" s="1353" t="str">
        <f>IFERROR(VLOOKUP(DD291,Lookup!AU$3:AV$15,2,FALSE),"")</f>
        <v/>
      </c>
      <c r="DQ289" s="1404" t="str">
        <f>IF(DP289=7,"LLLC","")</f>
        <v/>
      </c>
      <c r="DR289" s="1403">
        <f>IFERROR(IF(OR(DN289=4,DN289=5,DN289=6,DN289=12,DN289=13,DN289=14),VLOOKUP(CT291,Fixtures!DN$27:EG$77,19,FALSE),1)*CS291,0)</f>
        <v>0</v>
      </c>
      <c r="DS289" s="1489">
        <f>IF(DP289=7,IF(DD289=DD291,0,DC291),0)</f>
        <v>0</v>
      </c>
      <c r="DU289" s="1403" t="str">
        <f>IFERROR(IF(EW289&lt;EW291,"Yes","No"),"")</f>
        <v/>
      </c>
      <c r="DV289" s="1404" t="str">
        <f>DU289</f>
        <v/>
      </c>
      <c r="DW289" s="1403">
        <f>IF(DU289="Yes",DC291,0)</f>
        <v>0</v>
      </c>
      <c r="DX289" s="1403">
        <f>DW289-DS289</f>
        <v>0</v>
      </c>
      <c r="DZ289" s="1481">
        <f>IFERROR(VLOOKUP(DN289,Lookup!AN$3:AO$16,2,FALSE),0)</f>
        <v>0</v>
      </c>
      <c r="EA289" s="1481">
        <f>IF(HW289=FALSE,0,IF(DU289="Yes",DZ289+Lookup!B$6,DZ289))</f>
        <v>0</v>
      </c>
      <c r="EC289" s="1482">
        <f>IF(HW289=TRUE,DJ289,0)</f>
        <v>0</v>
      </c>
      <c r="ED289" s="1369">
        <f>IF(HW289=TRUE,CW291,0)</f>
        <v>0</v>
      </c>
      <c r="EE289" s="1370">
        <f>IFERROR(EC289-ED289,0)</f>
        <v>0</v>
      </c>
      <c r="EF289" s="1369">
        <f>IF(HW289=TRUE,DG291,0)</f>
        <v>0</v>
      </c>
      <c r="EG289" s="1369">
        <f>IFERROR(EC289-ED289+EF289,0)</f>
        <v>0</v>
      </c>
      <c r="EH289" s="1373">
        <f>IF(HW289=TRUE,CS291*CU291,0)</f>
        <v>0</v>
      </c>
      <c r="EI289" s="1373">
        <f>IF(HW289=TRUE,DC291*DE291,0)</f>
        <v>0</v>
      </c>
      <c r="EJ289" s="1363">
        <f>AO289</f>
        <v>0</v>
      </c>
      <c r="EK289" s="1376" t="str">
        <f>IFERROR(IF(HW289=TRUE,VLOOKUP(DN289,Lookup!AN$3:AP$16,3,FALSE)*DR289,""),0)</f>
        <v/>
      </c>
      <c r="EL289" s="1376">
        <f>IF(HW289=TRUE,DW289*Lookup!AP$12,0)</f>
        <v>0</v>
      </c>
      <c r="EM289" s="1362">
        <f>IFERROR(IF(HW289=TRUE,EK289/EM$33,0),0)</f>
        <v>0</v>
      </c>
      <c r="EN289" s="1362">
        <f>IF(HW289=TRUE,EL289/EN$33,0)</f>
        <v>0</v>
      </c>
      <c r="EO289" s="1363">
        <f>IF(HW289=TRUE,EQ$33*EM289,0)</f>
        <v>0</v>
      </c>
      <c r="EP289" s="1363">
        <f>IF(HW289=TRUE,EQ$33*EN289,0)</f>
        <v>0</v>
      </c>
      <c r="EQ289" s="1363">
        <f>EO289+EP289</f>
        <v>0</v>
      </c>
      <c r="ES289" s="1403">
        <f>IF(G289="",0,1)</f>
        <v>0</v>
      </c>
      <c r="EU289" s="1410" t="e">
        <f>VLOOKUP(CP291,'Space Table'!$B$3:$L$160,8,FALSE)</f>
        <v>#N/A</v>
      </c>
      <c r="EV289" s="1410" t="e">
        <f>IF(EY289="Yes",VLOOKUP(DD289,Lookup_Control_Type_Table2,4,FALSE),VLOOKUP(DD289,Lookup_Control_Type_Table2,3,FALSE))</f>
        <v>#N/A</v>
      </c>
      <c r="EW289" s="1410" t="e">
        <f>VLOOKUP(DD289,Lookup!AU$3:AV$15,2,FALSE)</f>
        <v>#N/A</v>
      </c>
      <c r="EX289" s="1410" t="e">
        <f>VLOOKUP(EU289,Lookup_Control_Type_Table,2,FALSE)</f>
        <v>#N/A</v>
      </c>
      <c r="EY289" s="1410" t="e">
        <f>VLOOKUP(CP291,'Space Table'!$B$3:$L$160,7,FALSE)</f>
        <v>#N/A</v>
      </c>
      <c r="EZ289" s="1412" t="b">
        <f>ISNUMBER(SEARCH("TLED",U291))</f>
        <v>0</v>
      </c>
      <c r="FB289" s="1365" t="str">
        <f>CONCATENATE(CN289," - ",DD289)</f>
        <v xml:space="preserve"> - 0</v>
      </c>
      <c r="FD289" s="1353" t="str">
        <f>VLOOKUP(CT291,Fixtures!DN$27:EZ$77,38,FALSE)</f>
        <v/>
      </c>
      <c r="FE289" s="1353">
        <f>IFERROR(FD289*EE289,0)</f>
        <v>0</v>
      </c>
      <c r="FF289" s="138"/>
      <c r="FI289" s="1356" t="str">
        <f>IF(CN289="Exterior","Not Daylighted",G292)</f>
        <v>Not Daylighted</v>
      </c>
      <c r="FJ289" s="1356">
        <f>VLOOKUP(FI289,_Daylight_Table_Codes,2,FALSE)</f>
        <v>0</v>
      </c>
      <c r="FK289" s="1365">
        <f>IF(__Retrofit_TI_NC=2,VLOOKUP(G291,'Space Table'!$B$3:$L$160,11,FALSE),AF290)</f>
        <v>0</v>
      </c>
      <c r="FL289" s="1365" t="e">
        <f>VLOOKUP(FK289,_Control_Table,2,FALSE)</f>
        <v>#N/A</v>
      </c>
      <c r="FM289" s="1365" t="e">
        <f>IF(AND(FP289&gt;0,FK289="Occupancy Sensor"),"Daylight + Occupancy",IF(AND(FP289&gt;0,FL289&lt;4),"Interior Daylight Dimming",FK289))</f>
        <v>#N/A</v>
      </c>
      <c r="FO289" s="1364">
        <f>IF(CO289="Interior",VLOOKUP(CP289,Control_Savings_Interior,5,FALSE),0)</f>
        <v>0</v>
      </c>
      <c r="FP289" s="1361">
        <f>IF(CN289="Exterior",0,IF(FJ289=2,0.5,IF(OR(FJ289=1,FJ289=3),1,0)))</f>
        <v>0</v>
      </c>
      <c r="FQ289" s="1366"/>
      <c r="FR289" s="1367"/>
      <c r="FS289" s="1364"/>
      <c r="FT289" s="1367"/>
      <c r="FU289" s="1360"/>
      <c r="FW289" s="1352" t="str">
        <f>IFERROR(VLOOKUP(U290,_Exist_Fixture_Table,3,FALSE),"")</f>
        <v/>
      </c>
      <c r="FX289" s="1352" t="str">
        <f>VLOOKUP(CT289,_Exist_Fixture_Table,4,FALSE)</f>
        <v/>
      </c>
      <c r="FY289" s="1352">
        <f>IFERROR(VLOOKUP(FX289,Lookup!AM$6:AN$8,2,FALSE),0)</f>
        <v>0</v>
      </c>
      <c r="FZ289" s="1352" t="b">
        <f>IFERROR(IF(OR(GB289=4,GB289=5,GB289=6),TRUE,FALSE),"")</f>
        <v>0</v>
      </c>
      <c r="GA289" s="1352" t="str">
        <f>IFERROR(VLOOKUP(GB289,FY$6:FZ$10,2,FALSE),"")</f>
        <v/>
      </c>
      <c r="GB289" s="1352" t="str">
        <f>VLOOKUP(CT291,Fixtures!R$31:Y$78,8,FALSE)</f>
        <v/>
      </c>
      <c r="GC289" s="1352">
        <f>IF(AND(FW289=TRUE,FZ289=TRUE,OR(DN289=12,DN289=13,DN289=14)),FY289+8,0)</f>
        <v>0</v>
      </c>
      <c r="GD289" s="1352" t="b">
        <f>IF(OR(GC289=12,GC289=13,GC289=14),TRUE,FALSE)</f>
        <v>0</v>
      </c>
      <c r="GE289" s="759" t="b">
        <f>IF(ISNUMBER(SEARCH("TLED",U290)),TRUE,FALSE)</f>
        <v>0</v>
      </c>
      <c r="GF289" s="1035" t="str">
        <f>IFERROR(VLOOKUP(U290,Fixtures!BM$93:BR$142,6,FALSE),"")</f>
        <v/>
      </c>
      <c r="GG289" s="1385" t="b">
        <f>IF(OR(GE289=FALSE,GE291=FALSE),TRUE,IF(GF289-GF291&lt;5,FALSE,TRUE))</f>
        <v>1</v>
      </c>
      <c r="GK289" s="1034">
        <f>GL289</f>
        <v>0</v>
      </c>
      <c r="GL289" s="1034">
        <f>IF(G289="",0,1)</f>
        <v>0</v>
      </c>
      <c r="GM289" s="1034">
        <f>SUM(GN289:HB289)</f>
        <v>2</v>
      </c>
      <c r="GN289" s="1034">
        <f>IF(G290="",0,1)</f>
        <v>0</v>
      </c>
      <c r="GO289" s="1034">
        <f>IF(G291="",0,1)</f>
        <v>0</v>
      </c>
      <c r="GP289" s="1034">
        <f>IF(R290="",0,1)</f>
        <v>0</v>
      </c>
      <c r="GQ289" s="1034">
        <f>IF(__Retrofit_TI_NC=0,1,IF(R291="",0,1))</f>
        <v>1</v>
      </c>
      <c r="GR289" s="1034">
        <f>IF(CN289="Exterior",1,IF(G292="",0,1))</f>
        <v>1</v>
      </c>
      <c r="GS289" s="1034">
        <f>IF(__Retrofit_TI_NC&lt;&gt;0,1,IF(T290="",0,1))</f>
        <v>0</v>
      </c>
      <c r="GT289" s="1034">
        <f>IF(__Retrofit_TI_NC&lt;&gt;0,1,IF(U290="",0,1))</f>
        <v>0</v>
      </c>
      <c r="GU289" s="1034">
        <f>IF(T291="",0,1)</f>
        <v>0</v>
      </c>
      <c r="GV289" s="1034">
        <f>IF(U291="",0,1)</f>
        <v>0</v>
      </c>
      <c r="GW289" s="1034">
        <f>IF(__Retrofit_TI_NC=2,1,IF(U292="",0,1))</f>
        <v>0</v>
      </c>
      <c r="GX289" s="1034">
        <f>IF(__Retrofit_TI_NC&lt;&gt;0,1,IF(AE290="",0,1))</f>
        <v>0</v>
      </c>
      <c r="GY289" s="1034">
        <f>IF(__Retrofit_TI_NC&lt;&gt;0,1,IF(AF290="",0,1))</f>
        <v>0</v>
      </c>
      <c r="GZ289" s="1034">
        <f>IF(AE291="",0,1)</f>
        <v>0</v>
      </c>
      <c r="HA289" s="1034">
        <f>IF(AF291="",0,1)</f>
        <v>0</v>
      </c>
      <c r="HB289" s="1034">
        <f>IF(__Retrofit_TI_NC=2,1,IF(AF292="",0,1))</f>
        <v>0</v>
      </c>
      <c r="HV289" s="436"/>
      <c r="HW289" s="1384" t="b">
        <f>IF(OR(HW292=0,HW292=HT$16,HW292=HS$16,HW292=HU$16),TRUE,FALSE)</f>
        <v>0</v>
      </c>
      <c r="HX289" s="1377" t="b">
        <f>HW289</f>
        <v>0</v>
      </c>
      <c r="HY289" s="436"/>
      <c r="HZ289" s="436"/>
      <c r="IA289" s="1386" t="b">
        <f>IF(MAX(GJ292:HP292)&gt;5,FALSE,TRUE)</f>
        <v>0</v>
      </c>
      <c r="IB289" s="1380">
        <f>IF(IA289=TRUE,AC289,0)</f>
        <v>0</v>
      </c>
      <c r="IC289" s="1380">
        <f>IB289-IB291</f>
        <v>0</v>
      </c>
      <c r="IF289" s="1380" t="e">
        <f>ROUND(T290*VLOOKUP(U290,Fixtures_Existing_List,2,FALSE)*N290*R290/1000,0)</f>
        <v>#N/A</v>
      </c>
      <c r="IG289" s="1381" t="e">
        <f>IF289-IF291</f>
        <v>#N/A</v>
      </c>
      <c r="IH289" s="1384" t="e">
        <f>ROUND(IF(CN289="Interior",N291*R291*R290*N290*_C406_reduction/1000,N291*R291*R290*N290/1000),0)</f>
        <v>#N/A</v>
      </c>
      <c r="II289" s="1384" t="e">
        <f>IH289-IH291</f>
        <v>#N/A</v>
      </c>
      <c r="IK289" s="1351" t="e">
        <f>IF($CO289="interior",IL289/2,VLOOKUP($CP289,Control_Savings_Exterior,IK$30,FALSE))</f>
        <v>#N/A</v>
      </c>
      <c r="IL289" s="1351" t="e">
        <f>IF($CO289="interior",VLOOKUP($CP289,Control_Savings_Interior,IL$30,FALSE),VLOOKUP($CP289,Control_Savings_Exterior,IL$30,FALSE))</f>
        <v>#N/A</v>
      </c>
      <c r="IM289" s="1351" t="e">
        <f>IF($CO289="interior",IF(R290&gt;FO$37,(IM$28*(FO$37/R290)),IM$28)*FP289,VLOOKUP($CP289,Control_Savings_Exterior,IM$30,FALSE))</f>
        <v>#N/A</v>
      </c>
      <c r="IN289" s="1351" t="e">
        <f>IF($CO289="interior",ROUND(((1-IL289)*IM289)+IL289,2),VLOOKUP($CP289,Control_Savings_Exterior,IN$30,FALSE))</f>
        <v>#N/A</v>
      </c>
      <c r="IO289" s="1351" t="e">
        <f>IF($CO289="interior", ROUND(((1-IL289)*(IM289*(1-IP$28)))+IP289,2), VLOOKUP($CP289,Control_Savings_Exterior,IO$30,FALSE))</f>
        <v>#N/A</v>
      </c>
      <c r="IP289" s="1351">
        <f>IF($CO289="interior",ROUND(((1-IL289)*IP$28)+IL289,2),0)</f>
        <v>0</v>
      </c>
    </row>
    <row r="290" spans="1:250" s="82" customFormat="1" ht="14.95" customHeight="1" thickTop="1" thickBot="1">
      <c r="B290" s="1421"/>
      <c r="C290" s="1422"/>
      <c r="D290" s="1423"/>
      <c r="E290" s="1393" t="s">
        <v>244</v>
      </c>
      <c r="F290" s="1394"/>
      <c r="G290" s="1395"/>
      <c r="H290" s="1395"/>
      <c r="I290" s="1395"/>
      <c r="J290" s="1395"/>
      <c r="K290" s="1395"/>
      <c r="L290" s="1395"/>
      <c r="M290" s="509" t="e">
        <f>IF(__Retrofit_TI_NC&lt;&gt;0,IF(VLOOKUP(G291,'Space Table'!$B$3:$L$160,3,FALSE)&gt;0,1,0),IF(__Retrofit_TI_NC=VLOOKUP(G291,'Space Table'!$B$3:$L$160,3,FALSE),1,0))</f>
        <v>#N/A</v>
      </c>
      <c r="N290" s="509" t="str">
        <f>IFERROR(VLOOKUP(G290,_Lookup_Heat_Type_Table_New,2,FALSE),"")</f>
        <v/>
      </c>
      <c r="O290" s="509">
        <f>IF(__Retrofit_TI_NC=1,CONCATENATE("TI ",G290),IF(__Retrofit_TI_NC=2,CONCATENATE("NC ",G290),G290))</f>
        <v>0</v>
      </c>
      <c r="P290" s="1396" t="s">
        <v>352</v>
      </c>
      <c r="Q290" s="1396"/>
      <c r="R290" s="673"/>
      <c r="S290" s="1429"/>
      <c r="T290" s="675"/>
      <c r="U290" s="1496"/>
      <c r="V290" s="1497"/>
      <c r="W290" s="1497"/>
      <c r="X290" s="1497"/>
      <c r="Y290" s="1497"/>
      <c r="Z290" s="1497"/>
      <c r="AA290" s="1497"/>
      <c r="AB290" s="1497"/>
      <c r="AC290" s="1497"/>
      <c r="AD290" s="1498"/>
      <c r="AE290" s="675"/>
      <c r="AF290" s="1397"/>
      <c r="AG290" s="1397"/>
      <c r="AH290" s="1397"/>
      <c r="AI290" s="1397"/>
      <c r="AJ290" s="1434"/>
      <c r="AK290" s="1436"/>
      <c r="AL290" s="1438"/>
      <c r="AM290" s="1441"/>
      <c r="AN290" s="1442"/>
      <c r="AO290" s="1447"/>
      <c r="AP290" s="1447"/>
      <c r="AQ290" s="1448"/>
      <c r="AR290" s="1452"/>
      <c r="AS290" s="1455"/>
      <c r="AT290" s="1458"/>
      <c r="AU290" s="516"/>
      <c r="AV290" s="1479"/>
      <c r="AW290" s="1479"/>
      <c r="BC290" s="38"/>
      <c r="BD290" s="38"/>
      <c r="BE290" s="38"/>
      <c r="BF290" s="38"/>
      <c r="BG290" s="38"/>
      <c r="BH290" s="38"/>
      <c r="BI290" s="38"/>
      <c r="BJ290" s="38"/>
      <c r="BK290" s="38"/>
      <c r="BL290" s="38"/>
      <c r="BM290" s="38"/>
      <c r="BN290" s="38"/>
      <c r="BO290" s="38"/>
      <c r="BP290" s="38"/>
      <c r="BQ290" s="38"/>
      <c r="BR290" s="38"/>
      <c r="BS290" s="38"/>
      <c r="BT290" s="38"/>
      <c r="BU290" s="38"/>
      <c r="BV290" s="38"/>
      <c r="BW290" s="38"/>
      <c r="BX290" s="38"/>
      <c r="BY290" s="38"/>
      <c r="BZ290" s="38"/>
      <c r="CA290" s="38"/>
      <c r="CB290" s="38"/>
      <c r="CC290" s="38"/>
      <c r="CD290" s="38"/>
      <c r="CE290" s="38"/>
      <c r="CF290" s="38"/>
      <c r="CG290" s="38"/>
      <c r="CH290" s="38"/>
      <c r="CI290" s="38"/>
      <c r="CM290" s="1352"/>
      <c r="CN290" s="1352"/>
      <c r="CO290" s="1416"/>
      <c r="CP290" s="1418"/>
      <c r="CR290" s="1386"/>
      <c r="CS290" s="1355"/>
      <c r="CT290" s="1355"/>
      <c r="CU290" s="1355"/>
      <c r="CV290" s="1372"/>
      <c r="CW290" s="1372"/>
      <c r="CX290" s="1371"/>
      <c r="CY290" s="1486"/>
      <c r="CZ290" s="1486"/>
      <c r="DA290" s="1486"/>
      <c r="DC290" s="1355"/>
      <c r="DD290" s="1461"/>
      <c r="DE290" s="1355"/>
      <c r="DF290" s="1407"/>
      <c r="DG290" s="1372"/>
      <c r="DH290" s="1369"/>
      <c r="DJ290" s="1484"/>
      <c r="DL290" s="1419"/>
      <c r="DN290" s="1403"/>
      <c r="DO290" s="1405"/>
      <c r="DP290" s="1354"/>
      <c r="DQ290" s="1405"/>
      <c r="DR290" s="1403"/>
      <c r="DS290" s="1489"/>
      <c r="DU290" s="1403"/>
      <c r="DV290" s="1405"/>
      <c r="DW290" s="1403"/>
      <c r="DX290" s="1403"/>
      <c r="DZ290" s="1481"/>
      <c r="EA290" s="1481"/>
      <c r="EC290" s="1482"/>
      <c r="ED290" s="1369"/>
      <c r="EE290" s="1371"/>
      <c r="EF290" s="1369"/>
      <c r="EG290" s="1369"/>
      <c r="EH290" s="1374"/>
      <c r="EI290" s="1374"/>
      <c r="EJ290" s="1363"/>
      <c r="EK290" s="1376"/>
      <c r="EL290" s="1376"/>
      <c r="EM290" s="1362"/>
      <c r="EN290" s="1362"/>
      <c r="EO290" s="1363"/>
      <c r="EP290" s="1363"/>
      <c r="EQ290" s="1363"/>
      <c r="ES290" s="1403"/>
      <c r="EU290" s="1411"/>
      <c r="EV290" s="1411"/>
      <c r="EW290" s="1411"/>
      <c r="EX290" s="1411"/>
      <c r="EY290" s="1411"/>
      <c r="EZ290" s="1413"/>
      <c r="FB290" s="1365"/>
      <c r="FD290" s="1354"/>
      <c r="FE290" s="1354"/>
      <c r="FF290" s="138"/>
      <c r="FI290" s="1357"/>
      <c r="FJ290" s="1357"/>
      <c r="FK290" s="1365"/>
      <c r="FL290" s="1365"/>
      <c r="FM290" s="1365"/>
      <c r="FO290" s="1361"/>
      <c r="FP290" s="1361"/>
      <c r="FQ290" s="1366"/>
      <c r="FR290" s="1368"/>
      <c r="FS290" s="1361"/>
      <c r="FT290" s="1368"/>
      <c r="FU290" s="1360"/>
      <c r="FW290" s="1352"/>
      <c r="FX290" s="1352"/>
      <c r="FY290" s="1352"/>
      <c r="FZ290" s="1352"/>
      <c r="GA290" s="1352"/>
      <c r="GB290" s="1352"/>
      <c r="GC290" s="1352"/>
      <c r="GD290" s="1352"/>
      <c r="GE290" s="759"/>
      <c r="GF290" s="1035"/>
      <c r="GG290" s="1385"/>
      <c r="GI290" s="1384" t="b">
        <f>IF(AND(GL290=TRUE,GM290=TRUE),TRUE,FALSE)</f>
        <v>0</v>
      </c>
      <c r="GJ290" s="1379" t="b">
        <f>IFERROR(IF(__Retrofit_TI_NC=2,TRUE,IF(AR289="Yes",TRUE,FALSE)),FALSE)</f>
        <v>1</v>
      </c>
      <c r="GL290" s="1379" t="b">
        <f>IFERROR(IF(GL289=1,TRUE,FALSE),FALSE)</f>
        <v>0</v>
      </c>
      <c r="GM290" s="1379" t="b">
        <f>IFERROR(IF(GM289=GM$14,TRUE,FALSE),FALSE)</f>
        <v>0</v>
      </c>
      <c r="HC290" s="1379" t="b">
        <f>IFERROR(IF(M290=1,TRUE,FALSE),FALSE)</f>
        <v>0</v>
      </c>
      <c r="HD290" s="1379" t="b">
        <f>IFERROR(IF(M291=1,TRUE,FALSE),FALSE)</f>
        <v>0</v>
      </c>
      <c r="HE290" s="1379" t="b">
        <f>IFERROR(IF(__Retrofit_TI_NC&lt;&gt;0,TRUE,IFERROR(IF(VLOOKUP(U290,Fixtures_Existing_List,2,FALSE)&lt;&gt;"",TRUE,FALSE),FALSE)),FALSE)</f>
        <v>0</v>
      </c>
      <c r="HF290" s="1379" t="b">
        <f>IFERROR(IF(VLOOKUP(U291,Fixtures_Proposed_List,2,FALSE)&lt;&gt;"",TRUE,FALSE),FALSE)</f>
        <v>0</v>
      </c>
      <c r="HG290" s="1379" t="b">
        <f>IF(AND(__Retrofit_TI_NC=2,EZ289=TRUE),FALSE,TRUE)</f>
        <v>1</v>
      </c>
      <c r="HH290" s="1379" t="b">
        <f>GG289</f>
        <v>1</v>
      </c>
      <c r="HI290" s="1384" t="b">
        <f>IF(ISERROR(MATCH(FB289,_Control_Match[],0))=TRUE,FALSE,TRUE)</f>
        <v>0</v>
      </c>
      <c r="HJ290" s="1384" t="b">
        <f>IFERROR(IF(EU289&lt;&gt;EV289,FALSE,TRUE),FALSE)</f>
        <v>0</v>
      </c>
      <c r="HK290" s="1384" t="b">
        <f>IFERROR(IF(EU291&lt;&gt;EV291,FALSE,TRUE),FALSE)</f>
        <v>0</v>
      </c>
      <c r="HL290" s="1379" t="b">
        <f>IFERROR(IF(CN289="Exterior",TRUE,IF(OR(AND(FJ289=0,EW291&gt;4),AND(FJ289=4,EW291&gt;4,EW291&lt;7)),FALSE,TRUE)),FALSE)</f>
        <v>0</v>
      </c>
      <c r="HM290" s="1379" t="b">
        <f>IFERROR(IF(AND(FL291=7,EZ289=TRUE),FALSE,TRUE),FALSE)</f>
        <v>0</v>
      </c>
      <c r="HN290" s="1379" t="b">
        <f>IFERROR(IF(AND(T291&lt;&gt;AE291,AF291="Interior LLLC")=TRUE,FALSE,TRUE),FALSE)</f>
        <v>1</v>
      </c>
      <c r="HO290" s="1379" t="b">
        <f>IFERROR(IF(OR(AF291=Lookup!AU$13,AF291=Lookup!AU$14)=TRUE,IF(AE291&gt;T291,FALSE,TRUE),TRUE),FALSE)</f>
        <v>1</v>
      </c>
      <c r="HP290" s="1379" t="b">
        <f>IFERROR(IF(__Retrofit_TI_NC=2,IF(EW291&lt;EW289,FALSE,TRUE),TRUE),FALSE)</f>
        <v>1</v>
      </c>
      <c r="HQ290" s="1379" t="b">
        <f>IF(CN289="Interior",IG$6,TRUE)</f>
        <v>1</v>
      </c>
      <c r="HR290" s="1379" t="b">
        <f>IF(CN289="Exterior",IG$8,TRUE)</f>
        <v>1</v>
      </c>
      <c r="HS290" s="1379" t="b">
        <f>IFERROR(IF(__Retrofit_TI_NC&lt;&gt;0,IF(AW289&lt;AV289,FALSE,TRUE),TRUE),FALSE)</f>
        <v>1</v>
      </c>
      <c r="HT290" s="1379" t="b">
        <f>IFERROR(IF(AND(G290="Exterior",R290&gt;4200),FALSE,TRUE),FALSE)</f>
        <v>1</v>
      </c>
      <c r="HU290" s="1379" t="b">
        <f>IFERROR(IF(AB292/AB289&lt;HU$18,FALSE,TRUE),FALSE)</f>
        <v>0</v>
      </c>
      <c r="HW290" s="1382"/>
      <c r="HX290" s="1378"/>
      <c r="HY290" s="1377" t="str">
        <f>VLOOKUP(HW292,_Error_Table,4,FALSE)</f>
        <v>White</v>
      </c>
      <c r="HZ290" s="436"/>
      <c r="IA290" s="1386"/>
      <c r="IB290" s="1380"/>
      <c r="IC290" s="1379"/>
      <c r="IF290" s="1380"/>
      <c r="IG290" s="1382"/>
      <c r="IH290" s="1382"/>
      <c r="II290" s="1382"/>
      <c r="IK290" s="1351"/>
      <c r="IL290" s="1351"/>
      <c r="IM290" s="1351"/>
      <c r="IN290" s="1351"/>
      <c r="IO290" s="1351"/>
      <c r="IP290" s="1351"/>
    </row>
    <row r="291" spans="1:250" s="82" customFormat="1" ht="14.95" customHeight="1" thickTop="1" thickBot="1">
      <c r="A291" s="82">
        <f>ROW()</f>
        <v>291</v>
      </c>
      <c r="B291" s="1421"/>
      <c r="C291" s="1422"/>
      <c r="D291" s="1423"/>
      <c r="E291" s="1393" t="s">
        <v>245</v>
      </c>
      <c r="F291" s="1394"/>
      <c r="G291" s="1398"/>
      <c r="H291" s="1399"/>
      <c r="I291" s="1399"/>
      <c r="J291" s="1399"/>
      <c r="K291" s="1399"/>
      <c r="L291" s="1400"/>
      <c r="M291" s="509">
        <f>IFERROR(IF(IF(__Retrofit_TI_NC&lt;&gt;0,IF(CN289="Interior",MATCH(G291,Lookup_Interior_New,0),MATCH(G291,Lookup_Exterior_New,0)),IF(CN289="Interior",MATCH(G291,Lookup_Interior,0),MATCH(G291,Lookup_Exterior_Areas,0)))&gt;0,1,0),0)</f>
        <v>0</v>
      </c>
      <c r="N291" s="509" t="e">
        <f>IF(__Retrofit_TI_NC=1,
VLOOKUP(G291,'Space Table'!$B$3:$L$160,4,FALSE),
IF(__Retrofit_TI_NC=2,VLOOKUP(G291,'Space Table'!$B$3:$L$160,5,FALSE),VLOOKUP(G291,'Space Table'!$B$3:$L$160,5,FALSE)))</f>
        <v>#N/A</v>
      </c>
      <c r="O291" s="509">
        <f>G291</f>
        <v>0</v>
      </c>
      <c r="P291" s="1394" t="s">
        <v>355</v>
      </c>
      <c r="Q291" s="1394"/>
      <c r="R291" s="674"/>
      <c r="S291" s="1401" t="s">
        <v>284</v>
      </c>
      <c r="T291" s="672"/>
      <c r="U291" s="1499"/>
      <c r="V291" s="1500"/>
      <c r="W291" s="1500"/>
      <c r="X291" s="1500"/>
      <c r="Y291" s="1500"/>
      <c r="Z291" s="1500"/>
      <c r="AA291" s="1500"/>
      <c r="AB291" s="1501"/>
      <c r="AC291" s="1501"/>
      <c r="AD291" s="1502"/>
      <c r="AE291" s="672"/>
      <c r="AF291" s="1474"/>
      <c r="AG291" s="1474"/>
      <c r="AH291" s="1474"/>
      <c r="AI291" s="1474"/>
      <c r="AJ291" s="1475">
        <f>DF291</f>
        <v>0</v>
      </c>
      <c r="AK291" s="1470" t="str">
        <f>IFERROR(ROUND(AJ291*AC292,0),"")</f>
        <v/>
      </c>
      <c r="AL291" s="1472">
        <f>IFERROR(IF(HW289=FALSE,0,AC292-AK291),0)</f>
        <v>0</v>
      </c>
      <c r="AM291" s="1441"/>
      <c r="AN291" s="1442"/>
      <c r="AO291" s="1447"/>
      <c r="AP291" s="1447"/>
      <c r="AQ291" s="1448"/>
      <c r="AR291" s="1452"/>
      <c r="AS291" s="1455"/>
      <c r="AT291" s="1458"/>
      <c r="AU291" s="516"/>
      <c r="AV291" s="1479"/>
      <c r="AW291" s="1479"/>
      <c r="BC291" s="38"/>
      <c r="BD291" s="38"/>
      <c r="BE291" s="38"/>
      <c r="BF291" s="38"/>
      <c r="BG291" s="38"/>
      <c r="BH291" s="38"/>
      <c r="BI291" s="38"/>
      <c r="BJ291" s="38"/>
      <c r="BK291" s="38"/>
      <c r="BL291" s="38"/>
      <c r="BM291" s="38"/>
      <c r="BN291" s="38"/>
      <c r="BO291" s="38"/>
      <c r="BP291" s="38"/>
      <c r="BQ291" s="38"/>
      <c r="BR291" s="38"/>
      <c r="BS291" s="38"/>
      <c r="BT291" s="38"/>
      <c r="BU291" s="38"/>
      <c r="BV291" s="38"/>
      <c r="BW291" s="38"/>
      <c r="BX291" s="38"/>
      <c r="BY291" s="38"/>
      <c r="BZ291" s="38"/>
      <c r="CA291" s="38"/>
      <c r="CB291" s="38"/>
      <c r="CC291" s="38"/>
      <c r="CD291" s="38"/>
      <c r="CE291" s="38"/>
      <c r="CF291" s="38"/>
      <c r="CG291" s="38"/>
      <c r="CH291" s="38"/>
      <c r="CI291" s="38"/>
      <c r="CM291" s="1352"/>
      <c r="CN291" s="1352"/>
      <c r="CO291" s="1415" t="str">
        <f>CN289</f>
        <v/>
      </c>
      <c r="CP291" s="1417" t="e">
        <f>CP289</f>
        <v>#N/A</v>
      </c>
      <c r="CR291" s="1386" t="s">
        <v>284</v>
      </c>
      <c r="CS291" s="1353">
        <f>IF(HW289=TRUE,T291,0)</f>
        <v>0</v>
      </c>
      <c r="CT291" s="1353" t="str">
        <f>IF(HW289=TRUE,U291,"")</f>
        <v/>
      </c>
      <c r="CU291" s="1373">
        <f>IF(HW289=TRUE,U292,0)</f>
        <v>0</v>
      </c>
      <c r="CV291" s="1370">
        <f>IF(HW289=TRUE,AB292,0)</f>
        <v>0</v>
      </c>
      <c r="CW291" s="1370">
        <f>IF(HW289=TRUE,AC292,0)</f>
        <v>0</v>
      </c>
      <c r="CX291" s="1371"/>
      <c r="CY291" s="1486"/>
      <c r="CZ291" s="1486"/>
      <c r="DA291" s="1486"/>
      <c r="DC291" s="1353">
        <f>IF(HW289=TRUE,AE291,0)</f>
        <v>0</v>
      </c>
      <c r="DD291" s="1353" t="str">
        <f>IF(HW289=TRUE,AF291,"")</f>
        <v/>
      </c>
      <c r="DE291" s="1373">
        <f>AF292</f>
        <v>0</v>
      </c>
      <c r="DF291" s="1406">
        <f>IFERROR(IF(FL291=3,IK291,IF(FL291=4,IL291,IF(FL291=5,IM291,IF(FL291=6,IN291,IF(FL291=7,IO291,IF(FL291=8,IP291,0)))))),0)</f>
        <v>0</v>
      </c>
      <c r="DG291" s="1370">
        <f>IF(HW289=TRUE,AK291,0)</f>
        <v>0</v>
      </c>
      <c r="DH291" s="1369"/>
      <c r="DK291" s="1483">
        <f>IFERROR(CW291-DG291,0)</f>
        <v>0</v>
      </c>
      <c r="DL291" s="1420"/>
      <c r="DN291" s="1403"/>
      <c r="DO291" s="1477" t="str">
        <f>DN289</f>
        <v/>
      </c>
      <c r="DP291" s="1354"/>
      <c r="DQ291" s="1477" t="str">
        <f>IF(DP289=7,"LLLC","")</f>
        <v/>
      </c>
      <c r="DR291" s="1403"/>
      <c r="DS291" s="1489"/>
      <c r="DU291" s="1403"/>
      <c r="DV291" s="1404" t="str">
        <f>DU289</f>
        <v/>
      </c>
      <c r="DW291" s="1403"/>
      <c r="DX291" s="1403"/>
      <c r="DZ291" s="1481"/>
      <c r="EA291" s="1481"/>
      <c r="EC291" s="1482"/>
      <c r="ED291" s="1369"/>
      <c r="EE291" s="1371"/>
      <c r="EF291" s="1369"/>
      <c r="EG291" s="1369"/>
      <c r="EH291" s="1374"/>
      <c r="EI291" s="1374"/>
      <c r="EJ291" s="1363"/>
      <c r="EK291" s="1376"/>
      <c r="EL291" s="1376"/>
      <c r="EM291" s="1362"/>
      <c r="EN291" s="1362"/>
      <c r="EO291" s="1363"/>
      <c r="EP291" s="1363"/>
      <c r="EQ291" s="1363"/>
      <c r="ES291" s="1403"/>
      <c r="EU291" s="1411" t="e">
        <f>VLOOKUP(CP291,'Space Table'!$B$3:$L$160,8,FALSE)</f>
        <v>#N/A</v>
      </c>
      <c r="EV291" s="1411" t="e">
        <f>IF(EY291="Yes",VLOOKUP(AF291,Lookup_Control_Type_Table2,4,FALSE),VLOOKUP(AF291,Lookup_Control_Type_Table2,3,FALSE))</f>
        <v>#N/A</v>
      </c>
      <c r="EW291" s="1411" t="e">
        <f>VLOOKUP(AF291,Lookup!AU$3:AV$15,2,FALSE)</f>
        <v>#N/A</v>
      </c>
      <c r="EX291" s="1411" t="e">
        <f>VLOOKUP(EU289,Lookup_Control_Type_Table,2,FALSE)</f>
        <v>#N/A</v>
      </c>
      <c r="EY291" s="1411" t="e">
        <f>VLOOKUP(CP291,'Space Table'!$B$3:$L$160,7,FALSE)</f>
        <v>#N/A</v>
      </c>
      <c r="EZ291" s="1413"/>
      <c r="FB291" s="1365" t="str">
        <f>CONCATENATE(CN289," - ",AF291)</f>
        <v xml:space="preserve"> - </v>
      </c>
      <c r="FD291" s="1354"/>
      <c r="FE291" s="1354"/>
      <c r="FF291" s="138"/>
      <c r="FI291" s="1356" t="str">
        <f>IF(CN289="Exterior","Not Daylighted",G292)</f>
        <v>Not Daylighted</v>
      </c>
      <c r="FJ291" s="1356">
        <f>VLOOKUP(FI291,_Daylight_Table_Codes,2,FALSE)</f>
        <v>0</v>
      </c>
      <c r="FK291" s="1365">
        <f>AF291</f>
        <v>0</v>
      </c>
      <c r="FL291" s="1365" t="e">
        <f>VLOOKUP(FK291,_Control_Table,2,FALSE)</f>
        <v>#N/A</v>
      </c>
      <c r="FM291" s="1365" t="e">
        <f>IF(AND(FP291&gt;0,FK291="Occupancy Sensor"),"Daylight + Occupancy",IF(AND(FP291&gt;0,FL291&lt;4),"Interior Daylight Dimming",FK291))</f>
        <v>#N/A</v>
      </c>
      <c r="FO291" s="1364">
        <f>IF(CN289="Interior",VLOOKUP(CP289,Control_Savings_Interior,5,FALSE),0)</f>
        <v>0</v>
      </c>
      <c r="FP291" s="1361">
        <f>IF(CN291="Exterior",0,IF(FJ291=2,0.5,IF(OR(FJ291=1,FJ291=3),1,0)))</f>
        <v>0</v>
      </c>
      <c r="FQ291" s="1366">
        <f>IF(R290&gt;FO$37,(FO291*(FO$37/R290)),FO291)*FP291</f>
        <v>0</v>
      </c>
      <c r="FR291" s="1364">
        <f>DF291</f>
        <v>0</v>
      </c>
      <c r="FS291" s="1364">
        <f>ROUND(FR291+((1-FR291)*FQ291),2)</f>
        <v>0</v>
      </c>
      <c r="FT291" s="1364">
        <f>IF(__Retrofit_TI_NC=2,FS291,FR291)</f>
        <v>0</v>
      </c>
      <c r="FU291" s="1360">
        <f>IF(CO291="Interior",VLOOKUP(CP291,Control_Savings_Interior,4,FALSE),0)</f>
        <v>0</v>
      </c>
      <c r="FW291" s="1352"/>
      <c r="FX291" s="1352"/>
      <c r="FY291" s="1352"/>
      <c r="FZ291" s="1352"/>
      <c r="GA291" s="1352"/>
      <c r="GB291" s="1352"/>
      <c r="GC291" s="1352"/>
      <c r="GD291" s="1352"/>
      <c r="GE291" s="759" t="b">
        <f>IF(ISNUMBER(SEARCH("TLED",U291)),TRUE,FALSE)</f>
        <v>0</v>
      </c>
      <c r="GF291" s="1035" t="str">
        <f>IFERROR(VLOOKUP(U291,Fixtures!DM$93:DR$142,6,FALSE),"")</f>
        <v/>
      </c>
      <c r="GG291" s="1385"/>
      <c r="GI291" s="1383"/>
      <c r="GJ291" s="1379"/>
      <c r="GL291" s="1379"/>
      <c r="GM291" s="1379"/>
      <c r="HC291" s="1379"/>
      <c r="HD291" s="1379"/>
      <c r="HE291" s="1379"/>
      <c r="HF291" s="1379"/>
      <c r="HG291" s="1379"/>
      <c r="HH291" s="1379"/>
      <c r="HI291" s="1383"/>
      <c r="HJ291" s="1383"/>
      <c r="HK291" s="1383"/>
      <c r="HL291" s="1379"/>
      <c r="HM291" s="1379"/>
      <c r="HN291" s="1379"/>
      <c r="HO291" s="1379"/>
      <c r="HP291" s="1379"/>
      <c r="HQ291" s="1379"/>
      <c r="HR291" s="1379"/>
      <c r="HS291" s="1379"/>
      <c r="HT291" s="1379"/>
      <c r="HU291" s="1379"/>
      <c r="HW291" s="1383"/>
      <c r="HX291" s="1384" t="b">
        <f>HW289</f>
        <v>0</v>
      </c>
      <c r="HY291" s="1378"/>
      <c r="HZ291" s="436"/>
      <c r="IA291" s="1386"/>
      <c r="IB291" s="1380">
        <f>IF(IA289=TRUE,AC292,0)</f>
        <v>0</v>
      </c>
      <c r="IC291" s="1379"/>
      <c r="IF291" s="1380" t="e">
        <f>ROUND(T291*AB292*N290*R290/1000,0)</f>
        <v>#VALUE!</v>
      </c>
      <c r="IG291" s="1382"/>
      <c r="IH291" s="1384" t="e">
        <f>ROUND(T291*AB292*N290*R290/1000,0)</f>
        <v>#VALUE!</v>
      </c>
      <c r="II291" s="1382"/>
      <c r="IK291" s="1351" t="e">
        <f>IF($CO291="interior",IL291/2,VLOOKUP($CP291,Control_Savings_Exterior,IK$30,FALSE))</f>
        <v>#N/A</v>
      </c>
      <c r="IL291" s="1351" t="e">
        <f>IF($CO291="interior",VLOOKUP($CP291,Control_Savings_Interior,IL$30,FALSE),VLOOKUP($CP291,Control_Savings_Exterior,IL$30,FALSE))</f>
        <v>#N/A</v>
      </c>
      <c r="IM291" s="1351" t="e">
        <f>IF($CO291="interior",IF(R290&gt;FO$37,(IM$28*(FO$37/R290)),IM$28)*FP291,VLOOKUP($CP291,Control_Savings_Exterior,IM$30,FALSE))</f>
        <v>#N/A</v>
      </c>
      <c r="IN291" s="1351" t="e">
        <f>IF($CO291="interior",ROUND(((1-IL291)*IM291)+IL291,2),VLOOKUP($CP291,Control_Savings_Exterior,IN$30,FALSE))</f>
        <v>#N/A</v>
      </c>
      <c r="IO291" s="1351" t="e">
        <f>IF($CO291="interior", ROUND(((1-IL291)*(IM291*(1-IP$28)))+IP291,2), VLOOKUP($CP291,Control_Savings_Exterior,IO$30,FALSE))</f>
        <v>#N/A</v>
      </c>
      <c r="IP291" s="1351">
        <f>IF($CO291="interior",ROUND(((1-IL291)*IP$28)+IL291,2),0)</f>
        <v>0</v>
      </c>
    </row>
    <row r="292" spans="1:250" s="82" customFormat="1" ht="14.95" customHeight="1" thickTop="1" thickBot="1">
      <c r="B292" s="1421"/>
      <c r="C292" s="1422"/>
      <c r="D292" s="1423"/>
      <c r="E292" s="1462" t="s">
        <v>357</v>
      </c>
      <c r="F292" s="1463"/>
      <c r="G292" s="1464" t="s">
        <v>362</v>
      </c>
      <c r="H292" s="1465"/>
      <c r="I292" s="1465"/>
      <c r="J292" s="1465"/>
      <c r="K292" s="1465"/>
      <c r="L292" s="1466"/>
      <c r="M292" s="669">
        <f>IFERROR(VLOOKUP(G292,_Daylight_Table[],2,FALSE),0)</f>
        <v>0</v>
      </c>
      <c r="N292" s="670"/>
      <c r="O292" s="669" t="e">
        <f>VLOOKUP(G291,'Space Table'!$B$3:$L$160,11,FALSE)</f>
        <v>#N/A</v>
      </c>
      <c r="P292" s="1408"/>
      <c r="Q292" s="1409"/>
      <c r="R292" s="1409"/>
      <c r="S292" s="1402"/>
      <c r="T292" s="671" t="s">
        <v>281</v>
      </c>
      <c r="U292" s="1467" t="str">
        <f>IFERROR(VLOOKUP(U291,Fixtures!DM$93:DP$142,4,FALSE),"")</f>
        <v/>
      </c>
      <c r="V292" s="1468"/>
      <c r="W292" s="1468"/>
      <c r="X292" s="1468"/>
      <c r="Y292" s="1468"/>
      <c r="Z292" s="1468"/>
      <c r="AA292" s="1468"/>
      <c r="AB292" s="1046" t="str">
        <f>IFERROR(VLOOKUP(U291,Fixtures_Proposed_List,2,FALSE),"")</f>
        <v/>
      </c>
      <c r="AC292" s="1036" t="str">
        <f>IFERROR(ROUND(T291*AB292*N290*R290/1000,0),"")</f>
        <v/>
      </c>
      <c r="AD292" s="1037" t="str">
        <f>IFERROR(ROUND(T291*AB292/1000,2),"")</f>
        <v/>
      </c>
      <c r="AE292" s="1045" t="s">
        <v>281</v>
      </c>
      <c r="AF292" s="1469"/>
      <c r="AG292" s="1469"/>
      <c r="AH292" s="1469"/>
      <c r="AI292" s="1469"/>
      <c r="AJ292" s="1476"/>
      <c r="AK292" s="1471"/>
      <c r="AL292" s="1473"/>
      <c r="AM292" s="1443"/>
      <c r="AN292" s="1444"/>
      <c r="AO292" s="1449"/>
      <c r="AP292" s="1449"/>
      <c r="AQ292" s="1450"/>
      <c r="AR292" s="1453"/>
      <c r="AS292" s="1456"/>
      <c r="AT292" s="1459"/>
      <c r="AU292" s="517"/>
      <c r="AV292" s="1480"/>
      <c r="AW292" s="1480"/>
      <c r="BC292" s="38"/>
      <c r="BD292" s="38"/>
      <c r="BE292" s="38"/>
      <c r="BF292" s="38"/>
      <c r="BG292" s="38"/>
      <c r="BH292" s="38"/>
      <c r="BI292" s="38"/>
      <c r="BJ292" s="38"/>
      <c r="BK292" s="38"/>
      <c r="BL292" s="38"/>
      <c r="BM292" s="38"/>
      <c r="BN292" s="38"/>
      <c r="BO292" s="38"/>
      <c r="BP292" s="38"/>
      <c r="BQ292" s="38"/>
      <c r="BR292" s="38"/>
      <c r="BS292" s="38"/>
      <c r="BT292" s="38"/>
      <c r="BU292" s="38"/>
      <c r="BV292" s="38"/>
      <c r="BW292" s="38"/>
      <c r="BX292" s="38"/>
      <c r="BY292" s="38"/>
      <c r="BZ292" s="38"/>
      <c r="CA292" s="38"/>
      <c r="CB292" s="38"/>
      <c r="CC292" s="38"/>
      <c r="CD292" s="38"/>
      <c r="CE292" s="38"/>
      <c r="CF292" s="38"/>
      <c r="CG292" s="38"/>
      <c r="CH292" s="38"/>
      <c r="CI292" s="38"/>
      <c r="CM292" s="1352"/>
      <c r="CN292" s="1352"/>
      <c r="CO292" s="1416"/>
      <c r="CP292" s="1418"/>
      <c r="CR292" s="1386"/>
      <c r="CS292" s="1355"/>
      <c r="CT292" s="1355"/>
      <c r="CU292" s="1375"/>
      <c r="CV292" s="1372"/>
      <c r="CW292" s="1372"/>
      <c r="CX292" s="1372"/>
      <c r="CY292" s="1487"/>
      <c r="CZ292" s="1487"/>
      <c r="DA292" s="1487"/>
      <c r="DC292" s="1355"/>
      <c r="DD292" s="1355"/>
      <c r="DE292" s="1375"/>
      <c r="DF292" s="1407"/>
      <c r="DG292" s="1372"/>
      <c r="DH292" s="1369"/>
      <c r="DK292" s="1484"/>
      <c r="DL292" s="1420"/>
      <c r="DN292" s="1403"/>
      <c r="DO292" s="1405"/>
      <c r="DP292" s="1355"/>
      <c r="DQ292" s="1405"/>
      <c r="DR292" s="1403"/>
      <c r="DS292" s="1489"/>
      <c r="DU292" s="1403"/>
      <c r="DV292" s="1405"/>
      <c r="DW292" s="1403"/>
      <c r="DX292" s="1403"/>
      <c r="DZ292" s="1481"/>
      <c r="EA292" s="1481"/>
      <c r="EC292" s="1482"/>
      <c r="ED292" s="1369"/>
      <c r="EE292" s="1372"/>
      <c r="EF292" s="1369"/>
      <c r="EG292" s="1369"/>
      <c r="EH292" s="1375"/>
      <c r="EI292" s="1375"/>
      <c r="EJ292" s="1363"/>
      <c r="EK292" s="1376"/>
      <c r="EL292" s="1376"/>
      <c r="EM292" s="1362"/>
      <c r="EN292" s="1362"/>
      <c r="EO292" s="1363"/>
      <c r="EP292" s="1363"/>
      <c r="EQ292" s="1363"/>
      <c r="ES292" s="1403"/>
      <c r="EU292" s="1488"/>
      <c r="EV292" s="1488"/>
      <c r="EW292" s="1488"/>
      <c r="EX292" s="1488"/>
      <c r="EY292" s="1488"/>
      <c r="EZ292" s="1414"/>
      <c r="FB292" s="1365"/>
      <c r="FD292" s="1355"/>
      <c r="FE292" s="1355"/>
      <c r="FF292" s="138"/>
      <c r="FI292" s="1357"/>
      <c r="FJ292" s="1357"/>
      <c r="FK292" s="1365"/>
      <c r="FL292" s="1365"/>
      <c r="FM292" s="1365"/>
      <c r="FO292" s="1361"/>
      <c r="FP292" s="1361"/>
      <c r="FQ292" s="1366"/>
      <c r="FR292" s="1361"/>
      <c r="FS292" s="1361"/>
      <c r="FT292" s="1361"/>
      <c r="FU292" s="1360"/>
      <c r="FW292" s="1352"/>
      <c r="FX292" s="1352"/>
      <c r="FY292" s="1352"/>
      <c r="FZ292" s="1352"/>
      <c r="GA292" s="1352"/>
      <c r="GB292" s="1352"/>
      <c r="GC292" s="1352"/>
      <c r="GD292" s="1352"/>
      <c r="GE292" s="759"/>
      <c r="GF292" s="1035"/>
      <c r="GG292" s="1385"/>
      <c r="GJ292" s="1034">
        <f>IF(GJ290=TRUE,0,GJ$16)</f>
        <v>0</v>
      </c>
      <c r="GL292" s="1034">
        <f>IF(GL290=TRUE,0,GL$16)</f>
        <v>36</v>
      </c>
      <c r="GM292" s="1034">
        <f>IF(GM290=TRUE,0,GM$16)</f>
        <v>35</v>
      </c>
      <c r="GN292" s="436"/>
      <c r="GO292" s="436"/>
      <c r="GP292" s="436"/>
      <c r="GQ292" s="436"/>
      <c r="GR292" s="436"/>
      <c r="HC292" s="1034">
        <f t="shared" ref="HC292:HH292" si="206">IF(HC290=TRUE,0,HC$16)</f>
        <v>19</v>
      </c>
      <c r="HD292" s="1034">
        <f t="shared" si="206"/>
        <v>18</v>
      </c>
      <c r="HE292" s="1034">
        <f t="shared" si="206"/>
        <v>17</v>
      </c>
      <c r="HF292" s="1034">
        <f t="shared" si="206"/>
        <v>16</v>
      </c>
      <c r="HG292" s="1034">
        <f t="shared" si="206"/>
        <v>0</v>
      </c>
      <c r="HH292" s="1034">
        <f t="shared" si="206"/>
        <v>0</v>
      </c>
      <c r="HI292" s="1034">
        <f>IF(HI290=TRUE,0,HI$16)</f>
        <v>13</v>
      </c>
      <c r="HJ292" s="1034">
        <f t="shared" ref="HJ292:HL292" si="207">IF(HJ290=TRUE,0,HJ$16)</f>
        <v>12</v>
      </c>
      <c r="HK292" s="1034">
        <f t="shared" si="207"/>
        <v>11</v>
      </c>
      <c r="HL292" s="1034">
        <f t="shared" si="207"/>
        <v>10</v>
      </c>
      <c r="HM292" s="1034">
        <f>IF(HM290=TRUE,0,HM$16)</f>
        <v>9</v>
      </c>
      <c r="HN292" s="1034">
        <f t="shared" ref="HN292:HR292" si="208">IF(HN290=TRUE,0,HN$16)</f>
        <v>0</v>
      </c>
      <c r="HO292" s="1034">
        <f t="shared" si="208"/>
        <v>0</v>
      </c>
      <c r="HP292" s="1034">
        <f t="shared" si="208"/>
        <v>0</v>
      </c>
      <c r="HQ292" s="1034">
        <f t="shared" si="208"/>
        <v>0</v>
      </c>
      <c r="HR292" s="1034">
        <f t="shared" si="208"/>
        <v>0</v>
      </c>
      <c r="HS292" s="1034">
        <f>IF(HS290=TRUE,0,HS$16)</f>
        <v>0</v>
      </c>
      <c r="HT292" s="1034">
        <f t="shared" ref="HT292" si="209">IF(HT290=TRUE,0,HT$16)</f>
        <v>0</v>
      </c>
      <c r="HU292" s="1034">
        <f>IF(HU290=TRUE,0,HU$16)</f>
        <v>1</v>
      </c>
      <c r="HW292" s="1034">
        <f>IF(GL290=FALSE,GL292,IF(GM290=FALSE,GM292,MAX(GJ292:HU292)))</f>
        <v>36</v>
      </c>
      <c r="HX292" s="1383"/>
      <c r="HY292" s="241" t="str">
        <f>VLOOKUP(HW292,_Error_Table,3,FALSE)</f>
        <v xml:space="preserve"> </v>
      </c>
      <c r="HZ292" s="241"/>
      <c r="IA292" s="1386"/>
      <c r="IB292" s="1380"/>
      <c r="IC292" s="1379"/>
      <c r="IF292" s="1380"/>
      <c r="IG292" s="1383"/>
      <c r="IH292" s="1383"/>
      <c r="II292" s="1383"/>
      <c r="IK292" s="1351"/>
      <c r="IL292" s="1351"/>
      <c r="IM292" s="1351"/>
      <c r="IN292" s="1351"/>
      <c r="IO292" s="1351"/>
      <c r="IP292" s="1351"/>
    </row>
    <row r="293" spans="1:250" s="82" customFormat="1" ht="5.0999999999999996" customHeight="1" thickBot="1">
      <c r="B293" s="763"/>
      <c r="C293" s="1038"/>
      <c r="D293" s="1038"/>
      <c r="E293" s="1490"/>
      <c r="F293" s="1490"/>
      <c r="G293" s="1490"/>
      <c r="H293" s="1490"/>
      <c r="I293" s="1490"/>
      <c r="J293" s="1490"/>
      <c r="K293" s="1490"/>
      <c r="L293" s="1490"/>
      <c r="M293" s="1490"/>
      <c r="N293" s="1490"/>
      <c r="O293" s="1490"/>
      <c r="P293" s="1490"/>
      <c r="Q293" s="1490"/>
      <c r="R293" s="1490"/>
      <c r="S293" s="1490"/>
      <c r="T293" s="1490"/>
      <c r="U293" s="1490"/>
      <c r="V293" s="1490"/>
      <c r="W293" s="1490"/>
      <c r="X293" s="1490"/>
      <c r="Y293" s="1490"/>
      <c r="Z293" s="1490"/>
      <c r="AA293" s="1490"/>
      <c r="AB293" s="1490"/>
      <c r="AC293" s="1490"/>
      <c r="AD293" s="1490"/>
      <c r="AE293" s="1490"/>
      <c r="AF293" s="1490"/>
      <c r="AG293" s="1490"/>
      <c r="AH293" s="1490"/>
      <c r="AI293" s="1490"/>
      <c r="AJ293" s="1490"/>
      <c r="AK293" s="1490"/>
      <c r="AL293" s="1490"/>
      <c r="AM293" s="1490"/>
      <c r="AN293" s="1490"/>
      <c r="AO293" s="1490"/>
      <c r="AP293" s="1490"/>
      <c r="AQ293" s="1490"/>
      <c r="AR293" s="1490"/>
      <c r="AS293" s="1490"/>
      <c r="AT293" s="1490"/>
      <c r="AU293" s="1041"/>
      <c r="BC293" s="38"/>
      <c r="BD293" s="38"/>
      <c r="BE293" s="38"/>
      <c r="BF293" s="38"/>
      <c r="BG293" s="38"/>
      <c r="BH293" s="38"/>
      <c r="BI293" s="38"/>
      <c r="BJ293" s="38"/>
      <c r="BK293" s="38"/>
      <c r="BL293" s="38"/>
      <c r="BM293" s="38"/>
      <c r="BN293" s="38"/>
      <c r="BO293" s="38"/>
      <c r="BP293" s="38"/>
      <c r="BQ293" s="38"/>
      <c r="BR293" s="38"/>
      <c r="BS293" s="38"/>
      <c r="BT293" s="38"/>
      <c r="BU293" s="38"/>
      <c r="BV293" s="38"/>
      <c r="BW293" s="38"/>
      <c r="BX293" s="38"/>
      <c r="BY293" s="38"/>
      <c r="BZ293" s="38"/>
      <c r="CA293" s="38"/>
      <c r="CB293" s="38"/>
      <c r="CC293" s="38"/>
      <c r="CD293" s="38"/>
      <c r="CE293" s="38"/>
      <c r="CF293" s="38"/>
      <c r="CG293" s="38"/>
      <c r="CH293" s="38"/>
      <c r="CI293" s="38"/>
      <c r="CM293" s="749"/>
      <c r="CN293" s="749"/>
      <c r="CO293" s="1043"/>
      <c r="CP293" s="749"/>
      <c r="CS293" s="436"/>
      <c r="CT293" s="436"/>
      <c r="CU293" s="243"/>
      <c r="CV293" s="244"/>
      <c r="CW293" s="244"/>
      <c r="CX293" s="244"/>
      <c r="CY293" s="245"/>
      <c r="CZ293" s="245"/>
      <c r="DA293" s="245"/>
      <c r="DC293" s="750"/>
      <c r="DD293" s="751"/>
      <c r="DE293" s="752"/>
      <c r="DF293" s="753"/>
      <c r="DG293" s="754"/>
      <c r="DH293" s="754"/>
      <c r="DK293" s="244"/>
      <c r="DL293" s="750"/>
      <c r="DN293" s="750"/>
      <c r="DO293" s="755"/>
      <c r="DP293" s="436"/>
      <c r="DQ293" s="750"/>
      <c r="DR293" s="750"/>
      <c r="DS293" s="750"/>
      <c r="DU293" s="750"/>
      <c r="DV293" s="750"/>
      <c r="DW293" s="750"/>
      <c r="DX293" s="750"/>
      <c r="DZ293" s="756"/>
      <c r="EA293" s="756"/>
      <c r="EC293" s="754"/>
      <c r="ED293" s="754"/>
      <c r="EE293" s="244"/>
      <c r="EF293" s="754"/>
      <c r="EG293" s="754"/>
      <c r="EH293" s="243"/>
      <c r="EI293" s="243"/>
      <c r="EJ293" s="752"/>
      <c r="EK293" s="757"/>
      <c r="EL293" s="757"/>
      <c r="EM293" s="758"/>
      <c r="EN293" s="758"/>
      <c r="EO293" s="752"/>
      <c r="EP293" s="752"/>
      <c r="EQ293" s="752"/>
      <c r="ES293" s="750"/>
      <c r="EU293" s="436"/>
      <c r="EV293" s="436"/>
      <c r="EW293" s="436"/>
      <c r="EX293" s="436"/>
      <c r="EY293" s="436"/>
      <c r="EZ293" s="436"/>
      <c r="FB293" s="643"/>
      <c r="FD293" s="436"/>
      <c r="FE293" s="436"/>
      <c r="FF293" s="436"/>
      <c r="FO293" s="750"/>
      <c r="FP293" s="436"/>
      <c r="FQ293" s="436"/>
      <c r="FR293" s="750"/>
      <c r="FS293" s="750"/>
      <c r="FW293" s="749"/>
      <c r="FX293" s="749"/>
      <c r="FY293" s="749"/>
      <c r="FZ293" s="749"/>
      <c r="GA293" s="749"/>
      <c r="GB293" s="749"/>
      <c r="GC293" s="749"/>
      <c r="GD293" s="749"/>
      <c r="GE293" s="751"/>
      <c r="GF293" s="750"/>
      <c r="GG293" s="750"/>
    </row>
    <row r="294" spans="1:250" s="82" customFormat="1" ht="14.95" customHeight="1" thickTop="1" thickBot="1">
      <c r="B294" s="1421" t="str">
        <f>HY297</f>
        <v xml:space="preserve"> </v>
      </c>
      <c r="C294" s="1422">
        <f>C289+1</f>
        <v>50</v>
      </c>
      <c r="D294" s="1423"/>
      <c r="E294" s="1424" t="s">
        <v>242</v>
      </c>
      <c r="F294" s="1425"/>
      <c r="G294" s="1426"/>
      <c r="H294" s="1427"/>
      <c r="I294" s="1427"/>
      <c r="J294" s="1427"/>
      <c r="K294" s="1427"/>
      <c r="L294" s="1427"/>
      <c r="M294" s="1427"/>
      <c r="N294" s="1427"/>
      <c r="O294" s="1427"/>
      <c r="P294" s="1427"/>
      <c r="Q294" s="1427"/>
      <c r="R294" s="1427"/>
      <c r="S294" s="1428" t="s">
        <v>283</v>
      </c>
      <c r="T294" s="668" t="s">
        <v>190</v>
      </c>
      <c r="U294" s="1430" t="s">
        <v>186</v>
      </c>
      <c r="V294" s="1431"/>
      <c r="W294" s="1431"/>
      <c r="X294" s="1431"/>
      <c r="Y294" s="1431"/>
      <c r="Z294" s="1431"/>
      <c r="AA294" s="1431"/>
      <c r="AB294" s="1088" t="str">
        <f>IFERROR(IF(__Retrofit_TI_NC=0,VLOOKUP(U295,Fixtures_Existing_List,2,FALSE),ROUND(N296*R296/T296,10)),"")</f>
        <v/>
      </c>
      <c r="AC294" s="1039" t="str">
        <f>IFERROR(IF(__Retrofit_TI_NC=0,ROUND(T295*AB294*N295*R295/1000,0),IF(CN294="Interior",N296*R296*R295*N295*_C406_reduction/1000,N296*R296*R295*N295/1000)),"")</f>
        <v/>
      </c>
      <c r="AD294" s="1040" t="str">
        <f>IFERROR(IF(C$36=0,ROUND(T295*AB294/1000,2),N296*R296/1000),"")</f>
        <v/>
      </c>
      <c r="AE294" s="1044" t="s">
        <v>190</v>
      </c>
      <c r="AF294" s="1432" t="str">
        <f>IF(__Retrofit_TI_NC=2,CONCATENATE("Code min = ",DD294),IF(__Retrofit_TI_NC=1,"Emter what you think the existing control was"," Control"))</f>
        <v xml:space="preserve"> Control</v>
      </c>
      <c r="AG294" s="1432"/>
      <c r="AH294" s="1432"/>
      <c r="AI294" s="1432"/>
      <c r="AJ294" s="1433">
        <f>DF294</f>
        <v>0</v>
      </c>
      <c r="AK294" s="1435" t="str">
        <f>IFERROR(ROUND(AJ294*AC294,0),"")</f>
        <v/>
      </c>
      <c r="AL294" s="1437">
        <f>IFERROR(IF(HW294=FALSE,0,AC294-AK294),0)</f>
        <v>0</v>
      </c>
      <c r="AM294" s="1439">
        <f>AL294-AL296</f>
        <v>0</v>
      </c>
      <c r="AN294" s="1440"/>
      <c r="AO294" s="1445">
        <f>IFERROR(IF(HW294=FALSE,0,(T296*U297)+(AE296*AF297)),0)</f>
        <v>0</v>
      </c>
      <c r="AP294" s="1445"/>
      <c r="AQ294" s="1446"/>
      <c r="AR294" s="1451" t="s">
        <v>157</v>
      </c>
      <c r="AS294" s="1454">
        <f>IF(AR294="Yes",1,0)</f>
        <v>1</v>
      </c>
      <c r="AT294" s="1457" t="str">
        <f>IF(OR(DN294=4,DN294=5,DN294=6,DN294=12),CONCATENATE("$",IF(GD294=TRUE,Lookup!$B$11,Lookup!$B$2)," /lamp"),CONCATENATE(EA294,"/ kWh"))</f>
        <v>0/ kWh</v>
      </c>
      <c r="AU294" s="516"/>
      <c r="AV294" s="1478">
        <f>IFERROR(IF(GI295=TRUE,(AB297*T296)/R296,0),"NA")</f>
        <v>0</v>
      </c>
      <c r="AW294" s="1478" t="str">
        <f>IFERROR(N296*_C406_reduction,"NA")</f>
        <v>NA</v>
      </c>
      <c r="BC294" s="38"/>
      <c r="BD294" s="38"/>
      <c r="BE294" s="38"/>
      <c r="BF294" s="38"/>
      <c r="BG294" s="38"/>
      <c r="BH294" s="38"/>
      <c r="BI294" s="38"/>
      <c r="BJ294" s="38"/>
      <c r="BK294" s="38"/>
      <c r="BL294" s="38"/>
      <c r="BM294" s="38"/>
      <c r="BN294" s="38"/>
      <c r="BO294" s="38"/>
      <c r="BP294" s="38"/>
      <c r="BQ294" s="38"/>
      <c r="BR294" s="38"/>
      <c r="BS294" s="38"/>
      <c r="BT294" s="38"/>
      <c r="BU294" s="38"/>
      <c r="BV294" s="38"/>
      <c r="BW294" s="38"/>
      <c r="BX294" s="38"/>
      <c r="BY294" s="38"/>
      <c r="BZ294" s="38"/>
      <c r="CA294" s="38"/>
      <c r="CB294" s="38"/>
      <c r="CC294" s="38"/>
      <c r="CD294" s="38"/>
      <c r="CE294" s="38"/>
      <c r="CF294" s="38"/>
      <c r="CG294" s="38"/>
      <c r="CH294" s="38"/>
      <c r="CI294" s="38"/>
      <c r="CM294" s="1352" t="str">
        <f>N295</f>
        <v/>
      </c>
      <c r="CN294" s="1352" t="str">
        <f>IFERROR(VLOOKUP(G295,_Lookup_Heat_Type_Table_New,3,FALSE),"")</f>
        <v/>
      </c>
      <c r="CO294" s="1415" t="str">
        <f>CN294</f>
        <v/>
      </c>
      <c r="CP294" s="1417" t="e">
        <f>VLOOKUP(G296,'Space Table'!$B$3:$L$160,9,FALSE)</f>
        <v>#N/A</v>
      </c>
      <c r="CR294" s="1386" t="s">
        <v>283</v>
      </c>
      <c r="CS294" s="1353">
        <f>IF(HW294=TRUE,T295,0)</f>
        <v>0</v>
      </c>
      <c r="CT294" s="1353" t="str">
        <f>IF(HW294=TRUE,U295,"")</f>
        <v/>
      </c>
      <c r="CU294" s="1353"/>
      <c r="CV294" s="1370">
        <f>IF(HW294=TRUE,AB294,0)</f>
        <v>0</v>
      </c>
      <c r="CW294" s="1370">
        <f>IF(HW294=TRUE,AC294,0)</f>
        <v>0</v>
      </c>
      <c r="CX294" s="1370">
        <f>IFERROR(IF(HW294=TRUE,CW294-CW296,0),0)</f>
        <v>0</v>
      </c>
      <c r="CY294" s="1485">
        <f>IF(HW294=TRUE,AD294,0)</f>
        <v>0</v>
      </c>
      <c r="CZ294" s="1485">
        <f>IF(HW294=TRUE,AD297,0)</f>
        <v>0</v>
      </c>
      <c r="DA294" s="1485">
        <f>IFERROR(CY294-CZ294,0)</f>
        <v>0</v>
      </c>
      <c r="DC294" s="1353">
        <f>IF(HW294=TRUE,AE295,0)</f>
        <v>0</v>
      </c>
      <c r="DD294" s="1460">
        <f>IF(__Retrofit_TI_NC=2,IF(CN294="Exterior",O297,FM294),FK294)</f>
        <v>0</v>
      </c>
      <c r="DE294" s="1353"/>
      <c r="DF294" s="1406">
        <f>IFERROR(IF(FL294=3,IK294,IF(FL294=4,IL294,IF(FL294=5,IM294,IF(FL294=6,IN294,IF(FL294=7,IO294,IF(FL294=8,IP294,0)))))),0)</f>
        <v>0</v>
      </c>
      <c r="DG294" s="1370">
        <f>IF(HW294=TRUE,AK294,0)</f>
        <v>0</v>
      </c>
      <c r="DH294" s="1369">
        <f>IFERROR(IF(HW294=TRUE,DG296-DG294,0),0)</f>
        <v>0</v>
      </c>
      <c r="DJ294" s="1483">
        <f>IFERROR(CW294-DG294,0)</f>
        <v>0</v>
      </c>
      <c r="DL294" s="1419">
        <f>DJ294-DK296</f>
        <v>0</v>
      </c>
      <c r="DN294" s="1403" t="str">
        <f>IFERROR(IF(AND(OR(FY294=4,FY294=5,FY294=6),OR(GB294=4,GB294=5,GB294=6)),FY294+8,VLOOKUP(CT296,Fixtures!R$31:Y$78,8,FALSE)),"")</f>
        <v/>
      </c>
      <c r="DO294" s="1404" t="str">
        <f>DN294</f>
        <v/>
      </c>
      <c r="DP294" s="1353" t="str">
        <f>IFERROR(VLOOKUP(DD296,Lookup!AU$3:AV$15,2,FALSE),"")</f>
        <v/>
      </c>
      <c r="DQ294" s="1404" t="str">
        <f>IF(DP294=7,"LLLC","")</f>
        <v/>
      </c>
      <c r="DR294" s="1403">
        <f>IFERROR(IF(OR(DN294=4,DN294=5,DN294=6,DN294=12,DN294=13,DN294=14),VLOOKUP(CT296,Fixtures!DN$27:EG$77,19,FALSE),1)*CS296,0)</f>
        <v>0</v>
      </c>
      <c r="DS294" s="1489">
        <f>IF(DP294=7,IF(DD294=DD296,0,DC296),0)</f>
        <v>0</v>
      </c>
      <c r="DU294" s="1403" t="str">
        <f>IFERROR(IF(EW294&lt;EW296,"Yes","No"),"")</f>
        <v/>
      </c>
      <c r="DV294" s="1404" t="str">
        <f>DU294</f>
        <v/>
      </c>
      <c r="DW294" s="1403">
        <f>IF(DU294="Yes",DC296,0)</f>
        <v>0</v>
      </c>
      <c r="DX294" s="1403">
        <f>DW294-DS294</f>
        <v>0</v>
      </c>
      <c r="DZ294" s="1481">
        <f>IFERROR(VLOOKUP(DN294,Lookup!AN$3:AO$16,2,FALSE),0)</f>
        <v>0</v>
      </c>
      <c r="EA294" s="1481">
        <f>IF(HW294=FALSE,0,IF(DU294="Yes",DZ294+Lookup!B$6,DZ294))</f>
        <v>0</v>
      </c>
      <c r="EC294" s="1482">
        <f>IF(HW294=TRUE,DJ294,0)</f>
        <v>0</v>
      </c>
      <c r="ED294" s="1369">
        <f>IF(HW294=TRUE,CW296,0)</f>
        <v>0</v>
      </c>
      <c r="EE294" s="1370">
        <f>IFERROR(EC294-ED294,0)</f>
        <v>0</v>
      </c>
      <c r="EF294" s="1369">
        <f>IF(HW294=TRUE,DG296,0)</f>
        <v>0</v>
      </c>
      <c r="EG294" s="1369">
        <f>IFERROR(EC294-ED294+EF294,0)</f>
        <v>0</v>
      </c>
      <c r="EH294" s="1373">
        <f>IF(HW294=TRUE,CS296*CU296,0)</f>
        <v>0</v>
      </c>
      <c r="EI294" s="1373">
        <f>IF(HW294=TRUE,DC296*DE296,0)</f>
        <v>0</v>
      </c>
      <c r="EJ294" s="1363">
        <f>AO294</f>
        <v>0</v>
      </c>
      <c r="EK294" s="1376" t="str">
        <f>IFERROR(IF(HW294=TRUE,VLOOKUP(DN294,Lookup!AN$3:AP$16,3,FALSE)*DR294,""),0)</f>
        <v/>
      </c>
      <c r="EL294" s="1376">
        <f>IF(HW294=TRUE,DW294*Lookup!AP$12,0)</f>
        <v>0</v>
      </c>
      <c r="EM294" s="1362">
        <f>IFERROR(IF(HW294=TRUE,EK294/EM$33,0),0)</f>
        <v>0</v>
      </c>
      <c r="EN294" s="1362">
        <f>IF(HW294=TRUE,EL294/EN$33,0)</f>
        <v>0</v>
      </c>
      <c r="EO294" s="1363">
        <f>IF(HW294=TRUE,EQ$33*EM294,0)</f>
        <v>0</v>
      </c>
      <c r="EP294" s="1363">
        <f>IF(HW294=TRUE,EQ$33*EN294,0)</f>
        <v>0</v>
      </c>
      <c r="EQ294" s="1363">
        <f>EO294+EP294</f>
        <v>0</v>
      </c>
      <c r="ES294" s="1403">
        <f>IF(G294="",0,1)</f>
        <v>0</v>
      </c>
      <c r="EU294" s="1410" t="e">
        <f>VLOOKUP(CP296,'Space Table'!$B$3:$L$160,8,FALSE)</f>
        <v>#N/A</v>
      </c>
      <c r="EV294" s="1410" t="e">
        <f>IF(EY294="Yes",VLOOKUP(DD294,Lookup_Control_Type_Table2,4,FALSE),VLOOKUP(DD294,Lookup_Control_Type_Table2,3,FALSE))</f>
        <v>#N/A</v>
      </c>
      <c r="EW294" s="1410" t="e">
        <f>VLOOKUP(DD294,Lookup!AU$3:AV$15,2,FALSE)</f>
        <v>#N/A</v>
      </c>
      <c r="EX294" s="1410" t="e">
        <f>VLOOKUP(EU294,Lookup_Control_Type_Table,2,FALSE)</f>
        <v>#N/A</v>
      </c>
      <c r="EY294" s="1410" t="e">
        <f>VLOOKUP(CP296,'Space Table'!$B$3:$L$160,7,FALSE)</f>
        <v>#N/A</v>
      </c>
      <c r="EZ294" s="1412" t="b">
        <f>ISNUMBER(SEARCH("TLED",U296))</f>
        <v>0</v>
      </c>
      <c r="FB294" s="1365" t="str">
        <f>CONCATENATE(CN294," - ",DD294)</f>
        <v xml:space="preserve"> - 0</v>
      </c>
      <c r="FD294" s="1353" t="str">
        <f>VLOOKUP(CT296,Fixtures!DN$27:EZ$77,38,FALSE)</f>
        <v/>
      </c>
      <c r="FE294" s="1353">
        <f>IFERROR(FD294*EE294,0)</f>
        <v>0</v>
      </c>
      <c r="FF294" s="138"/>
      <c r="FI294" s="1356" t="str">
        <f>IF(CN294="Exterior","Not Daylighted",G297)</f>
        <v>Not Daylighted</v>
      </c>
      <c r="FJ294" s="1356">
        <f>VLOOKUP(FI294,_Daylight_Table_Codes,2,FALSE)</f>
        <v>0</v>
      </c>
      <c r="FK294" s="1365">
        <f>IF(__Retrofit_TI_NC=2,VLOOKUP(G296,'Space Table'!$B$3:$L$160,11,FALSE),AF295)</f>
        <v>0</v>
      </c>
      <c r="FL294" s="1365" t="e">
        <f>VLOOKUP(FK294,_Control_Table,2,FALSE)</f>
        <v>#N/A</v>
      </c>
      <c r="FM294" s="1365" t="e">
        <f>IF(AND(FP294&gt;0,FK294="Occupancy Sensor"),"Daylight + Occupancy",IF(AND(FP294&gt;0,FL294&lt;4),"Interior Daylight Dimming",FK294))</f>
        <v>#N/A</v>
      </c>
      <c r="FO294" s="1364">
        <f>IF(CO294="Interior",VLOOKUP(CP294,Control_Savings_Interior,5,FALSE),0)</f>
        <v>0</v>
      </c>
      <c r="FP294" s="1361">
        <f>IF(CN294="Exterior",0,IF(FJ294=2,0.5,IF(OR(FJ294=1,FJ294=3),1,0)))</f>
        <v>0</v>
      </c>
      <c r="FQ294" s="1366"/>
      <c r="FR294" s="1367"/>
      <c r="FS294" s="1364"/>
      <c r="FT294" s="1367"/>
      <c r="FU294" s="1360"/>
      <c r="FW294" s="1352" t="str">
        <f>IFERROR(VLOOKUP(U295,_Exist_Fixture_Table,3,FALSE),"")</f>
        <v/>
      </c>
      <c r="FX294" s="1352" t="str">
        <f>VLOOKUP(CT294,_Exist_Fixture_Table,4,FALSE)</f>
        <v/>
      </c>
      <c r="FY294" s="1352">
        <f>IFERROR(VLOOKUP(FX294,Lookup!AM$6:AN$8,2,FALSE),0)</f>
        <v>0</v>
      </c>
      <c r="FZ294" s="1352" t="b">
        <f>IFERROR(IF(OR(GB294=4,GB294=5,GB294=6),TRUE,FALSE),"")</f>
        <v>0</v>
      </c>
      <c r="GA294" s="1352" t="str">
        <f>IFERROR(VLOOKUP(GB294,FY$6:FZ$10,2,FALSE),"")</f>
        <v/>
      </c>
      <c r="GB294" s="1352" t="str">
        <f>VLOOKUP(CT296,Fixtures!R$31:Y$78,8,FALSE)</f>
        <v/>
      </c>
      <c r="GC294" s="1352">
        <f>IF(AND(FW294=TRUE,FZ294=TRUE,OR(DN294=12,DN294=13,DN294=14)),FY294+8,0)</f>
        <v>0</v>
      </c>
      <c r="GD294" s="1352" t="b">
        <f>IF(OR(GC294=12,GC294=13,GC294=14),TRUE,FALSE)</f>
        <v>0</v>
      </c>
      <c r="GE294" s="759" t="b">
        <f>IF(ISNUMBER(SEARCH("TLED",U295)),TRUE,FALSE)</f>
        <v>0</v>
      </c>
      <c r="GF294" s="1035" t="str">
        <f>IFERROR(VLOOKUP(U295,Fixtures!BM$93:BR$142,6,FALSE),"")</f>
        <v/>
      </c>
      <c r="GG294" s="1385" t="b">
        <f>IF(OR(GE294=FALSE,GE296=FALSE),TRUE,IF(GF294-GF296&lt;5,FALSE,TRUE))</f>
        <v>1</v>
      </c>
      <c r="GK294" s="1034">
        <f>GL294</f>
        <v>0</v>
      </c>
      <c r="GL294" s="1034">
        <f>IF(G294="",0,1)</f>
        <v>0</v>
      </c>
      <c r="GM294" s="1034">
        <f>SUM(GN294:HB294)</f>
        <v>2</v>
      </c>
      <c r="GN294" s="1034">
        <f>IF(G295="",0,1)</f>
        <v>0</v>
      </c>
      <c r="GO294" s="1034">
        <f>IF(G296="",0,1)</f>
        <v>0</v>
      </c>
      <c r="GP294" s="1034">
        <f>IF(R295="",0,1)</f>
        <v>0</v>
      </c>
      <c r="GQ294" s="1034">
        <f>IF(__Retrofit_TI_NC=0,1,IF(R296="",0,1))</f>
        <v>1</v>
      </c>
      <c r="GR294" s="1034">
        <f>IF(CN294="Exterior",1,IF(G297="",0,1))</f>
        <v>1</v>
      </c>
      <c r="GS294" s="1034">
        <f>IF(__Retrofit_TI_NC&lt;&gt;0,1,IF(T295="",0,1))</f>
        <v>0</v>
      </c>
      <c r="GT294" s="1034">
        <f>IF(__Retrofit_TI_NC&lt;&gt;0,1,IF(U295="",0,1))</f>
        <v>0</v>
      </c>
      <c r="GU294" s="1034">
        <f>IF(T296="",0,1)</f>
        <v>0</v>
      </c>
      <c r="GV294" s="1034">
        <f>IF(U296="",0,1)</f>
        <v>0</v>
      </c>
      <c r="GW294" s="1034">
        <f>IF(__Retrofit_TI_NC=2,1,IF(U297="",0,1))</f>
        <v>0</v>
      </c>
      <c r="GX294" s="1034">
        <f>IF(__Retrofit_TI_NC&lt;&gt;0,1,IF(AE295="",0,1))</f>
        <v>0</v>
      </c>
      <c r="GY294" s="1034">
        <f>IF(__Retrofit_TI_NC&lt;&gt;0,1,IF(AF295="",0,1))</f>
        <v>0</v>
      </c>
      <c r="GZ294" s="1034">
        <f>IF(AE296="",0,1)</f>
        <v>0</v>
      </c>
      <c r="HA294" s="1034">
        <f>IF(AF296="",0,1)</f>
        <v>0</v>
      </c>
      <c r="HB294" s="1034">
        <f>IF(__Retrofit_TI_NC=2,1,IF(AF297="",0,1))</f>
        <v>0</v>
      </c>
      <c r="HV294" s="436"/>
      <c r="HW294" s="1384" t="b">
        <f>IF(OR(HW297=0,HW297=HT$16,HW297=HS$16,HW297=HU$16),TRUE,FALSE)</f>
        <v>0</v>
      </c>
      <c r="HX294" s="1377" t="b">
        <f>HW294</f>
        <v>0</v>
      </c>
      <c r="HY294" s="436"/>
      <c r="HZ294" s="436"/>
      <c r="IA294" s="1386" t="b">
        <f>IF(MAX(GJ297:HP297)&gt;5,FALSE,TRUE)</f>
        <v>0</v>
      </c>
      <c r="IB294" s="1380">
        <f>IF(IA294=TRUE,AC294,0)</f>
        <v>0</v>
      </c>
      <c r="IC294" s="1380">
        <f>IB294-IB296</f>
        <v>0</v>
      </c>
      <c r="IF294" s="1380" t="e">
        <f>ROUND(T295*VLOOKUP(U295,Fixtures_Existing_List,2,FALSE)*N295*R295/1000,0)</f>
        <v>#N/A</v>
      </c>
      <c r="IG294" s="1381" t="e">
        <f>IF294-IF296</f>
        <v>#N/A</v>
      </c>
      <c r="IH294" s="1384" t="e">
        <f>ROUND(IF(CN294="Interior",N296*R296*R295*N295*_C406_reduction/1000,N296*R296*R295*N295/1000),0)</f>
        <v>#N/A</v>
      </c>
      <c r="II294" s="1384" t="e">
        <f>IH294-IH296</f>
        <v>#N/A</v>
      </c>
      <c r="IK294" s="1351" t="e">
        <f>IF($CO294="interior",IL294/2,VLOOKUP($CP294,Control_Savings_Exterior,IK$30,FALSE))</f>
        <v>#N/A</v>
      </c>
      <c r="IL294" s="1351" t="e">
        <f>IF($CO294="interior",VLOOKUP($CP294,Control_Savings_Interior,IL$30,FALSE),VLOOKUP($CP294,Control_Savings_Exterior,IL$30,FALSE))</f>
        <v>#N/A</v>
      </c>
      <c r="IM294" s="1351" t="e">
        <f>IF($CO294="interior",IF(R295&gt;FO$37,(IM$28*(FO$37/R295)),IM$28)*FP294,VLOOKUP($CP294,Control_Savings_Exterior,IM$30,FALSE))</f>
        <v>#N/A</v>
      </c>
      <c r="IN294" s="1351" t="e">
        <f>IF($CO294="interior",ROUND(((1-IL294)*IM294)+IL294,2),VLOOKUP($CP294,Control_Savings_Exterior,IN$30,FALSE))</f>
        <v>#N/A</v>
      </c>
      <c r="IO294" s="1351" t="e">
        <f>IF($CO294="interior", ROUND(((1-IL294)*(IM294*(1-IP$28)))+IP294,2), VLOOKUP($CP294,Control_Savings_Exterior,IO$30,FALSE))</f>
        <v>#N/A</v>
      </c>
      <c r="IP294" s="1351">
        <f>IF($CO294="interior",ROUND(((1-IL294)*IP$28)+IL294,2),0)</f>
        <v>0</v>
      </c>
    </row>
    <row r="295" spans="1:250" s="82" customFormat="1" ht="14.95" customHeight="1" thickTop="1" thickBot="1">
      <c r="B295" s="1421"/>
      <c r="C295" s="1422"/>
      <c r="D295" s="1423"/>
      <c r="E295" s="1393" t="s">
        <v>244</v>
      </c>
      <c r="F295" s="1394"/>
      <c r="G295" s="1395"/>
      <c r="H295" s="1395"/>
      <c r="I295" s="1395"/>
      <c r="J295" s="1395"/>
      <c r="K295" s="1395"/>
      <c r="L295" s="1395"/>
      <c r="M295" s="509" t="e">
        <f>IF(__Retrofit_TI_NC&lt;&gt;0,IF(VLOOKUP(G296,'Space Table'!$B$3:$L$160,3,FALSE)&gt;0,1,0),IF(__Retrofit_TI_NC=VLOOKUP(G296,'Space Table'!$B$3:$L$160,3,FALSE),1,0))</f>
        <v>#N/A</v>
      </c>
      <c r="N295" s="509" t="str">
        <f>IFERROR(VLOOKUP(G295,_Lookup_Heat_Type_Table_New,2,FALSE),"")</f>
        <v/>
      </c>
      <c r="O295" s="509">
        <f>IF(__Retrofit_TI_NC=1,CONCATENATE("TI ",G295),IF(__Retrofit_TI_NC=2,CONCATENATE("NC ",G295),G295))</f>
        <v>0</v>
      </c>
      <c r="P295" s="1396" t="s">
        <v>352</v>
      </c>
      <c r="Q295" s="1396"/>
      <c r="R295" s="673"/>
      <c r="S295" s="1429"/>
      <c r="T295" s="675"/>
      <c r="U295" s="1496"/>
      <c r="V295" s="1497"/>
      <c r="W295" s="1497"/>
      <c r="X295" s="1497"/>
      <c r="Y295" s="1497"/>
      <c r="Z295" s="1497"/>
      <c r="AA295" s="1497"/>
      <c r="AB295" s="1497"/>
      <c r="AC295" s="1497"/>
      <c r="AD295" s="1498"/>
      <c r="AE295" s="675"/>
      <c r="AF295" s="1397"/>
      <c r="AG295" s="1397"/>
      <c r="AH295" s="1397"/>
      <c r="AI295" s="1397"/>
      <c r="AJ295" s="1434"/>
      <c r="AK295" s="1436"/>
      <c r="AL295" s="1438"/>
      <c r="AM295" s="1441"/>
      <c r="AN295" s="1442"/>
      <c r="AO295" s="1447"/>
      <c r="AP295" s="1447"/>
      <c r="AQ295" s="1448"/>
      <c r="AR295" s="1452"/>
      <c r="AS295" s="1455"/>
      <c r="AT295" s="1458"/>
      <c r="AU295" s="516"/>
      <c r="AV295" s="1479"/>
      <c r="AW295" s="1479"/>
      <c r="BC295" s="38"/>
      <c r="BD295" s="38"/>
      <c r="BE295" s="38"/>
      <c r="BF295" s="38"/>
      <c r="BG295" s="38"/>
      <c r="BH295" s="38"/>
      <c r="BI295" s="38"/>
      <c r="BJ295" s="38"/>
      <c r="BK295" s="38"/>
      <c r="BL295" s="38"/>
      <c r="BM295" s="38"/>
      <c r="BN295" s="38"/>
      <c r="BO295" s="38"/>
      <c r="BP295" s="38"/>
      <c r="BQ295" s="38"/>
      <c r="BR295" s="38"/>
      <c r="BS295" s="38"/>
      <c r="BT295" s="38"/>
      <c r="BU295" s="38"/>
      <c r="BV295" s="38"/>
      <c r="BW295" s="38"/>
      <c r="BX295" s="38"/>
      <c r="BY295" s="38"/>
      <c r="BZ295" s="38"/>
      <c r="CA295" s="38"/>
      <c r="CB295" s="38"/>
      <c r="CC295" s="38"/>
      <c r="CD295" s="38"/>
      <c r="CE295" s="38"/>
      <c r="CF295" s="38"/>
      <c r="CG295" s="38"/>
      <c r="CH295" s="38"/>
      <c r="CI295" s="38"/>
      <c r="CM295" s="1352"/>
      <c r="CN295" s="1352"/>
      <c r="CO295" s="1416"/>
      <c r="CP295" s="1418"/>
      <c r="CR295" s="1386"/>
      <c r="CS295" s="1355"/>
      <c r="CT295" s="1355"/>
      <c r="CU295" s="1355"/>
      <c r="CV295" s="1372"/>
      <c r="CW295" s="1372"/>
      <c r="CX295" s="1371"/>
      <c r="CY295" s="1486"/>
      <c r="CZ295" s="1486"/>
      <c r="DA295" s="1486"/>
      <c r="DC295" s="1355"/>
      <c r="DD295" s="1461"/>
      <c r="DE295" s="1355"/>
      <c r="DF295" s="1407"/>
      <c r="DG295" s="1372"/>
      <c r="DH295" s="1369"/>
      <c r="DJ295" s="1484"/>
      <c r="DL295" s="1419"/>
      <c r="DN295" s="1403"/>
      <c r="DO295" s="1405"/>
      <c r="DP295" s="1354"/>
      <c r="DQ295" s="1405"/>
      <c r="DR295" s="1403"/>
      <c r="DS295" s="1489"/>
      <c r="DU295" s="1403"/>
      <c r="DV295" s="1405"/>
      <c r="DW295" s="1403"/>
      <c r="DX295" s="1403"/>
      <c r="DZ295" s="1481"/>
      <c r="EA295" s="1481"/>
      <c r="EC295" s="1482"/>
      <c r="ED295" s="1369"/>
      <c r="EE295" s="1371"/>
      <c r="EF295" s="1369"/>
      <c r="EG295" s="1369"/>
      <c r="EH295" s="1374"/>
      <c r="EI295" s="1374"/>
      <c r="EJ295" s="1363"/>
      <c r="EK295" s="1376"/>
      <c r="EL295" s="1376"/>
      <c r="EM295" s="1362"/>
      <c r="EN295" s="1362"/>
      <c r="EO295" s="1363"/>
      <c r="EP295" s="1363"/>
      <c r="EQ295" s="1363"/>
      <c r="ES295" s="1403"/>
      <c r="EU295" s="1411"/>
      <c r="EV295" s="1411"/>
      <c r="EW295" s="1411"/>
      <c r="EX295" s="1411"/>
      <c r="EY295" s="1411"/>
      <c r="EZ295" s="1413"/>
      <c r="FB295" s="1365"/>
      <c r="FD295" s="1354"/>
      <c r="FE295" s="1354"/>
      <c r="FF295" s="138"/>
      <c r="FI295" s="1357"/>
      <c r="FJ295" s="1357"/>
      <c r="FK295" s="1365"/>
      <c r="FL295" s="1365"/>
      <c r="FM295" s="1365"/>
      <c r="FO295" s="1361"/>
      <c r="FP295" s="1361"/>
      <c r="FQ295" s="1366"/>
      <c r="FR295" s="1368"/>
      <c r="FS295" s="1361"/>
      <c r="FT295" s="1368"/>
      <c r="FU295" s="1360"/>
      <c r="FW295" s="1352"/>
      <c r="FX295" s="1352"/>
      <c r="FY295" s="1352"/>
      <c r="FZ295" s="1352"/>
      <c r="GA295" s="1352"/>
      <c r="GB295" s="1352"/>
      <c r="GC295" s="1352"/>
      <c r="GD295" s="1352"/>
      <c r="GE295" s="759"/>
      <c r="GF295" s="1035"/>
      <c r="GG295" s="1385"/>
      <c r="GI295" s="1384" t="b">
        <f>IF(AND(GL295=TRUE,GM295=TRUE),TRUE,FALSE)</f>
        <v>0</v>
      </c>
      <c r="GJ295" s="1379" t="b">
        <f>IFERROR(IF(__Retrofit_TI_NC=2,TRUE,IF(AR294="Yes",TRUE,FALSE)),FALSE)</f>
        <v>1</v>
      </c>
      <c r="GL295" s="1379" t="b">
        <f>IFERROR(IF(GL294=1,TRUE,FALSE),FALSE)</f>
        <v>0</v>
      </c>
      <c r="GM295" s="1379" t="b">
        <f>IFERROR(IF(GM294=GM$14,TRUE,FALSE),FALSE)</f>
        <v>0</v>
      </c>
      <c r="HC295" s="1379" t="b">
        <f>IFERROR(IF(M295=1,TRUE,FALSE),FALSE)</f>
        <v>0</v>
      </c>
      <c r="HD295" s="1379" t="b">
        <f>IFERROR(IF(M296=1,TRUE,FALSE),FALSE)</f>
        <v>0</v>
      </c>
      <c r="HE295" s="1379" t="b">
        <f>IFERROR(IF(__Retrofit_TI_NC&lt;&gt;0,TRUE,IFERROR(IF(VLOOKUP(U295,Fixtures_Existing_List,2,FALSE)&lt;&gt;"",TRUE,FALSE),FALSE)),FALSE)</f>
        <v>0</v>
      </c>
      <c r="HF295" s="1379" t="b">
        <f>IFERROR(IF(VLOOKUP(U296,Fixtures_Proposed_List,2,FALSE)&lt;&gt;"",TRUE,FALSE),FALSE)</f>
        <v>0</v>
      </c>
      <c r="HG295" s="1379" t="b">
        <f>IF(AND(__Retrofit_TI_NC=2,EZ294=TRUE),FALSE,TRUE)</f>
        <v>1</v>
      </c>
      <c r="HH295" s="1379" t="b">
        <f>GG294</f>
        <v>1</v>
      </c>
      <c r="HI295" s="1384" t="b">
        <f>IF(ISERROR(MATCH(FB294,_Control_Match[],0))=TRUE,FALSE,TRUE)</f>
        <v>0</v>
      </c>
      <c r="HJ295" s="1384" t="b">
        <f>IFERROR(IF(EU294&lt;&gt;EV294,FALSE,TRUE),FALSE)</f>
        <v>0</v>
      </c>
      <c r="HK295" s="1384" t="b">
        <f>IFERROR(IF(EU296&lt;&gt;EV296,FALSE,TRUE),FALSE)</f>
        <v>0</v>
      </c>
      <c r="HL295" s="1379" t="b">
        <f>IFERROR(IF(CN294="Exterior",TRUE,IF(OR(AND(FJ294=0,EW296&gt;4),AND(FJ294=4,EW296&gt;4,EW296&lt;7)),FALSE,TRUE)),FALSE)</f>
        <v>0</v>
      </c>
      <c r="HM295" s="1379" t="b">
        <f>IFERROR(IF(AND(FL296=7,EZ294=TRUE),FALSE,TRUE),FALSE)</f>
        <v>0</v>
      </c>
      <c r="HN295" s="1379" t="b">
        <f>IFERROR(IF(AND(T296&lt;&gt;AE296,AF296="Interior LLLC")=TRUE,FALSE,TRUE),FALSE)</f>
        <v>1</v>
      </c>
      <c r="HO295" s="1379" t="b">
        <f>IFERROR(IF(OR(AF296=Lookup!AU$13,AF296=Lookup!AU$14)=TRUE,IF(AE296&gt;T296,FALSE,TRUE),TRUE),FALSE)</f>
        <v>1</v>
      </c>
      <c r="HP295" s="1379" t="b">
        <f>IFERROR(IF(__Retrofit_TI_NC=2,IF(EW296&lt;EW294,FALSE,TRUE),TRUE),FALSE)</f>
        <v>1</v>
      </c>
      <c r="HQ295" s="1379" t="b">
        <f>IF(CN294="Interior",IG$6,TRUE)</f>
        <v>1</v>
      </c>
      <c r="HR295" s="1379" t="b">
        <f>IF(CN294="Exterior",IG$8,TRUE)</f>
        <v>1</v>
      </c>
      <c r="HS295" s="1379" t="b">
        <f>IFERROR(IF(__Retrofit_TI_NC&lt;&gt;0,IF(AW294&lt;AV294,FALSE,TRUE),TRUE),FALSE)</f>
        <v>1</v>
      </c>
      <c r="HT295" s="1379" t="b">
        <f>IFERROR(IF(AND(G295="Exterior",R295&gt;4200),FALSE,TRUE),FALSE)</f>
        <v>1</v>
      </c>
      <c r="HU295" s="1379" t="b">
        <f>IFERROR(IF(AB297/AB294&lt;HU$18,FALSE,TRUE),FALSE)</f>
        <v>0</v>
      </c>
      <c r="HW295" s="1382"/>
      <c r="HX295" s="1378"/>
      <c r="HY295" s="1377" t="str">
        <f>VLOOKUP(HW297,_Error_Table,4,FALSE)</f>
        <v>White</v>
      </c>
      <c r="HZ295" s="436"/>
      <c r="IA295" s="1386"/>
      <c r="IB295" s="1380"/>
      <c r="IC295" s="1379"/>
      <c r="IF295" s="1380"/>
      <c r="IG295" s="1382"/>
      <c r="IH295" s="1382"/>
      <c r="II295" s="1382"/>
      <c r="IK295" s="1351"/>
      <c r="IL295" s="1351"/>
      <c r="IM295" s="1351"/>
      <c r="IN295" s="1351"/>
      <c r="IO295" s="1351"/>
      <c r="IP295" s="1351"/>
    </row>
    <row r="296" spans="1:250" s="82" customFormat="1" ht="14.95" customHeight="1" thickTop="1" thickBot="1">
      <c r="A296" s="82">
        <f>ROW()</f>
        <v>296</v>
      </c>
      <c r="B296" s="1421"/>
      <c r="C296" s="1422"/>
      <c r="D296" s="1423"/>
      <c r="E296" s="1393" t="s">
        <v>245</v>
      </c>
      <c r="F296" s="1394"/>
      <c r="G296" s="1398"/>
      <c r="H296" s="1399"/>
      <c r="I296" s="1399"/>
      <c r="J296" s="1399"/>
      <c r="K296" s="1399"/>
      <c r="L296" s="1400"/>
      <c r="M296" s="509">
        <f>IFERROR(IF(IF(__Retrofit_TI_NC&lt;&gt;0,IF(CN294="Interior",MATCH(G296,Lookup_Interior_New,0),MATCH(G296,Lookup_Exterior_New,0)),IF(CN294="Interior",MATCH(G296,Lookup_Interior,0),MATCH(G296,Lookup_Exterior_Areas,0)))&gt;0,1,0),0)</f>
        <v>0</v>
      </c>
      <c r="N296" s="509" t="e">
        <f>IF(__Retrofit_TI_NC=1,
VLOOKUP(G296,'Space Table'!$B$3:$L$160,4,FALSE),
IF(__Retrofit_TI_NC=2,VLOOKUP(G296,'Space Table'!$B$3:$L$160,5,FALSE),VLOOKUP(G296,'Space Table'!$B$3:$L$160,5,FALSE)))</f>
        <v>#N/A</v>
      </c>
      <c r="O296" s="509">
        <f>G296</f>
        <v>0</v>
      </c>
      <c r="P296" s="1394" t="s">
        <v>355</v>
      </c>
      <c r="Q296" s="1394"/>
      <c r="R296" s="674"/>
      <c r="S296" s="1401" t="s">
        <v>284</v>
      </c>
      <c r="T296" s="672"/>
      <c r="U296" s="1499"/>
      <c r="V296" s="1500"/>
      <c r="W296" s="1500"/>
      <c r="X296" s="1500"/>
      <c r="Y296" s="1500"/>
      <c r="Z296" s="1500"/>
      <c r="AA296" s="1500"/>
      <c r="AB296" s="1501"/>
      <c r="AC296" s="1501"/>
      <c r="AD296" s="1502"/>
      <c r="AE296" s="672"/>
      <c r="AF296" s="1474"/>
      <c r="AG296" s="1474"/>
      <c r="AH296" s="1474"/>
      <c r="AI296" s="1474"/>
      <c r="AJ296" s="1475">
        <f>DF296</f>
        <v>0</v>
      </c>
      <c r="AK296" s="1470" t="str">
        <f>IFERROR(ROUND(AJ296*AC297,0),"")</f>
        <v/>
      </c>
      <c r="AL296" s="1472">
        <f>IFERROR(IF(HW294=FALSE,0,AC297-AK296),0)</f>
        <v>0</v>
      </c>
      <c r="AM296" s="1441"/>
      <c r="AN296" s="1442"/>
      <c r="AO296" s="1447"/>
      <c r="AP296" s="1447"/>
      <c r="AQ296" s="1448"/>
      <c r="AR296" s="1452"/>
      <c r="AS296" s="1455"/>
      <c r="AT296" s="1458"/>
      <c r="AU296" s="516"/>
      <c r="AV296" s="1479"/>
      <c r="AW296" s="1479"/>
      <c r="BC296" s="38"/>
      <c r="BD296" s="38"/>
      <c r="BE296" s="38"/>
      <c r="BF296" s="38"/>
      <c r="BG296" s="38"/>
      <c r="BH296" s="38"/>
      <c r="BI296" s="38"/>
      <c r="BJ296" s="38"/>
      <c r="BK296" s="38"/>
      <c r="BL296" s="38"/>
      <c r="BM296" s="38"/>
      <c r="BN296" s="38"/>
      <c r="BO296" s="38"/>
      <c r="BP296" s="38"/>
      <c r="BQ296" s="38"/>
      <c r="BR296" s="38"/>
      <c r="BS296" s="38"/>
      <c r="BT296" s="38"/>
      <c r="BU296" s="38"/>
      <c r="BV296" s="38"/>
      <c r="BW296" s="38"/>
      <c r="BX296" s="38"/>
      <c r="BY296" s="38"/>
      <c r="BZ296" s="38"/>
      <c r="CA296" s="38"/>
      <c r="CB296" s="38"/>
      <c r="CC296" s="38"/>
      <c r="CD296" s="38"/>
      <c r="CE296" s="38"/>
      <c r="CF296" s="38"/>
      <c r="CG296" s="38"/>
      <c r="CH296" s="38"/>
      <c r="CI296" s="38"/>
      <c r="CM296" s="1352"/>
      <c r="CN296" s="1352"/>
      <c r="CO296" s="1415" t="str">
        <f>CN294</f>
        <v/>
      </c>
      <c r="CP296" s="1417" t="e">
        <f>CP294</f>
        <v>#N/A</v>
      </c>
      <c r="CR296" s="1386" t="s">
        <v>284</v>
      </c>
      <c r="CS296" s="1353">
        <f>IF(HW294=TRUE,T296,0)</f>
        <v>0</v>
      </c>
      <c r="CT296" s="1353" t="str">
        <f>IF(HW294=TRUE,U296,"")</f>
        <v/>
      </c>
      <c r="CU296" s="1373">
        <f>IF(HW294=TRUE,U297,0)</f>
        <v>0</v>
      </c>
      <c r="CV296" s="1370">
        <f>IF(HW294=TRUE,AB297,0)</f>
        <v>0</v>
      </c>
      <c r="CW296" s="1370">
        <f>IF(HW294=TRUE,AC297,0)</f>
        <v>0</v>
      </c>
      <c r="CX296" s="1371"/>
      <c r="CY296" s="1486"/>
      <c r="CZ296" s="1486"/>
      <c r="DA296" s="1486"/>
      <c r="DC296" s="1353">
        <f>IF(HW294=TRUE,AE296,0)</f>
        <v>0</v>
      </c>
      <c r="DD296" s="1353" t="str">
        <f>IF(HW294=TRUE,AF296,"")</f>
        <v/>
      </c>
      <c r="DE296" s="1373">
        <f>AF297</f>
        <v>0</v>
      </c>
      <c r="DF296" s="1406">
        <f>IFERROR(IF(FL296=3,IK296,IF(FL296=4,IL296,IF(FL296=5,IM296,IF(FL296=6,IN296,IF(FL296=7,IO296,IF(FL296=8,IP296,0)))))),0)</f>
        <v>0</v>
      </c>
      <c r="DG296" s="1370">
        <f>IF(HW294=TRUE,AK296,0)</f>
        <v>0</v>
      </c>
      <c r="DH296" s="1369"/>
      <c r="DK296" s="1483">
        <f>IFERROR(CW296-DG296,0)</f>
        <v>0</v>
      </c>
      <c r="DL296" s="1420"/>
      <c r="DN296" s="1403"/>
      <c r="DO296" s="1477" t="str">
        <f>DN294</f>
        <v/>
      </c>
      <c r="DP296" s="1354"/>
      <c r="DQ296" s="1477" t="str">
        <f>IF(DP294=7,"LLLC","")</f>
        <v/>
      </c>
      <c r="DR296" s="1403"/>
      <c r="DS296" s="1489"/>
      <c r="DU296" s="1403"/>
      <c r="DV296" s="1404" t="str">
        <f>DU294</f>
        <v/>
      </c>
      <c r="DW296" s="1403"/>
      <c r="DX296" s="1403"/>
      <c r="DZ296" s="1481"/>
      <c r="EA296" s="1481"/>
      <c r="EC296" s="1482"/>
      <c r="ED296" s="1369"/>
      <c r="EE296" s="1371"/>
      <c r="EF296" s="1369"/>
      <c r="EG296" s="1369"/>
      <c r="EH296" s="1374"/>
      <c r="EI296" s="1374"/>
      <c r="EJ296" s="1363"/>
      <c r="EK296" s="1376"/>
      <c r="EL296" s="1376"/>
      <c r="EM296" s="1362"/>
      <c r="EN296" s="1362"/>
      <c r="EO296" s="1363"/>
      <c r="EP296" s="1363"/>
      <c r="EQ296" s="1363"/>
      <c r="ES296" s="1403"/>
      <c r="EU296" s="1411" t="e">
        <f>VLOOKUP(CP296,'Space Table'!$B$3:$L$160,8,FALSE)</f>
        <v>#N/A</v>
      </c>
      <c r="EV296" s="1411" t="e">
        <f>IF(EY296="Yes",VLOOKUP(AF296,Lookup_Control_Type_Table2,4,FALSE),VLOOKUP(AF296,Lookup_Control_Type_Table2,3,FALSE))</f>
        <v>#N/A</v>
      </c>
      <c r="EW296" s="1411" t="e">
        <f>VLOOKUP(AF296,Lookup!AU$3:AV$15,2,FALSE)</f>
        <v>#N/A</v>
      </c>
      <c r="EX296" s="1411" t="e">
        <f>VLOOKUP(EU294,Lookup_Control_Type_Table,2,FALSE)</f>
        <v>#N/A</v>
      </c>
      <c r="EY296" s="1411" t="e">
        <f>VLOOKUP(CP296,'Space Table'!$B$3:$L$160,7,FALSE)</f>
        <v>#N/A</v>
      </c>
      <c r="EZ296" s="1413"/>
      <c r="FB296" s="1365" t="str">
        <f>CONCATENATE(CN294," - ",AF296)</f>
        <v xml:space="preserve"> - </v>
      </c>
      <c r="FD296" s="1354"/>
      <c r="FE296" s="1354"/>
      <c r="FF296" s="138"/>
      <c r="FI296" s="1356" t="str">
        <f>IF(CN294="Exterior","Not Daylighted",G297)</f>
        <v>Not Daylighted</v>
      </c>
      <c r="FJ296" s="1356">
        <f>VLOOKUP(FI296,_Daylight_Table_Codes,2,FALSE)</f>
        <v>0</v>
      </c>
      <c r="FK296" s="1365">
        <f>AF296</f>
        <v>0</v>
      </c>
      <c r="FL296" s="1365" t="e">
        <f>VLOOKUP(FK296,_Control_Table,2,FALSE)</f>
        <v>#N/A</v>
      </c>
      <c r="FM296" s="1365" t="e">
        <f>IF(AND(FP296&gt;0,FK296="Occupancy Sensor"),"Daylight + Occupancy",IF(AND(FP296&gt;0,FL296&lt;4),"Interior Daylight Dimming",FK296))</f>
        <v>#N/A</v>
      </c>
      <c r="FO296" s="1364">
        <f>IF(CN294="Interior",VLOOKUP(CP294,Control_Savings_Interior,5,FALSE),0)</f>
        <v>0</v>
      </c>
      <c r="FP296" s="1361">
        <f>IF(CN296="Exterior",0,IF(FJ296=2,0.5,IF(OR(FJ296=1,FJ296=3),1,0)))</f>
        <v>0</v>
      </c>
      <c r="FQ296" s="1366">
        <f>IF(R295&gt;FO$37,(FO296*(FO$37/R295)),FO296)*FP296</f>
        <v>0</v>
      </c>
      <c r="FR296" s="1364">
        <f>DF296</f>
        <v>0</v>
      </c>
      <c r="FS296" s="1364">
        <f>ROUND(FR296+((1-FR296)*FQ296),2)</f>
        <v>0</v>
      </c>
      <c r="FT296" s="1364">
        <f>IF(__Retrofit_TI_NC=2,FS296,FR296)</f>
        <v>0</v>
      </c>
      <c r="FU296" s="1360">
        <f>IF(CO296="Interior",VLOOKUP(CP296,Control_Savings_Interior,4,FALSE),0)</f>
        <v>0</v>
      </c>
      <c r="FW296" s="1352"/>
      <c r="FX296" s="1352"/>
      <c r="FY296" s="1352"/>
      <c r="FZ296" s="1352"/>
      <c r="GA296" s="1352"/>
      <c r="GB296" s="1352"/>
      <c r="GC296" s="1352"/>
      <c r="GD296" s="1352"/>
      <c r="GE296" s="759" t="b">
        <f>IF(ISNUMBER(SEARCH("TLED",U296)),TRUE,FALSE)</f>
        <v>0</v>
      </c>
      <c r="GF296" s="1035" t="str">
        <f>IFERROR(VLOOKUP(U296,Fixtures!DM$93:DR$142,6,FALSE),"")</f>
        <v/>
      </c>
      <c r="GG296" s="1385"/>
      <c r="GI296" s="1383"/>
      <c r="GJ296" s="1379"/>
      <c r="GL296" s="1379"/>
      <c r="GM296" s="1379"/>
      <c r="HC296" s="1379"/>
      <c r="HD296" s="1379"/>
      <c r="HE296" s="1379"/>
      <c r="HF296" s="1379"/>
      <c r="HG296" s="1379"/>
      <c r="HH296" s="1379"/>
      <c r="HI296" s="1383"/>
      <c r="HJ296" s="1383"/>
      <c r="HK296" s="1383"/>
      <c r="HL296" s="1379"/>
      <c r="HM296" s="1379"/>
      <c r="HN296" s="1379"/>
      <c r="HO296" s="1379"/>
      <c r="HP296" s="1379"/>
      <c r="HQ296" s="1379"/>
      <c r="HR296" s="1379"/>
      <c r="HS296" s="1379"/>
      <c r="HT296" s="1379"/>
      <c r="HU296" s="1379"/>
      <c r="HW296" s="1383"/>
      <c r="HX296" s="1384" t="b">
        <f>HW294</f>
        <v>0</v>
      </c>
      <c r="HY296" s="1378"/>
      <c r="HZ296" s="436"/>
      <c r="IA296" s="1386"/>
      <c r="IB296" s="1380">
        <f>IF(IA294=TRUE,AC297,0)</f>
        <v>0</v>
      </c>
      <c r="IC296" s="1379"/>
      <c r="IF296" s="1380" t="e">
        <f>ROUND(T296*AB297*N295*R295/1000,0)</f>
        <v>#VALUE!</v>
      </c>
      <c r="IG296" s="1382"/>
      <c r="IH296" s="1384" t="e">
        <f>ROUND(T296*AB297*N295*R295/1000,0)</f>
        <v>#VALUE!</v>
      </c>
      <c r="II296" s="1382"/>
      <c r="IK296" s="1351" t="e">
        <f>IF($CO296="interior",IL296/2,VLOOKUP($CP296,Control_Savings_Exterior,IK$30,FALSE))</f>
        <v>#N/A</v>
      </c>
      <c r="IL296" s="1351" t="e">
        <f>IF($CO296="interior",VLOOKUP($CP296,Control_Savings_Interior,IL$30,FALSE),VLOOKUP($CP296,Control_Savings_Exterior,IL$30,FALSE))</f>
        <v>#N/A</v>
      </c>
      <c r="IM296" s="1351" t="e">
        <f>IF($CO296="interior",IF(R295&gt;FO$37,(IM$28*(FO$37/R295)),IM$28)*FP296,VLOOKUP($CP296,Control_Savings_Exterior,IM$30,FALSE))</f>
        <v>#N/A</v>
      </c>
      <c r="IN296" s="1351" t="e">
        <f>IF($CO296="interior",ROUND(((1-IL296)*IM296)+IL296,2),VLOOKUP($CP296,Control_Savings_Exterior,IN$30,FALSE))</f>
        <v>#N/A</v>
      </c>
      <c r="IO296" s="1351" t="e">
        <f>IF($CO296="interior", ROUND(((1-IL296)*(IM296*(1-IP$28)))+IP296,2), VLOOKUP($CP296,Control_Savings_Exterior,IO$30,FALSE))</f>
        <v>#N/A</v>
      </c>
      <c r="IP296" s="1351">
        <f>IF($CO296="interior",ROUND(((1-IL296)*IP$28)+IL296,2),0)</f>
        <v>0</v>
      </c>
    </row>
    <row r="297" spans="1:250" s="82" customFormat="1" ht="14.95" customHeight="1" thickTop="1" thickBot="1">
      <c r="B297" s="1421"/>
      <c r="C297" s="1422"/>
      <c r="D297" s="1423"/>
      <c r="E297" s="1462" t="s">
        <v>357</v>
      </c>
      <c r="F297" s="1463"/>
      <c r="G297" s="1464" t="s">
        <v>362</v>
      </c>
      <c r="H297" s="1465"/>
      <c r="I297" s="1465"/>
      <c r="J297" s="1465"/>
      <c r="K297" s="1465"/>
      <c r="L297" s="1466"/>
      <c r="M297" s="669">
        <f>IFERROR(VLOOKUP(G297,_Daylight_Table[],2,FALSE),0)</f>
        <v>0</v>
      </c>
      <c r="N297" s="670"/>
      <c r="O297" s="669" t="e">
        <f>VLOOKUP(G296,'Space Table'!$B$3:$L$160,11,FALSE)</f>
        <v>#N/A</v>
      </c>
      <c r="P297" s="1408"/>
      <c r="Q297" s="1409"/>
      <c r="R297" s="1409"/>
      <c r="S297" s="1402"/>
      <c r="T297" s="671" t="s">
        <v>281</v>
      </c>
      <c r="U297" s="1467" t="str">
        <f>IFERROR(VLOOKUP(U296,Fixtures!DM$93:DP$142,4,FALSE),"")</f>
        <v/>
      </c>
      <c r="V297" s="1468"/>
      <c r="W297" s="1468"/>
      <c r="X297" s="1468"/>
      <c r="Y297" s="1468"/>
      <c r="Z297" s="1468"/>
      <c r="AA297" s="1468"/>
      <c r="AB297" s="1046" t="str">
        <f>IFERROR(VLOOKUP(U296,Fixtures_Proposed_List,2,FALSE),"")</f>
        <v/>
      </c>
      <c r="AC297" s="1036" t="str">
        <f>IFERROR(ROUND(T296*AB297*N295*R295/1000,0),"")</f>
        <v/>
      </c>
      <c r="AD297" s="1037" t="str">
        <f>IFERROR(ROUND(T296*AB297/1000,2),"")</f>
        <v/>
      </c>
      <c r="AE297" s="1045" t="s">
        <v>281</v>
      </c>
      <c r="AF297" s="1469"/>
      <c r="AG297" s="1469"/>
      <c r="AH297" s="1469"/>
      <c r="AI297" s="1469"/>
      <c r="AJ297" s="1476"/>
      <c r="AK297" s="1471"/>
      <c r="AL297" s="1473"/>
      <c r="AM297" s="1443"/>
      <c r="AN297" s="1444"/>
      <c r="AO297" s="1449"/>
      <c r="AP297" s="1449"/>
      <c r="AQ297" s="1450"/>
      <c r="AR297" s="1453"/>
      <c r="AS297" s="1456"/>
      <c r="AT297" s="1459"/>
      <c r="AU297" s="517"/>
      <c r="AV297" s="1480"/>
      <c r="AW297" s="1480"/>
      <c r="BC297" s="38"/>
      <c r="BD297" s="38"/>
      <c r="BE297" s="38"/>
      <c r="BF297" s="38"/>
      <c r="BG297" s="38"/>
      <c r="BH297" s="38"/>
      <c r="BI297" s="38"/>
      <c r="BJ297" s="38"/>
      <c r="BK297" s="38"/>
      <c r="BL297" s="38"/>
      <c r="BM297" s="38"/>
      <c r="BN297" s="38"/>
      <c r="BO297" s="38"/>
      <c r="BP297" s="38"/>
      <c r="BQ297" s="38"/>
      <c r="BR297" s="38"/>
      <c r="BS297" s="38"/>
      <c r="BT297" s="38"/>
      <c r="BU297" s="38"/>
      <c r="BV297" s="38"/>
      <c r="BW297" s="38"/>
      <c r="BX297" s="38"/>
      <c r="BY297" s="38"/>
      <c r="BZ297" s="38"/>
      <c r="CA297" s="38"/>
      <c r="CB297" s="38"/>
      <c r="CC297" s="38"/>
      <c r="CD297" s="38"/>
      <c r="CE297" s="38"/>
      <c r="CF297" s="38"/>
      <c r="CG297" s="38"/>
      <c r="CH297" s="38"/>
      <c r="CI297" s="38"/>
      <c r="CM297" s="1352"/>
      <c r="CN297" s="1352"/>
      <c r="CO297" s="1416"/>
      <c r="CP297" s="1418"/>
      <c r="CR297" s="1386"/>
      <c r="CS297" s="1355"/>
      <c r="CT297" s="1355"/>
      <c r="CU297" s="1375"/>
      <c r="CV297" s="1372"/>
      <c r="CW297" s="1372"/>
      <c r="CX297" s="1372"/>
      <c r="CY297" s="1487"/>
      <c r="CZ297" s="1487"/>
      <c r="DA297" s="1487"/>
      <c r="DC297" s="1355"/>
      <c r="DD297" s="1355"/>
      <c r="DE297" s="1375"/>
      <c r="DF297" s="1407"/>
      <c r="DG297" s="1372"/>
      <c r="DH297" s="1369"/>
      <c r="DK297" s="1484"/>
      <c r="DL297" s="1420"/>
      <c r="DN297" s="1403"/>
      <c r="DO297" s="1405"/>
      <c r="DP297" s="1355"/>
      <c r="DQ297" s="1405"/>
      <c r="DR297" s="1403"/>
      <c r="DS297" s="1489"/>
      <c r="DU297" s="1403"/>
      <c r="DV297" s="1405"/>
      <c r="DW297" s="1403"/>
      <c r="DX297" s="1403"/>
      <c r="DZ297" s="1481"/>
      <c r="EA297" s="1481"/>
      <c r="EC297" s="1482"/>
      <c r="ED297" s="1369"/>
      <c r="EE297" s="1372"/>
      <c r="EF297" s="1369"/>
      <c r="EG297" s="1369"/>
      <c r="EH297" s="1375"/>
      <c r="EI297" s="1375"/>
      <c r="EJ297" s="1363"/>
      <c r="EK297" s="1376"/>
      <c r="EL297" s="1376"/>
      <c r="EM297" s="1362"/>
      <c r="EN297" s="1362"/>
      <c r="EO297" s="1363"/>
      <c r="EP297" s="1363"/>
      <c r="EQ297" s="1363"/>
      <c r="ES297" s="1403"/>
      <c r="EU297" s="1488"/>
      <c r="EV297" s="1488"/>
      <c r="EW297" s="1488"/>
      <c r="EX297" s="1488"/>
      <c r="EY297" s="1488"/>
      <c r="EZ297" s="1414"/>
      <c r="FB297" s="1365"/>
      <c r="FD297" s="1355"/>
      <c r="FE297" s="1355"/>
      <c r="FF297" s="138"/>
      <c r="FI297" s="1357"/>
      <c r="FJ297" s="1357"/>
      <c r="FK297" s="1365"/>
      <c r="FL297" s="1365"/>
      <c r="FM297" s="1365"/>
      <c r="FO297" s="1361"/>
      <c r="FP297" s="1361"/>
      <c r="FQ297" s="1366"/>
      <c r="FR297" s="1361"/>
      <c r="FS297" s="1361"/>
      <c r="FT297" s="1361"/>
      <c r="FU297" s="1360"/>
      <c r="FW297" s="1352"/>
      <c r="FX297" s="1352"/>
      <c r="FY297" s="1352"/>
      <c r="FZ297" s="1352"/>
      <c r="GA297" s="1352"/>
      <c r="GB297" s="1352"/>
      <c r="GC297" s="1352"/>
      <c r="GD297" s="1352"/>
      <c r="GE297" s="759"/>
      <c r="GF297" s="1035"/>
      <c r="GG297" s="1385"/>
      <c r="GJ297" s="1034">
        <f>IF(GJ295=TRUE,0,GJ$16)</f>
        <v>0</v>
      </c>
      <c r="GL297" s="1034">
        <f>IF(GL295=TRUE,0,GL$16)</f>
        <v>36</v>
      </c>
      <c r="GM297" s="1034">
        <f>IF(GM295=TRUE,0,GM$16)</f>
        <v>35</v>
      </c>
      <c r="GN297" s="436"/>
      <c r="GO297" s="436"/>
      <c r="GP297" s="436"/>
      <c r="GQ297" s="436"/>
      <c r="GR297" s="436"/>
      <c r="HC297" s="1034">
        <f t="shared" ref="HC297:HH297" si="210">IF(HC295=TRUE,0,HC$16)</f>
        <v>19</v>
      </c>
      <c r="HD297" s="1034">
        <f t="shared" si="210"/>
        <v>18</v>
      </c>
      <c r="HE297" s="1034">
        <f t="shared" si="210"/>
        <v>17</v>
      </c>
      <c r="HF297" s="1034">
        <f t="shared" si="210"/>
        <v>16</v>
      </c>
      <c r="HG297" s="1034">
        <f t="shared" si="210"/>
        <v>0</v>
      </c>
      <c r="HH297" s="1034">
        <f t="shared" si="210"/>
        <v>0</v>
      </c>
      <c r="HI297" s="1034">
        <f>IF(HI295=TRUE,0,HI$16)</f>
        <v>13</v>
      </c>
      <c r="HJ297" s="1034">
        <f t="shared" ref="HJ297:HL297" si="211">IF(HJ295=TRUE,0,HJ$16)</f>
        <v>12</v>
      </c>
      <c r="HK297" s="1034">
        <f t="shared" si="211"/>
        <v>11</v>
      </c>
      <c r="HL297" s="1034">
        <f t="shared" si="211"/>
        <v>10</v>
      </c>
      <c r="HM297" s="1034">
        <f>IF(HM295=TRUE,0,HM$16)</f>
        <v>9</v>
      </c>
      <c r="HN297" s="1034">
        <f t="shared" ref="HN297:HR297" si="212">IF(HN295=TRUE,0,HN$16)</f>
        <v>0</v>
      </c>
      <c r="HO297" s="1034">
        <f t="shared" si="212"/>
        <v>0</v>
      </c>
      <c r="HP297" s="1034">
        <f t="shared" si="212"/>
        <v>0</v>
      </c>
      <c r="HQ297" s="1034">
        <f t="shared" si="212"/>
        <v>0</v>
      </c>
      <c r="HR297" s="1034">
        <f t="shared" si="212"/>
        <v>0</v>
      </c>
      <c r="HS297" s="1034">
        <f>IF(HS295=TRUE,0,HS$16)</f>
        <v>0</v>
      </c>
      <c r="HT297" s="1034">
        <f t="shared" ref="HT297" si="213">IF(HT295=TRUE,0,HT$16)</f>
        <v>0</v>
      </c>
      <c r="HU297" s="1034">
        <f>IF(HU295=TRUE,0,HU$16)</f>
        <v>1</v>
      </c>
      <c r="HW297" s="1034">
        <f>IF(GL295=FALSE,GL297,IF(GM295=FALSE,GM297,MAX(GJ297:HU297)))</f>
        <v>36</v>
      </c>
      <c r="HX297" s="1383"/>
      <c r="HY297" s="241" t="str">
        <f>VLOOKUP(HW297,_Error_Table,3,FALSE)</f>
        <v xml:space="preserve"> </v>
      </c>
      <c r="HZ297" s="241"/>
      <c r="IA297" s="1386"/>
      <c r="IB297" s="1380"/>
      <c r="IC297" s="1379"/>
      <c r="IF297" s="1380"/>
      <c r="IG297" s="1383"/>
      <c r="IH297" s="1383"/>
      <c r="II297" s="1383"/>
      <c r="IK297" s="1351"/>
      <c r="IL297" s="1351"/>
      <c r="IM297" s="1351"/>
      <c r="IN297" s="1351"/>
      <c r="IO297" s="1351"/>
      <c r="IP297" s="1351"/>
    </row>
    <row r="298" spans="1:250" s="82" customFormat="1" ht="5.0999999999999996" customHeight="1" thickBot="1">
      <c r="B298" s="763"/>
      <c r="C298" s="1038"/>
      <c r="D298" s="1038"/>
      <c r="E298" s="1490"/>
      <c r="F298" s="1490"/>
      <c r="G298" s="1490"/>
      <c r="H298" s="1490"/>
      <c r="I298" s="1490"/>
      <c r="J298" s="1490"/>
      <c r="K298" s="1490"/>
      <c r="L298" s="1490"/>
      <c r="M298" s="1490"/>
      <c r="N298" s="1490"/>
      <c r="O298" s="1490"/>
      <c r="P298" s="1490"/>
      <c r="Q298" s="1490"/>
      <c r="R298" s="1490"/>
      <c r="S298" s="1490"/>
      <c r="T298" s="1490"/>
      <c r="U298" s="1490"/>
      <c r="V298" s="1490"/>
      <c r="W298" s="1490"/>
      <c r="X298" s="1490"/>
      <c r="Y298" s="1490"/>
      <c r="Z298" s="1490"/>
      <c r="AA298" s="1490"/>
      <c r="AB298" s="1490"/>
      <c r="AC298" s="1490"/>
      <c r="AD298" s="1490"/>
      <c r="AE298" s="1490"/>
      <c r="AF298" s="1490"/>
      <c r="AG298" s="1490"/>
      <c r="AH298" s="1490"/>
      <c r="AI298" s="1490"/>
      <c r="AJ298" s="1490"/>
      <c r="AK298" s="1490"/>
      <c r="AL298" s="1490"/>
      <c r="AM298" s="1490"/>
      <c r="AN298" s="1490"/>
      <c r="AO298" s="1490"/>
      <c r="AP298" s="1490"/>
      <c r="AQ298" s="1490"/>
      <c r="AR298" s="1490"/>
      <c r="AS298" s="1490"/>
      <c r="AT298" s="1490"/>
      <c r="AU298" s="1041"/>
      <c r="BC298" s="38"/>
      <c r="BD298" s="38"/>
      <c r="BE298" s="38"/>
      <c r="BF298" s="38"/>
      <c r="BG298" s="38"/>
      <c r="BH298" s="38"/>
      <c r="BI298" s="38"/>
      <c r="BJ298" s="38"/>
      <c r="BK298" s="38"/>
      <c r="BL298" s="38"/>
      <c r="BM298" s="38"/>
      <c r="BN298" s="38"/>
      <c r="BO298" s="38"/>
      <c r="BP298" s="38"/>
      <c r="BQ298" s="38"/>
      <c r="BR298" s="38"/>
      <c r="BS298" s="38"/>
      <c r="BT298" s="38"/>
      <c r="BU298" s="38"/>
      <c r="BV298" s="38"/>
      <c r="BW298" s="38"/>
      <c r="BX298" s="38"/>
      <c r="BY298" s="38"/>
      <c r="BZ298" s="38"/>
      <c r="CA298" s="38"/>
      <c r="CB298" s="38"/>
      <c r="CC298" s="38"/>
      <c r="CD298" s="38"/>
      <c r="CE298" s="38"/>
      <c r="CF298" s="38"/>
      <c r="CG298" s="38"/>
      <c r="CH298" s="38"/>
      <c r="CI298" s="38"/>
      <c r="CM298" s="749"/>
      <c r="CN298" s="749"/>
      <c r="CO298" s="1043"/>
      <c r="CP298" s="749"/>
      <c r="CS298" s="436"/>
      <c r="CT298" s="436"/>
      <c r="CU298" s="243"/>
      <c r="CV298" s="244"/>
      <c r="CW298" s="244"/>
      <c r="CX298" s="244"/>
      <c r="CY298" s="245"/>
      <c r="CZ298" s="245"/>
      <c r="DA298" s="245"/>
      <c r="DC298" s="750"/>
      <c r="DD298" s="751"/>
      <c r="DE298" s="752"/>
      <c r="DF298" s="753"/>
      <c r="DG298" s="754"/>
      <c r="DH298" s="754"/>
      <c r="DK298" s="244"/>
      <c r="DL298" s="750"/>
      <c r="DN298" s="750"/>
      <c r="DO298" s="755"/>
      <c r="DP298" s="436"/>
      <c r="DQ298" s="750"/>
      <c r="DR298" s="750"/>
      <c r="DS298" s="750"/>
      <c r="DU298" s="750"/>
      <c r="DV298" s="750"/>
      <c r="DW298" s="750"/>
      <c r="DX298" s="750"/>
      <c r="DZ298" s="756"/>
      <c r="EA298" s="756"/>
      <c r="EC298" s="754"/>
      <c r="ED298" s="754"/>
      <c r="EE298" s="244"/>
      <c r="EF298" s="754"/>
      <c r="EG298" s="754"/>
      <c r="EH298" s="243"/>
      <c r="EI298" s="243"/>
      <c r="EJ298" s="752"/>
      <c r="EK298" s="757"/>
      <c r="EL298" s="757"/>
      <c r="EM298" s="758"/>
      <c r="EN298" s="758"/>
      <c r="EO298" s="752"/>
      <c r="EP298" s="752"/>
      <c r="EQ298" s="752"/>
      <c r="ES298" s="750"/>
      <c r="EU298" s="436"/>
      <c r="EV298" s="436"/>
      <c r="EW298" s="436"/>
      <c r="EX298" s="436"/>
      <c r="EY298" s="436"/>
      <c r="EZ298" s="436"/>
      <c r="FB298" s="643"/>
      <c r="FD298" s="436"/>
      <c r="FE298" s="436"/>
      <c r="FF298" s="436"/>
      <c r="FO298" s="750"/>
      <c r="FP298" s="436"/>
      <c r="FQ298" s="436"/>
      <c r="FR298" s="750"/>
      <c r="FS298" s="750"/>
      <c r="FW298" s="749"/>
      <c r="FX298" s="749"/>
      <c r="FY298" s="749"/>
      <c r="FZ298" s="749"/>
      <c r="GA298" s="749"/>
      <c r="GB298" s="749"/>
      <c r="GC298" s="749"/>
      <c r="GD298" s="749"/>
      <c r="GE298" s="751"/>
      <c r="GF298" s="750"/>
      <c r="GG298" s="750"/>
    </row>
    <row r="299" spans="1:250" s="82" customFormat="1" ht="14.95" customHeight="1" thickTop="1" thickBot="1">
      <c r="B299" s="1421" t="str">
        <f>HY302</f>
        <v xml:space="preserve"> </v>
      </c>
      <c r="C299" s="1422">
        <f>C294+1</f>
        <v>51</v>
      </c>
      <c r="D299" s="1423"/>
      <c r="E299" s="1424" t="s">
        <v>242</v>
      </c>
      <c r="F299" s="1425"/>
      <c r="G299" s="1426"/>
      <c r="H299" s="1427"/>
      <c r="I299" s="1427"/>
      <c r="J299" s="1427"/>
      <c r="K299" s="1427"/>
      <c r="L299" s="1427"/>
      <c r="M299" s="1427"/>
      <c r="N299" s="1427"/>
      <c r="O299" s="1427"/>
      <c r="P299" s="1427"/>
      <c r="Q299" s="1427"/>
      <c r="R299" s="1427"/>
      <c r="S299" s="1428" t="s">
        <v>283</v>
      </c>
      <c r="T299" s="668" t="s">
        <v>190</v>
      </c>
      <c r="U299" s="1430" t="s">
        <v>186</v>
      </c>
      <c r="V299" s="1431"/>
      <c r="W299" s="1431"/>
      <c r="X299" s="1431"/>
      <c r="Y299" s="1431"/>
      <c r="Z299" s="1431"/>
      <c r="AA299" s="1431"/>
      <c r="AB299" s="1088" t="str">
        <f>IFERROR(IF(__Retrofit_TI_NC=0,VLOOKUP(U300,Fixtures_Existing_List,2,FALSE),ROUND(N301*R301/T301,10)),"")</f>
        <v/>
      </c>
      <c r="AC299" s="1039" t="str">
        <f>IFERROR(IF(__Retrofit_TI_NC=0,ROUND(T300*AB299*N300*R300/1000,0),IF(CN299="Interior",N301*R301*R300*N300*_C406_reduction/1000,N301*R301*R300*N300/1000)),"")</f>
        <v/>
      </c>
      <c r="AD299" s="1040" t="str">
        <f>IFERROR(IF(C$36=0,ROUND(T300*AB299/1000,2),N301*R301/1000),"")</f>
        <v/>
      </c>
      <c r="AE299" s="1044" t="s">
        <v>190</v>
      </c>
      <c r="AF299" s="1432" t="str">
        <f>IF(__Retrofit_TI_NC=2,CONCATENATE("Code min = ",DD299),IF(__Retrofit_TI_NC=1,"Emter what you think the existing control was"," Control"))</f>
        <v xml:space="preserve"> Control</v>
      </c>
      <c r="AG299" s="1432"/>
      <c r="AH299" s="1432"/>
      <c r="AI299" s="1432"/>
      <c r="AJ299" s="1433">
        <f>DF299</f>
        <v>0</v>
      </c>
      <c r="AK299" s="1435" t="str">
        <f>IFERROR(ROUND(AJ299*AC299,0),"")</f>
        <v/>
      </c>
      <c r="AL299" s="1437">
        <f>IFERROR(IF(HW299=FALSE,0,AC299-AK299),0)</f>
        <v>0</v>
      </c>
      <c r="AM299" s="1439">
        <f>AL299-AL301</f>
        <v>0</v>
      </c>
      <c r="AN299" s="1440"/>
      <c r="AO299" s="1445">
        <f>IFERROR(IF(HW299=FALSE,0,(T301*U302)+(AE301*AF302)),0)</f>
        <v>0</v>
      </c>
      <c r="AP299" s="1445"/>
      <c r="AQ299" s="1446"/>
      <c r="AR299" s="1451" t="s">
        <v>157</v>
      </c>
      <c r="AS299" s="1454">
        <f>IF(AR299="Yes",1,0)</f>
        <v>1</v>
      </c>
      <c r="AT299" s="1457" t="str">
        <f>IF(OR(DN299=4,DN299=5,DN299=6,DN299=12),CONCATENATE("$",IF(GD299=TRUE,Lookup!$B$11,Lookup!$B$2)," /lamp"),CONCATENATE(EA299,"/ kWh"))</f>
        <v>0/ kWh</v>
      </c>
      <c r="AU299" s="516"/>
      <c r="AV299" s="1478">
        <f>IFERROR(IF(GI300=TRUE,(AB302*T301)/R301,0),"NA")</f>
        <v>0</v>
      </c>
      <c r="AW299" s="1478" t="str">
        <f>IFERROR(N301*_C406_reduction,"NA")</f>
        <v>NA</v>
      </c>
      <c r="BC299" s="38"/>
      <c r="BD299" s="38"/>
      <c r="BE299" s="38"/>
      <c r="BF299" s="38"/>
      <c r="BG299" s="38"/>
      <c r="BH299" s="38"/>
      <c r="BI299" s="38"/>
      <c r="BJ299" s="38"/>
      <c r="BK299" s="38"/>
      <c r="BL299" s="38"/>
      <c r="BM299" s="38"/>
      <c r="BN299" s="38"/>
      <c r="BO299" s="38"/>
      <c r="BP299" s="38"/>
      <c r="BQ299" s="38"/>
      <c r="BR299" s="38"/>
      <c r="BS299" s="38"/>
      <c r="BT299" s="38"/>
      <c r="BU299" s="38"/>
      <c r="BV299" s="38"/>
      <c r="BW299" s="38"/>
      <c r="BX299" s="38"/>
      <c r="BY299" s="38"/>
      <c r="BZ299" s="38"/>
      <c r="CA299" s="38"/>
      <c r="CB299" s="38"/>
      <c r="CC299" s="38"/>
      <c r="CD299" s="38"/>
      <c r="CE299" s="38"/>
      <c r="CF299" s="38"/>
      <c r="CG299" s="38"/>
      <c r="CH299" s="38"/>
      <c r="CI299" s="38"/>
      <c r="CM299" s="1352" t="str">
        <f>N300</f>
        <v/>
      </c>
      <c r="CN299" s="1352" t="str">
        <f>IFERROR(VLOOKUP(G300,_Lookup_Heat_Type_Table_New,3,FALSE),"")</f>
        <v/>
      </c>
      <c r="CO299" s="1415" t="str">
        <f>CN299</f>
        <v/>
      </c>
      <c r="CP299" s="1417" t="e">
        <f>VLOOKUP(G301,'Space Table'!$B$3:$L$160,9,FALSE)</f>
        <v>#N/A</v>
      </c>
      <c r="CR299" s="1386" t="s">
        <v>283</v>
      </c>
      <c r="CS299" s="1353">
        <f>IF(HW299=TRUE,T300,0)</f>
        <v>0</v>
      </c>
      <c r="CT299" s="1353" t="str">
        <f>IF(HW299=TRUE,U300,"")</f>
        <v/>
      </c>
      <c r="CU299" s="1353"/>
      <c r="CV299" s="1370">
        <f>IF(HW299=TRUE,AB299,0)</f>
        <v>0</v>
      </c>
      <c r="CW299" s="1370">
        <f>IF(HW299=TRUE,AC299,0)</f>
        <v>0</v>
      </c>
      <c r="CX299" s="1370">
        <f>IFERROR(IF(HW299=TRUE,CW299-CW301,0),0)</f>
        <v>0</v>
      </c>
      <c r="CY299" s="1485">
        <f>IF(HW299=TRUE,AD299,0)</f>
        <v>0</v>
      </c>
      <c r="CZ299" s="1485">
        <f>IF(HW299=TRUE,AD302,0)</f>
        <v>0</v>
      </c>
      <c r="DA299" s="1485">
        <f>IFERROR(CY299-CZ299,0)</f>
        <v>0</v>
      </c>
      <c r="DC299" s="1353">
        <f>IF(HW299=TRUE,AE300,0)</f>
        <v>0</v>
      </c>
      <c r="DD299" s="1460">
        <f>IF(__Retrofit_TI_NC=2,IF(CN299="Exterior",O302,FM299),FK299)</f>
        <v>0</v>
      </c>
      <c r="DE299" s="1353"/>
      <c r="DF299" s="1406">
        <f>IFERROR(IF(FL299=3,IK299,IF(FL299=4,IL299,IF(FL299=5,IM299,IF(FL299=6,IN299,IF(FL299=7,IO299,IF(FL299=8,IP299,0)))))),0)</f>
        <v>0</v>
      </c>
      <c r="DG299" s="1370">
        <f>IF(HW299=TRUE,AK299,0)</f>
        <v>0</v>
      </c>
      <c r="DH299" s="1369">
        <f>IFERROR(IF(HW299=TRUE,DG301-DG299,0),0)</f>
        <v>0</v>
      </c>
      <c r="DJ299" s="1483">
        <f>IFERROR(CW299-DG299,0)</f>
        <v>0</v>
      </c>
      <c r="DL299" s="1419">
        <f>DJ299-DK301</f>
        <v>0</v>
      </c>
      <c r="DN299" s="1403" t="str">
        <f>IFERROR(IF(AND(OR(FY299=4,FY299=5,FY299=6),OR(GB299=4,GB299=5,GB299=6)),FY299+8,VLOOKUP(CT301,Fixtures!R$31:Y$78,8,FALSE)),"")</f>
        <v/>
      </c>
      <c r="DO299" s="1404" t="str">
        <f>DN299</f>
        <v/>
      </c>
      <c r="DP299" s="1353" t="str">
        <f>IFERROR(VLOOKUP(DD301,Lookup!AU$3:AV$15,2,FALSE),"")</f>
        <v/>
      </c>
      <c r="DQ299" s="1404" t="str">
        <f>IF(DP299=7,"LLLC","")</f>
        <v/>
      </c>
      <c r="DR299" s="1403">
        <f>IFERROR(IF(OR(DN299=4,DN299=5,DN299=6,DN299=12,DN299=13,DN299=14),VLOOKUP(CT301,Fixtures!DN$27:EG$77,19,FALSE),1)*CS301,0)</f>
        <v>0</v>
      </c>
      <c r="DS299" s="1489">
        <f>IF(DP299=7,IF(DD299=DD301,0,DC301),0)</f>
        <v>0</v>
      </c>
      <c r="DU299" s="1403" t="str">
        <f>IFERROR(IF(EW299&lt;EW301,"Yes","No"),"")</f>
        <v/>
      </c>
      <c r="DV299" s="1404" t="str">
        <f>DU299</f>
        <v/>
      </c>
      <c r="DW299" s="1403">
        <f>IF(DU299="Yes",DC301,0)</f>
        <v>0</v>
      </c>
      <c r="DX299" s="1403">
        <f>DW299-DS299</f>
        <v>0</v>
      </c>
      <c r="DZ299" s="1481">
        <f>IFERROR(VLOOKUP(DN299,Lookup!AN$3:AO$16,2,FALSE),0)</f>
        <v>0</v>
      </c>
      <c r="EA299" s="1481">
        <f>IF(HW299=FALSE,0,IF(DU299="Yes",DZ299+Lookup!B$6,DZ299))</f>
        <v>0</v>
      </c>
      <c r="EC299" s="1482">
        <f>IF(HW299=TRUE,DJ299,0)</f>
        <v>0</v>
      </c>
      <c r="ED299" s="1369">
        <f>IF(HW299=TRUE,CW301,0)</f>
        <v>0</v>
      </c>
      <c r="EE299" s="1370">
        <f>IFERROR(EC299-ED299,0)</f>
        <v>0</v>
      </c>
      <c r="EF299" s="1369">
        <f>IF(HW299=TRUE,DG301,0)</f>
        <v>0</v>
      </c>
      <c r="EG299" s="1369">
        <f>IFERROR(EC299-ED299+EF299,0)</f>
        <v>0</v>
      </c>
      <c r="EH299" s="1373">
        <f>IF(HW299=TRUE,CS301*CU301,0)</f>
        <v>0</v>
      </c>
      <c r="EI299" s="1373">
        <f>IF(HW299=TRUE,DC301*DE301,0)</f>
        <v>0</v>
      </c>
      <c r="EJ299" s="1363">
        <f>AO299</f>
        <v>0</v>
      </c>
      <c r="EK299" s="1376" t="str">
        <f>IFERROR(IF(HW299=TRUE,VLOOKUP(DN299,Lookup!AN$3:AP$16,3,FALSE)*DR299,""),0)</f>
        <v/>
      </c>
      <c r="EL299" s="1376">
        <f>IF(HW299=TRUE,DW299*Lookup!AP$12,0)</f>
        <v>0</v>
      </c>
      <c r="EM299" s="1362">
        <f>IFERROR(IF(HW299=TRUE,EK299/EM$33,0),0)</f>
        <v>0</v>
      </c>
      <c r="EN299" s="1362">
        <f>IF(HW299=TRUE,EL299/EN$33,0)</f>
        <v>0</v>
      </c>
      <c r="EO299" s="1363">
        <f>IF(HW299=TRUE,EQ$33*EM299,0)</f>
        <v>0</v>
      </c>
      <c r="EP299" s="1363">
        <f>IF(HW299=TRUE,EQ$33*EN299,0)</f>
        <v>0</v>
      </c>
      <c r="EQ299" s="1363">
        <f>EO299+EP299</f>
        <v>0</v>
      </c>
      <c r="ES299" s="1403">
        <f>IF(G299="",0,1)</f>
        <v>0</v>
      </c>
      <c r="EU299" s="1410" t="e">
        <f>VLOOKUP(CP301,'Space Table'!$B$3:$L$160,8,FALSE)</f>
        <v>#N/A</v>
      </c>
      <c r="EV299" s="1410" t="e">
        <f>IF(EY299="Yes",VLOOKUP(DD299,Lookup_Control_Type_Table2,4,FALSE),VLOOKUP(DD299,Lookup_Control_Type_Table2,3,FALSE))</f>
        <v>#N/A</v>
      </c>
      <c r="EW299" s="1410" t="e">
        <f>VLOOKUP(DD299,Lookup!AU$3:AV$15,2,FALSE)</f>
        <v>#N/A</v>
      </c>
      <c r="EX299" s="1410" t="e">
        <f>VLOOKUP(EU299,Lookup_Control_Type_Table,2,FALSE)</f>
        <v>#N/A</v>
      </c>
      <c r="EY299" s="1410" t="e">
        <f>VLOOKUP(CP301,'Space Table'!$B$3:$L$160,7,FALSE)</f>
        <v>#N/A</v>
      </c>
      <c r="EZ299" s="1412" t="b">
        <f>ISNUMBER(SEARCH("TLED",U301))</f>
        <v>0</v>
      </c>
      <c r="FB299" s="1365" t="str">
        <f>CONCATENATE(CN299," - ",DD299)</f>
        <v xml:space="preserve"> - 0</v>
      </c>
      <c r="FD299" s="1353" t="str">
        <f>VLOOKUP(CT301,Fixtures!DN$27:EZ$77,38,FALSE)</f>
        <v/>
      </c>
      <c r="FE299" s="1353">
        <f>IFERROR(FD299*EE299,0)</f>
        <v>0</v>
      </c>
      <c r="FF299" s="138"/>
      <c r="FI299" s="1356" t="str">
        <f>IF(CN299="Exterior","Not Daylighted",G302)</f>
        <v>Not Daylighted</v>
      </c>
      <c r="FJ299" s="1356">
        <f>VLOOKUP(FI299,_Daylight_Table_Codes,2,FALSE)</f>
        <v>0</v>
      </c>
      <c r="FK299" s="1365">
        <f>IF(__Retrofit_TI_NC=2,VLOOKUP(G301,'Space Table'!$B$3:$L$160,11,FALSE),AF300)</f>
        <v>0</v>
      </c>
      <c r="FL299" s="1365" t="e">
        <f>VLOOKUP(FK299,_Control_Table,2,FALSE)</f>
        <v>#N/A</v>
      </c>
      <c r="FM299" s="1365" t="e">
        <f>IF(AND(FP299&gt;0,FK299="Occupancy Sensor"),"Daylight + Occupancy",IF(AND(FP299&gt;0,FL299&lt;4),"Interior Daylight Dimming",FK299))</f>
        <v>#N/A</v>
      </c>
      <c r="FO299" s="1364">
        <f>IF(CO299="Interior",VLOOKUP(CP299,Control_Savings_Interior,5,FALSE),0)</f>
        <v>0</v>
      </c>
      <c r="FP299" s="1361">
        <f>IF(CN299="Exterior",0,IF(FJ299=2,0.5,IF(OR(FJ299=1,FJ299=3),1,0)))</f>
        <v>0</v>
      </c>
      <c r="FQ299" s="1366"/>
      <c r="FR299" s="1367"/>
      <c r="FS299" s="1364"/>
      <c r="FT299" s="1367"/>
      <c r="FU299" s="1360"/>
      <c r="FW299" s="1352" t="str">
        <f>IFERROR(VLOOKUP(U300,_Exist_Fixture_Table,3,FALSE),"")</f>
        <v/>
      </c>
      <c r="FX299" s="1352" t="str">
        <f>VLOOKUP(CT299,_Exist_Fixture_Table,4,FALSE)</f>
        <v/>
      </c>
      <c r="FY299" s="1352">
        <f>IFERROR(VLOOKUP(FX299,Lookup!AM$6:AN$8,2,FALSE),0)</f>
        <v>0</v>
      </c>
      <c r="FZ299" s="1352" t="b">
        <f>IFERROR(IF(OR(GB299=4,GB299=5,GB299=6),TRUE,FALSE),"")</f>
        <v>0</v>
      </c>
      <c r="GA299" s="1352" t="str">
        <f>IFERROR(VLOOKUP(GB299,FY$6:FZ$10,2,FALSE),"")</f>
        <v/>
      </c>
      <c r="GB299" s="1352" t="str">
        <f>VLOOKUP(CT301,Fixtures!R$31:Y$78,8,FALSE)</f>
        <v/>
      </c>
      <c r="GC299" s="1352">
        <f>IF(AND(FW299=TRUE,FZ299=TRUE,OR(DN299=12,DN299=13,DN299=14)),FY299+8,0)</f>
        <v>0</v>
      </c>
      <c r="GD299" s="1352" t="b">
        <f>IF(OR(GC299=12,GC299=13,GC299=14),TRUE,FALSE)</f>
        <v>0</v>
      </c>
      <c r="GE299" s="759" t="b">
        <f>IF(ISNUMBER(SEARCH("TLED",U300)),TRUE,FALSE)</f>
        <v>0</v>
      </c>
      <c r="GF299" s="1035" t="str">
        <f>IFERROR(VLOOKUP(U300,Fixtures!BM$93:BR$142,6,FALSE),"")</f>
        <v/>
      </c>
      <c r="GG299" s="1385" t="b">
        <f>IF(OR(GE299=FALSE,GE301=FALSE),TRUE,IF(GF299-GF301&lt;5,FALSE,TRUE))</f>
        <v>1</v>
      </c>
      <c r="GK299" s="1034">
        <f>GL299</f>
        <v>0</v>
      </c>
      <c r="GL299" s="1034">
        <f>IF(G299="",0,1)</f>
        <v>0</v>
      </c>
      <c r="GM299" s="1034">
        <f>SUM(GN299:HB299)</f>
        <v>2</v>
      </c>
      <c r="GN299" s="1034">
        <f>IF(G300="",0,1)</f>
        <v>0</v>
      </c>
      <c r="GO299" s="1034">
        <f>IF(G301="",0,1)</f>
        <v>0</v>
      </c>
      <c r="GP299" s="1034">
        <f>IF(R300="",0,1)</f>
        <v>0</v>
      </c>
      <c r="GQ299" s="1034">
        <f>IF(__Retrofit_TI_NC=0,1,IF(R301="",0,1))</f>
        <v>1</v>
      </c>
      <c r="GR299" s="1034">
        <f>IF(CN299="Exterior",1,IF(G302="",0,1))</f>
        <v>1</v>
      </c>
      <c r="GS299" s="1034">
        <f>IF(__Retrofit_TI_NC&lt;&gt;0,1,IF(T300="",0,1))</f>
        <v>0</v>
      </c>
      <c r="GT299" s="1034">
        <f>IF(__Retrofit_TI_NC&lt;&gt;0,1,IF(U300="",0,1))</f>
        <v>0</v>
      </c>
      <c r="GU299" s="1034">
        <f>IF(T301="",0,1)</f>
        <v>0</v>
      </c>
      <c r="GV299" s="1034">
        <f>IF(U301="",0,1)</f>
        <v>0</v>
      </c>
      <c r="GW299" s="1034">
        <f>IF(__Retrofit_TI_NC=2,1,IF(U302="",0,1))</f>
        <v>0</v>
      </c>
      <c r="GX299" s="1034">
        <f>IF(__Retrofit_TI_NC&lt;&gt;0,1,IF(AE300="",0,1))</f>
        <v>0</v>
      </c>
      <c r="GY299" s="1034">
        <f>IF(__Retrofit_TI_NC&lt;&gt;0,1,IF(AF300="",0,1))</f>
        <v>0</v>
      </c>
      <c r="GZ299" s="1034">
        <f>IF(AE301="",0,1)</f>
        <v>0</v>
      </c>
      <c r="HA299" s="1034">
        <f>IF(AF301="",0,1)</f>
        <v>0</v>
      </c>
      <c r="HB299" s="1034">
        <f>IF(__Retrofit_TI_NC=2,1,IF(AF302="",0,1))</f>
        <v>0</v>
      </c>
      <c r="HV299" s="436"/>
      <c r="HW299" s="1384" t="b">
        <f>IF(OR(HW302=0,HW302=HT$16,HW302=HS$16,HW302=HU$16),TRUE,FALSE)</f>
        <v>0</v>
      </c>
      <c r="HX299" s="1377" t="b">
        <f>HW299</f>
        <v>0</v>
      </c>
      <c r="HY299" s="436"/>
      <c r="HZ299" s="436"/>
      <c r="IA299" s="1386" t="b">
        <f>IF(MAX(GJ302:HP302)&gt;5,FALSE,TRUE)</f>
        <v>0</v>
      </c>
      <c r="IB299" s="1380">
        <f>IF(IA299=TRUE,AC299,0)</f>
        <v>0</v>
      </c>
      <c r="IC299" s="1380">
        <f>IB299-IB301</f>
        <v>0</v>
      </c>
      <c r="IF299" s="1380" t="e">
        <f>ROUND(T300*VLOOKUP(U300,Fixtures_Existing_List,2,FALSE)*N300*R300/1000,0)</f>
        <v>#N/A</v>
      </c>
      <c r="IG299" s="1381" t="e">
        <f>IF299-IF301</f>
        <v>#N/A</v>
      </c>
      <c r="IH299" s="1384" t="e">
        <f>ROUND(IF(CN299="Interior",N301*R301*R300*N300*_C406_reduction/1000,N301*R301*R300*N300/1000),0)</f>
        <v>#N/A</v>
      </c>
      <c r="II299" s="1384" t="e">
        <f>IH299-IH301</f>
        <v>#N/A</v>
      </c>
      <c r="IK299" s="1351" t="e">
        <f>IF($CO299="interior",IL299/2,VLOOKUP($CP299,Control_Savings_Exterior,IK$30,FALSE))</f>
        <v>#N/A</v>
      </c>
      <c r="IL299" s="1351" t="e">
        <f>IF($CO299="interior",VLOOKUP($CP299,Control_Savings_Interior,IL$30,FALSE),VLOOKUP($CP299,Control_Savings_Exterior,IL$30,FALSE))</f>
        <v>#N/A</v>
      </c>
      <c r="IM299" s="1351" t="e">
        <f>IF($CO299="interior",IF(R300&gt;FO$37,(IM$28*(FO$37/R300)),IM$28)*FP299,VLOOKUP($CP299,Control_Savings_Exterior,IM$30,FALSE))</f>
        <v>#N/A</v>
      </c>
      <c r="IN299" s="1351" t="e">
        <f>IF($CO299="interior",ROUND(((1-IL299)*IM299)+IL299,2),VLOOKUP($CP299,Control_Savings_Exterior,IN$30,FALSE))</f>
        <v>#N/A</v>
      </c>
      <c r="IO299" s="1351" t="e">
        <f>IF($CO299="interior", ROUND(((1-IL299)*(IM299*(1-IP$28)))+IP299,2), VLOOKUP($CP299,Control_Savings_Exterior,IO$30,FALSE))</f>
        <v>#N/A</v>
      </c>
      <c r="IP299" s="1351">
        <f>IF($CO299="interior",ROUND(((1-IL299)*IP$28)+IL299,2),0)</f>
        <v>0</v>
      </c>
    </row>
    <row r="300" spans="1:250" s="82" customFormat="1" ht="14.95" customHeight="1" thickTop="1" thickBot="1">
      <c r="B300" s="1421"/>
      <c r="C300" s="1422"/>
      <c r="D300" s="1423"/>
      <c r="E300" s="1393" t="s">
        <v>244</v>
      </c>
      <c r="F300" s="1394"/>
      <c r="G300" s="1395"/>
      <c r="H300" s="1395"/>
      <c r="I300" s="1395"/>
      <c r="J300" s="1395"/>
      <c r="K300" s="1395"/>
      <c r="L300" s="1395"/>
      <c r="M300" s="509" t="e">
        <f>IF(__Retrofit_TI_NC&lt;&gt;0,IF(VLOOKUP(G301,'Space Table'!$B$3:$L$160,3,FALSE)&gt;0,1,0),IF(__Retrofit_TI_NC=VLOOKUP(G301,'Space Table'!$B$3:$L$160,3,FALSE),1,0))</f>
        <v>#N/A</v>
      </c>
      <c r="N300" s="509" t="str">
        <f>IFERROR(VLOOKUP(G300,_Lookup_Heat_Type_Table_New,2,FALSE),"")</f>
        <v/>
      </c>
      <c r="O300" s="509">
        <f>IF(__Retrofit_TI_NC=1,CONCATENATE("TI ",G300),IF(__Retrofit_TI_NC=2,CONCATENATE("NC ",G300),G300))</f>
        <v>0</v>
      </c>
      <c r="P300" s="1396" t="s">
        <v>352</v>
      </c>
      <c r="Q300" s="1396"/>
      <c r="R300" s="673"/>
      <c r="S300" s="1429"/>
      <c r="T300" s="675"/>
      <c r="U300" s="1496"/>
      <c r="V300" s="1497"/>
      <c r="W300" s="1497"/>
      <c r="X300" s="1497"/>
      <c r="Y300" s="1497"/>
      <c r="Z300" s="1497"/>
      <c r="AA300" s="1497"/>
      <c r="AB300" s="1497"/>
      <c r="AC300" s="1497"/>
      <c r="AD300" s="1498"/>
      <c r="AE300" s="675"/>
      <c r="AF300" s="1397"/>
      <c r="AG300" s="1397"/>
      <c r="AH300" s="1397"/>
      <c r="AI300" s="1397"/>
      <c r="AJ300" s="1434"/>
      <c r="AK300" s="1436"/>
      <c r="AL300" s="1438"/>
      <c r="AM300" s="1441"/>
      <c r="AN300" s="1442"/>
      <c r="AO300" s="1447"/>
      <c r="AP300" s="1447"/>
      <c r="AQ300" s="1448"/>
      <c r="AR300" s="1452"/>
      <c r="AS300" s="1455"/>
      <c r="AT300" s="1458"/>
      <c r="AU300" s="516"/>
      <c r="AV300" s="1479"/>
      <c r="AW300" s="1479"/>
      <c r="BC300" s="38"/>
      <c r="BD300" s="38"/>
      <c r="BE300" s="38"/>
      <c r="BF300" s="38"/>
      <c r="BG300" s="38"/>
      <c r="BH300" s="38"/>
      <c r="BI300" s="38"/>
      <c r="BJ300" s="38"/>
      <c r="BK300" s="38"/>
      <c r="BL300" s="38"/>
      <c r="BM300" s="38"/>
      <c r="BN300" s="38"/>
      <c r="BO300" s="38"/>
      <c r="BP300" s="38"/>
      <c r="BQ300" s="38"/>
      <c r="BR300" s="38"/>
      <c r="BS300" s="38"/>
      <c r="BT300" s="38"/>
      <c r="BU300" s="38"/>
      <c r="BV300" s="38"/>
      <c r="BW300" s="38"/>
      <c r="BX300" s="38"/>
      <c r="BY300" s="38"/>
      <c r="BZ300" s="38"/>
      <c r="CA300" s="38"/>
      <c r="CB300" s="38"/>
      <c r="CC300" s="38"/>
      <c r="CD300" s="38"/>
      <c r="CE300" s="38"/>
      <c r="CF300" s="38"/>
      <c r="CG300" s="38"/>
      <c r="CH300" s="38"/>
      <c r="CI300" s="38"/>
      <c r="CM300" s="1352"/>
      <c r="CN300" s="1352"/>
      <c r="CO300" s="1416"/>
      <c r="CP300" s="1418"/>
      <c r="CR300" s="1386"/>
      <c r="CS300" s="1355"/>
      <c r="CT300" s="1355"/>
      <c r="CU300" s="1355"/>
      <c r="CV300" s="1372"/>
      <c r="CW300" s="1372"/>
      <c r="CX300" s="1371"/>
      <c r="CY300" s="1486"/>
      <c r="CZ300" s="1486"/>
      <c r="DA300" s="1486"/>
      <c r="DC300" s="1355"/>
      <c r="DD300" s="1461"/>
      <c r="DE300" s="1355"/>
      <c r="DF300" s="1407"/>
      <c r="DG300" s="1372"/>
      <c r="DH300" s="1369"/>
      <c r="DJ300" s="1484"/>
      <c r="DL300" s="1419"/>
      <c r="DN300" s="1403"/>
      <c r="DO300" s="1405"/>
      <c r="DP300" s="1354"/>
      <c r="DQ300" s="1405"/>
      <c r="DR300" s="1403"/>
      <c r="DS300" s="1489"/>
      <c r="DU300" s="1403"/>
      <c r="DV300" s="1405"/>
      <c r="DW300" s="1403"/>
      <c r="DX300" s="1403"/>
      <c r="DZ300" s="1481"/>
      <c r="EA300" s="1481"/>
      <c r="EC300" s="1482"/>
      <c r="ED300" s="1369"/>
      <c r="EE300" s="1371"/>
      <c r="EF300" s="1369"/>
      <c r="EG300" s="1369"/>
      <c r="EH300" s="1374"/>
      <c r="EI300" s="1374"/>
      <c r="EJ300" s="1363"/>
      <c r="EK300" s="1376"/>
      <c r="EL300" s="1376"/>
      <c r="EM300" s="1362"/>
      <c r="EN300" s="1362"/>
      <c r="EO300" s="1363"/>
      <c r="EP300" s="1363"/>
      <c r="EQ300" s="1363"/>
      <c r="ES300" s="1403"/>
      <c r="EU300" s="1411"/>
      <c r="EV300" s="1411"/>
      <c r="EW300" s="1411"/>
      <c r="EX300" s="1411"/>
      <c r="EY300" s="1411"/>
      <c r="EZ300" s="1413"/>
      <c r="FB300" s="1365"/>
      <c r="FD300" s="1354"/>
      <c r="FE300" s="1354"/>
      <c r="FF300" s="138"/>
      <c r="FI300" s="1357"/>
      <c r="FJ300" s="1357"/>
      <c r="FK300" s="1365"/>
      <c r="FL300" s="1365"/>
      <c r="FM300" s="1365"/>
      <c r="FO300" s="1361"/>
      <c r="FP300" s="1361"/>
      <c r="FQ300" s="1366"/>
      <c r="FR300" s="1368"/>
      <c r="FS300" s="1361"/>
      <c r="FT300" s="1368"/>
      <c r="FU300" s="1360"/>
      <c r="FW300" s="1352"/>
      <c r="FX300" s="1352"/>
      <c r="FY300" s="1352"/>
      <c r="FZ300" s="1352"/>
      <c r="GA300" s="1352"/>
      <c r="GB300" s="1352"/>
      <c r="GC300" s="1352"/>
      <c r="GD300" s="1352"/>
      <c r="GE300" s="759"/>
      <c r="GF300" s="1035"/>
      <c r="GG300" s="1385"/>
      <c r="GI300" s="1384" t="b">
        <f>IF(AND(GL300=TRUE,GM300=TRUE),TRUE,FALSE)</f>
        <v>0</v>
      </c>
      <c r="GJ300" s="1379" t="b">
        <f>IFERROR(IF(__Retrofit_TI_NC=2,TRUE,IF(AR299="Yes",TRUE,FALSE)),FALSE)</f>
        <v>1</v>
      </c>
      <c r="GL300" s="1379" t="b">
        <f>IFERROR(IF(GL299=1,TRUE,FALSE),FALSE)</f>
        <v>0</v>
      </c>
      <c r="GM300" s="1379" t="b">
        <f>IFERROR(IF(GM299=GM$14,TRUE,FALSE),FALSE)</f>
        <v>0</v>
      </c>
      <c r="HC300" s="1379" t="b">
        <f>IFERROR(IF(M300=1,TRUE,FALSE),FALSE)</f>
        <v>0</v>
      </c>
      <c r="HD300" s="1379" t="b">
        <f>IFERROR(IF(M301=1,TRUE,FALSE),FALSE)</f>
        <v>0</v>
      </c>
      <c r="HE300" s="1379" t="b">
        <f>IFERROR(IF(__Retrofit_TI_NC&lt;&gt;0,TRUE,IFERROR(IF(VLOOKUP(U300,Fixtures_Existing_List,2,FALSE)&lt;&gt;"",TRUE,FALSE),FALSE)),FALSE)</f>
        <v>0</v>
      </c>
      <c r="HF300" s="1379" t="b">
        <f>IFERROR(IF(VLOOKUP(U301,Fixtures_Proposed_List,2,FALSE)&lt;&gt;"",TRUE,FALSE),FALSE)</f>
        <v>0</v>
      </c>
      <c r="HG300" s="1379" t="b">
        <f>IF(AND(__Retrofit_TI_NC=2,EZ299=TRUE),FALSE,TRUE)</f>
        <v>1</v>
      </c>
      <c r="HH300" s="1379" t="b">
        <f>GG299</f>
        <v>1</v>
      </c>
      <c r="HI300" s="1384" t="b">
        <f>IF(ISERROR(MATCH(FB299,_Control_Match[],0))=TRUE,FALSE,TRUE)</f>
        <v>0</v>
      </c>
      <c r="HJ300" s="1384" t="b">
        <f>IFERROR(IF(EU299&lt;&gt;EV299,FALSE,TRUE),FALSE)</f>
        <v>0</v>
      </c>
      <c r="HK300" s="1384" t="b">
        <f>IFERROR(IF(EU301&lt;&gt;EV301,FALSE,TRUE),FALSE)</f>
        <v>0</v>
      </c>
      <c r="HL300" s="1379" t="b">
        <f>IFERROR(IF(CN299="Exterior",TRUE,IF(OR(AND(FJ299=0,EW301&gt;4),AND(FJ299=4,EW301&gt;4,EW301&lt;7)),FALSE,TRUE)),FALSE)</f>
        <v>0</v>
      </c>
      <c r="HM300" s="1379" t="b">
        <f>IFERROR(IF(AND(FL301=7,EZ299=TRUE),FALSE,TRUE),FALSE)</f>
        <v>0</v>
      </c>
      <c r="HN300" s="1379" t="b">
        <f>IFERROR(IF(AND(T301&lt;&gt;AE301,AF301="Interior LLLC")=TRUE,FALSE,TRUE),FALSE)</f>
        <v>1</v>
      </c>
      <c r="HO300" s="1379" t="b">
        <f>IFERROR(IF(OR(AF301=Lookup!AU$13,AF301=Lookup!AU$14)=TRUE,IF(AE301&gt;T301,FALSE,TRUE),TRUE),FALSE)</f>
        <v>1</v>
      </c>
      <c r="HP300" s="1379" t="b">
        <f>IFERROR(IF(__Retrofit_TI_NC=2,IF(EW301&lt;EW299,FALSE,TRUE),TRUE),FALSE)</f>
        <v>1</v>
      </c>
      <c r="HQ300" s="1379" t="b">
        <f>IF(CN299="Interior",IG$6,TRUE)</f>
        <v>1</v>
      </c>
      <c r="HR300" s="1379" t="b">
        <f>IF(CN299="Exterior",IG$8,TRUE)</f>
        <v>1</v>
      </c>
      <c r="HS300" s="1379" t="b">
        <f>IFERROR(IF(__Retrofit_TI_NC&lt;&gt;0,IF(AW299&lt;AV299,FALSE,TRUE),TRUE),FALSE)</f>
        <v>1</v>
      </c>
      <c r="HT300" s="1379" t="b">
        <f>IFERROR(IF(AND(G300="Exterior",R300&gt;4200),FALSE,TRUE),FALSE)</f>
        <v>1</v>
      </c>
      <c r="HU300" s="1379" t="b">
        <f>IFERROR(IF(AB302/AB299&lt;HU$18,FALSE,TRUE),FALSE)</f>
        <v>0</v>
      </c>
      <c r="HW300" s="1382"/>
      <c r="HX300" s="1378"/>
      <c r="HY300" s="1377" t="str">
        <f>VLOOKUP(HW302,_Error_Table,4,FALSE)</f>
        <v>White</v>
      </c>
      <c r="HZ300" s="436"/>
      <c r="IA300" s="1386"/>
      <c r="IB300" s="1380"/>
      <c r="IC300" s="1379"/>
      <c r="IF300" s="1380"/>
      <c r="IG300" s="1382"/>
      <c r="IH300" s="1382"/>
      <c r="II300" s="1382"/>
      <c r="IK300" s="1351"/>
      <c r="IL300" s="1351"/>
      <c r="IM300" s="1351"/>
      <c r="IN300" s="1351"/>
      <c r="IO300" s="1351"/>
      <c r="IP300" s="1351"/>
    </row>
    <row r="301" spans="1:250" s="82" customFormat="1" ht="14.95" customHeight="1" thickTop="1" thickBot="1">
      <c r="A301" s="82">
        <f>ROW()</f>
        <v>301</v>
      </c>
      <c r="B301" s="1421"/>
      <c r="C301" s="1422"/>
      <c r="D301" s="1423"/>
      <c r="E301" s="1393" t="s">
        <v>245</v>
      </c>
      <c r="F301" s="1394"/>
      <c r="G301" s="1398"/>
      <c r="H301" s="1399"/>
      <c r="I301" s="1399"/>
      <c r="J301" s="1399"/>
      <c r="K301" s="1399"/>
      <c r="L301" s="1400"/>
      <c r="M301" s="509">
        <f>IFERROR(IF(IF(__Retrofit_TI_NC&lt;&gt;0,IF(CN299="Interior",MATCH(G301,Lookup_Interior_New,0),MATCH(G301,Lookup_Exterior_New,0)),IF(CN299="Interior",MATCH(G301,Lookup_Interior,0),MATCH(G301,Lookup_Exterior_Areas,0)))&gt;0,1,0),0)</f>
        <v>0</v>
      </c>
      <c r="N301" s="509" t="e">
        <f>IF(__Retrofit_TI_NC=1,
VLOOKUP(G301,'Space Table'!$B$3:$L$160,4,FALSE),
IF(__Retrofit_TI_NC=2,VLOOKUP(G301,'Space Table'!$B$3:$L$160,5,FALSE),VLOOKUP(G301,'Space Table'!$B$3:$L$160,5,FALSE)))</f>
        <v>#N/A</v>
      </c>
      <c r="O301" s="509">
        <f>G301</f>
        <v>0</v>
      </c>
      <c r="P301" s="1394" t="s">
        <v>355</v>
      </c>
      <c r="Q301" s="1394"/>
      <c r="R301" s="674"/>
      <c r="S301" s="1401" t="s">
        <v>284</v>
      </c>
      <c r="T301" s="672"/>
      <c r="U301" s="1499"/>
      <c r="V301" s="1500"/>
      <c r="W301" s="1500"/>
      <c r="X301" s="1500"/>
      <c r="Y301" s="1500"/>
      <c r="Z301" s="1500"/>
      <c r="AA301" s="1500"/>
      <c r="AB301" s="1501"/>
      <c r="AC301" s="1501"/>
      <c r="AD301" s="1502"/>
      <c r="AE301" s="672"/>
      <c r="AF301" s="1474"/>
      <c r="AG301" s="1474"/>
      <c r="AH301" s="1474"/>
      <c r="AI301" s="1474"/>
      <c r="AJ301" s="1475">
        <f>DF301</f>
        <v>0</v>
      </c>
      <c r="AK301" s="1470" t="str">
        <f>IFERROR(ROUND(AJ301*AC302,0),"")</f>
        <v/>
      </c>
      <c r="AL301" s="1472">
        <f>IFERROR(IF(HW299=FALSE,0,AC302-AK301),0)</f>
        <v>0</v>
      </c>
      <c r="AM301" s="1441"/>
      <c r="AN301" s="1442"/>
      <c r="AO301" s="1447"/>
      <c r="AP301" s="1447"/>
      <c r="AQ301" s="1448"/>
      <c r="AR301" s="1452"/>
      <c r="AS301" s="1455"/>
      <c r="AT301" s="1458"/>
      <c r="AU301" s="516"/>
      <c r="AV301" s="1479"/>
      <c r="AW301" s="1479"/>
      <c r="BC301" s="38"/>
      <c r="BD301" s="38"/>
      <c r="BE301" s="38"/>
      <c r="BF301" s="38"/>
      <c r="BG301" s="38"/>
      <c r="BH301" s="38"/>
      <c r="BI301" s="38"/>
      <c r="BJ301" s="38"/>
      <c r="BK301" s="38"/>
      <c r="BL301" s="38"/>
      <c r="BM301" s="38"/>
      <c r="BN301" s="38"/>
      <c r="BO301" s="38"/>
      <c r="BP301" s="38"/>
      <c r="BQ301" s="38"/>
      <c r="BR301" s="38"/>
      <c r="BS301" s="38"/>
      <c r="BT301" s="38"/>
      <c r="BU301" s="38"/>
      <c r="BV301" s="38"/>
      <c r="BW301" s="38"/>
      <c r="BX301" s="38"/>
      <c r="BY301" s="38"/>
      <c r="BZ301" s="38"/>
      <c r="CA301" s="38"/>
      <c r="CB301" s="38"/>
      <c r="CC301" s="38"/>
      <c r="CD301" s="38"/>
      <c r="CE301" s="38"/>
      <c r="CF301" s="38"/>
      <c r="CG301" s="38"/>
      <c r="CH301" s="38"/>
      <c r="CI301" s="38"/>
      <c r="CM301" s="1352"/>
      <c r="CN301" s="1352"/>
      <c r="CO301" s="1415" t="str">
        <f>CN299</f>
        <v/>
      </c>
      <c r="CP301" s="1417" t="e">
        <f>CP299</f>
        <v>#N/A</v>
      </c>
      <c r="CR301" s="1386" t="s">
        <v>284</v>
      </c>
      <c r="CS301" s="1353">
        <f>IF(HW299=TRUE,T301,0)</f>
        <v>0</v>
      </c>
      <c r="CT301" s="1353" t="str">
        <f>IF(HW299=TRUE,U301,"")</f>
        <v/>
      </c>
      <c r="CU301" s="1373">
        <f>IF(HW299=TRUE,U302,0)</f>
        <v>0</v>
      </c>
      <c r="CV301" s="1370">
        <f>IF(HW299=TRUE,AB302,0)</f>
        <v>0</v>
      </c>
      <c r="CW301" s="1370">
        <f>IF(HW299=TRUE,AC302,0)</f>
        <v>0</v>
      </c>
      <c r="CX301" s="1371"/>
      <c r="CY301" s="1486"/>
      <c r="CZ301" s="1486"/>
      <c r="DA301" s="1486"/>
      <c r="DC301" s="1353">
        <f>IF(HW299=TRUE,AE301,0)</f>
        <v>0</v>
      </c>
      <c r="DD301" s="1353" t="str">
        <f>IF(HW299=TRUE,AF301,"")</f>
        <v/>
      </c>
      <c r="DE301" s="1373">
        <f>AF302</f>
        <v>0</v>
      </c>
      <c r="DF301" s="1406">
        <f>IFERROR(IF(FL301=3,IK301,IF(FL301=4,IL301,IF(FL301=5,IM301,IF(FL301=6,IN301,IF(FL301=7,IO301,IF(FL301=8,IP301,0)))))),0)</f>
        <v>0</v>
      </c>
      <c r="DG301" s="1370">
        <f>IF(HW299=TRUE,AK301,0)</f>
        <v>0</v>
      </c>
      <c r="DH301" s="1369"/>
      <c r="DK301" s="1483">
        <f>IFERROR(CW301-DG301,0)</f>
        <v>0</v>
      </c>
      <c r="DL301" s="1420"/>
      <c r="DN301" s="1403"/>
      <c r="DO301" s="1477" t="str">
        <f>DN299</f>
        <v/>
      </c>
      <c r="DP301" s="1354"/>
      <c r="DQ301" s="1477" t="str">
        <f>IF(DP299=7,"LLLC","")</f>
        <v/>
      </c>
      <c r="DR301" s="1403"/>
      <c r="DS301" s="1489"/>
      <c r="DU301" s="1403"/>
      <c r="DV301" s="1404" t="str">
        <f>DU299</f>
        <v/>
      </c>
      <c r="DW301" s="1403"/>
      <c r="DX301" s="1403"/>
      <c r="DZ301" s="1481"/>
      <c r="EA301" s="1481"/>
      <c r="EC301" s="1482"/>
      <c r="ED301" s="1369"/>
      <c r="EE301" s="1371"/>
      <c r="EF301" s="1369"/>
      <c r="EG301" s="1369"/>
      <c r="EH301" s="1374"/>
      <c r="EI301" s="1374"/>
      <c r="EJ301" s="1363"/>
      <c r="EK301" s="1376"/>
      <c r="EL301" s="1376"/>
      <c r="EM301" s="1362"/>
      <c r="EN301" s="1362"/>
      <c r="EO301" s="1363"/>
      <c r="EP301" s="1363"/>
      <c r="EQ301" s="1363"/>
      <c r="ES301" s="1403"/>
      <c r="EU301" s="1411" t="e">
        <f>VLOOKUP(CP301,'Space Table'!$B$3:$L$160,8,FALSE)</f>
        <v>#N/A</v>
      </c>
      <c r="EV301" s="1411" t="e">
        <f>IF(EY301="Yes",VLOOKUP(AF301,Lookup_Control_Type_Table2,4,FALSE),VLOOKUP(AF301,Lookup_Control_Type_Table2,3,FALSE))</f>
        <v>#N/A</v>
      </c>
      <c r="EW301" s="1411" t="e">
        <f>VLOOKUP(AF301,Lookup!AU$3:AV$15,2,FALSE)</f>
        <v>#N/A</v>
      </c>
      <c r="EX301" s="1411" t="e">
        <f>VLOOKUP(EU299,Lookup_Control_Type_Table,2,FALSE)</f>
        <v>#N/A</v>
      </c>
      <c r="EY301" s="1411" t="e">
        <f>VLOOKUP(CP301,'Space Table'!$B$3:$L$160,7,FALSE)</f>
        <v>#N/A</v>
      </c>
      <c r="EZ301" s="1413"/>
      <c r="FB301" s="1365" t="str">
        <f>CONCATENATE(CN299," - ",AF301)</f>
        <v xml:space="preserve"> - </v>
      </c>
      <c r="FD301" s="1354"/>
      <c r="FE301" s="1354"/>
      <c r="FF301" s="138"/>
      <c r="FI301" s="1356" t="str">
        <f>IF(CN299="Exterior","Not Daylighted",G302)</f>
        <v>Not Daylighted</v>
      </c>
      <c r="FJ301" s="1356">
        <f>VLOOKUP(FI301,_Daylight_Table_Codes,2,FALSE)</f>
        <v>0</v>
      </c>
      <c r="FK301" s="1365">
        <f>AF301</f>
        <v>0</v>
      </c>
      <c r="FL301" s="1365" t="e">
        <f>VLOOKUP(FK301,_Control_Table,2,FALSE)</f>
        <v>#N/A</v>
      </c>
      <c r="FM301" s="1365" t="e">
        <f>IF(AND(FP301&gt;0,FK301="Occupancy Sensor"),"Daylight + Occupancy",IF(AND(FP301&gt;0,FL301&lt;4),"Interior Daylight Dimming",FK301))</f>
        <v>#N/A</v>
      </c>
      <c r="FO301" s="1364">
        <f>IF(CN299="Interior",VLOOKUP(CP299,Control_Savings_Interior,5,FALSE),0)</f>
        <v>0</v>
      </c>
      <c r="FP301" s="1361">
        <f>IF(CN301="Exterior",0,IF(FJ301=2,0.5,IF(OR(FJ301=1,FJ301=3),1,0)))</f>
        <v>0</v>
      </c>
      <c r="FQ301" s="1366">
        <f>IF(R300&gt;FO$37,(FO301*(FO$37/R300)),FO301)*FP301</f>
        <v>0</v>
      </c>
      <c r="FR301" s="1364">
        <f>DF301</f>
        <v>0</v>
      </c>
      <c r="FS301" s="1364">
        <f>ROUND(FR301+((1-FR301)*FQ301),2)</f>
        <v>0</v>
      </c>
      <c r="FT301" s="1364">
        <f>IF(__Retrofit_TI_NC=2,FS301,FR301)</f>
        <v>0</v>
      </c>
      <c r="FU301" s="1360">
        <f>IF(CO301="Interior",VLOOKUP(CP301,Control_Savings_Interior,4,FALSE),0)</f>
        <v>0</v>
      </c>
      <c r="FW301" s="1352"/>
      <c r="FX301" s="1352"/>
      <c r="FY301" s="1352"/>
      <c r="FZ301" s="1352"/>
      <c r="GA301" s="1352"/>
      <c r="GB301" s="1352"/>
      <c r="GC301" s="1352"/>
      <c r="GD301" s="1352"/>
      <c r="GE301" s="759" t="b">
        <f>IF(ISNUMBER(SEARCH("TLED",U301)),TRUE,FALSE)</f>
        <v>0</v>
      </c>
      <c r="GF301" s="1035" t="str">
        <f>IFERROR(VLOOKUP(U301,Fixtures!DM$93:DR$142,6,FALSE),"")</f>
        <v/>
      </c>
      <c r="GG301" s="1385"/>
      <c r="GI301" s="1383"/>
      <c r="GJ301" s="1379"/>
      <c r="GL301" s="1379"/>
      <c r="GM301" s="1379"/>
      <c r="HC301" s="1379"/>
      <c r="HD301" s="1379"/>
      <c r="HE301" s="1379"/>
      <c r="HF301" s="1379"/>
      <c r="HG301" s="1379"/>
      <c r="HH301" s="1379"/>
      <c r="HI301" s="1383"/>
      <c r="HJ301" s="1383"/>
      <c r="HK301" s="1383"/>
      <c r="HL301" s="1379"/>
      <c r="HM301" s="1379"/>
      <c r="HN301" s="1379"/>
      <c r="HO301" s="1379"/>
      <c r="HP301" s="1379"/>
      <c r="HQ301" s="1379"/>
      <c r="HR301" s="1379"/>
      <c r="HS301" s="1379"/>
      <c r="HT301" s="1379"/>
      <c r="HU301" s="1379"/>
      <c r="HW301" s="1383"/>
      <c r="HX301" s="1384" t="b">
        <f>HW299</f>
        <v>0</v>
      </c>
      <c r="HY301" s="1378"/>
      <c r="HZ301" s="436"/>
      <c r="IA301" s="1386"/>
      <c r="IB301" s="1380">
        <f>IF(IA299=TRUE,AC302,0)</f>
        <v>0</v>
      </c>
      <c r="IC301" s="1379"/>
      <c r="IF301" s="1380" t="e">
        <f>ROUND(T301*AB302*N300*R300/1000,0)</f>
        <v>#VALUE!</v>
      </c>
      <c r="IG301" s="1382"/>
      <c r="IH301" s="1384" t="e">
        <f>ROUND(T301*AB302*N300*R300/1000,0)</f>
        <v>#VALUE!</v>
      </c>
      <c r="II301" s="1382"/>
      <c r="IK301" s="1351" t="e">
        <f>IF($CO301="interior",IL301/2,VLOOKUP($CP301,Control_Savings_Exterior,IK$30,FALSE))</f>
        <v>#N/A</v>
      </c>
      <c r="IL301" s="1351" t="e">
        <f>IF($CO301="interior",VLOOKUP($CP301,Control_Savings_Interior,IL$30,FALSE),VLOOKUP($CP301,Control_Savings_Exterior,IL$30,FALSE))</f>
        <v>#N/A</v>
      </c>
      <c r="IM301" s="1351" t="e">
        <f>IF($CO301="interior",IF(R300&gt;FO$37,(IM$28*(FO$37/R300)),IM$28)*FP301,VLOOKUP($CP301,Control_Savings_Exterior,IM$30,FALSE))</f>
        <v>#N/A</v>
      </c>
      <c r="IN301" s="1351" t="e">
        <f>IF($CO301="interior",ROUND(((1-IL301)*IM301)+IL301,2),VLOOKUP($CP301,Control_Savings_Exterior,IN$30,FALSE))</f>
        <v>#N/A</v>
      </c>
      <c r="IO301" s="1351" t="e">
        <f>IF($CO301="interior", ROUND(((1-IL301)*(IM301*(1-IP$28)))+IP301,2), VLOOKUP($CP301,Control_Savings_Exterior,IO$30,FALSE))</f>
        <v>#N/A</v>
      </c>
      <c r="IP301" s="1351">
        <f>IF($CO301="interior",ROUND(((1-IL301)*IP$28)+IL301,2),0)</f>
        <v>0</v>
      </c>
    </row>
    <row r="302" spans="1:250" s="82" customFormat="1" ht="14.95" customHeight="1" thickTop="1" thickBot="1">
      <c r="B302" s="1421"/>
      <c r="C302" s="1422"/>
      <c r="D302" s="1423"/>
      <c r="E302" s="1462" t="s">
        <v>357</v>
      </c>
      <c r="F302" s="1463"/>
      <c r="G302" s="1464" t="s">
        <v>362</v>
      </c>
      <c r="H302" s="1465"/>
      <c r="I302" s="1465"/>
      <c r="J302" s="1465"/>
      <c r="K302" s="1465"/>
      <c r="L302" s="1466"/>
      <c r="M302" s="669">
        <f>IFERROR(VLOOKUP(G302,_Daylight_Table[],2,FALSE),0)</f>
        <v>0</v>
      </c>
      <c r="N302" s="670"/>
      <c r="O302" s="669" t="e">
        <f>VLOOKUP(G301,'Space Table'!$B$3:$L$160,11,FALSE)</f>
        <v>#N/A</v>
      </c>
      <c r="P302" s="1408"/>
      <c r="Q302" s="1409"/>
      <c r="R302" s="1409"/>
      <c r="S302" s="1402"/>
      <c r="T302" s="671" t="s">
        <v>281</v>
      </c>
      <c r="U302" s="1467" t="str">
        <f>IFERROR(VLOOKUP(U301,Fixtures!DM$93:DP$142,4,FALSE),"")</f>
        <v/>
      </c>
      <c r="V302" s="1468"/>
      <c r="W302" s="1468"/>
      <c r="X302" s="1468"/>
      <c r="Y302" s="1468"/>
      <c r="Z302" s="1468"/>
      <c r="AA302" s="1468"/>
      <c r="AB302" s="1046" t="str">
        <f>IFERROR(VLOOKUP(U301,Fixtures_Proposed_List,2,FALSE),"")</f>
        <v/>
      </c>
      <c r="AC302" s="1036" t="str">
        <f>IFERROR(ROUND(T301*AB302*N300*R300/1000,0),"")</f>
        <v/>
      </c>
      <c r="AD302" s="1037" t="str">
        <f>IFERROR(ROUND(T301*AB302/1000,2),"")</f>
        <v/>
      </c>
      <c r="AE302" s="1045" t="s">
        <v>281</v>
      </c>
      <c r="AF302" s="1469"/>
      <c r="AG302" s="1469"/>
      <c r="AH302" s="1469"/>
      <c r="AI302" s="1469"/>
      <c r="AJ302" s="1476"/>
      <c r="AK302" s="1471"/>
      <c r="AL302" s="1473"/>
      <c r="AM302" s="1443"/>
      <c r="AN302" s="1444"/>
      <c r="AO302" s="1449"/>
      <c r="AP302" s="1449"/>
      <c r="AQ302" s="1450"/>
      <c r="AR302" s="1453"/>
      <c r="AS302" s="1456"/>
      <c r="AT302" s="1459"/>
      <c r="AU302" s="517"/>
      <c r="AV302" s="1480"/>
      <c r="AW302" s="1480"/>
      <c r="BC302" s="38"/>
      <c r="BD302" s="38"/>
      <c r="BE302" s="38"/>
      <c r="BF302" s="38"/>
      <c r="BG302" s="38"/>
      <c r="BH302" s="38"/>
      <c r="BI302" s="38"/>
      <c r="BJ302" s="38"/>
      <c r="BK302" s="38"/>
      <c r="BL302" s="38"/>
      <c r="BM302" s="38"/>
      <c r="BN302" s="38"/>
      <c r="BO302" s="38"/>
      <c r="BP302" s="38"/>
      <c r="BQ302" s="38"/>
      <c r="BR302" s="38"/>
      <c r="BS302" s="38"/>
      <c r="BT302" s="38"/>
      <c r="BU302" s="38"/>
      <c r="BV302" s="38"/>
      <c r="BW302" s="38"/>
      <c r="BX302" s="38"/>
      <c r="BY302" s="38"/>
      <c r="BZ302" s="38"/>
      <c r="CA302" s="38"/>
      <c r="CB302" s="38"/>
      <c r="CC302" s="38"/>
      <c r="CD302" s="38"/>
      <c r="CE302" s="38"/>
      <c r="CF302" s="38"/>
      <c r="CG302" s="38"/>
      <c r="CH302" s="38"/>
      <c r="CI302" s="38"/>
      <c r="CM302" s="1352"/>
      <c r="CN302" s="1352"/>
      <c r="CO302" s="1416"/>
      <c r="CP302" s="1418"/>
      <c r="CR302" s="1386"/>
      <c r="CS302" s="1355"/>
      <c r="CT302" s="1355"/>
      <c r="CU302" s="1375"/>
      <c r="CV302" s="1372"/>
      <c r="CW302" s="1372"/>
      <c r="CX302" s="1372"/>
      <c r="CY302" s="1487"/>
      <c r="CZ302" s="1487"/>
      <c r="DA302" s="1487"/>
      <c r="DC302" s="1355"/>
      <c r="DD302" s="1355"/>
      <c r="DE302" s="1375"/>
      <c r="DF302" s="1407"/>
      <c r="DG302" s="1372"/>
      <c r="DH302" s="1369"/>
      <c r="DK302" s="1484"/>
      <c r="DL302" s="1420"/>
      <c r="DN302" s="1403"/>
      <c r="DO302" s="1405"/>
      <c r="DP302" s="1355"/>
      <c r="DQ302" s="1405"/>
      <c r="DR302" s="1403"/>
      <c r="DS302" s="1489"/>
      <c r="DU302" s="1403"/>
      <c r="DV302" s="1405"/>
      <c r="DW302" s="1403"/>
      <c r="DX302" s="1403"/>
      <c r="DZ302" s="1481"/>
      <c r="EA302" s="1481"/>
      <c r="EC302" s="1482"/>
      <c r="ED302" s="1369"/>
      <c r="EE302" s="1372"/>
      <c r="EF302" s="1369"/>
      <c r="EG302" s="1369"/>
      <c r="EH302" s="1375"/>
      <c r="EI302" s="1375"/>
      <c r="EJ302" s="1363"/>
      <c r="EK302" s="1376"/>
      <c r="EL302" s="1376"/>
      <c r="EM302" s="1362"/>
      <c r="EN302" s="1362"/>
      <c r="EO302" s="1363"/>
      <c r="EP302" s="1363"/>
      <c r="EQ302" s="1363"/>
      <c r="ES302" s="1403"/>
      <c r="EU302" s="1488"/>
      <c r="EV302" s="1488"/>
      <c r="EW302" s="1488"/>
      <c r="EX302" s="1488"/>
      <c r="EY302" s="1488"/>
      <c r="EZ302" s="1414"/>
      <c r="FB302" s="1365"/>
      <c r="FD302" s="1355"/>
      <c r="FE302" s="1355"/>
      <c r="FF302" s="138"/>
      <c r="FI302" s="1357"/>
      <c r="FJ302" s="1357"/>
      <c r="FK302" s="1365"/>
      <c r="FL302" s="1365"/>
      <c r="FM302" s="1365"/>
      <c r="FO302" s="1361"/>
      <c r="FP302" s="1361"/>
      <c r="FQ302" s="1366"/>
      <c r="FR302" s="1361"/>
      <c r="FS302" s="1361"/>
      <c r="FT302" s="1361"/>
      <c r="FU302" s="1360"/>
      <c r="FW302" s="1352"/>
      <c r="FX302" s="1352"/>
      <c r="FY302" s="1352"/>
      <c r="FZ302" s="1352"/>
      <c r="GA302" s="1352"/>
      <c r="GB302" s="1352"/>
      <c r="GC302" s="1352"/>
      <c r="GD302" s="1352"/>
      <c r="GE302" s="759"/>
      <c r="GF302" s="1035"/>
      <c r="GG302" s="1385"/>
      <c r="GJ302" s="1034">
        <f>IF(GJ300=TRUE,0,GJ$16)</f>
        <v>0</v>
      </c>
      <c r="GL302" s="1034">
        <f>IF(GL300=TRUE,0,GL$16)</f>
        <v>36</v>
      </c>
      <c r="GM302" s="1034">
        <f>IF(GM300=TRUE,0,GM$16)</f>
        <v>35</v>
      </c>
      <c r="GN302" s="436"/>
      <c r="GO302" s="436"/>
      <c r="GP302" s="436"/>
      <c r="GQ302" s="436"/>
      <c r="GR302" s="436"/>
      <c r="HC302" s="1034">
        <f t="shared" ref="HC302:HH302" si="214">IF(HC300=TRUE,0,HC$16)</f>
        <v>19</v>
      </c>
      <c r="HD302" s="1034">
        <f t="shared" si="214"/>
        <v>18</v>
      </c>
      <c r="HE302" s="1034">
        <f t="shared" si="214"/>
        <v>17</v>
      </c>
      <c r="HF302" s="1034">
        <f t="shared" si="214"/>
        <v>16</v>
      </c>
      <c r="HG302" s="1034">
        <f t="shared" si="214"/>
        <v>0</v>
      </c>
      <c r="HH302" s="1034">
        <f t="shared" si="214"/>
        <v>0</v>
      </c>
      <c r="HI302" s="1034">
        <f>IF(HI300=TRUE,0,HI$16)</f>
        <v>13</v>
      </c>
      <c r="HJ302" s="1034">
        <f t="shared" ref="HJ302:HL302" si="215">IF(HJ300=TRUE,0,HJ$16)</f>
        <v>12</v>
      </c>
      <c r="HK302" s="1034">
        <f t="shared" si="215"/>
        <v>11</v>
      </c>
      <c r="HL302" s="1034">
        <f t="shared" si="215"/>
        <v>10</v>
      </c>
      <c r="HM302" s="1034">
        <f>IF(HM300=TRUE,0,HM$16)</f>
        <v>9</v>
      </c>
      <c r="HN302" s="1034">
        <f t="shared" ref="HN302:HR302" si="216">IF(HN300=TRUE,0,HN$16)</f>
        <v>0</v>
      </c>
      <c r="HO302" s="1034">
        <f t="shared" si="216"/>
        <v>0</v>
      </c>
      <c r="HP302" s="1034">
        <f t="shared" si="216"/>
        <v>0</v>
      </c>
      <c r="HQ302" s="1034">
        <f t="shared" si="216"/>
        <v>0</v>
      </c>
      <c r="HR302" s="1034">
        <f t="shared" si="216"/>
        <v>0</v>
      </c>
      <c r="HS302" s="1034">
        <f>IF(HS300=TRUE,0,HS$16)</f>
        <v>0</v>
      </c>
      <c r="HT302" s="1034">
        <f t="shared" ref="HT302" si="217">IF(HT300=TRUE,0,HT$16)</f>
        <v>0</v>
      </c>
      <c r="HU302" s="1034">
        <f>IF(HU300=TRUE,0,HU$16)</f>
        <v>1</v>
      </c>
      <c r="HW302" s="1034">
        <f>IF(GL300=FALSE,GL302,IF(GM300=FALSE,GM302,MAX(GJ302:HU302)))</f>
        <v>36</v>
      </c>
      <c r="HX302" s="1383"/>
      <c r="HY302" s="241" t="str">
        <f>VLOOKUP(HW302,_Error_Table,3,FALSE)</f>
        <v xml:space="preserve"> </v>
      </c>
      <c r="HZ302" s="241"/>
      <c r="IA302" s="1386"/>
      <c r="IB302" s="1380"/>
      <c r="IC302" s="1379"/>
      <c r="IF302" s="1380"/>
      <c r="IG302" s="1383"/>
      <c r="IH302" s="1383"/>
      <c r="II302" s="1383"/>
      <c r="IK302" s="1351"/>
      <c r="IL302" s="1351"/>
      <c r="IM302" s="1351"/>
      <c r="IN302" s="1351"/>
      <c r="IO302" s="1351"/>
      <c r="IP302" s="1351"/>
    </row>
    <row r="303" spans="1:250" s="82" customFormat="1" ht="5.0999999999999996" customHeight="1" thickBot="1">
      <c r="B303" s="763"/>
      <c r="C303" s="1038"/>
      <c r="D303" s="1038"/>
      <c r="E303" s="1490"/>
      <c r="F303" s="1490"/>
      <c r="G303" s="1490"/>
      <c r="H303" s="1490"/>
      <c r="I303" s="1490"/>
      <c r="J303" s="1490"/>
      <c r="K303" s="1490"/>
      <c r="L303" s="1490"/>
      <c r="M303" s="1490"/>
      <c r="N303" s="1490"/>
      <c r="O303" s="1490"/>
      <c r="P303" s="1490"/>
      <c r="Q303" s="1490"/>
      <c r="R303" s="1490"/>
      <c r="S303" s="1490"/>
      <c r="T303" s="1490"/>
      <c r="U303" s="1490"/>
      <c r="V303" s="1490"/>
      <c r="W303" s="1490"/>
      <c r="X303" s="1490"/>
      <c r="Y303" s="1490"/>
      <c r="Z303" s="1490"/>
      <c r="AA303" s="1490"/>
      <c r="AB303" s="1490"/>
      <c r="AC303" s="1490"/>
      <c r="AD303" s="1490"/>
      <c r="AE303" s="1490"/>
      <c r="AF303" s="1490"/>
      <c r="AG303" s="1490"/>
      <c r="AH303" s="1490"/>
      <c r="AI303" s="1490"/>
      <c r="AJ303" s="1490"/>
      <c r="AK303" s="1490"/>
      <c r="AL303" s="1490"/>
      <c r="AM303" s="1490"/>
      <c r="AN303" s="1490"/>
      <c r="AO303" s="1490"/>
      <c r="AP303" s="1490"/>
      <c r="AQ303" s="1490"/>
      <c r="AR303" s="1490"/>
      <c r="AS303" s="1490"/>
      <c r="AT303" s="1490"/>
      <c r="AU303" s="1041"/>
      <c r="BC303" s="38"/>
      <c r="BD303" s="38"/>
      <c r="BE303" s="38"/>
      <c r="BF303" s="38"/>
      <c r="BG303" s="38"/>
      <c r="BH303" s="38"/>
      <c r="BI303" s="38"/>
      <c r="BJ303" s="38"/>
      <c r="BK303" s="38"/>
      <c r="BL303" s="38"/>
      <c r="BM303" s="38"/>
      <c r="BN303" s="38"/>
      <c r="BO303" s="38"/>
      <c r="BP303" s="38"/>
      <c r="BQ303" s="38"/>
      <c r="BR303" s="38"/>
      <c r="BS303" s="38"/>
      <c r="BT303" s="38"/>
      <c r="BU303" s="38"/>
      <c r="BV303" s="38"/>
      <c r="BW303" s="38"/>
      <c r="BX303" s="38"/>
      <c r="BY303" s="38"/>
      <c r="BZ303" s="38"/>
      <c r="CA303" s="38"/>
      <c r="CB303" s="38"/>
      <c r="CC303" s="38"/>
      <c r="CD303" s="38"/>
      <c r="CE303" s="38"/>
      <c r="CF303" s="38"/>
      <c r="CG303" s="38"/>
      <c r="CH303" s="38"/>
      <c r="CI303" s="38"/>
      <c r="CM303" s="749"/>
      <c r="CN303" s="749"/>
      <c r="CO303" s="1043"/>
      <c r="CP303" s="749"/>
      <c r="CS303" s="436"/>
      <c r="CT303" s="436"/>
      <c r="CU303" s="243"/>
      <c r="CV303" s="244"/>
      <c r="CW303" s="244"/>
      <c r="CX303" s="244"/>
      <c r="CY303" s="245"/>
      <c r="CZ303" s="245"/>
      <c r="DA303" s="245"/>
      <c r="DC303" s="750"/>
      <c r="DD303" s="751"/>
      <c r="DE303" s="752"/>
      <c r="DF303" s="753"/>
      <c r="DG303" s="754"/>
      <c r="DH303" s="754"/>
      <c r="DK303" s="244"/>
      <c r="DL303" s="750"/>
      <c r="DN303" s="750"/>
      <c r="DO303" s="755"/>
      <c r="DP303" s="436"/>
      <c r="DQ303" s="750"/>
      <c r="DR303" s="750"/>
      <c r="DS303" s="750"/>
      <c r="DU303" s="750"/>
      <c r="DV303" s="750"/>
      <c r="DW303" s="750"/>
      <c r="DX303" s="750"/>
      <c r="DZ303" s="756"/>
      <c r="EA303" s="756"/>
      <c r="EC303" s="754"/>
      <c r="ED303" s="754"/>
      <c r="EE303" s="244"/>
      <c r="EF303" s="754"/>
      <c r="EG303" s="754"/>
      <c r="EH303" s="243"/>
      <c r="EI303" s="243"/>
      <c r="EJ303" s="752"/>
      <c r="EK303" s="757"/>
      <c r="EL303" s="757"/>
      <c r="EM303" s="758"/>
      <c r="EN303" s="758"/>
      <c r="EO303" s="752"/>
      <c r="EP303" s="752"/>
      <c r="EQ303" s="752"/>
      <c r="ES303" s="750"/>
      <c r="EU303" s="436"/>
      <c r="EV303" s="436"/>
      <c r="EW303" s="436"/>
      <c r="EX303" s="436"/>
      <c r="EY303" s="436"/>
      <c r="EZ303" s="436"/>
      <c r="FB303" s="643"/>
      <c r="FD303" s="436"/>
      <c r="FE303" s="436"/>
      <c r="FF303" s="436"/>
      <c r="FO303" s="750"/>
      <c r="FP303" s="436"/>
      <c r="FQ303" s="436"/>
      <c r="FR303" s="750"/>
      <c r="FS303" s="750"/>
      <c r="FW303" s="749"/>
      <c r="FX303" s="749"/>
      <c r="FY303" s="749"/>
      <c r="FZ303" s="749"/>
      <c r="GA303" s="749"/>
      <c r="GB303" s="749"/>
      <c r="GC303" s="749"/>
      <c r="GD303" s="749"/>
      <c r="GE303" s="751"/>
      <c r="GF303" s="750"/>
      <c r="GG303" s="750"/>
    </row>
    <row r="304" spans="1:250" s="82" customFormat="1" ht="14.95" customHeight="1" thickTop="1" thickBot="1">
      <c r="B304" s="1421" t="str">
        <f>HY307</f>
        <v xml:space="preserve"> </v>
      </c>
      <c r="C304" s="1422">
        <f>C299+1</f>
        <v>52</v>
      </c>
      <c r="D304" s="1423"/>
      <c r="E304" s="1424" t="s">
        <v>242</v>
      </c>
      <c r="F304" s="1425"/>
      <c r="G304" s="1426"/>
      <c r="H304" s="1427"/>
      <c r="I304" s="1427"/>
      <c r="J304" s="1427"/>
      <c r="K304" s="1427"/>
      <c r="L304" s="1427"/>
      <c r="M304" s="1427"/>
      <c r="N304" s="1427"/>
      <c r="O304" s="1427"/>
      <c r="P304" s="1427"/>
      <c r="Q304" s="1427"/>
      <c r="R304" s="1427"/>
      <c r="S304" s="1428" t="s">
        <v>283</v>
      </c>
      <c r="T304" s="668" t="s">
        <v>190</v>
      </c>
      <c r="U304" s="1430" t="s">
        <v>186</v>
      </c>
      <c r="V304" s="1431"/>
      <c r="W304" s="1431"/>
      <c r="X304" s="1431"/>
      <c r="Y304" s="1431"/>
      <c r="Z304" s="1431"/>
      <c r="AA304" s="1431"/>
      <c r="AB304" s="1088" t="str">
        <f>IFERROR(IF(__Retrofit_TI_NC=0,VLOOKUP(U305,Fixtures_Existing_List,2,FALSE),ROUND(N306*R306/T306,10)),"")</f>
        <v/>
      </c>
      <c r="AC304" s="1039" t="str">
        <f>IFERROR(IF(__Retrofit_TI_NC=0,ROUND(T305*AB304*N305*R305/1000,0),IF(CN304="Interior",N306*R306*R305*N305*_C406_reduction/1000,N306*R306*R305*N305/1000)),"")</f>
        <v/>
      </c>
      <c r="AD304" s="1040" t="str">
        <f>IFERROR(IF(C$36=0,ROUND(T305*AB304/1000,2),N306*R306/1000),"")</f>
        <v/>
      </c>
      <c r="AE304" s="1044" t="s">
        <v>190</v>
      </c>
      <c r="AF304" s="1432" t="str">
        <f>IF(__Retrofit_TI_NC=2,CONCATENATE("Code min = ",DD304),IF(__Retrofit_TI_NC=1,"Emter what you think the existing control was"," Control"))</f>
        <v xml:space="preserve"> Control</v>
      </c>
      <c r="AG304" s="1432"/>
      <c r="AH304" s="1432"/>
      <c r="AI304" s="1432"/>
      <c r="AJ304" s="1433">
        <f>DF304</f>
        <v>0</v>
      </c>
      <c r="AK304" s="1435" t="str">
        <f>IFERROR(ROUND(AJ304*AC304,0),"")</f>
        <v/>
      </c>
      <c r="AL304" s="1437">
        <f>IFERROR(IF(HW304=FALSE,0,AC304-AK304),0)</f>
        <v>0</v>
      </c>
      <c r="AM304" s="1439">
        <f>AL304-AL306</f>
        <v>0</v>
      </c>
      <c r="AN304" s="1440"/>
      <c r="AO304" s="1445">
        <f>IFERROR(IF(HW304=FALSE,0,(T306*U307)+(AE306*AF307)),0)</f>
        <v>0</v>
      </c>
      <c r="AP304" s="1445"/>
      <c r="AQ304" s="1446"/>
      <c r="AR304" s="1451" t="s">
        <v>157</v>
      </c>
      <c r="AS304" s="1454">
        <f>IF(AR304="Yes",1,0)</f>
        <v>1</v>
      </c>
      <c r="AT304" s="1457" t="str">
        <f>IF(OR(DN304=4,DN304=5,DN304=6,DN304=12),CONCATENATE("$",IF(GD304=TRUE,Lookup!$B$11,Lookup!$B$2)," /lamp"),CONCATENATE(EA304,"/ kWh"))</f>
        <v>0/ kWh</v>
      </c>
      <c r="AU304" s="516"/>
      <c r="AV304" s="1478">
        <f>IFERROR(IF(GI305=TRUE,(AB307*T306)/R306,0),"NA")</f>
        <v>0</v>
      </c>
      <c r="AW304" s="1478" t="str">
        <f>IFERROR(N306*_C406_reduction,"NA")</f>
        <v>NA</v>
      </c>
      <c r="BC304" s="38"/>
      <c r="BD304" s="38"/>
      <c r="BE304" s="38"/>
      <c r="BF304" s="38"/>
      <c r="BG304" s="38"/>
      <c r="BH304" s="38"/>
      <c r="BI304" s="38"/>
      <c r="BJ304" s="38"/>
      <c r="BK304" s="38"/>
      <c r="BL304" s="38"/>
      <c r="BM304" s="38"/>
      <c r="BN304" s="38"/>
      <c r="BO304" s="38"/>
      <c r="BP304" s="38"/>
      <c r="BQ304" s="38"/>
      <c r="BR304" s="38"/>
      <c r="BS304" s="38"/>
      <c r="BT304" s="38"/>
      <c r="BU304" s="38"/>
      <c r="BV304" s="38"/>
      <c r="BW304" s="38"/>
      <c r="BX304" s="38"/>
      <c r="BY304" s="38"/>
      <c r="BZ304" s="38"/>
      <c r="CA304" s="38"/>
      <c r="CB304" s="38"/>
      <c r="CC304" s="38"/>
      <c r="CD304" s="38"/>
      <c r="CE304" s="38"/>
      <c r="CF304" s="38"/>
      <c r="CG304" s="38"/>
      <c r="CH304" s="38"/>
      <c r="CI304" s="38"/>
      <c r="CM304" s="1352" t="str">
        <f>N305</f>
        <v/>
      </c>
      <c r="CN304" s="1352" t="str">
        <f>IFERROR(VLOOKUP(G305,_Lookup_Heat_Type_Table_New,3,FALSE),"")</f>
        <v/>
      </c>
      <c r="CO304" s="1415" t="str">
        <f>CN304</f>
        <v/>
      </c>
      <c r="CP304" s="1417" t="e">
        <f>VLOOKUP(G306,'Space Table'!$B$3:$L$160,9,FALSE)</f>
        <v>#N/A</v>
      </c>
      <c r="CR304" s="1386" t="s">
        <v>283</v>
      </c>
      <c r="CS304" s="1353">
        <f>IF(HW304=TRUE,T305,0)</f>
        <v>0</v>
      </c>
      <c r="CT304" s="1353" t="str">
        <f>IF(HW304=TRUE,U305,"")</f>
        <v/>
      </c>
      <c r="CU304" s="1353"/>
      <c r="CV304" s="1370">
        <f>IF(HW304=TRUE,AB304,0)</f>
        <v>0</v>
      </c>
      <c r="CW304" s="1370">
        <f>IF(HW304=TRUE,AC304,0)</f>
        <v>0</v>
      </c>
      <c r="CX304" s="1370">
        <f>IFERROR(IF(HW304=TRUE,CW304-CW306,0),0)</f>
        <v>0</v>
      </c>
      <c r="CY304" s="1485">
        <f>IF(HW304=TRUE,AD304,0)</f>
        <v>0</v>
      </c>
      <c r="CZ304" s="1485">
        <f>IF(HW304=TRUE,AD307,0)</f>
        <v>0</v>
      </c>
      <c r="DA304" s="1485">
        <f>IFERROR(CY304-CZ304,0)</f>
        <v>0</v>
      </c>
      <c r="DC304" s="1353">
        <f>IF(HW304=TRUE,AE305,0)</f>
        <v>0</v>
      </c>
      <c r="DD304" s="1460">
        <f>IF(__Retrofit_TI_NC=2,IF(CN304="Exterior",O307,FM304),FK304)</f>
        <v>0</v>
      </c>
      <c r="DE304" s="1353"/>
      <c r="DF304" s="1406">
        <f>IFERROR(IF(FL304=3,IK304,IF(FL304=4,IL304,IF(FL304=5,IM304,IF(FL304=6,IN304,IF(FL304=7,IO304,IF(FL304=8,IP304,0)))))),0)</f>
        <v>0</v>
      </c>
      <c r="DG304" s="1370">
        <f>IF(HW304=TRUE,AK304,0)</f>
        <v>0</v>
      </c>
      <c r="DH304" s="1369">
        <f>IFERROR(IF(HW304=TRUE,DG306-DG304,0),0)</f>
        <v>0</v>
      </c>
      <c r="DJ304" s="1483">
        <f>IFERROR(CW304-DG304,0)</f>
        <v>0</v>
      </c>
      <c r="DL304" s="1419">
        <f>DJ304-DK306</f>
        <v>0</v>
      </c>
      <c r="DN304" s="1403" t="str">
        <f>IFERROR(IF(AND(OR(FY304=4,FY304=5,FY304=6),OR(GB304=4,GB304=5,GB304=6)),FY304+8,VLOOKUP(CT306,Fixtures!R$31:Y$78,8,FALSE)),"")</f>
        <v/>
      </c>
      <c r="DO304" s="1404" t="str">
        <f>DN304</f>
        <v/>
      </c>
      <c r="DP304" s="1353" t="str">
        <f>IFERROR(VLOOKUP(DD306,Lookup!AU$3:AV$15,2,FALSE),"")</f>
        <v/>
      </c>
      <c r="DQ304" s="1404" t="str">
        <f>IF(DP304=7,"LLLC","")</f>
        <v/>
      </c>
      <c r="DR304" s="1403">
        <f>IFERROR(IF(OR(DN304=4,DN304=5,DN304=6,DN304=12,DN304=13,DN304=14),VLOOKUP(CT306,Fixtures!DN$27:EG$77,19,FALSE),1)*CS306,0)</f>
        <v>0</v>
      </c>
      <c r="DS304" s="1489">
        <f>IF(DP304=7,IF(DD304=DD306,0,DC306),0)</f>
        <v>0</v>
      </c>
      <c r="DU304" s="1403" t="str">
        <f>IFERROR(IF(EW304&lt;EW306,"Yes","No"),"")</f>
        <v/>
      </c>
      <c r="DV304" s="1404" t="str">
        <f>DU304</f>
        <v/>
      </c>
      <c r="DW304" s="1403">
        <f>IF(DU304="Yes",DC306,0)</f>
        <v>0</v>
      </c>
      <c r="DX304" s="1403">
        <f>DW304-DS304</f>
        <v>0</v>
      </c>
      <c r="DZ304" s="1481">
        <f>IFERROR(VLOOKUP(DN304,Lookup!AN$3:AO$16,2,FALSE),0)</f>
        <v>0</v>
      </c>
      <c r="EA304" s="1481">
        <f>IF(HW304=FALSE,0,IF(DU304="Yes",DZ304+Lookup!B$6,DZ304))</f>
        <v>0</v>
      </c>
      <c r="EC304" s="1482">
        <f>IF(HW304=TRUE,DJ304,0)</f>
        <v>0</v>
      </c>
      <c r="ED304" s="1369">
        <f>IF(HW304=TRUE,CW306,0)</f>
        <v>0</v>
      </c>
      <c r="EE304" s="1370">
        <f>IFERROR(EC304-ED304,0)</f>
        <v>0</v>
      </c>
      <c r="EF304" s="1369">
        <f>IF(HW304=TRUE,DG306,0)</f>
        <v>0</v>
      </c>
      <c r="EG304" s="1369">
        <f>IFERROR(EC304-ED304+EF304,0)</f>
        <v>0</v>
      </c>
      <c r="EH304" s="1373">
        <f>IF(HW304=TRUE,CS306*CU306,0)</f>
        <v>0</v>
      </c>
      <c r="EI304" s="1373">
        <f>IF(HW304=TRUE,DC306*DE306,0)</f>
        <v>0</v>
      </c>
      <c r="EJ304" s="1363">
        <f>AO304</f>
        <v>0</v>
      </c>
      <c r="EK304" s="1376" t="str">
        <f>IFERROR(IF(HW304=TRUE,VLOOKUP(DN304,Lookup!AN$3:AP$16,3,FALSE)*DR304,""),0)</f>
        <v/>
      </c>
      <c r="EL304" s="1376">
        <f>IF(HW304=TRUE,DW304*Lookup!AP$12,0)</f>
        <v>0</v>
      </c>
      <c r="EM304" s="1362">
        <f>IFERROR(IF(HW304=TRUE,EK304/EM$33,0),0)</f>
        <v>0</v>
      </c>
      <c r="EN304" s="1362">
        <f>IF(HW304=TRUE,EL304/EN$33,0)</f>
        <v>0</v>
      </c>
      <c r="EO304" s="1363">
        <f>IF(HW304=TRUE,EQ$33*EM304,0)</f>
        <v>0</v>
      </c>
      <c r="EP304" s="1363">
        <f>IF(HW304=TRUE,EQ$33*EN304,0)</f>
        <v>0</v>
      </c>
      <c r="EQ304" s="1363">
        <f>EO304+EP304</f>
        <v>0</v>
      </c>
      <c r="ES304" s="1403">
        <f>IF(G304="",0,1)</f>
        <v>0</v>
      </c>
      <c r="EU304" s="1410" t="e">
        <f>VLOOKUP(CP306,'Space Table'!$B$3:$L$160,8,FALSE)</f>
        <v>#N/A</v>
      </c>
      <c r="EV304" s="1410" t="e">
        <f>IF(EY304="Yes",VLOOKUP(DD304,Lookup_Control_Type_Table2,4,FALSE),VLOOKUP(DD304,Lookup_Control_Type_Table2,3,FALSE))</f>
        <v>#N/A</v>
      </c>
      <c r="EW304" s="1410" t="e">
        <f>VLOOKUP(DD304,Lookup!AU$3:AV$15,2,FALSE)</f>
        <v>#N/A</v>
      </c>
      <c r="EX304" s="1410" t="e">
        <f>VLOOKUP(EU304,Lookup_Control_Type_Table,2,FALSE)</f>
        <v>#N/A</v>
      </c>
      <c r="EY304" s="1410" t="e">
        <f>VLOOKUP(CP306,'Space Table'!$B$3:$L$160,7,FALSE)</f>
        <v>#N/A</v>
      </c>
      <c r="EZ304" s="1412" t="b">
        <f>ISNUMBER(SEARCH("TLED",U306))</f>
        <v>0</v>
      </c>
      <c r="FB304" s="1365" t="str">
        <f>CONCATENATE(CN304," - ",DD304)</f>
        <v xml:space="preserve"> - 0</v>
      </c>
      <c r="FD304" s="1353" t="str">
        <f>VLOOKUP(CT306,Fixtures!DN$27:EZ$77,38,FALSE)</f>
        <v/>
      </c>
      <c r="FE304" s="1353">
        <f>IFERROR(FD304*EE304,0)</f>
        <v>0</v>
      </c>
      <c r="FF304" s="138"/>
      <c r="FI304" s="1356" t="str">
        <f>IF(CN304="Exterior","Not Daylighted",G307)</f>
        <v>Not Daylighted</v>
      </c>
      <c r="FJ304" s="1356">
        <f>VLOOKUP(FI304,_Daylight_Table_Codes,2,FALSE)</f>
        <v>0</v>
      </c>
      <c r="FK304" s="1365">
        <f>IF(__Retrofit_TI_NC=2,VLOOKUP(G306,'Space Table'!$B$3:$L$160,11,FALSE),AF305)</f>
        <v>0</v>
      </c>
      <c r="FL304" s="1365" t="e">
        <f>VLOOKUP(FK304,_Control_Table,2,FALSE)</f>
        <v>#N/A</v>
      </c>
      <c r="FM304" s="1365" t="e">
        <f>IF(AND(FP304&gt;0,FK304="Occupancy Sensor"),"Daylight + Occupancy",IF(AND(FP304&gt;0,FL304&lt;4),"Interior Daylight Dimming",FK304))</f>
        <v>#N/A</v>
      </c>
      <c r="FO304" s="1364">
        <f>IF(CO304="Interior",VLOOKUP(CP304,Control_Savings_Interior,5,FALSE),0)</f>
        <v>0</v>
      </c>
      <c r="FP304" s="1361">
        <f>IF(CN304="Exterior",0,IF(FJ304=2,0.5,IF(OR(FJ304=1,FJ304=3),1,0)))</f>
        <v>0</v>
      </c>
      <c r="FQ304" s="1366"/>
      <c r="FR304" s="1367"/>
      <c r="FS304" s="1364"/>
      <c r="FT304" s="1367"/>
      <c r="FU304" s="1360"/>
      <c r="FW304" s="1352" t="str">
        <f>IFERROR(VLOOKUP(U305,_Exist_Fixture_Table,3,FALSE),"")</f>
        <v/>
      </c>
      <c r="FX304" s="1352" t="str">
        <f>VLOOKUP(CT304,_Exist_Fixture_Table,4,FALSE)</f>
        <v/>
      </c>
      <c r="FY304" s="1352">
        <f>IFERROR(VLOOKUP(FX304,Lookup!AM$6:AN$8,2,FALSE),0)</f>
        <v>0</v>
      </c>
      <c r="FZ304" s="1352" t="b">
        <f>IFERROR(IF(OR(GB304=4,GB304=5,GB304=6),TRUE,FALSE),"")</f>
        <v>0</v>
      </c>
      <c r="GA304" s="1352" t="str">
        <f>IFERROR(VLOOKUP(GB304,FY$6:FZ$10,2,FALSE),"")</f>
        <v/>
      </c>
      <c r="GB304" s="1352" t="str">
        <f>VLOOKUP(CT306,Fixtures!R$31:Y$78,8,FALSE)</f>
        <v/>
      </c>
      <c r="GC304" s="1352">
        <f>IF(AND(FW304=TRUE,FZ304=TRUE,OR(DN304=12,DN304=13,DN304=14)),FY304+8,0)</f>
        <v>0</v>
      </c>
      <c r="GD304" s="1352" t="b">
        <f>IF(OR(GC304=12,GC304=13,GC304=14),TRUE,FALSE)</f>
        <v>0</v>
      </c>
      <c r="GE304" s="759" t="b">
        <f>IF(ISNUMBER(SEARCH("TLED",U305)),TRUE,FALSE)</f>
        <v>0</v>
      </c>
      <c r="GF304" s="1035" t="str">
        <f>IFERROR(VLOOKUP(U305,Fixtures!BM$93:BR$142,6,FALSE),"")</f>
        <v/>
      </c>
      <c r="GG304" s="1385" t="b">
        <f>IF(OR(GE304=FALSE,GE306=FALSE),TRUE,IF(GF304-GF306&lt;5,FALSE,TRUE))</f>
        <v>1</v>
      </c>
      <c r="GK304" s="1034">
        <f>GL304</f>
        <v>0</v>
      </c>
      <c r="GL304" s="1034">
        <f>IF(G304="",0,1)</f>
        <v>0</v>
      </c>
      <c r="GM304" s="1034">
        <f>SUM(GN304:HB304)</f>
        <v>2</v>
      </c>
      <c r="GN304" s="1034">
        <f>IF(G305="",0,1)</f>
        <v>0</v>
      </c>
      <c r="GO304" s="1034">
        <f>IF(G306="",0,1)</f>
        <v>0</v>
      </c>
      <c r="GP304" s="1034">
        <f>IF(R305="",0,1)</f>
        <v>0</v>
      </c>
      <c r="GQ304" s="1034">
        <f>IF(__Retrofit_TI_NC=0,1,IF(R306="",0,1))</f>
        <v>1</v>
      </c>
      <c r="GR304" s="1034">
        <f>IF(CN304="Exterior",1,IF(G307="",0,1))</f>
        <v>1</v>
      </c>
      <c r="GS304" s="1034">
        <f>IF(__Retrofit_TI_NC&lt;&gt;0,1,IF(T305="",0,1))</f>
        <v>0</v>
      </c>
      <c r="GT304" s="1034">
        <f>IF(__Retrofit_TI_NC&lt;&gt;0,1,IF(U305="",0,1))</f>
        <v>0</v>
      </c>
      <c r="GU304" s="1034">
        <f>IF(T306="",0,1)</f>
        <v>0</v>
      </c>
      <c r="GV304" s="1034">
        <f>IF(U306="",0,1)</f>
        <v>0</v>
      </c>
      <c r="GW304" s="1034">
        <f>IF(__Retrofit_TI_NC=2,1,IF(U307="",0,1))</f>
        <v>0</v>
      </c>
      <c r="GX304" s="1034">
        <f>IF(__Retrofit_TI_NC&lt;&gt;0,1,IF(AE305="",0,1))</f>
        <v>0</v>
      </c>
      <c r="GY304" s="1034">
        <f>IF(__Retrofit_TI_NC&lt;&gt;0,1,IF(AF305="",0,1))</f>
        <v>0</v>
      </c>
      <c r="GZ304" s="1034">
        <f>IF(AE306="",0,1)</f>
        <v>0</v>
      </c>
      <c r="HA304" s="1034">
        <f>IF(AF306="",0,1)</f>
        <v>0</v>
      </c>
      <c r="HB304" s="1034">
        <f>IF(__Retrofit_TI_NC=2,1,IF(AF307="",0,1))</f>
        <v>0</v>
      </c>
      <c r="HV304" s="436"/>
      <c r="HW304" s="1384" t="b">
        <f>IF(OR(HW307=0,HW307=HT$16,HW307=HS$16,HW307=HU$16),TRUE,FALSE)</f>
        <v>0</v>
      </c>
      <c r="HX304" s="1377" t="b">
        <f>HW304</f>
        <v>0</v>
      </c>
      <c r="HY304" s="436"/>
      <c r="HZ304" s="436"/>
      <c r="IA304" s="1386" t="b">
        <f>IF(MAX(GJ307:HP307)&gt;5,FALSE,TRUE)</f>
        <v>0</v>
      </c>
      <c r="IB304" s="1380">
        <f>IF(IA304=TRUE,AC304,0)</f>
        <v>0</v>
      </c>
      <c r="IC304" s="1380">
        <f>IB304-IB306</f>
        <v>0</v>
      </c>
      <c r="IF304" s="1380" t="e">
        <f>ROUND(T305*VLOOKUP(U305,Fixtures_Existing_List,2,FALSE)*N305*R305/1000,0)</f>
        <v>#N/A</v>
      </c>
      <c r="IG304" s="1381" t="e">
        <f>IF304-IF306</f>
        <v>#N/A</v>
      </c>
      <c r="IH304" s="1384" t="e">
        <f>ROUND(IF(CN304="Interior",N306*R306*R305*N305*_C406_reduction/1000,N306*R306*R305*N305/1000),0)</f>
        <v>#N/A</v>
      </c>
      <c r="II304" s="1384" t="e">
        <f>IH304-IH306</f>
        <v>#N/A</v>
      </c>
      <c r="IK304" s="1351" t="e">
        <f>IF($CO304="interior",IL304/2,VLOOKUP($CP304,Control_Savings_Exterior,IK$30,FALSE))</f>
        <v>#N/A</v>
      </c>
      <c r="IL304" s="1351" t="e">
        <f>IF($CO304="interior",VLOOKUP($CP304,Control_Savings_Interior,IL$30,FALSE),VLOOKUP($CP304,Control_Savings_Exterior,IL$30,FALSE))</f>
        <v>#N/A</v>
      </c>
      <c r="IM304" s="1351" t="e">
        <f>IF($CO304="interior",IF(R305&gt;FO$37,(IM$28*(FO$37/R305)),IM$28)*FP304,VLOOKUP($CP304,Control_Savings_Exterior,IM$30,FALSE))</f>
        <v>#N/A</v>
      </c>
      <c r="IN304" s="1351" t="e">
        <f>IF($CO304="interior",ROUND(((1-IL304)*IM304)+IL304,2),VLOOKUP($CP304,Control_Savings_Exterior,IN$30,FALSE))</f>
        <v>#N/A</v>
      </c>
      <c r="IO304" s="1351" t="e">
        <f>IF($CO304="interior", ROUND(((1-IL304)*(IM304*(1-IP$28)))+IP304,2), VLOOKUP($CP304,Control_Savings_Exterior,IO$30,FALSE))</f>
        <v>#N/A</v>
      </c>
      <c r="IP304" s="1351">
        <f>IF($CO304="interior",ROUND(((1-IL304)*IP$28)+IL304,2),0)</f>
        <v>0</v>
      </c>
    </row>
    <row r="305" spans="1:250" s="82" customFormat="1" ht="14.95" customHeight="1" thickTop="1" thickBot="1">
      <c r="B305" s="1421"/>
      <c r="C305" s="1422"/>
      <c r="D305" s="1423"/>
      <c r="E305" s="1393" t="s">
        <v>244</v>
      </c>
      <c r="F305" s="1394"/>
      <c r="G305" s="1395"/>
      <c r="H305" s="1395"/>
      <c r="I305" s="1395"/>
      <c r="J305" s="1395"/>
      <c r="K305" s="1395"/>
      <c r="L305" s="1395"/>
      <c r="M305" s="509" t="e">
        <f>IF(__Retrofit_TI_NC&lt;&gt;0,IF(VLOOKUP(G306,'Space Table'!$B$3:$L$160,3,FALSE)&gt;0,1,0),IF(__Retrofit_TI_NC=VLOOKUP(G306,'Space Table'!$B$3:$L$160,3,FALSE),1,0))</f>
        <v>#N/A</v>
      </c>
      <c r="N305" s="509" t="str">
        <f>IFERROR(VLOOKUP(G305,_Lookup_Heat_Type_Table_New,2,FALSE),"")</f>
        <v/>
      </c>
      <c r="O305" s="509">
        <f>IF(__Retrofit_TI_NC=1,CONCATENATE("TI ",G305),IF(__Retrofit_TI_NC=2,CONCATENATE("NC ",G305),G305))</f>
        <v>0</v>
      </c>
      <c r="P305" s="1396" t="s">
        <v>352</v>
      </c>
      <c r="Q305" s="1396"/>
      <c r="R305" s="673"/>
      <c r="S305" s="1429"/>
      <c r="T305" s="675"/>
      <c r="U305" s="1496"/>
      <c r="V305" s="1497"/>
      <c r="W305" s="1497"/>
      <c r="X305" s="1497"/>
      <c r="Y305" s="1497"/>
      <c r="Z305" s="1497"/>
      <c r="AA305" s="1497"/>
      <c r="AB305" s="1497"/>
      <c r="AC305" s="1497"/>
      <c r="AD305" s="1498"/>
      <c r="AE305" s="675"/>
      <c r="AF305" s="1397"/>
      <c r="AG305" s="1397"/>
      <c r="AH305" s="1397"/>
      <c r="AI305" s="1397"/>
      <c r="AJ305" s="1434"/>
      <c r="AK305" s="1436"/>
      <c r="AL305" s="1438"/>
      <c r="AM305" s="1441"/>
      <c r="AN305" s="1442"/>
      <c r="AO305" s="1447"/>
      <c r="AP305" s="1447"/>
      <c r="AQ305" s="1448"/>
      <c r="AR305" s="1452"/>
      <c r="AS305" s="1455"/>
      <c r="AT305" s="1458"/>
      <c r="AU305" s="516"/>
      <c r="AV305" s="1479"/>
      <c r="AW305" s="1479"/>
      <c r="BC305" s="38"/>
      <c r="BD305" s="38"/>
      <c r="BE305" s="38"/>
      <c r="BF305" s="38"/>
      <c r="BG305" s="38"/>
      <c r="BH305" s="38"/>
      <c r="BI305" s="38"/>
      <c r="BJ305" s="38"/>
      <c r="BK305" s="38"/>
      <c r="BL305" s="38"/>
      <c r="BM305" s="38"/>
      <c r="BN305" s="38"/>
      <c r="BO305" s="38"/>
      <c r="BP305" s="38"/>
      <c r="BQ305" s="38"/>
      <c r="BR305" s="38"/>
      <c r="BS305" s="38"/>
      <c r="BT305" s="38"/>
      <c r="BU305" s="38"/>
      <c r="BV305" s="38"/>
      <c r="BW305" s="38"/>
      <c r="BX305" s="38"/>
      <c r="BY305" s="38"/>
      <c r="BZ305" s="38"/>
      <c r="CA305" s="38"/>
      <c r="CB305" s="38"/>
      <c r="CC305" s="38"/>
      <c r="CD305" s="38"/>
      <c r="CE305" s="38"/>
      <c r="CF305" s="38"/>
      <c r="CG305" s="38"/>
      <c r="CH305" s="38"/>
      <c r="CI305" s="38"/>
      <c r="CM305" s="1352"/>
      <c r="CN305" s="1352"/>
      <c r="CO305" s="1416"/>
      <c r="CP305" s="1418"/>
      <c r="CR305" s="1386"/>
      <c r="CS305" s="1355"/>
      <c r="CT305" s="1355"/>
      <c r="CU305" s="1355"/>
      <c r="CV305" s="1372"/>
      <c r="CW305" s="1372"/>
      <c r="CX305" s="1371"/>
      <c r="CY305" s="1486"/>
      <c r="CZ305" s="1486"/>
      <c r="DA305" s="1486"/>
      <c r="DC305" s="1355"/>
      <c r="DD305" s="1461"/>
      <c r="DE305" s="1355"/>
      <c r="DF305" s="1407"/>
      <c r="DG305" s="1372"/>
      <c r="DH305" s="1369"/>
      <c r="DJ305" s="1484"/>
      <c r="DL305" s="1419"/>
      <c r="DN305" s="1403"/>
      <c r="DO305" s="1405"/>
      <c r="DP305" s="1354"/>
      <c r="DQ305" s="1405"/>
      <c r="DR305" s="1403"/>
      <c r="DS305" s="1489"/>
      <c r="DU305" s="1403"/>
      <c r="DV305" s="1405"/>
      <c r="DW305" s="1403"/>
      <c r="DX305" s="1403"/>
      <c r="DZ305" s="1481"/>
      <c r="EA305" s="1481"/>
      <c r="EC305" s="1482"/>
      <c r="ED305" s="1369"/>
      <c r="EE305" s="1371"/>
      <c r="EF305" s="1369"/>
      <c r="EG305" s="1369"/>
      <c r="EH305" s="1374"/>
      <c r="EI305" s="1374"/>
      <c r="EJ305" s="1363"/>
      <c r="EK305" s="1376"/>
      <c r="EL305" s="1376"/>
      <c r="EM305" s="1362"/>
      <c r="EN305" s="1362"/>
      <c r="EO305" s="1363"/>
      <c r="EP305" s="1363"/>
      <c r="EQ305" s="1363"/>
      <c r="ES305" s="1403"/>
      <c r="EU305" s="1411"/>
      <c r="EV305" s="1411"/>
      <c r="EW305" s="1411"/>
      <c r="EX305" s="1411"/>
      <c r="EY305" s="1411"/>
      <c r="EZ305" s="1413"/>
      <c r="FB305" s="1365"/>
      <c r="FD305" s="1354"/>
      <c r="FE305" s="1354"/>
      <c r="FF305" s="138"/>
      <c r="FI305" s="1357"/>
      <c r="FJ305" s="1357"/>
      <c r="FK305" s="1365"/>
      <c r="FL305" s="1365"/>
      <c r="FM305" s="1365"/>
      <c r="FO305" s="1361"/>
      <c r="FP305" s="1361"/>
      <c r="FQ305" s="1366"/>
      <c r="FR305" s="1368"/>
      <c r="FS305" s="1361"/>
      <c r="FT305" s="1368"/>
      <c r="FU305" s="1360"/>
      <c r="FW305" s="1352"/>
      <c r="FX305" s="1352"/>
      <c r="FY305" s="1352"/>
      <c r="FZ305" s="1352"/>
      <c r="GA305" s="1352"/>
      <c r="GB305" s="1352"/>
      <c r="GC305" s="1352"/>
      <c r="GD305" s="1352"/>
      <c r="GE305" s="759"/>
      <c r="GF305" s="1035"/>
      <c r="GG305" s="1385"/>
      <c r="GI305" s="1384" t="b">
        <f>IF(AND(GL305=TRUE,GM305=TRUE),TRUE,FALSE)</f>
        <v>0</v>
      </c>
      <c r="GJ305" s="1379" t="b">
        <f>IFERROR(IF(__Retrofit_TI_NC=2,TRUE,IF(AR304="Yes",TRUE,FALSE)),FALSE)</f>
        <v>1</v>
      </c>
      <c r="GL305" s="1379" t="b">
        <f>IFERROR(IF(GL304=1,TRUE,FALSE),FALSE)</f>
        <v>0</v>
      </c>
      <c r="GM305" s="1379" t="b">
        <f>IFERROR(IF(GM304=GM$14,TRUE,FALSE),FALSE)</f>
        <v>0</v>
      </c>
      <c r="HC305" s="1379" t="b">
        <f>IFERROR(IF(M305=1,TRUE,FALSE),FALSE)</f>
        <v>0</v>
      </c>
      <c r="HD305" s="1379" t="b">
        <f>IFERROR(IF(M306=1,TRUE,FALSE),FALSE)</f>
        <v>0</v>
      </c>
      <c r="HE305" s="1379" t="b">
        <f>IFERROR(IF(__Retrofit_TI_NC&lt;&gt;0,TRUE,IFERROR(IF(VLOOKUP(U305,Fixtures_Existing_List,2,FALSE)&lt;&gt;"",TRUE,FALSE),FALSE)),FALSE)</f>
        <v>0</v>
      </c>
      <c r="HF305" s="1379" t="b">
        <f>IFERROR(IF(VLOOKUP(U306,Fixtures_Proposed_List,2,FALSE)&lt;&gt;"",TRUE,FALSE),FALSE)</f>
        <v>0</v>
      </c>
      <c r="HG305" s="1379" t="b">
        <f>IF(AND(__Retrofit_TI_NC=2,EZ304=TRUE),FALSE,TRUE)</f>
        <v>1</v>
      </c>
      <c r="HH305" s="1379" t="b">
        <f>GG304</f>
        <v>1</v>
      </c>
      <c r="HI305" s="1384" t="b">
        <f>IF(ISERROR(MATCH(FB304,_Control_Match[],0))=TRUE,FALSE,TRUE)</f>
        <v>0</v>
      </c>
      <c r="HJ305" s="1384" t="b">
        <f>IFERROR(IF(EU304&lt;&gt;EV304,FALSE,TRUE),FALSE)</f>
        <v>0</v>
      </c>
      <c r="HK305" s="1384" t="b">
        <f>IFERROR(IF(EU306&lt;&gt;EV306,FALSE,TRUE),FALSE)</f>
        <v>0</v>
      </c>
      <c r="HL305" s="1379" t="b">
        <f>IFERROR(IF(CN304="Exterior",TRUE,IF(OR(AND(FJ304=0,EW306&gt;4),AND(FJ304=4,EW306&gt;4,EW306&lt;7)),FALSE,TRUE)),FALSE)</f>
        <v>0</v>
      </c>
      <c r="HM305" s="1379" t="b">
        <f>IFERROR(IF(AND(FL306=7,EZ304=TRUE),FALSE,TRUE),FALSE)</f>
        <v>0</v>
      </c>
      <c r="HN305" s="1379" t="b">
        <f>IFERROR(IF(AND(T306&lt;&gt;AE306,AF306="Interior LLLC")=TRUE,FALSE,TRUE),FALSE)</f>
        <v>1</v>
      </c>
      <c r="HO305" s="1379" t="b">
        <f>IFERROR(IF(OR(AF306=Lookup!AU$13,AF306=Lookup!AU$14)=TRUE,IF(AE306&gt;T306,FALSE,TRUE),TRUE),FALSE)</f>
        <v>1</v>
      </c>
      <c r="HP305" s="1379" t="b">
        <f>IFERROR(IF(__Retrofit_TI_NC=2,IF(EW306&lt;EW304,FALSE,TRUE),TRUE),FALSE)</f>
        <v>1</v>
      </c>
      <c r="HQ305" s="1379" t="b">
        <f>IF(CN304="Interior",IG$6,TRUE)</f>
        <v>1</v>
      </c>
      <c r="HR305" s="1379" t="b">
        <f>IF(CN304="Exterior",IG$8,TRUE)</f>
        <v>1</v>
      </c>
      <c r="HS305" s="1379" t="b">
        <f>IFERROR(IF(__Retrofit_TI_NC&lt;&gt;0,IF(AW304&lt;AV304,FALSE,TRUE),TRUE),FALSE)</f>
        <v>1</v>
      </c>
      <c r="HT305" s="1379" t="b">
        <f>IFERROR(IF(AND(G305="Exterior",R305&gt;4200),FALSE,TRUE),FALSE)</f>
        <v>1</v>
      </c>
      <c r="HU305" s="1379" t="b">
        <f>IFERROR(IF(AB307/AB304&lt;HU$18,FALSE,TRUE),FALSE)</f>
        <v>0</v>
      </c>
      <c r="HW305" s="1382"/>
      <c r="HX305" s="1378"/>
      <c r="HY305" s="1377" t="str">
        <f>VLOOKUP(HW307,_Error_Table,4,FALSE)</f>
        <v>White</v>
      </c>
      <c r="HZ305" s="436"/>
      <c r="IA305" s="1386"/>
      <c r="IB305" s="1380"/>
      <c r="IC305" s="1379"/>
      <c r="IF305" s="1380"/>
      <c r="IG305" s="1382"/>
      <c r="IH305" s="1382"/>
      <c r="II305" s="1382"/>
      <c r="IK305" s="1351"/>
      <c r="IL305" s="1351"/>
      <c r="IM305" s="1351"/>
      <c r="IN305" s="1351"/>
      <c r="IO305" s="1351"/>
      <c r="IP305" s="1351"/>
    </row>
    <row r="306" spans="1:250" s="82" customFormat="1" ht="14.95" customHeight="1" thickTop="1" thickBot="1">
      <c r="A306" s="82">
        <f>ROW()</f>
        <v>306</v>
      </c>
      <c r="B306" s="1421"/>
      <c r="C306" s="1422"/>
      <c r="D306" s="1423"/>
      <c r="E306" s="1393" t="s">
        <v>245</v>
      </c>
      <c r="F306" s="1394"/>
      <c r="G306" s="1398"/>
      <c r="H306" s="1399"/>
      <c r="I306" s="1399"/>
      <c r="J306" s="1399"/>
      <c r="K306" s="1399"/>
      <c r="L306" s="1400"/>
      <c r="M306" s="509">
        <f>IFERROR(IF(IF(__Retrofit_TI_NC&lt;&gt;0,IF(CN304="Interior",MATCH(G306,Lookup_Interior_New,0),MATCH(G306,Lookup_Exterior_New,0)),IF(CN304="Interior",MATCH(G306,Lookup_Interior,0),MATCH(G306,Lookup_Exterior_Areas,0)))&gt;0,1,0),0)</f>
        <v>0</v>
      </c>
      <c r="N306" s="509" t="e">
        <f>IF(__Retrofit_TI_NC=1,
VLOOKUP(G306,'Space Table'!$B$3:$L$160,4,FALSE),
IF(__Retrofit_TI_NC=2,VLOOKUP(G306,'Space Table'!$B$3:$L$160,5,FALSE),VLOOKUP(G306,'Space Table'!$B$3:$L$160,5,FALSE)))</f>
        <v>#N/A</v>
      </c>
      <c r="O306" s="509">
        <f>G306</f>
        <v>0</v>
      </c>
      <c r="P306" s="1394" t="s">
        <v>355</v>
      </c>
      <c r="Q306" s="1394"/>
      <c r="R306" s="674"/>
      <c r="S306" s="1401" t="s">
        <v>284</v>
      </c>
      <c r="T306" s="672"/>
      <c r="U306" s="1499"/>
      <c r="V306" s="1500"/>
      <c r="W306" s="1500"/>
      <c r="X306" s="1500"/>
      <c r="Y306" s="1500"/>
      <c r="Z306" s="1500"/>
      <c r="AA306" s="1500"/>
      <c r="AB306" s="1501"/>
      <c r="AC306" s="1501"/>
      <c r="AD306" s="1502"/>
      <c r="AE306" s="672"/>
      <c r="AF306" s="1474"/>
      <c r="AG306" s="1474"/>
      <c r="AH306" s="1474"/>
      <c r="AI306" s="1474"/>
      <c r="AJ306" s="1475">
        <f>DF306</f>
        <v>0</v>
      </c>
      <c r="AK306" s="1470" t="str">
        <f>IFERROR(ROUND(AJ306*AC307,0),"")</f>
        <v/>
      </c>
      <c r="AL306" s="1472">
        <f>IFERROR(IF(HW304=FALSE,0,AC307-AK306),0)</f>
        <v>0</v>
      </c>
      <c r="AM306" s="1441"/>
      <c r="AN306" s="1442"/>
      <c r="AO306" s="1447"/>
      <c r="AP306" s="1447"/>
      <c r="AQ306" s="1448"/>
      <c r="AR306" s="1452"/>
      <c r="AS306" s="1455"/>
      <c r="AT306" s="1458"/>
      <c r="AU306" s="516"/>
      <c r="AV306" s="1479"/>
      <c r="AW306" s="1479"/>
      <c r="BC306" s="38"/>
      <c r="BD306" s="38"/>
      <c r="BE306" s="38"/>
      <c r="BF306" s="38"/>
      <c r="BG306" s="38"/>
      <c r="BH306" s="38"/>
      <c r="BI306" s="38"/>
      <c r="BJ306" s="38"/>
      <c r="BK306" s="38"/>
      <c r="BL306" s="38"/>
      <c r="BM306" s="38"/>
      <c r="BN306" s="38"/>
      <c r="BO306" s="38"/>
      <c r="BP306" s="38"/>
      <c r="BQ306" s="38"/>
      <c r="BR306" s="38"/>
      <c r="BS306" s="38"/>
      <c r="BT306" s="38"/>
      <c r="BU306" s="38"/>
      <c r="BV306" s="38"/>
      <c r="BW306" s="38"/>
      <c r="BX306" s="38"/>
      <c r="BY306" s="38"/>
      <c r="BZ306" s="38"/>
      <c r="CA306" s="38"/>
      <c r="CB306" s="38"/>
      <c r="CC306" s="38"/>
      <c r="CD306" s="38"/>
      <c r="CE306" s="38"/>
      <c r="CF306" s="38"/>
      <c r="CG306" s="38"/>
      <c r="CH306" s="38"/>
      <c r="CI306" s="38"/>
      <c r="CM306" s="1352"/>
      <c r="CN306" s="1352"/>
      <c r="CO306" s="1415" t="str">
        <f>CN304</f>
        <v/>
      </c>
      <c r="CP306" s="1417" t="e">
        <f>CP304</f>
        <v>#N/A</v>
      </c>
      <c r="CR306" s="1386" t="s">
        <v>284</v>
      </c>
      <c r="CS306" s="1353">
        <f>IF(HW304=TRUE,T306,0)</f>
        <v>0</v>
      </c>
      <c r="CT306" s="1353" t="str">
        <f>IF(HW304=TRUE,U306,"")</f>
        <v/>
      </c>
      <c r="CU306" s="1373">
        <f>IF(HW304=TRUE,U307,0)</f>
        <v>0</v>
      </c>
      <c r="CV306" s="1370">
        <f>IF(HW304=TRUE,AB307,0)</f>
        <v>0</v>
      </c>
      <c r="CW306" s="1370">
        <f>IF(HW304=TRUE,AC307,0)</f>
        <v>0</v>
      </c>
      <c r="CX306" s="1371"/>
      <c r="CY306" s="1486"/>
      <c r="CZ306" s="1486"/>
      <c r="DA306" s="1486"/>
      <c r="DC306" s="1353">
        <f>IF(HW304=TRUE,AE306,0)</f>
        <v>0</v>
      </c>
      <c r="DD306" s="1353" t="str">
        <f>IF(HW304=TRUE,AF306,"")</f>
        <v/>
      </c>
      <c r="DE306" s="1373">
        <f>AF307</f>
        <v>0</v>
      </c>
      <c r="DF306" s="1406">
        <f>IFERROR(IF(FL306=3,IK306,IF(FL306=4,IL306,IF(FL306=5,IM306,IF(FL306=6,IN306,IF(FL306=7,IO306,IF(FL306=8,IP306,0)))))),0)</f>
        <v>0</v>
      </c>
      <c r="DG306" s="1370">
        <f>IF(HW304=TRUE,AK306,0)</f>
        <v>0</v>
      </c>
      <c r="DH306" s="1369"/>
      <c r="DK306" s="1483">
        <f>IFERROR(CW306-DG306,0)</f>
        <v>0</v>
      </c>
      <c r="DL306" s="1420"/>
      <c r="DN306" s="1403"/>
      <c r="DO306" s="1477" t="str">
        <f>DN304</f>
        <v/>
      </c>
      <c r="DP306" s="1354"/>
      <c r="DQ306" s="1477" t="str">
        <f>IF(DP304=7,"LLLC","")</f>
        <v/>
      </c>
      <c r="DR306" s="1403"/>
      <c r="DS306" s="1489"/>
      <c r="DU306" s="1403"/>
      <c r="DV306" s="1404" t="str">
        <f>DU304</f>
        <v/>
      </c>
      <c r="DW306" s="1403"/>
      <c r="DX306" s="1403"/>
      <c r="DZ306" s="1481"/>
      <c r="EA306" s="1481"/>
      <c r="EC306" s="1482"/>
      <c r="ED306" s="1369"/>
      <c r="EE306" s="1371"/>
      <c r="EF306" s="1369"/>
      <c r="EG306" s="1369"/>
      <c r="EH306" s="1374"/>
      <c r="EI306" s="1374"/>
      <c r="EJ306" s="1363"/>
      <c r="EK306" s="1376"/>
      <c r="EL306" s="1376"/>
      <c r="EM306" s="1362"/>
      <c r="EN306" s="1362"/>
      <c r="EO306" s="1363"/>
      <c r="EP306" s="1363"/>
      <c r="EQ306" s="1363"/>
      <c r="ES306" s="1403"/>
      <c r="EU306" s="1411" t="e">
        <f>VLOOKUP(CP306,'Space Table'!$B$3:$L$160,8,FALSE)</f>
        <v>#N/A</v>
      </c>
      <c r="EV306" s="1411" t="e">
        <f>IF(EY306="Yes",VLOOKUP(AF306,Lookup_Control_Type_Table2,4,FALSE),VLOOKUP(AF306,Lookup_Control_Type_Table2,3,FALSE))</f>
        <v>#N/A</v>
      </c>
      <c r="EW306" s="1411" t="e">
        <f>VLOOKUP(AF306,Lookup!AU$3:AV$15,2,FALSE)</f>
        <v>#N/A</v>
      </c>
      <c r="EX306" s="1411" t="e">
        <f>VLOOKUP(EU304,Lookup_Control_Type_Table,2,FALSE)</f>
        <v>#N/A</v>
      </c>
      <c r="EY306" s="1411" t="e">
        <f>VLOOKUP(CP306,'Space Table'!$B$3:$L$160,7,FALSE)</f>
        <v>#N/A</v>
      </c>
      <c r="EZ306" s="1413"/>
      <c r="FB306" s="1365" t="str">
        <f>CONCATENATE(CN304," - ",AF306)</f>
        <v xml:space="preserve"> - </v>
      </c>
      <c r="FD306" s="1354"/>
      <c r="FE306" s="1354"/>
      <c r="FF306" s="138"/>
      <c r="FI306" s="1356" t="str">
        <f>IF(CN304="Exterior","Not Daylighted",G307)</f>
        <v>Not Daylighted</v>
      </c>
      <c r="FJ306" s="1356">
        <f>VLOOKUP(FI306,_Daylight_Table_Codes,2,FALSE)</f>
        <v>0</v>
      </c>
      <c r="FK306" s="1365">
        <f>AF306</f>
        <v>0</v>
      </c>
      <c r="FL306" s="1365" t="e">
        <f>VLOOKUP(FK306,_Control_Table,2,FALSE)</f>
        <v>#N/A</v>
      </c>
      <c r="FM306" s="1365" t="e">
        <f>IF(AND(FP306&gt;0,FK306="Occupancy Sensor"),"Daylight + Occupancy",IF(AND(FP306&gt;0,FL306&lt;4),"Interior Daylight Dimming",FK306))</f>
        <v>#N/A</v>
      </c>
      <c r="FO306" s="1364">
        <f>IF(CN304="Interior",VLOOKUP(CP304,Control_Savings_Interior,5,FALSE),0)</f>
        <v>0</v>
      </c>
      <c r="FP306" s="1361">
        <f>IF(CN306="Exterior",0,IF(FJ306=2,0.5,IF(OR(FJ306=1,FJ306=3),1,0)))</f>
        <v>0</v>
      </c>
      <c r="FQ306" s="1366">
        <f>IF(R305&gt;FO$37,(FO306*(FO$37/R305)),FO306)*FP306</f>
        <v>0</v>
      </c>
      <c r="FR306" s="1364">
        <f>DF306</f>
        <v>0</v>
      </c>
      <c r="FS306" s="1364">
        <f>ROUND(FR306+((1-FR306)*FQ306),2)</f>
        <v>0</v>
      </c>
      <c r="FT306" s="1364">
        <f>IF(__Retrofit_TI_NC=2,FS306,FR306)</f>
        <v>0</v>
      </c>
      <c r="FU306" s="1360">
        <f>IF(CO306="Interior",VLOOKUP(CP306,Control_Savings_Interior,4,FALSE),0)</f>
        <v>0</v>
      </c>
      <c r="FW306" s="1352"/>
      <c r="FX306" s="1352"/>
      <c r="FY306" s="1352"/>
      <c r="FZ306" s="1352"/>
      <c r="GA306" s="1352"/>
      <c r="GB306" s="1352"/>
      <c r="GC306" s="1352"/>
      <c r="GD306" s="1352"/>
      <c r="GE306" s="759" t="b">
        <f>IF(ISNUMBER(SEARCH("TLED",U306)),TRUE,FALSE)</f>
        <v>0</v>
      </c>
      <c r="GF306" s="1035" t="str">
        <f>IFERROR(VLOOKUP(U306,Fixtures!DM$93:DR$142,6,FALSE),"")</f>
        <v/>
      </c>
      <c r="GG306" s="1385"/>
      <c r="GI306" s="1383"/>
      <c r="GJ306" s="1379"/>
      <c r="GL306" s="1379"/>
      <c r="GM306" s="1379"/>
      <c r="HC306" s="1379"/>
      <c r="HD306" s="1379"/>
      <c r="HE306" s="1379"/>
      <c r="HF306" s="1379"/>
      <c r="HG306" s="1379"/>
      <c r="HH306" s="1379"/>
      <c r="HI306" s="1383"/>
      <c r="HJ306" s="1383"/>
      <c r="HK306" s="1383"/>
      <c r="HL306" s="1379"/>
      <c r="HM306" s="1379"/>
      <c r="HN306" s="1379"/>
      <c r="HO306" s="1379"/>
      <c r="HP306" s="1379"/>
      <c r="HQ306" s="1379"/>
      <c r="HR306" s="1379"/>
      <c r="HS306" s="1379"/>
      <c r="HT306" s="1379"/>
      <c r="HU306" s="1379"/>
      <c r="HW306" s="1383"/>
      <c r="HX306" s="1384" t="b">
        <f>HW304</f>
        <v>0</v>
      </c>
      <c r="HY306" s="1378"/>
      <c r="HZ306" s="436"/>
      <c r="IA306" s="1386"/>
      <c r="IB306" s="1380">
        <f>IF(IA304=TRUE,AC307,0)</f>
        <v>0</v>
      </c>
      <c r="IC306" s="1379"/>
      <c r="IF306" s="1380" t="e">
        <f>ROUND(T306*AB307*N305*R305/1000,0)</f>
        <v>#VALUE!</v>
      </c>
      <c r="IG306" s="1382"/>
      <c r="IH306" s="1384" t="e">
        <f>ROUND(T306*AB307*N305*R305/1000,0)</f>
        <v>#VALUE!</v>
      </c>
      <c r="II306" s="1382"/>
      <c r="IK306" s="1351" t="e">
        <f>IF($CO306="interior",IL306/2,VLOOKUP($CP306,Control_Savings_Exterior,IK$30,FALSE))</f>
        <v>#N/A</v>
      </c>
      <c r="IL306" s="1351" t="e">
        <f>IF($CO306="interior",VLOOKUP($CP306,Control_Savings_Interior,IL$30,FALSE),VLOOKUP($CP306,Control_Savings_Exterior,IL$30,FALSE))</f>
        <v>#N/A</v>
      </c>
      <c r="IM306" s="1351" t="e">
        <f>IF($CO306="interior",IF(R305&gt;FO$37,(IM$28*(FO$37/R305)),IM$28)*FP306,VLOOKUP($CP306,Control_Savings_Exterior,IM$30,FALSE))</f>
        <v>#N/A</v>
      </c>
      <c r="IN306" s="1351" t="e">
        <f>IF($CO306="interior",ROUND(((1-IL306)*IM306)+IL306,2),VLOOKUP($CP306,Control_Savings_Exterior,IN$30,FALSE))</f>
        <v>#N/A</v>
      </c>
      <c r="IO306" s="1351" t="e">
        <f>IF($CO306="interior", ROUND(((1-IL306)*(IM306*(1-IP$28)))+IP306,2), VLOOKUP($CP306,Control_Savings_Exterior,IO$30,FALSE))</f>
        <v>#N/A</v>
      </c>
      <c r="IP306" s="1351">
        <f>IF($CO306="interior",ROUND(((1-IL306)*IP$28)+IL306,2),0)</f>
        <v>0</v>
      </c>
    </row>
    <row r="307" spans="1:250" s="82" customFormat="1" ht="14.95" customHeight="1" thickTop="1" thickBot="1">
      <c r="B307" s="1421"/>
      <c r="C307" s="1422"/>
      <c r="D307" s="1423"/>
      <c r="E307" s="1462" t="s">
        <v>357</v>
      </c>
      <c r="F307" s="1463"/>
      <c r="G307" s="1464" t="s">
        <v>362</v>
      </c>
      <c r="H307" s="1465"/>
      <c r="I307" s="1465"/>
      <c r="J307" s="1465"/>
      <c r="K307" s="1465"/>
      <c r="L307" s="1466"/>
      <c r="M307" s="669">
        <f>IFERROR(VLOOKUP(G307,_Daylight_Table[],2,FALSE),0)</f>
        <v>0</v>
      </c>
      <c r="N307" s="670"/>
      <c r="O307" s="669" t="e">
        <f>VLOOKUP(G306,'Space Table'!$B$3:$L$160,11,FALSE)</f>
        <v>#N/A</v>
      </c>
      <c r="P307" s="1408"/>
      <c r="Q307" s="1409"/>
      <c r="R307" s="1409"/>
      <c r="S307" s="1402"/>
      <c r="T307" s="671" t="s">
        <v>281</v>
      </c>
      <c r="U307" s="1467" t="str">
        <f>IFERROR(VLOOKUP(U306,Fixtures!DM$93:DP$142,4,FALSE),"")</f>
        <v/>
      </c>
      <c r="V307" s="1468"/>
      <c r="W307" s="1468"/>
      <c r="X307" s="1468"/>
      <c r="Y307" s="1468"/>
      <c r="Z307" s="1468"/>
      <c r="AA307" s="1468"/>
      <c r="AB307" s="1046" t="str">
        <f>IFERROR(VLOOKUP(U306,Fixtures_Proposed_List,2,FALSE),"")</f>
        <v/>
      </c>
      <c r="AC307" s="1036" t="str">
        <f>IFERROR(ROUND(T306*AB307*N305*R305/1000,0),"")</f>
        <v/>
      </c>
      <c r="AD307" s="1037" t="str">
        <f>IFERROR(ROUND(T306*AB307/1000,2),"")</f>
        <v/>
      </c>
      <c r="AE307" s="1045" t="s">
        <v>281</v>
      </c>
      <c r="AF307" s="1469"/>
      <c r="AG307" s="1469"/>
      <c r="AH307" s="1469"/>
      <c r="AI307" s="1469"/>
      <c r="AJ307" s="1476"/>
      <c r="AK307" s="1471"/>
      <c r="AL307" s="1473"/>
      <c r="AM307" s="1443"/>
      <c r="AN307" s="1444"/>
      <c r="AO307" s="1449"/>
      <c r="AP307" s="1449"/>
      <c r="AQ307" s="1450"/>
      <c r="AR307" s="1453"/>
      <c r="AS307" s="1456"/>
      <c r="AT307" s="1459"/>
      <c r="AU307" s="517"/>
      <c r="AV307" s="1480"/>
      <c r="AW307" s="1480"/>
      <c r="BC307" s="38"/>
      <c r="BD307" s="38"/>
      <c r="BE307" s="38"/>
      <c r="BF307" s="38"/>
      <c r="BG307" s="38"/>
      <c r="BH307" s="38"/>
      <c r="BI307" s="38"/>
      <c r="BJ307" s="38"/>
      <c r="BK307" s="38"/>
      <c r="BL307" s="38"/>
      <c r="BM307" s="38"/>
      <c r="BN307" s="38"/>
      <c r="BO307" s="38"/>
      <c r="BP307" s="38"/>
      <c r="BQ307" s="38"/>
      <c r="BR307" s="38"/>
      <c r="BS307" s="38"/>
      <c r="BT307" s="38"/>
      <c r="BU307" s="38"/>
      <c r="BV307" s="38"/>
      <c r="BW307" s="38"/>
      <c r="BX307" s="38"/>
      <c r="BY307" s="38"/>
      <c r="BZ307" s="38"/>
      <c r="CA307" s="38"/>
      <c r="CB307" s="38"/>
      <c r="CC307" s="38"/>
      <c r="CD307" s="38"/>
      <c r="CE307" s="38"/>
      <c r="CF307" s="38"/>
      <c r="CG307" s="38"/>
      <c r="CH307" s="38"/>
      <c r="CI307" s="38"/>
      <c r="CM307" s="1352"/>
      <c r="CN307" s="1352"/>
      <c r="CO307" s="1416"/>
      <c r="CP307" s="1418"/>
      <c r="CR307" s="1386"/>
      <c r="CS307" s="1355"/>
      <c r="CT307" s="1355"/>
      <c r="CU307" s="1375"/>
      <c r="CV307" s="1372"/>
      <c r="CW307" s="1372"/>
      <c r="CX307" s="1372"/>
      <c r="CY307" s="1487"/>
      <c r="CZ307" s="1487"/>
      <c r="DA307" s="1487"/>
      <c r="DC307" s="1355"/>
      <c r="DD307" s="1355"/>
      <c r="DE307" s="1375"/>
      <c r="DF307" s="1407"/>
      <c r="DG307" s="1372"/>
      <c r="DH307" s="1369"/>
      <c r="DK307" s="1484"/>
      <c r="DL307" s="1420"/>
      <c r="DN307" s="1403"/>
      <c r="DO307" s="1405"/>
      <c r="DP307" s="1355"/>
      <c r="DQ307" s="1405"/>
      <c r="DR307" s="1403"/>
      <c r="DS307" s="1489"/>
      <c r="DU307" s="1403"/>
      <c r="DV307" s="1405"/>
      <c r="DW307" s="1403"/>
      <c r="DX307" s="1403"/>
      <c r="DZ307" s="1481"/>
      <c r="EA307" s="1481"/>
      <c r="EC307" s="1482"/>
      <c r="ED307" s="1369"/>
      <c r="EE307" s="1372"/>
      <c r="EF307" s="1369"/>
      <c r="EG307" s="1369"/>
      <c r="EH307" s="1375"/>
      <c r="EI307" s="1375"/>
      <c r="EJ307" s="1363"/>
      <c r="EK307" s="1376"/>
      <c r="EL307" s="1376"/>
      <c r="EM307" s="1362"/>
      <c r="EN307" s="1362"/>
      <c r="EO307" s="1363"/>
      <c r="EP307" s="1363"/>
      <c r="EQ307" s="1363"/>
      <c r="ES307" s="1403"/>
      <c r="EU307" s="1488"/>
      <c r="EV307" s="1488"/>
      <c r="EW307" s="1488"/>
      <c r="EX307" s="1488"/>
      <c r="EY307" s="1488"/>
      <c r="EZ307" s="1414"/>
      <c r="FB307" s="1365"/>
      <c r="FD307" s="1355"/>
      <c r="FE307" s="1355"/>
      <c r="FF307" s="138"/>
      <c r="FI307" s="1357"/>
      <c r="FJ307" s="1357"/>
      <c r="FK307" s="1365"/>
      <c r="FL307" s="1365"/>
      <c r="FM307" s="1365"/>
      <c r="FO307" s="1361"/>
      <c r="FP307" s="1361"/>
      <c r="FQ307" s="1366"/>
      <c r="FR307" s="1361"/>
      <c r="FS307" s="1361"/>
      <c r="FT307" s="1361"/>
      <c r="FU307" s="1360"/>
      <c r="FW307" s="1352"/>
      <c r="FX307" s="1352"/>
      <c r="FY307" s="1352"/>
      <c r="FZ307" s="1352"/>
      <c r="GA307" s="1352"/>
      <c r="GB307" s="1352"/>
      <c r="GC307" s="1352"/>
      <c r="GD307" s="1352"/>
      <c r="GE307" s="759"/>
      <c r="GF307" s="1035"/>
      <c r="GG307" s="1385"/>
      <c r="GJ307" s="1034">
        <f>IF(GJ305=TRUE,0,GJ$16)</f>
        <v>0</v>
      </c>
      <c r="GL307" s="1034">
        <f>IF(GL305=TRUE,0,GL$16)</f>
        <v>36</v>
      </c>
      <c r="GM307" s="1034">
        <f>IF(GM305=TRUE,0,GM$16)</f>
        <v>35</v>
      </c>
      <c r="GN307" s="436"/>
      <c r="GO307" s="436"/>
      <c r="GP307" s="436"/>
      <c r="GQ307" s="436"/>
      <c r="GR307" s="436"/>
      <c r="HC307" s="1034">
        <f t="shared" ref="HC307:HH307" si="218">IF(HC305=TRUE,0,HC$16)</f>
        <v>19</v>
      </c>
      <c r="HD307" s="1034">
        <f t="shared" si="218"/>
        <v>18</v>
      </c>
      <c r="HE307" s="1034">
        <f t="shared" si="218"/>
        <v>17</v>
      </c>
      <c r="HF307" s="1034">
        <f t="shared" si="218"/>
        <v>16</v>
      </c>
      <c r="HG307" s="1034">
        <f t="shared" si="218"/>
        <v>0</v>
      </c>
      <c r="HH307" s="1034">
        <f t="shared" si="218"/>
        <v>0</v>
      </c>
      <c r="HI307" s="1034">
        <f>IF(HI305=TRUE,0,HI$16)</f>
        <v>13</v>
      </c>
      <c r="HJ307" s="1034">
        <f t="shared" ref="HJ307:HL307" si="219">IF(HJ305=TRUE,0,HJ$16)</f>
        <v>12</v>
      </c>
      <c r="HK307" s="1034">
        <f t="shared" si="219"/>
        <v>11</v>
      </c>
      <c r="HL307" s="1034">
        <f t="shared" si="219"/>
        <v>10</v>
      </c>
      <c r="HM307" s="1034">
        <f>IF(HM305=TRUE,0,HM$16)</f>
        <v>9</v>
      </c>
      <c r="HN307" s="1034">
        <f t="shared" ref="HN307:HR307" si="220">IF(HN305=TRUE,0,HN$16)</f>
        <v>0</v>
      </c>
      <c r="HO307" s="1034">
        <f t="shared" si="220"/>
        <v>0</v>
      </c>
      <c r="HP307" s="1034">
        <f t="shared" si="220"/>
        <v>0</v>
      </c>
      <c r="HQ307" s="1034">
        <f t="shared" si="220"/>
        <v>0</v>
      </c>
      <c r="HR307" s="1034">
        <f t="shared" si="220"/>
        <v>0</v>
      </c>
      <c r="HS307" s="1034">
        <f>IF(HS305=TRUE,0,HS$16)</f>
        <v>0</v>
      </c>
      <c r="HT307" s="1034">
        <f t="shared" ref="HT307" si="221">IF(HT305=TRUE,0,HT$16)</f>
        <v>0</v>
      </c>
      <c r="HU307" s="1034">
        <f>IF(HU305=TRUE,0,HU$16)</f>
        <v>1</v>
      </c>
      <c r="HW307" s="1034">
        <f>IF(GL305=FALSE,GL307,IF(GM305=FALSE,GM307,MAX(GJ307:HU307)))</f>
        <v>36</v>
      </c>
      <c r="HX307" s="1383"/>
      <c r="HY307" s="241" t="str">
        <f>VLOOKUP(HW307,_Error_Table,3,FALSE)</f>
        <v xml:space="preserve"> </v>
      </c>
      <c r="HZ307" s="241"/>
      <c r="IA307" s="1386"/>
      <c r="IB307" s="1380"/>
      <c r="IC307" s="1379"/>
      <c r="IF307" s="1380"/>
      <c r="IG307" s="1383"/>
      <c r="IH307" s="1383"/>
      <c r="II307" s="1383"/>
      <c r="IK307" s="1351"/>
      <c r="IL307" s="1351"/>
      <c r="IM307" s="1351"/>
      <c r="IN307" s="1351"/>
      <c r="IO307" s="1351"/>
      <c r="IP307" s="1351"/>
    </row>
    <row r="308" spans="1:250" s="82" customFormat="1" ht="5.0999999999999996" customHeight="1" thickBot="1">
      <c r="B308" s="763"/>
      <c r="C308" s="1038"/>
      <c r="D308" s="1038"/>
      <c r="E308" s="1490"/>
      <c r="F308" s="1490"/>
      <c r="G308" s="1490"/>
      <c r="H308" s="1490"/>
      <c r="I308" s="1490"/>
      <c r="J308" s="1490"/>
      <c r="K308" s="1490"/>
      <c r="L308" s="1490"/>
      <c r="M308" s="1490"/>
      <c r="N308" s="1490"/>
      <c r="O308" s="1490"/>
      <c r="P308" s="1490"/>
      <c r="Q308" s="1490"/>
      <c r="R308" s="1490"/>
      <c r="S308" s="1490"/>
      <c r="T308" s="1490"/>
      <c r="U308" s="1490"/>
      <c r="V308" s="1490"/>
      <c r="W308" s="1490"/>
      <c r="X308" s="1490"/>
      <c r="Y308" s="1490"/>
      <c r="Z308" s="1490"/>
      <c r="AA308" s="1490"/>
      <c r="AB308" s="1490"/>
      <c r="AC308" s="1490"/>
      <c r="AD308" s="1490"/>
      <c r="AE308" s="1490"/>
      <c r="AF308" s="1490"/>
      <c r="AG308" s="1490"/>
      <c r="AH308" s="1490"/>
      <c r="AI308" s="1490"/>
      <c r="AJ308" s="1490"/>
      <c r="AK308" s="1490"/>
      <c r="AL308" s="1490"/>
      <c r="AM308" s="1490"/>
      <c r="AN308" s="1490"/>
      <c r="AO308" s="1490"/>
      <c r="AP308" s="1490"/>
      <c r="AQ308" s="1490"/>
      <c r="AR308" s="1490"/>
      <c r="AS308" s="1490"/>
      <c r="AT308" s="1490"/>
      <c r="AU308" s="1041"/>
      <c r="BC308" s="38"/>
      <c r="BD308" s="38"/>
      <c r="BE308" s="38"/>
      <c r="BF308" s="38"/>
      <c r="BG308" s="38"/>
      <c r="BH308" s="38"/>
      <c r="BI308" s="38"/>
      <c r="BJ308" s="38"/>
      <c r="BK308" s="38"/>
      <c r="BL308" s="38"/>
      <c r="BM308" s="38"/>
      <c r="BN308" s="38"/>
      <c r="BO308" s="38"/>
      <c r="BP308" s="38"/>
      <c r="BQ308" s="38"/>
      <c r="BR308" s="38"/>
      <c r="BS308" s="38"/>
      <c r="BT308" s="38"/>
      <c r="BU308" s="38"/>
      <c r="BV308" s="38"/>
      <c r="BW308" s="38"/>
      <c r="BX308" s="38"/>
      <c r="BY308" s="38"/>
      <c r="BZ308" s="38"/>
      <c r="CA308" s="38"/>
      <c r="CB308" s="38"/>
      <c r="CC308" s="38"/>
      <c r="CD308" s="38"/>
      <c r="CE308" s="38"/>
      <c r="CF308" s="38"/>
      <c r="CG308" s="38"/>
      <c r="CH308" s="38"/>
      <c r="CI308" s="38"/>
      <c r="CM308" s="749"/>
      <c r="CN308" s="749"/>
      <c r="CO308" s="1043"/>
      <c r="CP308" s="749"/>
      <c r="CS308" s="436"/>
      <c r="CT308" s="436"/>
      <c r="CU308" s="243"/>
      <c r="CV308" s="244"/>
      <c r="CW308" s="244"/>
      <c r="CX308" s="244"/>
      <c r="CY308" s="245"/>
      <c r="CZ308" s="245"/>
      <c r="DA308" s="245"/>
      <c r="DC308" s="750"/>
      <c r="DD308" s="751"/>
      <c r="DE308" s="752"/>
      <c r="DF308" s="753"/>
      <c r="DG308" s="754"/>
      <c r="DH308" s="754"/>
      <c r="DK308" s="244"/>
      <c r="DL308" s="750"/>
      <c r="DN308" s="750"/>
      <c r="DO308" s="755"/>
      <c r="DP308" s="436"/>
      <c r="DQ308" s="750"/>
      <c r="DR308" s="750"/>
      <c r="DS308" s="750"/>
      <c r="DU308" s="750"/>
      <c r="DV308" s="750"/>
      <c r="DW308" s="750"/>
      <c r="DX308" s="750"/>
      <c r="DZ308" s="756"/>
      <c r="EA308" s="756"/>
      <c r="EC308" s="754"/>
      <c r="ED308" s="754"/>
      <c r="EE308" s="244"/>
      <c r="EF308" s="754"/>
      <c r="EG308" s="754"/>
      <c r="EH308" s="243"/>
      <c r="EI308" s="243"/>
      <c r="EJ308" s="752"/>
      <c r="EK308" s="757"/>
      <c r="EL308" s="757"/>
      <c r="EM308" s="758"/>
      <c r="EN308" s="758"/>
      <c r="EO308" s="752"/>
      <c r="EP308" s="752"/>
      <c r="EQ308" s="752"/>
      <c r="ES308" s="750"/>
      <c r="EU308" s="436"/>
      <c r="EV308" s="436"/>
      <c r="EW308" s="436"/>
      <c r="EX308" s="436"/>
      <c r="EY308" s="436"/>
      <c r="EZ308" s="436"/>
      <c r="FB308" s="643"/>
      <c r="FD308" s="436"/>
      <c r="FE308" s="436"/>
      <c r="FF308" s="436"/>
      <c r="FO308" s="750"/>
      <c r="FP308" s="436"/>
      <c r="FQ308" s="436"/>
      <c r="FR308" s="750"/>
      <c r="FS308" s="750"/>
      <c r="FW308" s="749"/>
      <c r="FX308" s="749"/>
      <c r="FY308" s="749"/>
      <c r="FZ308" s="749"/>
      <c r="GA308" s="749"/>
      <c r="GB308" s="749"/>
      <c r="GC308" s="749"/>
      <c r="GD308" s="749"/>
      <c r="GE308" s="751"/>
      <c r="GF308" s="750"/>
      <c r="GG308" s="750"/>
    </row>
    <row r="309" spans="1:250" s="82" customFormat="1" ht="14.95" customHeight="1" thickTop="1" thickBot="1">
      <c r="B309" s="1421" t="str">
        <f>HY312</f>
        <v xml:space="preserve"> </v>
      </c>
      <c r="C309" s="1422">
        <f>C304+1</f>
        <v>53</v>
      </c>
      <c r="D309" s="1423"/>
      <c r="E309" s="1424" t="s">
        <v>242</v>
      </c>
      <c r="F309" s="1425"/>
      <c r="G309" s="1426"/>
      <c r="H309" s="1427"/>
      <c r="I309" s="1427"/>
      <c r="J309" s="1427"/>
      <c r="K309" s="1427"/>
      <c r="L309" s="1427"/>
      <c r="M309" s="1427"/>
      <c r="N309" s="1427"/>
      <c r="O309" s="1427"/>
      <c r="P309" s="1427"/>
      <c r="Q309" s="1427"/>
      <c r="R309" s="1427"/>
      <c r="S309" s="1428" t="s">
        <v>283</v>
      </c>
      <c r="T309" s="668" t="s">
        <v>190</v>
      </c>
      <c r="U309" s="1430" t="s">
        <v>186</v>
      </c>
      <c r="V309" s="1431"/>
      <c r="W309" s="1431"/>
      <c r="X309" s="1431"/>
      <c r="Y309" s="1431"/>
      <c r="Z309" s="1431"/>
      <c r="AA309" s="1431"/>
      <c r="AB309" s="1088" t="str">
        <f>IFERROR(IF(__Retrofit_TI_NC=0,VLOOKUP(U310,Fixtures_Existing_List,2,FALSE),ROUND(N311*R311/T311,10)),"")</f>
        <v/>
      </c>
      <c r="AC309" s="1039" t="str">
        <f>IFERROR(IF(__Retrofit_TI_NC=0,ROUND(T310*AB309*N310*R310/1000,0),IF(CN309="Interior",N311*R311*R310*N310*_C406_reduction/1000,N311*R311*R310*N310/1000)),"")</f>
        <v/>
      </c>
      <c r="AD309" s="1040" t="str">
        <f>IFERROR(IF(C$36=0,ROUND(T310*AB309/1000,2),N311*R311/1000),"")</f>
        <v/>
      </c>
      <c r="AE309" s="1044" t="s">
        <v>190</v>
      </c>
      <c r="AF309" s="1432" t="str">
        <f>IF(__Retrofit_TI_NC=2,CONCATENATE("Code min = ",DD309),IF(__Retrofit_TI_NC=1,"Emter what you think the existing control was"," Control"))</f>
        <v xml:space="preserve"> Control</v>
      </c>
      <c r="AG309" s="1432"/>
      <c r="AH309" s="1432"/>
      <c r="AI309" s="1432"/>
      <c r="AJ309" s="1433">
        <f>DF309</f>
        <v>0</v>
      </c>
      <c r="AK309" s="1435" t="str">
        <f>IFERROR(ROUND(AJ309*AC309,0),"")</f>
        <v/>
      </c>
      <c r="AL309" s="1437">
        <f>IFERROR(IF(HW309=FALSE,0,AC309-AK309),0)</f>
        <v>0</v>
      </c>
      <c r="AM309" s="1439">
        <f>AL309-AL311</f>
        <v>0</v>
      </c>
      <c r="AN309" s="1440"/>
      <c r="AO309" s="1445">
        <f>IFERROR(IF(HW309=FALSE,0,(T311*U312)+(AE311*AF312)),0)</f>
        <v>0</v>
      </c>
      <c r="AP309" s="1445"/>
      <c r="AQ309" s="1446"/>
      <c r="AR309" s="1451" t="s">
        <v>157</v>
      </c>
      <c r="AS309" s="1454">
        <f>IF(AR309="Yes",1,0)</f>
        <v>1</v>
      </c>
      <c r="AT309" s="1457" t="str">
        <f>IF(OR(DN309=4,DN309=5,DN309=6,DN309=12),CONCATENATE("$",IF(GD309=TRUE,Lookup!$B$11,Lookup!$B$2)," /lamp"),CONCATENATE(EA309,"/ kWh"))</f>
        <v>0/ kWh</v>
      </c>
      <c r="AU309" s="516"/>
      <c r="AV309" s="1478">
        <f>IFERROR(IF(GI310=TRUE,(AB312*T311)/R311,0),"NA")</f>
        <v>0</v>
      </c>
      <c r="AW309" s="1478" t="str">
        <f>IFERROR(N311*_C406_reduction,"NA")</f>
        <v>NA</v>
      </c>
      <c r="BC309" s="38"/>
      <c r="BD309" s="38"/>
      <c r="BE309" s="38"/>
      <c r="BF309" s="38"/>
      <c r="BG309" s="38"/>
      <c r="BH309" s="38"/>
      <c r="BI309" s="38"/>
      <c r="BJ309" s="38"/>
      <c r="BK309" s="38"/>
      <c r="BL309" s="38"/>
      <c r="BM309" s="38"/>
      <c r="BN309" s="38"/>
      <c r="BO309" s="38"/>
      <c r="BP309" s="38"/>
      <c r="BQ309" s="38"/>
      <c r="BR309" s="38"/>
      <c r="BS309" s="38"/>
      <c r="BT309" s="38"/>
      <c r="BU309" s="38"/>
      <c r="BV309" s="38"/>
      <c r="BW309" s="38"/>
      <c r="BX309" s="38"/>
      <c r="BY309" s="38"/>
      <c r="BZ309" s="38"/>
      <c r="CA309" s="38"/>
      <c r="CB309" s="38"/>
      <c r="CC309" s="38"/>
      <c r="CD309" s="38"/>
      <c r="CE309" s="38"/>
      <c r="CF309" s="38"/>
      <c r="CG309" s="38"/>
      <c r="CH309" s="38"/>
      <c r="CI309" s="38"/>
      <c r="CM309" s="1352" t="str">
        <f>N310</f>
        <v/>
      </c>
      <c r="CN309" s="1352" t="str">
        <f>IFERROR(VLOOKUP(G310,_Lookup_Heat_Type_Table_New,3,FALSE),"")</f>
        <v/>
      </c>
      <c r="CO309" s="1415" t="str">
        <f>CN309</f>
        <v/>
      </c>
      <c r="CP309" s="1417" t="e">
        <f>VLOOKUP(G311,'Space Table'!$B$3:$L$160,9,FALSE)</f>
        <v>#N/A</v>
      </c>
      <c r="CR309" s="1386" t="s">
        <v>283</v>
      </c>
      <c r="CS309" s="1353">
        <f>IF(HW309=TRUE,T310,0)</f>
        <v>0</v>
      </c>
      <c r="CT309" s="1353" t="str">
        <f>IF(HW309=TRUE,U310,"")</f>
        <v/>
      </c>
      <c r="CU309" s="1353"/>
      <c r="CV309" s="1370">
        <f>IF(HW309=TRUE,AB309,0)</f>
        <v>0</v>
      </c>
      <c r="CW309" s="1370">
        <f>IF(HW309=TRUE,AC309,0)</f>
        <v>0</v>
      </c>
      <c r="CX309" s="1370">
        <f>IFERROR(IF(HW309=TRUE,CW309-CW311,0),0)</f>
        <v>0</v>
      </c>
      <c r="CY309" s="1485">
        <f>IF(HW309=TRUE,AD309,0)</f>
        <v>0</v>
      </c>
      <c r="CZ309" s="1485">
        <f>IF(HW309=TRUE,AD312,0)</f>
        <v>0</v>
      </c>
      <c r="DA309" s="1485">
        <f>IFERROR(CY309-CZ309,0)</f>
        <v>0</v>
      </c>
      <c r="DC309" s="1353">
        <f>IF(HW309=TRUE,AE310,0)</f>
        <v>0</v>
      </c>
      <c r="DD309" s="1460">
        <f>IF(__Retrofit_TI_NC=2,IF(CN309="Exterior",O312,FM309),FK309)</f>
        <v>0</v>
      </c>
      <c r="DE309" s="1353"/>
      <c r="DF309" s="1406">
        <f>IFERROR(IF(FL309=3,IK309,IF(FL309=4,IL309,IF(FL309=5,IM309,IF(FL309=6,IN309,IF(FL309=7,IO309,IF(FL309=8,IP309,0)))))),0)</f>
        <v>0</v>
      </c>
      <c r="DG309" s="1370">
        <f>IF(HW309=TRUE,AK309,0)</f>
        <v>0</v>
      </c>
      <c r="DH309" s="1369">
        <f>IFERROR(IF(HW309=TRUE,DG311-DG309,0),0)</f>
        <v>0</v>
      </c>
      <c r="DJ309" s="1483">
        <f>IFERROR(CW309-DG309,0)</f>
        <v>0</v>
      </c>
      <c r="DL309" s="1419">
        <f>DJ309-DK311</f>
        <v>0</v>
      </c>
      <c r="DN309" s="1403" t="str">
        <f>IFERROR(IF(AND(OR(FY309=4,FY309=5,FY309=6),OR(GB309=4,GB309=5,GB309=6)),FY309+8,VLOOKUP(CT311,Fixtures!R$31:Y$78,8,FALSE)),"")</f>
        <v/>
      </c>
      <c r="DO309" s="1404" t="str">
        <f>DN309</f>
        <v/>
      </c>
      <c r="DP309" s="1353" t="str">
        <f>IFERROR(VLOOKUP(DD311,Lookup!AU$3:AV$15,2,FALSE),"")</f>
        <v/>
      </c>
      <c r="DQ309" s="1404" t="str">
        <f>IF(DP309=7,"LLLC","")</f>
        <v/>
      </c>
      <c r="DR309" s="1403">
        <f>IFERROR(IF(OR(DN309=4,DN309=5,DN309=6,DN309=12,DN309=13,DN309=14),VLOOKUP(CT311,Fixtures!DN$27:EG$77,19,FALSE),1)*CS311,0)</f>
        <v>0</v>
      </c>
      <c r="DS309" s="1489">
        <f>IF(DP309=7,IF(DD309=DD311,0,DC311),0)</f>
        <v>0</v>
      </c>
      <c r="DU309" s="1403" t="str">
        <f>IFERROR(IF(EW309&lt;EW311,"Yes","No"),"")</f>
        <v/>
      </c>
      <c r="DV309" s="1404" t="str">
        <f>DU309</f>
        <v/>
      </c>
      <c r="DW309" s="1403">
        <f>IF(DU309="Yes",DC311,0)</f>
        <v>0</v>
      </c>
      <c r="DX309" s="1403">
        <f>DW309-DS309</f>
        <v>0</v>
      </c>
      <c r="DZ309" s="1481">
        <f>IFERROR(VLOOKUP(DN309,Lookup!AN$3:AO$16,2,FALSE),0)</f>
        <v>0</v>
      </c>
      <c r="EA309" s="1481">
        <f>IF(HW309=FALSE,0,IF(DU309="Yes",DZ309+Lookup!B$6,DZ309))</f>
        <v>0</v>
      </c>
      <c r="EC309" s="1482">
        <f>IF(HW309=TRUE,DJ309,0)</f>
        <v>0</v>
      </c>
      <c r="ED309" s="1369">
        <f>IF(HW309=TRUE,CW311,0)</f>
        <v>0</v>
      </c>
      <c r="EE309" s="1370">
        <f>IFERROR(EC309-ED309,0)</f>
        <v>0</v>
      </c>
      <c r="EF309" s="1369">
        <f>IF(HW309=TRUE,DG311,0)</f>
        <v>0</v>
      </c>
      <c r="EG309" s="1369">
        <f>IFERROR(EC309-ED309+EF309,0)</f>
        <v>0</v>
      </c>
      <c r="EH309" s="1373">
        <f>IF(HW309=TRUE,CS311*CU311,0)</f>
        <v>0</v>
      </c>
      <c r="EI309" s="1373">
        <f>IF(HW309=TRUE,DC311*DE311,0)</f>
        <v>0</v>
      </c>
      <c r="EJ309" s="1363">
        <f>AO309</f>
        <v>0</v>
      </c>
      <c r="EK309" s="1376" t="str">
        <f>IFERROR(IF(HW309=TRUE,VLOOKUP(DN309,Lookup!AN$3:AP$16,3,FALSE)*DR309,""),0)</f>
        <v/>
      </c>
      <c r="EL309" s="1376">
        <f>IF(HW309=TRUE,DW309*Lookup!AP$12,0)</f>
        <v>0</v>
      </c>
      <c r="EM309" s="1362">
        <f>IFERROR(IF(HW309=TRUE,EK309/EM$33,0),0)</f>
        <v>0</v>
      </c>
      <c r="EN309" s="1362">
        <f>IF(HW309=TRUE,EL309/EN$33,0)</f>
        <v>0</v>
      </c>
      <c r="EO309" s="1363">
        <f>IF(HW309=TRUE,EQ$33*EM309,0)</f>
        <v>0</v>
      </c>
      <c r="EP309" s="1363">
        <f>IF(HW309=TRUE,EQ$33*EN309,0)</f>
        <v>0</v>
      </c>
      <c r="EQ309" s="1363">
        <f>EO309+EP309</f>
        <v>0</v>
      </c>
      <c r="ES309" s="1403">
        <f>IF(G309="",0,1)</f>
        <v>0</v>
      </c>
      <c r="EU309" s="1410" t="e">
        <f>VLOOKUP(CP311,'Space Table'!$B$3:$L$160,8,FALSE)</f>
        <v>#N/A</v>
      </c>
      <c r="EV309" s="1410" t="e">
        <f>IF(EY309="Yes",VLOOKUP(DD309,Lookup_Control_Type_Table2,4,FALSE),VLOOKUP(DD309,Lookup_Control_Type_Table2,3,FALSE))</f>
        <v>#N/A</v>
      </c>
      <c r="EW309" s="1410" t="e">
        <f>VLOOKUP(DD309,Lookup!AU$3:AV$15,2,FALSE)</f>
        <v>#N/A</v>
      </c>
      <c r="EX309" s="1410" t="e">
        <f>VLOOKUP(EU309,Lookup_Control_Type_Table,2,FALSE)</f>
        <v>#N/A</v>
      </c>
      <c r="EY309" s="1410" t="e">
        <f>VLOOKUP(CP311,'Space Table'!$B$3:$L$160,7,FALSE)</f>
        <v>#N/A</v>
      </c>
      <c r="EZ309" s="1412" t="b">
        <f>ISNUMBER(SEARCH("TLED",U311))</f>
        <v>0</v>
      </c>
      <c r="FB309" s="1365" t="str">
        <f>CONCATENATE(CN309," - ",DD309)</f>
        <v xml:space="preserve"> - 0</v>
      </c>
      <c r="FD309" s="1353" t="str">
        <f>VLOOKUP(CT311,Fixtures!DN$27:EZ$77,38,FALSE)</f>
        <v/>
      </c>
      <c r="FE309" s="1353">
        <f>IFERROR(FD309*EE309,0)</f>
        <v>0</v>
      </c>
      <c r="FF309" s="138"/>
      <c r="FI309" s="1356" t="str">
        <f>IF(CN309="Exterior","Not Daylighted",G312)</f>
        <v>Not Daylighted</v>
      </c>
      <c r="FJ309" s="1356">
        <f>VLOOKUP(FI309,_Daylight_Table_Codes,2,FALSE)</f>
        <v>0</v>
      </c>
      <c r="FK309" s="1365">
        <f>IF(__Retrofit_TI_NC=2,VLOOKUP(G311,'Space Table'!$B$3:$L$160,11,FALSE),AF310)</f>
        <v>0</v>
      </c>
      <c r="FL309" s="1365" t="e">
        <f>VLOOKUP(FK309,_Control_Table,2,FALSE)</f>
        <v>#N/A</v>
      </c>
      <c r="FM309" s="1365" t="e">
        <f>IF(AND(FP309&gt;0,FK309="Occupancy Sensor"),"Daylight + Occupancy",IF(AND(FP309&gt;0,FL309&lt;4),"Interior Daylight Dimming",FK309))</f>
        <v>#N/A</v>
      </c>
      <c r="FO309" s="1364">
        <f>IF(CO309="Interior",VLOOKUP(CP309,Control_Savings_Interior,5,FALSE),0)</f>
        <v>0</v>
      </c>
      <c r="FP309" s="1361">
        <f>IF(CN309="Exterior",0,IF(FJ309=2,0.5,IF(OR(FJ309=1,FJ309=3),1,0)))</f>
        <v>0</v>
      </c>
      <c r="FQ309" s="1366"/>
      <c r="FR309" s="1367"/>
      <c r="FS309" s="1364"/>
      <c r="FT309" s="1367"/>
      <c r="FU309" s="1360"/>
      <c r="FW309" s="1352" t="str">
        <f>IFERROR(VLOOKUP(U310,_Exist_Fixture_Table,3,FALSE),"")</f>
        <v/>
      </c>
      <c r="FX309" s="1352" t="str">
        <f>VLOOKUP(CT309,_Exist_Fixture_Table,4,FALSE)</f>
        <v/>
      </c>
      <c r="FY309" s="1352">
        <f>IFERROR(VLOOKUP(FX309,Lookup!AM$6:AN$8,2,FALSE),0)</f>
        <v>0</v>
      </c>
      <c r="FZ309" s="1352" t="b">
        <f>IFERROR(IF(OR(GB309=4,GB309=5,GB309=6),TRUE,FALSE),"")</f>
        <v>0</v>
      </c>
      <c r="GA309" s="1352" t="str">
        <f>IFERROR(VLOOKUP(GB309,FY$6:FZ$10,2,FALSE),"")</f>
        <v/>
      </c>
      <c r="GB309" s="1352" t="str">
        <f>VLOOKUP(CT311,Fixtures!R$31:Y$78,8,FALSE)</f>
        <v/>
      </c>
      <c r="GC309" s="1352">
        <f>IF(AND(FW309=TRUE,FZ309=TRUE,OR(DN309=12,DN309=13,DN309=14)),FY309+8,0)</f>
        <v>0</v>
      </c>
      <c r="GD309" s="1352" t="b">
        <f>IF(OR(GC309=12,GC309=13,GC309=14),TRUE,FALSE)</f>
        <v>0</v>
      </c>
      <c r="GE309" s="759" t="b">
        <f>IF(ISNUMBER(SEARCH("TLED",U310)),TRUE,FALSE)</f>
        <v>0</v>
      </c>
      <c r="GF309" s="1035" t="str">
        <f>IFERROR(VLOOKUP(U310,Fixtures!BM$93:BR$142,6,FALSE),"")</f>
        <v/>
      </c>
      <c r="GG309" s="1385" t="b">
        <f>IF(OR(GE309=FALSE,GE311=FALSE),TRUE,IF(GF309-GF311&lt;5,FALSE,TRUE))</f>
        <v>1</v>
      </c>
      <c r="GK309" s="1034">
        <f>GL309</f>
        <v>0</v>
      </c>
      <c r="GL309" s="1034">
        <f>IF(G309="",0,1)</f>
        <v>0</v>
      </c>
      <c r="GM309" s="1034">
        <f>SUM(GN309:HB309)</f>
        <v>2</v>
      </c>
      <c r="GN309" s="1034">
        <f>IF(G310="",0,1)</f>
        <v>0</v>
      </c>
      <c r="GO309" s="1034">
        <f>IF(G311="",0,1)</f>
        <v>0</v>
      </c>
      <c r="GP309" s="1034">
        <f>IF(R310="",0,1)</f>
        <v>0</v>
      </c>
      <c r="GQ309" s="1034">
        <f>IF(__Retrofit_TI_NC=0,1,IF(R311="",0,1))</f>
        <v>1</v>
      </c>
      <c r="GR309" s="1034">
        <f>IF(CN309="Exterior",1,IF(G312="",0,1))</f>
        <v>1</v>
      </c>
      <c r="GS309" s="1034">
        <f>IF(__Retrofit_TI_NC&lt;&gt;0,1,IF(T310="",0,1))</f>
        <v>0</v>
      </c>
      <c r="GT309" s="1034">
        <f>IF(__Retrofit_TI_NC&lt;&gt;0,1,IF(U310="",0,1))</f>
        <v>0</v>
      </c>
      <c r="GU309" s="1034">
        <f>IF(T311="",0,1)</f>
        <v>0</v>
      </c>
      <c r="GV309" s="1034">
        <f>IF(U311="",0,1)</f>
        <v>0</v>
      </c>
      <c r="GW309" s="1034">
        <f>IF(__Retrofit_TI_NC=2,1,IF(U312="",0,1))</f>
        <v>0</v>
      </c>
      <c r="GX309" s="1034">
        <f>IF(__Retrofit_TI_NC&lt;&gt;0,1,IF(AE310="",0,1))</f>
        <v>0</v>
      </c>
      <c r="GY309" s="1034">
        <f>IF(__Retrofit_TI_NC&lt;&gt;0,1,IF(AF310="",0,1))</f>
        <v>0</v>
      </c>
      <c r="GZ309" s="1034">
        <f>IF(AE311="",0,1)</f>
        <v>0</v>
      </c>
      <c r="HA309" s="1034">
        <f>IF(AF311="",0,1)</f>
        <v>0</v>
      </c>
      <c r="HB309" s="1034">
        <f>IF(__Retrofit_TI_NC=2,1,IF(AF312="",0,1))</f>
        <v>0</v>
      </c>
      <c r="HV309" s="436"/>
      <c r="HW309" s="1384" t="b">
        <f>IF(OR(HW312=0,HW312=HT$16,HW312=HS$16,HW312=HU$16),TRUE,FALSE)</f>
        <v>0</v>
      </c>
      <c r="HX309" s="1377" t="b">
        <f>HW309</f>
        <v>0</v>
      </c>
      <c r="HY309" s="436"/>
      <c r="HZ309" s="436"/>
      <c r="IA309" s="1386" t="b">
        <f>IF(MAX(GJ312:HP312)&gt;5,FALSE,TRUE)</f>
        <v>0</v>
      </c>
      <c r="IB309" s="1380">
        <f>IF(IA309=TRUE,AC309,0)</f>
        <v>0</v>
      </c>
      <c r="IC309" s="1380">
        <f>IB309-IB311</f>
        <v>0</v>
      </c>
      <c r="IF309" s="1380" t="e">
        <f>ROUND(T310*VLOOKUP(U310,Fixtures_Existing_List,2,FALSE)*N310*R310/1000,0)</f>
        <v>#N/A</v>
      </c>
      <c r="IG309" s="1381" t="e">
        <f>IF309-IF311</f>
        <v>#N/A</v>
      </c>
      <c r="IH309" s="1384" t="e">
        <f>ROUND(IF(CN309="Interior",N311*R311*R310*N310*_C406_reduction/1000,N311*R311*R310*N310/1000),0)</f>
        <v>#N/A</v>
      </c>
      <c r="II309" s="1384" t="e">
        <f>IH309-IH311</f>
        <v>#N/A</v>
      </c>
      <c r="IK309" s="1351" t="e">
        <f>IF($CO309="interior",IL309/2,VLOOKUP($CP309,Control_Savings_Exterior,IK$30,FALSE))</f>
        <v>#N/A</v>
      </c>
      <c r="IL309" s="1351" t="e">
        <f>IF($CO309="interior",VLOOKUP($CP309,Control_Savings_Interior,IL$30,FALSE),VLOOKUP($CP309,Control_Savings_Exterior,IL$30,FALSE))</f>
        <v>#N/A</v>
      </c>
      <c r="IM309" s="1351" t="e">
        <f>IF($CO309="interior",IF(R310&gt;FO$37,(IM$28*(FO$37/R310)),IM$28)*FP309,VLOOKUP($CP309,Control_Savings_Exterior,IM$30,FALSE))</f>
        <v>#N/A</v>
      </c>
      <c r="IN309" s="1351" t="e">
        <f>IF($CO309="interior",ROUND(((1-IL309)*IM309)+IL309,2),VLOOKUP($CP309,Control_Savings_Exterior,IN$30,FALSE))</f>
        <v>#N/A</v>
      </c>
      <c r="IO309" s="1351" t="e">
        <f>IF($CO309="interior", ROUND(((1-IL309)*(IM309*(1-IP$28)))+IP309,2), VLOOKUP($CP309,Control_Savings_Exterior,IO$30,FALSE))</f>
        <v>#N/A</v>
      </c>
      <c r="IP309" s="1351">
        <f>IF($CO309="interior",ROUND(((1-IL309)*IP$28)+IL309,2),0)</f>
        <v>0</v>
      </c>
    </row>
    <row r="310" spans="1:250" s="82" customFormat="1" ht="14.95" customHeight="1" thickTop="1" thickBot="1">
      <c r="B310" s="1421"/>
      <c r="C310" s="1422"/>
      <c r="D310" s="1423"/>
      <c r="E310" s="1393" t="s">
        <v>244</v>
      </c>
      <c r="F310" s="1394"/>
      <c r="G310" s="1395"/>
      <c r="H310" s="1395"/>
      <c r="I310" s="1395"/>
      <c r="J310" s="1395"/>
      <c r="K310" s="1395"/>
      <c r="L310" s="1395"/>
      <c r="M310" s="509" t="e">
        <f>IF(__Retrofit_TI_NC&lt;&gt;0,IF(VLOOKUP(G311,'Space Table'!$B$3:$L$160,3,FALSE)&gt;0,1,0),IF(__Retrofit_TI_NC=VLOOKUP(G311,'Space Table'!$B$3:$L$160,3,FALSE),1,0))</f>
        <v>#N/A</v>
      </c>
      <c r="N310" s="509" t="str">
        <f>IFERROR(VLOOKUP(G310,_Lookup_Heat_Type_Table_New,2,FALSE),"")</f>
        <v/>
      </c>
      <c r="O310" s="509">
        <f>IF(__Retrofit_TI_NC=1,CONCATENATE("TI ",G310),IF(__Retrofit_TI_NC=2,CONCATENATE("NC ",G310),G310))</f>
        <v>0</v>
      </c>
      <c r="P310" s="1396" t="s">
        <v>352</v>
      </c>
      <c r="Q310" s="1396"/>
      <c r="R310" s="673"/>
      <c r="S310" s="1429"/>
      <c r="T310" s="675"/>
      <c r="U310" s="1496"/>
      <c r="V310" s="1497"/>
      <c r="W310" s="1497"/>
      <c r="X310" s="1497"/>
      <c r="Y310" s="1497"/>
      <c r="Z310" s="1497"/>
      <c r="AA310" s="1497"/>
      <c r="AB310" s="1497"/>
      <c r="AC310" s="1497"/>
      <c r="AD310" s="1498"/>
      <c r="AE310" s="675"/>
      <c r="AF310" s="1397"/>
      <c r="AG310" s="1397"/>
      <c r="AH310" s="1397"/>
      <c r="AI310" s="1397"/>
      <c r="AJ310" s="1434"/>
      <c r="AK310" s="1436"/>
      <c r="AL310" s="1438"/>
      <c r="AM310" s="1441"/>
      <c r="AN310" s="1442"/>
      <c r="AO310" s="1447"/>
      <c r="AP310" s="1447"/>
      <c r="AQ310" s="1448"/>
      <c r="AR310" s="1452"/>
      <c r="AS310" s="1455"/>
      <c r="AT310" s="1458"/>
      <c r="AU310" s="516"/>
      <c r="AV310" s="1479"/>
      <c r="AW310" s="1479"/>
      <c r="BC310" s="38"/>
      <c r="BD310" s="38"/>
      <c r="BE310" s="38"/>
      <c r="BF310" s="38"/>
      <c r="BG310" s="38"/>
      <c r="BH310" s="38"/>
      <c r="BI310" s="38"/>
      <c r="BJ310" s="38"/>
      <c r="BK310" s="38"/>
      <c r="BL310" s="38"/>
      <c r="BM310" s="38"/>
      <c r="BN310" s="38"/>
      <c r="BO310" s="38"/>
      <c r="BP310" s="38"/>
      <c r="BQ310" s="38"/>
      <c r="BR310" s="38"/>
      <c r="BS310" s="38"/>
      <c r="BT310" s="38"/>
      <c r="BU310" s="38"/>
      <c r="BV310" s="38"/>
      <c r="BW310" s="38"/>
      <c r="BX310" s="38"/>
      <c r="BY310" s="38"/>
      <c r="BZ310" s="38"/>
      <c r="CA310" s="38"/>
      <c r="CB310" s="38"/>
      <c r="CC310" s="38"/>
      <c r="CD310" s="38"/>
      <c r="CE310" s="38"/>
      <c r="CF310" s="38"/>
      <c r="CG310" s="38"/>
      <c r="CH310" s="38"/>
      <c r="CI310" s="38"/>
      <c r="CM310" s="1352"/>
      <c r="CN310" s="1352"/>
      <c r="CO310" s="1416"/>
      <c r="CP310" s="1418"/>
      <c r="CR310" s="1386"/>
      <c r="CS310" s="1355"/>
      <c r="CT310" s="1355"/>
      <c r="CU310" s="1355"/>
      <c r="CV310" s="1372"/>
      <c r="CW310" s="1372"/>
      <c r="CX310" s="1371"/>
      <c r="CY310" s="1486"/>
      <c r="CZ310" s="1486"/>
      <c r="DA310" s="1486"/>
      <c r="DC310" s="1355"/>
      <c r="DD310" s="1461"/>
      <c r="DE310" s="1355"/>
      <c r="DF310" s="1407"/>
      <c r="DG310" s="1372"/>
      <c r="DH310" s="1369"/>
      <c r="DJ310" s="1484"/>
      <c r="DL310" s="1419"/>
      <c r="DN310" s="1403"/>
      <c r="DO310" s="1405"/>
      <c r="DP310" s="1354"/>
      <c r="DQ310" s="1405"/>
      <c r="DR310" s="1403"/>
      <c r="DS310" s="1489"/>
      <c r="DU310" s="1403"/>
      <c r="DV310" s="1405"/>
      <c r="DW310" s="1403"/>
      <c r="DX310" s="1403"/>
      <c r="DZ310" s="1481"/>
      <c r="EA310" s="1481"/>
      <c r="EC310" s="1482"/>
      <c r="ED310" s="1369"/>
      <c r="EE310" s="1371"/>
      <c r="EF310" s="1369"/>
      <c r="EG310" s="1369"/>
      <c r="EH310" s="1374"/>
      <c r="EI310" s="1374"/>
      <c r="EJ310" s="1363"/>
      <c r="EK310" s="1376"/>
      <c r="EL310" s="1376"/>
      <c r="EM310" s="1362"/>
      <c r="EN310" s="1362"/>
      <c r="EO310" s="1363"/>
      <c r="EP310" s="1363"/>
      <c r="EQ310" s="1363"/>
      <c r="ES310" s="1403"/>
      <c r="EU310" s="1411"/>
      <c r="EV310" s="1411"/>
      <c r="EW310" s="1411"/>
      <c r="EX310" s="1411"/>
      <c r="EY310" s="1411"/>
      <c r="EZ310" s="1413"/>
      <c r="FB310" s="1365"/>
      <c r="FD310" s="1354"/>
      <c r="FE310" s="1354"/>
      <c r="FF310" s="138"/>
      <c r="FI310" s="1357"/>
      <c r="FJ310" s="1357"/>
      <c r="FK310" s="1365"/>
      <c r="FL310" s="1365"/>
      <c r="FM310" s="1365"/>
      <c r="FO310" s="1361"/>
      <c r="FP310" s="1361"/>
      <c r="FQ310" s="1366"/>
      <c r="FR310" s="1368"/>
      <c r="FS310" s="1361"/>
      <c r="FT310" s="1368"/>
      <c r="FU310" s="1360"/>
      <c r="FW310" s="1352"/>
      <c r="FX310" s="1352"/>
      <c r="FY310" s="1352"/>
      <c r="FZ310" s="1352"/>
      <c r="GA310" s="1352"/>
      <c r="GB310" s="1352"/>
      <c r="GC310" s="1352"/>
      <c r="GD310" s="1352"/>
      <c r="GE310" s="759"/>
      <c r="GF310" s="1035"/>
      <c r="GG310" s="1385"/>
      <c r="GI310" s="1384" t="b">
        <f>IF(AND(GL310=TRUE,GM310=TRUE),TRUE,FALSE)</f>
        <v>0</v>
      </c>
      <c r="GJ310" s="1379" t="b">
        <f>IFERROR(IF(__Retrofit_TI_NC=2,TRUE,IF(AR309="Yes",TRUE,FALSE)),FALSE)</f>
        <v>1</v>
      </c>
      <c r="GL310" s="1379" t="b">
        <f>IFERROR(IF(GL309=1,TRUE,FALSE),FALSE)</f>
        <v>0</v>
      </c>
      <c r="GM310" s="1379" t="b">
        <f>IFERROR(IF(GM309=GM$14,TRUE,FALSE),FALSE)</f>
        <v>0</v>
      </c>
      <c r="HC310" s="1379" t="b">
        <f>IFERROR(IF(M310=1,TRUE,FALSE),FALSE)</f>
        <v>0</v>
      </c>
      <c r="HD310" s="1379" t="b">
        <f>IFERROR(IF(M311=1,TRUE,FALSE),FALSE)</f>
        <v>0</v>
      </c>
      <c r="HE310" s="1379" t="b">
        <f>IFERROR(IF(__Retrofit_TI_NC&lt;&gt;0,TRUE,IFERROR(IF(VLOOKUP(U310,Fixtures_Existing_List,2,FALSE)&lt;&gt;"",TRUE,FALSE),FALSE)),FALSE)</f>
        <v>0</v>
      </c>
      <c r="HF310" s="1379" t="b">
        <f>IFERROR(IF(VLOOKUP(U311,Fixtures_Proposed_List,2,FALSE)&lt;&gt;"",TRUE,FALSE),FALSE)</f>
        <v>0</v>
      </c>
      <c r="HG310" s="1379" t="b">
        <f>IF(AND(__Retrofit_TI_NC=2,EZ309=TRUE),FALSE,TRUE)</f>
        <v>1</v>
      </c>
      <c r="HH310" s="1379" t="b">
        <f>GG309</f>
        <v>1</v>
      </c>
      <c r="HI310" s="1384" t="b">
        <f>IF(ISERROR(MATCH(FB309,_Control_Match[],0))=TRUE,FALSE,TRUE)</f>
        <v>0</v>
      </c>
      <c r="HJ310" s="1384" t="b">
        <f>IFERROR(IF(EU309&lt;&gt;EV309,FALSE,TRUE),FALSE)</f>
        <v>0</v>
      </c>
      <c r="HK310" s="1384" t="b">
        <f>IFERROR(IF(EU311&lt;&gt;EV311,FALSE,TRUE),FALSE)</f>
        <v>0</v>
      </c>
      <c r="HL310" s="1379" t="b">
        <f>IFERROR(IF(CN309="Exterior",TRUE,IF(OR(AND(FJ309=0,EW311&gt;4),AND(FJ309=4,EW311&gt;4,EW311&lt;7)),FALSE,TRUE)),FALSE)</f>
        <v>0</v>
      </c>
      <c r="HM310" s="1379" t="b">
        <f>IFERROR(IF(AND(FL311=7,EZ309=TRUE),FALSE,TRUE),FALSE)</f>
        <v>0</v>
      </c>
      <c r="HN310" s="1379" t="b">
        <f>IFERROR(IF(AND(T311&lt;&gt;AE311,AF311="Interior LLLC")=TRUE,FALSE,TRUE),FALSE)</f>
        <v>1</v>
      </c>
      <c r="HO310" s="1379" t="b">
        <f>IFERROR(IF(OR(AF311=Lookup!AU$13,AF311=Lookup!AU$14)=TRUE,IF(AE311&gt;T311,FALSE,TRUE),TRUE),FALSE)</f>
        <v>1</v>
      </c>
      <c r="HP310" s="1379" t="b">
        <f>IFERROR(IF(__Retrofit_TI_NC=2,IF(EW311&lt;EW309,FALSE,TRUE),TRUE),FALSE)</f>
        <v>1</v>
      </c>
      <c r="HQ310" s="1379" t="b">
        <f>IF(CN309="Interior",IG$6,TRUE)</f>
        <v>1</v>
      </c>
      <c r="HR310" s="1379" t="b">
        <f>IF(CN309="Exterior",IG$8,TRUE)</f>
        <v>1</v>
      </c>
      <c r="HS310" s="1379" t="b">
        <f>IFERROR(IF(__Retrofit_TI_NC&lt;&gt;0,IF(AW309&lt;AV309,FALSE,TRUE),TRUE),FALSE)</f>
        <v>1</v>
      </c>
      <c r="HT310" s="1379" t="b">
        <f>IFERROR(IF(AND(G310="Exterior",R310&gt;4200),FALSE,TRUE),FALSE)</f>
        <v>1</v>
      </c>
      <c r="HU310" s="1379" t="b">
        <f>IFERROR(IF(AB312/AB309&lt;HU$18,FALSE,TRUE),FALSE)</f>
        <v>0</v>
      </c>
      <c r="HW310" s="1382"/>
      <c r="HX310" s="1378"/>
      <c r="HY310" s="1377" t="str">
        <f>VLOOKUP(HW312,_Error_Table,4,FALSE)</f>
        <v>White</v>
      </c>
      <c r="HZ310" s="436"/>
      <c r="IA310" s="1386"/>
      <c r="IB310" s="1380"/>
      <c r="IC310" s="1379"/>
      <c r="IF310" s="1380"/>
      <c r="IG310" s="1382"/>
      <c r="IH310" s="1382"/>
      <c r="II310" s="1382"/>
      <c r="IK310" s="1351"/>
      <c r="IL310" s="1351"/>
      <c r="IM310" s="1351"/>
      <c r="IN310" s="1351"/>
      <c r="IO310" s="1351"/>
      <c r="IP310" s="1351"/>
    </row>
    <row r="311" spans="1:250" s="82" customFormat="1" ht="14.95" customHeight="1" thickTop="1" thickBot="1">
      <c r="A311" s="82">
        <f>ROW()</f>
        <v>311</v>
      </c>
      <c r="B311" s="1421"/>
      <c r="C311" s="1422"/>
      <c r="D311" s="1423"/>
      <c r="E311" s="1393" t="s">
        <v>245</v>
      </c>
      <c r="F311" s="1394"/>
      <c r="G311" s="1398"/>
      <c r="H311" s="1399"/>
      <c r="I311" s="1399"/>
      <c r="J311" s="1399"/>
      <c r="K311" s="1399"/>
      <c r="L311" s="1400"/>
      <c r="M311" s="509">
        <f>IFERROR(IF(IF(__Retrofit_TI_NC&lt;&gt;0,IF(CN309="Interior",MATCH(G311,Lookup_Interior_New,0),MATCH(G311,Lookup_Exterior_New,0)),IF(CN309="Interior",MATCH(G311,Lookup_Interior,0),MATCH(G311,Lookup_Exterior_Areas,0)))&gt;0,1,0),0)</f>
        <v>0</v>
      </c>
      <c r="N311" s="509" t="e">
        <f>IF(__Retrofit_TI_NC=1,
VLOOKUP(G311,'Space Table'!$B$3:$L$160,4,FALSE),
IF(__Retrofit_TI_NC=2,VLOOKUP(G311,'Space Table'!$B$3:$L$160,5,FALSE),VLOOKUP(G311,'Space Table'!$B$3:$L$160,5,FALSE)))</f>
        <v>#N/A</v>
      </c>
      <c r="O311" s="509">
        <f>G311</f>
        <v>0</v>
      </c>
      <c r="P311" s="1394" t="s">
        <v>355</v>
      </c>
      <c r="Q311" s="1394"/>
      <c r="R311" s="674"/>
      <c r="S311" s="1401" t="s">
        <v>284</v>
      </c>
      <c r="T311" s="672"/>
      <c r="U311" s="1499"/>
      <c r="V311" s="1500"/>
      <c r="W311" s="1500"/>
      <c r="X311" s="1500"/>
      <c r="Y311" s="1500"/>
      <c r="Z311" s="1500"/>
      <c r="AA311" s="1500"/>
      <c r="AB311" s="1501"/>
      <c r="AC311" s="1501"/>
      <c r="AD311" s="1502"/>
      <c r="AE311" s="672"/>
      <c r="AF311" s="1474"/>
      <c r="AG311" s="1474"/>
      <c r="AH311" s="1474"/>
      <c r="AI311" s="1474"/>
      <c r="AJ311" s="1475">
        <f>DF311</f>
        <v>0</v>
      </c>
      <c r="AK311" s="1470" t="str">
        <f>IFERROR(ROUND(AJ311*AC312,0),"")</f>
        <v/>
      </c>
      <c r="AL311" s="1472">
        <f>IFERROR(IF(HW309=FALSE,0,AC312-AK311),0)</f>
        <v>0</v>
      </c>
      <c r="AM311" s="1441"/>
      <c r="AN311" s="1442"/>
      <c r="AO311" s="1447"/>
      <c r="AP311" s="1447"/>
      <c r="AQ311" s="1448"/>
      <c r="AR311" s="1452"/>
      <c r="AS311" s="1455"/>
      <c r="AT311" s="1458"/>
      <c r="AU311" s="516"/>
      <c r="AV311" s="1479"/>
      <c r="AW311" s="1479"/>
      <c r="BC311" s="38"/>
      <c r="BD311" s="38"/>
      <c r="BE311" s="38"/>
      <c r="BF311" s="38"/>
      <c r="BG311" s="38"/>
      <c r="BH311" s="38"/>
      <c r="BI311" s="38"/>
      <c r="BJ311" s="38"/>
      <c r="BK311" s="38"/>
      <c r="BL311" s="38"/>
      <c r="BM311" s="38"/>
      <c r="BN311" s="38"/>
      <c r="BO311" s="38"/>
      <c r="BP311" s="38"/>
      <c r="BQ311" s="38"/>
      <c r="BR311" s="38"/>
      <c r="BS311" s="38"/>
      <c r="BT311" s="38"/>
      <c r="BU311" s="38"/>
      <c r="BV311" s="38"/>
      <c r="BW311" s="38"/>
      <c r="BX311" s="38"/>
      <c r="BY311" s="38"/>
      <c r="BZ311" s="38"/>
      <c r="CA311" s="38"/>
      <c r="CB311" s="38"/>
      <c r="CC311" s="38"/>
      <c r="CD311" s="38"/>
      <c r="CE311" s="38"/>
      <c r="CF311" s="38"/>
      <c r="CG311" s="38"/>
      <c r="CH311" s="38"/>
      <c r="CI311" s="38"/>
      <c r="CM311" s="1352"/>
      <c r="CN311" s="1352"/>
      <c r="CO311" s="1415" t="str">
        <f>CN309</f>
        <v/>
      </c>
      <c r="CP311" s="1417" t="e">
        <f>CP309</f>
        <v>#N/A</v>
      </c>
      <c r="CR311" s="1386" t="s">
        <v>284</v>
      </c>
      <c r="CS311" s="1353">
        <f>IF(HW309=TRUE,T311,0)</f>
        <v>0</v>
      </c>
      <c r="CT311" s="1353" t="str">
        <f>IF(HW309=TRUE,U311,"")</f>
        <v/>
      </c>
      <c r="CU311" s="1373">
        <f>IF(HW309=TRUE,U312,0)</f>
        <v>0</v>
      </c>
      <c r="CV311" s="1370">
        <f>IF(HW309=TRUE,AB312,0)</f>
        <v>0</v>
      </c>
      <c r="CW311" s="1370">
        <f>IF(HW309=TRUE,AC312,0)</f>
        <v>0</v>
      </c>
      <c r="CX311" s="1371"/>
      <c r="CY311" s="1486"/>
      <c r="CZ311" s="1486"/>
      <c r="DA311" s="1486"/>
      <c r="DC311" s="1353">
        <f>IF(HW309=TRUE,AE311,0)</f>
        <v>0</v>
      </c>
      <c r="DD311" s="1353" t="str">
        <f>IF(HW309=TRUE,AF311,"")</f>
        <v/>
      </c>
      <c r="DE311" s="1373">
        <f>AF312</f>
        <v>0</v>
      </c>
      <c r="DF311" s="1406">
        <f>IFERROR(IF(FL311=3,IK311,IF(FL311=4,IL311,IF(FL311=5,IM311,IF(FL311=6,IN311,IF(FL311=7,IO311,IF(FL311=8,IP311,0)))))),0)</f>
        <v>0</v>
      </c>
      <c r="DG311" s="1370">
        <f>IF(HW309=TRUE,AK311,0)</f>
        <v>0</v>
      </c>
      <c r="DH311" s="1369"/>
      <c r="DK311" s="1483">
        <f>IFERROR(CW311-DG311,0)</f>
        <v>0</v>
      </c>
      <c r="DL311" s="1420"/>
      <c r="DN311" s="1403"/>
      <c r="DO311" s="1477" t="str">
        <f>DN309</f>
        <v/>
      </c>
      <c r="DP311" s="1354"/>
      <c r="DQ311" s="1477" t="str">
        <f>IF(DP309=7,"LLLC","")</f>
        <v/>
      </c>
      <c r="DR311" s="1403"/>
      <c r="DS311" s="1489"/>
      <c r="DU311" s="1403"/>
      <c r="DV311" s="1404" t="str">
        <f>DU309</f>
        <v/>
      </c>
      <c r="DW311" s="1403"/>
      <c r="DX311" s="1403"/>
      <c r="DZ311" s="1481"/>
      <c r="EA311" s="1481"/>
      <c r="EC311" s="1482"/>
      <c r="ED311" s="1369"/>
      <c r="EE311" s="1371"/>
      <c r="EF311" s="1369"/>
      <c r="EG311" s="1369"/>
      <c r="EH311" s="1374"/>
      <c r="EI311" s="1374"/>
      <c r="EJ311" s="1363"/>
      <c r="EK311" s="1376"/>
      <c r="EL311" s="1376"/>
      <c r="EM311" s="1362"/>
      <c r="EN311" s="1362"/>
      <c r="EO311" s="1363"/>
      <c r="EP311" s="1363"/>
      <c r="EQ311" s="1363"/>
      <c r="ES311" s="1403"/>
      <c r="EU311" s="1411" t="e">
        <f>VLOOKUP(CP311,'Space Table'!$B$3:$L$160,8,FALSE)</f>
        <v>#N/A</v>
      </c>
      <c r="EV311" s="1411" t="e">
        <f>IF(EY311="Yes",VLOOKUP(AF311,Lookup_Control_Type_Table2,4,FALSE),VLOOKUP(AF311,Lookup_Control_Type_Table2,3,FALSE))</f>
        <v>#N/A</v>
      </c>
      <c r="EW311" s="1411" t="e">
        <f>VLOOKUP(AF311,Lookup!AU$3:AV$15,2,FALSE)</f>
        <v>#N/A</v>
      </c>
      <c r="EX311" s="1411" t="e">
        <f>VLOOKUP(EU309,Lookup_Control_Type_Table,2,FALSE)</f>
        <v>#N/A</v>
      </c>
      <c r="EY311" s="1411" t="e">
        <f>VLOOKUP(CP311,'Space Table'!$B$3:$L$160,7,FALSE)</f>
        <v>#N/A</v>
      </c>
      <c r="EZ311" s="1413"/>
      <c r="FB311" s="1365" t="str">
        <f>CONCATENATE(CN309," - ",AF311)</f>
        <v xml:space="preserve"> - </v>
      </c>
      <c r="FD311" s="1354"/>
      <c r="FE311" s="1354"/>
      <c r="FF311" s="138"/>
      <c r="FI311" s="1356" t="str">
        <f>IF(CN309="Exterior","Not Daylighted",G312)</f>
        <v>Not Daylighted</v>
      </c>
      <c r="FJ311" s="1356">
        <f>VLOOKUP(FI311,_Daylight_Table_Codes,2,FALSE)</f>
        <v>0</v>
      </c>
      <c r="FK311" s="1365">
        <f>AF311</f>
        <v>0</v>
      </c>
      <c r="FL311" s="1365" t="e">
        <f>VLOOKUP(FK311,_Control_Table,2,FALSE)</f>
        <v>#N/A</v>
      </c>
      <c r="FM311" s="1365" t="e">
        <f>IF(AND(FP311&gt;0,FK311="Occupancy Sensor"),"Daylight + Occupancy",IF(AND(FP311&gt;0,FL311&lt;4),"Interior Daylight Dimming",FK311))</f>
        <v>#N/A</v>
      </c>
      <c r="FO311" s="1364">
        <f>IF(CN309="Interior",VLOOKUP(CP309,Control_Savings_Interior,5,FALSE),0)</f>
        <v>0</v>
      </c>
      <c r="FP311" s="1361">
        <f>IF(CN311="Exterior",0,IF(FJ311=2,0.5,IF(OR(FJ311=1,FJ311=3),1,0)))</f>
        <v>0</v>
      </c>
      <c r="FQ311" s="1366">
        <f>IF(R310&gt;FO$37,(FO311*(FO$37/R310)),FO311)*FP311</f>
        <v>0</v>
      </c>
      <c r="FR311" s="1364">
        <f>DF311</f>
        <v>0</v>
      </c>
      <c r="FS311" s="1364">
        <f>ROUND(FR311+((1-FR311)*FQ311),2)</f>
        <v>0</v>
      </c>
      <c r="FT311" s="1364">
        <f>IF(__Retrofit_TI_NC=2,FS311,FR311)</f>
        <v>0</v>
      </c>
      <c r="FU311" s="1360">
        <f>IF(CO311="Interior",VLOOKUP(CP311,Control_Savings_Interior,4,FALSE),0)</f>
        <v>0</v>
      </c>
      <c r="FW311" s="1352"/>
      <c r="FX311" s="1352"/>
      <c r="FY311" s="1352"/>
      <c r="FZ311" s="1352"/>
      <c r="GA311" s="1352"/>
      <c r="GB311" s="1352"/>
      <c r="GC311" s="1352"/>
      <c r="GD311" s="1352"/>
      <c r="GE311" s="759" t="b">
        <f>IF(ISNUMBER(SEARCH("TLED",U311)),TRUE,FALSE)</f>
        <v>0</v>
      </c>
      <c r="GF311" s="1035" t="str">
        <f>IFERROR(VLOOKUP(U311,Fixtures!DM$93:DR$142,6,FALSE),"")</f>
        <v/>
      </c>
      <c r="GG311" s="1385"/>
      <c r="GI311" s="1383"/>
      <c r="GJ311" s="1379"/>
      <c r="GL311" s="1379"/>
      <c r="GM311" s="1379"/>
      <c r="HC311" s="1379"/>
      <c r="HD311" s="1379"/>
      <c r="HE311" s="1379"/>
      <c r="HF311" s="1379"/>
      <c r="HG311" s="1379"/>
      <c r="HH311" s="1379"/>
      <c r="HI311" s="1383"/>
      <c r="HJ311" s="1383"/>
      <c r="HK311" s="1383"/>
      <c r="HL311" s="1379"/>
      <c r="HM311" s="1379"/>
      <c r="HN311" s="1379"/>
      <c r="HO311" s="1379"/>
      <c r="HP311" s="1379"/>
      <c r="HQ311" s="1379"/>
      <c r="HR311" s="1379"/>
      <c r="HS311" s="1379"/>
      <c r="HT311" s="1379"/>
      <c r="HU311" s="1379"/>
      <c r="HW311" s="1383"/>
      <c r="HX311" s="1384" t="b">
        <f>HW309</f>
        <v>0</v>
      </c>
      <c r="HY311" s="1378"/>
      <c r="HZ311" s="436"/>
      <c r="IA311" s="1386"/>
      <c r="IB311" s="1380">
        <f>IF(IA309=TRUE,AC312,0)</f>
        <v>0</v>
      </c>
      <c r="IC311" s="1379"/>
      <c r="IF311" s="1380" t="e">
        <f>ROUND(T311*AB312*N310*R310/1000,0)</f>
        <v>#VALUE!</v>
      </c>
      <c r="IG311" s="1382"/>
      <c r="IH311" s="1384" t="e">
        <f>ROUND(T311*AB312*N310*R310/1000,0)</f>
        <v>#VALUE!</v>
      </c>
      <c r="II311" s="1382"/>
      <c r="IK311" s="1351" t="e">
        <f>IF($CO311="interior",IL311/2,VLOOKUP($CP311,Control_Savings_Exterior,IK$30,FALSE))</f>
        <v>#N/A</v>
      </c>
      <c r="IL311" s="1351" t="e">
        <f>IF($CO311="interior",VLOOKUP($CP311,Control_Savings_Interior,IL$30,FALSE),VLOOKUP($CP311,Control_Savings_Exterior,IL$30,FALSE))</f>
        <v>#N/A</v>
      </c>
      <c r="IM311" s="1351" t="e">
        <f>IF($CO311="interior",IF(R310&gt;FO$37,(IM$28*(FO$37/R310)),IM$28)*FP311,VLOOKUP($CP311,Control_Savings_Exterior,IM$30,FALSE))</f>
        <v>#N/A</v>
      </c>
      <c r="IN311" s="1351" t="e">
        <f>IF($CO311="interior",ROUND(((1-IL311)*IM311)+IL311,2),VLOOKUP($CP311,Control_Savings_Exterior,IN$30,FALSE))</f>
        <v>#N/A</v>
      </c>
      <c r="IO311" s="1351" t="e">
        <f>IF($CO311="interior", ROUND(((1-IL311)*(IM311*(1-IP$28)))+IP311,2), VLOOKUP($CP311,Control_Savings_Exterior,IO$30,FALSE))</f>
        <v>#N/A</v>
      </c>
      <c r="IP311" s="1351">
        <f>IF($CO311="interior",ROUND(((1-IL311)*IP$28)+IL311,2),0)</f>
        <v>0</v>
      </c>
    </row>
    <row r="312" spans="1:250" s="82" customFormat="1" ht="14.95" customHeight="1" thickTop="1" thickBot="1">
      <c r="B312" s="1421"/>
      <c r="C312" s="1422"/>
      <c r="D312" s="1423"/>
      <c r="E312" s="1462" t="s">
        <v>357</v>
      </c>
      <c r="F312" s="1463"/>
      <c r="G312" s="1464" t="s">
        <v>362</v>
      </c>
      <c r="H312" s="1465"/>
      <c r="I312" s="1465"/>
      <c r="J312" s="1465"/>
      <c r="K312" s="1465"/>
      <c r="L312" s="1466"/>
      <c r="M312" s="669">
        <f>IFERROR(VLOOKUP(G312,_Daylight_Table[],2,FALSE),0)</f>
        <v>0</v>
      </c>
      <c r="N312" s="670"/>
      <c r="O312" s="669" t="e">
        <f>VLOOKUP(G311,'Space Table'!$B$3:$L$160,11,FALSE)</f>
        <v>#N/A</v>
      </c>
      <c r="P312" s="1408"/>
      <c r="Q312" s="1409"/>
      <c r="R312" s="1409"/>
      <c r="S312" s="1402"/>
      <c r="T312" s="671" t="s">
        <v>281</v>
      </c>
      <c r="U312" s="1467" t="str">
        <f>IFERROR(VLOOKUP(U311,Fixtures!DM$93:DP$142,4,FALSE),"")</f>
        <v/>
      </c>
      <c r="V312" s="1468"/>
      <c r="W312" s="1468"/>
      <c r="X312" s="1468"/>
      <c r="Y312" s="1468"/>
      <c r="Z312" s="1468"/>
      <c r="AA312" s="1468"/>
      <c r="AB312" s="1046" t="str">
        <f>IFERROR(VLOOKUP(U311,Fixtures_Proposed_List,2,FALSE),"")</f>
        <v/>
      </c>
      <c r="AC312" s="1036" t="str">
        <f>IFERROR(ROUND(T311*AB312*N310*R310/1000,0),"")</f>
        <v/>
      </c>
      <c r="AD312" s="1037" t="str">
        <f>IFERROR(ROUND(T311*AB312/1000,2),"")</f>
        <v/>
      </c>
      <c r="AE312" s="1045" t="s">
        <v>281</v>
      </c>
      <c r="AF312" s="1469"/>
      <c r="AG312" s="1469"/>
      <c r="AH312" s="1469"/>
      <c r="AI312" s="1469"/>
      <c r="AJ312" s="1476"/>
      <c r="AK312" s="1471"/>
      <c r="AL312" s="1473"/>
      <c r="AM312" s="1443"/>
      <c r="AN312" s="1444"/>
      <c r="AO312" s="1449"/>
      <c r="AP312" s="1449"/>
      <c r="AQ312" s="1450"/>
      <c r="AR312" s="1453"/>
      <c r="AS312" s="1456"/>
      <c r="AT312" s="1459"/>
      <c r="AU312" s="517"/>
      <c r="AV312" s="1480"/>
      <c r="AW312" s="1480"/>
      <c r="BC312" s="38"/>
      <c r="BD312" s="38"/>
      <c r="BE312" s="38"/>
      <c r="BF312" s="38"/>
      <c r="BG312" s="38"/>
      <c r="BH312" s="38"/>
      <c r="BI312" s="38"/>
      <c r="BJ312" s="38"/>
      <c r="BK312" s="38"/>
      <c r="BL312" s="38"/>
      <c r="BM312" s="38"/>
      <c r="BN312" s="38"/>
      <c r="BO312" s="38"/>
      <c r="BP312" s="38"/>
      <c r="BQ312" s="38"/>
      <c r="BR312" s="38"/>
      <c r="BS312" s="38"/>
      <c r="BT312" s="38"/>
      <c r="BU312" s="38"/>
      <c r="BV312" s="38"/>
      <c r="BW312" s="38"/>
      <c r="BX312" s="38"/>
      <c r="BY312" s="38"/>
      <c r="BZ312" s="38"/>
      <c r="CA312" s="38"/>
      <c r="CB312" s="38"/>
      <c r="CC312" s="38"/>
      <c r="CD312" s="38"/>
      <c r="CE312" s="38"/>
      <c r="CF312" s="38"/>
      <c r="CG312" s="38"/>
      <c r="CH312" s="38"/>
      <c r="CI312" s="38"/>
      <c r="CM312" s="1352"/>
      <c r="CN312" s="1352"/>
      <c r="CO312" s="1416"/>
      <c r="CP312" s="1418"/>
      <c r="CR312" s="1386"/>
      <c r="CS312" s="1355"/>
      <c r="CT312" s="1355"/>
      <c r="CU312" s="1375"/>
      <c r="CV312" s="1372"/>
      <c r="CW312" s="1372"/>
      <c r="CX312" s="1372"/>
      <c r="CY312" s="1487"/>
      <c r="CZ312" s="1487"/>
      <c r="DA312" s="1487"/>
      <c r="DC312" s="1355"/>
      <c r="DD312" s="1355"/>
      <c r="DE312" s="1375"/>
      <c r="DF312" s="1407"/>
      <c r="DG312" s="1372"/>
      <c r="DH312" s="1369"/>
      <c r="DK312" s="1484"/>
      <c r="DL312" s="1420"/>
      <c r="DN312" s="1403"/>
      <c r="DO312" s="1405"/>
      <c r="DP312" s="1355"/>
      <c r="DQ312" s="1405"/>
      <c r="DR312" s="1403"/>
      <c r="DS312" s="1489"/>
      <c r="DU312" s="1403"/>
      <c r="DV312" s="1405"/>
      <c r="DW312" s="1403"/>
      <c r="DX312" s="1403"/>
      <c r="DZ312" s="1481"/>
      <c r="EA312" s="1481"/>
      <c r="EC312" s="1482"/>
      <c r="ED312" s="1369"/>
      <c r="EE312" s="1372"/>
      <c r="EF312" s="1369"/>
      <c r="EG312" s="1369"/>
      <c r="EH312" s="1375"/>
      <c r="EI312" s="1375"/>
      <c r="EJ312" s="1363"/>
      <c r="EK312" s="1376"/>
      <c r="EL312" s="1376"/>
      <c r="EM312" s="1362"/>
      <c r="EN312" s="1362"/>
      <c r="EO312" s="1363"/>
      <c r="EP312" s="1363"/>
      <c r="EQ312" s="1363"/>
      <c r="ES312" s="1403"/>
      <c r="EU312" s="1488"/>
      <c r="EV312" s="1488"/>
      <c r="EW312" s="1488"/>
      <c r="EX312" s="1488"/>
      <c r="EY312" s="1488"/>
      <c r="EZ312" s="1414"/>
      <c r="FB312" s="1365"/>
      <c r="FD312" s="1355"/>
      <c r="FE312" s="1355"/>
      <c r="FF312" s="138"/>
      <c r="FI312" s="1357"/>
      <c r="FJ312" s="1357"/>
      <c r="FK312" s="1365"/>
      <c r="FL312" s="1365"/>
      <c r="FM312" s="1365"/>
      <c r="FO312" s="1361"/>
      <c r="FP312" s="1361"/>
      <c r="FQ312" s="1366"/>
      <c r="FR312" s="1361"/>
      <c r="FS312" s="1361"/>
      <c r="FT312" s="1361"/>
      <c r="FU312" s="1360"/>
      <c r="FW312" s="1352"/>
      <c r="FX312" s="1352"/>
      <c r="FY312" s="1352"/>
      <c r="FZ312" s="1352"/>
      <c r="GA312" s="1352"/>
      <c r="GB312" s="1352"/>
      <c r="GC312" s="1352"/>
      <c r="GD312" s="1352"/>
      <c r="GE312" s="759"/>
      <c r="GF312" s="1035"/>
      <c r="GG312" s="1385"/>
      <c r="GJ312" s="1034">
        <f>IF(GJ310=TRUE,0,GJ$16)</f>
        <v>0</v>
      </c>
      <c r="GL312" s="1034">
        <f>IF(GL310=TRUE,0,GL$16)</f>
        <v>36</v>
      </c>
      <c r="GM312" s="1034">
        <f>IF(GM310=TRUE,0,GM$16)</f>
        <v>35</v>
      </c>
      <c r="GN312" s="436"/>
      <c r="GO312" s="436"/>
      <c r="GP312" s="436"/>
      <c r="GQ312" s="436"/>
      <c r="GR312" s="436"/>
      <c r="HC312" s="1034">
        <f t="shared" ref="HC312:HH312" si="222">IF(HC310=TRUE,0,HC$16)</f>
        <v>19</v>
      </c>
      <c r="HD312" s="1034">
        <f t="shared" si="222"/>
        <v>18</v>
      </c>
      <c r="HE312" s="1034">
        <f t="shared" si="222"/>
        <v>17</v>
      </c>
      <c r="HF312" s="1034">
        <f t="shared" si="222"/>
        <v>16</v>
      </c>
      <c r="HG312" s="1034">
        <f t="shared" si="222"/>
        <v>0</v>
      </c>
      <c r="HH312" s="1034">
        <f t="shared" si="222"/>
        <v>0</v>
      </c>
      <c r="HI312" s="1034">
        <f>IF(HI310=TRUE,0,HI$16)</f>
        <v>13</v>
      </c>
      <c r="HJ312" s="1034">
        <f t="shared" ref="HJ312:HL312" si="223">IF(HJ310=TRUE,0,HJ$16)</f>
        <v>12</v>
      </c>
      <c r="HK312" s="1034">
        <f t="shared" si="223"/>
        <v>11</v>
      </c>
      <c r="HL312" s="1034">
        <f t="shared" si="223"/>
        <v>10</v>
      </c>
      <c r="HM312" s="1034">
        <f>IF(HM310=TRUE,0,HM$16)</f>
        <v>9</v>
      </c>
      <c r="HN312" s="1034">
        <f t="shared" ref="HN312:HR312" si="224">IF(HN310=TRUE,0,HN$16)</f>
        <v>0</v>
      </c>
      <c r="HO312" s="1034">
        <f t="shared" si="224"/>
        <v>0</v>
      </c>
      <c r="HP312" s="1034">
        <f t="shared" si="224"/>
        <v>0</v>
      </c>
      <c r="HQ312" s="1034">
        <f t="shared" si="224"/>
        <v>0</v>
      </c>
      <c r="HR312" s="1034">
        <f t="shared" si="224"/>
        <v>0</v>
      </c>
      <c r="HS312" s="1034">
        <f>IF(HS310=TRUE,0,HS$16)</f>
        <v>0</v>
      </c>
      <c r="HT312" s="1034">
        <f t="shared" ref="HT312" si="225">IF(HT310=TRUE,0,HT$16)</f>
        <v>0</v>
      </c>
      <c r="HU312" s="1034">
        <f>IF(HU310=TRUE,0,HU$16)</f>
        <v>1</v>
      </c>
      <c r="HW312" s="1034">
        <f>IF(GL310=FALSE,GL312,IF(GM310=FALSE,GM312,MAX(GJ312:HU312)))</f>
        <v>36</v>
      </c>
      <c r="HX312" s="1383"/>
      <c r="HY312" s="241" t="str">
        <f>VLOOKUP(HW312,_Error_Table,3,FALSE)</f>
        <v xml:space="preserve"> </v>
      </c>
      <c r="HZ312" s="241"/>
      <c r="IA312" s="1386"/>
      <c r="IB312" s="1380"/>
      <c r="IC312" s="1379"/>
      <c r="IF312" s="1380"/>
      <c r="IG312" s="1383"/>
      <c r="IH312" s="1383"/>
      <c r="II312" s="1383"/>
      <c r="IK312" s="1351"/>
      <c r="IL312" s="1351"/>
      <c r="IM312" s="1351"/>
      <c r="IN312" s="1351"/>
      <c r="IO312" s="1351"/>
      <c r="IP312" s="1351"/>
    </row>
    <row r="313" spans="1:250" s="82" customFormat="1" ht="5.0999999999999996" customHeight="1" thickTop="1" thickBot="1">
      <c r="B313" s="763"/>
      <c r="C313" s="1038"/>
      <c r="D313" s="1038"/>
      <c r="E313" s="1562"/>
      <c r="F313" s="1563"/>
      <c r="G313" s="1563"/>
      <c r="H313" s="1563"/>
      <c r="I313" s="1563"/>
      <c r="J313" s="1563"/>
      <c r="K313" s="1563"/>
      <c r="L313" s="1563"/>
      <c r="M313" s="1563"/>
      <c r="N313" s="1563"/>
      <c r="O313" s="1563"/>
      <c r="P313" s="1563"/>
      <c r="Q313" s="1563"/>
      <c r="R313" s="1563"/>
      <c r="S313" s="1563"/>
      <c r="T313" s="1563"/>
      <c r="U313" s="1563"/>
      <c r="V313" s="1563"/>
      <c r="W313" s="1563"/>
      <c r="X313" s="1563"/>
      <c r="Y313" s="1563"/>
      <c r="Z313" s="1563"/>
      <c r="AA313" s="1563"/>
      <c r="AB313" s="1563"/>
      <c r="AC313" s="1563"/>
      <c r="AD313" s="1563"/>
      <c r="AE313" s="1563"/>
      <c r="AF313" s="1563"/>
      <c r="AG313" s="1563"/>
      <c r="AH313" s="1563"/>
      <c r="AI313" s="1563"/>
      <c r="AJ313" s="1563"/>
      <c r="AK313" s="1563"/>
      <c r="AL313" s="1563"/>
      <c r="AM313" s="1563"/>
      <c r="AN313" s="1563"/>
      <c r="AO313" s="1563"/>
      <c r="AP313" s="1563"/>
      <c r="AQ313" s="1563"/>
      <c r="AR313" s="1563"/>
      <c r="AS313" s="1563"/>
      <c r="AT313" s="1564"/>
      <c r="AU313" s="1041"/>
      <c r="BC313" s="38"/>
      <c r="BD313" s="38"/>
      <c r="BE313" s="38"/>
      <c r="BF313" s="38"/>
      <c r="BG313" s="38"/>
      <c r="BH313" s="38"/>
      <c r="BI313" s="38"/>
      <c r="BJ313" s="38"/>
      <c r="BK313" s="38"/>
      <c r="BL313" s="38"/>
      <c r="BM313" s="38"/>
      <c r="BN313" s="38"/>
      <c r="BO313" s="38"/>
      <c r="BP313" s="38"/>
      <c r="BQ313" s="38"/>
      <c r="BR313" s="38"/>
      <c r="BS313" s="38"/>
      <c r="BT313" s="38"/>
      <c r="BU313" s="38"/>
      <c r="BV313" s="38"/>
      <c r="BW313" s="38"/>
      <c r="BX313" s="38"/>
      <c r="BY313" s="38"/>
      <c r="BZ313" s="38"/>
      <c r="CA313" s="38"/>
      <c r="CB313" s="38"/>
      <c r="CC313" s="38"/>
      <c r="CD313" s="38"/>
      <c r="CE313" s="38"/>
      <c r="CF313" s="38"/>
      <c r="CG313" s="38"/>
      <c r="CH313" s="38"/>
      <c r="CI313" s="38"/>
      <c r="CM313" s="749"/>
      <c r="CN313" s="749"/>
      <c r="CO313" s="1043"/>
      <c r="CP313" s="749"/>
      <c r="CS313" s="436"/>
      <c r="CT313" s="436"/>
      <c r="CU313" s="243"/>
      <c r="CV313" s="244"/>
      <c r="CW313" s="244"/>
      <c r="CX313" s="244"/>
      <c r="CY313" s="245"/>
      <c r="CZ313" s="245"/>
      <c r="DA313" s="245"/>
      <c r="DC313" s="750"/>
      <c r="DD313" s="751"/>
      <c r="DE313" s="752"/>
      <c r="DF313" s="753"/>
      <c r="DG313" s="754"/>
      <c r="DH313" s="754"/>
      <c r="DK313" s="244"/>
      <c r="DL313" s="750"/>
      <c r="DN313" s="750"/>
      <c r="DO313" s="755"/>
      <c r="DP313" s="436"/>
      <c r="DQ313" s="750"/>
      <c r="DR313" s="750"/>
      <c r="DS313" s="750"/>
      <c r="DU313" s="750"/>
      <c r="DV313" s="750"/>
      <c r="DW313" s="750"/>
      <c r="DX313" s="750"/>
      <c r="DZ313" s="756"/>
      <c r="EA313" s="756"/>
      <c r="EC313" s="754"/>
      <c r="ED313" s="754"/>
      <c r="EE313" s="244"/>
      <c r="EF313" s="754"/>
      <c r="EG313" s="754"/>
      <c r="EH313" s="243"/>
      <c r="EI313" s="243"/>
      <c r="EJ313" s="752"/>
      <c r="EK313" s="757"/>
      <c r="EL313" s="757"/>
      <c r="EM313" s="758"/>
      <c r="EN313" s="758"/>
      <c r="EO313" s="752"/>
      <c r="EP313" s="752"/>
      <c r="EQ313" s="752"/>
      <c r="ES313" s="750"/>
      <c r="EU313" s="436"/>
      <c r="EV313" s="436"/>
      <c r="EW313" s="436"/>
      <c r="EX313" s="436"/>
      <c r="EY313" s="436"/>
      <c r="EZ313" s="436"/>
      <c r="FB313" s="643"/>
      <c r="FD313" s="436"/>
      <c r="FE313" s="436"/>
      <c r="FF313" s="436"/>
      <c r="FO313" s="750"/>
      <c r="FP313" s="436"/>
      <c r="FQ313" s="436"/>
      <c r="FR313" s="750"/>
      <c r="FS313" s="750"/>
      <c r="FW313" s="749"/>
      <c r="FX313" s="749"/>
      <c r="FY313" s="749"/>
      <c r="FZ313" s="749"/>
      <c r="GA313" s="749"/>
      <c r="GB313" s="749"/>
      <c r="GC313" s="749"/>
      <c r="GD313" s="749"/>
      <c r="GE313" s="751"/>
      <c r="GF313" s="750"/>
      <c r="GG313" s="750"/>
    </row>
    <row r="314" spans="1:250" s="82" customFormat="1" ht="14.95" customHeight="1" thickTop="1" thickBot="1">
      <c r="B314" s="1421" t="str">
        <f>HY317</f>
        <v xml:space="preserve"> </v>
      </c>
      <c r="C314" s="1422">
        <f>C309+1</f>
        <v>54</v>
      </c>
      <c r="D314" s="1423"/>
      <c r="E314" s="1424" t="s">
        <v>242</v>
      </c>
      <c r="F314" s="1425"/>
      <c r="G314" s="1426"/>
      <c r="H314" s="1427"/>
      <c r="I314" s="1427"/>
      <c r="J314" s="1427"/>
      <c r="K314" s="1427"/>
      <c r="L314" s="1427"/>
      <c r="M314" s="1427"/>
      <c r="N314" s="1427"/>
      <c r="O314" s="1427"/>
      <c r="P314" s="1427"/>
      <c r="Q314" s="1427"/>
      <c r="R314" s="1427"/>
      <c r="S314" s="1428" t="s">
        <v>283</v>
      </c>
      <c r="T314" s="668" t="s">
        <v>190</v>
      </c>
      <c r="U314" s="1430" t="s">
        <v>186</v>
      </c>
      <c r="V314" s="1431"/>
      <c r="W314" s="1431"/>
      <c r="X314" s="1431"/>
      <c r="Y314" s="1431"/>
      <c r="Z314" s="1431"/>
      <c r="AA314" s="1431"/>
      <c r="AB314" s="1088" t="str">
        <f>IFERROR(IF(__Retrofit_TI_NC=0,VLOOKUP(U315,Fixtures_Existing_List,2,FALSE),ROUND(N316*R316/T316,10)),"")</f>
        <v/>
      </c>
      <c r="AC314" s="1039" t="str">
        <f>IFERROR(IF(__Retrofit_TI_NC=0,ROUND(T315*AB314*N315*R315/1000,0),IF(CN314="Interior",N316*R316*R315*N315*_C406_reduction/1000,N316*R316*R315*N315/1000)),"")</f>
        <v/>
      </c>
      <c r="AD314" s="1040" t="str">
        <f>IFERROR(IF(C$36=0,ROUND(T315*AB314/1000,2),N316*R316/1000),"")</f>
        <v/>
      </c>
      <c r="AE314" s="1044" t="s">
        <v>190</v>
      </c>
      <c r="AF314" s="1432" t="str">
        <f>IF(__Retrofit_TI_NC=2,CONCATENATE("Code min = ",DD314),IF(__Retrofit_TI_NC=1,"Emter what you think the existing control was"," Control"))</f>
        <v xml:space="preserve"> Control</v>
      </c>
      <c r="AG314" s="1432"/>
      <c r="AH314" s="1432"/>
      <c r="AI314" s="1432"/>
      <c r="AJ314" s="1433">
        <f>DF314</f>
        <v>0</v>
      </c>
      <c r="AK314" s="1435" t="str">
        <f>IFERROR(ROUND(AJ314*AC314,0),"")</f>
        <v/>
      </c>
      <c r="AL314" s="1437">
        <f>IFERROR(IF(HW314=FALSE,0,AC314-AK314),0)</f>
        <v>0</v>
      </c>
      <c r="AM314" s="1439">
        <f>AL314-AL316</f>
        <v>0</v>
      </c>
      <c r="AN314" s="1440"/>
      <c r="AO314" s="1445">
        <f>IFERROR(IF(HW314=FALSE,0,(T316*U317)+(AE316*AF317)),0)</f>
        <v>0</v>
      </c>
      <c r="AP314" s="1445"/>
      <c r="AQ314" s="1446"/>
      <c r="AR314" s="1451" t="s">
        <v>157</v>
      </c>
      <c r="AS314" s="1454">
        <f>IF(AR314="Yes",1,0)</f>
        <v>1</v>
      </c>
      <c r="AT314" s="1457" t="str">
        <f>IF(OR(DN314=4,DN314=5,DN314=6,DN314=12),CONCATENATE("$",IF(GD314=TRUE,Lookup!$B$11,Lookup!$B$2)," /lamp"),CONCATENATE(EA314,"/ kWh"))</f>
        <v>0/ kWh</v>
      </c>
      <c r="AU314" s="516"/>
      <c r="AV314" s="1478">
        <f>IFERROR(IF(GI315=TRUE,(AB317*T316)/R316,0),"NA")</f>
        <v>0</v>
      </c>
      <c r="AW314" s="1478" t="str">
        <f>IFERROR(N316*_C406_reduction,"NA")</f>
        <v>NA</v>
      </c>
      <c r="BC314" s="38"/>
      <c r="BD314" s="38"/>
      <c r="BE314" s="38"/>
      <c r="BF314" s="38"/>
      <c r="BG314" s="38"/>
      <c r="BH314" s="38"/>
      <c r="BI314" s="38"/>
      <c r="BJ314" s="38"/>
      <c r="BK314" s="38"/>
      <c r="BL314" s="38"/>
      <c r="BM314" s="38"/>
      <c r="BN314" s="38"/>
      <c r="BO314" s="38"/>
      <c r="BP314" s="38"/>
      <c r="BQ314" s="38"/>
      <c r="BR314" s="38"/>
      <c r="BS314" s="38"/>
      <c r="BT314" s="38"/>
      <c r="BU314" s="38"/>
      <c r="BV314" s="38"/>
      <c r="BW314" s="38"/>
      <c r="BX314" s="38"/>
      <c r="BY314" s="38"/>
      <c r="BZ314" s="38"/>
      <c r="CA314" s="38"/>
      <c r="CB314" s="38"/>
      <c r="CC314" s="38"/>
      <c r="CD314" s="38"/>
      <c r="CE314" s="38"/>
      <c r="CF314" s="38"/>
      <c r="CG314" s="38"/>
      <c r="CH314" s="38"/>
      <c r="CI314" s="38"/>
      <c r="CM314" s="1352" t="str">
        <f>N315</f>
        <v/>
      </c>
      <c r="CN314" s="1352" t="str">
        <f>IFERROR(VLOOKUP(G315,_Lookup_Heat_Type_Table_New,3,FALSE),"")</f>
        <v/>
      </c>
      <c r="CO314" s="1415" t="str">
        <f>CN314</f>
        <v/>
      </c>
      <c r="CP314" s="1417" t="e">
        <f>VLOOKUP(G316,'Space Table'!$B$3:$L$160,9,FALSE)</f>
        <v>#N/A</v>
      </c>
      <c r="CR314" s="1386" t="s">
        <v>283</v>
      </c>
      <c r="CS314" s="1353">
        <f>IF(HW314=TRUE,T315,0)</f>
        <v>0</v>
      </c>
      <c r="CT314" s="1353" t="str">
        <f>IF(HW314=TRUE,U315,"")</f>
        <v/>
      </c>
      <c r="CU314" s="1353"/>
      <c r="CV314" s="1370">
        <f>IF(HW314=TRUE,AB314,0)</f>
        <v>0</v>
      </c>
      <c r="CW314" s="1370">
        <f>IF(HW314=TRUE,AC314,0)</f>
        <v>0</v>
      </c>
      <c r="CX314" s="1370">
        <f>IFERROR(IF(HW314=TRUE,CW314-CW316,0),0)</f>
        <v>0</v>
      </c>
      <c r="CY314" s="1485">
        <f>IF(HW314=TRUE,AD314,0)</f>
        <v>0</v>
      </c>
      <c r="CZ314" s="1485">
        <f>IF(HW314=TRUE,AD317,0)</f>
        <v>0</v>
      </c>
      <c r="DA314" s="1485">
        <f>IFERROR(CY314-CZ314,0)</f>
        <v>0</v>
      </c>
      <c r="DC314" s="1353">
        <f>IF(HW314=TRUE,AE315,0)</f>
        <v>0</v>
      </c>
      <c r="DD314" s="1460">
        <f>IF(__Retrofit_TI_NC=2,IF(CN314="Exterior",O317,FM314),FK314)</f>
        <v>0</v>
      </c>
      <c r="DE314" s="1353"/>
      <c r="DF314" s="1406">
        <f>IFERROR(IF(FL314=3,IK314,IF(FL314=4,IL314,IF(FL314=5,IM314,IF(FL314=6,IN314,IF(FL314=7,IO314,IF(FL314=8,IP314,0)))))),0)</f>
        <v>0</v>
      </c>
      <c r="DG314" s="1370">
        <f>IF(HW314=TRUE,AK314,0)</f>
        <v>0</v>
      </c>
      <c r="DH314" s="1369">
        <f>IFERROR(IF(HW314=TRUE,DG316-DG314,0),0)</f>
        <v>0</v>
      </c>
      <c r="DJ314" s="1483">
        <f>IFERROR(CW314-DG314,0)</f>
        <v>0</v>
      </c>
      <c r="DL314" s="1419">
        <f>DJ314-DK316</f>
        <v>0</v>
      </c>
      <c r="DN314" s="1403" t="str">
        <f>IFERROR(IF(AND(OR(FY314=4,FY314=5,FY314=6),OR(GB314=4,GB314=5,GB314=6)),FY314+8,VLOOKUP(CT316,Fixtures!R$31:Y$78,8,FALSE)),"")</f>
        <v/>
      </c>
      <c r="DO314" s="1404" t="str">
        <f>DN314</f>
        <v/>
      </c>
      <c r="DP314" s="1353" t="str">
        <f>IFERROR(VLOOKUP(DD316,Lookup!AU$3:AV$15,2,FALSE),"")</f>
        <v/>
      </c>
      <c r="DQ314" s="1404" t="str">
        <f>IF(DP314=7,"LLLC","")</f>
        <v/>
      </c>
      <c r="DR314" s="1403">
        <f>IFERROR(IF(OR(DN314=4,DN314=5,DN314=6,DN314=12,DN314=13,DN314=14),VLOOKUP(CT316,Fixtures!DN$27:EG$77,19,FALSE),1)*CS316,0)</f>
        <v>0</v>
      </c>
      <c r="DS314" s="1489">
        <f>IF(DP314=7,IF(DD314=DD316,0,DC316),0)</f>
        <v>0</v>
      </c>
      <c r="DU314" s="1403" t="str">
        <f>IFERROR(IF(EW314&lt;EW316,"Yes","No"),"")</f>
        <v/>
      </c>
      <c r="DV314" s="1404" t="str">
        <f>DU314</f>
        <v/>
      </c>
      <c r="DW314" s="1403">
        <f>IF(DU314="Yes",DC316,0)</f>
        <v>0</v>
      </c>
      <c r="DX314" s="1403">
        <f>DW314-DS314</f>
        <v>0</v>
      </c>
      <c r="DZ314" s="1481">
        <f>IFERROR(VLOOKUP(DN314,Lookup!AN$3:AO$16,2,FALSE),0)</f>
        <v>0</v>
      </c>
      <c r="EA314" s="1481">
        <f>IF(HW314=FALSE,0,IF(DU314="Yes",DZ314+Lookup!B$6,DZ314))</f>
        <v>0</v>
      </c>
      <c r="EC314" s="1482">
        <f>IF(HW314=TRUE,DJ314,0)</f>
        <v>0</v>
      </c>
      <c r="ED314" s="1369">
        <f>IF(HW314=TRUE,CW316,0)</f>
        <v>0</v>
      </c>
      <c r="EE314" s="1370">
        <f>IFERROR(EC314-ED314,0)</f>
        <v>0</v>
      </c>
      <c r="EF314" s="1369">
        <f>IF(HW314=TRUE,DG316,0)</f>
        <v>0</v>
      </c>
      <c r="EG314" s="1369">
        <f>IFERROR(EC314-ED314+EF314,0)</f>
        <v>0</v>
      </c>
      <c r="EH314" s="1373">
        <f>IF(HW314=TRUE,CS316*CU316,0)</f>
        <v>0</v>
      </c>
      <c r="EI314" s="1373">
        <f>IF(HW314=TRUE,DC316*DE316,0)</f>
        <v>0</v>
      </c>
      <c r="EJ314" s="1363">
        <f>AO314</f>
        <v>0</v>
      </c>
      <c r="EK314" s="1376" t="str">
        <f>IFERROR(IF(HW314=TRUE,VLOOKUP(DN314,Lookup!AN$3:AP$16,3,FALSE)*DR314,""),0)</f>
        <v/>
      </c>
      <c r="EL314" s="1376">
        <f>IF(HW314=TRUE,DW314*Lookup!AP$12,0)</f>
        <v>0</v>
      </c>
      <c r="EM314" s="1362">
        <f>IFERROR(IF(HW314=TRUE,EK314/EM$33,0),0)</f>
        <v>0</v>
      </c>
      <c r="EN314" s="1362">
        <f>IF(HW314=TRUE,EL314/EN$33,0)</f>
        <v>0</v>
      </c>
      <c r="EO314" s="1363">
        <f>IF(HW314=TRUE,EQ$33*EM314,0)</f>
        <v>0</v>
      </c>
      <c r="EP314" s="1363">
        <f>IF(HW314=TRUE,EQ$33*EN314,0)</f>
        <v>0</v>
      </c>
      <c r="EQ314" s="1363">
        <f>EO314+EP314</f>
        <v>0</v>
      </c>
      <c r="ES314" s="1403">
        <f>IF(G314="",0,1)</f>
        <v>0</v>
      </c>
      <c r="EU314" s="1410" t="e">
        <f>VLOOKUP(CP316,'Space Table'!$B$3:$L$160,8,FALSE)</f>
        <v>#N/A</v>
      </c>
      <c r="EV314" s="1410" t="e">
        <f>IF(EY314="Yes",VLOOKUP(DD314,Lookup_Control_Type_Table2,4,FALSE),VLOOKUP(DD314,Lookup_Control_Type_Table2,3,FALSE))</f>
        <v>#N/A</v>
      </c>
      <c r="EW314" s="1410" t="e">
        <f>VLOOKUP(DD314,Lookup!AU$3:AV$15,2,FALSE)</f>
        <v>#N/A</v>
      </c>
      <c r="EX314" s="1410" t="e">
        <f>VLOOKUP(EU314,Lookup_Control_Type_Table,2,FALSE)</f>
        <v>#N/A</v>
      </c>
      <c r="EY314" s="1410" t="e">
        <f>VLOOKUP(CP316,'Space Table'!$B$3:$L$160,7,FALSE)</f>
        <v>#N/A</v>
      </c>
      <c r="EZ314" s="1412" t="b">
        <f>ISNUMBER(SEARCH("TLED",U316))</f>
        <v>0</v>
      </c>
      <c r="FB314" s="1365" t="str">
        <f>CONCATENATE(CN314," - ",DD314)</f>
        <v xml:space="preserve"> - 0</v>
      </c>
      <c r="FD314" s="1353" t="str">
        <f>VLOOKUP(CT316,Fixtures!DN$27:EZ$77,38,FALSE)</f>
        <v/>
      </c>
      <c r="FE314" s="1353">
        <f>IFERROR(FD314*EE314,0)</f>
        <v>0</v>
      </c>
      <c r="FF314" s="138"/>
      <c r="FI314" s="1356" t="str">
        <f>IF(CN314="Exterior","Not Daylighted",G317)</f>
        <v>Not Daylighted</v>
      </c>
      <c r="FJ314" s="1356">
        <f>VLOOKUP(FI314,_Daylight_Table_Codes,2,FALSE)</f>
        <v>0</v>
      </c>
      <c r="FK314" s="1365">
        <f>IF(__Retrofit_TI_NC=2,VLOOKUP(G316,'Space Table'!$B$3:$L$160,11,FALSE),AF315)</f>
        <v>0</v>
      </c>
      <c r="FL314" s="1365" t="e">
        <f>VLOOKUP(FK314,_Control_Table,2,FALSE)</f>
        <v>#N/A</v>
      </c>
      <c r="FM314" s="1365" t="e">
        <f>IF(AND(FP314&gt;0,FK314="Occupancy Sensor"),"Daylight + Occupancy",IF(AND(FP314&gt;0,FL314&lt;4),"Interior Daylight Dimming",FK314))</f>
        <v>#N/A</v>
      </c>
      <c r="FO314" s="1364">
        <f>IF(CO314="Interior",VLOOKUP(CP314,Control_Savings_Interior,5,FALSE),0)</f>
        <v>0</v>
      </c>
      <c r="FP314" s="1361">
        <f>IF(CN314="Exterior",0,IF(FJ314=2,0.5,IF(OR(FJ314=1,FJ314=3),1,0)))</f>
        <v>0</v>
      </c>
      <c r="FQ314" s="1366"/>
      <c r="FR314" s="1367"/>
      <c r="FS314" s="1364"/>
      <c r="FT314" s="1367"/>
      <c r="FU314" s="1360"/>
      <c r="FW314" s="1352" t="str">
        <f>IFERROR(VLOOKUP(U315,_Exist_Fixture_Table,3,FALSE),"")</f>
        <v/>
      </c>
      <c r="FX314" s="1352" t="str">
        <f>VLOOKUP(CT314,_Exist_Fixture_Table,4,FALSE)</f>
        <v/>
      </c>
      <c r="FY314" s="1352">
        <f>IFERROR(VLOOKUP(FX314,Lookup!AM$6:AN$8,2,FALSE),0)</f>
        <v>0</v>
      </c>
      <c r="FZ314" s="1352" t="b">
        <f>IFERROR(IF(OR(GB314=4,GB314=5,GB314=6),TRUE,FALSE),"")</f>
        <v>0</v>
      </c>
      <c r="GA314" s="1352" t="str">
        <f>IFERROR(VLOOKUP(GB314,FY$6:FZ$10,2,FALSE),"")</f>
        <v/>
      </c>
      <c r="GB314" s="1352" t="str">
        <f>VLOOKUP(CT316,Fixtures!R$31:Y$78,8,FALSE)</f>
        <v/>
      </c>
      <c r="GC314" s="1352">
        <f>IF(AND(FW314=TRUE,FZ314=TRUE,OR(DN314=12,DN314=13,DN314=14)),FY314+8,0)</f>
        <v>0</v>
      </c>
      <c r="GD314" s="1352" t="b">
        <f>IF(OR(GC314=12,GC314=13,GC314=14),TRUE,FALSE)</f>
        <v>0</v>
      </c>
      <c r="GE314" s="759" t="b">
        <f>IF(ISNUMBER(SEARCH("TLED",U315)),TRUE,FALSE)</f>
        <v>0</v>
      </c>
      <c r="GF314" s="1035" t="str">
        <f>IFERROR(VLOOKUP(U315,Fixtures!BM$93:BR$142,6,FALSE),"")</f>
        <v/>
      </c>
      <c r="GG314" s="1385" t="b">
        <f>IF(OR(GE314=FALSE,GE316=FALSE),TRUE,IF(GF314-GF316&lt;5,FALSE,TRUE))</f>
        <v>1</v>
      </c>
      <c r="GK314" s="1034">
        <f>GL314</f>
        <v>0</v>
      </c>
      <c r="GL314" s="1034">
        <f>IF(G314="",0,1)</f>
        <v>0</v>
      </c>
      <c r="GM314" s="1034">
        <f>SUM(GN314:HB314)</f>
        <v>2</v>
      </c>
      <c r="GN314" s="1034">
        <f>IF(G315="",0,1)</f>
        <v>0</v>
      </c>
      <c r="GO314" s="1034">
        <f>IF(G316="",0,1)</f>
        <v>0</v>
      </c>
      <c r="GP314" s="1034">
        <f>IF(R315="",0,1)</f>
        <v>0</v>
      </c>
      <c r="GQ314" s="1034">
        <f>IF(__Retrofit_TI_NC=0,1,IF(R316="",0,1))</f>
        <v>1</v>
      </c>
      <c r="GR314" s="1034">
        <f>IF(CN314="Exterior",1,IF(G317="",0,1))</f>
        <v>1</v>
      </c>
      <c r="GS314" s="1034">
        <f>IF(__Retrofit_TI_NC&lt;&gt;0,1,IF(T315="",0,1))</f>
        <v>0</v>
      </c>
      <c r="GT314" s="1034">
        <f>IF(__Retrofit_TI_NC&lt;&gt;0,1,IF(U315="",0,1))</f>
        <v>0</v>
      </c>
      <c r="GU314" s="1034">
        <f>IF(T316="",0,1)</f>
        <v>0</v>
      </c>
      <c r="GV314" s="1034">
        <f>IF(U316="",0,1)</f>
        <v>0</v>
      </c>
      <c r="GW314" s="1034">
        <f>IF(__Retrofit_TI_NC=2,1,IF(U317="",0,1))</f>
        <v>0</v>
      </c>
      <c r="GX314" s="1034">
        <f>IF(__Retrofit_TI_NC&lt;&gt;0,1,IF(AE315="",0,1))</f>
        <v>0</v>
      </c>
      <c r="GY314" s="1034">
        <f>IF(__Retrofit_TI_NC&lt;&gt;0,1,IF(AF315="",0,1))</f>
        <v>0</v>
      </c>
      <c r="GZ314" s="1034">
        <f>IF(AE316="",0,1)</f>
        <v>0</v>
      </c>
      <c r="HA314" s="1034">
        <f>IF(AF316="",0,1)</f>
        <v>0</v>
      </c>
      <c r="HB314" s="1034">
        <f>IF(__Retrofit_TI_NC=2,1,IF(AF317="",0,1))</f>
        <v>0</v>
      </c>
      <c r="HV314" s="436"/>
      <c r="HW314" s="1384" t="b">
        <f>IF(OR(HW317=0,HW317=HT$16,HW317=HS$16,HW317=HU$16),TRUE,FALSE)</f>
        <v>0</v>
      </c>
      <c r="HX314" s="1377" t="b">
        <f>HW314</f>
        <v>0</v>
      </c>
      <c r="HY314" s="436"/>
      <c r="HZ314" s="436"/>
      <c r="IA314" s="1386" t="b">
        <f>IF(MAX(GJ317:HP317)&gt;5,FALSE,TRUE)</f>
        <v>0</v>
      </c>
      <c r="IB314" s="1380">
        <f>IF(IA314=TRUE,AC314,0)</f>
        <v>0</v>
      </c>
      <c r="IC314" s="1380">
        <f>IB314-IB316</f>
        <v>0</v>
      </c>
      <c r="IF314" s="1380" t="e">
        <f>ROUND(T315*VLOOKUP(U315,Fixtures_Existing_List,2,FALSE)*N315*R315/1000,0)</f>
        <v>#N/A</v>
      </c>
      <c r="IG314" s="1381" t="e">
        <f>IF314-IF316</f>
        <v>#N/A</v>
      </c>
      <c r="IH314" s="1384" t="e">
        <f>ROUND(IF(CN314="Interior",N316*R316*R315*N315*_C406_reduction/1000,N316*R316*R315*N315/1000),0)</f>
        <v>#N/A</v>
      </c>
      <c r="II314" s="1384" t="e">
        <f>IH314-IH316</f>
        <v>#N/A</v>
      </c>
      <c r="IK314" s="1351" t="e">
        <f>IF($CO314="interior",IL314/2,VLOOKUP($CP314,Control_Savings_Exterior,IK$30,FALSE))</f>
        <v>#N/A</v>
      </c>
      <c r="IL314" s="1351" t="e">
        <f>IF($CO314="interior",VLOOKUP($CP314,Control_Savings_Interior,IL$30,FALSE),VLOOKUP($CP314,Control_Savings_Exterior,IL$30,FALSE))</f>
        <v>#N/A</v>
      </c>
      <c r="IM314" s="1351" t="e">
        <f>IF($CO314="interior",IF(R315&gt;FO$37,(IM$28*(FO$37/R315)),IM$28)*FP314,VLOOKUP($CP314,Control_Savings_Exterior,IM$30,FALSE))</f>
        <v>#N/A</v>
      </c>
      <c r="IN314" s="1351" t="e">
        <f>IF($CO314="interior",ROUND(((1-IL314)*IM314)+IL314,2),VLOOKUP($CP314,Control_Savings_Exterior,IN$30,FALSE))</f>
        <v>#N/A</v>
      </c>
      <c r="IO314" s="1351" t="e">
        <f>IF($CO314="interior", ROUND(((1-IL314)*(IM314*(1-IP$28)))+IP314,2), VLOOKUP($CP314,Control_Savings_Exterior,IO$30,FALSE))</f>
        <v>#N/A</v>
      </c>
      <c r="IP314" s="1351">
        <f>IF($CO314="interior",ROUND(((1-IL314)*IP$28)+IL314,2),0)</f>
        <v>0</v>
      </c>
    </row>
    <row r="315" spans="1:250" s="82" customFormat="1" ht="14.95" customHeight="1" thickTop="1" thickBot="1">
      <c r="B315" s="1421"/>
      <c r="C315" s="1422"/>
      <c r="D315" s="1423"/>
      <c r="E315" s="1393" t="s">
        <v>244</v>
      </c>
      <c r="F315" s="1394"/>
      <c r="G315" s="1395"/>
      <c r="H315" s="1395"/>
      <c r="I315" s="1395"/>
      <c r="J315" s="1395"/>
      <c r="K315" s="1395"/>
      <c r="L315" s="1395"/>
      <c r="M315" s="509" t="e">
        <f>IF(__Retrofit_TI_NC&lt;&gt;0,IF(VLOOKUP(G316,'Space Table'!$B$3:$L$160,3,FALSE)&gt;0,1,0),IF(__Retrofit_TI_NC=VLOOKUP(G316,'Space Table'!$B$3:$L$160,3,FALSE),1,0))</f>
        <v>#N/A</v>
      </c>
      <c r="N315" s="509" t="str">
        <f>IFERROR(VLOOKUP(G315,_Lookup_Heat_Type_Table_New,2,FALSE),"")</f>
        <v/>
      </c>
      <c r="O315" s="509">
        <f>IF(__Retrofit_TI_NC=1,CONCATENATE("TI ",G315),IF(__Retrofit_TI_NC=2,CONCATENATE("NC ",G315),G315))</f>
        <v>0</v>
      </c>
      <c r="P315" s="1396" t="s">
        <v>352</v>
      </c>
      <c r="Q315" s="1396"/>
      <c r="R315" s="673"/>
      <c r="S315" s="1429"/>
      <c r="T315" s="675"/>
      <c r="U315" s="1496"/>
      <c r="V315" s="1497"/>
      <c r="W315" s="1497"/>
      <c r="X315" s="1497"/>
      <c r="Y315" s="1497"/>
      <c r="Z315" s="1497"/>
      <c r="AA315" s="1497"/>
      <c r="AB315" s="1497"/>
      <c r="AC315" s="1497"/>
      <c r="AD315" s="1498"/>
      <c r="AE315" s="675"/>
      <c r="AF315" s="1397"/>
      <c r="AG315" s="1397"/>
      <c r="AH315" s="1397"/>
      <c r="AI315" s="1397"/>
      <c r="AJ315" s="1434"/>
      <c r="AK315" s="1436"/>
      <c r="AL315" s="1438"/>
      <c r="AM315" s="1441"/>
      <c r="AN315" s="1442"/>
      <c r="AO315" s="1447"/>
      <c r="AP315" s="1447"/>
      <c r="AQ315" s="1448"/>
      <c r="AR315" s="1452"/>
      <c r="AS315" s="1455"/>
      <c r="AT315" s="1458"/>
      <c r="AU315" s="516"/>
      <c r="AV315" s="1479"/>
      <c r="AW315" s="1479"/>
      <c r="BC315" s="38"/>
      <c r="BD315" s="38"/>
      <c r="BE315" s="38"/>
      <c r="BF315" s="38"/>
      <c r="BG315" s="38"/>
      <c r="BH315" s="38"/>
      <c r="BI315" s="38"/>
      <c r="BJ315" s="38"/>
      <c r="BK315" s="38"/>
      <c r="BL315" s="38"/>
      <c r="BM315" s="38"/>
      <c r="BN315" s="38"/>
      <c r="BO315" s="38"/>
      <c r="BP315" s="38"/>
      <c r="BQ315" s="38"/>
      <c r="BR315" s="38"/>
      <c r="BS315" s="38"/>
      <c r="BT315" s="38"/>
      <c r="BU315" s="38"/>
      <c r="BV315" s="38"/>
      <c r="BW315" s="38"/>
      <c r="BX315" s="38"/>
      <c r="BY315" s="38"/>
      <c r="BZ315" s="38"/>
      <c r="CA315" s="38"/>
      <c r="CB315" s="38"/>
      <c r="CC315" s="38"/>
      <c r="CD315" s="38"/>
      <c r="CE315" s="38"/>
      <c r="CF315" s="38"/>
      <c r="CG315" s="38"/>
      <c r="CH315" s="38"/>
      <c r="CI315" s="38"/>
      <c r="CM315" s="1352"/>
      <c r="CN315" s="1352"/>
      <c r="CO315" s="1416"/>
      <c r="CP315" s="1418"/>
      <c r="CR315" s="1386"/>
      <c r="CS315" s="1355"/>
      <c r="CT315" s="1355"/>
      <c r="CU315" s="1355"/>
      <c r="CV315" s="1372"/>
      <c r="CW315" s="1372"/>
      <c r="CX315" s="1371"/>
      <c r="CY315" s="1486"/>
      <c r="CZ315" s="1486"/>
      <c r="DA315" s="1486"/>
      <c r="DC315" s="1355"/>
      <c r="DD315" s="1461"/>
      <c r="DE315" s="1355"/>
      <c r="DF315" s="1407"/>
      <c r="DG315" s="1372"/>
      <c r="DH315" s="1369"/>
      <c r="DJ315" s="1484"/>
      <c r="DL315" s="1419"/>
      <c r="DN315" s="1403"/>
      <c r="DO315" s="1405"/>
      <c r="DP315" s="1354"/>
      <c r="DQ315" s="1405"/>
      <c r="DR315" s="1403"/>
      <c r="DS315" s="1489"/>
      <c r="DU315" s="1403"/>
      <c r="DV315" s="1405"/>
      <c r="DW315" s="1403"/>
      <c r="DX315" s="1403"/>
      <c r="DZ315" s="1481"/>
      <c r="EA315" s="1481"/>
      <c r="EC315" s="1482"/>
      <c r="ED315" s="1369"/>
      <c r="EE315" s="1371"/>
      <c r="EF315" s="1369"/>
      <c r="EG315" s="1369"/>
      <c r="EH315" s="1374"/>
      <c r="EI315" s="1374"/>
      <c r="EJ315" s="1363"/>
      <c r="EK315" s="1376"/>
      <c r="EL315" s="1376"/>
      <c r="EM315" s="1362"/>
      <c r="EN315" s="1362"/>
      <c r="EO315" s="1363"/>
      <c r="EP315" s="1363"/>
      <c r="EQ315" s="1363"/>
      <c r="ES315" s="1403"/>
      <c r="EU315" s="1411"/>
      <c r="EV315" s="1411"/>
      <c r="EW315" s="1411"/>
      <c r="EX315" s="1411"/>
      <c r="EY315" s="1411"/>
      <c r="EZ315" s="1413"/>
      <c r="FB315" s="1365"/>
      <c r="FD315" s="1354"/>
      <c r="FE315" s="1354"/>
      <c r="FF315" s="138"/>
      <c r="FI315" s="1357"/>
      <c r="FJ315" s="1357"/>
      <c r="FK315" s="1365"/>
      <c r="FL315" s="1365"/>
      <c r="FM315" s="1365"/>
      <c r="FO315" s="1361"/>
      <c r="FP315" s="1361"/>
      <c r="FQ315" s="1366"/>
      <c r="FR315" s="1368"/>
      <c r="FS315" s="1361"/>
      <c r="FT315" s="1368"/>
      <c r="FU315" s="1360"/>
      <c r="FW315" s="1352"/>
      <c r="FX315" s="1352"/>
      <c r="FY315" s="1352"/>
      <c r="FZ315" s="1352"/>
      <c r="GA315" s="1352"/>
      <c r="GB315" s="1352"/>
      <c r="GC315" s="1352"/>
      <c r="GD315" s="1352"/>
      <c r="GE315" s="759"/>
      <c r="GF315" s="1035"/>
      <c r="GG315" s="1385"/>
      <c r="GI315" s="1384" t="b">
        <f>IF(AND(GL315=TRUE,GM315=TRUE),TRUE,FALSE)</f>
        <v>0</v>
      </c>
      <c r="GJ315" s="1379" t="b">
        <f>IFERROR(IF(__Retrofit_TI_NC=2,TRUE,IF(AR314="Yes",TRUE,FALSE)),FALSE)</f>
        <v>1</v>
      </c>
      <c r="GL315" s="1379" t="b">
        <f>IFERROR(IF(GL314=1,TRUE,FALSE),FALSE)</f>
        <v>0</v>
      </c>
      <c r="GM315" s="1379" t="b">
        <f>IFERROR(IF(GM314=GM$14,TRUE,FALSE),FALSE)</f>
        <v>0</v>
      </c>
      <c r="HC315" s="1379" t="b">
        <f>IFERROR(IF(M315=1,TRUE,FALSE),FALSE)</f>
        <v>0</v>
      </c>
      <c r="HD315" s="1379" t="b">
        <f>IFERROR(IF(M316=1,TRUE,FALSE),FALSE)</f>
        <v>0</v>
      </c>
      <c r="HE315" s="1379" t="b">
        <f>IFERROR(IF(__Retrofit_TI_NC&lt;&gt;0,TRUE,IFERROR(IF(VLOOKUP(U315,Fixtures_Existing_List,2,FALSE)&lt;&gt;"",TRUE,FALSE),FALSE)),FALSE)</f>
        <v>0</v>
      </c>
      <c r="HF315" s="1379" t="b">
        <f>IFERROR(IF(VLOOKUP(U316,Fixtures_Proposed_List,2,FALSE)&lt;&gt;"",TRUE,FALSE),FALSE)</f>
        <v>0</v>
      </c>
      <c r="HG315" s="1379" t="b">
        <f>IF(AND(__Retrofit_TI_NC=2,EZ314=TRUE),FALSE,TRUE)</f>
        <v>1</v>
      </c>
      <c r="HH315" s="1379" t="b">
        <f>GG314</f>
        <v>1</v>
      </c>
      <c r="HI315" s="1384" t="b">
        <f>IF(ISERROR(MATCH(FB314,_Control_Match[],0))=TRUE,FALSE,TRUE)</f>
        <v>0</v>
      </c>
      <c r="HJ315" s="1384" t="b">
        <f>IFERROR(IF(EU314&lt;&gt;EV314,FALSE,TRUE),FALSE)</f>
        <v>0</v>
      </c>
      <c r="HK315" s="1384" t="b">
        <f>IFERROR(IF(EU316&lt;&gt;EV316,FALSE,TRUE),FALSE)</f>
        <v>0</v>
      </c>
      <c r="HL315" s="1379" t="b">
        <f>IFERROR(IF(CN314="Exterior",TRUE,IF(OR(AND(FJ314=0,EW316&gt;4),AND(FJ314=4,EW316&gt;4,EW316&lt;7)),FALSE,TRUE)),FALSE)</f>
        <v>0</v>
      </c>
      <c r="HM315" s="1379" t="b">
        <f>IFERROR(IF(AND(FL316=7,EZ314=TRUE),FALSE,TRUE),FALSE)</f>
        <v>0</v>
      </c>
      <c r="HN315" s="1379" t="b">
        <f>IFERROR(IF(AND(T316&lt;&gt;AE316,AF316="Interior LLLC")=TRUE,FALSE,TRUE),FALSE)</f>
        <v>1</v>
      </c>
      <c r="HO315" s="1379" t="b">
        <f>IFERROR(IF(OR(AF316=Lookup!AU$13,AF316=Lookup!AU$14)=TRUE,IF(AE316&gt;T316,FALSE,TRUE),TRUE),FALSE)</f>
        <v>1</v>
      </c>
      <c r="HP315" s="1379" t="b">
        <f>IFERROR(IF(__Retrofit_TI_NC=2,IF(EW316&lt;EW314,FALSE,TRUE),TRUE),FALSE)</f>
        <v>1</v>
      </c>
      <c r="HQ315" s="1379" t="b">
        <f>IF(CN314="Interior",IG$6,TRUE)</f>
        <v>1</v>
      </c>
      <c r="HR315" s="1379" t="b">
        <f>IF(CN314="Exterior",IG$8,TRUE)</f>
        <v>1</v>
      </c>
      <c r="HS315" s="1379" t="b">
        <f>IFERROR(IF(__Retrofit_TI_NC&lt;&gt;0,IF(AW314&lt;AV314,FALSE,TRUE),TRUE),FALSE)</f>
        <v>1</v>
      </c>
      <c r="HT315" s="1379" t="b">
        <f>IFERROR(IF(AND(G315="Exterior",R315&gt;4200),FALSE,TRUE),FALSE)</f>
        <v>1</v>
      </c>
      <c r="HU315" s="1379" t="b">
        <f>IFERROR(IF(AB317/AB314&lt;HU$18,FALSE,TRUE),FALSE)</f>
        <v>0</v>
      </c>
      <c r="HW315" s="1382"/>
      <c r="HX315" s="1378"/>
      <c r="HY315" s="1377" t="str">
        <f>VLOOKUP(HW317,_Error_Table,4,FALSE)</f>
        <v>White</v>
      </c>
      <c r="HZ315" s="436"/>
      <c r="IA315" s="1386"/>
      <c r="IB315" s="1380"/>
      <c r="IC315" s="1379"/>
      <c r="IF315" s="1380"/>
      <c r="IG315" s="1382"/>
      <c r="IH315" s="1382"/>
      <c r="II315" s="1382"/>
      <c r="IK315" s="1351"/>
      <c r="IL315" s="1351"/>
      <c r="IM315" s="1351"/>
      <c r="IN315" s="1351"/>
      <c r="IO315" s="1351"/>
      <c r="IP315" s="1351"/>
    </row>
    <row r="316" spans="1:250" s="82" customFormat="1" ht="14.95" customHeight="1" thickTop="1" thickBot="1">
      <c r="A316" s="82">
        <f>ROW()</f>
        <v>316</v>
      </c>
      <c r="B316" s="1421"/>
      <c r="C316" s="1422"/>
      <c r="D316" s="1423"/>
      <c r="E316" s="1393" t="s">
        <v>245</v>
      </c>
      <c r="F316" s="1394"/>
      <c r="G316" s="1398"/>
      <c r="H316" s="1399"/>
      <c r="I316" s="1399"/>
      <c r="J316" s="1399"/>
      <c r="K316" s="1399"/>
      <c r="L316" s="1400"/>
      <c r="M316" s="509">
        <f>IFERROR(IF(IF(__Retrofit_TI_NC&lt;&gt;0,IF(CN314="Interior",MATCH(G316,Lookup_Interior_New,0),MATCH(G316,Lookup_Exterior_New,0)),IF(CN314="Interior",MATCH(G316,Lookup_Interior,0),MATCH(G316,Lookup_Exterior_Areas,0)))&gt;0,1,0),0)</f>
        <v>0</v>
      </c>
      <c r="N316" s="509" t="e">
        <f>IF(__Retrofit_TI_NC=1,
VLOOKUP(G316,'Space Table'!$B$3:$L$160,4,FALSE),
IF(__Retrofit_TI_NC=2,VLOOKUP(G316,'Space Table'!$B$3:$L$160,5,FALSE),VLOOKUP(G316,'Space Table'!$B$3:$L$160,5,FALSE)))</f>
        <v>#N/A</v>
      </c>
      <c r="O316" s="509">
        <f>G316</f>
        <v>0</v>
      </c>
      <c r="P316" s="1394" t="s">
        <v>355</v>
      </c>
      <c r="Q316" s="1394"/>
      <c r="R316" s="674"/>
      <c r="S316" s="1401" t="s">
        <v>284</v>
      </c>
      <c r="T316" s="672"/>
      <c r="U316" s="1499"/>
      <c r="V316" s="1500"/>
      <c r="W316" s="1500"/>
      <c r="X316" s="1500"/>
      <c r="Y316" s="1500"/>
      <c r="Z316" s="1500"/>
      <c r="AA316" s="1500"/>
      <c r="AB316" s="1501"/>
      <c r="AC316" s="1501"/>
      <c r="AD316" s="1502"/>
      <c r="AE316" s="672"/>
      <c r="AF316" s="1474"/>
      <c r="AG316" s="1474"/>
      <c r="AH316" s="1474"/>
      <c r="AI316" s="1474"/>
      <c r="AJ316" s="1475">
        <f>DF316</f>
        <v>0</v>
      </c>
      <c r="AK316" s="1470" t="str">
        <f>IFERROR(ROUND(AJ316*AC317,0),"")</f>
        <v/>
      </c>
      <c r="AL316" s="1472">
        <f>IFERROR(IF(HW314=FALSE,0,AC317-AK316),0)</f>
        <v>0</v>
      </c>
      <c r="AM316" s="1441"/>
      <c r="AN316" s="1442"/>
      <c r="AO316" s="1447"/>
      <c r="AP316" s="1447"/>
      <c r="AQ316" s="1448"/>
      <c r="AR316" s="1452"/>
      <c r="AS316" s="1455"/>
      <c r="AT316" s="1458"/>
      <c r="AU316" s="516"/>
      <c r="AV316" s="1479"/>
      <c r="AW316" s="1479"/>
      <c r="BC316" s="38"/>
      <c r="BD316" s="38"/>
      <c r="BE316" s="38"/>
      <c r="BF316" s="38"/>
      <c r="BG316" s="38"/>
      <c r="BH316" s="38"/>
      <c r="BI316" s="38"/>
      <c r="BJ316" s="38"/>
      <c r="BK316" s="38"/>
      <c r="BL316" s="38"/>
      <c r="BM316" s="38"/>
      <c r="BN316" s="38"/>
      <c r="BO316" s="38"/>
      <c r="BP316" s="38"/>
      <c r="BQ316" s="38"/>
      <c r="BR316" s="38"/>
      <c r="BS316" s="38"/>
      <c r="BT316" s="38"/>
      <c r="BU316" s="38"/>
      <c r="BV316" s="38"/>
      <c r="BW316" s="38"/>
      <c r="BX316" s="38"/>
      <c r="BY316" s="38"/>
      <c r="BZ316" s="38"/>
      <c r="CA316" s="38"/>
      <c r="CB316" s="38"/>
      <c r="CC316" s="38"/>
      <c r="CD316" s="38"/>
      <c r="CE316" s="38"/>
      <c r="CF316" s="38"/>
      <c r="CG316" s="38"/>
      <c r="CH316" s="38"/>
      <c r="CI316" s="38"/>
      <c r="CM316" s="1352"/>
      <c r="CN316" s="1352"/>
      <c r="CO316" s="1415" t="str">
        <f>CN314</f>
        <v/>
      </c>
      <c r="CP316" s="1417" t="e">
        <f>CP314</f>
        <v>#N/A</v>
      </c>
      <c r="CR316" s="1386" t="s">
        <v>284</v>
      </c>
      <c r="CS316" s="1353">
        <f>IF(HW314=TRUE,T316,0)</f>
        <v>0</v>
      </c>
      <c r="CT316" s="1353" t="str">
        <f>IF(HW314=TRUE,U316,"")</f>
        <v/>
      </c>
      <c r="CU316" s="1373">
        <f>IF(HW314=TRUE,U317,0)</f>
        <v>0</v>
      </c>
      <c r="CV316" s="1370">
        <f>IF(HW314=TRUE,AB317,0)</f>
        <v>0</v>
      </c>
      <c r="CW316" s="1370">
        <f>IF(HW314=TRUE,AC317,0)</f>
        <v>0</v>
      </c>
      <c r="CX316" s="1371"/>
      <c r="CY316" s="1486"/>
      <c r="CZ316" s="1486"/>
      <c r="DA316" s="1486"/>
      <c r="DC316" s="1353">
        <f>IF(HW314=TRUE,AE316,0)</f>
        <v>0</v>
      </c>
      <c r="DD316" s="1353" t="str">
        <f>IF(HW314=TRUE,AF316,"")</f>
        <v/>
      </c>
      <c r="DE316" s="1373">
        <f>AF317</f>
        <v>0</v>
      </c>
      <c r="DF316" s="1406">
        <f>IFERROR(IF(FL316=3,IK316,IF(FL316=4,IL316,IF(FL316=5,IM316,IF(FL316=6,IN316,IF(FL316=7,IO316,IF(FL316=8,IP316,0)))))),0)</f>
        <v>0</v>
      </c>
      <c r="DG316" s="1370">
        <f>IF(HW314=TRUE,AK316,0)</f>
        <v>0</v>
      </c>
      <c r="DH316" s="1369"/>
      <c r="DK316" s="1483">
        <f>IFERROR(CW316-DG316,0)</f>
        <v>0</v>
      </c>
      <c r="DL316" s="1420"/>
      <c r="DN316" s="1403"/>
      <c r="DO316" s="1477" t="str">
        <f>DN314</f>
        <v/>
      </c>
      <c r="DP316" s="1354"/>
      <c r="DQ316" s="1477" t="str">
        <f>IF(DP314=7,"LLLC","")</f>
        <v/>
      </c>
      <c r="DR316" s="1403"/>
      <c r="DS316" s="1489"/>
      <c r="DU316" s="1403"/>
      <c r="DV316" s="1404" t="str">
        <f>DU314</f>
        <v/>
      </c>
      <c r="DW316" s="1403"/>
      <c r="DX316" s="1403"/>
      <c r="DZ316" s="1481"/>
      <c r="EA316" s="1481"/>
      <c r="EC316" s="1482"/>
      <c r="ED316" s="1369"/>
      <c r="EE316" s="1371"/>
      <c r="EF316" s="1369"/>
      <c r="EG316" s="1369"/>
      <c r="EH316" s="1374"/>
      <c r="EI316" s="1374"/>
      <c r="EJ316" s="1363"/>
      <c r="EK316" s="1376"/>
      <c r="EL316" s="1376"/>
      <c r="EM316" s="1362"/>
      <c r="EN316" s="1362"/>
      <c r="EO316" s="1363"/>
      <c r="EP316" s="1363"/>
      <c r="EQ316" s="1363"/>
      <c r="ES316" s="1403"/>
      <c r="EU316" s="1411" t="e">
        <f>VLOOKUP(CP316,'Space Table'!$B$3:$L$160,8,FALSE)</f>
        <v>#N/A</v>
      </c>
      <c r="EV316" s="1411" t="e">
        <f>IF(EY316="Yes",VLOOKUP(AF316,Lookup_Control_Type_Table2,4,FALSE),VLOOKUP(AF316,Lookup_Control_Type_Table2,3,FALSE))</f>
        <v>#N/A</v>
      </c>
      <c r="EW316" s="1411" t="e">
        <f>VLOOKUP(AF316,Lookup!AU$3:AV$15,2,FALSE)</f>
        <v>#N/A</v>
      </c>
      <c r="EX316" s="1411" t="e">
        <f>VLOOKUP(EU314,Lookup_Control_Type_Table,2,FALSE)</f>
        <v>#N/A</v>
      </c>
      <c r="EY316" s="1411" t="e">
        <f>VLOOKUP(CP316,'Space Table'!$B$3:$L$160,7,FALSE)</f>
        <v>#N/A</v>
      </c>
      <c r="EZ316" s="1413"/>
      <c r="FB316" s="1365" t="str">
        <f>CONCATENATE(CN314," - ",AF316)</f>
        <v xml:space="preserve"> - </v>
      </c>
      <c r="FD316" s="1354"/>
      <c r="FE316" s="1354"/>
      <c r="FF316" s="138"/>
      <c r="FI316" s="1356" t="str">
        <f>IF(CN314="Exterior","Not Daylighted",G317)</f>
        <v>Not Daylighted</v>
      </c>
      <c r="FJ316" s="1356">
        <f>VLOOKUP(FI316,_Daylight_Table_Codes,2,FALSE)</f>
        <v>0</v>
      </c>
      <c r="FK316" s="1365">
        <f>AF316</f>
        <v>0</v>
      </c>
      <c r="FL316" s="1365" t="e">
        <f>VLOOKUP(FK316,_Control_Table,2,FALSE)</f>
        <v>#N/A</v>
      </c>
      <c r="FM316" s="1365" t="e">
        <f>IF(AND(FP316&gt;0,FK316="Occupancy Sensor"),"Daylight + Occupancy",IF(AND(FP316&gt;0,FL316&lt;4),"Interior Daylight Dimming",FK316))</f>
        <v>#N/A</v>
      </c>
      <c r="FO316" s="1364">
        <f>IF(CN314="Interior",VLOOKUP(CP314,Control_Savings_Interior,5,FALSE),0)</f>
        <v>0</v>
      </c>
      <c r="FP316" s="1361">
        <f>IF(CN316="Exterior",0,IF(FJ316=2,0.5,IF(OR(FJ316=1,FJ316=3),1,0)))</f>
        <v>0</v>
      </c>
      <c r="FQ316" s="1366">
        <f>IF(R315&gt;FO$37,(FO316*(FO$37/R315)),FO316)*FP316</f>
        <v>0</v>
      </c>
      <c r="FR316" s="1364">
        <f>DF316</f>
        <v>0</v>
      </c>
      <c r="FS316" s="1364">
        <f>ROUND(FR316+((1-FR316)*FQ316),2)</f>
        <v>0</v>
      </c>
      <c r="FT316" s="1364">
        <f>IF(__Retrofit_TI_NC=2,FS316,FR316)</f>
        <v>0</v>
      </c>
      <c r="FU316" s="1360">
        <f>IF(CO316="Interior",VLOOKUP(CP316,Control_Savings_Interior,4,FALSE),0)</f>
        <v>0</v>
      </c>
      <c r="FW316" s="1352"/>
      <c r="FX316" s="1352"/>
      <c r="FY316" s="1352"/>
      <c r="FZ316" s="1352"/>
      <c r="GA316" s="1352"/>
      <c r="GB316" s="1352"/>
      <c r="GC316" s="1352"/>
      <c r="GD316" s="1352"/>
      <c r="GE316" s="759" t="b">
        <f>IF(ISNUMBER(SEARCH("TLED",U316)),TRUE,FALSE)</f>
        <v>0</v>
      </c>
      <c r="GF316" s="1035" t="str">
        <f>IFERROR(VLOOKUP(U316,Fixtures!DM$93:DR$142,6,FALSE),"")</f>
        <v/>
      </c>
      <c r="GG316" s="1385"/>
      <c r="GI316" s="1383"/>
      <c r="GJ316" s="1379"/>
      <c r="GL316" s="1379"/>
      <c r="GM316" s="1379"/>
      <c r="HC316" s="1379"/>
      <c r="HD316" s="1379"/>
      <c r="HE316" s="1379"/>
      <c r="HF316" s="1379"/>
      <c r="HG316" s="1379"/>
      <c r="HH316" s="1379"/>
      <c r="HI316" s="1383"/>
      <c r="HJ316" s="1383"/>
      <c r="HK316" s="1383"/>
      <c r="HL316" s="1379"/>
      <c r="HM316" s="1379"/>
      <c r="HN316" s="1379"/>
      <c r="HO316" s="1379"/>
      <c r="HP316" s="1379"/>
      <c r="HQ316" s="1379"/>
      <c r="HR316" s="1379"/>
      <c r="HS316" s="1379"/>
      <c r="HT316" s="1379"/>
      <c r="HU316" s="1379"/>
      <c r="HW316" s="1383"/>
      <c r="HX316" s="1384" t="b">
        <f>HW314</f>
        <v>0</v>
      </c>
      <c r="HY316" s="1378"/>
      <c r="HZ316" s="436"/>
      <c r="IA316" s="1386"/>
      <c r="IB316" s="1380">
        <f>IF(IA314=TRUE,AC317,0)</f>
        <v>0</v>
      </c>
      <c r="IC316" s="1379"/>
      <c r="IF316" s="1380" t="e">
        <f>ROUND(T316*AB317*N315*R315/1000,0)</f>
        <v>#VALUE!</v>
      </c>
      <c r="IG316" s="1382"/>
      <c r="IH316" s="1384" t="e">
        <f>ROUND(T316*AB317*N315*R315/1000,0)</f>
        <v>#VALUE!</v>
      </c>
      <c r="II316" s="1382"/>
      <c r="IK316" s="1351" t="e">
        <f>IF($CO316="interior",IL316/2,VLOOKUP($CP316,Control_Savings_Exterior,IK$30,FALSE))</f>
        <v>#N/A</v>
      </c>
      <c r="IL316" s="1351" t="e">
        <f>IF($CO316="interior",VLOOKUP($CP316,Control_Savings_Interior,IL$30,FALSE),VLOOKUP($CP316,Control_Savings_Exterior,IL$30,FALSE))</f>
        <v>#N/A</v>
      </c>
      <c r="IM316" s="1351" t="e">
        <f>IF($CO316="interior",IF(R315&gt;FO$37,(IM$28*(FO$37/R315)),IM$28)*FP316,VLOOKUP($CP316,Control_Savings_Exterior,IM$30,FALSE))</f>
        <v>#N/A</v>
      </c>
      <c r="IN316" s="1351" t="e">
        <f>IF($CO316="interior",ROUND(((1-IL316)*IM316)+IL316,2),VLOOKUP($CP316,Control_Savings_Exterior,IN$30,FALSE))</f>
        <v>#N/A</v>
      </c>
      <c r="IO316" s="1351" t="e">
        <f>IF($CO316="interior", ROUND(((1-IL316)*(IM316*(1-IP$28)))+IP316,2), VLOOKUP($CP316,Control_Savings_Exterior,IO$30,FALSE))</f>
        <v>#N/A</v>
      </c>
      <c r="IP316" s="1351">
        <f>IF($CO316="interior",ROUND(((1-IL316)*IP$28)+IL316,2),0)</f>
        <v>0</v>
      </c>
    </row>
    <row r="317" spans="1:250" s="82" customFormat="1" ht="14.95" customHeight="1" thickTop="1" thickBot="1">
      <c r="B317" s="1421"/>
      <c r="C317" s="1422"/>
      <c r="D317" s="1423"/>
      <c r="E317" s="1462" t="s">
        <v>357</v>
      </c>
      <c r="F317" s="1463"/>
      <c r="G317" s="1464" t="s">
        <v>362</v>
      </c>
      <c r="H317" s="1465"/>
      <c r="I317" s="1465"/>
      <c r="J317" s="1465"/>
      <c r="K317" s="1465"/>
      <c r="L317" s="1466"/>
      <c r="M317" s="669">
        <f>IFERROR(VLOOKUP(G317,_Daylight_Table[],2,FALSE),0)</f>
        <v>0</v>
      </c>
      <c r="N317" s="670"/>
      <c r="O317" s="669" t="e">
        <f>VLOOKUP(G316,'Space Table'!$B$3:$L$160,11,FALSE)</f>
        <v>#N/A</v>
      </c>
      <c r="P317" s="1408"/>
      <c r="Q317" s="1409"/>
      <c r="R317" s="1409"/>
      <c r="S317" s="1402"/>
      <c r="T317" s="671" t="s">
        <v>281</v>
      </c>
      <c r="U317" s="1467" t="str">
        <f>IFERROR(VLOOKUP(U316,Fixtures!DM$93:DP$142,4,FALSE),"")</f>
        <v/>
      </c>
      <c r="V317" s="1468"/>
      <c r="W317" s="1468"/>
      <c r="X317" s="1468"/>
      <c r="Y317" s="1468"/>
      <c r="Z317" s="1468"/>
      <c r="AA317" s="1468"/>
      <c r="AB317" s="1046" t="str">
        <f>IFERROR(VLOOKUP(U316,Fixtures_Proposed_List,2,FALSE),"")</f>
        <v/>
      </c>
      <c r="AC317" s="1036" t="str">
        <f>IFERROR(ROUND(T316*AB317*N315*R315/1000,0),"")</f>
        <v/>
      </c>
      <c r="AD317" s="1037" t="str">
        <f>IFERROR(ROUND(T316*AB317/1000,2),"")</f>
        <v/>
      </c>
      <c r="AE317" s="1045" t="s">
        <v>281</v>
      </c>
      <c r="AF317" s="1469"/>
      <c r="AG317" s="1469"/>
      <c r="AH317" s="1469"/>
      <c r="AI317" s="1469"/>
      <c r="AJ317" s="1476"/>
      <c r="AK317" s="1471"/>
      <c r="AL317" s="1473"/>
      <c r="AM317" s="1443"/>
      <c r="AN317" s="1444"/>
      <c r="AO317" s="1449"/>
      <c r="AP317" s="1449"/>
      <c r="AQ317" s="1450"/>
      <c r="AR317" s="1453"/>
      <c r="AS317" s="1456"/>
      <c r="AT317" s="1459"/>
      <c r="AU317" s="517"/>
      <c r="AV317" s="1480"/>
      <c r="AW317" s="1480"/>
      <c r="BC317" s="38"/>
      <c r="BD317" s="38"/>
      <c r="BE317" s="38"/>
      <c r="BF317" s="38"/>
      <c r="BG317" s="38"/>
      <c r="BH317" s="38"/>
      <c r="BI317" s="38"/>
      <c r="BJ317" s="38"/>
      <c r="BK317" s="38"/>
      <c r="BL317" s="38"/>
      <c r="BM317" s="38"/>
      <c r="BN317" s="38"/>
      <c r="BO317" s="38"/>
      <c r="BP317" s="38"/>
      <c r="BQ317" s="38"/>
      <c r="BR317" s="38"/>
      <c r="BS317" s="38"/>
      <c r="BT317" s="38"/>
      <c r="BU317" s="38"/>
      <c r="BV317" s="38"/>
      <c r="BW317" s="38"/>
      <c r="BX317" s="38"/>
      <c r="BY317" s="38"/>
      <c r="BZ317" s="38"/>
      <c r="CA317" s="38"/>
      <c r="CB317" s="38"/>
      <c r="CC317" s="38"/>
      <c r="CD317" s="38"/>
      <c r="CE317" s="38"/>
      <c r="CF317" s="38"/>
      <c r="CG317" s="38"/>
      <c r="CH317" s="38"/>
      <c r="CI317" s="38"/>
      <c r="CM317" s="1352"/>
      <c r="CN317" s="1352"/>
      <c r="CO317" s="1416"/>
      <c r="CP317" s="1418"/>
      <c r="CR317" s="1386"/>
      <c r="CS317" s="1355"/>
      <c r="CT317" s="1355"/>
      <c r="CU317" s="1375"/>
      <c r="CV317" s="1372"/>
      <c r="CW317" s="1372"/>
      <c r="CX317" s="1372"/>
      <c r="CY317" s="1487"/>
      <c r="CZ317" s="1487"/>
      <c r="DA317" s="1487"/>
      <c r="DC317" s="1355"/>
      <c r="DD317" s="1355"/>
      <c r="DE317" s="1375"/>
      <c r="DF317" s="1407"/>
      <c r="DG317" s="1372"/>
      <c r="DH317" s="1369"/>
      <c r="DK317" s="1484"/>
      <c r="DL317" s="1420"/>
      <c r="DN317" s="1403"/>
      <c r="DO317" s="1405"/>
      <c r="DP317" s="1355"/>
      <c r="DQ317" s="1405"/>
      <c r="DR317" s="1403"/>
      <c r="DS317" s="1489"/>
      <c r="DU317" s="1403"/>
      <c r="DV317" s="1405"/>
      <c r="DW317" s="1403"/>
      <c r="DX317" s="1403"/>
      <c r="DZ317" s="1481"/>
      <c r="EA317" s="1481"/>
      <c r="EC317" s="1482"/>
      <c r="ED317" s="1369"/>
      <c r="EE317" s="1372"/>
      <c r="EF317" s="1369"/>
      <c r="EG317" s="1369"/>
      <c r="EH317" s="1375"/>
      <c r="EI317" s="1375"/>
      <c r="EJ317" s="1363"/>
      <c r="EK317" s="1376"/>
      <c r="EL317" s="1376"/>
      <c r="EM317" s="1362"/>
      <c r="EN317" s="1362"/>
      <c r="EO317" s="1363"/>
      <c r="EP317" s="1363"/>
      <c r="EQ317" s="1363"/>
      <c r="ES317" s="1403"/>
      <c r="EU317" s="1488"/>
      <c r="EV317" s="1488"/>
      <c r="EW317" s="1488"/>
      <c r="EX317" s="1488"/>
      <c r="EY317" s="1488"/>
      <c r="EZ317" s="1414"/>
      <c r="FB317" s="1365"/>
      <c r="FD317" s="1355"/>
      <c r="FE317" s="1355"/>
      <c r="FF317" s="138"/>
      <c r="FI317" s="1357"/>
      <c r="FJ317" s="1357"/>
      <c r="FK317" s="1365"/>
      <c r="FL317" s="1365"/>
      <c r="FM317" s="1365"/>
      <c r="FO317" s="1361"/>
      <c r="FP317" s="1361"/>
      <c r="FQ317" s="1366"/>
      <c r="FR317" s="1361"/>
      <c r="FS317" s="1361"/>
      <c r="FT317" s="1361"/>
      <c r="FU317" s="1360"/>
      <c r="FW317" s="1352"/>
      <c r="FX317" s="1352"/>
      <c r="FY317" s="1352"/>
      <c r="FZ317" s="1352"/>
      <c r="GA317" s="1352"/>
      <c r="GB317" s="1352"/>
      <c r="GC317" s="1352"/>
      <c r="GD317" s="1352"/>
      <c r="GE317" s="759"/>
      <c r="GF317" s="1035"/>
      <c r="GG317" s="1385"/>
      <c r="GJ317" s="1034">
        <f>IF(GJ315=TRUE,0,GJ$16)</f>
        <v>0</v>
      </c>
      <c r="GL317" s="1034">
        <f>IF(GL315=TRUE,0,GL$16)</f>
        <v>36</v>
      </c>
      <c r="GM317" s="1034">
        <f>IF(GM315=TRUE,0,GM$16)</f>
        <v>35</v>
      </c>
      <c r="GN317" s="436"/>
      <c r="GO317" s="436"/>
      <c r="GP317" s="436"/>
      <c r="GQ317" s="436"/>
      <c r="GR317" s="436"/>
      <c r="HC317" s="1034">
        <f t="shared" ref="HC317:HH317" si="226">IF(HC315=TRUE,0,HC$16)</f>
        <v>19</v>
      </c>
      <c r="HD317" s="1034">
        <f t="shared" si="226"/>
        <v>18</v>
      </c>
      <c r="HE317" s="1034">
        <f t="shared" si="226"/>
        <v>17</v>
      </c>
      <c r="HF317" s="1034">
        <f t="shared" si="226"/>
        <v>16</v>
      </c>
      <c r="HG317" s="1034">
        <f t="shared" si="226"/>
        <v>0</v>
      </c>
      <c r="HH317" s="1034">
        <f t="shared" si="226"/>
        <v>0</v>
      </c>
      <c r="HI317" s="1034">
        <f>IF(HI315=TRUE,0,HI$16)</f>
        <v>13</v>
      </c>
      <c r="HJ317" s="1034">
        <f t="shared" ref="HJ317:HL317" si="227">IF(HJ315=TRUE,0,HJ$16)</f>
        <v>12</v>
      </c>
      <c r="HK317" s="1034">
        <f t="shared" si="227"/>
        <v>11</v>
      </c>
      <c r="HL317" s="1034">
        <f t="shared" si="227"/>
        <v>10</v>
      </c>
      <c r="HM317" s="1034">
        <f>IF(HM315=TRUE,0,HM$16)</f>
        <v>9</v>
      </c>
      <c r="HN317" s="1034">
        <f t="shared" ref="HN317:HR317" si="228">IF(HN315=TRUE,0,HN$16)</f>
        <v>0</v>
      </c>
      <c r="HO317" s="1034">
        <f t="shared" si="228"/>
        <v>0</v>
      </c>
      <c r="HP317" s="1034">
        <f t="shared" si="228"/>
        <v>0</v>
      </c>
      <c r="HQ317" s="1034">
        <f t="shared" si="228"/>
        <v>0</v>
      </c>
      <c r="HR317" s="1034">
        <f t="shared" si="228"/>
        <v>0</v>
      </c>
      <c r="HS317" s="1034">
        <f>IF(HS315=TRUE,0,HS$16)</f>
        <v>0</v>
      </c>
      <c r="HT317" s="1034">
        <f t="shared" ref="HT317" si="229">IF(HT315=TRUE,0,HT$16)</f>
        <v>0</v>
      </c>
      <c r="HU317" s="1034">
        <f>IF(HU315=TRUE,0,HU$16)</f>
        <v>1</v>
      </c>
      <c r="HW317" s="1034">
        <f>IF(GL315=FALSE,GL317,IF(GM315=FALSE,GM317,MAX(GJ317:HU317)))</f>
        <v>36</v>
      </c>
      <c r="HX317" s="1383"/>
      <c r="HY317" s="241" t="str">
        <f>VLOOKUP(HW317,_Error_Table,3,FALSE)</f>
        <v xml:space="preserve"> </v>
      </c>
      <c r="HZ317" s="241"/>
      <c r="IA317" s="1386"/>
      <c r="IB317" s="1380"/>
      <c r="IC317" s="1379"/>
      <c r="IF317" s="1380"/>
      <c r="IG317" s="1383"/>
      <c r="IH317" s="1383"/>
      <c r="II317" s="1383"/>
      <c r="IK317" s="1351"/>
      <c r="IL317" s="1351"/>
      <c r="IM317" s="1351"/>
      <c r="IN317" s="1351"/>
      <c r="IO317" s="1351"/>
      <c r="IP317" s="1351"/>
    </row>
    <row r="318" spans="1:250" s="82" customFormat="1" ht="5.0999999999999996" customHeight="1" thickBot="1">
      <c r="B318" s="763"/>
      <c r="C318" s="1038"/>
      <c r="D318" s="1038"/>
      <c r="E318" s="1490"/>
      <c r="F318" s="1490"/>
      <c r="G318" s="1490"/>
      <c r="H318" s="1490"/>
      <c r="I318" s="1490"/>
      <c r="J318" s="1490"/>
      <c r="K318" s="1490"/>
      <c r="L318" s="1490"/>
      <c r="M318" s="1490"/>
      <c r="N318" s="1490"/>
      <c r="O318" s="1490"/>
      <c r="P318" s="1490"/>
      <c r="Q318" s="1490"/>
      <c r="R318" s="1490"/>
      <c r="S318" s="1490"/>
      <c r="T318" s="1490"/>
      <c r="U318" s="1490"/>
      <c r="V318" s="1490"/>
      <c r="W318" s="1490"/>
      <c r="X318" s="1490"/>
      <c r="Y318" s="1490"/>
      <c r="Z318" s="1490"/>
      <c r="AA318" s="1490"/>
      <c r="AB318" s="1490"/>
      <c r="AC318" s="1490"/>
      <c r="AD318" s="1490"/>
      <c r="AE318" s="1490"/>
      <c r="AF318" s="1490"/>
      <c r="AG318" s="1490"/>
      <c r="AH318" s="1490"/>
      <c r="AI318" s="1490"/>
      <c r="AJ318" s="1490"/>
      <c r="AK318" s="1490"/>
      <c r="AL318" s="1490"/>
      <c r="AM318" s="1490"/>
      <c r="AN318" s="1490"/>
      <c r="AO318" s="1490"/>
      <c r="AP318" s="1490"/>
      <c r="AQ318" s="1490"/>
      <c r="AR318" s="1490"/>
      <c r="AS318" s="1490"/>
      <c r="AT318" s="1490"/>
      <c r="AU318" s="1041"/>
      <c r="BC318" s="38"/>
      <c r="BD318" s="38"/>
      <c r="BE318" s="38"/>
      <c r="BF318" s="38"/>
      <c r="BG318" s="38"/>
      <c r="BH318" s="38"/>
      <c r="BI318" s="38"/>
      <c r="BJ318" s="38"/>
      <c r="BK318" s="38"/>
      <c r="BL318" s="38"/>
      <c r="BM318" s="38"/>
      <c r="BN318" s="38"/>
      <c r="BO318" s="38"/>
      <c r="BP318" s="38"/>
      <c r="BQ318" s="38"/>
      <c r="BR318" s="38"/>
      <c r="BS318" s="38"/>
      <c r="BT318" s="38"/>
      <c r="BU318" s="38"/>
      <c r="BV318" s="38"/>
      <c r="BW318" s="38"/>
      <c r="BX318" s="38"/>
      <c r="BY318" s="38"/>
      <c r="BZ318" s="38"/>
      <c r="CA318" s="38"/>
      <c r="CB318" s="38"/>
      <c r="CC318" s="38"/>
      <c r="CD318" s="38"/>
      <c r="CE318" s="38"/>
      <c r="CF318" s="38"/>
      <c r="CG318" s="38"/>
      <c r="CH318" s="38"/>
      <c r="CI318" s="38"/>
      <c r="CM318" s="749"/>
      <c r="CN318" s="749"/>
      <c r="CO318" s="1043"/>
      <c r="CP318" s="749"/>
      <c r="CS318" s="436"/>
      <c r="CT318" s="436"/>
      <c r="CU318" s="243"/>
      <c r="CV318" s="244"/>
      <c r="CW318" s="244"/>
      <c r="CX318" s="244"/>
      <c r="CY318" s="245"/>
      <c r="CZ318" s="245"/>
      <c r="DA318" s="245"/>
      <c r="DC318" s="750"/>
      <c r="DD318" s="751"/>
      <c r="DE318" s="752"/>
      <c r="DF318" s="753"/>
      <c r="DG318" s="754"/>
      <c r="DH318" s="754"/>
      <c r="DK318" s="244"/>
      <c r="DL318" s="750"/>
      <c r="DN318" s="750"/>
      <c r="DO318" s="755"/>
      <c r="DP318" s="436"/>
      <c r="DQ318" s="750"/>
      <c r="DR318" s="750"/>
      <c r="DS318" s="750"/>
      <c r="DU318" s="750"/>
      <c r="DV318" s="750"/>
      <c r="DW318" s="750"/>
      <c r="DX318" s="750"/>
      <c r="DZ318" s="756"/>
      <c r="EA318" s="756"/>
      <c r="EC318" s="754"/>
      <c r="ED318" s="754"/>
      <c r="EE318" s="244"/>
      <c r="EF318" s="754"/>
      <c r="EG318" s="754"/>
      <c r="EH318" s="243"/>
      <c r="EI318" s="243"/>
      <c r="EJ318" s="752"/>
      <c r="EK318" s="757"/>
      <c r="EL318" s="757"/>
      <c r="EM318" s="758"/>
      <c r="EN318" s="758"/>
      <c r="EO318" s="752"/>
      <c r="EP318" s="752"/>
      <c r="EQ318" s="752"/>
      <c r="ES318" s="750"/>
      <c r="EU318" s="436"/>
      <c r="EV318" s="436"/>
      <c r="EW318" s="436"/>
      <c r="EX318" s="436"/>
      <c r="EY318" s="436"/>
      <c r="EZ318" s="436"/>
      <c r="FB318" s="643"/>
      <c r="FD318" s="436"/>
      <c r="FE318" s="436"/>
      <c r="FF318" s="436"/>
      <c r="FO318" s="750"/>
      <c r="FP318" s="436"/>
      <c r="FQ318" s="436"/>
      <c r="FR318" s="750"/>
      <c r="FS318" s="750"/>
      <c r="FW318" s="749"/>
      <c r="FX318" s="749"/>
      <c r="FY318" s="749"/>
      <c r="FZ318" s="749"/>
      <c r="GA318" s="749"/>
      <c r="GB318" s="749"/>
      <c r="GC318" s="749"/>
      <c r="GD318" s="749"/>
      <c r="GE318" s="751"/>
      <c r="GF318" s="750"/>
      <c r="GG318" s="750"/>
    </row>
    <row r="319" spans="1:250" s="82" customFormat="1" ht="14.95" customHeight="1" thickTop="1" thickBot="1">
      <c r="B319" s="1421" t="str">
        <f>HY322</f>
        <v xml:space="preserve"> </v>
      </c>
      <c r="C319" s="1422">
        <f>C314+1</f>
        <v>55</v>
      </c>
      <c r="D319" s="1423"/>
      <c r="E319" s="1424" t="s">
        <v>242</v>
      </c>
      <c r="F319" s="1425"/>
      <c r="G319" s="1426"/>
      <c r="H319" s="1427"/>
      <c r="I319" s="1427"/>
      <c r="J319" s="1427"/>
      <c r="K319" s="1427"/>
      <c r="L319" s="1427"/>
      <c r="M319" s="1427"/>
      <c r="N319" s="1427"/>
      <c r="O319" s="1427"/>
      <c r="P319" s="1427"/>
      <c r="Q319" s="1427"/>
      <c r="R319" s="1427"/>
      <c r="S319" s="1428" t="s">
        <v>283</v>
      </c>
      <c r="T319" s="668" t="s">
        <v>190</v>
      </c>
      <c r="U319" s="1430" t="s">
        <v>186</v>
      </c>
      <c r="V319" s="1431"/>
      <c r="W319" s="1431"/>
      <c r="X319" s="1431"/>
      <c r="Y319" s="1431"/>
      <c r="Z319" s="1431"/>
      <c r="AA319" s="1431"/>
      <c r="AB319" s="1088" t="str">
        <f>IFERROR(IF(__Retrofit_TI_NC=0,VLOOKUP(U320,Fixtures_Existing_List,2,FALSE),ROUND(N321*R321/T321,10)),"")</f>
        <v/>
      </c>
      <c r="AC319" s="1039" t="str">
        <f>IFERROR(IF(__Retrofit_TI_NC=0,ROUND(T320*AB319*N320*R320/1000,0),IF(CN319="Interior",N321*R321*R320*N320*_C406_reduction/1000,N321*R321*R320*N320/1000)),"")</f>
        <v/>
      </c>
      <c r="AD319" s="1040" t="str">
        <f>IFERROR(IF(C$36=0,ROUND(T320*AB319/1000,2),N321*R321/1000),"")</f>
        <v/>
      </c>
      <c r="AE319" s="1044" t="s">
        <v>190</v>
      </c>
      <c r="AF319" s="1432" t="str">
        <f>IF(__Retrofit_TI_NC=2,CONCATENATE("Code min = ",DD319),IF(__Retrofit_TI_NC=1,"Emter what you think the existing control was"," Control"))</f>
        <v xml:space="preserve"> Control</v>
      </c>
      <c r="AG319" s="1432"/>
      <c r="AH319" s="1432"/>
      <c r="AI319" s="1432"/>
      <c r="AJ319" s="1433">
        <f>DF319</f>
        <v>0</v>
      </c>
      <c r="AK319" s="1435" t="str">
        <f>IFERROR(ROUND(AJ319*AC319,0),"")</f>
        <v/>
      </c>
      <c r="AL319" s="1437">
        <f>IFERROR(IF(HW319=FALSE,0,AC319-AK319),0)</f>
        <v>0</v>
      </c>
      <c r="AM319" s="1439">
        <f>AL319-AL321</f>
        <v>0</v>
      </c>
      <c r="AN319" s="1440"/>
      <c r="AO319" s="1445">
        <f>IFERROR(IF(HW319=FALSE,0,(T321*U322)+(AE321*AF322)),0)</f>
        <v>0</v>
      </c>
      <c r="AP319" s="1445"/>
      <c r="AQ319" s="1446"/>
      <c r="AR319" s="1451" t="s">
        <v>157</v>
      </c>
      <c r="AS319" s="1454">
        <f>IF(AR319="Yes",1,0)</f>
        <v>1</v>
      </c>
      <c r="AT319" s="1457" t="str">
        <f>IF(OR(DN319=4,DN319=5,DN319=6,DN319=12),CONCATENATE("$",IF(GD319=TRUE,Lookup!$B$11,Lookup!$B$2)," /lamp"),CONCATENATE(EA319,"/ kWh"))</f>
        <v>0/ kWh</v>
      </c>
      <c r="AU319" s="516"/>
      <c r="AV319" s="1478">
        <f>IFERROR(IF(GI320=TRUE,(AB322*T321)/R321,0),"NA")</f>
        <v>0</v>
      </c>
      <c r="AW319" s="1478" t="str">
        <f>IFERROR(N321*_C406_reduction,"NA")</f>
        <v>NA</v>
      </c>
      <c r="BC319" s="38"/>
      <c r="BD319" s="38"/>
      <c r="BE319" s="38"/>
      <c r="BF319" s="38"/>
      <c r="BG319" s="38"/>
      <c r="BH319" s="38"/>
      <c r="BI319" s="38"/>
      <c r="BJ319" s="38"/>
      <c r="BK319" s="38"/>
      <c r="BL319" s="38"/>
      <c r="BM319" s="38"/>
      <c r="BN319" s="38"/>
      <c r="BO319" s="38"/>
      <c r="BP319" s="38"/>
      <c r="BQ319" s="38"/>
      <c r="BR319" s="38"/>
      <c r="BS319" s="38"/>
      <c r="BT319" s="38"/>
      <c r="BU319" s="38"/>
      <c r="BV319" s="38"/>
      <c r="BW319" s="38"/>
      <c r="BX319" s="38"/>
      <c r="BY319" s="38"/>
      <c r="BZ319" s="38"/>
      <c r="CA319" s="38"/>
      <c r="CB319" s="38"/>
      <c r="CC319" s="38"/>
      <c r="CD319" s="38"/>
      <c r="CE319" s="38"/>
      <c r="CF319" s="38"/>
      <c r="CG319" s="38"/>
      <c r="CH319" s="38"/>
      <c r="CI319" s="38"/>
      <c r="CM319" s="1352" t="str">
        <f>N320</f>
        <v/>
      </c>
      <c r="CN319" s="1352" t="str">
        <f>IFERROR(VLOOKUP(G320,_Lookup_Heat_Type_Table_New,3,FALSE),"")</f>
        <v/>
      </c>
      <c r="CO319" s="1415" t="str">
        <f>CN319</f>
        <v/>
      </c>
      <c r="CP319" s="1417" t="e">
        <f>VLOOKUP(G321,'Space Table'!$B$3:$L$160,9,FALSE)</f>
        <v>#N/A</v>
      </c>
      <c r="CR319" s="1386" t="s">
        <v>283</v>
      </c>
      <c r="CS319" s="1353">
        <f>IF(HW319=TRUE,T320,0)</f>
        <v>0</v>
      </c>
      <c r="CT319" s="1353" t="str">
        <f>IF(HW319=TRUE,U320,"")</f>
        <v/>
      </c>
      <c r="CU319" s="1353"/>
      <c r="CV319" s="1370">
        <f>IF(HW319=TRUE,AB319,0)</f>
        <v>0</v>
      </c>
      <c r="CW319" s="1370">
        <f>IF(HW319=TRUE,AC319,0)</f>
        <v>0</v>
      </c>
      <c r="CX319" s="1370">
        <f>IFERROR(IF(HW319=TRUE,CW319-CW321,0),0)</f>
        <v>0</v>
      </c>
      <c r="CY319" s="1485">
        <f>IF(HW319=TRUE,AD319,0)</f>
        <v>0</v>
      </c>
      <c r="CZ319" s="1485">
        <f>IF(HW319=TRUE,AD322,0)</f>
        <v>0</v>
      </c>
      <c r="DA319" s="1485">
        <f>IFERROR(CY319-CZ319,0)</f>
        <v>0</v>
      </c>
      <c r="DC319" s="1353">
        <f>IF(HW319=TRUE,AE320,0)</f>
        <v>0</v>
      </c>
      <c r="DD319" s="1460">
        <f>IF(__Retrofit_TI_NC=2,IF(CN319="Exterior",O322,FM319),FK319)</f>
        <v>0</v>
      </c>
      <c r="DE319" s="1353"/>
      <c r="DF319" s="1406">
        <f>IFERROR(IF(FL319=3,IK319,IF(FL319=4,IL319,IF(FL319=5,IM319,IF(FL319=6,IN319,IF(FL319=7,IO319,IF(FL319=8,IP319,0)))))),0)</f>
        <v>0</v>
      </c>
      <c r="DG319" s="1370">
        <f>IF(HW319=TRUE,AK319,0)</f>
        <v>0</v>
      </c>
      <c r="DH319" s="1369">
        <f>IFERROR(IF(HW319=TRUE,DG321-DG319,0),0)</f>
        <v>0</v>
      </c>
      <c r="DJ319" s="1483">
        <f>IFERROR(CW319-DG319,0)</f>
        <v>0</v>
      </c>
      <c r="DL319" s="1419">
        <f>DJ319-DK321</f>
        <v>0</v>
      </c>
      <c r="DN319" s="1403" t="str">
        <f>IFERROR(IF(AND(OR(FY319=4,FY319=5,FY319=6),OR(GB319=4,GB319=5,GB319=6)),FY319+8,VLOOKUP(CT321,Fixtures!R$31:Y$78,8,FALSE)),"")</f>
        <v/>
      </c>
      <c r="DO319" s="1404" t="str">
        <f>DN319</f>
        <v/>
      </c>
      <c r="DP319" s="1353" t="str">
        <f>IFERROR(VLOOKUP(DD321,Lookup!AU$3:AV$15,2,FALSE),"")</f>
        <v/>
      </c>
      <c r="DQ319" s="1404" t="str">
        <f>IF(DP319=7,"LLLC","")</f>
        <v/>
      </c>
      <c r="DR319" s="1403">
        <f>IFERROR(IF(OR(DN319=4,DN319=5,DN319=6,DN319=12,DN319=13,DN319=14),VLOOKUP(CT321,Fixtures!DN$27:EG$77,19,FALSE),1)*CS321,0)</f>
        <v>0</v>
      </c>
      <c r="DS319" s="1489">
        <f>IF(DP319=7,IF(DD319=DD321,0,DC321),0)</f>
        <v>0</v>
      </c>
      <c r="DU319" s="1403" t="str">
        <f>IFERROR(IF(EW319&lt;EW321,"Yes","No"),"")</f>
        <v/>
      </c>
      <c r="DV319" s="1404" t="str">
        <f>DU319</f>
        <v/>
      </c>
      <c r="DW319" s="1403">
        <f>IF(DU319="Yes",DC321,0)</f>
        <v>0</v>
      </c>
      <c r="DX319" s="1403">
        <f>DW319-DS319</f>
        <v>0</v>
      </c>
      <c r="DZ319" s="1481">
        <f>IFERROR(VLOOKUP(DN319,Lookup!AN$3:AO$16,2,FALSE),0)</f>
        <v>0</v>
      </c>
      <c r="EA319" s="1481">
        <f>IF(HW319=FALSE,0,IF(DU319="Yes",DZ319+Lookup!B$6,DZ319))</f>
        <v>0</v>
      </c>
      <c r="EC319" s="1482">
        <f>IF(HW319=TRUE,DJ319,0)</f>
        <v>0</v>
      </c>
      <c r="ED319" s="1369">
        <f>IF(HW319=TRUE,CW321,0)</f>
        <v>0</v>
      </c>
      <c r="EE319" s="1370">
        <f>IFERROR(EC319-ED319,0)</f>
        <v>0</v>
      </c>
      <c r="EF319" s="1369">
        <f>IF(HW319=TRUE,DG321,0)</f>
        <v>0</v>
      </c>
      <c r="EG319" s="1369">
        <f>IFERROR(EC319-ED319+EF319,0)</f>
        <v>0</v>
      </c>
      <c r="EH319" s="1373">
        <f>IF(HW319=TRUE,CS321*CU321,0)</f>
        <v>0</v>
      </c>
      <c r="EI319" s="1373">
        <f>IF(HW319=TRUE,DC321*DE321,0)</f>
        <v>0</v>
      </c>
      <c r="EJ319" s="1363">
        <f>AO319</f>
        <v>0</v>
      </c>
      <c r="EK319" s="1376" t="str">
        <f>IFERROR(IF(HW319=TRUE,VLOOKUP(DN319,Lookup!AN$3:AP$16,3,FALSE)*DR319,""),0)</f>
        <v/>
      </c>
      <c r="EL319" s="1376">
        <f>IF(HW319=TRUE,DW319*Lookup!AP$12,0)</f>
        <v>0</v>
      </c>
      <c r="EM319" s="1362">
        <f>IFERROR(IF(HW319=TRUE,EK319/EM$33,0),0)</f>
        <v>0</v>
      </c>
      <c r="EN319" s="1362">
        <f>IF(HW319=TRUE,EL319/EN$33,0)</f>
        <v>0</v>
      </c>
      <c r="EO319" s="1363">
        <f>IF(HW319=TRUE,EQ$33*EM319,0)</f>
        <v>0</v>
      </c>
      <c r="EP319" s="1363">
        <f>IF(HW319=TRUE,EQ$33*EN319,0)</f>
        <v>0</v>
      </c>
      <c r="EQ319" s="1363">
        <f>EO319+EP319</f>
        <v>0</v>
      </c>
      <c r="ES319" s="1403">
        <f>IF(G319="",0,1)</f>
        <v>0</v>
      </c>
      <c r="EU319" s="1410" t="e">
        <f>VLOOKUP(CP321,'Space Table'!$B$3:$L$160,8,FALSE)</f>
        <v>#N/A</v>
      </c>
      <c r="EV319" s="1410" t="e">
        <f>IF(EY319="Yes",VLOOKUP(DD319,Lookup_Control_Type_Table2,4,FALSE),VLOOKUP(DD319,Lookup_Control_Type_Table2,3,FALSE))</f>
        <v>#N/A</v>
      </c>
      <c r="EW319" s="1410" t="e">
        <f>VLOOKUP(DD319,Lookup!AU$3:AV$15,2,FALSE)</f>
        <v>#N/A</v>
      </c>
      <c r="EX319" s="1410" t="e">
        <f>VLOOKUP(EU319,Lookup_Control_Type_Table,2,FALSE)</f>
        <v>#N/A</v>
      </c>
      <c r="EY319" s="1410" t="e">
        <f>VLOOKUP(CP321,'Space Table'!$B$3:$L$160,7,FALSE)</f>
        <v>#N/A</v>
      </c>
      <c r="EZ319" s="1412" t="b">
        <f>ISNUMBER(SEARCH("TLED",U321))</f>
        <v>0</v>
      </c>
      <c r="FB319" s="1365" t="str">
        <f>CONCATENATE(CN319," - ",DD319)</f>
        <v xml:space="preserve"> - 0</v>
      </c>
      <c r="FD319" s="1353" t="str">
        <f>VLOOKUP(CT321,Fixtures!DN$27:EZ$77,38,FALSE)</f>
        <v/>
      </c>
      <c r="FE319" s="1353">
        <f>IFERROR(FD319*EE319,0)</f>
        <v>0</v>
      </c>
      <c r="FF319" s="138"/>
      <c r="FI319" s="1356" t="str">
        <f>IF(CN319="Exterior","Not Daylighted",G322)</f>
        <v>Not Daylighted</v>
      </c>
      <c r="FJ319" s="1356">
        <f>VLOOKUP(FI319,_Daylight_Table_Codes,2,FALSE)</f>
        <v>0</v>
      </c>
      <c r="FK319" s="1365">
        <f>IF(__Retrofit_TI_NC=2,VLOOKUP(G321,'Space Table'!$B$3:$L$160,11,FALSE),AF320)</f>
        <v>0</v>
      </c>
      <c r="FL319" s="1365" t="e">
        <f>VLOOKUP(FK319,_Control_Table,2,FALSE)</f>
        <v>#N/A</v>
      </c>
      <c r="FM319" s="1365" t="e">
        <f>IF(AND(FP319&gt;0,FK319="Occupancy Sensor"),"Daylight + Occupancy",IF(AND(FP319&gt;0,FL319&lt;4),"Interior Daylight Dimming",FK319))</f>
        <v>#N/A</v>
      </c>
      <c r="FO319" s="1364">
        <f>IF(CO319="Interior",VLOOKUP(CP319,Control_Savings_Interior,5,FALSE),0)</f>
        <v>0</v>
      </c>
      <c r="FP319" s="1361">
        <f>IF(CN319="Exterior",0,IF(FJ319=2,0.5,IF(OR(FJ319=1,FJ319=3),1,0)))</f>
        <v>0</v>
      </c>
      <c r="FQ319" s="1366"/>
      <c r="FR319" s="1367"/>
      <c r="FS319" s="1364"/>
      <c r="FT319" s="1367"/>
      <c r="FU319" s="1360"/>
      <c r="FW319" s="1352" t="str">
        <f>IFERROR(VLOOKUP(U320,_Exist_Fixture_Table,3,FALSE),"")</f>
        <v/>
      </c>
      <c r="FX319" s="1352" t="str">
        <f>VLOOKUP(CT319,_Exist_Fixture_Table,4,FALSE)</f>
        <v/>
      </c>
      <c r="FY319" s="1352">
        <f>IFERROR(VLOOKUP(FX319,Lookup!AM$6:AN$8,2,FALSE),0)</f>
        <v>0</v>
      </c>
      <c r="FZ319" s="1352" t="b">
        <f>IFERROR(IF(OR(GB319=4,GB319=5,GB319=6),TRUE,FALSE),"")</f>
        <v>0</v>
      </c>
      <c r="GA319" s="1352" t="str">
        <f>IFERROR(VLOOKUP(GB319,FY$6:FZ$10,2,FALSE),"")</f>
        <v/>
      </c>
      <c r="GB319" s="1352" t="str">
        <f>VLOOKUP(CT321,Fixtures!R$31:Y$78,8,FALSE)</f>
        <v/>
      </c>
      <c r="GC319" s="1352">
        <f>IF(AND(FW319=TRUE,FZ319=TRUE,OR(DN319=12,DN319=13,DN319=14)),FY319+8,0)</f>
        <v>0</v>
      </c>
      <c r="GD319" s="1352" t="b">
        <f>IF(OR(GC319=12,GC319=13,GC319=14),TRUE,FALSE)</f>
        <v>0</v>
      </c>
      <c r="GE319" s="759" t="b">
        <f>IF(ISNUMBER(SEARCH("TLED",U320)),TRUE,FALSE)</f>
        <v>0</v>
      </c>
      <c r="GF319" s="1035" t="str">
        <f>IFERROR(VLOOKUP(U320,Fixtures!BM$93:BR$142,6,FALSE),"")</f>
        <v/>
      </c>
      <c r="GG319" s="1385" t="b">
        <f>IF(OR(GE319=FALSE,GE321=FALSE),TRUE,IF(GF319-GF321&lt;5,FALSE,TRUE))</f>
        <v>1</v>
      </c>
      <c r="GK319" s="1034">
        <f>GL319</f>
        <v>0</v>
      </c>
      <c r="GL319" s="1034">
        <f>IF(G319="",0,1)</f>
        <v>0</v>
      </c>
      <c r="GM319" s="1034">
        <f>SUM(GN319:HB319)</f>
        <v>2</v>
      </c>
      <c r="GN319" s="1034">
        <f>IF(G320="",0,1)</f>
        <v>0</v>
      </c>
      <c r="GO319" s="1034">
        <f>IF(G321="",0,1)</f>
        <v>0</v>
      </c>
      <c r="GP319" s="1034">
        <f>IF(R320="",0,1)</f>
        <v>0</v>
      </c>
      <c r="GQ319" s="1034">
        <f>IF(__Retrofit_TI_NC=0,1,IF(R321="",0,1))</f>
        <v>1</v>
      </c>
      <c r="GR319" s="1034">
        <f>IF(CN319="Exterior",1,IF(G322="",0,1))</f>
        <v>1</v>
      </c>
      <c r="GS319" s="1034">
        <f>IF(__Retrofit_TI_NC&lt;&gt;0,1,IF(T320="",0,1))</f>
        <v>0</v>
      </c>
      <c r="GT319" s="1034">
        <f>IF(__Retrofit_TI_NC&lt;&gt;0,1,IF(U320="",0,1))</f>
        <v>0</v>
      </c>
      <c r="GU319" s="1034">
        <f>IF(T321="",0,1)</f>
        <v>0</v>
      </c>
      <c r="GV319" s="1034">
        <f>IF(U321="",0,1)</f>
        <v>0</v>
      </c>
      <c r="GW319" s="1034">
        <f>IF(__Retrofit_TI_NC=2,1,IF(U322="",0,1))</f>
        <v>0</v>
      </c>
      <c r="GX319" s="1034">
        <f>IF(__Retrofit_TI_NC&lt;&gt;0,1,IF(AE320="",0,1))</f>
        <v>0</v>
      </c>
      <c r="GY319" s="1034">
        <f>IF(__Retrofit_TI_NC&lt;&gt;0,1,IF(AF320="",0,1))</f>
        <v>0</v>
      </c>
      <c r="GZ319" s="1034">
        <f>IF(AE321="",0,1)</f>
        <v>0</v>
      </c>
      <c r="HA319" s="1034">
        <f>IF(AF321="",0,1)</f>
        <v>0</v>
      </c>
      <c r="HB319" s="1034">
        <f>IF(__Retrofit_TI_NC=2,1,IF(AF322="",0,1))</f>
        <v>0</v>
      </c>
      <c r="HV319" s="436"/>
      <c r="HW319" s="1384" t="b">
        <f>IF(OR(HW322=0,HW322=HT$16,HW322=HS$16,HW322=HU$16),TRUE,FALSE)</f>
        <v>0</v>
      </c>
      <c r="HX319" s="1377" t="b">
        <f>HW319</f>
        <v>0</v>
      </c>
      <c r="HY319" s="436"/>
      <c r="HZ319" s="436"/>
      <c r="IA319" s="1386" t="b">
        <f>IF(MAX(GJ322:HP322)&gt;5,FALSE,TRUE)</f>
        <v>0</v>
      </c>
      <c r="IB319" s="1380">
        <f>IF(IA319=TRUE,AC319,0)</f>
        <v>0</v>
      </c>
      <c r="IC319" s="1380">
        <f>IB319-IB321</f>
        <v>0</v>
      </c>
      <c r="IF319" s="1380" t="e">
        <f>ROUND(T320*VLOOKUP(U320,Fixtures_Existing_List,2,FALSE)*N320*R320/1000,0)</f>
        <v>#N/A</v>
      </c>
      <c r="IG319" s="1381" t="e">
        <f>IF319-IF321</f>
        <v>#N/A</v>
      </c>
      <c r="IH319" s="1384" t="e">
        <f>ROUND(IF(CN319="Interior",N321*R321*R320*N320*_C406_reduction/1000,N321*R321*R320*N320/1000),0)</f>
        <v>#N/A</v>
      </c>
      <c r="II319" s="1384" t="e">
        <f>IH319-IH321</f>
        <v>#N/A</v>
      </c>
      <c r="IK319" s="1351" t="e">
        <f>IF($CO319="interior",IL319/2,VLOOKUP($CP319,Control_Savings_Exterior,IK$30,FALSE))</f>
        <v>#N/A</v>
      </c>
      <c r="IL319" s="1351" t="e">
        <f>IF($CO319="interior",VLOOKUP($CP319,Control_Savings_Interior,IL$30,FALSE),VLOOKUP($CP319,Control_Savings_Exterior,IL$30,FALSE))</f>
        <v>#N/A</v>
      </c>
      <c r="IM319" s="1351" t="e">
        <f>IF($CO319="interior",IF(R320&gt;FO$37,(IM$28*(FO$37/R320)),IM$28)*FP319,VLOOKUP($CP319,Control_Savings_Exterior,IM$30,FALSE))</f>
        <v>#N/A</v>
      </c>
      <c r="IN319" s="1351" t="e">
        <f>IF($CO319="interior",ROUND(((1-IL319)*IM319)+IL319,2),VLOOKUP($CP319,Control_Savings_Exterior,IN$30,FALSE))</f>
        <v>#N/A</v>
      </c>
      <c r="IO319" s="1351" t="e">
        <f>IF($CO319="interior", ROUND(((1-IL319)*(IM319*(1-IP$28)))+IP319,2), VLOOKUP($CP319,Control_Savings_Exterior,IO$30,FALSE))</f>
        <v>#N/A</v>
      </c>
      <c r="IP319" s="1351">
        <f>IF($CO319="interior",ROUND(((1-IL319)*IP$28)+IL319,2),0)</f>
        <v>0</v>
      </c>
    </row>
    <row r="320" spans="1:250" s="82" customFormat="1" ht="14.95" customHeight="1" thickTop="1" thickBot="1">
      <c r="B320" s="1421"/>
      <c r="C320" s="1422"/>
      <c r="D320" s="1423"/>
      <c r="E320" s="1393" t="s">
        <v>244</v>
      </c>
      <c r="F320" s="1394"/>
      <c r="G320" s="1395"/>
      <c r="H320" s="1395"/>
      <c r="I320" s="1395"/>
      <c r="J320" s="1395"/>
      <c r="K320" s="1395"/>
      <c r="L320" s="1395"/>
      <c r="M320" s="509" t="e">
        <f>IF(__Retrofit_TI_NC&lt;&gt;0,IF(VLOOKUP(G321,'Space Table'!$B$3:$L$160,3,FALSE)&gt;0,1,0),IF(__Retrofit_TI_NC=VLOOKUP(G321,'Space Table'!$B$3:$L$160,3,FALSE),1,0))</f>
        <v>#N/A</v>
      </c>
      <c r="N320" s="509" t="str">
        <f>IFERROR(VLOOKUP(G320,_Lookup_Heat_Type_Table_New,2,FALSE),"")</f>
        <v/>
      </c>
      <c r="O320" s="509">
        <f>IF(__Retrofit_TI_NC=1,CONCATENATE("TI ",G320),IF(__Retrofit_TI_NC=2,CONCATENATE("NC ",G320),G320))</f>
        <v>0</v>
      </c>
      <c r="P320" s="1396" t="s">
        <v>352</v>
      </c>
      <c r="Q320" s="1396"/>
      <c r="R320" s="673"/>
      <c r="S320" s="1429"/>
      <c r="T320" s="675"/>
      <c r="U320" s="1496"/>
      <c r="V320" s="1497"/>
      <c r="W320" s="1497"/>
      <c r="X320" s="1497"/>
      <c r="Y320" s="1497"/>
      <c r="Z320" s="1497"/>
      <c r="AA320" s="1497"/>
      <c r="AB320" s="1497"/>
      <c r="AC320" s="1497"/>
      <c r="AD320" s="1498"/>
      <c r="AE320" s="675"/>
      <c r="AF320" s="1397"/>
      <c r="AG320" s="1397"/>
      <c r="AH320" s="1397"/>
      <c r="AI320" s="1397"/>
      <c r="AJ320" s="1434"/>
      <c r="AK320" s="1436"/>
      <c r="AL320" s="1438"/>
      <c r="AM320" s="1441"/>
      <c r="AN320" s="1442"/>
      <c r="AO320" s="1447"/>
      <c r="AP320" s="1447"/>
      <c r="AQ320" s="1448"/>
      <c r="AR320" s="1452"/>
      <c r="AS320" s="1455"/>
      <c r="AT320" s="1458"/>
      <c r="AU320" s="516"/>
      <c r="AV320" s="1479"/>
      <c r="AW320" s="1479"/>
      <c r="BC320" s="38"/>
      <c r="BD320" s="38"/>
      <c r="BE320" s="38"/>
      <c r="BF320" s="38"/>
      <c r="BG320" s="38"/>
      <c r="BH320" s="38"/>
      <c r="BI320" s="38"/>
      <c r="BJ320" s="38"/>
      <c r="BK320" s="38"/>
      <c r="BL320" s="38"/>
      <c r="BM320" s="38"/>
      <c r="BN320" s="38"/>
      <c r="BO320" s="38"/>
      <c r="BP320" s="38"/>
      <c r="BQ320" s="38"/>
      <c r="BR320" s="38"/>
      <c r="BS320" s="38"/>
      <c r="BT320" s="38"/>
      <c r="BU320" s="38"/>
      <c r="BV320" s="38"/>
      <c r="BW320" s="38"/>
      <c r="BX320" s="38"/>
      <c r="BY320" s="38"/>
      <c r="BZ320" s="38"/>
      <c r="CA320" s="38"/>
      <c r="CB320" s="38"/>
      <c r="CC320" s="38"/>
      <c r="CD320" s="38"/>
      <c r="CE320" s="38"/>
      <c r="CF320" s="38"/>
      <c r="CG320" s="38"/>
      <c r="CH320" s="38"/>
      <c r="CI320" s="38"/>
      <c r="CM320" s="1352"/>
      <c r="CN320" s="1352"/>
      <c r="CO320" s="1416"/>
      <c r="CP320" s="1418"/>
      <c r="CR320" s="1386"/>
      <c r="CS320" s="1355"/>
      <c r="CT320" s="1355"/>
      <c r="CU320" s="1355"/>
      <c r="CV320" s="1372"/>
      <c r="CW320" s="1372"/>
      <c r="CX320" s="1371"/>
      <c r="CY320" s="1486"/>
      <c r="CZ320" s="1486"/>
      <c r="DA320" s="1486"/>
      <c r="DC320" s="1355"/>
      <c r="DD320" s="1461"/>
      <c r="DE320" s="1355"/>
      <c r="DF320" s="1407"/>
      <c r="DG320" s="1372"/>
      <c r="DH320" s="1369"/>
      <c r="DJ320" s="1484"/>
      <c r="DL320" s="1419"/>
      <c r="DN320" s="1403"/>
      <c r="DO320" s="1405"/>
      <c r="DP320" s="1354"/>
      <c r="DQ320" s="1405"/>
      <c r="DR320" s="1403"/>
      <c r="DS320" s="1489"/>
      <c r="DU320" s="1403"/>
      <c r="DV320" s="1405"/>
      <c r="DW320" s="1403"/>
      <c r="DX320" s="1403"/>
      <c r="DZ320" s="1481"/>
      <c r="EA320" s="1481"/>
      <c r="EC320" s="1482"/>
      <c r="ED320" s="1369"/>
      <c r="EE320" s="1371"/>
      <c r="EF320" s="1369"/>
      <c r="EG320" s="1369"/>
      <c r="EH320" s="1374"/>
      <c r="EI320" s="1374"/>
      <c r="EJ320" s="1363"/>
      <c r="EK320" s="1376"/>
      <c r="EL320" s="1376"/>
      <c r="EM320" s="1362"/>
      <c r="EN320" s="1362"/>
      <c r="EO320" s="1363"/>
      <c r="EP320" s="1363"/>
      <c r="EQ320" s="1363"/>
      <c r="ES320" s="1403"/>
      <c r="EU320" s="1411"/>
      <c r="EV320" s="1411"/>
      <c r="EW320" s="1411"/>
      <c r="EX320" s="1411"/>
      <c r="EY320" s="1411"/>
      <c r="EZ320" s="1413"/>
      <c r="FB320" s="1365"/>
      <c r="FD320" s="1354"/>
      <c r="FE320" s="1354"/>
      <c r="FF320" s="138"/>
      <c r="FI320" s="1357"/>
      <c r="FJ320" s="1357"/>
      <c r="FK320" s="1365"/>
      <c r="FL320" s="1365"/>
      <c r="FM320" s="1365"/>
      <c r="FO320" s="1361"/>
      <c r="FP320" s="1361"/>
      <c r="FQ320" s="1366"/>
      <c r="FR320" s="1368"/>
      <c r="FS320" s="1361"/>
      <c r="FT320" s="1368"/>
      <c r="FU320" s="1360"/>
      <c r="FW320" s="1352"/>
      <c r="FX320" s="1352"/>
      <c r="FY320" s="1352"/>
      <c r="FZ320" s="1352"/>
      <c r="GA320" s="1352"/>
      <c r="GB320" s="1352"/>
      <c r="GC320" s="1352"/>
      <c r="GD320" s="1352"/>
      <c r="GE320" s="759"/>
      <c r="GF320" s="1035"/>
      <c r="GG320" s="1385"/>
      <c r="GI320" s="1384" t="b">
        <f>IF(AND(GL320=TRUE,GM320=TRUE),TRUE,FALSE)</f>
        <v>0</v>
      </c>
      <c r="GJ320" s="1379" t="b">
        <f>IFERROR(IF(__Retrofit_TI_NC=2,TRUE,IF(AR319="Yes",TRUE,FALSE)),FALSE)</f>
        <v>1</v>
      </c>
      <c r="GL320" s="1379" t="b">
        <f>IFERROR(IF(GL319=1,TRUE,FALSE),FALSE)</f>
        <v>0</v>
      </c>
      <c r="GM320" s="1379" t="b">
        <f>IFERROR(IF(GM319=GM$14,TRUE,FALSE),FALSE)</f>
        <v>0</v>
      </c>
      <c r="HC320" s="1379" t="b">
        <f>IFERROR(IF(M320=1,TRUE,FALSE),FALSE)</f>
        <v>0</v>
      </c>
      <c r="HD320" s="1379" t="b">
        <f>IFERROR(IF(M321=1,TRUE,FALSE),FALSE)</f>
        <v>0</v>
      </c>
      <c r="HE320" s="1379" t="b">
        <f>IFERROR(IF(__Retrofit_TI_NC&lt;&gt;0,TRUE,IFERROR(IF(VLOOKUP(U320,Fixtures_Existing_List,2,FALSE)&lt;&gt;"",TRUE,FALSE),FALSE)),FALSE)</f>
        <v>0</v>
      </c>
      <c r="HF320" s="1379" t="b">
        <f>IFERROR(IF(VLOOKUP(U321,Fixtures_Proposed_List,2,FALSE)&lt;&gt;"",TRUE,FALSE),FALSE)</f>
        <v>0</v>
      </c>
      <c r="HG320" s="1379" t="b">
        <f>IF(AND(__Retrofit_TI_NC=2,EZ319=TRUE),FALSE,TRUE)</f>
        <v>1</v>
      </c>
      <c r="HH320" s="1379" t="b">
        <f>GG319</f>
        <v>1</v>
      </c>
      <c r="HI320" s="1384" t="b">
        <f>IF(ISERROR(MATCH(FB319,_Control_Match[],0))=TRUE,FALSE,TRUE)</f>
        <v>0</v>
      </c>
      <c r="HJ320" s="1384" t="b">
        <f>IFERROR(IF(EU319&lt;&gt;EV319,FALSE,TRUE),FALSE)</f>
        <v>0</v>
      </c>
      <c r="HK320" s="1384" t="b">
        <f>IFERROR(IF(EU321&lt;&gt;EV321,FALSE,TRUE),FALSE)</f>
        <v>0</v>
      </c>
      <c r="HL320" s="1379" t="b">
        <f>IFERROR(IF(CN319="Exterior",TRUE,IF(OR(AND(FJ319=0,EW321&gt;4),AND(FJ319=4,EW321&gt;4,EW321&lt;7)),FALSE,TRUE)),FALSE)</f>
        <v>0</v>
      </c>
      <c r="HM320" s="1379" t="b">
        <f>IFERROR(IF(AND(FL321=7,EZ319=TRUE),FALSE,TRUE),FALSE)</f>
        <v>0</v>
      </c>
      <c r="HN320" s="1379" t="b">
        <f>IFERROR(IF(AND(T321&lt;&gt;AE321,AF321="Interior LLLC")=TRUE,FALSE,TRUE),FALSE)</f>
        <v>1</v>
      </c>
      <c r="HO320" s="1379" t="b">
        <f>IFERROR(IF(OR(AF321=Lookup!AU$13,AF321=Lookup!AU$14)=TRUE,IF(AE321&gt;T321,FALSE,TRUE),TRUE),FALSE)</f>
        <v>1</v>
      </c>
      <c r="HP320" s="1379" t="b">
        <f>IFERROR(IF(__Retrofit_TI_NC=2,IF(EW321&lt;EW319,FALSE,TRUE),TRUE),FALSE)</f>
        <v>1</v>
      </c>
      <c r="HQ320" s="1379" t="b">
        <f>IF(CN319="Interior",IG$6,TRUE)</f>
        <v>1</v>
      </c>
      <c r="HR320" s="1379" t="b">
        <f>IF(CN319="Exterior",IG$8,TRUE)</f>
        <v>1</v>
      </c>
      <c r="HS320" s="1379" t="b">
        <f>IFERROR(IF(__Retrofit_TI_NC&lt;&gt;0,IF(AW319&lt;AV319,FALSE,TRUE),TRUE),FALSE)</f>
        <v>1</v>
      </c>
      <c r="HT320" s="1379" t="b">
        <f>IFERROR(IF(AND(G320="Exterior",R320&gt;4200),FALSE,TRUE),FALSE)</f>
        <v>1</v>
      </c>
      <c r="HU320" s="1379" t="b">
        <f>IFERROR(IF(AB322/AB319&lt;HU$18,FALSE,TRUE),FALSE)</f>
        <v>0</v>
      </c>
      <c r="HW320" s="1382"/>
      <c r="HX320" s="1378"/>
      <c r="HY320" s="1377" t="str">
        <f>VLOOKUP(HW322,_Error_Table,4,FALSE)</f>
        <v>White</v>
      </c>
      <c r="HZ320" s="436"/>
      <c r="IA320" s="1386"/>
      <c r="IB320" s="1380"/>
      <c r="IC320" s="1379"/>
      <c r="IF320" s="1380"/>
      <c r="IG320" s="1382"/>
      <c r="IH320" s="1382"/>
      <c r="II320" s="1382"/>
      <c r="IK320" s="1351"/>
      <c r="IL320" s="1351"/>
      <c r="IM320" s="1351"/>
      <c r="IN320" s="1351"/>
      <c r="IO320" s="1351"/>
      <c r="IP320" s="1351"/>
    </row>
    <row r="321" spans="1:250" s="82" customFormat="1" ht="14.95" customHeight="1" thickTop="1" thickBot="1">
      <c r="A321" s="82">
        <f>ROW()</f>
        <v>321</v>
      </c>
      <c r="B321" s="1421"/>
      <c r="C321" s="1422"/>
      <c r="D321" s="1423"/>
      <c r="E321" s="1393" t="s">
        <v>245</v>
      </c>
      <c r="F321" s="1394"/>
      <c r="G321" s="1398"/>
      <c r="H321" s="1399"/>
      <c r="I321" s="1399"/>
      <c r="J321" s="1399"/>
      <c r="K321" s="1399"/>
      <c r="L321" s="1400"/>
      <c r="M321" s="509">
        <f>IFERROR(IF(IF(__Retrofit_TI_NC&lt;&gt;0,IF(CN319="Interior",MATCH(G321,Lookup_Interior_New,0),MATCH(G321,Lookup_Exterior_New,0)),IF(CN319="Interior",MATCH(G321,Lookup_Interior,0),MATCH(G321,Lookup_Exterior_Areas,0)))&gt;0,1,0),0)</f>
        <v>0</v>
      </c>
      <c r="N321" s="509" t="e">
        <f>IF(__Retrofit_TI_NC=1,
VLOOKUP(G321,'Space Table'!$B$3:$L$160,4,FALSE),
IF(__Retrofit_TI_NC=2,VLOOKUP(G321,'Space Table'!$B$3:$L$160,5,FALSE),VLOOKUP(G321,'Space Table'!$B$3:$L$160,5,FALSE)))</f>
        <v>#N/A</v>
      </c>
      <c r="O321" s="509">
        <f>G321</f>
        <v>0</v>
      </c>
      <c r="P321" s="1394" t="s">
        <v>355</v>
      </c>
      <c r="Q321" s="1394"/>
      <c r="R321" s="674"/>
      <c r="S321" s="1401" t="s">
        <v>284</v>
      </c>
      <c r="T321" s="672"/>
      <c r="U321" s="1499"/>
      <c r="V321" s="1500"/>
      <c r="W321" s="1500"/>
      <c r="X321" s="1500"/>
      <c r="Y321" s="1500"/>
      <c r="Z321" s="1500"/>
      <c r="AA321" s="1500"/>
      <c r="AB321" s="1501"/>
      <c r="AC321" s="1501"/>
      <c r="AD321" s="1502"/>
      <c r="AE321" s="672"/>
      <c r="AF321" s="1474"/>
      <c r="AG321" s="1474"/>
      <c r="AH321" s="1474"/>
      <c r="AI321" s="1474"/>
      <c r="AJ321" s="1475">
        <f>DF321</f>
        <v>0</v>
      </c>
      <c r="AK321" s="1470" t="str">
        <f>IFERROR(ROUND(AJ321*AC322,0),"")</f>
        <v/>
      </c>
      <c r="AL321" s="1472">
        <f>IFERROR(IF(HW319=FALSE,0,AC322-AK321),0)</f>
        <v>0</v>
      </c>
      <c r="AM321" s="1441"/>
      <c r="AN321" s="1442"/>
      <c r="AO321" s="1447"/>
      <c r="AP321" s="1447"/>
      <c r="AQ321" s="1448"/>
      <c r="AR321" s="1452"/>
      <c r="AS321" s="1455"/>
      <c r="AT321" s="1458"/>
      <c r="AU321" s="516"/>
      <c r="AV321" s="1479"/>
      <c r="AW321" s="1479"/>
      <c r="BC321" s="38"/>
      <c r="BD321" s="38"/>
      <c r="BE321" s="38"/>
      <c r="BF321" s="38"/>
      <c r="BG321" s="38"/>
      <c r="BH321" s="38"/>
      <c r="BI321" s="38"/>
      <c r="BJ321" s="38"/>
      <c r="BK321" s="38"/>
      <c r="BL321" s="38"/>
      <c r="BM321" s="38"/>
      <c r="BN321" s="38"/>
      <c r="BO321" s="38"/>
      <c r="BP321" s="38"/>
      <c r="BQ321" s="38"/>
      <c r="BR321" s="38"/>
      <c r="BS321" s="38"/>
      <c r="BT321" s="38"/>
      <c r="BU321" s="38"/>
      <c r="BV321" s="38"/>
      <c r="BW321" s="38"/>
      <c r="BX321" s="38"/>
      <c r="BY321" s="38"/>
      <c r="BZ321" s="38"/>
      <c r="CA321" s="38"/>
      <c r="CB321" s="38"/>
      <c r="CC321" s="38"/>
      <c r="CD321" s="38"/>
      <c r="CE321" s="38"/>
      <c r="CF321" s="38"/>
      <c r="CG321" s="38"/>
      <c r="CH321" s="38"/>
      <c r="CI321" s="38"/>
      <c r="CM321" s="1352"/>
      <c r="CN321" s="1352"/>
      <c r="CO321" s="1415" t="str">
        <f>CN319</f>
        <v/>
      </c>
      <c r="CP321" s="1417" t="e">
        <f>CP319</f>
        <v>#N/A</v>
      </c>
      <c r="CR321" s="1386" t="s">
        <v>284</v>
      </c>
      <c r="CS321" s="1353">
        <f>IF(HW319=TRUE,T321,0)</f>
        <v>0</v>
      </c>
      <c r="CT321" s="1353" t="str">
        <f>IF(HW319=TRUE,U321,"")</f>
        <v/>
      </c>
      <c r="CU321" s="1373">
        <f>IF(HW319=TRUE,U322,0)</f>
        <v>0</v>
      </c>
      <c r="CV321" s="1370">
        <f>IF(HW319=TRUE,AB322,0)</f>
        <v>0</v>
      </c>
      <c r="CW321" s="1370">
        <f>IF(HW319=TRUE,AC322,0)</f>
        <v>0</v>
      </c>
      <c r="CX321" s="1371"/>
      <c r="CY321" s="1486"/>
      <c r="CZ321" s="1486"/>
      <c r="DA321" s="1486"/>
      <c r="DC321" s="1353">
        <f>IF(HW319=TRUE,AE321,0)</f>
        <v>0</v>
      </c>
      <c r="DD321" s="1353" t="str">
        <f>IF(HW319=TRUE,AF321,"")</f>
        <v/>
      </c>
      <c r="DE321" s="1373">
        <f>AF322</f>
        <v>0</v>
      </c>
      <c r="DF321" s="1406">
        <f>IFERROR(IF(FL321=3,IK321,IF(FL321=4,IL321,IF(FL321=5,IM321,IF(FL321=6,IN321,IF(FL321=7,IO321,IF(FL321=8,IP321,0)))))),0)</f>
        <v>0</v>
      </c>
      <c r="DG321" s="1370">
        <f>IF(HW319=TRUE,AK321,0)</f>
        <v>0</v>
      </c>
      <c r="DH321" s="1369"/>
      <c r="DK321" s="1483">
        <f>IFERROR(CW321-DG321,0)</f>
        <v>0</v>
      </c>
      <c r="DL321" s="1420"/>
      <c r="DN321" s="1403"/>
      <c r="DO321" s="1477" t="str">
        <f>DN319</f>
        <v/>
      </c>
      <c r="DP321" s="1354"/>
      <c r="DQ321" s="1477" t="str">
        <f>IF(DP319=7,"LLLC","")</f>
        <v/>
      </c>
      <c r="DR321" s="1403"/>
      <c r="DS321" s="1489"/>
      <c r="DU321" s="1403"/>
      <c r="DV321" s="1404" t="str">
        <f>DU319</f>
        <v/>
      </c>
      <c r="DW321" s="1403"/>
      <c r="DX321" s="1403"/>
      <c r="DZ321" s="1481"/>
      <c r="EA321" s="1481"/>
      <c r="EC321" s="1482"/>
      <c r="ED321" s="1369"/>
      <c r="EE321" s="1371"/>
      <c r="EF321" s="1369"/>
      <c r="EG321" s="1369"/>
      <c r="EH321" s="1374"/>
      <c r="EI321" s="1374"/>
      <c r="EJ321" s="1363"/>
      <c r="EK321" s="1376"/>
      <c r="EL321" s="1376"/>
      <c r="EM321" s="1362"/>
      <c r="EN321" s="1362"/>
      <c r="EO321" s="1363"/>
      <c r="EP321" s="1363"/>
      <c r="EQ321" s="1363"/>
      <c r="ES321" s="1403"/>
      <c r="EU321" s="1411" t="e">
        <f>VLOOKUP(CP321,'Space Table'!$B$3:$L$160,8,FALSE)</f>
        <v>#N/A</v>
      </c>
      <c r="EV321" s="1411" t="e">
        <f>IF(EY321="Yes",VLOOKUP(AF321,Lookup_Control_Type_Table2,4,FALSE),VLOOKUP(AF321,Lookup_Control_Type_Table2,3,FALSE))</f>
        <v>#N/A</v>
      </c>
      <c r="EW321" s="1411" t="e">
        <f>VLOOKUP(AF321,Lookup!AU$3:AV$15,2,FALSE)</f>
        <v>#N/A</v>
      </c>
      <c r="EX321" s="1411" t="e">
        <f>VLOOKUP(EU319,Lookup_Control_Type_Table,2,FALSE)</f>
        <v>#N/A</v>
      </c>
      <c r="EY321" s="1411" t="e">
        <f>VLOOKUP(CP321,'Space Table'!$B$3:$L$160,7,FALSE)</f>
        <v>#N/A</v>
      </c>
      <c r="EZ321" s="1413"/>
      <c r="FB321" s="1365" t="str">
        <f>CONCATENATE(CN319," - ",AF321)</f>
        <v xml:space="preserve"> - </v>
      </c>
      <c r="FD321" s="1354"/>
      <c r="FE321" s="1354"/>
      <c r="FF321" s="138"/>
      <c r="FI321" s="1356" t="str">
        <f>IF(CN319="Exterior","Not Daylighted",G322)</f>
        <v>Not Daylighted</v>
      </c>
      <c r="FJ321" s="1356">
        <f>VLOOKUP(FI321,_Daylight_Table_Codes,2,FALSE)</f>
        <v>0</v>
      </c>
      <c r="FK321" s="1365">
        <f>AF321</f>
        <v>0</v>
      </c>
      <c r="FL321" s="1365" t="e">
        <f>VLOOKUP(FK321,_Control_Table,2,FALSE)</f>
        <v>#N/A</v>
      </c>
      <c r="FM321" s="1365" t="e">
        <f>IF(AND(FP321&gt;0,FK321="Occupancy Sensor"),"Daylight + Occupancy",IF(AND(FP321&gt;0,FL321&lt;4),"Interior Daylight Dimming",FK321))</f>
        <v>#N/A</v>
      </c>
      <c r="FO321" s="1364">
        <f>IF(CN319="Interior",VLOOKUP(CP319,Control_Savings_Interior,5,FALSE),0)</f>
        <v>0</v>
      </c>
      <c r="FP321" s="1361">
        <f>IF(CN321="Exterior",0,IF(FJ321=2,0.5,IF(OR(FJ321=1,FJ321=3),1,0)))</f>
        <v>0</v>
      </c>
      <c r="FQ321" s="1366">
        <f>IF(R320&gt;FO$37,(FO321*(FO$37/R320)),FO321)*FP321</f>
        <v>0</v>
      </c>
      <c r="FR321" s="1364">
        <f>DF321</f>
        <v>0</v>
      </c>
      <c r="FS321" s="1364">
        <f>ROUND(FR321+((1-FR321)*FQ321),2)</f>
        <v>0</v>
      </c>
      <c r="FT321" s="1364">
        <f>IF(__Retrofit_TI_NC=2,FS321,FR321)</f>
        <v>0</v>
      </c>
      <c r="FU321" s="1360">
        <f>IF(CO321="Interior",VLOOKUP(CP321,Control_Savings_Interior,4,FALSE),0)</f>
        <v>0</v>
      </c>
      <c r="FW321" s="1352"/>
      <c r="FX321" s="1352"/>
      <c r="FY321" s="1352"/>
      <c r="FZ321" s="1352"/>
      <c r="GA321" s="1352"/>
      <c r="GB321" s="1352"/>
      <c r="GC321" s="1352"/>
      <c r="GD321" s="1352"/>
      <c r="GE321" s="759" t="b">
        <f>IF(ISNUMBER(SEARCH("TLED",U321)),TRUE,FALSE)</f>
        <v>0</v>
      </c>
      <c r="GF321" s="1035" t="str">
        <f>IFERROR(VLOOKUP(U321,Fixtures!DM$93:DR$142,6,FALSE),"")</f>
        <v/>
      </c>
      <c r="GG321" s="1385"/>
      <c r="GI321" s="1383"/>
      <c r="GJ321" s="1379"/>
      <c r="GL321" s="1379"/>
      <c r="GM321" s="1379"/>
      <c r="HC321" s="1379"/>
      <c r="HD321" s="1379"/>
      <c r="HE321" s="1379"/>
      <c r="HF321" s="1379"/>
      <c r="HG321" s="1379"/>
      <c r="HH321" s="1379"/>
      <c r="HI321" s="1383"/>
      <c r="HJ321" s="1383"/>
      <c r="HK321" s="1383"/>
      <c r="HL321" s="1379"/>
      <c r="HM321" s="1379"/>
      <c r="HN321" s="1379"/>
      <c r="HO321" s="1379"/>
      <c r="HP321" s="1379"/>
      <c r="HQ321" s="1379"/>
      <c r="HR321" s="1379"/>
      <c r="HS321" s="1379"/>
      <c r="HT321" s="1379"/>
      <c r="HU321" s="1379"/>
      <c r="HW321" s="1383"/>
      <c r="HX321" s="1384" t="b">
        <f>HW319</f>
        <v>0</v>
      </c>
      <c r="HY321" s="1378"/>
      <c r="HZ321" s="436"/>
      <c r="IA321" s="1386"/>
      <c r="IB321" s="1380">
        <f>IF(IA319=TRUE,AC322,0)</f>
        <v>0</v>
      </c>
      <c r="IC321" s="1379"/>
      <c r="IF321" s="1380" t="e">
        <f>ROUND(T321*AB322*N320*R320/1000,0)</f>
        <v>#VALUE!</v>
      </c>
      <c r="IG321" s="1382"/>
      <c r="IH321" s="1384" t="e">
        <f>ROUND(T321*AB322*N320*R320/1000,0)</f>
        <v>#VALUE!</v>
      </c>
      <c r="II321" s="1382"/>
      <c r="IK321" s="1351" t="e">
        <f>IF($CO321="interior",IL321/2,VLOOKUP($CP321,Control_Savings_Exterior,IK$30,FALSE))</f>
        <v>#N/A</v>
      </c>
      <c r="IL321" s="1351" t="e">
        <f>IF($CO321="interior",VLOOKUP($CP321,Control_Savings_Interior,IL$30,FALSE),VLOOKUP($CP321,Control_Savings_Exterior,IL$30,FALSE))</f>
        <v>#N/A</v>
      </c>
      <c r="IM321" s="1351" t="e">
        <f>IF($CO321="interior",IF(R320&gt;FO$37,(IM$28*(FO$37/R320)),IM$28)*FP321,VLOOKUP($CP321,Control_Savings_Exterior,IM$30,FALSE))</f>
        <v>#N/A</v>
      </c>
      <c r="IN321" s="1351" t="e">
        <f>IF($CO321="interior",ROUND(((1-IL321)*IM321)+IL321,2),VLOOKUP($CP321,Control_Savings_Exterior,IN$30,FALSE))</f>
        <v>#N/A</v>
      </c>
      <c r="IO321" s="1351" t="e">
        <f>IF($CO321="interior", ROUND(((1-IL321)*(IM321*(1-IP$28)))+IP321,2), VLOOKUP($CP321,Control_Savings_Exterior,IO$30,FALSE))</f>
        <v>#N/A</v>
      </c>
      <c r="IP321" s="1351">
        <f>IF($CO321="interior",ROUND(((1-IL321)*IP$28)+IL321,2),0)</f>
        <v>0</v>
      </c>
    </row>
    <row r="322" spans="1:250" s="82" customFormat="1" ht="14.95" customHeight="1" thickTop="1" thickBot="1">
      <c r="B322" s="1421"/>
      <c r="C322" s="1422"/>
      <c r="D322" s="1423"/>
      <c r="E322" s="1462" t="s">
        <v>357</v>
      </c>
      <c r="F322" s="1463"/>
      <c r="G322" s="1464" t="s">
        <v>362</v>
      </c>
      <c r="H322" s="1465"/>
      <c r="I322" s="1465"/>
      <c r="J322" s="1465"/>
      <c r="K322" s="1465"/>
      <c r="L322" s="1466"/>
      <c r="M322" s="669">
        <f>IFERROR(VLOOKUP(G322,_Daylight_Table[],2,FALSE),0)</f>
        <v>0</v>
      </c>
      <c r="N322" s="670"/>
      <c r="O322" s="669" t="e">
        <f>VLOOKUP(G321,'Space Table'!$B$3:$L$160,11,FALSE)</f>
        <v>#N/A</v>
      </c>
      <c r="P322" s="1408"/>
      <c r="Q322" s="1409"/>
      <c r="R322" s="1409"/>
      <c r="S322" s="1402"/>
      <c r="T322" s="671" t="s">
        <v>281</v>
      </c>
      <c r="U322" s="1467" t="str">
        <f>IFERROR(VLOOKUP(U321,Fixtures!DM$93:DP$142,4,FALSE),"")</f>
        <v/>
      </c>
      <c r="V322" s="1468"/>
      <c r="W322" s="1468"/>
      <c r="X322" s="1468"/>
      <c r="Y322" s="1468"/>
      <c r="Z322" s="1468"/>
      <c r="AA322" s="1468"/>
      <c r="AB322" s="1046" t="str">
        <f>IFERROR(VLOOKUP(U321,Fixtures_Proposed_List,2,FALSE),"")</f>
        <v/>
      </c>
      <c r="AC322" s="1036" t="str">
        <f>IFERROR(ROUND(T321*AB322*N320*R320/1000,0),"")</f>
        <v/>
      </c>
      <c r="AD322" s="1037" t="str">
        <f>IFERROR(ROUND(T321*AB322/1000,2),"")</f>
        <v/>
      </c>
      <c r="AE322" s="1045" t="s">
        <v>281</v>
      </c>
      <c r="AF322" s="1469"/>
      <c r="AG322" s="1469"/>
      <c r="AH322" s="1469"/>
      <c r="AI322" s="1469"/>
      <c r="AJ322" s="1476"/>
      <c r="AK322" s="1471"/>
      <c r="AL322" s="1473"/>
      <c r="AM322" s="1443"/>
      <c r="AN322" s="1444"/>
      <c r="AO322" s="1449"/>
      <c r="AP322" s="1449"/>
      <c r="AQ322" s="1450"/>
      <c r="AR322" s="1453"/>
      <c r="AS322" s="1456"/>
      <c r="AT322" s="1459"/>
      <c r="AU322" s="517"/>
      <c r="AV322" s="1480"/>
      <c r="AW322" s="1480"/>
      <c r="BC322" s="38"/>
      <c r="BD322" s="38"/>
      <c r="BE322" s="38"/>
      <c r="BF322" s="38"/>
      <c r="BG322" s="38"/>
      <c r="BH322" s="38"/>
      <c r="BI322" s="38"/>
      <c r="BJ322" s="38"/>
      <c r="BK322" s="38"/>
      <c r="BL322" s="38"/>
      <c r="BM322" s="38"/>
      <c r="BN322" s="38"/>
      <c r="BO322" s="38"/>
      <c r="BP322" s="38"/>
      <c r="BQ322" s="38"/>
      <c r="BR322" s="38"/>
      <c r="BS322" s="38"/>
      <c r="BT322" s="38"/>
      <c r="BU322" s="38"/>
      <c r="BV322" s="38"/>
      <c r="BW322" s="38"/>
      <c r="BX322" s="38"/>
      <c r="BY322" s="38"/>
      <c r="BZ322" s="38"/>
      <c r="CA322" s="38"/>
      <c r="CB322" s="38"/>
      <c r="CC322" s="38"/>
      <c r="CD322" s="38"/>
      <c r="CE322" s="38"/>
      <c r="CF322" s="38"/>
      <c r="CG322" s="38"/>
      <c r="CH322" s="38"/>
      <c r="CI322" s="38"/>
      <c r="CM322" s="1352"/>
      <c r="CN322" s="1352"/>
      <c r="CO322" s="1416"/>
      <c r="CP322" s="1418"/>
      <c r="CR322" s="1386"/>
      <c r="CS322" s="1355"/>
      <c r="CT322" s="1355"/>
      <c r="CU322" s="1375"/>
      <c r="CV322" s="1372"/>
      <c r="CW322" s="1372"/>
      <c r="CX322" s="1372"/>
      <c r="CY322" s="1487"/>
      <c r="CZ322" s="1487"/>
      <c r="DA322" s="1487"/>
      <c r="DC322" s="1355"/>
      <c r="DD322" s="1355"/>
      <c r="DE322" s="1375"/>
      <c r="DF322" s="1407"/>
      <c r="DG322" s="1372"/>
      <c r="DH322" s="1369"/>
      <c r="DK322" s="1484"/>
      <c r="DL322" s="1420"/>
      <c r="DN322" s="1403"/>
      <c r="DO322" s="1405"/>
      <c r="DP322" s="1355"/>
      <c r="DQ322" s="1405"/>
      <c r="DR322" s="1403"/>
      <c r="DS322" s="1489"/>
      <c r="DU322" s="1403"/>
      <c r="DV322" s="1405"/>
      <c r="DW322" s="1403"/>
      <c r="DX322" s="1403"/>
      <c r="DZ322" s="1481"/>
      <c r="EA322" s="1481"/>
      <c r="EC322" s="1482"/>
      <c r="ED322" s="1369"/>
      <c r="EE322" s="1372"/>
      <c r="EF322" s="1369"/>
      <c r="EG322" s="1369"/>
      <c r="EH322" s="1375"/>
      <c r="EI322" s="1375"/>
      <c r="EJ322" s="1363"/>
      <c r="EK322" s="1376"/>
      <c r="EL322" s="1376"/>
      <c r="EM322" s="1362"/>
      <c r="EN322" s="1362"/>
      <c r="EO322" s="1363"/>
      <c r="EP322" s="1363"/>
      <c r="EQ322" s="1363"/>
      <c r="ES322" s="1403"/>
      <c r="EU322" s="1488"/>
      <c r="EV322" s="1488"/>
      <c r="EW322" s="1488"/>
      <c r="EX322" s="1488"/>
      <c r="EY322" s="1488"/>
      <c r="EZ322" s="1414"/>
      <c r="FB322" s="1365"/>
      <c r="FD322" s="1355"/>
      <c r="FE322" s="1355"/>
      <c r="FF322" s="138"/>
      <c r="FI322" s="1357"/>
      <c r="FJ322" s="1357"/>
      <c r="FK322" s="1365"/>
      <c r="FL322" s="1365"/>
      <c r="FM322" s="1365"/>
      <c r="FO322" s="1361"/>
      <c r="FP322" s="1361"/>
      <c r="FQ322" s="1366"/>
      <c r="FR322" s="1361"/>
      <c r="FS322" s="1361"/>
      <c r="FT322" s="1361"/>
      <c r="FU322" s="1360"/>
      <c r="FW322" s="1352"/>
      <c r="FX322" s="1352"/>
      <c r="FY322" s="1352"/>
      <c r="FZ322" s="1352"/>
      <c r="GA322" s="1352"/>
      <c r="GB322" s="1352"/>
      <c r="GC322" s="1352"/>
      <c r="GD322" s="1352"/>
      <c r="GE322" s="759"/>
      <c r="GF322" s="1035"/>
      <c r="GG322" s="1385"/>
      <c r="GJ322" s="1034">
        <f>IF(GJ320=TRUE,0,GJ$16)</f>
        <v>0</v>
      </c>
      <c r="GL322" s="1034">
        <f>IF(GL320=TRUE,0,GL$16)</f>
        <v>36</v>
      </c>
      <c r="GM322" s="1034">
        <f>IF(GM320=TRUE,0,GM$16)</f>
        <v>35</v>
      </c>
      <c r="GN322" s="436"/>
      <c r="GO322" s="436"/>
      <c r="GP322" s="436"/>
      <c r="GQ322" s="436"/>
      <c r="GR322" s="436"/>
      <c r="HC322" s="1034">
        <f t="shared" ref="HC322:HH322" si="230">IF(HC320=TRUE,0,HC$16)</f>
        <v>19</v>
      </c>
      <c r="HD322" s="1034">
        <f t="shared" si="230"/>
        <v>18</v>
      </c>
      <c r="HE322" s="1034">
        <f t="shared" si="230"/>
        <v>17</v>
      </c>
      <c r="HF322" s="1034">
        <f t="shared" si="230"/>
        <v>16</v>
      </c>
      <c r="HG322" s="1034">
        <f t="shared" si="230"/>
        <v>0</v>
      </c>
      <c r="HH322" s="1034">
        <f t="shared" si="230"/>
        <v>0</v>
      </c>
      <c r="HI322" s="1034">
        <f>IF(HI320=TRUE,0,HI$16)</f>
        <v>13</v>
      </c>
      <c r="HJ322" s="1034">
        <f t="shared" ref="HJ322:HL322" si="231">IF(HJ320=TRUE,0,HJ$16)</f>
        <v>12</v>
      </c>
      <c r="HK322" s="1034">
        <f t="shared" si="231"/>
        <v>11</v>
      </c>
      <c r="HL322" s="1034">
        <f t="shared" si="231"/>
        <v>10</v>
      </c>
      <c r="HM322" s="1034">
        <f>IF(HM320=TRUE,0,HM$16)</f>
        <v>9</v>
      </c>
      <c r="HN322" s="1034">
        <f t="shared" ref="HN322:HR322" si="232">IF(HN320=TRUE,0,HN$16)</f>
        <v>0</v>
      </c>
      <c r="HO322" s="1034">
        <f t="shared" si="232"/>
        <v>0</v>
      </c>
      <c r="HP322" s="1034">
        <f t="shared" si="232"/>
        <v>0</v>
      </c>
      <c r="HQ322" s="1034">
        <f t="shared" si="232"/>
        <v>0</v>
      </c>
      <c r="HR322" s="1034">
        <f t="shared" si="232"/>
        <v>0</v>
      </c>
      <c r="HS322" s="1034">
        <f>IF(HS320=TRUE,0,HS$16)</f>
        <v>0</v>
      </c>
      <c r="HT322" s="1034">
        <f t="shared" ref="HT322" si="233">IF(HT320=TRUE,0,HT$16)</f>
        <v>0</v>
      </c>
      <c r="HU322" s="1034">
        <f>IF(HU320=TRUE,0,HU$16)</f>
        <v>1</v>
      </c>
      <c r="HW322" s="1034">
        <f>IF(GL320=FALSE,GL322,IF(GM320=FALSE,GM322,MAX(GJ322:HU322)))</f>
        <v>36</v>
      </c>
      <c r="HX322" s="1383"/>
      <c r="HY322" s="241" t="str">
        <f>VLOOKUP(HW322,_Error_Table,3,FALSE)</f>
        <v xml:space="preserve"> </v>
      </c>
      <c r="HZ322" s="241"/>
      <c r="IA322" s="1386"/>
      <c r="IB322" s="1380"/>
      <c r="IC322" s="1379"/>
      <c r="IF322" s="1380"/>
      <c r="IG322" s="1383"/>
      <c r="IH322" s="1383"/>
      <c r="II322" s="1383"/>
      <c r="IK322" s="1351"/>
      <c r="IL322" s="1351"/>
      <c r="IM322" s="1351"/>
      <c r="IN322" s="1351"/>
      <c r="IO322" s="1351"/>
      <c r="IP322" s="1351"/>
    </row>
    <row r="323" spans="1:250" s="82" customFormat="1">
      <c r="B323" s="763"/>
      <c r="C323" s="1038"/>
      <c r="D323" s="1038"/>
      <c r="E323" s="1490"/>
      <c r="F323" s="1490"/>
      <c r="G323" s="1490"/>
      <c r="H323" s="1490"/>
      <c r="I323" s="1490"/>
      <c r="J323" s="1490"/>
      <c r="K323" s="1490"/>
      <c r="L323" s="1490"/>
      <c r="M323" s="1490"/>
      <c r="N323" s="1490"/>
      <c r="O323" s="1490"/>
      <c r="P323" s="1490"/>
      <c r="Q323" s="1490"/>
      <c r="R323" s="1490"/>
      <c r="S323" s="1490"/>
      <c r="T323" s="1490"/>
      <c r="U323" s="1490"/>
      <c r="V323" s="1490"/>
      <c r="W323" s="1490"/>
      <c r="X323" s="1490"/>
      <c r="Y323" s="1490"/>
      <c r="Z323" s="1490"/>
      <c r="AA323" s="1490"/>
      <c r="AB323" s="1490"/>
      <c r="AC323" s="1490"/>
      <c r="AD323" s="1490"/>
      <c r="AE323" s="1490"/>
      <c r="AF323" s="1490"/>
      <c r="AG323" s="1490"/>
      <c r="AH323" s="1490"/>
      <c r="AI323" s="1490"/>
      <c r="AJ323" s="1490"/>
      <c r="AK323" s="1490"/>
      <c r="AL323" s="1490"/>
      <c r="AM323" s="1490"/>
      <c r="AN323" s="1490"/>
      <c r="AO323" s="1490"/>
      <c r="AP323" s="1490"/>
      <c r="AQ323" s="1490"/>
      <c r="AR323" s="1490"/>
      <c r="AS323" s="1490"/>
      <c r="AT323" s="1490"/>
      <c r="AU323" s="1041"/>
      <c r="BC323" s="38"/>
      <c r="BD323" s="38"/>
      <c r="BE323" s="38"/>
      <c r="BF323" s="38"/>
      <c r="BG323" s="38"/>
      <c r="BH323" s="38"/>
      <c r="BI323" s="38"/>
      <c r="BJ323" s="38"/>
      <c r="BK323" s="38"/>
      <c r="BL323" s="38"/>
      <c r="BM323" s="38"/>
      <c r="BN323" s="38"/>
      <c r="BO323" s="38"/>
      <c r="BP323" s="38"/>
      <c r="BQ323" s="38"/>
      <c r="BR323" s="38"/>
      <c r="BS323" s="38"/>
      <c r="BT323" s="38"/>
      <c r="BU323" s="38"/>
      <c r="BV323" s="38"/>
      <c r="BW323" s="38"/>
      <c r="BX323" s="38"/>
      <c r="BY323" s="38"/>
      <c r="BZ323" s="38"/>
      <c r="CA323" s="38"/>
      <c r="CB323" s="38"/>
      <c r="CC323" s="38"/>
      <c r="CD323" s="38"/>
      <c r="CE323" s="38"/>
      <c r="CF323" s="38"/>
      <c r="CG323" s="38"/>
      <c r="CH323" s="38"/>
      <c r="CI323" s="38"/>
      <c r="CM323" s="749"/>
      <c r="CN323" s="749"/>
      <c r="CO323" s="1043"/>
      <c r="CP323" s="749"/>
      <c r="CS323" s="436"/>
      <c r="CT323" s="436"/>
      <c r="CU323" s="243"/>
      <c r="CV323" s="244"/>
      <c r="CW323" s="244"/>
      <c r="CX323" s="244"/>
      <c r="CY323" s="245"/>
      <c r="CZ323" s="245"/>
      <c r="DA323" s="245"/>
      <c r="DC323" s="750"/>
      <c r="DD323" s="751"/>
      <c r="DE323" s="752"/>
      <c r="DF323" s="753"/>
      <c r="DG323" s="754"/>
      <c r="DH323" s="754"/>
      <c r="DK323" s="244"/>
      <c r="DL323" s="750"/>
      <c r="DN323" s="750"/>
      <c r="DO323" s="755"/>
      <c r="DP323" s="436"/>
      <c r="DQ323" s="750"/>
      <c r="DR323" s="750"/>
      <c r="DS323" s="750"/>
      <c r="DU323" s="750"/>
      <c r="DV323" s="750"/>
      <c r="DW323" s="750"/>
      <c r="DX323" s="750"/>
      <c r="DZ323" s="756"/>
      <c r="EA323" s="756"/>
      <c r="EC323" s="754"/>
      <c r="ED323" s="754"/>
      <c r="EE323" s="244"/>
      <c r="EF323" s="754"/>
      <c r="EG323" s="754"/>
      <c r="EH323" s="243"/>
      <c r="EI323" s="243"/>
      <c r="EJ323" s="752"/>
      <c r="EK323" s="757"/>
      <c r="EL323" s="757"/>
      <c r="EM323" s="758"/>
      <c r="EN323" s="758"/>
      <c r="EO323" s="752"/>
      <c r="EP323" s="752"/>
      <c r="EQ323" s="752"/>
      <c r="ES323" s="750"/>
      <c r="EU323" s="436"/>
      <c r="EV323" s="436"/>
      <c r="EW323" s="436"/>
      <c r="EX323" s="436"/>
      <c r="EY323" s="436"/>
      <c r="EZ323" s="436"/>
      <c r="FB323" s="643"/>
      <c r="FD323" s="436"/>
      <c r="FE323" s="436"/>
      <c r="FF323" s="436"/>
      <c r="FO323" s="750"/>
      <c r="FP323" s="436"/>
      <c r="FQ323" s="436"/>
      <c r="FR323" s="750"/>
      <c r="FS323" s="750"/>
      <c r="FW323" s="749"/>
      <c r="FX323" s="749"/>
      <c r="FY323" s="749"/>
      <c r="FZ323" s="749"/>
      <c r="GA323" s="749"/>
      <c r="GB323" s="749"/>
      <c r="GC323" s="749"/>
      <c r="GD323" s="749"/>
      <c r="GE323" s="751"/>
      <c r="GF323" s="750"/>
      <c r="GG323" s="750"/>
    </row>
    <row r="324" spans="1:250">
      <c r="DU324" s="755"/>
      <c r="DV324" s="755"/>
      <c r="DW324" s="755"/>
      <c r="DX324" s="755"/>
      <c r="DY324" s="755"/>
      <c r="DZ324" s="755"/>
      <c r="EA324" s="755"/>
      <c r="EB324" s="755"/>
      <c r="EC324" s="764" t="s">
        <v>283</v>
      </c>
      <c r="ED324" s="764" t="s">
        <v>284</v>
      </c>
      <c r="EE324" s="764" t="s">
        <v>186</v>
      </c>
      <c r="EF324" s="764" t="s">
        <v>286</v>
      </c>
      <c r="EG324" s="764" t="s">
        <v>287</v>
      </c>
      <c r="EH324" s="764"/>
      <c r="EI324" s="764"/>
      <c r="EJ324" s="764" t="s">
        <v>288</v>
      </c>
      <c r="EK324" s="764" t="s">
        <v>186</v>
      </c>
      <c r="EL324" s="764" t="s">
        <v>286</v>
      </c>
      <c r="EM324" s="764" t="s">
        <v>186</v>
      </c>
      <c r="EN324" s="764" t="s">
        <v>286</v>
      </c>
      <c r="EO324" s="764" t="s">
        <v>186</v>
      </c>
      <c r="EP324" s="764" t="s">
        <v>286</v>
      </c>
      <c r="EQ324" s="764"/>
      <c r="ES324" s="38">
        <f>ROW()</f>
        <v>324</v>
      </c>
    </row>
    <row r="325" spans="1:250" s="82" customFormat="1" ht="20.25" customHeight="1">
      <c r="B325" s="247"/>
      <c r="C325" s="1038"/>
      <c r="D325" s="1038"/>
      <c r="E325" s="247"/>
      <c r="F325" s="247"/>
      <c r="G325" s="247"/>
      <c r="H325" s="247"/>
      <c r="I325" s="1043"/>
      <c r="J325" s="1043"/>
      <c r="K325" s="1043"/>
      <c r="L325" s="1043"/>
      <c r="M325" s="1043"/>
      <c r="N325" s="1043"/>
      <c r="O325" s="1043"/>
      <c r="P325" s="1043"/>
      <c r="Q325" s="1043"/>
      <c r="R325" s="436"/>
      <c r="S325" s="242"/>
      <c r="T325" s="436"/>
      <c r="U325" s="241"/>
      <c r="V325" s="241"/>
      <c r="W325" s="241"/>
      <c r="X325" s="241"/>
      <c r="Y325" s="241"/>
      <c r="Z325" s="241"/>
      <c r="AA325" s="243"/>
      <c r="AB325" s="436"/>
      <c r="AC325" s="244"/>
      <c r="AD325" s="245"/>
      <c r="AE325" s="436"/>
      <c r="AF325" s="241"/>
      <c r="AG325" s="241"/>
      <c r="AH325" s="241"/>
      <c r="AI325" s="243"/>
      <c r="AJ325" s="246"/>
      <c r="AK325" s="244"/>
      <c r="AL325" s="244"/>
      <c r="AM325" s="1540" t="s">
        <v>332</v>
      </c>
      <c r="AN325" s="1541"/>
      <c r="AO325" s="1529" t="s">
        <v>350</v>
      </c>
      <c r="AP325" s="1529"/>
      <c r="AQ325" s="1529" t="s">
        <v>205</v>
      </c>
      <c r="AR325" s="1529"/>
      <c r="AS325" s="1529"/>
      <c r="AT325" s="1529"/>
      <c r="AU325" s="1043"/>
      <c r="BC325" s="38"/>
      <c r="BD325" s="38"/>
      <c r="BE325" s="38"/>
      <c r="BF325" s="38"/>
      <c r="BG325" s="38"/>
      <c r="BH325" s="38"/>
      <c r="BI325" s="38"/>
      <c r="BJ325" s="38"/>
      <c r="BK325" s="38"/>
      <c r="BL325" s="38"/>
      <c r="BM325" s="38"/>
      <c r="BN325" s="38"/>
      <c r="BO325" s="38"/>
      <c r="BP325" s="38"/>
      <c r="BQ325" s="38"/>
      <c r="BR325" s="38"/>
      <c r="BS325" s="38"/>
      <c r="BT325" s="38"/>
      <c r="BU325" s="38"/>
      <c r="BV325" s="38"/>
      <c r="BW325" s="38"/>
      <c r="BX325" s="38"/>
      <c r="BY325" s="38"/>
      <c r="BZ325" s="38"/>
      <c r="CA325" s="38"/>
      <c r="CB325" s="38"/>
      <c r="CC325" s="38"/>
      <c r="CD325" s="38"/>
      <c r="CE325" s="38"/>
      <c r="CF325" s="38"/>
      <c r="CG325" s="38"/>
      <c r="CH325" s="38"/>
      <c r="CI325" s="38"/>
      <c r="CM325" s="1042" t="s">
        <v>290</v>
      </c>
      <c r="CN325" s="1042" t="s">
        <v>291</v>
      </c>
      <c r="CO325" s="1042"/>
      <c r="CP325" s="1042" t="s">
        <v>292</v>
      </c>
      <c r="CQ325" s="38"/>
      <c r="CR325" s="38"/>
      <c r="CS325" s="37" t="s">
        <v>280</v>
      </c>
      <c r="CT325" s="38"/>
      <c r="CU325" s="1042" t="s">
        <v>281</v>
      </c>
      <c r="CV325" s="38"/>
      <c r="CW325" s="38"/>
      <c r="CX325" s="1042" t="s">
        <v>282</v>
      </c>
      <c r="CY325" s="1042" t="s">
        <v>283</v>
      </c>
      <c r="CZ325" s="1042" t="s">
        <v>284</v>
      </c>
      <c r="DA325" s="1042" t="s">
        <v>285</v>
      </c>
      <c r="DB325" s="436"/>
      <c r="DC325" s="37" t="s">
        <v>293</v>
      </c>
      <c r="DD325" s="38"/>
      <c r="DE325" s="1042" t="s">
        <v>281</v>
      </c>
      <c r="DF325" s="37"/>
      <c r="DG325" s="1042" t="s">
        <v>282</v>
      </c>
      <c r="DH325" s="1042" t="s">
        <v>282</v>
      </c>
      <c r="DI325" s="38"/>
      <c r="DJ325" s="1042" t="s">
        <v>348</v>
      </c>
      <c r="DK325" s="1042" t="s">
        <v>348</v>
      </c>
      <c r="DL325" s="1042" t="s">
        <v>233</v>
      </c>
      <c r="DM325" s="38"/>
      <c r="DN325" s="1358" t="s">
        <v>186</v>
      </c>
      <c r="DO325" s="1358"/>
      <c r="DP325" s="1042" t="s">
        <v>286</v>
      </c>
      <c r="DQ325" s="1042"/>
      <c r="DR325" s="1042" t="s">
        <v>294</v>
      </c>
      <c r="DS325" s="1042" t="s">
        <v>294</v>
      </c>
      <c r="DT325" s="38"/>
      <c r="DU325" s="1358" t="s">
        <v>286</v>
      </c>
      <c r="DV325" s="1358"/>
      <c r="DW325" s="1042" t="s">
        <v>294</v>
      </c>
      <c r="DX325" s="1042" t="s">
        <v>295</v>
      </c>
      <c r="DY325" s="38"/>
      <c r="DZ325" s="1042" t="s">
        <v>296</v>
      </c>
      <c r="EA325" s="1042" t="s">
        <v>297</v>
      </c>
      <c r="EB325" s="436"/>
      <c r="EC325" s="689" t="s">
        <v>186</v>
      </c>
      <c r="ED325" s="689" t="s">
        <v>186</v>
      </c>
      <c r="EE325" s="689" t="s">
        <v>298</v>
      </c>
      <c r="EF325" s="689" t="s">
        <v>298</v>
      </c>
      <c r="EG325" s="689" t="s">
        <v>298</v>
      </c>
      <c r="EH325" s="689" t="s">
        <v>186</v>
      </c>
      <c r="EI325" s="689" t="s">
        <v>286</v>
      </c>
      <c r="EJ325" s="689" t="s">
        <v>286</v>
      </c>
      <c r="EK325" s="689" t="s">
        <v>299</v>
      </c>
      <c r="EL325" s="689" t="s">
        <v>299</v>
      </c>
      <c r="EM325" s="689" t="s">
        <v>299</v>
      </c>
      <c r="EN325" s="689" t="s">
        <v>299</v>
      </c>
      <c r="EO325" s="689" t="s">
        <v>299</v>
      </c>
      <c r="EP325" s="689" t="s">
        <v>299</v>
      </c>
      <c r="EQ325" s="689" t="s">
        <v>299</v>
      </c>
      <c r="ER325" s="436"/>
      <c r="ES325" s="436"/>
      <c r="EU325" s="436"/>
      <c r="EV325" s="436"/>
      <c r="EW325" s="436"/>
      <c r="EX325" s="436"/>
      <c r="EY325" s="436"/>
      <c r="EZ325" s="436"/>
      <c r="FD325" s="436"/>
      <c r="FE325" s="436"/>
      <c r="FF325" s="436"/>
      <c r="FI325" s="1042" t="s">
        <v>300</v>
      </c>
      <c r="FJ325" s="1042" t="s">
        <v>301</v>
      </c>
      <c r="FK325" s="1042" t="s">
        <v>302</v>
      </c>
      <c r="FL325" s="1042" t="s">
        <v>303</v>
      </c>
      <c r="FM325" s="38"/>
      <c r="FN325" s="38" t="s">
        <v>304</v>
      </c>
      <c r="FO325" s="1042">
        <v>3200</v>
      </c>
      <c r="FP325" s="1042" t="s">
        <v>305</v>
      </c>
      <c r="FQ325" s="1042" t="s">
        <v>306</v>
      </c>
      <c r="FR325" s="1042" t="s">
        <v>307</v>
      </c>
      <c r="FS325" s="1042" t="s">
        <v>306</v>
      </c>
      <c r="FT325" s="38"/>
      <c r="FU325" s="38"/>
    </row>
    <row r="326" spans="1:250" s="82" customFormat="1" ht="20.25" customHeight="1" thickBot="1">
      <c r="B326" s="247"/>
      <c r="C326" s="660">
        <f>1+C248</f>
        <v>5</v>
      </c>
      <c r="D326" s="1038"/>
      <c r="E326" s="241" t="str">
        <f>CONCATENATE(AF$20," - page ",C326)</f>
        <v xml:space="preserve"> - page 5</v>
      </c>
      <c r="F326" s="247"/>
      <c r="G326" s="247"/>
      <c r="H326" s="247"/>
      <c r="I326" s="1043"/>
      <c r="J326" s="1043"/>
      <c r="K326" s="1043"/>
      <c r="L326" s="1043"/>
      <c r="M326" s="1043"/>
      <c r="N326" s="1043"/>
      <c r="O326" s="1043"/>
      <c r="P326" s="1043"/>
      <c r="Q326" s="1043"/>
      <c r="R326" s="436"/>
      <c r="S326" s="242"/>
      <c r="T326" s="436"/>
      <c r="U326" s="241"/>
      <c r="V326" s="241"/>
      <c r="W326" s="241"/>
      <c r="X326" s="241"/>
      <c r="Y326" s="241"/>
      <c r="Z326" s="241"/>
      <c r="AA326" s="243"/>
      <c r="AB326" s="677" t="s">
        <v>132</v>
      </c>
      <c r="AC326" s="677" t="s">
        <v>282</v>
      </c>
      <c r="AD326" s="677" t="s">
        <v>312</v>
      </c>
      <c r="AE326" s="436"/>
      <c r="AF326" s="241"/>
      <c r="AG326" s="241"/>
      <c r="AH326" s="241"/>
      <c r="AI326" s="243"/>
      <c r="AJ326" s="678" t="s">
        <v>233</v>
      </c>
      <c r="AK326" s="678" t="s">
        <v>332</v>
      </c>
      <c r="AL326" s="679" t="s">
        <v>349</v>
      </c>
      <c r="AM326" s="1565">
        <f>AX$4</f>
        <v>0</v>
      </c>
      <c r="AN326" s="1566"/>
      <c r="AO326" s="1567">
        <f>AX$6</f>
        <v>0</v>
      </c>
      <c r="AP326" s="1568"/>
      <c r="AQ326" s="1569"/>
      <c r="AR326" s="1561">
        <f>AX$2</f>
        <v>0</v>
      </c>
      <c r="AS326" s="1561"/>
      <c r="AT326" s="1379"/>
      <c r="AU326" s="436"/>
      <c r="BC326" s="38"/>
      <c r="BD326" s="38"/>
      <c r="BE326" s="38"/>
      <c r="BF326" s="38"/>
      <c r="BG326" s="38"/>
      <c r="BH326" s="38"/>
      <c r="BI326" s="38"/>
      <c r="BJ326" s="38"/>
      <c r="BK326" s="38"/>
      <c r="BL326" s="38"/>
      <c r="BM326" s="38"/>
      <c r="BN326" s="38"/>
      <c r="BO326" s="38"/>
      <c r="BP326" s="38"/>
      <c r="BQ326" s="38"/>
      <c r="BR326" s="38"/>
      <c r="BS326" s="38"/>
      <c r="BT326" s="38"/>
      <c r="BU326" s="38"/>
      <c r="BV326" s="38"/>
      <c r="BW326" s="38"/>
      <c r="BX326" s="38"/>
      <c r="BY326" s="38"/>
      <c r="BZ326" s="38"/>
      <c r="CA326" s="38"/>
      <c r="CB326" s="38"/>
      <c r="CC326" s="38"/>
      <c r="CD326" s="38"/>
      <c r="CE326" s="38"/>
      <c r="CF326" s="38"/>
      <c r="CG326" s="38"/>
      <c r="CH326" s="38"/>
      <c r="CI326" s="38"/>
      <c r="CM326" s="1042" t="s">
        <v>310</v>
      </c>
      <c r="CN326" s="1042" t="s">
        <v>277</v>
      </c>
      <c r="CO326" s="1042"/>
      <c r="CP326" s="1042" t="s">
        <v>172</v>
      </c>
      <c r="CQ326" s="38"/>
      <c r="CR326" s="38"/>
      <c r="CS326" s="1042" t="s">
        <v>190</v>
      </c>
      <c r="CT326" s="1042" t="s">
        <v>186</v>
      </c>
      <c r="CU326" s="1042" t="s">
        <v>311</v>
      </c>
      <c r="CV326" s="1042" t="s">
        <v>132</v>
      </c>
      <c r="CW326" s="1042" t="s">
        <v>282</v>
      </c>
      <c r="CX326" s="1042" t="s">
        <v>285</v>
      </c>
      <c r="CY326" s="1042" t="s">
        <v>312</v>
      </c>
      <c r="CZ326" s="1042" t="s">
        <v>312</v>
      </c>
      <c r="DA326" s="1042" t="s">
        <v>312</v>
      </c>
      <c r="DB326" s="436"/>
      <c r="DC326" s="1042" t="s">
        <v>190</v>
      </c>
      <c r="DD326" s="37" t="s">
        <v>286</v>
      </c>
      <c r="DE326" s="1042" t="s">
        <v>311</v>
      </c>
      <c r="DF326" s="1042" t="s">
        <v>313</v>
      </c>
      <c r="DG326" s="1042" t="s">
        <v>285</v>
      </c>
      <c r="DH326" s="1042" t="s">
        <v>285</v>
      </c>
      <c r="DI326" s="38"/>
      <c r="DJ326" s="1042" t="s">
        <v>349</v>
      </c>
      <c r="DK326" s="1042" t="s">
        <v>284</v>
      </c>
      <c r="DL326" s="38"/>
      <c r="DM326" s="38"/>
      <c r="DN326" s="1359" t="s">
        <v>172</v>
      </c>
      <c r="DO326" s="1359"/>
      <c r="DP326" s="1042" t="s">
        <v>172</v>
      </c>
      <c r="DQ326" s="1042"/>
      <c r="DR326" s="1042" t="s">
        <v>186</v>
      </c>
      <c r="DS326" s="1042" t="s">
        <v>314</v>
      </c>
      <c r="DT326" s="38"/>
      <c r="DU326" s="1359" t="s">
        <v>315</v>
      </c>
      <c r="DV326" s="1359"/>
      <c r="DW326" s="1042" t="s">
        <v>316</v>
      </c>
      <c r="DX326" s="1042" t="s">
        <v>314</v>
      </c>
      <c r="DY326" s="38"/>
      <c r="DZ326" s="1042" t="s">
        <v>205</v>
      </c>
      <c r="EA326" s="1042" t="s">
        <v>205</v>
      </c>
      <c r="EB326" s="436"/>
      <c r="EC326" s="689" t="s">
        <v>282</v>
      </c>
      <c r="ED326" s="689" t="s">
        <v>282</v>
      </c>
      <c r="EE326" s="689" t="s">
        <v>282</v>
      </c>
      <c r="EF326" s="689" t="s">
        <v>282</v>
      </c>
      <c r="EG326" s="689" t="s">
        <v>282</v>
      </c>
      <c r="EH326" s="689" t="s">
        <v>281</v>
      </c>
      <c r="EI326" s="689" t="s">
        <v>281</v>
      </c>
      <c r="EJ326" s="689" t="s">
        <v>281</v>
      </c>
      <c r="EK326" s="689" t="s">
        <v>317</v>
      </c>
      <c r="EL326" s="689" t="s">
        <v>317</v>
      </c>
      <c r="EM326" s="689" t="s">
        <v>318</v>
      </c>
      <c r="EN326" s="689" t="s">
        <v>318</v>
      </c>
      <c r="EO326" s="689" t="s">
        <v>281</v>
      </c>
      <c r="EP326" s="689" t="s">
        <v>281</v>
      </c>
      <c r="EQ326" s="689" t="s">
        <v>281</v>
      </c>
      <c r="ER326" s="436"/>
      <c r="ES326" s="436">
        <f>SUM(ES327:ES400)</f>
        <v>0</v>
      </c>
      <c r="EU326" s="436"/>
      <c r="EV326" s="436"/>
      <c r="EW326" s="436"/>
      <c r="EX326" s="436"/>
      <c r="EY326" s="89" t="s">
        <v>314</v>
      </c>
      <c r="EZ326" s="89" t="s">
        <v>170</v>
      </c>
      <c r="FD326" s="436"/>
      <c r="FE326" s="436"/>
      <c r="FF326" s="436"/>
      <c r="FI326" s="38"/>
      <c r="FJ326" s="1042" t="s">
        <v>273</v>
      </c>
      <c r="FK326" s="38"/>
      <c r="FL326" s="38"/>
      <c r="FM326" s="38"/>
      <c r="FN326" s="38" t="s">
        <v>233</v>
      </c>
      <c r="FO326" s="1042" t="s">
        <v>305</v>
      </c>
      <c r="FP326" s="1042" t="s">
        <v>320</v>
      </c>
      <c r="FQ326" s="1042" t="s">
        <v>305</v>
      </c>
      <c r="FR326" s="1042" t="s">
        <v>286</v>
      </c>
      <c r="FS326" s="37" t="s">
        <v>321</v>
      </c>
      <c r="FT326" s="38"/>
      <c r="FU326" s="1042" t="s">
        <v>322</v>
      </c>
    </row>
    <row r="327" spans="1:250" s="82" customFormat="1" ht="14.95" customHeight="1" thickTop="1" thickBot="1">
      <c r="B327" s="1421" t="str">
        <f>HY330</f>
        <v xml:space="preserve"> </v>
      </c>
      <c r="C327" s="1422">
        <f>C319+1</f>
        <v>56</v>
      </c>
      <c r="D327" s="1423"/>
      <c r="E327" s="1424" t="s">
        <v>242</v>
      </c>
      <c r="F327" s="1425"/>
      <c r="G327" s="1426"/>
      <c r="H327" s="1427"/>
      <c r="I327" s="1427"/>
      <c r="J327" s="1427"/>
      <c r="K327" s="1427"/>
      <c r="L327" s="1427"/>
      <c r="M327" s="1427"/>
      <c r="N327" s="1427"/>
      <c r="O327" s="1427"/>
      <c r="P327" s="1427"/>
      <c r="Q327" s="1427"/>
      <c r="R327" s="1427"/>
      <c r="S327" s="1428" t="s">
        <v>283</v>
      </c>
      <c r="T327" s="668" t="s">
        <v>190</v>
      </c>
      <c r="U327" s="1430" t="s">
        <v>186</v>
      </c>
      <c r="V327" s="1431"/>
      <c r="W327" s="1431"/>
      <c r="X327" s="1431"/>
      <c r="Y327" s="1431"/>
      <c r="Z327" s="1431"/>
      <c r="AA327" s="1431"/>
      <c r="AB327" s="1088" t="str">
        <f>IFERROR(IF(__Retrofit_TI_NC=0,VLOOKUP(U328,Fixtures_Existing_List,2,FALSE),ROUND(N329*R329/T329,10)),"")</f>
        <v/>
      </c>
      <c r="AC327" s="1039" t="str">
        <f>IFERROR(IF(__Retrofit_TI_NC=0,ROUND(T328*AB327*N328*R328/1000,0),IF(CN327="Interior",N329*R329*R328*N328*_C406_reduction/1000,N329*R329*R328*N328/1000)),"")</f>
        <v/>
      </c>
      <c r="AD327" s="1040" t="str">
        <f>IFERROR(IF(C$36=0,ROUND(T328*AB327/1000,2),N329*R329/1000),"")</f>
        <v/>
      </c>
      <c r="AE327" s="1044" t="s">
        <v>190</v>
      </c>
      <c r="AF327" s="1432" t="str">
        <f>IF(__Retrofit_TI_NC=2,CONCATENATE("Code min = ",DD327),IF(__Retrofit_TI_NC=1,"Emter what you think the existing control was"," Control"))</f>
        <v xml:space="preserve"> Control</v>
      </c>
      <c r="AG327" s="1432"/>
      <c r="AH327" s="1432"/>
      <c r="AI327" s="1432"/>
      <c r="AJ327" s="1433">
        <f>DF327</f>
        <v>0</v>
      </c>
      <c r="AK327" s="1435" t="str">
        <f>IFERROR(ROUND(AJ327*AC327,0),"")</f>
        <v/>
      </c>
      <c r="AL327" s="1437">
        <f>IFERROR(IF(HW327=FALSE,0,AC327-AK327),0)</f>
        <v>0</v>
      </c>
      <c r="AM327" s="1439">
        <f>AL327-AL329</f>
        <v>0</v>
      </c>
      <c r="AN327" s="1440"/>
      <c r="AO327" s="1445">
        <f>IFERROR(IF(HW327=FALSE,0,(T329*U330)+(AE329*AF330)),0)</f>
        <v>0</v>
      </c>
      <c r="AP327" s="1445"/>
      <c r="AQ327" s="1446"/>
      <c r="AR327" s="1451" t="s">
        <v>157</v>
      </c>
      <c r="AS327" s="1454">
        <f>IF(AR327="Yes",1,0)</f>
        <v>1</v>
      </c>
      <c r="AT327" s="1457" t="str">
        <f>IF(OR(DN327=4,DN327=5,DN327=6,DN327=12),CONCATENATE("$",IF(GD327=TRUE,Lookup!$B$11,Lookup!$B$2)," /lamp"),CONCATENATE(EA327,"/ kWh"))</f>
        <v>0/ kWh</v>
      </c>
      <c r="AU327" s="516"/>
      <c r="AV327" s="1478">
        <f>IFERROR(IF(GI328=TRUE,(AB330*T329)/R329,0),"NA")</f>
        <v>0</v>
      </c>
      <c r="AW327" s="1478" t="str">
        <f>IFERROR(N329*_C406_reduction,"NA")</f>
        <v>NA</v>
      </c>
      <c r="BC327" s="38"/>
      <c r="BD327" s="38"/>
      <c r="BE327" s="38"/>
      <c r="BF327" s="38"/>
      <c r="BG327" s="38"/>
      <c r="BH327" s="38"/>
      <c r="BI327" s="38"/>
      <c r="BJ327" s="38"/>
      <c r="BK327" s="38"/>
      <c r="BL327" s="38"/>
      <c r="BM327" s="38"/>
      <c r="BN327" s="38"/>
      <c r="BO327" s="38"/>
      <c r="BP327" s="38"/>
      <c r="BQ327" s="38"/>
      <c r="BR327" s="38"/>
      <c r="BS327" s="38"/>
      <c r="BT327" s="38"/>
      <c r="BU327" s="38"/>
      <c r="BV327" s="38"/>
      <c r="BW327" s="38"/>
      <c r="BX327" s="38"/>
      <c r="BY327" s="38"/>
      <c r="BZ327" s="38"/>
      <c r="CA327" s="38"/>
      <c r="CB327" s="38"/>
      <c r="CC327" s="38"/>
      <c r="CD327" s="38"/>
      <c r="CE327" s="38"/>
      <c r="CF327" s="38"/>
      <c r="CG327" s="38"/>
      <c r="CH327" s="38"/>
      <c r="CI327" s="38"/>
      <c r="CM327" s="1352" t="str">
        <f>N328</f>
        <v/>
      </c>
      <c r="CN327" s="1352" t="str">
        <f>IFERROR(VLOOKUP(G328,_Lookup_Heat_Type_Table_New,3,FALSE),"")</f>
        <v/>
      </c>
      <c r="CO327" s="1415" t="str">
        <f>CN327</f>
        <v/>
      </c>
      <c r="CP327" s="1417" t="e">
        <f>VLOOKUP(G329,'Space Table'!$B$3:$L$160,9,FALSE)</f>
        <v>#N/A</v>
      </c>
      <c r="CR327" s="1386" t="s">
        <v>283</v>
      </c>
      <c r="CS327" s="1353">
        <f>IF(HW327=TRUE,T328,0)</f>
        <v>0</v>
      </c>
      <c r="CT327" s="1353" t="str">
        <f>IF(HW327=TRUE,U328,"")</f>
        <v/>
      </c>
      <c r="CU327" s="1353"/>
      <c r="CV327" s="1370">
        <f>IF(HW327=TRUE,AB327,0)</f>
        <v>0</v>
      </c>
      <c r="CW327" s="1370">
        <f>IF(HW327=TRUE,AC327,0)</f>
        <v>0</v>
      </c>
      <c r="CX327" s="1370">
        <f>IFERROR(IF(HW327=TRUE,CW327-CW329,0),0)</f>
        <v>0</v>
      </c>
      <c r="CY327" s="1485">
        <f>IF(HW327=TRUE,AD327,0)</f>
        <v>0</v>
      </c>
      <c r="CZ327" s="1485">
        <f>IF(HW327=TRUE,AD330,0)</f>
        <v>0</v>
      </c>
      <c r="DA327" s="1485">
        <f>IFERROR(CY327-CZ327,0)</f>
        <v>0</v>
      </c>
      <c r="DC327" s="1353">
        <f>IF(HW327=TRUE,AE328,0)</f>
        <v>0</v>
      </c>
      <c r="DD327" s="1460">
        <f>IF(__Retrofit_TI_NC=2,IF(CN327="Exterior",O330,FM327),FK327)</f>
        <v>0</v>
      </c>
      <c r="DE327" s="1353"/>
      <c r="DF327" s="1406">
        <f>IFERROR(IF(FL327=3,IK327,IF(FL327=4,IL327,IF(FL327=5,IM327,IF(FL327=6,IN327,IF(FL327=7,IO327,IF(FL327=8,IP327,0)))))),0)</f>
        <v>0</v>
      </c>
      <c r="DG327" s="1370">
        <f>IF(HW327=TRUE,AK327,0)</f>
        <v>0</v>
      </c>
      <c r="DH327" s="1369">
        <f>IFERROR(IF(HW327=TRUE,DG329-DG327,0),0)</f>
        <v>0</v>
      </c>
      <c r="DJ327" s="1483">
        <f>IFERROR(CW327-DG327,0)</f>
        <v>0</v>
      </c>
      <c r="DL327" s="1419">
        <f>DJ327-DK329</f>
        <v>0</v>
      </c>
      <c r="DN327" s="1403" t="str">
        <f>IFERROR(IF(AND(OR(FY327=4,FY327=5,FY327=6),OR(GB327=4,GB327=5,GB327=6)),FY327+8,VLOOKUP(CT329,Fixtures!R$31:Y$78,8,FALSE)),"")</f>
        <v/>
      </c>
      <c r="DO327" s="1404" t="str">
        <f>DN327</f>
        <v/>
      </c>
      <c r="DP327" s="1353" t="str">
        <f>IFERROR(VLOOKUP(DD329,Lookup!AU$3:AV$15,2,FALSE),"")</f>
        <v/>
      </c>
      <c r="DQ327" s="1404" t="str">
        <f>IF(DP327=7,"LLLC","")</f>
        <v/>
      </c>
      <c r="DR327" s="1403">
        <f>IFERROR(IF(OR(DN327=4,DN327=5,DN327=6,DN327=12,DN327=13,DN327=14),VLOOKUP(CT329,Fixtures!DN$27:EG$77,19,FALSE),1)*CS329,0)</f>
        <v>0</v>
      </c>
      <c r="DS327" s="1489">
        <f>IF(DP327=7,IF(DD327=DD329,0,DC329),0)</f>
        <v>0</v>
      </c>
      <c r="DU327" s="1403" t="str">
        <f>IFERROR(IF(EW327&lt;EW329,"Yes","No"),"")</f>
        <v/>
      </c>
      <c r="DV327" s="1404" t="str">
        <f>DU327</f>
        <v/>
      </c>
      <c r="DW327" s="1403">
        <f>IF(DU327="Yes",DC329,0)</f>
        <v>0</v>
      </c>
      <c r="DX327" s="1403">
        <f>DW327-DS327</f>
        <v>0</v>
      </c>
      <c r="DZ327" s="1481">
        <f>IFERROR(VLOOKUP(DN327,Lookup!AN$3:AO$16,2,FALSE),0)</f>
        <v>0</v>
      </c>
      <c r="EA327" s="1481">
        <f>IF(HW327=FALSE,0,IF(DU327="Yes",DZ327+Lookup!B$6,DZ327))</f>
        <v>0</v>
      </c>
      <c r="EC327" s="1482">
        <f>IF(HW327=TRUE,DJ327,0)</f>
        <v>0</v>
      </c>
      <c r="ED327" s="1369">
        <f>IF(HW327=TRUE,CW329,0)</f>
        <v>0</v>
      </c>
      <c r="EE327" s="1370">
        <f>IFERROR(EC327-ED327,0)</f>
        <v>0</v>
      </c>
      <c r="EF327" s="1369">
        <f>IF(HW327=TRUE,DG329,0)</f>
        <v>0</v>
      </c>
      <c r="EG327" s="1369">
        <f>IFERROR(EC327-ED327+EF327,0)</f>
        <v>0</v>
      </c>
      <c r="EH327" s="1373">
        <f>IF(HW327=TRUE,CS329*CU329,0)</f>
        <v>0</v>
      </c>
      <c r="EI327" s="1373">
        <f>IF(HW327=TRUE,DC329*DE329,0)</f>
        <v>0</v>
      </c>
      <c r="EJ327" s="1363">
        <f>AO327</f>
        <v>0</v>
      </c>
      <c r="EK327" s="1376" t="str">
        <f>IFERROR(IF(HW327=TRUE,VLOOKUP(DN327,Lookup!AN$3:AP$16,3,FALSE)*DR327,""),0)</f>
        <v/>
      </c>
      <c r="EL327" s="1376">
        <f>IF(HW327=TRUE,DW327*Lookup!AP$12,0)</f>
        <v>0</v>
      </c>
      <c r="EM327" s="1362">
        <f>IFERROR(IF(HW327=TRUE,EK327/EM$33,0),0)</f>
        <v>0</v>
      </c>
      <c r="EN327" s="1362">
        <f>IF(HW327=TRUE,EL327/EN$33,0)</f>
        <v>0</v>
      </c>
      <c r="EO327" s="1363">
        <f>IF(HW327=TRUE,EQ$33*EM327,0)</f>
        <v>0</v>
      </c>
      <c r="EP327" s="1363">
        <f>IF(HW327=TRUE,EQ$33*EN327,0)</f>
        <v>0</v>
      </c>
      <c r="EQ327" s="1363">
        <f>EO327+EP327</f>
        <v>0</v>
      </c>
      <c r="ES327" s="1403">
        <f>IF(G327="",0,1)</f>
        <v>0</v>
      </c>
      <c r="EU327" s="1410" t="e">
        <f>VLOOKUP(CP329,'Space Table'!$B$3:$L$160,8,FALSE)</f>
        <v>#N/A</v>
      </c>
      <c r="EV327" s="1410" t="e">
        <f>IF(EY327="Yes",VLOOKUP(DD327,Lookup_Control_Type_Table2,4,FALSE),VLOOKUP(DD327,Lookup_Control_Type_Table2,3,FALSE))</f>
        <v>#N/A</v>
      </c>
      <c r="EW327" s="1410" t="e">
        <f>VLOOKUP(DD327,Lookup!AU$3:AV$15,2,FALSE)</f>
        <v>#N/A</v>
      </c>
      <c r="EX327" s="1410" t="e">
        <f>VLOOKUP(EU327,Lookup_Control_Type_Table,2,FALSE)</f>
        <v>#N/A</v>
      </c>
      <c r="EY327" s="1410" t="e">
        <f>VLOOKUP(CP329,'Space Table'!$B$3:$L$160,7,FALSE)</f>
        <v>#N/A</v>
      </c>
      <c r="EZ327" s="1412" t="b">
        <f>ISNUMBER(SEARCH("TLED",U329))</f>
        <v>0</v>
      </c>
      <c r="FB327" s="1365" t="str">
        <f>CONCATENATE(CN327," - ",DD327)</f>
        <v xml:space="preserve"> - 0</v>
      </c>
      <c r="FD327" s="1353" t="str">
        <f>VLOOKUP(CT329,Fixtures!DN$27:EZ$77,38,FALSE)</f>
        <v/>
      </c>
      <c r="FE327" s="1353">
        <f>IFERROR(FD327*EE327,0)</f>
        <v>0</v>
      </c>
      <c r="FF327" s="138"/>
      <c r="FI327" s="1356" t="str">
        <f>IF(CN327="Exterior","Not Daylighted",G330)</f>
        <v>Not Daylighted</v>
      </c>
      <c r="FJ327" s="1356">
        <f>VLOOKUP(FI327,_Daylight_Table_Codes,2,FALSE)</f>
        <v>0</v>
      </c>
      <c r="FK327" s="1365">
        <f>IF(__Retrofit_TI_NC=2,VLOOKUP(G329,'Space Table'!$B$3:$L$160,11,FALSE),AF328)</f>
        <v>0</v>
      </c>
      <c r="FL327" s="1365" t="e">
        <f>VLOOKUP(FK327,_Control_Table,2,FALSE)</f>
        <v>#N/A</v>
      </c>
      <c r="FM327" s="1365" t="e">
        <f>IF(AND(FP327&gt;0,FK327="Occupancy Sensor"),"Daylight + Occupancy",IF(AND(FP327&gt;0,FL327&lt;4),"Interior Daylight Dimming",FK327))</f>
        <v>#N/A</v>
      </c>
      <c r="FO327" s="1364">
        <f>IF(CO327="Interior",VLOOKUP(CP327,Control_Savings_Interior,5,FALSE),0)</f>
        <v>0</v>
      </c>
      <c r="FP327" s="1361">
        <f>IF(CN327="Exterior",0,IF(FJ327=2,0.5,IF(OR(FJ327=1,FJ327=3),1,0)))</f>
        <v>0</v>
      </c>
      <c r="FQ327" s="1366"/>
      <c r="FR327" s="1367"/>
      <c r="FS327" s="1364"/>
      <c r="FT327" s="1367"/>
      <c r="FU327" s="1360"/>
      <c r="FW327" s="1352" t="str">
        <f>IFERROR(VLOOKUP(U328,_Exist_Fixture_Table,3,FALSE),"")</f>
        <v/>
      </c>
      <c r="FX327" s="1352" t="str">
        <f>VLOOKUP(CT327,_Exist_Fixture_Table,4,FALSE)</f>
        <v/>
      </c>
      <c r="FY327" s="1352">
        <f>IFERROR(VLOOKUP(FX327,Lookup!AM$6:AN$8,2,FALSE),0)</f>
        <v>0</v>
      </c>
      <c r="FZ327" s="1352" t="b">
        <f>IFERROR(IF(OR(GB327=4,GB327=5,GB327=6),TRUE,FALSE),"")</f>
        <v>0</v>
      </c>
      <c r="GA327" s="1352" t="str">
        <f>IFERROR(VLOOKUP(GB327,FY$6:FZ$10,2,FALSE),"")</f>
        <v/>
      </c>
      <c r="GB327" s="1352" t="str">
        <f>VLOOKUP(CT329,Fixtures!R$31:Y$78,8,FALSE)</f>
        <v/>
      </c>
      <c r="GC327" s="1352">
        <f>IF(AND(FW327=TRUE,FZ327=TRUE,OR(DN327=12,DN327=13,DN327=14)),FY327+8,0)</f>
        <v>0</v>
      </c>
      <c r="GD327" s="1352" t="b">
        <f>IF(OR(GC327=12,GC327=13,GC327=14),TRUE,FALSE)</f>
        <v>0</v>
      </c>
      <c r="GE327" s="759" t="b">
        <f>IF(ISNUMBER(SEARCH("TLED",U328)),TRUE,FALSE)</f>
        <v>0</v>
      </c>
      <c r="GF327" s="1035" t="str">
        <f>IFERROR(VLOOKUP(U328,Fixtures!BM$93:BR$142,6,FALSE),"")</f>
        <v/>
      </c>
      <c r="GG327" s="1385" t="b">
        <f>IF(OR(GE327=FALSE,GE329=FALSE),TRUE,IF(GF327-GF329&lt;5,FALSE,TRUE))</f>
        <v>1</v>
      </c>
      <c r="GK327" s="1034">
        <f>GL327</f>
        <v>0</v>
      </c>
      <c r="GL327" s="1034">
        <f>IF(G327="",0,1)</f>
        <v>0</v>
      </c>
      <c r="GM327" s="1034">
        <f>SUM(GN327:HB327)</f>
        <v>2</v>
      </c>
      <c r="GN327" s="1034">
        <f>IF(G328="",0,1)</f>
        <v>0</v>
      </c>
      <c r="GO327" s="1034">
        <f>IF(G329="",0,1)</f>
        <v>0</v>
      </c>
      <c r="GP327" s="1034">
        <f>IF(R328="",0,1)</f>
        <v>0</v>
      </c>
      <c r="GQ327" s="1034">
        <f>IF(__Retrofit_TI_NC=0,1,IF(R329="",0,1))</f>
        <v>1</v>
      </c>
      <c r="GR327" s="1034">
        <f>IF(CN327="Exterior",1,IF(G330="",0,1))</f>
        <v>1</v>
      </c>
      <c r="GS327" s="1034">
        <f>IF(__Retrofit_TI_NC&lt;&gt;0,1,IF(T328="",0,1))</f>
        <v>0</v>
      </c>
      <c r="GT327" s="1034">
        <f>IF(__Retrofit_TI_NC&lt;&gt;0,1,IF(U328="",0,1))</f>
        <v>0</v>
      </c>
      <c r="GU327" s="1034">
        <f>IF(T329="",0,1)</f>
        <v>0</v>
      </c>
      <c r="GV327" s="1034">
        <f>IF(U329="",0,1)</f>
        <v>0</v>
      </c>
      <c r="GW327" s="1034">
        <f>IF(__Retrofit_TI_NC=2,1,IF(U330="",0,1))</f>
        <v>0</v>
      </c>
      <c r="GX327" s="1034">
        <f>IF(__Retrofit_TI_NC&lt;&gt;0,1,IF(AE328="",0,1))</f>
        <v>0</v>
      </c>
      <c r="GY327" s="1034">
        <f>IF(__Retrofit_TI_NC&lt;&gt;0,1,IF(AF328="",0,1))</f>
        <v>0</v>
      </c>
      <c r="GZ327" s="1034">
        <f>IF(AE329="",0,1)</f>
        <v>0</v>
      </c>
      <c r="HA327" s="1034">
        <f>IF(AF329="",0,1)</f>
        <v>0</v>
      </c>
      <c r="HB327" s="1034">
        <f>IF(__Retrofit_TI_NC=2,1,IF(AF330="",0,1))</f>
        <v>0</v>
      </c>
      <c r="HV327" s="436"/>
      <c r="HW327" s="1384" t="b">
        <f>IF(OR(HW330=0,HW330=HT$16,HW330=HS$16,HW330=HU$16),TRUE,FALSE)</f>
        <v>0</v>
      </c>
      <c r="HX327" s="1377" t="b">
        <f>HW327</f>
        <v>0</v>
      </c>
      <c r="HY327" s="436"/>
      <c r="HZ327" s="436"/>
      <c r="IA327" s="1386" t="b">
        <f>IF(MAX(GJ330:HP330)&gt;5,FALSE,TRUE)</f>
        <v>0</v>
      </c>
      <c r="IB327" s="1380">
        <f>IF(IA327=TRUE,AC327,0)</f>
        <v>0</v>
      </c>
      <c r="IC327" s="1380">
        <f>IB327-IB329</f>
        <v>0</v>
      </c>
      <c r="IF327" s="1380" t="e">
        <f>ROUND(T328*VLOOKUP(U328,Fixtures_Existing_List,2,FALSE)*N328*R328/1000,0)</f>
        <v>#N/A</v>
      </c>
      <c r="IG327" s="1381" t="e">
        <f>IF327-IF329</f>
        <v>#N/A</v>
      </c>
      <c r="IH327" s="1384" t="e">
        <f>ROUND(IF(CN327="Interior",N329*R329*R328*N328*_C406_reduction/1000,N329*R329*R328*N328/1000),0)</f>
        <v>#N/A</v>
      </c>
      <c r="II327" s="1384" t="e">
        <f>IH327-IH329</f>
        <v>#N/A</v>
      </c>
      <c r="IK327" s="1351" t="e">
        <f>IF($CO327="interior",IL327/2,VLOOKUP($CP327,Control_Savings_Exterior,IK$30,FALSE))</f>
        <v>#N/A</v>
      </c>
      <c r="IL327" s="1351" t="e">
        <f>IF($CO327="interior",VLOOKUP($CP327,Control_Savings_Interior,IL$30,FALSE),VLOOKUP($CP327,Control_Savings_Exterior,IL$30,FALSE))</f>
        <v>#N/A</v>
      </c>
      <c r="IM327" s="1351" t="e">
        <f>IF($CO327="interior",IF(R328&gt;FO$37,(IM$28*(FO$37/R328)),IM$28)*FP327,VLOOKUP($CP327,Control_Savings_Exterior,IM$30,FALSE))</f>
        <v>#N/A</v>
      </c>
      <c r="IN327" s="1351" t="e">
        <f>IF($CO327="interior",ROUND(((1-IL327)*IM327)+IL327,2),VLOOKUP($CP327,Control_Savings_Exterior,IN$30,FALSE))</f>
        <v>#N/A</v>
      </c>
      <c r="IO327" s="1351" t="e">
        <f>IF($CO327="interior", ROUND(((1-IL327)*(IM327*(1-IP$28)))+IP327,2), VLOOKUP($CP327,Control_Savings_Exterior,IO$30,FALSE))</f>
        <v>#N/A</v>
      </c>
      <c r="IP327" s="1351">
        <f>IF($CO327="interior",ROUND(((1-IL327)*IP$28)+IL327,2),0)</f>
        <v>0</v>
      </c>
    </row>
    <row r="328" spans="1:250" s="82" customFormat="1" ht="14.95" customHeight="1" thickTop="1" thickBot="1">
      <c r="B328" s="1421"/>
      <c r="C328" s="1422"/>
      <c r="D328" s="1423"/>
      <c r="E328" s="1393" t="s">
        <v>244</v>
      </c>
      <c r="F328" s="1394"/>
      <c r="G328" s="1395"/>
      <c r="H328" s="1395"/>
      <c r="I328" s="1395"/>
      <c r="J328" s="1395"/>
      <c r="K328" s="1395"/>
      <c r="L328" s="1395"/>
      <c r="M328" s="509" t="e">
        <f>IF(__Retrofit_TI_NC&lt;&gt;0,IF(VLOOKUP(G329,'Space Table'!$B$3:$L$160,3,FALSE)&gt;0,1,0),IF(__Retrofit_TI_NC=VLOOKUP(G329,'Space Table'!$B$3:$L$160,3,FALSE),1,0))</f>
        <v>#N/A</v>
      </c>
      <c r="N328" s="509" t="str">
        <f>IFERROR(VLOOKUP(G328,_Lookup_Heat_Type_Table_New,2,FALSE),"")</f>
        <v/>
      </c>
      <c r="O328" s="509">
        <f>IF(__Retrofit_TI_NC=1,CONCATENATE("TI ",G328),IF(__Retrofit_TI_NC=2,CONCATENATE("NC ",G328),G328))</f>
        <v>0</v>
      </c>
      <c r="P328" s="1396" t="s">
        <v>352</v>
      </c>
      <c r="Q328" s="1396"/>
      <c r="R328" s="673"/>
      <c r="S328" s="1429"/>
      <c r="T328" s="675"/>
      <c r="U328" s="1496"/>
      <c r="V328" s="1497"/>
      <c r="W328" s="1497"/>
      <c r="X328" s="1497"/>
      <c r="Y328" s="1497"/>
      <c r="Z328" s="1497"/>
      <c r="AA328" s="1497"/>
      <c r="AB328" s="1497"/>
      <c r="AC328" s="1497"/>
      <c r="AD328" s="1498"/>
      <c r="AE328" s="675"/>
      <c r="AF328" s="1397"/>
      <c r="AG328" s="1397"/>
      <c r="AH328" s="1397"/>
      <c r="AI328" s="1397"/>
      <c r="AJ328" s="1434"/>
      <c r="AK328" s="1436"/>
      <c r="AL328" s="1438"/>
      <c r="AM328" s="1441"/>
      <c r="AN328" s="1442"/>
      <c r="AO328" s="1447"/>
      <c r="AP328" s="1447"/>
      <c r="AQ328" s="1448"/>
      <c r="AR328" s="1452"/>
      <c r="AS328" s="1455"/>
      <c r="AT328" s="1458"/>
      <c r="AU328" s="516"/>
      <c r="AV328" s="1479"/>
      <c r="AW328" s="1479"/>
      <c r="BC328" s="38"/>
      <c r="BD328" s="38"/>
      <c r="BE328" s="38"/>
      <c r="BF328" s="38"/>
      <c r="BG328" s="38"/>
      <c r="BH328" s="38"/>
      <c r="BI328" s="38"/>
      <c r="BJ328" s="38"/>
      <c r="BK328" s="38"/>
      <c r="BL328" s="38"/>
      <c r="BM328" s="38"/>
      <c r="BN328" s="38"/>
      <c r="BO328" s="38"/>
      <c r="BP328" s="38"/>
      <c r="BQ328" s="38"/>
      <c r="BR328" s="38"/>
      <c r="BS328" s="38"/>
      <c r="BT328" s="38"/>
      <c r="BU328" s="38"/>
      <c r="BV328" s="38"/>
      <c r="BW328" s="38"/>
      <c r="BX328" s="38"/>
      <c r="BY328" s="38"/>
      <c r="BZ328" s="38"/>
      <c r="CA328" s="38"/>
      <c r="CB328" s="38"/>
      <c r="CC328" s="38"/>
      <c r="CD328" s="38"/>
      <c r="CE328" s="38"/>
      <c r="CF328" s="38"/>
      <c r="CG328" s="38"/>
      <c r="CH328" s="38"/>
      <c r="CI328" s="38"/>
      <c r="CM328" s="1352"/>
      <c r="CN328" s="1352"/>
      <c r="CO328" s="1416"/>
      <c r="CP328" s="1418"/>
      <c r="CR328" s="1386"/>
      <c r="CS328" s="1355"/>
      <c r="CT328" s="1355"/>
      <c r="CU328" s="1355"/>
      <c r="CV328" s="1372"/>
      <c r="CW328" s="1372"/>
      <c r="CX328" s="1371"/>
      <c r="CY328" s="1486"/>
      <c r="CZ328" s="1486"/>
      <c r="DA328" s="1486"/>
      <c r="DC328" s="1355"/>
      <c r="DD328" s="1461"/>
      <c r="DE328" s="1355"/>
      <c r="DF328" s="1407"/>
      <c r="DG328" s="1372"/>
      <c r="DH328" s="1369"/>
      <c r="DJ328" s="1484"/>
      <c r="DL328" s="1419"/>
      <c r="DN328" s="1403"/>
      <c r="DO328" s="1405"/>
      <c r="DP328" s="1354"/>
      <c r="DQ328" s="1405"/>
      <c r="DR328" s="1403"/>
      <c r="DS328" s="1489"/>
      <c r="DU328" s="1403"/>
      <c r="DV328" s="1405"/>
      <c r="DW328" s="1403"/>
      <c r="DX328" s="1403"/>
      <c r="DZ328" s="1481"/>
      <c r="EA328" s="1481"/>
      <c r="EC328" s="1482"/>
      <c r="ED328" s="1369"/>
      <c r="EE328" s="1371"/>
      <c r="EF328" s="1369"/>
      <c r="EG328" s="1369"/>
      <c r="EH328" s="1374"/>
      <c r="EI328" s="1374"/>
      <c r="EJ328" s="1363"/>
      <c r="EK328" s="1376"/>
      <c r="EL328" s="1376"/>
      <c r="EM328" s="1362"/>
      <c r="EN328" s="1362"/>
      <c r="EO328" s="1363"/>
      <c r="EP328" s="1363"/>
      <c r="EQ328" s="1363"/>
      <c r="ES328" s="1403"/>
      <c r="EU328" s="1411"/>
      <c r="EV328" s="1411"/>
      <c r="EW328" s="1411"/>
      <c r="EX328" s="1411"/>
      <c r="EY328" s="1411"/>
      <c r="EZ328" s="1413"/>
      <c r="FB328" s="1365"/>
      <c r="FD328" s="1354"/>
      <c r="FE328" s="1354"/>
      <c r="FF328" s="138"/>
      <c r="FI328" s="1357"/>
      <c r="FJ328" s="1357"/>
      <c r="FK328" s="1365"/>
      <c r="FL328" s="1365"/>
      <c r="FM328" s="1365"/>
      <c r="FO328" s="1361"/>
      <c r="FP328" s="1361"/>
      <c r="FQ328" s="1366"/>
      <c r="FR328" s="1368"/>
      <c r="FS328" s="1361"/>
      <c r="FT328" s="1368"/>
      <c r="FU328" s="1360"/>
      <c r="FW328" s="1352"/>
      <c r="FX328" s="1352"/>
      <c r="FY328" s="1352"/>
      <c r="FZ328" s="1352"/>
      <c r="GA328" s="1352"/>
      <c r="GB328" s="1352"/>
      <c r="GC328" s="1352"/>
      <c r="GD328" s="1352"/>
      <c r="GE328" s="759"/>
      <c r="GF328" s="1035"/>
      <c r="GG328" s="1385"/>
      <c r="GI328" s="1384" t="b">
        <f>IF(AND(GL328=TRUE,GM328=TRUE),TRUE,FALSE)</f>
        <v>0</v>
      </c>
      <c r="GJ328" s="1379" t="b">
        <f>IFERROR(IF(__Retrofit_TI_NC=2,TRUE,IF(AR327="Yes",TRUE,FALSE)),FALSE)</f>
        <v>1</v>
      </c>
      <c r="GL328" s="1379" t="b">
        <f>IFERROR(IF(GL327=1,TRUE,FALSE),FALSE)</f>
        <v>0</v>
      </c>
      <c r="GM328" s="1379" t="b">
        <f>IFERROR(IF(GM327=GM$14,TRUE,FALSE),FALSE)</f>
        <v>0</v>
      </c>
      <c r="HC328" s="1379" t="b">
        <f>IFERROR(IF(M328=1,TRUE,FALSE),FALSE)</f>
        <v>0</v>
      </c>
      <c r="HD328" s="1379" t="b">
        <f>IFERROR(IF(M329=1,TRUE,FALSE),FALSE)</f>
        <v>0</v>
      </c>
      <c r="HE328" s="1379" t="b">
        <f>IFERROR(IF(__Retrofit_TI_NC&lt;&gt;0,TRUE,IFERROR(IF(VLOOKUP(U328,Fixtures_Existing_List,2,FALSE)&lt;&gt;"",TRUE,FALSE),FALSE)),FALSE)</f>
        <v>0</v>
      </c>
      <c r="HF328" s="1379" t="b">
        <f>IFERROR(IF(VLOOKUP(U329,Fixtures_Proposed_List,2,FALSE)&lt;&gt;"",TRUE,FALSE),FALSE)</f>
        <v>0</v>
      </c>
      <c r="HG328" s="1379" t="b">
        <f>IF(AND(__Retrofit_TI_NC=2,EZ327=TRUE),FALSE,TRUE)</f>
        <v>1</v>
      </c>
      <c r="HH328" s="1379" t="b">
        <f>GG327</f>
        <v>1</v>
      </c>
      <c r="HI328" s="1384" t="b">
        <f>IF(ISERROR(MATCH(FB327,_Control_Match[],0))=TRUE,FALSE,TRUE)</f>
        <v>0</v>
      </c>
      <c r="HJ328" s="1384" t="b">
        <f>IFERROR(IF(EU327&lt;&gt;EV327,FALSE,TRUE),FALSE)</f>
        <v>0</v>
      </c>
      <c r="HK328" s="1384" t="b">
        <f>IFERROR(IF(EU329&lt;&gt;EV329,FALSE,TRUE),FALSE)</f>
        <v>0</v>
      </c>
      <c r="HL328" s="1379" t="b">
        <f>IFERROR(IF(CN327="Exterior",TRUE,IF(OR(AND(FJ327=0,EW329&gt;4),AND(FJ327=4,EW329&gt;4,EW329&lt;7)),FALSE,TRUE)),FALSE)</f>
        <v>0</v>
      </c>
      <c r="HM328" s="1379" t="b">
        <f>IFERROR(IF(AND(FL329=7,EZ327=TRUE),FALSE,TRUE),FALSE)</f>
        <v>0</v>
      </c>
      <c r="HN328" s="1379" t="b">
        <f>IFERROR(IF(AND(T329&lt;&gt;AE329,AF329="Interior LLLC")=TRUE,FALSE,TRUE),FALSE)</f>
        <v>1</v>
      </c>
      <c r="HO328" s="1379" t="b">
        <f>IFERROR(IF(OR(AF329=Lookup!AU$13,AF329=Lookup!AU$14)=TRUE,IF(AE329&gt;T329,FALSE,TRUE),TRUE),FALSE)</f>
        <v>1</v>
      </c>
      <c r="HP328" s="1379" t="b">
        <f>IFERROR(IF(__Retrofit_TI_NC=2,IF(EW329&lt;EW327,FALSE,TRUE),TRUE),FALSE)</f>
        <v>1</v>
      </c>
      <c r="HQ328" s="1379" t="b">
        <f>IF(CN327="Interior",IG$6,TRUE)</f>
        <v>1</v>
      </c>
      <c r="HR328" s="1379" t="b">
        <f>IF(CN327="Exterior",IG$8,TRUE)</f>
        <v>1</v>
      </c>
      <c r="HS328" s="1379" t="b">
        <f>IFERROR(IF(__Retrofit_TI_NC&lt;&gt;0,IF(AW327&lt;AV327,FALSE,TRUE),TRUE),FALSE)</f>
        <v>1</v>
      </c>
      <c r="HT328" s="1379" t="b">
        <f>IFERROR(IF(AND(G328="Exterior",R328&gt;4200),FALSE,TRUE),FALSE)</f>
        <v>1</v>
      </c>
      <c r="HU328" s="1379" t="b">
        <f>IFERROR(IF(AB330/AB327&lt;HU$18,FALSE,TRUE),FALSE)</f>
        <v>0</v>
      </c>
      <c r="HW328" s="1382"/>
      <c r="HX328" s="1378"/>
      <c r="HY328" s="1377" t="str">
        <f>VLOOKUP(HW330,_Error_Table,4,FALSE)</f>
        <v>White</v>
      </c>
      <c r="HZ328" s="436"/>
      <c r="IA328" s="1386"/>
      <c r="IB328" s="1380"/>
      <c r="IC328" s="1379"/>
      <c r="IF328" s="1380"/>
      <c r="IG328" s="1382"/>
      <c r="IH328" s="1382"/>
      <c r="II328" s="1382"/>
      <c r="IK328" s="1351"/>
      <c r="IL328" s="1351"/>
      <c r="IM328" s="1351"/>
      <c r="IN328" s="1351"/>
      <c r="IO328" s="1351"/>
      <c r="IP328" s="1351"/>
    </row>
    <row r="329" spans="1:250" s="82" customFormat="1" ht="14.95" customHeight="1" thickTop="1" thickBot="1">
      <c r="A329" s="82">
        <f>ROW()</f>
        <v>329</v>
      </c>
      <c r="B329" s="1421"/>
      <c r="C329" s="1422"/>
      <c r="D329" s="1423"/>
      <c r="E329" s="1393" t="s">
        <v>245</v>
      </c>
      <c r="F329" s="1394"/>
      <c r="G329" s="1398"/>
      <c r="H329" s="1399"/>
      <c r="I329" s="1399"/>
      <c r="J329" s="1399"/>
      <c r="K329" s="1399"/>
      <c r="L329" s="1400"/>
      <c r="M329" s="509">
        <f>IFERROR(IF(IF(__Retrofit_TI_NC&lt;&gt;0,IF(CN327="Interior",MATCH(G329,Lookup_Interior_New,0),MATCH(G329,Lookup_Exterior_New,0)),IF(CN327="Interior",MATCH(G329,Lookup_Interior,0),MATCH(G329,Lookup_Exterior_Areas,0)))&gt;0,1,0),0)</f>
        <v>0</v>
      </c>
      <c r="N329" s="509" t="e">
        <f>IF(__Retrofit_TI_NC=1,
VLOOKUP(G329,'Space Table'!$B$3:$L$160,4,FALSE),
IF(__Retrofit_TI_NC=2,VLOOKUP(G329,'Space Table'!$B$3:$L$160,5,FALSE),VLOOKUP(G329,'Space Table'!$B$3:$L$160,5,FALSE)))</f>
        <v>#N/A</v>
      </c>
      <c r="O329" s="509">
        <f>G329</f>
        <v>0</v>
      </c>
      <c r="P329" s="1394" t="s">
        <v>355</v>
      </c>
      <c r="Q329" s="1394"/>
      <c r="R329" s="674"/>
      <c r="S329" s="1401" t="s">
        <v>284</v>
      </c>
      <c r="T329" s="672"/>
      <c r="U329" s="1499"/>
      <c r="V329" s="1500"/>
      <c r="W329" s="1500"/>
      <c r="X329" s="1500"/>
      <c r="Y329" s="1500"/>
      <c r="Z329" s="1500"/>
      <c r="AA329" s="1500"/>
      <c r="AB329" s="1501"/>
      <c r="AC329" s="1501"/>
      <c r="AD329" s="1502"/>
      <c r="AE329" s="672"/>
      <c r="AF329" s="1474"/>
      <c r="AG329" s="1474"/>
      <c r="AH329" s="1474"/>
      <c r="AI329" s="1474"/>
      <c r="AJ329" s="1475">
        <f>DF329</f>
        <v>0</v>
      </c>
      <c r="AK329" s="1470" t="str">
        <f>IFERROR(ROUND(AJ329*AC330,0),"")</f>
        <v/>
      </c>
      <c r="AL329" s="1472">
        <f>IFERROR(IF(HW327=FALSE,0,AC330-AK329),0)</f>
        <v>0</v>
      </c>
      <c r="AM329" s="1441"/>
      <c r="AN329" s="1442"/>
      <c r="AO329" s="1447"/>
      <c r="AP329" s="1447"/>
      <c r="AQ329" s="1448"/>
      <c r="AR329" s="1452"/>
      <c r="AS329" s="1455"/>
      <c r="AT329" s="1458"/>
      <c r="AU329" s="516"/>
      <c r="AV329" s="1479"/>
      <c r="AW329" s="1479"/>
      <c r="BC329" s="38"/>
      <c r="BD329" s="38"/>
      <c r="BE329" s="38"/>
      <c r="BF329" s="38"/>
      <c r="BG329" s="38"/>
      <c r="BH329" s="38"/>
      <c r="BI329" s="38"/>
      <c r="BJ329" s="38"/>
      <c r="BK329" s="38"/>
      <c r="BL329" s="38"/>
      <c r="BM329" s="38"/>
      <c r="BN329" s="38"/>
      <c r="BO329" s="38"/>
      <c r="BP329" s="38"/>
      <c r="BQ329" s="38"/>
      <c r="BR329" s="38"/>
      <c r="BS329" s="38"/>
      <c r="BT329" s="38"/>
      <c r="BU329" s="38"/>
      <c r="BV329" s="38"/>
      <c r="BW329" s="38"/>
      <c r="BX329" s="38"/>
      <c r="BY329" s="38"/>
      <c r="BZ329" s="38"/>
      <c r="CA329" s="38"/>
      <c r="CB329" s="38"/>
      <c r="CC329" s="38"/>
      <c r="CD329" s="38"/>
      <c r="CE329" s="38"/>
      <c r="CF329" s="38"/>
      <c r="CG329" s="38"/>
      <c r="CH329" s="38"/>
      <c r="CI329" s="38"/>
      <c r="CM329" s="1352"/>
      <c r="CN329" s="1352"/>
      <c r="CO329" s="1415" t="str">
        <f>CN327</f>
        <v/>
      </c>
      <c r="CP329" s="1417" t="e">
        <f>CP327</f>
        <v>#N/A</v>
      </c>
      <c r="CR329" s="1386" t="s">
        <v>284</v>
      </c>
      <c r="CS329" s="1353">
        <f>IF(HW327=TRUE,T329,0)</f>
        <v>0</v>
      </c>
      <c r="CT329" s="1353" t="str">
        <f>IF(HW327=TRUE,U329,"")</f>
        <v/>
      </c>
      <c r="CU329" s="1373">
        <f>IF(HW327=TRUE,U330,0)</f>
        <v>0</v>
      </c>
      <c r="CV329" s="1370">
        <f>IF(HW327=TRUE,AB330,0)</f>
        <v>0</v>
      </c>
      <c r="CW329" s="1370">
        <f>IF(HW327=TRUE,AC330,0)</f>
        <v>0</v>
      </c>
      <c r="CX329" s="1371"/>
      <c r="CY329" s="1486"/>
      <c r="CZ329" s="1486"/>
      <c r="DA329" s="1486"/>
      <c r="DC329" s="1353">
        <f>IF(HW327=TRUE,AE329,0)</f>
        <v>0</v>
      </c>
      <c r="DD329" s="1353" t="str">
        <f>IF(HW327=TRUE,AF329,"")</f>
        <v/>
      </c>
      <c r="DE329" s="1373">
        <f>AF330</f>
        <v>0</v>
      </c>
      <c r="DF329" s="1406">
        <f>IFERROR(IF(FL329=3,IK329,IF(FL329=4,IL329,IF(FL329=5,IM329,IF(FL329=6,IN329,IF(FL329=7,IO329,IF(FL329=8,IP329,0)))))),0)</f>
        <v>0</v>
      </c>
      <c r="DG329" s="1370">
        <f>IF(HW327=TRUE,AK329,0)</f>
        <v>0</v>
      </c>
      <c r="DH329" s="1369"/>
      <c r="DK329" s="1483">
        <f>IFERROR(CW329-DG329,0)</f>
        <v>0</v>
      </c>
      <c r="DL329" s="1420"/>
      <c r="DN329" s="1403"/>
      <c r="DO329" s="1477" t="str">
        <f>DN327</f>
        <v/>
      </c>
      <c r="DP329" s="1354"/>
      <c r="DQ329" s="1477" t="str">
        <f>IF(DP327=7,"LLLC","")</f>
        <v/>
      </c>
      <c r="DR329" s="1403"/>
      <c r="DS329" s="1489"/>
      <c r="DU329" s="1403"/>
      <c r="DV329" s="1404" t="str">
        <f>DU327</f>
        <v/>
      </c>
      <c r="DW329" s="1403"/>
      <c r="DX329" s="1403"/>
      <c r="DZ329" s="1481"/>
      <c r="EA329" s="1481"/>
      <c r="EC329" s="1482"/>
      <c r="ED329" s="1369"/>
      <c r="EE329" s="1371"/>
      <c r="EF329" s="1369"/>
      <c r="EG329" s="1369"/>
      <c r="EH329" s="1374"/>
      <c r="EI329" s="1374"/>
      <c r="EJ329" s="1363"/>
      <c r="EK329" s="1376"/>
      <c r="EL329" s="1376"/>
      <c r="EM329" s="1362"/>
      <c r="EN329" s="1362"/>
      <c r="EO329" s="1363"/>
      <c r="EP329" s="1363"/>
      <c r="EQ329" s="1363"/>
      <c r="ES329" s="1403"/>
      <c r="EU329" s="1411" t="e">
        <f>VLOOKUP(CP329,'Space Table'!$B$3:$L$160,8,FALSE)</f>
        <v>#N/A</v>
      </c>
      <c r="EV329" s="1411" t="e">
        <f>IF(EY329="Yes",VLOOKUP(AF329,Lookup_Control_Type_Table2,4,FALSE),VLOOKUP(AF329,Lookup_Control_Type_Table2,3,FALSE))</f>
        <v>#N/A</v>
      </c>
      <c r="EW329" s="1411" t="e">
        <f>VLOOKUP(AF329,Lookup!AU$3:AV$15,2,FALSE)</f>
        <v>#N/A</v>
      </c>
      <c r="EX329" s="1411" t="e">
        <f>VLOOKUP(EU327,Lookup_Control_Type_Table,2,FALSE)</f>
        <v>#N/A</v>
      </c>
      <c r="EY329" s="1411" t="e">
        <f>VLOOKUP(CP329,'Space Table'!$B$3:$L$160,7,FALSE)</f>
        <v>#N/A</v>
      </c>
      <c r="EZ329" s="1413"/>
      <c r="FB329" s="1365" t="str">
        <f>CONCATENATE(CN327," - ",AF329)</f>
        <v xml:space="preserve"> - </v>
      </c>
      <c r="FD329" s="1354"/>
      <c r="FE329" s="1354"/>
      <c r="FF329" s="138"/>
      <c r="FI329" s="1356" t="str">
        <f>IF(CN327="Exterior","Not Daylighted",G330)</f>
        <v>Not Daylighted</v>
      </c>
      <c r="FJ329" s="1356">
        <f>VLOOKUP(FI329,_Daylight_Table_Codes,2,FALSE)</f>
        <v>0</v>
      </c>
      <c r="FK329" s="1365">
        <f>AF329</f>
        <v>0</v>
      </c>
      <c r="FL329" s="1365" t="e">
        <f>VLOOKUP(FK329,_Control_Table,2,FALSE)</f>
        <v>#N/A</v>
      </c>
      <c r="FM329" s="1365" t="e">
        <f>IF(AND(FP329&gt;0,FK329="Occupancy Sensor"),"Daylight + Occupancy",IF(AND(FP329&gt;0,FL329&lt;4),"Interior Daylight Dimming",FK329))</f>
        <v>#N/A</v>
      </c>
      <c r="FO329" s="1364">
        <f>IF(CN327="Interior",VLOOKUP(CP327,Control_Savings_Interior,5,FALSE),0)</f>
        <v>0</v>
      </c>
      <c r="FP329" s="1361">
        <f>IF(CN329="Exterior",0,IF(FJ329=2,0.5,IF(OR(FJ329=1,FJ329=3),1,0)))</f>
        <v>0</v>
      </c>
      <c r="FQ329" s="1366">
        <f>IF(R328&gt;FO$37,(FO329*(FO$37/R328)),FO329)*FP329</f>
        <v>0</v>
      </c>
      <c r="FR329" s="1364">
        <f>DF329</f>
        <v>0</v>
      </c>
      <c r="FS329" s="1364">
        <f>ROUND(FR329+((1-FR329)*FQ329),2)</f>
        <v>0</v>
      </c>
      <c r="FT329" s="1364">
        <f>IF(__Retrofit_TI_NC=2,FS329,FR329)</f>
        <v>0</v>
      </c>
      <c r="FU329" s="1360">
        <f>IF(CO329="Interior",VLOOKUP(CP329,Control_Savings_Interior,4,FALSE),0)</f>
        <v>0</v>
      </c>
      <c r="FW329" s="1352"/>
      <c r="FX329" s="1352"/>
      <c r="FY329" s="1352"/>
      <c r="FZ329" s="1352"/>
      <c r="GA329" s="1352"/>
      <c r="GB329" s="1352"/>
      <c r="GC329" s="1352"/>
      <c r="GD329" s="1352"/>
      <c r="GE329" s="759" t="b">
        <f>IF(ISNUMBER(SEARCH("TLED",U329)),TRUE,FALSE)</f>
        <v>0</v>
      </c>
      <c r="GF329" s="1035" t="str">
        <f>IFERROR(VLOOKUP(U329,Fixtures!DM$93:DR$142,6,FALSE),"")</f>
        <v/>
      </c>
      <c r="GG329" s="1385"/>
      <c r="GI329" s="1383"/>
      <c r="GJ329" s="1379"/>
      <c r="GL329" s="1379"/>
      <c r="GM329" s="1379"/>
      <c r="HC329" s="1379"/>
      <c r="HD329" s="1379"/>
      <c r="HE329" s="1379"/>
      <c r="HF329" s="1379"/>
      <c r="HG329" s="1379"/>
      <c r="HH329" s="1379"/>
      <c r="HI329" s="1383"/>
      <c r="HJ329" s="1383"/>
      <c r="HK329" s="1383"/>
      <c r="HL329" s="1379"/>
      <c r="HM329" s="1379"/>
      <c r="HN329" s="1379"/>
      <c r="HO329" s="1379"/>
      <c r="HP329" s="1379"/>
      <c r="HQ329" s="1379"/>
      <c r="HR329" s="1379"/>
      <c r="HS329" s="1379"/>
      <c r="HT329" s="1379"/>
      <c r="HU329" s="1379"/>
      <c r="HW329" s="1383"/>
      <c r="HX329" s="1384" t="b">
        <f>HW327</f>
        <v>0</v>
      </c>
      <c r="HY329" s="1378"/>
      <c r="HZ329" s="436"/>
      <c r="IA329" s="1386"/>
      <c r="IB329" s="1380">
        <f>IF(IA327=TRUE,AC330,0)</f>
        <v>0</v>
      </c>
      <c r="IC329" s="1379"/>
      <c r="IF329" s="1380" t="e">
        <f>ROUND(T329*AB330*N328*R328/1000,0)</f>
        <v>#VALUE!</v>
      </c>
      <c r="IG329" s="1382"/>
      <c r="IH329" s="1384" t="e">
        <f>ROUND(T329*AB330*N328*R328/1000,0)</f>
        <v>#VALUE!</v>
      </c>
      <c r="II329" s="1382"/>
      <c r="IK329" s="1351" t="e">
        <f>IF($CO329="interior",IL329/2,VLOOKUP($CP329,Control_Savings_Exterior,IK$30,FALSE))</f>
        <v>#N/A</v>
      </c>
      <c r="IL329" s="1351" t="e">
        <f>IF($CO329="interior",VLOOKUP($CP329,Control_Savings_Interior,IL$30,FALSE),VLOOKUP($CP329,Control_Savings_Exterior,IL$30,FALSE))</f>
        <v>#N/A</v>
      </c>
      <c r="IM329" s="1351" t="e">
        <f>IF($CO329="interior",IF(R328&gt;FO$37,(IM$28*(FO$37/R328)),IM$28)*FP329,VLOOKUP($CP329,Control_Savings_Exterior,IM$30,FALSE))</f>
        <v>#N/A</v>
      </c>
      <c r="IN329" s="1351" t="e">
        <f>IF($CO329="interior",ROUND(((1-IL329)*IM329)+IL329,2),VLOOKUP($CP329,Control_Savings_Exterior,IN$30,FALSE))</f>
        <v>#N/A</v>
      </c>
      <c r="IO329" s="1351" t="e">
        <f>IF($CO329="interior", ROUND(((1-IL329)*(IM329*(1-IP$28)))+IP329,2), VLOOKUP($CP329,Control_Savings_Exterior,IO$30,FALSE))</f>
        <v>#N/A</v>
      </c>
      <c r="IP329" s="1351">
        <f>IF($CO329="interior",ROUND(((1-IL329)*IP$28)+IL329,2),0)</f>
        <v>0</v>
      </c>
    </row>
    <row r="330" spans="1:250" s="82" customFormat="1" ht="14.95" customHeight="1" thickTop="1" thickBot="1">
      <c r="B330" s="1421"/>
      <c r="C330" s="1422"/>
      <c r="D330" s="1423"/>
      <c r="E330" s="1462" t="s">
        <v>357</v>
      </c>
      <c r="F330" s="1463"/>
      <c r="G330" s="1464" t="s">
        <v>362</v>
      </c>
      <c r="H330" s="1465"/>
      <c r="I330" s="1465"/>
      <c r="J330" s="1465"/>
      <c r="K330" s="1465"/>
      <c r="L330" s="1466"/>
      <c r="M330" s="669">
        <f>IFERROR(VLOOKUP(G330,_Daylight_Table[],2,FALSE),0)</f>
        <v>0</v>
      </c>
      <c r="N330" s="670"/>
      <c r="O330" s="669" t="e">
        <f>VLOOKUP(G329,'Space Table'!$B$3:$L$160,11,FALSE)</f>
        <v>#N/A</v>
      </c>
      <c r="P330" s="1408"/>
      <c r="Q330" s="1409"/>
      <c r="R330" s="1409"/>
      <c r="S330" s="1402"/>
      <c r="T330" s="671" t="s">
        <v>281</v>
      </c>
      <c r="U330" s="1467" t="str">
        <f>IFERROR(VLOOKUP(U329,Fixtures!DM$93:DP$142,4,FALSE),"")</f>
        <v/>
      </c>
      <c r="V330" s="1468"/>
      <c r="W330" s="1468"/>
      <c r="X330" s="1468"/>
      <c r="Y330" s="1468"/>
      <c r="Z330" s="1468"/>
      <c r="AA330" s="1468"/>
      <c r="AB330" s="1046" t="str">
        <f>IFERROR(VLOOKUP(U329,Fixtures_Proposed_List,2,FALSE),"")</f>
        <v/>
      </c>
      <c r="AC330" s="1036" t="str">
        <f>IFERROR(ROUND(T329*AB330*N328*R328/1000,0),"")</f>
        <v/>
      </c>
      <c r="AD330" s="1037" t="str">
        <f>IFERROR(ROUND(T329*AB330/1000,2),"")</f>
        <v/>
      </c>
      <c r="AE330" s="1045" t="s">
        <v>281</v>
      </c>
      <c r="AF330" s="1469"/>
      <c r="AG330" s="1469"/>
      <c r="AH330" s="1469"/>
      <c r="AI330" s="1469"/>
      <c r="AJ330" s="1476"/>
      <c r="AK330" s="1471"/>
      <c r="AL330" s="1473"/>
      <c r="AM330" s="1443"/>
      <c r="AN330" s="1444"/>
      <c r="AO330" s="1449"/>
      <c r="AP330" s="1449"/>
      <c r="AQ330" s="1450"/>
      <c r="AR330" s="1453"/>
      <c r="AS330" s="1456"/>
      <c r="AT330" s="1459"/>
      <c r="AU330" s="517"/>
      <c r="AV330" s="1480"/>
      <c r="AW330" s="1480"/>
      <c r="BC330" s="38"/>
      <c r="BD330" s="38"/>
      <c r="BE330" s="38"/>
      <c r="BF330" s="38"/>
      <c r="BG330" s="38"/>
      <c r="BH330" s="38"/>
      <c r="BI330" s="38"/>
      <c r="BJ330" s="38"/>
      <c r="BK330" s="38"/>
      <c r="BL330" s="38"/>
      <c r="BM330" s="38"/>
      <c r="BN330" s="38"/>
      <c r="BO330" s="38"/>
      <c r="BP330" s="38"/>
      <c r="BQ330" s="38"/>
      <c r="BR330" s="38"/>
      <c r="BS330" s="38"/>
      <c r="BT330" s="38"/>
      <c r="BU330" s="38"/>
      <c r="BV330" s="38"/>
      <c r="BW330" s="38"/>
      <c r="BX330" s="38"/>
      <c r="BY330" s="38"/>
      <c r="BZ330" s="38"/>
      <c r="CA330" s="38"/>
      <c r="CB330" s="38"/>
      <c r="CC330" s="38"/>
      <c r="CD330" s="38"/>
      <c r="CE330" s="38"/>
      <c r="CF330" s="38"/>
      <c r="CG330" s="38"/>
      <c r="CH330" s="38"/>
      <c r="CI330" s="38"/>
      <c r="CM330" s="1352"/>
      <c r="CN330" s="1352"/>
      <c r="CO330" s="1416"/>
      <c r="CP330" s="1418"/>
      <c r="CR330" s="1386"/>
      <c r="CS330" s="1355"/>
      <c r="CT330" s="1355"/>
      <c r="CU330" s="1375"/>
      <c r="CV330" s="1372"/>
      <c r="CW330" s="1372"/>
      <c r="CX330" s="1372"/>
      <c r="CY330" s="1487"/>
      <c r="CZ330" s="1487"/>
      <c r="DA330" s="1487"/>
      <c r="DC330" s="1355"/>
      <c r="DD330" s="1355"/>
      <c r="DE330" s="1375"/>
      <c r="DF330" s="1407"/>
      <c r="DG330" s="1372"/>
      <c r="DH330" s="1369"/>
      <c r="DK330" s="1484"/>
      <c r="DL330" s="1420"/>
      <c r="DN330" s="1403"/>
      <c r="DO330" s="1405"/>
      <c r="DP330" s="1355"/>
      <c r="DQ330" s="1405"/>
      <c r="DR330" s="1403"/>
      <c r="DS330" s="1489"/>
      <c r="DU330" s="1403"/>
      <c r="DV330" s="1405"/>
      <c r="DW330" s="1403"/>
      <c r="DX330" s="1403"/>
      <c r="DZ330" s="1481"/>
      <c r="EA330" s="1481"/>
      <c r="EC330" s="1482"/>
      <c r="ED330" s="1369"/>
      <c r="EE330" s="1372"/>
      <c r="EF330" s="1369"/>
      <c r="EG330" s="1369"/>
      <c r="EH330" s="1375"/>
      <c r="EI330" s="1375"/>
      <c r="EJ330" s="1363"/>
      <c r="EK330" s="1376"/>
      <c r="EL330" s="1376"/>
      <c r="EM330" s="1362"/>
      <c r="EN330" s="1362"/>
      <c r="EO330" s="1363"/>
      <c r="EP330" s="1363"/>
      <c r="EQ330" s="1363"/>
      <c r="ES330" s="1403"/>
      <c r="EU330" s="1488"/>
      <c r="EV330" s="1488"/>
      <c r="EW330" s="1488"/>
      <c r="EX330" s="1488"/>
      <c r="EY330" s="1488"/>
      <c r="EZ330" s="1414"/>
      <c r="FB330" s="1365"/>
      <c r="FD330" s="1355"/>
      <c r="FE330" s="1355"/>
      <c r="FF330" s="138"/>
      <c r="FI330" s="1357"/>
      <c r="FJ330" s="1357"/>
      <c r="FK330" s="1365"/>
      <c r="FL330" s="1365"/>
      <c r="FM330" s="1365"/>
      <c r="FO330" s="1361"/>
      <c r="FP330" s="1361"/>
      <c r="FQ330" s="1366"/>
      <c r="FR330" s="1361"/>
      <c r="FS330" s="1361"/>
      <c r="FT330" s="1361"/>
      <c r="FU330" s="1360"/>
      <c r="FW330" s="1352"/>
      <c r="FX330" s="1352"/>
      <c r="FY330" s="1352"/>
      <c r="FZ330" s="1352"/>
      <c r="GA330" s="1352"/>
      <c r="GB330" s="1352"/>
      <c r="GC330" s="1352"/>
      <c r="GD330" s="1352"/>
      <c r="GE330" s="759"/>
      <c r="GF330" s="1035"/>
      <c r="GG330" s="1385"/>
      <c r="GJ330" s="1034">
        <f>IF(GJ328=TRUE,0,GJ$16)</f>
        <v>0</v>
      </c>
      <c r="GL330" s="1034">
        <f>IF(GL328=TRUE,0,GL$16)</f>
        <v>36</v>
      </c>
      <c r="GM330" s="1034">
        <f>IF(GM328=TRUE,0,GM$16)</f>
        <v>35</v>
      </c>
      <c r="GN330" s="436"/>
      <c r="GO330" s="436"/>
      <c r="GP330" s="436"/>
      <c r="GQ330" s="436"/>
      <c r="GR330" s="436"/>
      <c r="HC330" s="1034">
        <f t="shared" ref="HC330:HH330" si="234">IF(HC328=TRUE,0,HC$16)</f>
        <v>19</v>
      </c>
      <c r="HD330" s="1034">
        <f t="shared" si="234"/>
        <v>18</v>
      </c>
      <c r="HE330" s="1034">
        <f t="shared" si="234"/>
        <v>17</v>
      </c>
      <c r="HF330" s="1034">
        <f t="shared" si="234"/>
        <v>16</v>
      </c>
      <c r="HG330" s="1034">
        <f t="shared" si="234"/>
        <v>0</v>
      </c>
      <c r="HH330" s="1034">
        <f t="shared" si="234"/>
        <v>0</v>
      </c>
      <c r="HI330" s="1034">
        <f>IF(HI328=TRUE,0,HI$16)</f>
        <v>13</v>
      </c>
      <c r="HJ330" s="1034">
        <f t="shared" ref="HJ330:HL330" si="235">IF(HJ328=TRUE,0,HJ$16)</f>
        <v>12</v>
      </c>
      <c r="HK330" s="1034">
        <f t="shared" si="235"/>
        <v>11</v>
      </c>
      <c r="HL330" s="1034">
        <f t="shared" si="235"/>
        <v>10</v>
      </c>
      <c r="HM330" s="1034">
        <f>IF(HM328=TRUE,0,HM$16)</f>
        <v>9</v>
      </c>
      <c r="HN330" s="1034">
        <f t="shared" ref="HN330:HR330" si="236">IF(HN328=TRUE,0,HN$16)</f>
        <v>0</v>
      </c>
      <c r="HO330" s="1034">
        <f t="shared" si="236"/>
        <v>0</v>
      </c>
      <c r="HP330" s="1034">
        <f t="shared" si="236"/>
        <v>0</v>
      </c>
      <c r="HQ330" s="1034">
        <f t="shared" si="236"/>
        <v>0</v>
      </c>
      <c r="HR330" s="1034">
        <f t="shared" si="236"/>
        <v>0</v>
      </c>
      <c r="HS330" s="1034">
        <f>IF(HS328=TRUE,0,HS$16)</f>
        <v>0</v>
      </c>
      <c r="HT330" s="1034">
        <f t="shared" ref="HT330" si="237">IF(HT328=TRUE,0,HT$16)</f>
        <v>0</v>
      </c>
      <c r="HU330" s="1034">
        <f>IF(HU328=TRUE,0,HU$16)</f>
        <v>1</v>
      </c>
      <c r="HW330" s="1034">
        <f>IF(GL328=FALSE,GL330,IF(GM328=FALSE,GM330,MAX(GJ330:HU330)))</f>
        <v>36</v>
      </c>
      <c r="HX330" s="1383"/>
      <c r="HY330" s="241" t="str">
        <f>VLOOKUP(HW330,_Error_Table,3,FALSE)</f>
        <v xml:space="preserve"> </v>
      </c>
      <c r="HZ330" s="241"/>
      <c r="IA330" s="1386"/>
      <c r="IB330" s="1380"/>
      <c r="IC330" s="1379"/>
      <c r="IF330" s="1380"/>
      <c r="IG330" s="1383"/>
      <c r="IH330" s="1383"/>
      <c r="II330" s="1383"/>
      <c r="IK330" s="1351"/>
      <c r="IL330" s="1351"/>
      <c r="IM330" s="1351"/>
      <c r="IN330" s="1351"/>
      <c r="IO330" s="1351"/>
      <c r="IP330" s="1351"/>
    </row>
    <row r="331" spans="1:250" s="82" customFormat="1" ht="5.0999999999999996" customHeight="1" thickBot="1">
      <c r="B331" s="763"/>
      <c r="C331" s="1038"/>
      <c r="D331" s="1038"/>
      <c r="E331" s="1490"/>
      <c r="F331" s="1490"/>
      <c r="G331" s="1490"/>
      <c r="H331" s="1490"/>
      <c r="I331" s="1490"/>
      <c r="J331" s="1490"/>
      <c r="K331" s="1490"/>
      <c r="L331" s="1490"/>
      <c r="M331" s="1490"/>
      <c r="N331" s="1490"/>
      <c r="O331" s="1490"/>
      <c r="P331" s="1490"/>
      <c r="Q331" s="1490"/>
      <c r="R331" s="1490"/>
      <c r="S331" s="1490"/>
      <c r="T331" s="1490"/>
      <c r="U331" s="1490"/>
      <c r="V331" s="1490"/>
      <c r="W331" s="1490"/>
      <c r="X331" s="1490"/>
      <c r="Y331" s="1490"/>
      <c r="Z331" s="1490"/>
      <c r="AA331" s="1490"/>
      <c r="AB331" s="1490"/>
      <c r="AC331" s="1490"/>
      <c r="AD331" s="1490"/>
      <c r="AE331" s="1490"/>
      <c r="AF331" s="1490"/>
      <c r="AG331" s="1490"/>
      <c r="AH331" s="1490"/>
      <c r="AI331" s="1490"/>
      <c r="AJ331" s="1490"/>
      <c r="AK331" s="1490"/>
      <c r="AL331" s="1490"/>
      <c r="AM331" s="1490"/>
      <c r="AN331" s="1490"/>
      <c r="AO331" s="1490"/>
      <c r="AP331" s="1490"/>
      <c r="AQ331" s="1490"/>
      <c r="AR331" s="1490"/>
      <c r="AS331" s="1490"/>
      <c r="AT331" s="1490"/>
      <c r="AU331" s="1041"/>
      <c r="BC331" s="38"/>
      <c r="BD331" s="38"/>
      <c r="BE331" s="38"/>
      <c r="BF331" s="38"/>
      <c r="BG331" s="38"/>
      <c r="BH331" s="38"/>
      <c r="BI331" s="38"/>
      <c r="BJ331" s="38"/>
      <c r="BK331" s="38"/>
      <c r="BL331" s="38"/>
      <c r="BM331" s="38"/>
      <c r="BN331" s="38"/>
      <c r="BO331" s="38"/>
      <c r="BP331" s="38"/>
      <c r="BQ331" s="38"/>
      <c r="BR331" s="38"/>
      <c r="BS331" s="38"/>
      <c r="BT331" s="38"/>
      <c r="BU331" s="38"/>
      <c r="BV331" s="38"/>
      <c r="BW331" s="38"/>
      <c r="BX331" s="38"/>
      <c r="BY331" s="38"/>
      <c r="BZ331" s="38"/>
      <c r="CA331" s="38"/>
      <c r="CB331" s="38"/>
      <c r="CC331" s="38"/>
      <c r="CD331" s="38"/>
      <c r="CE331" s="38"/>
      <c r="CF331" s="38"/>
      <c r="CG331" s="38"/>
      <c r="CH331" s="38"/>
      <c r="CI331" s="38"/>
      <c r="CM331" s="749"/>
      <c r="CN331" s="749"/>
      <c r="CO331" s="1043"/>
      <c r="CP331" s="749"/>
      <c r="CS331" s="436"/>
      <c r="CT331" s="436"/>
      <c r="CU331" s="243"/>
      <c r="CV331" s="244"/>
      <c r="CW331" s="244"/>
      <c r="CX331" s="244"/>
      <c r="CY331" s="245"/>
      <c r="CZ331" s="245"/>
      <c r="DA331" s="245"/>
      <c r="DC331" s="750"/>
      <c r="DD331" s="751"/>
      <c r="DE331" s="752"/>
      <c r="DF331" s="753"/>
      <c r="DG331" s="754"/>
      <c r="DH331" s="754"/>
      <c r="DK331" s="244"/>
      <c r="DL331" s="750"/>
      <c r="DN331" s="750"/>
      <c r="DO331" s="755"/>
      <c r="DP331" s="436"/>
      <c r="DQ331" s="750"/>
      <c r="DR331" s="750"/>
      <c r="DS331" s="750"/>
      <c r="DU331" s="750"/>
      <c r="DV331" s="750"/>
      <c r="DW331" s="750"/>
      <c r="DX331" s="750"/>
      <c r="DZ331" s="756"/>
      <c r="EA331" s="756"/>
      <c r="EC331" s="754"/>
      <c r="ED331" s="754"/>
      <c r="EE331" s="244"/>
      <c r="EF331" s="754"/>
      <c r="EG331" s="754"/>
      <c r="EH331" s="243"/>
      <c r="EI331" s="243"/>
      <c r="EJ331" s="752"/>
      <c r="EK331" s="757"/>
      <c r="EL331" s="757"/>
      <c r="EM331" s="758"/>
      <c r="EN331" s="758"/>
      <c r="EO331" s="752"/>
      <c r="EP331" s="752"/>
      <c r="EQ331" s="752"/>
      <c r="ES331" s="750"/>
      <c r="EU331" s="436"/>
      <c r="EV331" s="436"/>
      <c r="EW331" s="436"/>
      <c r="EX331" s="436"/>
      <c r="EY331" s="436"/>
      <c r="EZ331" s="436"/>
      <c r="FB331" s="643"/>
      <c r="FD331" s="436"/>
      <c r="FE331" s="436"/>
      <c r="FF331" s="436"/>
      <c r="FO331" s="750"/>
      <c r="FP331" s="436"/>
      <c r="FQ331" s="436"/>
      <c r="FR331" s="750"/>
      <c r="FS331" s="750"/>
      <c r="FW331" s="749"/>
      <c r="FX331" s="749"/>
      <c r="FY331" s="749"/>
      <c r="FZ331" s="749"/>
      <c r="GA331" s="749"/>
      <c r="GB331" s="749"/>
      <c r="GC331" s="749"/>
      <c r="GD331" s="749"/>
      <c r="GE331" s="751"/>
      <c r="GF331" s="750"/>
      <c r="GG331" s="750"/>
    </row>
    <row r="332" spans="1:250" s="82" customFormat="1" ht="14.95" customHeight="1" thickTop="1" thickBot="1">
      <c r="B332" s="1421" t="str">
        <f>HY335</f>
        <v xml:space="preserve"> </v>
      </c>
      <c r="C332" s="1422">
        <f>C327+1</f>
        <v>57</v>
      </c>
      <c r="D332" s="1423"/>
      <c r="E332" s="1424" t="s">
        <v>242</v>
      </c>
      <c r="F332" s="1425"/>
      <c r="G332" s="1426"/>
      <c r="H332" s="1427"/>
      <c r="I332" s="1427"/>
      <c r="J332" s="1427"/>
      <c r="K332" s="1427"/>
      <c r="L332" s="1427"/>
      <c r="M332" s="1427"/>
      <c r="N332" s="1427"/>
      <c r="O332" s="1427"/>
      <c r="P332" s="1427"/>
      <c r="Q332" s="1427"/>
      <c r="R332" s="1427"/>
      <c r="S332" s="1428" t="s">
        <v>283</v>
      </c>
      <c r="T332" s="668" t="s">
        <v>190</v>
      </c>
      <c r="U332" s="1430" t="s">
        <v>186</v>
      </c>
      <c r="V332" s="1431"/>
      <c r="W332" s="1431"/>
      <c r="X332" s="1431"/>
      <c r="Y332" s="1431"/>
      <c r="Z332" s="1431"/>
      <c r="AA332" s="1431"/>
      <c r="AB332" s="1088" t="str">
        <f>IFERROR(IF(__Retrofit_TI_NC=0,VLOOKUP(U333,Fixtures_Existing_List,2,FALSE),ROUND(N334*R334/T334,10)),"")</f>
        <v/>
      </c>
      <c r="AC332" s="1039" t="str">
        <f>IFERROR(IF(__Retrofit_TI_NC=0,ROUND(T333*AB332*N333*R333/1000,0),IF(CN332="Interior",N334*R334*R333*N333*_C406_reduction/1000,N334*R334*R333*N333/1000)),"")</f>
        <v/>
      </c>
      <c r="AD332" s="1040" t="str">
        <f>IFERROR(IF(C$36=0,ROUND(T333*AB332/1000,2),N334*R334/1000),"")</f>
        <v/>
      </c>
      <c r="AE332" s="1044" t="s">
        <v>190</v>
      </c>
      <c r="AF332" s="1432" t="str">
        <f>IF(__Retrofit_TI_NC=2,CONCATENATE("Code min = ",DD332),IF(__Retrofit_TI_NC=1,"Emter what you think the existing control was"," Control"))</f>
        <v xml:space="preserve"> Control</v>
      </c>
      <c r="AG332" s="1432"/>
      <c r="AH332" s="1432"/>
      <c r="AI332" s="1432"/>
      <c r="AJ332" s="1433">
        <f>DF332</f>
        <v>0</v>
      </c>
      <c r="AK332" s="1435" t="str">
        <f>IFERROR(ROUND(AJ332*AC332,0),"")</f>
        <v/>
      </c>
      <c r="AL332" s="1437">
        <f>IFERROR(IF(HW332=FALSE,0,AC332-AK332),0)</f>
        <v>0</v>
      </c>
      <c r="AM332" s="1439">
        <f>AL332-AL334</f>
        <v>0</v>
      </c>
      <c r="AN332" s="1440"/>
      <c r="AO332" s="1445">
        <f>IFERROR(IF(HW332=FALSE,0,(T334*U335)+(AE334*AF335)),0)</f>
        <v>0</v>
      </c>
      <c r="AP332" s="1445"/>
      <c r="AQ332" s="1446"/>
      <c r="AR332" s="1451" t="s">
        <v>157</v>
      </c>
      <c r="AS332" s="1454">
        <f>IF(AR332="Yes",1,0)</f>
        <v>1</v>
      </c>
      <c r="AT332" s="1457" t="str">
        <f>IF(OR(DN332=4,DN332=5,DN332=6,DN332=12),CONCATENATE("$",IF(GD332=TRUE,Lookup!$B$11,Lookup!$B$2)," /lamp"),CONCATENATE(EA332,"/ kWh"))</f>
        <v>0/ kWh</v>
      </c>
      <c r="AU332" s="516"/>
      <c r="AV332" s="1478">
        <f>IFERROR(IF(GI333=TRUE,(AB335*T334)/R334,0),"NA")</f>
        <v>0</v>
      </c>
      <c r="AW332" s="1478" t="str">
        <f>IFERROR(N334*_C406_reduction,"NA")</f>
        <v>NA</v>
      </c>
      <c r="BC332" s="38"/>
      <c r="BD332" s="38"/>
      <c r="BE332" s="38"/>
      <c r="BF332" s="38"/>
      <c r="BG332" s="38"/>
      <c r="BH332" s="38"/>
      <c r="BI332" s="38"/>
      <c r="BJ332" s="38"/>
      <c r="BK332" s="38"/>
      <c r="BL332" s="38"/>
      <c r="BM332" s="38"/>
      <c r="BN332" s="38"/>
      <c r="BO332" s="38"/>
      <c r="BP332" s="38"/>
      <c r="BQ332" s="38"/>
      <c r="BR332" s="38"/>
      <c r="BS332" s="38"/>
      <c r="BT332" s="38"/>
      <c r="BU332" s="38"/>
      <c r="BV332" s="38"/>
      <c r="BW332" s="38"/>
      <c r="BX332" s="38"/>
      <c r="BY332" s="38"/>
      <c r="BZ332" s="38"/>
      <c r="CA332" s="38"/>
      <c r="CB332" s="38"/>
      <c r="CC332" s="38"/>
      <c r="CD332" s="38"/>
      <c r="CE332" s="38"/>
      <c r="CF332" s="38"/>
      <c r="CG332" s="38"/>
      <c r="CH332" s="38"/>
      <c r="CI332" s="38"/>
      <c r="CM332" s="1352" t="str">
        <f>N333</f>
        <v/>
      </c>
      <c r="CN332" s="1352" t="str">
        <f>IFERROR(VLOOKUP(G333,_Lookup_Heat_Type_Table_New,3,FALSE),"")</f>
        <v/>
      </c>
      <c r="CO332" s="1415" t="str">
        <f>CN332</f>
        <v/>
      </c>
      <c r="CP332" s="1417" t="e">
        <f>VLOOKUP(G334,'Space Table'!$B$3:$L$160,9,FALSE)</f>
        <v>#N/A</v>
      </c>
      <c r="CR332" s="1386" t="s">
        <v>283</v>
      </c>
      <c r="CS332" s="1353">
        <f>IF(HW332=TRUE,T333,0)</f>
        <v>0</v>
      </c>
      <c r="CT332" s="1353" t="str">
        <f>IF(HW332=TRUE,U333,"")</f>
        <v/>
      </c>
      <c r="CU332" s="1353"/>
      <c r="CV332" s="1370">
        <f>IF(HW332=TRUE,AB332,0)</f>
        <v>0</v>
      </c>
      <c r="CW332" s="1370">
        <f>IF(HW332=TRUE,AC332,0)</f>
        <v>0</v>
      </c>
      <c r="CX332" s="1370">
        <f>IFERROR(IF(HW332=TRUE,CW332-CW334,0),0)</f>
        <v>0</v>
      </c>
      <c r="CY332" s="1485">
        <f>IF(HW332=TRUE,AD332,0)</f>
        <v>0</v>
      </c>
      <c r="CZ332" s="1485">
        <f>IF(HW332=TRUE,AD335,0)</f>
        <v>0</v>
      </c>
      <c r="DA332" s="1485">
        <f>IFERROR(CY332-CZ332,0)</f>
        <v>0</v>
      </c>
      <c r="DC332" s="1353">
        <f>IF(HW332=TRUE,AE333,0)</f>
        <v>0</v>
      </c>
      <c r="DD332" s="1460">
        <f>IF(__Retrofit_TI_NC=2,IF(CN332="Exterior",O335,FM332),FK332)</f>
        <v>0</v>
      </c>
      <c r="DE332" s="1353"/>
      <c r="DF332" s="1406">
        <f>IFERROR(IF(FL332=3,IK332,IF(FL332=4,IL332,IF(FL332=5,IM332,IF(FL332=6,IN332,IF(FL332=7,IO332,IF(FL332=8,IP332,0)))))),0)</f>
        <v>0</v>
      </c>
      <c r="DG332" s="1370">
        <f>IF(HW332=TRUE,AK332,0)</f>
        <v>0</v>
      </c>
      <c r="DH332" s="1369">
        <f>IFERROR(IF(HW332=TRUE,DG334-DG332,0),0)</f>
        <v>0</v>
      </c>
      <c r="DJ332" s="1483">
        <f>IFERROR(CW332-DG332,0)</f>
        <v>0</v>
      </c>
      <c r="DL332" s="1419">
        <f>DJ332-DK334</f>
        <v>0</v>
      </c>
      <c r="DN332" s="1403" t="str">
        <f>IFERROR(IF(AND(OR(FY332=4,FY332=5,FY332=6),OR(GB332=4,GB332=5,GB332=6)),FY332+8,VLOOKUP(CT334,Fixtures!R$31:Y$78,8,FALSE)),"")</f>
        <v/>
      </c>
      <c r="DO332" s="1404" t="str">
        <f>DN332</f>
        <v/>
      </c>
      <c r="DP332" s="1353" t="str">
        <f>IFERROR(VLOOKUP(DD334,Lookup!AU$3:AV$15,2,FALSE),"")</f>
        <v/>
      </c>
      <c r="DQ332" s="1404" t="str">
        <f>IF(DP332=7,"LLLC","")</f>
        <v/>
      </c>
      <c r="DR332" s="1403">
        <f>IFERROR(IF(OR(DN332=4,DN332=5,DN332=6,DN332=12,DN332=13,DN332=14),VLOOKUP(CT334,Fixtures!DN$27:EG$77,19,FALSE),1)*CS334,0)</f>
        <v>0</v>
      </c>
      <c r="DS332" s="1489">
        <f>IF(DP332=7,IF(DD332=DD334,0,DC334),0)</f>
        <v>0</v>
      </c>
      <c r="DU332" s="1403" t="str">
        <f>IFERROR(IF(EW332&lt;EW334,"Yes","No"),"")</f>
        <v/>
      </c>
      <c r="DV332" s="1404" t="str">
        <f>DU332</f>
        <v/>
      </c>
      <c r="DW332" s="1403">
        <f>IF(DU332="Yes",DC334,0)</f>
        <v>0</v>
      </c>
      <c r="DX332" s="1403">
        <f>DW332-DS332</f>
        <v>0</v>
      </c>
      <c r="DZ332" s="1481">
        <f>IFERROR(VLOOKUP(DN332,Lookup!AN$3:AO$16,2,FALSE),0)</f>
        <v>0</v>
      </c>
      <c r="EA332" s="1481">
        <f>IF(HW332=FALSE,0,IF(DU332="Yes",DZ332+Lookup!B$6,DZ332))</f>
        <v>0</v>
      </c>
      <c r="EC332" s="1482">
        <f>IF(HW332=TRUE,DJ332,0)</f>
        <v>0</v>
      </c>
      <c r="ED332" s="1369">
        <f>IF(HW332=TRUE,CW334,0)</f>
        <v>0</v>
      </c>
      <c r="EE332" s="1370">
        <f>IFERROR(EC332-ED332,0)</f>
        <v>0</v>
      </c>
      <c r="EF332" s="1369">
        <f>IF(HW332=TRUE,DG334,0)</f>
        <v>0</v>
      </c>
      <c r="EG332" s="1369">
        <f>IFERROR(EC332-ED332+EF332,0)</f>
        <v>0</v>
      </c>
      <c r="EH332" s="1373">
        <f>IF(HW332=TRUE,CS334*CU334,0)</f>
        <v>0</v>
      </c>
      <c r="EI332" s="1373">
        <f>IF(HW332=TRUE,DC334*DE334,0)</f>
        <v>0</v>
      </c>
      <c r="EJ332" s="1363">
        <f>AO332</f>
        <v>0</v>
      </c>
      <c r="EK332" s="1376" t="str">
        <f>IFERROR(IF(HW332=TRUE,VLOOKUP(DN332,Lookup!AN$3:AP$16,3,FALSE)*DR332,""),0)</f>
        <v/>
      </c>
      <c r="EL332" s="1376">
        <f>IF(HW332=TRUE,DW332*Lookup!AP$12,0)</f>
        <v>0</v>
      </c>
      <c r="EM332" s="1362">
        <f>IFERROR(IF(HW332=TRUE,EK332/EM$33,0),0)</f>
        <v>0</v>
      </c>
      <c r="EN332" s="1362">
        <f>IF(HW332=TRUE,EL332/EN$33,0)</f>
        <v>0</v>
      </c>
      <c r="EO332" s="1363">
        <f>IF(HW332=TRUE,EQ$33*EM332,0)</f>
        <v>0</v>
      </c>
      <c r="EP332" s="1363">
        <f>IF(HW332=TRUE,EQ$33*EN332,0)</f>
        <v>0</v>
      </c>
      <c r="EQ332" s="1363">
        <f>EO332+EP332</f>
        <v>0</v>
      </c>
      <c r="ES332" s="1403">
        <f>IF(G332="",0,1)</f>
        <v>0</v>
      </c>
      <c r="EU332" s="1410" t="e">
        <f>VLOOKUP(CP334,'Space Table'!$B$3:$L$160,8,FALSE)</f>
        <v>#N/A</v>
      </c>
      <c r="EV332" s="1410" t="e">
        <f>IF(EY332="Yes",VLOOKUP(DD332,Lookup_Control_Type_Table2,4,FALSE),VLOOKUP(DD332,Lookup_Control_Type_Table2,3,FALSE))</f>
        <v>#N/A</v>
      </c>
      <c r="EW332" s="1410" t="e">
        <f>VLOOKUP(DD332,Lookup!AU$3:AV$15,2,FALSE)</f>
        <v>#N/A</v>
      </c>
      <c r="EX332" s="1410" t="e">
        <f>VLOOKUP(EU332,Lookup_Control_Type_Table,2,FALSE)</f>
        <v>#N/A</v>
      </c>
      <c r="EY332" s="1410" t="e">
        <f>VLOOKUP(CP334,'Space Table'!$B$3:$L$160,7,FALSE)</f>
        <v>#N/A</v>
      </c>
      <c r="EZ332" s="1412" t="b">
        <f>ISNUMBER(SEARCH("TLED",U334))</f>
        <v>0</v>
      </c>
      <c r="FB332" s="1365" t="str">
        <f>CONCATENATE(CN332," - ",DD332)</f>
        <v xml:space="preserve"> - 0</v>
      </c>
      <c r="FD332" s="1353" t="str">
        <f>VLOOKUP(CT334,Fixtures!DN$27:EZ$77,38,FALSE)</f>
        <v/>
      </c>
      <c r="FE332" s="1353">
        <f>IFERROR(FD332*EE332,0)</f>
        <v>0</v>
      </c>
      <c r="FF332" s="138"/>
      <c r="FI332" s="1356" t="str">
        <f>IF(CN332="Exterior","Not Daylighted",G335)</f>
        <v>Not Daylighted</v>
      </c>
      <c r="FJ332" s="1356">
        <f>VLOOKUP(FI332,_Daylight_Table_Codes,2,FALSE)</f>
        <v>0</v>
      </c>
      <c r="FK332" s="1365">
        <f>IF(__Retrofit_TI_NC=2,VLOOKUP(G334,'Space Table'!$B$3:$L$160,11,FALSE),AF333)</f>
        <v>0</v>
      </c>
      <c r="FL332" s="1365" t="e">
        <f>VLOOKUP(FK332,_Control_Table,2,FALSE)</f>
        <v>#N/A</v>
      </c>
      <c r="FM332" s="1365" t="e">
        <f>IF(AND(FP332&gt;0,FK332="Occupancy Sensor"),"Daylight + Occupancy",IF(AND(FP332&gt;0,FL332&lt;4),"Interior Daylight Dimming",FK332))</f>
        <v>#N/A</v>
      </c>
      <c r="FO332" s="1364">
        <f>IF(CO332="Interior",VLOOKUP(CP332,Control_Savings_Interior,5,FALSE),0)</f>
        <v>0</v>
      </c>
      <c r="FP332" s="1361">
        <f>IF(CN332="Exterior",0,IF(FJ332=2,0.5,IF(OR(FJ332=1,FJ332=3),1,0)))</f>
        <v>0</v>
      </c>
      <c r="FQ332" s="1366"/>
      <c r="FR332" s="1367"/>
      <c r="FS332" s="1364"/>
      <c r="FT332" s="1367"/>
      <c r="FU332" s="1360"/>
      <c r="FW332" s="1352" t="str">
        <f>IFERROR(VLOOKUP(U333,_Exist_Fixture_Table,3,FALSE),"")</f>
        <v/>
      </c>
      <c r="FX332" s="1352" t="str">
        <f>VLOOKUP(CT332,_Exist_Fixture_Table,4,FALSE)</f>
        <v/>
      </c>
      <c r="FY332" s="1352">
        <f>IFERROR(VLOOKUP(FX332,Lookup!AM$6:AN$8,2,FALSE),0)</f>
        <v>0</v>
      </c>
      <c r="FZ332" s="1352" t="b">
        <f>IFERROR(IF(OR(GB332=4,GB332=5,GB332=6),TRUE,FALSE),"")</f>
        <v>0</v>
      </c>
      <c r="GA332" s="1352" t="str">
        <f>IFERROR(VLOOKUP(GB332,FY$6:FZ$10,2,FALSE),"")</f>
        <v/>
      </c>
      <c r="GB332" s="1352" t="str">
        <f>VLOOKUP(CT334,Fixtures!R$31:Y$78,8,FALSE)</f>
        <v/>
      </c>
      <c r="GC332" s="1352">
        <f>IF(AND(FW332=TRUE,FZ332=TRUE,OR(DN332=12,DN332=13,DN332=14)),FY332+8,0)</f>
        <v>0</v>
      </c>
      <c r="GD332" s="1352" t="b">
        <f>IF(OR(GC332=12,GC332=13,GC332=14),TRUE,FALSE)</f>
        <v>0</v>
      </c>
      <c r="GE332" s="759" t="b">
        <f>IF(ISNUMBER(SEARCH("TLED",U333)),TRUE,FALSE)</f>
        <v>0</v>
      </c>
      <c r="GF332" s="1035" t="str">
        <f>IFERROR(VLOOKUP(U333,Fixtures!BM$93:BR$142,6,FALSE),"")</f>
        <v/>
      </c>
      <c r="GG332" s="1385" t="b">
        <f>IF(OR(GE332=FALSE,GE334=FALSE),TRUE,IF(GF332-GF334&lt;5,FALSE,TRUE))</f>
        <v>1</v>
      </c>
      <c r="GK332" s="1034">
        <f>GL332</f>
        <v>0</v>
      </c>
      <c r="GL332" s="1034">
        <f>IF(G332="",0,1)</f>
        <v>0</v>
      </c>
      <c r="GM332" s="1034">
        <f>SUM(GN332:HB332)</f>
        <v>2</v>
      </c>
      <c r="GN332" s="1034">
        <f>IF(G333="",0,1)</f>
        <v>0</v>
      </c>
      <c r="GO332" s="1034">
        <f>IF(G334="",0,1)</f>
        <v>0</v>
      </c>
      <c r="GP332" s="1034">
        <f>IF(R333="",0,1)</f>
        <v>0</v>
      </c>
      <c r="GQ332" s="1034">
        <f>IF(__Retrofit_TI_NC=0,1,IF(R334="",0,1))</f>
        <v>1</v>
      </c>
      <c r="GR332" s="1034">
        <f>IF(CN332="Exterior",1,IF(G335="",0,1))</f>
        <v>1</v>
      </c>
      <c r="GS332" s="1034">
        <f>IF(__Retrofit_TI_NC&lt;&gt;0,1,IF(T333="",0,1))</f>
        <v>0</v>
      </c>
      <c r="GT332" s="1034">
        <f>IF(__Retrofit_TI_NC&lt;&gt;0,1,IF(U333="",0,1))</f>
        <v>0</v>
      </c>
      <c r="GU332" s="1034">
        <f>IF(T334="",0,1)</f>
        <v>0</v>
      </c>
      <c r="GV332" s="1034">
        <f>IF(U334="",0,1)</f>
        <v>0</v>
      </c>
      <c r="GW332" s="1034">
        <f>IF(__Retrofit_TI_NC=2,1,IF(U335="",0,1))</f>
        <v>0</v>
      </c>
      <c r="GX332" s="1034">
        <f>IF(__Retrofit_TI_NC&lt;&gt;0,1,IF(AE333="",0,1))</f>
        <v>0</v>
      </c>
      <c r="GY332" s="1034">
        <f>IF(__Retrofit_TI_NC&lt;&gt;0,1,IF(AF333="",0,1))</f>
        <v>0</v>
      </c>
      <c r="GZ332" s="1034">
        <f>IF(AE334="",0,1)</f>
        <v>0</v>
      </c>
      <c r="HA332" s="1034">
        <f>IF(AF334="",0,1)</f>
        <v>0</v>
      </c>
      <c r="HB332" s="1034">
        <f>IF(__Retrofit_TI_NC=2,1,IF(AF335="",0,1))</f>
        <v>0</v>
      </c>
      <c r="HV332" s="436"/>
      <c r="HW332" s="1384" t="b">
        <f>IF(OR(HW335=0,HW335=HT$16,HW335=HS$16,HW335=HU$16),TRUE,FALSE)</f>
        <v>0</v>
      </c>
      <c r="HX332" s="1377" t="b">
        <f>HW332</f>
        <v>0</v>
      </c>
      <c r="HY332" s="436"/>
      <c r="HZ332" s="436"/>
      <c r="IA332" s="1386" t="b">
        <f>IF(MAX(GJ335:HP335)&gt;5,FALSE,TRUE)</f>
        <v>0</v>
      </c>
      <c r="IB332" s="1380">
        <f>IF(IA332=TRUE,AC332,0)</f>
        <v>0</v>
      </c>
      <c r="IC332" s="1380">
        <f>IB332-IB334</f>
        <v>0</v>
      </c>
      <c r="IF332" s="1380" t="e">
        <f>ROUND(T333*VLOOKUP(U333,Fixtures_Existing_List,2,FALSE)*N333*R333/1000,0)</f>
        <v>#N/A</v>
      </c>
      <c r="IG332" s="1381" t="e">
        <f>IF332-IF334</f>
        <v>#N/A</v>
      </c>
      <c r="IH332" s="1384" t="e">
        <f>ROUND(IF(CN332="Interior",N334*R334*R333*N333*_C406_reduction/1000,N334*R334*R333*N333/1000),0)</f>
        <v>#N/A</v>
      </c>
      <c r="II332" s="1384" t="e">
        <f>IH332-IH334</f>
        <v>#N/A</v>
      </c>
      <c r="IK332" s="1351" t="e">
        <f>IF($CO332="interior",IL332/2,VLOOKUP($CP332,Control_Savings_Exterior,IK$30,FALSE))</f>
        <v>#N/A</v>
      </c>
      <c r="IL332" s="1351" t="e">
        <f>IF($CO332="interior",VLOOKUP($CP332,Control_Savings_Interior,IL$30,FALSE),VLOOKUP($CP332,Control_Savings_Exterior,IL$30,FALSE))</f>
        <v>#N/A</v>
      </c>
      <c r="IM332" s="1351" t="e">
        <f>IF($CO332="interior",IF(R333&gt;FO$37,(IM$28*(FO$37/R333)),IM$28)*FP332,VLOOKUP($CP332,Control_Savings_Exterior,IM$30,FALSE))</f>
        <v>#N/A</v>
      </c>
      <c r="IN332" s="1351" t="e">
        <f>IF($CO332="interior",ROUND(((1-IL332)*IM332)+IL332,2),VLOOKUP($CP332,Control_Savings_Exterior,IN$30,FALSE))</f>
        <v>#N/A</v>
      </c>
      <c r="IO332" s="1351" t="e">
        <f>IF($CO332="interior", ROUND(((1-IL332)*(IM332*(1-IP$28)))+IP332,2), VLOOKUP($CP332,Control_Savings_Exterior,IO$30,FALSE))</f>
        <v>#N/A</v>
      </c>
      <c r="IP332" s="1351">
        <f>IF($CO332="interior",ROUND(((1-IL332)*IP$28)+IL332,2),0)</f>
        <v>0</v>
      </c>
    </row>
    <row r="333" spans="1:250" s="82" customFormat="1" ht="14.95" customHeight="1" thickTop="1" thickBot="1">
      <c r="B333" s="1421"/>
      <c r="C333" s="1422"/>
      <c r="D333" s="1423"/>
      <c r="E333" s="1393" t="s">
        <v>244</v>
      </c>
      <c r="F333" s="1394"/>
      <c r="G333" s="1395"/>
      <c r="H333" s="1395"/>
      <c r="I333" s="1395"/>
      <c r="J333" s="1395"/>
      <c r="K333" s="1395"/>
      <c r="L333" s="1395"/>
      <c r="M333" s="509" t="e">
        <f>IF(__Retrofit_TI_NC&lt;&gt;0,IF(VLOOKUP(G334,'Space Table'!$B$3:$L$160,3,FALSE)&gt;0,1,0),IF(__Retrofit_TI_NC=VLOOKUP(G334,'Space Table'!$B$3:$L$160,3,FALSE),1,0))</f>
        <v>#N/A</v>
      </c>
      <c r="N333" s="509" t="str">
        <f>IFERROR(VLOOKUP(G333,_Lookup_Heat_Type_Table_New,2,FALSE),"")</f>
        <v/>
      </c>
      <c r="O333" s="509">
        <f>IF(__Retrofit_TI_NC=1,CONCATENATE("TI ",G333),IF(__Retrofit_TI_NC=2,CONCATENATE("NC ",G333),G333))</f>
        <v>0</v>
      </c>
      <c r="P333" s="1396" t="s">
        <v>352</v>
      </c>
      <c r="Q333" s="1396"/>
      <c r="R333" s="673"/>
      <c r="S333" s="1429"/>
      <c r="T333" s="675"/>
      <c r="U333" s="1496"/>
      <c r="V333" s="1497"/>
      <c r="W333" s="1497"/>
      <c r="X333" s="1497"/>
      <c r="Y333" s="1497"/>
      <c r="Z333" s="1497"/>
      <c r="AA333" s="1497"/>
      <c r="AB333" s="1497"/>
      <c r="AC333" s="1497"/>
      <c r="AD333" s="1498"/>
      <c r="AE333" s="675"/>
      <c r="AF333" s="1397"/>
      <c r="AG333" s="1397"/>
      <c r="AH333" s="1397"/>
      <c r="AI333" s="1397"/>
      <c r="AJ333" s="1434"/>
      <c r="AK333" s="1436"/>
      <c r="AL333" s="1438"/>
      <c r="AM333" s="1441"/>
      <c r="AN333" s="1442"/>
      <c r="AO333" s="1447"/>
      <c r="AP333" s="1447"/>
      <c r="AQ333" s="1448"/>
      <c r="AR333" s="1452"/>
      <c r="AS333" s="1455"/>
      <c r="AT333" s="1458"/>
      <c r="AU333" s="516"/>
      <c r="AV333" s="1479"/>
      <c r="AW333" s="1479"/>
      <c r="BC333" s="38"/>
      <c r="BD333" s="38"/>
      <c r="BE333" s="38"/>
      <c r="BF333" s="38"/>
      <c r="BG333" s="38"/>
      <c r="BH333" s="38"/>
      <c r="BI333" s="38"/>
      <c r="BJ333" s="38"/>
      <c r="BK333" s="38"/>
      <c r="BL333" s="38"/>
      <c r="BM333" s="38"/>
      <c r="BN333" s="38"/>
      <c r="BO333" s="38"/>
      <c r="BP333" s="38"/>
      <c r="BQ333" s="38"/>
      <c r="BR333" s="38"/>
      <c r="BS333" s="38"/>
      <c r="BT333" s="38"/>
      <c r="BU333" s="38"/>
      <c r="BV333" s="38"/>
      <c r="BW333" s="38"/>
      <c r="BX333" s="38"/>
      <c r="BY333" s="38"/>
      <c r="BZ333" s="38"/>
      <c r="CA333" s="38"/>
      <c r="CB333" s="38"/>
      <c r="CC333" s="38"/>
      <c r="CD333" s="38"/>
      <c r="CE333" s="38"/>
      <c r="CF333" s="38"/>
      <c r="CG333" s="38"/>
      <c r="CH333" s="38"/>
      <c r="CI333" s="38"/>
      <c r="CM333" s="1352"/>
      <c r="CN333" s="1352"/>
      <c r="CO333" s="1416"/>
      <c r="CP333" s="1418"/>
      <c r="CR333" s="1386"/>
      <c r="CS333" s="1355"/>
      <c r="CT333" s="1355"/>
      <c r="CU333" s="1355"/>
      <c r="CV333" s="1372"/>
      <c r="CW333" s="1372"/>
      <c r="CX333" s="1371"/>
      <c r="CY333" s="1486"/>
      <c r="CZ333" s="1486"/>
      <c r="DA333" s="1486"/>
      <c r="DC333" s="1355"/>
      <c r="DD333" s="1461"/>
      <c r="DE333" s="1355"/>
      <c r="DF333" s="1407"/>
      <c r="DG333" s="1372"/>
      <c r="DH333" s="1369"/>
      <c r="DJ333" s="1484"/>
      <c r="DL333" s="1419"/>
      <c r="DN333" s="1403"/>
      <c r="DO333" s="1405"/>
      <c r="DP333" s="1354"/>
      <c r="DQ333" s="1405"/>
      <c r="DR333" s="1403"/>
      <c r="DS333" s="1489"/>
      <c r="DU333" s="1403"/>
      <c r="DV333" s="1405"/>
      <c r="DW333" s="1403"/>
      <c r="DX333" s="1403"/>
      <c r="DZ333" s="1481"/>
      <c r="EA333" s="1481"/>
      <c r="EC333" s="1482"/>
      <c r="ED333" s="1369"/>
      <c r="EE333" s="1371"/>
      <c r="EF333" s="1369"/>
      <c r="EG333" s="1369"/>
      <c r="EH333" s="1374"/>
      <c r="EI333" s="1374"/>
      <c r="EJ333" s="1363"/>
      <c r="EK333" s="1376"/>
      <c r="EL333" s="1376"/>
      <c r="EM333" s="1362"/>
      <c r="EN333" s="1362"/>
      <c r="EO333" s="1363"/>
      <c r="EP333" s="1363"/>
      <c r="EQ333" s="1363"/>
      <c r="ES333" s="1403"/>
      <c r="EU333" s="1411"/>
      <c r="EV333" s="1411"/>
      <c r="EW333" s="1411"/>
      <c r="EX333" s="1411"/>
      <c r="EY333" s="1411"/>
      <c r="EZ333" s="1413"/>
      <c r="FB333" s="1365"/>
      <c r="FD333" s="1354"/>
      <c r="FE333" s="1354"/>
      <c r="FF333" s="138"/>
      <c r="FI333" s="1357"/>
      <c r="FJ333" s="1357"/>
      <c r="FK333" s="1365"/>
      <c r="FL333" s="1365"/>
      <c r="FM333" s="1365"/>
      <c r="FO333" s="1361"/>
      <c r="FP333" s="1361"/>
      <c r="FQ333" s="1366"/>
      <c r="FR333" s="1368"/>
      <c r="FS333" s="1361"/>
      <c r="FT333" s="1368"/>
      <c r="FU333" s="1360"/>
      <c r="FW333" s="1352"/>
      <c r="FX333" s="1352"/>
      <c r="FY333" s="1352"/>
      <c r="FZ333" s="1352"/>
      <c r="GA333" s="1352"/>
      <c r="GB333" s="1352"/>
      <c r="GC333" s="1352"/>
      <c r="GD333" s="1352"/>
      <c r="GE333" s="759"/>
      <c r="GF333" s="1035"/>
      <c r="GG333" s="1385"/>
      <c r="GI333" s="1384" t="b">
        <f>IF(AND(GL333=TRUE,GM333=TRUE),TRUE,FALSE)</f>
        <v>0</v>
      </c>
      <c r="GJ333" s="1379" t="b">
        <f>IFERROR(IF(__Retrofit_TI_NC=2,TRUE,IF(AR332="Yes",TRUE,FALSE)),FALSE)</f>
        <v>1</v>
      </c>
      <c r="GL333" s="1379" t="b">
        <f>IFERROR(IF(GL332=1,TRUE,FALSE),FALSE)</f>
        <v>0</v>
      </c>
      <c r="GM333" s="1379" t="b">
        <f>IFERROR(IF(GM332=GM$14,TRUE,FALSE),FALSE)</f>
        <v>0</v>
      </c>
      <c r="HC333" s="1379" t="b">
        <f>IFERROR(IF(M333=1,TRUE,FALSE),FALSE)</f>
        <v>0</v>
      </c>
      <c r="HD333" s="1379" t="b">
        <f>IFERROR(IF(M334=1,TRUE,FALSE),FALSE)</f>
        <v>0</v>
      </c>
      <c r="HE333" s="1379" t="b">
        <f>IFERROR(IF(__Retrofit_TI_NC&lt;&gt;0,TRUE,IFERROR(IF(VLOOKUP(U333,Fixtures_Existing_List,2,FALSE)&lt;&gt;"",TRUE,FALSE),FALSE)),FALSE)</f>
        <v>0</v>
      </c>
      <c r="HF333" s="1379" t="b">
        <f>IFERROR(IF(VLOOKUP(U334,Fixtures_Proposed_List,2,FALSE)&lt;&gt;"",TRUE,FALSE),FALSE)</f>
        <v>0</v>
      </c>
      <c r="HG333" s="1379" t="b">
        <f>IF(AND(__Retrofit_TI_NC=2,EZ332=TRUE),FALSE,TRUE)</f>
        <v>1</v>
      </c>
      <c r="HH333" s="1379" t="b">
        <f>GG332</f>
        <v>1</v>
      </c>
      <c r="HI333" s="1384" t="b">
        <f>IF(ISERROR(MATCH(FB332,_Control_Match[],0))=TRUE,FALSE,TRUE)</f>
        <v>0</v>
      </c>
      <c r="HJ333" s="1384" t="b">
        <f>IFERROR(IF(EU332&lt;&gt;EV332,FALSE,TRUE),FALSE)</f>
        <v>0</v>
      </c>
      <c r="HK333" s="1384" t="b">
        <f>IFERROR(IF(EU334&lt;&gt;EV334,FALSE,TRUE),FALSE)</f>
        <v>0</v>
      </c>
      <c r="HL333" s="1379" t="b">
        <f>IFERROR(IF(CN332="Exterior",TRUE,IF(OR(AND(FJ332=0,EW334&gt;4),AND(FJ332=4,EW334&gt;4,EW334&lt;7)),FALSE,TRUE)),FALSE)</f>
        <v>0</v>
      </c>
      <c r="HM333" s="1379" t="b">
        <f>IFERROR(IF(AND(FL334=7,EZ332=TRUE),FALSE,TRUE),FALSE)</f>
        <v>0</v>
      </c>
      <c r="HN333" s="1379" t="b">
        <f>IFERROR(IF(AND(T334&lt;&gt;AE334,AF334="Interior LLLC")=TRUE,FALSE,TRUE),FALSE)</f>
        <v>1</v>
      </c>
      <c r="HO333" s="1379" t="b">
        <f>IFERROR(IF(OR(AF334=Lookup!AU$13,AF334=Lookup!AU$14)=TRUE,IF(AE334&gt;T334,FALSE,TRUE),TRUE),FALSE)</f>
        <v>1</v>
      </c>
      <c r="HP333" s="1379" t="b">
        <f>IFERROR(IF(__Retrofit_TI_NC=2,IF(EW334&lt;EW332,FALSE,TRUE),TRUE),FALSE)</f>
        <v>1</v>
      </c>
      <c r="HQ333" s="1379" t="b">
        <f>IF(CN332="Interior",IG$6,TRUE)</f>
        <v>1</v>
      </c>
      <c r="HR333" s="1379" t="b">
        <f>IF(CN332="Exterior",IG$8,TRUE)</f>
        <v>1</v>
      </c>
      <c r="HS333" s="1379" t="b">
        <f>IFERROR(IF(__Retrofit_TI_NC&lt;&gt;0,IF(AW332&lt;AV332,FALSE,TRUE),TRUE),FALSE)</f>
        <v>1</v>
      </c>
      <c r="HT333" s="1379" t="b">
        <f>IFERROR(IF(AND(G333="Exterior",R333&gt;4200),FALSE,TRUE),FALSE)</f>
        <v>1</v>
      </c>
      <c r="HU333" s="1379" t="b">
        <f>IFERROR(IF(AB335/AB332&lt;HU$18,FALSE,TRUE),FALSE)</f>
        <v>0</v>
      </c>
      <c r="HW333" s="1382"/>
      <c r="HX333" s="1378"/>
      <c r="HY333" s="1377" t="str">
        <f>VLOOKUP(HW335,_Error_Table,4,FALSE)</f>
        <v>White</v>
      </c>
      <c r="HZ333" s="436"/>
      <c r="IA333" s="1386"/>
      <c r="IB333" s="1380"/>
      <c r="IC333" s="1379"/>
      <c r="IF333" s="1380"/>
      <c r="IG333" s="1382"/>
      <c r="IH333" s="1382"/>
      <c r="II333" s="1382"/>
      <c r="IK333" s="1351"/>
      <c r="IL333" s="1351"/>
      <c r="IM333" s="1351"/>
      <c r="IN333" s="1351"/>
      <c r="IO333" s="1351"/>
      <c r="IP333" s="1351"/>
    </row>
    <row r="334" spans="1:250" s="82" customFormat="1" ht="14.95" customHeight="1" thickTop="1" thickBot="1">
      <c r="A334" s="82">
        <f>ROW()</f>
        <v>334</v>
      </c>
      <c r="B334" s="1421"/>
      <c r="C334" s="1422"/>
      <c r="D334" s="1423"/>
      <c r="E334" s="1393" t="s">
        <v>245</v>
      </c>
      <c r="F334" s="1394"/>
      <c r="G334" s="1398"/>
      <c r="H334" s="1399"/>
      <c r="I334" s="1399"/>
      <c r="J334" s="1399"/>
      <c r="K334" s="1399"/>
      <c r="L334" s="1400"/>
      <c r="M334" s="509">
        <f>IFERROR(IF(IF(__Retrofit_TI_NC&lt;&gt;0,IF(CN332="Interior",MATCH(G334,Lookup_Interior_New,0),MATCH(G334,Lookup_Exterior_New,0)),IF(CN332="Interior",MATCH(G334,Lookup_Interior,0),MATCH(G334,Lookup_Exterior_Areas,0)))&gt;0,1,0),0)</f>
        <v>0</v>
      </c>
      <c r="N334" s="509" t="e">
        <f>IF(__Retrofit_TI_NC=1,
VLOOKUP(G334,'Space Table'!$B$3:$L$160,4,FALSE),
IF(__Retrofit_TI_NC=2,VLOOKUP(G334,'Space Table'!$B$3:$L$160,5,FALSE),VLOOKUP(G334,'Space Table'!$B$3:$L$160,5,FALSE)))</f>
        <v>#N/A</v>
      </c>
      <c r="O334" s="509">
        <f>G334</f>
        <v>0</v>
      </c>
      <c r="P334" s="1394" t="s">
        <v>355</v>
      </c>
      <c r="Q334" s="1394"/>
      <c r="R334" s="674"/>
      <c r="S334" s="1401" t="s">
        <v>284</v>
      </c>
      <c r="T334" s="672"/>
      <c r="U334" s="1499"/>
      <c r="V334" s="1500"/>
      <c r="W334" s="1500"/>
      <c r="X334" s="1500"/>
      <c r="Y334" s="1500"/>
      <c r="Z334" s="1500"/>
      <c r="AA334" s="1500"/>
      <c r="AB334" s="1501"/>
      <c r="AC334" s="1501"/>
      <c r="AD334" s="1502"/>
      <c r="AE334" s="672"/>
      <c r="AF334" s="1474"/>
      <c r="AG334" s="1474"/>
      <c r="AH334" s="1474"/>
      <c r="AI334" s="1474"/>
      <c r="AJ334" s="1475">
        <f>DF334</f>
        <v>0</v>
      </c>
      <c r="AK334" s="1470" t="str">
        <f>IFERROR(ROUND(AJ334*AC335,0),"")</f>
        <v/>
      </c>
      <c r="AL334" s="1472">
        <f>IFERROR(IF(HW332=FALSE,0,AC335-AK334),0)</f>
        <v>0</v>
      </c>
      <c r="AM334" s="1441"/>
      <c r="AN334" s="1442"/>
      <c r="AO334" s="1447"/>
      <c r="AP334" s="1447"/>
      <c r="AQ334" s="1448"/>
      <c r="AR334" s="1452"/>
      <c r="AS334" s="1455"/>
      <c r="AT334" s="1458"/>
      <c r="AU334" s="516"/>
      <c r="AV334" s="1479"/>
      <c r="AW334" s="1479"/>
      <c r="BC334" s="38"/>
      <c r="BD334" s="38"/>
      <c r="BE334" s="38"/>
      <c r="BF334" s="38"/>
      <c r="BG334" s="38"/>
      <c r="BH334" s="38"/>
      <c r="BI334" s="38"/>
      <c r="BJ334" s="38"/>
      <c r="BK334" s="38"/>
      <c r="BL334" s="38"/>
      <c r="BM334" s="38"/>
      <c r="BN334" s="38"/>
      <c r="BO334" s="38"/>
      <c r="BP334" s="38"/>
      <c r="BQ334" s="38"/>
      <c r="BR334" s="38"/>
      <c r="BS334" s="38"/>
      <c r="BT334" s="38"/>
      <c r="BU334" s="38"/>
      <c r="BV334" s="38"/>
      <c r="BW334" s="38"/>
      <c r="BX334" s="38"/>
      <c r="BY334" s="38"/>
      <c r="BZ334" s="38"/>
      <c r="CA334" s="38"/>
      <c r="CB334" s="38"/>
      <c r="CC334" s="38"/>
      <c r="CD334" s="38"/>
      <c r="CE334" s="38"/>
      <c r="CF334" s="38"/>
      <c r="CG334" s="38"/>
      <c r="CH334" s="38"/>
      <c r="CI334" s="38"/>
      <c r="CM334" s="1352"/>
      <c r="CN334" s="1352"/>
      <c r="CO334" s="1415" t="str">
        <f>CN332</f>
        <v/>
      </c>
      <c r="CP334" s="1417" t="e">
        <f>CP332</f>
        <v>#N/A</v>
      </c>
      <c r="CR334" s="1386" t="s">
        <v>284</v>
      </c>
      <c r="CS334" s="1353">
        <f>IF(HW332=TRUE,T334,0)</f>
        <v>0</v>
      </c>
      <c r="CT334" s="1353" t="str">
        <f>IF(HW332=TRUE,U334,"")</f>
        <v/>
      </c>
      <c r="CU334" s="1373">
        <f>IF(HW332=TRUE,U335,0)</f>
        <v>0</v>
      </c>
      <c r="CV334" s="1370">
        <f>IF(HW332=TRUE,AB335,0)</f>
        <v>0</v>
      </c>
      <c r="CW334" s="1370">
        <f>IF(HW332=TRUE,AC335,0)</f>
        <v>0</v>
      </c>
      <c r="CX334" s="1371"/>
      <c r="CY334" s="1486"/>
      <c r="CZ334" s="1486"/>
      <c r="DA334" s="1486"/>
      <c r="DC334" s="1353">
        <f>IF(HW332=TRUE,AE334,0)</f>
        <v>0</v>
      </c>
      <c r="DD334" s="1353" t="str">
        <f>IF(HW332=TRUE,AF334,"")</f>
        <v/>
      </c>
      <c r="DE334" s="1373">
        <f>AF335</f>
        <v>0</v>
      </c>
      <c r="DF334" s="1406">
        <f>IFERROR(IF(FL334=3,IK334,IF(FL334=4,IL334,IF(FL334=5,IM334,IF(FL334=6,IN334,IF(FL334=7,IO334,IF(FL334=8,IP334,0)))))),0)</f>
        <v>0</v>
      </c>
      <c r="DG334" s="1370">
        <f>IF(HW332=TRUE,AK334,0)</f>
        <v>0</v>
      </c>
      <c r="DH334" s="1369"/>
      <c r="DK334" s="1483">
        <f>IFERROR(CW334-DG334,0)</f>
        <v>0</v>
      </c>
      <c r="DL334" s="1420"/>
      <c r="DN334" s="1403"/>
      <c r="DO334" s="1477" t="str">
        <f>DN332</f>
        <v/>
      </c>
      <c r="DP334" s="1354"/>
      <c r="DQ334" s="1477" t="str">
        <f>IF(DP332=7,"LLLC","")</f>
        <v/>
      </c>
      <c r="DR334" s="1403"/>
      <c r="DS334" s="1489"/>
      <c r="DU334" s="1403"/>
      <c r="DV334" s="1404" t="str">
        <f>DU332</f>
        <v/>
      </c>
      <c r="DW334" s="1403"/>
      <c r="DX334" s="1403"/>
      <c r="DZ334" s="1481"/>
      <c r="EA334" s="1481"/>
      <c r="EC334" s="1482"/>
      <c r="ED334" s="1369"/>
      <c r="EE334" s="1371"/>
      <c r="EF334" s="1369"/>
      <c r="EG334" s="1369"/>
      <c r="EH334" s="1374"/>
      <c r="EI334" s="1374"/>
      <c r="EJ334" s="1363"/>
      <c r="EK334" s="1376"/>
      <c r="EL334" s="1376"/>
      <c r="EM334" s="1362"/>
      <c r="EN334" s="1362"/>
      <c r="EO334" s="1363"/>
      <c r="EP334" s="1363"/>
      <c r="EQ334" s="1363"/>
      <c r="ES334" s="1403"/>
      <c r="EU334" s="1411" t="e">
        <f>VLOOKUP(CP334,'Space Table'!$B$3:$L$160,8,FALSE)</f>
        <v>#N/A</v>
      </c>
      <c r="EV334" s="1411" t="e">
        <f>IF(EY334="Yes",VLOOKUP(AF334,Lookup_Control_Type_Table2,4,FALSE),VLOOKUP(AF334,Lookup_Control_Type_Table2,3,FALSE))</f>
        <v>#N/A</v>
      </c>
      <c r="EW334" s="1411" t="e">
        <f>VLOOKUP(AF334,Lookup!AU$3:AV$15,2,FALSE)</f>
        <v>#N/A</v>
      </c>
      <c r="EX334" s="1411" t="e">
        <f>VLOOKUP(EU332,Lookup_Control_Type_Table,2,FALSE)</f>
        <v>#N/A</v>
      </c>
      <c r="EY334" s="1411" t="e">
        <f>VLOOKUP(CP334,'Space Table'!$B$3:$L$160,7,FALSE)</f>
        <v>#N/A</v>
      </c>
      <c r="EZ334" s="1413"/>
      <c r="FB334" s="1365" t="str">
        <f>CONCATENATE(CN332," - ",AF334)</f>
        <v xml:space="preserve"> - </v>
      </c>
      <c r="FD334" s="1354"/>
      <c r="FE334" s="1354"/>
      <c r="FF334" s="138"/>
      <c r="FI334" s="1356" t="str">
        <f>IF(CN332="Exterior","Not Daylighted",G335)</f>
        <v>Not Daylighted</v>
      </c>
      <c r="FJ334" s="1356">
        <f>VLOOKUP(FI334,_Daylight_Table_Codes,2,FALSE)</f>
        <v>0</v>
      </c>
      <c r="FK334" s="1365">
        <f>AF334</f>
        <v>0</v>
      </c>
      <c r="FL334" s="1365" t="e">
        <f>VLOOKUP(FK334,_Control_Table,2,FALSE)</f>
        <v>#N/A</v>
      </c>
      <c r="FM334" s="1365" t="e">
        <f>IF(AND(FP334&gt;0,FK334="Occupancy Sensor"),"Daylight + Occupancy",IF(AND(FP334&gt;0,FL334&lt;4),"Interior Daylight Dimming",FK334))</f>
        <v>#N/A</v>
      </c>
      <c r="FO334" s="1364">
        <f>IF(CN332="Interior",VLOOKUP(CP332,Control_Savings_Interior,5,FALSE),0)</f>
        <v>0</v>
      </c>
      <c r="FP334" s="1361">
        <f>IF(CN334="Exterior",0,IF(FJ334=2,0.5,IF(OR(FJ334=1,FJ334=3),1,0)))</f>
        <v>0</v>
      </c>
      <c r="FQ334" s="1366">
        <f>IF(R333&gt;FO$37,(FO334*(FO$37/R333)),FO334)*FP334</f>
        <v>0</v>
      </c>
      <c r="FR334" s="1364">
        <f>DF334</f>
        <v>0</v>
      </c>
      <c r="FS334" s="1364">
        <f>ROUND(FR334+((1-FR334)*FQ334),2)</f>
        <v>0</v>
      </c>
      <c r="FT334" s="1364">
        <f>IF(__Retrofit_TI_NC=2,FS334,FR334)</f>
        <v>0</v>
      </c>
      <c r="FU334" s="1360">
        <f>IF(CO334="Interior",VLOOKUP(CP334,Control_Savings_Interior,4,FALSE),0)</f>
        <v>0</v>
      </c>
      <c r="FW334" s="1352"/>
      <c r="FX334" s="1352"/>
      <c r="FY334" s="1352"/>
      <c r="FZ334" s="1352"/>
      <c r="GA334" s="1352"/>
      <c r="GB334" s="1352"/>
      <c r="GC334" s="1352"/>
      <c r="GD334" s="1352"/>
      <c r="GE334" s="759" t="b">
        <f>IF(ISNUMBER(SEARCH("TLED",U334)),TRUE,FALSE)</f>
        <v>0</v>
      </c>
      <c r="GF334" s="1035" t="str">
        <f>IFERROR(VLOOKUP(U334,Fixtures!DM$93:DR$142,6,FALSE),"")</f>
        <v/>
      </c>
      <c r="GG334" s="1385"/>
      <c r="GI334" s="1383"/>
      <c r="GJ334" s="1379"/>
      <c r="GL334" s="1379"/>
      <c r="GM334" s="1379"/>
      <c r="HC334" s="1379"/>
      <c r="HD334" s="1379"/>
      <c r="HE334" s="1379"/>
      <c r="HF334" s="1379"/>
      <c r="HG334" s="1379"/>
      <c r="HH334" s="1379"/>
      <c r="HI334" s="1383"/>
      <c r="HJ334" s="1383"/>
      <c r="HK334" s="1383"/>
      <c r="HL334" s="1379"/>
      <c r="HM334" s="1379"/>
      <c r="HN334" s="1379"/>
      <c r="HO334" s="1379"/>
      <c r="HP334" s="1379"/>
      <c r="HQ334" s="1379"/>
      <c r="HR334" s="1379"/>
      <c r="HS334" s="1379"/>
      <c r="HT334" s="1379"/>
      <c r="HU334" s="1379"/>
      <c r="HW334" s="1383"/>
      <c r="HX334" s="1384" t="b">
        <f>HW332</f>
        <v>0</v>
      </c>
      <c r="HY334" s="1378"/>
      <c r="HZ334" s="436"/>
      <c r="IA334" s="1386"/>
      <c r="IB334" s="1380">
        <f>IF(IA332=TRUE,AC335,0)</f>
        <v>0</v>
      </c>
      <c r="IC334" s="1379"/>
      <c r="IF334" s="1380" t="e">
        <f>ROUND(T334*AB335*N333*R333/1000,0)</f>
        <v>#VALUE!</v>
      </c>
      <c r="IG334" s="1382"/>
      <c r="IH334" s="1384" t="e">
        <f>ROUND(T334*AB335*N333*R333/1000,0)</f>
        <v>#VALUE!</v>
      </c>
      <c r="II334" s="1382"/>
      <c r="IK334" s="1351" t="e">
        <f>IF($CO334="interior",IL334/2,VLOOKUP($CP334,Control_Savings_Exterior,IK$30,FALSE))</f>
        <v>#N/A</v>
      </c>
      <c r="IL334" s="1351" t="e">
        <f>IF($CO334="interior",VLOOKUP($CP334,Control_Savings_Interior,IL$30,FALSE),VLOOKUP($CP334,Control_Savings_Exterior,IL$30,FALSE))</f>
        <v>#N/A</v>
      </c>
      <c r="IM334" s="1351" t="e">
        <f>IF($CO334="interior",IF(R333&gt;FO$37,(IM$28*(FO$37/R333)),IM$28)*FP334,VLOOKUP($CP334,Control_Savings_Exterior,IM$30,FALSE))</f>
        <v>#N/A</v>
      </c>
      <c r="IN334" s="1351" t="e">
        <f>IF($CO334="interior",ROUND(((1-IL334)*IM334)+IL334,2),VLOOKUP($CP334,Control_Savings_Exterior,IN$30,FALSE))</f>
        <v>#N/A</v>
      </c>
      <c r="IO334" s="1351" t="e">
        <f>IF($CO334="interior", ROUND(((1-IL334)*(IM334*(1-IP$28)))+IP334,2), VLOOKUP($CP334,Control_Savings_Exterior,IO$30,FALSE))</f>
        <v>#N/A</v>
      </c>
      <c r="IP334" s="1351">
        <f>IF($CO334="interior",ROUND(((1-IL334)*IP$28)+IL334,2),0)</f>
        <v>0</v>
      </c>
    </row>
    <row r="335" spans="1:250" s="82" customFormat="1" ht="14.95" customHeight="1" thickTop="1" thickBot="1">
      <c r="B335" s="1421"/>
      <c r="C335" s="1422"/>
      <c r="D335" s="1423"/>
      <c r="E335" s="1462" t="s">
        <v>357</v>
      </c>
      <c r="F335" s="1463"/>
      <c r="G335" s="1464" t="s">
        <v>362</v>
      </c>
      <c r="H335" s="1465"/>
      <c r="I335" s="1465"/>
      <c r="J335" s="1465"/>
      <c r="K335" s="1465"/>
      <c r="L335" s="1466"/>
      <c r="M335" s="669">
        <f>IFERROR(VLOOKUP(G335,_Daylight_Table[],2,FALSE),0)</f>
        <v>0</v>
      </c>
      <c r="N335" s="670"/>
      <c r="O335" s="669" t="e">
        <f>VLOOKUP(G334,'Space Table'!$B$3:$L$160,11,FALSE)</f>
        <v>#N/A</v>
      </c>
      <c r="P335" s="1408"/>
      <c r="Q335" s="1409"/>
      <c r="R335" s="1409"/>
      <c r="S335" s="1402"/>
      <c r="T335" s="671" t="s">
        <v>281</v>
      </c>
      <c r="U335" s="1467" t="str">
        <f>IFERROR(VLOOKUP(U334,Fixtures!DM$93:DP$142,4,FALSE),"")</f>
        <v/>
      </c>
      <c r="V335" s="1468"/>
      <c r="W335" s="1468"/>
      <c r="X335" s="1468"/>
      <c r="Y335" s="1468"/>
      <c r="Z335" s="1468"/>
      <c r="AA335" s="1468"/>
      <c r="AB335" s="1046" t="str">
        <f>IFERROR(VLOOKUP(U334,Fixtures_Proposed_List,2,FALSE),"")</f>
        <v/>
      </c>
      <c r="AC335" s="1036" t="str">
        <f>IFERROR(ROUND(T334*AB335*N333*R333/1000,0),"")</f>
        <v/>
      </c>
      <c r="AD335" s="1037" t="str">
        <f>IFERROR(ROUND(T334*AB335/1000,2),"")</f>
        <v/>
      </c>
      <c r="AE335" s="1045" t="s">
        <v>281</v>
      </c>
      <c r="AF335" s="1469"/>
      <c r="AG335" s="1469"/>
      <c r="AH335" s="1469"/>
      <c r="AI335" s="1469"/>
      <c r="AJ335" s="1476"/>
      <c r="AK335" s="1471"/>
      <c r="AL335" s="1473"/>
      <c r="AM335" s="1443"/>
      <c r="AN335" s="1444"/>
      <c r="AO335" s="1449"/>
      <c r="AP335" s="1449"/>
      <c r="AQ335" s="1450"/>
      <c r="AR335" s="1453"/>
      <c r="AS335" s="1456"/>
      <c r="AT335" s="1459"/>
      <c r="AU335" s="517"/>
      <c r="AV335" s="1480"/>
      <c r="AW335" s="1480"/>
      <c r="BC335" s="38"/>
      <c r="BD335" s="38"/>
      <c r="BE335" s="38"/>
      <c r="BF335" s="38"/>
      <c r="BG335" s="38"/>
      <c r="BH335" s="38"/>
      <c r="BI335" s="38"/>
      <c r="BJ335" s="38"/>
      <c r="BK335" s="38"/>
      <c r="BL335" s="38"/>
      <c r="BM335" s="38"/>
      <c r="BN335" s="38"/>
      <c r="BO335" s="38"/>
      <c r="BP335" s="38"/>
      <c r="BQ335" s="38"/>
      <c r="BR335" s="38"/>
      <c r="BS335" s="38"/>
      <c r="BT335" s="38"/>
      <c r="BU335" s="38"/>
      <c r="BV335" s="38"/>
      <c r="BW335" s="38"/>
      <c r="BX335" s="38"/>
      <c r="BY335" s="38"/>
      <c r="BZ335" s="38"/>
      <c r="CA335" s="38"/>
      <c r="CB335" s="38"/>
      <c r="CC335" s="38"/>
      <c r="CD335" s="38"/>
      <c r="CE335" s="38"/>
      <c r="CF335" s="38"/>
      <c r="CG335" s="38"/>
      <c r="CH335" s="38"/>
      <c r="CI335" s="38"/>
      <c r="CM335" s="1352"/>
      <c r="CN335" s="1352"/>
      <c r="CO335" s="1416"/>
      <c r="CP335" s="1418"/>
      <c r="CR335" s="1386"/>
      <c r="CS335" s="1355"/>
      <c r="CT335" s="1355"/>
      <c r="CU335" s="1375"/>
      <c r="CV335" s="1372"/>
      <c r="CW335" s="1372"/>
      <c r="CX335" s="1372"/>
      <c r="CY335" s="1487"/>
      <c r="CZ335" s="1487"/>
      <c r="DA335" s="1487"/>
      <c r="DC335" s="1355"/>
      <c r="DD335" s="1355"/>
      <c r="DE335" s="1375"/>
      <c r="DF335" s="1407"/>
      <c r="DG335" s="1372"/>
      <c r="DH335" s="1369"/>
      <c r="DK335" s="1484"/>
      <c r="DL335" s="1420"/>
      <c r="DN335" s="1403"/>
      <c r="DO335" s="1405"/>
      <c r="DP335" s="1355"/>
      <c r="DQ335" s="1405"/>
      <c r="DR335" s="1403"/>
      <c r="DS335" s="1489"/>
      <c r="DU335" s="1403"/>
      <c r="DV335" s="1405"/>
      <c r="DW335" s="1403"/>
      <c r="DX335" s="1403"/>
      <c r="DZ335" s="1481"/>
      <c r="EA335" s="1481"/>
      <c r="EC335" s="1482"/>
      <c r="ED335" s="1369"/>
      <c r="EE335" s="1372"/>
      <c r="EF335" s="1369"/>
      <c r="EG335" s="1369"/>
      <c r="EH335" s="1375"/>
      <c r="EI335" s="1375"/>
      <c r="EJ335" s="1363"/>
      <c r="EK335" s="1376"/>
      <c r="EL335" s="1376"/>
      <c r="EM335" s="1362"/>
      <c r="EN335" s="1362"/>
      <c r="EO335" s="1363"/>
      <c r="EP335" s="1363"/>
      <c r="EQ335" s="1363"/>
      <c r="ES335" s="1403"/>
      <c r="EU335" s="1488"/>
      <c r="EV335" s="1488"/>
      <c r="EW335" s="1488"/>
      <c r="EX335" s="1488"/>
      <c r="EY335" s="1488"/>
      <c r="EZ335" s="1414"/>
      <c r="FB335" s="1365"/>
      <c r="FD335" s="1355"/>
      <c r="FE335" s="1355"/>
      <c r="FF335" s="138"/>
      <c r="FI335" s="1357"/>
      <c r="FJ335" s="1357"/>
      <c r="FK335" s="1365"/>
      <c r="FL335" s="1365"/>
      <c r="FM335" s="1365"/>
      <c r="FO335" s="1361"/>
      <c r="FP335" s="1361"/>
      <c r="FQ335" s="1366"/>
      <c r="FR335" s="1361"/>
      <c r="FS335" s="1361"/>
      <c r="FT335" s="1361"/>
      <c r="FU335" s="1360"/>
      <c r="FW335" s="1352"/>
      <c r="FX335" s="1352"/>
      <c r="FY335" s="1352"/>
      <c r="FZ335" s="1352"/>
      <c r="GA335" s="1352"/>
      <c r="GB335" s="1352"/>
      <c r="GC335" s="1352"/>
      <c r="GD335" s="1352"/>
      <c r="GE335" s="759"/>
      <c r="GF335" s="1035"/>
      <c r="GG335" s="1385"/>
      <c r="GJ335" s="1034">
        <f>IF(GJ333=TRUE,0,GJ$16)</f>
        <v>0</v>
      </c>
      <c r="GL335" s="1034">
        <f>IF(GL333=TRUE,0,GL$16)</f>
        <v>36</v>
      </c>
      <c r="GM335" s="1034">
        <f>IF(GM333=TRUE,0,GM$16)</f>
        <v>35</v>
      </c>
      <c r="GN335" s="436"/>
      <c r="GO335" s="436"/>
      <c r="GP335" s="436"/>
      <c r="GQ335" s="436"/>
      <c r="GR335" s="436"/>
      <c r="HC335" s="1034">
        <f t="shared" ref="HC335:HH335" si="238">IF(HC333=TRUE,0,HC$16)</f>
        <v>19</v>
      </c>
      <c r="HD335" s="1034">
        <f t="shared" si="238"/>
        <v>18</v>
      </c>
      <c r="HE335" s="1034">
        <f t="shared" si="238"/>
        <v>17</v>
      </c>
      <c r="HF335" s="1034">
        <f t="shared" si="238"/>
        <v>16</v>
      </c>
      <c r="HG335" s="1034">
        <f t="shared" si="238"/>
        <v>0</v>
      </c>
      <c r="HH335" s="1034">
        <f t="shared" si="238"/>
        <v>0</v>
      </c>
      <c r="HI335" s="1034">
        <f>IF(HI333=TRUE,0,HI$16)</f>
        <v>13</v>
      </c>
      <c r="HJ335" s="1034">
        <f t="shared" ref="HJ335:HL335" si="239">IF(HJ333=TRUE,0,HJ$16)</f>
        <v>12</v>
      </c>
      <c r="HK335" s="1034">
        <f t="shared" si="239"/>
        <v>11</v>
      </c>
      <c r="HL335" s="1034">
        <f t="shared" si="239"/>
        <v>10</v>
      </c>
      <c r="HM335" s="1034">
        <f>IF(HM333=TRUE,0,HM$16)</f>
        <v>9</v>
      </c>
      <c r="HN335" s="1034">
        <f t="shared" ref="HN335:HR335" si="240">IF(HN333=TRUE,0,HN$16)</f>
        <v>0</v>
      </c>
      <c r="HO335" s="1034">
        <f t="shared" si="240"/>
        <v>0</v>
      </c>
      <c r="HP335" s="1034">
        <f t="shared" si="240"/>
        <v>0</v>
      </c>
      <c r="HQ335" s="1034">
        <f t="shared" si="240"/>
        <v>0</v>
      </c>
      <c r="HR335" s="1034">
        <f t="shared" si="240"/>
        <v>0</v>
      </c>
      <c r="HS335" s="1034">
        <f>IF(HS333=TRUE,0,HS$16)</f>
        <v>0</v>
      </c>
      <c r="HT335" s="1034">
        <f t="shared" ref="HT335" si="241">IF(HT333=TRUE,0,HT$16)</f>
        <v>0</v>
      </c>
      <c r="HU335" s="1034">
        <f>IF(HU333=TRUE,0,HU$16)</f>
        <v>1</v>
      </c>
      <c r="HW335" s="1034">
        <f>IF(GL333=FALSE,GL335,IF(GM333=FALSE,GM335,MAX(GJ335:HU335)))</f>
        <v>36</v>
      </c>
      <c r="HX335" s="1383"/>
      <c r="HY335" s="241" t="str">
        <f>VLOOKUP(HW335,_Error_Table,3,FALSE)</f>
        <v xml:space="preserve"> </v>
      </c>
      <c r="HZ335" s="241"/>
      <c r="IA335" s="1386"/>
      <c r="IB335" s="1380"/>
      <c r="IC335" s="1379"/>
      <c r="IF335" s="1380"/>
      <c r="IG335" s="1383"/>
      <c r="IH335" s="1383"/>
      <c r="II335" s="1383"/>
      <c r="IK335" s="1351"/>
      <c r="IL335" s="1351"/>
      <c r="IM335" s="1351"/>
      <c r="IN335" s="1351"/>
      <c r="IO335" s="1351"/>
      <c r="IP335" s="1351"/>
    </row>
    <row r="336" spans="1:250" s="82" customFormat="1" ht="5.0999999999999996" customHeight="1" thickBot="1">
      <c r="B336" s="763"/>
      <c r="C336" s="1038"/>
      <c r="D336" s="1038"/>
      <c r="E336" s="1490"/>
      <c r="F336" s="1490"/>
      <c r="G336" s="1490"/>
      <c r="H336" s="1490"/>
      <c r="I336" s="1490"/>
      <c r="J336" s="1490"/>
      <c r="K336" s="1490"/>
      <c r="L336" s="1490"/>
      <c r="M336" s="1490"/>
      <c r="N336" s="1490"/>
      <c r="O336" s="1490"/>
      <c r="P336" s="1490"/>
      <c r="Q336" s="1490"/>
      <c r="R336" s="1490"/>
      <c r="S336" s="1490"/>
      <c r="T336" s="1490"/>
      <c r="U336" s="1490"/>
      <c r="V336" s="1490"/>
      <c r="W336" s="1490"/>
      <c r="X336" s="1490"/>
      <c r="Y336" s="1490"/>
      <c r="Z336" s="1490"/>
      <c r="AA336" s="1490"/>
      <c r="AB336" s="1490"/>
      <c r="AC336" s="1490"/>
      <c r="AD336" s="1490"/>
      <c r="AE336" s="1490"/>
      <c r="AF336" s="1490"/>
      <c r="AG336" s="1490"/>
      <c r="AH336" s="1490"/>
      <c r="AI336" s="1490"/>
      <c r="AJ336" s="1490"/>
      <c r="AK336" s="1490"/>
      <c r="AL336" s="1490"/>
      <c r="AM336" s="1490"/>
      <c r="AN336" s="1490"/>
      <c r="AO336" s="1490"/>
      <c r="AP336" s="1490"/>
      <c r="AQ336" s="1490"/>
      <c r="AR336" s="1490"/>
      <c r="AS336" s="1490"/>
      <c r="AT336" s="1490"/>
      <c r="AU336" s="1041"/>
      <c r="BC336" s="38"/>
      <c r="BD336" s="38"/>
      <c r="BE336" s="38"/>
      <c r="BF336" s="38"/>
      <c r="BG336" s="38"/>
      <c r="BH336" s="38"/>
      <c r="BI336" s="38"/>
      <c r="BJ336" s="38"/>
      <c r="BK336" s="38"/>
      <c r="BL336" s="38"/>
      <c r="BM336" s="38"/>
      <c r="BN336" s="38"/>
      <c r="BO336" s="38"/>
      <c r="BP336" s="38"/>
      <c r="BQ336" s="38"/>
      <c r="BR336" s="38"/>
      <c r="BS336" s="38"/>
      <c r="BT336" s="38"/>
      <c r="BU336" s="38"/>
      <c r="BV336" s="38"/>
      <c r="BW336" s="38"/>
      <c r="BX336" s="38"/>
      <c r="BY336" s="38"/>
      <c r="BZ336" s="38"/>
      <c r="CA336" s="38"/>
      <c r="CB336" s="38"/>
      <c r="CC336" s="38"/>
      <c r="CD336" s="38"/>
      <c r="CE336" s="38"/>
      <c r="CF336" s="38"/>
      <c r="CG336" s="38"/>
      <c r="CH336" s="38"/>
      <c r="CI336" s="38"/>
      <c r="CM336" s="749"/>
      <c r="CN336" s="749"/>
      <c r="CO336" s="1043"/>
      <c r="CP336" s="749"/>
      <c r="CS336" s="436"/>
      <c r="CT336" s="436"/>
      <c r="CU336" s="243"/>
      <c r="CV336" s="244"/>
      <c r="CW336" s="244"/>
      <c r="CX336" s="244"/>
      <c r="CY336" s="245"/>
      <c r="CZ336" s="245"/>
      <c r="DA336" s="245"/>
      <c r="DC336" s="750"/>
      <c r="DD336" s="751"/>
      <c r="DE336" s="752"/>
      <c r="DF336" s="753"/>
      <c r="DG336" s="754"/>
      <c r="DH336" s="754"/>
      <c r="DK336" s="244"/>
      <c r="DL336" s="750"/>
      <c r="DN336" s="750"/>
      <c r="DO336" s="755"/>
      <c r="DP336" s="436"/>
      <c r="DQ336" s="750"/>
      <c r="DR336" s="750"/>
      <c r="DS336" s="750"/>
      <c r="DU336" s="750"/>
      <c r="DV336" s="750"/>
      <c r="DW336" s="750"/>
      <c r="DX336" s="750"/>
      <c r="DZ336" s="756"/>
      <c r="EA336" s="756"/>
      <c r="EC336" s="754"/>
      <c r="ED336" s="754"/>
      <c r="EE336" s="244"/>
      <c r="EF336" s="754"/>
      <c r="EG336" s="754"/>
      <c r="EH336" s="243"/>
      <c r="EI336" s="243"/>
      <c r="EJ336" s="752"/>
      <c r="EK336" s="757"/>
      <c r="EL336" s="757"/>
      <c r="EM336" s="758"/>
      <c r="EN336" s="758"/>
      <c r="EO336" s="752"/>
      <c r="EP336" s="752"/>
      <c r="EQ336" s="752"/>
      <c r="ES336" s="750"/>
      <c r="EU336" s="436"/>
      <c r="EV336" s="436"/>
      <c r="EW336" s="436"/>
      <c r="EX336" s="436"/>
      <c r="EY336" s="436"/>
      <c r="EZ336" s="436"/>
      <c r="FB336" s="643"/>
      <c r="FD336" s="436"/>
      <c r="FE336" s="436"/>
      <c r="FF336" s="436"/>
      <c r="FO336" s="750"/>
      <c r="FP336" s="436"/>
      <c r="FQ336" s="436"/>
      <c r="FR336" s="750"/>
      <c r="FS336" s="750"/>
      <c r="FW336" s="749"/>
      <c r="FX336" s="749"/>
      <c r="FY336" s="749"/>
      <c r="FZ336" s="749"/>
      <c r="GA336" s="749"/>
      <c r="GB336" s="749"/>
      <c r="GC336" s="749"/>
      <c r="GD336" s="749"/>
      <c r="GE336" s="751"/>
      <c r="GF336" s="750"/>
      <c r="GG336" s="750"/>
    </row>
    <row r="337" spans="1:250" s="82" customFormat="1" ht="14.95" customHeight="1" thickTop="1" thickBot="1">
      <c r="B337" s="1421" t="str">
        <f>HY340</f>
        <v xml:space="preserve"> </v>
      </c>
      <c r="C337" s="1422">
        <f>C332+1</f>
        <v>58</v>
      </c>
      <c r="D337" s="1423"/>
      <c r="E337" s="1424" t="s">
        <v>242</v>
      </c>
      <c r="F337" s="1425"/>
      <c r="G337" s="1426"/>
      <c r="H337" s="1427"/>
      <c r="I337" s="1427"/>
      <c r="J337" s="1427"/>
      <c r="K337" s="1427"/>
      <c r="L337" s="1427"/>
      <c r="M337" s="1427"/>
      <c r="N337" s="1427"/>
      <c r="O337" s="1427"/>
      <c r="P337" s="1427"/>
      <c r="Q337" s="1427"/>
      <c r="R337" s="1427"/>
      <c r="S337" s="1428" t="s">
        <v>283</v>
      </c>
      <c r="T337" s="668" t="s">
        <v>190</v>
      </c>
      <c r="U337" s="1430" t="s">
        <v>186</v>
      </c>
      <c r="V337" s="1431"/>
      <c r="W337" s="1431"/>
      <c r="X337" s="1431"/>
      <c r="Y337" s="1431"/>
      <c r="Z337" s="1431"/>
      <c r="AA337" s="1431"/>
      <c r="AB337" s="1088" t="str">
        <f>IFERROR(IF(__Retrofit_TI_NC=0,VLOOKUP(U338,Fixtures_Existing_List,2,FALSE),ROUND(N339*R339/T339,10)),"")</f>
        <v/>
      </c>
      <c r="AC337" s="1039" t="str">
        <f>IFERROR(IF(__Retrofit_TI_NC=0,ROUND(T338*AB337*N338*R338/1000,0),IF(CN337="Interior",N339*R339*R338*N338*_C406_reduction/1000,N339*R339*R338*N338/1000)),"")</f>
        <v/>
      </c>
      <c r="AD337" s="1040" t="str">
        <f>IFERROR(IF(C$36=0,ROUND(T338*AB337/1000,2),N339*R339/1000),"")</f>
        <v/>
      </c>
      <c r="AE337" s="1044" t="s">
        <v>190</v>
      </c>
      <c r="AF337" s="1432" t="str">
        <f>IF(__Retrofit_TI_NC=2,CONCATENATE("Code min = ",DD337),IF(__Retrofit_TI_NC=1,"Emter what you think the existing control was"," Control"))</f>
        <v xml:space="preserve"> Control</v>
      </c>
      <c r="AG337" s="1432"/>
      <c r="AH337" s="1432"/>
      <c r="AI337" s="1432"/>
      <c r="AJ337" s="1433">
        <f>DF337</f>
        <v>0</v>
      </c>
      <c r="AK337" s="1435" t="str">
        <f>IFERROR(ROUND(AJ337*AC337,0),"")</f>
        <v/>
      </c>
      <c r="AL337" s="1437">
        <f>IFERROR(IF(HW337=FALSE,0,AC337-AK337),0)</f>
        <v>0</v>
      </c>
      <c r="AM337" s="1439">
        <f>AL337-AL339</f>
        <v>0</v>
      </c>
      <c r="AN337" s="1440"/>
      <c r="AO337" s="1445">
        <f>IFERROR(IF(HW337=FALSE,0,(T339*U340)+(AE339*AF340)),0)</f>
        <v>0</v>
      </c>
      <c r="AP337" s="1445"/>
      <c r="AQ337" s="1446"/>
      <c r="AR337" s="1451" t="s">
        <v>157</v>
      </c>
      <c r="AS337" s="1454">
        <f>IF(AR337="Yes",1,0)</f>
        <v>1</v>
      </c>
      <c r="AT337" s="1457" t="str">
        <f>IF(OR(DN337=4,DN337=5,DN337=6,DN337=12),CONCATENATE("$",IF(GD337=TRUE,Lookup!$B$11,Lookup!$B$2)," /lamp"),CONCATENATE(EA337,"/ kWh"))</f>
        <v>0/ kWh</v>
      </c>
      <c r="AU337" s="516"/>
      <c r="AV337" s="1478">
        <f>IFERROR(IF(GI338=TRUE,(AB340*T339)/R339,0),"NA")</f>
        <v>0</v>
      </c>
      <c r="AW337" s="1478" t="str">
        <f>IFERROR(N339*_C406_reduction,"NA")</f>
        <v>NA</v>
      </c>
      <c r="BC337" s="38"/>
      <c r="BD337" s="38"/>
      <c r="BE337" s="38"/>
      <c r="BF337" s="38"/>
      <c r="BG337" s="38"/>
      <c r="BH337" s="38"/>
      <c r="BI337" s="38"/>
      <c r="BJ337" s="38"/>
      <c r="BK337" s="38"/>
      <c r="BL337" s="38"/>
      <c r="BM337" s="38"/>
      <c r="BN337" s="38"/>
      <c r="BO337" s="38"/>
      <c r="BP337" s="38"/>
      <c r="BQ337" s="38"/>
      <c r="BR337" s="38"/>
      <c r="BS337" s="38"/>
      <c r="BT337" s="38"/>
      <c r="BU337" s="38"/>
      <c r="BV337" s="38"/>
      <c r="BW337" s="38"/>
      <c r="BX337" s="38"/>
      <c r="BY337" s="38"/>
      <c r="BZ337" s="38"/>
      <c r="CA337" s="38"/>
      <c r="CB337" s="38"/>
      <c r="CC337" s="38"/>
      <c r="CD337" s="38"/>
      <c r="CE337" s="38"/>
      <c r="CF337" s="38"/>
      <c r="CG337" s="38"/>
      <c r="CH337" s="38"/>
      <c r="CI337" s="38"/>
      <c r="CM337" s="1352" t="str">
        <f>N338</f>
        <v/>
      </c>
      <c r="CN337" s="1352" t="str">
        <f>IFERROR(VLOOKUP(G338,_Lookup_Heat_Type_Table_New,3,FALSE),"")</f>
        <v/>
      </c>
      <c r="CO337" s="1415" t="str">
        <f>CN337</f>
        <v/>
      </c>
      <c r="CP337" s="1417" t="e">
        <f>VLOOKUP(G339,'Space Table'!$B$3:$L$160,9,FALSE)</f>
        <v>#N/A</v>
      </c>
      <c r="CR337" s="1386" t="s">
        <v>283</v>
      </c>
      <c r="CS337" s="1353">
        <f>IF(HW337=TRUE,T338,0)</f>
        <v>0</v>
      </c>
      <c r="CT337" s="1353" t="str">
        <f>IF(HW337=TRUE,U338,"")</f>
        <v/>
      </c>
      <c r="CU337" s="1353"/>
      <c r="CV337" s="1370">
        <f>IF(HW337=TRUE,AB337,0)</f>
        <v>0</v>
      </c>
      <c r="CW337" s="1370">
        <f>IF(HW337=TRUE,AC337,0)</f>
        <v>0</v>
      </c>
      <c r="CX337" s="1370">
        <f>IFERROR(IF(HW337=TRUE,CW337-CW339,0),0)</f>
        <v>0</v>
      </c>
      <c r="CY337" s="1485">
        <f>IF(HW337=TRUE,AD337,0)</f>
        <v>0</v>
      </c>
      <c r="CZ337" s="1485">
        <f>IF(HW337=TRUE,AD340,0)</f>
        <v>0</v>
      </c>
      <c r="DA337" s="1485">
        <f>IFERROR(CY337-CZ337,0)</f>
        <v>0</v>
      </c>
      <c r="DC337" s="1353">
        <f>IF(HW337=TRUE,AE338,0)</f>
        <v>0</v>
      </c>
      <c r="DD337" s="1460">
        <f>IF(__Retrofit_TI_NC=2,IF(CN337="Exterior",O340,FM337),FK337)</f>
        <v>0</v>
      </c>
      <c r="DE337" s="1353"/>
      <c r="DF337" s="1406">
        <f>IFERROR(IF(FL337=3,IK337,IF(FL337=4,IL337,IF(FL337=5,IM337,IF(FL337=6,IN337,IF(FL337=7,IO337,IF(FL337=8,IP337,0)))))),0)</f>
        <v>0</v>
      </c>
      <c r="DG337" s="1370">
        <f>IF(HW337=TRUE,AK337,0)</f>
        <v>0</v>
      </c>
      <c r="DH337" s="1369">
        <f>IFERROR(IF(HW337=TRUE,DG339-DG337,0),0)</f>
        <v>0</v>
      </c>
      <c r="DJ337" s="1483">
        <f>IFERROR(CW337-DG337,0)</f>
        <v>0</v>
      </c>
      <c r="DL337" s="1419">
        <f>DJ337-DK339</f>
        <v>0</v>
      </c>
      <c r="DN337" s="1403" t="str">
        <f>IFERROR(IF(AND(OR(FY337=4,FY337=5,FY337=6),OR(GB337=4,GB337=5,GB337=6)),FY337+8,VLOOKUP(CT339,Fixtures!R$31:Y$78,8,FALSE)),"")</f>
        <v/>
      </c>
      <c r="DO337" s="1404" t="str">
        <f>DN337</f>
        <v/>
      </c>
      <c r="DP337" s="1353" t="str">
        <f>IFERROR(VLOOKUP(DD339,Lookup!AU$3:AV$15,2,FALSE),"")</f>
        <v/>
      </c>
      <c r="DQ337" s="1404" t="str">
        <f>IF(DP337=7,"LLLC","")</f>
        <v/>
      </c>
      <c r="DR337" s="1403">
        <f>IFERROR(IF(OR(DN337=4,DN337=5,DN337=6,DN337=12,DN337=13,DN337=14),VLOOKUP(CT339,Fixtures!DN$27:EG$77,19,FALSE),1)*CS339,0)</f>
        <v>0</v>
      </c>
      <c r="DS337" s="1489">
        <f>IF(DP337=7,IF(DD337=DD339,0,DC339),0)</f>
        <v>0</v>
      </c>
      <c r="DU337" s="1403" t="str">
        <f>IFERROR(IF(EW337&lt;EW339,"Yes","No"),"")</f>
        <v/>
      </c>
      <c r="DV337" s="1404" t="str">
        <f>DU337</f>
        <v/>
      </c>
      <c r="DW337" s="1403">
        <f>IF(DU337="Yes",DC339,0)</f>
        <v>0</v>
      </c>
      <c r="DX337" s="1403">
        <f>DW337-DS337</f>
        <v>0</v>
      </c>
      <c r="DZ337" s="1481">
        <f>IFERROR(VLOOKUP(DN337,Lookup!AN$3:AO$16,2,FALSE),0)</f>
        <v>0</v>
      </c>
      <c r="EA337" s="1481">
        <f>IF(HW337=FALSE,0,IF(DU337="Yes",DZ337+Lookup!B$6,DZ337))</f>
        <v>0</v>
      </c>
      <c r="EC337" s="1482">
        <f>IF(HW337=TRUE,DJ337,0)</f>
        <v>0</v>
      </c>
      <c r="ED337" s="1369">
        <f>IF(HW337=TRUE,CW339,0)</f>
        <v>0</v>
      </c>
      <c r="EE337" s="1370">
        <f>IFERROR(EC337-ED337,0)</f>
        <v>0</v>
      </c>
      <c r="EF337" s="1369">
        <f>IF(HW337=TRUE,DG339,0)</f>
        <v>0</v>
      </c>
      <c r="EG337" s="1369">
        <f>IFERROR(EC337-ED337+EF337,0)</f>
        <v>0</v>
      </c>
      <c r="EH337" s="1373">
        <f>IF(HW337=TRUE,CS339*CU339,0)</f>
        <v>0</v>
      </c>
      <c r="EI337" s="1373">
        <f>IF(HW337=TRUE,DC339*DE339,0)</f>
        <v>0</v>
      </c>
      <c r="EJ337" s="1363">
        <f>AO337</f>
        <v>0</v>
      </c>
      <c r="EK337" s="1376" t="str">
        <f>IFERROR(IF(HW337=TRUE,VLOOKUP(DN337,Lookup!AN$3:AP$16,3,FALSE)*DR337,""),0)</f>
        <v/>
      </c>
      <c r="EL337" s="1376">
        <f>IF(HW337=TRUE,DW337*Lookup!AP$12,0)</f>
        <v>0</v>
      </c>
      <c r="EM337" s="1362">
        <f>IFERROR(IF(HW337=TRUE,EK337/EM$33,0),0)</f>
        <v>0</v>
      </c>
      <c r="EN337" s="1362">
        <f>IF(HW337=TRUE,EL337/EN$33,0)</f>
        <v>0</v>
      </c>
      <c r="EO337" s="1363">
        <f>IF(HW337=TRUE,EQ$33*EM337,0)</f>
        <v>0</v>
      </c>
      <c r="EP337" s="1363">
        <f>IF(HW337=TRUE,EQ$33*EN337,0)</f>
        <v>0</v>
      </c>
      <c r="EQ337" s="1363">
        <f>EO337+EP337</f>
        <v>0</v>
      </c>
      <c r="ES337" s="1403">
        <f>IF(G337="",0,1)</f>
        <v>0</v>
      </c>
      <c r="EU337" s="1410" t="e">
        <f>VLOOKUP(CP339,'Space Table'!$B$3:$L$160,8,FALSE)</f>
        <v>#N/A</v>
      </c>
      <c r="EV337" s="1410" t="e">
        <f>IF(EY337="Yes",VLOOKUP(DD337,Lookup_Control_Type_Table2,4,FALSE),VLOOKUP(DD337,Lookup_Control_Type_Table2,3,FALSE))</f>
        <v>#N/A</v>
      </c>
      <c r="EW337" s="1410" t="e">
        <f>VLOOKUP(DD337,Lookup!AU$3:AV$15,2,FALSE)</f>
        <v>#N/A</v>
      </c>
      <c r="EX337" s="1410" t="e">
        <f>VLOOKUP(EU337,Lookup_Control_Type_Table,2,FALSE)</f>
        <v>#N/A</v>
      </c>
      <c r="EY337" s="1410" t="e">
        <f>VLOOKUP(CP339,'Space Table'!$B$3:$L$160,7,FALSE)</f>
        <v>#N/A</v>
      </c>
      <c r="EZ337" s="1412" t="b">
        <f>ISNUMBER(SEARCH("TLED",U339))</f>
        <v>0</v>
      </c>
      <c r="FB337" s="1365" t="str">
        <f>CONCATENATE(CN337," - ",DD337)</f>
        <v xml:space="preserve"> - 0</v>
      </c>
      <c r="FD337" s="1353" t="str">
        <f>VLOOKUP(CT339,Fixtures!DN$27:EZ$77,38,FALSE)</f>
        <v/>
      </c>
      <c r="FE337" s="1353">
        <f>IFERROR(FD337*EE337,0)</f>
        <v>0</v>
      </c>
      <c r="FF337" s="138"/>
      <c r="FI337" s="1356" t="str">
        <f>IF(CN337="Exterior","Not Daylighted",G340)</f>
        <v>Not Daylighted</v>
      </c>
      <c r="FJ337" s="1356">
        <f>VLOOKUP(FI337,_Daylight_Table_Codes,2,FALSE)</f>
        <v>0</v>
      </c>
      <c r="FK337" s="1365">
        <f>IF(__Retrofit_TI_NC=2,VLOOKUP(G339,'Space Table'!$B$3:$L$160,11,FALSE),AF338)</f>
        <v>0</v>
      </c>
      <c r="FL337" s="1365" t="e">
        <f>VLOOKUP(FK337,_Control_Table,2,FALSE)</f>
        <v>#N/A</v>
      </c>
      <c r="FM337" s="1365" t="e">
        <f>IF(AND(FP337&gt;0,FK337="Occupancy Sensor"),"Daylight + Occupancy",IF(AND(FP337&gt;0,FL337&lt;4),"Interior Daylight Dimming",FK337))</f>
        <v>#N/A</v>
      </c>
      <c r="FO337" s="1364">
        <f>IF(CO337="Interior",VLOOKUP(CP337,Control_Savings_Interior,5,FALSE),0)</f>
        <v>0</v>
      </c>
      <c r="FP337" s="1361">
        <f>IF(CN337="Exterior",0,IF(FJ337=2,0.5,IF(OR(FJ337=1,FJ337=3),1,0)))</f>
        <v>0</v>
      </c>
      <c r="FQ337" s="1366"/>
      <c r="FR337" s="1367"/>
      <c r="FS337" s="1364"/>
      <c r="FT337" s="1367"/>
      <c r="FU337" s="1360"/>
      <c r="FW337" s="1352" t="str">
        <f>IFERROR(VLOOKUP(U338,_Exist_Fixture_Table,3,FALSE),"")</f>
        <v/>
      </c>
      <c r="FX337" s="1352" t="str">
        <f>VLOOKUP(CT337,_Exist_Fixture_Table,4,FALSE)</f>
        <v/>
      </c>
      <c r="FY337" s="1352">
        <f>IFERROR(VLOOKUP(FX337,Lookup!AM$6:AN$8,2,FALSE),0)</f>
        <v>0</v>
      </c>
      <c r="FZ337" s="1352" t="b">
        <f>IFERROR(IF(OR(GB337=4,GB337=5,GB337=6),TRUE,FALSE),"")</f>
        <v>0</v>
      </c>
      <c r="GA337" s="1352" t="str">
        <f>IFERROR(VLOOKUP(GB337,FY$6:FZ$10,2,FALSE),"")</f>
        <v/>
      </c>
      <c r="GB337" s="1352" t="str">
        <f>VLOOKUP(CT339,Fixtures!R$31:Y$78,8,FALSE)</f>
        <v/>
      </c>
      <c r="GC337" s="1352">
        <f>IF(AND(FW337=TRUE,FZ337=TRUE,OR(DN337=12,DN337=13,DN337=14)),FY337+8,0)</f>
        <v>0</v>
      </c>
      <c r="GD337" s="1352" t="b">
        <f>IF(OR(GC337=12,GC337=13,GC337=14),TRUE,FALSE)</f>
        <v>0</v>
      </c>
      <c r="GE337" s="759" t="b">
        <f>IF(ISNUMBER(SEARCH("TLED",U338)),TRUE,FALSE)</f>
        <v>0</v>
      </c>
      <c r="GF337" s="1035" t="str">
        <f>IFERROR(VLOOKUP(U338,Fixtures!BM$93:BR$142,6,FALSE),"")</f>
        <v/>
      </c>
      <c r="GG337" s="1385" t="b">
        <f>IF(OR(GE337=FALSE,GE339=FALSE),TRUE,IF(GF337-GF339&lt;5,FALSE,TRUE))</f>
        <v>1</v>
      </c>
      <c r="GK337" s="1034">
        <f>GL337</f>
        <v>0</v>
      </c>
      <c r="GL337" s="1034">
        <f>IF(G337="",0,1)</f>
        <v>0</v>
      </c>
      <c r="GM337" s="1034">
        <f>SUM(GN337:HB337)</f>
        <v>2</v>
      </c>
      <c r="GN337" s="1034">
        <f>IF(G338="",0,1)</f>
        <v>0</v>
      </c>
      <c r="GO337" s="1034">
        <f>IF(G339="",0,1)</f>
        <v>0</v>
      </c>
      <c r="GP337" s="1034">
        <f>IF(R338="",0,1)</f>
        <v>0</v>
      </c>
      <c r="GQ337" s="1034">
        <f>IF(__Retrofit_TI_NC=0,1,IF(R339="",0,1))</f>
        <v>1</v>
      </c>
      <c r="GR337" s="1034">
        <f>IF(CN337="Exterior",1,IF(G340="",0,1))</f>
        <v>1</v>
      </c>
      <c r="GS337" s="1034">
        <f>IF(__Retrofit_TI_NC&lt;&gt;0,1,IF(T338="",0,1))</f>
        <v>0</v>
      </c>
      <c r="GT337" s="1034">
        <f>IF(__Retrofit_TI_NC&lt;&gt;0,1,IF(U338="",0,1))</f>
        <v>0</v>
      </c>
      <c r="GU337" s="1034">
        <f>IF(T339="",0,1)</f>
        <v>0</v>
      </c>
      <c r="GV337" s="1034">
        <f>IF(U339="",0,1)</f>
        <v>0</v>
      </c>
      <c r="GW337" s="1034">
        <f>IF(__Retrofit_TI_NC=2,1,IF(U340="",0,1))</f>
        <v>0</v>
      </c>
      <c r="GX337" s="1034">
        <f>IF(__Retrofit_TI_NC&lt;&gt;0,1,IF(AE338="",0,1))</f>
        <v>0</v>
      </c>
      <c r="GY337" s="1034">
        <f>IF(__Retrofit_TI_NC&lt;&gt;0,1,IF(AF338="",0,1))</f>
        <v>0</v>
      </c>
      <c r="GZ337" s="1034">
        <f>IF(AE339="",0,1)</f>
        <v>0</v>
      </c>
      <c r="HA337" s="1034">
        <f>IF(AF339="",0,1)</f>
        <v>0</v>
      </c>
      <c r="HB337" s="1034">
        <f>IF(__Retrofit_TI_NC=2,1,IF(AF340="",0,1))</f>
        <v>0</v>
      </c>
      <c r="HV337" s="436"/>
      <c r="HW337" s="1384" t="b">
        <f>IF(OR(HW340=0,HW340=HT$16,HW340=HS$16,HW340=HU$16),TRUE,FALSE)</f>
        <v>0</v>
      </c>
      <c r="HX337" s="1377" t="b">
        <f>HW337</f>
        <v>0</v>
      </c>
      <c r="HY337" s="436"/>
      <c r="HZ337" s="436"/>
      <c r="IA337" s="1386" t="b">
        <f>IF(MAX(GJ340:HP340)&gt;5,FALSE,TRUE)</f>
        <v>0</v>
      </c>
      <c r="IB337" s="1380">
        <f>IF(IA337=TRUE,AC337,0)</f>
        <v>0</v>
      </c>
      <c r="IC337" s="1380">
        <f>IB337-IB339</f>
        <v>0</v>
      </c>
      <c r="IF337" s="1380" t="e">
        <f>ROUND(T338*VLOOKUP(U338,Fixtures_Existing_List,2,FALSE)*N338*R338/1000,0)</f>
        <v>#N/A</v>
      </c>
      <c r="IG337" s="1381" t="e">
        <f>IF337-IF339</f>
        <v>#N/A</v>
      </c>
      <c r="IH337" s="1384" t="e">
        <f>ROUND(IF(CN337="Interior",N339*R339*R338*N338*_C406_reduction/1000,N339*R339*R338*N338/1000),0)</f>
        <v>#N/A</v>
      </c>
      <c r="II337" s="1384" t="e">
        <f>IH337-IH339</f>
        <v>#N/A</v>
      </c>
      <c r="IK337" s="1351" t="e">
        <f>IF($CO337="interior",IL337/2,VLOOKUP($CP337,Control_Savings_Exterior,IK$30,FALSE))</f>
        <v>#N/A</v>
      </c>
      <c r="IL337" s="1351" t="e">
        <f>IF($CO337="interior",VLOOKUP($CP337,Control_Savings_Interior,IL$30,FALSE),VLOOKUP($CP337,Control_Savings_Exterior,IL$30,FALSE))</f>
        <v>#N/A</v>
      </c>
      <c r="IM337" s="1351" t="e">
        <f>IF($CO337="interior",IF(R338&gt;FO$37,(IM$28*(FO$37/R338)),IM$28)*FP337,VLOOKUP($CP337,Control_Savings_Exterior,IM$30,FALSE))</f>
        <v>#N/A</v>
      </c>
      <c r="IN337" s="1351" t="e">
        <f>IF($CO337="interior",ROUND(((1-IL337)*IM337)+IL337,2),VLOOKUP($CP337,Control_Savings_Exterior,IN$30,FALSE))</f>
        <v>#N/A</v>
      </c>
      <c r="IO337" s="1351" t="e">
        <f>IF($CO337="interior", ROUND(((1-IL337)*(IM337*(1-IP$28)))+IP337,2), VLOOKUP($CP337,Control_Savings_Exterior,IO$30,FALSE))</f>
        <v>#N/A</v>
      </c>
      <c r="IP337" s="1351">
        <f>IF($CO337="interior",ROUND(((1-IL337)*IP$28)+IL337,2),0)</f>
        <v>0</v>
      </c>
    </row>
    <row r="338" spans="1:250" s="82" customFormat="1" ht="14.95" customHeight="1" thickTop="1" thickBot="1">
      <c r="B338" s="1421"/>
      <c r="C338" s="1422"/>
      <c r="D338" s="1423"/>
      <c r="E338" s="1393" t="s">
        <v>244</v>
      </c>
      <c r="F338" s="1394"/>
      <c r="G338" s="1395"/>
      <c r="H338" s="1395"/>
      <c r="I338" s="1395"/>
      <c r="J338" s="1395"/>
      <c r="K338" s="1395"/>
      <c r="L338" s="1395"/>
      <c r="M338" s="509" t="e">
        <f>IF(__Retrofit_TI_NC&lt;&gt;0,IF(VLOOKUP(G339,'Space Table'!$B$3:$L$160,3,FALSE)&gt;0,1,0),IF(__Retrofit_TI_NC=VLOOKUP(G339,'Space Table'!$B$3:$L$160,3,FALSE),1,0))</f>
        <v>#N/A</v>
      </c>
      <c r="N338" s="509" t="str">
        <f>IFERROR(VLOOKUP(G338,_Lookup_Heat_Type_Table_New,2,FALSE),"")</f>
        <v/>
      </c>
      <c r="O338" s="509">
        <f>IF(__Retrofit_TI_NC=1,CONCATENATE("TI ",G338),IF(__Retrofit_TI_NC=2,CONCATENATE("NC ",G338),G338))</f>
        <v>0</v>
      </c>
      <c r="P338" s="1396" t="s">
        <v>352</v>
      </c>
      <c r="Q338" s="1396"/>
      <c r="R338" s="673"/>
      <c r="S338" s="1429"/>
      <c r="T338" s="675"/>
      <c r="U338" s="1496"/>
      <c r="V338" s="1497"/>
      <c r="W338" s="1497"/>
      <c r="X338" s="1497"/>
      <c r="Y338" s="1497"/>
      <c r="Z338" s="1497"/>
      <c r="AA338" s="1497"/>
      <c r="AB338" s="1497"/>
      <c r="AC338" s="1497"/>
      <c r="AD338" s="1498"/>
      <c r="AE338" s="675"/>
      <c r="AF338" s="1397"/>
      <c r="AG338" s="1397"/>
      <c r="AH338" s="1397"/>
      <c r="AI338" s="1397"/>
      <c r="AJ338" s="1434"/>
      <c r="AK338" s="1436"/>
      <c r="AL338" s="1438"/>
      <c r="AM338" s="1441"/>
      <c r="AN338" s="1442"/>
      <c r="AO338" s="1447"/>
      <c r="AP338" s="1447"/>
      <c r="AQ338" s="1448"/>
      <c r="AR338" s="1452"/>
      <c r="AS338" s="1455"/>
      <c r="AT338" s="1458"/>
      <c r="AU338" s="516"/>
      <c r="AV338" s="1479"/>
      <c r="AW338" s="1479"/>
      <c r="BC338" s="38"/>
      <c r="BD338" s="38"/>
      <c r="BE338" s="38"/>
      <c r="BF338" s="38"/>
      <c r="BG338" s="38"/>
      <c r="BH338" s="38"/>
      <c r="BI338" s="38"/>
      <c r="BJ338" s="38"/>
      <c r="BK338" s="38"/>
      <c r="BL338" s="38"/>
      <c r="BM338" s="38"/>
      <c r="BN338" s="38"/>
      <c r="BO338" s="38"/>
      <c r="BP338" s="38"/>
      <c r="BQ338" s="38"/>
      <c r="BR338" s="38"/>
      <c r="BS338" s="38"/>
      <c r="BT338" s="38"/>
      <c r="BU338" s="38"/>
      <c r="BV338" s="38"/>
      <c r="BW338" s="38"/>
      <c r="BX338" s="38"/>
      <c r="BY338" s="38"/>
      <c r="BZ338" s="38"/>
      <c r="CA338" s="38"/>
      <c r="CB338" s="38"/>
      <c r="CC338" s="38"/>
      <c r="CD338" s="38"/>
      <c r="CE338" s="38"/>
      <c r="CF338" s="38"/>
      <c r="CG338" s="38"/>
      <c r="CH338" s="38"/>
      <c r="CI338" s="38"/>
      <c r="CM338" s="1352"/>
      <c r="CN338" s="1352"/>
      <c r="CO338" s="1416"/>
      <c r="CP338" s="1418"/>
      <c r="CR338" s="1386"/>
      <c r="CS338" s="1355"/>
      <c r="CT338" s="1355"/>
      <c r="CU338" s="1355"/>
      <c r="CV338" s="1372"/>
      <c r="CW338" s="1372"/>
      <c r="CX338" s="1371"/>
      <c r="CY338" s="1486"/>
      <c r="CZ338" s="1486"/>
      <c r="DA338" s="1486"/>
      <c r="DC338" s="1355"/>
      <c r="DD338" s="1461"/>
      <c r="DE338" s="1355"/>
      <c r="DF338" s="1407"/>
      <c r="DG338" s="1372"/>
      <c r="DH338" s="1369"/>
      <c r="DJ338" s="1484"/>
      <c r="DL338" s="1419"/>
      <c r="DN338" s="1403"/>
      <c r="DO338" s="1405"/>
      <c r="DP338" s="1354"/>
      <c r="DQ338" s="1405"/>
      <c r="DR338" s="1403"/>
      <c r="DS338" s="1489"/>
      <c r="DU338" s="1403"/>
      <c r="DV338" s="1405"/>
      <c r="DW338" s="1403"/>
      <c r="DX338" s="1403"/>
      <c r="DZ338" s="1481"/>
      <c r="EA338" s="1481"/>
      <c r="EC338" s="1482"/>
      <c r="ED338" s="1369"/>
      <c r="EE338" s="1371"/>
      <c r="EF338" s="1369"/>
      <c r="EG338" s="1369"/>
      <c r="EH338" s="1374"/>
      <c r="EI338" s="1374"/>
      <c r="EJ338" s="1363"/>
      <c r="EK338" s="1376"/>
      <c r="EL338" s="1376"/>
      <c r="EM338" s="1362"/>
      <c r="EN338" s="1362"/>
      <c r="EO338" s="1363"/>
      <c r="EP338" s="1363"/>
      <c r="EQ338" s="1363"/>
      <c r="ES338" s="1403"/>
      <c r="EU338" s="1411"/>
      <c r="EV338" s="1411"/>
      <c r="EW338" s="1411"/>
      <c r="EX338" s="1411"/>
      <c r="EY338" s="1411"/>
      <c r="EZ338" s="1413"/>
      <c r="FB338" s="1365"/>
      <c r="FD338" s="1354"/>
      <c r="FE338" s="1354"/>
      <c r="FF338" s="138"/>
      <c r="FI338" s="1357"/>
      <c r="FJ338" s="1357"/>
      <c r="FK338" s="1365"/>
      <c r="FL338" s="1365"/>
      <c r="FM338" s="1365"/>
      <c r="FO338" s="1361"/>
      <c r="FP338" s="1361"/>
      <c r="FQ338" s="1366"/>
      <c r="FR338" s="1368"/>
      <c r="FS338" s="1361"/>
      <c r="FT338" s="1368"/>
      <c r="FU338" s="1360"/>
      <c r="FW338" s="1352"/>
      <c r="FX338" s="1352"/>
      <c r="FY338" s="1352"/>
      <c r="FZ338" s="1352"/>
      <c r="GA338" s="1352"/>
      <c r="GB338" s="1352"/>
      <c r="GC338" s="1352"/>
      <c r="GD338" s="1352"/>
      <c r="GE338" s="759"/>
      <c r="GF338" s="1035"/>
      <c r="GG338" s="1385"/>
      <c r="GI338" s="1384" t="b">
        <f>IF(AND(GL338=TRUE,GM338=TRUE),TRUE,FALSE)</f>
        <v>0</v>
      </c>
      <c r="GJ338" s="1379" t="b">
        <f>IFERROR(IF(__Retrofit_TI_NC=2,TRUE,IF(AR337="Yes",TRUE,FALSE)),FALSE)</f>
        <v>1</v>
      </c>
      <c r="GL338" s="1379" t="b">
        <f>IFERROR(IF(GL337=1,TRUE,FALSE),FALSE)</f>
        <v>0</v>
      </c>
      <c r="GM338" s="1379" t="b">
        <f>IFERROR(IF(GM337=GM$14,TRUE,FALSE),FALSE)</f>
        <v>0</v>
      </c>
      <c r="HC338" s="1379" t="b">
        <f>IFERROR(IF(M338=1,TRUE,FALSE),FALSE)</f>
        <v>0</v>
      </c>
      <c r="HD338" s="1379" t="b">
        <f>IFERROR(IF(M339=1,TRUE,FALSE),FALSE)</f>
        <v>0</v>
      </c>
      <c r="HE338" s="1379" t="b">
        <f>IFERROR(IF(__Retrofit_TI_NC&lt;&gt;0,TRUE,IFERROR(IF(VLOOKUP(U338,Fixtures_Existing_List,2,FALSE)&lt;&gt;"",TRUE,FALSE),FALSE)),FALSE)</f>
        <v>0</v>
      </c>
      <c r="HF338" s="1379" t="b">
        <f>IFERROR(IF(VLOOKUP(U339,Fixtures_Proposed_List,2,FALSE)&lt;&gt;"",TRUE,FALSE),FALSE)</f>
        <v>0</v>
      </c>
      <c r="HG338" s="1379" t="b">
        <f>IF(AND(__Retrofit_TI_NC=2,EZ337=TRUE),FALSE,TRUE)</f>
        <v>1</v>
      </c>
      <c r="HH338" s="1379" t="b">
        <f>GG337</f>
        <v>1</v>
      </c>
      <c r="HI338" s="1384" t="b">
        <f>IF(ISERROR(MATCH(FB337,_Control_Match[],0))=TRUE,FALSE,TRUE)</f>
        <v>0</v>
      </c>
      <c r="HJ338" s="1384" t="b">
        <f>IFERROR(IF(EU337&lt;&gt;EV337,FALSE,TRUE),FALSE)</f>
        <v>0</v>
      </c>
      <c r="HK338" s="1384" t="b">
        <f>IFERROR(IF(EU339&lt;&gt;EV339,FALSE,TRUE),FALSE)</f>
        <v>0</v>
      </c>
      <c r="HL338" s="1379" t="b">
        <f>IFERROR(IF(CN337="Exterior",TRUE,IF(OR(AND(FJ337=0,EW339&gt;4),AND(FJ337=4,EW339&gt;4,EW339&lt;7)),FALSE,TRUE)),FALSE)</f>
        <v>0</v>
      </c>
      <c r="HM338" s="1379" t="b">
        <f>IFERROR(IF(AND(FL339=7,EZ337=TRUE),FALSE,TRUE),FALSE)</f>
        <v>0</v>
      </c>
      <c r="HN338" s="1379" t="b">
        <f>IFERROR(IF(AND(T339&lt;&gt;AE339,AF339="Interior LLLC")=TRUE,FALSE,TRUE),FALSE)</f>
        <v>1</v>
      </c>
      <c r="HO338" s="1379" t="b">
        <f>IFERROR(IF(OR(AF339=Lookup!AU$13,AF339=Lookup!AU$14)=TRUE,IF(AE339&gt;T339,FALSE,TRUE),TRUE),FALSE)</f>
        <v>1</v>
      </c>
      <c r="HP338" s="1379" t="b">
        <f>IFERROR(IF(__Retrofit_TI_NC=2,IF(EW339&lt;EW337,FALSE,TRUE),TRUE),FALSE)</f>
        <v>1</v>
      </c>
      <c r="HQ338" s="1379" t="b">
        <f>IF(CN337="Interior",IG$6,TRUE)</f>
        <v>1</v>
      </c>
      <c r="HR338" s="1379" t="b">
        <f>IF(CN337="Exterior",IG$8,TRUE)</f>
        <v>1</v>
      </c>
      <c r="HS338" s="1379" t="b">
        <f>IFERROR(IF(__Retrofit_TI_NC&lt;&gt;0,IF(AW337&lt;AV337,FALSE,TRUE),TRUE),FALSE)</f>
        <v>1</v>
      </c>
      <c r="HT338" s="1379" t="b">
        <f>IFERROR(IF(AND(G338="Exterior",R338&gt;4200),FALSE,TRUE),FALSE)</f>
        <v>1</v>
      </c>
      <c r="HU338" s="1379" t="b">
        <f>IFERROR(IF(AB340/AB337&lt;HU$18,FALSE,TRUE),FALSE)</f>
        <v>0</v>
      </c>
      <c r="HW338" s="1382"/>
      <c r="HX338" s="1378"/>
      <c r="HY338" s="1377" t="str">
        <f>VLOOKUP(HW340,_Error_Table,4,FALSE)</f>
        <v>White</v>
      </c>
      <c r="HZ338" s="436"/>
      <c r="IA338" s="1386"/>
      <c r="IB338" s="1380"/>
      <c r="IC338" s="1379"/>
      <c r="IF338" s="1380"/>
      <c r="IG338" s="1382"/>
      <c r="IH338" s="1382"/>
      <c r="II338" s="1382"/>
      <c r="IK338" s="1351"/>
      <c r="IL338" s="1351"/>
      <c r="IM338" s="1351"/>
      <c r="IN338" s="1351"/>
      <c r="IO338" s="1351"/>
      <c r="IP338" s="1351"/>
    </row>
    <row r="339" spans="1:250" s="82" customFormat="1" ht="14.95" customHeight="1" thickTop="1" thickBot="1">
      <c r="A339" s="82">
        <f>ROW()</f>
        <v>339</v>
      </c>
      <c r="B339" s="1421"/>
      <c r="C339" s="1422"/>
      <c r="D339" s="1423"/>
      <c r="E339" s="1393" t="s">
        <v>245</v>
      </c>
      <c r="F339" s="1394"/>
      <c r="G339" s="1398"/>
      <c r="H339" s="1399"/>
      <c r="I339" s="1399"/>
      <c r="J339" s="1399"/>
      <c r="K339" s="1399"/>
      <c r="L339" s="1400"/>
      <c r="M339" s="509">
        <f>IFERROR(IF(IF(__Retrofit_TI_NC&lt;&gt;0,IF(CN337="Interior",MATCH(G339,Lookup_Interior_New,0),MATCH(G339,Lookup_Exterior_New,0)),IF(CN337="Interior",MATCH(G339,Lookup_Interior,0),MATCH(G339,Lookup_Exterior_Areas,0)))&gt;0,1,0),0)</f>
        <v>0</v>
      </c>
      <c r="N339" s="509" t="e">
        <f>IF(__Retrofit_TI_NC=1,
VLOOKUP(G339,'Space Table'!$B$3:$L$160,4,FALSE),
IF(__Retrofit_TI_NC=2,VLOOKUP(G339,'Space Table'!$B$3:$L$160,5,FALSE),VLOOKUP(G339,'Space Table'!$B$3:$L$160,5,FALSE)))</f>
        <v>#N/A</v>
      </c>
      <c r="O339" s="509">
        <f>G339</f>
        <v>0</v>
      </c>
      <c r="P339" s="1394" t="s">
        <v>355</v>
      </c>
      <c r="Q339" s="1394"/>
      <c r="R339" s="674"/>
      <c r="S339" s="1401" t="s">
        <v>284</v>
      </c>
      <c r="T339" s="672"/>
      <c r="U339" s="1499"/>
      <c r="V339" s="1500"/>
      <c r="W339" s="1500"/>
      <c r="X339" s="1500"/>
      <c r="Y339" s="1500"/>
      <c r="Z339" s="1500"/>
      <c r="AA339" s="1500"/>
      <c r="AB339" s="1501"/>
      <c r="AC339" s="1501"/>
      <c r="AD339" s="1502"/>
      <c r="AE339" s="672"/>
      <c r="AF339" s="1474"/>
      <c r="AG339" s="1474"/>
      <c r="AH339" s="1474"/>
      <c r="AI339" s="1474"/>
      <c r="AJ339" s="1475">
        <f>DF339</f>
        <v>0</v>
      </c>
      <c r="AK339" s="1470" t="str">
        <f>IFERROR(ROUND(AJ339*AC340,0),"")</f>
        <v/>
      </c>
      <c r="AL339" s="1472">
        <f>IFERROR(IF(HW337=FALSE,0,AC340-AK339),0)</f>
        <v>0</v>
      </c>
      <c r="AM339" s="1441"/>
      <c r="AN339" s="1442"/>
      <c r="AO339" s="1447"/>
      <c r="AP339" s="1447"/>
      <c r="AQ339" s="1448"/>
      <c r="AR339" s="1452"/>
      <c r="AS339" s="1455"/>
      <c r="AT339" s="1458"/>
      <c r="AU339" s="516"/>
      <c r="AV339" s="1479"/>
      <c r="AW339" s="1479"/>
      <c r="BC339" s="38"/>
      <c r="BD339" s="38"/>
      <c r="BE339" s="38"/>
      <c r="BF339" s="38"/>
      <c r="BG339" s="38"/>
      <c r="BH339" s="38"/>
      <c r="BI339" s="38"/>
      <c r="BJ339" s="38"/>
      <c r="BK339" s="38"/>
      <c r="BL339" s="38"/>
      <c r="BM339" s="38"/>
      <c r="BN339" s="38"/>
      <c r="BO339" s="38"/>
      <c r="BP339" s="38"/>
      <c r="BQ339" s="38"/>
      <c r="BR339" s="38"/>
      <c r="BS339" s="38"/>
      <c r="BT339" s="38"/>
      <c r="BU339" s="38"/>
      <c r="BV339" s="38"/>
      <c r="BW339" s="38"/>
      <c r="BX339" s="38"/>
      <c r="BY339" s="38"/>
      <c r="BZ339" s="38"/>
      <c r="CA339" s="38"/>
      <c r="CB339" s="38"/>
      <c r="CC339" s="38"/>
      <c r="CD339" s="38"/>
      <c r="CE339" s="38"/>
      <c r="CF339" s="38"/>
      <c r="CG339" s="38"/>
      <c r="CH339" s="38"/>
      <c r="CI339" s="38"/>
      <c r="CM339" s="1352"/>
      <c r="CN339" s="1352"/>
      <c r="CO339" s="1415" t="str">
        <f>CN337</f>
        <v/>
      </c>
      <c r="CP339" s="1417" t="e">
        <f>CP337</f>
        <v>#N/A</v>
      </c>
      <c r="CR339" s="1386" t="s">
        <v>284</v>
      </c>
      <c r="CS339" s="1353">
        <f>IF(HW337=TRUE,T339,0)</f>
        <v>0</v>
      </c>
      <c r="CT339" s="1353" t="str">
        <f>IF(HW337=TRUE,U339,"")</f>
        <v/>
      </c>
      <c r="CU339" s="1373">
        <f>IF(HW337=TRUE,U340,0)</f>
        <v>0</v>
      </c>
      <c r="CV339" s="1370">
        <f>IF(HW337=TRUE,AB340,0)</f>
        <v>0</v>
      </c>
      <c r="CW339" s="1370">
        <f>IF(HW337=TRUE,AC340,0)</f>
        <v>0</v>
      </c>
      <c r="CX339" s="1371"/>
      <c r="CY339" s="1486"/>
      <c r="CZ339" s="1486"/>
      <c r="DA339" s="1486"/>
      <c r="DC339" s="1353">
        <f>IF(HW337=TRUE,AE339,0)</f>
        <v>0</v>
      </c>
      <c r="DD339" s="1353" t="str">
        <f>IF(HW337=TRUE,AF339,"")</f>
        <v/>
      </c>
      <c r="DE339" s="1373">
        <f>AF340</f>
        <v>0</v>
      </c>
      <c r="DF339" s="1406">
        <f>IFERROR(IF(FL339=3,IK339,IF(FL339=4,IL339,IF(FL339=5,IM339,IF(FL339=6,IN339,IF(FL339=7,IO339,IF(FL339=8,IP339,0)))))),0)</f>
        <v>0</v>
      </c>
      <c r="DG339" s="1370">
        <f>IF(HW337=TRUE,AK339,0)</f>
        <v>0</v>
      </c>
      <c r="DH339" s="1369"/>
      <c r="DK339" s="1483">
        <f>IFERROR(CW339-DG339,0)</f>
        <v>0</v>
      </c>
      <c r="DL339" s="1420"/>
      <c r="DN339" s="1403"/>
      <c r="DO339" s="1477" t="str">
        <f>DN337</f>
        <v/>
      </c>
      <c r="DP339" s="1354"/>
      <c r="DQ339" s="1477" t="str">
        <f>IF(DP337=7,"LLLC","")</f>
        <v/>
      </c>
      <c r="DR339" s="1403"/>
      <c r="DS339" s="1489"/>
      <c r="DU339" s="1403"/>
      <c r="DV339" s="1404" t="str">
        <f>DU337</f>
        <v/>
      </c>
      <c r="DW339" s="1403"/>
      <c r="DX339" s="1403"/>
      <c r="DZ339" s="1481"/>
      <c r="EA339" s="1481"/>
      <c r="EC339" s="1482"/>
      <c r="ED339" s="1369"/>
      <c r="EE339" s="1371"/>
      <c r="EF339" s="1369"/>
      <c r="EG339" s="1369"/>
      <c r="EH339" s="1374"/>
      <c r="EI339" s="1374"/>
      <c r="EJ339" s="1363"/>
      <c r="EK339" s="1376"/>
      <c r="EL339" s="1376"/>
      <c r="EM339" s="1362"/>
      <c r="EN339" s="1362"/>
      <c r="EO339" s="1363"/>
      <c r="EP339" s="1363"/>
      <c r="EQ339" s="1363"/>
      <c r="ES339" s="1403"/>
      <c r="EU339" s="1411" t="e">
        <f>VLOOKUP(CP339,'Space Table'!$B$3:$L$160,8,FALSE)</f>
        <v>#N/A</v>
      </c>
      <c r="EV339" s="1411" t="e">
        <f>IF(EY339="Yes",VLOOKUP(AF339,Lookup_Control_Type_Table2,4,FALSE),VLOOKUP(AF339,Lookup_Control_Type_Table2,3,FALSE))</f>
        <v>#N/A</v>
      </c>
      <c r="EW339" s="1411" t="e">
        <f>VLOOKUP(AF339,Lookup!AU$3:AV$15,2,FALSE)</f>
        <v>#N/A</v>
      </c>
      <c r="EX339" s="1411" t="e">
        <f>VLOOKUP(EU337,Lookup_Control_Type_Table,2,FALSE)</f>
        <v>#N/A</v>
      </c>
      <c r="EY339" s="1411" t="e">
        <f>VLOOKUP(CP339,'Space Table'!$B$3:$L$160,7,FALSE)</f>
        <v>#N/A</v>
      </c>
      <c r="EZ339" s="1413"/>
      <c r="FB339" s="1365" t="str">
        <f>CONCATENATE(CN337," - ",AF339)</f>
        <v xml:space="preserve"> - </v>
      </c>
      <c r="FD339" s="1354"/>
      <c r="FE339" s="1354"/>
      <c r="FF339" s="138"/>
      <c r="FI339" s="1356" t="str">
        <f>IF(CN337="Exterior","Not Daylighted",G340)</f>
        <v>Not Daylighted</v>
      </c>
      <c r="FJ339" s="1356">
        <f>VLOOKUP(FI339,_Daylight_Table_Codes,2,FALSE)</f>
        <v>0</v>
      </c>
      <c r="FK339" s="1365">
        <f>AF339</f>
        <v>0</v>
      </c>
      <c r="FL339" s="1365" t="e">
        <f>VLOOKUP(FK339,_Control_Table,2,FALSE)</f>
        <v>#N/A</v>
      </c>
      <c r="FM339" s="1365" t="e">
        <f>IF(AND(FP339&gt;0,FK339="Occupancy Sensor"),"Daylight + Occupancy",IF(AND(FP339&gt;0,FL339&lt;4),"Interior Daylight Dimming",FK339))</f>
        <v>#N/A</v>
      </c>
      <c r="FO339" s="1364">
        <f>IF(CN337="Interior",VLOOKUP(CP337,Control_Savings_Interior,5,FALSE),0)</f>
        <v>0</v>
      </c>
      <c r="FP339" s="1361">
        <f>IF(CN339="Exterior",0,IF(FJ339=2,0.5,IF(OR(FJ339=1,FJ339=3),1,0)))</f>
        <v>0</v>
      </c>
      <c r="FQ339" s="1366">
        <f>IF(R338&gt;FO$37,(FO339*(FO$37/R338)),FO339)*FP339</f>
        <v>0</v>
      </c>
      <c r="FR339" s="1364">
        <f>DF339</f>
        <v>0</v>
      </c>
      <c r="FS339" s="1364">
        <f>ROUND(FR339+((1-FR339)*FQ339),2)</f>
        <v>0</v>
      </c>
      <c r="FT339" s="1364">
        <f>IF(__Retrofit_TI_NC=2,FS339,FR339)</f>
        <v>0</v>
      </c>
      <c r="FU339" s="1360">
        <f>IF(CO339="Interior",VLOOKUP(CP339,Control_Savings_Interior,4,FALSE),0)</f>
        <v>0</v>
      </c>
      <c r="FW339" s="1352"/>
      <c r="FX339" s="1352"/>
      <c r="FY339" s="1352"/>
      <c r="FZ339" s="1352"/>
      <c r="GA339" s="1352"/>
      <c r="GB339" s="1352"/>
      <c r="GC339" s="1352"/>
      <c r="GD339" s="1352"/>
      <c r="GE339" s="759" t="b">
        <f>IF(ISNUMBER(SEARCH("TLED",U339)),TRUE,FALSE)</f>
        <v>0</v>
      </c>
      <c r="GF339" s="1035" t="str">
        <f>IFERROR(VLOOKUP(U339,Fixtures!DM$93:DR$142,6,FALSE),"")</f>
        <v/>
      </c>
      <c r="GG339" s="1385"/>
      <c r="GI339" s="1383"/>
      <c r="GJ339" s="1379"/>
      <c r="GL339" s="1379"/>
      <c r="GM339" s="1379"/>
      <c r="HC339" s="1379"/>
      <c r="HD339" s="1379"/>
      <c r="HE339" s="1379"/>
      <c r="HF339" s="1379"/>
      <c r="HG339" s="1379"/>
      <c r="HH339" s="1379"/>
      <c r="HI339" s="1383"/>
      <c r="HJ339" s="1383"/>
      <c r="HK339" s="1383"/>
      <c r="HL339" s="1379"/>
      <c r="HM339" s="1379"/>
      <c r="HN339" s="1379"/>
      <c r="HO339" s="1379"/>
      <c r="HP339" s="1379"/>
      <c r="HQ339" s="1379"/>
      <c r="HR339" s="1379"/>
      <c r="HS339" s="1379"/>
      <c r="HT339" s="1379"/>
      <c r="HU339" s="1379"/>
      <c r="HW339" s="1383"/>
      <c r="HX339" s="1384" t="b">
        <f>HW337</f>
        <v>0</v>
      </c>
      <c r="HY339" s="1378"/>
      <c r="HZ339" s="436"/>
      <c r="IA339" s="1386"/>
      <c r="IB339" s="1380">
        <f>IF(IA337=TRUE,AC340,0)</f>
        <v>0</v>
      </c>
      <c r="IC339" s="1379"/>
      <c r="IF339" s="1380" t="e">
        <f>ROUND(T339*AB340*N338*R338/1000,0)</f>
        <v>#VALUE!</v>
      </c>
      <c r="IG339" s="1382"/>
      <c r="IH339" s="1384" t="e">
        <f>ROUND(T339*AB340*N338*R338/1000,0)</f>
        <v>#VALUE!</v>
      </c>
      <c r="II339" s="1382"/>
      <c r="IK339" s="1351" t="e">
        <f>IF($CO339="interior",IL339/2,VLOOKUP($CP339,Control_Savings_Exterior,IK$30,FALSE))</f>
        <v>#N/A</v>
      </c>
      <c r="IL339" s="1351" t="e">
        <f>IF($CO339="interior",VLOOKUP($CP339,Control_Savings_Interior,IL$30,FALSE),VLOOKUP($CP339,Control_Savings_Exterior,IL$30,FALSE))</f>
        <v>#N/A</v>
      </c>
      <c r="IM339" s="1351" t="e">
        <f>IF($CO339="interior",IF(R338&gt;FO$37,(IM$28*(FO$37/R338)),IM$28)*FP339,VLOOKUP($CP339,Control_Savings_Exterior,IM$30,FALSE))</f>
        <v>#N/A</v>
      </c>
      <c r="IN339" s="1351" t="e">
        <f>IF($CO339="interior",ROUND(((1-IL339)*IM339)+IL339,2),VLOOKUP($CP339,Control_Savings_Exterior,IN$30,FALSE))</f>
        <v>#N/A</v>
      </c>
      <c r="IO339" s="1351" t="e">
        <f>IF($CO339="interior", ROUND(((1-IL339)*(IM339*(1-IP$28)))+IP339,2), VLOOKUP($CP339,Control_Savings_Exterior,IO$30,FALSE))</f>
        <v>#N/A</v>
      </c>
      <c r="IP339" s="1351">
        <f>IF($CO339="interior",ROUND(((1-IL339)*IP$28)+IL339,2),0)</f>
        <v>0</v>
      </c>
    </row>
    <row r="340" spans="1:250" s="82" customFormat="1" ht="14.95" customHeight="1" thickTop="1" thickBot="1">
      <c r="B340" s="1421"/>
      <c r="C340" s="1422"/>
      <c r="D340" s="1423"/>
      <c r="E340" s="1462" t="s">
        <v>357</v>
      </c>
      <c r="F340" s="1463"/>
      <c r="G340" s="1464" t="s">
        <v>362</v>
      </c>
      <c r="H340" s="1465"/>
      <c r="I340" s="1465"/>
      <c r="J340" s="1465"/>
      <c r="K340" s="1465"/>
      <c r="L340" s="1466"/>
      <c r="M340" s="669">
        <f>IFERROR(VLOOKUP(G340,_Daylight_Table[],2,FALSE),0)</f>
        <v>0</v>
      </c>
      <c r="N340" s="670"/>
      <c r="O340" s="669" t="e">
        <f>VLOOKUP(G339,'Space Table'!$B$3:$L$160,11,FALSE)</f>
        <v>#N/A</v>
      </c>
      <c r="P340" s="1408"/>
      <c r="Q340" s="1409"/>
      <c r="R340" s="1409"/>
      <c r="S340" s="1402"/>
      <c r="T340" s="671" t="s">
        <v>281</v>
      </c>
      <c r="U340" s="1467" t="str">
        <f>IFERROR(VLOOKUP(U339,Fixtures!DM$93:DP$142,4,FALSE),"")</f>
        <v/>
      </c>
      <c r="V340" s="1468"/>
      <c r="W340" s="1468"/>
      <c r="X340" s="1468"/>
      <c r="Y340" s="1468"/>
      <c r="Z340" s="1468"/>
      <c r="AA340" s="1468"/>
      <c r="AB340" s="1046" t="str">
        <f>IFERROR(VLOOKUP(U339,Fixtures_Proposed_List,2,FALSE),"")</f>
        <v/>
      </c>
      <c r="AC340" s="1036" t="str">
        <f>IFERROR(ROUND(T339*AB340*N338*R338/1000,0),"")</f>
        <v/>
      </c>
      <c r="AD340" s="1037" t="str">
        <f>IFERROR(ROUND(T339*AB340/1000,2),"")</f>
        <v/>
      </c>
      <c r="AE340" s="1045" t="s">
        <v>281</v>
      </c>
      <c r="AF340" s="1469"/>
      <c r="AG340" s="1469"/>
      <c r="AH340" s="1469"/>
      <c r="AI340" s="1469"/>
      <c r="AJ340" s="1476"/>
      <c r="AK340" s="1471"/>
      <c r="AL340" s="1473"/>
      <c r="AM340" s="1443"/>
      <c r="AN340" s="1444"/>
      <c r="AO340" s="1449"/>
      <c r="AP340" s="1449"/>
      <c r="AQ340" s="1450"/>
      <c r="AR340" s="1453"/>
      <c r="AS340" s="1456"/>
      <c r="AT340" s="1459"/>
      <c r="AU340" s="517"/>
      <c r="AV340" s="1480"/>
      <c r="AW340" s="1480"/>
      <c r="BC340" s="38"/>
      <c r="BD340" s="38"/>
      <c r="BE340" s="38"/>
      <c r="BF340" s="38"/>
      <c r="BG340" s="38"/>
      <c r="BH340" s="38"/>
      <c r="BI340" s="38"/>
      <c r="BJ340" s="38"/>
      <c r="BK340" s="38"/>
      <c r="BL340" s="38"/>
      <c r="BM340" s="38"/>
      <c r="BN340" s="38"/>
      <c r="BO340" s="38"/>
      <c r="BP340" s="38"/>
      <c r="BQ340" s="38"/>
      <c r="BR340" s="38"/>
      <c r="BS340" s="38"/>
      <c r="BT340" s="38"/>
      <c r="BU340" s="38"/>
      <c r="BV340" s="38"/>
      <c r="BW340" s="38"/>
      <c r="BX340" s="38"/>
      <c r="BY340" s="38"/>
      <c r="BZ340" s="38"/>
      <c r="CA340" s="38"/>
      <c r="CB340" s="38"/>
      <c r="CC340" s="38"/>
      <c r="CD340" s="38"/>
      <c r="CE340" s="38"/>
      <c r="CF340" s="38"/>
      <c r="CG340" s="38"/>
      <c r="CH340" s="38"/>
      <c r="CI340" s="38"/>
      <c r="CM340" s="1352"/>
      <c r="CN340" s="1352"/>
      <c r="CO340" s="1416"/>
      <c r="CP340" s="1418"/>
      <c r="CR340" s="1386"/>
      <c r="CS340" s="1355"/>
      <c r="CT340" s="1355"/>
      <c r="CU340" s="1375"/>
      <c r="CV340" s="1372"/>
      <c r="CW340" s="1372"/>
      <c r="CX340" s="1372"/>
      <c r="CY340" s="1487"/>
      <c r="CZ340" s="1487"/>
      <c r="DA340" s="1487"/>
      <c r="DC340" s="1355"/>
      <c r="DD340" s="1355"/>
      <c r="DE340" s="1375"/>
      <c r="DF340" s="1407"/>
      <c r="DG340" s="1372"/>
      <c r="DH340" s="1369"/>
      <c r="DK340" s="1484"/>
      <c r="DL340" s="1420"/>
      <c r="DN340" s="1403"/>
      <c r="DO340" s="1405"/>
      <c r="DP340" s="1355"/>
      <c r="DQ340" s="1405"/>
      <c r="DR340" s="1403"/>
      <c r="DS340" s="1489"/>
      <c r="DU340" s="1403"/>
      <c r="DV340" s="1405"/>
      <c r="DW340" s="1403"/>
      <c r="DX340" s="1403"/>
      <c r="DZ340" s="1481"/>
      <c r="EA340" s="1481"/>
      <c r="EC340" s="1482"/>
      <c r="ED340" s="1369"/>
      <c r="EE340" s="1372"/>
      <c r="EF340" s="1369"/>
      <c r="EG340" s="1369"/>
      <c r="EH340" s="1375"/>
      <c r="EI340" s="1375"/>
      <c r="EJ340" s="1363"/>
      <c r="EK340" s="1376"/>
      <c r="EL340" s="1376"/>
      <c r="EM340" s="1362"/>
      <c r="EN340" s="1362"/>
      <c r="EO340" s="1363"/>
      <c r="EP340" s="1363"/>
      <c r="EQ340" s="1363"/>
      <c r="ES340" s="1403"/>
      <c r="EU340" s="1488"/>
      <c r="EV340" s="1488"/>
      <c r="EW340" s="1488"/>
      <c r="EX340" s="1488"/>
      <c r="EY340" s="1488"/>
      <c r="EZ340" s="1414"/>
      <c r="FB340" s="1365"/>
      <c r="FD340" s="1355"/>
      <c r="FE340" s="1355"/>
      <c r="FF340" s="138"/>
      <c r="FI340" s="1357"/>
      <c r="FJ340" s="1357"/>
      <c r="FK340" s="1365"/>
      <c r="FL340" s="1365"/>
      <c r="FM340" s="1365"/>
      <c r="FO340" s="1361"/>
      <c r="FP340" s="1361"/>
      <c r="FQ340" s="1366"/>
      <c r="FR340" s="1361"/>
      <c r="FS340" s="1361"/>
      <c r="FT340" s="1361"/>
      <c r="FU340" s="1360"/>
      <c r="FW340" s="1352"/>
      <c r="FX340" s="1352"/>
      <c r="FY340" s="1352"/>
      <c r="FZ340" s="1352"/>
      <c r="GA340" s="1352"/>
      <c r="GB340" s="1352"/>
      <c r="GC340" s="1352"/>
      <c r="GD340" s="1352"/>
      <c r="GE340" s="759"/>
      <c r="GF340" s="1035"/>
      <c r="GG340" s="1385"/>
      <c r="GJ340" s="1034">
        <f>IF(GJ338=TRUE,0,GJ$16)</f>
        <v>0</v>
      </c>
      <c r="GL340" s="1034">
        <f>IF(GL338=TRUE,0,GL$16)</f>
        <v>36</v>
      </c>
      <c r="GM340" s="1034">
        <f>IF(GM338=TRUE,0,GM$16)</f>
        <v>35</v>
      </c>
      <c r="GN340" s="436"/>
      <c r="GO340" s="436"/>
      <c r="GP340" s="436"/>
      <c r="GQ340" s="436"/>
      <c r="GR340" s="436"/>
      <c r="HC340" s="1034">
        <f t="shared" ref="HC340:HH340" si="242">IF(HC338=TRUE,0,HC$16)</f>
        <v>19</v>
      </c>
      <c r="HD340" s="1034">
        <f t="shared" si="242"/>
        <v>18</v>
      </c>
      <c r="HE340" s="1034">
        <f t="shared" si="242"/>
        <v>17</v>
      </c>
      <c r="HF340" s="1034">
        <f t="shared" si="242"/>
        <v>16</v>
      </c>
      <c r="HG340" s="1034">
        <f t="shared" si="242"/>
        <v>0</v>
      </c>
      <c r="HH340" s="1034">
        <f t="shared" si="242"/>
        <v>0</v>
      </c>
      <c r="HI340" s="1034">
        <f>IF(HI338=TRUE,0,HI$16)</f>
        <v>13</v>
      </c>
      <c r="HJ340" s="1034">
        <f t="shared" ref="HJ340:HL340" si="243">IF(HJ338=TRUE,0,HJ$16)</f>
        <v>12</v>
      </c>
      <c r="HK340" s="1034">
        <f t="shared" si="243"/>
        <v>11</v>
      </c>
      <c r="HL340" s="1034">
        <f t="shared" si="243"/>
        <v>10</v>
      </c>
      <c r="HM340" s="1034">
        <f>IF(HM338=TRUE,0,HM$16)</f>
        <v>9</v>
      </c>
      <c r="HN340" s="1034">
        <f t="shared" ref="HN340:HR340" si="244">IF(HN338=TRUE,0,HN$16)</f>
        <v>0</v>
      </c>
      <c r="HO340" s="1034">
        <f t="shared" si="244"/>
        <v>0</v>
      </c>
      <c r="HP340" s="1034">
        <f t="shared" si="244"/>
        <v>0</v>
      </c>
      <c r="HQ340" s="1034">
        <f t="shared" si="244"/>
        <v>0</v>
      </c>
      <c r="HR340" s="1034">
        <f t="shared" si="244"/>
        <v>0</v>
      </c>
      <c r="HS340" s="1034">
        <f>IF(HS338=TRUE,0,HS$16)</f>
        <v>0</v>
      </c>
      <c r="HT340" s="1034">
        <f t="shared" ref="HT340" si="245">IF(HT338=TRUE,0,HT$16)</f>
        <v>0</v>
      </c>
      <c r="HU340" s="1034">
        <f>IF(HU338=TRUE,0,HU$16)</f>
        <v>1</v>
      </c>
      <c r="HW340" s="1034">
        <f>IF(GL338=FALSE,GL340,IF(GM338=FALSE,GM340,MAX(GJ340:HU340)))</f>
        <v>36</v>
      </c>
      <c r="HX340" s="1383"/>
      <c r="HY340" s="241" t="str">
        <f>VLOOKUP(HW340,_Error_Table,3,FALSE)</f>
        <v xml:space="preserve"> </v>
      </c>
      <c r="HZ340" s="241"/>
      <c r="IA340" s="1386"/>
      <c r="IB340" s="1380"/>
      <c r="IC340" s="1379"/>
      <c r="IF340" s="1380"/>
      <c r="IG340" s="1383"/>
      <c r="IH340" s="1383"/>
      <c r="II340" s="1383"/>
      <c r="IK340" s="1351"/>
      <c r="IL340" s="1351"/>
      <c r="IM340" s="1351"/>
      <c r="IN340" s="1351"/>
      <c r="IO340" s="1351"/>
      <c r="IP340" s="1351"/>
    </row>
    <row r="341" spans="1:250" s="82" customFormat="1" ht="5.0999999999999996" customHeight="1" thickBot="1">
      <c r="B341" s="763"/>
      <c r="C341" s="1038"/>
      <c r="D341" s="1038"/>
      <c r="E341" s="1490"/>
      <c r="F341" s="1490"/>
      <c r="G341" s="1490"/>
      <c r="H341" s="1490"/>
      <c r="I341" s="1490"/>
      <c r="J341" s="1490"/>
      <c r="K341" s="1490"/>
      <c r="L341" s="1490"/>
      <c r="M341" s="1490"/>
      <c r="N341" s="1490"/>
      <c r="O341" s="1490"/>
      <c r="P341" s="1490"/>
      <c r="Q341" s="1490"/>
      <c r="R341" s="1490"/>
      <c r="S341" s="1490"/>
      <c r="T341" s="1490"/>
      <c r="U341" s="1490"/>
      <c r="V341" s="1490"/>
      <c r="W341" s="1490"/>
      <c r="X341" s="1490"/>
      <c r="Y341" s="1490"/>
      <c r="Z341" s="1490"/>
      <c r="AA341" s="1490"/>
      <c r="AB341" s="1490"/>
      <c r="AC341" s="1490"/>
      <c r="AD341" s="1490"/>
      <c r="AE341" s="1490"/>
      <c r="AF341" s="1490"/>
      <c r="AG341" s="1490"/>
      <c r="AH341" s="1490"/>
      <c r="AI341" s="1490"/>
      <c r="AJ341" s="1490"/>
      <c r="AK341" s="1490"/>
      <c r="AL341" s="1490"/>
      <c r="AM341" s="1490"/>
      <c r="AN341" s="1490"/>
      <c r="AO341" s="1490"/>
      <c r="AP341" s="1490"/>
      <c r="AQ341" s="1490"/>
      <c r="AR341" s="1490"/>
      <c r="AS341" s="1490"/>
      <c r="AT341" s="1490"/>
      <c r="AU341" s="1041"/>
      <c r="BC341" s="38"/>
      <c r="BD341" s="38"/>
      <c r="BE341" s="38"/>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M341" s="749"/>
      <c r="CN341" s="749"/>
      <c r="CO341" s="1043"/>
      <c r="CP341" s="749"/>
      <c r="CS341" s="436"/>
      <c r="CT341" s="436"/>
      <c r="CU341" s="243"/>
      <c r="CV341" s="244"/>
      <c r="CW341" s="244"/>
      <c r="CX341" s="244"/>
      <c r="CY341" s="245"/>
      <c r="CZ341" s="245"/>
      <c r="DA341" s="245"/>
      <c r="DC341" s="750"/>
      <c r="DD341" s="751"/>
      <c r="DE341" s="752"/>
      <c r="DF341" s="753"/>
      <c r="DG341" s="754"/>
      <c r="DH341" s="754"/>
      <c r="DK341" s="244"/>
      <c r="DL341" s="750"/>
      <c r="DN341" s="750"/>
      <c r="DO341" s="755"/>
      <c r="DP341" s="436"/>
      <c r="DQ341" s="750"/>
      <c r="DR341" s="750"/>
      <c r="DS341" s="750"/>
      <c r="DU341" s="750"/>
      <c r="DV341" s="750"/>
      <c r="DW341" s="750"/>
      <c r="DX341" s="750"/>
      <c r="DZ341" s="756"/>
      <c r="EA341" s="756"/>
      <c r="EC341" s="754"/>
      <c r="ED341" s="754"/>
      <c r="EE341" s="244"/>
      <c r="EF341" s="754"/>
      <c r="EG341" s="754"/>
      <c r="EH341" s="243"/>
      <c r="EI341" s="243"/>
      <c r="EJ341" s="752"/>
      <c r="EK341" s="757"/>
      <c r="EL341" s="757"/>
      <c r="EM341" s="758"/>
      <c r="EN341" s="758"/>
      <c r="EO341" s="752"/>
      <c r="EP341" s="752"/>
      <c r="EQ341" s="752"/>
      <c r="ES341" s="750"/>
      <c r="EU341" s="436"/>
      <c r="EV341" s="436"/>
      <c r="EW341" s="436"/>
      <c r="EX341" s="436"/>
      <c r="EY341" s="436"/>
      <c r="EZ341" s="436"/>
      <c r="FB341" s="643"/>
      <c r="FD341" s="436"/>
      <c r="FE341" s="436"/>
      <c r="FF341" s="436"/>
      <c r="FO341" s="750"/>
      <c r="FP341" s="436"/>
      <c r="FQ341" s="436"/>
      <c r="FR341" s="750"/>
      <c r="FS341" s="750"/>
      <c r="FW341" s="749"/>
      <c r="FX341" s="749"/>
      <c r="FY341" s="749"/>
      <c r="FZ341" s="749"/>
      <c r="GA341" s="749"/>
      <c r="GB341" s="749"/>
      <c r="GC341" s="749"/>
      <c r="GD341" s="749"/>
      <c r="GE341" s="751"/>
      <c r="GF341" s="750"/>
      <c r="GG341" s="750"/>
    </row>
    <row r="342" spans="1:250" s="82" customFormat="1" ht="14.95" customHeight="1" thickTop="1" thickBot="1">
      <c r="B342" s="1421" t="str">
        <f>HY345</f>
        <v xml:space="preserve"> </v>
      </c>
      <c r="C342" s="1422">
        <f>C337+1</f>
        <v>59</v>
      </c>
      <c r="D342" s="1423"/>
      <c r="E342" s="1424" t="s">
        <v>242</v>
      </c>
      <c r="F342" s="1425"/>
      <c r="G342" s="1426"/>
      <c r="H342" s="1427"/>
      <c r="I342" s="1427"/>
      <c r="J342" s="1427"/>
      <c r="K342" s="1427"/>
      <c r="L342" s="1427"/>
      <c r="M342" s="1427"/>
      <c r="N342" s="1427"/>
      <c r="O342" s="1427"/>
      <c r="P342" s="1427"/>
      <c r="Q342" s="1427"/>
      <c r="R342" s="1427"/>
      <c r="S342" s="1428" t="s">
        <v>283</v>
      </c>
      <c r="T342" s="668" t="s">
        <v>190</v>
      </c>
      <c r="U342" s="1430" t="s">
        <v>186</v>
      </c>
      <c r="V342" s="1431"/>
      <c r="W342" s="1431"/>
      <c r="X342" s="1431"/>
      <c r="Y342" s="1431"/>
      <c r="Z342" s="1431"/>
      <c r="AA342" s="1431"/>
      <c r="AB342" s="1088" t="str">
        <f>IFERROR(IF(__Retrofit_TI_NC=0,VLOOKUP(U343,Fixtures_Existing_List,2,FALSE),ROUND(N344*R344/T344,10)),"")</f>
        <v/>
      </c>
      <c r="AC342" s="1039" t="str">
        <f>IFERROR(IF(__Retrofit_TI_NC=0,ROUND(T343*AB342*N343*R343/1000,0),IF(CN342="Interior",N344*R344*R343*N343*_C406_reduction/1000,N344*R344*R343*N343/1000)),"")</f>
        <v/>
      </c>
      <c r="AD342" s="1040" t="str">
        <f>IFERROR(IF(C$36=0,ROUND(T343*AB342/1000,2),N344*R344/1000),"")</f>
        <v/>
      </c>
      <c r="AE342" s="1044" t="s">
        <v>190</v>
      </c>
      <c r="AF342" s="1432" t="str">
        <f>IF(__Retrofit_TI_NC=2,CONCATENATE("Code min = ",DD342),IF(__Retrofit_TI_NC=1,"Emter what you think the existing control was"," Control"))</f>
        <v xml:space="preserve"> Control</v>
      </c>
      <c r="AG342" s="1432"/>
      <c r="AH342" s="1432"/>
      <c r="AI342" s="1432"/>
      <c r="AJ342" s="1433">
        <f>DF342</f>
        <v>0</v>
      </c>
      <c r="AK342" s="1435" t="str">
        <f>IFERROR(ROUND(AJ342*AC342,0),"")</f>
        <v/>
      </c>
      <c r="AL342" s="1437">
        <f>IFERROR(IF(HW342=FALSE,0,AC342-AK342),0)</f>
        <v>0</v>
      </c>
      <c r="AM342" s="1439">
        <f>AL342-AL344</f>
        <v>0</v>
      </c>
      <c r="AN342" s="1440"/>
      <c r="AO342" s="1445">
        <f>IFERROR(IF(HW342=FALSE,0,(T344*U345)+(AE344*AF345)),0)</f>
        <v>0</v>
      </c>
      <c r="AP342" s="1445"/>
      <c r="AQ342" s="1446"/>
      <c r="AR342" s="1451" t="s">
        <v>157</v>
      </c>
      <c r="AS342" s="1454">
        <f>IF(AR342="Yes",1,0)</f>
        <v>1</v>
      </c>
      <c r="AT342" s="1457" t="str">
        <f>IF(OR(DN342=4,DN342=5,DN342=6,DN342=12),CONCATENATE("$",IF(GD342=TRUE,Lookup!$B$11,Lookup!$B$2)," /lamp"),CONCATENATE(EA342,"/ kWh"))</f>
        <v>0/ kWh</v>
      </c>
      <c r="AU342" s="516"/>
      <c r="AV342" s="1478">
        <f>IFERROR(IF(GI343=TRUE,(AB345*T344)/R344,0),"NA")</f>
        <v>0</v>
      </c>
      <c r="AW342" s="1478" t="str">
        <f>IFERROR(N344*_C406_reduction,"NA")</f>
        <v>NA</v>
      </c>
      <c r="BC342" s="38"/>
      <c r="BD342" s="38"/>
      <c r="BE342" s="38"/>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M342" s="1352" t="str">
        <f>N343</f>
        <v/>
      </c>
      <c r="CN342" s="1352" t="str">
        <f>IFERROR(VLOOKUP(G343,_Lookup_Heat_Type_Table_New,3,FALSE),"")</f>
        <v/>
      </c>
      <c r="CO342" s="1415" t="str">
        <f>CN342</f>
        <v/>
      </c>
      <c r="CP342" s="1417" t="e">
        <f>VLOOKUP(G344,'Space Table'!$B$3:$L$160,9,FALSE)</f>
        <v>#N/A</v>
      </c>
      <c r="CR342" s="1386" t="s">
        <v>283</v>
      </c>
      <c r="CS342" s="1353">
        <f>IF(HW342=TRUE,T343,0)</f>
        <v>0</v>
      </c>
      <c r="CT342" s="1353" t="str">
        <f>IF(HW342=TRUE,U343,"")</f>
        <v/>
      </c>
      <c r="CU342" s="1353"/>
      <c r="CV342" s="1370">
        <f>IF(HW342=TRUE,AB342,0)</f>
        <v>0</v>
      </c>
      <c r="CW342" s="1370">
        <f>IF(HW342=TRUE,AC342,0)</f>
        <v>0</v>
      </c>
      <c r="CX342" s="1370">
        <f>IFERROR(IF(HW342=TRUE,CW342-CW344,0),0)</f>
        <v>0</v>
      </c>
      <c r="CY342" s="1485">
        <f>IF(HW342=TRUE,AD342,0)</f>
        <v>0</v>
      </c>
      <c r="CZ342" s="1485">
        <f>IF(HW342=TRUE,AD345,0)</f>
        <v>0</v>
      </c>
      <c r="DA342" s="1485">
        <f>IFERROR(CY342-CZ342,0)</f>
        <v>0</v>
      </c>
      <c r="DC342" s="1353">
        <f>IF(HW342=TRUE,AE343,0)</f>
        <v>0</v>
      </c>
      <c r="DD342" s="1460">
        <f>IF(__Retrofit_TI_NC=2,IF(CN342="Exterior",O345,FM342),FK342)</f>
        <v>0</v>
      </c>
      <c r="DE342" s="1353"/>
      <c r="DF342" s="1406">
        <f>IFERROR(IF(FL342=3,IK342,IF(FL342=4,IL342,IF(FL342=5,IM342,IF(FL342=6,IN342,IF(FL342=7,IO342,IF(FL342=8,IP342,0)))))),0)</f>
        <v>0</v>
      </c>
      <c r="DG342" s="1370">
        <f>IF(HW342=TRUE,AK342,0)</f>
        <v>0</v>
      </c>
      <c r="DH342" s="1369">
        <f>IFERROR(IF(HW342=TRUE,DG344-DG342,0),0)</f>
        <v>0</v>
      </c>
      <c r="DJ342" s="1483">
        <f>IFERROR(CW342-DG342,0)</f>
        <v>0</v>
      </c>
      <c r="DL342" s="1419">
        <f>DJ342-DK344</f>
        <v>0</v>
      </c>
      <c r="DN342" s="1403" t="str">
        <f>IFERROR(IF(AND(OR(FY342=4,FY342=5,FY342=6),OR(GB342=4,GB342=5,GB342=6)),FY342+8,VLOOKUP(CT344,Fixtures!R$31:Y$78,8,FALSE)),"")</f>
        <v/>
      </c>
      <c r="DO342" s="1404" t="str">
        <f>DN342</f>
        <v/>
      </c>
      <c r="DP342" s="1353" t="str">
        <f>IFERROR(VLOOKUP(DD344,Lookup!AU$3:AV$15,2,FALSE),"")</f>
        <v/>
      </c>
      <c r="DQ342" s="1404" t="str">
        <f>IF(DP342=7,"LLLC","")</f>
        <v/>
      </c>
      <c r="DR342" s="1403">
        <f>IFERROR(IF(OR(DN342=4,DN342=5,DN342=6,DN342=12,DN342=13,DN342=14),VLOOKUP(CT344,Fixtures!DN$27:EG$77,19,FALSE),1)*CS344,0)</f>
        <v>0</v>
      </c>
      <c r="DS342" s="1489">
        <f>IF(DP342=7,IF(DD342=DD344,0,DC344),0)</f>
        <v>0</v>
      </c>
      <c r="DU342" s="1403" t="str">
        <f>IFERROR(IF(EW342&lt;EW344,"Yes","No"),"")</f>
        <v/>
      </c>
      <c r="DV342" s="1404" t="str">
        <f>DU342</f>
        <v/>
      </c>
      <c r="DW342" s="1403">
        <f>IF(DU342="Yes",DC344,0)</f>
        <v>0</v>
      </c>
      <c r="DX342" s="1403">
        <f>DW342-DS342</f>
        <v>0</v>
      </c>
      <c r="DZ342" s="1481">
        <f>IFERROR(VLOOKUP(DN342,Lookup!AN$3:AO$16,2,FALSE),0)</f>
        <v>0</v>
      </c>
      <c r="EA342" s="1481">
        <f>IF(HW342=FALSE,0,IF(DU342="Yes",DZ342+Lookup!B$6,DZ342))</f>
        <v>0</v>
      </c>
      <c r="EC342" s="1482">
        <f>IF(HW342=TRUE,DJ342,0)</f>
        <v>0</v>
      </c>
      <c r="ED342" s="1369">
        <f>IF(HW342=TRUE,CW344,0)</f>
        <v>0</v>
      </c>
      <c r="EE342" s="1370">
        <f>IFERROR(EC342-ED342,0)</f>
        <v>0</v>
      </c>
      <c r="EF342" s="1369">
        <f>IF(HW342=TRUE,DG344,0)</f>
        <v>0</v>
      </c>
      <c r="EG342" s="1369">
        <f>IFERROR(EC342-ED342+EF342,0)</f>
        <v>0</v>
      </c>
      <c r="EH342" s="1373">
        <f>IF(HW342=TRUE,CS344*CU344,0)</f>
        <v>0</v>
      </c>
      <c r="EI342" s="1373">
        <f>IF(HW342=TRUE,DC344*DE344,0)</f>
        <v>0</v>
      </c>
      <c r="EJ342" s="1363">
        <f>AO342</f>
        <v>0</v>
      </c>
      <c r="EK342" s="1376" t="str">
        <f>IFERROR(IF(HW342=TRUE,VLOOKUP(DN342,Lookup!AN$3:AP$16,3,FALSE)*DR342,""),0)</f>
        <v/>
      </c>
      <c r="EL342" s="1376">
        <f>IF(HW342=TRUE,DW342*Lookup!AP$12,0)</f>
        <v>0</v>
      </c>
      <c r="EM342" s="1362">
        <f>IFERROR(IF(HW342=TRUE,EK342/EM$33,0),0)</f>
        <v>0</v>
      </c>
      <c r="EN342" s="1362">
        <f>IF(HW342=TRUE,EL342/EN$33,0)</f>
        <v>0</v>
      </c>
      <c r="EO342" s="1363">
        <f>IF(HW342=TRUE,EQ$33*EM342,0)</f>
        <v>0</v>
      </c>
      <c r="EP342" s="1363">
        <f>IF(HW342=TRUE,EQ$33*EN342,0)</f>
        <v>0</v>
      </c>
      <c r="EQ342" s="1363">
        <f>EO342+EP342</f>
        <v>0</v>
      </c>
      <c r="ES342" s="1403">
        <f>IF(G342="",0,1)</f>
        <v>0</v>
      </c>
      <c r="EU342" s="1410" t="e">
        <f>VLOOKUP(CP344,'Space Table'!$B$3:$L$160,8,FALSE)</f>
        <v>#N/A</v>
      </c>
      <c r="EV342" s="1410" t="e">
        <f>IF(EY342="Yes",VLOOKUP(DD342,Lookup_Control_Type_Table2,4,FALSE),VLOOKUP(DD342,Lookup_Control_Type_Table2,3,FALSE))</f>
        <v>#N/A</v>
      </c>
      <c r="EW342" s="1410" t="e">
        <f>VLOOKUP(DD342,Lookup!AU$3:AV$15,2,FALSE)</f>
        <v>#N/A</v>
      </c>
      <c r="EX342" s="1410" t="e">
        <f>VLOOKUP(EU342,Lookup_Control_Type_Table,2,FALSE)</f>
        <v>#N/A</v>
      </c>
      <c r="EY342" s="1410" t="e">
        <f>VLOOKUP(CP344,'Space Table'!$B$3:$L$160,7,FALSE)</f>
        <v>#N/A</v>
      </c>
      <c r="EZ342" s="1412" t="b">
        <f>ISNUMBER(SEARCH("TLED",U344))</f>
        <v>0</v>
      </c>
      <c r="FB342" s="1365" t="str">
        <f>CONCATENATE(CN342," - ",DD342)</f>
        <v xml:space="preserve"> - 0</v>
      </c>
      <c r="FD342" s="1353" t="str">
        <f>VLOOKUP(CT344,Fixtures!DN$27:EZ$77,38,FALSE)</f>
        <v/>
      </c>
      <c r="FE342" s="1353">
        <f>IFERROR(FD342*EE342,0)</f>
        <v>0</v>
      </c>
      <c r="FF342" s="138"/>
      <c r="FI342" s="1356" t="str">
        <f>IF(CN342="Exterior","Not Daylighted",G345)</f>
        <v>Not Daylighted</v>
      </c>
      <c r="FJ342" s="1356">
        <f>VLOOKUP(FI342,_Daylight_Table_Codes,2,FALSE)</f>
        <v>0</v>
      </c>
      <c r="FK342" s="1365">
        <f>IF(__Retrofit_TI_NC=2,VLOOKUP(G344,'Space Table'!$B$3:$L$160,11,FALSE),AF343)</f>
        <v>0</v>
      </c>
      <c r="FL342" s="1365" t="e">
        <f>VLOOKUP(FK342,_Control_Table,2,FALSE)</f>
        <v>#N/A</v>
      </c>
      <c r="FM342" s="1365" t="e">
        <f>IF(AND(FP342&gt;0,FK342="Occupancy Sensor"),"Daylight + Occupancy",IF(AND(FP342&gt;0,FL342&lt;4),"Interior Daylight Dimming",FK342))</f>
        <v>#N/A</v>
      </c>
      <c r="FO342" s="1364">
        <f>IF(CO342="Interior",VLOOKUP(CP342,Control_Savings_Interior,5,FALSE),0)</f>
        <v>0</v>
      </c>
      <c r="FP342" s="1361">
        <f>IF(CN342="Exterior",0,IF(FJ342=2,0.5,IF(OR(FJ342=1,FJ342=3),1,0)))</f>
        <v>0</v>
      </c>
      <c r="FQ342" s="1366"/>
      <c r="FR342" s="1367"/>
      <c r="FS342" s="1364"/>
      <c r="FT342" s="1367"/>
      <c r="FU342" s="1360"/>
      <c r="FW342" s="1352" t="str">
        <f>IFERROR(VLOOKUP(U343,_Exist_Fixture_Table,3,FALSE),"")</f>
        <v/>
      </c>
      <c r="FX342" s="1352" t="str">
        <f>VLOOKUP(CT342,_Exist_Fixture_Table,4,FALSE)</f>
        <v/>
      </c>
      <c r="FY342" s="1352">
        <f>IFERROR(VLOOKUP(FX342,Lookup!AM$6:AN$8,2,FALSE),0)</f>
        <v>0</v>
      </c>
      <c r="FZ342" s="1352" t="b">
        <f>IFERROR(IF(OR(GB342=4,GB342=5,GB342=6),TRUE,FALSE),"")</f>
        <v>0</v>
      </c>
      <c r="GA342" s="1352" t="str">
        <f>IFERROR(VLOOKUP(GB342,FY$6:FZ$10,2,FALSE),"")</f>
        <v/>
      </c>
      <c r="GB342" s="1352" t="str">
        <f>VLOOKUP(CT344,Fixtures!R$31:Y$78,8,FALSE)</f>
        <v/>
      </c>
      <c r="GC342" s="1352">
        <f>IF(AND(FW342=TRUE,FZ342=TRUE,OR(DN342=12,DN342=13,DN342=14)),FY342+8,0)</f>
        <v>0</v>
      </c>
      <c r="GD342" s="1352" t="b">
        <f>IF(OR(GC342=12,GC342=13,GC342=14),TRUE,FALSE)</f>
        <v>0</v>
      </c>
      <c r="GE342" s="759" t="b">
        <f>IF(ISNUMBER(SEARCH("TLED",U343)),TRUE,FALSE)</f>
        <v>0</v>
      </c>
      <c r="GF342" s="1035" t="str">
        <f>IFERROR(VLOOKUP(U343,Fixtures!BM$93:BR$142,6,FALSE),"")</f>
        <v/>
      </c>
      <c r="GG342" s="1385" t="b">
        <f>IF(OR(GE342=FALSE,GE344=FALSE),TRUE,IF(GF342-GF344&lt;5,FALSE,TRUE))</f>
        <v>1</v>
      </c>
      <c r="GK342" s="1034">
        <f>GL342</f>
        <v>0</v>
      </c>
      <c r="GL342" s="1034">
        <f>IF(G342="",0,1)</f>
        <v>0</v>
      </c>
      <c r="GM342" s="1034">
        <f>SUM(GN342:HB342)</f>
        <v>2</v>
      </c>
      <c r="GN342" s="1034">
        <f>IF(G343="",0,1)</f>
        <v>0</v>
      </c>
      <c r="GO342" s="1034">
        <f>IF(G344="",0,1)</f>
        <v>0</v>
      </c>
      <c r="GP342" s="1034">
        <f>IF(R343="",0,1)</f>
        <v>0</v>
      </c>
      <c r="GQ342" s="1034">
        <f>IF(__Retrofit_TI_NC=0,1,IF(R344="",0,1))</f>
        <v>1</v>
      </c>
      <c r="GR342" s="1034">
        <f>IF(CN342="Exterior",1,IF(G345="",0,1))</f>
        <v>1</v>
      </c>
      <c r="GS342" s="1034">
        <f>IF(__Retrofit_TI_NC&lt;&gt;0,1,IF(T343="",0,1))</f>
        <v>0</v>
      </c>
      <c r="GT342" s="1034">
        <f>IF(__Retrofit_TI_NC&lt;&gt;0,1,IF(U343="",0,1))</f>
        <v>0</v>
      </c>
      <c r="GU342" s="1034">
        <f>IF(T344="",0,1)</f>
        <v>0</v>
      </c>
      <c r="GV342" s="1034">
        <f>IF(U344="",0,1)</f>
        <v>0</v>
      </c>
      <c r="GW342" s="1034">
        <f>IF(__Retrofit_TI_NC=2,1,IF(U345="",0,1))</f>
        <v>0</v>
      </c>
      <c r="GX342" s="1034">
        <f>IF(__Retrofit_TI_NC&lt;&gt;0,1,IF(AE343="",0,1))</f>
        <v>0</v>
      </c>
      <c r="GY342" s="1034">
        <f>IF(__Retrofit_TI_NC&lt;&gt;0,1,IF(AF343="",0,1))</f>
        <v>0</v>
      </c>
      <c r="GZ342" s="1034">
        <f>IF(AE344="",0,1)</f>
        <v>0</v>
      </c>
      <c r="HA342" s="1034">
        <f>IF(AF344="",0,1)</f>
        <v>0</v>
      </c>
      <c r="HB342" s="1034">
        <f>IF(__Retrofit_TI_NC=2,1,IF(AF345="",0,1))</f>
        <v>0</v>
      </c>
      <c r="HV342" s="436"/>
      <c r="HW342" s="1384" t="b">
        <f>IF(OR(HW345=0,HW345=HT$16,HW345=HS$16,HW345=HU$16),TRUE,FALSE)</f>
        <v>0</v>
      </c>
      <c r="HX342" s="1377" t="b">
        <f>HW342</f>
        <v>0</v>
      </c>
      <c r="HY342" s="436"/>
      <c r="HZ342" s="436"/>
      <c r="IA342" s="1386" t="b">
        <f>IF(MAX(GJ345:HP345)&gt;5,FALSE,TRUE)</f>
        <v>0</v>
      </c>
      <c r="IB342" s="1380">
        <f>IF(IA342=TRUE,AC342,0)</f>
        <v>0</v>
      </c>
      <c r="IC342" s="1380">
        <f>IB342-IB344</f>
        <v>0</v>
      </c>
      <c r="IF342" s="1380" t="e">
        <f>ROUND(T343*VLOOKUP(U343,Fixtures_Existing_List,2,FALSE)*N343*R343/1000,0)</f>
        <v>#N/A</v>
      </c>
      <c r="IG342" s="1381" t="e">
        <f>IF342-IF344</f>
        <v>#N/A</v>
      </c>
      <c r="IH342" s="1384" t="e">
        <f>ROUND(IF(CN342="Interior",N344*R344*R343*N343*_C406_reduction/1000,N344*R344*R343*N343/1000),0)</f>
        <v>#N/A</v>
      </c>
      <c r="II342" s="1384" t="e">
        <f>IH342-IH344</f>
        <v>#N/A</v>
      </c>
      <c r="IK342" s="1351" t="e">
        <f>IF($CO342="interior",IL342/2,VLOOKUP($CP342,Control_Savings_Exterior,IK$30,FALSE))</f>
        <v>#N/A</v>
      </c>
      <c r="IL342" s="1351" t="e">
        <f>IF($CO342="interior",VLOOKUP($CP342,Control_Savings_Interior,IL$30,FALSE),VLOOKUP($CP342,Control_Savings_Exterior,IL$30,FALSE))</f>
        <v>#N/A</v>
      </c>
      <c r="IM342" s="1351" t="e">
        <f>IF($CO342="interior",IF(R343&gt;FO$37,(IM$28*(FO$37/R343)),IM$28)*FP342,VLOOKUP($CP342,Control_Savings_Exterior,IM$30,FALSE))</f>
        <v>#N/A</v>
      </c>
      <c r="IN342" s="1351" t="e">
        <f>IF($CO342="interior",ROUND(((1-IL342)*IM342)+IL342,2),VLOOKUP($CP342,Control_Savings_Exterior,IN$30,FALSE))</f>
        <v>#N/A</v>
      </c>
      <c r="IO342" s="1351" t="e">
        <f>IF($CO342="interior", ROUND(((1-IL342)*(IM342*(1-IP$28)))+IP342,2), VLOOKUP($CP342,Control_Savings_Exterior,IO$30,FALSE))</f>
        <v>#N/A</v>
      </c>
      <c r="IP342" s="1351">
        <f>IF($CO342="interior",ROUND(((1-IL342)*IP$28)+IL342,2),0)</f>
        <v>0</v>
      </c>
    </row>
    <row r="343" spans="1:250" s="82" customFormat="1" ht="14.95" customHeight="1" thickTop="1" thickBot="1">
      <c r="B343" s="1421"/>
      <c r="C343" s="1422"/>
      <c r="D343" s="1423"/>
      <c r="E343" s="1393" t="s">
        <v>244</v>
      </c>
      <c r="F343" s="1394"/>
      <c r="G343" s="1395"/>
      <c r="H343" s="1395"/>
      <c r="I343" s="1395"/>
      <c r="J343" s="1395"/>
      <c r="K343" s="1395"/>
      <c r="L343" s="1395"/>
      <c r="M343" s="509" t="e">
        <f>IF(__Retrofit_TI_NC&lt;&gt;0,IF(VLOOKUP(G344,'Space Table'!$B$3:$L$160,3,FALSE)&gt;0,1,0),IF(__Retrofit_TI_NC=VLOOKUP(G344,'Space Table'!$B$3:$L$160,3,FALSE),1,0))</f>
        <v>#N/A</v>
      </c>
      <c r="N343" s="509" t="str">
        <f>IFERROR(VLOOKUP(G343,_Lookup_Heat_Type_Table_New,2,FALSE),"")</f>
        <v/>
      </c>
      <c r="O343" s="509">
        <f>IF(__Retrofit_TI_NC=1,CONCATENATE("TI ",G343),IF(__Retrofit_TI_NC=2,CONCATENATE("NC ",G343),G343))</f>
        <v>0</v>
      </c>
      <c r="P343" s="1396" t="s">
        <v>352</v>
      </c>
      <c r="Q343" s="1396"/>
      <c r="R343" s="673"/>
      <c r="S343" s="1429"/>
      <c r="T343" s="675"/>
      <c r="U343" s="1496"/>
      <c r="V343" s="1497"/>
      <c r="W343" s="1497"/>
      <c r="X343" s="1497"/>
      <c r="Y343" s="1497"/>
      <c r="Z343" s="1497"/>
      <c r="AA343" s="1497"/>
      <c r="AB343" s="1497"/>
      <c r="AC343" s="1497"/>
      <c r="AD343" s="1498"/>
      <c r="AE343" s="675"/>
      <c r="AF343" s="1397"/>
      <c r="AG343" s="1397"/>
      <c r="AH343" s="1397"/>
      <c r="AI343" s="1397"/>
      <c r="AJ343" s="1434"/>
      <c r="AK343" s="1436"/>
      <c r="AL343" s="1438"/>
      <c r="AM343" s="1441"/>
      <c r="AN343" s="1442"/>
      <c r="AO343" s="1447"/>
      <c r="AP343" s="1447"/>
      <c r="AQ343" s="1448"/>
      <c r="AR343" s="1452"/>
      <c r="AS343" s="1455"/>
      <c r="AT343" s="1458"/>
      <c r="AU343" s="516"/>
      <c r="AV343" s="1479"/>
      <c r="AW343" s="1479"/>
      <c r="BC343" s="38"/>
      <c r="BD343" s="38"/>
      <c r="BE343" s="38"/>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M343" s="1352"/>
      <c r="CN343" s="1352"/>
      <c r="CO343" s="1416"/>
      <c r="CP343" s="1418"/>
      <c r="CR343" s="1386"/>
      <c r="CS343" s="1355"/>
      <c r="CT343" s="1355"/>
      <c r="CU343" s="1355"/>
      <c r="CV343" s="1372"/>
      <c r="CW343" s="1372"/>
      <c r="CX343" s="1371"/>
      <c r="CY343" s="1486"/>
      <c r="CZ343" s="1486"/>
      <c r="DA343" s="1486"/>
      <c r="DC343" s="1355"/>
      <c r="DD343" s="1461"/>
      <c r="DE343" s="1355"/>
      <c r="DF343" s="1407"/>
      <c r="DG343" s="1372"/>
      <c r="DH343" s="1369"/>
      <c r="DJ343" s="1484"/>
      <c r="DL343" s="1419"/>
      <c r="DN343" s="1403"/>
      <c r="DO343" s="1405"/>
      <c r="DP343" s="1354"/>
      <c r="DQ343" s="1405"/>
      <c r="DR343" s="1403"/>
      <c r="DS343" s="1489"/>
      <c r="DU343" s="1403"/>
      <c r="DV343" s="1405"/>
      <c r="DW343" s="1403"/>
      <c r="DX343" s="1403"/>
      <c r="DZ343" s="1481"/>
      <c r="EA343" s="1481"/>
      <c r="EC343" s="1482"/>
      <c r="ED343" s="1369"/>
      <c r="EE343" s="1371"/>
      <c r="EF343" s="1369"/>
      <c r="EG343" s="1369"/>
      <c r="EH343" s="1374"/>
      <c r="EI343" s="1374"/>
      <c r="EJ343" s="1363"/>
      <c r="EK343" s="1376"/>
      <c r="EL343" s="1376"/>
      <c r="EM343" s="1362"/>
      <c r="EN343" s="1362"/>
      <c r="EO343" s="1363"/>
      <c r="EP343" s="1363"/>
      <c r="EQ343" s="1363"/>
      <c r="ES343" s="1403"/>
      <c r="EU343" s="1411"/>
      <c r="EV343" s="1411"/>
      <c r="EW343" s="1411"/>
      <c r="EX343" s="1411"/>
      <c r="EY343" s="1411"/>
      <c r="EZ343" s="1413"/>
      <c r="FB343" s="1365"/>
      <c r="FD343" s="1354"/>
      <c r="FE343" s="1354"/>
      <c r="FF343" s="138"/>
      <c r="FI343" s="1357"/>
      <c r="FJ343" s="1357"/>
      <c r="FK343" s="1365"/>
      <c r="FL343" s="1365"/>
      <c r="FM343" s="1365"/>
      <c r="FO343" s="1361"/>
      <c r="FP343" s="1361"/>
      <c r="FQ343" s="1366"/>
      <c r="FR343" s="1368"/>
      <c r="FS343" s="1361"/>
      <c r="FT343" s="1368"/>
      <c r="FU343" s="1360"/>
      <c r="FW343" s="1352"/>
      <c r="FX343" s="1352"/>
      <c r="FY343" s="1352"/>
      <c r="FZ343" s="1352"/>
      <c r="GA343" s="1352"/>
      <c r="GB343" s="1352"/>
      <c r="GC343" s="1352"/>
      <c r="GD343" s="1352"/>
      <c r="GE343" s="759"/>
      <c r="GF343" s="1035"/>
      <c r="GG343" s="1385"/>
      <c r="GI343" s="1384" t="b">
        <f>IF(AND(GL343=TRUE,GM343=TRUE),TRUE,FALSE)</f>
        <v>0</v>
      </c>
      <c r="GJ343" s="1379" t="b">
        <f>IFERROR(IF(__Retrofit_TI_NC=2,TRUE,IF(AR342="Yes",TRUE,FALSE)),FALSE)</f>
        <v>1</v>
      </c>
      <c r="GL343" s="1379" t="b">
        <f>IFERROR(IF(GL342=1,TRUE,FALSE),FALSE)</f>
        <v>0</v>
      </c>
      <c r="GM343" s="1379" t="b">
        <f>IFERROR(IF(GM342=GM$14,TRUE,FALSE),FALSE)</f>
        <v>0</v>
      </c>
      <c r="HC343" s="1379" t="b">
        <f>IFERROR(IF(M343=1,TRUE,FALSE),FALSE)</f>
        <v>0</v>
      </c>
      <c r="HD343" s="1379" t="b">
        <f>IFERROR(IF(M344=1,TRUE,FALSE),FALSE)</f>
        <v>0</v>
      </c>
      <c r="HE343" s="1379" t="b">
        <f>IFERROR(IF(__Retrofit_TI_NC&lt;&gt;0,TRUE,IFERROR(IF(VLOOKUP(U343,Fixtures_Existing_List,2,FALSE)&lt;&gt;"",TRUE,FALSE),FALSE)),FALSE)</f>
        <v>0</v>
      </c>
      <c r="HF343" s="1379" t="b">
        <f>IFERROR(IF(VLOOKUP(U344,Fixtures_Proposed_List,2,FALSE)&lt;&gt;"",TRUE,FALSE),FALSE)</f>
        <v>0</v>
      </c>
      <c r="HG343" s="1379" t="b">
        <f>IF(AND(__Retrofit_TI_NC=2,EZ342=TRUE),FALSE,TRUE)</f>
        <v>1</v>
      </c>
      <c r="HH343" s="1379" t="b">
        <f>GG342</f>
        <v>1</v>
      </c>
      <c r="HI343" s="1384" t="b">
        <f>IF(ISERROR(MATCH(FB342,_Control_Match[],0))=TRUE,FALSE,TRUE)</f>
        <v>0</v>
      </c>
      <c r="HJ343" s="1384" t="b">
        <f>IFERROR(IF(EU342&lt;&gt;EV342,FALSE,TRUE),FALSE)</f>
        <v>0</v>
      </c>
      <c r="HK343" s="1384" t="b">
        <f>IFERROR(IF(EU344&lt;&gt;EV344,FALSE,TRUE),FALSE)</f>
        <v>0</v>
      </c>
      <c r="HL343" s="1379" t="b">
        <f>IFERROR(IF(CN342="Exterior",TRUE,IF(OR(AND(FJ342=0,EW344&gt;4),AND(FJ342=4,EW344&gt;4,EW344&lt;7)),FALSE,TRUE)),FALSE)</f>
        <v>0</v>
      </c>
      <c r="HM343" s="1379" t="b">
        <f>IFERROR(IF(AND(FL344=7,EZ342=TRUE),FALSE,TRUE),FALSE)</f>
        <v>0</v>
      </c>
      <c r="HN343" s="1379" t="b">
        <f>IFERROR(IF(AND(T344&lt;&gt;AE344,AF344="Interior LLLC")=TRUE,FALSE,TRUE),FALSE)</f>
        <v>1</v>
      </c>
      <c r="HO343" s="1379" t="b">
        <f>IFERROR(IF(OR(AF344=Lookup!AU$13,AF344=Lookup!AU$14)=TRUE,IF(AE344&gt;T344,FALSE,TRUE),TRUE),FALSE)</f>
        <v>1</v>
      </c>
      <c r="HP343" s="1379" t="b">
        <f>IFERROR(IF(__Retrofit_TI_NC=2,IF(EW344&lt;EW342,FALSE,TRUE),TRUE),FALSE)</f>
        <v>1</v>
      </c>
      <c r="HQ343" s="1379" t="b">
        <f>IF(CN342="Interior",IG$6,TRUE)</f>
        <v>1</v>
      </c>
      <c r="HR343" s="1379" t="b">
        <f>IF(CN342="Exterior",IG$8,TRUE)</f>
        <v>1</v>
      </c>
      <c r="HS343" s="1379" t="b">
        <f>IFERROR(IF(__Retrofit_TI_NC&lt;&gt;0,IF(AW342&lt;AV342,FALSE,TRUE),TRUE),FALSE)</f>
        <v>1</v>
      </c>
      <c r="HT343" s="1379" t="b">
        <f>IFERROR(IF(AND(G343="Exterior",R343&gt;4200),FALSE,TRUE),FALSE)</f>
        <v>1</v>
      </c>
      <c r="HU343" s="1379" t="b">
        <f>IFERROR(IF(AB345/AB342&lt;HU$18,FALSE,TRUE),FALSE)</f>
        <v>0</v>
      </c>
      <c r="HW343" s="1382"/>
      <c r="HX343" s="1378"/>
      <c r="HY343" s="1377" t="str">
        <f>VLOOKUP(HW345,_Error_Table,4,FALSE)</f>
        <v>White</v>
      </c>
      <c r="HZ343" s="436"/>
      <c r="IA343" s="1386"/>
      <c r="IB343" s="1380"/>
      <c r="IC343" s="1379"/>
      <c r="IF343" s="1380"/>
      <c r="IG343" s="1382"/>
      <c r="IH343" s="1382"/>
      <c r="II343" s="1382"/>
      <c r="IK343" s="1351"/>
      <c r="IL343" s="1351"/>
      <c r="IM343" s="1351"/>
      <c r="IN343" s="1351"/>
      <c r="IO343" s="1351"/>
      <c r="IP343" s="1351"/>
    </row>
    <row r="344" spans="1:250" s="82" customFormat="1" ht="14.95" customHeight="1" thickTop="1" thickBot="1">
      <c r="A344" s="82">
        <f>ROW()</f>
        <v>344</v>
      </c>
      <c r="B344" s="1421"/>
      <c r="C344" s="1422"/>
      <c r="D344" s="1423"/>
      <c r="E344" s="1393" t="s">
        <v>245</v>
      </c>
      <c r="F344" s="1394"/>
      <c r="G344" s="1398"/>
      <c r="H344" s="1399"/>
      <c r="I344" s="1399"/>
      <c r="J344" s="1399"/>
      <c r="K344" s="1399"/>
      <c r="L344" s="1400"/>
      <c r="M344" s="509">
        <f>IFERROR(IF(IF(__Retrofit_TI_NC&lt;&gt;0,IF(CN342="Interior",MATCH(G344,Lookup_Interior_New,0),MATCH(G344,Lookup_Exterior_New,0)),IF(CN342="Interior",MATCH(G344,Lookup_Interior,0),MATCH(G344,Lookup_Exterior_Areas,0)))&gt;0,1,0),0)</f>
        <v>0</v>
      </c>
      <c r="N344" s="509" t="e">
        <f>IF(__Retrofit_TI_NC=1,
VLOOKUP(G344,'Space Table'!$B$3:$L$160,4,FALSE),
IF(__Retrofit_TI_NC=2,VLOOKUP(G344,'Space Table'!$B$3:$L$160,5,FALSE),VLOOKUP(G344,'Space Table'!$B$3:$L$160,5,FALSE)))</f>
        <v>#N/A</v>
      </c>
      <c r="O344" s="509">
        <f>G344</f>
        <v>0</v>
      </c>
      <c r="P344" s="1394" t="s">
        <v>355</v>
      </c>
      <c r="Q344" s="1394"/>
      <c r="R344" s="674"/>
      <c r="S344" s="1401" t="s">
        <v>284</v>
      </c>
      <c r="T344" s="672"/>
      <c r="U344" s="1499"/>
      <c r="V344" s="1500"/>
      <c r="W344" s="1500"/>
      <c r="X344" s="1500"/>
      <c r="Y344" s="1500"/>
      <c r="Z344" s="1500"/>
      <c r="AA344" s="1500"/>
      <c r="AB344" s="1501"/>
      <c r="AC344" s="1501"/>
      <c r="AD344" s="1502"/>
      <c r="AE344" s="672"/>
      <c r="AF344" s="1474"/>
      <c r="AG344" s="1474"/>
      <c r="AH344" s="1474"/>
      <c r="AI344" s="1474"/>
      <c r="AJ344" s="1475">
        <f>DF344</f>
        <v>0</v>
      </c>
      <c r="AK344" s="1470" t="str">
        <f>IFERROR(ROUND(AJ344*AC345,0),"")</f>
        <v/>
      </c>
      <c r="AL344" s="1472">
        <f>IFERROR(IF(HW342=FALSE,0,AC345-AK344),0)</f>
        <v>0</v>
      </c>
      <c r="AM344" s="1441"/>
      <c r="AN344" s="1442"/>
      <c r="AO344" s="1447"/>
      <c r="AP344" s="1447"/>
      <c r="AQ344" s="1448"/>
      <c r="AR344" s="1452"/>
      <c r="AS344" s="1455"/>
      <c r="AT344" s="1458"/>
      <c r="AU344" s="516"/>
      <c r="AV344" s="1479"/>
      <c r="AW344" s="1479"/>
      <c r="BC344" s="38"/>
      <c r="BD344" s="38"/>
      <c r="BE344" s="38"/>
      <c r="BF344" s="38"/>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c r="CG344" s="38"/>
      <c r="CH344" s="38"/>
      <c r="CI344" s="38"/>
      <c r="CM344" s="1352"/>
      <c r="CN344" s="1352"/>
      <c r="CO344" s="1415" t="str">
        <f>CN342</f>
        <v/>
      </c>
      <c r="CP344" s="1417" t="e">
        <f>CP342</f>
        <v>#N/A</v>
      </c>
      <c r="CR344" s="1386" t="s">
        <v>284</v>
      </c>
      <c r="CS344" s="1353">
        <f>IF(HW342=TRUE,T344,0)</f>
        <v>0</v>
      </c>
      <c r="CT344" s="1353" t="str">
        <f>IF(HW342=TRUE,U344,"")</f>
        <v/>
      </c>
      <c r="CU344" s="1373">
        <f>IF(HW342=TRUE,U345,0)</f>
        <v>0</v>
      </c>
      <c r="CV344" s="1370">
        <f>IF(HW342=TRUE,AB345,0)</f>
        <v>0</v>
      </c>
      <c r="CW344" s="1370">
        <f>IF(HW342=TRUE,AC345,0)</f>
        <v>0</v>
      </c>
      <c r="CX344" s="1371"/>
      <c r="CY344" s="1486"/>
      <c r="CZ344" s="1486"/>
      <c r="DA344" s="1486"/>
      <c r="DC344" s="1353">
        <f>IF(HW342=TRUE,AE344,0)</f>
        <v>0</v>
      </c>
      <c r="DD344" s="1353" t="str">
        <f>IF(HW342=TRUE,AF344,"")</f>
        <v/>
      </c>
      <c r="DE344" s="1373">
        <f>AF345</f>
        <v>0</v>
      </c>
      <c r="DF344" s="1406">
        <f>IFERROR(IF(FL344=3,IK344,IF(FL344=4,IL344,IF(FL344=5,IM344,IF(FL344=6,IN344,IF(FL344=7,IO344,IF(FL344=8,IP344,0)))))),0)</f>
        <v>0</v>
      </c>
      <c r="DG344" s="1370">
        <f>IF(HW342=TRUE,AK344,0)</f>
        <v>0</v>
      </c>
      <c r="DH344" s="1369"/>
      <c r="DK344" s="1483">
        <f>IFERROR(CW344-DG344,0)</f>
        <v>0</v>
      </c>
      <c r="DL344" s="1420"/>
      <c r="DN344" s="1403"/>
      <c r="DO344" s="1477" t="str">
        <f>DN342</f>
        <v/>
      </c>
      <c r="DP344" s="1354"/>
      <c r="DQ344" s="1477" t="str">
        <f>IF(DP342=7,"LLLC","")</f>
        <v/>
      </c>
      <c r="DR344" s="1403"/>
      <c r="DS344" s="1489"/>
      <c r="DU344" s="1403"/>
      <c r="DV344" s="1404" t="str">
        <f>DU342</f>
        <v/>
      </c>
      <c r="DW344" s="1403"/>
      <c r="DX344" s="1403"/>
      <c r="DZ344" s="1481"/>
      <c r="EA344" s="1481"/>
      <c r="EC344" s="1482"/>
      <c r="ED344" s="1369"/>
      <c r="EE344" s="1371"/>
      <c r="EF344" s="1369"/>
      <c r="EG344" s="1369"/>
      <c r="EH344" s="1374"/>
      <c r="EI344" s="1374"/>
      <c r="EJ344" s="1363"/>
      <c r="EK344" s="1376"/>
      <c r="EL344" s="1376"/>
      <c r="EM344" s="1362"/>
      <c r="EN344" s="1362"/>
      <c r="EO344" s="1363"/>
      <c r="EP344" s="1363"/>
      <c r="EQ344" s="1363"/>
      <c r="ES344" s="1403"/>
      <c r="EU344" s="1411" t="e">
        <f>VLOOKUP(CP344,'Space Table'!$B$3:$L$160,8,FALSE)</f>
        <v>#N/A</v>
      </c>
      <c r="EV344" s="1411" t="e">
        <f>IF(EY344="Yes",VLOOKUP(AF344,Lookup_Control_Type_Table2,4,FALSE),VLOOKUP(AF344,Lookup_Control_Type_Table2,3,FALSE))</f>
        <v>#N/A</v>
      </c>
      <c r="EW344" s="1411" t="e">
        <f>VLOOKUP(AF344,Lookup!AU$3:AV$15,2,FALSE)</f>
        <v>#N/A</v>
      </c>
      <c r="EX344" s="1411" t="e">
        <f>VLOOKUP(EU342,Lookup_Control_Type_Table,2,FALSE)</f>
        <v>#N/A</v>
      </c>
      <c r="EY344" s="1411" t="e">
        <f>VLOOKUP(CP344,'Space Table'!$B$3:$L$160,7,FALSE)</f>
        <v>#N/A</v>
      </c>
      <c r="EZ344" s="1413"/>
      <c r="FB344" s="1365" t="str">
        <f>CONCATENATE(CN342," - ",AF344)</f>
        <v xml:space="preserve"> - </v>
      </c>
      <c r="FD344" s="1354"/>
      <c r="FE344" s="1354"/>
      <c r="FF344" s="138"/>
      <c r="FI344" s="1356" t="str">
        <f>IF(CN342="Exterior","Not Daylighted",G345)</f>
        <v>Not Daylighted</v>
      </c>
      <c r="FJ344" s="1356">
        <f>VLOOKUP(FI344,_Daylight_Table_Codes,2,FALSE)</f>
        <v>0</v>
      </c>
      <c r="FK344" s="1365">
        <f>AF344</f>
        <v>0</v>
      </c>
      <c r="FL344" s="1365" t="e">
        <f>VLOOKUP(FK344,_Control_Table,2,FALSE)</f>
        <v>#N/A</v>
      </c>
      <c r="FM344" s="1365" t="e">
        <f>IF(AND(FP344&gt;0,FK344="Occupancy Sensor"),"Daylight + Occupancy",IF(AND(FP344&gt;0,FL344&lt;4),"Interior Daylight Dimming",FK344))</f>
        <v>#N/A</v>
      </c>
      <c r="FO344" s="1364">
        <f>IF(CN342="Interior",VLOOKUP(CP342,Control_Savings_Interior,5,FALSE),0)</f>
        <v>0</v>
      </c>
      <c r="FP344" s="1361">
        <f>IF(CN344="Exterior",0,IF(FJ344=2,0.5,IF(OR(FJ344=1,FJ344=3),1,0)))</f>
        <v>0</v>
      </c>
      <c r="FQ344" s="1366">
        <f>IF(R343&gt;FO$37,(FO344*(FO$37/R343)),FO344)*FP344</f>
        <v>0</v>
      </c>
      <c r="FR344" s="1364">
        <f>DF344</f>
        <v>0</v>
      </c>
      <c r="FS344" s="1364">
        <f>ROUND(FR344+((1-FR344)*FQ344),2)</f>
        <v>0</v>
      </c>
      <c r="FT344" s="1364">
        <f>IF(__Retrofit_TI_NC=2,FS344,FR344)</f>
        <v>0</v>
      </c>
      <c r="FU344" s="1360">
        <f>IF(CO344="Interior",VLOOKUP(CP344,Control_Savings_Interior,4,FALSE),0)</f>
        <v>0</v>
      </c>
      <c r="FW344" s="1352"/>
      <c r="FX344" s="1352"/>
      <c r="FY344" s="1352"/>
      <c r="FZ344" s="1352"/>
      <c r="GA344" s="1352"/>
      <c r="GB344" s="1352"/>
      <c r="GC344" s="1352"/>
      <c r="GD344" s="1352"/>
      <c r="GE344" s="759" t="b">
        <f>IF(ISNUMBER(SEARCH("TLED",U344)),TRUE,FALSE)</f>
        <v>0</v>
      </c>
      <c r="GF344" s="1035" t="str">
        <f>IFERROR(VLOOKUP(U344,Fixtures!DM$93:DR$142,6,FALSE),"")</f>
        <v/>
      </c>
      <c r="GG344" s="1385"/>
      <c r="GI344" s="1383"/>
      <c r="GJ344" s="1379"/>
      <c r="GL344" s="1379"/>
      <c r="GM344" s="1379"/>
      <c r="HC344" s="1379"/>
      <c r="HD344" s="1379"/>
      <c r="HE344" s="1379"/>
      <c r="HF344" s="1379"/>
      <c r="HG344" s="1379"/>
      <c r="HH344" s="1379"/>
      <c r="HI344" s="1383"/>
      <c r="HJ344" s="1383"/>
      <c r="HK344" s="1383"/>
      <c r="HL344" s="1379"/>
      <c r="HM344" s="1379"/>
      <c r="HN344" s="1379"/>
      <c r="HO344" s="1379"/>
      <c r="HP344" s="1379"/>
      <c r="HQ344" s="1379"/>
      <c r="HR344" s="1379"/>
      <c r="HS344" s="1379"/>
      <c r="HT344" s="1379"/>
      <c r="HU344" s="1379"/>
      <c r="HW344" s="1383"/>
      <c r="HX344" s="1384" t="b">
        <f>HW342</f>
        <v>0</v>
      </c>
      <c r="HY344" s="1378"/>
      <c r="HZ344" s="436"/>
      <c r="IA344" s="1386"/>
      <c r="IB344" s="1380">
        <f>IF(IA342=TRUE,AC345,0)</f>
        <v>0</v>
      </c>
      <c r="IC344" s="1379"/>
      <c r="IF344" s="1380" t="e">
        <f>ROUND(T344*AB345*N343*R343/1000,0)</f>
        <v>#VALUE!</v>
      </c>
      <c r="IG344" s="1382"/>
      <c r="IH344" s="1384" t="e">
        <f>ROUND(T344*AB345*N343*R343/1000,0)</f>
        <v>#VALUE!</v>
      </c>
      <c r="II344" s="1382"/>
      <c r="IK344" s="1351" t="e">
        <f>IF($CO344="interior",IL344/2,VLOOKUP($CP344,Control_Savings_Exterior,IK$30,FALSE))</f>
        <v>#N/A</v>
      </c>
      <c r="IL344" s="1351" t="e">
        <f>IF($CO344="interior",VLOOKUP($CP344,Control_Savings_Interior,IL$30,FALSE),VLOOKUP($CP344,Control_Savings_Exterior,IL$30,FALSE))</f>
        <v>#N/A</v>
      </c>
      <c r="IM344" s="1351" t="e">
        <f>IF($CO344="interior",IF(R343&gt;FO$37,(IM$28*(FO$37/R343)),IM$28)*FP344,VLOOKUP($CP344,Control_Savings_Exterior,IM$30,FALSE))</f>
        <v>#N/A</v>
      </c>
      <c r="IN344" s="1351" t="e">
        <f>IF($CO344="interior",ROUND(((1-IL344)*IM344)+IL344,2),VLOOKUP($CP344,Control_Savings_Exterior,IN$30,FALSE))</f>
        <v>#N/A</v>
      </c>
      <c r="IO344" s="1351" t="e">
        <f>IF($CO344="interior", ROUND(((1-IL344)*(IM344*(1-IP$28)))+IP344,2), VLOOKUP($CP344,Control_Savings_Exterior,IO$30,FALSE))</f>
        <v>#N/A</v>
      </c>
      <c r="IP344" s="1351">
        <f>IF($CO344="interior",ROUND(((1-IL344)*IP$28)+IL344,2),0)</f>
        <v>0</v>
      </c>
    </row>
    <row r="345" spans="1:250" s="82" customFormat="1" ht="14.95" customHeight="1" thickTop="1" thickBot="1">
      <c r="B345" s="1421"/>
      <c r="C345" s="1422"/>
      <c r="D345" s="1423"/>
      <c r="E345" s="1462" t="s">
        <v>357</v>
      </c>
      <c r="F345" s="1463"/>
      <c r="G345" s="1464" t="s">
        <v>362</v>
      </c>
      <c r="H345" s="1465"/>
      <c r="I345" s="1465"/>
      <c r="J345" s="1465"/>
      <c r="K345" s="1465"/>
      <c r="L345" s="1466"/>
      <c r="M345" s="669">
        <f>IFERROR(VLOOKUP(G345,_Daylight_Table[],2,FALSE),0)</f>
        <v>0</v>
      </c>
      <c r="N345" s="670"/>
      <c r="O345" s="669" t="e">
        <f>VLOOKUP(G344,'Space Table'!$B$3:$L$160,11,FALSE)</f>
        <v>#N/A</v>
      </c>
      <c r="P345" s="1408"/>
      <c r="Q345" s="1409"/>
      <c r="R345" s="1409"/>
      <c r="S345" s="1402"/>
      <c r="T345" s="671" t="s">
        <v>281</v>
      </c>
      <c r="U345" s="1467" t="str">
        <f>IFERROR(VLOOKUP(U344,Fixtures!DM$93:DP$142,4,FALSE),"")</f>
        <v/>
      </c>
      <c r="V345" s="1468"/>
      <c r="W345" s="1468"/>
      <c r="X345" s="1468"/>
      <c r="Y345" s="1468"/>
      <c r="Z345" s="1468"/>
      <c r="AA345" s="1468"/>
      <c r="AB345" s="1046" t="str">
        <f>IFERROR(VLOOKUP(U344,Fixtures_Proposed_List,2,FALSE),"")</f>
        <v/>
      </c>
      <c r="AC345" s="1036" t="str">
        <f>IFERROR(ROUND(T344*AB345*N343*R343/1000,0),"")</f>
        <v/>
      </c>
      <c r="AD345" s="1037" t="str">
        <f>IFERROR(ROUND(T344*AB345/1000,2),"")</f>
        <v/>
      </c>
      <c r="AE345" s="1045" t="s">
        <v>281</v>
      </c>
      <c r="AF345" s="1469"/>
      <c r="AG345" s="1469"/>
      <c r="AH345" s="1469"/>
      <c r="AI345" s="1469"/>
      <c r="AJ345" s="1476"/>
      <c r="AK345" s="1471"/>
      <c r="AL345" s="1473"/>
      <c r="AM345" s="1443"/>
      <c r="AN345" s="1444"/>
      <c r="AO345" s="1449"/>
      <c r="AP345" s="1449"/>
      <c r="AQ345" s="1450"/>
      <c r="AR345" s="1453"/>
      <c r="AS345" s="1456"/>
      <c r="AT345" s="1459"/>
      <c r="AU345" s="517"/>
      <c r="AV345" s="1480"/>
      <c r="AW345" s="1480"/>
      <c r="BC345" s="38"/>
      <c r="BD345" s="38"/>
      <c r="BE345" s="38"/>
      <c r="BF345" s="38"/>
      <c r="BG345" s="38"/>
      <c r="BH345" s="38"/>
      <c r="BI345" s="38"/>
      <c r="BJ345" s="38"/>
      <c r="BK345" s="38"/>
      <c r="BL345" s="38"/>
      <c r="BM345" s="38"/>
      <c r="BN345" s="38"/>
      <c r="BO345" s="38"/>
      <c r="BP345" s="38"/>
      <c r="BQ345" s="38"/>
      <c r="BR345" s="38"/>
      <c r="BS345" s="38"/>
      <c r="BT345" s="38"/>
      <c r="BU345" s="38"/>
      <c r="BV345" s="38"/>
      <c r="BW345" s="38"/>
      <c r="BX345" s="38"/>
      <c r="BY345" s="38"/>
      <c r="BZ345" s="38"/>
      <c r="CA345" s="38"/>
      <c r="CB345" s="38"/>
      <c r="CC345" s="38"/>
      <c r="CD345" s="38"/>
      <c r="CE345" s="38"/>
      <c r="CF345" s="38"/>
      <c r="CG345" s="38"/>
      <c r="CH345" s="38"/>
      <c r="CI345" s="38"/>
      <c r="CM345" s="1352"/>
      <c r="CN345" s="1352"/>
      <c r="CO345" s="1416"/>
      <c r="CP345" s="1418"/>
      <c r="CR345" s="1386"/>
      <c r="CS345" s="1355"/>
      <c r="CT345" s="1355"/>
      <c r="CU345" s="1375"/>
      <c r="CV345" s="1372"/>
      <c r="CW345" s="1372"/>
      <c r="CX345" s="1372"/>
      <c r="CY345" s="1487"/>
      <c r="CZ345" s="1487"/>
      <c r="DA345" s="1487"/>
      <c r="DC345" s="1355"/>
      <c r="DD345" s="1355"/>
      <c r="DE345" s="1375"/>
      <c r="DF345" s="1407"/>
      <c r="DG345" s="1372"/>
      <c r="DH345" s="1369"/>
      <c r="DK345" s="1484"/>
      <c r="DL345" s="1420"/>
      <c r="DN345" s="1403"/>
      <c r="DO345" s="1405"/>
      <c r="DP345" s="1355"/>
      <c r="DQ345" s="1405"/>
      <c r="DR345" s="1403"/>
      <c r="DS345" s="1489"/>
      <c r="DU345" s="1403"/>
      <c r="DV345" s="1405"/>
      <c r="DW345" s="1403"/>
      <c r="DX345" s="1403"/>
      <c r="DZ345" s="1481"/>
      <c r="EA345" s="1481"/>
      <c r="EC345" s="1482"/>
      <c r="ED345" s="1369"/>
      <c r="EE345" s="1372"/>
      <c r="EF345" s="1369"/>
      <c r="EG345" s="1369"/>
      <c r="EH345" s="1375"/>
      <c r="EI345" s="1375"/>
      <c r="EJ345" s="1363"/>
      <c r="EK345" s="1376"/>
      <c r="EL345" s="1376"/>
      <c r="EM345" s="1362"/>
      <c r="EN345" s="1362"/>
      <c r="EO345" s="1363"/>
      <c r="EP345" s="1363"/>
      <c r="EQ345" s="1363"/>
      <c r="ES345" s="1403"/>
      <c r="EU345" s="1488"/>
      <c r="EV345" s="1488"/>
      <c r="EW345" s="1488"/>
      <c r="EX345" s="1488"/>
      <c r="EY345" s="1488"/>
      <c r="EZ345" s="1414"/>
      <c r="FB345" s="1365"/>
      <c r="FD345" s="1355"/>
      <c r="FE345" s="1355"/>
      <c r="FF345" s="138"/>
      <c r="FI345" s="1357"/>
      <c r="FJ345" s="1357"/>
      <c r="FK345" s="1365"/>
      <c r="FL345" s="1365"/>
      <c r="FM345" s="1365"/>
      <c r="FO345" s="1361"/>
      <c r="FP345" s="1361"/>
      <c r="FQ345" s="1366"/>
      <c r="FR345" s="1361"/>
      <c r="FS345" s="1361"/>
      <c r="FT345" s="1361"/>
      <c r="FU345" s="1360"/>
      <c r="FW345" s="1352"/>
      <c r="FX345" s="1352"/>
      <c r="FY345" s="1352"/>
      <c r="FZ345" s="1352"/>
      <c r="GA345" s="1352"/>
      <c r="GB345" s="1352"/>
      <c r="GC345" s="1352"/>
      <c r="GD345" s="1352"/>
      <c r="GE345" s="759"/>
      <c r="GF345" s="1035"/>
      <c r="GG345" s="1385"/>
      <c r="GJ345" s="1034">
        <f>IF(GJ343=TRUE,0,GJ$16)</f>
        <v>0</v>
      </c>
      <c r="GL345" s="1034">
        <f>IF(GL343=TRUE,0,GL$16)</f>
        <v>36</v>
      </c>
      <c r="GM345" s="1034">
        <f>IF(GM343=TRUE,0,GM$16)</f>
        <v>35</v>
      </c>
      <c r="GN345" s="436"/>
      <c r="GO345" s="436"/>
      <c r="GP345" s="436"/>
      <c r="GQ345" s="436"/>
      <c r="GR345" s="436"/>
      <c r="HC345" s="1034">
        <f t="shared" ref="HC345:HH345" si="246">IF(HC343=TRUE,0,HC$16)</f>
        <v>19</v>
      </c>
      <c r="HD345" s="1034">
        <f t="shared" si="246"/>
        <v>18</v>
      </c>
      <c r="HE345" s="1034">
        <f t="shared" si="246"/>
        <v>17</v>
      </c>
      <c r="HF345" s="1034">
        <f t="shared" si="246"/>
        <v>16</v>
      </c>
      <c r="HG345" s="1034">
        <f t="shared" si="246"/>
        <v>0</v>
      </c>
      <c r="HH345" s="1034">
        <f t="shared" si="246"/>
        <v>0</v>
      </c>
      <c r="HI345" s="1034">
        <f>IF(HI343=TRUE,0,HI$16)</f>
        <v>13</v>
      </c>
      <c r="HJ345" s="1034">
        <f t="shared" ref="HJ345:HL345" si="247">IF(HJ343=TRUE,0,HJ$16)</f>
        <v>12</v>
      </c>
      <c r="HK345" s="1034">
        <f t="shared" si="247"/>
        <v>11</v>
      </c>
      <c r="HL345" s="1034">
        <f t="shared" si="247"/>
        <v>10</v>
      </c>
      <c r="HM345" s="1034">
        <f>IF(HM343=TRUE,0,HM$16)</f>
        <v>9</v>
      </c>
      <c r="HN345" s="1034">
        <f t="shared" ref="HN345:HR345" si="248">IF(HN343=TRUE,0,HN$16)</f>
        <v>0</v>
      </c>
      <c r="HO345" s="1034">
        <f t="shared" si="248"/>
        <v>0</v>
      </c>
      <c r="HP345" s="1034">
        <f t="shared" si="248"/>
        <v>0</v>
      </c>
      <c r="HQ345" s="1034">
        <f t="shared" si="248"/>
        <v>0</v>
      </c>
      <c r="HR345" s="1034">
        <f t="shared" si="248"/>
        <v>0</v>
      </c>
      <c r="HS345" s="1034">
        <f>IF(HS343=TRUE,0,HS$16)</f>
        <v>0</v>
      </c>
      <c r="HT345" s="1034">
        <f t="shared" ref="HT345" si="249">IF(HT343=TRUE,0,HT$16)</f>
        <v>0</v>
      </c>
      <c r="HU345" s="1034">
        <f>IF(HU343=TRUE,0,HU$16)</f>
        <v>1</v>
      </c>
      <c r="HW345" s="1034">
        <f>IF(GL343=FALSE,GL345,IF(GM343=FALSE,GM345,MAX(GJ345:HU345)))</f>
        <v>36</v>
      </c>
      <c r="HX345" s="1383"/>
      <c r="HY345" s="241" t="str">
        <f>VLOOKUP(HW345,_Error_Table,3,FALSE)</f>
        <v xml:space="preserve"> </v>
      </c>
      <c r="HZ345" s="241"/>
      <c r="IA345" s="1386"/>
      <c r="IB345" s="1380"/>
      <c r="IC345" s="1379"/>
      <c r="IF345" s="1380"/>
      <c r="IG345" s="1383"/>
      <c r="IH345" s="1383"/>
      <c r="II345" s="1383"/>
      <c r="IK345" s="1351"/>
      <c r="IL345" s="1351"/>
      <c r="IM345" s="1351"/>
      <c r="IN345" s="1351"/>
      <c r="IO345" s="1351"/>
      <c r="IP345" s="1351"/>
    </row>
    <row r="346" spans="1:250" s="82" customFormat="1" ht="5.0999999999999996" customHeight="1" thickBot="1">
      <c r="B346" s="763"/>
      <c r="C346" s="1038"/>
      <c r="D346" s="1038"/>
      <c r="E346" s="1490"/>
      <c r="F346" s="1490"/>
      <c r="G346" s="1490"/>
      <c r="H346" s="1490"/>
      <c r="I346" s="1490"/>
      <c r="J346" s="1490"/>
      <c r="K346" s="1490"/>
      <c r="L346" s="1490"/>
      <c r="M346" s="1490"/>
      <c r="N346" s="1490"/>
      <c r="O346" s="1490"/>
      <c r="P346" s="1490"/>
      <c r="Q346" s="1490"/>
      <c r="R346" s="1490"/>
      <c r="S346" s="1490"/>
      <c r="T346" s="1490"/>
      <c r="U346" s="1490"/>
      <c r="V346" s="1490"/>
      <c r="W346" s="1490"/>
      <c r="X346" s="1490"/>
      <c r="Y346" s="1490"/>
      <c r="Z346" s="1490"/>
      <c r="AA346" s="1490"/>
      <c r="AB346" s="1490"/>
      <c r="AC346" s="1490"/>
      <c r="AD346" s="1490"/>
      <c r="AE346" s="1490"/>
      <c r="AF346" s="1490"/>
      <c r="AG346" s="1490"/>
      <c r="AH346" s="1490"/>
      <c r="AI346" s="1490"/>
      <c r="AJ346" s="1490"/>
      <c r="AK346" s="1490"/>
      <c r="AL346" s="1490"/>
      <c r="AM346" s="1490"/>
      <c r="AN346" s="1490"/>
      <c r="AO346" s="1490"/>
      <c r="AP346" s="1490"/>
      <c r="AQ346" s="1490"/>
      <c r="AR346" s="1490"/>
      <c r="AS346" s="1490"/>
      <c r="AT346" s="1490"/>
      <c r="AU346" s="1041"/>
      <c r="BC346" s="38"/>
      <c r="BD346" s="38"/>
      <c r="BE346" s="38"/>
      <c r="BF346" s="38"/>
      <c r="BG346" s="38"/>
      <c r="BH346" s="38"/>
      <c r="BI346" s="38"/>
      <c r="BJ346" s="38"/>
      <c r="BK346" s="38"/>
      <c r="BL346" s="38"/>
      <c r="BM346" s="38"/>
      <c r="BN346" s="38"/>
      <c r="BO346" s="38"/>
      <c r="BP346" s="38"/>
      <c r="BQ346" s="38"/>
      <c r="BR346" s="38"/>
      <c r="BS346" s="38"/>
      <c r="BT346" s="38"/>
      <c r="BU346" s="38"/>
      <c r="BV346" s="38"/>
      <c r="BW346" s="38"/>
      <c r="BX346" s="38"/>
      <c r="BY346" s="38"/>
      <c r="BZ346" s="38"/>
      <c r="CA346" s="38"/>
      <c r="CB346" s="38"/>
      <c r="CC346" s="38"/>
      <c r="CD346" s="38"/>
      <c r="CE346" s="38"/>
      <c r="CF346" s="38"/>
      <c r="CG346" s="38"/>
      <c r="CH346" s="38"/>
      <c r="CI346" s="38"/>
      <c r="CM346" s="749"/>
      <c r="CN346" s="749"/>
      <c r="CO346" s="1043"/>
      <c r="CP346" s="749"/>
      <c r="CS346" s="436"/>
      <c r="CT346" s="436"/>
      <c r="CU346" s="243"/>
      <c r="CV346" s="244"/>
      <c r="CW346" s="244"/>
      <c r="CX346" s="244"/>
      <c r="CY346" s="245"/>
      <c r="CZ346" s="245"/>
      <c r="DA346" s="245"/>
      <c r="DC346" s="750"/>
      <c r="DD346" s="751"/>
      <c r="DE346" s="752"/>
      <c r="DF346" s="753"/>
      <c r="DG346" s="754"/>
      <c r="DH346" s="754"/>
      <c r="DK346" s="244"/>
      <c r="DL346" s="750"/>
      <c r="DN346" s="750"/>
      <c r="DO346" s="755"/>
      <c r="DP346" s="436"/>
      <c r="DQ346" s="750"/>
      <c r="DR346" s="750"/>
      <c r="DS346" s="750"/>
      <c r="DU346" s="750"/>
      <c r="DV346" s="750"/>
      <c r="DW346" s="750"/>
      <c r="DX346" s="750"/>
      <c r="DZ346" s="756"/>
      <c r="EA346" s="756"/>
      <c r="EC346" s="754"/>
      <c r="ED346" s="754"/>
      <c r="EE346" s="244"/>
      <c r="EF346" s="754"/>
      <c r="EG346" s="754"/>
      <c r="EH346" s="243"/>
      <c r="EI346" s="243"/>
      <c r="EJ346" s="752"/>
      <c r="EK346" s="757"/>
      <c r="EL346" s="757"/>
      <c r="EM346" s="758"/>
      <c r="EN346" s="758"/>
      <c r="EO346" s="752"/>
      <c r="EP346" s="752"/>
      <c r="EQ346" s="752"/>
      <c r="ES346" s="750"/>
      <c r="EU346" s="436"/>
      <c r="EV346" s="436"/>
      <c r="EW346" s="436"/>
      <c r="EX346" s="436"/>
      <c r="EY346" s="436"/>
      <c r="EZ346" s="436"/>
      <c r="FB346" s="643"/>
      <c r="FD346" s="436"/>
      <c r="FE346" s="436"/>
      <c r="FF346" s="436"/>
      <c r="FO346" s="750"/>
      <c r="FP346" s="436"/>
      <c r="FQ346" s="436"/>
      <c r="FR346" s="750"/>
      <c r="FS346" s="750"/>
      <c r="FW346" s="749"/>
      <c r="FX346" s="749"/>
      <c r="FY346" s="749"/>
      <c r="FZ346" s="749"/>
      <c r="GA346" s="749"/>
      <c r="GB346" s="749"/>
      <c r="GC346" s="749"/>
      <c r="GD346" s="749"/>
      <c r="GE346" s="751"/>
      <c r="GF346" s="750"/>
      <c r="GG346" s="750"/>
    </row>
    <row r="347" spans="1:250" s="82" customFormat="1" ht="14.95" customHeight="1" thickTop="1" thickBot="1">
      <c r="B347" s="1421" t="str">
        <f>HY350</f>
        <v xml:space="preserve"> </v>
      </c>
      <c r="C347" s="1422">
        <f>C342+1</f>
        <v>60</v>
      </c>
      <c r="D347" s="1423"/>
      <c r="E347" s="1424" t="s">
        <v>242</v>
      </c>
      <c r="F347" s="1425"/>
      <c r="G347" s="1426"/>
      <c r="H347" s="1427"/>
      <c r="I347" s="1427"/>
      <c r="J347" s="1427"/>
      <c r="K347" s="1427"/>
      <c r="L347" s="1427"/>
      <c r="M347" s="1427"/>
      <c r="N347" s="1427"/>
      <c r="O347" s="1427"/>
      <c r="P347" s="1427"/>
      <c r="Q347" s="1427"/>
      <c r="R347" s="1427"/>
      <c r="S347" s="1428" t="s">
        <v>283</v>
      </c>
      <c r="T347" s="668" t="s">
        <v>190</v>
      </c>
      <c r="U347" s="1430" t="s">
        <v>186</v>
      </c>
      <c r="V347" s="1431"/>
      <c r="W347" s="1431"/>
      <c r="X347" s="1431"/>
      <c r="Y347" s="1431"/>
      <c r="Z347" s="1431"/>
      <c r="AA347" s="1431"/>
      <c r="AB347" s="1088" t="str">
        <f>IFERROR(IF(__Retrofit_TI_NC=0,VLOOKUP(U348,Fixtures_Existing_List,2,FALSE),ROUND(N349*R349/T349,10)),"")</f>
        <v/>
      </c>
      <c r="AC347" s="1039" t="str">
        <f>IFERROR(IF(__Retrofit_TI_NC=0,ROUND(T348*AB347*N348*R348/1000,0),IF(CN347="Interior",N349*R349*R348*N348*_C406_reduction/1000,N349*R349*R348*N348/1000)),"")</f>
        <v/>
      </c>
      <c r="AD347" s="1040" t="str">
        <f>IFERROR(IF(C$36=0,ROUND(T348*AB347/1000,2),N349*R349/1000),"")</f>
        <v/>
      </c>
      <c r="AE347" s="1044" t="s">
        <v>190</v>
      </c>
      <c r="AF347" s="1432" t="str">
        <f>IF(__Retrofit_TI_NC=2,CONCATENATE("Code min = ",DD347),IF(__Retrofit_TI_NC=1,"Emter what you think the existing control was"," Control"))</f>
        <v xml:space="preserve"> Control</v>
      </c>
      <c r="AG347" s="1432"/>
      <c r="AH347" s="1432"/>
      <c r="AI347" s="1432"/>
      <c r="AJ347" s="1433">
        <f>DF347</f>
        <v>0</v>
      </c>
      <c r="AK347" s="1435" t="str">
        <f>IFERROR(ROUND(AJ347*AC347,0),"")</f>
        <v/>
      </c>
      <c r="AL347" s="1437">
        <f>IFERROR(IF(HW347=FALSE,0,AC347-AK347),0)</f>
        <v>0</v>
      </c>
      <c r="AM347" s="1439">
        <f>AL347-AL349</f>
        <v>0</v>
      </c>
      <c r="AN347" s="1440"/>
      <c r="AO347" s="1445">
        <f>IFERROR(IF(HW347=FALSE,0,(T349*U350)+(AE349*AF350)),0)</f>
        <v>0</v>
      </c>
      <c r="AP347" s="1445"/>
      <c r="AQ347" s="1446"/>
      <c r="AR347" s="1451" t="s">
        <v>157</v>
      </c>
      <c r="AS347" s="1454">
        <f>IF(AR347="Yes",1,0)</f>
        <v>1</v>
      </c>
      <c r="AT347" s="1457" t="str">
        <f>IF(OR(DN347=4,DN347=5,DN347=6,DN347=12),CONCATENATE("$",IF(GD347=TRUE,Lookup!$B$11,Lookup!$B$2)," /lamp"),CONCATENATE(EA347,"/ kWh"))</f>
        <v>0/ kWh</v>
      </c>
      <c r="AU347" s="516"/>
      <c r="AV347" s="1478">
        <f>IFERROR(IF(GI348=TRUE,(AB350*T349)/R349,0),"NA")</f>
        <v>0</v>
      </c>
      <c r="AW347" s="1478" t="str">
        <f>IFERROR(N349*_C406_reduction,"NA")</f>
        <v>NA</v>
      </c>
      <c r="BC347" s="38"/>
      <c r="BD347" s="38"/>
      <c r="BE347" s="38"/>
      <c r="BF347" s="38"/>
      <c r="BG347" s="38"/>
      <c r="BH347" s="38"/>
      <c r="BI347" s="38"/>
      <c r="BJ347" s="38"/>
      <c r="BK347" s="38"/>
      <c r="BL347" s="38"/>
      <c r="BM347" s="38"/>
      <c r="BN347" s="38"/>
      <c r="BO347" s="38"/>
      <c r="BP347" s="38"/>
      <c r="BQ347" s="38"/>
      <c r="BR347" s="38"/>
      <c r="BS347" s="38"/>
      <c r="BT347" s="38"/>
      <c r="BU347" s="38"/>
      <c r="BV347" s="38"/>
      <c r="BW347" s="38"/>
      <c r="BX347" s="38"/>
      <c r="BY347" s="38"/>
      <c r="BZ347" s="38"/>
      <c r="CA347" s="38"/>
      <c r="CB347" s="38"/>
      <c r="CC347" s="38"/>
      <c r="CD347" s="38"/>
      <c r="CE347" s="38"/>
      <c r="CF347" s="38"/>
      <c r="CG347" s="38"/>
      <c r="CH347" s="38"/>
      <c r="CI347" s="38"/>
      <c r="CM347" s="1352" t="str">
        <f>N348</f>
        <v/>
      </c>
      <c r="CN347" s="1352" t="str">
        <f>IFERROR(VLOOKUP(G348,_Lookup_Heat_Type_Table_New,3,FALSE),"")</f>
        <v/>
      </c>
      <c r="CO347" s="1415" t="str">
        <f>CN347</f>
        <v/>
      </c>
      <c r="CP347" s="1417" t="e">
        <f>VLOOKUP(G349,'Space Table'!$B$3:$L$160,9,FALSE)</f>
        <v>#N/A</v>
      </c>
      <c r="CR347" s="1386" t="s">
        <v>283</v>
      </c>
      <c r="CS347" s="1353">
        <f>IF(HW347=TRUE,T348,0)</f>
        <v>0</v>
      </c>
      <c r="CT347" s="1353" t="str">
        <f>IF(HW347=TRUE,U348,"")</f>
        <v/>
      </c>
      <c r="CU347" s="1353"/>
      <c r="CV347" s="1370">
        <f>IF(HW347=TRUE,AB347,0)</f>
        <v>0</v>
      </c>
      <c r="CW347" s="1370">
        <f>IF(HW347=TRUE,AC347,0)</f>
        <v>0</v>
      </c>
      <c r="CX347" s="1370">
        <f>IFERROR(IF(HW347=TRUE,CW347-CW349,0),0)</f>
        <v>0</v>
      </c>
      <c r="CY347" s="1485">
        <f>IF(HW347=TRUE,AD347,0)</f>
        <v>0</v>
      </c>
      <c r="CZ347" s="1485">
        <f>IF(HW347=TRUE,AD350,0)</f>
        <v>0</v>
      </c>
      <c r="DA347" s="1485">
        <f>IFERROR(CY347-CZ347,0)</f>
        <v>0</v>
      </c>
      <c r="DC347" s="1353">
        <f>IF(HW347=TRUE,AE348,0)</f>
        <v>0</v>
      </c>
      <c r="DD347" s="1460">
        <f>IF(__Retrofit_TI_NC=2,IF(CN347="Exterior",O350,FM347),FK347)</f>
        <v>0</v>
      </c>
      <c r="DE347" s="1353"/>
      <c r="DF347" s="1406">
        <f>IFERROR(IF(FL347=3,IK347,IF(FL347=4,IL347,IF(FL347=5,IM347,IF(FL347=6,IN347,IF(FL347=7,IO347,IF(FL347=8,IP347,0)))))),0)</f>
        <v>0</v>
      </c>
      <c r="DG347" s="1370">
        <f>IF(HW347=TRUE,AK347,0)</f>
        <v>0</v>
      </c>
      <c r="DH347" s="1369">
        <f>IFERROR(IF(HW347=TRUE,DG349-DG347,0),0)</f>
        <v>0</v>
      </c>
      <c r="DJ347" s="1483">
        <f>IFERROR(CW347-DG347,0)</f>
        <v>0</v>
      </c>
      <c r="DL347" s="1419">
        <f>DJ347-DK349</f>
        <v>0</v>
      </c>
      <c r="DN347" s="1403" t="str">
        <f>IFERROR(IF(AND(OR(FY347=4,FY347=5,FY347=6),OR(GB347=4,GB347=5,GB347=6)),FY347+8,VLOOKUP(CT349,Fixtures!R$31:Y$78,8,FALSE)),"")</f>
        <v/>
      </c>
      <c r="DO347" s="1404" t="str">
        <f>DN347</f>
        <v/>
      </c>
      <c r="DP347" s="1353" t="str">
        <f>IFERROR(VLOOKUP(DD349,Lookup!AU$3:AV$15,2,FALSE),"")</f>
        <v/>
      </c>
      <c r="DQ347" s="1404" t="str">
        <f>IF(DP347=7,"LLLC","")</f>
        <v/>
      </c>
      <c r="DR347" s="1403">
        <f>IFERROR(IF(OR(DN347=4,DN347=5,DN347=6,DN347=12,DN347=13,DN347=14),VLOOKUP(CT349,Fixtures!DN$27:EG$77,19,FALSE),1)*CS349,0)</f>
        <v>0</v>
      </c>
      <c r="DS347" s="1489">
        <f>IF(DP347=7,IF(DD347=DD349,0,DC349),0)</f>
        <v>0</v>
      </c>
      <c r="DU347" s="1403" t="str">
        <f>IFERROR(IF(EW347&lt;EW349,"Yes","No"),"")</f>
        <v/>
      </c>
      <c r="DV347" s="1404" t="str">
        <f>DU347</f>
        <v/>
      </c>
      <c r="DW347" s="1403">
        <f>IF(DU347="Yes",DC349,0)</f>
        <v>0</v>
      </c>
      <c r="DX347" s="1403">
        <f>DW347-DS347</f>
        <v>0</v>
      </c>
      <c r="DZ347" s="1481">
        <f>IFERROR(VLOOKUP(DN347,Lookup!AN$3:AO$16,2,FALSE),0)</f>
        <v>0</v>
      </c>
      <c r="EA347" s="1481">
        <f>IF(HW347=FALSE,0,IF(DU347="Yes",DZ347+Lookup!B$6,DZ347))</f>
        <v>0</v>
      </c>
      <c r="EC347" s="1482">
        <f>IF(HW347=TRUE,DJ347,0)</f>
        <v>0</v>
      </c>
      <c r="ED347" s="1369">
        <f>IF(HW347=TRUE,CW349,0)</f>
        <v>0</v>
      </c>
      <c r="EE347" s="1370">
        <f>IFERROR(EC347-ED347,0)</f>
        <v>0</v>
      </c>
      <c r="EF347" s="1369">
        <f>IF(HW347=TRUE,DG349,0)</f>
        <v>0</v>
      </c>
      <c r="EG347" s="1369">
        <f>IFERROR(EC347-ED347+EF347,0)</f>
        <v>0</v>
      </c>
      <c r="EH347" s="1373">
        <f>IF(HW347=TRUE,CS349*CU349,0)</f>
        <v>0</v>
      </c>
      <c r="EI347" s="1373">
        <f>IF(HW347=TRUE,DC349*DE349,0)</f>
        <v>0</v>
      </c>
      <c r="EJ347" s="1363">
        <f>AO347</f>
        <v>0</v>
      </c>
      <c r="EK347" s="1376" t="str">
        <f>IFERROR(IF(HW347=TRUE,VLOOKUP(DN347,Lookup!AN$3:AP$16,3,FALSE)*DR347,""),0)</f>
        <v/>
      </c>
      <c r="EL347" s="1376">
        <f>IF(HW347=TRUE,DW347*Lookup!AP$12,0)</f>
        <v>0</v>
      </c>
      <c r="EM347" s="1362">
        <f>IFERROR(IF(HW347=TRUE,EK347/EM$33,0),0)</f>
        <v>0</v>
      </c>
      <c r="EN347" s="1362">
        <f>IF(HW347=TRUE,EL347/EN$33,0)</f>
        <v>0</v>
      </c>
      <c r="EO347" s="1363">
        <f>IF(HW347=TRUE,EQ$33*EM347,0)</f>
        <v>0</v>
      </c>
      <c r="EP347" s="1363">
        <f>IF(HW347=TRUE,EQ$33*EN347,0)</f>
        <v>0</v>
      </c>
      <c r="EQ347" s="1363">
        <f>EO347+EP347</f>
        <v>0</v>
      </c>
      <c r="ES347" s="1403">
        <f>IF(G347="",0,1)</f>
        <v>0</v>
      </c>
      <c r="EU347" s="1410" t="e">
        <f>VLOOKUP(CP349,'Space Table'!$B$3:$L$160,8,FALSE)</f>
        <v>#N/A</v>
      </c>
      <c r="EV347" s="1410" t="e">
        <f>IF(EY347="Yes",VLOOKUP(DD347,Lookup_Control_Type_Table2,4,FALSE),VLOOKUP(DD347,Lookup_Control_Type_Table2,3,FALSE))</f>
        <v>#N/A</v>
      </c>
      <c r="EW347" s="1410" t="e">
        <f>VLOOKUP(DD347,Lookup!AU$3:AV$15,2,FALSE)</f>
        <v>#N/A</v>
      </c>
      <c r="EX347" s="1410" t="e">
        <f>VLOOKUP(EU347,Lookup_Control_Type_Table,2,FALSE)</f>
        <v>#N/A</v>
      </c>
      <c r="EY347" s="1410" t="e">
        <f>VLOOKUP(CP349,'Space Table'!$B$3:$L$160,7,FALSE)</f>
        <v>#N/A</v>
      </c>
      <c r="EZ347" s="1412" t="b">
        <f>ISNUMBER(SEARCH("TLED",U349))</f>
        <v>0</v>
      </c>
      <c r="FB347" s="1365" t="str">
        <f>CONCATENATE(CN347," - ",DD347)</f>
        <v xml:space="preserve"> - 0</v>
      </c>
      <c r="FD347" s="1353" t="str">
        <f>VLOOKUP(CT349,Fixtures!DN$27:EZ$77,38,FALSE)</f>
        <v/>
      </c>
      <c r="FE347" s="1353">
        <f>IFERROR(FD347*EE347,0)</f>
        <v>0</v>
      </c>
      <c r="FF347" s="138"/>
      <c r="FI347" s="1356" t="str">
        <f>IF(CN347="Exterior","Not Daylighted",G350)</f>
        <v>Not Daylighted</v>
      </c>
      <c r="FJ347" s="1356">
        <f>VLOOKUP(FI347,_Daylight_Table_Codes,2,FALSE)</f>
        <v>0</v>
      </c>
      <c r="FK347" s="1365">
        <f>IF(__Retrofit_TI_NC=2,VLOOKUP(G349,'Space Table'!$B$3:$L$160,11,FALSE),AF348)</f>
        <v>0</v>
      </c>
      <c r="FL347" s="1365" t="e">
        <f>VLOOKUP(FK347,_Control_Table,2,FALSE)</f>
        <v>#N/A</v>
      </c>
      <c r="FM347" s="1365" t="e">
        <f>IF(AND(FP347&gt;0,FK347="Occupancy Sensor"),"Daylight + Occupancy",IF(AND(FP347&gt;0,FL347&lt;4),"Interior Daylight Dimming",FK347))</f>
        <v>#N/A</v>
      </c>
      <c r="FO347" s="1364">
        <f>IF(CO347="Interior",VLOOKUP(CP347,Control_Savings_Interior,5,FALSE),0)</f>
        <v>0</v>
      </c>
      <c r="FP347" s="1361">
        <f>IF(CN347="Exterior",0,IF(FJ347=2,0.5,IF(OR(FJ347=1,FJ347=3),1,0)))</f>
        <v>0</v>
      </c>
      <c r="FQ347" s="1366"/>
      <c r="FR347" s="1367"/>
      <c r="FS347" s="1364"/>
      <c r="FT347" s="1367"/>
      <c r="FU347" s="1360"/>
      <c r="FW347" s="1352" t="str">
        <f>IFERROR(VLOOKUP(U348,_Exist_Fixture_Table,3,FALSE),"")</f>
        <v/>
      </c>
      <c r="FX347" s="1352" t="str">
        <f>VLOOKUP(CT347,_Exist_Fixture_Table,4,FALSE)</f>
        <v/>
      </c>
      <c r="FY347" s="1352">
        <f>IFERROR(VLOOKUP(FX347,Lookup!AM$6:AN$8,2,FALSE),0)</f>
        <v>0</v>
      </c>
      <c r="FZ347" s="1352" t="b">
        <f>IFERROR(IF(OR(GB347=4,GB347=5,GB347=6),TRUE,FALSE),"")</f>
        <v>0</v>
      </c>
      <c r="GA347" s="1352" t="str">
        <f>IFERROR(VLOOKUP(GB347,FY$6:FZ$10,2,FALSE),"")</f>
        <v/>
      </c>
      <c r="GB347" s="1352" t="str">
        <f>VLOOKUP(CT349,Fixtures!R$31:Y$78,8,FALSE)</f>
        <v/>
      </c>
      <c r="GC347" s="1352">
        <f>IF(AND(FW347=TRUE,FZ347=TRUE,OR(DN347=12,DN347=13,DN347=14)),FY347+8,0)</f>
        <v>0</v>
      </c>
      <c r="GD347" s="1352" t="b">
        <f>IF(OR(GC347=12,GC347=13,GC347=14),TRUE,FALSE)</f>
        <v>0</v>
      </c>
      <c r="GE347" s="759" t="b">
        <f>IF(ISNUMBER(SEARCH("TLED",U348)),TRUE,FALSE)</f>
        <v>0</v>
      </c>
      <c r="GF347" s="1035" t="str">
        <f>IFERROR(VLOOKUP(U348,Fixtures!BM$93:BR$142,6,FALSE),"")</f>
        <v/>
      </c>
      <c r="GG347" s="1385" t="b">
        <f>IF(OR(GE347=FALSE,GE349=FALSE),TRUE,IF(GF347-GF349&lt;5,FALSE,TRUE))</f>
        <v>1</v>
      </c>
      <c r="GK347" s="1034">
        <f>GL347</f>
        <v>0</v>
      </c>
      <c r="GL347" s="1034">
        <f>IF(G347="",0,1)</f>
        <v>0</v>
      </c>
      <c r="GM347" s="1034">
        <f>SUM(GN347:HB347)</f>
        <v>2</v>
      </c>
      <c r="GN347" s="1034">
        <f>IF(G348="",0,1)</f>
        <v>0</v>
      </c>
      <c r="GO347" s="1034">
        <f>IF(G349="",0,1)</f>
        <v>0</v>
      </c>
      <c r="GP347" s="1034">
        <f>IF(R348="",0,1)</f>
        <v>0</v>
      </c>
      <c r="GQ347" s="1034">
        <f>IF(__Retrofit_TI_NC=0,1,IF(R349="",0,1))</f>
        <v>1</v>
      </c>
      <c r="GR347" s="1034">
        <f>IF(CN347="Exterior",1,IF(G350="",0,1))</f>
        <v>1</v>
      </c>
      <c r="GS347" s="1034">
        <f>IF(__Retrofit_TI_NC&lt;&gt;0,1,IF(T348="",0,1))</f>
        <v>0</v>
      </c>
      <c r="GT347" s="1034">
        <f>IF(__Retrofit_TI_NC&lt;&gt;0,1,IF(U348="",0,1))</f>
        <v>0</v>
      </c>
      <c r="GU347" s="1034">
        <f>IF(T349="",0,1)</f>
        <v>0</v>
      </c>
      <c r="GV347" s="1034">
        <f>IF(U349="",0,1)</f>
        <v>0</v>
      </c>
      <c r="GW347" s="1034">
        <f>IF(__Retrofit_TI_NC=2,1,IF(U350="",0,1))</f>
        <v>0</v>
      </c>
      <c r="GX347" s="1034">
        <f>IF(__Retrofit_TI_NC&lt;&gt;0,1,IF(AE348="",0,1))</f>
        <v>0</v>
      </c>
      <c r="GY347" s="1034">
        <f>IF(__Retrofit_TI_NC&lt;&gt;0,1,IF(AF348="",0,1))</f>
        <v>0</v>
      </c>
      <c r="GZ347" s="1034">
        <f>IF(AE349="",0,1)</f>
        <v>0</v>
      </c>
      <c r="HA347" s="1034">
        <f>IF(AF349="",0,1)</f>
        <v>0</v>
      </c>
      <c r="HB347" s="1034">
        <f>IF(__Retrofit_TI_NC=2,1,IF(AF350="",0,1))</f>
        <v>0</v>
      </c>
      <c r="HV347" s="436"/>
      <c r="HW347" s="1384" t="b">
        <f>IF(OR(HW350=0,HW350=HT$16,HW350=HS$16,HW350=HU$16),TRUE,FALSE)</f>
        <v>0</v>
      </c>
      <c r="HX347" s="1377" t="b">
        <f>HW347</f>
        <v>0</v>
      </c>
      <c r="HY347" s="436"/>
      <c r="HZ347" s="436"/>
      <c r="IA347" s="1386" t="b">
        <f>IF(MAX(GJ350:HP350)&gt;5,FALSE,TRUE)</f>
        <v>0</v>
      </c>
      <c r="IB347" s="1380">
        <f>IF(IA347=TRUE,AC347,0)</f>
        <v>0</v>
      </c>
      <c r="IC347" s="1380">
        <f>IB347-IB349</f>
        <v>0</v>
      </c>
      <c r="IF347" s="1380" t="e">
        <f>ROUND(T348*VLOOKUP(U348,Fixtures_Existing_List,2,FALSE)*N348*R348/1000,0)</f>
        <v>#N/A</v>
      </c>
      <c r="IG347" s="1381" t="e">
        <f>IF347-IF349</f>
        <v>#N/A</v>
      </c>
      <c r="IH347" s="1384" t="e">
        <f>ROUND(IF(CN347="Interior",N349*R349*R348*N348*_C406_reduction/1000,N349*R349*R348*N348/1000),0)</f>
        <v>#N/A</v>
      </c>
      <c r="II347" s="1384" t="e">
        <f>IH347-IH349</f>
        <v>#N/A</v>
      </c>
      <c r="IK347" s="1351" t="e">
        <f>IF($CO347="interior",IL347/2,VLOOKUP($CP347,Control_Savings_Exterior,IK$30,FALSE))</f>
        <v>#N/A</v>
      </c>
      <c r="IL347" s="1351" t="e">
        <f>IF($CO347="interior",VLOOKUP($CP347,Control_Savings_Interior,IL$30,FALSE),VLOOKUP($CP347,Control_Savings_Exterior,IL$30,FALSE))</f>
        <v>#N/A</v>
      </c>
      <c r="IM347" s="1351" t="e">
        <f>IF($CO347="interior",IF(R348&gt;FO$37,(IM$28*(FO$37/R348)),IM$28)*FP347,VLOOKUP($CP347,Control_Savings_Exterior,IM$30,FALSE))</f>
        <v>#N/A</v>
      </c>
      <c r="IN347" s="1351" t="e">
        <f>IF($CO347="interior",ROUND(((1-IL347)*IM347)+IL347,2),VLOOKUP($CP347,Control_Savings_Exterior,IN$30,FALSE))</f>
        <v>#N/A</v>
      </c>
      <c r="IO347" s="1351" t="e">
        <f>IF($CO347="interior", ROUND(((1-IL347)*(IM347*(1-IP$28)))+IP347,2), VLOOKUP($CP347,Control_Savings_Exterior,IO$30,FALSE))</f>
        <v>#N/A</v>
      </c>
      <c r="IP347" s="1351">
        <f>IF($CO347="interior",ROUND(((1-IL347)*IP$28)+IL347,2),0)</f>
        <v>0</v>
      </c>
    </row>
    <row r="348" spans="1:250" s="82" customFormat="1" ht="14.95" customHeight="1" thickTop="1" thickBot="1">
      <c r="B348" s="1421"/>
      <c r="C348" s="1422"/>
      <c r="D348" s="1423"/>
      <c r="E348" s="1393" t="s">
        <v>244</v>
      </c>
      <c r="F348" s="1394"/>
      <c r="G348" s="1395"/>
      <c r="H348" s="1395"/>
      <c r="I348" s="1395"/>
      <c r="J348" s="1395"/>
      <c r="K348" s="1395"/>
      <c r="L348" s="1395"/>
      <c r="M348" s="509" t="e">
        <f>IF(__Retrofit_TI_NC&lt;&gt;0,IF(VLOOKUP(G349,'Space Table'!$B$3:$L$160,3,FALSE)&gt;0,1,0),IF(__Retrofit_TI_NC=VLOOKUP(G349,'Space Table'!$B$3:$L$160,3,FALSE),1,0))</f>
        <v>#N/A</v>
      </c>
      <c r="N348" s="509" t="str">
        <f>IFERROR(VLOOKUP(G348,_Lookup_Heat_Type_Table_New,2,FALSE),"")</f>
        <v/>
      </c>
      <c r="O348" s="509">
        <f>IF(__Retrofit_TI_NC=1,CONCATENATE("TI ",G348),IF(__Retrofit_TI_NC=2,CONCATENATE("NC ",G348),G348))</f>
        <v>0</v>
      </c>
      <c r="P348" s="1396" t="s">
        <v>352</v>
      </c>
      <c r="Q348" s="1396"/>
      <c r="R348" s="673"/>
      <c r="S348" s="1429"/>
      <c r="T348" s="675"/>
      <c r="U348" s="1496"/>
      <c r="V348" s="1497"/>
      <c r="W348" s="1497"/>
      <c r="X348" s="1497"/>
      <c r="Y348" s="1497"/>
      <c r="Z348" s="1497"/>
      <c r="AA348" s="1497"/>
      <c r="AB348" s="1497"/>
      <c r="AC348" s="1497"/>
      <c r="AD348" s="1498"/>
      <c r="AE348" s="675"/>
      <c r="AF348" s="1397"/>
      <c r="AG348" s="1397"/>
      <c r="AH348" s="1397"/>
      <c r="AI348" s="1397"/>
      <c r="AJ348" s="1434"/>
      <c r="AK348" s="1436"/>
      <c r="AL348" s="1438"/>
      <c r="AM348" s="1441"/>
      <c r="AN348" s="1442"/>
      <c r="AO348" s="1447"/>
      <c r="AP348" s="1447"/>
      <c r="AQ348" s="1448"/>
      <c r="AR348" s="1452"/>
      <c r="AS348" s="1455"/>
      <c r="AT348" s="1458"/>
      <c r="AU348" s="516"/>
      <c r="AV348" s="1479"/>
      <c r="AW348" s="1479"/>
      <c r="BC348" s="38"/>
      <c r="BD348" s="38"/>
      <c r="BE348" s="38"/>
      <c r="BF348" s="38"/>
      <c r="BG348" s="38"/>
      <c r="BH348" s="38"/>
      <c r="BI348" s="38"/>
      <c r="BJ348" s="38"/>
      <c r="BK348" s="38"/>
      <c r="BL348" s="38"/>
      <c r="BM348" s="38"/>
      <c r="BN348" s="38"/>
      <c r="BO348" s="38"/>
      <c r="BP348" s="38"/>
      <c r="BQ348" s="38"/>
      <c r="BR348" s="38"/>
      <c r="BS348" s="38"/>
      <c r="BT348" s="38"/>
      <c r="BU348" s="38"/>
      <c r="BV348" s="38"/>
      <c r="BW348" s="38"/>
      <c r="BX348" s="38"/>
      <c r="BY348" s="38"/>
      <c r="BZ348" s="38"/>
      <c r="CA348" s="38"/>
      <c r="CB348" s="38"/>
      <c r="CC348" s="38"/>
      <c r="CD348" s="38"/>
      <c r="CE348" s="38"/>
      <c r="CF348" s="38"/>
      <c r="CG348" s="38"/>
      <c r="CH348" s="38"/>
      <c r="CI348" s="38"/>
      <c r="CM348" s="1352"/>
      <c r="CN348" s="1352"/>
      <c r="CO348" s="1416"/>
      <c r="CP348" s="1418"/>
      <c r="CR348" s="1386"/>
      <c r="CS348" s="1355"/>
      <c r="CT348" s="1355"/>
      <c r="CU348" s="1355"/>
      <c r="CV348" s="1372"/>
      <c r="CW348" s="1372"/>
      <c r="CX348" s="1371"/>
      <c r="CY348" s="1486"/>
      <c r="CZ348" s="1486"/>
      <c r="DA348" s="1486"/>
      <c r="DC348" s="1355"/>
      <c r="DD348" s="1461"/>
      <c r="DE348" s="1355"/>
      <c r="DF348" s="1407"/>
      <c r="DG348" s="1372"/>
      <c r="DH348" s="1369"/>
      <c r="DJ348" s="1484"/>
      <c r="DL348" s="1419"/>
      <c r="DN348" s="1403"/>
      <c r="DO348" s="1405"/>
      <c r="DP348" s="1354"/>
      <c r="DQ348" s="1405"/>
      <c r="DR348" s="1403"/>
      <c r="DS348" s="1489"/>
      <c r="DU348" s="1403"/>
      <c r="DV348" s="1405"/>
      <c r="DW348" s="1403"/>
      <c r="DX348" s="1403"/>
      <c r="DZ348" s="1481"/>
      <c r="EA348" s="1481"/>
      <c r="EC348" s="1482"/>
      <c r="ED348" s="1369"/>
      <c r="EE348" s="1371"/>
      <c r="EF348" s="1369"/>
      <c r="EG348" s="1369"/>
      <c r="EH348" s="1374"/>
      <c r="EI348" s="1374"/>
      <c r="EJ348" s="1363"/>
      <c r="EK348" s="1376"/>
      <c r="EL348" s="1376"/>
      <c r="EM348" s="1362"/>
      <c r="EN348" s="1362"/>
      <c r="EO348" s="1363"/>
      <c r="EP348" s="1363"/>
      <c r="EQ348" s="1363"/>
      <c r="ES348" s="1403"/>
      <c r="EU348" s="1411"/>
      <c r="EV348" s="1411"/>
      <c r="EW348" s="1411"/>
      <c r="EX348" s="1411"/>
      <c r="EY348" s="1411"/>
      <c r="EZ348" s="1413"/>
      <c r="FB348" s="1365"/>
      <c r="FD348" s="1354"/>
      <c r="FE348" s="1354"/>
      <c r="FF348" s="138"/>
      <c r="FI348" s="1357"/>
      <c r="FJ348" s="1357"/>
      <c r="FK348" s="1365"/>
      <c r="FL348" s="1365"/>
      <c r="FM348" s="1365"/>
      <c r="FO348" s="1361"/>
      <c r="FP348" s="1361"/>
      <c r="FQ348" s="1366"/>
      <c r="FR348" s="1368"/>
      <c r="FS348" s="1361"/>
      <c r="FT348" s="1368"/>
      <c r="FU348" s="1360"/>
      <c r="FW348" s="1352"/>
      <c r="FX348" s="1352"/>
      <c r="FY348" s="1352"/>
      <c r="FZ348" s="1352"/>
      <c r="GA348" s="1352"/>
      <c r="GB348" s="1352"/>
      <c r="GC348" s="1352"/>
      <c r="GD348" s="1352"/>
      <c r="GE348" s="759"/>
      <c r="GF348" s="1035"/>
      <c r="GG348" s="1385"/>
      <c r="GI348" s="1384" t="b">
        <f>IF(AND(GL348=TRUE,GM348=TRUE),TRUE,FALSE)</f>
        <v>0</v>
      </c>
      <c r="GJ348" s="1379" t="b">
        <f>IFERROR(IF(__Retrofit_TI_NC=2,TRUE,IF(AR347="Yes",TRUE,FALSE)),FALSE)</f>
        <v>1</v>
      </c>
      <c r="GL348" s="1379" t="b">
        <f>IFERROR(IF(GL347=1,TRUE,FALSE),FALSE)</f>
        <v>0</v>
      </c>
      <c r="GM348" s="1379" t="b">
        <f>IFERROR(IF(GM347=GM$14,TRUE,FALSE),FALSE)</f>
        <v>0</v>
      </c>
      <c r="HC348" s="1379" t="b">
        <f>IFERROR(IF(M348=1,TRUE,FALSE),FALSE)</f>
        <v>0</v>
      </c>
      <c r="HD348" s="1379" t="b">
        <f>IFERROR(IF(M349=1,TRUE,FALSE),FALSE)</f>
        <v>0</v>
      </c>
      <c r="HE348" s="1379" t="b">
        <f>IFERROR(IF(__Retrofit_TI_NC&lt;&gt;0,TRUE,IFERROR(IF(VLOOKUP(U348,Fixtures_Existing_List,2,FALSE)&lt;&gt;"",TRUE,FALSE),FALSE)),FALSE)</f>
        <v>0</v>
      </c>
      <c r="HF348" s="1379" t="b">
        <f>IFERROR(IF(VLOOKUP(U349,Fixtures_Proposed_List,2,FALSE)&lt;&gt;"",TRUE,FALSE),FALSE)</f>
        <v>0</v>
      </c>
      <c r="HG348" s="1379" t="b">
        <f>IF(AND(__Retrofit_TI_NC=2,EZ347=TRUE),FALSE,TRUE)</f>
        <v>1</v>
      </c>
      <c r="HH348" s="1379" t="b">
        <f>GG347</f>
        <v>1</v>
      </c>
      <c r="HI348" s="1384" t="b">
        <f>IF(ISERROR(MATCH(FB347,_Control_Match[],0))=TRUE,FALSE,TRUE)</f>
        <v>0</v>
      </c>
      <c r="HJ348" s="1384" t="b">
        <f>IFERROR(IF(EU347&lt;&gt;EV347,FALSE,TRUE),FALSE)</f>
        <v>0</v>
      </c>
      <c r="HK348" s="1384" t="b">
        <f>IFERROR(IF(EU349&lt;&gt;EV349,FALSE,TRUE),FALSE)</f>
        <v>0</v>
      </c>
      <c r="HL348" s="1379" t="b">
        <f>IFERROR(IF(CN347="Exterior",TRUE,IF(OR(AND(FJ347=0,EW349&gt;4),AND(FJ347=4,EW349&gt;4,EW349&lt;7)),FALSE,TRUE)),FALSE)</f>
        <v>0</v>
      </c>
      <c r="HM348" s="1379" t="b">
        <f>IFERROR(IF(AND(FL349=7,EZ347=TRUE),FALSE,TRUE),FALSE)</f>
        <v>0</v>
      </c>
      <c r="HN348" s="1379" t="b">
        <f>IFERROR(IF(AND(T349&lt;&gt;AE349,AF349="Interior LLLC")=TRUE,FALSE,TRUE),FALSE)</f>
        <v>1</v>
      </c>
      <c r="HO348" s="1379" t="b">
        <f>IFERROR(IF(OR(AF349=Lookup!AU$13,AF349=Lookup!AU$14)=TRUE,IF(AE349&gt;T349,FALSE,TRUE),TRUE),FALSE)</f>
        <v>1</v>
      </c>
      <c r="HP348" s="1379" t="b">
        <f>IFERROR(IF(__Retrofit_TI_NC=2,IF(EW349&lt;EW347,FALSE,TRUE),TRUE),FALSE)</f>
        <v>1</v>
      </c>
      <c r="HQ348" s="1379" t="b">
        <f>IF(CN347="Interior",IG$6,TRUE)</f>
        <v>1</v>
      </c>
      <c r="HR348" s="1379" t="b">
        <f>IF(CN347="Exterior",IG$8,TRUE)</f>
        <v>1</v>
      </c>
      <c r="HS348" s="1379" t="b">
        <f>IFERROR(IF(__Retrofit_TI_NC&lt;&gt;0,IF(AW347&lt;AV347,FALSE,TRUE),TRUE),FALSE)</f>
        <v>1</v>
      </c>
      <c r="HT348" s="1379" t="b">
        <f>IFERROR(IF(AND(G348="Exterior",R348&gt;4200),FALSE,TRUE),FALSE)</f>
        <v>1</v>
      </c>
      <c r="HU348" s="1379" t="b">
        <f>IFERROR(IF(AB350/AB347&lt;HU$18,FALSE,TRUE),FALSE)</f>
        <v>0</v>
      </c>
      <c r="HW348" s="1382"/>
      <c r="HX348" s="1378"/>
      <c r="HY348" s="1377" t="str">
        <f>VLOOKUP(HW350,_Error_Table,4,FALSE)</f>
        <v>White</v>
      </c>
      <c r="HZ348" s="436"/>
      <c r="IA348" s="1386"/>
      <c r="IB348" s="1380"/>
      <c r="IC348" s="1379"/>
      <c r="IF348" s="1380"/>
      <c r="IG348" s="1382"/>
      <c r="IH348" s="1382"/>
      <c r="II348" s="1382"/>
      <c r="IK348" s="1351"/>
      <c r="IL348" s="1351"/>
      <c r="IM348" s="1351"/>
      <c r="IN348" s="1351"/>
      <c r="IO348" s="1351"/>
      <c r="IP348" s="1351"/>
    </row>
    <row r="349" spans="1:250" s="82" customFormat="1" ht="14.95" customHeight="1" thickTop="1" thickBot="1">
      <c r="A349" s="82">
        <f>ROW()</f>
        <v>349</v>
      </c>
      <c r="B349" s="1421"/>
      <c r="C349" s="1422"/>
      <c r="D349" s="1423"/>
      <c r="E349" s="1393" t="s">
        <v>245</v>
      </c>
      <c r="F349" s="1394"/>
      <c r="G349" s="1398"/>
      <c r="H349" s="1399"/>
      <c r="I349" s="1399"/>
      <c r="J349" s="1399"/>
      <c r="K349" s="1399"/>
      <c r="L349" s="1400"/>
      <c r="M349" s="509">
        <f>IFERROR(IF(IF(__Retrofit_TI_NC&lt;&gt;0,IF(CN347="Interior",MATCH(G349,Lookup_Interior_New,0),MATCH(G349,Lookup_Exterior_New,0)),IF(CN347="Interior",MATCH(G349,Lookup_Interior,0),MATCH(G349,Lookup_Exterior_Areas,0)))&gt;0,1,0),0)</f>
        <v>0</v>
      </c>
      <c r="N349" s="509" t="e">
        <f>IF(__Retrofit_TI_NC=1,
VLOOKUP(G349,'Space Table'!$B$3:$L$160,4,FALSE),
IF(__Retrofit_TI_NC=2,VLOOKUP(G349,'Space Table'!$B$3:$L$160,5,FALSE),VLOOKUP(G349,'Space Table'!$B$3:$L$160,5,FALSE)))</f>
        <v>#N/A</v>
      </c>
      <c r="O349" s="509">
        <f>G349</f>
        <v>0</v>
      </c>
      <c r="P349" s="1394" t="s">
        <v>355</v>
      </c>
      <c r="Q349" s="1394"/>
      <c r="R349" s="674"/>
      <c r="S349" s="1401" t="s">
        <v>284</v>
      </c>
      <c r="T349" s="672"/>
      <c r="U349" s="1499"/>
      <c r="V349" s="1500"/>
      <c r="W349" s="1500"/>
      <c r="X349" s="1500"/>
      <c r="Y349" s="1500"/>
      <c r="Z349" s="1500"/>
      <c r="AA349" s="1500"/>
      <c r="AB349" s="1501"/>
      <c r="AC349" s="1501"/>
      <c r="AD349" s="1502"/>
      <c r="AE349" s="672"/>
      <c r="AF349" s="1474"/>
      <c r="AG349" s="1474"/>
      <c r="AH349" s="1474"/>
      <c r="AI349" s="1474"/>
      <c r="AJ349" s="1475">
        <f>DF349</f>
        <v>0</v>
      </c>
      <c r="AK349" s="1470" t="str">
        <f>IFERROR(ROUND(AJ349*AC350,0),"")</f>
        <v/>
      </c>
      <c r="AL349" s="1472">
        <f>IFERROR(IF(HW347=FALSE,0,AC350-AK349),0)</f>
        <v>0</v>
      </c>
      <c r="AM349" s="1441"/>
      <c r="AN349" s="1442"/>
      <c r="AO349" s="1447"/>
      <c r="AP349" s="1447"/>
      <c r="AQ349" s="1448"/>
      <c r="AR349" s="1452"/>
      <c r="AS349" s="1455"/>
      <c r="AT349" s="1458"/>
      <c r="AU349" s="516"/>
      <c r="AV349" s="1479"/>
      <c r="AW349" s="1479"/>
      <c r="BC349" s="38"/>
      <c r="BD349" s="38"/>
      <c r="BE349" s="38"/>
      <c r="BF349" s="38"/>
      <c r="BG349" s="38"/>
      <c r="BH349" s="38"/>
      <c r="BI349" s="38"/>
      <c r="BJ349" s="38"/>
      <c r="BK349" s="38"/>
      <c r="BL349" s="38"/>
      <c r="BM349" s="38"/>
      <c r="BN349" s="38"/>
      <c r="BO349" s="38"/>
      <c r="BP349" s="38"/>
      <c r="BQ349" s="38"/>
      <c r="BR349" s="38"/>
      <c r="BS349" s="38"/>
      <c r="BT349" s="38"/>
      <c r="BU349" s="38"/>
      <c r="BV349" s="38"/>
      <c r="BW349" s="38"/>
      <c r="BX349" s="38"/>
      <c r="BY349" s="38"/>
      <c r="BZ349" s="38"/>
      <c r="CA349" s="38"/>
      <c r="CB349" s="38"/>
      <c r="CC349" s="38"/>
      <c r="CD349" s="38"/>
      <c r="CE349" s="38"/>
      <c r="CF349" s="38"/>
      <c r="CG349" s="38"/>
      <c r="CH349" s="38"/>
      <c r="CI349" s="38"/>
      <c r="CM349" s="1352"/>
      <c r="CN349" s="1352"/>
      <c r="CO349" s="1415" t="str">
        <f>CN347</f>
        <v/>
      </c>
      <c r="CP349" s="1417" t="e">
        <f>CP347</f>
        <v>#N/A</v>
      </c>
      <c r="CR349" s="1386" t="s">
        <v>284</v>
      </c>
      <c r="CS349" s="1353">
        <f>IF(HW347=TRUE,T349,0)</f>
        <v>0</v>
      </c>
      <c r="CT349" s="1353" t="str">
        <f>IF(HW347=TRUE,U349,"")</f>
        <v/>
      </c>
      <c r="CU349" s="1373">
        <f>IF(HW347=TRUE,U350,0)</f>
        <v>0</v>
      </c>
      <c r="CV349" s="1370">
        <f>IF(HW347=TRUE,AB350,0)</f>
        <v>0</v>
      </c>
      <c r="CW349" s="1370">
        <f>IF(HW347=TRUE,AC350,0)</f>
        <v>0</v>
      </c>
      <c r="CX349" s="1371"/>
      <c r="CY349" s="1486"/>
      <c r="CZ349" s="1486"/>
      <c r="DA349" s="1486"/>
      <c r="DC349" s="1353">
        <f>IF(HW347=TRUE,AE349,0)</f>
        <v>0</v>
      </c>
      <c r="DD349" s="1353" t="str">
        <f>IF(HW347=TRUE,AF349,"")</f>
        <v/>
      </c>
      <c r="DE349" s="1373">
        <f>AF350</f>
        <v>0</v>
      </c>
      <c r="DF349" s="1406">
        <f>IFERROR(IF(FL349=3,IK349,IF(FL349=4,IL349,IF(FL349=5,IM349,IF(FL349=6,IN349,IF(FL349=7,IO349,IF(FL349=8,IP349,0)))))),0)</f>
        <v>0</v>
      </c>
      <c r="DG349" s="1370">
        <f>IF(HW347=TRUE,AK349,0)</f>
        <v>0</v>
      </c>
      <c r="DH349" s="1369"/>
      <c r="DK349" s="1483">
        <f>IFERROR(CW349-DG349,0)</f>
        <v>0</v>
      </c>
      <c r="DL349" s="1420"/>
      <c r="DN349" s="1403"/>
      <c r="DO349" s="1477" t="str">
        <f>DN347</f>
        <v/>
      </c>
      <c r="DP349" s="1354"/>
      <c r="DQ349" s="1477" t="str">
        <f>IF(DP347=7,"LLLC","")</f>
        <v/>
      </c>
      <c r="DR349" s="1403"/>
      <c r="DS349" s="1489"/>
      <c r="DU349" s="1403"/>
      <c r="DV349" s="1404" t="str">
        <f>DU347</f>
        <v/>
      </c>
      <c r="DW349" s="1403"/>
      <c r="DX349" s="1403"/>
      <c r="DZ349" s="1481"/>
      <c r="EA349" s="1481"/>
      <c r="EC349" s="1482"/>
      <c r="ED349" s="1369"/>
      <c r="EE349" s="1371"/>
      <c r="EF349" s="1369"/>
      <c r="EG349" s="1369"/>
      <c r="EH349" s="1374"/>
      <c r="EI349" s="1374"/>
      <c r="EJ349" s="1363"/>
      <c r="EK349" s="1376"/>
      <c r="EL349" s="1376"/>
      <c r="EM349" s="1362"/>
      <c r="EN349" s="1362"/>
      <c r="EO349" s="1363"/>
      <c r="EP349" s="1363"/>
      <c r="EQ349" s="1363"/>
      <c r="ES349" s="1403"/>
      <c r="EU349" s="1411" t="e">
        <f>VLOOKUP(CP349,'Space Table'!$B$3:$L$160,8,FALSE)</f>
        <v>#N/A</v>
      </c>
      <c r="EV349" s="1411" t="e">
        <f>IF(EY349="Yes",VLOOKUP(AF349,Lookup_Control_Type_Table2,4,FALSE),VLOOKUP(AF349,Lookup_Control_Type_Table2,3,FALSE))</f>
        <v>#N/A</v>
      </c>
      <c r="EW349" s="1411" t="e">
        <f>VLOOKUP(AF349,Lookup!AU$3:AV$15,2,FALSE)</f>
        <v>#N/A</v>
      </c>
      <c r="EX349" s="1411" t="e">
        <f>VLOOKUP(EU347,Lookup_Control_Type_Table,2,FALSE)</f>
        <v>#N/A</v>
      </c>
      <c r="EY349" s="1411" t="e">
        <f>VLOOKUP(CP349,'Space Table'!$B$3:$L$160,7,FALSE)</f>
        <v>#N/A</v>
      </c>
      <c r="EZ349" s="1413"/>
      <c r="FB349" s="1365" t="str">
        <f>CONCATENATE(CN347," - ",AF349)</f>
        <v xml:space="preserve"> - </v>
      </c>
      <c r="FD349" s="1354"/>
      <c r="FE349" s="1354"/>
      <c r="FF349" s="138"/>
      <c r="FI349" s="1356" t="str">
        <f>IF(CN347="Exterior","Not Daylighted",G350)</f>
        <v>Not Daylighted</v>
      </c>
      <c r="FJ349" s="1356">
        <f>VLOOKUP(FI349,_Daylight_Table_Codes,2,FALSE)</f>
        <v>0</v>
      </c>
      <c r="FK349" s="1365">
        <f>AF349</f>
        <v>0</v>
      </c>
      <c r="FL349" s="1365" t="e">
        <f>VLOOKUP(FK349,_Control_Table,2,FALSE)</f>
        <v>#N/A</v>
      </c>
      <c r="FM349" s="1365" t="e">
        <f>IF(AND(FP349&gt;0,FK349="Occupancy Sensor"),"Daylight + Occupancy",IF(AND(FP349&gt;0,FL349&lt;4),"Interior Daylight Dimming",FK349))</f>
        <v>#N/A</v>
      </c>
      <c r="FO349" s="1364">
        <f>IF(CN347="Interior",VLOOKUP(CP347,Control_Savings_Interior,5,FALSE),0)</f>
        <v>0</v>
      </c>
      <c r="FP349" s="1361">
        <f>IF(CN349="Exterior",0,IF(FJ349=2,0.5,IF(OR(FJ349=1,FJ349=3),1,0)))</f>
        <v>0</v>
      </c>
      <c r="FQ349" s="1366">
        <f>IF(R348&gt;FO$37,(FO349*(FO$37/R348)),FO349)*FP349</f>
        <v>0</v>
      </c>
      <c r="FR349" s="1364">
        <f>DF349</f>
        <v>0</v>
      </c>
      <c r="FS349" s="1364">
        <f>ROUND(FR349+((1-FR349)*FQ349),2)</f>
        <v>0</v>
      </c>
      <c r="FT349" s="1364">
        <f>IF(__Retrofit_TI_NC=2,FS349,FR349)</f>
        <v>0</v>
      </c>
      <c r="FU349" s="1360">
        <f>IF(CO349="Interior",VLOOKUP(CP349,Control_Savings_Interior,4,FALSE),0)</f>
        <v>0</v>
      </c>
      <c r="FW349" s="1352"/>
      <c r="FX349" s="1352"/>
      <c r="FY349" s="1352"/>
      <c r="FZ349" s="1352"/>
      <c r="GA349" s="1352"/>
      <c r="GB349" s="1352"/>
      <c r="GC349" s="1352"/>
      <c r="GD349" s="1352"/>
      <c r="GE349" s="759" t="b">
        <f>IF(ISNUMBER(SEARCH("TLED",U349)),TRUE,FALSE)</f>
        <v>0</v>
      </c>
      <c r="GF349" s="1035" t="str">
        <f>IFERROR(VLOOKUP(U349,Fixtures!DM$93:DR$142,6,FALSE),"")</f>
        <v/>
      </c>
      <c r="GG349" s="1385"/>
      <c r="GI349" s="1383"/>
      <c r="GJ349" s="1379"/>
      <c r="GL349" s="1379"/>
      <c r="GM349" s="1379"/>
      <c r="HC349" s="1379"/>
      <c r="HD349" s="1379"/>
      <c r="HE349" s="1379"/>
      <c r="HF349" s="1379"/>
      <c r="HG349" s="1379"/>
      <c r="HH349" s="1379"/>
      <c r="HI349" s="1383"/>
      <c r="HJ349" s="1383"/>
      <c r="HK349" s="1383"/>
      <c r="HL349" s="1379"/>
      <c r="HM349" s="1379"/>
      <c r="HN349" s="1379"/>
      <c r="HO349" s="1379"/>
      <c r="HP349" s="1379"/>
      <c r="HQ349" s="1379"/>
      <c r="HR349" s="1379"/>
      <c r="HS349" s="1379"/>
      <c r="HT349" s="1379"/>
      <c r="HU349" s="1379"/>
      <c r="HW349" s="1383"/>
      <c r="HX349" s="1384" t="b">
        <f>HW347</f>
        <v>0</v>
      </c>
      <c r="HY349" s="1378"/>
      <c r="HZ349" s="436"/>
      <c r="IA349" s="1386"/>
      <c r="IB349" s="1380">
        <f>IF(IA347=TRUE,AC350,0)</f>
        <v>0</v>
      </c>
      <c r="IC349" s="1379"/>
      <c r="IF349" s="1380" t="e">
        <f>ROUND(T349*AB350*N348*R348/1000,0)</f>
        <v>#VALUE!</v>
      </c>
      <c r="IG349" s="1382"/>
      <c r="IH349" s="1384" t="e">
        <f>ROUND(T349*AB350*N348*R348/1000,0)</f>
        <v>#VALUE!</v>
      </c>
      <c r="II349" s="1382"/>
      <c r="IK349" s="1351" t="e">
        <f>IF($CO349="interior",IL349/2,VLOOKUP($CP349,Control_Savings_Exterior,IK$30,FALSE))</f>
        <v>#N/A</v>
      </c>
      <c r="IL349" s="1351" t="e">
        <f>IF($CO349="interior",VLOOKUP($CP349,Control_Savings_Interior,IL$30,FALSE),VLOOKUP($CP349,Control_Savings_Exterior,IL$30,FALSE))</f>
        <v>#N/A</v>
      </c>
      <c r="IM349" s="1351" t="e">
        <f>IF($CO349="interior",IF(R348&gt;FO$37,(IM$28*(FO$37/R348)),IM$28)*FP349,VLOOKUP($CP349,Control_Savings_Exterior,IM$30,FALSE))</f>
        <v>#N/A</v>
      </c>
      <c r="IN349" s="1351" t="e">
        <f>IF($CO349="interior",ROUND(((1-IL349)*IM349)+IL349,2),VLOOKUP($CP349,Control_Savings_Exterior,IN$30,FALSE))</f>
        <v>#N/A</v>
      </c>
      <c r="IO349" s="1351" t="e">
        <f>IF($CO349="interior", ROUND(((1-IL349)*(IM349*(1-IP$28)))+IP349,2), VLOOKUP($CP349,Control_Savings_Exterior,IO$30,FALSE))</f>
        <v>#N/A</v>
      </c>
      <c r="IP349" s="1351">
        <f>IF($CO349="interior",ROUND(((1-IL349)*IP$28)+IL349,2),0)</f>
        <v>0</v>
      </c>
    </row>
    <row r="350" spans="1:250" s="82" customFormat="1" ht="14.95" customHeight="1" thickTop="1" thickBot="1">
      <c r="B350" s="1421"/>
      <c r="C350" s="1422"/>
      <c r="D350" s="1423"/>
      <c r="E350" s="1462" t="s">
        <v>357</v>
      </c>
      <c r="F350" s="1463"/>
      <c r="G350" s="1464" t="s">
        <v>362</v>
      </c>
      <c r="H350" s="1465"/>
      <c r="I350" s="1465"/>
      <c r="J350" s="1465"/>
      <c r="K350" s="1465"/>
      <c r="L350" s="1466"/>
      <c r="M350" s="669">
        <f>IFERROR(VLOOKUP(G350,_Daylight_Table[],2,FALSE),0)</f>
        <v>0</v>
      </c>
      <c r="N350" s="670"/>
      <c r="O350" s="669" t="e">
        <f>VLOOKUP(G349,'Space Table'!$B$3:$L$160,11,FALSE)</f>
        <v>#N/A</v>
      </c>
      <c r="P350" s="1408"/>
      <c r="Q350" s="1409"/>
      <c r="R350" s="1409"/>
      <c r="S350" s="1402"/>
      <c r="T350" s="671" t="s">
        <v>281</v>
      </c>
      <c r="U350" s="1467" t="str">
        <f>IFERROR(VLOOKUP(U349,Fixtures!DM$93:DP$142,4,FALSE),"")</f>
        <v/>
      </c>
      <c r="V350" s="1468"/>
      <c r="W350" s="1468"/>
      <c r="X350" s="1468"/>
      <c r="Y350" s="1468"/>
      <c r="Z350" s="1468"/>
      <c r="AA350" s="1468"/>
      <c r="AB350" s="1046" t="str">
        <f>IFERROR(VLOOKUP(U349,Fixtures_Proposed_List,2,FALSE),"")</f>
        <v/>
      </c>
      <c r="AC350" s="1036" t="str">
        <f>IFERROR(ROUND(T349*AB350*N348*R348/1000,0),"")</f>
        <v/>
      </c>
      <c r="AD350" s="1037" t="str">
        <f>IFERROR(ROUND(T349*AB350/1000,2),"")</f>
        <v/>
      </c>
      <c r="AE350" s="1045" t="s">
        <v>281</v>
      </c>
      <c r="AF350" s="1469"/>
      <c r="AG350" s="1469"/>
      <c r="AH350" s="1469"/>
      <c r="AI350" s="1469"/>
      <c r="AJ350" s="1476"/>
      <c r="AK350" s="1471"/>
      <c r="AL350" s="1473"/>
      <c r="AM350" s="1443"/>
      <c r="AN350" s="1444"/>
      <c r="AO350" s="1449"/>
      <c r="AP350" s="1449"/>
      <c r="AQ350" s="1450"/>
      <c r="AR350" s="1453"/>
      <c r="AS350" s="1456"/>
      <c r="AT350" s="1459"/>
      <c r="AU350" s="517"/>
      <c r="AV350" s="1480"/>
      <c r="AW350" s="1480"/>
      <c r="BC350" s="38"/>
      <c r="BD350" s="38"/>
      <c r="BE350" s="38"/>
      <c r="BF350" s="38"/>
      <c r="BG350" s="38"/>
      <c r="BH350" s="38"/>
      <c r="BI350" s="38"/>
      <c r="BJ350" s="38"/>
      <c r="BK350" s="38"/>
      <c r="BL350" s="38"/>
      <c r="BM350" s="38"/>
      <c r="BN350" s="38"/>
      <c r="BO350" s="38"/>
      <c r="BP350" s="38"/>
      <c r="BQ350" s="38"/>
      <c r="BR350" s="38"/>
      <c r="BS350" s="38"/>
      <c r="BT350" s="38"/>
      <c r="BU350" s="38"/>
      <c r="BV350" s="38"/>
      <c r="BW350" s="38"/>
      <c r="BX350" s="38"/>
      <c r="BY350" s="38"/>
      <c r="BZ350" s="38"/>
      <c r="CA350" s="38"/>
      <c r="CB350" s="38"/>
      <c r="CC350" s="38"/>
      <c r="CD350" s="38"/>
      <c r="CE350" s="38"/>
      <c r="CF350" s="38"/>
      <c r="CG350" s="38"/>
      <c r="CH350" s="38"/>
      <c r="CI350" s="38"/>
      <c r="CM350" s="1352"/>
      <c r="CN350" s="1352"/>
      <c r="CO350" s="1416"/>
      <c r="CP350" s="1418"/>
      <c r="CR350" s="1386"/>
      <c r="CS350" s="1355"/>
      <c r="CT350" s="1355"/>
      <c r="CU350" s="1375"/>
      <c r="CV350" s="1372"/>
      <c r="CW350" s="1372"/>
      <c r="CX350" s="1372"/>
      <c r="CY350" s="1487"/>
      <c r="CZ350" s="1487"/>
      <c r="DA350" s="1487"/>
      <c r="DC350" s="1355"/>
      <c r="DD350" s="1355"/>
      <c r="DE350" s="1375"/>
      <c r="DF350" s="1407"/>
      <c r="DG350" s="1372"/>
      <c r="DH350" s="1369"/>
      <c r="DK350" s="1484"/>
      <c r="DL350" s="1420"/>
      <c r="DN350" s="1403"/>
      <c r="DO350" s="1405"/>
      <c r="DP350" s="1355"/>
      <c r="DQ350" s="1405"/>
      <c r="DR350" s="1403"/>
      <c r="DS350" s="1489"/>
      <c r="DU350" s="1403"/>
      <c r="DV350" s="1405"/>
      <c r="DW350" s="1403"/>
      <c r="DX350" s="1403"/>
      <c r="DZ350" s="1481"/>
      <c r="EA350" s="1481"/>
      <c r="EC350" s="1482"/>
      <c r="ED350" s="1369"/>
      <c r="EE350" s="1372"/>
      <c r="EF350" s="1369"/>
      <c r="EG350" s="1369"/>
      <c r="EH350" s="1375"/>
      <c r="EI350" s="1375"/>
      <c r="EJ350" s="1363"/>
      <c r="EK350" s="1376"/>
      <c r="EL350" s="1376"/>
      <c r="EM350" s="1362"/>
      <c r="EN350" s="1362"/>
      <c r="EO350" s="1363"/>
      <c r="EP350" s="1363"/>
      <c r="EQ350" s="1363"/>
      <c r="ES350" s="1403"/>
      <c r="EU350" s="1488"/>
      <c r="EV350" s="1488"/>
      <c r="EW350" s="1488"/>
      <c r="EX350" s="1488"/>
      <c r="EY350" s="1488"/>
      <c r="EZ350" s="1414"/>
      <c r="FB350" s="1365"/>
      <c r="FD350" s="1355"/>
      <c r="FE350" s="1355"/>
      <c r="FF350" s="138"/>
      <c r="FI350" s="1357"/>
      <c r="FJ350" s="1357"/>
      <c r="FK350" s="1365"/>
      <c r="FL350" s="1365"/>
      <c r="FM350" s="1365"/>
      <c r="FO350" s="1361"/>
      <c r="FP350" s="1361"/>
      <c r="FQ350" s="1366"/>
      <c r="FR350" s="1361"/>
      <c r="FS350" s="1361"/>
      <c r="FT350" s="1361"/>
      <c r="FU350" s="1360"/>
      <c r="FW350" s="1352"/>
      <c r="FX350" s="1352"/>
      <c r="FY350" s="1352"/>
      <c r="FZ350" s="1352"/>
      <c r="GA350" s="1352"/>
      <c r="GB350" s="1352"/>
      <c r="GC350" s="1352"/>
      <c r="GD350" s="1352"/>
      <c r="GE350" s="759"/>
      <c r="GF350" s="1035"/>
      <c r="GG350" s="1385"/>
      <c r="GJ350" s="1034">
        <f>IF(GJ348=TRUE,0,GJ$16)</f>
        <v>0</v>
      </c>
      <c r="GL350" s="1034">
        <f>IF(GL348=TRUE,0,GL$16)</f>
        <v>36</v>
      </c>
      <c r="GM350" s="1034">
        <f>IF(GM348=TRUE,0,GM$16)</f>
        <v>35</v>
      </c>
      <c r="GN350" s="436"/>
      <c r="GO350" s="436"/>
      <c r="GP350" s="436"/>
      <c r="GQ350" s="436"/>
      <c r="GR350" s="436"/>
      <c r="HC350" s="1034">
        <f t="shared" ref="HC350:HH350" si="250">IF(HC348=TRUE,0,HC$16)</f>
        <v>19</v>
      </c>
      <c r="HD350" s="1034">
        <f t="shared" si="250"/>
        <v>18</v>
      </c>
      <c r="HE350" s="1034">
        <f t="shared" si="250"/>
        <v>17</v>
      </c>
      <c r="HF350" s="1034">
        <f t="shared" si="250"/>
        <v>16</v>
      </c>
      <c r="HG350" s="1034">
        <f t="shared" si="250"/>
        <v>0</v>
      </c>
      <c r="HH350" s="1034">
        <f t="shared" si="250"/>
        <v>0</v>
      </c>
      <c r="HI350" s="1034">
        <f>IF(HI348=TRUE,0,HI$16)</f>
        <v>13</v>
      </c>
      <c r="HJ350" s="1034">
        <f t="shared" ref="HJ350:HL350" si="251">IF(HJ348=TRUE,0,HJ$16)</f>
        <v>12</v>
      </c>
      <c r="HK350" s="1034">
        <f t="shared" si="251"/>
        <v>11</v>
      </c>
      <c r="HL350" s="1034">
        <f t="shared" si="251"/>
        <v>10</v>
      </c>
      <c r="HM350" s="1034">
        <f>IF(HM348=TRUE,0,HM$16)</f>
        <v>9</v>
      </c>
      <c r="HN350" s="1034">
        <f t="shared" ref="HN350:HR350" si="252">IF(HN348=TRUE,0,HN$16)</f>
        <v>0</v>
      </c>
      <c r="HO350" s="1034">
        <f t="shared" si="252"/>
        <v>0</v>
      </c>
      <c r="HP350" s="1034">
        <f t="shared" si="252"/>
        <v>0</v>
      </c>
      <c r="HQ350" s="1034">
        <f t="shared" si="252"/>
        <v>0</v>
      </c>
      <c r="HR350" s="1034">
        <f t="shared" si="252"/>
        <v>0</v>
      </c>
      <c r="HS350" s="1034">
        <f>IF(HS348=TRUE,0,HS$16)</f>
        <v>0</v>
      </c>
      <c r="HT350" s="1034">
        <f t="shared" ref="HT350" si="253">IF(HT348=TRUE,0,HT$16)</f>
        <v>0</v>
      </c>
      <c r="HU350" s="1034">
        <f>IF(HU348=TRUE,0,HU$16)</f>
        <v>1</v>
      </c>
      <c r="HW350" s="1034">
        <f>IF(GL348=FALSE,GL350,IF(GM348=FALSE,GM350,MAX(GJ350:HU350)))</f>
        <v>36</v>
      </c>
      <c r="HX350" s="1383"/>
      <c r="HY350" s="241" t="str">
        <f>VLOOKUP(HW350,_Error_Table,3,FALSE)</f>
        <v xml:space="preserve"> </v>
      </c>
      <c r="HZ350" s="241"/>
      <c r="IA350" s="1386"/>
      <c r="IB350" s="1380"/>
      <c r="IC350" s="1379"/>
      <c r="IF350" s="1380"/>
      <c r="IG350" s="1383"/>
      <c r="IH350" s="1383"/>
      <c r="II350" s="1383"/>
      <c r="IK350" s="1351"/>
      <c r="IL350" s="1351"/>
      <c r="IM350" s="1351"/>
      <c r="IN350" s="1351"/>
      <c r="IO350" s="1351"/>
      <c r="IP350" s="1351"/>
    </row>
    <row r="351" spans="1:250" s="82" customFormat="1" ht="5.0999999999999996" customHeight="1" thickBot="1">
      <c r="B351" s="763"/>
      <c r="C351" s="1038"/>
      <c r="D351" s="1038"/>
      <c r="E351" s="1490"/>
      <c r="F351" s="1490"/>
      <c r="G351" s="1490"/>
      <c r="H351" s="1490"/>
      <c r="I351" s="1490"/>
      <c r="J351" s="1490"/>
      <c r="K351" s="1490"/>
      <c r="L351" s="1490"/>
      <c r="M351" s="1490"/>
      <c r="N351" s="1490"/>
      <c r="O351" s="1490"/>
      <c r="P351" s="1490"/>
      <c r="Q351" s="1490"/>
      <c r="R351" s="1490"/>
      <c r="S351" s="1490"/>
      <c r="T351" s="1490"/>
      <c r="U351" s="1490"/>
      <c r="V351" s="1490"/>
      <c r="W351" s="1490"/>
      <c r="X351" s="1490"/>
      <c r="Y351" s="1490"/>
      <c r="Z351" s="1490"/>
      <c r="AA351" s="1490"/>
      <c r="AB351" s="1490"/>
      <c r="AC351" s="1490"/>
      <c r="AD351" s="1490"/>
      <c r="AE351" s="1490"/>
      <c r="AF351" s="1490"/>
      <c r="AG351" s="1490"/>
      <c r="AH351" s="1490"/>
      <c r="AI351" s="1490"/>
      <c r="AJ351" s="1490"/>
      <c r="AK351" s="1490"/>
      <c r="AL351" s="1490"/>
      <c r="AM351" s="1490"/>
      <c r="AN351" s="1490"/>
      <c r="AO351" s="1490"/>
      <c r="AP351" s="1490"/>
      <c r="AQ351" s="1490"/>
      <c r="AR351" s="1490"/>
      <c r="AS351" s="1490"/>
      <c r="AT351" s="1490"/>
      <c r="AU351" s="1041"/>
      <c r="BC351" s="38"/>
      <c r="BD351" s="38"/>
      <c r="BE351" s="38"/>
      <c r="BF351" s="38"/>
      <c r="BG351" s="38"/>
      <c r="BH351" s="38"/>
      <c r="BI351" s="38"/>
      <c r="BJ351" s="38"/>
      <c r="BK351" s="38"/>
      <c r="BL351" s="38"/>
      <c r="BM351" s="38"/>
      <c r="BN351" s="38"/>
      <c r="BO351" s="38"/>
      <c r="BP351" s="38"/>
      <c r="BQ351" s="38"/>
      <c r="BR351" s="38"/>
      <c r="BS351" s="38"/>
      <c r="BT351" s="38"/>
      <c r="BU351" s="38"/>
      <c r="BV351" s="38"/>
      <c r="BW351" s="38"/>
      <c r="BX351" s="38"/>
      <c r="BY351" s="38"/>
      <c r="BZ351" s="38"/>
      <c r="CA351" s="38"/>
      <c r="CB351" s="38"/>
      <c r="CC351" s="38"/>
      <c r="CD351" s="38"/>
      <c r="CE351" s="38"/>
      <c r="CF351" s="38"/>
      <c r="CG351" s="38"/>
      <c r="CH351" s="38"/>
      <c r="CI351" s="38"/>
      <c r="CM351" s="749"/>
      <c r="CN351" s="749"/>
      <c r="CO351" s="1043"/>
      <c r="CP351" s="749"/>
      <c r="CS351" s="436"/>
      <c r="CT351" s="436"/>
      <c r="CU351" s="243"/>
      <c r="CV351" s="244"/>
      <c r="CW351" s="244"/>
      <c r="CX351" s="244"/>
      <c r="CY351" s="245"/>
      <c r="CZ351" s="245"/>
      <c r="DA351" s="245"/>
      <c r="DC351" s="750"/>
      <c r="DD351" s="751"/>
      <c r="DE351" s="752"/>
      <c r="DF351" s="753"/>
      <c r="DG351" s="754"/>
      <c r="DH351" s="754"/>
      <c r="DK351" s="244"/>
      <c r="DL351" s="750"/>
      <c r="DN351" s="750"/>
      <c r="DO351" s="755"/>
      <c r="DP351" s="436"/>
      <c r="DQ351" s="750"/>
      <c r="DR351" s="750"/>
      <c r="DS351" s="750"/>
      <c r="DU351" s="750"/>
      <c r="DV351" s="750"/>
      <c r="DW351" s="750"/>
      <c r="DX351" s="750"/>
      <c r="DZ351" s="756"/>
      <c r="EA351" s="756"/>
      <c r="EC351" s="754"/>
      <c r="ED351" s="754"/>
      <c r="EE351" s="244"/>
      <c r="EF351" s="754"/>
      <c r="EG351" s="754"/>
      <c r="EH351" s="243"/>
      <c r="EI351" s="243"/>
      <c r="EJ351" s="752"/>
      <c r="EK351" s="757"/>
      <c r="EL351" s="757"/>
      <c r="EM351" s="758"/>
      <c r="EN351" s="758"/>
      <c r="EO351" s="752"/>
      <c r="EP351" s="752"/>
      <c r="EQ351" s="752"/>
      <c r="ES351" s="750"/>
      <c r="EU351" s="436"/>
      <c r="EV351" s="436"/>
      <c r="EW351" s="436"/>
      <c r="EX351" s="436"/>
      <c r="EY351" s="436"/>
      <c r="EZ351" s="436"/>
      <c r="FB351" s="643"/>
      <c r="FD351" s="436"/>
      <c r="FE351" s="436"/>
      <c r="FF351" s="436"/>
      <c r="FO351" s="750"/>
      <c r="FP351" s="436"/>
      <c r="FQ351" s="436"/>
      <c r="FR351" s="750"/>
      <c r="FS351" s="750"/>
      <c r="FW351" s="749"/>
      <c r="FX351" s="749"/>
      <c r="FY351" s="749"/>
      <c r="FZ351" s="749"/>
      <c r="GA351" s="749"/>
      <c r="GB351" s="749"/>
      <c r="GC351" s="749"/>
      <c r="GD351" s="749"/>
      <c r="GE351" s="751"/>
      <c r="GF351" s="750"/>
      <c r="GG351" s="750"/>
    </row>
    <row r="352" spans="1:250" s="82" customFormat="1" ht="14.95" customHeight="1" thickTop="1" thickBot="1">
      <c r="B352" s="1421" t="str">
        <f>HY355</f>
        <v xml:space="preserve"> </v>
      </c>
      <c r="C352" s="1422">
        <f>C347+1</f>
        <v>61</v>
      </c>
      <c r="D352" s="1423"/>
      <c r="E352" s="1424" t="s">
        <v>242</v>
      </c>
      <c r="F352" s="1425"/>
      <c r="G352" s="1426"/>
      <c r="H352" s="1427"/>
      <c r="I352" s="1427"/>
      <c r="J352" s="1427"/>
      <c r="K352" s="1427"/>
      <c r="L352" s="1427"/>
      <c r="M352" s="1427"/>
      <c r="N352" s="1427"/>
      <c r="O352" s="1427"/>
      <c r="P352" s="1427"/>
      <c r="Q352" s="1427"/>
      <c r="R352" s="1427"/>
      <c r="S352" s="1428" t="s">
        <v>283</v>
      </c>
      <c r="T352" s="668" t="s">
        <v>190</v>
      </c>
      <c r="U352" s="1430" t="s">
        <v>186</v>
      </c>
      <c r="V352" s="1431"/>
      <c r="W352" s="1431"/>
      <c r="X352" s="1431"/>
      <c r="Y352" s="1431"/>
      <c r="Z352" s="1431"/>
      <c r="AA352" s="1431"/>
      <c r="AB352" s="1088" t="str">
        <f>IFERROR(IF(__Retrofit_TI_NC=0,VLOOKUP(U353,Fixtures_Existing_List,2,FALSE),ROUND(N354*R354/T354,10)),"")</f>
        <v/>
      </c>
      <c r="AC352" s="1039" t="str">
        <f>IFERROR(IF(__Retrofit_TI_NC=0,ROUND(T353*AB352*N353*R353/1000,0),IF(CN352="Interior",N354*R354*R353*N353*_C406_reduction/1000,N354*R354*R353*N353/1000)),"")</f>
        <v/>
      </c>
      <c r="AD352" s="1040" t="str">
        <f>IFERROR(IF(C$36=0,ROUND(T353*AB352/1000,2),N354*R354/1000),"")</f>
        <v/>
      </c>
      <c r="AE352" s="1044" t="s">
        <v>190</v>
      </c>
      <c r="AF352" s="1432" t="str">
        <f>IF(__Retrofit_TI_NC=2,CONCATENATE("Code min = ",DD352),IF(__Retrofit_TI_NC=1,"Emter what you think the existing control was"," Control"))</f>
        <v xml:space="preserve"> Control</v>
      </c>
      <c r="AG352" s="1432"/>
      <c r="AH352" s="1432"/>
      <c r="AI352" s="1432"/>
      <c r="AJ352" s="1433">
        <f>DF352</f>
        <v>0</v>
      </c>
      <c r="AK352" s="1435" t="str">
        <f>IFERROR(ROUND(AJ352*AC352,0),"")</f>
        <v/>
      </c>
      <c r="AL352" s="1437">
        <f>IFERROR(IF(HW352=FALSE,0,AC352-AK352),0)</f>
        <v>0</v>
      </c>
      <c r="AM352" s="1439">
        <f>AL352-AL354</f>
        <v>0</v>
      </c>
      <c r="AN352" s="1440"/>
      <c r="AO352" s="1445">
        <f>IFERROR(IF(HW352=FALSE,0,(T354*U355)+(AE354*AF355)),0)</f>
        <v>0</v>
      </c>
      <c r="AP352" s="1445"/>
      <c r="AQ352" s="1446"/>
      <c r="AR352" s="1451" t="s">
        <v>157</v>
      </c>
      <c r="AS352" s="1454">
        <f>IF(AR352="Yes",1,0)</f>
        <v>1</v>
      </c>
      <c r="AT352" s="1457" t="str">
        <f>IF(OR(DN352=4,DN352=5,DN352=6,DN352=12),CONCATENATE("$",IF(GD352=TRUE,Lookup!$B$11,Lookup!$B$2)," /lamp"),CONCATENATE(EA352,"/ kWh"))</f>
        <v>0/ kWh</v>
      </c>
      <c r="AU352" s="516"/>
      <c r="AV352" s="1478">
        <f>IFERROR(IF(GI353=TRUE,(AB355*T354)/R354,0),"NA")</f>
        <v>0</v>
      </c>
      <c r="AW352" s="1478" t="str">
        <f>IFERROR(N354*_C406_reduction,"NA")</f>
        <v>NA</v>
      </c>
      <c r="BC352" s="38"/>
      <c r="BD352" s="38"/>
      <c r="BE352" s="38"/>
      <c r="BF352" s="38"/>
      <c r="BG352" s="38"/>
      <c r="BH352" s="38"/>
      <c r="BI352" s="38"/>
      <c r="BJ352" s="38"/>
      <c r="BK352" s="38"/>
      <c r="BL352" s="38"/>
      <c r="BM352" s="38"/>
      <c r="BN352" s="38"/>
      <c r="BO352" s="38"/>
      <c r="BP352" s="38"/>
      <c r="BQ352" s="38"/>
      <c r="BR352" s="38"/>
      <c r="BS352" s="38"/>
      <c r="BT352" s="38"/>
      <c r="BU352" s="38"/>
      <c r="BV352" s="38"/>
      <c r="BW352" s="38"/>
      <c r="BX352" s="38"/>
      <c r="BY352" s="38"/>
      <c r="BZ352" s="38"/>
      <c r="CA352" s="38"/>
      <c r="CB352" s="38"/>
      <c r="CC352" s="38"/>
      <c r="CD352" s="38"/>
      <c r="CE352" s="38"/>
      <c r="CF352" s="38"/>
      <c r="CG352" s="38"/>
      <c r="CH352" s="38"/>
      <c r="CI352" s="38"/>
      <c r="CM352" s="1352" t="str">
        <f>N353</f>
        <v/>
      </c>
      <c r="CN352" s="1352" t="str">
        <f>IFERROR(VLOOKUP(G353,_Lookup_Heat_Type_Table_New,3,FALSE),"")</f>
        <v/>
      </c>
      <c r="CO352" s="1415" t="str">
        <f>CN352</f>
        <v/>
      </c>
      <c r="CP352" s="1417" t="e">
        <f>VLOOKUP(G354,'Space Table'!$B$3:$L$160,9,FALSE)</f>
        <v>#N/A</v>
      </c>
      <c r="CR352" s="1386" t="s">
        <v>283</v>
      </c>
      <c r="CS352" s="1353">
        <f>IF(HW352=TRUE,T353,0)</f>
        <v>0</v>
      </c>
      <c r="CT352" s="1353" t="str">
        <f>IF(HW352=TRUE,U353,"")</f>
        <v/>
      </c>
      <c r="CU352" s="1353"/>
      <c r="CV352" s="1370">
        <f>IF(HW352=TRUE,AB352,0)</f>
        <v>0</v>
      </c>
      <c r="CW352" s="1370">
        <f>IF(HW352=TRUE,AC352,0)</f>
        <v>0</v>
      </c>
      <c r="CX352" s="1370">
        <f>IFERROR(IF(HW352=TRUE,CW352-CW354,0),0)</f>
        <v>0</v>
      </c>
      <c r="CY352" s="1485">
        <f>IF(HW352=TRUE,AD352,0)</f>
        <v>0</v>
      </c>
      <c r="CZ352" s="1485">
        <f>IF(HW352=TRUE,AD355,0)</f>
        <v>0</v>
      </c>
      <c r="DA352" s="1485">
        <f>IFERROR(CY352-CZ352,0)</f>
        <v>0</v>
      </c>
      <c r="DC352" s="1353">
        <f>IF(HW352=TRUE,AE353,0)</f>
        <v>0</v>
      </c>
      <c r="DD352" s="1460">
        <f>IF(__Retrofit_TI_NC=2,IF(CN352="Exterior",O355,FM352),FK352)</f>
        <v>0</v>
      </c>
      <c r="DE352" s="1353"/>
      <c r="DF352" s="1406">
        <f>IFERROR(IF(FL352=3,IK352,IF(FL352=4,IL352,IF(FL352=5,IM352,IF(FL352=6,IN352,IF(FL352=7,IO352,IF(FL352=8,IP352,0)))))),0)</f>
        <v>0</v>
      </c>
      <c r="DG352" s="1370">
        <f>IF(HW352=TRUE,AK352,0)</f>
        <v>0</v>
      </c>
      <c r="DH352" s="1369">
        <f>IFERROR(IF(HW352=TRUE,DG354-DG352,0),0)</f>
        <v>0</v>
      </c>
      <c r="DJ352" s="1483">
        <f>IFERROR(CW352-DG352,0)</f>
        <v>0</v>
      </c>
      <c r="DL352" s="1419">
        <f>DJ352-DK354</f>
        <v>0</v>
      </c>
      <c r="DN352" s="1403" t="str">
        <f>IFERROR(IF(AND(OR(FY352=4,FY352=5,FY352=6),OR(GB352=4,GB352=5,GB352=6)),FY352+8,VLOOKUP(CT354,Fixtures!R$31:Y$78,8,FALSE)),"")</f>
        <v/>
      </c>
      <c r="DO352" s="1404" t="str">
        <f>DN352</f>
        <v/>
      </c>
      <c r="DP352" s="1353" t="str">
        <f>IFERROR(VLOOKUP(DD354,Lookup!AU$3:AV$15,2,FALSE),"")</f>
        <v/>
      </c>
      <c r="DQ352" s="1404" t="str">
        <f>IF(DP352=7,"LLLC","")</f>
        <v/>
      </c>
      <c r="DR352" s="1403">
        <f>IFERROR(IF(OR(DN352=4,DN352=5,DN352=6,DN352=12,DN352=13,DN352=14),VLOOKUP(CT354,Fixtures!DN$27:EG$77,19,FALSE),1)*CS354,0)</f>
        <v>0</v>
      </c>
      <c r="DS352" s="1489">
        <f>IF(DP352=7,IF(DD352=DD354,0,DC354),0)</f>
        <v>0</v>
      </c>
      <c r="DU352" s="1403" t="str">
        <f>IFERROR(IF(EW352&lt;EW354,"Yes","No"),"")</f>
        <v/>
      </c>
      <c r="DV352" s="1404" t="str">
        <f>DU352</f>
        <v/>
      </c>
      <c r="DW352" s="1403">
        <f>IF(DU352="Yes",DC354,0)</f>
        <v>0</v>
      </c>
      <c r="DX352" s="1403">
        <f>DW352-DS352</f>
        <v>0</v>
      </c>
      <c r="DZ352" s="1481">
        <f>IFERROR(VLOOKUP(DN352,Lookup!AN$3:AO$16,2,FALSE),0)</f>
        <v>0</v>
      </c>
      <c r="EA352" s="1481">
        <f>IF(HW352=FALSE,0,IF(DU352="Yes",DZ352+Lookup!B$6,DZ352))</f>
        <v>0</v>
      </c>
      <c r="EC352" s="1482">
        <f>IF(HW352=TRUE,DJ352,0)</f>
        <v>0</v>
      </c>
      <c r="ED352" s="1369">
        <f>IF(HW352=TRUE,CW354,0)</f>
        <v>0</v>
      </c>
      <c r="EE352" s="1370">
        <f>IFERROR(EC352-ED352,0)</f>
        <v>0</v>
      </c>
      <c r="EF352" s="1369">
        <f>IF(HW352=TRUE,DG354,0)</f>
        <v>0</v>
      </c>
      <c r="EG352" s="1369">
        <f>IFERROR(EC352-ED352+EF352,0)</f>
        <v>0</v>
      </c>
      <c r="EH352" s="1373">
        <f>IF(HW352=TRUE,CS354*CU354,0)</f>
        <v>0</v>
      </c>
      <c r="EI352" s="1373">
        <f>IF(HW352=TRUE,DC354*DE354,0)</f>
        <v>0</v>
      </c>
      <c r="EJ352" s="1363">
        <f>AO352</f>
        <v>0</v>
      </c>
      <c r="EK352" s="1376" t="str">
        <f>IFERROR(IF(HW352=TRUE,VLOOKUP(DN352,Lookup!AN$3:AP$16,3,FALSE)*DR352,""),0)</f>
        <v/>
      </c>
      <c r="EL352" s="1376">
        <f>IF(HW352=TRUE,DW352*Lookup!AP$12,0)</f>
        <v>0</v>
      </c>
      <c r="EM352" s="1362">
        <f>IFERROR(IF(HW352=TRUE,EK352/EM$33,0),0)</f>
        <v>0</v>
      </c>
      <c r="EN352" s="1362">
        <f>IF(HW352=TRUE,EL352/EN$33,0)</f>
        <v>0</v>
      </c>
      <c r="EO352" s="1363">
        <f>IF(HW352=TRUE,EQ$33*EM352,0)</f>
        <v>0</v>
      </c>
      <c r="EP352" s="1363">
        <f>IF(HW352=TRUE,EQ$33*EN352,0)</f>
        <v>0</v>
      </c>
      <c r="EQ352" s="1363">
        <f>EO352+EP352</f>
        <v>0</v>
      </c>
      <c r="ES352" s="1403">
        <f>IF(G352="",0,1)</f>
        <v>0</v>
      </c>
      <c r="EU352" s="1410" t="e">
        <f>VLOOKUP(CP354,'Space Table'!$B$3:$L$160,8,FALSE)</f>
        <v>#N/A</v>
      </c>
      <c r="EV352" s="1410" t="e">
        <f>IF(EY352="Yes",VLOOKUP(DD352,Lookup_Control_Type_Table2,4,FALSE),VLOOKUP(DD352,Lookup_Control_Type_Table2,3,FALSE))</f>
        <v>#N/A</v>
      </c>
      <c r="EW352" s="1410" t="e">
        <f>VLOOKUP(DD352,Lookup!AU$3:AV$15,2,FALSE)</f>
        <v>#N/A</v>
      </c>
      <c r="EX352" s="1410" t="e">
        <f>VLOOKUP(EU352,Lookup_Control_Type_Table,2,FALSE)</f>
        <v>#N/A</v>
      </c>
      <c r="EY352" s="1410" t="e">
        <f>VLOOKUP(CP354,'Space Table'!$B$3:$L$160,7,FALSE)</f>
        <v>#N/A</v>
      </c>
      <c r="EZ352" s="1412" t="b">
        <f>ISNUMBER(SEARCH("TLED",U354))</f>
        <v>0</v>
      </c>
      <c r="FB352" s="1365" t="str">
        <f>CONCATENATE(CN352," - ",DD352)</f>
        <v xml:space="preserve"> - 0</v>
      </c>
      <c r="FD352" s="1353" t="str">
        <f>VLOOKUP(CT354,Fixtures!DN$27:EZ$77,38,FALSE)</f>
        <v/>
      </c>
      <c r="FE352" s="1353">
        <f>IFERROR(FD352*EE352,0)</f>
        <v>0</v>
      </c>
      <c r="FF352" s="138"/>
      <c r="FI352" s="1356" t="str">
        <f>IF(CN352="Exterior","Not Daylighted",G355)</f>
        <v>Not Daylighted</v>
      </c>
      <c r="FJ352" s="1356">
        <f>VLOOKUP(FI352,_Daylight_Table_Codes,2,FALSE)</f>
        <v>0</v>
      </c>
      <c r="FK352" s="1365">
        <f>IF(__Retrofit_TI_NC=2,VLOOKUP(G354,'Space Table'!$B$3:$L$160,11,FALSE),AF353)</f>
        <v>0</v>
      </c>
      <c r="FL352" s="1365" t="e">
        <f>VLOOKUP(FK352,_Control_Table,2,FALSE)</f>
        <v>#N/A</v>
      </c>
      <c r="FM352" s="1365" t="e">
        <f>IF(AND(FP352&gt;0,FK352="Occupancy Sensor"),"Daylight + Occupancy",IF(AND(FP352&gt;0,FL352&lt;4),"Interior Daylight Dimming",FK352))</f>
        <v>#N/A</v>
      </c>
      <c r="FO352" s="1364">
        <f>IF(CO352="Interior",VLOOKUP(CP352,Control_Savings_Interior,5,FALSE),0)</f>
        <v>0</v>
      </c>
      <c r="FP352" s="1361">
        <f>IF(CN352="Exterior",0,IF(FJ352=2,0.5,IF(OR(FJ352=1,FJ352=3),1,0)))</f>
        <v>0</v>
      </c>
      <c r="FQ352" s="1366"/>
      <c r="FR352" s="1367"/>
      <c r="FS352" s="1364"/>
      <c r="FT352" s="1367"/>
      <c r="FU352" s="1360"/>
      <c r="FW352" s="1352" t="str">
        <f>IFERROR(VLOOKUP(U353,_Exist_Fixture_Table,3,FALSE),"")</f>
        <v/>
      </c>
      <c r="FX352" s="1352" t="str">
        <f>VLOOKUP(CT352,_Exist_Fixture_Table,4,FALSE)</f>
        <v/>
      </c>
      <c r="FY352" s="1352">
        <f>IFERROR(VLOOKUP(FX352,Lookup!AM$6:AN$8,2,FALSE),0)</f>
        <v>0</v>
      </c>
      <c r="FZ352" s="1352" t="b">
        <f>IFERROR(IF(OR(GB352=4,GB352=5,GB352=6),TRUE,FALSE),"")</f>
        <v>0</v>
      </c>
      <c r="GA352" s="1352" t="str">
        <f>IFERROR(VLOOKUP(GB352,FY$6:FZ$10,2,FALSE),"")</f>
        <v/>
      </c>
      <c r="GB352" s="1352" t="str">
        <f>VLOOKUP(CT354,Fixtures!R$31:Y$78,8,FALSE)</f>
        <v/>
      </c>
      <c r="GC352" s="1352">
        <f>IF(AND(FW352=TRUE,FZ352=TRUE,OR(DN352=12,DN352=13,DN352=14)),FY352+8,0)</f>
        <v>0</v>
      </c>
      <c r="GD352" s="1352" t="b">
        <f>IF(OR(GC352=12,GC352=13,GC352=14),TRUE,FALSE)</f>
        <v>0</v>
      </c>
      <c r="GE352" s="759" t="b">
        <f>IF(ISNUMBER(SEARCH("TLED",U353)),TRUE,FALSE)</f>
        <v>0</v>
      </c>
      <c r="GF352" s="1035" t="str">
        <f>IFERROR(VLOOKUP(U353,Fixtures!BM$93:BR$142,6,FALSE),"")</f>
        <v/>
      </c>
      <c r="GG352" s="1385" t="b">
        <f>IF(OR(GE352=FALSE,GE354=FALSE),TRUE,IF(GF352-GF354&lt;5,FALSE,TRUE))</f>
        <v>1</v>
      </c>
      <c r="GK352" s="1034">
        <f>GL352</f>
        <v>0</v>
      </c>
      <c r="GL352" s="1034">
        <f>IF(G352="",0,1)</f>
        <v>0</v>
      </c>
      <c r="GM352" s="1034">
        <f>SUM(GN352:HB352)</f>
        <v>2</v>
      </c>
      <c r="GN352" s="1034">
        <f>IF(G353="",0,1)</f>
        <v>0</v>
      </c>
      <c r="GO352" s="1034">
        <f>IF(G354="",0,1)</f>
        <v>0</v>
      </c>
      <c r="GP352" s="1034">
        <f>IF(R353="",0,1)</f>
        <v>0</v>
      </c>
      <c r="GQ352" s="1034">
        <f>IF(__Retrofit_TI_NC=0,1,IF(R354="",0,1))</f>
        <v>1</v>
      </c>
      <c r="GR352" s="1034">
        <f>IF(CN352="Exterior",1,IF(G355="",0,1))</f>
        <v>1</v>
      </c>
      <c r="GS352" s="1034">
        <f>IF(__Retrofit_TI_NC&lt;&gt;0,1,IF(T353="",0,1))</f>
        <v>0</v>
      </c>
      <c r="GT352" s="1034">
        <f>IF(__Retrofit_TI_NC&lt;&gt;0,1,IF(U353="",0,1))</f>
        <v>0</v>
      </c>
      <c r="GU352" s="1034">
        <f>IF(T354="",0,1)</f>
        <v>0</v>
      </c>
      <c r="GV352" s="1034">
        <f>IF(U354="",0,1)</f>
        <v>0</v>
      </c>
      <c r="GW352" s="1034">
        <f>IF(__Retrofit_TI_NC=2,1,IF(U355="",0,1))</f>
        <v>0</v>
      </c>
      <c r="GX352" s="1034">
        <f>IF(__Retrofit_TI_NC&lt;&gt;0,1,IF(AE353="",0,1))</f>
        <v>0</v>
      </c>
      <c r="GY352" s="1034">
        <f>IF(__Retrofit_TI_NC&lt;&gt;0,1,IF(AF353="",0,1))</f>
        <v>0</v>
      </c>
      <c r="GZ352" s="1034">
        <f>IF(AE354="",0,1)</f>
        <v>0</v>
      </c>
      <c r="HA352" s="1034">
        <f>IF(AF354="",0,1)</f>
        <v>0</v>
      </c>
      <c r="HB352" s="1034">
        <f>IF(__Retrofit_TI_NC=2,1,IF(AF355="",0,1))</f>
        <v>0</v>
      </c>
      <c r="HV352" s="436"/>
      <c r="HW352" s="1384" t="b">
        <f>IF(OR(HW355=0,HW355=HT$16,HW355=HS$16,HW355=HU$16),TRUE,FALSE)</f>
        <v>0</v>
      </c>
      <c r="HX352" s="1377" t="b">
        <f>HW352</f>
        <v>0</v>
      </c>
      <c r="HY352" s="436"/>
      <c r="HZ352" s="436"/>
      <c r="IA352" s="1386" t="b">
        <f>IF(MAX(GJ355:HP355)&gt;5,FALSE,TRUE)</f>
        <v>0</v>
      </c>
      <c r="IB352" s="1380">
        <f>IF(IA352=TRUE,AC352,0)</f>
        <v>0</v>
      </c>
      <c r="IC352" s="1380">
        <f>IB352-IB354</f>
        <v>0</v>
      </c>
      <c r="IF352" s="1380" t="e">
        <f>ROUND(T353*VLOOKUP(U353,Fixtures_Existing_List,2,FALSE)*N353*R353/1000,0)</f>
        <v>#N/A</v>
      </c>
      <c r="IG352" s="1381" t="e">
        <f>IF352-IF354</f>
        <v>#N/A</v>
      </c>
      <c r="IH352" s="1384" t="e">
        <f>ROUND(IF(CN352="Interior",N354*R354*R353*N353*_C406_reduction/1000,N354*R354*R353*N353/1000),0)</f>
        <v>#N/A</v>
      </c>
      <c r="II352" s="1384" t="e">
        <f>IH352-IH354</f>
        <v>#N/A</v>
      </c>
      <c r="IK352" s="1351" t="e">
        <f>IF($CO352="interior",IL352/2,VLOOKUP($CP352,Control_Savings_Exterior,IK$30,FALSE))</f>
        <v>#N/A</v>
      </c>
      <c r="IL352" s="1351" t="e">
        <f>IF($CO352="interior",VLOOKUP($CP352,Control_Savings_Interior,IL$30,FALSE),VLOOKUP($CP352,Control_Savings_Exterior,IL$30,FALSE))</f>
        <v>#N/A</v>
      </c>
      <c r="IM352" s="1351" t="e">
        <f>IF($CO352="interior",IF(R353&gt;FO$37,(IM$28*(FO$37/R353)),IM$28)*FP352,VLOOKUP($CP352,Control_Savings_Exterior,IM$30,FALSE))</f>
        <v>#N/A</v>
      </c>
      <c r="IN352" s="1351" t="e">
        <f>IF($CO352="interior",ROUND(((1-IL352)*IM352)+IL352,2),VLOOKUP($CP352,Control_Savings_Exterior,IN$30,FALSE))</f>
        <v>#N/A</v>
      </c>
      <c r="IO352" s="1351" t="e">
        <f>IF($CO352="interior", ROUND(((1-IL352)*(IM352*(1-IP$28)))+IP352,2), VLOOKUP($CP352,Control_Savings_Exterior,IO$30,FALSE))</f>
        <v>#N/A</v>
      </c>
      <c r="IP352" s="1351">
        <f>IF($CO352="interior",ROUND(((1-IL352)*IP$28)+IL352,2),0)</f>
        <v>0</v>
      </c>
    </row>
    <row r="353" spans="1:250" s="82" customFormat="1" ht="14.95" customHeight="1" thickTop="1" thickBot="1">
      <c r="B353" s="1421"/>
      <c r="C353" s="1422"/>
      <c r="D353" s="1423"/>
      <c r="E353" s="1393" t="s">
        <v>244</v>
      </c>
      <c r="F353" s="1394"/>
      <c r="G353" s="1395"/>
      <c r="H353" s="1395"/>
      <c r="I353" s="1395"/>
      <c r="J353" s="1395"/>
      <c r="K353" s="1395"/>
      <c r="L353" s="1395"/>
      <c r="M353" s="509" t="e">
        <f>IF(__Retrofit_TI_NC&lt;&gt;0,IF(VLOOKUP(G354,'Space Table'!$B$3:$L$160,3,FALSE)&gt;0,1,0),IF(__Retrofit_TI_NC=VLOOKUP(G354,'Space Table'!$B$3:$L$160,3,FALSE),1,0))</f>
        <v>#N/A</v>
      </c>
      <c r="N353" s="509" t="str">
        <f>IFERROR(VLOOKUP(G353,_Lookup_Heat_Type_Table_New,2,FALSE),"")</f>
        <v/>
      </c>
      <c r="O353" s="509">
        <f>IF(__Retrofit_TI_NC=1,CONCATENATE("TI ",G353),IF(__Retrofit_TI_NC=2,CONCATENATE("NC ",G353),G353))</f>
        <v>0</v>
      </c>
      <c r="P353" s="1396" t="s">
        <v>352</v>
      </c>
      <c r="Q353" s="1396"/>
      <c r="R353" s="673"/>
      <c r="S353" s="1429"/>
      <c r="T353" s="675"/>
      <c r="U353" s="1496"/>
      <c r="V353" s="1497"/>
      <c r="W353" s="1497"/>
      <c r="X353" s="1497"/>
      <c r="Y353" s="1497"/>
      <c r="Z353" s="1497"/>
      <c r="AA353" s="1497"/>
      <c r="AB353" s="1497"/>
      <c r="AC353" s="1497"/>
      <c r="AD353" s="1498"/>
      <c r="AE353" s="675"/>
      <c r="AF353" s="1397"/>
      <c r="AG353" s="1397"/>
      <c r="AH353" s="1397"/>
      <c r="AI353" s="1397"/>
      <c r="AJ353" s="1434"/>
      <c r="AK353" s="1436"/>
      <c r="AL353" s="1438"/>
      <c r="AM353" s="1441"/>
      <c r="AN353" s="1442"/>
      <c r="AO353" s="1447"/>
      <c r="AP353" s="1447"/>
      <c r="AQ353" s="1448"/>
      <c r="AR353" s="1452"/>
      <c r="AS353" s="1455"/>
      <c r="AT353" s="1458"/>
      <c r="AU353" s="516"/>
      <c r="AV353" s="1479"/>
      <c r="AW353" s="1479"/>
      <c r="BC353" s="38"/>
      <c r="BD353" s="38"/>
      <c r="BE353" s="38"/>
      <c r="BF353" s="38"/>
      <c r="BG353" s="38"/>
      <c r="BH353" s="38"/>
      <c r="BI353" s="38"/>
      <c r="BJ353" s="38"/>
      <c r="BK353" s="38"/>
      <c r="BL353" s="38"/>
      <c r="BM353" s="38"/>
      <c r="BN353" s="38"/>
      <c r="BO353" s="38"/>
      <c r="BP353" s="38"/>
      <c r="BQ353" s="38"/>
      <c r="BR353" s="38"/>
      <c r="BS353" s="38"/>
      <c r="BT353" s="38"/>
      <c r="BU353" s="38"/>
      <c r="BV353" s="38"/>
      <c r="BW353" s="38"/>
      <c r="BX353" s="38"/>
      <c r="BY353" s="38"/>
      <c r="BZ353" s="38"/>
      <c r="CA353" s="38"/>
      <c r="CB353" s="38"/>
      <c r="CC353" s="38"/>
      <c r="CD353" s="38"/>
      <c r="CE353" s="38"/>
      <c r="CF353" s="38"/>
      <c r="CG353" s="38"/>
      <c r="CH353" s="38"/>
      <c r="CI353" s="38"/>
      <c r="CM353" s="1352"/>
      <c r="CN353" s="1352"/>
      <c r="CO353" s="1416"/>
      <c r="CP353" s="1418"/>
      <c r="CR353" s="1386"/>
      <c r="CS353" s="1355"/>
      <c r="CT353" s="1355"/>
      <c r="CU353" s="1355"/>
      <c r="CV353" s="1372"/>
      <c r="CW353" s="1372"/>
      <c r="CX353" s="1371"/>
      <c r="CY353" s="1486"/>
      <c r="CZ353" s="1486"/>
      <c r="DA353" s="1486"/>
      <c r="DC353" s="1355"/>
      <c r="DD353" s="1461"/>
      <c r="DE353" s="1355"/>
      <c r="DF353" s="1407"/>
      <c r="DG353" s="1372"/>
      <c r="DH353" s="1369"/>
      <c r="DJ353" s="1484"/>
      <c r="DL353" s="1419"/>
      <c r="DN353" s="1403"/>
      <c r="DO353" s="1405"/>
      <c r="DP353" s="1354"/>
      <c r="DQ353" s="1405"/>
      <c r="DR353" s="1403"/>
      <c r="DS353" s="1489"/>
      <c r="DU353" s="1403"/>
      <c r="DV353" s="1405"/>
      <c r="DW353" s="1403"/>
      <c r="DX353" s="1403"/>
      <c r="DZ353" s="1481"/>
      <c r="EA353" s="1481"/>
      <c r="EC353" s="1482"/>
      <c r="ED353" s="1369"/>
      <c r="EE353" s="1371"/>
      <c r="EF353" s="1369"/>
      <c r="EG353" s="1369"/>
      <c r="EH353" s="1374"/>
      <c r="EI353" s="1374"/>
      <c r="EJ353" s="1363"/>
      <c r="EK353" s="1376"/>
      <c r="EL353" s="1376"/>
      <c r="EM353" s="1362"/>
      <c r="EN353" s="1362"/>
      <c r="EO353" s="1363"/>
      <c r="EP353" s="1363"/>
      <c r="EQ353" s="1363"/>
      <c r="ES353" s="1403"/>
      <c r="EU353" s="1411"/>
      <c r="EV353" s="1411"/>
      <c r="EW353" s="1411"/>
      <c r="EX353" s="1411"/>
      <c r="EY353" s="1411"/>
      <c r="EZ353" s="1413"/>
      <c r="FB353" s="1365"/>
      <c r="FD353" s="1354"/>
      <c r="FE353" s="1354"/>
      <c r="FF353" s="138"/>
      <c r="FI353" s="1357"/>
      <c r="FJ353" s="1357"/>
      <c r="FK353" s="1365"/>
      <c r="FL353" s="1365"/>
      <c r="FM353" s="1365"/>
      <c r="FO353" s="1361"/>
      <c r="FP353" s="1361"/>
      <c r="FQ353" s="1366"/>
      <c r="FR353" s="1368"/>
      <c r="FS353" s="1361"/>
      <c r="FT353" s="1368"/>
      <c r="FU353" s="1360"/>
      <c r="FW353" s="1352"/>
      <c r="FX353" s="1352"/>
      <c r="FY353" s="1352"/>
      <c r="FZ353" s="1352"/>
      <c r="GA353" s="1352"/>
      <c r="GB353" s="1352"/>
      <c r="GC353" s="1352"/>
      <c r="GD353" s="1352"/>
      <c r="GE353" s="759"/>
      <c r="GF353" s="1035"/>
      <c r="GG353" s="1385"/>
      <c r="GI353" s="1384" t="b">
        <f>IF(AND(GL353=TRUE,GM353=TRUE),TRUE,FALSE)</f>
        <v>0</v>
      </c>
      <c r="GJ353" s="1379" t="b">
        <f>IFERROR(IF(__Retrofit_TI_NC=2,TRUE,IF(AR352="Yes",TRUE,FALSE)),FALSE)</f>
        <v>1</v>
      </c>
      <c r="GL353" s="1379" t="b">
        <f>IFERROR(IF(GL352=1,TRUE,FALSE),FALSE)</f>
        <v>0</v>
      </c>
      <c r="GM353" s="1379" t="b">
        <f>IFERROR(IF(GM352=GM$14,TRUE,FALSE),FALSE)</f>
        <v>0</v>
      </c>
      <c r="HC353" s="1379" t="b">
        <f>IFERROR(IF(M353=1,TRUE,FALSE),FALSE)</f>
        <v>0</v>
      </c>
      <c r="HD353" s="1379" t="b">
        <f>IFERROR(IF(M354=1,TRUE,FALSE),FALSE)</f>
        <v>0</v>
      </c>
      <c r="HE353" s="1379" t="b">
        <f>IFERROR(IF(__Retrofit_TI_NC&lt;&gt;0,TRUE,IFERROR(IF(VLOOKUP(U353,Fixtures_Existing_List,2,FALSE)&lt;&gt;"",TRUE,FALSE),FALSE)),FALSE)</f>
        <v>0</v>
      </c>
      <c r="HF353" s="1379" t="b">
        <f>IFERROR(IF(VLOOKUP(U354,Fixtures_Proposed_List,2,FALSE)&lt;&gt;"",TRUE,FALSE),FALSE)</f>
        <v>0</v>
      </c>
      <c r="HG353" s="1379" t="b">
        <f>IF(AND(__Retrofit_TI_NC=2,EZ352=TRUE),FALSE,TRUE)</f>
        <v>1</v>
      </c>
      <c r="HH353" s="1379" t="b">
        <f>GG352</f>
        <v>1</v>
      </c>
      <c r="HI353" s="1384" t="b">
        <f>IF(ISERROR(MATCH(FB352,_Control_Match[],0))=TRUE,FALSE,TRUE)</f>
        <v>0</v>
      </c>
      <c r="HJ353" s="1384" t="b">
        <f>IFERROR(IF(EU352&lt;&gt;EV352,FALSE,TRUE),FALSE)</f>
        <v>0</v>
      </c>
      <c r="HK353" s="1384" t="b">
        <f>IFERROR(IF(EU354&lt;&gt;EV354,FALSE,TRUE),FALSE)</f>
        <v>0</v>
      </c>
      <c r="HL353" s="1379" t="b">
        <f>IFERROR(IF(CN352="Exterior",TRUE,IF(OR(AND(FJ352=0,EW354&gt;4),AND(FJ352=4,EW354&gt;4,EW354&lt;7)),FALSE,TRUE)),FALSE)</f>
        <v>0</v>
      </c>
      <c r="HM353" s="1379" t="b">
        <f>IFERROR(IF(AND(FL354=7,EZ352=TRUE),FALSE,TRUE),FALSE)</f>
        <v>0</v>
      </c>
      <c r="HN353" s="1379" t="b">
        <f>IFERROR(IF(AND(T354&lt;&gt;AE354,AF354="Interior LLLC")=TRUE,FALSE,TRUE),FALSE)</f>
        <v>1</v>
      </c>
      <c r="HO353" s="1379" t="b">
        <f>IFERROR(IF(OR(AF354=Lookup!AU$13,AF354=Lookup!AU$14)=TRUE,IF(AE354&gt;T354,FALSE,TRUE),TRUE),FALSE)</f>
        <v>1</v>
      </c>
      <c r="HP353" s="1379" t="b">
        <f>IFERROR(IF(__Retrofit_TI_NC=2,IF(EW354&lt;EW352,FALSE,TRUE),TRUE),FALSE)</f>
        <v>1</v>
      </c>
      <c r="HQ353" s="1379" t="b">
        <f>IF(CN352="Interior",IG$6,TRUE)</f>
        <v>1</v>
      </c>
      <c r="HR353" s="1379" t="b">
        <f>IF(CN352="Exterior",IG$8,TRUE)</f>
        <v>1</v>
      </c>
      <c r="HS353" s="1379" t="b">
        <f>IFERROR(IF(__Retrofit_TI_NC&lt;&gt;0,IF(AW352&lt;AV352,FALSE,TRUE),TRUE),FALSE)</f>
        <v>1</v>
      </c>
      <c r="HT353" s="1379" t="b">
        <f>IFERROR(IF(AND(G353="Exterior",R353&gt;4200),FALSE,TRUE),FALSE)</f>
        <v>1</v>
      </c>
      <c r="HU353" s="1379" t="b">
        <f>IFERROR(IF(AB355/AB352&lt;HU$18,FALSE,TRUE),FALSE)</f>
        <v>0</v>
      </c>
      <c r="HW353" s="1382"/>
      <c r="HX353" s="1378"/>
      <c r="HY353" s="1377" t="str">
        <f>VLOOKUP(HW355,_Error_Table,4,FALSE)</f>
        <v>White</v>
      </c>
      <c r="HZ353" s="436"/>
      <c r="IA353" s="1386"/>
      <c r="IB353" s="1380"/>
      <c r="IC353" s="1379"/>
      <c r="IF353" s="1380"/>
      <c r="IG353" s="1382"/>
      <c r="IH353" s="1382"/>
      <c r="II353" s="1382"/>
      <c r="IK353" s="1351"/>
      <c r="IL353" s="1351"/>
      <c r="IM353" s="1351"/>
      <c r="IN353" s="1351"/>
      <c r="IO353" s="1351"/>
      <c r="IP353" s="1351"/>
    </row>
    <row r="354" spans="1:250" s="82" customFormat="1" ht="14.95" customHeight="1" thickTop="1" thickBot="1">
      <c r="A354" s="82">
        <f>ROW()</f>
        <v>354</v>
      </c>
      <c r="B354" s="1421"/>
      <c r="C354" s="1422"/>
      <c r="D354" s="1423"/>
      <c r="E354" s="1393" t="s">
        <v>245</v>
      </c>
      <c r="F354" s="1394"/>
      <c r="G354" s="1398"/>
      <c r="H354" s="1399"/>
      <c r="I354" s="1399"/>
      <c r="J354" s="1399"/>
      <c r="K354" s="1399"/>
      <c r="L354" s="1400"/>
      <c r="M354" s="509">
        <f>IFERROR(IF(IF(__Retrofit_TI_NC&lt;&gt;0,IF(CN352="Interior",MATCH(G354,Lookup_Interior_New,0),MATCH(G354,Lookup_Exterior_New,0)),IF(CN352="Interior",MATCH(G354,Lookup_Interior,0),MATCH(G354,Lookup_Exterior_Areas,0)))&gt;0,1,0),0)</f>
        <v>0</v>
      </c>
      <c r="N354" s="509" t="e">
        <f>IF(__Retrofit_TI_NC=1,
VLOOKUP(G354,'Space Table'!$B$3:$L$160,4,FALSE),
IF(__Retrofit_TI_NC=2,VLOOKUP(G354,'Space Table'!$B$3:$L$160,5,FALSE),VLOOKUP(G354,'Space Table'!$B$3:$L$160,5,FALSE)))</f>
        <v>#N/A</v>
      </c>
      <c r="O354" s="509">
        <f>G354</f>
        <v>0</v>
      </c>
      <c r="P354" s="1394" t="s">
        <v>355</v>
      </c>
      <c r="Q354" s="1394"/>
      <c r="R354" s="674"/>
      <c r="S354" s="1401" t="s">
        <v>284</v>
      </c>
      <c r="T354" s="672"/>
      <c r="U354" s="1499"/>
      <c r="V354" s="1500"/>
      <c r="W354" s="1500"/>
      <c r="X354" s="1500"/>
      <c r="Y354" s="1500"/>
      <c r="Z354" s="1500"/>
      <c r="AA354" s="1500"/>
      <c r="AB354" s="1501"/>
      <c r="AC354" s="1501"/>
      <c r="AD354" s="1502"/>
      <c r="AE354" s="672"/>
      <c r="AF354" s="1474"/>
      <c r="AG354" s="1474"/>
      <c r="AH354" s="1474"/>
      <c r="AI354" s="1474"/>
      <c r="AJ354" s="1475">
        <f>DF354</f>
        <v>0</v>
      </c>
      <c r="AK354" s="1470" t="str">
        <f>IFERROR(ROUND(AJ354*AC355,0),"")</f>
        <v/>
      </c>
      <c r="AL354" s="1472">
        <f>IFERROR(IF(HW352=FALSE,0,AC355-AK354),0)</f>
        <v>0</v>
      </c>
      <c r="AM354" s="1441"/>
      <c r="AN354" s="1442"/>
      <c r="AO354" s="1447"/>
      <c r="AP354" s="1447"/>
      <c r="AQ354" s="1448"/>
      <c r="AR354" s="1452"/>
      <c r="AS354" s="1455"/>
      <c r="AT354" s="1458"/>
      <c r="AU354" s="516"/>
      <c r="AV354" s="1479"/>
      <c r="AW354" s="1479"/>
      <c r="BC354" s="38"/>
      <c r="BD354" s="38"/>
      <c r="BE354" s="38"/>
      <c r="BF354" s="38"/>
      <c r="BG354" s="38"/>
      <c r="BH354" s="38"/>
      <c r="BI354" s="38"/>
      <c r="BJ354" s="38"/>
      <c r="BK354" s="38"/>
      <c r="BL354" s="38"/>
      <c r="BM354" s="38"/>
      <c r="BN354" s="38"/>
      <c r="BO354" s="38"/>
      <c r="BP354" s="38"/>
      <c r="BQ354" s="38"/>
      <c r="BR354" s="38"/>
      <c r="BS354" s="38"/>
      <c r="BT354" s="38"/>
      <c r="BU354" s="38"/>
      <c r="BV354" s="38"/>
      <c r="BW354" s="38"/>
      <c r="BX354" s="38"/>
      <c r="BY354" s="38"/>
      <c r="BZ354" s="38"/>
      <c r="CA354" s="38"/>
      <c r="CB354" s="38"/>
      <c r="CC354" s="38"/>
      <c r="CD354" s="38"/>
      <c r="CE354" s="38"/>
      <c r="CF354" s="38"/>
      <c r="CG354" s="38"/>
      <c r="CH354" s="38"/>
      <c r="CI354" s="38"/>
      <c r="CM354" s="1352"/>
      <c r="CN354" s="1352"/>
      <c r="CO354" s="1415" t="str">
        <f>CN352</f>
        <v/>
      </c>
      <c r="CP354" s="1417" t="e">
        <f>CP352</f>
        <v>#N/A</v>
      </c>
      <c r="CR354" s="1386" t="s">
        <v>284</v>
      </c>
      <c r="CS354" s="1353">
        <f>IF(HW352=TRUE,T354,0)</f>
        <v>0</v>
      </c>
      <c r="CT354" s="1353" t="str">
        <f>IF(HW352=TRUE,U354,"")</f>
        <v/>
      </c>
      <c r="CU354" s="1373">
        <f>IF(HW352=TRUE,U355,0)</f>
        <v>0</v>
      </c>
      <c r="CV354" s="1370">
        <f>IF(HW352=TRUE,AB355,0)</f>
        <v>0</v>
      </c>
      <c r="CW354" s="1370">
        <f>IF(HW352=TRUE,AC355,0)</f>
        <v>0</v>
      </c>
      <c r="CX354" s="1371"/>
      <c r="CY354" s="1486"/>
      <c r="CZ354" s="1486"/>
      <c r="DA354" s="1486"/>
      <c r="DC354" s="1353">
        <f>IF(HW352=TRUE,AE354,0)</f>
        <v>0</v>
      </c>
      <c r="DD354" s="1353" t="str">
        <f>IF(HW352=TRUE,AF354,"")</f>
        <v/>
      </c>
      <c r="DE354" s="1373">
        <f>AF355</f>
        <v>0</v>
      </c>
      <c r="DF354" s="1406">
        <f>IFERROR(IF(FL354=3,IK354,IF(FL354=4,IL354,IF(FL354=5,IM354,IF(FL354=6,IN354,IF(FL354=7,IO354,IF(FL354=8,IP354,0)))))),0)</f>
        <v>0</v>
      </c>
      <c r="DG354" s="1370">
        <f>IF(HW352=TRUE,AK354,0)</f>
        <v>0</v>
      </c>
      <c r="DH354" s="1369"/>
      <c r="DK354" s="1483">
        <f>IFERROR(CW354-DG354,0)</f>
        <v>0</v>
      </c>
      <c r="DL354" s="1420"/>
      <c r="DN354" s="1403"/>
      <c r="DO354" s="1477" t="str">
        <f>DN352</f>
        <v/>
      </c>
      <c r="DP354" s="1354"/>
      <c r="DQ354" s="1477" t="str">
        <f>IF(DP352=7,"LLLC","")</f>
        <v/>
      </c>
      <c r="DR354" s="1403"/>
      <c r="DS354" s="1489"/>
      <c r="DU354" s="1403"/>
      <c r="DV354" s="1404" t="str">
        <f>DU352</f>
        <v/>
      </c>
      <c r="DW354" s="1403"/>
      <c r="DX354" s="1403"/>
      <c r="DZ354" s="1481"/>
      <c r="EA354" s="1481"/>
      <c r="EC354" s="1482"/>
      <c r="ED354" s="1369"/>
      <c r="EE354" s="1371"/>
      <c r="EF354" s="1369"/>
      <c r="EG354" s="1369"/>
      <c r="EH354" s="1374"/>
      <c r="EI354" s="1374"/>
      <c r="EJ354" s="1363"/>
      <c r="EK354" s="1376"/>
      <c r="EL354" s="1376"/>
      <c r="EM354" s="1362"/>
      <c r="EN354" s="1362"/>
      <c r="EO354" s="1363"/>
      <c r="EP354" s="1363"/>
      <c r="EQ354" s="1363"/>
      <c r="ES354" s="1403"/>
      <c r="EU354" s="1411" t="e">
        <f>VLOOKUP(CP354,'Space Table'!$B$3:$L$160,8,FALSE)</f>
        <v>#N/A</v>
      </c>
      <c r="EV354" s="1411" t="e">
        <f>IF(EY354="Yes",VLOOKUP(AF354,Lookup_Control_Type_Table2,4,FALSE),VLOOKUP(AF354,Lookup_Control_Type_Table2,3,FALSE))</f>
        <v>#N/A</v>
      </c>
      <c r="EW354" s="1411" t="e">
        <f>VLOOKUP(AF354,Lookup!AU$3:AV$15,2,FALSE)</f>
        <v>#N/A</v>
      </c>
      <c r="EX354" s="1411" t="e">
        <f>VLOOKUP(EU352,Lookup_Control_Type_Table,2,FALSE)</f>
        <v>#N/A</v>
      </c>
      <c r="EY354" s="1411" t="e">
        <f>VLOOKUP(CP354,'Space Table'!$B$3:$L$160,7,FALSE)</f>
        <v>#N/A</v>
      </c>
      <c r="EZ354" s="1413"/>
      <c r="FB354" s="1365" t="str">
        <f>CONCATENATE(CN352," - ",AF354)</f>
        <v xml:space="preserve"> - </v>
      </c>
      <c r="FD354" s="1354"/>
      <c r="FE354" s="1354"/>
      <c r="FF354" s="138"/>
      <c r="FI354" s="1356" t="str">
        <f>IF(CN352="Exterior","Not Daylighted",G355)</f>
        <v>Not Daylighted</v>
      </c>
      <c r="FJ354" s="1356">
        <f>VLOOKUP(FI354,_Daylight_Table_Codes,2,FALSE)</f>
        <v>0</v>
      </c>
      <c r="FK354" s="1365">
        <f>AF354</f>
        <v>0</v>
      </c>
      <c r="FL354" s="1365" t="e">
        <f>VLOOKUP(FK354,_Control_Table,2,FALSE)</f>
        <v>#N/A</v>
      </c>
      <c r="FM354" s="1365" t="e">
        <f>IF(AND(FP354&gt;0,FK354="Occupancy Sensor"),"Daylight + Occupancy",IF(AND(FP354&gt;0,FL354&lt;4),"Interior Daylight Dimming",FK354))</f>
        <v>#N/A</v>
      </c>
      <c r="FO354" s="1364">
        <f>IF(CN352="Interior",VLOOKUP(CP352,Control_Savings_Interior,5,FALSE),0)</f>
        <v>0</v>
      </c>
      <c r="FP354" s="1361">
        <f>IF(CN354="Exterior",0,IF(FJ354=2,0.5,IF(OR(FJ354=1,FJ354=3),1,0)))</f>
        <v>0</v>
      </c>
      <c r="FQ354" s="1366">
        <f>IF(R353&gt;FO$37,(FO354*(FO$37/R353)),FO354)*FP354</f>
        <v>0</v>
      </c>
      <c r="FR354" s="1364">
        <f>DF354</f>
        <v>0</v>
      </c>
      <c r="FS354" s="1364">
        <f>ROUND(FR354+((1-FR354)*FQ354),2)</f>
        <v>0</v>
      </c>
      <c r="FT354" s="1364">
        <f>IF(__Retrofit_TI_NC=2,FS354,FR354)</f>
        <v>0</v>
      </c>
      <c r="FU354" s="1360">
        <f>IF(CO354="Interior",VLOOKUP(CP354,Control_Savings_Interior,4,FALSE),0)</f>
        <v>0</v>
      </c>
      <c r="FW354" s="1352"/>
      <c r="FX354" s="1352"/>
      <c r="FY354" s="1352"/>
      <c r="FZ354" s="1352"/>
      <c r="GA354" s="1352"/>
      <c r="GB354" s="1352"/>
      <c r="GC354" s="1352"/>
      <c r="GD354" s="1352"/>
      <c r="GE354" s="759" t="b">
        <f>IF(ISNUMBER(SEARCH("TLED",U354)),TRUE,FALSE)</f>
        <v>0</v>
      </c>
      <c r="GF354" s="1035" t="str">
        <f>IFERROR(VLOOKUP(U354,Fixtures!DM$93:DR$142,6,FALSE),"")</f>
        <v/>
      </c>
      <c r="GG354" s="1385"/>
      <c r="GI354" s="1383"/>
      <c r="GJ354" s="1379"/>
      <c r="GL354" s="1379"/>
      <c r="GM354" s="1379"/>
      <c r="HC354" s="1379"/>
      <c r="HD354" s="1379"/>
      <c r="HE354" s="1379"/>
      <c r="HF354" s="1379"/>
      <c r="HG354" s="1379"/>
      <c r="HH354" s="1379"/>
      <c r="HI354" s="1383"/>
      <c r="HJ354" s="1383"/>
      <c r="HK354" s="1383"/>
      <c r="HL354" s="1379"/>
      <c r="HM354" s="1379"/>
      <c r="HN354" s="1379"/>
      <c r="HO354" s="1379"/>
      <c r="HP354" s="1379"/>
      <c r="HQ354" s="1379"/>
      <c r="HR354" s="1379"/>
      <c r="HS354" s="1379"/>
      <c r="HT354" s="1379"/>
      <c r="HU354" s="1379"/>
      <c r="HW354" s="1383"/>
      <c r="HX354" s="1384" t="b">
        <f>HW352</f>
        <v>0</v>
      </c>
      <c r="HY354" s="1378"/>
      <c r="HZ354" s="436"/>
      <c r="IA354" s="1386"/>
      <c r="IB354" s="1380">
        <f>IF(IA352=TRUE,AC355,0)</f>
        <v>0</v>
      </c>
      <c r="IC354" s="1379"/>
      <c r="IF354" s="1380" t="e">
        <f>ROUND(T354*AB355*N353*R353/1000,0)</f>
        <v>#VALUE!</v>
      </c>
      <c r="IG354" s="1382"/>
      <c r="IH354" s="1384" t="e">
        <f>ROUND(T354*AB355*N353*R353/1000,0)</f>
        <v>#VALUE!</v>
      </c>
      <c r="II354" s="1382"/>
      <c r="IK354" s="1351" t="e">
        <f>IF($CO354="interior",IL354/2,VLOOKUP($CP354,Control_Savings_Exterior,IK$30,FALSE))</f>
        <v>#N/A</v>
      </c>
      <c r="IL354" s="1351" t="e">
        <f>IF($CO354="interior",VLOOKUP($CP354,Control_Savings_Interior,IL$30,FALSE),VLOOKUP($CP354,Control_Savings_Exterior,IL$30,FALSE))</f>
        <v>#N/A</v>
      </c>
      <c r="IM354" s="1351" t="e">
        <f>IF($CO354="interior",IF(R353&gt;FO$37,(IM$28*(FO$37/R353)),IM$28)*FP354,VLOOKUP($CP354,Control_Savings_Exterior,IM$30,FALSE))</f>
        <v>#N/A</v>
      </c>
      <c r="IN354" s="1351" t="e">
        <f>IF($CO354="interior",ROUND(((1-IL354)*IM354)+IL354,2),VLOOKUP($CP354,Control_Savings_Exterior,IN$30,FALSE))</f>
        <v>#N/A</v>
      </c>
      <c r="IO354" s="1351" t="e">
        <f>IF($CO354="interior", ROUND(((1-IL354)*(IM354*(1-IP$28)))+IP354,2), VLOOKUP($CP354,Control_Savings_Exterior,IO$30,FALSE))</f>
        <v>#N/A</v>
      </c>
      <c r="IP354" s="1351">
        <f>IF($CO354="interior",ROUND(((1-IL354)*IP$28)+IL354,2),0)</f>
        <v>0</v>
      </c>
    </row>
    <row r="355" spans="1:250" s="82" customFormat="1" ht="14.95" customHeight="1" thickTop="1" thickBot="1">
      <c r="B355" s="1421"/>
      <c r="C355" s="1422"/>
      <c r="D355" s="1423"/>
      <c r="E355" s="1462" t="s">
        <v>357</v>
      </c>
      <c r="F355" s="1463"/>
      <c r="G355" s="1464" t="s">
        <v>362</v>
      </c>
      <c r="H355" s="1465"/>
      <c r="I355" s="1465"/>
      <c r="J355" s="1465"/>
      <c r="K355" s="1465"/>
      <c r="L355" s="1466"/>
      <c r="M355" s="669">
        <f>IFERROR(VLOOKUP(G355,_Daylight_Table[],2,FALSE),0)</f>
        <v>0</v>
      </c>
      <c r="N355" s="670"/>
      <c r="O355" s="669" t="e">
        <f>VLOOKUP(G354,'Space Table'!$B$3:$L$160,11,FALSE)</f>
        <v>#N/A</v>
      </c>
      <c r="P355" s="1408"/>
      <c r="Q355" s="1409"/>
      <c r="R355" s="1409"/>
      <c r="S355" s="1402"/>
      <c r="T355" s="671" t="s">
        <v>281</v>
      </c>
      <c r="U355" s="1467" t="str">
        <f>IFERROR(VLOOKUP(U354,Fixtures!DM$93:DP$142,4,FALSE),"")</f>
        <v/>
      </c>
      <c r="V355" s="1468"/>
      <c r="W355" s="1468"/>
      <c r="X355" s="1468"/>
      <c r="Y355" s="1468"/>
      <c r="Z355" s="1468"/>
      <c r="AA355" s="1468"/>
      <c r="AB355" s="1046" t="str">
        <f>IFERROR(VLOOKUP(U354,Fixtures_Proposed_List,2,FALSE),"")</f>
        <v/>
      </c>
      <c r="AC355" s="1036" t="str">
        <f>IFERROR(ROUND(T354*AB355*N353*R353/1000,0),"")</f>
        <v/>
      </c>
      <c r="AD355" s="1037" t="str">
        <f>IFERROR(ROUND(T354*AB355/1000,2),"")</f>
        <v/>
      </c>
      <c r="AE355" s="1045" t="s">
        <v>281</v>
      </c>
      <c r="AF355" s="1469"/>
      <c r="AG355" s="1469"/>
      <c r="AH355" s="1469"/>
      <c r="AI355" s="1469"/>
      <c r="AJ355" s="1476"/>
      <c r="AK355" s="1471"/>
      <c r="AL355" s="1473"/>
      <c r="AM355" s="1443"/>
      <c r="AN355" s="1444"/>
      <c r="AO355" s="1449"/>
      <c r="AP355" s="1449"/>
      <c r="AQ355" s="1450"/>
      <c r="AR355" s="1453"/>
      <c r="AS355" s="1456"/>
      <c r="AT355" s="1459"/>
      <c r="AU355" s="517"/>
      <c r="AV355" s="1480"/>
      <c r="AW355" s="1480"/>
      <c r="BC355" s="38"/>
      <c r="BD355" s="38"/>
      <c r="BE355" s="38"/>
      <c r="BF355" s="38"/>
      <c r="BG355" s="38"/>
      <c r="BH355" s="38"/>
      <c r="BI355" s="38"/>
      <c r="BJ355" s="38"/>
      <c r="BK355" s="38"/>
      <c r="BL355" s="38"/>
      <c r="BM355" s="38"/>
      <c r="BN355" s="38"/>
      <c r="BO355" s="38"/>
      <c r="BP355" s="38"/>
      <c r="BQ355" s="38"/>
      <c r="BR355" s="38"/>
      <c r="BS355" s="38"/>
      <c r="BT355" s="38"/>
      <c r="BU355" s="38"/>
      <c r="BV355" s="38"/>
      <c r="BW355" s="38"/>
      <c r="BX355" s="38"/>
      <c r="BY355" s="38"/>
      <c r="BZ355" s="38"/>
      <c r="CA355" s="38"/>
      <c r="CB355" s="38"/>
      <c r="CC355" s="38"/>
      <c r="CD355" s="38"/>
      <c r="CE355" s="38"/>
      <c r="CF355" s="38"/>
      <c r="CG355" s="38"/>
      <c r="CH355" s="38"/>
      <c r="CI355" s="38"/>
      <c r="CM355" s="1352"/>
      <c r="CN355" s="1352"/>
      <c r="CO355" s="1416"/>
      <c r="CP355" s="1418"/>
      <c r="CR355" s="1386"/>
      <c r="CS355" s="1355"/>
      <c r="CT355" s="1355"/>
      <c r="CU355" s="1375"/>
      <c r="CV355" s="1372"/>
      <c r="CW355" s="1372"/>
      <c r="CX355" s="1372"/>
      <c r="CY355" s="1487"/>
      <c r="CZ355" s="1487"/>
      <c r="DA355" s="1487"/>
      <c r="DC355" s="1355"/>
      <c r="DD355" s="1355"/>
      <c r="DE355" s="1375"/>
      <c r="DF355" s="1407"/>
      <c r="DG355" s="1372"/>
      <c r="DH355" s="1369"/>
      <c r="DK355" s="1484"/>
      <c r="DL355" s="1420"/>
      <c r="DN355" s="1403"/>
      <c r="DO355" s="1405"/>
      <c r="DP355" s="1355"/>
      <c r="DQ355" s="1405"/>
      <c r="DR355" s="1403"/>
      <c r="DS355" s="1489"/>
      <c r="DU355" s="1403"/>
      <c r="DV355" s="1405"/>
      <c r="DW355" s="1403"/>
      <c r="DX355" s="1403"/>
      <c r="DZ355" s="1481"/>
      <c r="EA355" s="1481"/>
      <c r="EC355" s="1482"/>
      <c r="ED355" s="1369"/>
      <c r="EE355" s="1372"/>
      <c r="EF355" s="1369"/>
      <c r="EG355" s="1369"/>
      <c r="EH355" s="1375"/>
      <c r="EI355" s="1375"/>
      <c r="EJ355" s="1363"/>
      <c r="EK355" s="1376"/>
      <c r="EL355" s="1376"/>
      <c r="EM355" s="1362"/>
      <c r="EN355" s="1362"/>
      <c r="EO355" s="1363"/>
      <c r="EP355" s="1363"/>
      <c r="EQ355" s="1363"/>
      <c r="ES355" s="1403"/>
      <c r="EU355" s="1488"/>
      <c r="EV355" s="1488"/>
      <c r="EW355" s="1488"/>
      <c r="EX355" s="1488"/>
      <c r="EY355" s="1488"/>
      <c r="EZ355" s="1414"/>
      <c r="FB355" s="1365"/>
      <c r="FD355" s="1355"/>
      <c r="FE355" s="1355"/>
      <c r="FF355" s="138"/>
      <c r="FI355" s="1357"/>
      <c r="FJ355" s="1357"/>
      <c r="FK355" s="1365"/>
      <c r="FL355" s="1365"/>
      <c r="FM355" s="1365"/>
      <c r="FO355" s="1361"/>
      <c r="FP355" s="1361"/>
      <c r="FQ355" s="1366"/>
      <c r="FR355" s="1361"/>
      <c r="FS355" s="1361"/>
      <c r="FT355" s="1361"/>
      <c r="FU355" s="1360"/>
      <c r="FW355" s="1352"/>
      <c r="FX355" s="1352"/>
      <c r="FY355" s="1352"/>
      <c r="FZ355" s="1352"/>
      <c r="GA355" s="1352"/>
      <c r="GB355" s="1352"/>
      <c r="GC355" s="1352"/>
      <c r="GD355" s="1352"/>
      <c r="GE355" s="759"/>
      <c r="GF355" s="1035"/>
      <c r="GG355" s="1385"/>
      <c r="GJ355" s="1034">
        <f>IF(GJ353=TRUE,0,GJ$16)</f>
        <v>0</v>
      </c>
      <c r="GL355" s="1034">
        <f>IF(GL353=TRUE,0,GL$16)</f>
        <v>36</v>
      </c>
      <c r="GM355" s="1034">
        <f>IF(GM353=TRUE,0,GM$16)</f>
        <v>35</v>
      </c>
      <c r="GN355" s="436"/>
      <c r="GO355" s="436"/>
      <c r="GP355" s="436"/>
      <c r="GQ355" s="436"/>
      <c r="GR355" s="436"/>
      <c r="HC355" s="1034">
        <f t="shared" ref="HC355:HH355" si="254">IF(HC353=TRUE,0,HC$16)</f>
        <v>19</v>
      </c>
      <c r="HD355" s="1034">
        <f t="shared" si="254"/>
        <v>18</v>
      </c>
      <c r="HE355" s="1034">
        <f t="shared" si="254"/>
        <v>17</v>
      </c>
      <c r="HF355" s="1034">
        <f t="shared" si="254"/>
        <v>16</v>
      </c>
      <c r="HG355" s="1034">
        <f t="shared" si="254"/>
        <v>0</v>
      </c>
      <c r="HH355" s="1034">
        <f t="shared" si="254"/>
        <v>0</v>
      </c>
      <c r="HI355" s="1034">
        <f>IF(HI353=TRUE,0,HI$16)</f>
        <v>13</v>
      </c>
      <c r="HJ355" s="1034">
        <f t="shared" ref="HJ355:HL355" si="255">IF(HJ353=TRUE,0,HJ$16)</f>
        <v>12</v>
      </c>
      <c r="HK355" s="1034">
        <f t="shared" si="255"/>
        <v>11</v>
      </c>
      <c r="HL355" s="1034">
        <f t="shared" si="255"/>
        <v>10</v>
      </c>
      <c r="HM355" s="1034">
        <f>IF(HM353=TRUE,0,HM$16)</f>
        <v>9</v>
      </c>
      <c r="HN355" s="1034">
        <f t="shared" ref="HN355:HR355" si="256">IF(HN353=TRUE,0,HN$16)</f>
        <v>0</v>
      </c>
      <c r="HO355" s="1034">
        <f t="shared" si="256"/>
        <v>0</v>
      </c>
      <c r="HP355" s="1034">
        <f t="shared" si="256"/>
        <v>0</v>
      </c>
      <c r="HQ355" s="1034">
        <f t="shared" si="256"/>
        <v>0</v>
      </c>
      <c r="HR355" s="1034">
        <f t="shared" si="256"/>
        <v>0</v>
      </c>
      <c r="HS355" s="1034">
        <f>IF(HS353=TRUE,0,HS$16)</f>
        <v>0</v>
      </c>
      <c r="HT355" s="1034">
        <f t="shared" ref="HT355" si="257">IF(HT353=TRUE,0,HT$16)</f>
        <v>0</v>
      </c>
      <c r="HU355" s="1034">
        <f>IF(HU353=TRUE,0,HU$16)</f>
        <v>1</v>
      </c>
      <c r="HW355" s="1034">
        <f>IF(GL353=FALSE,GL355,IF(GM353=FALSE,GM355,MAX(GJ355:HU355)))</f>
        <v>36</v>
      </c>
      <c r="HX355" s="1383"/>
      <c r="HY355" s="241" t="str">
        <f>VLOOKUP(HW355,_Error_Table,3,FALSE)</f>
        <v xml:space="preserve"> </v>
      </c>
      <c r="HZ355" s="241"/>
      <c r="IA355" s="1386"/>
      <c r="IB355" s="1380"/>
      <c r="IC355" s="1379"/>
      <c r="IF355" s="1380"/>
      <c r="IG355" s="1383"/>
      <c r="IH355" s="1383"/>
      <c r="II355" s="1383"/>
      <c r="IK355" s="1351"/>
      <c r="IL355" s="1351"/>
      <c r="IM355" s="1351"/>
      <c r="IN355" s="1351"/>
      <c r="IO355" s="1351"/>
      <c r="IP355" s="1351"/>
    </row>
    <row r="356" spans="1:250" s="82" customFormat="1" ht="5.0999999999999996" customHeight="1" thickBot="1">
      <c r="B356" s="763"/>
      <c r="C356" s="1038"/>
      <c r="D356" s="1038"/>
      <c r="E356" s="1490"/>
      <c r="F356" s="1490"/>
      <c r="G356" s="1490"/>
      <c r="H356" s="1490"/>
      <c r="I356" s="1490"/>
      <c r="J356" s="1490"/>
      <c r="K356" s="1490"/>
      <c r="L356" s="1490"/>
      <c r="M356" s="1490"/>
      <c r="N356" s="1490"/>
      <c r="O356" s="1490"/>
      <c r="P356" s="1490"/>
      <c r="Q356" s="1490"/>
      <c r="R356" s="1490"/>
      <c r="S356" s="1490"/>
      <c r="T356" s="1490"/>
      <c r="U356" s="1490"/>
      <c r="V356" s="1490"/>
      <c r="W356" s="1490"/>
      <c r="X356" s="1490"/>
      <c r="Y356" s="1490"/>
      <c r="Z356" s="1490"/>
      <c r="AA356" s="1490"/>
      <c r="AB356" s="1490"/>
      <c r="AC356" s="1490"/>
      <c r="AD356" s="1490"/>
      <c r="AE356" s="1490"/>
      <c r="AF356" s="1490"/>
      <c r="AG356" s="1490"/>
      <c r="AH356" s="1490"/>
      <c r="AI356" s="1490"/>
      <c r="AJ356" s="1490"/>
      <c r="AK356" s="1490"/>
      <c r="AL356" s="1490"/>
      <c r="AM356" s="1490"/>
      <c r="AN356" s="1490"/>
      <c r="AO356" s="1490"/>
      <c r="AP356" s="1490"/>
      <c r="AQ356" s="1490"/>
      <c r="AR356" s="1490"/>
      <c r="AS356" s="1490"/>
      <c r="AT356" s="1490"/>
      <c r="AU356" s="1041"/>
      <c r="BC356" s="38"/>
      <c r="BD356" s="38"/>
      <c r="BE356" s="38"/>
      <c r="BF356" s="38"/>
      <c r="BG356" s="38"/>
      <c r="BH356" s="38"/>
      <c r="BI356" s="38"/>
      <c r="BJ356" s="38"/>
      <c r="BK356" s="38"/>
      <c r="BL356" s="38"/>
      <c r="BM356" s="38"/>
      <c r="BN356" s="38"/>
      <c r="BO356" s="38"/>
      <c r="BP356" s="38"/>
      <c r="BQ356" s="38"/>
      <c r="BR356" s="38"/>
      <c r="BS356" s="38"/>
      <c r="BT356" s="38"/>
      <c r="BU356" s="38"/>
      <c r="BV356" s="38"/>
      <c r="BW356" s="38"/>
      <c r="BX356" s="38"/>
      <c r="BY356" s="38"/>
      <c r="BZ356" s="38"/>
      <c r="CA356" s="38"/>
      <c r="CB356" s="38"/>
      <c r="CC356" s="38"/>
      <c r="CD356" s="38"/>
      <c r="CE356" s="38"/>
      <c r="CF356" s="38"/>
      <c r="CG356" s="38"/>
      <c r="CH356" s="38"/>
      <c r="CI356" s="38"/>
      <c r="CM356" s="749"/>
      <c r="CN356" s="749"/>
      <c r="CO356" s="1043"/>
      <c r="CP356" s="749"/>
      <c r="CS356" s="436"/>
      <c r="CT356" s="436"/>
      <c r="CU356" s="243"/>
      <c r="CV356" s="244"/>
      <c r="CW356" s="244"/>
      <c r="CX356" s="244"/>
      <c r="CY356" s="245"/>
      <c r="CZ356" s="245"/>
      <c r="DA356" s="245"/>
      <c r="DC356" s="750"/>
      <c r="DD356" s="751"/>
      <c r="DE356" s="752"/>
      <c r="DF356" s="753"/>
      <c r="DG356" s="754"/>
      <c r="DH356" s="754"/>
      <c r="DK356" s="244"/>
      <c r="DL356" s="750"/>
      <c r="DN356" s="750"/>
      <c r="DO356" s="755"/>
      <c r="DP356" s="436"/>
      <c r="DQ356" s="750"/>
      <c r="DR356" s="750"/>
      <c r="DS356" s="750"/>
      <c r="DU356" s="750"/>
      <c r="DV356" s="750"/>
      <c r="DW356" s="750"/>
      <c r="DX356" s="750"/>
      <c r="DZ356" s="756"/>
      <c r="EA356" s="756"/>
      <c r="EC356" s="754"/>
      <c r="ED356" s="754"/>
      <c r="EE356" s="244"/>
      <c r="EF356" s="754"/>
      <c r="EG356" s="754"/>
      <c r="EH356" s="243"/>
      <c r="EI356" s="243"/>
      <c r="EJ356" s="752"/>
      <c r="EK356" s="757"/>
      <c r="EL356" s="757"/>
      <c r="EM356" s="758"/>
      <c r="EN356" s="758"/>
      <c r="EO356" s="752"/>
      <c r="EP356" s="752"/>
      <c r="EQ356" s="752"/>
      <c r="ES356" s="750"/>
      <c r="EU356" s="436"/>
      <c r="EV356" s="436"/>
      <c r="EW356" s="436"/>
      <c r="EX356" s="436"/>
      <c r="EY356" s="436"/>
      <c r="EZ356" s="436"/>
      <c r="FB356" s="643"/>
      <c r="FD356" s="436"/>
      <c r="FE356" s="436"/>
      <c r="FF356" s="436"/>
      <c r="FO356" s="750"/>
      <c r="FP356" s="436"/>
      <c r="FQ356" s="436"/>
      <c r="FR356" s="750"/>
      <c r="FS356" s="750"/>
      <c r="FW356" s="749"/>
      <c r="FX356" s="749"/>
      <c r="FY356" s="749"/>
      <c r="FZ356" s="749"/>
      <c r="GA356" s="749"/>
      <c r="GB356" s="749"/>
      <c r="GC356" s="749"/>
      <c r="GD356" s="749"/>
      <c r="GE356" s="751"/>
      <c r="GF356" s="750"/>
      <c r="GG356" s="750"/>
    </row>
    <row r="357" spans="1:250" s="82" customFormat="1" ht="14.95" customHeight="1" thickTop="1" thickBot="1">
      <c r="B357" s="1421" t="str">
        <f>HY360</f>
        <v xml:space="preserve"> </v>
      </c>
      <c r="C357" s="1422">
        <f>C352+1</f>
        <v>62</v>
      </c>
      <c r="D357" s="1423"/>
      <c r="E357" s="1424" t="s">
        <v>242</v>
      </c>
      <c r="F357" s="1425"/>
      <c r="G357" s="1426"/>
      <c r="H357" s="1427"/>
      <c r="I357" s="1427"/>
      <c r="J357" s="1427"/>
      <c r="K357" s="1427"/>
      <c r="L357" s="1427"/>
      <c r="M357" s="1427"/>
      <c r="N357" s="1427"/>
      <c r="O357" s="1427"/>
      <c r="P357" s="1427"/>
      <c r="Q357" s="1427"/>
      <c r="R357" s="1427"/>
      <c r="S357" s="1428" t="s">
        <v>283</v>
      </c>
      <c r="T357" s="668" t="s">
        <v>190</v>
      </c>
      <c r="U357" s="1430" t="s">
        <v>186</v>
      </c>
      <c r="V357" s="1431"/>
      <c r="W357" s="1431"/>
      <c r="X357" s="1431"/>
      <c r="Y357" s="1431"/>
      <c r="Z357" s="1431"/>
      <c r="AA357" s="1431"/>
      <c r="AB357" s="1088" t="str">
        <f>IFERROR(IF(__Retrofit_TI_NC=0,VLOOKUP(U358,Fixtures_Existing_List,2,FALSE),ROUND(N359*R359/T359,10)),"")</f>
        <v/>
      </c>
      <c r="AC357" s="1039" t="str">
        <f>IFERROR(IF(__Retrofit_TI_NC=0,ROUND(T358*AB357*N358*R358/1000,0),IF(CN357="Interior",N359*R359*R358*N358*_C406_reduction/1000,N359*R359*R358*N358/1000)),"")</f>
        <v/>
      </c>
      <c r="AD357" s="1040" t="str">
        <f>IFERROR(IF(C$36=0,ROUND(T358*AB357/1000,2),N359*R359/1000),"")</f>
        <v/>
      </c>
      <c r="AE357" s="1044" t="s">
        <v>190</v>
      </c>
      <c r="AF357" s="1432" t="str">
        <f>IF(__Retrofit_TI_NC=2,CONCATENATE("Code min = ",DD357),IF(__Retrofit_TI_NC=1,"Emter what you think the existing control was"," Control"))</f>
        <v xml:space="preserve"> Control</v>
      </c>
      <c r="AG357" s="1432"/>
      <c r="AH357" s="1432"/>
      <c r="AI357" s="1432"/>
      <c r="AJ357" s="1433">
        <f>DF357</f>
        <v>0</v>
      </c>
      <c r="AK357" s="1435" t="str">
        <f>IFERROR(ROUND(AJ357*AC357,0),"")</f>
        <v/>
      </c>
      <c r="AL357" s="1437">
        <f>IFERROR(IF(HW357=FALSE,0,AC357-AK357),0)</f>
        <v>0</v>
      </c>
      <c r="AM357" s="1439">
        <f>AL357-AL359</f>
        <v>0</v>
      </c>
      <c r="AN357" s="1440"/>
      <c r="AO357" s="1445">
        <f>IFERROR(IF(HW357=FALSE,0,(T359*U360)+(AE359*AF360)),0)</f>
        <v>0</v>
      </c>
      <c r="AP357" s="1445"/>
      <c r="AQ357" s="1446"/>
      <c r="AR357" s="1451" t="s">
        <v>157</v>
      </c>
      <c r="AS357" s="1454">
        <f>IF(AR357="Yes",1,0)</f>
        <v>1</v>
      </c>
      <c r="AT357" s="1457" t="str">
        <f>IF(OR(DN357=4,DN357=5,DN357=6,DN357=12),CONCATENATE("$",IF(GD357=TRUE,Lookup!$B$11,Lookup!$B$2)," /lamp"),CONCATENATE(EA357,"/ kWh"))</f>
        <v>0/ kWh</v>
      </c>
      <c r="AU357" s="516"/>
      <c r="AV357" s="1478">
        <f>IFERROR(IF(GI358=TRUE,(AB360*T359)/R359,0),"NA")</f>
        <v>0</v>
      </c>
      <c r="AW357" s="1478" t="str">
        <f>IFERROR(N359*_C406_reduction,"NA")</f>
        <v>NA</v>
      </c>
      <c r="BC357" s="38"/>
      <c r="BD357" s="38"/>
      <c r="BE357" s="38"/>
      <c r="BF357" s="38"/>
      <c r="BG357" s="38"/>
      <c r="BH357" s="38"/>
      <c r="BI357" s="38"/>
      <c r="BJ357" s="38"/>
      <c r="BK357" s="38"/>
      <c r="BL357" s="38"/>
      <c r="BM357" s="38"/>
      <c r="BN357" s="38"/>
      <c r="BO357" s="38"/>
      <c r="BP357" s="38"/>
      <c r="BQ357" s="38"/>
      <c r="BR357" s="38"/>
      <c r="BS357" s="38"/>
      <c r="BT357" s="38"/>
      <c r="BU357" s="38"/>
      <c r="BV357" s="38"/>
      <c r="BW357" s="38"/>
      <c r="BX357" s="38"/>
      <c r="BY357" s="38"/>
      <c r="BZ357" s="38"/>
      <c r="CA357" s="38"/>
      <c r="CB357" s="38"/>
      <c r="CC357" s="38"/>
      <c r="CD357" s="38"/>
      <c r="CE357" s="38"/>
      <c r="CF357" s="38"/>
      <c r="CG357" s="38"/>
      <c r="CH357" s="38"/>
      <c r="CI357" s="38"/>
      <c r="CM357" s="1352" t="str">
        <f>N358</f>
        <v/>
      </c>
      <c r="CN357" s="1352" t="str">
        <f>IFERROR(VLOOKUP(G358,_Lookup_Heat_Type_Table_New,3,FALSE),"")</f>
        <v/>
      </c>
      <c r="CO357" s="1415" t="str">
        <f>CN357</f>
        <v/>
      </c>
      <c r="CP357" s="1417" t="e">
        <f>VLOOKUP(G359,'Space Table'!$B$3:$L$160,9,FALSE)</f>
        <v>#N/A</v>
      </c>
      <c r="CR357" s="1386" t="s">
        <v>283</v>
      </c>
      <c r="CS357" s="1353">
        <f>IF(HW357=TRUE,T358,0)</f>
        <v>0</v>
      </c>
      <c r="CT357" s="1353" t="str">
        <f>IF(HW357=TRUE,U358,"")</f>
        <v/>
      </c>
      <c r="CU357" s="1353"/>
      <c r="CV357" s="1370">
        <f>IF(HW357=TRUE,AB357,0)</f>
        <v>0</v>
      </c>
      <c r="CW357" s="1370">
        <f>IF(HW357=TRUE,AC357,0)</f>
        <v>0</v>
      </c>
      <c r="CX357" s="1370">
        <f>IFERROR(IF(HW357=TRUE,CW357-CW359,0),0)</f>
        <v>0</v>
      </c>
      <c r="CY357" s="1485">
        <f>IF(HW357=TRUE,AD357,0)</f>
        <v>0</v>
      </c>
      <c r="CZ357" s="1485">
        <f>IF(HW357=TRUE,AD360,0)</f>
        <v>0</v>
      </c>
      <c r="DA357" s="1485">
        <f>IFERROR(CY357-CZ357,0)</f>
        <v>0</v>
      </c>
      <c r="DC357" s="1353">
        <f>IF(HW357=TRUE,AE358,0)</f>
        <v>0</v>
      </c>
      <c r="DD357" s="1460">
        <f>IF(__Retrofit_TI_NC=2,IF(CN357="Exterior",O360,FM357),FK357)</f>
        <v>0</v>
      </c>
      <c r="DE357" s="1353"/>
      <c r="DF357" s="1406">
        <f>IFERROR(IF(FL357=3,IK357,IF(FL357=4,IL357,IF(FL357=5,IM357,IF(FL357=6,IN357,IF(FL357=7,IO357,IF(FL357=8,IP357,0)))))),0)</f>
        <v>0</v>
      </c>
      <c r="DG357" s="1370">
        <f>IF(HW357=TRUE,AK357,0)</f>
        <v>0</v>
      </c>
      <c r="DH357" s="1369">
        <f>IFERROR(IF(HW357=TRUE,DG359-DG357,0),0)</f>
        <v>0</v>
      </c>
      <c r="DJ357" s="1483">
        <f>IFERROR(CW357-DG357,0)</f>
        <v>0</v>
      </c>
      <c r="DL357" s="1419">
        <f>DJ357-DK359</f>
        <v>0</v>
      </c>
      <c r="DN357" s="1403" t="str">
        <f>IFERROR(IF(AND(OR(FY357=4,FY357=5,FY357=6),OR(GB357=4,GB357=5,GB357=6)),FY357+8,VLOOKUP(CT359,Fixtures!R$31:Y$78,8,FALSE)),"")</f>
        <v/>
      </c>
      <c r="DO357" s="1404" t="str">
        <f>DN357</f>
        <v/>
      </c>
      <c r="DP357" s="1353" t="str">
        <f>IFERROR(VLOOKUP(DD359,Lookup!AU$3:AV$15,2,FALSE),"")</f>
        <v/>
      </c>
      <c r="DQ357" s="1404" t="str">
        <f>IF(DP357=7,"LLLC","")</f>
        <v/>
      </c>
      <c r="DR357" s="1403">
        <f>IFERROR(IF(OR(DN357=4,DN357=5,DN357=6,DN357=12,DN357=13,DN357=14),VLOOKUP(CT359,Fixtures!DN$27:EG$77,19,FALSE),1)*CS359,0)</f>
        <v>0</v>
      </c>
      <c r="DS357" s="1489">
        <f>IF(DP357=7,IF(DD357=DD359,0,DC359),0)</f>
        <v>0</v>
      </c>
      <c r="DU357" s="1403" t="str">
        <f>IFERROR(IF(EW357&lt;EW359,"Yes","No"),"")</f>
        <v/>
      </c>
      <c r="DV357" s="1404" t="str">
        <f>DU357</f>
        <v/>
      </c>
      <c r="DW357" s="1403">
        <f>IF(DU357="Yes",DC359,0)</f>
        <v>0</v>
      </c>
      <c r="DX357" s="1403">
        <f>DW357-DS357</f>
        <v>0</v>
      </c>
      <c r="DZ357" s="1481">
        <f>IFERROR(VLOOKUP(DN357,Lookup!AN$3:AO$16,2,FALSE),0)</f>
        <v>0</v>
      </c>
      <c r="EA357" s="1481">
        <f>IF(HW357=FALSE,0,IF(DU357="Yes",DZ357+Lookup!B$6,DZ357))</f>
        <v>0</v>
      </c>
      <c r="EC357" s="1482">
        <f>IF(HW357=TRUE,DJ357,0)</f>
        <v>0</v>
      </c>
      <c r="ED357" s="1369">
        <f>IF(HW357=TRUE,CW359,0)</f>
        <v>0</v>
      </c>
      <c r="EE357" s="1370">
        <f>IFERROR(EC357-ED357,0)</f>
        <v>0</v>
      </c>
      <c r="EF357" s="1369">
        <f>IF(HW357=TRUE,DG359,0)</f>
        <v>0</v>
      </c>
      <c r="EG357" s="1369">
        <f>IFERROR(EC357-ED357+EF357,0)</f>
        <v>0</v>
      </c>
      <c r="EH357" s="1373">
        <f>IF(HW357=TRUE,CS359*CU359,0)</f>
        <v>0</v>
      </c>
      <c r="EI357" s="1373">
        <f>IF(HW357=TRUE,DC359*DE359,0)</f>
        <v>0</v>
      </c>
      <c r="EJ357" s="1363">
        <f>AO357</f>
        <v>0</v>
      </c>
      <c r="EK357" s="1376" t="str">
        <f>IFERROR(IF(HW357=TRUE,VLOOKUP(DN357,Lookup!AN$3:AP$16,3,FALSE)*DR357,""),0)</f>
        <v/>
      </c>
      <c r="EL357" s="1376">
        <f>IF(HW357=TRUE,DW357*Lookup!AP$12,0)</f>
        <v>0</v>
      </c>
      <c r="EM357" s="1362">
        <f>IFERROR(IF(HW357=TRUE,EK357/EM$33,0),0)</f>
        <v>0</v>
      </c>
      <c r="EN357" s="1362">
        <f>IF(HW357=TRUE,EL357/EN$33,0)</f>
        <v>0</v>
      </c>
      <c r="EO357" s="1363">
        <f>IF(HW357=TRUE,EQ$33*EM357,0)</f>
        <v>0</v>
      </c>
      <c r="EP357" s="1363">
        <f>IF(HW357=TRUE,EQ$33*EN357,0)</f>
        <v>0</v>
      </c>
      <c r="EQ357" s="1363">
        <f>EO357+EP357</f>
        <v>0</v>
      </c>
      <c r="ES357" s="1403">
        <f>IF(G357="",0,1)</f>
        <v>0</v>
      </c>
      <c r="EU357" s="1410" t="e">
        <f>VLOOKUP(CP359,'Space Table'!$B$3:$L$160,8,FALSE)</f>
        <v>#N/A</v>
      </c>
      <c r="EV357" s="1410" t="e">
        <f>IF(EY357="Yes",VLOOKUP(DD357,Lookup_Control_Type_Table2,4,FALSE),VLOOKUP(DD357,Lookup_Control_Type_Table2,3,FALSE))</f>
        <v>#N/A</v>
      </c>
      <c r="EW357" s="1410" t="e">
        <f>VLOOKUP(DD357,Lookup!AU$3:AV$15,2,FALSE)</f>
        <v>#N/A</v>
      </c>
      <c r="EX357" s="1410" t="e">
        <f>VLOOKUP(EU357,Lookup_Control_Type_Table,2,FALSE)</f>
        <v>#N/A</v>
      </c>
      <c r="EY357" s="1410" t="e">
        <f>VLOOKUP(CP359,'Space Table'!$B$3:$L$160,7,FALSE)</f>
        <v>#N/A</v>
      </c>
      <c r="EZ357" s="1412" t="b">
        <f>ISNUMBER(SEARCH("TLED",U359))</f>
        <v>0</v>
      </c>
      <c r="FB357" s="1365" t="str">
        <f>CONCATENATE(CN357," - ",DD357)</f>
        <v xml:space="preserve"> - 0</v>
      </c>
      <c r="FD357" s="1353" t="str">
        <f>VLOOKUP(CT359,Fixtures!DN$27:EZ$77,38,FALSE)</f>
        <v/>
      </c>
      <c r="FE357" s="1353">
        <f>IFERROR(FD357*EE357,0)</f>
        <v>0</v>
      </c>
      <c r="FF357" s="138"/>
      <c r="FI357" s="1356" t="str">
        <f>IF(CN357="Exterior","Not Daylighted",G360)</f>
        <v>Not Daylighted</v>
      </c>
      <c r="FJ357" s="1356">
        <f>VLOOKUP(FI357,_Daylight_Table_Codes,2,FALSE)</f>
        <v>0</v>
      </c>
      <c r="FK357" s="1365">
        <f>IF(__Retrofit_TI_NC=2,VLOOKUP(G359,'Space Table'!$B$3:$L$160,11,FALSE),AF358)</f>
        <v>0</v>
      </c>
      <c r="FL357" s="1365" t="e">
        <f>VLOOKUP(FK357,_Control_Table,2,FALSE)</f>
        <v>#N/A</v>
      </c>
      <c r="FM357" s="1365" t="e">
        <f>IF(AND(FP357&gt;0,FK357="Occupancy Sensor"),"Daylight + Occupancy",IF(AND(FP357&gt;0,FL357&lt;4),"Interior Daylight Dimming",FK357))</f>
        <v>#N/A</v>
      </c>
      <c r="FO357" s="1364">
        <f>IF(CO357="Interior",VLOOKUP(CP357,Control_Savings_Interior,5,FALSE),0)</f>
        <v>0</v>
      </c>
      <c r="FP357" s="1361">
        <f>IF(CN357="Exterior",0,IF(FJ357=2,0.5,IF(OR(FJ357=1,FJ357=3),1,0)))</f>
        <v>0</v>
      </c>
      <c r="FQ357" s="1366"/>
      <c r="FR357" s="1367"/>
      <c r="FS357" s="1364"/>
      <c r="FT357" s="1367"/>
      <c r="FU357" s="1360"/>
      <c r="FW357" s="1352" t="str">
        <f>IFERROR(VLOOKUP(U358,_Exist_Fixture_Table,3,FALSE),"")</f>
        <v/>
      </c>
      <c r="FX357" s="1352" t="str">
        <f>VLOOKUP(CT357,_Exist_Fixture_Table,4,FALSE)</f>
        <v/>
      </c>
      <c r="FY357" s="1352">
        <f>IFERROR(VLOOKUP(FX357,Lookup!AM$6:AN$8,2,FALSE),0)</f>
        <v>0</v>
      </c>
      <c r="FZ357" s="1352" t="b">
        <f>IFERROR(IF(OR(GB357=4,GB357=5,GB357=6),TRUE,FALSE),"")</f>
        <v>0</v>
      </c>
      <c r="GA357" s="1352" t="str">
        <f>IFERROR(VLOOKUP(GB357,FY$6:FZ$10,2,FALSE),"")</f>
        <v/>
      </c>
      <c r="GB357" s="1352" t="str">
        <f>VLOOKUP(CT359,Fixtures!R$31:Y$78,8,FALSE)</f>
        <v/>
      </c>
      <c r="GC357" s="1352">
        <f>IF(AND(FW357=TRUE,FZ357=TRUE,OR(DN357=12,DN357=13,DN357=14)),FY357+8,0)</f>
        <v>0</v>
      </c>
      <c r="GD357" s="1352" t="b">
        <f>IF(OR(GC357=12,GC357=13,GC357=14),TRUE,FALSE)</f>
        <v>0</v>
      </c>
      <c r="GE357" s="759" t="b">
        <f>IF(ISNUMBER(SEARCH("TLED",U358)),TRUE,FALSE)</f>
        <v>0</v>
      </c>
      <c r="GF357" s="1035" t="str">
        <f>IFERROR(VLOOKUP(U358,Fixtures!BM$93:BR$142,6,FALSE),"")</f>
        <v/>
      </c>
      <c r="GG357" s="1385" t="b">
        <f>IF(OR(GE357=FALSE,GE359=FALSE),TRUE,IF(GF357-GF359&lt;5,FALSE,TRUE))</f>
        <v>1</v>
      </c>
      <c r="GK357" s="1034">
        <f>GL357</f>
        <v>0</v>
      </c>
      <c r="GL357" s="1034">
        <f>IF(G357="",0,1)</f>
        <v>0</v>
      </c>
      <c r="GM357" s="1034">
        <f>SUM(GN357:HB357)</f>
        <v>2</v>
      </c>
      <c r="GN357" s="1034">
        <f>IF(G358="",0,1)</f>
        <v>0</v>
      </c>
      <c r="GO357" s="1034">
        <f>IF(G359="",0,1)</f>
        <v>0</v>
      </c>
      <c r="GP357" s="1034">
        <f>IF(R358="",0,1)</f>
        <v>0</v>
      </c>
      <c r="GQ357" s="1034">
        <f>IF(__Retrofit_TI_NC=0,1,IF(R359="",0,1))</f>
        <v>1</v>
      </c>
      <c r="GR357" s="1034">
        <f>IF(CN357="Exterior",1,IF(G360="",0,1))</f>
        <v>1</v>
      </c>
      <c r="GS357" s="1034">
        <f>IF(__Retrofit_TI_NC&lt;&gt;0,1,IF(T358="",0,1))</f>
        <v>0</v>
      </c>
      <c r="GT357" s="1034">
        <f>IF(__Retrofit_TI_NC&lt;&gt;0,1,IF(U358="",0,1))</f>
        <v>0</v>
      </c>
      <c r="GU357" s="1034">
        <f>IF(T359="",0,1)</f>
        <v>0</v>
      </c>
      <c r="GV357" s="1034">
        <f>IF(U359="",0,1)</f>
        <v>0</v>
      </c>
      <c r="GW357" s="1034">
        <f>IF(__Retrofit_TI_NC=2,1,IF(U360="",0,1))</f>
        <v>0</v>
      </c>
      <c r="GX357" s="1034">
        <f>IF(__Retrofit_TI_NC&lt;&gt;0,1,IF(AE358="",0,1))</f>
        <v>0</v>
      </c>
      <c r="GY357" s="1034">
        <f>IF(__Retrofit_TI_NC&lt;&gt;0,1,IF(AF358="",0,1))</f>
        <v>0</v>
      </c>
      <c r="GZ357" s="1034">
        <f>IF(AE359="",0,1)</f>
        <v>0</v>
      </c>
      <c r="HA357" s="1034">
        <f>IF(AF359="",0,1)</f>
        <v>0</v>
      </c>
      <c r="HB357" s="1034">
        <f>IF(__Retrofit_TI_NC=2,1,IF(AF360="",0,1))</f>
        <v>0</v>
      </c>
      <c r="HV357" s="436"/>
      <c r="HW357" s="1384" t="b">
        <f>IF(OR(HW360=0,HW360=HT$16,HW360=HS$16,HW360=HU$16),TRUE,FALSE)</f>
        <v>0</v>
      </c>
      <c r="HX357" s="1377" t="b">
        <f>HW357</f>
        <v>0</v>
      </c>
      <c r="HY357" s="436"/>
      <c r="HZ357" s="436"/>
      <c r="IA357" s="1386" t="b">
        <f>IF(MAX(GJ360:HP360)&gt;5,FALSE,TRUE)</f>
        <v>0</v>
      </c>
      <c r="IB357" s="1380">
        <f>IF(IA357=TRUE,AC357,0)</f>
        <v>0</v>
      </c>
      <c r="IC357" s="1380">
        <f>IB357-IB359</f>
        <v>0</v>
      </c>
      <c r="IF357" s="1380" t="e">
        <f>ROUND(T358*VLOOKUP(U358,Fixtures_Existing_List,2,FALSE)*N358*R358/1000,0)</f>
        <v>#N/A</v>
      </c>
      <c r="IG357" s="1381" t="e">
        <f>IF357-IF359</f>
        <v>#N/A</v>
      </c>
      <c r="IH357" s="1384" t="e">
        <f>ROUND(IF(CN357="Interior",N359*R359*R358*N358*_C406_reduction/1000,N359*R359*R358*N358/1000),0)</f>
        <v>#N/A</v>
      </c>
      <c r="II357" s="1384" t="e">
        <f>IH357-IH359</f>
        <v>#N/A</v>
      </c>
      <c r="IK357" s="1351" t="e">
        <f>IF($CO357="interior",IL357/2,VLOOKUP($CP357,Control_Savings_Exterior,IK$30,FALSE))</f>
        <v>#N/A</v>
      </c>
      <c r="IL357" s="1351" t="e">
        <f>IF($CO357="interior",VLOOKUP($CP357,Control_Savings_Interior,IL$30,FALSE),VLOOKUP($CP357,Control_Savings_Exterior,IL$30,FALSE))</f>
        <v>#N/A</v>
      </c>
      <c r="IM357" s="1351" t="e">
        <f>IF($CO357="interior",IF(R358&gt;FO$37,(IM$28*(FO$37/R358)),IM$28)*FP357,VLOOKUP($CP357,Control_Savings_Exterior,IM$30,FALSE))</f>
        <v>#N/A</v>
      </c>
      <c r="IN357" s="1351" t="e">
        <f>IF($CO357="interior",ROUND(((1-IL357)*IM357)+IL357,2),VLOOKUP($CP357,Control_Savings_Exterior,IN$30,FALSE))</f>
        <v>#N/A</v>
      </c>
      <c r="IO357" s="1351" t="e">
        <f>IF($CO357="interior", ROUND(((1-IL357)*(IM357*(1-IP$28)))+IP357,2), VLOOKUP($CP357,Control_Savings_Exterior,IO$30,FALSE))</f>
        <v>#N/A</v>
      </c>
      <c r="IP357" s="1351">
        <f>IF($CO357="interior",ROUND(((1-IL357)*IP$28)+IL357,2),0)</f>
        <v>0</v>
      </c>
    </row>
    <row r="358" spans="1:250" s="82" customFormat="1" ht="14.95" customHeight="1" thickTop="1" thickBot="1">
      <c r="B358" s="1421"/>
      <c r="C358" s="1422"/>
      <c r="D358" s="1423"/>
      <c r="E358" s="1393" t="s">
        <v>244</v>
      </c>
      <c r="F358" s="1394"/>
      <c r="G358" s="1395"/>
      <c r="H358" s="1395"/>
      <c r="I358" s="1395"/>
      <c r="J358" s="1395"/>
      <c r="K358" s="1395"/>
      <c r="L358" s="1395"/>
      <c r="M358" s="509" t="e">
        <f>IF(__Retrofit_TI_NC&lt;&gt;0,IF(VLOOKUP(G359,'Space Table'!$B$3:$L$160,3,FALSE)&gt;0,1,0),IF(__Retrofit_TI_NC=VLOOKUP(G359,'Space Table'!$B$3:$L$160,3,FALSE),1,0))</f>
        <v>#N/A</v>
      </c>
      <c r="N358" s="509" t="str">
        <f>IFERROR(VLOOKUP(G358,_Lookup_Heat_Type_Table_New,2,FALSE),"")</f>
        <v/>
      </c>
      <c r="O358" s="509">
        <f>IF(__Retrofit_TI_NC=1,CONCATENATE("TI ",G358),IF(__Retrofit_TI_NC=2,CONCATENATE("NC ",G358),G358))</f>
        <v>0</v>
      </c>
      <c r="P358" s="1396" t="s">
        <v>352</v>
      </c>
      <c r="Q358" s="1396"/>
      <c r="R358" s="673"/>
      <c r="S358" s="1429"/>
      <c r="T358" s="675"/>
      <c r="U358" s="1496"/>
      <c r="V358" s="1497"/>
      <c r="W358" s="1497"/>
      <c r="X358" s="1497"/>
      <c r="Y358" s="1497"/>
      <c r="Z358" s="1497"/>
      <c r="AA358" s="1497"/>
      <c r="AB358" s="1497"/>
      <c r="AC358" s="1497"/>
      <c r="AD358" s="1498"/>
      <c r="AE358" s="675"/>
      <c r="AF358" s="1397"/>
      <c r="AG358" s="1397"/>
      <c r="AH358" s="1397"/>
      <c r="AI358" s="1397"/>
      <c r="AJ358" s="1434"/>
      <c r="AK358" s="1436"/>
      <c r="AL358" s="1438"/>
      <c r="AM358" s="1441"/>
      <c r="AN358" s="1442"/>
      <c r="AO358" s="1447"/>
      <c r="AP358" s="1447"/>
      <c r="AQ358" s="1448"/>
      <c r="AR358" s="1452"/>
      <c r="AS358" s="1455"/>
      <c r="AT358" s="1458"/>
      <c r="AU358" s="516"/>
      <c r="AV358" s="1479"/>
      <c r="AW358" s="1479"/>
      <c r="BC358" s="38"/>
      <c r="BD358" s="38"/>
      <c r="BE358" s="38"/>
      <c r="BF358" s="38"/>
      <c r="BG358" s="38"/>
      <c r="BH358" s="38"/>
      <c r="BI358" s="38"/>
      <c r="BJ358" s="38"/>
      <c r="BK358" s="38"/>
      <c r="BL358" s="38"/>
      <c r="BM358" s="38"/>
      <c r="BN358" s="38"/>
      <c r="BO358" s="38"/>
      <c r="BP358" s="38"/>
      <c r="BQ358" s="38"/>
      <c r="BR358" s="38"/>
      <c r="BS358" s="38"/>
      <c r="BT358" s="38"/>
      <c r="BU358" s="38"/>
      <c r="BV358" s="38"/>
      <c r="BW358" s="38"/>
      <c r="BX358" s="38"/>
      <c r="BY358" s="38"/>
      <c r="BZ358" s="38"/>
      <c r="CA358" s="38"/>
      <c r="CB358" s="38"/>
      <c r="CC358" s="38"/>
      <c r="CD358" s="38"/>
      <c r="CE358" s="38"/>
      <c r="CF358" s="38"/>
      <c r="CG358" s="38"/>
      <c r="CH358" s="38"/>
      <c r="CI358" s="38"/>
      <c r="CM358" s="1352"/>
      <c r="CN358" s="1352"/>
      <c r="CO358" s="1416"/>
      <c r="CP358" s="1418"/>
      <c r="CR358" s="1386"/>
      <c r="CS358" s="1355"/>
      <c r="CT358" s="1355"/>
      <c r="CU358" s="1355"/>
      <c r="CV358" s="1372"/>
      <c r="CW358" s="1372"/>
      <c r="CX358" s="1371"/>
      <c r="CY358" s="1486"/>
      <c r="CZ358" s="1486"/>
      <c r="DA358" s="1486"/>
      <c r="DC358" s="1355"/>
      <c r="DD358" s="1461"/>
      <c r="DE358" s="1355"/>
      <c r="DF358" s="1407"/>
      <c r="DG358" s="1372"/>
      <c r="DH358" s="1369"/>
      <c r="DJ358" s="1484"/>
      <c r="DL358" s="1419"/>
      <c r="DN358" s="1403"/>
      <c r="DO358" s="1405"/>
      <c r="DP358" s="1354"/>
      <c r="DQ358" s="1405"/>
      <c r="DR358" s="1403"/>
      <c r="DS358" s="1489"/>
      <c r="DU358" s="1403"/>
      <c r="DV358" s="1405"/>
      <c r="DW358" s="1403"/>
      <c r="DX358" s="1403"/>
      <c r="DZ358" s="1481"/>
      <c r="EA358" s="1481"/>
      <c r="EC358" s="1482"/>
      <c r="ED358" s="1369"/>
      <c r="EE358" s="1371"/>
      <c r="EF358" s="1369"/>
      <c r="EG358" s="1369"/>
      <c r="EH358" s="1374"/>
      <c r="EI358" s="1374"/>
      <c r="EJ358" s="1363"/>
      <c r="EK358" s="1376"/>
      <c r="EL358" s="1376"/>
      <c r="EM358" s="1362"/>
      <c r="EN358" s="1362"/>
      <c r="EO358" s="1363"/>
      <c r="EP358" s="1363"/>
      <c r="EQ358" s="1363"/>
      <c r="ES358" s="1403"/>
      <c r="EU358" s="1411"/>
      <c r="EV358" s="1411"/>
      <c r="EW358" s="1411"/>
      <c r="EX358" s="1411"/>
      <c r="EY358" s="1411"/>
      <c r="EZ358" s="1413"/>
      <c r="FB358" s="1365"/>
      <c r="FD358" s="1354"/>
      <c r="FE358" s="1354"/>
      <c r="FF358" s="138"/>
      <c r="FI358" s="1357"/>
      <c r="FJ358" s="1357"/>
      <c r="FK358" s="1365"/>
      <c r="FL358" s="1365"/>
      <c r="FM358" s="1365"/>
      <c r="FO358" s="1361"/>
      <c r="FP358" s="1361"/>
      <c r="FQ358" s="1366"/>
      <c r="FR358" s="1368"/>
      <c r="FS358" s="1361"/>
      <c r="FT358" s="1368"/>
      <c r="FU358" s="1360"/>
      <c r="FW358" s="1352"/>
      <c r="FX358" s="1352"/>
      <c r="FY358" s="1352"/>
      <c r="FZ358" s="1352"/>
      <c r="GA358" s="1352"/>
      <c r="GB358" s="1352"/>
      <c r="GC358" s="1352"/>
      <c r="GD358" s="1352"/>
      <c r="GE358" s="759"/>
      <c r="GF358" s="1035"/>
      <c r="GG358" s="1385"/>
      <c r="GI358" s="1384" t="b">
        <f>IF(AND(GL358=TRUE,GM358=TRUE),TRUE,FALSE)</f>
        <v>0</v>
      </c>
      <c r="GJ358" s="1379" t="b">
        <f>IFERROR(IF(__Retrofit_TI_NC=2,TRUE,IF(AR357="Yes",TRUE,FALSE)),FALSE)</f>
        <v>1</v>
      </c>
      <c r="GL358" s="1379" t="b">
        <f>IFERROR(IF(GL357=1,TRUE,FALSE),FALSE)</f>
        <v>0</v>
      </c>
      <c r="GM358" s="1379" t="b">
        <f>IFERROR(IF(GM357=GM$14,TRUE,FALSE),FALSE)</f>
        <v>0</v>
      </c>
      <c r="HC358" s="1379" t="b">
        <f>IFERROR(IF(M358=1,TRUE,FALSE),FALSE)</f>
        <v>0</v>
      </c>
      <c r="HD358" s="1379" t="b">
        <f>IFERROR(IF(M359=1,TRUE,FALSE),FALSE)</f>
        <v>0</v>
      </c>
      <c r="HE358" s="1379" t="b">
        <f>IFERROR(IF(__Retrofit_TI_NC&lt;&gt;0,TRUE,IFERROR(IF(VLOOKUP(U358,Fixtures_Existing_List,2,FALSE)&lt;&gt;"",TRUE,FALSE),FALSE)),FALSE)</f>
        <v>0</v>
      </c>
      <c r="HF358" s="1379" t="b">
        <f>IFERROR(IF(VLOOKUP(U359,Fixtures_Proposed_List,2,FALSE)&lt;&gt;"",TRUE,FALSE),FALSE)</f>
        <v>0</v>
      </c>
      <c r="HG358" s="1379" t="b">
        <f>IF(AND(__Retrofit_TI_NC=2,EZ357=TRUE),FALSE,TRUE)</f>
        <v>1</v>
      </c>
      <c r="HH358" s="1379" t="b">
        <f>GG357</f>
        <v>1</v>
      </c>
      <c r="HI358" s="1384" t="b">
        <f>IF(ISERROR(MATCH(FB357,_Control_Match[],0))=TRUE,FALSE,TRUE)</f>
        <v>0</v>
      </c>
      <c r="HJ358" s="1384" t="b">
        <f>IFERROR(IF(EU357&lt;&gt;EV357,FALSE,TRUE),FALSE)</f>
        <v>0</v>
      </c>
      <c r="HK358" s="1384" t="b">
        <f>IFERROR(IF(EU359&lt;&gt;EV359,FALSE,TRUE),FALSE)</f>
        <v>0</v>
      </c>
      <c r="HL358" s="1379" t="b">
        <f>IFERROR(IF(CN357="Exterior",TRUE,IF(OR(AND(FJ357=0,EW359&gt;4),AND(FJ357=4,EW359&gt;4,EW359&lt;7)),FALSE,TRUE)),FALSE)</f>
        <v>0</v>
      </c>
      <c r="HM358" s="1379" t="b">
        <f>IFERROR(IF(AND(FL359=7,EZ357=TRUE),FALSE,TRUE),FALSE)</f>
        <v>0</v>
      </c>
      <c r="HN358" s="1379" t="b">
        <f>IFERROR(IF(AND(T359&lt;&gt;AE359,AF359="Interior LLLC")=TRUE,FALSE,TRUE),FALSE)</f>
        <v>1</v>
      </c>
      <c r="HO358" s="1379" t="b">
        <f>IFERROR(IF(OR(AF359=Lookup!AU$13,AF359=Lookup!AU$14)=TRUE,IF(AE359&gt;T359,FALSE,TRUE),TRUE),FALSE)</f>
        <v>1</v>
      </c>
      <c r="HP358" s="1379" t="b">
        <f>IFERROR(IF(__Retrofit_TI_NC=2,IF(EW359&lt;EW357,FALSE,TRUE),TRUE),FALSE)</f>
        <v>1</v>
      </c>
      <c r="HQ358" s="1379" t="b">
        <f>IF(CN357="Interior",IG$6,TRUE)</f>
        <v>1</v>
      </c>
      <c r="HR358" s="1379" t="b">
        <f>IF(CN357="Exterior",IG$8,TRUE)</f>
        <v>1</v>
      </c>
      <c r="HS358" s="1379" t="b">
        <f>IFERROR(IF(__Retrofit_TI_NC&lt;&gt;0,IF(AW357&lt;AV357,FALSE,TRUE),TRUE),FALSE)</f>
        <v>1</v>
      </c>
      <c r="HT358" s="1379" t="b">
        <f>IFERROR(IF(AND(G358="Exterior",R358&gt;4200),FALSE,TRUE),FALSE)</f>
        <v>1</v>
      </c>
      <c r="HU358" s="1379" t="b">
        <f>IFERROR(IF(AB360/AB357&lt;HU$18,FALSE,TRUE),FALSE)</f>
        <v>0</v>
      </c>
      <c r="HW358" s="1382"/>
      <c r="HX358" s="1378"/>
      <c r="HY358" s="1377" t="str">
        <f>VLOOKUP(HW360,_Error_Table,4,FALSE)</f>
        <v>White</v>
      </c>
      <c r="HZ358" s="436"/>
      <c r="IA358" s="1386"/>
      <c r="IB358" s="1380"/>
      <c r="IC358" s="1379"/>
      <c r="IF358" s="1380"/>
      <c r="IG358" s="1382"/>
      <c r="IH358" s="1382"/>
      <c r="II358" s="1382"/>
      <c r="IK358" s="1351"/>
      <c r="IL358" s="1351"/>
      <c r="IM358" s="1351"/>
      <c r="IN358" s="1351"/>
      <c r="IO358" s="1351"/>
      <c r="IP358" s="1351"/>
    </row>
    <row r="359" spans="1:250" s="82" customFormat="1" ht="14.95" customHeight="1" thickTop="1" thickBot="1">
      <c r="A359" s="82">
        <f>ROW()</f>
        <v>359</v>
      </c>
      <c r="B359" s="1421"/>
      <c r="C359" s="1422"/>
      <c r="D359" s="1423"/>
      <c r="E359" s="1393" t="s">
        <v>245</v>
      </c>
      <c r="F359" s="1394"/>
      <c r="G359" s="1398"/>
      <c r="H359" s="1399"/>
      <c r="I359" s="1399"/>
      <c r="J359" s="1399"/>
      <c r="K359" s="1399"/>
      <c r="L359" s="1400"/>
      <c r="M359" s="509">
        <f>IFERROR(IF(IF(__Retrofit_TI_NC&lt;&gt;0,IF(CN357="Interior",MATCH(G359,Lookup_Interior_New,0),MATCH(G359,Lookup_Exterior_New,0)),IF(CN357="Interior",MATCH(G359,Lookup_Interior,0),MATCH(G359,Lookup_Exterior_Areas,0)))&gt;0,1,0),0)</f>
        <v>0</v>
      </c>
      <c r="N359" s="509" t="e">
        <f>IF(__Retrofit_TI_NC=1,
VLOOKUP(G359,'Space Table'!$B$3:$L$160,4,FALSE),
IF(__Retrofit_TI_NC=2,VLOOKUP(G359,'Space Table'!$B$3:$L$160,5,FALSE),VLOOKUP(G359,'Space Table'!$B$3:$L$160,5,FALSE)))</f>
        <v>#N/A</v>
      </c>
      <c r="O359" s="509">
        <f>G359</f>
        <v>0</v>
      </c>
      <c r="P359" s="1394" t="s">
        <v>355</v>
      </c>
      <c r="Q359" s="1394"/>
      <c r="R359" s="674"/>
      <c r="S359" s="1401" t="s">
        <v>284</v>
      </c>
      <c r="T359" s="672"/>
      <c r="U359" s="1499"/>
      <c r="V359" s="1500"/>
      <c r="W359" s="1500"/>
      <c r="X359" s="1500"/>
      <c r="Y359" s="1500"/>
      <c r="Z359" s="1500"/>
      <c r="AA359" s="1500"/>
      <c r="AB359" s="1501"/>
      <c r="AC359" s="1501"/>
      <c r="AD359" s="1502"/>
      <c r="AE359" s="672"/>
      <c r="AF359" s="1474"/>
      <c r="AG359" s="1474"/>
      <c r="AH359" s="1474"/>
      <c r="AI359" s="1474"/>
      <c r="AJ359" s="1475">
        <f>DF359</f>
        <v>0</v>
      </c>
      <c r="AK359" s="1470" t="str">
        <f>IFERROR(ROUND(AJ359*AC360,0),"")</f>
        <v/>
      </c>
      <c r="AL359" s="1472">
        <f>IFERROR(IF(HW357=FALSE,0,AC360-AK359),0)</f>
        <v>0</v>
      </c>
      <c r="AM359" s="1441"/>
      <c r="AN359" s="1442"/>
      <c r="AO359" s="1447"/>
      <c r="AP359" s="1447"/>
      <c r="AQ359" s="1448"/>
      <c r="AR359" s="1452"/>
      <c r="AS359" s="1455"/>
      <c r="AT359" s="1458"/>
      <c r="AU359" s="516"/>
      <c r="AV359" s="1479"/>
      <c r="AW359" s="1479"/>
      <c r="BC359" s="38"/>
      <c r="BD359" s="38"/>
      <c r="BE359" s="38"/>
      <c r="BF359" s="38"/>
      <c r="BG359" s="38"/>
      <c r="BH359" s="38"/>
      <c r="BI359" s="38"/>
      <c r="BJ359" s="38"/>
      <c r="BK359" s="38"/>
      <c r="BL359" s="38"/>
      <c r="BM359" s="38"/>
      <c r="BN359" s="38"/>
      <c r="BO359" s="38"/>
      <c r="BP359" s="38"/>
      <c r="BQ359" s="38"/>
      <c r="BR359" s="38"/>
      <c r="BS359" s="38"/>
      <c r="BT359" s="38"/>
      <c r="BU359" s="38"/>
      <c r="BV359" s="38"/>
      <c r="BW359" s="38"/>
      <c r="BX359" s="38"/>
      <c r="BY359" s="38"/>
      <c r="BZ359" s="38"/>
      <c r="CA359" s="38"/>
      <c r="CB359" s="38"/>
      <c r="CC359" s="38"/>
      <c r="CD359" s="38"/>
      <c r="CE359" s="38"/>
      <c r="CF359" s="38"/>
      <c r="CG359" s="38"/>
      <c r="CH359" s="38"/>
      <c r="CI359" s="38"/>
      <c r="CM359" s="1352"/>
      <c r="CN359" s="1352"/>
      <c r="CO359" s="1415" t="str">
        <f>CN357</f>
        <v/>
      </c>
      <c r="CP359" s="1417" t="e">
        <f>CP357</f>
        <v>#N/A</v>
      </c>
      <c r="CR359" s="1386" t="s">
        <v>284</v>
      </c>
      <c r="CS359" s="1353">
        <f>IF(HW357=TRUE,T359,0)</f>
        <v>0</v>
      </c>
      <c r="CT359" s="1353" t="str">
        <f>IF(HW357=TRUE,U359,"")</f>
        <v/>
      </c>
      <c r="CU359" s="1373">
        <f>IF(HW357=TRUE,U360,0)</f>
        <v>0</v>
      </c>
      <c r="CV359" s="1370">
        <f>IF(HW357=TRUE,AB360,0)</f>
        <v>0</v>
      </c>
      <c r="CW359" s="1370">
        <f>IF(HW357=TRUE,AC360,0)</f>
        <v>0</v>
      </c>
      <c r="CX359" s="1371"/>
      <c r="CY359" s="1486"/>
      <c r="CZ359" s="1486"/>
      <c r="DA359" s="1486"/>
      <c r="DC359" s="1353">
        <f>IF(HW357=TRUE,AE359,0)</f>
        <v>0</v>
      </c>
      <c r="DD359" s="1353" t="str">
        <f>IF(HW357=TRUE,AF359,"")</f>
        <v/>
      </c>
      <c r="DE359" s="1373">
        <f>AF360</f>
        <v>0</v>
      </c>
      <c r="DF359" s="1406">
        <f>IFERROR(IF(FL359=3,IK359,IF(FL359=4,IL359,IF(FL359=5,IM359,IF(FL359=6,IN359,IF(FL359=7,IO359,IF(FL359=8,IP359,0)))))),0)</f>
        <v>0</v>
      </c>
      <c r="DG359" s="1370">
        <f>IF(HW357=TRUE,AK359,0)</f>
        <v>0</v>
      </c>
      <c r="DH359" s="1369"/>
      <c r="DK359" s="1483">
        <f>IFERROR(CW359-DG359,0)</f>
        <v>0</v>
      </c>
      <c r="DL359" s="1420"/>
      <c r="DN359" s="1403"/>
      <c r="DO359" s="1477" t="str">
        <f>DN357</f>
        <v/>
      </c>
      <c r="DP359" s="1354"/>
      <c r="DQ359" s="1477" t="str">
        <f>IF(DP357=7,"LLLC","")</f>
        <v/>
      </c>
      <c r="DR359" s="1403"/>
      <c r="DS359" s="1489"/>
      <c r="DU359" s="1403"/>
      <c r="DV359" s="1404" t="str">
        <f>DU357</f>
        <v/>
      </c>
      <c r="DW359" s="1403"/>
      <c r="DX359" s="1403"/>
      <c r="DZ359" s="1481"/>
      <c r="EA359" s="1481"/>
      <c r="EC359" s="1482"/>
      <c r="ED359" s="1369"/>
      <c r="EE359" s="1371"/>
      <c r="EF359" s="1369"/>
      <c r="EG359" s="1369"/>
      <c r="EH359" s="1374"/>
      <c r="EI359" s="1374"/>
      <c r="EJ359" s="1363"/>
      <c r="EK359" s="1376"/>
      <c r="EL359" s="1376"/>
      <c r="EM359" s="1362"/>
      <c r="EN359" s="1362"/>
      <c r="EO359" s="1363"/>
      <c r="EP359" s="1363"/>
      <c r="EQ359" s="1363"/>
      <c r="ES359" s="1403"/>
      <c r="EU359" s="1411" t="e">
        <f>VLOOKUP(CP359,'Space Table'!$B$3:$L$160,8,FALSE)</f>
        <v>#N/A</v>
      </c>
      <c r="EV359" s="1411" t="e">
        <f>IF(EY359="Yes",VLOOKUP(AF359,Lookup_Control_Type_Table2,4,FALSE),VLOOKUP(AF359,Lookup_Control_Type_Table2,3,FALSE))</f>
        <v>#N/A</v>
      </c>
      <c r="EW359" s="1411" t="e">
        <f>VLOOKUP(AF359,Lookup!AU$3:AV$15,2,FALSE)</f>
        <v>#N/A</v>
      </c>
      <c r="EX359" s="1411" t="e">
        <f>VLOOKUP(EU357,Lookup_Control_Type_Table,2,FALSE)</f>
        <v>#N/A</v>
      </c>
      <c r="EY359" s="1411" t="e">
        <f>VLOOKUP(CP359,'Space Table'!$B$3:$L$160,7,FALSE)</f>
        <v>#N/A</v>
      </c>
      <c r="EZ359" s="1413"/>
      <c r="FB359" s="1365" t="str">
        <f>CONCATENATE(CN357," - ",AF359)</f>
        <v xml:space="preserve"> - </v>
      </c>
      <c r="FD359" s="1354"/>
      <c r="FE359" s="1354"/>
      <c r="FF359" s="138"/>
      <c r="FI359" s="1356" t="str">
        <f>IF(CN357="Exterior","Not Daylighted",G360)</f>
        <v>Not Daylighted</v>
      </c>
      <c r="FJ359" s="1356">
        <f>VLOOKUP(FI359,_Daylight_Table_Codes,2,FALSE)</f>
        <v>0</v>
      </c>
      <c r="FK359" s="1365">
        <f>AF359</f>
        <v>0</v>
      </c>
      <c r="FL359" s="1365" t="e">
        <f>VLOOKUP(FK359,_Control_Table,2,FALSE)</f>
        <v>#N/A</v>
      </c>
      <c r="FM359" s="1365" t="e">
        <f>IF(AND(FP359&gt;0,FK359="Occupancy Sensor"),"Daylight + Occupancy",IF(AND(FP359&gt;0,FL359&lt;4),"Interior Daylight Dimming",FK359))</f>
        <v>#N/A</v>
      </c>
      <c r="FO359" s="1364">
        <f>IF(CN357="Interior",VLOOKUP(CP357,Control_Savings_Interior,5,FALSE),0)</f>
        <v>0</v>
      </c>
      <c r="FP359" s="1361">
        <f>IF(CN359="Exterior",0,IF(FJ359=2,0.5,IF(OR(FJ359=1,FJ359=3),1,0)))</f>
        <v>0</v>
      </c>
      <c r="FQ359" s="1366">
        <f>IF(R358&gt;FO$37,(FO359*(FO$37/R358)),FO359)*FP359</f>
        <v>0</v>
      </c>
      <c r="FR359" s="1364">
        <f>DF359</f>
        <v>0</v>
      </c>
      <c r="FS359" s="1364">
        <f>ROUND(FR359+((1-FR359)*FQ359),2)</f>
        <v>0</v>
      </c>
      <c r="FT359" s="1364">
        <f>IF(__Retrofit_TI_NC=2,FS359,FR359)</f>
        <v>0</v>
      </c>
      <c r="FU359" s="1360">
        <f>IF(CO359="Interior",VLOOKUP(CP359,Control_Savings_Interior,4,FALSE),0)</f>
        <v>0</v>
      </c>
      <c r="FW359" s="1352"/>
      <c r="FX359" s="1352"/>
      <c r="FY359" s="1352"/>
      <c r="FZ359" s="1352"/>
      <c r="GA359" s="1352"/>
      <c r="GB359" s="1352"/>
      <c r="GC359" s="1352"/>
      <c r="GD359" s="1352"/>
      <c r="GE359" s="759" t="b">
        <f>IF(ISNUMBER(SEARCH("TLED",U359)),TRUE,FALSE)</f>
        <v>0</v>
      </c>
      <c r="GF359" s="1035" t="str">
        <f>IFERROR(VLOOKUP(U359,Fixtures!DM$93:DR$142,6,FALSE),"")</f>
        <v/>
      </c>
      <c r="GG359" s="1385"/>
      <c r="GI359" s="1383"/>
      <c r="GJ359" s="1379"/>
      <c r="GL359" s="1379"/>
      <c r="GM359" s="1379"/>
      <c r="HC359" s="1379"/>
      <c r="HD359" s="1379"/>
      <c r="HE359" s="1379"/>
      <c r="HF359" s="1379"/>
      <c r="HG359" s="1379"/>
      <c r="HH359" s="1379"/>
      <c r="HI359" s="1383"/>
      <c r="HJ359" s="1383"/>
      <c r="HK359" s="1383"/>
      <c r="HL359" s="1379"/>
      <c r="HM359" s="1379"/>
      <c r="HN359" s="1379"/>
      <c r="HO359" s="1379"/>
      <c r="HP359" s="1379"/>
      <c r="HQ359" s="1379"/>
      <c r="HR359" s="1379"/>
      <c r="HS359" s="1379"/>
      <c r="HT359" s="1379"/>
      <c r="HU359" s="1379"/>
      <c r="HW359" s="1383"/>
      <c r="HX359" s="1384" t="b">
        <f>HW357</f>
        <v>0</v>
      </c>
      <c r="HY359" s="1378"/>
      <c r="HZ359" s="436"/>
      <c r="IA359" s="1386"/>
      <c r="IB359" s="1380">
        <f>IF(IA357=TRUE,AC360,0)</f>
        <v>0</v>
      </c>
      <c r="IC359" s="1379"/>
      <c r="IF359" s="1380" t="e">
        <f>ROUND(T359*AB360*N358*R358/1000,0)</f>
        <v>#VALUE!</v>
      </c>
      <c r="IG359" s="1382"/>
      <c r="IH359" s="1384" t="e">
        <f>ROUND(T359*AB360*N358*R358/1000,0)</f>
        <v>#VALUE!</v>
      </c>
      <c r="II359" s="1382"/>
      <c r="IK359" s="1351" t="e">
        <f>IF($CO359="interior",IL359/2,VLOOKUP($CP359,Control_Savings_Exterior,IK$30,FALSE))</f>
        <v>#N/A</v>
      </c>
      <c r="IL359" s="1351" t="e">
        <f>IF($CO359="interior",VLOOKUP($CP359,Control_Savings_Interior,IL$30,FALSE),VLOOKUP($CP359,Control_Savings_Exterior,IL$30,FALSE))</f>
        <v>#N/A</v>
      </c>
      <c r="IM359" s="1351" t="e">
        <f>IF($CO359="interior",IF(R358&gt;FO$37,(IM$28*(FO$37/R358)),IM$28)*FP359,VLOOKUP($CP359,Control_Savings_Exterior,IM$30,FALSE))</f>
        <v>#N/A</v>
      </c>
      <c r="IN359" s="1351" t="e">
        <f>IF($CO359="interior",ROUND(((1-IL359)*IM359)+IL359,2),VLOOKUP($CP359,Control_Savings_Exterior,IN$30,FALSE))</f>
        <v>#N/A</v>
      </c>
      <c r="IO359" s="1351" t="e">
        <f>IF($CO359="interior", ROUND(((1-IL359)*(IM359*(1-IP$28)))+IP359,2), VLOOKUP($CP359,Control_Savings_Exterior,IO$30,FALSE))</f>
        <v>#N/A</v>
      </c>
      <c r="IP359" s="1351">
        <f>IF($CO359="interior",ROUND(((1-IL359)*IP$28)+IL359,2),0)</f>
        <v>0</v>
      </c>
    </row>
    <row r="360" spans="1:250" s="82" customFormat="1" ht="14.95" customHeight="1" thickTop="1" thickBot="1">
      <c r="B360" s="1421"/>
      <c r="C360" s="1422"/>
      <c r="D360" s="1423"/>
      <c r="E360" s="1462" t="s">
        <v>357</v>
      </c>
      <c r="F360" s="1463"/>
      <c r="G360" s="1464" t="s">
        <v>362</v>
      </c>
      <c r="H360" s="1465"/>
      <c r="I360" s="1465"/>
      <c r="J360" s="1465"/>
      <c r="K360" s="1465"/>
      <c r="L360" s="1466"/>
      <c r="M360" s="669">
        <f>IFERROR(VLOOKUP(G360,_Daylight_Table[],2,FALSE),0)</f>
        <v>0</v>
      </c>
      <c r="N360" s="670"/>
      <c r="O360" s="669" t="e">
        <f>VLOOKUP(G359,'Space Table'!$B$3:$L$160,11,FALSE)</f>
        <v>#N/A</v>
      </c>
      <c r="P360" s="1408"/>
      <c r="Q360" s="1409"/>
      <c r="R360" s="1409"/>
      <c r="S360" s="1402"/>
      <c r="T360" s="671" t="s">
        <v>281</v>
      </c>
      <c r="U360" s="1467" t="str">
        <f>IFERROR(VLOOKUP(U359,Fixtures!DM$93:DP$142,4,FALSE),"")</f>
        <v/>
      </c>
      <c r="V360" s="1468"/>
      <c r="W360" s="1468"/>
      <c r="X360" s="1468"/>
      <c r="Y360" s="1468"/>
      <c r="Z360" s="1468"/>
      <c r="AA360" s="1468"/>
      <c r="AB360" s="1046" t="str">
        <f>IFERROR(VLOOKUP(U359,Fixtures_Proposed_List,2,FALSE),"")</f>
        <v/>
      </c>
      <c r="AC360" s="1036" t="str">
        <f>IFERROR(ROUND(T359*AB360*N358*R358/1000,0),"")</f>
        <v/>
      </c>
      <c r="AD360" s="1037" t="str">
        <f>IFERROR(ROUND(T359*AB360/1000,2),"")</f>
        <v/>
      </c>
      <c r="AE360" s="1045" t="s">
        <v>281</v>
      </c>
      <c r="AF360" s="1469"/>
      <c r="AG360" s="1469"/>
      <c r="AH360" s="1469"/>
      <c r="AI360" s="1469"/>
      <c r="AJ360" s="1476"/>
      <c r="AK360" s="1471"/>
      <c r="AL360" s="1473"/>
      <c r="AM360" s="1443"/>
      <c r="AN360" s="1444"/>
      <c r="AO360" s="1449"/>
      <c r="AP360" s="1449"/>
      <c r="AQ360" s="1450"/>
      <c r="AR360" s="1453"/>
      <c r="AS360" s="1456"/>
      <c r="AT360" s="1459"/>
      <c r="AU360" s="517"/>
      <c r="AV360" s="1480"/>
      <c r="AW360" s="1480"/>
      <c r="BC360" s="38"/>
      <c r="BD360" s="38"/>
      <c r="BE360" s="38"/>
      <c r="BF360" s="38"/>
      <c r="BG360" s="38"/>
      <c r="BH360" s="38"/>
      <c r="BI360" s="38"/>
      <c r="BJ360" s="38"/>
      <c r="BK360" s="38"/>
      <c r="BL360" s="38"/>
      <c r="BM360" s="38"/>
      <c r="BN360" s="38"/>
      <c r="BO360" s="38"/>
      <c r="BP360" s="38"/>
      <c r="BQ360" s="38"/>
      <c r="BR360" s="38"/>
      <c r="BS360" s="38"/>
      <c r="BT360" s="38"/>
      <c r="BU360" s="38"/>
      <c r="BV360" s="38"/>
      <c r="BW360" s="38"/>
      <c r="BX360" s="38"/>
      <c r="BY360" s="38"/>
      <c r="BZ360" s="38"/>
      <c r="CA360" s="38"/>
      <c r="CB360" s="38"/>
      <c r="CC360" s="38"/>
      <c r="CD360" s="38"/>
      <c r="CE360" s="38"/>
      <c r="CF360" s="38"/>
      <c r="CG360" s="38"/>
      <c r="CH360" s="38"/>
      <c r="CI360" s="38"/>
      <c r="CM360" s="1352"/>
      <c r="CN360" s="1352"/>
      <c r="CO360" s="1416"/>
      <c r="CP360" s="1418"/>
      <c r="CR360" s="1386"/>
      <c r="CS360" s="1355"/>
      <c r="CT360" s="1355"/>
      <c r="CU360" s="1375"/>
      <c r="CV360" s="1372"/>
      <c r="CW360" s="1372"/>
      <c r="CX360" s="1372"/>
      <c r="CY360" s="1487"/>
      <c r="CZ360" s="1487"/>
      <c r="DA360" s="1487"/>
      <c r="DC360" s="1355"/>
      <c r="DD360" s="1355"/>
      <c r="DE360" s="1375"/>
      <c r="DF360" s="1407"/>
      <c r="DG360" s="1372"/>
      <c r="DH360" s="1369"/>
      <c r="DK360" s="1484"/>
      <c r="DL360" s="1420"/>
      <c r="DN360" s="1403"/>
      <c r="DO360" s="1405"/>
      <c r="DP360" s="1355"/>
      <c r="DQ360" s="1405"/>
      <c r="DR360" s="1403"/>
      <c r="DS360" s="1489"/>
      <c r="DU360" s="1403"/>
      <c r="DV360" s="1405"/>
      <c r="DW360" s="1403"/>
      <c r="DX360" s="1403"/>
      <c r="DZ360" s="1481"/>
      <c r="EA360" s="1481"/>
      <c r="EC360" s="1482"/>
      <c r="ED360" s="1369"/>
      <c r="EE360" s="1372"/>
      <c r="EF360" s="1369"/>
      <c r="EG360" s="1369"/>
      <c r="EH360" s="1375"/>
      <c r="EI360" s="1375"/>
      <c r="EJ360" s="1363"/>
      <c r="EK360" s="1376"/>
      <c r="EL360" s="1376"/>
      <c r="EM360" s="1362"/>
      <c r="EN360" s="1362"/>
      <c r="EO360" s="1363"/>
      <c r="EP360" s="1363"/>
      <c r="EQ360" s="1363"/>
      <c r="ES360" s="1403"/>
      <c r="EU360" s="1488"/>
      <c r="EV360" s="1488"/>
      <c r="EW360" s="1488"/>
      <c r="EX360" s="1488"/>
      <c r="EY360" s="1488"/>
      <c r="EZ360" s="1414"/>
      <c r="FB360" s="1365"/>
      <c r="FD360" s="1355"/>
      <c r="FE360" s="1355"/>
      <c r="FF360" s="138"/>
      <c r="FI360" s="1357"/>
      <c r="FJ360" s="1357"/>
      <c r="FK360" s="1365"/>
      <c r="FL360" s="1365"/>
      <c r="FM360" s="1365"/>
      <c r="FO360" s="1361"/>
      <c r="FP360" s="1361"/>
      <c r="FQ360" s="1366"/>
      <c r="FR360" s="1361"/>
      <c r="FS360" s="1361"/>
      <c r="FT360" s="1361"/>
      <c r="FU360" s="1360"/>
      <c r="FW360" s="1352"/>
      <c r="FX360" s="1352"/>
      <c r="FY360" s="1352"/>
      <c r="FZ360" s="1352"/>
      <c r="GA360" s="1352"/>
      <c r="GB360" s="1352"/>
      <c r="GC360" s="1352"/>
      <c r="GD360" s="1352"/>
      <c r="GE360" s="759"/>
      <c r="GF360" s="1035"/>
      <c r="GG360" s="1385"/>
      <c r="GJ360" s="1034">
        <f>IF(GJ358=TRUE,0,GJ$16)</f>
        <v>0</v>
      </c>
      <c r="GL360" s="1034">
        <f>IF(GL358=TRUE,0,GL$16)</f>
        <v>36</v>
      </c>
      <c r="GM360" s="1034">
        <f>IF(GM358=TRUE,0,GM$16)</f>
        <v>35</v>
      </c>
      <c r="GN360" s="436"/>
      <c r="GO360" s="436"/>
      <c r="GP360" s="436"/>
      <c r="GQ360" s="436"/>
      <c r="GR360" s="436"/>
      <c r="HC360" s="1034">
        <f t="shared" ref="HC360:HH360" si="258">IF(HC358=TRUE,0,HC$16)</f>
        <v>19</v>
      </c>
      <c r="HD360" s="1034">
        <f t="shared" si="258"/>
        <v>18</v>
      </c>
      <c r="HE360" s="1034">
        <f t="shared" si="258"/>
        <v>17</v>
      </c>
      <c r="HF360" s="1034">
        <f t="shared" si="258"/>
        <v>16</v>
      </c>
      <c r="HG360" s="1034">
        <f t="shared" si="258"/>
        <v>0</v>
      </c>
      <c r="HH360" s="1034">
        <f t="shared" si="258"/>
        <v>0</v>
      </c>
      <c r="HI360" s="1034">
        <f>IF(HI358=TRUE,0,HI$16)</f>
        <v>13</v>
      </c>
      <c r="HJ360" s="1034">
        <f t="shared" ref="HJ360:HL360" si="259">IF(HJ358=TRUE,0,HJ$16)</f>
        <v>12</v>
      </c>
      <c r="HK360" s="1034">
        <f t="shared" si="259"/>
        <v>11</v>
      </c>
      <c r="HL360" s="1034">
        <f t="shared" si="259"/>
        <v>10</v>
      </c>
      <c r="HM360" s="1034">
        <f>IF(HM358=TRUE,0,HM$16)</f>
        <v>9</v>
      </c>
      <c r="HN360" s="1034">
        <f t="shared" ref="HN360:HR360" si="260">IF(HN358=TRUE,0,HN$16)</f>
        <v>0</v>
      </c>
      <c r="HO360" s="1034">
        <f t="shared" si="260"/>
        <v>0</v>
      </c>
      <c r="HP360" s="1034">
        <f t="shared" si="260"/>
        <v>0</v>
      </c>
      <c r="HQ360" s="1034">
        <f t="shared" si="260"/>
        <v>0</v>
      </c>
      <c r="HR360" s="1034">
        <f t="shared" si="260"/>
        <v>0</v>
      </c>
      <c r="HS360" s="1034">
        <f>IF(HS358=TRUE,0,HS$16)</f>
        <v>0</v>
      </c>
      <c r="HT360" s="1034">
        <f t="shared" ref="HT360" si="261">IF(HT358=TRUE,0,HT$16)</f>
        <v>0</v>
      </c>
      <c r="HU360" s="1034">
        <f>IF(HU358=TRUE,0,HU$16)</f>
        <v>1</v>
      </c>
      <c r="HW360" s="1034">
        <f>IF(GL358=FALSE,GL360,IF(GM358=FALSE,GM360,MAX(GJ360:HU360)))</f>
        <v>36</v>
      </c>
      <c r="HX360" s="1383"/>
      <c r="HY360" s="241" t="str">
        <f>VLOOKUP(HW360,_Error_Table,3,FALSE)</f>
        <v xml:space="preserve"> </v>
      </c>
      <c r="HZ360" s="241"/>
      <c r="IA360" s="1386"/>
      <c r="IB360" s="1380"/>
      <c r="IC360" s="1379"/>
      <c r="IF360" s="1380"/>
      <c r="IG360" s="1383"/>
      <c r="IH360" s="1383"/>
      <c r="II360" s="1383"/>
      <c r="IK360" s="1351"/>
      <c r="IL360" s="1351"/>
      <c r="IM360" s="1351"/>
      <c r="IN360" s="1351"/>
      <c r="IO360" s="1351"/>
      <c r="IP360" s="1351"/>
    </row>
    <row r="361" spans="1:250" s="82" customFormat="1" ht="5.0999999999999996" customHeight="1" thickBot="1">
      <c r="B361" s="763"/>
      <c r="C361" s="1038"/>
      <c r="D361" s="1038"/>
      <c r="E361" s="1490"/>
      <c r="F361" s="1490"/>
      <c r="G361" s="1490"/>
      <c r="H361" s="1490"/>
      <c r="I361" s="1490"/>
      <c r="J361" s="1490"/>
      <c r="K361" s="1490"/>
      <c r="L361" s="1490"/>
      <c r="M361" s="1490"/>
      <c r="N361" s="1490"/>
      <c r="O361" s="1490"/>
      <c r="P361" s="1490"/>
      <c r="Q361" s="1490"/>
      <c r="R361" s="1490"/>
      <c r="S361" s="1490"/>
      <c r="T361" s="1490"/>
      <c r="U361" s="1490"/>
      <c r="V361" s="1490"/>
      <c r="W361" s="1490"/>
      <c r="X361" s="1490"/>
      <c r="Y361" s="1490"/>
      <c r="Z361" s="1490"/>
      <c r="AA361" s="1490"/>
      <c r="AB361" s="1490"/>
      <c r="AC361" s="1490"/>
      <c r="AD361" s="1490"/>
      <c r="AE361" s="1490"/>
      <c r="AF361" s="1490"/>
      <c r="AG361" s="1490"/>
      <c r="AH361" s="1490"/>
      <c r="AI361" s="1490"/>
      <c r="AJ361" s="1490"/>
      <c r="AK361" s="1490"/>
      <c r="AL361" s="1490"/>
      <c r="AM361" s="1490"/>
      <c r="AN361" s="1490"/>
      <c r="AO361" s="1490"/>
      <c r="AP361" s="1490"/>
      <c r="AQ361" s="1490"/>
      <c r="AR361" s="1490"/>
      <c r="AS361" s="1490"/>
      <c r="AT361" s="1490"/>
      <c r="AU361" s="1041"/>
      <c r="BC361" s="38"/>
      <c r="BD361" s="38"/>
      <c r="BE361" s="38"/>
      <c r="BF361" s="38"/>
      <c r="BG361" s="38"/>
      <c r="BH361" s="38"/>
      <c r="BI361" s="38"/>
      <c r="BJ361" s="38"/>
      <c r="BK361" s="38"/>
      <c r="BL361" s="38"/>
      <c r="BM361" s="38"/>
      <c r="BN361" s="38"/>
      <c r="BO361" s="38"/>
      <c r="BP361" s="38"/>
      <c r="BQ361" s="38"/>
      <c r="BR361" s="38"/>
      <c r="BS361" s="38"/>
      <c r="BT361" s="38"/>
      <c r="BU361" s="38"/>
      <c r="BV361" s="38"/>
      <c r="BW361" s="38"/>
      <c r="BX361" s="38"/>
      <c r="BY361" s="38"/>
      <c r="BZ361" s="38"/>
      <c r="CA361" s="38"/>
      <c r="CB361" s="38"/>
      <c r="CC361" s="38"/>
      <c r="CD361" s="38"/>
      <c r="CE361" s="38"/>
      <c r="CF361" s="38"/>
      <c r="CG361" s="38"/>
      <c r="CH361" s="38"/>
      <c r="CI361" s="38"/>
      <c r="CM361" s="749"/>
      <c r="CN361" s="749"/>
      <c r="CO361" s="1043"/>
      <c r="CP361" s="749"/>
      <c r="CS361" s="436"/>
      <c r="CT361" s="436"/>
      <c r="CU361" s="243"/>
      <c r="CV361" s="244"/>
      <c r="CW361" s="244"/>
      <c r="CX361" s="244"/>
      <c r="CY361" s="245"/>
      <c r="CZ361" s="245"/>
      <c r="DA361" s="245"/>
      <c r="DC361" s="750"/>
      <c r="DD361" s="751"/>
      <c r="DE361" s="752"/>
      <c r="DF361" s="753"/>
      <c r="DG361" s="754"/>
      <c r="DH361" s="754"/>
      <c r="DK361" s="244"/>
      <c r="DL361" s="750"/>
      <c r="DN361" s="750"/>
      <c r="DO361" s="755"/>
      <c r="DP361" s="436"/>
      <c r="DQ361" s="750"/>
      <c r="DR361" s="750"/>
      <c r="DS361" s="750"/>
      <c r="DU361" s="750"/>
      <c r="DV361" s="750"/>
      <c r="DW361" s="750"/>
      <c r="DX361" s="750"/>
      <c r="DZ361" s="756"/>
      <c r="EA361" s="756"/>
      <c r="EC361" s="754"/>
      <c r="ED361" s="754"/>
      <c r="EE361" s="244"/>
      <c r="EF361" s="754"/>
      <c r="EG361" s="754"/>
      <c r="EH361" s="243"/>
      <c r="EI361" s="243"/>
      <c r="EJ361" s="752"/>
      <c r="EK361" s="757"/>
      <c r="EL361" s="757"/>
      <c r="EM361" s="758"/>
      <c r="EN361" s="758"/>
      <c r="EO361" s="752"/>
      <c r="EP361" s="752"/>
      <c r="EQ361" s="752"/>
      <c r="ES361" s="750"/>
      <c r="EU361" s="436"/>
      <c r="EV361" s="436"/>
      <c r="EW361" s="436"/>
      <c r="EX361" s="436"/>
      <c r="EY361" s="436"/>
      <c r="EZ361" s="436"/>
      <c r="FB361" s="643"/>
      <c r="FD361" s="436"/>
      <c r="FE361" s="436"/>
      <c r="FF361" s="436"/>
      <c r="FO361" s="750"/>
      <c r="FP361" s="436"/>
      <c r="FQ361" s="436"/>
      <c r="FR361" s="750"/>
      <c r="FS361" s="750"/>
      <c r="FW361" s="749"/>
      <c r="FX361" s="749"/>
      <c r="FY361" s="749"/>
      <c r="FZ361" s="749"/>
      <c r="GA361" s="749"/>
      <c r="GB361" s="749"/>
      <c r="GC361" s="749"/>
      <c r="GD361" s="749"/>
      <c r="GE361" s="751"/>
      <c r="GF361" s="750"/>
      <c r="GG361" s="750"/>
    </row>
    <row r="362" spans="1:250" s="82" customFormat="1" ht="14.95" customHeight="1" thickTop="1" thickBot="1">
      <c r="B362" s="1421" t="str">
        <f>HY365</f>
        <v xml:space="preserve"> </v>
      </c>
      <c r="C362" s="1422">
        <f>C357+1</f>
        <v>63</v>
      </c>
      <c r="D362" s="1423"/>
      <c r="E362" s="1424" t="s">
        <v>242</v>
      </c>
      <c r="F362" s="1425"/>
      <c r="G362" s="1426"/>
      <c r="H362" s="1427"/>
      <c r="I362" s="1427"/>
      <c r="J362" s="1427"/>
      <c r="K362" s="1427"/>
      <c r="L362" s="1427"/>
      <c r="M362" s="1427"/>
      <c r="N362" s="1427"/>
      <c r="O362" s="1427"/>
      <c r="P362" s="1427"/>
      <c r="Q362" s="1427"/>
      <c r="R362" s="1427"/>
      <c r="S362" s="1428" t="s">
        <v>283</v>
      </c>
      <c r="T362" s="668" t="s">
        <v>190</v>
      </c>
      <c r="U362" s="1430" t="s">
        <v>186</v>
      </c>
      <c r="V362" s="1431"/>
      <c r="W362" s="1431"/>
      <c r="X362" s="1431"/>
      <c r="Y362" s="1431"/>
      <c r="Z362" s="1431"/>
      <c r="AA362" s="1431"/>
      <c r="AB362" s="1088" t="str">
        <f>IFERROR(IF(__Retrofit_TI_NC=0,VLOOKUP(U363,Fixtures_Existing_List,2,FALSE),ROUND(N364*R364/T364,10)),"")</f>
        <v/>
      </c>
      <c r="AC362" s="1039" t="str">
        <f>IFERROR(IF(__Retrofit_TI_NC=0,ROUND(T363*AB362*N363*R363/1000,0),IF(CN362="Interior",N364*R364*R363*N363*_C406_reduction/1000,N364*R364*R363*N363/1000)),"")</f>
        <v/>
      </c>
      <c r="AD362" s="1040" t="str">
        <f>IFERROR(IF(C$36=0,ROUND(T363*AB362/1000,2),N364*R364/1000),"")</f>
        <v/>
      </c>
      <c r="AE362" s="1044" t="s">
        <v>190</v>
      </c>
      <c r="AF362" s="1432" t="str">
        <f>IF(__Retrofit_TI_NC=2,CONCATENATE("Code min = ",DD362),IF(__Retrofit_TI_NC=1,"Emter what you think the existing control was"," Control"))</f>
        <v xml:space="preserve"> Control</v>
      </c>
      <c r="AG362" s="1432"/>
      <c r="AH362" s="1432"/>
      <c r="AI362" s="1432"/>
      <c r="AJ362" s="1433">
        <f>DF362</f>
        <v>0</v>
      </c>
      <c r="AK362" s="1435" t="str">
        <f>IFERROR(ROUND(AJ362*AC362,0),"")</f>
        <v/>
      </c>
      <c r="AL362" s="1437">
        <f>IFERROR(IF(HW362=FALSE,0,AC362-AK362),0)</f>
        <v>0</v>
      </c>
      <c r="AM362" s="1439">
        <f>AL362-AL364</f>
        <v>0</v>
      </c>
      <c r="AN362" s="1440"/>
      <c r="AO362" s="1445">
        <f>IFERROR(IF(HW362=FALSE,0,(T364*U365)+(AE364*AF365)),0)</f>
        <v>0</v>
      </c>
      <c r="AP362" s="1445"/>
      <c r="AQ362" s="1446"/>
      <c r="AR362" s="1451" t="s">
        <v>157</v>
      </c>
      <c r="AS362" s="1454">
        <f>IF(AR362="Yes",1,0)</f>
        <v>1</v>
      </c>
      <c r="AT362" s="1457" t="str">
        <f>IF(OR(DN362=4,DN362=5,DN362=6,DN362=12),CONCATENATE("$",IF(GD362=TRUE,Lookup!$B$11,Lookup!$B$2)," /lamp"),CONCATENATE(EA362,"/ kWh"))</f>
        <v>0/ kWh</v>
      </c>
      <c r="AU362" s="516"/>
      <c r="AV362" s="1478">
        <f>IFERROR(IF(GI363=TRUE,(AB365*T364)/R364,0),"NA")</f>
        <v>0</v>
      </c>
      <c r="AW362" s="1478" t="str">
        <f>IFERROR(N364*_C406_reduction,"NA")</f>
        <v>NA</v>
      </c>
      <c r="BC362" s="38"/>
      <c r="BD362" s="38"/>
      <c r="BE362" s="38"/>
      <c r="BF362" s="38"/>
      <c r="BG362" s="38"/>
      <c r="BH362" s="38"/>
      <c r="BI362" s="38"/>
      <c r="BJ362" s="38"/>
      <c r="BK362" s="38"/>
      <c r="BL362" s="38"/>
      <c r="BM362" s="38"/>
      <c r="BN362" s="38"/>
      <c r="BO362" s="38"/>
      <c r="BP362" s="38"/>
      <c r="BQ362" s="38"/>
      <c r="BR362" s="38"/>
      <c r="BS362" s="38"/>
      <c r="BT362" s="38"/>
      <c r="BU362" s="38"/>
      <c r="BV362" s="38"/>
      <c r="BW362" s="38"/>
      <c r="BX362" s="38"/>
      <c r="BY362" s="38"/>
      <c r="BZ362" s="38"/>
      <c r="CA362" s="38"/>
      <c r="CB362" s="38"/>
      <c r="CC362" s="38"/>
      <c r="CD362" s="38"/>
      <c r="CE362" s="38"/>
      <c r="CF362" s="38"/>
      <c r="CG362" s="38"/>
      <c r="CH362" s="38"/>
      <c r="CI362" s="38"/>
      <c r="CM362" s="1352" t="str">
        <f>N363</f>
        <v/>
      </c>
      <c r="CN362" s="1352" t="str">
        <f>IFERROR(VLOOKUP(G363,_Lookup_Heat_Type_Table_New,3,FALSE),"")</f>
        <v/>
      </c>
      <c r="CO362" s="1415" t="str">
        <f>CN362</f>
        <v/>
      </c>
      <c r="CP362" s="1417" t="e">
        <f>VLOOKUP(G364,'Space Table'!$B$3:$L$160,9,FALSE)</f>
        <v>#N/A</v>
      </c>
      <c r="CR362" s="1386" t="s">
        <v>283</v>
      </c>
      <c r="CS362" s="1353">
        <f>IF(HW362=TRUE,T363,0)</f>
        <v>0</v>
      </c>
      <c r="CT362" s="1353" t="str">
        <f>IF(HW362=TRUE,U363,"")</f>
        <v/>
      </c>
      <c r="CU362" s="1353"/>
      <c r="CV362" s="1370">
        <f>IF(HW362=TRUE,AB362,0)</f>
        <v>0</v>
      </c>
      <c r="CW362" s="1370">
        <f>IF(HW362=TRUE,AC362,0)</f>
        <v>0</v>
      </c>
      <c r="CX362" s="1370">
        <f>IFERROR(IF(HW362=TRUE,CW362-CW364,0),0)</f>
        <v>0</v>
      </c>
      <c r="CY362" s="1485">
        <f>IF(HW362=TRUE,AD362,0)</f>
        <v>0</v>
      </c>
      <c r="CZ362" s="1485">
        <f>IF(HW362=TRUE,AD365,0)</f>
        <v>0</v>
      </c>
      <c r="DA362" s="1485">
        <f>IFERROR(CY362-CZ362,0)</f>
        <v>0</v>
      </c>
      <c r="DC362" s="1353">
        <f>IF(HW362=TRUE,AE363,0)</f>
        <v>0</v>
      </c>
      <c r="DD362" s="1460">
        <f>IF(__Retrofit_TI_NC=2,IF(CN362="Exterior",O365,FM362),FK362)</f>
        <v>0</v>
      </c>
      <c r="DE362" s="1353"/>
      <c r="DF362" s="1406">
        <f>IFERROR(IF(FL362=3,IK362,IF(FL362=4,IL362,IF(FL362=5,IM362,IF(FL362=6,IN362,IF(FL362=7,IO362,IF(FL362=8,IP362,0)))))),0)</f>
        <v>0</v>
      </c>
      <c r="DG362" s="1370">
        <f>IF(HW362=TRUE,AK362,0)</f>
        <v>0</v>
      </c>
      <c r="DH362" s="1369">
        <f>IFERROR(IF(HW362=TRUE,DG364-DG362,0),0)</f>
        <v>0</v>
      </c>
      <c r="DJ362" s="1483">
        <f>IFERROR(CW362-DG362,0)</f>
        <v>0</v>
      </c>
      <c r="DL362" s="1419">
        <f>DJ362-DK364</f>
        <v>0</v>
      </c>
      <c r="DN362" s="1403" t="str">
        <f>IFERROR(IF(AND(OR(FY362=4,FY362=5,FY362=6),OR(GB362=4,GB362=5,GB362=6)),FY362+8,VLOOKUP(CT364,Fixtures!R$31:Y$78,8,FALSE)),"")</f>
        <v/>
      </c>
      <c r="DO362" s="1404" t="str">
        <f>DN362</f>
        <v/>
      </c>
      <c r="DP362" s="1353" t="str">
        <f>IFERROR(VLOOKUP(DD364,Lookup!AU$3:AV$15,2,FALSE),"")</f>
        <v/>
      </c>
      <c r="DQ362" s="1404" t="str">
        <f>IF(DP362=7,"LLLC","")</f>
        <v/>
      </c>
      <c r="DR362" s="1403">
        <f>IFERROR(IF(OR(DN362=4,DN362=5,DN362=6,DN362=12,DN362=13,DN362=14),VLOOKUP(CT364,Fixtures!DN$27:EG$77,19,FALSE),1)*CS364,0)</f>
        <v>0</v>
      </c>
      <c r="DS362" s="1489">
        <f>IF(DP362=7,IF(DD362=DD364,0,DC364),0)</f>
        <v>0</v>
      </c>
      <c r="DU362" s="1403" t="str">
        <f>IFERROR(IF(EW362&lt;EW364,"Yes","No"),"")</f>
        <v/>
      </c>
      <c r="DV362" s="1404" t="str">
        <f>DU362</f>
        <v/>
      </c>
      <c r="DW362" s="1403">
        <f>IF(DU362="Yes",DC364,0)</f>
        <v>0</v>
      </c>
      <c r="DX362" s="1403">
        <f>DW362-DS362</f>
        <v>0</v>
      </c>
      <c r="DZ362" s="1481">
        <f>IFERROR(VLOOKUP(DN362,Lookup!AN$3:AO$16,2,FALSE),0)</f>
        <v>0</v>
      </c>
      <c r="EA362" s="1481">
        <f>IF(HW362=FALSE,0,IF(DU362="Yes",DZ362+Lookup!B$6,DZ362))</f>
        <v>0</v>
      </c>
      <c r="EC362" s="1482">
        <f>IF(HW362=TRUE,DJ362,0)</f>
        <v>0</v>
      </c>
      <c r="ED362" s="1369">
        <f>IF(HW362=TRUE,CW364,0)</f>
        <v>0</v>
      </c>
      <c r="EE362" s="1370">
        <f>IFERROR(EC362-ED362,0)</f>
        <v>0</v>
      </c>
      <c r="EF362" s="1369">
        <f>IF(HW362=TRUE,DG364,0)</f>
        <v>0</v>
      </c>
      <c r="EG362" s="1369">
        <f>IFERROR(EC362-ED362+EF362,0)</f>
        <v>0</v>
      </c>
      <c r="EH362" s="1373">
        <f>IF(HW362=TRUE,CS364*CU364,0)</f>
        <v>0</v>
      </c>
      <c r="EI362" s="1373">
        <f>IF(HW362=TRUE,DC364*DE364,0)</f>
        <v>0</v>
      </c>
      <c r="EJ362" s="1363">
        <f>AO362</f>
        <v>0</v>
      </c>
      <c r="EK362" s="1376" t="str">
        <f>IFERROR(IF(HW362=TRUE,VLOOKUP(DN362,Lookup!AN$3:AP$16,3,FALSE)*DR362,""),0)</f>
        <v/>
      </c>
      <c r="EL362" s="1376">
        <f>IF(HW362=TRUE,DW362*Lookup!AP$12,0)</f>
        <v>0</v>
      </c>
      <c r="EM362" s="1362">
        <f>IFERROR(IF(HW362=TRUE,EK362/EM$33,0),0)</f>
        <v>0</v>
      </c>
      <c r="EN362" s="1362">
        <f>IF(HW362=TRUE,EL362/EN$33,0)</f>
        <v>0</v>
      </c>
      <c r="EO362" s="1363">
        <f>IF(HW362=TRUE,EQ$33*EM362,0)</f>
        <v>0</v>
      </c>
      <c r="EP362" s="1363">
        <f>IF(HW362=TRUE,EQ$33*EN362,0)</f>
        <v>0</v>
      </c>
      <c r="EQ362" s="1363">
        <f>EO362+EP362</f>
        <v>0</v>
      </c>
      <c r="ES362" s="1403">
        <f>IF(G362="",0,1)</f>
        <v>0</v>
      </c>
      <c r="EU362" s="1410" t="e">
        <f>VLOOKUP(CP364,'Space Table'!$B$3:$L$160,8,FALSE)</f>
        <v>#N/A</v>
      </c>
      <c r="EV362" s="1410" t="e">
        <f>IF(EY362="Yes",VLOOKUP(DD362,Lookup_Control_Type_Table2,4,FALSE),VLOOKUP(DD362,Lookup_Control_Type_Table2,3,FALSE))</f>
        <v>#N/A</v>
      </c>
      <c r="EW362" s="1410" t="e">
        <f>VLOOKUP(DD362,Lookup!AU$3:AV$15,2,FALSE)</f>
        <v>#N/A</v>
      </c>
      <c r="EX362" s="1410" t="e">
        <f>VLOOKUP(EU362,Lookup_Control_Type_Table,2,FALSE)</f>
        <v>#N/A</v>
      </c>
      <c r="EY362" s="1410" t="e">
        <f>VLOOKUP(CP364,'Space Table'!$B$3:$L$160,7,FALSE)</f>
        <v>#N/A</v>
      </c>
      <c r="EZ362" s="1412" t="b">
        <f>ISNUMBER(SEARCH("TLED",U364))</f>
        <v>0</v>
      </c>
      <c r="FB362" s="1365" t="str">
        <f>CONCATENATE(CN362," - ",DD362)</f>
        <v xml:space="preserve"> - 0</v>
      </c>
      <c r="FD362" s="1353" t="str">
        <f>VLOOKUP(CT364,Fixtures!DN$27:EZ$77,38,FALSE)</f>
        <v/>
      </c>
      <c r="FE362" s="1353">
        <f>IFERROR(FD362*EE362,0)</f>
        <v>0</v>
      </c>
      <c r="FF362" s="138"/>
      <c r="FI362" s="1356" t="str">
        <f>IF(CN362="Exterior","Not Daylighted",G365)</f>
        <v>Not Daylighted</v>
      </c>
      <c r="FJ362" s="1356">
        <f>VLOOKUP(FI362,_Daylight_Table_Codes,2,FALSE)</f>
        <v>0</v>
      </c>
      <c r="FK362" s="1365">
        <f>IF(__Retrofit_TI_NC=2,VLOOKUP(G364,'Space Table'!$B$3:$L$160,11,FALSE),AF363)</f>
        <v>0</v>
      </c>
      <c r="FL362" s="1365" t="e">
        <f>VLOOKUP(FK362,_Control_Table,2,FALSE)</f>
        <v>#N/A</v>
      </c>
      <c r="FM362" s="1365" t="e">
        <f>IF(AND(FP362&gt;0,FK362="Occupancy Sensor"),"Daylight + Occupancy",IF(AND(FP362&gt;0,FL362&lt;4),"Interior Daylight Dimming",FK362))</f>
        <v>#N/A</v>
      </c>
      <c r="FO362" s="1364">
        <f>IF(CO362="Interior",VLOOKUP(CP362,Control_Savings_Interior,5,FALSE),0)</f>
        <v>0</v>
      </c>
      <c r="FP362" s="1361">
        <f>IF(CN362="Exterior",0,IF(FJ362=2,0.5,IF(OR(FJ362=1,FJ362=3),1,0)))</f>
        <v>0</v>
      </c>
      <c r="FQ362" s="1366"/>
      <c r="FR362" s="1367"/>
      <c r="FS362" s="1364"/>
      <c r="FT362" s="1367"/>
      <c r="FU362" s="1360"/>
      <c r="FW362" s="1352" t="str">
        <f>IFERROR(VLOOKUP(U363,_Exist_Fixture_Table,3,FALSE),"")</f>
        <v/>
      </c>
      <c r="FX362" s="1352" t="str">
        <f>VLOOKUP(CT362,_Exist_Fixture_Table,4,FALSE)</f>
        <v/>
      </c>
      <c r="FY362" s="1352">
        <f>IFERROR(VLOOKUP(FX362,Lookup!AM$6:AN$8,2,FALSE),0)</f>
        <v>0</v>
      </c>
      <c r="FZ362" s="1352" t="b">
        <f>IFERROR(IF(OR(GB362=4,GB362=5,GB362=6),TRUE,FALSE),"")</f>
        <v>0</v>
      </c>
      <c r="GA362" s="1352" t="str">
        <f>IFERROR(VLOOKUP(GB362,FY$6:FZ$10,2,FALSE),"")</f>
        <v/>
      </c>
      <c r="GB362" s="1352" t="str">
        <f>VLOOKUP(CT364,Fixtures!R$31:Y$78,8,FALSE)</f>
        <v/>
      </c>
      <c r="GC362" s="1352">
        <f>IF(AND(FW362=TRUE,FZ362=TRUE,OR(DN362=12,DN362=13,DN362=14)),FY362+8,0)</f>
        <v>0</v>
      </c>
      <c r="GD362" s="1352" t="b">
        <f>IF(OR(GC362=12,GC362=13,GC362=14),TRUE,FALSE)</f>
        <v>0</v>
      </c>
      <c r="GE362" s="759" t="b">
        <f>IF(ISNUMBER(SEARCH("TLED",U363)),TRUE,FALSE)</f>
        <v>0</v>
      </c>
      <c r="GF362" s="1035" t="str">
        <f>IFERROR(VLOOKUP(U363,Fixtures!BM$93:BR$142,6,FALSE),"")</f>
        <v/>
      </c>
      <c r="GG362" s="1385" t="b">
        <f>IF(OR(GE362=FALSE,GE364=FALSE),TRUE,IF(GF362-GF364&lt;5,FALSE,TRUE))</f>
        <v>1</v>
      </c>
      <c r="GK362" s="1034">
        <f>GL362</f>
        <v>0</v>
      </c>
      <c r="GL362" s="1034">
        <f>IF(G362="",0,1)</f>
        <v>0</v>
      </c>
      <c r="GM362" s="1034">
        <f>SUM(GN362:HB362)</f>
        <v>2</v>
      </c>
      <c r="GN362" s="1034">
        <f>IF(G363="",0,1)</f>
        <v>0</v>
      </c>
      <c r="GO362" s="1034">
        <f>IF(G364="",0,1)</f>
        <v>0</v>
      </c>
      <c r="GP362" s="1034">
        <f>IF(R363="",0,1)</f>
        <v>0</v>
      </c>
      <c r="GQ362" s="1034">
        <f>IF(__Retrofit_TI_NC=0,1,IF(R364="",0,1))</f>
        <v>1</v>
      </c>
      <c r="GR362" s="1034">
        <f>IF(CN362="Exterior",1,IF(G365="",0,1))</f>
        <v>1</v>
      </c>
      <c r="GS362" s="1034">
        <f>IF(__Retrofit_TI_NC&lt;&gt;0,1,IF(T363="",0,1))</f>
        <v>0</v>
      </c>
      <c r="GT362" s="1034">
        <f>IF(__Retrofit_TI_NC&lt;&gt;0,1,IF(U363="",0,1))</f>
        <v>0</v>
      </c>
      <c r="GU362" s="1034">
        <f>IF(T364="",0,1)</f>
        <v>0</v>
      </c>
      <c r="GV362" s="1034">
        <f>IF(U364="",0,1)</f>
        <v>0</v>
      </c>
      <c r="GW362" s="1034">
        <f>IF(__Retrofit_TI_NC=2,1,IF(U365="",0,1))</f>
        <v>0</v>
      </c>
      <c r="GX362" s="1034">
        <f>IF(__Retrofit_TI_NC&lt;&gt;0,1,IF(AE363="",0,1))</f>
        <v>0</v>
      </c>
      <c r="GY362" s="1034">
        <f>IF(__Retrofit_TI_NC&lt;&gt;0,1,IF(AF363="",0,1))</f>
        <v>0</v>
      </c>
      <c r="GZ362" s="1034">
        <f>IF(AE364="",0,1)</f>
        <v>0</v>
      </c>
      <c r="HA362" s="1034">
        <f>IF(AF364="",0,1)</f>
        <v>0</v>
      </c>
      <c r="HB362" s="1034">
        <f>IF(__Retrofit_TI_NC=2,1,IF(AF365="",0,1))</f>
        <v>0</v>
      </c>
      <c r="HV362" s="436"/>
      <c r="HW362" s="1384" t="b">
        <f>IF(OR(HW365=0,HW365=HT$16,HW365=HS$16,HW365=HU$16),TRUE,FALSE)</f>
        <v>0</v>
      </c>
      <c r="HX362" s="1377" t="b">
        <f>HW362</f>
        <v>0</v>
      </c>
      <c r="HY362" s="436"/>
      <c r="HZ362" s="436"/>
      <c r="IA362" s="1386" t="b">
        <f>IF(MAX(GJ365:HP365)&gt;5,FALSE,TRUE)</f>
        <v>0</v>
      </c>
      <c r="IB362" s="1380">
        <f>IF(IA362=TRUE,AC362,0)</f>
        <v>0</v>
      </c>
      <c r="IC362" s="1380">
        <f>IB362-IB364</f>
        <v>0</v>
      </c>
      <c r="IF362" s="1380" t="e">
        <f>ROUND(T363*VLOOKUP(U363,Fixtures_Existing_List,2,FALSE)*N363*R363/1000,0)</f>
        <v>#N/A</v>
      </c>
      <c r="IG362" s="1381" t="e">
        <f>IF362-IF364</f>
        <v>#N/A</v>
      </c>
      <c r="IH362" s="1384" t="e">
        <f>ROUND(IF(CN362="Interior",N364*R364*R363*N363*_C406_reduction/1000,N364*R364*R363*N363/1000),0)</f>
        <v>#N/A</v>
      </c>
      <c r="II362" s="1384" t="e">
        <f>IH362-IH364</f>
        <v>#N/A</v>
      </c>
      <c r="IK362" s="1351" t="e">
        <f>IF($CO362="interior",IL362/2,VLOOKUP($CP362,Control_Savings_Exterior,IK$30,FALSE))</f>
        <v>#N/A</v>
      </c>
      <c r="IL362" s="1351" t="e">
        <f>IF($CO362="interior",VLOOKUP($CP362,Control_Savings_Interior,IL$30,FALSE),VLOOKUP($CP362,Control_Savings_Exterior,IL$30,FALSE))</f>
        <v>#N/A</v>
      </c>
      <c r="IM362" s="1351" t="e">
        <f>IF($CO362="interior",IF(R363&gt;FO$37,(IM$28*(FO$37/R363)),IM$28)*FP362,VLOOKUP($CP362,Control_Savings_Exterior,IM$30,FALSE))</f>
        <v>#N/A</v>
      </c>
      <c r="IN362" s="1351" t="e">
        <f>IF($CO362="interior",ROUND(((1-IL362)*IM362)+IL362,2),VLOOKUP($CP362,Control_Savings_Exterior,IN$30,FALSE))</f>
        <v>#N/A</v>
      </c>
      <c r="IO362" s="1351" t="e">
        <f>IF($CO362="interior", ROUND(((1-IL362)*(IM362*(1-IP$28)))+IP362,2), VLOOKUP($CP362,Control_Savings_Exterior,IO$30,FALSE))</f>
        <v>#N/A</v>
      </c>
      <c r="IP362" s="1351">
        <f>IF($CO362="interior",ROUND(((1-IL362)*IP$28)+IL362,2),0)</f>
        <v>0</v>
      </c>
    </row>
    <row r="363" spans="1:250" s="82" customFormat="1" ht="14.95" customHeight="1" thickTop="1" thickBot="1">
      <c r="B363" s="1421"/>
      <c r="C363" s="1422"/>
      <c r="D363" s="1423"/>
      <c r="E363" s="1393" t="s">
        <v>244</v>
      </c>
      <c r="F363" s="1394"/>
      <c r="G363" s="1395"/>
      <c r="H363" s="1395"/>
      <c r="I363" s="1395"/>
      <c r="J363" s="1395"/>
      <c r="K363" s="1395"/>
      <c r="L363" s="1395"/>
      <c r="M363" s="509" t="e">
        <f>IF(__Retrofit_TI_NC&lt;&gt;0,IF(VLOOKUP(G364,'Space Table'!$B$3:$L$160,3,FALSE)&gt;0,1,0),IF(__Retrofit_TI_NC=VLOOKUP(G364,'Space Table'!$B$3:$L$160,3,FALSE),1,0))</f>
        <v>#N/A</v>
      </c>
      <c r="N363" s="509" t="str">
        <f>IFERROR(VLOOKUP(G363,_Lookup_Heat_Type_Table_New,2,FALSE),"")</f>
        <v/>
      </c>
      <c r="O363" s="509">
        <f>IF(__Retrofit_TI_NC=1,CONCATENATE("TI ",G363),IF(__Retrofit_TI_NC=2,CONCATENATE("NC ",G363),G363))</f>
        <v>0</v>
      </c>
      <c r="P363" s="1396" t="s">
        <v>352</v>
      </c>
      <c r="Q363" s="1396"/>
      <c r="R363" s="673"/>
      <c r="S363" s="1429"/>
      <c r="T363" s="675"/>
      <c r="U363" s="1496"/>
      <c r="V363" s="1497"/>
      <c r="W363" s="1497"/>
      <c r="X363" s="1497"/>
      <c r="Y363" s="1497"/>
      <c r="Z363" s="1497"/>
      <c r="AA363" s="1497"/>
      <c r="AB363" s="1497"/>
      <c r="AC363" s="1497"/>
      <c r="AD363" s="1498"/>
      <c r="AE363" s="675"/>
      <c r="AF363" s="1397"/>
      <c r="AG363" s="1397"/>
      <c r="AH363" s="1397"/>
      <c r="AI363" s="1397"/>
      <c r="AJ363" s="1434"/>
      <c r="AK363" s="1436"/>
      <c r="AL363" s="1438"/>
      <c r="AM363" s="1441"/>
      <c r="AN363" s="1442"/>
      <c r="AO363" s="1447"/>
      <c r="AP363" s="1447"/>
      <c r="AQ363" s="1448"/>
      <c r="AR363" s="1452"/>
      <c r="AS363" s="1455"/>
      <c r="AT363" s="1458"/>
      <c r="AU363" s="516"/>
      <c r="AV363" s="1479"/>
      <c r="AW363" s="1479"/>
      <c r="BC363" s="38"/>
      <c r="BD363" s="38"/>
      <c r="BE363" s="38"/>
      <c r="BF363" s="38"/>
      <c r="BG363" s="38"/>
      <c r="BH363" s="38"/>
      <c r="BI363" s="38"/>
      <c r="BJ363" s="38"/>
      <c r="BK363" s="38"/>
      <c r="BL363" s="38"/>
      <c r="BM363" s="38"/>
      <c r="BN363" s="38"/>
      <c r="BO363" s="38"/>
      <c r="BP363" s="38"/>
      <c r="BQ363" s="38"/>
      <c r="BR363" s="38"/>
      <c r="BS363" s="38"/>
      <c r="BT363" s="38"/>
      <c r="BU363" s="38"/>
      <c r="BV363" s="38"/>
      <c r="BW363" s="38"/>
      <c r="BX363" s="38"/>
      <c r="BY363" s="38"/>
      <c r="BZ363" s="38"/>
      <c r="CA363" s="38"/>
      <c r="CB363" s="38"/>
      <c r="CC363" s="38"/>
      <c r="CD363" s="38"/>
      <c r="CE363" s="38"/>
      <c r="CF363" s="38"/>
      <c r="CG363" s="38"/>
      <c r="CH363" s="38"/>
      <c r="CI363" s="38"/>
      <c r="CM363" s="1352"/>
      <c r="CN363" s="1352"/>
      <c r="CO363" s="1416"/>
      <c r="CP363" s="1418"/>
      <c r="CR363" s="1386"/>
      <c r="CS363" s="1355"/>
      <c r="CT363" s="1355"/>
      <c r="CU363" s="1355"/>
      <c r="CV363" s="1372"/>
      <c r="CW363" s="1372"/>
      <c r="CX363" s="1371"/>
      <c r="CY363" s="1486"/>
      <c r="CZ363" s="1486"/>
      <c r="DA363" s="1486"/>
      <c r="DC363" s="1355"/>
      <c r="DD363" s="1461"/>
      <c r="DE363" s="1355"/>
      <c r="DF363" s="1407"/>
      <c r="DG363" s="1372"/>
      <c r="DH363" s="1369"/>
      <c r="DJ363" s="1484"/>
      <c r="DL363" s="1419"/>
      <c r="DN363" s="1403"/>
      <c r="DO363" s="1405"/>
      <c r="DP363" s="1354"/>
      <c r="DQ363" s="1405"/>
      <c r="DR363" s="1403"/>
      <c r="DS363" s="1489"/>
      <c r="DU363" s="1403"/>
      <c r="DV363" s="1405"/>
      <c r="DW363" s="1403"/>
      <c r="DX363" s="1403"/>
      <c r="DZ363" s="1481"/>
      <c r="EA363" s="1481"/>
      <c r="EC363" s="1482"/>
      <c r="ED363" s="1369"/>
      <c r="EE363" s="1371"/>
      <c r="EF363" s="1369"/>
      <c r="EG363" s="1369"/>
      <c r="EH363" s="1374"/>
      <c r="EI363" s="1374"/>
      <c r="EJ363" s="1363"/>
      <c r="EK363" s="1376"/>
      <c r="EL363" s="1376"/>
      <c r="EM363" s="1362"/>
      <c r="EN363" s="1362"/>
      <c r="EO363" s="1363"/>
      <c r="EP363" s="1363"/>
      <c r="EQ363" s="1363"/>
      <c r="ES363" s="1403"/>
      <c r="EU363" s="1411"/>
      <c r="EV363" s="1411"/>
      <c r="EW363" s="1411"/>
      <c r="EX363" s="1411"/>
      <c r="EY363" s="1411"/>
      <c r="EZ363" s="1413"/>
      <c r="FB363" s="1365"/>
      <c r="FD363" s="1354"/>
      <c r="FE363" s="1354"/>
      <c r="FF363" s="138"/>
      <c r="FI363" s="1357"/>
      <c r="FJ363" s="1357"/>
      <c r="FK363" s="1365"/>
      <c r="FL363" s="1365"/>
      <c r="FM363" s="1365"/>
      <c r="FO363" s="1361"/>
      <c r="FP363" s="1361"/>
      <c r="FQ363" s="1366"/>
      <c r="FR363" s="1368"/>
      <c r="FS363" s="1361"/>
      <c r="FT363" s="1368"/>
      <c r="FU363" s="1360"/>
      <c r="FW363" s="1352"/>
      <c r="FX363" s="1352"/>
      <c r="FY363" s="1352"/>
      <c r="FZ363" s="1352"/>
      <c r="GA363" s="1352"/>
      <c r="GB363" s="1352"/>
      <c r="GC363" s="1352"/>
      <c r="GD363" s="1352"/>
      <c r="GE363" s="759"/>
      <c r="GF363" s="1035"/>
      <c r="GG363" s="1385"/>
      <c r="GI363" s="1384" t="b">
        <f>IF(AND(GL363=TRUE,GM363=TRUE),TRUE,FALSE)</f>
        <v>0</v>
      </c>
      <c r="GJ363" s="1379" t="b">
        <f>IFERROR(IF(__Retrofit_TI_NC=2,TRUE,IF(AR362="Yes",TRUE,FALSE)),FALSE)</f>
        <v>1</v>
      </c>
      <c r="GL363" s="1379" t="b">
        <f>IFERROR(IF(GL362=1,TRUE,FALSE),FALSE)</f>
        <v>0</v>
      </c>
      <c r="GM363" s="1379" t="b">
        <f>IFERROR(IF(GM362=GM$14,TRUE,FALSE),FALSE)</f>
        <v>0</v>
      </c>
      <c r="HC363" s="1379" t="b">
        <f>IFERROR(IF(M363=1,TRUE,FALSE),FALSE)</f>
        <v>0</v>
      </c>
      <c r="HD363" s="1379" t="b">
        <f>IFERROR(IF(M364=1,TRUE,FALSE),FALSE)</f>
        <v>0</v>
      </c>
      <c r="HE363" s="1379" t="b">
        <f>IFERROR(IF(__Retrofit_TI_NC&lt;&gt;0,TRUE,IFERROR(IF(VLOOKUP(U363,Fixtures_Existing_List,2,FALSE)&lt;&gt;"",TRUE,FALSE),FALSE)),FALSE)</f>
        <v>0</v>
      </c>
      <c r="HF363" s="1379" t="b">
        <f>IFERROR(IF(VLOOKUP(U364,Fixtures_Proposed_List,2,FALSE)&lt;&gt;"",TRUE,FALSE),FALSE)</f>
        <v>0</v>
      </c>
      <c r="HG363" s="1379" t="b">
        <f>IF(AND(__Retrofit_TI_NC=2,EZ362=TRUE),FALSE,TRUE)</f>
        <v>1</v>
      </c>
      <c r="HH363" s="1379" t="b">
        <f>GG362</f>
        <v>1</v>
      </c>
      <c r="HI363" s="1384" t="b">
        <f>IF(ISERROR(MATCH(FB362,_Control_Match[],0))=TRUE,FALSE,TRUE)</f>
        <v>0</v>
      </c>
      <c r="HJ363" s="1384" t="b">
        <f>IFERROR(IF(EU362&lt;&gt;EV362,FALSE,TRUE),FALSE)</f>
        <v>0</v>
      </c>
      <c r="HK363" s="1384" t="b">
        <f>IFERROR(IF(EU364&lt;&gt;EV364,FALSE,TRUE),FALSE)</f>
        <v>0</v>
      </c>
      <c r="HL363" s="1379" t="b">
        <f>IFERROR(IF(CN362="Exterior",TRUE,IF(OR(AND(FJ362=0,EW364&gt;4),AND(FJ362=4,EW364&gt;4,EW364&lt;7)),FALSE,TRUE)),FALSE)</f>
        <v>0</v>
      </c>
      <c r="HM363" s="1379" t="b">
        <f>IFERROR(IF(AND(FL364=7,EZ362=TRUE),FALSE,TRUE),FALSE)</f>
        <v>0</v>
      </c>
      <c r="HN363" s="1379" t="b">
        <f>IFERROR(IF(AND(T364&lt;&gt;AE364,AF364="Interior LLLC")=TRUE,FALSE,TRUE),FALSE)</f>
        <v>1</v>
      </c>
      <c r="HO363" s="1379" t="b">
        <f>IFERROR(IF(OR(AF364=Lookup!AU$13,AF364=Lookup!AU$14)=TRUE,IF(AE364&gt;T364,FALSE,TRUE),TRUE),FALSE)</f>
        <v>1</v>
      </c>
      <c r="HP363" s="1379" t="b">
        <f>IFERROR(IF(__Retrofit_TI_NC=2,IF(EW364&lt;EW362,FALSE,TRUE),TRUE),FALSE)</f>
        <v>1</v>
      </c>
      <c r="HQ363" s="1379" t="b">
        <f>IF(CN362="Interior",IG$6,TRUE)</f>
        <v>1</v>
      </c>
      <c r="HR363" s="1379" t="b">
        <f>IF(CN362="Exterior",IG$8,TRUE)</f>
        <v>1</v>
      </c>
      <c r="HS363" s="1379" t="b">
        <f>IFERROR(IF(__Retrofit_TI_NC&lt;&gt;0,IF(AW362&lt;AV362,FALSE,TRUE),TRUE),FALSE)</f>
        <v>1</v>
      </c>
      <c r="HT363" s="1379" t="b">
        <f>IFERROR(IF(AND(G363="Exterior",R363&gt;4200),FALSE,TRUE),FALSE)</f>
        <v>1</v>
      </c>
      <c r="HU363" s="1379" t="b">
        <f>IFERROR(IF(AB365/AB362&lt;HU$18,FALSE,TRUE),FALSE)</f>
        <v>0</v>
      </c>
      <c r="HW363" s="1382"/>
      <c r="HX363" s="1378"/>
      <c r="HY363" s="1377" t="str">
        <f>VLOOKUP(HW365,_Error_Table,4,FALSE)</f>
        <v>White</v>
      </c>
      <c r="HZ363" s="436"/>
      <c r="IA363" s="1386"/>
      <c r="IB363" s="1380"/>
      <c r="IC363" s="1379"/>
      <c r="IF363" s="1380"/>
      <c r="IG363" s="1382"/>
      <c r="IH363" s="1382"/>
      <c r="II363" s="1382"/>
      <c r="IK363" s="1351"/>
      <c r="IL363" s="1351"/>
      <c r="IM363" s="1351"/>
      <c r="IN363" s="1351"/>
      <c r="IO363" s="1351"/>
      <c r="IP363" s="1351"/>
    </row>
    <row r="364" spans="1:250" s="82" customFormat="1" ht="14.95" customHeight="1" thickTop="1" thickBot="1">
      <c r="A364" s="82">
        <f>ROW()</f>
        <v>364</v>
      </c>
      <c r="B364" s="1421"/>
      <c r="C364" s="1422"/>
      <c r="D364" s="1423"/>
      <c r="E364" s="1393" t="s">
        <v>245</v>
      </c>
      <c r="F364" s="1394"/>
      <c r="G364" s="1398"/>
      <c r="H364" s="1399"/>
      <c r="I364" s="1399"/>
      <c r="J364" s="1399"/>
      <c r="K364" s="1399"/>
      <c r="L364" s="1400"/>
      <c r="M364" s="509">
        <f>IFERROR(IF(IF(__Retrofit_TI_NC&lt;&gt;0,IF(CN362="Interior",MATCH(G364,Lookup_Interior_New,0),MATCH(G364,Lookup_Exterior_New,0)),IF(CN362="Interior",MATCH(G364,Lookup_Interior,0),MATCH(G364,Lookup_Exterior_Areas,0)))&gt;0,1,0),0)</f>
        <v>0</v>
      </c>
      <c r="N364" s="509" t="e">
        <f>IF(__Retrofit_TI_NC=1,
VLOOKUP(G364,'Space Table'!$B$3:$L$160,4,FALSE),
IF(__Retrofit_TI_NC=2,VLOOKUP(G364,'Space Table'!$B$3:$L$160,5,FALSE),VLOOKUP(G364,'Space Table'!$B$3:$L$160,5,FALSE)))</f>
        <v>#N/A</v>
      </c>
      <c r="O364" s="509">
        <f>G364</f>
        <v>0</v>
      </c>
      <c r="P364" s="1394" t="s">
        <v>355</v>
      </c>
      <c r="Q364" s="1394"/>
      <c r="R364" s="674"/>
      <c r="S364" s="1401" t="s">
        <v>284</v>
      </c>
      <c r="T364" s="672"/>
      <c r="U364" s="1499"/>
      <c r="V364" s="1500"/>
      <c r="W364" s="1500"/>
      <c r="X364" s="1500"/>
      <c r="Y364" s="1500"/>
      <c r="Z364" s="1500"/>
      <c r="AA364" s="1500"/>
      <c r="AB364" s="1501"/>
      <c r="AC364" s="1501"/>
      <c r="AD364" s="1502"/>
      <c r="AE364" s="672"/>
      <c r="AF364" s="1474"/>
      <c r="AG364" s="1474"/>
      <c r="AH364" s="1474"/>
      <c r="AI364" s="1474"/>
      <c r="AJ364" s="1475">
        <f>DF364</f>
        <v>0</v>
      </c>
      <c r="AK364" s="1470" t="str">
        <f>IFERROR(ROUND(AJ364*AC365,0),"")</f>
        <v/>
      </c>
      <c r="AL364" s="1472">
        <f>IFERROR(IF(HW362=FALSE,0,AC365-AK364),0)</f>
        <v>0</v>
      </c>
      <c r="AM364" s="1441"/>
      <c r="AN364" s="1442"/>
      <c r="AO364" s="1447"/>
      <c r="AP364" s="1447"/>
      <c r="AQ364" s="1448"/>
      <c r="AR364" s="1452"/>
      <c r="AS364" s="1455"/>
      <c r="AT364" s="1458"/>
      <c r="AU364" s="516"/>
      <c r="AV364" s="1479"/>
      <c r="AW364" s="1479"/>
      <c r="BC364" s="38"/>
      <c r="BD364" s="38"/>
      <c r="BE364" s="38"/>
      <c r="BF364" s="38"/>
      <c r="BG364" s="38"/>
      <c r="BH364" s="38"/>
      <c r="BI364" s="38"/>
      <c r="BJ364" s="38"/>
      <c r="BK364" s="38"/>
      <c r="BL364" s="38"/>
      <c r="BM364" s="38"/>
      <c r="BN364" s="38"/>
      <c r="BO364" s="38"/>
      <c r="BP364" s="38"/>
      <c r="BQ364" s="38"/>
      <c r="BR364" s="38"/>
      <c r="BS364" s="38"/>
      <c r="BT364" s="38"/>
      <c r="BU364" s="38"/>
      <c r="BV364" s="38"/>
      <c r="BW364" s="38"/>
      <c r="BX364" s="38"/>
      <c r="BY364" s="38"/>
      <c r="BZ364" s="38"/>
      <c r="CA364" s="38"/>
      <c r="CB364" s="38"/>
      <c r="CC364" s="38"/>
      <c r="CD364" s="38"/>
      <c r="CE364" s="38"/>
      <c r="CF364" s="38"/>
      <c r="CG364" s="38"/>
      <c r="CH364" s="38"/>
      <c r="CI364" s="38"/>
      <c r="CM364" s="1352"/>
      <c r="CN364" s="1352"/>
      <c r="CO364" s="1415" t="str">
        <f>CN362</f>
        <v/>
      </c>
      <c r="CP364" s="1417" t="e">
        <f>CP362</f>
        <v>#N/A</v>
      </c>
      <c r="CR364" s="1386" t="s">
        <v>284</v>
      </c>
      <c r="CS364" s="1353">
        <f>IF(HW362=TRUE,T364,0)</f>
        <v>0</v>
      </c>
      <c r="CT364" s="1353" t="str">
        <f>IF(HW362=TRUE,U364,"")</f>
        <v/>
      </c>
      <c r="CU364" s="1373">
        <f>IF(HW362=TRUE,U365,0)</f>
        <v>0</v>
      </c>
      <c r="CV364" s="1370">
        <f>IF(HW362=TRUE,AB365,0)</f>
        <v>0</v>
      </c>
      <c r="CW364" s="1370">
        <f>IF(HW362=TRUE,AC365,0)</f>
        <v>0</v>
      </c>
      <c r="CX364" s="1371"/>
      <c r="CY364" s="1486"/>
      <c r="CZ364" s="1486"/>
      <c r="DA364" s="1486"/>
      <c r="DC364" s="1353">
        <f>IF(HW362=TRUE,AE364,0)</f>
        <v>0</v>
      </c>
      <c r="DD364" s="1353" t="str">
        <f>IF(HW362=TRUE,AF364,"")</f>
        <v/>
      </c>
      <c r="DE364" s="1373">
        <f>AF365</f>
        <v>0</v>
      </c>
      <c r="DF364" s="1406">
        <f>IFERROR(IF(FL364=3,IK364,IF(FL364=4,IL364,IF(FL364=5,IM364,IF(FL364=6,IN364,IF(FL364=7,IO364,IF(FL364=8,IP364,0)))))),0)</f>
        <v>0</v>
      </c>
      <c r="DG364" s="1370">
        <f>IF(HW362=TRUE,AK364,0)</f>
        <v>0</v>
      </c>
      <c r="DH364" s="1369"/>
      <c r="DK364" s="1483">
        <f>IFERROR(CW364-DG364,0)</f>
        <v>0</v>
      </c>
      <c r="DL364" s="1420"/>
      <c r="DN364" s="1403"/>
      <c r="DO364" s="1477" t="str">
        <f>DN362</f>
        <v/>
      </c>
      <c r="DP364" s="1354"/>
      <c r="DQ364" s="1477" t="str">
        <f>IF(DP362=7,"LLLC","")</f>
        <v/>
      </c>
      <c r="DR364" s="1403"/>
      <c r="DS364" s="1489"/>
      <c r="DU364" s="1403"/>
      <c r="DV364" s="1404" t="str">
        <f>DU362</f>
        <v/>
      </c>
      <c r="DW364" s="1403"/>
      <c r="DX364" s="1403"/>
      <c r="DZ364" s="1481"/>
      <c r="EA364" s="1481"/>
      <c r="EC364" s="1482"/>
      <c r="ED364" s="1369"/>
      <c r="EE364" s="1371"/>
      <c r="EF364" s="1369"/>
      <c r="EG364" s="1369"/>
      <c r="EH364" s="1374"/>
      <c r="EI364" s="1374"/>
      <c r="EJ364" s="1363"/>
      <c r="EK364" s="1376"/>
      <c r="EL364" s="1376"/>
      <c r="EM364" s="1362"/>
      <c r="EN364" s="1362"/>
      <c r="EO364" s="1363"/>
      <c r="EP364" s="1363"/>
      <c r="EQ364" s="1363"/>
      <c r="ES364" s="1403"/>
      <c r="EU364" s="1411" t="e">
        <f>VLOOKUP(CP364,'Space Table'!$B$3:$L$160,8,FALSE)</f>
        <v>#N/A</v>
      </c>
      <c r="EV364" s="1411" t="e">
        <f>IF(EY364="Yes",VLOOKUP(AF364,Lookup_Control_Type_Table2,4,FALSE),VLOOKUP(AF364,Lookup_Control_Type_Table2,3,FALSE))</f>
        <v>#N/A</v>
      </c>
      <c r="EW364" s="1411" t="e">
        <f>VLOOKUP(AF364,Lookup!AU$3:AV$15,2,FALSE)</f>
        <v>#N/A</v>
      </c>
      <c r="EX364" s="1411" t="e">
        <f>VLOOKUP(EU362,Lookup_Control_Type_Table,2,FALSE)</f>
        <v>#N/A</v>
      </c>
      <c r="EY364" s="1411" t="e">
        <f>VLOOKUP(CP364,'Space Table'!$B$3:$L$160,7,FALSE)</f>
        <v>#N/A</v>
      </c>
      <c r="EZ364" s="1413"/>
      <c r="FB364" s="1365" t="str">
        <f>CONCATENATE(CN362," - ",AF364)</f>
        <v xml:space="preserve"> - </v>
      </c>
      <c r="FD364" s="1354"/>
      <c r="FE364" s="1354"/>
      <c r="FF364" s="138"/>
      <c r="FI364" s="1356" t="str">
        <f>IF(CN362="Exterior","Not Daylighted",G365)</f>
        <v>Not Daylighted</v>
      </c>
      <c r="FJ364" s="1356">
        <f>VLOOKUP(FI364,_Daylight_Table_Codes,2,FALSE)</f>
        <v>0</v>
      </c>
      <c r="FK364" s="1365">
        <f>AF364</f>
        <v>0</v>
      </c>
      <c r="FL364" s="1365" t="e">
        <f>VLOOKUP(FK364,_Control_Table,2,FALSE)</f>
        <v>#N/A</v>
      </c>
      <c r="FM364" s="1365" t="e">
        <f>IF(AND(FP364&gt;0,FK364="Occupancy Sensor"),"Daylight + Occupancy",IF(AND(FP364&gt;0,FL364&lt;4),"Interior Daylight Dimming",FK364))</f>
        <v>#N/A</v>
      </c>
      <c r="FO364" s="1364">
        <f>IF(CN362="Interior",VLOOKUP(CP362,Control_Savings_Interior,5,FALSE),0)</f>
        <v>0</v>
      </c>
      <c r="FP364" s="1361">
        <f>IF(CN364="Exterior",0,IF(FJ364=2,0.5,IF(OR(FJ364=1,FJ364=3),1,0)))</f>
        <v>0</v>
      </c>
      <c r="FQ364" s="1366">
        <f>IF(R363&gt;FO$37,(FO364*(FO$37/R363)),FO364)*FP364</f>
        <v>0</v>
      </c>
      <c r="FR364" s="1364">
        <f>DF364</f>
        <v>0</v>
      </c>
      <c r="FS364" s="1364">
        <f>ROUND(FR364+((1-FR364)*FQ364),2)</f>
        <v>0</v>
      </c>
      <c r="FT364" s="1364">
        <f>IF(__Retrofit_TI_NC=2,FS364,FR364)</f>
        <v>0</v>
      </c>
      <c r="FU364" s="1360">
        <f>IF(CO364="Interior",VLOOKUP(CP364,Control_Savings_Interior,4,FALSE),0)</f>
        <v>0</v>
      </c>
      <c r="FW364" s="1352"/>
      <c r="FX364" s="1352"/>
      <c r="FY364" s="1352"/>
      <c r="FZ364" s="1352"/>
      <c r="GA364" s="1352"/>
      <c r="GB364" s="1352"/>
      <c r="GC364" s="1352"/>
      <c r="GD364" s="1352"/>
      <c r="GE364" s="759" t="b">
        <f>IF(ISNUMBER(SEARCH("TLED",U364)),TRUE,FALSE)</f>
        <v>0</v>
      </c>
      <c r="GF364" s="1035" t="str">
        <f>IFERROR(VLOOKUP(U364,Fixtures!DM$93:DR$142,6,FALSE),"")</f>
        <v/>
      </c>
      <c r="GG364" s="1385"/>
      <c r="GI364" s="1383"/>
      <c r="GJ364" s="1379"/>
      <c r="GL364" s="1379"/>
      <c r="GM364" s="1379"/>
      <c r="HC364" s="1379"/>
      <c r="HD364" s="1379"/>
      <c r="HE364" s="1379"/>
      <c r="HF364" s="1379"/>
      <c r="HG364" s="1379"/>
      <c r="HH364" s="1379"/>
      <c r="HI364" s="1383"/>
      <c r="HJ364" s="1383"/>
      <c r="HK364" s="1383"/>
      <c r="HL364" s="1379"/>
      <c r="HM364" s="1379"/>
      <c r="HN364" s="1379"/>
      <c r="HO364" s="1379"/>
      <c r="HP364" s="1379"/>
      <c r="HQ364" s="1379"/>
      <c r="HR364" s="1379"/>
      <c r="HS364" s="1379"/>
      <c r="HT364" s="1379"/>
      <c r="HU364" s="1379"/>
      <c r="HW364" s="1383"/>
      <c r="HX364" s="1384" t="b">
        <f>HW362</f>
        <v>0</v>
      </c>
      <c r="HY364" s="1378"/>
      <c r="HZ364" s="436"/>
      <c r="IA364" s="1386"/>
      <c r="IB364" s="1380">
        <f>IF(IA362=TRUE,AC365,0)</f>
        <v>0</v>
      </c>
      <c r="IC364" s="1379"/>
      <c r="IF364" s="1380" t="e">
        <f>ROUND(T364*AB365*N363*R363/1000,0)</f>
        <v>#VALUE!</v>
      </c>
      <c r="IG364" s="1382"/>
      <c r="IH364" s="1384" t="e">
        <f>ROUND(T364*AB365*N363*R363/1000,0)</f>
        <v>#VALUE!</v>
      </c>
      <c r="II364" s="1382"/>
      <c r="IK364" s="1351" t="e">
        <f>IF($CO364="interior",IL364/2,VLOOKUP($CP364,Control_Savings_Exterior,IK$30,FALSE))</f>
        <v>#N/A</v>
      </c>
      <c r="IL364" s="1351" t="e">
        <f>IF($CO364="interior",VLOOKUP($CP364,Control_Savings_Interior,IL$30,FALSE),VLOOKUP($CP364,Control_Savings_Exterior,IL$30,FALSE))</f>
        <v>#N/A</v>
      </c>
      <c r="IM364" s="1351" t="e">
        <f>IF($CO364="interior",IF(R363&gt;FO$37,(IM$28*(FO$37/R363)),IM$28)*FP364,VLOOKUP($CP364,Control_Savings_Exterior,IM$30,FALSE))</f>
        <v>#N/A</v>
      </c>
      <c r="IN364" s="1351" t="e">
        <f>IF($CO364="interior",ROUND(((1-IL364)*IM364)+IL364,2),VLOOKUP($CP364,Control_Savings_Exterior,IN$30,FALSE))</f>
        <v>#N/A</v>
      </c>
      <c r="IO364" s="1351" t="e">
        <f>IF($CO364="interior", ROUND(((1-IL364)*(IM364*(1-IP$28)))+IP364,2), VLOOKUP($CP364,Control_Savings_Exterior,IO$30,FALSE))</f>
        <v>#N/A</v>
      </c>
      <c r="IP364" s="1351">
        <f>IF($CO364="interior",ROUND(((1-IL364)*IP$28)+IL364,2),0)</f>
        <v>0</v>
      </c>
    </row>
    <row r="365" spans="1:250" s="82" customFormat="1" ht="14.95" customHeight="1" thickTop="1" thickBot="1">
      <c r="B365" s="1421"/>
      <c r="C365" s="1422"/>
      <c r="D365" s="1423"/>
      <c r="E365" s="1462" t="s">
        <v>357</v>
      </c>
      <c r="F365" s="1463"/>
      <c r="G365" s="1464" t="s">
        <v>362</v>
      </c>
      <c r="H365" s="1465"/>
      <c r="I365" s="1465"/>
      <c r="J365" s="1465"/>
      <c r="K365" s="1465"/>
      <c r="L365" s="1466"/>
      <c r="M365" s="669">
        <f>IFERROR(VLOOKUP(G365,_Daylight_Table[],2,FALSE),0)</f>
        <v>0</v>
      </c>
      <c r="N365" s="670"/>
      <c r="O365" s="669" t="e">
        <f>VLOOKUP(G364,'Space Table'!$B$3:$L$160,11,FALSE)</f>
        <v>#N/A</v>
      </c>
      <c r="P365" s="1408"/>
      <c r="Q365" s="1409"/>
      <c r="R365" s="1409"/>
      <c r="S365" s="1402"/>
      <c r="T365" s="671" t="s">
        <v>281</v>
      </c>
      <c r="U365" s="1467" t="str">
        <f>IFERROR(VLOOKUP(U364,Fixtures!DM$93:DP$142,4,FALSE),"")</f>
        <v/>
      </c>
      <c r="V365" s="1468"/>
      <c r="W365" s="1468"/>
      <c r="X365" s="1468"/>
      <c r="Y365" s="1468"/>
      <c r="Z365" s="1468"/>
      <c r="AA365" s="1468"/>
      <c r="AB365" s="1046" t="str">
        <f>IFERROR(VLOOKUP(U364,Fixtures_Proposed_List,2,FALSE),"")</f>
        <v/>
      </c>
      <c r="AC365" s="1036" t="str">
        <f>IFERROR(ROUND(T364*AB365*N363*R363/1000,0),"")</f>
        <v/>
      </c>
      <c r="AD365" s="1037" t="str">
        <f>IFERROR(ROUND(T364*AB365/1000,2),"")</f>
        <v/>
      </c>
      <c r="AE365" s="1045" t="s">
        <v>281</v>
      </c>
      <c r="AF365" s="1469"/>
      <c r="AG365" s="1469"/>
      <c r="AH365" s="1469"/>
      <c r="AI365" s="1469"/>
      <c r="AJ365" s="1476"/>
      <c r="AK365" s="1471"/>
      <c r="AL365" s="1473"/>
      <c r="AM365" s="1443"/>
      <c r="AN365" s="1444"/>
      <c r="AO365" s="1449"/>
      <c r="AP365" s="1449"/>
      <c r="AQ365" s="1450"/>
      <c r="AR365" s="1453"/>
      <c r="AS365" s="1456"/>
      <c r="AT365" s="1459"/>
      <c r="AU365" s="517"/>
      <c r="AV365" s="1480"/>
      <c r="AW365" s="1480"/>
      <c r="BC365" s="38"/>
      <c r="BD365" s="38"/>
      <c r="BE365" s="38"/>
      <c r="BF365" s="38"/>
      <c r="BG365" s="38"/>
      <c r="BH365" s="38"/>
      <c r="BI365" s="38"/>
      <c r="BJ365" s="38"/>
      <c r="BK365" s="38"/>
      <c r="BL365" s="38"/>
      <c r="BM365" s="38"/>
      <c r="BN365" s="38"/>
      <c r="BO365" s="38"/>
      <c r="BP365" s="38"/>
      <c r="BQ365" s="38"/>
      <c r="BR365" s="38"/>
      <c r="BS365" s="38"/>
      <c r="BT365" s="38"/>
      <c r="BU365" s="38"/>
      <c r="BV365" s="38"/>
      <c r="BW365" s="38"/>
      <c r="BX365" s="38"/>
      <c r="BY365" s="38"/>
      <c r="BZ365" s="38"/>
      <c r="CA365" s="38"/>
      <c r="CB365" s="38"/>
      <c r="CC365" s="38"/>
      <c r="CD365" s="38"/>
      <c r="CE365" s="38"/>
      <c r="CF365" s="38"/>
      <c r="CG365" s="38"/>
      <c r="CH365" s="38"/>
      <c r="CI365" s="38"/>
      <c r="CM365" s="1352"/>
      <c r="CN365" s="1352"/>
      <c r="CO365" s="1416"/>
      <c r="CP365" s="1418"/>
      <c r="CR365" s="1386"/>
      <c r="CS365" s="1355"/>
      <c r="CT365" s="1355"/>
      <c r="CU365" s="1375"/>
      <c r="CV365" s="1372"/>
      <c r="CW365" s="1372"/>
      <c r="CX365" s="1372"/>
      <c r="CY365" s="1487"/>
      <c r="CZ365" s="1487"/>
      <c r="DA365" s="1487"/>
      <c r="DC365" s="1355"/>
      <c r="DD365" s="1355"/>
      <c r="DE365" s="1375"/>
      <c r="DF365" s="1407"/>
      <c r="DG365" s="1372"/>
      <c r="DH365" s="1369"/>
      <c r="DK365" s="1484"/>
      <c r="DL365" s="1420"/>
      <c r="DN365" s="1403"/>
      <c r="DO365" s="1405"/>
      <c r="DP365" s="1355"/>
      <c r="DQ365" s="1405"/>
      <c r="DR365" s="1403"/>
      <c r="DS365" s="1489"/>
      <c r="DU365" s="1403"/>
      <c r="DV365" s="1405"/>
      <c r="DW365" s="1403"/>
      <c r="DX365" s="1403"/>
      <c r="DZ365" s="1481"/>
      <c r="EA365" s="1481"/>
      <c r="EC365" s="1482"/>
      <c r="ED365" s="1369"/>
      <c r="EE365" s="1372"/>
      <c r="EF365" s="1369"/>
      <c r="EG365" s="1369"/>
      <c r="EH365" s="1375"/>
      <c r="EI365" s="1375"/>
      <c r="EJ365" s="1363"/>
      <c r="EK365" s="1376"/>
      <c r="EL365" s="1376"/>
      <c r="EM365" s="1362"/>
      <c r="EN365" s="1362"/>
      <c r="EO365" s="1363"/>
      <c r="EP365" s="1363"/>
      <c r="EQ365" s="1363"/>
      <c r="ES365" s="1403"/>
      <c r="EU365" s="1488"/>
      <c r="EV365" s="1488"/>
      <c r="EW365" s="1488"/>
      <c r="EX365" s="1488"/>
      <c r="EY365" s="1488"/>
      <c r="EZ365" s="1414"/>
      <c r="FB365" s="1365"/>
      <c r="FD365" s="1355"/>
      <c r="FE365" s="1355"/>
      <c r="FF365" s="138"/>
      <c r="FI365" s="1357"/>
      <c r="FJ365" s="1357"/>
      <c r="FK365" s="1365"/>
      <c r="FL365" s="1365"/>
      <c r="FM365" s="1365"/>
      <c r="FO365" s="1361"/>
      <c r="FP365" s="1361"/>
      <c r="FQ365" s="1366"/>
      <c r="FR365" s="1361"/>
      <c r="FS365" s="1361"/>
      <c r="FT365" s="1361"/>
      <c r="FU365" s="1360"/>
      <c r="FW365" s="1352"/>
      <c r="FX365" s="1352"/>
      <c r="FY365" s="1352"/>
      <c r="FZ365" s="1352"/>
      <c r="GA365" s="1352"/>
      <c r="GB365" s="1352"/>
      <c r="GC365" s="1352"/>
      <c r="GD365" s="1352"/>
      <c r="GE365" s="759"/>
      <c r="GF365" s="1035"/>
      <c r="GG365" s="1385"/>
      <c r="GJ365" s="1034">
        <f>IF(GJ363=TRUE,0,GJ$16)</f>
        <v>0</v>
      </c>
      <c r="GL365" s="1034">
        <f>IF(GL363=TRUE,0,GL$16)</f>
        <v>36</v>
      </c>
      <c r="GM365" s="1034">
        <f>IF(GM363=TRUE,0,GM$16)</f>
        <v>35</v>
      </c>
      <c r="GN365" s="436"/>
      <c r="GO365" s="436"/>
      <c r="GP365" s="436"/>
      <c r="GQ365" s="436"/>
      <c r="GR365" s="436"/>
      <c r="HC365" s="1034">
        <f t="shared" ref="HC365:HH365" si="262">IF(HC363=TRUE,0,HC$16)</f>
        <v>19</v>
      </c>
      <c r="HD365" s="1034">
        <f t="shared" si="262"/>
        <v>18</v>
      </c>
      <c r="HE365" s="1034">
        <f t="shared" si="262"/>
        <v>17</v>
      </c>
      <c r="HF365" s="1034">
        <f t="shared" si="262"/>
        <v>16</v>
      </c>
      <c r="HG365" s="1034">
        <f t="shared" si="262"/>
        <v>0</v>
      </c>
      <c r="HH365" s="1034">
        <f t="shared" si="262"/>
        <v>0</v>
      </c>
      <c r="HI365" s="1034">
        <f>IF(HI363=TRUE,0,HI$16)</f>
        <v>13</v>
      </c>
      <c r="HJ365" s="1034">
        <f t="shared" ref="HJ365:HL365" si="263">IF(HJ363=TRUE,0,HJ$16)</f>
        <v>12</v>
      </c>
      <c r="HK365" s="1034">
        <f t="shared" si="263"/>
        <v>11</v>
      </c>
      <c r="HL365" s="1034">
        <f t="shared" si="263"/>
        <v>10</v>
      </c>
      <c r="HM365" s="1034">
        <f>IF(HM363=TRUE,0,HM$16)</f>
        <v>9</v>
      </c>
      <c r="HN365" s="1034">
        <f t="shared" ref="HN365:HR365" si="264">IF(HN363=TRUE,0,HN$16)</f>
        <v>0</v>
      </c>
      <c r="HO365" s="1034">
        <f t="shared" si="264"/>
        <v>0</v>
      </c>
      <c r="HP365" s="1034">
        <f t="shared" si="264"/>
        <v>0</v>
      </c>
      <c r="HQ365" s="1034">
        <f t="shared" si="264"/>
        <v>0</v>
      </c>
      <c r="HR365" s="1034">
        <f t="shared" si="264"/>
        <v>0</v>
      </c>
      <c r="HS365" s="1034">
        <f>IF(HS363=TRUE,0,HS$16)</f>
        <v>0</v>
      </c>
      <c r="HT365" s="1034">
        <f t="shared" ref="HT365" si="265">IF(HT363=TRUE,0,HT$16)</f>
        <v>0</v>
      </c>
      <c r="HU365" s="1034">
        <f>IF(HU363=TRUE,0,HU$16)</f>
        <v>1</v>
      </c>
      <c r="HW365" s="1034">
        <f>IF(GL363=FALSE,GL365,IF(GM363=FALSE,GM365,MAX(GJ365:HU365)))</f>
        <v>36</v>
      </c>
      <c r="HX365" s="1383"/>
      <c r="HY365" s="241" t="str">
        <f>VLOOKUP(HW365,_Error_Table,3,FALSE)</f>
        <v xml:space="preserve"> </v>
      </c>
      <c r="HZ365" s="241"/>
      <c r="IA365" s="1386"/>
      <c r="IB365" s="1380"/>
      <c r="IC365" s="1379"/>
      <c r="IF365" s="1380"/>
      <c r="IG365" s="1383"/>
      <c r="IH365" s="1383"/>
      <c r="II365" s="1383"/>
      <c r="IK365" s="1351"/>
      <c r="IL365" s="1351"/>
      <c r="IM365" s="1351"/>
      <c r="IN365" s="1351"/>
      <c r="IO365" s="1351"/>
      <c r="IP365" s="1351"/>
    </row>
    <row r="366" spans="1:250" s="82" customFormat="1" ht="5.0999999999999996" customHeight="1" thickBot="1">
      <c r="B366" s="763"/>
      <c r="C366" s="1038"/>
      <c r="D366" s="1038"/>
      <c r="E366" s="1490"/>
      <c r="F366" s="1490"/>
      <c r="G366" s="1490"/>
      <c r="H366" s="1490"/>
      <c r="I366" s="1490"/>
      <c r="J366" s="1490"/>
      <c r="K366" s="1490"/>
      <c r="L366" s="1490"/>
      <c r="M366" s="1490"/>
      <c r="N366" s="1490"/>
      <c r="O366" s="1490"/>
      <c r="P366" s="1490"/>
      <c r="Q366" s="1490"/>
      <c r="R366" s="1490"/>
      <c r="S366" s="1490"/>
      <c r="T366" s="1490"/>
      <c r="U366" s="1490"/>
      <c r="V366" s="1490"/>
      <c r="W366" s="1490"/>
      <c r="X366" s="1490"/>
      <c r="Y366" s="1490"/>
      <c r="Z366" s="1490"/>
      <c r="AA366" s="1490"/>
      <c r="AB366" s="1490"/>
      <c r="AC366" s="1490"/>
      <c r="AD366" s="1490"/>
      <c r="AE366" s="1490"/>
      <c r="AF366" s="1490"/>
      <c r="AG366" s="1490"/>
      <c r="AH366" s="1490"/>
      <c r="AI366" s="1490"/>
      <c r="AJ366" s="1490"/>
      <c r="AK366" s="1490"/>
      <c r="AL366" s="1490"/>
      <c r="AM366" s="1490"/>
      <c r="AN366" s="1490"/>
      <c r="AO366" s="1490"/>
      <c r="AP366" s="1490"/>
      <c r="AQ366" s="1490"/>
      <c r="AR366" s="1490"/>
      <c r="AS366" s="1490"/>
      <c r="AT366" s="1490"/>
      <c r="AU366" s="1041"/>
      <c r="BC366" s="38"/>
      <c r="BD366" s="38"/>
      <c r="BE366" s="38"/>
      <c r="BF366" s="38"/>
      <c r="BG366" s="38"/>
      <c r="BH366" s="38"/>
      <c r="BI366" s="38"/>
      <c r="BJ366" s="38"/>
      <c r="BK366" s="38"/>
      <c r="BL366" s="38"/>
      <c r="BM366" s="38"/>
      <c r="BN366" s="38"/>
      <c r="BO366" s="38"/>
      <c r="BP366" s="38"/>
      <c r="BQ366" s="38"/>
      <c r="BR366" s="38"/>
      <c r="BS366" s="38"/>
      <c r="BT366" s="38"/>
      <c r="BU366" s="38"/>
      <c r="BV366" s="38"/>
      <c r="BW366" s="38"/>
      <c r="BX366" s="38"/>
      <c r="BY366" s="38"/>
      <c r="BZ366" s="38"/>
      <c r="CA366" s="38"/>
      <c r="CB366" s="38"/>
      <c r="CC366" s="38"/>
      <c r="CD366" s="38"/>
      <c r="CE366" s="38"/>
      <c r="CF366" s="38"/>
      <c r="CG366" s="38"/>
      <c r="CH366" s="38"/>
      <c r="CI366" s="38"/>
      <c r="CM366" s="749"/>
      <c r="CN366" s="749"/>
      <c r="CO366" s="1043"/>
      <c r="CP366" s="749"/>
      <c r="CS366" s="436"/>
      <c r="CT366" s="436"/>
      <c r="CU366" s="243"/>
      <c r="CV366" s="244"/>
      <c r="CW366" s="244"/>
      <c r="CX366" s="244"/>
      <c r="CY366" s="245"/>
      <c r="CZ366" s="245"/>
      <c r="DA366" s="245"/>
      <c r="DC366" s="750"/>
      <c r="DD366" s="751"/>
      <c r="DE366" s="752"/>
      <c r="DF366" s="753"/>
      <c r="DG366" s="754"/>
      <c r="DH366" s="754"/>
      <c r="DK366" s="244"/>
      <c r="DL366" s="750"/>
      <c r="DN366" s="750"/>
      <c r="DO366" s="755"/>
      <c r="DP366" s="436"/>
      <c r="DQ366" s="750"/>
      <c r="DR366" s="750"/>
      <c r="DS366" s="750"/>
      <c r="DU366" s="750"/>
      <c r="DV366" s="750"/>
      <c r="DW366" s="750"/>
      <c r="DX366" s="750"/>
      <c r="DZ366" s="756"/>
      <c r="EA366" s="756"/>
      <c r="EC366" s="754"/>
      <c r="ED366" s="754"/>
      <c r="EE366" s="244"/>
      <c r="EF366" s="754"/>
      <c r="EG366" s="754"/>
      <c r="EH366" s="243"/>
      <c r="EI366" s="243"/>
      <c r="EJ366" s="752"/>
      <c r="EK366" s="757"/>
      <c r="EL366" s="757"/>
      <c r="EM366" s="758"/>
      <c r="EN366" s="758"/>
      <c r="EO366" s="752"/>
      <c r="EP366" s="752"/>
      <c r="EQ366" s="752"/>
      <c r="ES366" s="750"/>
      <c r="EU366" s="436"/>
      <c r="EV366" s="436"/>
      <c r="EW366" s="436"/>
      <c r="EX366" s="436"/>
      <c r="EY366" s="436"/>
      <c r="EZ366" s="436"/>
      <c r="FB366" s="643"/>
      <c r="FD366" s="436"/>
      <c r="FE366" s="436"/>
      <c r="FF366" s="436"/>
      <c r="FO366" s="750"/>
      <c r="FP366" s="436"/>
      <c r="FQ366" s="436"/>
      <c r="FR366" s="750"/>
      <c r="FS366" s="750"/>
      <c r="FW366" s="749"/>
      <c r="FX366" s="749"/>
      <c r="FY366" s="749"/>
      <c r="FZ366" s="749"/>
      <c r="GA366" s="749"/>
      <c r="GB366" s="749"/>
      <c r="GC366" s="749"/>
      <c r="GD366" s="749"/>
      <c r="GE366" s="751"/>
      <c r="GF366" s="750"/>
      <c r="GG366" s="750"/>
    </row>
    <row r="367" spans="1:250" s="82" customFormat="1" ht="14.95" customHeight="1" thickTop="1" thickBot="1">
      <c r="B367" s="1421" t="str">
        <f>HY370</f>
        <v xml:space="preserve"> </v>
      </c>
      <c r="C367" s="1422">
        <f>C362+1</f>
        <v>64</v>
      </c>
      <c r="D367" s="1423"/>
      <c r="E367" s="1424" t="s">
        <v>242</v>
      </c>
      <c r="F367" s="1425"/>
      <c r="G367" s="1426"/>
      <c r="H367" s="1427"/>
      <c r="I367" s="1427"/>
      <c r="J367" s="1427"/>
      <c r="K367" s="1427"/>
      <c r="L367" s="1427"/>
      <c r="M367" s="1427"/>
      <c r="N367" s="1427"/>
      <c r="O367" s="1427"/>
      <c r="P367" s="1427"/>
      <c r="Q367" s="1427"/>
      <c r="R367" s="1427"/>
      <c r="S367" s="1428" t="s">
        <v>283</v>
      </c>
      <c r="T367" s="668" t="s">
        <v>190</v>
      </c>
      <c r="U367" s="1430" t="s">
        <v>186</v>
      </c>
      <c r="V367" s="1431"/>
      <c r="W367" s="1431"/>
      <c r="X367" s="1431"/>
      <c r="Y367" s="1431"/>
      <c r="Z367" s="1431"/>
      <c r="AA367" s="1431"/>
      <c r="AB367" s="1088" t="str">
        <f>IFERROR(IF(__Retrofit_TI_NC=0,VLOOKUP(U368,Fixtures_Existing_List,2,FALSE),ROUND(N369*R369/T369,10)),"")</f>
        <v/>
      </c>
      <c r="AC367" s="1039" t="str">
        <f>IFERROR(IF(__Retrofit_TI_NC=0,ROUND(T368*AB367*N368*R368/1000,0),IF(CN367="Interior",N369*R369*R368*N368*_C406_reduction/1000,N369*R369*R368*N368/1000)),"")</f>
        <v/>
      </c>
      <c r="AD367" s="1040" t="str">
        <f>IFERROR(IF(C$36=0,ROUND(T368*AB367/1000,2),N369*R369/1000),"")</f>
        <v/>
      </c>
      <c r="AE367" s="1044" t="s">
        <v>190</v>
      </c>
      <c r="AF367" s="1432" t="str">
        <f>IF(__Retrofit_TI_NC=2,CONCATENATE("Code min = ",DD367),IF(__Retrofit_TI_NC=1,"Emter what you think the existing control was"," Control"))</f>
        <v xml:space="preserve"> Control</v>
      </c>
      <c r="AG367" s="1432"/>
      <c r="AH367" s="1432"/>
      <c r="AI367" s="1432"/>
      <c r="AJ367" s="1433">
        <f>DF367</f>
        <v>0</v>
      </c>
      <c r="AK367" s="1435" t="str">
        <f>IFERROR(ROUND(AJ367*AC367,0),"")</f>
        <v/>
      </c>
      <c r="AL367" s="1437">
        <f>IFERROR(IF(HW367=FALSE,0,AC367-AK367),0)</f>
        <v>0</v>
      </c>
      <c r="AM367" s="1439">
        <f>AL367-AL369</f>
        <v>0</v>
      </c>
      <c r="AN367" s="1440"/>
      <c r="AO367" s="1445">
        <f>IFERROR(IF(HW367=FALSE,0,(T369*U370)+(AE369*AF370)),0)</f>
        <v>0</v>
      </c>
      <c r="AP367" s="1445"/>
      <c r="AQ367" s="1446"/>
      <c r="AR367" s="1451" t="s">
        <v>157</v>
      </c>
      <c r="AS367" s="1454">
        <f>IF(AR367="Yes",1,0)</f>
        <v>1</v>
      </c>
      <c r="AT367" s="1457" t="str">
        <f>IF(OR(DN367=4,DN367=5,DN367=6,DN367=12),CONCATENATE("$",IF(GD367=TRUE,Lookup!$B$11,Lookup!$B$2)," /lamp"),CONCATENATE(EA367,"/ kWh"))</f>
        <v>0/ kWh</v>
      </c>
      <c r="AU367" s="516"/>
      <c r="AV367" s="1478">
        <f>IFERROR(IF(GI368=TRUE,(AB370*T369)/R369,0),"NA")</f>
        <v>0</v>
      </c>
      <c r="AW367" s="1478" t="str">
        <f>IFERROR(N369*_C406_reduction,"NA")</f>
        <v>NA</v>
      </c>
      <c r="BC367" s="38"/>
      <c r="BD367" s="38"/>
      <c r="BE367" s="38"/>
      <c r="BF367" s="38"/>
      <c r="BG367" s="38"/>
      <c r="BH367" s="38"/>
      <c r="BI367" s="38"/>
      <c r="BJ367" s="38"/>
      <c r="BK367" s="38"/>
      <c r="BL367" s="38"/>
      <c r="BM367" s="38"/>
      <c r="BN367" s="38"/>
      <c r="BO367" s="38"/>
      <c r="BP367" s="38"/>
      <c r="BQ367" s="38"/>
      <c r="BR367" s="38"/>
      <c r="BS367" s="38"/>
      <c r="BT367" s="38"/>
      <c r="BU367" s="38"/>
      <c r="BV367" s="38"/>
      <c r="BW367" s="38"/>
      <c r="BX367" s="38"/>
      <c r="BY367" s="38"/>
      <c r="BZ367" s="38"/>
      <c r="CA367" s="38"/>
      <c r="CB367" s="38"/>
      <c r="CC367" s="38"/>
      <c r="CD367" s="38"/>
      <c r="CE367" s="38"/>
      <c r="CF367" s="38"/>
      <c r="CG367" s="38"/>
      <c r="CH367" s="38"/>
      <c r="CI367" s="38"/>
      <c r="CM367" s="1352" t="str">
        <f>N368</f>
        <v/>
      </c>
      <c r="CN367" s="1352" t="str">
        <f>IFERROR(VLOOKUP(G368,_Lookup_Heat_Type_Table_New,3,FALSE),"")</f>
        <v/>
      </c>
      <c r="CO367" s="1415" t="str">
        <f>CN367</f>
        <v/>
      </c>
      <c r="CP367" s="1417" t="e">
        <f>VLOOKUP(G369,'Space Table'!$B$3:$L$160,9,FALSE)</f>
        <v>#N/A</v>
      </c>
      <c r="CR367" s="1386" t="s">
        <v>283</v>
      </c>
      <c r="CS367" s="1353">
        <f>IF(HW367=TRUE,T368,0)</f>
        <v>0</v>
      </c>
      <c r="CT367" s="1353" t="str">
        <f>IF(HW367=TRUE,U368,"")</f>
        <v/>
      </c>
      <c r="CU367" s="1353"/>
      <c r="CV367" s="1370">
        <f>IF(HW367=TRUE,AB367,0)</f>
        <v>0</v>
      </c>
      <c r="CW367" s="1370">
        <f>IF(HW367=TRUE,AC367,0)</f>
        <v>0</v>
      </c>
      <c r="CX367" s="1370">
        <f>IFERROR(IF(HW367=TRUE,CW367-CW369,0),0)</f>
        <v>0</v>
      </c>
      <c r="CY367" s="1485">
        <f>IF(HW367=TRUE,AD367,0)</f>
        <v>0</v>
      </c>
      <c r="CZ367" s="1485">
        <f>IF(HW367=TRUE,AD370,0)</f>
        <v>0</v>
      </c>
      <c r="DA367" s="1485">
        <f>IFERROR(CY367-CZ367,0)</f>
        <v>0</v>
      </c>
      <c r="DC367" s="1353">
        <f>IF(HW367=TRUE,AE368,0)</f>
        <v>0</v>
      </c>
      <c r="DD367" s="1460">
        <f>IF(__Retrofit_TI_NC=2,IF(CN367="Exterior",O370,FM367),FK367)</f>
        <v>0</v>
      </c>
      <c r="DE367" s="1353"/>
      <c r="DF367" s="1406">
        <f>IFERROR(IF(FL367=3,IK367,IF(FL367=4,IL367,IF(FL367=5,IM367,IF(FL367=6,IN367,IF(FL367=7,IO367,IF(FL367=8,IP367,0)))))),0)</f>
        <v>0</v>
      </c>
      <c r="DG367" s="1370">
        <f>IF(HW367=TRUE,AK367,0)</f>
        <v>0</v>
      </c>
      <c r="DH367" s="1369">
        <f>IFERROR(IF(HW367=TRUE,DG369-DG367,0),0)</f>
        <v>0</v>
      </c>
      <c r="DJ367" s="1483">
        <f>IFERROR(CW367-DG367,0)</f>
        <v>0</v>
      </c>
      <c r="DL367" s="1419">
        <f>DJ367-DK369</f>
        <v>0</v>
      </c>
      <c r="DN367" s="1403" t="str">
        <f>IFERROR(IF(AND(OR(FY367=4,FY367=5,FY367=6),OR(GB367=4,GB367=5,GB367=6)),FY367+8,VLOOKUP(CT369,Fixtures!R$31:Y$78,8,FALSE)),"")</f>
        <v/>
      </c>
      <c r="DO367" s="1404" t="str">
        <f>DN367</f>
        <v/>
      </c>
      <c r="DP367" s="1353" t="str">
        <f>IFERROR(VLOOKUP(DD369,Lookup!AU$3:AV$15,2,FALSE),"")</f>
        <v/>
      </c>
      <c r="DQ367" s="1404" t="str">
        <f>IF(DP367=7,"LLLC","")</f>
        <v/>
      </c>
      <c r="DR367" s="1403">
        <f>IFERROR(IF(OR(DN367=4,DN367=5,DN367=6,DN367=12,DN367=13,DN367=14),VLOOKUP(CT369,Fixtures!DN$27:EG$77,19,FALSE),1)*CS369,0)</f>
        <v>0</v>
      </c>
      <c r="DS367" s="1489">
        <f>IF(DP367=7,IF(DD367=DD369,0,DC369),0)</f>
        <v>0</v>
      </c>
      <c r="DU367" s="1403" t="str">
        <f>IFERROR(IF(EW367&lt;EW369,"Yes","No"),"")</f>
        <v/>
      </c>
      <c r="DV367" s="1404" t="str">
        <f>DU367</f>
        <v/>
      </c>
      <c r="DW367" s="1403">
        <f>IF(DU367="Yes",DC369,0)</f>
        <v>0</v>
      </c>
      <c r="DX367" s="1403">
        <f>DW367-DS367</f>
        <v>0</v>
      </c>
      <c r="DZ367" s="1481">
        <f>IFERROR(VLOOKUP(DN367,Lookup!AN$3:AO$16,2,FALSE),0)</f>
        <v>0</v>
      </c>
      <c r="EA367" s="1481">
        <f>IF(HW367=FALSE,0,IF(DU367="Yes",DZ367+Lookup!B$6,DZ367))</f>
        <v>0</v>
      </c>
      <c r="EC367" s="1482">
        <f>IF(HW367=TRUE,DJ367,0)</f>
        <v>0</v>
      </c>
      <c r="ED367" s="1369">
        <f>IF(HW367=TRUE,CW369,0)</f>
        <v>0</v>
      </c>
      <c r="EE367" s="1370">
        <f>IFERROR(EC367-ED367,0)</f>
        <v>0</v>
      </c>
      <c r="EF367" s="1369">
        <f>IF(HW367=TRUE,DG369,0)</f>
        <v>0</v>
      </c>
      <c r="EG367" s="1369">
        <f>IFERROR(EC367-ED367+EF367,0)</f>
        <v>0</v>
      </c>
      <c r="EH367" s="1373">
        <f>IF(HW367=TRUE,CS369*CU369,0)</f>
        <v>0</v>
      </c>
      <c r="EI367" s="1373">
        <f>IF(HW367=TRUE,DC369*DE369,0)</f>
        <v>0</v>
      </c>
      <c r="EJ367" s="1363">
        <f>AO367</f>
        <v>0</v>
      </c>
      <c r="EK367" s="1376" t="str">
        <f>IFERROR(IF(HW367=TRUE,VLOOKUP(DN367,Lookup!AN$3:AP$16,3,FALSE)*DR367,""),0)</f>
        <v/>
      </c>
      <c r="EL367" s="1376">
        <f>IF(HW367=TRUE,DW367*Lookup!AP$12,0)</f>
        <v>0</v>
      </c>
      <c r="EM367" s="1362">
        <f>IFERROR(IF(HW367=TRUE,EK367/EM$33,0),0)</f>
        <v>0</v>
      </c>
      <c r="EN367" s="1362">
        <f>IF(HW367=TRUE,EL367/EN$33,0)</f>
        <v>0</v>
      </c>
      <c r="EO367" s="1363">
        <f>IF(HW367=TRUE,EQ$33*EM367,0)</f>
        <v>0</v>
      </c>
      <c r="EP367" s="1363">
        <f>IF(HW367=TRUE,EQ$33*EN367,0)</f>
        <v>0</v>
      </c>
      <c r="EQ367" s="1363">
        <f>EO367+EP367</f>
        <v>0</v>
      </c>
      <c r="ES367" s="1403">
        <f>IF(G367="",0,1)</f>
        <v>0</v>
      </c>
      <c r="EU367" s="1410" t="e">
        <f>VLOOKUP(CP369,'Space Table'!$B$3:$L$160,8,FALSE)</f>
        <v>#N/A</v>
      </c>
      <c r="EV367" s="1410" t="e">
        <f>IF(EY367="Yes",VLOOKUP(DD367,Lookup_Control_Type_Table2,4,FALSE),VLOOKUP(DD367,Lookup_Control_Type_Table2,3,FALSE))</f>
        <v>#N/A</v>
      </c>
      <c r="EW367" s="1410" t="e">
        <f>VLOOKUP(DD367,Lookup!AU$3:AV$15,2,FALSE)</f>
        <v>#N/A</v>
      </c>
      <c r="EX367" s="1410" t="e">
        <f>VLOOKUP(EU367,Lookup_Control_Type_Table,2,FALSE)</f>
        <v>#N/A</v>
      </c>
      <c r="EY367" s="1410" t="e">
        <f>VLOOKUP(CP369,'Space Table'!$B$3:$L$160,7,FALSE)</f>
        <v>#N/A</v>
      </c>
      <c r="EZ367" s="1412" t="b">
        <f>ISNUMBER(SEARCH("TLED",U369))</f>
        <v>0</v>
      </c>
      <c r="FB367" s="1365" t="str">
        <f>CONCATENATE(CN367," - ",DD367)</f>
        <v xml:space="preserve"> - 0</v>
      </c>
      <c r="FD367" s="1353" t="str">
        <f>VLOOKUP(CT369,Fixtures!DN$27:EZ$77,38,FALSE)</f>
        <v/>
      </c>
      <c r="FE367" s="1353">
        <f>IFERROR(FD367*EE367,0)</f>
        <v>0</v>
      </c>
      <c r="FF367" s="138"/>
      <c r="FI367" s="1356" t="str">
        <f>IF(CN367="Exterior","Not Daylighted",G370)</f>
        <v>Not Daylighted</v>
      </c>
      <c r="FJ367" s="1356">
        <f>VLOOKUP(FI367,_Daylight_Table_Codes,2,FALSE)</f>
        <v>0</v>
      </c>
      <c r="FK367" s="1365">
        <f>IF(__Retrofit_TI_NC=2,VLOOKUP(G369,'Space Table'!$B$3:$L$160,11,FALSE),AF368)</f>
        <v>0</v>
      </c>
      <c r="FL367" s="1365" t="e">
        <f>VLOOKUP(FK367,_Control_Table,2,FALSE)</f>
        <v>#N/A</v>
      </c>
      <c r="FM367" s="1365" t="e">
        <f>IF(AND(FP367&gt;0,FK367="Occupancy Sensor"),"Daylight + Occupancy",IF(AND(FP367&gt;0,FL367&lt;4),"Interior Daylight Dimming",FK367))</f>
        <v>#N/A</v>
      </c>
      <c r="FO367" s="1364">
        <f>IF(CO367="Interior",VLOOKUP(CP367,Control_Savings_Interior,5,FALSE),0)</f>
        <v>0</v>
      </c>
      <c r="FP367" s="1361">
        <f>IF(CN367="Exterior",0,IF(FJ367=2,0.5,IF(OR(FJ367=1,FJ367=3),1,0)))</f>
        <v>0</v>
      </c>
      <c r="FQ367" s="1366"/>
      <c r="FR367" s="1367"/>
      <c r="FS367" s="1364"/>
      <c r="FT367" s="1367"/>
      <c r="FU367" s="1360"/>
      <c r="FW367" s="1352" t="str">
        <f>IFERROR(VLOOKUP(U368,_Exist_Fixture_Table,3,FALSE),"")</f>
        <v/>
      </c>
      <c r="FX367" s="1352" t="str">
        <f>VLOOKUP(CT367,_Exist_Fixture_Table,4,FALSE)</f>
        <v/>
      </c>
      <c r="FY367" s="1352">
        <f>IFERROR(VLOOKUP(FX367,Lookup!AM$6:AN$8,2,FALSE),0)</f>
        <v>0</v>
      </c>
      <c r="FZ367" s="1352" t="b">
        <f>IFERROR(IF(OR(GB367=4,GB367=5,GB367=6),TRUE,FALSE),"")</f>
        <v>0</v>
      </c>
      <c r="GA367" s="1352" t="str">
        <f>IFERROR(VLOOKUP(GB367,FY$6:FZ$10,2,FALSE),"")</f>
        <v/>
      </c>
      <c r="GB367" s="1352" t="str">
        <f>VLOOKUP(CT369,Fixtures!R$31:Y$78,8,FALSE)</f>
        <v/>
      </c>
      <c r="GC367" s="1352">
        <f>IF(AND(FW367=TRUE,FZ367=TRUE,OR(DN367=12,DN367=13,DN367=14)),FY367+8,0)</f>
        <v>0</v>
      </c>
      <c r="GD367" s="1352" t="b">
        <f>IF(OR(GC367=12,GC367=13,GC367=14),TRUE,FALSE)</f>
        <v>0</v>
      </c>
      <c r="GE367" s="759" t="b">
        <f>IF(ISNUMBER(SEARCH("TLED",U368)),TRUE,FALSE)</f>
        <v>0</v>
      </c>
      <c r="GF367" s="1035" t="str">
        <f>IFERROR(VLOOKUP(U368,Fixtures!BM$93:BR$142,6,FALSE),"")</f>
        <v/>
      </c>
      <c r="GG367" s="1385" t="b">
        <f>IF(OR(GE367=FALSE,GE369=FALSE),TRUE,IF(GF367-GF369&lt;5,FALSE,TRUE))</f>
        <v>1</v>
      </c>
      <c r="GK367" s="1034">
        <f>GL367</f>
        <v>0</v>
      </c>
      <c r="GL367" s="1034">
        <f>IF(G367="",0,1)</f>
        <v>0</v>
      </c>
      <c r="GM367" s="1034">
        <f>SUM(GN367:HB367)</f>
        <v>2</v>
      </c>
      <c r="GN367" s="1034">
        <f>IF(G368="",0,1)</f>
        <v>0</v>
      </c>
      <c r="GO367" s="1034">
        <f>IF(G369="",0,1)</f>
        <v>0</v>
      </c>
      <c r="GP367" s="1034">
        <f>IF(R368="",0,1)</f>
        <v>0</v>
      </c>
      <c r="GQ367" s="1034">
        <f>IF(__Retrofit_TI_NC=0,1,IF(R369="",0,1))</f>
        <v>1</v>
      </c>
      <c r="GR367" s="1034">
        <f>IF(CN367="Exterior",1,IF(G370="",0,1))</f>
        <v>1</v>
      </c>
      <c r="GS367" s="1034">
        <f>IF(__Retrofit_TI_NC&lt;&gt;0,1,IF(T368="",0,1))</f>
        <v>0</v>
      </c>
      <c r="GT367" s="1034">
        <f>IF(__Retrofit_TI_NC&lt;&gt;0,1,IF(U368="",0,1))</f>
        <v>0</v>
      </c>
      <c r="GU367" s="1034">
        <f>IF(T369="",0,1)</f>
        <v>0</v>
      </c>
      <c r="GV367" s="1034">
        <f>IF(U369="",0,1)</f>
        <v>0</v>
      </c>
      <c r="GW367" s="1034">
        <f>IF(__Retrofit_TI_NC=2,1,IF(U370="",0,1))</f>
        <v>0</v>
      </c>
      <c r="GX367" s="1034">
        <f>IF(__Retrofit_TI_NC&lt;&gt;0,1,IF(AE368="",0,1))</f>
        <v>0</v>
      </c>
      <c r="GY367" s="1034">
        <f>IF(__Retrofit_TI_NC&lt;&gt;0,1,IF(AF368="",0,1))</f>
        <v>0</v>
      </c>
      <c r="GZ367" s="1034">
        <f>IF(AE369="",0,1)</f>
        <v>0</v>
      </c>
      <c r="HA367" s="1034">
        <f>IF(AF369="",0,1)</f>
        <v>0</v>
      </c>
      <c r="HB367" s="1034">
        <f>IF(__Retrofit_TI_NC=2,1,IF(AF370="",0,1))</f>
        <v>0</v>
      </c>
      <c r="HV367" s="436"/>
      <c r="HW367" s="1384" t="b">
        <f>IF(OR(HW370=0,HW370=HT$16,HW370=HS$16,HW370=HU$16),TRUE,FALSE)</f>
        <v>0</v>
      </c>
      <c r="HX367" s="1377" t="b">
        <f>HW367</f>
        <v>0</v>
      </c>
      <c r="HY367" s="436"/>
      <c r="HZ367" s="436"/>
      <c r="IA367" s="1386" t="b">
        <f>IF(MAX(GJ370:HP370)&gt;5,FALSE,TRUE)</f>
        <v>0</v>
      </c>
      <c r="IB367" s="1380">
        <f>IF(IA367=TRUE,AC367,0)</f>
        <v>0</v>
      </c>
      <c r="IC367" s="1380">
        <f>IB367-IB369</f>
        <v>0</v>
      </c>
      <c r="IF367" s="1380" t="e">
        <f>ROUND(T368*VLOOKUP(U368,Fixtures_Existing_List,2,FALSE)*N368*R368/1000,0)</f>
        <v>#N/A</v>
      </c>
      <c r="IG367" s="1381" t="e">
        <f>IF367-IF369</f>
        <v>#N/A</v>
      </c>
      <c r="IH367" s="1384" t="e">
        <f>ROUND(IF(CN367="Interior",N369*R369*R368*N368*_C406_reduction/1000,N369*R369*R368*N368/1000),0)</f>
        <v>#N/A</v>
      </c>
      <c r="II367" s="1384" t="e">
        <f>IH367-IH369</f>
        <v>#N/A</v>
      </c>
      <c r="IK367" s="1351" t="e">
        <f>IF($CO367="interior",IL367/2,VLOOKUP($CP367,Control_Savings_Exterior,IK$30,FALSE))</f>
        <v>#N/A</v>
      </c>
      <c r="IL367" s="1351" t="e">
        <f>IF($CO367="interior",VLOOKUP($CP367,Control_Savings_Interior,IL$30,FALSE),VLOOKUP($CP367,Control_Savings_Exterior,IL$30,FALSE))</f>
        <v>#N/A</v>
      </c>
      <c r="IM367" s="1351" t="e">
        <f>IF($CO367="interior",IF(R368&gt;FO$37,(IM$28*(FO$37/R368)),IM$28)*FP367,VLOOKUP($CP367,Control_Savings_Exterior,IM$30,FALSE))</f>
        <v>#N/A</v>
      </c>
      <c r="IN367" s="1351" t="e">
        <f>IF($CO367="interior",ROUND(((1-IL367)*IM367)+IL367,2),VLOOKUP($CP367,Control_Savings_Exterior,IN$30,FALSE))</f>
        <v>#N/A</v>
      </c>
      <c r="IO367" s="1351" t="e">
        <f>IF($CO367="interior", ROUND(((1-IL367)*(IM367*(1-IP$28)))+IP367,2), VLOOKUP($CP367,Control_Savings_Exterior,IO$30,FALSE))</f>
        <v>#N/A</v>
      </c>
      <c r="IP367" s="1351">
        <f>IF($CO367="interior",ROUND(((1-IL367)*IP$28)+IL367,2),0)</f>
        <v>0</v>
      </c>
    </row>
    <row r="368" spans="1:250" s="82" customFormat="1" ht="14.95" customHeight="1" thickTop="1" thickBot="1">
      <c r="B368" s="1421"/>
      <c r="C368" s="1422"/>
      <c r="D368" s="1423"/>
      <c r="E368" s="1393" t="s">
        <v>244</v>
      </c>
      <c r="F368" s="1394"/>
      <c r="G368" s="1395"/>
      <c r="H368" s="1395"/>
      <c r="I368" s="1395"/>
      <c r="J368" s="1395"/>
      <c r="K368" s="1395"/>
      <c r="L368" s="1395"/>
      <c r="M368" s="509" t="e">
        <f>IF(__Retrofit_TI_NC&lt;&gt;0,IF(VLOOKUP(G369,'Space Table'!$B$3:$L$160,3,FALSE)&gt;0,1,0),IF(__Retrofit_TI_NC=VLOOKUP(G369,'Space Table'!$B$3:$L$160,3,FALSE),1,0))</f>
        <v>#N/A</v>
      </c>
      <c r="N368" s="509" t="str">
        <f>IFERROR(VLOOKUP(G368,_Lookup_Heat_Type_Table_New,2,FALSE),"")</f>
        <v/>
      </c>
      <c r="O368" s="509">
        <f>IF(__Retrofit_TI_NC=1,CONCATENATE("TI ",G368),IF(__Retrofit_TI_NC=2,CONCATENATE("NC ",G368),G368))</f>
        <v>0</v>
      </c>
      <c r="P368" s="1396" t="s">
        <v>352</v>
      </c>
      <c r="Q368" s="1396"/>
      <c r="R368" s="673"/>
      <c r="S368" s="1429"/>
      <c r="T368" s="675"/>
      <c r="U368" s="1496"/>
      <c r="V368" s="1497"/>
      <c r="W368" s="1497"/>
      <c r="X368" s="1497"/>
      <c r="Y368" s="1497"/>
      <c r="Z368" s="1497"/>
      <c r="AA368" s="1497"/>
      <c r="AB368" s="1497"/>
      <c r="AC368" s="1497"/>
      <c r="AD368" s="1498"/>
      <c r="AE368" s="675"/>
      <c r="AF368" s="1397"/>
      <c r="AG368" s="1397"/>
      <c r="AH368" s="1397"/>
      <c r="AI368" s="1397"/>
      <c r="AJ368" s="1434"/>
      <c r="AK368" s="1436"/>
      <c r="AL368" s="1438"/>
      <c r="AM368" s="1441"/>
      <c r="AN368" s="1442"/>
      <c r="AO368" s="1447"/>
      <c r="AP368" s="1447"/>
      <c r="AQ368" s="1448"/>
      <c r="AR368" s="1452"/>
      <c r="AS368" s="1455"/>
      <c r="AT368" s="1458"/>
      <c r="AU368" s="516"/>
      <c r="AV368" s="1479"/>
      <c r="AW368" s="1479"/>
      <c r="BC368" s="38"/>
      <c r="BD368" s="38"/>
      <c r="BE368" s="38"/>
      <c r="BF368" s="38"/>
      <c r="BG368" s="38"/>
      <c r="BH368" s="38"/>
      <c r="BI368" s="38"/>
      <c r="BJ368" s="38"/>
      <c r="BK368" s="38"/>
      <c r="BL368" s="38"/>
      <c r="BM368" s="38"/>
      <c r="BN368" s="38"/>
      <c r="BO368" s="38"/>
      <c r="BP368" s="38"/>
      <c r="BQ368" s="38"/>
      <c r="BR368" s="38"/>
      <c r="BS368" s="38"/>
      <c r="BT368" s="38"/>
      <c r="BU368" s="38"/>
      <c r="BV368" s="38"/>
      <c r="BW368" s="38"/>
      <c r="BX368" s="38"/>
      <c r="BY368" s="38"/>
      <c r="BZ368" s="38"/>
      <c r="CA368" s="38"/>
      <c r="CB368" s="38"/>
      <c r="CC368" s="38"/>
      <c r="CD368" s="38"/>
      <c r="CE368" s="38"/>
      <c r="CF368" s="38"/>
      <c r="CG368" s="38"/>
      <c r="CH368" s="38"/>
      <c r="CI368" s="38"/>
      <c r="CM368" s="1352"/>
      <c r="CN368" s="1352"/>
      <c r="CO368" s="1416"/>
      <c r="CP368" s="1418"/>
      <c r="CR368" s="1386"/>
      <c r="CS368" s="1355"/>
      <c r="CT368" s="1355"/>
      <c r="CU368" s="1355"/>
      <c r="CV368" s="1372"/>
      <c r="CW368" s="1372"/>
      <c r="CX368" s="1371"/>
      <c r="CY368" s="1486"/>
      <c r="CZ368" s="1486"/>
      <c r="DA368" s="1486"/>
      <c r="DC368" s="1355"/>
      <c r="DD368" s="1461"/>
      <c r="DE368" s="1355"/>
      <c r="DF368" s="1407"/>
      <c r="DG368" s="1372"/>
      <c r="DH368" s="1369"/>
      <c r="DJ368" s="1484"/>
      <c r="DL368" s="1419"/>
      <c r="DN368" s="1403"/>
      <c r="DO368" s="1405"/>
      <c r="DP368" s="1354"/>
      <c r="DQ368" s="1405"/>
      <c r="DR368" s="1403"/>
      <c r="DS368" s="1489"/>
      <c r="DU368" s="1403"/>
      <c r="DV368" s="1405"/>
      <c r="DW368" s="1403"/>
      <c r="DX368" s="1403"/>
      <c r="DZ368" s="1481"/>
      <c r="EA368" s="1481"/>
      <c r="EC368" s="1482"/>
      <c r="ED368" s="1369"/>
      <c r="EE368" s="1371"/>
      <c r="EF368" s="1369"/>
      <c r="EG368" s="1369"/>
      <c r="EH368" s="1374"/>
      <c r="EI368" s="1374"/>
      <c r="EJ368" s="1363"/>
      <c r="EK368" s="1376"/>
      <c r="EL368" s="1376"/>
      <c r="EM368" s="1362"/>
      <c r="EN368" s="1362"/>
      <c r="EO368" s="1363"/>
      <c r="EP368" s="1363"/>
      <c r="EQ368" s="1363"/>
      <c r="ES368" s="1403"/>
      <c r="EU368" s="1411"/>
      <c r="EV368" s="1411"/>
      <c r="EW368" s="1411"/>
      <c r="EX368" s="1411"/>
      <c r="EY368" s="1411"/>
      <c r="EZ368" s="1413"/>
      <c r="FB368" s="1365"/>
      <c r="FD368" s="1354"/>
      <c r="FE368" s="1354"/>
      <c r="FF368" s="138"/>
      <c r="FI368" s="1357"/>
      <c r="FJ368" s="1357"/>
      <c r="FK368" s="1365"/>
      <c r="FL368" s="1365"/>
      <c r="FM368" s="1365"/>
      <c r="FO368" s="1361"/>
      <c r="FP368" s="1361"/>
      <c r="FQ368" s="1366"/>
      <c r="FR368" s="1368"/>
      <c r="FS368" s="1361"/>
      <c r="FT368" s="1368"/>
      <c r="FU368" s="1360"/>
      <c r="FW368" s="1352"/>
      <c r="FX368" s="1352"/>
      <c r="FY368" s="1352"/>
      <c r="FZ368" s="1352"/>
      <c r="GA368" s="1352"/>
      <c r="GB368" s="1352"/>
      <c r="GC368" s="1352"/>
      <c r="GD368" s="1352"/>
      <c r="GE368" s="759"/>
      <c r="GF368" s="1035"/>
      <c r="GG368" s="1385"/>
      <c r="GI368" s="1384" t="b">
        <f>IF(AND(GL368=TRUE,GM368=TRUE),TRUE,FALSE)</f>
        <v>0</v>
      </c>
      <c r="GJ368" s="1379" t="b">
        <f>IFERROR(IF(__Retrofit_TI_NC=2,TRUE,IF(AR367="Yes",TRUE,FALSE)),FALSE)</f>
        <v>1</v>
      </c>
      <c r="GL368" s="1379" t="b">
        <f>IFERROR(IF(GL367=1,TRUE,FALSE),FALSE)</f>
        <v>0</v>
      </c>
      <c r="GM368" s="1379" t="b">
        <f>IFERROR(IF(GM367=GM$14,TRUE,FALSE),FALSE)</f>
        <v>0</v>
      </c>
      <c r="HC368" s="1379" t="b">
        <f>IFERROR(IF(M368=1,TRUE,FALSE),FALSE)</f>
        <v>0</v>
      </c>
      <c r="HD368" s="1379" t="b">
        <f>IFERROR(IF(M369=1,TRUE,FALSE),FALSE)</f>
        <v>0</v>
      </c>
      <c r="HE368" s="1379" t="b">
        <f>IFERROR(IF(__Retrofit_TI_NC&lt;&gt;0,TRUE,IFERROR(IF(VLOOKUP(U368,Fixtures_Existing_List,2,FALSE)&lt;&gt;"",TRUE,FALSE),FALSE)),FALSE)</f>
        <v>0</v>
      </c>
      <c r="HF368" s="1379" t="b">
        <f>IFERROR(IF(VLOOKUP(U369,Fixtures_Proposed_List,2,FALSE)&lt;&gt;"",TRUE,FALSE),FALSE)</f>
        <v>0</v>
      </c>
      <c r="HG368" s="1379" t="b">
        <f>IF(AND(__Retrofit_TI_NC=2,EZ367=TRUE),FALSE,TRUE)</f>
        <v>1</v>
      </c>
      <c r="HH368" s="1379" t="b">
        <f>GG367</f>
        <v>1</v>
      </c>
      <c r="HI368" s="1384" t="b">
        <f>IF(ISERROR(MATCH(FB367,_Control_Match[],0))=TRUE,FALSE,TRUE)</f>
        <v>0</v>
      </c>
      <c r="HJ368" s="1384" t="b">
        <f>IFERROR(IF(EU367&lt;&gt;EV367,FALSE,TRUE),FALSE)</f>
        <v>0</v>
      </c>
      <c r="HK368" s="1384" t="b">
        <f>IFERROR(IF(EU369&lt;&gt;EV369,FALSE,TRUE),FALSE)</f>
        <v>0</v>
      </c>
      <c r="HL368" s="1379" t="b">
        <f>IFERROR(IF(CN367="Exterior",TRUE,IF(OR(AND(FJ367=0,EW369&gt;4),AND(FJ367=4,EW369&gt;4,EW369&lt;7)),FALSE,TRUE)),FALSE)</f>
        <v>0</v>
      </c>
      <c r="HM368" s="1379" t="b">
        <f>IFERROR(IF(AND(FL369=7,EZ367=TRUE),FALSE,TRUE),FALSE)</f>
        <v>0</v>
      </c>
      <c r="HN368" s="1379" t="b">
        <f>IFERROR(IF(AND(T369&lt;&gt;AE369,AF369="Interior LLLC")=TRUE,FALSE,TRUE),FALSE)</f>
        <v>1</v>
      </c>
      <c r="HO368" s="1379" t="b">
        <f>IFERROR(IF(OR(AF369=Lookup!AU$13,AF369=Lookup!AU$14)=TRUE,IF(AE369&gt;T369,FALSE,TRUE),TRUE),FALSE)</f>
        <v>1</v>
      </c>
      <c r="HP368" s="1379" t="b">
        <f>IFERROR(IF(__Retrofit_TI_NC=2,IF(EW369&lt;EW367,FALSE,TRUE),TRUE),FALSE)</f>
        <v>1</v>
      </c>
      <c r="HQ368" s="1379" t="b">
        <f>IF(CN367="Interior",IG$6,TRUE)</f>
        <v>1</v>
      </c>
      <c r="HR368" s="1379" t="b">
        <f>IF(CN367="Exterior",IG$8,TRUE)</f>
        <v>1</v>
      </c>
      <c r="HS368" s="1379" t="b">
        <f>IFERROR(IF(__Retrofit_TI_NC&lt;&gt;0,IF(AW367&lt;AV367,FALSE,TRUE),TRUE),FALSE)</f>
        <v>1</v>
      </c>
      <c r="HT368" s="1379" t="b">
        <f>IFERROR(IF(AND(G368="Exterior",R368&gt;4200),FALSE,TRUE),FALSE)</f>
        <v>1</v>
      </c>
      <c r="HU368" s="1379" t="b">
        <f>IFERROR(IF(AB370/AB367&lt;HU$18,FALSE,TRUE),FALSE)</f>
        <v>0</v>
      </c>
      <c r="HW368" s="1382"/>
      <c r="HX368" s="1378"/>
      <c r="HY368" s="1377" t="str">
        <f>VLOOKUP(HW370,_Error_Table,4,FALSE)</f>
        <v>White</v>
      </c>
      <c r="HZ368" s="436"/>
      <c r="IA368" s="1386"/>
      <c r="IB368" s="1380"/>
      <c r="IC368" s="1379"/>
      <c r="IF368" s="1380"/>
      <c r="IG368" s="1382"/>
      <c r="IH368" s="1382"/>
      <c r="II368" s="1382"/>
      <c r="IK368" s="1351"/>
      <c r="IL368" s="1351"/>
      <c r="IM368" s="1351"/>
      <c r="IN368" s="1351"/>
      <c r="IO368" s="1351"/>
      <c r="IP368" s="1351"/>
    </row>
    <row r="369" spans="1:250" s="82" customFormat="1" ht="14.95" customHeight="1" thickTop="1" thickBot="1">
      <c r="A369" s="82">
        <f>ROW()</f>
        <v>369</v>
      </c>
      <c r="B369" s="1421"/>
      <c r="C369" s="1422"/>
      <c r="D369" s="1423"/>
      <c r="E369" s="1393" t="s">
        <v>245</v>
      </c>
      <c r="F369" s="1394"/>
      <c r="G369" s="1398"/>
      <c r="H369" s="1399"/>
      <c r="I369" s="1399"/>
      <c r="J369" s="1399"/>
      <c r="K369" s="1399"/>
      <c r="L369" s="1400"/>
      <c r="M369" s="509">
        <f>IFERROR(IF(IF(__Retrofit_TI_NC&lt;&gt;0,IF(CN367="Interior",MATCH(G369,Lookup_Interior_New,0),MATCH(G369,Lookup_Exterior_New,0)),IF(CN367="Interior",MATCH(G369,Lookup_Interior,0),MATCH(G369,Lookup_Exterior_Areas,0)))&gt;0,1,0),0)</f>
        <v>0</v>
      </c>
      <c r="N369" s="509" t="e">
        <f>IF(__Retrofit_TI_NC=1,
VLOOKUP(G369,'Space Table'!$B$3:$L$160,4,FALSE),
IF(__Retrofit_TI_NC=2,VLOOKUP(G369,'Space Table'!$B$3:$L$160,5,FALSE),VLOOKUP(G369,'Space Table'!$B$3:$L$160,5,FALSE)))</f>
        <v>#N/A</v>
      </c>
      <c r="O369" s="509">
        <f>G369</f>
        <v>0</v>
      </c>
      <c r="P369" s="1394" t="s">
        <v>355</v>
      </c>
      <c r="Q369" s="1394"/>
      <c r="R369" s="674"/>
      <c r="S369" s="1401" t="s">
        <v>284</v>
      </c>
      <c r="T369" s="672"/>
      <c r="U369" s="1499"/>
      <c r="V369" s="1500"/>
      <c r="W369" s="1500"/>
      <c r="X369" s="1500"/>
      <c r="Y369" s="1500"/>
      <c r="Z369" s="1500"/>
      <c r="AA369" s="1500"/>
      <c r="AB369" s="1501"/>
      <c r="AC369" s="1501"/>
      <c r="AD369" s="1502"/>
      <c r="AE369" s="672"/>
      <c r="AF369" s="1474"/>
      <c r="AG369" s="1474"/>
      <c r="AH369" s="1474"/>
      <c r="AI369" s="1474"/>
      <c r="AJ369" s="1475">
        <f>DF369</f>
        <v>0</v>
      </c>
      <c r="AK369" s="1470" t="str">
        <f>IFERROR(ROUND(AJ369*AC370,0),"")</f>
        <v/>
      </c>
      <c r="AL369" s="1472">
        <f>IFERROR(IF(HW367=FALSE,0,AC370-AK369),0)</f>
        <v>0</v>
      </c>
      <c r="AM369" s="1441"/>
      <c r="AN369" s="1442"/>
      <c r="AO369" s="1447"/>
      <c r="AP369" s="1447"/>
      <c r="AQ369" s="1448"/>
      <c r="AR369" s="1452"/>
      <c r="AS369" s="1455"/>
      <c r="AT369" s="1458"/>
      <c r="AU369" s="516"/>
      <c r="AV369" s="1479"/>
      <c r="AW369" s="1479"/>
      <c r="BC369" s="38"/>
      <c r="BD369" s="38"/>
      <c r="BE369" s="38"/>
      <c r="BF369" s="38"/>
      <c r="BG369" s="38"/>
      <c r="BH369" s="38"/>
      <c r="BI369" s="38"/>
      <c r="BJ369" s="38"/>
      <c r="BK369" s="38"/>
      <c r="BL369" s="38"/>
      <c r="BM369" s="38"/>
      <c r="BN369" s="38"/>
      <c r="BO369" s="38"/>
      <c r="BP369" s="38"/>
      <c r="BQ369" s="38"/>
      <c r="BR369" s="38"/>
      <c r="BS369" s="38"/>
      <c r="BT369" s="38"/>
      <c r="BU369" s="38"/>
      <c r="BV369" s="38"/>
      <c r="BW369" s="38"/>
      <c r="BX369" s="38"/>
      <c r="BY369" s="38"/>
      <c r="BZ369" s="38"/>
      <c r="CA369" s="38"/>
      <c r="CB369" s="38"/>
      <c r="CC369" s="38"/>
      <c r="CD369" s="38"/>
      <c r="CE369" s="38"/>
      <c r="CF369" s="38"/>
      <c r="CG369" s="38"/>
      <c r="CH369" s="38"/>
      <c r="CI369" s="38"/>
      <c r="CM369" s="1352"/>
      <c r="CN369" s="1352"/>
      <c r="CO369" s="1415" t="str">
        <f>CN367</f>
        <v/>
      </c>
      <c r="CP369" s="1417" t="e">
        <f>CP367</f>
        <v>#N/A</v>
      </c>
      <c r="CR369" s="1386" t="s">
        <v>284</v>
      </c>
      <c r="CS369" s="1353">
        <f>IF(HW367=TRUE,T369,0)</f>
        <v>0</v>
      </c>
      <c r="CT369" s="1353" t="str">
        <f>IF(HW367=TRUE,U369,"")</f>
        <v/>
      </c>
      <c r="CU369" s="1373">
        <f>IF(HW367=TRUE,U370,0)</f>
        <v>0</v>
      </c>
      <c r="CV369" s="1370">
        <f>IF(HW367=TRUE,AB370,0)</f>
        <v>0</v>
      </c>
      <c r="CW369" s="1370">
        <f>IF(HW367=TRUE,AC370,0)</f>
        <v>0</v>
      </c>
      <c r="CX369" s="1371"/>
      <c r="CY369" s="1486"/>
      <c r="CZ369" s="1486"/>
      <c r="DA369" s="1486"/>
      <c r="DC369" s="1353">
        <f>IF(HW367=TRUE,AE369,0)</f>
        <v>0</v>
      </c>
      <c r="DD369" s="1353" t="str">
        <f>IF(HW367=TRUE,AF369,"")</f>
        <v/>
      </c>
      <c r="DE369" s="1373">
        <f>AF370</f>
        <v>0</v>
      </c>
      <c r="DF369" s="1406">
        <f>IFERROR(IF(FL369=3,IK369,IF(FL369=4,IL369,IF(FL369=5,IM369,IF(FL369=6,IN369,IF(FL369=7,IO369,IF(FL369=8,IP369,0)))))),0)</f>
        <v>0</v>
      </c>
      <c r="DG369" s="1370">
        <f>IF(HW367=TRUE,AK369,0)</f>
        <v>0</v>
      </c>
      <c r="DH369" s="1369"/>
      <c r="DK369" s="1483">
        <f>IFERROR(CW369-DG369,0)</f>
        <v>0</v>
      </c>
      <c r="DL369" s="1420"/>
      <c r="DN369" s="1403"/>
      <c r="DO369" s="1477" t="str">
        <f>DN367</f>
        <v/>
      </c>
      <c r="DP369" s="1354"/>
      <c r="DQ369" s="1477" t="str">
        <f>IF(DP367=7,"LLLC","")</f>
        <v/>
      </c>
      <c r="DR369" s="1403"/>
      <c r="DS369" s="1489"/>
      <c r="DU369" s="1403"/>
      <c r="DV369" s="1404" t="str">
        <f>DU367</f>
        <v/>
      </c>
      <c r="DW369" s="1403"/>
      <c r="DX369" s="1403"/>
      <c r="DZ369" s="1481"/>
      <c r="EA369" s="1481"/>
      <c r="EC369" s="1482"/>
      <c r="ED369" s="1369"/>
      <c r="EE369" s="1371"/>
      <c r="EF369" s="1369"/>
      <c r="EG369" s="1369"/>
      <c r="EH369" s="1374"/>
      <c r="EI369" s="1374"/>
      <c r="EJ369" s="1363"/>
      <c r="EK369" s="1376"/>
      <c r="EL369" s="1376"/>
      <c r="EM369" s="1362"/>
      <c r="EN369" s="1362"/>
      <c r="EO369" s="1363"/>
      <c r="EP369" s="1363"/>
      <c r="EQ369" s="1363"/>
      <c r="ES369" s="1403"/>
      <c r="EU369" s="1411" t="e">
        <f>VLOOKUP(CP369,'Space Table'!$B$3:$L$160,8,FALSE)</f>
        <v>#N/A</v>
      </c>
      <c r="EV369" s="1411" t="e">
        <f>IF(EY369="Yes",VLOOKUP(AF369,Lookup_Control_Type_Table2,4,FALSE),VLOOKUP(AF369,Lookup_Control_Type_Table2,3,FALSE))</f>
        <v>#N/A</v>
      </c>
      <c r="EW369" s="1411" t="e">
        <f>VLOOKUP(AF369,Lookup!AU$3:AV$15,2,FALSE)</f>
        <v>#N/A</v>
      </c>
      <c r="EX369" s="1411" t="e">
        <f>VLOOKUP(EU367,Lookup_Control_Type_Table,2,FALSE)</f>
        <v>#N/A</v>
      </c>
      <c r="EY369" s="1411" t="e">
        <f>VLOOKUP(CP369,'Space Table'!$B$3:$L$160,7,FALSE)</f>
        <v>#N/A</v>
      </c>
      <c r="EZ369" s="1413"/>
      <c r="FB369" s="1365" t="str">
        <f>CONCATENATE(CN367," - ",AF369)</f>
        <v xml:space="preserve"> - </v>
      </c>
      <c r="FD369" s="1354"/>
      <c r="FE369" s="1354"/>
      <c r="FF369" s="138"/>
      <c r="FI369" s="1356" t="str">
        <f>IF(CN367="Exterior","Not Daylighted",G370)</f>
        <v>Not Daylighted</v>
      </c>
      <c r="FJ369" s="1356">
        <f>VLOOKUP(FI369,_Daylight_Table_Codes,2,FALSE)</f>
        <v>0</v>
      </c>
      <c r="FK369" s="1365">
        <f>AF369</f>
        <v>0</v>
      </c>
      <c r="FL369" s="1365" t="e">
        <f>VLOOKUP(FK369,_Control_Table,2,FALSE)</f>
        <v>#N/A</v>
      </c>
      <c r="FM369" s="1365" t="e">
        <f>IF(AND(FP369&gt;0,FK369="Occupancy Sensor"),"Daylight + Occupancy",IF(AND(FP369&gt;0,FL369&lt;4),"Interior Daylight Dimming",FK369))</f>
        <v>#N/A</v>
      </c>
      <c r="FO369" s="1364">
        <f>IF(CN367="Interior",VLOOKUP(CP367,Control_Savings_Interior,5,FALSE),0)</f>
        <v>0</v>
      </c>
      <c r="FP369" s="1361">
        <f>IF(CN369="Exterior",0,IF(FJ369=2,0.5,IF(OR(FJ369=1,FJ369=3),1,0)))</f>
        <v>0</v>
      </c>
      <c r="FQ369" s="1366">
        <f>IF(R368&gt;FO$37,(FO369*(FO$37/R368)),FO369)*FP369</f>
        <v>0</v>
      </c>
      <c r="FR369" s="1364">
        <f>DF369</f>
        <v>0</v>
      </c>
      <c r="FS369" s="1364">
        <f>ROUND(FR369+((1-FR369)*FQ369),2)</f>
        <v>0</v>
      </c>
      <c r="FT369" s="1364">
        <f>IF(__Retrofit_TI_NC=2,FS369,FR369)</f>
        <v>0</v>
      </c>
      <c r="FU369" s="1360">
        <f>IF(CO369="Interior",VLOOKUP(CP369,Control_Savings_Interior,4,FALSE),0)</f>
        <v>0</v>
      </c>
      <c r="FW369" s="1352"/>
      <c r="FX369" s="1352"/>
      <c r="FY369" s="1352"/>
      <c r="FZ369" s="1352"/>
      <c r="GA369" s="1352"/>
      <c r="GB369" s="1352"/>
      <c r="GC369" s="1352"/>
      <c r="GD369" s="1352"/>
      <c r="GE369" s="759" t="b">
        <f>IF(ISNUMBER(SEARCH("TLED",U369)),TRUE,FALSE)</f>
        <v>0</v>
      </c>
      <c r="GF369" s="1035" t="str">
        <f>IFERROR(VLOOKUP(U369,Fixtures!DM$93:DR$142,6,FALSE),"")</f>
        <v/>
      </c>
      <c r="GG369" s="1385"/>
      <c r="GI369" s="1383"/>
      <c r="GJ369" s="1379"/>
      <c r="GL369" s="1379"/>
      <c r="GM369" s="1379"/>
      <c r="HC369" s="1379"/>
      <c r="HD369" s="1379"/>
      <c r="HE369" s="1379"/>
      <c r="HF369" s="1379"/>
      <c r="HG369" s="1379"/>
      <c r="HH369" s="1379"/>
      <c r="HI369" s="1383"/>
      <c r="HJ369" s="1383"/>
      <c r="HK369" s="1383"/>
      <c r="HL369" s="1379"/>
      <c r="HM369" s="1379"/>
      <c r="HN369" s="1379"/>
      <c r="HO369" s="1379"/>
      <c r="HP369" s="1379"/>
      <c r="HQ369" s="1379"/>
      <c r="HR369" s="1379"/>
      <c r="HS369" s="1379"/>
      <c r="HT369" s="1379"/>
      <c r="HU369" s="1379"/>
      <c r="HW369" s="1383"/>
      <c r="HX369" s="1384" t="b">
        <f>HW367</f>
        <v>0</v>
      </c>
      <c r="HY369" s="1378"/>
      <c r="HZ369" s="436"/>
      <c r="IA369" s="1386"/>
      <c r="IB369" s="1380">
        <f>IF(IA367=TRUE,AC370,0)</f>
        <v>0</v>
      </c>
      <c r="IC369" s="1379"/>
      <c r="IF369" s="1380" t="e">
        <f>ROUND(T369*AB370*N368*R368/1000,0)</f>
        <v>#VALUE!</v>
      </c>
      <c r="IG369" s="1382"/>
      <c r="IH369" s="1384" t="e">
        <f>ROUND(T369*AB370*N368*R368/1000,0)</f>
        <v>#VALUE!</v>
      </c>
      <c r="II369" s="1382"/>
      <c r="IK369" s="1351" t="e">
        <f>IF($CO369="interior",IL369/2,VLOOKUP($CP369,Control_Savings_Exterior,IK$30,FALSE))</f>
        <v>#N/A</v>
      </c>
      <c r="IL369" s="1351" t="e">
        <f>IF($CO369="interior",VLOOKUP($CP369,Control_Savings_Interior,IL$30,FALSE),VLOOKUP($CP369,Control_Savings_Exterior,IL$30,FALSE))</f>
        <v>#N/A</v>
      </c>
      <c r="IM369" s="1351" t="e">
        <f>IF($CO369="interior",IF(R368&gt;FO$37,(IM$28*(FO$37/R368)),IM$28)*FP369,VLOOKUP($CP369,Control_Savings_Exterior,IM$30,FALSE))</f>
        <v>#N/A</v>
      </c>
      <c r="IN369" s="1351" t="e">
        <f>IF($CO369="interior",ROUND(((1-IL369)*IM369)+IL369,2),VLOOKUP($CP369,Control_Savings_Exterior,IN$30,FALSE))</f>
        <v>#N/A</v>
      </c>
      <c r="IO369" s="1351" t="e">
        <f>IF($CO369="interior", ROUND(((1-IL369)*(IM369*(1-IP$28)))+IP369,2), VLOOKUP($CP369,Control_Savings_Exterior,IO$30,FALSE))</f>
        <v>#N/A</v>
      </c>
      <c r="IP369" s="1351">
        <f>IF($CO369="interior",ROUND(((1-IL369)*IP$28)+IL369,2),0)</f>
        <v>0</v>
      </c>
    </row>
    <row r="370" spans="1:250" s="82" customFormat="1" ht="14.95" customHeight="1" thickTop="1" thickBot="1">
      <c r="B370" s="1421"/>
      <c r="C370" s="1422"/>
      <c r="D370" s="1423"/>
      <c r="E370" s="1462" t="s">
        <v>357</v>
      </c>
      <c r="F370" s="1463"/>
      <c r="G370" s="1464" t="s">
        <v>362</v>
      </c>
      <c r="H370" s="1465"/>
      <c r="I370" s="1465"/>
      <c r="J370" s="1465"/>
      <c r="K370" s="1465"/>
      <c r="L370" s="1466"/>
      <c r="M370" s="669">
        <f>IFERROR(VLOOKUP(G370,_Daylight_Table[],2,FALSE),0)</f>
        <v>0</v>
      </c>
      <c r="N370" s="670"/>
      <c r="O370" s="669" t="e">
        <f>VLOOKUP(G369,'Space Table'!$B$3:$L$160,11,FALSE)</f>
        <v>#N/A</v>
      </c>
      <c r="P370" s="1408"/>
      <c r="Q370" s="1409"/>
      <c r="R370" s="1409"/>
      <c r="S370" s="1402"/>
      <c r="T370" s="671" t="s">
        <v>281</v>
      </c>
      <c r="U370" s="1467" t="str">
        <f>IFERROR(VLOOKUP(U369,Fixtures!DM$93:DP$142,4,FALSE),"")</f>
        <v/>
      </c>
      <c r="V370" s="1468"/>
      <c r="W370" s="1468"/>
      <c r="X370" s="1468"/>
      <c r="Y370" s="1468"/>
      <c r="Z370" s="1468"/>
      <c r="AA370" s="1468"/>
      <c r="AB370" s="1046" t="str">
        <f>IFERROR(VLOOKUP(U369,Fixtures_Proposed_List,2,FALSE),"")</f>
        <v/>
      </c>
      <c r="AC370" s="1036" t="str">
        <f>IFERROR(ROUND(T369*AB370*N368*R368/1000,0),"")</f>
        <v/>
      </c>
      <c r="AD370" s="1037" t="str">
        <f>IFERROR(ROUND(T369*AB370/1000,2),"")</f>
        <v/>
      </c>
      <c r="AE370" s="1045" t="s">
        <v>281</v>
      </c>
      <c r="AF370" s="1469"/>
      <c r="AG370" s="1469"/>
      <c r="AH370" s="1469"/>
      <c r="AI370" s="1469"/>
      <c r="AJ370" s="1476"/>
      <c r="AK370" s="1471"/>
      <c r="AL370" s="1473"/>
      <c r="AM370" s="1443"/>
      <c r="AN370" s="1444"/>
      <c r="AO370" s="1449"/>
      <c r="AP370" s="1449"/>
      <c r="AQ370" s="1450"/>
      <c r="AR370" s="1453"/>
      <c r="AS370" s="1456"/>
      <c r="AT370" s="1459"/>
      <c r="AU370" s="517"/>
      <c r="AV370" s="1480"/>
      <c r="AW370" s="1480"/>
      <c r="BC370" s="38"/>
      <c r="BD370" s="38"/>
      <c r="BE370" s="38"/>
      <c r="BF370" s="38"/>
      <c r="BG370" s="38"/>
      <c r="BH370" s="38"/>
      <c r="BI370" s="38"/>
      <c r="BJ370" s="38"/>
      <c r="BK370" s="38"/>
      <c r="BL370" s="38"/>
      <c r="BM370" s="38"/>
      <c r="BN370" s="38"/>
      <c r="BO370" s="38"/>
      <c r="BP370" s="38"/>
      <c r="BQ370" s="38"/>
      <c r="BR370" s="38"/>
      <c r="BS370" s="38"/>
      <c r="BT370" s="38"/>
      <c r="BU370" s="38"/>
      <c r="BV370" s="38"/>
      <c r="BW370" s="38"/>
      <c r="BX370" s="38"/>
      <c r="BY370" s="38"/>
      <c r="BZ370" s="38"/>
      <c r="CA370" s="38"/>
      <c r="CB370" s="38"/>
      <c r="CC370" s="38"/>
      <c r="CD370" s="38"/>
      <c r="CE370" s="38"/>
      <c r="CF370" s="38"/>
      <c r="CG370" s="38"/>
      <c r="CH370" s="38"/>
      <c r="CI370" s="38"/>
      <c r="CM370" s="1352"/>
      <c r="CN370" s="1352"/>
      <c r="CO370" s="1416"/>
      <c r="CP370" s="1418"/>
      <c r="CR370" s="1386"/>
      <c r="CS370" s="1355"/>
      <c r="CT370" s="1355"/>
      <c r="CU370" s="1375"/>
      <c r="CV370" s="1372"/>
      <c r="CW370" s="1372"/>
      <c r="CX370" s="1372"/>
      <c r="CY370" s="1487"/>
      <c r="CZ370" s="1487"/>
      <c r="DA370" s="1487"/>
      <c r="DC370" s="1355"/>
      <c r="DD370" s="1355"/>
      <c r="DE370" s="1375"/>
      <c r="DF370" s="1407"/>
      <c r="DG370" s="1372"/>
      <c r="DH370" s="1369"/>
      <c r="DK370" s="1484"/>
      <c r="DL370" s="1420"/>
      <c r="DN370" s="1403"/>
      <c r="DO370" s="1405"/>
      <c r="DP370" s="1355"/>
      <c r="DQ370" s="1405"/>
      <c r="DR370" s="1403"/>
      <c r="DS370" s="1489"/>
      <c r="DU370" s="1403"/>
      <c r="DV370" s="1405"/>
      <c r="DW370" s="1403"/>
      <c r="DX370" s="1403"/>
      <c r="DZ370" s="1481"/>
      <c r="EA370" s="1481"/>
      <c r="EC370" s="1482"/>
      <c r="ED370" s="1369"/>
      <c r="EE370" s="1372"/>
      <c r="EF370" s="1369"/>
      <c r="EG370" s="1369"/>
      <c r="EH370" s="1375"/>
      <c r="EI370" s="1375"/>
      <c r="EJ370" s="1363"/>
      <c r="EK370" s="1376"/>
      <c r="EL370" s="1376"/>
      <c r="EM370" s="1362"/>
      <c r="EN370" s="1362"/>
      <c r="EO370" s="1363"/>
      <c r="EP370" s="1363"/>
      <c r="EQ370" s="1363"/>
      <c r="ES370" s="1403"/>
      <c r="EU370" s="1488"/>
      <c r="EV370" s="1488"/>
      <c r="EW370" s="1488"/>
      <c r="EX370" s="1488"/>
      <c r="EY370" s="1488"/>
      <c r="EZ370" s="1414"/>
      <c r="FB370" s="1365"/>
      <c r="FD370" s="1355"/>
      <c r="FE370" s="1355"/>
      <c r="FF370" s="138"/>
      <c r="FI370" s="1357"/>
      <c r="FJ370" s="1357"/>
      <c r="FK370" s="1365"/>
      <c r="FL370" s="1365"/>
      <c r="FM370" s="1365"/>
      <c r="FO370" s="1361"/>
      <c r="FP370" s="1361"/>
      <c r="FQ370" s="1366"/>
      <c r="FR370" s="1361"/>
      <c r="FS370" s="1361"/>
      <c r="FT370" s="1361"/>
      <c r="FU370" s="1360"/>
      <c r="FW370" s="1352"/>
      <c r="FX370" s="1352"/>
      <c r="FY370" s="1352"/>
      <c r="FZ370" s="1352"/>
      <c r="GA370" s="1352"/>
      <c r="GB370" s="1352"/>
      <c r="GC370" s="1352"/>
      <c r="GD370" s="1352"/>
      <c r="GE370" s="759"/>
      <c r="GF370" s="1035"/>
      <c r="GG370" s="1385"/>
      <c r="GJ370" s="1034">
        <f>IF(GJ368=TRUE,0,GJ$16)</f>
        <v>0</v>
      </c>
      <c r="GL370" s="1034">
        <f>IF(GL368=TRUE,0,GL$16)</f>
        <v>36</v>
      </c>
      <c r="GM370" s="1034">
        <f>IF(GM368=TRUE,0,GM$16)</f>
        <v>35</v>
      </c>
      <c r="GN370" s="436"/>
      <c r="GO370" s="436"/>
      <c r="GP370" s="436"/>
      <c r="GQ370" s="436"/>
      <c r="GR370" s="436"/>
      <c r="HC370" s="1034">
        <f t="shared" ref="HC370:HH370" si="266">IF(HC368=TRUE,0,HC$16)</f>
        <v>19</v>
      </c>
      <c r="HD370" s="1034">
        <f t="shared" si="266"/>
        <v>18</v>
      </c>
      <c r="HE370" s="1034">
        <f t="shared" si="266"/>
        <v>17</v>
      </c>
      <c r="HF370" s="1034">
        <f t="shared" si="266"/>
        <v>16</v>
      </c>
      <c r="HG370" s="1034">
        <f t="shared" si="266"/>
        <v>0</v>
      </c>
      <c r="HH370" s="1034">
        <f t="shared" si="266"/>
        <v>0</v>
      </c>
      <c r="HI370" s="1034">
        <f>IF(HI368=TRUE,0,HI$16)</f>
        <v>13</v>
      </c>
      <c r="HJ370" s="1034">
        <f t="shared" ref="HJ370:HL370" si="267">IF(HJ368=TRUE,0,HJ$16)</f>
        <v>12</v>
      </c>
      <c r="HK370" s="1034">
        <f t="shared" si="267"/>
        <v>11</v>
      </c>
      <c r="HL370" s="1034">
        <f t="shared" si="267"/>
        <v>10</v>
      </c>
      <c r="HM370" s="1034">
        <f>IF(HM368=TRUE,0,HM$16)</f>
        <v>9</v>
      </c>
      <c r="HN370" s="1034">
        <f t="shared" ref="HN370:HR370" si="268">IF(HN368=TRUE,0,HN$16)</f>
        <v>0</v>
      </c>
      <c r="HO370" s="1034">
        <f t="shared" si="268"/>
        <v>0</v>
      </c>
      <c r="HP370" s="1034">
        <f t="shared" si="268"/>
        <v>0</v>
      </c>
      <c r="HQ370" s="1034">
        <f t="shared" si="268"/>
        <v>0</v>
      </c>
      <c r="HR370" s="1034">
        <f t="shared" si="268"/>
        <v>0</v>
      </c>
      <c r="HS370" s="1034">
        <f>IF(HS368=TRUE,0,HS$16)</f>
        <v>0</v>
      </c>
      <c r="HT370" s="1034">
        <f t="shared" ref="HT370" si="269">IF(HT368=TRUE,0,HT$16)</f>
        <v>0</v>
      </c>
      <c r="HU370" s="1034">
        <f>IF(HU368=TRUE,0,HU$16)</f>
        <v>1</v>
      </c>
      <c r="HW370" s="1034">
        <f>IF(GL368=FALSE,GL370,IF(GM368=FALSE,GM370,MAX(GJ370:HU370)))</f>
        <v>36</v>
      </c>
      <c r="HX370" s="1383"/>
      <c r="HY370" s="241" t="str">
        <f>VLOOKUP(HW370,_Error_Table,3,FALSE)</f>
        <v xml:space="preserve"> </v>
      </c>
      <c r="HZ370" s="241"/>
      <c r="IA370" s="1386"/>
      <c r="IB370" s="1380"/>
      <c r="IC370" s="1379"/>
      <c r="IF370" s="1380"/>
      <c r="IG370" s="1383"/>
      <c r="IH370" s="1383"/>
      <c r="II370" s="1383"/>
      <c r="IK370" s="1351"/>
      <c r="IL370" s="1351"/>
      <c r="IM370" s="1351"/>
      <c r="IN370" s="1351"/>
      <c r="IO370" s="1351"/>
      <c r="IP370" s="1351"/>
    </row>
    <row r="371" spans="1:250" s="82" customFormat="1" ht="5.0999999999999996" customHeight="1" thickBot="1">
      <c r="B371" s="763"/>
      <c r="C371" s="1038"/>
      <c r="D371" s="1038"/>
      <c r="E371" s="1490"/>
      <c r="F371" s="1490"/>
      <c r="G371" s="1490"/>
      <c r="H371" s="1490"/>
      <c r="I371" s="1490"/>
      <c r="J371" s="1490"/>
      <c r="K371" s="1490"/>
      <c r="L371" s="1490"/>
      <c r="M371" s="1490"/>
      <c r="N371" s="1490"/>
      <c r="O371" s="1490"/>
      <c r="P371" s="1490"/>
      <c r="Q371" s="1490"/>
      <c r="R371" s="1490"/>
      <c r="S371" s="1490"/>
      <c r="T371" s="1490"/>
      <c r="U371" s="1490"/>
      <c r="V371" s="1490"/>
      <c r="W371" s="1490"/>
      <c r="X371" s="1490"/>
      <c r="Y371" s="1490"/>
      <c r="Z371" s="1490"/>
      <c r="AA371" s="1490"/>
      <c r="AB371" s="1490"/>
      <c r="AC371" s="1490"/>
      <c r="AD371" s="1490"/>
      <c r="AE371" s="1490"/>
      <c r="AF371" s="1490"/>
      <c r="AG371" s="1490"/>
      <c r="AH371" s="1490"/>
      <c r="AI371" s="1490"/>
      <c r="AJ371" s="1490"/>
      <c r="AK371" s="1490"/>
      <c r="AL371" s="1490"/>
      <c r="AM371" s="1490"/>
      <c r="AN371" s="1490"/>
      <c r="AO371" s="1490"/>
      <c r="AP371" s="1490"/>
      <c r="AQ371" s="1490"/>
      <c r="AR371" s="1490"/>
      <c r="AS371" s="1490"/>
      <c r="AT371" s="1490"/>
      <c r="AU371" s="1041"/>
      <c r="BC371" s="38"/>
      <c r="BD371" s="38"/>
      <c r="BE371" s="38"/>
      <c r="BF371" s="38"/>
      <c r="BG371" s="38"/>
      <c r="BH371" s="38"/>
      <c r="BI371" s="38"/>
      <c r="BJ371" s="38"/>
      <c r="BK371" s="38"/>
      <c r="BL371" s="38"/>
      <c r="BM371" s="38"/>
      <c r="BN371" s="38"/>
      <c r="BO371" s="38"/>
      <c r="BP371" s="38"/>
      <c r="BQ371" s="38"/>
      <c r="BR371" s="38"/>
      <c r="BS371" s="38"/>
      <c r="BT371" s="38"/>
      <c r="BU371" s="38"/>
      <c r="BV371" s="38"/>
      <c r="BW371" s="38"/>
      <c r="BX371" s="38"/>
      <c r="BY371" s="38"/>
      <c r="BZ371" s="38"/>
      <c r="CA371" s="38"/>
      <c r="CB371" s="38"/>
      <c r="CC371" s="38"/>
      <c r="CD371" s="38"/>
      <c r="CE371" s="38"/>
      <c r="CF371" s="38"/>
      <c r="CG371" s="38"/>
      <c r="CH371" s="38"/>
      <c r="CI371" s="38"/>
      <c r="CM371" s="749"/>
      <c r="CN371" s="749"/>
      <c r="CO371" s="1043"/>
      <c r="CP371" s="749"/>
      <c r="CS371" s="436"/>
      <c r="CT371" s="436"/>
      <c r="CU371" s="243"/>
      <c r="CV371" s="244"/>
      <c r="CW371" s="244"/>
      <c r="CX371" s="244"/>
      <c r="CY371" s="245"/>
      <c r="CZ371" s="245"/>
      <c r="DA371" s="245"/>
      <c r="DC371" s="750"/>
      <c r="DD371" s="751"/>
      <c r="DE371" s="752"/>
      <c r="DF371" s="753"/>
      <c r="DG371" s="754"/>
      <c r="DH371" s="754"/>
      <c r="DK371" s="244"/>
      <c r="DL371" s="750"/>
      <c r="DN371" s="750"/>
      <c r="DO371" s="755"/>
      <c r="DP371" s="436"/>
      <c r="DQ371" s="750"/>
      <c r="DR371" s="750"/>
      <c r="DS371" s="750"/>
      <c r="DU371" s="750"/>
      <c r="DV371" s="750"/>
      <c r="DW371" s="750"/>
      <c r="DX371" s="750"/>
      <c r="DZ371" s="756"/>
      <c r="EA371" s="756"/>
      <c r="EC371" s="754"/>
      <c r="ED371" s="754"/>
      <c r="EE371" s="244"/>
      <c r="EF371" s="754"/>
      <c r="EG371" s="754"/>
      <c r="EH371" s="243"/>
      <c r="EI371" s="243"/>
      <c r="EJ371" s="752"/>
      <c r="EK371" s="757"/>
      <c r="EL371" s="757"/>
      <c r="EM371" s="758"/>
      <c r="EN371" s="758"/>
      <c r="EO371" s="752"/>
      <c r="EP371" s="752"/>
      <c r="EQ371" s="752"/>
      <c r="ES371" s="750"/>
      <c r="EU371" s="436"/>
      <c r="EV371" s="436"/>
      <c r="EW371" s="436"/>
      <c r="EX371" s="436"/>
      <c r="EY371" s="436"/>
      <c r="EZ371" s="436"/>
      <c r="FB371" s="643"/>
      <c r="FD371" s="436"/>
      <c r="FE371" s="436"/>
      <c r="FF371" s="436"/>
      <c r="FO371" s="750"/>
      <c r="FP371" s="436"/>
      <c r="FQ371" s="436"/>
      <c r="FR371" s="750"/>
      <c r="FS371" s="750"/>
      <c r="FW371" s="749"/>
      <c r="FX371" s="749"/>
      <c r="FY371" s="749"/>
      <c r="FZ371" s="749"/>
      <c r="GA371" s="749"/>
      <c r="GB371" s="749"/>
      <c r="GC371" s="749"/>
      <c r="GD371" s="749"/>
      <c r="GE371" s="751"/>
      <c r="GF371" s="750"/>
      <c r="GG371" s="750"/>
    </row>
    <row r="372" spans="1:250" s="82" customFormat="1" ht="14.95" customHeight="1" thickTop="1" thickBot="1">
      <c r="B372" s="1421" t="str">
        <f>HY375</f>
        <v xml:space="preserve"> </v>
      </c>
      <c r="C372" s="1422">
        <f>C367+1</f>
        <v>65</v>
      </c>
      <c r="D372" s="1423"/>
      <c r="E372" s="1424" t="s">
        <v>242</v>
      </c>
      <c r="F372" s="1425"/>
      <c r="G372" s="1426"/>
      <c r="H372" s="1427"/>
      <c r="I372" s="1427"/>
      <c r="J372" s="1427"/>
      <c r="K372" s="1427"/>
      <c r="L372" s="1427"/>
      <c r="M372" s="1427"/>
      <c r="N372" s="1427"/>
      <c r="O372" s="1427"/>
      <c r="P372" s="1427"/>
      <c r="Q372" s="1427"/>
      <c r="R372" s="1427"/>
      <c r="S372" s="1428" t="s">
        <v>283</v>
      </c>
      <c r="T372" s="668" t="s">
        <v>190</v>
      </c>
      <c r="U372" s="1430" t="s">
        <v>186</v>
      </c>
      <c r="V372" s="1431"/>
      <c r="W372" s="1431"/>
      <c r="X372" s="1431"/>
      <c r="Y372" s="1431"/>
      <c r="Z372" s="1431"/>
      <c r="AA372" s="1431"/>
      <c r="AB372" s="1088" t="str">
        <f>IFERROR(IF(__Retrofit_TI_NC=0,VLOOKUP(U373,Fixtures_Existing_List,2,FALSE),ROUND(N374*R374/T374,10)),"")</f>
        <v/>
      </c>
      <c r="AC372" s="1039" t="str">
        <f>IFERROR(IF(__Retrofit_TI_NC=0,ROUND(T373*AB372*N373*R373/1000,0),IF(CN372="Interior",N374*R374*R373*N373*_C406_reduction/1000,N374*R374*R373*N373/1000)),"")</f>
        <v/>
      </c>
      <c r="AD372" s="1040" t="str">
        <f>IFERROR(IF(C$36=0,ROUND(T373*AB372/1000,2),N374*R374/1000),"")</f>
        <v/>
      </c>
      <c r="AE372" s="1044" t="s">
        <v>190</v>
      </c>
      <c r="AF372" s="1432" t="str">
        <f>IF(__Retrofit_TI_NC=2,CONCATENATE("Code min = ",DD372),IF(__Retrofit_TI_NC=1,"Emter what you think the existing control was"," Control"))</f>
        <v xml:space="preserve"> Control</v>
      </c>
      <c r="AG372" s="1432"/>
      <c r="AH372" s="1432"/>
      <c r="AI372" s="1432"/>
      <c r="AJ372" s="1433">
        <f>DF372</f>
        <v>0</v>
      </c>
      <c r="AK372" s="1435" t="str">
        <f>IFERROR(ROUND(AJ372*AC372,0),"")</f>
        <v/>
      </c>
      <c r="AL372" s="1437">
        <f>IFERROR(IF(HW372=FALSE,0,AC372-AK372),0)</f>
        <v>0</v>
      </c>
      <c r="AM372" s="1439">
        <f>AL372-AL374</f>
        <v>0</v>
      </c>
      <c r="AN372" s="1440"/>
      <c r="AO372" s="1445">
        <f>IFERROR(IF(HW372=FALSE,0,(T374*U375)+(AE374*AF375)),0)</f>
        <v>0</v>
      </c>
      <c r="AP372" s="1445"/>
      <c r="AQ372" s="1446"/>
      <c r="AR372" s="1451" t="s">
        <v>157</v>
      </c>
      <c r="AS372" s="1454">
        <f>IF(AR372="Yes",1,0)</f>
        <v>1</v>
      </c>
      <c r="AT372" s="1457" t="str">
        <f>IF(OR(DN372=4,DN372=5,DN372=6,DN372=12),CONCATENATE("$",IF(GD372=TRUE,Lookup!$B$11,Lookup!$B$2)," /lamp"),CONCATENATE(EA372,"/ kWh"))</f>
        <v>0/ kWh</v>
      </c>
      <c r="AU372" s="516"/>
      <c r="AV372" s="1478">
        <f>IFERROR(IF(GI373=TRUE,(AB375*T374)/R374,0),"NA")</f>
        <v>0</v>
      </c>
      <c r="AW372" s="1478" t="str">
        <f>IFERROR(N374*_C406_reduction,"NA")</f>
        <v>NA</v>
      </c>
      <c r="BC372" s="38"/>
      <c r="BD372" s="38"/>
      <c r="BE372" s="38"/>
      <c r="BF372" s="38"/>
      <c r="BG372" s="38"/>
      <c r="BH372" s="38"/>
      <c r="BI372" s="38"/>
      <c r="BJ372" s="38"/>
      <c r="BK372" s="38"/>
      <c r="BL372" s="38"/>
      <c r="BM372" s="38"/>
      <c r="BN372" s="38"/>
      <c r="BO372" s="38"/>
      <c r="BP372" s="38"/>
      <c r="BQ372" s="38"/>
      <c r="BR372" s="38"/>
      <c r="BS372" s="38"/>
      <c r="BT372" s="38"/>
      <c r="BU372" s="38"/>
      <c r="BV372" s="38"/>
      <c r="BW372" s="38"/>
      <c r="BX372" s="38"/>
      <c r="BY372" s="38"/>
      <c r="BZ372" s="38"/>
      <c r="CA372" s="38"/>
      <c r="CB372" s="38"/>
      <c r="CC372" s="38"/>
      <c r="CD372" s="38"/>
      <c r="CE372" s="38"/>
      <c r="CF372" s="38"/>
      <c r="CG372" s="38"/>
      <c r="CH372" s="38"/>
      <c r="CI372" s="38"/>
      <c r="CM372" s="1352" t="str">
        <f>N373</f>
        <v/>
      </c>
      <c r="CN372" s="1352" t="str">
        <f>IFERROR(VLOOKUP(G373,_Lookup_Heat_Type_Table_New,3,FALSE),"")</f>
        <v/>
      </c>
      <c r="CO372" s="1415" t="str">
        <f>CN372</f>
        <v/>
      </c>
      <c r="CP372" s="1417" t="e">
        <f>VLOOKUP(G374,'Space Table'!$B$3:$L$160,9,FALSE)</f>
        <v>#N/A</v>
      </c>
      <c r="CR372" s="1386" t="s">
        <v>283</v>
      </c>
      <c r="CS372" s="1353">
        <f>IF(HW372=TRUE,T373,0)</f>
        <v>0</v>
      </c>
      <c r="CT372" s="1353" t="str">
        <f>IF(HW372=TRUE,U373,"")</f>
        <v/>
      </c>
      <c r="CU372" s="1353"/>
      <c r="CV372" s="1370">
        <f>IF(HW372=TRUE,AB372,0)</f>
        <v>0</v>
      </c>
      <c r="CW372" s="1370">
        <f>IF(HW372=TRUE,AC372,0)</f>
        <v>0</v>
      </c>
      <c r="CX372" s="1370">
        <f>IFERROR(IF(HW372=TRUE,CW372-CW374,0),0)</f>
        <v>0</v>
      </c>
      <c r="CY372" s="1485">
        <f>IF(HW372=TRUE,AD372,0)</f>
        <v>0</v>
      </c>
      <c r="CZ372" s="1485">
        <f>IF(HW372=TRUE,AD375,0)</f>
        <v>0</v>
      </c>
      <c r="DA372" s="1485">
        <f>IFERROR(CY372-CZ372,0)</f>
        <v>0</v>
      </c>
      <c r="DC372" s="1353">
        <f>IF(HW372=TRUE,AE373,0)</f>
        <v>0</v>
      </c>
      <c r="DD372" s="1460">
        <f>IF(__Retrofit_TI_NC=2,IF(CN372="Exterior",O375,FM372),FK372)</f>
        <v>0</v>
      </c>
      <c r="DE372" s="1353"/>
      <c r="DF372" s="1406">
        <f>IFERROR(IF(FL372=3,IK372,IF(FL372=4,IL372,IF(FL372=5,IM372,IF(FL372=6,IN372,IF(FL372=7,IO372,IF(FL372=8,IP372,0)))))),0)</f>
        <v>0</v>
      </c>
      <c r="DG372" s="1370">
        <f>IF(HW372=TRUE,AK372,0)</f>
        <v>0</v>
      </c>
      <c r="DH372" s="1369">
        <f>IFERROR(IF(HW372=TRUE,DG374-DG372,0),0)</f>
        <v>0</v>
      </c>
      <c r="DJ372" s="1483">
        <f>IFERROR(CW372-DG372,0)</f>
        <v>0</v>
      </c>
      <c r="DL372" s="1419">
        <f>DJ372-DK374</f>
        <v>0</v>
      </c>
      <c r="DN372" s="1403" t="str">
        <f>IFERROR(IF(AND(OR(FY372=4,FY372=5,FY372=6),OR(GB372=4,GB372=5,GB372=6)),FY372+8,VLOOKUP(CT374,Fixtures!R$31:Y$78,8,FALSE)),"")</f>
        <v/>
      </c>
      <c r="DO372" s="1404" t="str">
        <f>DN372</f>
        <v/>
      </c>
      <c r="DP372" s="1353" t="str">
        <f>IFERROR(VLOOKUP(DD374,Lookup!AU$3:AV$15,2,FALSE),"")</f>
        <v/>
      </c>
      <c r="DQ372" s="1404" t="str">
        <f>IF(DP372=7,"LLLC","")</f>
        <v/>
      </c>
      <c r="DR372" s="1403">
        <f>IFERROR(IF(OR(DN372=4,DN372=5,DN372=6,DN372=12,DN372=13,DN372=14),VLOOKUP(CT374,Fixtures!DN$27:EG$77,19,FALSE),1)*CS374,0)</f>
        <v>0</v>
      </c>
      <c r="DS372" s="1489">
        <f>IF(DP372=7,IF(DD372=DD374,0,DC374),0)</f>
        <v>0</v>
      </c>
      <c r="DU372" s="1403" t="str">
        <f>IFERROR(IF(EW372&lt;EW374,"Yes","No"),"")</f>
        <v/>
      </c>
      <c r="DV372" s="1404" t="str">
        <f>DU372</f>
        <v/>
      </c>
      <c r="DW372" s="1403">
        <f>IF(DU372="Yes",DC374,0)</f>
        <v>0</v>
      </c>
      <c r="DX372" s="1403">
        <f>DW372-DS372</f>
        <v>0</v>
      </c>
      <c r="DZ372" s="1481">
        <f>IFERROR(VLOOKUP(DN372,Lookup!AN$3:AO$16,2,FALSE),0)</f>
        <v>0</v>
      </c>
      <c r="EA372" s="1481">
        <f>IF(HW372=FALSE,0,IF(DU372="Yes",DZ372+Lookup!B$6,DZ372))</f>
        <v>0</v>
      </c>
      <c r="EC372" s="1482">
        <f>IF(HW372=TRUE,DJ372,0)</f>
        <v>0</v>
      </c>
      <c r="ED372" s="1369">
        <f>IF(HW372=TRUE,CW374,0)</f>
        <v>0</v>
      </c>
      <c r="EE372" s="1370">
        <f>IFERROR(EC372-ED372,0)</f>
        <v>0</v>
      </c>
      <c r="EF372" s="1369">
        <f>IF(HW372=TRUE,DG374,0)</f>
        <v>0</v>
      </c>
      <c r="EG372" s="1369">
        <f>IFERROR(EC372-ED372+EF372,0)</f>
        <v>0</v>
      </c>
      <c r="EH372" s="1373">
        <f>IF(HW372=TRUE,CS374*CU374,0)</f>
        <v>0</v>
      </c>
      <c r="EI372" s="1373">
        <f>IF(HW372=TRUE,DC374*DE374,0)</f>
        <v>0</v>
      </c>
      <c r="EJ372" s="1363">
        <f>AO372</f>
        <v>0</v>
      </c>
      <c r="EK372" s="1376" t="str">
        <f>IFERROR(IF(HW372=TRUE,VLOOKUP(DN372,Lookup!AN$3:AP$16,3,FALSE)*DR372,""),0)</f>
        <v/>
      </c>
      <c r="EL372" s="1376">
        <f>IF(HW372=TRUE,DW372*Lookup!AP$12,0)</f>
        <v>0</v>
      </c>
      <c r="EM372" s="1362">
        <f>IFERROR(IF(HW372=TRUE,EK372/EM$33,0),0)</f>
        <v>0</v>
      </c>
      <c r="EN372" s="1362">
        <f>IF(HW372=TRUE,EL372/EN$33,0)</f>
        <v>0</v>
      </c>
      <c r="EO372" s="1363">
        <f>IF(HW372=TRUE,EQ$33*EM372,0)</f>
        <v>0</v>
      </c>
      <c r="EP372" s="1363">
        <f>IF(HW372=TRUE,EQ$33*EN372,0)</f>
        <v>0</v>
      </c>
      <c r="EQ372" s="1363">
        <f>EO372+EP372</f>
        <v>0</v>
      </c>
      <c r="ES372" s="1403">
        <f>IF(G372="",0,1)</f>
        <v>0</v>
      </c>
      <c r="EU372" s="1410" t="e">
        <f>VLOOKUP(CP374,'Space Table'!$B$3:$L$160,8,FALSE)</f>
        <v>#N/A</v>
      </c>
      <c r="EV372" s="1410" t="e">
        <f>IF(EY372="Yes",VLOOKUP(DD372,Lookup_Control_Type_Table2,4,FALSE),VLOOKUP(DD372,Lookup_Control_Type_Table2,3,FALSE))</f>
        <v>#N/A</v>
      </c>
      <c r="EW372" s="1410" t="e">
        <f>VLOOKUP(DD372,Lookup!AU$3:AV$15,2,FALSE)</f>
        <v>#N/A</v>
      </c>
      <c r="EX372" s="1410" t="e">
        <f>VLOOKUP(EU372,Lookup_Control_Type_Table,2,FALSE)</f>
        <v>#N/A</v>
      </c>
      <c r="EY372" s="1410" t="e">
        <f>VLOOKUP(CP374,'Space Table'!$B$3:$L$160,7,FALSE)</f>
        <v>#N/A</v>
      </c>
      <c r="EZ372" s="1412" t="b">
        <f>ISNUMBER(SEARCH("TLED",U374))</f>
        <v>0</v>
      </c>
      <c r="FB372" s="1365" t="str">
        <f>CONCATENATE(CN372," - ",DD372)</f>
        <v xml:space="preserve"> - 0</v>
      </c>
      <c r="FD372" s="1353" t="str">
        <f>VLOOKUP(CT374,Fixtures!DN$27:EZ$77,38,FALSE)</f>
        <v/>
      </c>
      <c r="FE372" s="1353">
        <f>IFERROR(FD372*EE372,0)</f>
        <v>0</v>
      </c>
      <c r="FF372" s="138"/>
      <c r="FI372" s="1356" t="str">
        <f>IF(CN372="Exterior","Not Daylighted",G375)</f>
        <v>Not Daylighted</v>
      </c>
      <c r="FJ372" s="1356">
        <f>VLOOKUP(FI372,_Daylight_Table_Codes,2,FALSE)</f>
        <v>0</v>
      </c>
      <c r="FK372" s="1365">
        <f>IF(__Retrofit_TI_NC=2,VLOOKUP(G374,'Space Table'!$B$3:$L$160,11,FALSE),AF373)</f>
        <v>0</v>
      </c>
      <c r="FL372" s="1365" t="e">
        <f>VLOOKUP(FK372,_Control_Table,2,FALSE)</f>
        <v>#N/A</v>
      </c>
      <c r="FM372" s="1365" t="e">
        <f>IF(AND(FP372&gt;0,FK372="Occupancy Sensor"),"Daylight + Occupancy",IF(AND(FP372&gt;0,FL372&lt;4),"Interior Daylight Dimming",FK372))</f>
        <v>#N/A</v>
      </c>
      <c r="FO372" s="1364">
        <f>IF(CO372="Interior",VLOOKUP(CP372,Control_Savings_Interior,5,FALSE),0)</f>
        <v>0</v>
      </c>
      <c r="FP372" s="1361">
        <f>IF(CN372="Exterior",0,IF(FJ372=2,0.5,IF(OR(FJ372=1,FJ372=3),1,0)))</f>
        <v>0</v>
      </c>
      <c r="FQ372" s="1366"/>
      <c r="FR372" s="1367"/>
      <c r="FS372" s="1364"/>
      <c r="FT372" s="1367"/>
      <c r="FU372" s="1360"/>
      <c r="FW372" s="1352" t="str">
        <f>IFERROR(VLOOKUP(U373,_Exist_Fixture_Table,3,FALSE),"")</f>
        <v/>
      </c>
      <c r="FX372" s="1352" t="str">
        <f>VLOOKUP(CT372,_Exist_Fixture_Table,4,FALSE)</f>
        <v/>
      </c>
      <c r="FY372" s="1352">
        <f>IFERROR(VLOOKUP(FX372,Lookup!AM$6:AN$8,2,FALSE),0)</f>
        <v>0</v>
      </c>
      <c r="FZ372" s="1352" t="b">
        <f>IFERROR(IF(OR(GB372=4,GB372=5,GB372=6),TRUE,FALSE),"")</f>
        <v>0</v>
      </c>
      <c r="GA372" s="1352" t="str">
        <f>IFERROR(VLOOKUP(GB372,FY$6:FZ$10,2,FALSE),"")</f>
        <v/>
      </c>
      <c r="GB372" s="1352" t="str">
        <f>VLOOKUP(CT374,Fixtures!R$31:Y$78,8,FALSE)</f>
        <v/>
      </c>
      <c r="GC372" s="1352">
        <f>IF(AND(FW372=TRUE,FZ372=TRUE,OR(DN372=12,DN372=13,DN372=14)),FY372+8,0)</f>
        <v>0</v>
      </c>
      <c r="GD372" s="1352" t="b">
        <f>IF(OR(GC372=12,GC372=13,GC372=14),TRUE,FALSE)</f>
        <v>0</v>
      </c>
      <c r="GE372" s="759" t="b">
        <f>IF(ISNUMBER(SEARCH("TLED",U373)),TRUE,FALSE)</f>
        <v>0</v>
      </c>
      <c r="GF372" s="1035" t="str">
        <f>IFERROR(VLOOKUP(U373,Fixtures!BM$93:BR$142,6,FALSE),"")</f>
        <v/>
      </c>
      <c r="GG372" s="1385" t="b">
        <f>IF(OR(GE372=FALSE,GE374=FALSE),TRUE,IF(GF372-GF374&lt;5,FALSE,TRUE))</f>
        <v>1</v>
      </c>
      <c r="GK372" s="1034">
        <f>GL372</f>
        <v>0</v>
      </c>
      <c r="GL372" s="1034">
        <f>IF(G372="",0,1)</f>
        <v>0</v>
      </c>
      <c r="GM372" s="1034">
        <f>SUM(GN372:HB372)</f>
        <v>2</v>
      </c>
      <c r="GN372" s="1034">
        <f>IF(G373="",0,1)</f>
        <v>0</v>
      </c>
      <c r="GO372" s="1034">
        <f>IF(G374="",0,1)</f>
        <v>0</v>
      </c>
      <c r="GP372" s="1034">
        <f>IF(R373="",0,1)</f>
        <v>0</v>
      </c>
      <c r="GQ372" s="1034">
        <f>IF(__Retrofit_TI_NC=0,1,IF(R374="",0,1))</f>
        <v>1</v>
      </c>
      <c r="GR372" s="1034">
        <f>IF(CN372="Exterior",1,IF(G375="",0,1))</f>
        <v>1</v>
      </c>
      <c r="GS372" s="1034">
        <f>IF(__Retrofit_TI_NC&lt;&gt;0,1,IF(T373="",0,1))</f>
        <v>0</v>
      </c>
      <c r="GT372" s="1034">
        <f>IF(__Retrofit_TI_NC&lt;&gt;0,1,IF(U373="",0,1))</f>
        <v>0</v>
      </c>
      <c r="GU372" s="1034">
        <f>IF(T374="",0,1)</f>
        <v>0</v>
      </c>
      <c r="GV372" s="1034">
        <f>IF(U374="",0,1)</f>
        <v>0</v>
      </c>
      <c r="GW372" s="1034">
        <f>IF(__Retrofit_TI_NC=2,1,IF(U375="",0,1))</f>
        <v>0</v>
      </c>
      <c r="GX372" s="1034">
        <f>IF(__Retrofit_TI_NC&lt;&gt;0,1,IF(AE373="",0,1))</f>
        <v>0</v>
      </c>
      <c r="GY372" s="1034">
        <f>IF(__Retrofit_TI_NC&lt;&gt;0,1,IF(AF373="",0,1))</f>
        <v>0</v>
      </c>
      <c r="GZ372" s="1034">
        <f>IF(AE374="",0,1)</f>
        <v>0</v>
      </c>
      <c r="HA372" s="1034">
        <f>IF(AF374="",0,1)</f>
        <v>0</v>
      </c>
      <c r="HB372" s="1034">
        <f>IF(__Retrofit_TI_NC=2,1,IF(AF375="",0,1))</f>
        <v>0</v>
      </c>
      <c r="HV372" s="436"/>
      <c r="HW372" s="1384" t="b">
        <f>IF(OR(HW375=0,HW375=HT$16,HW375=HS$16,HW375=HU$16),TRUE,FALSE)</f>
        <v>0</v>
      </c>
      <c r="HX372" s="1377" t="b">
        <f>HW372</f>
        <v>0</v>
      </c>
      <c r="HY372" s="436"/>
      <c r="HZ372" s="436"/>
      <c r="IA372" s="1386" t="b">
        <f>IF(MAX(GJ375:HP375)&gt;5,FALSE,TRUE)</f>
        <v>0</v>
      </c>
      <c r="IB372" s="1380">
        <f>IF(IA372=TRUE,AC372,0)</f>
        <v>0</v>
      </c>
      <c r="IC372" s="1380">
        <f>IB372-IB374</f>
        <v>0</v>
      </c>
      <c r="IF372" s="1380" t="e">
        <f>ROUND(T373*VLOOKUP(U373,Fixtures_Existing_List,2,FALSE)*N373*R373/1000,0)</f>
        <v>#N/A</v>
      </c>
      <c r="IG372" s="1381" t="e">
        <f>IF372-IF374</f>
        <v>#N/A</v>
      </c>
      <c r="IH372" s="1384" t="e">
        <f>ROUND(IF(CN372="Interior",N374*R374*R373*N373*_C406_reduction/1000,N374*R374*R373*N373/1000),0)</f>
        <v>#N/A</v>
      </c>
      <c r="II372" s="1384" t="e">
        <f>IH372-IH374</f>
        <v>#N/A</v>
      </c>
      <c r="IK372" s="1351" t="e">
        <f>IF($CO372="interior",IL372/2,VLOOKUP($CP372,Control_Savings_Exterior,IK$30,FALSE))</f>
        <v>#N/A</v>
      </c>
      <c r="IL372" s="1351" t="e">
        <f>IF($CO372="interior",VLOOKUP($CP372,Control_Savings_Interior,IL$30,FALSE),VLOOKUP($CP372,Control_Savings_Exterior,IL$30,FALSE))</f>
        <v>#N/A</v>
      </c>
      <c r="IM372" s="1351" t="e">
        <f>IF($CO372="interior",IF(R373&gt;FO$37,(IM$28*(FO$37/R373)),IM$28)*FP372,VLOOKUP($CP372,Control_Savings_Exterior,IM$30,FALSE))</f>
        <v>#N/A</v>
      </c>
      <c r="IN372" s="1351" t="e">
        <f>IF($CO372="interior",ROUND(((1-IL372)*IM372)+IL372,2),VLOOKUP($CP372,Control_Savings_Exterior,IN$30,FALSE))</f>
        <v>#N/A</v>
      </c>
      <c r="IO372" s="1351" t="e">
        <f>IF($CO372="interior", ROUND(((1-IL372)*(IM372*(1-IP$28)))+IP372,2), VLOOKUP($CP372,Control_Savings_Exterior,IO$30,FALSE))</f>
        <v>#N/A</v>
      </c>
      <c r="IP372" s="1351">
        <f>IF($CO372="interior",ROUND(((1-IL372)*IP$28)+IL372,2),0)</f>
        <v>0</v>
      </c>
    </row>
    <row r="373" spans="1:250" s="82" customFormat="1" ht="14.95" customHeight="1" thickTop="1" thickBot="1">
      <c r="B373" s="1421"/>
      <c r="C373" s="1422"/>
      <c r="D373" s="1423"/>
      <c r="E373" s="1393" t="s">
        <v>244</v>
      </c>
      <c r="F373" s="1394"/>
      <c r="G373" s="1395"/>
      <c r="H373" s="1395"/>
      <c r="I373" s="1395"/>
      <c r="J373" s="1395"/>
      <c r="K373" s="1395"/>
      <c r="L373" s="1395"/>
      <c r="M373" s="509" t="e">
        <f>IF(__Retrofit_TI_NC&lt;&gt;0,IF(VLOOKUP(G374,'Space Table'!$B$3:$L$160,3,FALSE)&gt;0,1,0),IF(__Retrofit_TI_NC=VLOOKUP(G374,'Space Table'!$B$3:$L$160,3,FALSE),1,0))</f>
        <v>#N/A</v>
      </c>
      <c r="N373" s="509" t="str">
        <f>IFERROR(VLOOKUP(G373,_Lookup_Heat_Type_Table_New,2,FALSE),"")</f>
        <v/>
      </c>
      <c r="O373" s="509">
        <f>IF(__Retrofit_TI_NC=1,CONCATENATE("TI ",G373),IF(__Retrofit_TI_NC=2,CONCATENATE("NC ",G373),G373))</f>
        <v>0</v>
      </c>
      <c r="P373" s="1396" t="s">
        <v>352</v>
      </c>
      <c r="Q373" s="1396"/>
      <c r="R373" s="673"/>
      <c r="S373" s="1429"/>
      <c r="T373" s="675"/>
      <c r="U373" s="1496"/>
      <c r="V373" s="1497"/>
      <c r="W373" s="1497"/>
      <c r="X373" s="1497"/>
      <c r="Y373" s="1497"/>
      <c r="Z373" s="1497"/>
      <c r="AA373" s="1497"/>
      <c r="AB373" s="1497"/>
      <c r="AC373" s="1497"/>
      <c r="AD373" s="1498"/>
      <c r="AE373" s="675"/>
      <c r="AF373" s="1397"/>
      <c r="AG373" s="1397"/>
      <c r="AH373" s="1397"/>
      <c r="AI373" s="1397"/>
      <c r="AJ373" s="1434"/>
      <c r="AK373" s="1436"/>
      <c r="AL373" s="1438"/>
      <c r="AM373" s="1441"/>
      <c r="AN373" s="1442"/>
      <c r="AO373" s="1447"/>
      <c r="AP373" s="1447"/>
      <c r="AQ373" s="1448"/>
      <c r="AR373" s="1452"/>
      <c r="AS373" s="1455"/>
      <c r="AT373" s="1458"/>
      <c r="AU373" s="516"/>
      <c r="AV373" s="1479"/>
      <c r="AW373" s="1479"/>
      <c r="BC373" s="38"/>
      <c r="BD373" s="38"/>
      <c r="BE373" s="38"/>
      <c r="BF373" s="38"/>
      <c r="BG373" s="38"/>
      <c r="BH373" s="38"/>
      <c r="BI373" s="38"/>
      <c r="BJ373" s="38"/>
      <c r="BK373" s="38"/>
      <c r="BL373" s="38"/>
      <c r="BM373" s="38"/>
      <c r="BN373" s="38"/>
      <c r="BO373" s="38"/>
      <c r="BP373" s="38"/>
      <c r="BQ373" s="38"/>
      <c r="BR373" s="38"/>
      <c r="BS373" s="38"/>
      <c r="BT373" s="38"/>
      <c r="BU373" s="38"/>
      <c r="BV373" s="38"/>
      <c r="BW373" s="38"/>
      <c r="BX373" s="38"/>
      <c r="BY373" s="38"/>
      <c r="BZ373" s="38"/>
      <c r="CA373" s="38"/>
      <c r="CB373" s="38"/>
      <c r="CC373" s="38"/>
      <c r="CD373" s="38"/>
      <c r="CE373" s="38"/>
      <c r="CF373" s="38"/>
      <c r="CG373" s="38"/>
      <c r="CH373" s="38"/>
      <c r="CI373" s="38"/>
      <c r="CM373" s="1352"/>
      <c r="CN373" s="1352"/>
      <c r="CO373" s="1416"/>
      <c r="CP373" s="1418"/>
      <c r="CR373" s="1386"/>
      <c r="CS373" s="1355"/>
      <c r="CT373" s="1355"/>
      <c r="CU373" s="1355"/>
      <c r="CV373" s="1372"/>
      <c r="CW373" s="1372"/>
      <c r="CX373" s="1371"/>
      <c r="CY373" s="1486"/>
      <c r="CZ373" s="1486"/>
      <c r="DA373" s="1486"/>
      <c r="DC373" s="1355"/>
      <c r="DD373" s="1461"/>
      <c r="DE373" s="1355"/>
      <c r="DF373" s="1407"/>
      <c r="DG373" s="1372"/>
      <c r="DH373" s="1369"/>
      <c r="DJ373" s="1484"/>
      <c r="DL373" s="1419"/>
      <c r="DN373" s="1403"/>
      <c r="DO373" s="1405"/>
      <c r="DP373" s="1354"/>
      <c r="DQ373" s="1405"/>
      <c r="DR373" s="1403"/>
      <c r="DS373" s="1489"/>
      <c r="DU373" s="1403"/>
      <c r="DV373" s="1405"/>
      <c r="DW373" s="1403"/>
      <c r="DX373" s="1403"/>
      <c r="DZ373" s="1481"/>
      <c r="EA373" s="1481"/>
      <c r="EC373" s="1482"/>
      <c r="ED373" s="1369"/>
      <c r="EE373" s="1371"/>
      <c r="EF373" s="1369"/>
      <c r="EG373" s="1369"/>
      <c r="EH373" s="1374"/>
      <c r="EI373" s="1374"/>
      <c r="EJ373" s="1363"/>
      <c r="EK373" s="1376"/>
      <c r="EL373" s="1376"/>
      <c r="EM373" s="1362"/>
      <c r="EN373" s="1362"/>
      <c r="EO373" s="1363"/>
      <c r="EP373" s="1363"/>
      <c r="EQ373" s="1363"/>
      <c r="ES373" s="1403"/>
      <c r="EU373" s="1411"/>
      <c r="EV373" s="1411"/>
      <c r="EW373" s="1411"/>
      <c r="EX373" s="1411"/>
      <c r="EY373" s="1411"/>
      <c r="EZ373" s="1413"/>
      <c r="FB373" s="1365"/>
      <c r="FD373" s="1354"/>
      <c r="FE373" s="1354"/>
      <c r="FF373" s="138"/>
      <c r="FI373" s="1357"/>
      <c r="FJ373" s="1357"/>
      <c r="FK373" s="1365"/>
      <c r="FL373" s="1365"/>
      <c r="FM373" s="1365"/>
      <c r="FO373" s="1361"/>
      <c r="FP373" s="1361"/>
      <c r="FQ373" s="1366"/>
      <c r="FR373" s="1368"/>
      <c r="FS373" s="1361"/>
      <c r="FT373" s="1368"/>
      <c r="FU373" s="1360"/>
      <c r="FW373" s="1352"/>
      <c r="FX373" s="1352"/>
      <c r="FY373" s="1352"/>
      <c r="FZ373" s="1352"/>
      <c r="GA373" s="1352"/>
      <c r="GB373" s="1352"/>
      <c r="GC373" s="1352"/>
      <c r="GD373" s="1352"/>
      <c r="GE373" s="759"/>
      <c r="GF373" s="1035"/>
      <c r="GG373" s="1385"/>
      <c r="GI373" s="1384" t="b">
        <f>IF(AND(GL373=TRUE,GM373=TRUE),TRUE,FALSE)</f>
        <v>0</v>
      </c>
      <c r="GJ373" s="1379" t="b">
        <f>IFERROR(IF(__Retrofit_TI_NC=2,TRUE,IF(AR372="Yes",TRUE,FALSE)),FALSE)</f>
        <v>1</v>
      </c>
      <c r="GL373" s="1379" t="b">
        <f>IFERROR(IF(GL372=1,TRUE,FALSE),FALSE)</f>
        <v>0</v>
      </c>
      <c r="GM373" s="1379" t="b">
        <f>IFERROR(IF(GM372=GM$14,TRUE,FALSE),FALSE)</f>
        <v>0</v>
      </c>
      <c r="HC373" s="1379" t="b">
        <f>IFERROR(IF(M373=1,TRUE,FALSE),FALSE)</f>
        <v>0</v>
      </c>
      <c r="HD373" s="1379" t="b">
        <f>IFERROR(IF(M374=1,TRUE,FALSE),FALSE)</f>
        <v>0</v>
      </c>
      <c r="HE373" s="1379" t="b">
        <f>IFERROR(IF(__Retrofit_TI_NC&lt;&gt;0,TRUE,IFERROR(IF(VLOOKUP(U373,Fixtures_Existing_List,2,FALSE)&lt;&gt;"",TRUE,FALSE),FALSE)),FALSE)</f>
        <v>0</v>
      </c>
      <c r="HF373" s="1379" t="b">
        <f>IFERROR(IF(VLOOKUP(U374,Fixtures_Proposed_List,2,FALSE)&lt;&gt;"",TRUE,FALSE),FALSE)</f>
        <v>0</v>
      </c>
      <c r="HG373" s="1379" t="b">
        <f>IF(AND(__Retrofit_TI_NC=2,EZ372=TRUE),FALSE,TRUE)</f>
        <v>1</v>
      </c>
      <c r="HH373" s="1379" t="b">
        <f>GG372</f>
        <v>1</v>
      </c>
      <c r="HI373" s="1384" t="b">
        <f>IF(ISERROR(MATCH(FB372,_Control_Match[],0))=TRUE,FALSE,TRUE)</f>
        <v>0</v>
      </c>
      <c r="HJ373" s="1384" t="b">
        <f>IFERROR(IF(EU372&lt;&gt;EV372,FALSE,TRUE),FALSE)</f>
        <v>0</v>
      </c>
      <c r="HK373" s="1384" t="b">
        <f>IFERROR(IF(EU374&lt;&gt;EV374,FALSE,TRUE),FALSE)</f>
        <v>0</v>
      </c>
      <c r="HL373" s="1379" t="b">
        <f>IFERROR(IF(CN372="Exterior",TRUE,IF(OR(AND(FJ372=0,EW374&gt;4),AND(FJ372=4,EW374&gt;4,EW374&lt;7)),FALSE,TRUE)),FALSE)</f>
        <v>0</v>
      </c>
      <c r="HM373" s="1379" t="b">
        <f>IFERROR(IF(AND(FL374=7,EZ372=TRUE),FALSE,TRUE),FALSE)</f>
        <v>0</v>
      </c>
      <c r="HN373" s="1379" t="b">
        <f>IFERROR(IF(AND(T374&lt;&gt;AE374,AF374="Interior LLLC")=TRUE,FALSE,TRUE),FALSE)</f>
        <v>1</v>
      </c>
      <c r="HO373" s="1379" t="b">
        <f>IFERROR(IF(OR(AF374=Lookup!AU$13,AF374=Lookup!AU$14)=TRUE,IF(AE374&gt;T374,FALSE,TRUE),TRUE),FALSE)</f>
        <v>1</v>
      </c>
      <c r="HP373" s="1379" t="b">
        <f>IFERROR(IF(__Retrofit_TI_NC=2,IF(EW374&lt;EW372,FALSE,TRUE),TRUE),FALSE)</f>
        <v>1</v>
      </c>
      <c r="HQ373" s="1379" t="b">
        <f>IF(CN372="Interior",IG$6,TRUE)</f>
        <v>1</v>
      </c>
      <c r="HR373" s="1379" t="b">
        <f>IF(CN372="Exterior",IG$8,TRUE)</f>
        <v>1</v>
      </c>
      <c r="HS373" s="1379" t="b">
        <f>IFERROR(IF(__Retrofit_TI_NC&lt;&gt;0,IF(AW372&lt;AV372,FALSE,TRUE),TRUE),FALSE)</f>
        <v>1</v>
      </c>
      <c r="HT373" s="1379" t="b">
        <f>IFERROR(IF(AND(G373="Exterior",R373&gt;4200),FALSE,TRUE),FALSE)</f>
        <v>1</v>
      </c>
      <c r="HU373" s="1379" t="b">
        <f>IFERROR(IF(AB375/AB372&lt;HU$18,FALSE,TRUE),FALSE)</f>
        <v>0</v>
      </c>
      <c r="HW373" s="1382"/>
      <c r="HX373" s="1378"/>
      <c r="HY373" s="1377" t="str">
        <f>VLOOKUP(HW375,_Error_Table,4,FALSE)</f>
        <v>White</v>
      </c>
      <c r="HZ373" s="436"/>
      <c r="IA373" s="1386"/>
      <c r="IB373" s="1380"/>
      <c r="IC373" s="1379"/>
      <c r="IF373" s="1380"/>
      <c r="IG373" s="1382"/>
      <c r="IH373" s="1382"/>
      <c r="II373" s="1382"/>
      <c r="IK373" s="1351"/>
      <c r="IL373" s="1351"/>
      <c r="IM373" s="1351"/>
      <c r="IN373" s="1351"/>
      <c r="IO373" s="1351"/>
      <c r="IP373" s="1351"/>
    </row>
    <row r="374" spans="1:250" s="82" customFormat="1" ht="14.95" customHeight="1" thickTop="1" thickBot="1">
      <c r="A374" s="82">
        <f>ROW()</f>
        <v>374</v>
      </c>
      <c r="B374" s="1421"/>
      <c r="C374" s="1422"/>
      <c r="D374" s="1423"/>
      <c r="E374" s="1393" t="s">
        <v>245</v>
      </c>
      <c r="F374" s="1394"/>
      <c r="G374" s="1398"/>
      <c r="H374" s="1399"/>
      <c r="I374" s="1399"/>
      <c r="J374" s="1399"/>
      <c r="K374" s="1399"/>
      <c r="L374" s="1400"/>
      <c r="M374" s="509">
        <f>IFERROR(IF(IF(__Retrofit_TI_NC&lt;&gt;0,IF(CN372="Interior",MATCH(G374,Lookup_Interior_New,0),MATCH(G374,Lookup_Exterior_New,0)),IF(CN372="Interior",MATCH(G374,Lookup_Interior,0),MATCH(G374,Lookup_Exterior_Areas,0)))&gt;0,1,0),0)</f>
        <v>0</v>
      </c>
      <c r="N374" s="509" t="e">
        <f>IF(__Retrofit_TI_NC=1,
VLOOKUP(G374,'Space Table'!$B$3:$L$160,4,FALSE),
IF(__Retrofit_TI_NC=2,VLOOKUP(G374,'Space Table'!$B$3:$L$160,5,FALSE),VLOOKUP(G374,'Space Table'!$B$3:$L$160,5,FALSE)))</f>
        <v>#N/A</v>
      </c>
      <c r="O374" s="509">
        <f>G374</f>
        <v>0</v>
      </c>
      <c r="P374" s="1394" t="s">
        <v>355</v>
      </c>
      <c r="Q374" s="1394"/>
      <c r="R374" s="674"/>
      <c r="S374" s="1401" t="s">
        <v>284</v>
      </c>
      <c r="T374" s="672"/>
      <c r="U374" s="1499"/>
      <c r="V374" s="1500"/>
      <c r="W374" s="1500"/>
      <c r="X374" s="1500"/>
      <c r="Y374" s="1500"/>
      <c r="Z374" s="1500"/>
      <c r="AA374" s="1500"/>
      <c r="AB374" s="1501"/>
      <c r="AC374" s="1501"/>
      <c r="AD374" s="1502"/>
      <c r="AE374" s="672"/>
      <c r="AF374" s="1474"/>
      <c r="AG374" s="1474"/>
      <c r="AH374" s="1474"/>
      <c r="AI374" s="1474"/>
      <c r="AJ374" s="1475">
        <f>DF374</f>
        <v>0</v>
      </c>
      <c r="AK374" s="1470" t="str">
        <f>IFERROR(ROUND(AJ374*AC375,0),"")</f>
        <v/>
      </c>
      <c r="AL374" s="1472">
        <f>IFERROR(IF(HW372=FALSE,0,AC375-AK374),0)</f>
        <v>0</v>
      </c>
      <c r="AM374" s="1441"/>
      <c r="AN374" s="1442"/>
      <c r="AO374" s="1447"/>
      <c r="AP374" s="1447"/>
      <c r="AQ374" s="1448"/>
      <c r="AR374" s="1452"/>
      <c r="AS374" s="1455"/>
      <c r="AT374" s="1458"/>
      <c r="AU374" s="516"/>
      <c r="AV374" s="1479"/>
      <c r="AW374" s="1479"/>
      <c r="BC374" s="38"/>
      <c r="BD374" s="38"/>
      <c r="BE374" s="38"/>
      <c r="BF374" s="38"/>
      <c r="BG374" s="38"/>
      <c r="BH374" s="38"/>
      <c r="BI374" s="38"/>
      <c r="BJ374" s="38"/>
      <c r="BK374" s="38"/>
      <c r="BL374" s="38"/>
      <c r="BM374" s="38"/>
      <c r="BN374" s="38"/>
      <c r="BO374" s="38"/>
      <c r="BP374" s="38"/>
      <c r="BQ374" s="38"/>
      <c r="BR374" s="38"/>
      <c r="BS374" s="38"/>
      <c r="BT374" s="38"/>
      <c r="BU374" s="38"/>
      <c r="BV374" s="38"/>
      <c r="BW374" s="38"/>
      <c r="BX374" s="38"/>
      <c r="BY374" s="38"/>
      <c r="BZ374" s="38"/>
      <c r="CA374" s="38"/>
      <c r="CB374" s="38"/>
      <c r="CC374" s="38"/>
      <c r="CD374" s="38"/>
      <c r="CE374" s="38"/>
      <c r="CF374" s="38"/>
      <c r="CG374" s="38"/>
      <c r="CH374" s="38"/>
      <c r="CI374" s="38"/>
      <c r="CM374" s="1352"/>
      <c r="CN374" s="1352"/>
      <c r="CO374" s="1415" t="str">
        <f>CN372</f>
        <v/>
      </c>
      <c r="CP374" s="1417" t="e">
        <f>CP372</f>
        <v>#N/A</v>
      </c>
      <c r="CR374" s="1386" t="s">
        <v>284</v>
      </c>
      <c r="CS374" s="1353">
        <f>IF(HW372=TRUE,T374,0)</f>
        <v>0</v>
      </c>
      <c r="CT374" s="1353" t="str">
        <f>IF(HW372=TRUE,U374,"")</f>
        <v/>
      </c>
      <c r="CU374" s="1373">
        <f>IF(HW372=TRUE,U375,0)</f>
        <v>0</v>
      </c>
      <c r="CV374" s="1370">
        <f>IF(HW372=TRUE,AB375,0)</f>
        <v>0</v>
      </c>
      <c r="CW374" s="1370">
        <f>IF(HW372=TRUE,AC375,0)</f>
        <v>0</v>
      </c>
      <c r="CX374" s="1371"/>
      <c r="CY374" s="1486"/>
      <c r="CZ374" s="1486"/>
      <c r="DA374" s="1486"/>
      <c r="DC374" s="1353">
        <f>IF(HW372=TRUE,AE374,0)</f>
        <v>0</v>
      </c>
      <c r="DD374" s="1353" t="str">
        <f>IF(HW372=TRUE,AF374,"")</f>
        <v/>
      </c>
      <c r="DE374" s="1373">
        <f>AF375</f>
        <v>0</v>
      </c>
      <c r="DF374" s="1406">
        <f>IFERROR(IF(FL374=3,IK374,IF(FL374=4,IL374,IF(FL374=5,IM374,IF(FL374=6,IN374,IF(FL374=7,IO374,IF(FL374=8,IP374,0)))))),0)</f>
        <v>0</v>
      </c>
      <c r="DG374" s="1370">
        <f>IF(HW372=TRUE,AK374,0)</f>
        <v>0</v>
      </c>
      <c r="DH374" s="1369"/>
      <c r="DK374" s="1483">
        <f>IFERROR(CW374-DG374,0)</f>
        <v>0</v>
      </c>
      <c r="DL374" s="1420"/>
      <c r="DN374" s="1403"/>
      <c r="DO374" s="1477" t="str">
        <f>DN372</f>
        <v/>
      </c>
      <c r="DP374" s="1354"/>
      <c r="DQ374" s="1477" t="str">
        <f>IF(DP372=7,"LLLC","")</f>
        <v/>
      </c>
      <c r="DR374" s="1403"/>
      <c r="DS374" s="1489"/>
      <c r="DU374" s="1403"/>
      <c r="DV374" s="1404" t="str">
        <f>DU372</f>
        <v/>
      </c>
      <c r="DW374" s="1403"/>
      <c r="DX374" s="1403"/>
      <c r="DZ374" s="1481"/>
      <c r="EA374" s="1481"/>
      <c r="EC374" s="1482"/>
      <c r="ED374" s="1369"/>
      <c r="EE374" s="1371"/>
      <c r="EF374" s="1369"/>
      <c r="EG374" s="1369"/>
      <c r="EH374" s="1374"/>
      <c r="EI374" s="1374"/>
      <c r="EJ374" s="1363"/>
      <c r="EK374" s="1376"/>
      <c r="EL374" s="1376"/>
      <c r="EM374" s="1362"/>
      <c r="EN374" s="1362"/>
      <c r="EO374" s="1363"/>
      <c r="EP374" s="1363"/>
      <c r="EQ374" s="1363"/>
      <c r="ES374" s="1403"/>
      <c r="EU374" s="1411" t="e">
        <f>VLOOKUP(CP374,'Space Table'!$B$3:$L$160,8,FALSE)</f>
        <v>#N/A</v>
      </c>
      <c r="EV374" s="1411" t="e">
        <f>IF(EY374="Yes",VLOOKUP(AF374,Lookup_Control_Type_Table2,4,FALSE),VLOOKUP(AF374,Lookup_Control_Type_Table2,3,FALSE))</f>
        <v>#N/A</v>
      </c>
      <c r="EW374" s="1411" t="e">
        <f>VLOOKUP(AF374,Lookup!AU$3:AV$15,2,FALSE)</f>
        <v>#N/A</v>
      </c>
      <c r="EX374" s="1411" t="e">
        <f>VLOOKUP(EU372,Lookup_Control_Type_Table,2,FALSE)</f>
        <v>#N/A</v>
      </c>
      <c r="EY374" s="1411" t="e">
        <f>VLOOKUP(CP374,'Space Table'!$B$3:$L$160,7,FALSE)</f>
        <v>#N/A</v>
      </c>
      <c r="EZ374" s="1413"/>
      <c r="FB374" s="1365" t="str">
        <f>CONCATENATE(CN372," - ",AF374)</f>
        <v xml:space="preserve"> - </v>
      </c>
      <c r="FD374" s="1354"/>
      <c r="FE374" s="1354"/>
      <c r="FF374" s="138"/>
      <c r="FI374" s="1356" t="str">
        <f>IF(CN372="Exterior","Not Daylighted",G375)</f>
        <v>Not Daylighted</v>
      </c>
      <c r="FJ374" s="1356">
        <f>VLOOKUP(FI374,_Daylight_Table_Codes,2,FALSE)</f>
        <v>0</v>
      </c>
      <c r="FK374" s="1365">
        <f>AF374</f>
        <v>0</v>
      </c>
      <c r="FL374" s="1365" t="e">
        <f>VLOOKUP(FK374,_Control_Table,2,FALSE)</f>
        <v>#N/A</v>
      </c>
      <c r="FM374" s="1365" t="e">
        <f>IF(AND(FP374&gt;0,FK374="Occupancy Sensor"),"Daylight + Occupancy",IF(AND(FP374&gt;0,FL374&lt;4),"Interior Daylight Dimming",FK374))</f>
        <v>#N/A</v>
      </c>
      <c r="FO374" s="1364">
        <f>IF(CN372="Interior",VLOOKUP(CP372,Control_Savings_Interior,5,FALSE),0)</f>
        <v>0</v>
      </c>
      <c r="FP374" s="1361">
        <f>IF(CN374="Exterior",0,IF(FJ374=2,0.5,IF(OR(FJ374=1,FJ374=3),1,0)))</f>
        <v>0</v>
      </c>
      <c r="FQ374" s="1366">
        <f>IF(R373&gt;FO$37,(FO374*(FO$37/R373)),FO374)*FP374</f>
        <v>0</v>
      </c>
      <c r="FR374" s="1364">
        <f>DF374</f>
        <v>0</v>
      </c>
      <c r="FS374" s="1364">
        <f>ROUND(FR374+((1-FR374)*FQ374),2)</f>
        <v>0</v>
      </c>
      <c r="FT374" s="1364">
        <f>IF(__Retrofit_TI_NC=2,FS374,FR374)</f>
        <v>0</v>
      </c>
      <c r="FU374" s="1360">
        <f>IF(CO374="Interior",VLOOKUP(CP374,Control_Savings_Interior,4,FALSE),0)</f>
        <v>0</v>
      </c>
      <c r="FW374" s="1352"/>
      <c r="FX374" s="1352"/>
      <c r="FY374" s="1352"/>
      <c r="FZ374" s="1352"/>
      <c r="GA374" s="1352"/>
      <c r="GB374" s="1352"/>
      <c r="GC374" s="1352"/>
      <c r="GD374" s="1352"/>
      <c r="GE374" s="759" t="b">
        <f>IF(ISNUMBER(SEARCH("TLED",U374)),TRUE,FALSE)</f>
        <v>0</v>
      </c>
      <c r="GF374" s="1035" t="str">
        <f>IFERROR(VLOOKUP(U374,Fixtures!DM$93:DR$142,6,FALSE),"")</f>
        <v/>
      </c>
      <c r="GG374" s="1385"/>
      <c r="GI374" s="1383"/>
      <c r="GJ374" s="1379"/>
      <c r="GL374" s="1379"/>
      <c r="GM374" s="1379"/>
      <c r="HC374" s="1379"/>
      <c r="HD374" s="1379"/>
      <c r="HE374" s="1379"/>
      <c r="HF374" s="1379"/>
      <c r="HG374" s="1379"/>
      <c r="HH374" s="1379"/>
      <c r="HI374" s="1383"/>
      <c r="HJ374" s="1383"/>
      <c r="HK374" s="1383"/>
      <c r="HL374" s="1379"/>
      <c r="HM374" s="1379"/>
      <c r="HN374" s="1379"/>
      <c r="HO374" s="1379"/>
      <c r="HP374" s="1379"/>
      <c r="HQ374" s="1379"/>
      <c r="HR374" s="1379"/>
      <c r="HS374" s="1379"/>
      <c r="HT374" s="1379"/>
      <c r="HU374" s="1379"/>
      <c r="HW374" s="1383"/>
      <c r="HX374" s="1384" t="b">
        <f>HW372</f>
        <v>0</v>
      </c>
      <c r="HY374" s="1378"/>
      <c r="HZ374" s="436"/>
      <c r="IA374" s="1386"/>
      <c r="IB374" s="1380">
        <f>IF(IA372=TRUE,AC375,0)</f>
        <v>0</v>
      </c>
      <c r="IC374" s="1379"/>
      <c r="IF374" s="1380" t="e">
        <f>ROUND(T374*AB375*N373*R373/1000,0)</f>
        <v>#VALUE!</v>
      </c>
      <c r="IG374" s="1382"/>
      <c r="IH374" s="1384" t="e">
        <f>ROUND(T374*AB375*N373*R373/1000,0)</f>
        <v>#VALUE!</v>
      </c>
      <c r="II374" s="1382"/>
      <c r="IK374" s="1351" t="e">
        <f>IF($CO374="interior",IL374/2,VLOOKUP($CP374,Control_Savings_Exterior,IK$30,FALSE))</f>
        <v>#N/A</v>
      </c>
      <c r="IL374" s="1351" t="e">
        <f>IF($CO374="interior",VLOOKUP($CP374,Control_Savings_Interior,IL$30,FALSE),VLOOKUP($CP374,Control_Savings_Exterior,IL$30,FALSE))</f>
        <v>#N/A</v>
      </c>
      <c r="IM374" s="1351" t="e">
        <f>IF($CO374="interior",IF(R373&gt;FO$37,(IM$28*(FO$37/R373)),IM$28)*FP374,VLOOKUP($CP374,Control_Savings_Exterior,IM$30,FALSE))</f>
        <v>#N/A</v>
      </c>
      <c r="IN374" s="1351" t="e">
        <f>IF($CO374="interior",ROUND(((1-IL374)*IM374)+IL374,2),VLOOKUP($CP374,Control_Savings_Exterior,IN$30,FALSE))</f>
        <v>#N/A</v>
      </c>
      <c r="IO374" s="1351" t="e">
        <f>IF($CO374="interior", ROUND(((1-IL374)*(IM374*(1-IP$28)))+IP374,2), VLOOKUP($CP374,Control_Savings_Exterior,IO$30,FALSE))</f>
        <v>#N/A</v>
      </c>
      <c r="IP374" s="1351">
        <f>IF($CO374="interior",ROUND(((1-IL374)*IP$28)+IL374,2),0)</f>
        <v>0</v>
      </c>
    </row>
    <row r="375" spans="1:250" s="82" customFormat="1" ht="14.95" customHeight="1" thickTop="1" thickBot="1">
      <c r="B375" s="1421"/>
      <c r="C375" s="1422"/>
      <c r="D375" s="1423"/>
      <c r="E375" s="1462" t="s">
        <v>357</v>
      </c>
      <c r="F375" s="1463"/>
      <c r="G375" s="1464" t="s">
        <v>362</v>
      </c>
      <c r="H375" s="1465"/>
      <c r="I375" s="1465"/>
      <c r="J375" s="1465"/>
      <c r="K375" s="1465"/>
      <c r="L375" s="1466"/>
      <c r="M375" s="669">
        <f>IFERROR(VLOOKUP(G375,_Daylight_Table[],2,FALSE),0)</f>
        <v>0</v>
      </c>
      <c r="N375" s="670"/>
      <c r="O375" s="669" t="e">
        <f>VLOOKUP(G374,'Space Table'!$B$3:$L$160,11,FALSE)</f>
        <v>#N/A</v>
      </c>
      <c r="P375" s="1408"/>
      <c r="Q375" s="1409"/>
      <c r="R375" s="1409"/>
      <c r="S375" s="1402"/>
      <c r="T375" s="671" t="s">
        <v>281</v>
      </c>
      <c r="U375" s="1467" t="str">
        <f>IFERROR(VLOOKUP(U374,Fixtures!DM$93:DP$142,4,FALSE),"")</f>
        <v/>
      </c>
      <c r="V375" s="1468"/>
      <c r="W375" s="1468"/>
      <c r="X375" s="1468"/>
      <c r="Y375" s="1468"/>
      <c r="Z375" s="1468"/>
      <c r="AA375" s="1468"/>
      <c r="AB375" s="1046" t="str">
        <f>IFERROR(VLOOKUP(U374,Fixtures_Proposed_List,2,FALSE),"")</f>
        <v/>
      </c>
      <c r="AC375" s="1036" t="str">
        <f>IFERROR(ROUND(T374*AB375*N373*R373/1000,0),"")</f>
        <v/>
      </c>
      <c r="AD375" s="1037" t="str">
        <f>IFERROR(ROUND(T374*AB375/1000,2),"")</f>
        <v/>
      </c>
      <c r="AE375" s="1045" t="s">
        <v>281</v>
      </c>
      <c r="AF375" s="1469"/>
      <c r="AG375" s="1469"/>
      <c r="AH375" s="1469"/>
      <c r="AI375" s="1469"/>
      <c r="AJ375" s="1476"/>
      <c r="AK375" s="1471"/>
      <c r="AL375" s="1473"/>
      <c r="AM375" s="1443"/>
      <c r="AN375" s="1444"/>
      <c r="AO375" s="1449"/>
      <c r="AP375" s="1449"/>
      <c r="AQ375" s="1450"/>
      <c r="AR375" s="1453"/>
      <c r="AS375" s="1456"/>
      <c r="AT375" s="1459"/>
      <c r="AU375" s="517"/>
      <c r="AV375" s="1480"/>
      <c r="AW375" s="1480"/>
      <c r="BC375" s="38"/>
      <c r="BD375" s="38"/>
      <c r="BE375" s="38"/>
      <c r="BF375" s="38"/>
      <c r="BG375" s="38"/>
      <c r="BH375" s="38"/>
      <c r="BI375" s="38"/>
      <c r="BJ375" s="38"/>
      <c r="BK375" s="38"/>
      <c r="BL375" s="38"/>
      <c r="BM375" s="38"/>
      <c r="BN375" s="38"/>
      <c r="BO375" s="38"/>
      <c r="BP375" s="38"/>
      <c r="BQ375" s="38"/>
      <c r="BR375" s="38"/>
      <c r="BS375" s="38"/>
      <c r="BT375" s="38"/>
      <c r="BU375" s="38"/>
      <c r="BV375" s="38"/>
      <c r="BW375" s="38"/>
      <c r="BX375" s="38"/>
      <c r="BY375" s="38"/>
      <c r="BZ375" s="38"/>
      <c r="CA375" s="38"/>
      <c r="CB375" s="38"/>
      <c r="CC375" s="38"/>
      <c r="CD375" s="38"/>
      <c r="CE375" s="38"/>
      <c r="CF375" s="38"/>
      <c r="CG375" s="38"/>
      <c r="CH375" s="38"/>
      <c r="CI375" s="38"/>
      <c r="CM375" s="1352"/>
      <c r="CN375" s="1352"/>
      <c r="CO375" s="1416"/>
      <c r="CP375" s="1418"/>
      <c r="CR375" s="1386"/>
      <c r="CS375" s="1355"/>
      <c r="CT375" s="1355"/>
      <c r="CU375" s="1375"/>
      <c r="CV375" s="1372"/>
      <c r="CW375" s="1372"/>
      <c r="CX375" s="1372"/>
      <c r="CY375" s="1487"/>
      <c r="CZ375" s="1487"/>
      <c r="DA375" s="1487"/>
      <c r="DC375" s="1355"/>
      <c r="DD375" s="1355"/>
      <c r="DE375" s="1375"/>
      <c r="DF375" s="1407"/>
      <c r="DG375" s="1372"/>
      <c r="DH375" s="1369"/>
      <c r="DK375" s="1484"/>
      <c r="DL375" s="1420"/>
      <c r="DN375" s="1403"/>
      <c r="DO375" s="1405"/>
      <c r="DP375" s="1355"/>
      <c r="DQ375" s="1405"/>
      <c r="DR375" s="1403"/>
      <c r="DS375" s="1489"/>
      <c r="DU375" s="1403"/>
      <c r="DV375" s="1405"/>
      <c r="DW375" s="1403"/>
      <c r="DX375" s="1403"/>
      <c r="DZ375" s="1481"/>
      <c r="EA375" s="1481"/>
      <c r="EC375" s="1482"/>
      <c r="ED375" s="1369"/>
      <c r="EE375" s="1372"/>
      <c r="EF375" s="1369"/>
      <c r="EG375" s="1369"/>
      <c r="EH375" s="1375"/>
      <c r="EI375" s="1375"/>
      <c r="EJ375" s="1363"/>
      <c r="EK375" s="1376"/>
      <c r="EL375" s="1376"/>
      <c r="EM375" s="1362"/>
      <c r="EN375" s="1362"/>
      <c r="EO375" s="1363"/>
      <c r="EP375" s="1363"/>
      <c r="EQ375" s="1363"/>
      <c r="ES375" s="1403"/>
      <c r="EU375" s="1488"/>
      <c r="EV375" s="1488"/>
      <c r="EW375" s="1488"/>
      <c r="EX375" s="1488"/>
      <c r="EY375" s="1488"/>
      <c r="EZ375" s="1414"/>
      <c r="FB375" s="1365"/>
      <c r="FD375" s="1355"/>
      <c r="FE375" s="1355"/>
      <c r="FF375" s="138"/>
      <c r="FI375" s="1357"/>
      <c r="FJ375" s="1357"/>
      <c r="FK375" s="1365"/>
      <c r="FL375" s="1365"/>
      <c r="FM375" s="1365"/>
      <c r="FO375" s="1361"/>
      <c r="FP375" s="1361"/>
      <c r="FQ375" s="1366"/>
      <c r="FR375" s="1361"/>
      <c r="FS375" s="1361"/>
      <c r="FT375" s="1361"/>
      <c r="FU375" s="1360"/>
      <c r="FW375" s="1352"/>
      <c r="FX375" s="1352"/>
      <c r="FY375" s="1352"/>
      <c r="FZ375" s="1352"/>
      <c r="GA375" s="1352"/>
      <c r="GB375" s="1352"/>
      <c r="GC375" s="1352"/>
      <c r="GD375" s="1352"/>
      <c r="GE375" s="759"/>
      <c r="GF375" s="1035"/>
      <c r="GG375" s="1385"/>
      <c r="GJ375" s="1034">
        <f>IF(GJ373=TRUE,0,GJ$16)</f>
        <v>0</v>
      </c>
      <c r="GL375" s="1034">
        <f>IF(GL373=TRUE,0,GL$16)</f>
        <v>36</v>
      </c>
      <c r="GM375" s="1034">
        <f>IF(GM373=TRUE,0,GM$16)</f>
        <v>35</v>
      </c>
      <c r="GN375" s="436"/>
      <c r="GO375" s="436"/>
      <c r="GP375" s="436"/>
      <c r="GQ375" s="436"/>
      <c r="GR375" s="436"/>
      <c r="HC375" s="1034">
        <f t="shared" ref="HC375:HH375" si="270">IF(HC373=TRUE,0,HC$16)</f>
        <v>19</v>
      </c>
      <c r="HD375" s="1034">
        <f t="shared" si="270"/>
        <v>18</v>
      </c>
      <c r="HE375" s="1034">
        <f t="shared" si="270"/>
        <v>17</v>
      </c>
      <c r="HF375" s="1034">
        <f t="shared" si="270"/>
        <v>16</v>
      </c>
      <c r="HG375" s="1034">
        <f t="shared" si="270"/>
        <v>0</v>
      </c>
      <c r="HH375" s="1034">
        <f t="shared" si="270"/>
        <v>0</v>
      </c>
      <c r="HI375" s="1034">
        <f>IF(HI373=TRUE,0,HI$16)</f>
        <v>13</v>
      </c>
      <c r="HJ375" s="1034">
        <f t="shared" ref="HJ375:HL375" si="271">IF(HJ373=TRUE,0,HJ$16)</f>
        <v>12</v>
      </c>
      <c r="HK375" s="1034">
        <f t="shared" si="271"/>
        <v>11</v>
      </c>
      <c r="HL375" s="1034">
        <f t="shared" si="271"/>
        <v>10</v>
      </c>
      <c r="HM375" s="1034">
        <f>IF(HM373=TRUE,0,HM$16)</f>
        <v>9</v>
      </c>
      <c r="HN375" s="1034">
        <f t="shared" ref="HN375:HR375" si="272">IF(HN373=TRUE,0,HN$16)</f>
        <v>0</v>
      </c>
      <c r="HO375" s="1034">
        <f t="shared" si="272"/>
        <v>0</v>
      </c>
      <c r="HP375" s="1034">
        <f t="shared" si="272"/>
        <v>0</v>
      </c>
      <c r="HQ375" s="1034">
        <f t="shared" si="272"/>
        <v>0</v>
      </c>
      <c r="HR375" s="1034">
        <f t="shared" si="272"/>
        <v>0</v>
      </c>
      <c r="HS375" s="1034">
        <f>IF(HS373=TRUE,0,HS$16)</f>
        <v>0</v>
      </c>
      <c r="HT375" s="1034">
        <f t="shared" ref="HT375" si="273">IF(HT373=TRUE,0,HT$16)</f>
        <v>0</v>
      </c>
      <c r="HU375" s="1034">
        <f>IF(HU373=TRUE,0,HU$16)</f>
        <v>1</v>
      </c>
      <c r="HW375" s="1034">
        <f>IF(GL373=FALSE,GL375,IF(GM373=FALSE,GM375,MAX(GJ375:HU375)))</f>
        <v>36</v>
      </c>
      <c r="HX375" s="1383"/>
      <c r="HY375" s="241" t="str">
        <f>VLOOKUP(HW375,_Error_Table,3,FALSE)</f>
        <v xml:space="preserve"> </v>
      </c>
      <c r="HZ375" s="241"/>
      <c r="IA375" s="1386"/>
      <c r="IB375" s="1380"/>
      <c r="IC375" s="1379"/>
      <c r="IF375" s="1380"/>
      <c r="IG375" s="1383"/>
      <c r="IH375" s="1383"/>
      <c r="II375" s="1383"/>
      <c r="IK375" s="1351"/>
      <c r="IL375" s="1351"/>
      <c r="IM375" s="1351"/>
      <c r="IN375" s="1351"/>
      <c r="IO375" s="1351"/>
      <c r="IP375" s="1351"/>
    </row>
    <row r="376" spans="1:250" s="82" customFormat="1" ht="5.0999999999999996" customHeight="1" thickBot="1">
      <c r="B376" s="763"/>
      <c r="C376" s="1038"/>
      <c r="D376" s="1038"/>
      <c r="E376" s="1490"/>
      <c r="F376" s="1490"/>
      <c r="G376" s="1490"/>
      <c r="H376" s="1490"/>
      <c r="I376" s="1490"/>
      <c r="J376" s="1490"/>
      <c r="K376" s="1490"/>
      <c r="L376" s="1490"/>
      <c r="M376" s="1490"/>
      <c r="N376" s="1490"/>
      <c r="O376" s="1490"/>
      <c r="P376" s="1490"/>
      <c r="Q376" s="1490"/>
      <c r="R376" s="1490"/>
      <c r="S376" s="1490"/>
      <c r="T376" s="1490"/>
      <c r="U376" s="1490"/>
      <c r="V376" s="1490"/>
      <c r="W376" s="1490"/>
      <c r="X376" s="1490"/>
      <c r="Y376" s="1490"/>
      <c r="Z376" s="1490"/>
      <c r="AA376" s="1490"/>
      <c r="AB376" s="1490"/>
      <c r="AC376" s="1490"/>
      <c r="AD376" s="1490"/>
      <c r="AE376" s="1490"/>
      <c r="AF376" s="1490"/>
      <c r="AG376" s="1490"/>
      <c r="AH376" s="1490"/>
      <c r="AI376" s="1490"/>
      <c r="AJ376" s="1490"/>
      <c r="AK376" s="1490"/>
      <c r="AL376" s="1490"/>
      <c r="AM376" s="1490"/>
      <c r="AN376" s="1490"/>
      <c r="AO376" s="1490"/>
      <c r="AP376" s="1490"/>
      <c r="AQ376" s="1490"/>
      <c r="AR376" s="1490"/>
      <c r="AS376" s="1490"/>
      <c r="AT376" s="1490"/>
      <c r="AU376" s="1041"/>
      <c r="BC376" s="38"/>
      <c r="BD376" s="38"/>
      <c r="BE376" s="38"/>
      <c r="BF376" s="38"/>
      <c r="BG376" s="38"/>
      <c r="BH376" s="38"/>
      <c r="BI376" s="38"/>
      <c r="BJ376" s="38"/>
      <c r="BK376" s="38"/>
      <c r="BL376" s="38"/>
      <c r="BM376" s="38"/>
      <c r="BN376" s="38"/>
      <c r="BO376" s="38"/>
      <c r="BP376" s="38"/>
      <c r="BQ376" s="38"/>
      <c r="BR376" s="38"/>
      <c r="BS376" s="38"/>
      <c r="BT376" s="38"/>
      <c r="BU376" s="38"/>
      <c r="BV376" s="38"/>
      <c r="BW376" s="38"/>
      <c r="BX376" s="38"/>
      <c r="BY376" s="38"/>
      <c r="BZ376" s="38"/>
      <c r="CA376" s="38"/>
      <c r="CB376" s="38"/>
      <c r="CC376" s="38"/>
      <c r="CD376" s="38"/>
      <c r="CE376" s="38"/>
      <c r="CF376" s="38"/>
      <c r="CG376" s="38"/>
      <c r="CH376" s="38"/>
      <c r="CI376" s="38"/>
      <c r="CM376" s="749"/>
      <c r="CN376" s="749"/>
      <c r="CO376" s="1043"/>
      <c r="CP376" s="749"/>
      <c r="CS376" s="436"/>
      <c r="CT376" s="436"/>
      <c r="CU376" s="243"/>
      <c r="CV376" s="244"/>
      <c r="CW376" s="244"/>
      <c r="CX376" s="244"/>
      <c r="CY376" s="245"/>
      <c r="CZ376" s="245"/>
      <c r="DA376" s="245"/>
      <c r="DC376" s="750"/>
      <c r="DD376" s="751"/>
      <c r="DE376" s="752"/>
      <c r="DF376" s="753"/>
      <c r="DG376" s="754"/>
      <c r="DH376" s="754"/>
      <c r="DK376" s="244"/>
      <c r="DL376" s="750"/>
      <c r="DN376" s="750"/>
      <c r="DO376" s="755"/>
      <c r="DP376" s="436"/>
      <c r="DQ376" s="750"/>
      <c r="DR376" s="750"/>
      <c r="DS376" s="750"/>
      <c r="DU376" s="750"/>
      <c r="DV376" s="750"/>
      <c r="DW376" s="750"/>
      <c r="DX376" s="750"/>
      <c r="DZ376" s="756"/>
      <c r="EA376" s="756"/>
      <c r="EC376" s="754"/>
      <c r="ED376" s="754"/>
      <c r="EE376" s="244"/>
      <c r="EF376" s="754"/>
      <c r="EG376" s="754"/>
      <c r="EH376" s="243"/>
      <c r="EI376" s="243"/>
      <c r="EJ376" s="752"/>
      <c r="EK376" s="757"/>
      <c r="EL376" s="757"/>
      <c r="EM376" s="758"/>
      <c r="EN376" s="758"/>
      <c r="EO376" s="752"/>
      <c r="EP376" s="752"/>
      <c r="EQ376" s="752"/>
      <c r="ES376" s="750"/>
      <c r="EU376" s="436"/>
      <c r="EV376" s="436"/>
      <c r="EW376" s="436"/>
      <c r="EX376" s="436"/>
      <c r="EY376" s="436"/>
      <c r="EZ376" s="436"/>
      <c r="FB376" s="643"/>
      <c r="FD376" s="436"/>
      <c r="FE376" s="436"/>
      <c r="FF376" s="436"/>
      <c r="FO376" s="750"/>
      <c r="FP376" s="436"/>
      <c r="FQ376" s="436"/>
      <c r="FR376" s="750"/>
      <c r="FS376" s="750"/>
      <c r="FW376" s="749"/>
      <c r="FX376" s="749"/>
      <c r="FY376" s="749"/>
      <c r="FZ376" s="749"/>
      <c r="GA376" s="749"/>
      <c r="GB376" s="749"/>
      <c r="GC376" s="749"/>
      <c r="GD376" s="749"/>
      <c r="GE376" s="751"/>
      <c r="GF376" s="750"/>
      <c r="GG376" s="750"/>
    </row>
    <row r="377" spans="1:250" s="82" customFormat="1" ht="14.95" customHeight="1" thickTop="1" thickBot="1">
      <c r="B377" s="1421" t="str">
        <f>HY380</f>
        <v xml:space="preserve"> </v>
      </c>
      <c r="C377" s="1422">
        <f>C372+1</f>
        <v>66</v>
      </c>
      <c r="D377" s="1423"/>
      <c r="E377" s="1424" t="s">
        <v>242</v>
      </c>
      <c r="F377" s="1425"/>
      <c r="G377" s="1426"/>
      <c r="H377" s="1427"/>
      <c r="I377" s="1427"/>
      <c r="J377" s="1427"/>
      <c r="K377" s="1427"/>
      <c r="L377" s="1427"/>
      <c r="M377" s="1427"/>
      <c r="N377" s="1427"/>
      <c r="O377" s="1427"/>
      <c r="P377" s="1427"/>
      <c r="Q377" s="1427"/>
      <c r="R377" s="1427"/>
      <c r="S377" s="1428" t="s">
        <v>283</v>
      </c>
      <c r="T377" s="668" t="s">
        <v>190</v>
      </c>
      <c r="U377" s="1430" t="s">
        <v>186</v>
      </c>
      <c r="V377" s="1431"/>
      <c r="W377" s="1431"/>
      <c r="X377" s="1431"/>
      <c r="Y377" s="1431"/>
      <c r="Z377" s="1431"/>
      <c r="AA377" s="1431"/>
      <c r="AB377" s="1088" t="str">
        <f>IFERROR(IF(__Retrofit_TI_NC=0,VLOOKUP(U378,Fixtures_Existing_List,2,FALSE),ROUND(N379*R379/T379,10)),"")</f>
        <v/>
      </c>
      <c r="AC377" s="1039" t="str">
        <f>IFERROR(IF(__Retrofit_TI_NC=0,ROUND(T378*AB377*N378*R378/1000,0),IF(CN377="Interior",N379*R379*R378*N378*_C406_reduction/1000,N379*R379*R378*N378/1000)),"")</f>
        <v/>
      </c>
      <c r="AD377" s="1040" t="str">
        <f>IFERROR(IF(C$36=0,ROUND(T378*AB377/1000,2),N379*R379/1000),"")</f>
        <v/>
      </c>
      <c r="AE377" s="1044" t="s">
        <v>190</v>
      </c>
      <c r="AF377" s="1432" t="str">
        <f>IF(__Retrofit_TI_NC=2,CONCATENATE("Code min = ",DD377),IF(__Retrofit_TI_NC=1,"Emter what you think the existing control was"," Control"))</f>
        <v xml:space="preserve"> Control</v>
      </c>
      <c r="AG377" s="1432"/>
      <c r="AH377" s="1432"/>
      <c r="AI377" s="1432"/>
      <c r="AJ377" s="1433">
        <f>DF377</f>
        <v>0</v>
      </c>
      <c r="AK377" s="1435" t="str">
        <f>IFERROR(ROUND(AJ377*AC377,0),"")</f>
        <v/>
      </c>
      <c r="AL377" s="1437">
        <f>IFERROR(IF(HW377=FALSE,0,AC377-AK377),0)</f>
        <v>0</v>
      </c>
      <c r="AM377" s="1439">
        <f>AL377-AL379</f>
        <v>0</v>
      </c>
      <c r="AN377" s="1440"/>
      <c r="AO377" s="1445">
        <f>IFERROR(IF(HW377=FALSE,0,(T379*U380)+(AE379*AF380)),0)</f>
        <v>0</v>
      </c>
      <c r="AP377" s="1445"/>
      <c r="AQ377" s="1446"/>
      <c r="AR377" s="1451" t="s">
        <v>157</v>
      </c>
      <c r="AS377" s="1454">
        <f>IF(AR377="Yes",1,0)</f>
        <v>1</v>
      </c>
      <c r="AT377" s="1457" t="str">
        <f>IF(OR(DN377=4,DN377=5,DN377=6,DN377=12),CONCATENATE("$",IF(GD377=TRUE,Lookup!$B$11,Lookup!$B$2)," /lamp"),CONCATENATE(EA377,"/ kWh"))</f>
        <v>0/ kWh</v>
      </c>
      <c r="AU377" s="516"/>
      <c r="AV377" s="1478">
        <f>IFERROR(IF(GI378=TRUE,(AB380*T379)/R379,0),"NA")</f>
        <v>0</v>
      </c>
      <c r="AW377" s="1478" t="str">
        <f>IFERROR(N379*_C406_reduction,"NA")</f>
        <v>NA</v>
      </c>
      <c r="BC377" s="38"/>
      <c r="BD377" s="38"/>
      <c r="BE377" s="38"/>
      <c r="BF377" s="38"/>
      <c r="BG377" s="38"/>
      <c r="BH377" s="38"/>
      <c r="BI377" s="38"/>
      <c r="BJ377" s="38"/>
      <c r="BK377" s="38"/>
      <c r="BL377" s="38"/>
      <c r="BM377" s="38"/>
      <c r="BN377" s="38"/>
      <c r="BO377" s="38"/>
      <c r="BP377" s="38"/>
      <c r="BQ377" s="38"/>
      <c r="BR377" s="38"/>
      <c r="BS377" s="38"/>
      <c r="BT377" s="38"/>
      <c r="BU377" s="38"/>
      <c r="BV377" s="38"/>
      <c r="BW377" s="38"/>
      <c r="BX377" s="38"/>
      <c r="BY377" s="38"/>
      <c r="BZ377" s="38"/>
      <c r="CA377" s="38"/>
      <c r="CB377" s="38"/>
      <c r="CC377" s="38"/>
      <c r="CD377" s="38"/>
      <c r="CE377" s="38"/>
      <c r="CF377" s="38"/>
      <c r="CG377" s="38"/>
      <c r="CH377" s="38"/>
      <c r="CI377" s="38"/>
      <c r="CM377" s="1352" t="str">
        <f>N378</f>
        <v/>
      </c>
      <c r="CN377" s="1352" t="str">
        <f>IFERROR(VLOOKUP(G378,_Lookup_Heat_Type_Table_New,3,FALSE),"")</f>
        <v/>
      </c>
      <c r="CO377" s="1415" t="str">
        <f>CN377</f>
        <v/>
      </c>
      <c r="CP377" s="1417" t="e">
        <f>VLOOKUP(G379,'Space Table'!$B$3:$L$160,9,FALSE)</f>
        <v>#N/A</v>
      </c>
      <c r="CR377" s="1386" t="s">
        <v>283</v>
      </c>
      <c r="CS377" s="1353">
        <f>IF(HW377=TRUE,T378,0)</f>
        <v>0</v>
      </c>
      <c r="CT377" s="1353" t="str">
        <f>IF(HW377=TRUE,U378,"")</f>
        <v/>
      </c>
      <c r="CU377" s="1353"/>
      <c r="CV377" s="1370">
        <f>IF(HW377=TRUE,AB377,0)</f>
        <v>0</v>
      </c>
      <c r="CW377" s="1370">
        <f>IF(HW377=TRUE,AC377,0)</f>
        <v>0</v>
      </c>
      <c r="CX377" s="1370">
        <f>IFERROR(IF(HW377=TRUE,CW377-CW379,0),0)</f>
        <v>0</v>
      </c>
      <c r="CY377" s="1485">
        <f>IF(HW377=TRUE,AD377,0)</f>
        <v>0</v>
      </c>
      <c r="CZ377" s="1485">
        <f>IF(HW377=TRUE,AD380,0)</f>
        <v>0</v>
      </c>
      <c r="DA377" s="1485">
        <f>IFERROR(CY377-CZ377,0)</f>
        <v>0</v>
      </c>
      <c r="DC377" s="1353">
        <f>IF(HW377=TRUE,AE378,0)</f>
        <v>0</v>
      </c>
      <c r="DD377" s="1460">
        <f>IF(__Retrofit_TI_NC=2,IF(CN377="Exterior",O380,FM377),FK377)</f>
        <v>0</v>
      </c>
      <c r="DE377" s="1353"/>
      <c r="DF377" s="1406">
        <f>IFERROR(IF(FL377=3,IK377,IF(FL377=4,IL377,IF(FL377=5,IM377,IF(FL377=6,IN377,IF(FL377=7,IO377,IF(FL377=8,IP377,0)))))),0)</f>
        <v>0</v>
      </c>
      <c r="DG377" s="1370">
        <f>IF(HW377=TRUE,AK377,0)</f>
        <v>0</v>
      </c>
      <c r="DH377" s="1369">
        <f>IFERROR(IF(HW377=TRUE,DG379-DG377,0),0)</f>
        <v>0</v>
      </c>
      <c r="DJ377" s="1483">
        <f>IFERROR(CW377-DG377,0)</f>
        <v>0</v>
      </c>
      <c r="DL377" s="1419">
        <f>DJ377-DK379</f>
        <v>0</v>
      </c>
      <c r="DN377" s="1403" t="str">
        <f>IFERROR(IF(AND(OR(FY377=4,FY377=5,FY377=6),OR(GB377=4,GB377=5,GB377=6)),FY377+8,VLOOKUP(CT379,Fixtures!R$31:Y$78,8,FALSE)),"")</f>
        <v/>
      </c>
      <c r="DO377" s="1404" t="str">
        <f>DN377</f>
        <v/>
      </c>
      <c r="DP377" s="1353" t="str">
        <f>IFERROR(VLOOKUP(DD379,Lookup!AU$3:AV$15,2,FALSE),"")</f>
        <v/>
      </c>
      <c r="DQ377" s="1404" t="str">
        <f>IF(DP377=7,"LLLC","")</f>
        <v/>
      </c>
      <c r="DR377" s="1403">
        <f>IFERROR(IF(OR(DN377=4,DN377=5,DN377=6,DN377=12,DN377=13,DN377=14),VLOOKUP(CT379,Fixtures!DN$27:EG$77,19,FALSE),1)*CS379,0)</f>
        <v>0</v>
      </c>
      <c r="DS377" s="1489">
        <f>IF(DP377=7,IF(DD377=DD379,0,DC379),0)</f>
        <v>0</v>
      </c>
      <c r="DU377" s="1403" t="str">
        <f>IFERROR(IF(EW377&lt;EW379,"Yes","No"),"")</f>
        <v/>
      </c>
      <c r="DV377" s="1404" t="str">
        <f>DU377</f>
        <v/>
      </c>
      <c r="DW377" s="1403">
        <f>IF(DU377="Yes",DC379,0)</f>
        <v>0</v>
      </c>
      <c r="DX377" s="1403">
        <f>DW377-DS377</f>
        <v>0</v>
      </c>
      <c r="DZ377" s="1481">
        <f>IFERROR(VLOOKUP(DN377,Lookup!AN$3:AO$16,2,FALSE),0)</f>
        <v>0</v>
      </c>
      <c r="EA377" s="1481">
        <f>IF(HW377=FALSE,0,IF(DU377="Yes",DZ377+Lookup!B$6,DZ377))</f>
        <v>0</v>
      </c>
      <c r="EC377" s="1482">
        <f>IF(HW377=TRUE,DJ377,0)</f>
        <v>0</v>
      </c>
      <c r="ED377" s="1369">
        <f>IF(HW377=TRUE,CW379,0)</f>
        <v>0</v>
      </c>
      <c r="EE377" s="1370">
        <f>IFERROR(EC377-ED377,0)</f>
        <v>0</v>
      </c>
      <c r="EF377" s="1369">
        <f>IF(HW377=TRUE,DG379,0)</f>
        <v>0</v>
      </c>
      <c r="EG377" s="1369">
        <f>IFERROR(EC377-ED377+EF377,0)</f>
        <v>0</v>
      </c>
      <c r="EH377" s="1373">
        <f>IF(HW377=TRUE,CS379*CU379,0)</f>
        <v>0</v>
      </c>
      <c r="EI377" s="1373">
        <f>IF(HW377=TRUE,DC379*DE379,0)</f>
        <v>0</v>
      </c>
      <c r="EJ377" s="1363">
        <f>AO377</f>
        <v>0</v>
      </c>
      <c r="EK377" s="1376" t="str">
        <f>IFERROR(IF(HW377=TRUE,VLOOKUP(DN377,Lookup!AN$3:AP$16,3,FALSE)*DR377,""),0)</f>
        <v/>
      </c>
      <c r="EL377" s="1376">
        <f>IF(HW377=TRUE,DW377*Lookup!AP$12,0)</f>
        <v>0</v>
      </c>
      <c r="EM377" s="1362">
        <f>IFERROR(IF(HW377=TRUE,EK377/EM$33,0),0)</f>
        <v>0</v>
      </c>
      <c r="EN377" s="1362">
        <f>IF(HW377=TRUE,EL377/EN$33,0)</f>
        <v>0</v>
      </c>
      <c r="EO377" s="1363">
        <f>IF(HW377=TRUE,EQ$33*EM377,0)</f>
        <v>0</v>
      </c>
      <c r="EP377" s="1363">
        <f>IF(HW377=TRUE,EQ$33*EN377,0)</f>
        <v>0</v>
      </c>
      <c r="EQ377" s="1363">
        <f>EO377+EP377</f>
        <v>0</v>
      </c>
      <c r="ES377" s="1403">
        <f>IF(G377="",0,1)</f>
        <v>0</v>
      </c>
      <c r="EU377" s="1410" t="e">
        <f>VLOOKUP(CP379,'Space Table'!$B$3:$L$160,8,FALSE)</f>
        <v>#N/A</v>
      </c>
      <c r="EV377" s="1410" t="e">
        <f>IF(EY377="Yes",VLOOKUP(DD377,Lookup_Control_Type_Table2,4,FALSE),VLOOKUP(DD377,Lookup_Control_Type_Table2,3,FALSE))</f>
        <v>#N/A</v>
      </c>
      <c r="EW377" s="1410" t="e">
        <f>VLOOKUP(DD377,Lookup!AU$3:AV$15,2,FALSE)</f>
        <v>#N/A</v>
      </c>
      <c r="EX377" s="1410" t="e">
        <f>VLOOKUP(EU377,Lookup_Control_Type_Table,2,FALSE)</f>
        <v>#N/A</v>
      </c>
      <c r="EY377" s="1410" t="e">
        <f>VLOOKUP(CP379,'Space Table'!$B$3:$L$160,7,FALSE)</f>
        <v>#N/A</v>
      </c>
      <c r="EZ377" s="1412" t="b">
        <f>ISNUMBER(SEARCH("TLED",U379))</f>
        <v>0</v>
      </c>
      <c r="FB377" s="1365" t="str">
        <f>CONCATENATE(CN377," - ",DD377)</f>
        <v xml:space="preserve"> - 0</v>
      </c>
      <c r="FD377" s="1353" t="str">
        <f>VLOOKUP(CT379,Fixtures!DN$27:EZ$77,38,FALSE)</f>
        <v/>
      </c>
      <c r="FE377" s="1353">
        <f>IFERROR(FD377*EE377,0)</f>
        <v>0</v>
      </c>
      <c r="FF377" s="138"/>
      <c r="FI377" s="1356" t="str">
        <f>IF(CN377="Exterior","Not Daylighted",G380)</f>
        <v>Not Daylighted</v>
      </c>
      <c r="FJ377" s="1356">
        <f>VLOOKUP(FI377,_Daylight_Table_Codes,2,FALSE)</f>
        <v>0</v>
      </c>
      <c r="FK377" s="1365">
        <f>IF(__Retrofit_TI_NC=2,VLOOKUP(G379,'Space Table'!$B$3:$L$160,11,FALSE),AF378)</f>
        <v>0</v>
      </c>
      <c r="FL377" s="1365" t="e">
        <f>VLOOKUP(FK377,_Control_Table,2,FALSE)</f>
        <v>#N/A</v>
      </c>
      <c r="FM377" s="1365" t="e">
        <f>IF(AND(FP377&gt;0,FK377="Occupancy Sensor"),"Daylight + Occupancy",IF(AND(FP377&gt;0,FL377&lt;4),"Interior Daylight Dimming",FK377))</f>
        <v>#N/A</v>
      </c>
      <c r="FO377" s="1364">
        <f>IF(CO377="Interior",VLOOKUP(CP377,Control_Savings_Interior,5,FALSE),0)</f>
        <v>0</v>
      </c>
      <c r="FP377" s="1361">
        <f>IF(CN377="Exterior",0,IF(FJ377=2,0.5,IF(OR(FJ377=1,FJ377=3),1,0)))</f>
        <v>0</v>
      </c>
      <c r="FQ377" s="1366"/>
      <c r="FR377" s="1367"/>
      <c r="FS377" s="1364"/>
      <c r="FT377" s="1367"/>
      <c r="FU377" s="1360"/>
      <c r="FW377" s="1352" t="str">
        <f>IFERROR(VLOOKUP(U378,_Exist_Fixture_Table,3,FALSE),"")</f>
        <v/>
      </c>
      <c r="FX377" s="1352" t="str">
        <f>VLOOKUP(CT377,_Exist_Fixture_Table,4,FALSE)</f>
        <v/>
      </c>
      <c r="FY377" s="1352">
        <f>IFERROR(VLOOKUP(FX377,Lookup!AM$6:AN$8,2,FALSE),0)</f>
        <v>0</v>
      </c>
      <c r="FZ377" s="1352" t="b">
        <f>IFERROR(IF(OR(GB377=4,GB377=5,GB377=6),TRUE,FALSE),"")</f>
        <v>0</v>
      </c>
      <c r="GA377" s="1352" t="str">
        <f>IFERROR(VLOOKUP(GB377,FY$6:FZ$10,2,FALSE),"")</f>
        <v/>
      </c>
      <c r="GB377" s="1352" t="str">
        <f>VLOOKUP(CT379,Fixtures!R$31:Y$78,8,FALSE)</f>
        <v/>
      </c>
      <c r="GC377" s="1352">
        <f>IF(AND(FW377=TRUE,FZ377=TRUE,OR(DN377=12,DN377=13,DN377=14)),FY377+8,0)</f>
        <v>0</v>
      </c>
      <c r="GD377" s="1352" t="b">
        <f>IF(OR(GC377=12,GC377=13,GC377=14),TRUE,FALSE)</f>
        <v>0</v>
      </c>
      <c r="GE377" s="759" t="b">
        <f>IF(ISNUMBER(SEARCH("TLED",U378)),TRUE,FALSE)</f>
        <v>0</v>
      </c>
      <c r="GF377" s="1035" t="str">
        <f>IFERROR(VLOOKUP(U378,Fixtures!BM$93:BR$142,6,FALSE),"")</f>
        <v/>
      </c>
      <c r="GG377" s="1385" t="b">
        <f>IF(OR(GE377=FALSE,GE379=FALSE),TRUE,IF(GF377-GF379&lt;5,FALSE,TRUE))</f>
        <v>1</v>
      </c>
      <c r="GK377" s="1034">
        <f>GL377</f>
        <v>0</v>
      </c>
      <c r="GL377" s="1034">
        <f>IF(G377="",0,1)</f>
        <v>0</v>
      </c>
      <c r="GM377" s="1034">
        <f>SUM(GN377:HB377)</f>
        <v>2</v>
      </c>
      <c r="GN377" s="1034">
        <f>IF(G378="",0,1)</f>
        <v>0</v>
      </c>
      <c r="GO377" s="1034">
        <f>IF(G379="",0,1)</f>
        <v>0</v>
      </c>
      <c r="GP377" s="1034">
        <f>IF(R378="",0,1)</f>
        <v>0</v>
      </c>
      <c r="GQ377" s="1034">
        <f>IF(__Retrofit_TI_NC=0,1,IF(R379="",0,1))</f>
        <v>1</v>
      </c>
      <c r="GR377" s="1034">
        <f>IF(CN377="Exterior",1,IF(G380="",0,1))</f>
        <v>1</v>
      </c>
      <c r="GS377" s="1034">
        <f>IF(__Retrofit_TI_NC&lt;&gt;0,1,IF(T378="",0,1))</f>
        <v>0</v>
      </c>
      <c r="GT377" s="1034">
        <f>IF(__Retrofit_TI_NC&lt;&gt;0,1,IF(U378="",0,1))</f>
        <v>0</v>
      </c>
      <c r="GU377" s="1034">
        <f>IF(T379="",0,1)</f>
        <v>0</v>
      </c>
      <c r="GV377" s="1034">
        <f>IF(U379="",0,1)</f>
        <v>0</v>
      </c>
      <c r="GW377" s="1034">
        <f>IF(__Retrofit_TI_NC=2,1,IF(U380="",0,1))</f>
        <v>0</v>
      </c>
      <c r="GX377" s="1034">
        <f>IF(__Retrofit_TI_NC&lt;&gt;0,1,IF(AE378="",0,1))</f>
        <v>0</v>
      </c>
      <c r="GY377" s="1034">
        <f>IF(__Retrofit_TI_NC&lt;&gt;0,1,IF(AF378="",0,1))</f>
        <v>0</v>
      </c>
      <c r="GZ377" s="1034">
        <f>IF(AE379="",0,1)</f>
        <v>0</v>
      </c>
      <c r="HA377" s="1034">
        <f>IF(AF379="",0,1)</f>
        <v>0</v>
      </c>
      <c r="HB377" s="1034">
        <f>IF(__Retrofit_TI_NC=2,1,IF(AF380="",0,1))</f>
        <v>0</v>
      </c>
      <c r="HV377" s="436"/>
      <c r="HW377" s="1384" t="b">
        <f>IF(OR(HW380=0,HW380=HT$16,HW380=HS$16,HW380=HU$16),TRUE,FALSE)</f>
        <v>0</v>
      </c>
      <c r="HX377" s="1377" t="b">
        <f>HW377</f>
        <v>0</v>
      </c>
      <c r="HY377" s="436"/>
      <c r="HZ377" s="436"/>
      <c r="IA377" s="1386" t="b">
        <f>IF(MAX(GJ380:HP380)&gt;5,FALSE,TRUE)</f>
        <v>0</v>
      </c>
      <c r="IB377" s="1380">
        <f>IF(IA377=TRUE,AC377,0)</f>
        <v>0</v>
      </c>
      <c r="IC377" s="1380">
        <f>IB377-IB379</f>
        <v>0</v>
      </c>
      <c r="IF377" s="1380" t="e">
        <f>ROUND(T378*VLOOKUP(U378,Fixtures_Existing_List,2,FALSE)*N378*R378/1000,0)</f>
        <v>#N/A</v>
      </c>
      <c r="IG377" s="1381" t="e">
        <f>IF377-IF379</f>
        <v>#N/A</v>
      </c>
      <c r="IH377" s="1384" t="e">
        <f>ROUND(IF(CN377="Interior",N379*R379*R378*N378*_C406_reduction/1000,N379*R379*R378*N378/1000),0)</f>
        <v>#N/A</v>
      </c>
      <c r="II377" s="1384" t="e">
        <f>IH377-IH379</f>
        <v>#N/A</v>
      </c>
      <c r="IK377" s="1351" t="e">
        <f>IF($CO377="interior",IL377/2,VLOOKUP($CP377,Control_Savings_Exterior,IK$30,FALSE))</f>
        <v>#N/A</v>
      </c>
      <c r="IL377" s="1351" t="e">
        <f>IF($CO377="interior",VLOOKUP($CP377,Control_Savings_Interior,IL$30,FALSE),VLOOKUP($CP377,Control_Savings_Exterior,IL$30,FALSE))</f>
        <v>#N/A</v>
      </c>
      <c r="IM377" s="1351" t="e">
        <f>IF($CO377="interior",IF(R378&gt;FO$37,(IM$28*(FO$37/R378)),IM$28)*FP377,VLOOKUP($CP377,Control_Savings_Exterior,IM$30,FALSE))</f>
        <v>#N/A</v>
      </c>
      <c r="IN377" s="1351" t="e">
        <f>IF($CO377="interior",ROUND(((1-IL377)*IM377)+IL377,2),VLOOKUP($CP377,Control_Savings_Exterior,IN$30,FALSE))</f>
        <v>#N/A</v>
      </c>
      <c r="IO377" s="1351" t="e">
        <f>IF($CO377="interior", ROUND(((1-IL377)*(IM377*(1-IP$28)))+IP377,2), VLOOKUP($CP377,Control_Savings_Exterior,IO$30,FALSE))</f>
        <v>#N/A</v>
      </c>
      <c r="IP377" s="1351">
        <f>IF($CO377="interior",ROUND(((1-IL377)*IP$28)+IL377,2),0)</f>
        <v>0</v>
      </c>
    </row>
    <row r="378" spans="1:250" s="82" customFormat="1" ht="14.95" customHeight="1" thickTop="1" thickBot="1">
      <c r="B378" s="1421"/>
      <c r="C378" s="1422"/>
      <c r="D378" s="1423"/>
      <c r="E378" s="1393" t="s">
        <v>244</v>
      </c>
      <c r="F378" s="1394"/>
      <c r="G378" s="1395"/>
      <c r="H378" s="1395"/>
      <c r="I378" s="1395"/>
      <c r="J378" s="1395"/>
      <c r="K378" s="1395"/>
      <c r="L378" s="1395"/>
      <c r="M378" s="509" t="e">
        <f>IF(__Retrofit_TI_NC&lt;&gt;0,IF(VLOOKUP(G379,'Space Table'!$B$3:$L$160,3,FALSE)&gt;0,1,0),IF(__Retrofit_TI_NC=VLOOKUP(G379,'Space Table'!$B$3:$L$160,3,FALSE),1,0))</f>
        <v>#N/A</v>
      </c>
      <c r="N378" s="509" t="str">
        <f>IFERROR(VLOOKUP(G378,_Lookup_Heat_Type_Table_New,2,FALSE),"")</f>
        <v/>
      </c>
      <c r="O378" s="509">
        <f>IF(__Retrofit_TI_NC=1,CONCATENATE("TI ",G378),IF(__Retrofit_TI_NC=2,CONCATENATE("NC ",G378),G378))</f>
        <v>0</v>
      </c>
      <c r="P378" s="1396" t="s">
        <v>352</v>
      </c>
      <c r="Q378" s="1396"/>
      <c r="R378" s="673"/>
      <c r="S378" s="1429"/>
      <c r="T378" s="675"/>
      <c r="U378" s="1496"/>
      <c r="V378" s="1497"/>
      <c r="W378" s="1497"/>
      <c r="X378" s="1497"/>
      <c r="Y378" s="1497"/>
      <c r="Z378" s="1497"/>
      <c r="AA378" s="1497"/>
      <c r="AB378" s="1497"/>
      <c r="AC378" s="1497"/>
      <c r="AD378" s="1498"/>
      <c r="AE378" s="675"/>
      <c r="AF378" s="1397"/>
      <c r="AG378" s="1397"/>
      <c r="AH378" s="1397"/>
      <c r="AI378" s="1397"/>
      <c r="AJ378" s="1434"/>
      <c r="AK378" s="1436"/>
      <c r="AL378" s="1438"/>
      <c r="AM378" s="1441"/>
      <c r="AN378" s="1442"/>
      <c r="AO378" s="1447"/>
      <c r="AP378" s="1447"/>
      <c r="AQ378" s="1448"/>
      <c r="AR378" s="1452"/>
      <c r="AS378" s="1455"/>
      <c r="AT378" s="1458"/>
      <c r="AU378" s="516"/>
      <c r="AV378" s="1479"/>
      <c r="AW378" s="1479"/>
      <c r="BC378" s="38"/>
      <c r="BD378" s="38"/>
      <c r="BE378" s="38"/>
      <c r="BF378" s="38"/>
      <c r="BG378" s="38"/>
      <c r="BH378" s="38"/>
      <c r="BI378" s="38"/>
      <c r="BJ378" s="38"/>
      <c r="BK378" s="38"/>
      <c r="BL378" s="38"/>
      <c r="BM378" s="38"/>
      <c r="BN378" s="38"/>
      <c r="BO378" s="38"/>
      <c r="BP378" s="38"/>
      <c r="BQ378" s="38"/>
      <c r="BR378" s="38"/>
      <c r="BS378" s="38"/>
      <c r="BT378" s="38"/>
      <c r="BU378" s="38"/>
      <c r="BV378" s="38"/>
      <c r="BW378" s="38"/>
      <c r="BX378" s="38"/>
      <c r="BY378" s="38"/>
      <c r="BZ378" s="38"/>
      <c r="CA378" s="38"/>
      <c r="CB378" s="38"/>
      <c r="CC378" s="38"/>
      <c r="CD378" s="38"/>
      <c r="CE378" s="38"/>
      <c r="CF378" s="38"/>
      <c r="CG378" s="38"/>
      <c r="CH378" s="38"/>
      <c r="CI378" s="38"/>
      <c r="CM378" s="1352"/>
      <c r="CN378" s="1352"/>
      <c r="CO378" s="1416"/>
      <c r="CP378" s="1418"/>
      <c r="CR378" s="1386"/>
      <c r="CS378" s="1355"/>
      <c r="CT378" s="1355"/>
      <c r="CU378" s="1355"/>
      <c r="CV378" s="1372"/>
      <c r="CW378" s="1372"/>
      <c r="CX378" s="1371"/>
      <c r="CY378" s="1486"/>
      <c r="CZ378" s="1486"/>
      <c r="DA378" s="1486"/>
      <c r="DC378" s="1355"/>
      <c r="DD378" s="1461"/>
      <c r="DE378" s="1355"/>
      <c r="DF378" s="1407"/>
      <c r="DG378" s="1372"/>
      <c r="DH378" s="1369"/>
      <c r="DJ378" s="1484"/>
      <c r="DL378" s="1419"/>
      <c r="DN378" s="1403"/>
      <c r="DO378" s="1405"/>
      <c r="DP378" s="1354"/>
      <c r="DQ378" s="1405"/>
      <c r="DR378" s="1403"/>
      <c r="DS378" s="1489"/>
      <c r="DU378" s="1403"/>
      <c r="DV378" s="1405"/>
      <c r="DW378" s="1403"/>
      <c r="DX378" s="1403"/>
      <c r="DZ378" s="1481"/>
      <c r="EA378" s="1481"/>
      <c r="EC378" s="1482"/>
      <c r="ED378" s="1369"/>
      <c r="EE378" s="1371"/>
      <c r="EF378" s="1369"/>
      <c r="EG378" s="1369"/>
      <c r="EH378" s="1374"/>
      <c r="EI378" s="1374"/>
      <c r="EJ378" s="1363"/>
      <c r="EK378" s="1376"/>
      <c r="EL378" s="1376"/>
      <c r="EM378" s="1362"/>
      <c r="EN378" s="1362"/>
      <c r="EO378" s="1363"/>
      <c r="EP378" s="1363"/>
      <c r="EQ378" s="1363"/>
      <c r="ES378" s="1403"/>
      <c r="EU378" s="1411"/>
      <c r="EV378" s="1411"/>
      <c r="EW378" s="1411"/>
      <c r="EX378" s="1411"/>
      <c r="EY378" s="1411"/>
      <c r="EZ378" s="1413"/>
      <c r="FB378" s="1365"/>
      <c r="FD378" s="1354"/>
      <c r="FE378" s="1354"/>
      <c r="FF378" s="138"/>
      <c r="FI378" s="1357"/>
      <c r="FJ378" s="1357"/>
      <c r="FK378" s="1365"/>
      <c r="FL378" s="1365"/>
      <c r="FM378" s="1365"/>
      <c r="FO378" s="1361"/>
      <c r="FP378" s="1361"/>
      <c r="FQ378" s="1366"/>
      <c r="FR378" s="1368"/>
      <c r="FS378" s="1361"/>
      <c r="FT378" s="1368"/>
      <c r="FU378" s="1360"/>
      <c r="FW378" s="1352"/>
      <c r="FX378" s="1352"/>
      <c r="FY378" s="1352"/>
      <c r="FZ378" s="1352"/>
      <c r="GA378" s="1352"/>
      <c r="GB378" s="1352"/>
      <c r="GC378" s="1352"/>
      <c r="GD378" s="1352"/>
      <c r="GE378" s="759"/>
      <c r="GF378" s="1035"/>
      <c r="GG378" s="1385"/>
      <c r="GI378" s="1384" t="b">
        <f>IF(AND(GL378=TRUE,GM378=TRUE),TRUE,FALSE)</f>
        <v>0</v>
      </c>
      <c r="GJ378" s="1379" t="b">
        <f>IFERROR(IF(__Retrofit_TI_NC=2,TRUE,IF(AR377="Yes",TRUE,FALSE)),FALSE)</f>
        <v>1</v>
      </c>
      <c r="GL378" s="1379" t="b">
        <f>IFERROR(IF(GL377=1,TRUE,FALSE),FALSE)</f>
        <v>0</v>
      </c>
      <c r="GM378" s="1379" t="b">
        <f>IFERROR(IF(GM377=GM$14,TRUE,FALSE),FALSE)</f>
        <v>0</v>
      </c>
      <c r="HC378" s="1379" t="b">
        <f>IFERROR(IF(M378=1,TRUE,FALSE),FALSE)</f>
        <v>0</v>
      </c>
      <c r="HD378" s="1379" t="b">
        <f>IFERROR(IF(M379=1,TRUE,FALSE),FALSE)</f>
        <v>0</v>
      </c>
      <c r="HE378" s="1379" t="b">
        <f>IFERROR(IF(__Retrofit_TI_NC&lt;&gt;0,TRUE,IFERROR(IF(VLOOKUP(U378,Fixtures_Existing_List,2,FALSE)&lt;&gt;"",TRUE,FALSE),FALSE)),FALSE)</f>
        <v>0</v>
      </c>
      <c r="HF378" s="1379" t="b">
        <f>IFERROR(IF(VLOOKUP(U379,Fixtures_Proposed_List,2,FALSE)&lt;&gt;"",TRUE,FALSE),FALSE)</f>
        <v>0</v>
      </c>
      <c r="HG378" s="1379" t="b">
        <f>IF(AND(__Retrofit_TI_NC=2,EZ377=TRUE),FALSE,TRUE)</f>
        <v>1</v>
      </c>
      <c r="HH378" s="1379" t="b">
        <f>GG377</f>
        <v>1</v>
      </c>
      <c r="HI378" s="1384" t="b">
        <f>IF(ISERROR(MATCH(FB377,_Control_Match[],0))=TRUE,FALSE,TRUE)</f>
        <v>0</v>
      </c>
      <c r="HJ378" s="1384" t="b">
        <f>IFERROR(IF(EU377&lt;&gt;EV377,FALSE,TRUE),FALSE)</f>
        <v>0</v>
      </c>
      <c r="HK378" s="1384" t="b">
        <f>IFERROR(IF(EU379&lt;&gt;EV379,FALSE,TRUE),FALSE)</f>
        <v>0</v>
      </c>
      <c r="HL378" s="1379" t="b">
        <f>IFERROR(IF(CN377="Exterior",TRUE,IF(OR(AND(FJ377=0,EW379&gt;4),AND(FJ377=4,EW379&gt;4,EW379&lt;7)),FALSE,TRUE)),FALSE)</f>
        <v>0</v>
      </c>
      <c r="HM378" s="1379" t="b">
        <f>IFERROR(IF(AND(FL379=7,EZ377=TRUE),FALSE,TRUE),FALSE)</f>
        <v>0</v>
      </c>
      <c r="HN378" s="1379" t="b">
        <f>IFERROR(IF(AND(T379&lt;&gt;AE379,AF379="Interior LLLC")=TRUE,FALSE,TRUE),FALSE)</f>
        <v>1</v>
      </c>
      <c r="HO378" s="1379" t="b">
        <f>IFERROR(IF(OR(AF379=Lookup!AU$13,AF379=Lookup!AU$14)=TRUE,IF(AE379&gt;T379,FALSE,TRUE),TRUE),FALSE)</f>
        <v>1</v>
      </c>
      <c r="HP378" s="1379" t="b">
        <f>IFERROR(IF(__Retrofit_TI_NC=2,IF(EW379&lt;EW377,FALSE,TRUE),TRUE),FALSE)</f>
        <v>1</v>
      </c>
      <c r="HQ378" s="1379" t="b">
        <f>IF(CN377="Interior",IG$6,TRUE)</f>
        <v>1</v>
      </c>
      <c r="HR378" s="1379" t="b">
        <f>IF(CN377="Exterior",IG$8,TRUE)</f>
        <v>1</v>
      </c>
      <c r="HS378" s="1379" t="b">
        <f>IFERROR(IF(__Retrofit_TI_NC&lt;&gt;0,IF(AW377&lt;AV377,FALSE,TRUE),TRUE),FALSE)</f>
        <v>1</v>
      </c>
      <c r="HT378" s="1379" t="b">
        <f>IFERROR(IF(AND(G378="Exterior",R378&gt;4200),FALSE,TRUE),FALSE)</f>
        <v>1</v>
      </c>
      <c r="HU378" s="1379" t="b">
        <f>IFERROR(IF(AB380/AB377&lt;HU$18,FALSE,TRUE),FALSE)</f>
        <v>0</v>
      </c>
      <c r="HW378" s="1382"/>
      <c r="HX378" s="1378"/>
      <c r="HY378" s="1377" t="str">
        <f>VLOOKUP(HW380,_Error_Table,4,FALSE)</f>
        <v>White</v>
      </c>
      <c r="HZ378" s="436"/>
      <c r="IA378" s="1386"/>
      <c r="IB378" s="1380"/>
      <c r="IC378" s="1379"/>
      <c r="IF378" s="1380"/>
      <c r="IG378" s="1382"/>
      <c r="IH378" s="1382"/>
      <c r="II378" s="1382"/>
      <c r="IK378" s="1351"/>
      <c r="IL378" s="1351"/>
      <c r="IM378" s="1351"/>
      <c r="IN378" s="1351"/>
      <c r="IO378" s="1351"/>
      <c r="IP378" s="1351"/>
    </row>
    <row r="379" spans="1:250" s="82" customFormat="1" ht="14.95" customHeight="1" thickTop="1" thickBot="1">
      <c r="A379" s="82">
        <f>ROW()</f>
        <v>379</v>
      </c>
      <c r="B379" s="1421"/>
      <c r="C379" s="1422"/>
      <c r="D379" s="1423"/>
      <c r="E379" s="1393" t="s">
        <v>245</v>
      </c>
      <c r="F379" s="1394"/>
      <c r="G379" s="1398"/>
      <c r="H379" s="1399"/>
      <c r="I379" s="1399"/>
      <c r="J379" s="1399"/>
      <c r="K379" s="1399"/>
      <c r="L379" s="1400"/>
      <c r="M379" s="509">
        <f>IFERROR(IF(IF(__Retrofit_TI_NC&lt;&gt;0,IF(CN377="Interior",MATCH(G379,Lookup_Interior_New,0),MATCH(G379,Lookup_Exterior_New,0)),IF(CN377="Interior",MATCH(G379,Lookup_Interior,0),MATCH(G379,Lookup_Exterior_Areas,0)))&gt;0,1,0),0)</f>
        <v>0</v>
      </c>
      <c r="N379" s="509" t="e">
        <f>IF(__Retrofit_TI_NC=1,
VLOOKUP(G379,'Space Table'!$B$3:$L$160,4,FALSE),
IF(__Retrofit_TI_NC=2,VLOOKUP(G379,'Space Table'!$B$3:$L$160,5,FALSE),VLOOKUP(G379,'Space Table'!$B$3:$L$160,5,FALSE)))</f>
        <v>#N/A</v>
      </c>
      <c r="O379" s="509">
        <f>G379</f>
        <v>0</v>
      </c>
      <c r="P379" s="1394" t="s">
        <v>355</v>
      </c>
      <c r="Q379" s="1394"/>
      <c r="R379" s="674"/>
      <c r="S379" s="1401" t="s">
        <v>284</v>
      </c>
      <c r="T379" s="672"/>
      <c r="U379" s="1499"/>
      <c r="V379" s="1500"/>
      <c r="W379" s="1500"/>
      <c r="X379" s="1500"/>
      <c r="Y379" s="1500"/>
      <c r="Z379" s="1500"/>
      <c r="AA379" s="1500"/>
      <c r="AB379" s="1501"/>
      <c r="AC379" s="1501"/>
      <c r="AD379" s="1502"/>
      <c r="AE379" s="672"/>
      <c r="AF379" s="1474"/>
      <c r="AG379" s="1474"/>
      <c r="AH379" s="1474"/>
      <c r="AI379" s="1474"/>
      <c r="AJ379" s="1475">
        <f>DF379</f>
        <v>0</v>
      </c>
      <c r="AK379" s="1470" t="str">
        <f>IFERROR(ROUND(AJ379*AC380,0),"")</f>
        <v/>
      </c>
      <c r="AL379" s="1472">
        <f>IFERROR(IF(HW377=FALSE,0,AC380-AK379),0)</f>
        <v>0</v>
      </c>
      <c r="AM379" s="1441"/>
      <c r="AN379" s="1442"/>
      <c r="AO379" s="1447"/>
      <c r="AP379" s="1447"/>
      <c r="AQ379" s="1448"/>
      <c r="AR379" s="1452"/>
      <c r="AS379" s="1455"/>
      <c r="AT379" s="1458"/>
      <c r="AU379" s="516"/>
      <c r="AV379" s="1479"/>
      <c r="AW379" s="1479"/>
      <c r="BC379" s="38"/>
      <c r="BD379" s="38"/>
      <c r="BE379" s="38"/>
      <c r="BF379" s="38"/>
      <c r="BG379" s="38"/>
      <c r="BH379" s="38"/>
      <c r="BI379" s="38"/>
      <c r="BJ379" s="38"/>
      <c r="BK379" s="38"/>
      <c r="BL379" s="38"/>
      <c r="BM379" s="38"/>
      <c r="BN379" s="38"/>
      <c r="BO379" s="38"/>
      <c r="BP379" s="38"/>
      <c r="BQ379" s="38"/>
      <c r="BR379" s="38"/>
      <c r="BS379" s="38"/>
      <c r="BT379" s="38"/>
      <c r="BU379" s="38"/>
      <c r="BV379" s="38"/>
      <c r="BW379" s="38"/>
      <c r="BX379" s="38"/>
      <c r="BY379" s="38"/>
      <c r="BZ379" s="38"/>
      <c r="CA379" s="38"/>
      <c r="CB379" s="38"/>
      <c r="CC379" s="38"/>
      <c r="CD379" s="38"/>
      <c r="CE379" s="38"/>
      <c r="CF379" s="38"/>
      <c r="CG379" s="38"/>
      <c r="CH379" s="38"/>
      <c r="CI379" s="38"/>
      <c r="CM379" s="1352"/>
      <c r="CN379" s="1352"/>
      <c r="CO379" s="1415" t="str">
        <f>CN377</f>
        <v/>
      </c>
      <c r="CP379" s="1417" t="e">
        <f>CP377</f>
        <v>#N/A</v>
      </c>
      <c r="CR379" s="1386" t="s">
        <v>284</v>
      </c>
      <c r="CS379" s="1353">
        <f>IF(HW377=TRUE,T379,0)</f>
        <v>0</v>
      </c>
      <c r="CT379" s="1353" t="str">
        <f>IF(HW377=TRUE,U379,"")</f>
        <v/>
      </c>
      <c r="CU379" s="1373">
        <f>IF(HW377=TRUE,U380,0)</f>
        <v>0</v>
      </c>
      <c r="CV379" s="1370">
        <f>IF(HW377=TRUE,AB380,0)</f>
        <v>0</v>
      </c>
      <c r="CW379" s="1370">
        <f>IF(HW377=TRUE,AC380,0)</f>
        <v>0</v>
      </c>
      <c r="CX379" s="1371"/>
      <c r="CY379" s="1486"/>
      <c r="CZ379" s="1486"/>
      <c r="DA379" s="1486"/>
      <c r="DC379" s="1353">
        <f>IF(HW377=TRUE,AE379,0)</f>
        <v>0</v>
      </c>
      <c r="DD379" s="1353" t="str">
        <f>IF(HW377=TRUE,AF379,"")</f>
        <v/>
      </c>
      <c r="DE379" s="1373">
        <f>AF380</f>
        <v>0</v>
      </c>
      <c r="DF379" s="1406">
        <f>IFERROR(IF(FL379=3,IK379,IF(FL379=4,IL379,IF(FL379=5,IM379,IF(FL379=6,IN379,IF(FL379=7,IO379,IF(FL379=8,IP379,0)))))),0)</f>
        <v>0</v>
      </c>
      <c r="DG379" s="1370">
        <f>IF(HW377=TRUE,AK379,0)</f>
        <v>0</v>
      </c>
      <c r="DH379" s="1369"/>
      <c r="DK379" s="1483">
        <f>IFERROR(CW379-DG379,0)</f>
        <v>0</v>
      </c>
      <c r="DL379" s="1420"/>
      <c r="DN379" s="1403"/>
      <c r="DO379" s="1477" t="str">
        <f>DN377</f>
        <v/>
      </c>
      <c r="DP379" s="1354"/>
      <c r="DQ379" s="1477" t="str">
        <f>IF(DP377=7,"LLLC","")</f>
        <v/>
      </c>
      <c r="DR379" s="1403"/>
      <c r="DS379" s="1489"/>
      <c r="DU379" s="1403"/>
      <c r="DV379" s="1404" t="str">
        <f>DU377</f>
        <v/>
      </c>
      <c r="DW379" s="1403"/>
      <c r="DX379" s="1403"/>
      <c r="DZ379" s="1481"/>
      <c r="EA379" s="1481"/>
      <c r="EC379" s="1482"/>
      <c r="ED379" s="1369"/>
      <c r="EE379" s="1371"/>
      <c r="EF379" s="1369"/>
      <c r="EG379" s="1369"/>
      <c r="EH379" s="1374"/>
      <c r="EI379" s="1374"/>
      <c r="EJ379" s="1363"/>
      <c r="EK379" s="1376"/>
      <c r="EL379" s="1376"/>
      <c r="EM379" s="1362"/>
      <c r="EN379" s="1362"/>
      <c r="EO379" s="1363"/>
      <c r="EP379" s="1363"/>
      <c r="EQ379" s="1363"/>
      <c r="ES379" s="1403"/>
      <c r="EU379" s="1411" t="e">
        <f>VLOOKUP(CP379,'Space Table'!$B$3:$L$160,8,FALSE)</f>
        <v>#N/A</v>
      </c>
      <c r="EV379" s="1411" t="e">
        <f>IF(EY379="Yes",VLOOKUP(AF379,Lookup_Control_Type_Table2,4,FALSE),VLOOKUP(AF379,Lookup_Control_Type_Table2,3,FALSE))</f>
        <v>#N/A</v>
      </c>
      <c r="EW379" s="1411" t="e">
        <f>VLOOKUP(AF379,Lookup!AU$3:AV$15,2,FALSE)</f>
        <v>#N/A</v>
      </c>
      <c r="EX379" s="1411" t="e">
        <f>VLOOKUP(EU377,Lookup_Control_Type_Table,2,FALSE)</f>
        <v>#N/A</v>
      </c>
      <c r="EY379" s="1411" t="e">
        <f>VLOOKUP(CP379,'Space Table'!$B$3:$L$160,7,FALSE)</f>
        <v>#N/A</v>
      </c>
      <c r="EZ379" s="1413"/>
      <c r="FB379" s="1365" t="str">
        <f>CONCATENATE(CN377," - ",AF379)</f>
        <v xml:space="preserve"> - </v>
      </c>
      <c r="FD379" s="1354"/>
      <c r="FE379" s="1354"/>
      <c r="FF379" s="138"/>
      <c r="FI379" s="1356" t="str">
        <f>IF(CN377="Exterior","Not Daylighted",G380)</f>
        <v>Not Daylighted</v>
      </c>
      <c r="FJ379" s="1356">
        <f>VLOOKUP(FI379,_Daylight_Table_Codes,2,FALSE)</f>
        <v>0</v>
      </c>
      <c r="FK379" s="1365">
        <f>AF379</f>
        <v>0</v>
      </c>
      <c r="FL379" s="1365" t="e">
        <f>VLOOKUP(FK379,_Control_Table,2,FALSE)</f>
        <v>#N/A</v>
      </c>
      <c r="FM379" s="1365" t="e">
        <f>IF(AND(FP379&gt;0,FK379="Occupancy Sensor"),"Daylight + Occupancy",IF(AND(FP379&gt;0,FL379&lt;4),"Interior Daylight Dimming",FK379))</f>
        <v>#N/A</v>
      </c>
      <c r="FO379" s="1364">
        <f>IF(CN377="Interior",VLOOKUP(CP377,Control_Savings_Interior,5,FALSE),0)</f>
        <v>0</v>
      </c>
      <c r="FP379" s="1361">
        <f>IF(CN379="Exterior",0,IF(FJ379=2,0.5,IF(OR(FJ379=1,FJ379=3),1,0)))</f>
        <v>0</v>
      </c>
      <c r="FQ379" s="1366">
        <f>IF(R378&gt;FO$37,(FO379*(FO$37/R378)),FO379)*FP379</f>
        <v>0</v>
      </c>
      <c r="FR379" s="1364">
        <f>DF379</f>
        <v>0</v>
      </c>
      <c r="FS379" s="1364">
        <f>ROUND(FR379+((1-FR379)*FQ379),2)</f>
        <v>0</v>
      </c>
      <c r="FT379" s="1364">
        <f>IF(__Retrofit_TI_NC=2,FS379,FR379)</f>
        <v>0</v>
      </c>
      <c r="FU379" s="1360">
        <f>IF(CO379="Interior",VLOOKUP(CP379,Control_Savings_Interior,4,FALSE),0)</f>
        <v>0</v>
      </c>
      <c r="FW379" s="1352"/>
      <c r="FX379" s="1352"/>
      <c r="FY379" s="1352"/>
      <c r="FZ379" s="1352"/>
      <c r="GA379" s="1352"/>
      <c r="GB379" s="1352"/>
      <c r="GC379" s="1352"/>
      <c r="GD379" s="1352"/>
      <c r="GE379" s="759" t="b">
        <f>IF(ISNUMBER(SEARCH("TLED",U379)),TRUE,FALSE)</f>
        <v>0</v>
      </c>
      <c r="GF379" s="1035" t="str">
        <f>IFERROR(VLOOKUP(U379,Fixtures!DM$93:DR$142,6,FALSE),"")</f>
        <v/>
      </c>
      <c r="GG379" s="1385"/>
      <c r="GI379" s="1383"/>
      <c r="GJ379" s="1379"/>
      <c r="GL379" s="1379"/>
      <c r="GM379" s="1379"/>
      <c r="HC379" s="1379"/>
      <c r="HD379" s="1379"/>
      <c r="HE379" s="1379"/>
      <c r="HF379" s="1379"/>
      <c r="HG379" s="1379"/>
      <c r="HH379" s="1379"/>
      <c r="HI379" s="1383"/>
      <c r="HJ379" s="1383"/>
      <c r="HK379" s="1383"/>
      <c r="HL379" s="1379"/>
      <c r="HM379" s="1379"/>
      <c r="HN379" s="1379"/>
      <c r="HO379" s="1379"/>
      <c r="HP379" s="1379"/>
      <c r="HQ379" s="1379"/>
      <c r="HR379" s="1379"/>
      <c r="HS379" s="1379"/>
      <c r="HT379" s="1379"/>
      <c r="HU379" s="1379"/>
      <c r="HW379" s="1383"/>
      <c r="HX379" s="1384" t="b">
        <f>HW377</f>
        <v>0</v>
      </c>
      <c r="HY379" s="1378"/>
      <c r="HZ379" s="436"/>
      <c r="IA379" s="1386"/>
      <c r="IB379" s="1380">
        <f>IF(IA377=TRUE,AC380,0)</f>
        <v>0</v>
      </c>
      <c r="IC379" s="1379"/>
      <c r="IF379" s="1380" t="e">
        <f>ROUND(T379*AB380*N378*R378/1000,0)</f>
        <v>#VALUE!</v>
      </c>
      <c r="IG379" s="1382"/>
      <c r="IH379" s="1384" t="e">
        <f>ROUND(T379*AB380*N378*R378/1000,0)</f>
        <v>#VALUE!</v>
      </c>
      <c r="II379" s="1382"/>
      <c r="IK379" s="1351" t="e">
        <f>IF($CO379="interior",IL379/2,VLOOKUP($CP379,Control_Savings_Exterior,IK$30,FALSE))</f>
        <v>#N/A</v>
      </c>
      <c r="IL379" s="1351" t="e">
        <f>IF($CO379="interior",VLOOKUP($CP379,Control_Savings_Interior,IL$30,FALSE),VLOOKUP($CP379,Control_Savings_Exterior,IL$30,FALSE))</f>
        <v>#N/A</v>
      </c>
      <c r="IM379" s="1351" t="e">
        <f>IF($CO379="interior",IF(R378&gt;FO$37,(IM$28*(FO$37/R378)),IM$28)*FP379,VLOOKUP($CP379,Control_Savings_Exterior,IM$30,FALSE))</f>
        <v>#N/A</v>
      </c>
      <c r="IN379" s="1351" t="e">
        <f>IF($CO379="interior",ROUND(((1-IL379)*IM379)+IL379,2),VLOOKUP($CP379,Control_Savings_Exterior,IN$30,FALSE))</f>
        <v>#N/A</v>
      </c>
      <c r="IO379" s="1351" t="e">
        <f>IF($CO379="interior", ROUND(((1-IL379)*(IM379*(1-IP$28)))+IP379,2), VLOOKUP($CP379,Control_Savings_Exterior,IO$30,FALSE))</f>
        <v>#N/A</v>
      </c>
      <c r="IP379" s="1351">
        <f>IF($CO379="interior",ROUND(((1-IL379)*IP$28)+IL379,2),0)</f>
        <v>0</v>
      </c>
    </row>
    <row r="380" spans="1:250" s="82" customFormat="1" ht="14.95" customHeight="1" thickTop="1" thickBot="1">
      <c r="B380" s="1421"/>
      <c r="C380" s="1422"/>
      <c r="D380" s="1423"/>
      <c r="E380" s="1462" t="s">
        <v>357</v>
      </c>
      <c r="F380" s="1463"/>
      <c r="G380" s="1464" t="s">
        <v>362</v>
      </c>
      <c r="H380" s="1465"/>
      <c r="I380" s="1465"/>
      <c r="J380" s="1465"/>
      <c r="K380" s="1465"/>
      <c r="L380" s="1466"/>
      <c r="M380" s="669">
        <f>IFERROR(VLOOKUP(G380,_Daylight_Table[],2,FALSE),0)</f>
        <v>0</v>
      </c>
      <c r="N380" s="670"/>
      <c r="O380" s="669" t="e">
        <f>VLOOKUP(G379,'Space Table'!$B$3:$L$160,11,FALSE)</f>
        <v>#N/A</v>
      </c>
      <c r="P380" s="1408"/>
      <c r="Q380" s="1409"/>
      <c r="R380" s="1409"/>
      <c r="S380" s="1402"/>
      <c r="T380" s="671" t="s">
        <v>281</v>
      </c>
      <c r="U380" s="1467" t="str">
        <f>IFERROR(VLOOKUP(U379,Fixtures!DM$93:DP$142,4,FALSE),"")</f>
        <v/>
      </c>
      <c r="V380" s="1468"/>
      <c r="W380" s="1468"/>
      <c r="X380" s="1468"/>
      <c r="Y380" s="1468"/>
      <c r="Z380" s="1468"/>
      <c r="AA380" s="1468"/>
      <c r="AB380" s="1046" t="str">
        <f>IFERROR(VLOOKUP(U379,Fixtures_Proposed_List,2,FALSE),"")</f>
        <v/>
      </c>
      <c r="AC380" s="1036" t="str">
        <f>IFERROR(ROUND(T379*AB380*N378*R378/1000,0),"")</f>
        <v/>
      </c>
      <c r="AD380" s="1037" t="str">
        <f>IFERROR(ROUND(T379*AB380/1000,2),"")</f>
        <v/>
      </c>
      <c r="AE380" s="1045" t="s">
        <v>281</v>
      </c>
      <c r="AF380" s="1469"/>
      <c r="AG380" s="1469"/>
      <c r="AH380" s="1469"/>
      <c r="AI380" s="1469"/>
      <c r="AJ380" s="1476"/>
      <c r="AK380" s="1471"/>
      <c r="AL380" s="1473"/>
      <c r="AM380" s="1443"/>
      <c r="AN380" s="1444"/>
      <c r="AO380" s="1449"/>
      <c r="AP380" s="1449"/>
      <c r="AQ380" s="1450"/>
      <c r="AR380" s="1453"/>
      <c r="AS380" s="1456"/>
      <c r="AT380" s="1459"/>
      <c r="AU380" s="517"/>
      <c r="AV380" s="1480"/>
      <c r="AW380" s="1480"/>
      <c r="BC380" s="38"/>
      <c r="BD380" s="38"/>
      <c r="BE380" s="38"/>
      <c r="BF380" s="38"/>
      <c r="BG380" s="38"/>
      <c r="BH380" s="38"/>
      <c r="BI380" s="38"/>
      <c r="BJ380" s="38"/>
      <c r="BK380" s="38"/>
      <c r="BL380" s="38"/>
      <c r="BM380" s="38"/>
      <c r="BN380" s="38"/>
      <c r="BO380" s="38"/>
      <c r="BP380" s="38"/>
      <c r="BQ380" s="38"/>
      <c r="BR380" s="38"/>
      <c r="BS380" s="38"/>
      <c r="BT380" s="38"/>
      <c r="BU380" s="38"/>
      <c r="BV380" s="38"/>
      <c r="BW380" s="38"/>
      <c r="BX380" s="38"/>
      <c r="BY380" s="38"/>
      <c r="BZ380" s="38"/>
      <c r="CA380" s="38"/>
      <c r="CB380" s="38"/>
      <c r="CC380" s="38"/>
      <c r="CD380" s="38"/>
      <c r="CE380" s="38"/>
      <c r="CF380" s="38"/>
      <c r="CG380" s="38"/>
      <c r="CH380" s="38"/>
      <c r="CI380" s="38"/>
      <c r="CM380" s="1352"/>
      <c r="CN380" s="1352"/>
      <c r="CO380" s="1416"/>
      <c r="CP380" s="1418"/>
      <c r="CR380" s="1386"/>
      <c r="CS380" s="1355"/>
      <c r="CT380" s="1355"/>
      <c r="CU380" s="1375"/>
      <c r="CV380" s="1372"/>
      <c r="CW380" s="1372"/>
      <c r="CX380" s="1372"/>
      <c r="CY380" s="1487"/>
      <c r="CZ380" s="1487"/>
      <c r="DA380" s="1487"/>
      <c r="DC380" s="1355"/>
      <c r="DD380" s="1355"/>
      <c r="DE380" s="1375"/>
      <c r="DF380" s="1407"/>
      <c r="DG380" s="1372"/>
      <c r="DH380" s="1369"/>
      <c r="DK380" s="1484"/>
      <c r="DL380" s="1420"/>
      <c r="DN380" s="1403"/>
      <c r="DO380" s="1405"/>
      <c r="DP380" s="1355"/>
      <c r="DQ380" s="1405"/>
      <c r="DR380" s="1403"/>
      <c r="DS380" s="1489"/>
      <c r="DU380" s="1403"/>
      <c r="DV380" s="1405"/>
      <c r="DW380" s="1403"/>
      <c r="DX380" s="1403"/>
      <c r="DZ380" s="1481"/>
      <c r="EA380" s="1481"/>
      <c r="EC380" s="1482"/>
      <c r="ED380" s="1369"/>
      <c r="EE380" s="1372"/>
      <c r="EF380" s="1369"/>
      <c r="EG380" s="1369"/>
      <c r="EH380" s="1375"/>
      <c r="EI380" s="1375"/>
      <c r="EJ380" s="1363"/>
      <c r="EK380" s="1376"/>
      <c r="EL380" s="1376"/>
      <c r="EM380" s="1362"/>
      <c r="EN380" s="1362"/>
      <c r="EO380" s="1363"/>
      <c r="EP380" s="1363"/>
      <c r="EQ380" s="1363"/>
      <c r="ES380" s="1403"/>
      <c r="EU380" s="1488"/>
      <c r="EV380" s="1488"/>
      <c r="EW380" s="1488"/>
      <c r="EX380" s="1488"/>
      <c r="EY380" s="1488"/>
      <c r="EZ380" s="1414"/>
      <c r="FB380" s="1365"/>
      <c r="FD380" s="1355"/>
      <c r="FE380" s="1355"/>
      <c r="FF380" s="138"/>
      <c r="FI380" s="1357"/>
      <c r="FJ380" s="1357"/>
      <c r="FK380" s="1365"/>
      <c r="FL380" s="1365"/>
      <c r="FM380" s="1365"/>
      <c r="FO380" s="1361"/>
      <c r="FP380" s="1361"/>
      <c r="FQ380" s="1366"/>
      <c r="FR380" s="1361"/>
      <c r="FS380" s="1361"/>
      <c r="FT380" s="1361"/>
      <c r="FU380" s="1360"/>
      <c r="FW380" s="1352"/>
      <c r="FX380" s="1352"/>
      <c r="FY380" s="1352"/>
      <c r="FZ380" s="1352"/>
      <c r="GA380" s="1352"/>
      <c r="GB380" s="1352"/>
      <c r="GC380" s="1352"/>
      <c r="GD380" s="1352"/>
      <c r="GE380" s="759"/>
      <c r="GF380" s="1035"/>
      <c r="GG380" s="1385"/>
      <c r="GJ380" s="1034">
        <f>IF(GJ378=TRUE,0,GJ$16)</f>
        <v>0</v>
      </c>
      <c r="GL380" s="1034">
        <f>IF(GL378=TRUE,0,GL$16)</f>
        <v>36</v>
      </c>
      <c r="GM380" s="1034">
        <f>IF(GM378=TRUE,0,GM$16)</f>
        <v>35</v>
      </c>
      <c r="GN380" s="436"/>
      <c r="GO380" s="436"/>
      <c r="GP380" s="436"/>
      <c r="GQ380" s="436"/>
      <c r="GR380" s="436"/>
      <c r="HC380" s="1034">
        <f t="shared" ref="HC380:HH380" si="274">IF(HC378=TRUE,0,HC$16)</f>
        <v>19</v>
      </c>
      <c r="HD380" s="1034">
        <f t="shared" si="274"/>
        <v>18</v>
      </c>
      <c r="HE380" s="1034">
        <f t="shared" si="274"/>
        <v>17</v>
      </c>
      <c r="HF380" s="1034">
        <f t="shared" si="274"/>
        <v>16</v>
      </c>
      <c r="HG380" s="1034">
        <f t="shared" si="274"/>
        <v>0</v>
      </c>
      <c r="HH380" s="1034">
        <f t="shared" si="274"/>
        <v>0</v>
      </c>
      <c r="HI380" s="1034">
        <f>IF(HI378=TRUE,0,HI$16)</f>
        <v>13</v>
      </c>
      <c r="HJ380" s="1034">
        <f t="shared" ref="HJ380:HL380" si="275">IF(HJ378=TRUE,0,HJ$16)</f>
        <v>12</v>
      </c>
      <c r="HK380" s="1034">
        <f t="shared" si="275"/>
        <v>11</v>
      </c>
      <c r="HL380" s="1034">
        <f t="shared" si="275"/>
        <v>10</v>
      </c>
      <c r="HM380" s="1034">
        <f>IF(HM378=TRUE,0,HM$16)</f>
        <v>9</v>
      </c>
      <c r="HN380" s="1034">
        <f t="shared" ref="HN380:HR380" si="276">IF(HN378=TRUE,0,HN$16)</f>
        <v>0</v>
      </c>
      <c r="HO380" s="1034">
        <f t="shared" si="276"/>
        <v>0</v>
      </c>
      <c r="HP380" s="1034">
        <f t="shared" si="276"/>
        <v>0</v>
      </c>
      <c r="HQ380" s="1034">
        <f t="shared" si="276"/>
        <v>0</v>
      </c>
      <c r="HR380" s="1034">
        <f t="shared" si="276"/>
        <v>0</v>
      </c>
      <c r="HS380" s="1034">
        <f>IF(HS378=TRUE,0,HS$16)</f>
        <v>0</v>
      </c>
      <c r="HT380" s="1034">
        <f t="shared" ref="HT380" si="277">IF(HT378=TRUE,0,HT$16)</f>
        <v>0</v>
      </c>
      <c r="HU380" s="1034">
        <f>IF(HU378=TRUE,0,HU$16)</f>
        <v>1</v>
      </c>
      <c r="HW380" s="1034">
        <f>IF(GL378=FALSE,GL380,IF(GM378=FALSE,GM380,MAX(GJ380:HU380)))</f>
        <v>36</v>
      </c>
      <c r="HX380" s="1383"/>
      <c r="HY380" s="241" t="str">
        <f>VLOOKUP(HW380,_Error_Table,3,FALSE)</f>
        <v xml:space="preserve"> </v>
      </c>
      <c r="HZ380" s="241"/>
      <c r="IA380" s="1386"/>
      <c r="IB380" s="1380"/>
      <c r="IC380" s="1379"/>
      <c r="IF380" s="1380"/>
      <c r="IG380" s="1383"/>
      <c r="IH380" s="1383"/>
      <c r="II380" s="1383"/>
      <c r="IK380" s="1351"/>
      <c r="IL380" s="1351"/>
      <c r="IM380" s="1351"/>
      <c r="IN380" s="1351"/>
      <c r="IO380" s="1351"/>
      <c r="IP380" s="1351"/>
    </row>
    <row r="381" spans="1:250" s="82" customFormat="1" ht="5.0999999999999996" customHeight="1" thickBot="1">
      <c r="B381" s="763"/>
      <c r="C381" s="1038"/>
      <c r="D381" s="1038"/>
      <c r="E381" s="1490"/>
      <c r="F381" s="1490"/>
      <c r="G381" s="1490"/>
      <c r="H381" s="1490"/>
      <c r="I381" s="1490"/>
      <c r="J381" s="1490"/>
      <c r="K381" s="1490"/>
      <c r="L381" s="1490"/>
      <c r="M381" s="1490"/>
      <c r="N381" s="1490"/>
      <c r="O381" s="1490"/>
      <c r="P381" s="1490"/>
      <c r="Q381" s="1490"/>
      <c r="R381" s="1490"/>
      <c r="S381" s="1490"/>
      <c r="T381" s="1490"/>
      <c r="U381" s="1490"/>
      <c r="V381" s="1490"/>
      <c r="W381" s="1490"/>
      <c r="X381" s="1490"/>
      <c r="Y381" s="1490"/>
      <c r="Z381" s="1490"/>
      <c r="AA381" s="1490"/>
      <c r="AB381" s="1490"/>
      <c r="AC381" s="1490"/>
      <c r="AD381" s="1490"/>
      <c r="AE381" s="1490"/>
      <c r="AF381" s="1490"/>
      <c r="AG381" s="1490"/>
      <c r="AH381" s="1490"/>
      <c r="AI381" s="1490"/>
      <c r="AJ381" s="1490"/>
      <c r="AK381" s="1490"/>
      <c r="AL381" s="1490"/>
      <c r="AM381" s="1490"/>
      <c r="AN381" s="1490"/>
      <c r="AO381" s="1490"/>
      <c r="AP381" s="1490"/>
      <c r="AQ381" s="1490"/>
      <c r="AR381" s="1490"/>
      <c r="AS381" s="1490"/>
      <c r="AT381" s="1490"/>
      <c r="AU381" s="1041"/>
      <c r="BC381" s="38"/>
      <c r="BD381" s="38"/>
      <c r="BE381" s="38"/>
      <c r="BF381" s="38"/>
      <c r="BG381" s="38"/>
      <c r="BH381" s="38"/>
      <c r="BI381" s="38"/>
      <c r="BJ381" s="38"/>
      <c r="BK381" s="38"/>
      <c r="BL381" s="38"/>
      <c r="BM381" s="38"/>
      <c r="BN381" s="38"/>
      <c r="BO381" s="38"/>
      <c r="BP381" s="38"/>
      <c r="BQ381" s="38"/>
      <c r="BR381" s="38"/>
      <c r="BS381" s="38"/>
      <c r="BT381" s="38"/>
      <c r="BU381" s="38"/>
      <c r="BV381" s="38"/>
      <c r="BW381" s="38"/>
      <c r="BX381" s="38"/>
      <c r="BY381" s="38"/>
      <c r="BZ381" s="38"/>
      <c r="CA381" s="38"/>
      <c r="CB381" s="38"/>
      <c r="CC381" s="38"/>
      <c r="CD381" s="38"/>
      <c r="CE381" s="38"/>
      <c r="CF381" s="38"/>
      <c r="CG381" s="38"/>
      <c r="CH381" s="38"/>
      <c r="CI381" s="38"/>
      <c r="CM381" s="749"/>
      <c r="CN381" s="749"/>
      <c r="CO381" s="1043"/>
      <c r="CP381" s="749"/>
      <c r="CS381" s="436"/>
      <c r="CT381" s="436"/>
      <c r="CU381" s="243"/>
      <c r="CV381" s="244"/>
      <c r="CW381" s="244"/>
      <c r="CX381" s="244"/>
      <c r="CY381" s="245"/>
      <c r="CZ381" s="245"/>
      <c r="DA381" s="245"/>
      <c r="DC381" s="750"/>
      <c r="DD381" s="751"/>
      <c r="DE381" s="752"/>
      <c r="DF381" s="753"/>
      <c r="DG381" s="754"/>
      <c r="DH381" s="754"/>
      <c r="DK381" s="244"/>
      <c r="DL381" s="750"/>
      <c r="DN381" s="750"/>
      <c r="DO381" s="755"/>
      <c r="DP381" s="436"/>
      <c r="DQ381" s="750"/>
      <c r="DR381" s="750"/>
      <c r="DS381" s="750"/>
      <c r="DU381" s="750"/>
      <c r="DV381" s="750"/>
      <c r="DW381" s="750"/>
      <c r="DX381" s="750"/>
      <c r="DZ381" s="756"/>
      <c r="EA381" s="756"/>
      <c r="EC381" s="754"/>
      <c r="ED381" s="754"/>
      <c r="EE381" s="244"/>
      <c r="EF381" s="754"/>
      <c r="EG381" s="754"/>
      <c r="EH381" s="243"/>
      <c r="EI381" s="243"/>
      <c r="EJ381" s="752"/>
      <c r="EK381" s="757"/>
      <c r="EL381" s="757"/>
      <c r="EM381" s="758"/>
      <c r="EN381" s="758"/>
      <c r="EO381" s="752"/>
      <c r="EP381" s="752"/>
      <c r="EQ381" s="752"/>
      <c r="ES381" s="750"/>
      <c r="EU381" s="436"/>
      <c r="EV381" s="436"/>
      <c r="EW381" s="436"/>
      <c r="EX381" s="436"/>
      <c r="EY381" s="436"/>
      <c r="EZ381" s="436"/>
      <c r="FB381" s="643"/>
      <c r="FD381" s="436"/>
      <c r="FE381" s="436"/>
      <c r="FF381" s="436"/>
      <c r="FO381" s="750"/>
      <c r="FP381" s="436"/>
      <c r="FQ381" s="436"/>
      <c r="FR381" s="750"/>
      <c r="FS381" s="750"/>
      <c r="FW381" s="749"/>
      <c r="FX381" s="749"/>
      <c r="FY381" s="749"/>
      <c r="FZ381" s="749"/>
      <c r="GA381" s="749"/>
      <c r="GB381" s="749"/>
      <c r="GC381" s="749"/>
      <c r="GD381" s="749"/>
      <c r="GE381" s="751"/>
      <c r="GF381" s="750"/>
      <c r="GG381" s="750"/>
    </row>
    <row r="382" spans="1:250" s="82" customFormat="1" ht="14.95" customHeight="1" thickTop="1" thickBot="1">
      <c r="B382" s="1421" t="str">
        <f>HY385</f>
        <v xml:space="preserve"> </v>
      </c>
      <c r="C382" s="1422">
        <f>C377+1</f>
        <v>67</v>
      </c>
      <c r="D382" s="1423"/>
      <c r="E382" s="1424" t="s">
        <v>242</v>
      </c>
      <c r="F382" s="1425"/>
      <c r="G382" s="1426"/>
      <c r="H382" s="1427"/>
      <c r="I382" s="1427"/>
      <c r="J382" s="1427"/>
      <c r="K382" s="1427"/>
      <c r="L382" s="1427"/>
      <c r="M382" s="1427"/>
      <c r="N382" s="1427"/>
      <c r="O382" s="1427"/>
      <c r="P382" s="1427"/>
      <c r="Q382" s="1427"/>
      <c r="R382" s="1427"/>
      <c r="S382" s="1428" t="s">
        <v>283</v>
      </c>
      <c r="T382" s="668" t="s">
        <v>190</v>
      </c>
      <c r="U382" s="1430" t="s">
        <v>186</v>
      </c>
      <c r="V382" s="1431"/>
      <c r="W382" s="1431"/>
      <c r="X382" s="1431"/>
      <c r="Y382" s="1431"/>
      <c r="Z382" s="1431"/>
      <c r="AA382" s="1431"/>
      <c r="AB382" s="1088" t="str">
        <f>IFERROR(IF(__Retrofit_TI_NC=0,VLOOKUP(U383,Fixtures_Existing_List,2,FALSE),ROUND(N384*R384/T384,10)),"")</f>
        <v/>
      </c>
      <c r="AC382" s="1039" t="str">
        <f>IFERROR(IF(__Retrofit_TI_NC=0,ROUND(T383*AB382*N383*R383/1000,0),IF(CN382="Interior",N384*R384*R383*N383*_C406_reduction/1000,N384*R384*R383*N383/1000)),"")</f>
        <v/>
      </c>
      <c r="AD382" s="1040" t="str">
        <f>IFERROR(IF(C$36=0,ROUND(T383*AB382/1000,2),N384*R384/1000),"")</f>
        <v/>
      </c>
      <c r="AE382" s="1044" t="s">
        <v>190</v>
      </c>
      <c r="AF382" s="1432" t="str">
        <f>IF(__Retrofit_TI_NC=2,CONCATENATE("Code min = ",DD382),IF(__Retrofit_TI_NC=1,"Emter what you think the existing control was"," Control"))</f>
        <v xml:space="preserve"> Control</v>
      </c>
      <c r="AG382" s="1432"/>
      <c r="AH382" s="1432"/>
      <c r="AI382" s="1432"/>
      <c r="AJ382" s="1433">
        <f>DF382</f>
        <v>0</v>
      </c>
      <c r="AK382" s="1435" t="str">
        <f>IFERROR(ROUND(AJ382*AC382,0),"")</f>
        <v/>
      </c>
      <c r="AL382" s="1437">
        <f>IFERROR(IF(HW382=FALSE,0,AC382-AK382),0)</f>
        <v>0</v>
      </c>
      <c r="AM382" s="1439">
        <f>AL382-AL384</f>
        <v>0</v>
      </c>
      <c r="AN382" s="1440"/>
      <c r="AO382" s="1445">
        <f>IFERROR(IF(HW382=FALSE,0,(T384*U385)+(AE384*AF385)),0)</f>
        <v>0</v>
      </c>
      <c r="AP382" s="1445"/>
      <c r="AQ382" s="1446"/>
      <c r="AR382" s="1451" t="s">
        <v>157</v>
      </c>
      <c r="AS382" s="1454">
        <f>IF(AR382="Yes",1,0)</f>
        <v>1</v>
      </c>
      <c r="AT382" s="1457" t="str">
        <f>IF(OR(DN382=4,DN382=5,DN382=6,DN382=12),CONCATENATE("$",IF(GD382=TRUE,Lookup!$B$11,Lookup!$B$2)," /lamp"),CONCATENATE(EA382,"/ kWh"))</f>
        <v>0/ kWh</v>
      </c>
      <c r="AU382" s="516"/>
      <c r="AV382" s="1478">
        <f>IFERROR(IF(GI383=TRUE,(AB385*T384)/R384,0),"NA")</f>
        <v>0</v>
      </c>
      <c r="AW382" s="1478" t="str">
        <f>IFERROR(N384*_C406_reduction,"NA")</f>
        <v>NA</v>
      </c>
      <c r="BC382" s="38"/>
      <c r="BD382" s="38"/>
      <c r="BE382" s="38"/>
      <c r="BF382" s="38"/>
      <c r="BG382" s="38"/>
      <c r="BH382" s="38"/>
      <c r="BI382" s="38"/>
      <c r="BJ382" s="38"/>
      <c r="BK382" s="38"/>
      <c r="BL382" s="38"/>
      <c r="BM382" s="38"/>
      <c r="BN382" s="38"/>
      <c r="BO382" s="38"/>
      <c r="BP382" s="38"/>
      <c r="BQ382" s="38"/>
      <c r="BR382" s="38"/>
      <c r="BS382" s="38"/>
      <c r="BT382" s="38"/>
      <c r="BU382" s="38"/>
      <c r="BV382" s="38"/>
      <c r="BW382" s="38"/>
      <c r="BX382" s="38"/>
      <c r="BY382" s="38"/>
      <c r="BZ382" s="38"/>
      <c r="CA382" s="38"/>
      <c r="CB382" s="38"/>
      <c r="CC382" s="38"/>
      <c r="CD382" s="38"/>
      <c r="CE382" s="38"/>
      <c r="CF382" s="38"/>
      <c r="CG382" s="38"/>
      <c r="CH382" s="38"/>
      <c r="CI382" s="38"/>
      <c r="CM382" s="1352" t="str">
        <f>N383</f>
        <v/>
      </c>
      <c r="CN382" s="1352" t="str">
        <f>IFERROR(VLOOKUP(G383,_Lookup_Heat_Type_Table_New,3,FALSE),"")</f>
        <v/>
      </c>
      <c r="CO382" s="1415" t="str">
        <f>CN382</f>
        <v/>
      </c>
      <c r="CP382" s="1417" t="e">
        <f>VLOOKUP(G384,'Space Table'!$B$3:$L$160,9,FALSE)</f>
        <v>#N/A</v>
      </c>
      <c r="CR382" s="1386" t="s">
        <v>283</v>
      </c>
      <c r="CS382" s="1353">
        <f>IF(HW382=TRUE,T383,0)</f>
        <v>0</v>
      </c>
      <c r="CT382" s="1353" t="str">
        <f>IF(HW382=TRUE,U383,"")</f>
        <v/>
      </c>
      <c r="CU382" s="1353"/>
      <c r="CV382" s="1370">
        <f>IF(HW382=TRUE,AB382,0)</f>
        <v>0</v>
      </c>
      <c r="CW382" s="1370">
        <f>IF(HW382=TRUE,AC382,0)</f>
        <v>0</v>
      </c>
      <c r="CX382" s="1370">
        <f>IFERROR(IF(HW382=TRUE,CW382-CW384,0),0)</f>
        <v>0</v>
      </c>
      <c r="CY382" s="1485">
        <f>IF(HW382=TRUE,AD382,0)</f>
        <v>0</v>
      </c>
      <c r="CZ382" s="1485">
        <f>IF(HW382=TRUE,AD385,0)</f>
        <v>0</v>
      </c>
      <c r="DA382" s="1485">
        <f>IFERROR(CY382-CZ382,0)</f>
        <v>0</v>
      </c>
      <c r="DC382" s="1353">
        <f>IF(HW382=TRUE,AE383,0)</f>
        <v>0</v>
      </c>
      <c r="DD382" s="1460">
        <f>IF(__Retrofit_TI_NC=2,IF(CN382="Exterior",O385,FM382),FK382)</f>
        <v>0</v>
      </c>
      <c r="DE382" s="1353"/>
      <c r="DF382" s="1406">
        <f>IFERROR(IF(FL382=3,IK382,IF(FL382=4,IL382,IF(FL382=5,IM382,IF(FL382=6,IN382,IF(FL382=7,IO382,IF(FL382=8,IP382,0)))))),0)</f>
        <v>0</v>
      </c>
      <c r="DG382" s="1370">
        <f>IF(HW382=TRUE,AK382,0)</f>
        <v>0</v>
      </c>
      <c r="DH382" s="1369">
        <f>IFERROR(IF(HW382=TRUE,DG384-DG382,0),0)</f>
        <v>0</v>
      </c>
      <c r="DJ382" s="1483">
        <f>IFERROR(CW382-DG382,0)</f>
        <v>0</v>
      </c>
      <c r="DL382" s="1419">
        <f>DJ382-DK384</f>
        <v>0</v>
      </c>
      <c r="DN382" s="1403" t="str">
        <f>IFERROR(IF(AND(OR(FY382=4,FY382=5,FY382=6),OR(GB382=4,GB382=5,GB382=6)),FY382+8,VLOOKUP(CT384,Fixtures!R$31:Y$78,8,FALSE)),"")</f>
        <v/>
      </c>
      <c r="DO382" s="1404" t="str">
        <f>DN382</f>
        <v/>
      </c>
      <c r="DP382" s="1353" t="str">
        <f>IFERROR(VLOOKUP(DD384,Lookup!AU$3:AV$15,2,FALSE),"")</f>
        <v/>
      </c>
      <c r="DQ382" s="1404" t="str">
        <f>IF(DP382=7,"LLLC","")</f>
        <v/>
      </c>
      <c r="DR382" s="1403">
        <f>IFERROR(IF(OR(DN382=4,DN382=5,DN382=6,DN382=12,DN382=13,DN382=14),VLOOKUP(CT384,Fixtures!DN$27:EG$77,19,FALSE),1)*CS384,0)</f>
        <v>0</v>
      </c>
      <c r="DS382" s="1489">
        <f>IF(DP382=7,IF(DD382=DD384,0,DC384),0)</f>
        <v>0</v>
      </c>
      <c r="DU382" s="1403" t="str">
        <f>IFERROR(IF(EW382&lt;EW384,"Yes","No"),"")</f>
        <v/>
      </c>
      <c r="DV382" s="1404" t="str">
        <f>DU382</f>
        <v/>
      </c>
      <c r="DW382" s="1403">
        <f>IF(DU382="Yes",DC384,0)</f>
        <v>0</v>
      </c>
      <c r="DX382" s="1403">
        <f>DW382-DS382</f>
        <v>0</v>
      </c>
      <c r="DZ382" s="1481">
        <f>IFERROR(VLOOKUP(DN382,Lookup!AN$3:AO$16,2,FALSE),0)</f>
        <v>0</v>
      </c>
      <c r="EA382" s="1481">
        <f>IF(HW382=FALSE,0,IF(DU382="Yes",DZ382+Lookup!B$6,DZ382))</f>
        <v>0</v>
      </c>
      <c r="EC382" s="1482">
        <f>IF(HW382=TRUE,DJ382,0)</f>
        <v>0</v>
      </c>
      <c r="ED382" s="1369">
        <f>IF(HW382=TRUE,CW384,0)</f>
        <v>0</v>
      </c>
      <c r="EE382" s="1370">
        <f>IFERROR(EC382-ED382,0)</f>
        <v>0</v>
      </c>
      <c r="EF382" s="1369">
        <f>IF(HW382=TRUE,DG384,0)</f>
        <v>0</v>
      </c>
      <c r="EG382" s="1369">
        <f>IFERROR(EC382-ED382+EF382,0)</f>
        <v>0</v>
      </c>
      <c r="EH382" s="1373">
        <f>IF(HW382=TRUE,CS384*CU384,0)</f>
        <v>0</v>
      </c>
      <c r="EI382" s="1373">
        <f>IF(HW382=TRUE,DC384*DE384,0)</f>
        <v>0</v>
      </c>
      <c r="EJ382" s="1363">
        <f>AO382</f>
        <v>0</v>
      </c>
      <c r="EK382" s="1376" t="str">
        <f>IFERROR(IF(HW382=TRUE,VLOOKUP(DN382,Lookup!AN$3:AP$16,3,FALSE)*DR382,""),0)</f>
        <v/>
      </c>
      <c r="EL382" s="1376">
        <f>IF(HW382=TRUE,DW382*Lookup!AP$12,0)</f>
        <v>0</v>
      </c>
      <c r="EM382" s="1362">
        <f>IFERROR(IF(HW382=TRUE,EK382/EM$33,0),0)</f>
        <v>0</v>
      </c>
      <c r="EN382" s="1362">
        <f>IF(HW382=TRUE,EL382/EN$33,0)</f>
        <v>0</v>
      </c>
      <c r="EO382" s="1363">
        <f>IF(HW382=TRUE,EQ$33*EM382,0)</f>
        <v>0</v>
      </c>
      <c r="EP382" s="1363">
        <f>IF(HW382=TRUE,EQ$33*EN382,0)</f>
        <v>0</v>
      </c>
      <c r="EQ382" s="1363">
        <f>EO382+EP382</f>
        <v>0</v>
      </c>
      <c r="ES382" s="1403">
        <f>IF(G382="",0,1)</f>
        <v>0</v>
      </c>
      <c r="EU382" s="1410" t="e">
        <f>VLOOKUP(CP384,'Space Table'!$B$3:$L$160,8,FALSE)</f>
        <v>#N/A</v>
      </c>
      <c r="EV382" s="1410" t="e">
        <f>IF(EY382="Yes",VLOOKUP(DD382,Lookup_Control_Type_Table2,4,FALSE),VLOOKUP(DD382,Lookup_Control_Type_Table2,3,FALSE))</f>
        <v>#N/A</v>
      </c>
      <c r="EW382" s="1410" t="e">
        <f>VLOOKUP(DD382,Lookup!AU$3:AV$15,2,FALSE)</f>
        <v>#N/A</v>
      </c>
      <c r="EX382" s="1410" t="e">
        <f>VLOOKUP(EU382,Lookup_Control_Type_Table,2,FALSE)</f>
        <v>#N/A</v>
      </c>
      <c r="EY382" s="1410" t="e">
        <f>VLOOKUP(CP384,'Space Table'!$B$3:$L$160,7,FALSE)</f>
        <v>#N/A</v>
      </c>
      <c r="EZ382" s="1412" t="b">
        <f>ISNUMBER(SEARCH("TLED",U384))</f>
        <v>0</v>
      </c>
      <c r="FB382" s="1365" t="str">
        <f>CONCATENATE(CN382," - ",DD382)</f>
        <v xml:space="preserve"> - 0</v>
      </c>
      <c r="FD382" s="1353" t="str">
        <f>VLOOKUP(CT384,Fixtures!DN$27:EZ$77,38,FALSE)</f>
        <v/>
      </c>
      <c r="FE382" s="1353">
        <f>IFERROR(FD382*EE382,0)</f>
        <v>0</v>
      </c>
      <c r="FF382" s="138"/>
      <c r="FI382" s="1356" t="str">
        <f>IF(CN382="Exterior","Not Daylighted",G385)</f>
        <v>Not Daylighted</v>
      </c>
      <c r="FJ382" s="1356">
        <f>VLOOKUP(FI382,_Daylight_Table_Codes,2,FALSE)</f>
        <v>0</v>
      </c>
      <c r="FK382" s="1365">
        <f>IF(__Retrofit_TI_NC=2,VLOOKUP(G384,'Space Table'!$B$3:$L$160,11,FALSE),AF383)</f>
        <v>0</v>
      </c>
      <c r="FL382" s="1365" t="e">
        <f>VLOOKUP(FK382,_Control_Table,2,FALSE)</f>
        <v>#N/A</v>
      </c>
      <c r="FM382" s="1365" t="e">
        <f>IF(AND(FP382&gt;0,FK382="Occupancy Sensor"),"Daylight + Occupancy",IF(AND(FP382&gt;0,FL382&lt;4),"Interior Daylight Dimming",FK382))</f>
        <v>#N/A</v>
      </c>
      <c r="FO382" s="1364">
        <f>IF(CO382="Interior",VLOOKUP(CP382,Control_Savings_Interior,5,FALSE),0)</f>
        <v>0</v>
      </c>
      <c r="FP382" s="1361">
        <f>IF(CN382="Exterior",0,IF(FJ382=2,0.5,IF(OR(FJ382=1,FJ382=3),1,0)))</f>
        <v>0</v>
      </c>
      <c r="FQ382" s="1366"/>
      <c r="FR382" s="1367"/>
      <c r="FS382" s="1364"/>
      <c r="FT382" s="1367"/>
      <c r="FU382" s="1360"/>
      <c r="FW382" s="1352" t="str">
        <f>IFERROR(VLOOKUP(U383,_Exist_Fixture_Table,3,FALSE),"")</f>
        <v/>
      </c>
      <c r="FX382" s="1352" t="str">
        <f>VLOOKUP(CT382,_Exist_Fixture_Table,4,FALSE)</f>
        <v/>
      </c>
      <c r="FY382" s="1352">
        <f>IFERROR(VLOOKUP(FX382,Lookup!AM$6:AN$8,2,FALSE),0)</f>
        <v>0</v>
      </c>
      <c r="FZ382" s="1352" t="b">
        <f>IFERROR(IF(OR(GB382=4,GB382=5,GB382=6),TRUE,FALSE),"")</f>
        <v>0</v>
      </c>
      <c r="GA382" s="1352" t="str">
        <f>IFERROR(VLOOKUP(GB382,FY$6:FZ$10,2,FALSE),"")</f>
        <v/>
      </c>
      <c r="GB382" s="1352" t="str">
        <f>VLOOKUP(CT384,Fixtures!R$31:Y$78,8,FALSE)</f>
        <v/>
      </c>
      <c r="GC382" s="1352">
        <f>IF(AND(FW382=TRUE,FZ382=TRUE,OR(DN382=12,DN382=13,DN382=14)),FY382+8,0)</f>
        <v>0</v>
      </c>
      <c r="GD382" s="1352" t="b">
        <f>IF(OR(GC382=12,GC382=13,GC382=14),TRUE,FALSE)</f>
        <v>0</v>
      </c>
      <c r="GE382" s="759" t="b">
        <f>IF(ISNUMBER(SEARCH("TLED",U383)),TRUE,FALSE)</f>
        <v>0</v>
      </c>
      <c r="GF382" s="1035" t="str">
        <f>IFERROR(VLOOKUP(U383,Fixtures!BM$93:BR$142,6,FALSE),"")</f>
        <v/>
      </c>
      <c r="GG382" s="1385" t="b">
        <f>IF(OR(GE382=FALSE,GE384=FALSE),TRUE,IF(GF382-GF384&lt;5,FALSE,TRUE))</f>
        <v>1</v>
      </c>
      <c r="GK382" s="1034">
        <f>GL382</f>
        <v>0</v>
      </c>
      <c r="GL382" s="1034">
        <f>IF(G382="",0,1)</f>
        <v>0</v>
      </c>
      <c r="GM382" s="1034">
        <f>SUM(GN382:HB382)</f>
        <v>2</v>
      </c>
      <c r="GN382" s="1034">
        <f>IF(G383="",0,1)</f>
        <v>0</v>
      </c>
      <c r="GO382" s="1034">
        <f>IF(G384="",0,1)</f>
        <v>0</v>
      </c>
      <c r="GP382" s="1034">
        <f>IF(R383="",0,1)</f>
        <v>0</v>
      </c>
      <c r="GQ382" s="1034">
        <f>IF(__Retrofit_TI_NC=0,1,IF(R384="",0,1))</f>
        <v>1</v>
      </c>
      <c r="GR382" s="1034">
        <f>IF(CN382="Exterior",1,IF(G385="",0,1))</f>
        <v>1</v>
      </c>
      <c r="GS382" s="1034">
        <f>IF(__Retrofit_TI_NC&lt;&gt;0,1,IF(T383="",0,1))</f>
        <v>0</v>
      </c>
      <c r="GT382" s="1034">
        <f>IF(__Retrofit_TI_NC&lt;&gt;0,1,IF(U383="",0,1))</f>
        <v>0</v>
      </c>
      <c r="GU382" s="1034">
        <f>IF(T384="",0,1)</f>
        <v>0</v>
      </c>
      <c r="GV382" s="1034">
        <f>IF(U384="",0,1)</f>
        <v>0</v>
      </c>
      <c r="GW382" s="1034">
        <f>IF(__Retrofit_TI_NC=2,1,IF(U385="",0,1))</f>
        <v>0</v>
      </c>
      <c r="GX382" s="1034">
        <f>IF(__Retrofit_TI_NC&lt;&gt;0,1,IF(AE383="",0,1))</f>
        <v>0</v>
      </c>
      <c r="GY382" s="1034">
        <f>IF(__Retrofit_TI_NC&lt;&gt;0,1,IF(AF383="",0,1))</f>
        <v>0</v>
      </c>
      <c r="GZ382" s="1034">
        <f>IF(AE384="",0,1)</f>
        <v>0</v>
      </c>
      <c r="HA382" s="1034">
        <f>IF(AF384="",0,1)</f>
        <v>0</v>
      </c>
      <c r="HB382" s="1034">
        <f>IF(__Retrofit_TI_NC=2,1,IF(AF385="",0,1))</f>
        <v>0</v>
      </c>
      <c r="HV382" s="436"/>
      <c r="HW382" s="1384" t="b">
        <f>IF(OR(HW385=0,HW385=HT$16,HW385=HS$16,HW385=HU$16),TRUE,FALSE)</f>
        <v>0</v>
      </c>
      <c r="HX382" s="1377" t="b">
        <f>HW382</f>
        <v>0</v>
      </c>
      <c r="HY382" s="436"/>
      <c r="HZ382" s="436"/>
      <c r="IA382" s="1386" t="b">
        <f>IF(MAX(GJ385:HP385)&gt;5,FALSE,TRUE)</f>
        <v>0</v>
      </c>
      <c r="IB382" s="1380">
        <f>IF(IA382=TRUE,AC382,0)</f>
        <v>0</v>
      </c>
      <c r="IC382" s="1380">
        <f>IB382-IB384</f>
        <v>0</v>
      </c>
      <c r="IF382" s="1380" t="e">
        <f>ROUND(T383*VLOOKUP(U383,Fixtures_Existing_List,2,FALSE)*N383*R383/1000,0)</f>
        <v>#N/A</v>
      </c>
      <c r="IG382" s="1381" t="e">
        <f>IF382-IF384</f>
        <v>#N/A</v>
      </c>
      <c r="IH382" s="1384" t="e">
        <f>ROUND(IF(CN382="Interior",N384*R384*R383*N383*_C406_reduction/1000,N384*R384*R383*N383/1000),0)</f>
        <v>#N/A</v>
      </c>
      <c r="II382" s="1384" t="e">
        <f>IH382-IH384</f>
        <v>#N/A</v>
      </c>
      <c r="IK382" s="1351" t="e">
        <f>IF($CO382="interior",IL382/2,VLOOKUP($CP382,Control_Savings_Exterior,IK$30,FALSE))</f>
        <v>#N/A</v>
      </c>
      <c r="IL382" s="1351" t="e">
        <f>IF($CO382="interior",VLOOKUP($CP382,Control_Savings_Interior,IL$30,FALSE),VLOOKUP($CP382,Control_Savings_Exterior,IL$30,FALSE))</f>
        <v>#N/A</v>
      </c>
      <c r="IM382" s="1351" t="e">
        <f>IF($CO382="interior",IF(R383&gt;FO$37,(IM$28*(FO$37/R383)),IM$28)*FP382,VLOOKUP($CP382,Control_Savings_Exterior,IM$30,FALSE))</f>
        <v>#N/A</v>
      </c>
      <c r="IN382" s="1351" t="e">
        <f>IF($CO382="interior",ROUND(((1-IL382)*IM382)+IL382,2),VLOOKUP($CP382,Control_Savings_Exterior,IN$30,FALSE))</f>
        <v>#N/A</v>
      </c>
      <c r="IO382" s="1351" t="e">
        <f>IF($CO382="interior", ROUND(((1-IL382)*(IM382*(1-IP$28)))+IP382,2), VLOOKUP($CP382,Control_Savings_Exterior,IO$30,FALSE))</f>
        <v>#N/A</v>
      </c>
      <c r="IP382" s="1351">
        <f>IF($CO382="interior",ROUND(((1-IL382)*IP$28)+IL382,2),0)</f>
        <v>0</v>
      </c>
    </row>
    <row r="383" spans="1:250" s="82" customFormat="1" ht="14.95" customHeight="1" thickTop="1" thickBot="1">
      <c r="B383" s="1421"/>
      <c r="C383" s="1422"/>
      <c r="D383" s="1423"/>
      <c r="E383" s="1393" t="s">
        <v>244</v>
      </c>
      <c r="F383" s="1394"/>
      <c r="G383" s="1395"/>
      <c r="H383" s="1395"/>
      <c r="I383" s="1395"/>
      <c r="J383" s="1395"/>
      <c r="K383" s="1395"/>
      <c r="L383" s="1395"/>
      <c r="M383" s="509" t="e">
        <f>IF(__Retrofit_TI_NC&lt;&gt;0,IF(VLOOKUP(G384,'Space Table'!$B$3:$L$160,3,FALSE)&gt;0,1,0),IF(__Retrofit_TI_NC=VLOOKUP(G384,'Space Table'!$B$3:$L$160,3,FALSE),1,0))</f>
        <v>#N/A</v>
      </c>
      <c r="N383" s="509" t="str">
        <f>IFERROR(VLOOKUP(G383,_Lookup_Heat_Type_Table_New,2,FALSE),"")</f>
        <v/>
      </c>
      <c r="O383" s="509">
        <f>IF(__Retrofit_TI_NC=1,CONCATENATE("TI ",G383),IF(__Retrofit_TI_NC=2,CONCATENATE("NC ",G383),G383))</f>
        <v>0</v>
      </c>
      <c r="P383" s="1396" t="s">
        <v>352</v>
      </c>
      <c r="Q383" s="1396"/>
      <c r="R383" s="673"/>
      <c r="S383" s="1429"/>
      <c r="T383" s="675"/>
      <c r="U383" s="1496"/>
      <c r="V383" s="1497"/>
      <c r="W383" s="1497"/>
      <c r="X383" s="1497"/>
      <c r="Y383" s="1497"/>
      <c r="Z383" s="1497"/>
      <c r="AA383" s="1497"/>
      <c r="AB383" s="1497"/>
      <c r="AC383" s="1497"/>
      <c r="AD383" s="1498"/>
      <c r="AE383" s="675"/>
      <c r="AF383" s="1397"/>
      <c r="AG383" s="1397"/>
      <c r="AH383" s="1397"/>
      <c r="AI383" s="1397"/>
      <c r="AJ383" s="1434"/>
      <c r="AK383" s="1436"/>
      <c r="AL383" s="1438"/>
      <c r="AM383" s="1441"/>
      <c r="AN383" s="1442"/>
      <c r="AO383" s="1447"/>
      <c r="AP383" s="1447"/>
      <c r="AQ383" s="1448"/>
      <c r="AR383" s="1452"/>
      <c r="AS383" s="1455"/>
      <c r="AT383" s="1458"/>
      <c r="AU383" s="516"/>
      <c r="AV383" s="1479"/>
      <c r="AW383" s="1479"/>
      <c r="BC383" s="38"/>
      <c r="BD383" s="38"/>
      <c r="BE383" s="38"/>
      <c r="BF383" s="38"/>
      <c r="BG383" s="38"/>
      <c r="BH383" s="38"/>
      <c r="BI383" s="38"/>
      <c r="BJ383" s="38"/>
      <c r="BK383" s="38"/>
      <c r="BL383" s="38"/>
      <c r="BM383" s="38"/>
      <c r="BN383" s="38"/>
      <c r="BO383" s="38"/>
      <c r="BP383" s="38"/>
      <c r="BQ383" s="38"/>
      <c r="BR383" s="38"/>
      <c r="BS383" s="38"/>
      <c r="BT383" s="38"/>
      <c r="BU383" s="38"/>
      <c r="BV383" s="38"/>
      <c r="BW383" s="38"/>
      <c r="BX383" s="38"/>
      <c r="BY383" s="38"/>
      <c r="BZ383" s="38"/>
      <c r="CA383" s="38"/>
      <c r="CB383" s="38"/>
      <c r="CC383" s="38"/>
      <c r="CD383" s="38"/>
      <c r="CE383" s="38"/>
      <c r="CF383" s="38"/>
      <c r="CG383" s="38"/>
      <c r="CH383" s="38"/>
      <c r="CI383" s="38"/>
      <c r="CM383" s="1352"/>
      <c r="CN383" s="1352"/>
      <c r="CO383" s="1416"/>
      <c r="CP383" s="1418"/>
      <c r="CR383" s="1386"/>
      <c r="CS383" s="1355"/>
      <c r="CT383" s="1355"/>
      <c r="CU383" s="1355"/>
      <c r="CV383" s="1372"/>
      <c r="CW383" s="1372"/>
      <c r="CX383" s="1371"/>
      <c r="CY383" s="1486"/>
      <c r="CZ383" s="1486"/>
      <c r="DA383" s="1486"/>
      <c r="DC383" s="1355"/>
      <c r="DD383" s="1461"/>
      <c r="DE383" s="1355"/>
      <c r="DF383" s="1407"/>
      <c r="DG383" s="1372"/>
      <c r="DH383" s="1369"/>
      <c r="DJ383" s="1484"/>
      <c r="DL383" s="1419"/>
      <c r="DN383" s="1403"/>
      <c r="DO383" s="1405"/>
      <c r="DP383" s="1354"/>
      <c r="DQ383" s="1405"/>
      <c r="DR383" s="1403"/>
      <c r="DS383" s="1489"/>
      <c r="DU383" s="1403"/>
      <c r="DV383" s="1405"/>
      <c r="DW383" s="1403"/>
      <c r="DX383" s="1403"/>
      <c r="DZ383" s="1481"/>
      <c r="EA383" s="1481"/>
      <c r="EC383" s="1482"/>
      <c r="ED383" s="1369"/>
      <c r="EE383" s="1371"/>
      <c r="EF383" s="1369"/>
      <c r="EG383" s="1369"/>
      <c r="EH383" s="1374"/>
      <c r="EI383" s="1374"/>
      <c r="EJ383" s="1363"/>
      <c r="EK383" s="1376"/>
      <c r="EL383" s="1376"/>
      <c r="EM383" s="1362"/>
      <c r="EN383" s="1362"/>
      <c r="EO383" s="1363"/>
      <c r="EP383" s="1363"/>
      <c r="EQ383" s="1363"/>
      <c r="ES383" s="1403"/>
      <c r="EU383" s="1411"/>
      <c r="EV383" s="1411"/>
      <c r="EW383" s="1411"/>
      <c r="EX383" s="1411"/>
      <c r="EY383" s="1411"/>
      <c r="EZ383" s="1413"/>
      <c r="FB383" s="1365"/>
      <c r="FD383" s="1354"/>
      <c r="FE383" s="1354"/>
      <c r="FF383" s="138"/>
      <c r="FI383" s="1357"/>
      <c r="FJ383" s="1357"/>
      <c r="FK383" s="1365"/>
      <c r="FL383" s="1365"/>
      <c r="FM383" s="1365"/>
      <c r="FO383" s="1361"/>
      <c r="FP383" s="1361"/>
      <c r="FQ383" s="1366"/>
      <c r="FR383" s="1368"/>
      <c r="FS383" s="1361"/>
      <c r="FT383" s="1368"/>
      <c r="FU383" s="1360"/>
      <c r="FW383" s="1352"/>
      <c r="FX383" s="1352"/>
      <c r="FY383" s="1352"/>
      <c r="FZ383" s="1352"/>
      <c r="GA383" s="1352"/>
      <c r="GB383" s="1352"/>
      <c r="GC383" s="1352"/>
      <c r="GD383" s="1352"/>
      <c r="GE383" s="759"/>
      <c r="GF383" s="1035"/>
      <c r="GG383" s="1385"/>
      <c r="GI383" s="1384" t="b">
        <f>IF(AND(GL383=TRUE,GM383=TRUE),TRUE,FALSE)</f>
        <v>0</v>
      </c>
      <c r="GJ383" s="1379" t="b">
        <f>IFERROR(IF(__Retrofit_TI_NC=2,TRUE,IF(AR382="Yes",TRUE,FALSE)),FALSE)</f>
        <v>1</v>
      </c>
      <c r="GL383" s="1379" t="b">
        <f>IFERROR(IF(GL382=1,TRUE,FALSE),FALSE)</f>
        <v>0</v>
      </c>
      <c r="GM383" s="1379" t="b">
        <f>IFERROR(IF(GM382=GM$14,TRUE,FALSE),FALSE)</f>
        <v>0</v>
      </c>
      <c r="HC383" s="1379" t="b">
        <f>IFERROR(IF(M383=1,TRUE,FALSE),FALSE)</f>
        <v>0</v>
      </c>
      <c r="HD383" s="1379" t="b">
        <f>IFERROR(IF(M384=1,TRUE,FALSE),FALSE)</f>
        <v>0</v>
      </c>
      <c r="HE383" s="1379" t="b">
        <f>IFERROR(IF(__Retrofit_TI_NC&lt;&gt;0,TRUE,IFERROR(IF(VLOOKUP(U383,Fixtures_Existing_List,2,FALSE)&lt;&gt;"",TRUE,FALSE),FALSE)),FALSE)</f>
        <v>0</v>
      </c>
      <c r="HF383" s="1379" t="b">
        <f>IFERROR(IF(VLOOKUP(U384,Fixtures_Proposed_List,2,FALSE)&lt;&gt;"",TRUE,FALSE),FALSE)</f>
        <v>0</v>
      </c>
      <c r="HG383" s="1379" t="b">
        <f>IF(AND(__Retrofit_TI_NC=2,EZ382=TRUE),FALSE,TRUE)</f>
        <v>1</v>
      </c>
      <c r="HH383" s="1379" t="b">
        <f>GG382</f>
        <v>1</v>
      </c>
      <c r="HI383" s="1384" t="b">
        <f>IF(ISERROR(MATCH(FB382,_Control_Match[],0))=TRUE,FALSE,TRUE)</f>
        <v>0</v>
      </c>
      <c r="HJ383" s="1384" t="b">
        <f>IFERROR(IF(EU382&lt;&gt;EV382,FALSE,TRUE),FALSE)</f>
        <v>0</v>
      </c>
      <c r="HK383" s="1384" t="b">
        <f>IFERROR(IF(EU384&lt;&gt;EV384,FALSE,TRUE),FALSE)</f>
        <v>0</v>
      </c>
      <c r="HL383" s="1379" t="b">
        <f>IFERROR(IF(CN382="Exterior",TRUE,IF(OR(AND(FJ382=0,EW384&gt;4),AND(FJ382=4,EW384&gt;4,EW384&lt;7)),FALSE,TRUE)),FALSE)</f>
        <v>0</v>
      </c>
      <c r="HM383" s="1379" t="b">
        <f>IFERROR(IF(AND(FL384=7,EZ382=TRUE),FALSE,TRUE),FALSE)</f>
        <v>0</v>
      </c>
      <c r="HN383" s="1379" t="b">
        <f>IFERROR(IF(AND(T384&lt;&gt;AE384,AF384="Interior LLLC")=TRUE,FALSE,TRUE),FALSE)</f>
        <v>1</v>
      </c>
      <c r="HO383" s="1379" t="b">
        <f>IFERROR(IF(OR(AF384=Lookup!AU$13,AF384=Lookup!AU$14)=TRUE,IF(AE384&gt;T384,FALSE,TRUE),TRUE),FALSE)</f>
        <v>1</v>
      </c>
      <c r="HP383" s="1379" t="b">
        <f>IFERROR(IF(__Retrofit_TI_NC=2,IF(EW384&lt;EW382,FALSE,TRUE),TRUE),FALSE)</f>
        <v>1</v>
      </c>
      <c r="HQ383" s="1379" t="b">
        <f>IF(CN382="Interior",IG$6,TRUE)</f>
        <v>1</v>
      </c>
      <c r="HR383" s="1379" t="b">
        <f>IF(CN382="Exterior",IG$8,TRUE)</f>
        <v>1</v>
      </c>
      <c r="HS383" s="1379" t="b">
        <f>IFERROR(IF(__Retrofit_TI_NC&lt;&gt;0,IF(AW382&lt;AV382,FALSE,TRUE),TRUE),FALSE)</f>
        <v>1</v>
      </c>
      <c r="HT383" s="1379" t="b">
        <f>IFERROR(IF(AND(G383="Exterior",R383&gt;4200),FALSE,TRUE),FALSE)</f>
        <v>1</v>
      </c>
      <c r="HU383" s="1379" t="b">
        <f>IFERROR(IF(AB385/AB382&lt;HU$18,FALSE,TRUE),FALSE)</f>
        <v>0</v>
      </c>
      <c r="HW383" s="1382"/>
      <c r="HX383" s="1378"/>
      <c r="HY383" s="1377" t="str">
        <f>VLOOKUP(HW385,_Error_Table,4,FALSE)</f>
        <v>White</v>
      </c>
      <c r="HZ383" s="436"/>
      <c r="IA383" s="1386"/>
      <c r="IB383" s="1380"/>
      <c r="IC383" s="1379"/>
      <c r="IF383" s="1380"/>
      <c r="IG383" s="1382"/>
      <c r="IH383" s="1382"/>
      <c r="II383" s="1382"/>
      <c r="IK383" s="1351"/>
      <c r="IL383" s="1351"/>
      <c r="IM383" s="1351"/>
      <c r="IN383" s="1351"/>
      <c r="IO383" s="1351"/>
      <c r="IP383" s="1351"/>
    </row>
    <row r="384" spans="1:250" s="82" customFormat="1" ht="14.95" customHeight="1" thickTop="1" thickBot="1">
      <c r="A384" s="82">
        <f>ROW()</f>
        <v>384</v>
      </c>
      <c r="B384" s="1421"/>
      <c r="C384" s="1422"/>
      <c r="D384" s="1423"/>
      <c r="E384" s="1393" t="s">
        <v>245</v>
      </c>
      <c r="F384" s="1394"/>
      <c r="G384" s="1398"/>
      <c r="H384" s="1399"/>
      <c r="I384" s="1399"/>
      <c r="J384" s="1399"/>
      <c r="K384" s="1399"/>
      <c r="L384" s="1400"/>
      <c r="M384" s="509">
        <f>IFERROR(IF(IF(__Retrofit_TI_NC&lt;&gt;0,IF(CN382="Interior",MATCH(G384,Lookup_Interior_New,0),MATCH(G384,Lookup_Exterior_New,0)),IF(CN382="Interior",MATCH(G384,Lookup_Interior,0),MATCH(G384,Lookup_Exterior_Areas,0)))&gt;0,1,0),0)</f>
        <v>0</v>
      </c>
      <c r="N384" s="509" t="e">
        <f>IF(__Retrofit_TI_NC=1,
VLOOKUP(G384,'Space Table'!$B$3:$L$160,4,FALSE),
IF(__Retrofit_TI_NC=2,VLOOKUP(G384,'Space Table'!$B$3:$L$160,5,FALSE),VLOOKUP(G384,'Space Table'!$B$3:$L$160,5,FALSE)))</f>
        <v>#N/A</v>
      </c>
      <c r="O384" s="509">
        <f>G384</f>
        <v>0</v>
      </c>
      <c r="P384" s="1394" t="s">
        <v>355</v>
      </c>
      <c r="Q384" s="1394"/>
      <c r="R384" s="674"/>
      <c r="S384" s="1401" t="s">
        <v>284</v>
      </c>
      <c r="T384" s="672"/>
      <c r="U384" s="1499"/>
      <c r="V384" s="1500"/>
      <c r="W384" s="1500"/>
      <c r="X384" s="1500"/>
      <c r="Y384" s="1500"/>
      <c r="Z384" s="1500"/>
      <c r="AA384" s="1500"/>
      <c r="AB384" s="1501"/>
      <c r="AC384" s="1501"/>
      <c r="AD384" s="1502"/>
      <c r="AE384" s="672"/>
      <c r="AF384" s="1474"/>
      <c r="AG384" s="1474"/>
      <c r="AH384" s="1474"/>
      <c r="AI384" s="1474"/>
      <c r="AJ384" s="1475">
        <f>DF384</f>
        <v>0</v>
      </c>
      <c r="AK384" s="1470" t="str">
        <f>IFERROR(ROUND(AJ384*AC385,0),"")</f>
        <v/>
      </c>
      <c r="AL384" s="1472">
        <f>IFERROR(IF(HW382=FALSE,0,AC385-AK384),0)</f>
        <v>0</v>
      </c>
      <c r="AM384" s="1441"/>
      <c r="AN384" s="1442"/>
      <c r="AO384" s="1447"/>
      <c r="AP384" s="1447"/>
      <c r="AQ384" s="1448"/>
      <c r="AR384" s="1452"/>
      <c r="AS384" s="1455"/>
      <c r="AT384" s="1458"/>
      <c r="AU384" s="516"/>
      <c r="AV384" s="1479"/>
      <c r="AW384" s="1479"/>
      <c r="BC384" s="38"/>
      <c r="BD384" s="38"/>
      <c r="BE384" s="38"/>
      <c r="BF384" s="38"/>
      <c r="BG384" s="38"/>
      <c r="BH384" s="38"/>
      <c r="BI384" s="38"/>
      <c r="BJ384" s="38"/>
      <c r="BK384" s="38"/>
      <c r="BL384" s="38"/>
      <c r="BM384" s="38"/>
      <c r="BN384" s="38"/>
      <c r="BO384" s="38"/>
      <c r="BP384" s="38"/>
      <c r="BQ384" s="38"/>
      <c r="BR384" s="38"/>
      <c r="BS384" s="38"/>
      <c r="BT384" s="38"/>
      <c r="BU384" s="38"/>
      <c r="BV384" s="38"/>
      <c r="BW384" s="38"/>
      <c r="BX384" s="38"/>
      <c r="BY384" s="38"/>
      <c r="BZ384" s="38"/>
      <c r="CA384" s="38"/>
      <c r="CB384" s="38"/>
      <c r="CC384" s="38"/>
      <c r="CD384" s="38"/>
      <c r="CE384" s="38"/>
      <c r="CF384" s="38"/>
      <c r="CG384" s="38"/>
      <c r="CH384" s="38"/>
      <c r="CI384" s="38"/>
      <c r="CM384" s="1352"/>
      <c r="CN384" s="1352"/>
      <c r="CO384" s="1415" t="str">
        <f>CN382</f>
        <v/>
      </c>
      <c r="CP384" s="1417" t="e">
        <f>CP382</f>
        <v>#N/A</v>
      </c>
      <c r="CR384" s="1386" t="s">
        <v>284</v>
      </c>
      <c r="CS384" s="1353">
        <f>IF(HW382=TRUE,T384,0)</f>
        <v>0</v>
      </c>
      <c r="CT384" s="1353" t="str">
        <f>IF(HW382=TRUE,U384,"")</f>
        <v/>
      </c>
      <c r="CU384" s="1373">
        <f>IF(HW382=TRUE,U385,0)</f>
        <v>0</v>
      </c>
      <c r="CV384" s="1370">
        <f>IF(HW382=TRUE,AB385,0)</f>
        <v>0</v>
      </c>
      <c r="CW384" s="1370">
        <f>IF(HW382=TRUE,AC385,0)</f>
        <v>0</v>
      </c>
      <c r="CX384" s="1371"/>
      <c r="CY384" s="1486"/>
      <c r="CZ384" s="1486"/>
      <c r="DA384" s="1486"/>
      <c r="DC384" s="1353">
        <f>IF(HW382=TRUE,AE384,0)</f>
        <v>0</v>
      </c>
      <c r="DD384" s="1353" t="str">
        <f>IF(HW382=TRUE,AF384,"")</f>
        <v/>
      </c>
      <c r="DE384" s="1373">
        <f>AF385</f>
        <v>0</v>
      </c>
      <c r="DF384" s="1406">
        <f>IFERROR(IF(FL384=3,IK384,IF(FL384=4,IL384,IF(FL384=5,IM384,IF(FL384=6,IN384,IF(FL384=7,IO384,IF(FL384=8,IP384,0)))))),0)</f>
        <v>0</v>
      </c>
      <c r="DG384" s="1370">
        <f>IF(HW382=TRUE,AK384,0)</f>
        <v>0</v>
      </c>
      <c r="DH384" s="1369"/>
      <c r="DK384" s="1483">
        <f>IFERROR(CW384-DG384,0)</f>
        <v>0</v>
      </c>
      <c r="DL384" s="1420"/>
      <c r="DN384" s="1403"/>
      <c r="DO384" s="1477" t="str">
        <f>DN382</f>
        <v/>
      </c>
      <c r="DP384" s="1354"/>
      <c r="DQ384" s="1477" t="str">
        <f>IF(DP382=7,"LLLC","")</f>
        <v/>
      </c>
      <c r="DR384" s="1403"/>
      <c r="DS384" s="1489"/>
      <c r="DU384" s="1403"/>
      <c r="DV384" s="1404" t="str">
        <f>DU382</f>
        <v/>
      </c>
      <c r="DW384" s="1403"/>
      <c r="DX384" s="1403"/>
      <c r="DZ384" s="1481"/>
      <c r="EA384" s="1481"/>
      <c r="EC384" s="1482"/>
      <c r="ED384" s="1369"/>
      <c r="EE384" s="1371"/>
      <c r="EF384" s="1369"/>
      <c r="EG384" s="1369"/>
      <c r="EH384" s="1374"/>
      <c r="EI384" s="1374"/>
      <c r="EJ384" s="1363"/>
      <c r="EK384" s="1376"/>
      <c r="EL384" s="1376"/>
      <c r="EM384" s="1362"/>
      <c r="EN384" s="1362"/>
      <c r="EO384" s="1363"/>
      <c r="EP384" s="1363"/>
      <c r="EQ384" s="1363"/>
      <c r="ES384" s="1403"/>
      <c r="EU384" s="1411" t="e">
        <f>VLOOKUP(CP384,'Space Table'!$B$3:$L$160,8,FALSE)</f>
        <v>#N/A</v>
      </c>
      <c r="EV384" s="1411" t="e">
        <f>IF(EY384="Yes",VLOOKUP(AF384,Lookup_Control_Type_Table2,4,FALSE),VLOOKUP(AF384,Lookup_Control_Type_Table2,3,FALSE))</f>
        <v>#N/A</v>
      </c>
      <c r="EW384" s="1411" t="e">
        <f>VLOOKUP(AF384,Lookup!AU$3:AV$15,2,FALSE)</f>
        <v>#N/A</v>
      </c>
      <c r="EX384" s="1411" t="e">
        <f>VLOOKUP(EU382,Lookup_Control_Type_Table,2,FALSE)</f>
        <v>#N/A</v>
      </c>
      <c r="EY384" s="1411" t="e">
        <f>VLOOKUP(CP384,'Space Table'!$B$3:$L$160,7,FALSE)</f>
        <v>#N/A</v>
      </c>
      <c r="EZ384" s="1413"/>
      <c r="FB384" s="1365" t="str">
        <f>CONCATENATE(CN382," - ",AF384)</f>
        <v xml:space="preserve"> - </v>
      </c>
      <c r="FD384" s="1354"/>
      <c r="FE384" s="1354"/>
      <c r="FF384" s="138"/>
      <c r="FI384" s="1356" t="str">
        <f>IF(CN382="Exterior","Not Daylighted",G385)</f>
        <v>Not Daylighted</v>
      </c>
      <c r="FJ384" s="1356">
        <f>VLOOKUP(FI384,_Daylight_Table_Codes,2,FALSE)</f>
        <v>0</v>
      </c>
      <c r="FK384" s="1365">
        <f>AF384</f>
        <v>0</v>
      </c>
      <c r="FL384" s="1365" t="e">
        <f>VLOOKUP(FK384,_Control_Table,2,FALSE)</f>
        <v>#N/A</v>
      </c>
      <c r="FM384" s="1365" t="e">
        <f>IF(AND(FP384&gt;0,FK384="Occupancy Sensor"),"Daylight + Occupancy",IF(AND(FP384&gt;0,FL384&lt;4),"Interior Daylight Dimming",FK384))</f>
        <v>#N/A</v>
      </c>
      <c r="FO384" s="1364">
        <f>IF(CN382="Interior",VLOOKUP(CP382,Control_Savings_Interior,5,FALSE),0)</f>
        <v>0</v>
      </c>
      <c r="FP384" s="1361">
        <f>IF(CN384="Exterior",0,IF(FJ384=2,0.5,IF(OR(FJ384=1,FJ384=3),1,0)))</f>
        <v>0</v>
      </c>
      <c r="FQ384" s="1366">
        <f>IF(R383&gt;FO$37,(FO384*(FO$37/R383)),FO384)*FP384</f>
        <v>0</v>
      </c>
      <c r="FR384" s="1364">
        <f>DF384</f>
        <v>0</v>
      </c>
      <c r="FS384" s="1364">
        <f>ROUND(FR384+((1-FR384)*FQ384),2)</f>
        <v>0</v>
      </c>
      <c r="FT384" s="1364">
        <f>IF(__Retrofit_TI_NC=2,FS384,FR384)</f>
        <v>0</v>
      </c>
      <c r="FU384" s="1360">
        <f>IF(CO384="Interior",VLOOKUP(CP384,Control_Savings_Interior,4,FALSE),0)</f>
        <v>0</v>
      </c>
      <c r="FW384" s="1352"/>
      <c r="FX384" s="1352"/>
      <c r="FY384" s="1352"/>
      <c r="FZ384" s="1352"/>
      <c r="GA384" s="1352"/>
      <c r="GB384" s="1352"/>
      <c r="GC384" s="1352"/>
      <c r="GD384" s="1352"/>
      <c r="GE384" s="759" t="b">
        <f>IF(ISNUMBER(SEARCH("TLED",U384)),TRUE,FALSE)</f>
        <v>0</v>
      </c>
      <c r="GF384" s="1035" t="str">
        <f>IFERROR(VLOOKUP(U384,Fixtures!DM$93:DR$142,6,FALSE),"")</f>
        <v/>
      </c>
      <c r="GG384" s="1385"/>
      <c r="GI384" s="1383"/>
      <c r="GJ384" s="1379"/>
      <c r="GL384" s="1379"/>
      <c r="GM384" s="1379"/>
      <c r="HC384" s="1379"/>
      <c r="HD384" s="1379"/>
      <c r="HE384" s="1379"/>
      <c r="HF384" s="1379"/>
      <c r="HG384" s="1379"/>
      <c r="HH384" s="1379"/>
      <c r="HI384" s="1383"/>
      <c r="HJ384" s="1383"/>
      <c r="HK384" s="1383"/>
      <c r="HL384" s="1379"/>
      <c r="HM384" s="1379"/>
      <c r="HN384" s="1379"/>
      <c r="HO384" s="1379"/>
      <c r="HP384" s="1379"/>
      <c r="HQ384" s="1379"/>
      <c r="HR384" s="1379"/>
      <c r="HS384" s="1379"/>
      <c r="HT384" s="1379"/>
      <c r="HU384" s="1379"/>
      <c r="HW384" s="1383"/>
      <c r="HX384" s="1384" t="b">
        <f>HW382</f>
        <v>0</v>
      </c>
      <c r="HY384" s="1378"/>
      <c r="HZ384" s="436"/>
      <c r="IA384" s="1386"/>
      <c r="IB384" s="1380">
        <f>IF(IA382=TRUE,AC385,0)</f>
        <v>0</v>
      </c>
      <c r="IC384" s="1379"/>
      <c r="IF384" s="1380" t="e">
        <f>ROUND(T384*AB385*N383*R383/1000,0)</f>
        <v>#VALUE!</v>
      </c>
      <c r="IG384" s="1382"/>
      <c r="IH384" s="1384" t="e">
        <f>ROUND(T384*AB385*N383*R383/1000,0)</f>
        <v>#VALUE!</v>
      </c>
      <c r="II384" s="1382"/>
      <c r="IK384" s="1351" t="e">
        <f>IF($CO384="interior",IL384/2,VLOOKUP($CP384,Control_Savings_Exterior,IK$30,FALSE))</f>
        <v>#N/A</v>
      </c>
      <c r="IL384" s="1351" t="e">
        <f>IF($CO384="interior",VLOOKUP($CP384,Control_Savings_Interior,IL$30,FALSE),VLOOKUP($CP384,Control_Savings_Exterior,IL$30,FALSE))</f>
        <v>#N/A</v>
      </c>
      <c r="IM384" s="1351" t="e">
        <f>IF($CO384="interior",IF(R383&gt;FO$37,(IM$28*(FO$37/R383)),IM$28)*FP384,VLOOKUP($CP384,Control_Savings_Exterior,IM$30,FALSE))</f>
        <v>#N/A</v>
      </c>
      <c r="IN384" s="1351" t="e">
        <f>IF($CO384="interior",ROUND(((1-IL384)*IM384)+IL384,2),VLOOKUP($CP384,Control_Savings_Exterior,IN$30,FALSE))</f>
        <v>#N/A</v>
      </c>
      <c r="IO384" s="1351" t="e">
        <f>IF($CO384="interior", ROUND(((1-IL384)*(IM384*(1-IP$28)))+IP384,2), VLOOKUP($CP384,Control_Savings_Exterior,IO$30,FALSE))</f>
        <v>#N/A</v>
      </c>
      <c r="IP384" s="1351">
        <f>IF($CO384="interior",ROUND(((1-IL384)*IP$28)+IL384,2),0)</f>
        <v>0</v>
      </c>
    </row>
    <row r="385" spans="1:250" s="82" customFormat="1" ht="14.95" customHeight="1" thickTop="1" thickBot="1">
      <c r="B385" s="1421"/>
      <c r="C385" s="1422"/>
      <c r="D385" s="1423"/>
      <c r="E385" s="1462" t="s">
        <v>357</v>
      </c>
      <c r="F385" s="1463"/>
      <c r="G385" s="1464" t="s">
        <v>362</v>
      </c>
      <c r="H385" s="1465"/>
      <c r="I385" s="1465"/>
      <c r="J385" s="1465"/>
      <c r="K385" s="1465"/>
      <c r="L385" s="1466"/>
      <c r="M385" s="669">
        <f>IFERROR(VLOOKUP(G385,_Daylight_Table[],2,FALSE),0)</f>
        <v>0</v>
      </c>
      <c r="N385" s="670"/>
      <c r="O385" s="669" t="e">
        <f>VLOOKUP(G384,'Space Table'!$B$3:$L$160,11,FALSE)</f>
        <v>#N/A</v>
      </c>
      <c r="P385" s="1408"/>
      <c r="Q385" s="1409"/>
      <c r="R385" s="1409"/>
      <c r="S385" s="1402"/>
      <c r="T385" s="671" t="s">
        <v>281</v>
      </c>
      <c r="U385" s="1467" t="str">
        <f>IFERROR(VLOOKUP(U384,Fixtures!DM$93:DP$142,4,FALSE),"")</f>
        <v/>
      </c>
      <c r="V385" s="1468"/>
      <c r="W385" s="1468"/>
      <c r="X385" s="1468"/>
      <c r="Y385" s="1468"/>
      <c r="Z385" s="1468"/>
      <c r="AA385" s="1468"/>
      <c r="AB385" s="1046" t="str">
        <f>IFERROR(VLOOKUP(U384,Fixtures_Proposed_List,2,FALSE),"")</f>
        <v/>
      </c>
      <c r="AC385" s="1036" t="str">
        <f>IFERROR(ROUND(T384*AB385*N383*R383/1000,0),"")</f>
        <v/>
      </c>
      <c r="AD385" s="1037" t="str">
        <f>IFERROR(ROUND(T384*AB385/1000,2),"")</f>
        <v/>
      </c>
      <c r="AE385" s="1045" t="s">
        <v>281</v>
      </c>
      <c r="AF385" s="1469"/>
      <c r="AG385" s="1469"/>
      <c r="AH385" s="1469"/>
      <c r="AI385" s="1469"/>
      <c r="AJ385" s="1476"/>
      <c r="AK385" s="1471"/>
      <c r="AL385" s="1473"/>
      <c r="AM385" s="1443"/>
      <c r="AN385" s="1444"/>
      <c r="AO385" s="1449"/>
      <c r="AP385" s="1449"/>
      <c r="AQ385" s="1450"/>
      <c r="AR385" s="1453"/>
      <c r="AS385" s="1456"/>
      <c r="AT385" s="1459"/>
      <c r="AU385" s="517"/>
      <c r="AV385" s="1480"/>
      <c r="AW385" s="1480"/>
      <c r="BC385" s="38"/>
      <c r="BD385" s="38"/>
      <c r="BE385" s="38"/>
      <c r="BF385" s="38"/>
      <c r="BG385" s="38"/>
      <c r="BH385" s="38"/>
      <c r="BI385" s="38"/>
      <c r="BJ385" s="38"/>
      <c r="BK385" s="38"/>
      <c r="BL385" s="38"/>
      <c r="BM385" s="38"/>
      <c r="BN385" s="38"/>
      <c r="BO385" s="38"/>
      <c r="BP385" s="38"/>
      <c r="BQ385" s="38"/>
      <c r="BR385" s="38"/>
      <c r="BS385" s="38"/>
      <c r="BT385" s="38"/>
      <c r="BU385" s="38"/>
      <c r="BV385" s="38"/>
      <c r="BW385" s="38"/>
      <c r="BX385" s="38"/>
      <c r="BY385" s="38"/>
      <c r="BZ385" s="38"/>
      <c r="CA385" s="38"/>
      <c r="CB385" s="38"/>
      <c r="CC385" s="38"/>
      <c r="CD385" s="38"/>
      <c r="CE385" s="38"/>
      <c r="CF385" s="38"/>
      <c r="CG385" s="38"/>
      <c r="CH385" s="38"/>
      <c r="CI385" s="38"/>
      <c r="CM385" s="1352"/>
      <c r="CN385" s="1352"/>
      <c r="CO385" s="1416"/>
      <c r="CP385" s="1418"/>
      <c r="CR385" s="1386"/>
      <c r="CS385" s="1355"/>
      <c r="CT385" s="1355"/>
      <c r="CU385" s="1375"/>
      <c r="CV385" s="1372"/>
      <c r="CW385" s="1372"/>
      <c r="CX385" s="1372"/>
      <c r="CY385" s="1487"/>
      <c r="CZ385" s="1487"/>
      <c r="DA385" s="1487"/>
      <c r="DC385" s="1355"/>
      <c r="DD385" s="1355"/>
      <c r="DE385" s="1375"/>
      <c r="DF385" s="1407"/>
      <c r="DG385" s="1372"/>
      <c r="DH385" s="1369"/>
      <c r="DK385" s="1484"/>
      <c r="DL385" s="1420"/>
      <c r="DN385" s="1403"/>
      <c r="DO385" s="1405"/>
      <c r="DP385" s="1355"/>
      <c r="DQ385" s="1405"/>
      <c r="DR385" s="1403"/>
      <c r="DS385" s="1489"/>
      <c r="DU385" s="1403"/>
      <c r="DV385" s="1405"/>
      <c r="DW385" s="1403"/>
      <c r="DX385" s="1403"/>
      <c r="DZ385" s="1481"/>
      <c r="EA385" s="1481"/>
      <c r="EC385" s="1482"/>
      <c r="ED385" s="1369"/>
      <c r="EE385" s="1372"/>
      <c r="EF385" s="1369"/>
      <c r="EG385" s="1369"/>
      <c r="EH385" s="1375"/>
      <c r="EI385" s="1375"/>
      <c r="EJ385" s="1363"/>
      <c r="EK385" s="1376"/>
      <c r="EL385" s="1376"/>
      <c r="EM385" s="1362"/>
      <c r="EN385" s="1362"/>
      <c r="EO385" s="1363"/>
      <c r="EP385" s="1363"/>
      <c r="EQ385" s="1363"/>
      <c r="ES385" s="1403"/>
      <c r="EU385" s="1488"/>
      <c r="EV385" s="1488"/>
      <c r="EW385" s="1488"/>
      <c r="EX385" s="1488"/>
      <c r="EY385" s="1488"/>
      <c r="EZ385" s="1414"/>
      <c r="FB385" s="1365"/>
      <c r="FD385" s="1355"/>
      <c r="FE385" s="1355"/>
      <c r="FF385" s="138"/>
      <c r="FI385" s="1357"/>
      <c r="FJ385" s="1357"/>
      <c r="FK385" s="1365"/>
      <c r="FL385" s="1365"/>
      <c r="FM385" s="1365"/>
      <c r="FO385" s="1361"/>
      <c r="FP385" s="1361"/>
      <c r="FQ385" s="1366"/>
      <c r="FR385" s="1361"/>
      <c r="FS385" s="1361"/>
      <c r="FT385" s="1361"/>
      <c r="FU385" s="1360"/>
      <c r="FW385" s="1352"/>
      <c r="FX385" s="1352"/>
      <c r="FY385" s="1352"/>
      <c r="FZ385" s="1352"/>
      <c r="GA385" s="1352"/>
      <c r="GB385" s="1352"/>
      <c r="GC385" s="1352"/>
      <c r="GD385" s="1352"/>
      <c r="GE385" s="759"/>
      <c r="GF385" s="1035"/>
      <c r="GG385" s="1385"/>
      <c r="GJ385" s="1034">
        <f>IF(GJ383=TRUE,0,GJ$16)</f>
        <v>0</v>
      </c>
      <c r="GL385" s="1034">
        <f>IF(GL383=TRUE,0,GL$16)</f>
        <v>36</v>
      </c>
      <c r="GM385" s="1034">
        <f>IF(GM383=TRUE,0,GM$16)</f>
        <v>35</v>
      </c>
      <c r="GN385" s="436"/>
      <c r="GO385" s="436"/>
      <c r="GP385" s="436"/>
      <c r="GQ385" s="436"/>
      <c r="GR385" s="436"/>
      <c r="HC385" s="1034">
        <f t="shared" ref="HC385:HH385" si="278">IF(HC383=TRUE,0,HC$16)</f>
        <v>19</v>
      </c>
      <c r="HD385" s="1034">
        <f t="shared" si="278"/>
        <v>18</v>
      </c>
      <c r="HE385" s="1034">
        <f t="shared" si="278"/>
        <v>17</v>
      </c>
      <c r="HF385" s="1034">
        <f t="shared" si="278"/>
        <v>16</v>
      </c>
      <c r="HG385" s="1034">
        <f t="shared" si="278"/>
        <v>0</v>
      </c>
      <c r="HH385" s="1034">
        <f t="shared" si="278"/>
        <v>0</v>
      </c>
      <c r="HI385" s="1034">
        <f>IF(HI383=TRUE,0,HI$16)</f>
        <v>13</v>
      </c>
      <c r="HJ385" s="1034">
        <f t="shared" ref="HJ385:HL385" si="279">IF(HJ383=TRUE,0,HJ$16)</f>
        <v>12</v>
      </c>
      <c r="HK385" s="1034">
        <f t="shared" si="279"/>
        <v>11</v>
      </c>
      <c r="HL385" s="1034">
        <f t="shared" si="279"/>
        <v>10</v>
      </c>
      <c r="HM385" s="1034">
        <f>IF(HM383=TRUE,0,HM$16)</f>
        <v>9</v>
      </c>
      <c r="HN385" s="1034">
        <f t="shared" ref="HN385:HR385" si="280">IF(HN383=TRUE,0,HN$16)</f>
        <v>0</v>
      </c>
      <c r="HO385" s="1034">
        <f t="shared" si="280"/>
        <v>0</v>
      </c>
      <c r="HP385" s="1034">
        <f t="shared" si="280"/>
        <v>0</v>
      </c>
      <c r="HQ385" s="1034">
        <f t="shared" si="280"/>
        <v>0</v>
      </c>
      <c r="HR385" s="1034">
        <f t="shared" si="280"/>
        <v>0</v>
      </c>
      <c r="HS385" s="1034">
        <f>IF(HS383=TRUE,0,HS$16)</f>
        <v>0</v>
      </c>
      <c r="HT385" s="1034">
        <f t="shared" ref="HT385" si="281">IF(HT383=TRUE,0,HT$16)</f>
        <v>0</v>
      </c>
      <c r="HU385" s="1034">
        <f>IF(HU383=TRUE,0,HU$16)</f>
        <v>1</v>
      </c>
      <c r="HW385" s="1034">
        <f>IF(GL383=FALSE,GL385,IF(GM383=FALSE,GM385,MAX(GJ385:HU385)))</f>
        <v>36</v>
      </c>
      <c r="HX385" s="1383"/>
      <c r="HY385" s="241" t="str">
        <f>VLOOKUP(HW385,_Error_Table,3,FALSE)</f>
        <v xml:space="preserve"> </v>
      </c>
      <c r="HZ385" s="241"/>
      <c r="IA385" s="1386"/>
      <c r="IB385" s="1380"/>
      <c r="IC385" s="1379"/>
      <c r="IF385" s="1380"/>
      <c r="IG385" s="1383"/>
      <c r="IH385" s="1383"/>
      <c r="II385" s="1383"/>
      <c r="IK385" s="1351"/>
      <c r="IL385" s="1351"/>
      <c r="IM385" s="1351"/>
      <c r="IN385" s="1351"/>
      <c r="IO385" s="1351"/>
      <c r="IP385" s="1351"/>
    </row>
    <row r="386" spans="1:250" s="82" customFormat="1" ht="5.0999999999999996" customHeight="1" thickBot="1">
      <c r="B386" s="763"/>
      <c r="C386" s="1038"/>
      <c r="D386" s="1038"/>
      <c r="E386" s="1490"/>
      <c r="F386" s="1490"/>
      <c r="G386" s="1490"/>
      <c r="H386" s="1490"/>
      <c r="I386" s="1490"/>
      <c r="J386" s="1490"/>
      <c r="K386" s="1490"/>
      <c r="L386" s="1490"/>
      <c r="M386" s="1490"/>
      <c r="N386" s="1490"/>
      <c r="O386" s="1490"/>
      <c r="P386" s="1490"/>
      <c r="Q386" s="1490"/>
      <c r="R386" s="1490"/>
      <c r="S386" s="1490"/>
      <c r="T386" s="1490"/>
      <c r="U386" s="1490"/>
      <c r="V386" s="1490"/>
      <c r="W386" s="1490"/>
      <c r="X386" s="1490"/>
      <c r="Y386" s="1490"/>
      <c r="Z386" s="1490"/>
      <c r="AA386" s="1490"/>
      <c r="AB386" s="1490"/>
      <c r="AC386" s="1490"/>
      <c r="AD386" s="1490"/>
      <c r="AE386" s="1490"/>
      <c r="AF386" s="1490"/>
      <c r="AG386" s="1490"/>
      <c r="AH386" s="1490"/>
      <c r="AI386" s="1490"/>
      <c r="AJ386" s="1490"/>
      <c r="AK386" s="1490"/>
      <c r="AL386" s="1490"/>
      <c r="AM386" s="1490"/>
      <c r="AN386" s="1490"/>
      <c r="AO386" s="1490"/>
      <c r="AP386" s="1490"/>
      <c r="AQ386" s="1490"/>
      <c r="AR386" s="1490"/>
      <c r="AS386" s="1490"/>
      <c r="AT386" s="1490"/>
      <c r="AU386" s="1041"/>
      <c r="BC386" s="38"/>
      <c r="BD386" s="38"/>
      <c r="BE386" s="38"/>
      <c r="BF386" s="38"/>
      <c r="BG386" s="38"/>
      <c r="BH386" s="38"/>
      <c r="BI386" s="38"/>
      <c r="BJ386" s="38"/>
      <c r="BK386" s="38"/>
      <c r="BL386" s="38"/>
      <c r="BM386" s="38"/>
      <c r="BN386" s="38"/>
      <c r="BO386" s="38"/>
      <c r="BP386" s="38"/>
      <c r="BQ386" s="38"/>
      <c r="BR386" s="38"/>
      <c r="BS386" s="38"/>
      <c r="BT386" s="38"/>
      <c r="BU386" s="38"/>
      <c r="BV386" s="38"/>
      <c r="BW386" s="38"/>
      <c r="BX386" s="38"/>
      <c r="BY386" s="38"/>
      <c r="BZ386" s="38"/>
      <c r="CA386" s="38"/>
      <c r="CB386" s="38"/>
      <c r="CC386" s="38"/>
      <c r="CD386" s="38"/>
      <c r="CE386" s="38"/>
      <c r="CF386" s="38"/>
      <c r="CG386" s="38"/>
      <c r="CH386" s="38"/>
      <c r="CI386" s="38"/>
      <c r="CM386" s="749"/>
      <c r="CN386" s="749"/>
      <c r="CO386" s="1043"/>
      <c r="CP386" s="749"/>
      <c r="CS386" s="436"/>
      <c r="CT386" s="436"/>
      <c r="CU386" s="243"/>
      <c r="CV386" s="244"/>
      <c r="CW386" s="244"/>
      <c r="CX386" s="244"/>
      <c r="CY386" s="245"/>
      <c r="CZ386" s="245"/>
      <c r="DA386" s="245"/>
      <c r="DC386" s="750"/>
      <c r="DD386" s="751"/>
      <c r="DE386" s="752"/>
      <c r="DF386" s="753"/>
      <c r="DG386" s="754"/>
      <c r="DH386" s="754"/>
      <c r="DK386" s="244"/>
      <c r="DL386" s="750"/>
      <c r="DN386" s="750"/>
      <c r="DO386" s="755"/>
      <c r="DP386" s="436"/>
      <c r="DQ386" s="750"/>
      <c r="DR386" s="750"/>
      <c r="DS386" s="750"/>
      <c r="DU386" s="750"/>
      <c r="DV386" s="750"/>
      <c r="DW386" s="750"/>
      <c r="DX386" s="750"/>
      <c r="DZ386" s="756"/>
      <c r="EA386" s="756"/>
      <c r="EC386" s="754"/>
      <c r="ED386" s="754"/>
      <c r="EE386" s="244"/>
      <c r="EF386" s="754"/>
      <c r="EG386" s="754"/>
      <c r="EH386" s="243"/>
      <c r="EI386" s="243"/>
      <c r="EJ386" s="752"/>
      <c r="EK386" s="757"/>
      <c r="EL386" s="757"/>
      <c r="EM386" s="758"/>
      <c r="EN386" s="758"/>
      <c r="EO386" s="752"/>
      <c r="EP386" s="752"/>
      <c r="EQ386" s="752"/>
      <c r="ES386" s="750"/>
      <c r="EU386" s="436"/>
      <c r="EV386" s="436"/>
      <c r="EW386" s="436"/>
      <c r="EX386" s="436"/>
      <c r="EY386" s="436"/>
      <c r="EZ386" s="436"/>
      <c r="FB386" s="643"/>
      <c r="FD386" s="436"/>
      <c r="FE386" s="436"/>
      <c r="FF386" s="436"/>
      <c r="FO386" s="750"/>
      <c r="FP386" s="436"/>
      <c r="FQ386" s="436"/>
      <c r="FR386" s="750"/>
      <c r="FS386" s="750"/>
      <c r="FW386" s="749"/>
      <c r="FX386" s="749"/>
      <c r="FY386" s="749"/>
      <c r="FZ386" s="749"/>
      <c r="GA386" s="749"/>
      <c r="GB386" s="749"/>
      <c r="GC386" s="749"/>
      <c r="GD386" s="749"/>
      <c r="GE386" s="751"/>
      <c r="GF386" s="750"/>
      <c r="GG386" s="750"/>
    </row>
    <row r="387" spans="1:250" s="82" customFormat="1" ht="14.95" customHeight="1" thickTop="1" thickBot="1">
      <c r="B387" s="1421" t="str">
        <f>HY390</f>
        <v xml:space="preserve"> </v>
      </c>
      <c r="C387" s="1422">
        <f>C382+1</f>
        <v>68</v>
      </c>
      <c r="D387" s="1423"/>
      <c r="E387" s="1424" t="s">
        <v>242</v>
      </c>
      <c r="F387" s="1425"/>
      <c r="G387" s="1426"/>
      <c r="H387" s="1427"/>
      <c r="I387" s="1427"/>
      <c r="J387" s="1427"/>
      <c r="K387" s="1427"/>
      <c r="L387" s="1427"/>
      <c r="M387" s="1427"/>
      <c r="N387" s="1427"/>
      <c r="O387" s="1427"/>
      <c r="P387" s="1427"/>
      <c r="Q387" s="1427"/>
      <c r="R387" s="1427"/>
      <c r="S387" s="1428" t="s">
        <v>283</v>
      </c>
      <c r="T387" s="668" t="s">
        <v>190</v>
      </c>
      <c r="U387" s="1430" t="s">
        <v>186</v>
      </c>
      <c r="V387" s="1431"/>
      <c r="W387" s="1431"/>
      <c r="X387" s="1431"/>
      <c r="Y387" s="1431"/>
      <c r="Z387" s="1431"/>
      <c r="AA387" s="1431"/>
      <c r="AB387" s="1088" t="str">
        <f>IFERROR(IF(__Retrofit_TI_NC=0,VLOOKUP(U388,Fixtures_Existing_List,2,FALSE),ROUND(N389*R389/T389,10)),"")</f>
        <v/>
      </c>
      <c r="AC387" s="1039" t="str">
        <f>IFERROR(IF(__Retrofit_TI_NC=0,ROUND(T388*AB387*N388*R388/1000,0),IF(CN387="Interior",N389*R389*R388*N388*_C406_reduction/1000,N389*R389*R388*N388/1000)),"")</f>
        <v/>
      </c>
      <c r="AD387" s="1040" t="str">
        <f>IFERROR(IF(C$36=0,ROUND(T388*AB387/1000,2),N389*R389/1000),"")</f>
        <v/>
      </c>
      <c r="AE387" s="1044" t="s">
        <v>190</v>
      </c>
      <c r="AF387" s="1432" t="str">
        <f>IF(__Retrofit_TI_NC=2,CONCATENATE("Code min = ",DD387),IF(__Retrofit_TI_NC=1,"Emter what you think the existing control was"," Control"))</f>
        <v xml:space="preserve"> Control</v>
      </c>
      <c r="AG387" s="1432"/>
      <c r="AH387" s="1432"/>
      <c r="AI387" s="1432"/>
      <c r="AJ387" s="1433">
        <f>DF387</f>
        <v>0</v>
      </c>
      <c r="AK387" s="1435" t="str">
        <f>IFERROR(ROUND(AJ387*AC387,0),"")</f>
        <v/>
      </c>
      <c r="AL387" s="1437">
        <f>IFERROR(IF(HW387=FALSE,0,AC387-AK387),0)</f>
        <v>0</v>
      </c>
      <c r="AM387" s="1439">
        <f>AL387-AL389</f>
        <v>0</v>
      </c>
      <c r="AN387" s="1440"/>
      <c r="AO387" s="1445">
        <f>IFERROR(IF(HW387=FALSE,0,(T389*U390)+(AE389*AF390)),0)</f>
        <v>0</v>
      </c>
      <c r="AP387" s="1445"/>
      <c r="AQ387" s="1446"/>
      <c r="AR387" s="1451" t="s">
        <v>157</v>
      </c>
      <c r="AS387" s="1454">
        <f>IF(AR387="Yes",1,0)</f>
        <v>1</v>
      </c>
      <c r="AT387" s="1457" t="str">
        <f>IF(OR(DN387=4,DN387=5,DN387=6,DN387=12),CONCATENATE("$",IF(GD387=TRUE,Lookup!$B$11,Lookup!$B$2)," /lamp"),CONCATENATE(EA387,"/ kWh"))</f>
        <v>0/ kWh</v>
      </c>
      <c r="AU387" s="516"/>
      <c r="AV387" s="1478">
        <f>IFERROR(IF(GI388=TRUE,(AB390*T389)/R389,0),"NA")</f>
        <v>0</v>
      </c>
      <c r="AW387" s="1478" t="str">
        <f>IFERROR(N389*_C406_reduction,"NA")</f>
        <v>NA</v>
      </c>
      <c r="BC387" s="38"/>
      <c r="BD387" s="38"/>
      <c r="BE387" s="38"/>
      <c r="BF387" s="38"/>
      <c r="BG387" s="38"/>
      <c r="BH387" s="38"/>
      <c r="BI387" s="38"/>
      <c r="BJ387" s="38"/>
      <c r="BK387" s="38"/>
      <c r="BL387" s="38"/>
      <c r="BM387" s="38"/>
      <c r="BN387" s="38"/>
      <c r="BO387" s="38"/>
      <c r="BP387" s="38"/>
      <c r="BQ387" s="38"/>
      <c r="BR387" s="38"/>
      <c r="BS387" s="38"/>
      <c r="BT387" s="38"/>
      <c r="BU387" s="38"/>
      <c r="BV387" s="38"/>
      <c r="BW387" s="38"/>
      <c r="BX387" s="38"/>
      <c r="BY387" s="38"/>
      <c r="BZ387" s="38"/>
      <c r="CA387" s="38"/>
      <c r="CB387" s="38"/>
      <c r="CC387" s="38"/>
      <c r="CD387" s="38"/>
      <c r="CE387" s="38"/>
      <c r="CF387" s="38"/>
      <c r="CG387" s="38"/>
      <c r="CH387" s="38"/>
      <c r="CI387" s="38"/>
      <c r="CM387" s="1352" t="str">
        <f>N388</f>
        <v/>
      </c>
      <c r="CN387" s="1352" t="str">
        <f>IFERROR(VLOOKUP(G388,_Lookup_Heat_Type_Table_New,3,FALSE),"")</f>
        <v/>
      </c>
      <c r="CO387" s="1415" t="str">
        <f>CN387</f>
        <v/>
      </c>
      <c r="CP387" s="1417" t="e">
        <f>VLOOKUP(G389,'Space Table'!$B$3:$L$160,9,FALSE)</f>
        <v>#N/A</v>
      </c>
      <c r="CR387" s="1386" t="s">
        <v>283</v>
      </c>
      <c r="CS387" s="1353">
        <f>IF(HW387=TRUE,T388,0)</f>
        <v>0</v>
      </c>
      <c r="CT387" s="1353" t="str">
        <f>IF(HW387=TRUE,U388,"")</f>
        <v/>
      </c>
      <c r="CU387" s="1353"/>
      <c r="CV387" s="1370">
        <f>IF(HW387=TRUE,AB387,0)</f>
        <v>0</v>
      </c>
      <c r="CW387" s="1370">
        <f>IF(HW387=TRUE,AC387,0)</f>
        <v>0</v>
      </c>
      <c r="CX387" s="1370">
        <f>IFERROR(IF(HW387=TRUE,CW387-CW389,0),0)</f>
        <v>0</v>
      </c>
      <c r="CY387" s="1485">
        <f>IF(HW387=TRUE,AD387,0)</f>
        <v>0</v>
      </c>
      <c r="CZ387" s="1485">
        <f>IF(HW387=TRUE,AD390,0)</f>
        <v>0</v>
      </c>
      <c r="DA387" s="1485">
        <f>IFERROR(CY387-CZ387,0)</f>
        <v>0</v>
      </c>
      <c r="DC387" s="1353">
        <f>IF(HW387=TRUE,AE388,0)</f>
        <v>0</v>
      </c>
      <c r="DD387" s="1460">
        <f>IF(__Retrofit_TI_NC=2,IF(CN387="Exterior",O390,FM387),FK387)</f>
        <v>0</v>
      </c>
      <c r="DE387" s="1353"/>
      <c r="DF387" s="1406">
        <f>IFERROR(IF(FL387=3,IK387,IF(FL387=4,IL387,IF(FL387=5,IM387,IF(FL387=6,IN387,IF(FL387=7,IO387,IF(FL387=8,IP387,0)))))),0)</f>
        <v>0</v>
      </c>
      <c r="DG387" s="1370">
        <f>IF(HW387=TRUE,AK387,0)</f>
        <v>0</v>
      </c>
      <c r="DH387" s="1369">
        <f>IFERROR(IF(HW387=TRUE,DG389-DG387,0),0)</f>
        <v>0</v>
      </c>
      <c r="DJ387" s="1483">
        <f>IFERROR(CW387-DG387,0)</f>
        <v>0</v>
      </c>
      <c r="DL387" s="1419">
        <f>DJ387-DK389</f>
        <v>0</v>
      </c>
      <c r="DN387" s="1403" t="str">
        <f>IFERROR(IF(AND(OR(FY387=4,FY387=5,FY387=6),OR(GB387=4,GB387=5,GB387=6)),FY387+8,VLOOKUP(CT389,Fixtures!R$31:Y$78,8,FALSE)),"")</f>
        <v/>
      </c>
      <c r="DO387" s="1404" t="str">
        <f>DN387</f>
        <v/>
      </c>
      <c r="DP387" s="1353" t="str">
        <f>IFERROR(VLOOKUP(DD389,Lookup!AU$3:AV$15,2,FALSE),"")</f>
        <v/>
      </c>
      <c r="DQ387" s="1404" t="str">
        <f>IF(DP387=7,"LLLC","")</f>
        <v/>
      </c>
      <c r="DR387" s="1403">
        <f>IFERROR(IF(OR(DN387=4,DN387=5,DN387=6,DN387=12,DN387=13,DN387=14),VLOOKUP(CT389,Fixtures!DN$27:EG$77,19,FALSE),1)*CS389,0)</f>
        <v>0</v>
      </c>
      <c r="DS387" s="1489">
        <f>IF(DP387=7,IF(DD387=DD389,0,DC389),0)</f>
        <v>0</v>
      </c>
      <c r="DU387" s="1403" t="str">
        <f>IFERROR(IF(EW387&lt;EW389,"Yes","No"),"")</f>
        <v/>
      </c>
      <c r="DV387" s="1404" t="str">
        <f>DU387</f>
        <v/>
      </c>
      <c r="DW387" s="1403">
        <f>IF(DU387="Yes",DC389,0)</f>
        <v>0</v>
      </c>
      <c r="DX387" s="1403">
        <f>DW387-DS387</f>
        <v>0</v>
      </c>
      <c r="DZ387" s="1481">
        <f>IFERROR(VLOOKUP(DN387,Lookup!AN$3:AO$16,2,FALSE),0)</f>
        <v>0</v>
      </c>
      <c r="EA387" s="1481">
        <f>IF(HW387=FALSE,0,IF(DU387="Yes",DZ387+Lookup!B$6,DZ387))</f>
        <v>0</v>
      </c>
      <c r="EC387" s="1482">
        <f>IF(HW387=TRUE,DJ387,0)</f>
        <v>0</v>
      </c>
      <c r="ED387" s="1369">
        <f>IF(HW387=TRUE,CW389,0)</f>
        <v>0</v>
      </c>
      <c r="EE387" s="1370">
        <f>IFERROR(EC387-ED387,0)</f>
        <v>0</v>
      </c>
      <c r="EF387" s="1369">
        <f>IF(HW387=TRUE,DG389,0)</f>
        <v>0</v>
      </c>
      <c r="EG387" s="1369">
        <f>IFERROR(EC387-ED387+EF387,0)</f>
        <v>0</v>
      </c>
      <c r="EH387" s="1373">
        <f>IF(HW387=TRUE,CS389*CU389,0)</f>
        <v>0</v>
      </c>
      <c r="EI387" s="1373">
        <f>IF(HW387=TRUE,DC389*DE389,0)</f>
        <v>0</v>
      </c>
      <c r="EJ387" s="1363">
        <f>AO387</f>
        <v>0</v>
      </c>
      <c r="EK387" s="1376" t="str">
        <f>IFERROR(IF(HW387=TRUE,VLOOKUP(DN387,Lookup!AN$3:AP$16,3,FALSE)*DR387,""),0)</f>
        <v/>
      </c>
      <c r="EL387" s="1376">
        <f>IF(HW387=TRUE,DW387*Lookup!AP$12,0)</f>
        <v>0</v>
      </c>
      <c r="EM387" s="1362">
        <f>IFERROR(IF(HW387=TRUE,EK387/EM$33,0),0)</f>
        <v>0</v>
      </c>
      <c r="EN387" s="1362">
        <f>IF(HW387=TRUE,EL387/EN$33,0)</f>
        <v>0</v>
      </c>
      <c r="EO387" s="1363">
        <f>IF(HW387=TRUE,EQ$33*EM387,0)</f>
        <v>0</v>
      </c>
      <c r="EP387" s="1363">
        <f>IF(HW387=TRUE,EQ$33*EN387,0)</f>
        <v>0</v>
      </c>
      <c r="EQ387" s="1363">
        <f>EO387+EP387</f>
        <v>0</v>
      </c>
      <c r="ES387" s="1403">
        <f>IF(G387="",0,1)</f>
        <v>0</v>
      </c>
      <c r="EU387" s="1410" t="e">
        <f>VLOOKUP(CP389,'Space Table'!$B$3:$L$160,8,FALSE)</f>
        <v>#N/A</v>
      </c>
      <c r="EV387" s="1410" t="e">
        <f>IF(EY387="Yes",VLOOKUP(DD387,Lookup_Control_Type_Table2,4,FALSE),VLOOKUP(DD387,Lookup_Control_Type_Table2,3,FALSE))</f>
        <v>#N/A</v>
      </c>
      <c r="EW387" s="1410" t="e">
        <f>VLOOKUP(DD387,Lookup!AU$3:AV$15,2,FALSE)</f>
        <v>#N/A</v>
      </c>
      <c r="EX387" s="1410" t="e">
        <f>VLOOKUP(EU387,Lookup_Control_Type_Table,2,FALSE)</f>
        <v>#N/A</v>
      </c>
      <c r="EY387" s="1410" t="e">
        <f>VLOOKUP(CP389,'Space Table'!$B$3:$L$160,7,FALSE)</f>
        <v>#N/A</v>
      </c>
      <c r="EZ387" s="1412" t="b">
        <f>ISNUMBER(SEARCH("TLED",U389))</f>
        <v>0</v>
      </c>
      <c r="FB387" s="1365" t="str">
        <f>CONCATENATE(CN387," - ",DD387)</f>
        <v xml:space="preserve"> - 0</v>
      </c>
      <c r="FD387" s="1353" t="str">
        <f>VLOOKUP(CT389,Fixtures!DN$27:EZ$77,38,FALSE)</f>
        <v/>
      </c>
      <c r="FE387" s="1353">
        <f>IFERROR(FD387*EE387,0)</f>
        <v>0</v>
      </c>
      <c r="FF387" s="138"/>
      <c r="FI387" s="1356" t="str">
        <f>IF(CN387="Exterior","Not Daylighted",G390)</f>
        <v>Not Daylighted</v>
      </c>
      <c r="FJ387" s="1356">
        <f>VLOOKUP(FI387,_Daylight_Table_Codes,2,FALSE)</f>
        <v>0</v>
      </c>
      <c r="FK387" s="1365">
        <f>IF(__Retrofit_TI_NC=2,VLOOKUP(G389,'Space Table'!$B$3:$L$160,11,FALSE),AF388)</f>
        <v>0</v>
      </c>
      <c r="FL387" s="1365" t="e">
        <f>VLOOKUP(FK387,_Control_Table,2,FALSE)</f>
        <v>#N/A</v>
      </c>
      <c r="FM387" s="1365" t="e">
        <f>IF(AND(FP387&gt;0,FK387="Occupancy Sensor"),"Daylight + Occupancy",IF(AND(FP387&gt;0,FL387&lt;4),"Interior Daylight Dimming",FK387))</f>
        <v>#N/A</v>
      </c>
      <c r="FO387" s="1364">
        <f>IF(CO387="Interior",VLOOKUP(CP387,Control_Savings_Interior,5,FALSE),0)</f>
        <v>0</v>
      </c>
      <c r="FP387" s="1361">
        <f>IF(CN387="Exterior",0,IF(FJ387=2,0.5,IF(OR(FJ387=1,FJ387=3),1,0)))</f>
        <v>0</v>
      </c>
      <c r="FQ387" s="1366"/>
      <c r="FR387" s="1367"/>
      <c r="FS387" s="1364"/>
      <c r="FT387" s="1367"/>
      <c r="FU387" s="1360"/>
      <c r="FW387" s="1352" t="str">
        <f>IFERROR(VLOOKUP(U388,_Exist_Fixture_Table,3,FALSE),"")</f>
        <v/>
      </c>
      <c r="FX387" s="1352" t="str">
        <f>VLOOKUP(CT387,_Exist_Fixture_Table,4,FALSE)</f>
        <v/>
      </c>
      <c r="FY387" s="1352">
        <f>IFERROR(VLOOKUP(FX387,Lookup!AM$6:AN$8,2,FALSE),0)</f>
        <v>0</v>
      </c>
      <c r="FZ387" s="1352" t="b">
        <f>IFERROR(IF(OR(GB387=4,GB387=5,GB387=6),TRUE,FALSE),"")</f>
        <v>0</v>
      </c>
      <c r="GA387" s="1352" t="str">
        <f>IFERROR(VLOOKUP(GB387,FY$6:FZ$10,2,FALSE),"")</f>
        <v/>
      </c>
      <c r="GB387" s="1352" t="str">
        <f>VLOOKUP(CT389,Fixtures!R$31:Y$78,8,FALSE)</f>
        <v/>
      </c>
      <c r="GC387" s="1352">
        <f>IF(AND(FW387=TRUE,FZ387=TRUE,OR(DN387=12,DN387=13,DN387=14)),FY387+8,0)</f>
        <v>0</v>
      </c>
      <c r="GD387" s="1352" t="b">
        <f>IF(OR(GC387=12,GC387=13,GC387=14),TRUE,FALSE)</f>
        <v>0</v>
      </c>
      <c r="GE387" s="759" t="b">
        <f>IF(ISNUMBER(SEARCH("TLED",U388)),TRUE,FALSE)</f>
        <v>0</v>
      </c>
      <c r="GF387" s="1035" t="str">
        <f>IFERROR(VLOOKUP(U388,Fixtures!BM$93:BR$142,6,FALSE),"")</f>
        <v/>
      </c>
      <c r="GG387" s="1385" t="b">
        <f>IF(OR(GE387=FALSE,GE389=FALSE),TRUE,IF(GF387-GF389&lt;5,FALSE,TRUE))</f>
        <v>1</v>
      </c>
      <c r="GK387" s="1034">
        <f>GL387</f>
        <v>0</v>
      </c>
      <c r="GL387" s="1034">
        <f>IF(G387="",0,1)</f>
        <v>0</v>
      </c>
      <c r="GM387" s="1034">
        <f>SUM(GN387:HB387)</f>
        <v>2</v>
      </c>
      <c r="GN387" s="1034">
        <f>IF(G388="",0,1)</f>
        <v>0</v>
      </c>
      <c r="GO387" s="1034">
        <f>IF(G389="",0,1)</f>
        <v>0</v>
      </c>
      <c r="GP387" s="1034">
        <f>IF(R388="",0,1)</f>
        <v>0</v>
      </c>
      <c r="GQ387" s="1034">
        <f>IF(__Retrofit_TI_NC=0,1,IF(R389="",0,1))</f>
        <v>1</v>
      </c>
      <c r="GR387" s="1034">
        <f>IF(CN387="Exterior",1,IF(G390="",0,1))</f>
        <v>1</v>
      </c>
      <c r="GS387" s="1034">
        <f>IF(__Retrofit_TI_NC&lt;&gt;0,1,IF(T388="",0,1))</f>
        <v>0</v>
      </c>
      <c r="GT387" s="1034">
        <f>IF(__Retrofit_TI_NC&lt;&gt;0,1,IF(U388="",0,1))</f>
        <v>0</v>
      </c>
      <c r="GU387" s="1034">
        <f>IF(T389="",0,1)</f>
        <v>0</v>
      </c>
      <c r="GV387" s="1034">
        <f>IF(U389="",0,1)</f>
        <v>0</v>
      </c>
      <c r="GW387" s="1034">
        <f>IF(__Retrofit_TI_NC=2,1,IF(U390="",0,1))</f>
        <v>0</v>
      </c>
      <c r="GX387" s="1034">
        <f>IF(__Retrofit_TI_NC&lt;&gt;0,1,IF(AE388="",0,1))</f>
        <v>0</v>
      </c>
      <c r="GY387" s="1034">
        <f>IF(__Retrofit_TI_NC&lt;&gt;0,1,IF(AF388="",0,1))</f>
        <v>0</v>
      </c>
      <c r="GZ387" s="1034">
        <f>IF(AE389="",0,1)</f>
        <v>0</v>
      </c>
      <c r="HA387" s="1034">
        <f>IF(AF389="",0,1)</f>
        <v>0</v>
      </c>
      <c r="HB387" s="1034">
        <f>IF(__Retrofit_TI_NC=2,1,IF(AF390="",0,1))</f>
        <v>0</v>
      </c>
      <c r="HV387" s="436"/>
      <c r="HW387" s="1384" t="b">
        <f>IF(OR(HW390=0,HW390=HT$16,HW390=HS$16,HW390=HU$16),TRUE,FALSE)</f>
        <v>0</v>
      </c>
      <c r="HX387" s="1377" t="b">
        <f>HW387</f>
        <v>0</v>
      </c>
      <c r="HY387" s="436"/>
      <c r="HZ387" s="436"/>
      <c r="IA387" s="1386" t="b">
        <f>IF(MAX(GJ390:HP390)&gt;5,FALSE,TRUE)</f>
        <v>0</v>
      </c>
      <c r="IB387" s="1380">
        <f>IF(IA387=TRUE,AC387,0)</f>
        <v>0</v>
      </c>
      <c r="IC387" s="1380">
        <f>IB387-IB389</f>
        <v>0</v>
      </c>
      <c r="IF387" s="1380" t="e">
        <f>ROUND(T388*VLOOKUP(U388,Fixtures_Existing_List,2,FALSE)*N388*R388/1000,0)</f>
        <v>#N/A</v>
      </c>
      <c r="IG387" s="1381" t="e">
        <f>IF387-IF389</f>
        <v>#N/A</v>
      </c>
      <c r="IH387" s="1384" t="e">
        <f>ROUND(IF(CN387="Interior",N389*R389*R388*N388*_C406_reduction/1000,N389*R389*R388*N388/1000),0)</f>
        <v>#N/A</v>
      </c>
      <c r="II387" s="1384" t="e">
        <f>IH387-IH389</f>
        <v>#N/A</v>
      </c>
      <c r="IK387" s="1351" t="e">
        <f>IF($CO387="interior",IL387/2,VLOOKUP($CP387,Control_Savings_Exterior,IK$30,FALSE))</f>
        <v>#N/A</v>
      </c>
      <c r="IL387" s="1351" t="e">
        <f>IF($CO387="interior",VLOOKUP($CP387,Control_Savings_Interior,IL$30,FALSE),VLOOKUP($CP387,Control_Savings_Exterior,IL$30,FALSE))</f>
        <v>#N/A</v>
      </c>
      <c r="IM387" s="1351" t="e">
        <f>IF($CO387="interior",IF(R388&gt;FO$37,(IM$28*(FO$37/R388)),IM$28)*FP387,VLOOKUP($CP387,Control_Savings_Exterior,IM$30,FALSE))</f>
        <v>#N/A</v>
      </c>
      <c r="IN387" s="1351" t="e">
        <f>IF($CO387="interior",ROUND(((1-IL387)*IM387)+IL387,2),VLOOKUP($CP387,Control_Savings_Exterior,IN$30,FALSE))</f>
        <v>#N/A</v>
      </c>
      <c r="IO387" s="1351" t="e">
        <f>IF($CO387="interior", ROUND(((1-IL387)*(IM387*(1-IP$28)))+IP387,2), VLOOKUP($CP387,Control_Savings_Exterior,IO$30,FALSE))</f>
        <v>#N/A</v>
      </c>
      <c r="IP387" s="1351">
        <f>IF($CO387="interior",ROUND(((1-IL387)*IP$28)+IL387,2),0)</f>
        <v>0</v>
      </c>
    </row>
    <row r="388" spans="1:250" s="82" customFormat="1" ht="14.95" customHeight="1" thickTop="1" thickBot="1">
      <c r="B388" s="1421"/>
      <c r="C388" s="1422"/>
      <c r="D388" s="1423"/>
      <c r="E388" s="1393" t="s">
        <v>244</v>
      </c>
      <c r="F388" s="1394"/>
      <c r="G388" s="1395"/>
      <c r="H388" s="1395"/>
      <c r="I388" s="1395"/>
      <c r="J388" s="1395"/>
      <c r="K388" s="1395"/>
      <c r="L388" s="1395"/>
      <c r="M388" s="509" t="e">
        <f>IF(__Retrofit_TI_NC&lt;&gt;0,IF(VLOOKUP(G389,'Space Table'!$B$3:$L$160,3,FALSE)&gt;0,1,0),IF(__Retrofit_TI_NC=VLOOKUP(G389,'Space Table'!$B$3:$L$160,3,FALSE),1,0))</f>
        <v>#N/A</v>
      </c>
      <c r="N388" s="509" t="str">
        <f>IFERROR(VLOOKUP(G388,_Lookup_Heat_Type_Table_New,2,FALSE),"")</f>
        <v/>
      </c>
      <c r="O388" s="509">
        <f>IF(__Retrofit_TI_NC=1,CONCATENATE("TI ",G388),IF(__Retrofit_TI_NC=2,CONCATENATE("NC ",G388),G388))</f>
        <v>0</v>
      </c>
      <c r="P388" s="1396" t="s">
        <v>352</v>
      </c>
      <c r="Q388" s="1396"/>
      <c r="R388" s="673"/>
      <c r="S388" s="1429"/>
      <c r="T388" s="675"/>
      <c r="U388" s="1496"/>
      <c r="V388" s="1497"/>
      <c r="W388" s="1497"/>
      <c r="X388" s="1497"/>
      <c r="Y388" s="1497"/>
      <c r="Z388" s="1497"/>
      <c r="AA388" s="1497"/>
      <c r="AB388" s="1497"/>
      <c r="AC388" s="1497"/>
      <c r="AD388" s="1498"/>
      <c r="AE388" s="675"/>
      <c r="AF388" s="1397"/>
      <c r="AG388" s="1397"/>
      <c r="AH388" s="1397"/>
      <c r="AI388" s="1397"/>
      <c r="AJ388" s="1434"/>
      <c r="AK388" s="1436"/>
      <c r="AL388" s="1438"/>
      <c r="AM388" s="1441"/>
      <c r="AN388" s="1442"/>
      <c r="AO388" s="1447"/>
      <c r="AP388" s="1447"/>
      <c r="AQ388" s="1448"/>
      <c r="AR388" s="1452"/>
      <c r="AS388" s="1455"/>
      <c r="AT388" s="1458"/>
      <c r="AU388" s="516"/>
      <c r="AV388" s="1479"/>
      <c r="AW388" s="1479"/>
      <c r="BC388" s="38"/>
      <c r="BD388" s="38"/>
      <c r="BE388" s="38"/>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38"/>
      <c r="CH388" s="38"/>
      <c r="CI388" s="38"/>
      <c r="CM388" s="1352"/>
      <c r="CN388" s="1352"/>
      <c r="CO388" s="1416"/>
      <c r="CP388" s="1418"/>
      <c r="CR388" s="1386"/>
      <c r="CS388" s="1355"/>
      <c r="CT388" s="1355"/>
      <c r="CU388" s="1355"/>
      <c r="CV388" s="1372"/>
      <c r="CW388" s="1372"/>
      <c r="CX388" s="1371"/>
      <c r="CY388" s="1486"/>
      <c r="CZ388" s="1486"/>
      <c r="DA388" s="1486"/>
      <c r="DC388" s="1355"/>
      <c r="DD388" s="1461"/>
      <c r="DE388" s="1355"/>
      <c r="DF388" s="1407"/>
      <c r="DG388" s="1372"/>
      <c r="DH388" s="1369"/>
      <c r="DJ388" s="1484"/>
      <c r="DL388" s="1419"/>
      <c r="DN388" s="1403"/>
      <c r="DO388" s="1405"/>
      <c r="DP388" s="1354"/>
      <c r="DQ388" s="1405"/>
      <c r="DR388" s="1403"/>
      <c r="DS388" s="1489"/>
      <c r="DU388" s="1403"/>
      <c r="DV388" s="1405"/>
      <c r="DW388" s="1403"/>
      <c r="DX388" s="1403"/>
      <c r="DZ388" s="1481"/>
      <c r="EA388" s="1481"/>
      <c r="EC388" s="1482"/>
      <c r="ED388" s="1369"/>
      <c r="EE388" s="1371"/>
      <c r="EF388" s="1369"/>
      <c r="EG388" s="1369"/>
      <c r="EH388" s="1374"/>
      <c r="EI388" s="1374"/>
      <c r="EJ388" s="1363"/>
      <c r="EK388" s="1376"/>
      <c r="EL388" s="1376"/>
      <c r="EM388" s="1362"/>
      <c r="EN388" s="1362"/>
      <c r="EO388" s="1363"/>
      <c r="EP388" s="1363"/>
      <c r="EQ388" s="1363"/>
      <c r="ES388" s="1403"/>
      <c r="EU388" s="1411"/>
      <c r="EV388" s="1411"/>
      <c r="EW388" s="1411"/>
      <c r="EX388" s="1411"/>
      <c r="EY388" s="1411"/>
      <c r="EZ388" s="1413"/>
      <c r="FB388" s="1365"/>
      <c r="FD388" s="1354"/>
      <c r="FE388" s="1354"/>
      <c r="FF388" s="138"/>
      <c r="FI388" s="1357"/>
      <c r="FJ388" s="1357"/>
      <c r="FK388" s="1365"/>
      <c r="FL388" s="1365"/>
      <c r="FM388" s="1365"/>
      <c r="FO388" s="1361"/>
      <c r="FP388" s="1361"/>
      <c r="FQ388" s="1366"/>
      <c r="FR388" s="1368"/>
      <c r="FS388" s="1361"/>
      <c r="FT388" s="1368"/>
      <c r="FU388" s="1360"/>
      <c r="FW388" s="1352"/>
      <c r="FX388" s="1352"/>
      <c r="FY388" s="1352"/>
      <c r="FZ388" s="1352"/>
      <c r="GA388" s="1352"/>
      <c r="GB388" s="1352"/>
      <c r="GC388" s="1352"/>
      <c r="GD388" s="1352"/>
      <c r="GE388" s="759"/>
      <c r="GF388" s="1035"/>
      <c r="GG388" s="1385"/>
      <c r="GI388" s="1384" t="b">
        <f>IF(AND(GL388=TRUE,GM388=TRUE),TRUE,FALSE)</f>
        <v>0</v>
      </c>
      <c r="GJ388" s="1379" t="b">
        <f>IFERROR(IF(__Retrofit_TI_NC=2,TRUE,IF(AR387="Yes",TRUE,FALSE)),FALSE)</f>
        <v>1</v>
      </c>
      <c r="GL388" s="1379" t="b">
        <f>IFERROR(IF(GL387=1,TRUE,FALSE),FALSE)</f>
        <v>0</v>
      </c>
      <c r="GM388" s="1379" t="b">
        <f>IFERROR(IF(GM387=GM$14,TRUE,FALSE),FALSE)</f>
        <v>0</v>
      </c>
      <c r="HC388" s="1379" t="b">
        <f>IFERROR(IF(M388=1,TRUE,FALSE),FALSE)</f>
        <v>0</v>
      </c>
      <c r="HD388" s="1379" t="b">
        <f>IFERROR(IF(M389=1,TRUE,FALSE),FALSE)</f>
        <v>0</v>
      </c>
      <c r="HE388" s="1379" t="b">
        <f>IFERROR(IF(__Retrofit_TI_NC&lt;&gt;0,TRUE,IFERROR(IF(VLOOKUP(U388,Fixtures_Existing_List,2,FALSE)&lt;&gt;"",TRUE,FALSE),FALSE)),FALSE)</f>
        <v>0</v>
      </c>
      <c r="HF388" s="1379" t="b">
        <f>IFERROR(IF(VLOOKUP(U389,Fixtures_Proposed_List,2,FALSE)&lt;&gt;"",TRUE,FALSE),FALSE)</f>
        <v>0</v>
      </c>
      <c r="HG388" s="1379" t="b">
        <f>IF(AND(__Retrofit_TI_NC=2,EZ387=TRUE),FALSE,TRUE)</f>
        <v>1</v>
      </c>
      <c r="HH388" s="1379" t="b">
        <f>GG387</f>
        <v>1</v>
      </c>
      <c r="HI388" s="1384" t="b">
        <f>IF(ISERROR(MATCH(FB387,_Control_Match[],0))=TRUE,FALSE,TRUE)</f>
        <v>0</v>
      </c>
      <c r="HJ388" s="1384" t="b">
        <f>IFERROR(IF(EU387&lt;&gt;EV387,FALSE,TRUE),FALSE)</f>
        <v>0</v>
      </c>
      <c r="HK388" s="1384" t="b">
        <f>IFERROR(IF(EU389&lt;&gt;EV389,FALSE,TRUE),FALSE)</f>
        <v>0</v>
      </c>
      <c r="HL388" s="1379" t="b">
        <f>IFERROR(IF(CN387="Exterior",TRUE,IF(OR(AND(FJ387=0,EW389&gt;4),AND(FJ387=4,EW389&gt;4,EW389&lt;7)),FALSE,TRUE)),FALSE)</f>
        <v>0</v>
      </c>
      <c r="HM388" s="1379" t="b">
        <f>IFERROR(IF(AND(FL389=7,EZ387=TRUE),FALSE,TRUE),FALSE)</f>
        <v>0</v>
      </c>
      <c r="HN388" s="1379" t="b">
        <f>IFERROR(IF(AND(T389&lt;&gt;AE389,AF389="Interior LLLC")=TRUE,FALSE,TRUE),FALSE)</f>
        <v>1</v>
      </c>
      <c r="HO388" s="1379" t="b">
        <f>IFERROR(IF(OR(AF389=Lookup!AU$13,AF389=Lookup!AU$14)=TRUE,IF(AE389&gt;T389,FALSE,TRUE),TRUE),FALSE)</f>
        <v>1</v>
      </c>
      <c r="HP388" s="1379" t="b">
        <f>IFERROR(IF(__Retrofit_TI_NC=2,IF(EW389&lt;EW387,FALSE,TRUE),TRUE),FALSE)</f>
        <v>1</v>
      </c>
      <c r="HQ388" s="1379" t="b">
        <f>IF(CN387="Interior",IG$6,TRUE)</f>
        <v>1</v>
      </c>
      <c r="HR388" s="1379" t="b">
        <f>IF(CN387="Exterior",IG$8,TRUE)</f>
        <v>1</v>
      </c>
      <c r="HS388" s="1379" t="b">
        <f>IFERROR(IF(__Retrofit_TI_NC&lt;&gt;0,IF(AW387&lt;AV387,FALSE,TRUE),TRUE),FALSE)</f>
        <v>1</v>
      </c>
      <c r="HT388" s="1379" t="b">
        <f>IFERROR(IF(AND(G388="Exterior",R388&gt;4200),FALSE,TRUE),FALSE)</f>
        <v>1</v>
      </c>
      <c r="HU388" s="1379" t="b">
        <f>IFERROR(IF(AB390/AB387&lt;HU$18,FALSE,TRUE),FALSE)</f>
        <v>0</v>
      </c>
      <c r="HW388" s="1382"/>
      <c r="HX388" s="1378"/>
      <c r="HY388" s="1377" t="str">
        <f>VLOOKUP(HW390,_Error_Table,4,FALSE)</f>
        <v>White</v>
      </c>
      <c r="HZ388" s="436"/>
      <c r="IA388" s="1386"/>
      <c r="IB388" s="1380"/>
      <c r="IC388" s="1379"/>
      <c r="IF388" s="1380"/>
      <c r="IG388" s="1382"/>
      <c r="IH388" s="1382"/>
      <c r="II388" s="1382"/>
      <c r="IK388" s="1351"/>
      <c r="IL388" s="1351"/>
      <c r="IM388" s="1351"/>
      <c r="IN388" s="1351"/>
      <c r="IO388" s="1351"/>
      <c r="IP388" s="1351"/>
    </row>
    <row r="389" spans="1:250" s="82" customFormat="1" ht="14.95" customHeight="1" thickTop="1" thickBot="1">
      <c r="A389" s="82">
        <f>ROW()</f>
        <v>389</v>
      </c>
      <c r="B389" s="1421"/>
      <c r="C389" s="1422"/>
      <c r="D389" s="1423"/>
      <c r="E389" s="1393" t="s">
        <v>245</v>
      </c>
      <c r="F389" s="1394"/>
      <c r="G389" s="1398"/>
      <c r="H389" s="1399"/>
      <c r="I389" s="1399"/>
      <c r="J389" s="1399"/>
      <c r="K389" s="1399"/>
      <c r="L389" s="1400"/>
      <c r="M389" s="509">
        <f>IFERROR(IF(IF(__Retrofit_TI_NC&lt;&gt;0,IF(CN387="Interior",MATCH(G389,Lookup_Interior_New,0),MATCH(G389,Lookup_Exterior_New,0)),IF(CN387="Interior",MATCH(G389,Lookup_Interior,0),MATCH(G389,Lookup_Exterior_Areas,0)))&gt;0,1,0),0)</f>
        <v>0</v>
      </c>
      <c r="N389" s="509" t="e">
        <f>IF(__Retrofit_TI_NC=1,
VLOOKUP(G389,'Space Table'!$B$3:$L$160,4,FALSE),
IF(__Retrofit_TI_NC=2,VLOOKUP(G389,'Space Table'!$B$3:$L$160,5,FALSE),VLOOKUP(G389,'Space Table'!$B$3:$L$160,5,FALSE)))</f>
        <v>#N/A</v>
      </c>
      <c r="O389" s="509">
        <f>G389</f>
        <v>0</v>
      </c>
      <c r="P389" s="1394" t="s">
        <v>355</v>
      </c>
      <c r="Q389" s="1394"/>
      <c r="R389" s="674"/>
      <c r="S389" s="1401" t="s">
        <v>284</v>
      </c>
      <c r="T389" s="672"/>
      <c r="U389" s="1499"/>
      <c r="V389" s="1500"/>
      <c r="W389" s="1500"/>
      <c r="X389" s="1500"/>
      <c r="Y389" s="1500"/>
      <c r="Z389" s="1500"/>
      <c r="AA389" s="1500"/>
      <c r="AB389" s="1501"/>
      <c r="AC389" s="1501"/>
      <c r="AD389" s="1502"/>
      <c r="AE389" s="672"/>
      <c r="AF389" s="1474"/>
      <c r="AG389" s="1474"/>
      <c r="AH389" s="1474"/>
      <c r="AI389" s="1474"/>
      <c r="AJ389" s="1475">
        <f>DF389</f>
        <v>0</v>
      </c>
      <c r="AK389" s="1470" t="str">
        <f>IFERROR(ROUND(AJ389*AC390,0),"")</f>
        <v/>
      </c>
      <c r="AL389" s="1472">
        <f>IFERROR(IF(HW387=FALSE,0,AC390-AK389),0)</f>
        <v>0</v>
      </c>
      <c r="AM389" s="1441"/>
      <c r="AN389" s="1442"/>
      <c r="AO389" s="1447"/>
      <c r="AP389" s="1447"/>
      <c r="AQ389" s="1448"/>
      <c r="AR389" s="1452"/>
      <c r="AS389" s="1455"/>
      <c r="AT389" s="1458"/>
      <c r="AU389" s="516"/>
      <c r="AV389" s="1479"/>
      <c r="AW389" s="1479"/>
      <c r="BC389" s="38"/>
      <c r="BD389" s="38"/>
      <c r="BE389" s="38"/>
      <c r="BF389" s="38"/>
      <c r="BG389" s="38"/>
      <c r="BH389" s="38"/>
      <c r="BI389" s="38"/>
      <c r="BJ389" s="38"/>
      <c r="BK389" s="38"/>
      <c r="BL389" s="38"/>
      <c r="BM389" s="38"/>
      <c r="BN389" s="38"/>
      <c r="BO389" s="38"/>
      <c r="BP389" s="38"/>
      <c r="BQ389" s="38"/>
      <c r="BR389" s="38"/>
      <c r="BS389" s="38"/>
      <c r="BT389" s="38"/>
      <c r="BU389" s="38"/>
      <c r="BV389" s="38"/>
      <c r="BW389" s="38"/>
      <c r="BX389" s="38"/>
      <c r="BY389" s="38"/>
      <c r="BZ389" s="38"/>
      <c r="CA389" s="38"/>
      <c r="CB389" s="38"/>
      <c r="CC389" s="38"/>
      <c r="CD389" s="38"/>
      <c r="CE389" s="38"/>
      <c r="CF389" s="38"/>
      <c r="CG389" s="38"/>
      <c r="CH389" s="38"/>
      <c r="CI389" s="38"/>
      <c r="CM389" s="1352"/>
      <c r="CN389" s="1352"/>
      <c r="CO389" s="1415" t="str">
        <f>CN387</f>
        <v/>
      </c>
      <c r="CP389" s="1417" t="e">
        <f>CP387</f>
        <v>#N/A</v>
      </c>
      <c r="CR389" s="1386" t="s">
        <v>284</v>
      </c>
      <c r="CS389" s="1353">
        <f>IF(HW387=TRUE,T389,0)</f>
        <v>0</v>
      </c>
      <c r="CT389" s="1353" t="str">
        <f>IF(HW387=TRUE,U389,"")</f>
        <v/>
      </c>
      <c r="CU389" s="1373">
        <f>IF(HW387=TRUE,U390,0)</f>
        <v>0</v>
      </c>
      <c r="CV389" s="1370">
        <f>IF(HW387=TRUE,AB390,0)</f>
        <v>0</v>
      </c>
      <c r="CW389" s="1370">
        <f>IF(HW387=TRUE,AC390,0)</f>
        <v>0</v>
      </c>
      <c r="CX389" s="1371"/>
      <c r="CY389" s="1486"/>
      <c r="CZ389" s="1486"/>
      <c r="DA389" s="1486"/>
      <c r="DC389" s="1353">
        <f>IF(HW387=TRUE,AE389,0)</f>
        <v>0</v>
      </c>
      <c r="DD389" s="1353" t="str">
        <f>IF(HW387=TRUE,AF389,"")</f>
        <v/>
      </c>
      <c r="DE389" s="1373">
        <f>AF390</f>
        <v>0</v>
      </c>
      <c r="DF389" s="1406">
        <f>IFERROR(IF(FL389=3,IK389,IF(FL389=4,IL389,IF(FL389=5,IM389,IF(FL389=6,IN389,IF(FL389=7,IO389,IF(FL389=8,IP389,0)))))),0)</f>
        <v>0</v>
      </c>
      <c r="DG389" s="1370">
        <f>IF(HW387=TRUE,AK389,0)</f>
        <v>0</v>
      </c>
      <c r="DH389" s="1369"/>
      <c r="DK389" s="1483">
        <f>IFERROR(CW389-DG389,0)</f>
        <v>0</v>
      </c>
      <c r="DL389" s="1420"/>
      <c r="DN389" s="1403"/>
      <c r="DO389" s="1477" t="str">
        <f>DN387</f>
        <v/>
      </c>
      <c r="DP389" s="1354"/>
      <c r="DQ389" s="1477" t="str">
        <f>IF(DP387=7,"LLLC","")</f>
        <v/>
      </c>
      <c r="DR389" s="1403"/>
      <c r="DS389" s="1489"/>
      <c r="DU389" s="1403"/>
      <c r="DV389" s="1404" t="str">
        <f>DU387</f>
        <v/>
      </c>
      <c r="DW389" s="1403"/>
      <c r="DX389" s="1403"/>
      <c r="DZ389" s="1481"/>
      <c r="EA389" s="1481"/>
      <c r="EC389" s="1482"/>
      <c r="ED389" s="1369"/>
      <c r="EE389" s="1371"/>
      <c r="EF389" s="1369"/>
      <c r="EG389" s="1369"/>
      <c r="EH389" s="1374"/>
      <c r="EI389" s="1374"/>
      <c r="EJ389" s="1363"/>
      <c r="EK389" s="1376"/>
      <c r="EL389" s="1376"/>
      <c r="EM389" s="1362"/>
      <c r="EN389" s="1362"/>
      <c r="EO389" s="1363"/>
      <c r="EP389" s="1363"/>
      <c r="EQ389" s="1363"/>
      <c r="ES389" s="1403"/>
      <c r="EU389" s="1411" t="e">
        <f>VLOOKUP(CP389,'Space Table'!$B$3:$L$160,8,FALSE)</f>
        <v>#N/A</v>
      </c>
      <c r="EV389" s="1411" t="e">
        <f>IF(EY389="Yes",VLOOKUP(AF389,Lookup_Control_Type_Table2,4,FALSE),VLOOKUP(AF389,Lookup_Control_Type_Table2,3,FALSE))</f>
        <v>#N/A</v>
      </c>
      <c r="EW389" s="1411" t="e">
        <f>VLOOKUP(AF389,Lookup!AU$3:AV$15,2,FALSE)</f>
        <v>#N/A</v>
      </c>
      <c r="EX389" s="1411" t="e">
        <f>VLOOKUP(EU387,Lookup_Control_Type_Table,2,FALSE)</f>
        <v>#N/A</v>
      </c>
      <c r="EY389" s="1411" t="e">
        <f>VLOOKUP(CP389,'Space Table'!$B$3:$L$160,7,FALSE)</f>
        <v>#N/A</v>
      </c>
      <c r="EZ389" s="1413"/>
      <c r="FB389" s="1365" t="str">
        <f>CONCATENATE(CN387," - ",AF389)</f>
        <v xml:space="preserve"> - </v>
      </c>
      <c r="FD389" s="1354"/>
      <c r="FE389" s="1354"/>
      <c r="FF389" s="138"/>
      <c r="FI389" s="1356" t="str">
        <f>IF(CN387="Exterior","Not Daylighted",G390)</f>
        <v>Not Daylighted</v>
      </c>
      <c r="FJ389" s="1356">
        <f>VLOOKUP(FI389,_Daylight_Table_Codes,2,FALSE)</f>
        <v>0</v>
      </c>
      <c r="FK389" s="1365">
        <f>AF389</f>
        <v>0</v>
      </c>
      <c r="FL389" s="1365" t="e">
        <f>VLOOKUP(FK389,_Control_Table,2,FALSE)</f>
        <v>#N/A</v>
      </c>
      <c r="FM389" s="1365" t="e">
        <f>IF(AND(FP389&gt;0,FK389="Occupancy Sensor"),"Daylight + Occupancy",IF(AND(FP389&gt;0,FL389&lt;4),"Interior Daylight Dimming",FK389))</f>
        <v>#N/A</v>
      </c>
      <c r="FO389" s="1364">
        <f>IF(CN387="Interior",VLOOKUP(CP387,Control_Savings_Interior,5,FALSE),0)</f>
        <v>0</v>
      </c>
      <c r="FP389" s="1361">
        <f>IF(CN389="Exterior",0,IF(FJ389=2,0.5,IF(OR(FJ389=1,FJ389=3),1,0)))</f>
        <v>0</v>
      </c>
      <c r="FQ389" s="1366">
        <f>IF(R388&gt;FO$37,(FO389*(FO$37/R388)),FO389)*FP389</f>
        <v>0</v>
      </c>
      <c r="FR389" s="1364">
        <f>DF389</f>
        <v>0</v>
      </c>
      <c r="FS389" s="1364">
        <f>ROUND(FR389+((1-FR389)*FQ389),2)</f>
        <v>0</v>
      </c>
      <c r="FT389" s="1364">
        <f>IF(__Retrofit_TI_NC=2,FS389,FR389)</f>
        <v>0</v>
      </c>
      <c r="FU389" s="1360">
        <f>IF(CO389="Interior",VLOOKUP(CP389,Control_Savings_Interior,4,FALSE),0)</f>
        <v>0</v>
      </c>
      <c r="FW389" s="1352"/>
      <c r="FX389" s="1352"/>
      <c r="FY389" s="1352"/>
      <c r="FZ389" s="1352"/>
      <c r="GA389" s="1352"/>
      <c r="GB389" s="1352"/>
      <c r="GC389" s="1352"/>
      <c r="GD389" s="1352"/>
      <c r="GE389" s="759" t="b">
        <f>IF(ISNUMBER(SEARCH("TLED",U389)),TRUE,FALSE)</f>
        <v>0</v>
      </c>
      <c r="GF389" s="1035" t="str">
        <f>IFERROR(VLOOKUP(U389,Fixtures!DM$93:DR$142,6,FALSE),"")</f>
        <v/>
      </c>
      <c r="GG389" s="1385"/>
      <c r="GI389" s="1383"/>
      <c r="GJ389" s="1379"/>
      <c r="GL389" s="1379"/>
      <c r="GM389" s="1379"/>
      <c r="HC389" s="1379"/>
      <c r="HD389" s="1379"/>
      <c r="HE389" s="1379"/>
      <c r="HF389" s="1379"/>
      <c r="HG389" s="1379"/>
      <c r="HH389" s="1379"/>
      <c r="HI389" s="1383"/>
      <c r="HJ389" s="1383"/>
      <c r="HK389" s="1383"/>
      <c r="HL389" s="1379"/>
      <c r="HM389" s="1379"/>
      <c r="HN389" s="1379"/>
      <c r="HO389" s="1379"/>
      <c r="HP389" s="1379"/>
      <c r="HQ389" s="1379"/>
      <c r="HR389" s="1379"/>
      <c r="HS389" s="1379"/>
      <c r="HT389" s="1379"/>
      <c r="HU389" s="1379"/>
      <c r="HW389" s="1383"/>
      <c r="HX389" s="1384" t="b">
        <f>HW387</f>
        <v>0</v>
      </c>
      <c r="HY389" s="1378"/>
      <c r="HZ389" s="436"/>
      <c r="IA389" s="1386"/>
      <c r="IB389" s="1380">
        <f>IF(IA387=TRUE,AC390,0)</f>
        <v>0</v>
      </c>
      <c r="IC389" s="1379"/>
      <c r="IF389" s="1380" t="e">
        <f>ROUND(T389*AB390*N388*R388/1000,0)</f>
        <v>#VALUE!</v>
      </c>
      <c r="IG389" s="1382"/>
      <c r="IH389" s="1384" t="e">
        <f>ROUND(T389*AB390*N388*R388/1000,0)</f>
        <v>#VALUE!</v>
      </c>
      <c r="II389" s="1382"/>
      <c r="IK389" s="1351" t="e">
        <f>IF($CO389="interior",IL389/2,VLOOKUP($CP389,Control_Savings_Exterior,IK$30,FALSE))</f>
        <v>#N/A</v>
      </c>
      <c r="IL389" s="1351" t="e">
        <f>IF($CO389="interior",VLOOKUP($CP389,Control_Savings_Interior,IL$30,FALSE),VLOOKUP($CP389,Control_Savings_Exterior,IL$30,FALSE))</f>
        <v>#N/A</v>
      </c>
      <c r="IM389" s="1351" t="e">
        <f>IF($CO389="interior",IF(R388&gt;FO$37,(IM$28*(FO$37/R388)),IM$28)*FP389,VLOOKUP($CP389,Control_Savings_Exterior,IM$30,FALSE))</f>
        <v>#N/A</v>
      </c>
      <c r="IN389" s="1351" t="e">
        <f>IF($CO389="interior",ROUND(((1-IL389)*IM389)+IL389,2),VLOOKUP($CP389,Control_Savings_Exterior,IN$30,FALSE))</f>
        <v>#N/A</v>
      </c>
      <c r="IO389" s="1351" t="e">
        <f>IF($CO389="interior", ROUND(((1-IL389)*(IM389*(1-IP$28)))+IP389,2), VLOOKUP($CP389,Control_Savings_Exterior,IO$30,FALSE))</f>
        <v>#N/A</v>
      </c>
      <c r="IP389" s="1351">
        <f>IF($CO389="interior",ROUND(((1-IL389)*IP$28)+IL389,2),0)</f>
        <v>0</v>
      </c>
    </row>
    <row r="390" spans="1:250" s="82" customFormat="1" ht="14.95" customHeight="1" thickTop="1" thickBot="1">
      <c r="B390" s="1421"/>
      <c r="C390" s="1422"/>
      <c r="D390" s="1423"/>
      <c r="E390" s="1462" t="s">
        <v>357</v>
      </c>
      <c r="F390" s="1463"/>
      <c r="G390" s="1464" t="s">
        <v>362</v>
      </c>
      <c r="H390" s="1465"/>
      <c r="I390" s="1465"/>
      <c r="J390" s="1465"/>
      <c r="K390" s="1465"/>
      <c r="L390" s="1466"/>
      <c r="M390" s="669">
        <f>IFERROR(VLOOKUP(G390,_Daylight_Table[],2,FALSE),0)</f>
        <v>0</v>
      </c>
      <c r="N390" s="670"/>
      <c r="O390" s="669" t="e">
        <f>VLOOKUP(G389,'Space Table'!$B$3:$L$160,11,FALSE)</f>
        <v>#N/A</v>
      </c>
      <c r="P390" s="1408"/>
      <c r="Q390" s="1409"/>
      <c r="R390" s="1409"/>
      <c r="S390" s="1402"/>
      <c r="T390" s="671" t="s">
        <v>281</v>
      </c>
      <c r="U390" s="1467" t="str">
        <f>IFERROR(VLOOKUP(U389,Fixtures!DM$93:DP$142,4,FALSE),"")</f>
        <v/>
      </c>
      <c r="V390" s="1468"/>
      <c r="W390" s="1468"/>
      <c r="X390" s="1468"/>
      <c r="Y390" s="1468"/>
      <c r="Z390" s="1468"/>
      <c r="AA390" s="1468"/>
      <c r="AB390" s="1046" t="str">
        <f>IFERROR(VLOOKUP(U389,Fixtures_Proposed_List,2,FALSE),"")</f>
        <v/>
      </c>
      <c r="AC390" s="1036" t="str">
        <f>IFERROR(ROUND(T389*AB390*N388*R388/1000,0),"")</f>
        <v/>
      </c>
      <c r="AD390" s="1037" t="str">
        <f>IFERROR(ROUND(T389*AB390/1000,2),"")</f>
        <v/>
      </c>
      <c r="AE390" s="1045" t="s">
        <v>281</v>
      </c>
      <c r="AF390" s="1469"/>
      <c r="AG390" s="1469"/>
      <c r="AH390" s="1469"/>
      <c r="AI390" s="1469"/>
      <c r="AJ390" s="1476"/>
      <c r="AK390" s="1471"/>
      <c r="AL390" s="1473"/>
      <c r="AM390" s="1443"/>
      <c r="AN390" s="1444"/>
      <c r="AO390" s="1449"/>
      <c r="AP390" s="1449"/>
      <c r="AQ390" s="1450"/>
      <c r="AR390" s="1453"/>
      <c r="AS390" s="1456"/>
      <c r="AT390" s="1459"/>
      <c r="AU390" s="517"/>
      <c r="AV390" s="1480"/>
      <c r="AW390" s="1480"/>
      <c r="BC390" s="38"/>
      <c r="BD390" s="38"/>
      <c r="BE390" s="38"/>
      <c r="BF390" s="38"/>
      <c r="BG390" s="38"/>
      <c r="BH390" s="38"/>
      <c r="BI390" s="38"/>
      <c r="BJ390" s="38"/>
      <c r="BK390" s="38"/>
      <c r="BL390" s="38"/>
      <c r="BM390" s="38"/>
      <c r="BN390" s="38"/>
      <c r="BO390" s="38"/>
      <c r="BP390" s="38"/>
      <c r="BQ390" s="38"/>
      <c r="BR390" s="38"/>
      <c r="BS390" s="38"/>
      <c r="BT390" s="38"/>
      <c r="BU390" s="38"/>
      <c r="BV390" s="38"/>
      <c r="BW390" s="38"/>
      <c r="BX390" s="38"/>
      <c r="BY390" s="38"/>
      <c r="BZ390" s="38"/>
      <c r="CA390" s="38"/>
      <c r="CB390" s="38"/>
      <c r="CC390" s="38"/>
      <c r="CD390" s="38"/>
      <c r="CE390" s="38"/>
      <c r="CF390" s="38"/>
      <c r="CG390" s="38"/>
      <c r="CH390" s="38"/>
      <c r="CI390" s="38"/>
      <c r="CM390" s="1352"/>
      <c r="CN390" s="1352"/>
      <c r="CO390" s="1416"/>
      <c r="CP390" s="1418"/>
      <c r="CR390" s="1386"/>
      <c r="CS390" s="1355"/>
      <c r="CT390" s="1355"/>
      <c r="CU390" s="1375"/>
      <c r="CV390" s="1372"/>
      <c r="CW390" s="1372"/>
      <c r="CX390" s="1372"/>
      <c r="CY390" s="1487"/>
      <c r="CZ390" s="1487"/>
      <c r="DA390" s="1487"/>
      <c r="DC390" s="1355"/>
      <c r="DD390" s="1355"/>
      <c r="DE390" s="1375"/>
      <c r="DF390" s="1407"/>
      <c r="DG390" s="1372"/>
      <c r="DH390" s="1369"/>
      <c r="DK390" s="1484"/>
      <c r="DL390" s="1420"/>
      <c r="DN390" s="1403"/>
      <c r="DO390" s="1405"/>
      <c r="DP390" s="1355"/>
      <c r="DQ390" s="1405"/>
      <c r="DR390" s="1403"/>
      <c r="DS390" s="1489"/>
      <c r="DU390" s="1403"/>
      <c r="DV390" s="1405"/>
      <c r="DW390" s="1403"/>
      <c r="DX390" s="1403"/>
      <c r="DZ390" s="1481"/>
      <c r="EA390" s="1481"/>
      <c r="EC390" s="1482"/>
      <c r="ED390" s="1369"/>
      <c r="EE390" s="1372"/>
      <c r="EF390" s="1369"/>
      <c r="EG390" s="1369"/>
      <c r="EH390" s="1375"/>
      <c r="EI390" s="1375"/>
      <c r="EJ390" s="1363"/>
      <c r="EK390" s="1376"/>
      <c r="EL390" s="1376"/>
      <c r="EM390" s="1362"/>
      <c r="EN390" s="1362"/>
      <c r="EO390" s="1363"/>
      <c r="EP390" s="1363"/>
      <c r="EQ390" s="1363"/>
      <c r="ES390" s="1403"/>
      <c r="EU390" s="1488"/>
      <c r="EV390" s="1488"/>
      <c r="EW390" s="1488"/>
      <c r="EX390" s="1488"/>
      <c r="EY390" s="1488"/>
      <c r="EZ390" s="1414"/>
      <c r="FB390" s="1365"/>
      <c r="FD390" s="1355"/>
      <c r="FE390" s="1355"/>
      <c r="FF390" s="138"/>
      <c r="FI390" s="1357"/>
      <c r="FJ390" s="1357"/>
      <c r="FK390" s="1365"/>
      <c r="FL390" s="1365"/>
      <c r="FM390" s="1365"/>
      <c r="FO390" s="1361"/>
      <c r="FP390" s="1361"/>
      <c r="FQ390" s="1366"/>
      <c r="FR390" s="1361"/>
      <c r="FS390" s="1361"/>
      <c r="FT390" s="1361"/>
      <c r="FU390" s="1360"/>
      <c r="FW390" s="1352"/>
      <c r="FX390" s="1352"/>
      <c r="FY390" s="1352"/>
      <c r="FZ390" s="1352"/>
      <c r="GA390" s="1352"/>
      <c r="GB390" s="1352"/>
      <c r="GC390" s="1352"/>
      <c r="GD390" s="1352"/>
      <c r="GE390" s="759"/>
      <c r="GF390" s="1035"/>
      <c r="GG390" s="1385"/>
      <c r="GJ390" s="1034">
        <f>IF(GJ388=TRUE,0,GJ$16)</f>
        <v>0</v>
      </c>
      <c r="GL390" s="1034">
        <f>IF(GL388=TRUE,0,GL$16)</f>
        <v>36</v>
      </c>
      <c r="GM390" s="1034">
        <f>IF(GM388=TRUE,0,GM$16)</f>
        <v>35</v>
      </c>
      <c r="GN390" s="436"/>
      <c r="GO390" s="436"/>
      <c r="GP390" s="436"/>
      <c r="GQ390" s="436"/>
      <c r="GR390" s="436"/>
      <c r="HC390" s="1034">
        <f t="shared" ref="HC390:HH390" si="282">IF(HC388=TRUE,0,HC$16)</f>
        <v>19</v>
      </c>
      <c r="HD390" s="1034">
        <f t="shared" si="282"/>
        <v>18</v>
      </c>
      <c r="HE390" s="1034">
        <f t="shared" si="282"/>
        <v>17</v>
      </c>
      <c r="HF390" s="1034">
        <f t="shared" si="282"/>
        <v>16</v>
      </c>
      <c r="HG390" s="1034">
        <f t="shared" si="282"/>
        <v>0</v>
      </c>
      <c r="HH390" s="1034">
        <f t="shared" si="282"/>
        <v>0</v>
      </c>
      <c r="HI390" s="1034">
        <f>IF(HI388=TRUE,0,HI$16)</f>
        <v>13</v>
      </c>
      <c r="HJ390" s="1034">
        <f t="shared" ref="HJ390:HL390" si="283">IF(HJ388=TRUE,0,HJ$16)</f>
        <v>12</v>
      </c>
      <c r="HK390" s="1034">
        <f t="shared" si="283"/>
        <v>11</v>
      </c>
      <c r="HL390" s="1034">
        <f t="shared" si="283"/>
        <v>10</v>
      </c>
      <c r="HM390" s="1034">
        <f>IF(HM388=TRUE,0,HM$16)</f>
        <v>9</v>
      </c>
      <c r="HN390" s="1034">
        <f t="shared" ref="HN390:HR390" si="284">IF(HN388=TRUE,0,HN$16)</f>
        <v>0</v>
      </c>
      <c r="HO390" s="1034">
        <f t="shared" si="284"/>
        <v>0</v>
      </c>
      <c r="HP390" s="1034">
        <f t="shared" si="284"/>
        <v>0</v>
      </c>
      <c r="HQ390" s="1034">
        <f t="shared" si="284"/>
        <v>0</v>
      </c>
      <c r="HR390" s="1034">
        <f t="shared" si="284"/>
        <v>0</v>
      </c>
      <c r="HS390" s="1034">
        <f>IF(HS388=TRUE,0,HS$16)</f>
        <v>0</v>
      </c>
      <c r="HT390" s="1034">
        <f t="shared" ref="HT390" si="285">IF(HT388=TRUE,0,HT$16)</f>
        <v>0</v>
      </c>
      <c r="HU390" s="1034">
        <f>IF(HU388=TRUE,0,HU$16)</f>
        <v>1</v>
      </c>
      <c r="HW390" s="1034">
        <f>IF(GL388=FALSE,GL390,IF(GM388=FALSE,GM390,MAX(GJ390:HU390)))</f>
        <v>36</v>
      </c>
      <c r="HX390" s="1383"/>
      <c r="HY390" s="241" t="str">
        <f>VLOOKUP(HW390,_Error_Table,3,FALSE)</f>
        <v xml:space="preserve"> </v>
      </c>
      <c r="HZ390" s="241"/>
      <c r="IA390" s="1386"/>
      <c r="IB390" s="1380"/>
      <c r="IC390" s="1379"/>
      <c r="IF390" s="1380"/>
      <c r="IG390" s="1383"/>
      <c r="IH390" s="1383"/>
      <c r="II390" s="1383"/>
      <c r="IK390" s="1351"/>
      <c r="IL390" s="1351"/>
      <c r="IM390" s="1351"/>
      <c r="IN390" s="1351"/>
      <c r="IO390" s="1351"/>
      <c r="IP390" s="1351"/>
    </row>
    <row r="391" spans="1:250" s="82" customFormat="1" ht="5.0999999999999996" customHeight="1" thickTop="1" thickBot="1">
      <c r="B391" s="763"/>
      <c r="C391" s="1038"/>
      <c r="D391" s="1038"/>
      <c r="E391" s="1562"/>
      <c r="F391" s="1563"/>
      <c r="G391" s="1563"/>
      <c r="H391" s="1563"/>
      <c r="I391" s="1563"/>
      <c r="J391" s="1563"/>
      <c r="K391" s="1563"/>
      <c r="L391" s="1563"/>
      <c r="M391" s="1563"/>
      <c r="N391" s="1563"/>
      <c r="O391" s="1563"/>
      <c r="P391" s="1563"/>
      <c r="Q391" s="1563"/>
      <c r="R391" s="1563"/>
      <c r="S391" s="1563"/>
      <c r="T391" s="1563"/>
      <c r="U391" s="1563"/>
      <c r="V391" s="1563"/>
      <c r="W391" s="1563"/>
      <c r="X391" s="1563"/>
      <c r="Y391" s="1563"/>
      <c r="Z391" s="1563"/>
      <c r="AA391" s="1563"/>
      <c r="AB391" s="1563"/>
      <c r="AC391" s="1563"/>
      <c r="AD391" s="1563"/>
      <c r="AE391" s="1563"/>
      <c r="AF391" s="1563"/>
      <c r="AG391" s="1563"/>
      <c r="AH391" s="1563"/>
      <c r="AI391" s="1563"/>
      <c r="AJ391" s="1563"/>
      <c r="AK391" s="1563"/>
      <c r="AL391" s="1563"/>
      <c r="AM391" s="1563"/>
      <c r="AN391" s="1563"/>
      <c r="AO391" s="1563"/>
      <c r="AP391" s="1563"/>
      <c r="AQ391" s="1563"/>
      <c r="AR391" s="1563"/>
      <c r="AS391" s="1563"/>
      <c r="AT391" s="1564"/>
      <c r="AU391" s="1041"/>
      <c r="BC391" s="38"/>
      <c r="BD391" s="38"/>
      <c r="BE391" s="38"/>
      <c r="BF391" s="38"/>
      <c r="BG391" s="38"/>
      <c r="BH391" s="38"/>
      <c r="BI391" s="38"/>
      <c r="BJ391" s="38"/>
      <c r="BK391" s="38"/>
      <c r="BL391" s="38"/>
      <c r="BM391" s="38"/>
      <c r="BN391" s="38"/>
      <c r="BO391" s="38"/>
      <c r="BP391" s="38"/>
      <c r="BQ391" s="38"/>
      <c r="BR391" s="38"/>
      <c r="BS391" s="38"/>
      <c r="BT391" s="38"/>
      <c r="BU391" s="38"/>
      <c r="BV391" s="38"/>
      <c r="BW391" s="38"/>
      <c r="BX391" s="38"/>
      <c r="BY391" s="38"/>
      <c r="BZ391" s="38"/>
      <c r="CA391" s="38"/>
      <c r="CB391" s="38"/>
      <c r="CC391" s="38"/>
      <c r="CD391" s="38"/>
      <c r="CE391" s="38"/>
      <c r="CF391" s="38"/>
      <c r="CG391" s="38"/>
      <c r="CH391" s="38"/>
      <c r="CI391" s="38"/>
      <c r="CM391" s="749"/>
      <c r="CN391" s="749"/>
      <c r="CO391" s="1043"/>
      <c r="CP391" s="749"/>
      <c r="CS391" s="436"/>
      <c r="CT391" s="436"/>
      <c r="CU391" s="243"/>
      <c r="CV391" s="244"/>
      <c r="CW391" s="244"/>
      <c r="CX391" s="244"/>
      <c r="CY391" s="245"/>
      <c r="CZ391" s="245"/>
      <c r="DA391" s="245"/>
      <c r="DC391" s="750"/>
      <c r="DD391" s="751"/>
      <c r="DE391" s="752"/>
      <c r="DF391" s="753"/>
      <c r="DG391" s="754"/>
      <c r="DH391" s="754"/>
      <c r="DK391" s="244"/>
      <c r="DL391" s="750"/>
      <c r="DN391" s="750"/>
      <c r="DO391" s="755"/>
      <c r="DP391" s="436"/>
      <c r="DQ391" s="750"/>
      <c r="DR391" s="750"/>
      <c r="DS391" s="750"/>
      <c r="DU391" s="750"/>
      <c r="DV391" s="750"/>
      <c r="DW391" s="750"/>
      <c r="DX391" s="750"/>
      <c r="DZ391" s="756"/>
      <c r="EA391" s="756"/>
      <c r="EC391" s="754"/>
      <c r="ED391" s="754"/>
      <c r="EE391" s="244"/>
      <c r="EF391" s="754"/>
      <c r="EG391" s="754"/>
      <c r="EH391" s="243"/>
      <c r="EI391" s="243"/>
      <c r="EJ391" s="752"/>
      <c r="EK391" s="757"/>
      <c r="EL391" s="757"/>
      <c r="EM391" s="758"/>
      <c r="EN391" s="758"/>
      <c r="EO391" s="752"/>
      <c r="EP391" s="752"/>
      <c r="EQ391" s="752"/>
      <c r="ES391" s="750"/>
      <c r="EU391" s="436"/>
      <c r="EV391" s="436"/>
      <c r="EW391" s="436"/>
      <c r="EX391" s="436"/>
      <c r="EY391" s="436"/>
      <c r="EZ391" s="436"/>
      <c r="FB391" s="643"/>
      <c r="FD391" s="436"/>
      <c r="FE391" s="436"/>
      <c r="FF391" s="436"/>
      <c r="FO391" s="750"/>
      <c r="FP391" s="436"/>
      <c r="FQ391" s="436"/>
      <c r="FR391" s="750"/>
      <c r="FS391" s="750"/>
      <c r="FW391" s="749"/>
      <c r="FX391" s="749"/>
      <c r="FY391" s="749"/>
      <c r="FZ391" s="749"/>
      <c r="GA391" s="749"/>
      <c r="GB391" s="749"/>
      <c r="GC391" s="749"/>
      <c r="GD391" s="749"/>
      <c r="GE391" s="751"/>
      <c r="GF391" s="750"/>
      <c r="GG391" s="750"/>
    </row>
    <row r="392" spans="1:250" s="82" customFormat="1" ht="14.95" customHeight="1" thickTop="1" thickBot="1">
      <c r="B392" s="1421" t="str">
        <f>HY395</f>
        <v xml:space="preserve"> </v>
      </c>
      <c r="C392" s="1422">
        <f>C387+1</f>
        <v>69</v>
      </c>
      <c r="D392" s="1423"/>
      <c r="E392" s="1424" t="s">
        <v>242</v>
      </c>
      <c r="F392" s="1425"/>
      <c r="G392" s="1426"/>
      <c r="H392" s="1427"/>
      <c r="I392" s="1427"/>
      <c r="J392" s="1427"/>
      <c r="K392" s="1427"/>
      <c r="L392" s="1427"/>
      <c r="M392" s="1427"/>
      <c r="N392" s="1427"/>
      <c r="O392" s="1427"/>
      <c r="P392" s="1427"/>
      <c r="Q392" s="1427"/>
      <c r="R392" s="1427"/>
      <c r="S392" s="1428" t="s">
        <v>283</v>
      </c>
      <c r="T392" s="668" t="s">
        <v>190</v>
      </c>
      <c r="U392" s="1430" t="s">
        <v>186</v>
      </c>
      <c r="V392" s="1431"/>
      <c r="W392" s="1431"/>
      <c r="X392" s="1431"/>
      <c r="Y392" s="1431"/>
      <c r="Z392" s="1431"/>
      <c r="AA392" s="1431"/>
      <c r="AB392" s="1088" t="str">
        <f>IFERROR(IF(__Retrofit_TI_NC=0,VLOOKUP(U393,Fixtures_Existing_List,2,FALSE),ROUND(N394*R394/T394,10)),"")</f>
        <v/>
      </c>
      <c r="AC392" s="1039" t="str">
        <f>IFERROR(IF(__Retrofit_TI_NC=0,ROUND(T393*AB392*N393*R393/1000,0),IF(CN392="Interior",N394*R394*R393*N393*_C406_reduction/1000,N394*R394*R393*N393/1000)),"")</f>
        <v/>
      </c>
      <c r="AD392" s="1040" t="str">
        <f>IFERROR(IF(C$36=0,ROUND(T393*AB392/1000,2),N394*R394/1000),"")</f>
        <v/>
      </c>
      <c r="AE392" s="1044" t="s">
        <v>190</v>
      </c>
      <c r="AF392" s="1432" t="str">
        <f>IF(__Retrofit_TI_NC=2,CONCATENATE("Code min = ",DD392),IF(__Retrofit_TI_NC=1,"Emter what you think the existing control was"," Control"))</f>
        <v xml:space="preserve"> Control</v>
      </c>
      <c r="AG392" s="1432"/>
      <c r="AH392" s="1432"/>
      <c r="AI392" s="1432"/>
      <c r="AJ392" s="1433">
        <f>DF392</f>
        <v>0</v>
      </c>
      <c r="AK392" s="1435" t="str">
        <f>IFERROR(ROUND(AJ392*AC392,0),"")</f>
        <v/>
      </c>
      <c r="AL392" s="1437">
        <f>IFERROR(IF(HW392=FALSE,0,AC392-AK392),0)</f>
        <v>0</v>
      </c>
      <c r="AM392" s="1439">
        <f>AL392-AL394</f>
        <v>0</v>
      </c>
      <c r="AN392" s="1440"/>
      <c r="AO392" s="1445">
        <f>IFERROR(IF(HW392=FALSE,0,(T394*U395)+(AE394*AF395)),0)</f>
        <v>0</v>
      </c>
      <c r="AP392" s="1445"/>
      <c r="AQ392" s="1446"/>
      <c r="AR392" s="1451" t="s">
        <v>157</v>
      </c>
      <c r="AS392" s="1454">
        <f>IF(AR392="Yes",1,0)</f>
        <v>1</v>
      </c>
      <c r="AT392" s="1457" t="str">
        <f>IF(OR(DN392=4,DN392=5,DN392=6,DN392=12),CONCATENATE("$",IF(GD392=TRUE,Lookup!$B$11,Lookup!$B$2)," /lamp"),CONCATENATE(EA392,"/ kWh"))</f>
        <v>0/ kWh</v>
      </c>
      <c r="AU392" s="516"/>
      <c r="AV392" s="1478">
        <f>IFERROR(IF(GI393=TRUE,(AB395*T394)/R394,0),"NA")</f>
        <v>0</v>
      </c>
      <c r="AW392" s="1478" t="str">
        <f>IFERROR(N394*_C406_reduction,"NA")</f>
        <v>NA</v>
      </c>
      <c r="BC392" s="38"/>
      <c r="BD392" s="38"/>
      <c r="BE392" s="38"/>
      <c r="BF392" s="38"/>
      <c r="BG392" s="38"/>
      <c r="BH392" s="38"/>
      <c r="BI392" s="38"/>
      <c r="BJ392" s="38"/>
      <c r="BK392" s="38"/>
      <c r="BL392" s="38"/>
      <c r="BM392" s="38"/>
      <c r="BN392" s="38"/>
      <c r="BO392" s="38"/>
      <c r="BP392" s="38"/>
      <c r="BQ392" s="38"/>
      <c r="BR392" s="38"/>
      <c r="BS392" s="38"/>
      <c r="BT392" s="38"/>
      <c r="BU392" s="38"/>
      <c r="BV392" s="38"/>
      <c r="BW392" s="38"/>
      <c r="BX392" s="38"/>
      <c r="BY392" s="38"/>
      <c r="BZ392" s="38"/>
      <c r="CA392" s="38"/>
      <c r="CB392" s="38"/>
      <c r="CC392" s="38"/>
      <c r="CD392" s="38"/>
      <c r="CE392" s="38"/>
      <c r="CF392" s="38"/>
      <c r="CG392" s="38"/>
      <c r="CH392" s="38"/>
      <c r="CI392" s="38"/>
      <c r="CM392" s="1352" t="str">
        <f>N393</f>
        <v/>
      </c>
      <c r="CN392" s="1352" t="str">
        <f>IFERROR(VLOOKUP(G393,_Lookup_Heat_Type_Table_New,3,FALSE),"")</f>
        <v/>
      </c>
      <c r="CO392" s="1415" t="str">
        <f>CN392</f>
        <v/>
      </c>
      <c r="CP392" s="1417" t="e">
        <f>VLOOKUP(G394,'Space Table'!$B$3:$L$160,9,FALSE)</f>
        <v>#N/A</v>
      </c>
      <c r="CR392" s="1386" t="s">
        <v>283</v>
      </c>
      <c r="CS392" s="1353">
        <f>IF(HW392=TRUE,T393,0)</f>
        <v>0</v>
      </c>
      <c r="CT392" s="1353" t="str">
        <f>IF(HW392=TRUE,U393,"")</f>
        <v/>
      </c>
      <c r="CU392" s="1353"/>
      <c r="CV392" s="1370">
        <f>IF(HW392=TRUE,AB392,0)</f>
        <v>0</v>
      </c>
      <c r="CW392" s="1370">
        <f>IF(HW392=TRUE,AC392,0)</f>
        <v>0</v>
      </c>
      <c r="CX392" s="1370">
        <f>IFERROR(IF(HW392=TRUE,CW392-CW394,0),0)</f>
        <v>0</v>
      </c>
      <c r="CY392" s="1485">
        <f>IF(HW392=TRUE,AD392,0)</f>
        <v>0</v>
      </c>
      <c r="CZ392" s="1485">
        <f>IF(HW392=TRUE,AD395,0)</f>
        <v>0</v>
      </c>
      <c r="DA392" s="1485">
        <f>IFERROR(CY392-CZ392,0)</f>
        <v>0</v>
      </c>
      <c r="DC392" s="1353">
        <f>IF(HW392=TRUE,AE393,0)</f>
        <v>0</v>
      </c>
      <c r="DD392" s="1460">
        <f>IF(__Retrofit_TI_NC=2,IF(CN392="Exterior",O395,FM392),FK392)</f>
        <v>0</v>
      </c>
      <c r="DE392" s="1353"/>
      <c r="DF392" s="1406">
        <f>IFERROR(IF(FL392=3,IK392,IF(FL392=4,IL392,IF(FL392=5,IM392,IF(FL392=6,IN392,IF(FL392=7,IO392,IF(FL392=8,IP392,0)))))),0)</f>
        <v>0</v>
      </c>
      <c r="DG392" s="1370">
        <f>IF(HW392=TRUE,AK392,0)</f>
        <v>0</v>
      </c>
      <c r="DH392" s="1369">
        <f>IFERROR(IF(HW392=TRUE,DG394-DG392,0),0)</f>
        <v>0</v>
      </c>
      <c r="DJ392" s="1483">
        <f>IFERROR(CW392-DG392,0)</f>
        <v>0</v>
      </c>
      <c r="DL392" s="1419">
        <f>DJ392-DK394</f>
        <v>0</v>
      </c>
      <c r="DN392" s="1403" t="str">
        <f>IFERROR(IF(AND(OR(FY392=4,FY392=5,FY392=6),OR(GB392=4,GB392=5,GB392=6)),FY392+8,VLOOKUP(CT394,Fixtures!R$31:Y$78,8,FALSE)),"")</f>
        <v/>
      </c>
      <c r="DO392" s="1404" t="str">
        <f>DN392</f>
        <v/>
      </c>
      <c r="DP392" s="1353" t="str">
        <f>IFERROR(VLOOKUP(DD394,Lookup!AU$3:AV$15,2,FALSE),"")</f>
        <v/>
      </c>
      <c r="DQ392" s="1404" t="str">
        <f>IF(DP392=7,"LLLC","")</f>
        <v/>
      </c>
      <c r="DR392" s="1403">
        <f>IFERROR(IF(OR(DN392=4,DN392=5,DN392=6,DN392=12,DN392=13,DN392=14),VLOOKUP(CT394,Fixtures!DN$27:EG$77,19,FALSE),1)*CS394,0)</f>
        <v>0</v>
      </c>
      <c r="DS392" s="1489">
        <f>IF(DP392=7,IF(DD392=DD394,0,DC394),0)</f>
        <v>0</v>
      </c>
      <c r="DU392" s="1403" t="str">
        <f>IFERROR(IF(EW392&lt;EW394,"Yes","No"),"")</f>
        <v/>
      </c>
      <c r="DV392" s="1404" t="str">
        <f>DU392</f>
        <v/>
      </c>
      <c r="DW392" s="1403">
        <f>IF(DU392="Yes",DC394,0)</f>
        <v>0</v>
      </c>
      <c r="DX392" s="1403">
        <f>DW392-DS392</f>
        <v>0</v>
      </c>
      <c r="DZ392" s="1481">
        <f>IFERROR(VLOOKUP(DN392,Lookup!AN$3:AO$16,2,FALSE),0)</f>
        <v>0</v>
      </c>
      <c r="EA392" s="1481">
        <f>IF(HW392=FALSE,0,IF(DU392="Yes",DZ392+Lookup!B$6,DZ392))</f>
        <v>0</v>
      </c>
      <c r="EC392" s="1482">
        <f>IF(HW392=TRUE,DJ392,0)</f>
        <v>0</v>
      </c>
      <c r="ED392" s="1369">
        <f>IF(HW392=TRUE,CW394,0)</f>
        <v>0</v>
      </c>
      <c r="EE392" s="1370">
        <f>IFERROR(EC392-ED392,0)</f>
        <v>0</v>
      </c>
      <c r="EF392" s="1369">
        <f>IF(HW392=TRUE,DG394,0)</f>
        <v>0</v>
      </c>
      <c r="EG392" s="1369">
        <f>IFERROR(EC392-ED392+EF392,0)</f>
        <v>0</v>
      </c>
      <c r="EH392" s="1373">
        <f>IF(HW392=TRUE,CS394*CU394,0)</f>
        <v>0</v>
      </c>
      <c r="EI392" s="1373">
        <f>IF(HW392=TRUE,DC394*DE394,0)</f>
        <v>0</v>
      </c>
      <c r="EJ392" s="1363">
        <f>AO392</f>
        <v>0</v>
      </c>
      <c r="EK392" s="1376" t="str">
        <f>IFERROR(IF(HW392=TRUE,VLOOKUP(DN392,Lookup!AN$3:AP$16,3,FALSE)*DR392,""),0)</f>
        <v/>
      </c>
      <c r="EL392" s="1376">
        <f>IF(HW392=TRUE,DW392*Lookup!AP$12,0)</f>
        <v>0</v>
      </c>
      <c r="EM392" s="1362">
        <f>IFERROR(IF(HW392=TRUE,EK392/EM$33,0),0)</f>
        <v>0</v>
      </c>
      <c r="EN392" s="1362">
        <f>IF(HW392=TRUE,EL392/EN$33,0)</f>
        <v>0</v>
      </c>
      <c r="EO392" s="1363">
        <f>IF(HW392=TRUE,EQ$33*EM392,0)</f>
        <v>0</v>
      </c>
      <c r="EP392" s="1363">
        <f>IF(HW392=TRUE,EQ$33*EN392,0)</f>
        <v>0</v>
      </c>
      <c r="EQ392" s="1363">
        <f>EO392+EP392</f>
        <v>0</v>
      </c>
      <c r="ES392" s="1403">
        <f>IF(G392="",0,1)</f>
        <v>0</v>
      </c>
      <c r="EU392" s="1410" t="e">
        <f>VLOOKUP(CP394,'Space Table'!$B$3:$L$160,8,FALSE)</f>
        <v>#N/A</v>
      </c>
      <c r="EV392" s="1410" t="e">
        <f>IF(EY392="Yes",VLOOKUP(DD392,Lookup_Control_Type_Table2,4,FALSE),VLOOKUP(DD392,Lookup_Control_Type_Table2,3,FALSE))</f>
        <v>#N/A</v>
      </c>
      <c r="EW392" s="1410" t="e">
        <f>VLOOKUP(DD392,Lookup!AU$3:AV$15,2,FALSE)</f>
        <v>#N/A</v>
      </c>
      <c r="EX392" s="1410" t="e">
        <f>VLOOKUP(EU392,Lookup_Control_Type_Table,2,FALSE)</f>
        <v>#N/A</v>
      </c>
      <c r="EY392" s="1410" t="e">
        <f>VLOOKUP(CP394,'Space Table'!$B$3:$L$160,7,FALSE)</f>
        <v>#N/A</v>
      </c>
      <c r="EZ392" s="1412" t="b">
        <f>ISNUMBER(SEARCH("TLED",U394))</f>
        <v>0</v>
      </c>
      <c r="FB392" s="1365" t="str">
        <f>CONCATENATE(CN392," - ",DD392)</f>
        <v xml:space="preserve"> - 0</v>
      </c>
      <c r="FD392" s="1353" t="str">
        <f>VLOOKUP(CT394,Fixtures!DN$27:EZ$77,38,FALSE)</f>
        <v/>
      </c>
      <c r="FE392" s="1353">
        <f>IFERROR(FD392*EE392,0)</f>
        <v>0</v>
      </c>
      <c r="FF392" s="138"/>
      <c r="FI392" s="1356" t="str">
        <f>IF(CN392="Exterior","Not Daylighted",G395)</f>
        <v>Not Daylighted</v>
      </c>
      <c r="FJ392" s="1356">
        <f>VLOOKUP(FI392,_Daylight_Table_Codes,2,FALSE)</f>
        <v>0</v>
      </c>
      <c r="FK392" s="1365">
        <f>IF(__Retrofit_TI_NC=2,VLOOKUP(G394,'Space Table'!$B$3:$L$160,11,FALSE),AF393)</f>
        <v>0</v>
      </c>
      <c r="FL392" s="1365" t="e">
        <f>VLOOKUP(FK392,_Control_Table,2,FALSE)</f>
        <v>#N/A</v>
      </c>
      <c r="FM392" s="1365" t="e">
        <f>IF(AND(FP392&gt;0,FK392="Occupancy Sensor"),"Daylight + Occupancy",IF(AND(FP392&gt;0,FL392&lt;4),"Interior Daylight Dimming",FK392))</f>
        <v>#N/A</v>
      </c>
      <c r="FO392" s="1364">
        <f>IF(CO392="Interior",VLOOKUP(CP392,Control_Savings_Interior,5,FALSE),0)</f>
        <v>0</v>
      </c>
      <c r="FP392" s="1361">
        <f>IF(CN392="Exterior",0,IF(FJ392=2,0.5,IF(OR(FJ392=1,FJ392=3),1,0)))</f>
        <v>0</v>
      </c>
      <c r="FQ392" s="1366"/>
      <c r="FR392" s="1367"/>
      <c r="FS392" s="1364"/>
      <c r="FT392" s="1367"/>
      <c r="FU392" s="1360"/>
      <c r="FW392" s="1352" t="str">
        <f>IFERROR(VLOOKUP(U393,_Exist_Fixture_Table,3,FALSE),"")</f>
        <v/>
      </c>
      <c r="FX392" s="1352" t="str">
        <f>VLOOKUP(CT392,_Exist_Fixture_Table,4,FALSE)</f>
        <v/>
      </c>
      <c r="FY392" s="1352">
        <f>IFERROR(VLOOKUP(FX392,Lookup!AM$6:AN$8,2,FALSE),0)</f>
        <v>0</v>
      </c>
      <c r="FZ392" s="1352" t="b">
        <f>IFERROR(IF(OR(GB392=4,GB392=5,GB392=6),TRUE,FALSE),"")</f>
        <v>0</v>
      </c>
      <c r="GA392" s="1352" t="str">
        <f>IFERROR(VLOOKUP(GB392,FY$6:FZ$10,2,FALSE),"")</f>
        <v/>
      </c>
      <c r="GB392" s="1352" t="str">
        <f>VLOOKUP(CT394,Fixtures!R$31:Y$78,8,FALSE)</f>
        <v/>
      </c>
      <c r="GC392" s="1352">
        <f>IF(AND(FW392=TRUE,FZ392=TRUE,OR(DN392=12,DN392=13,DN392=14)),FY392+8,0)</f>
        <v>0</v>
      </c>
      <c r="GD392" s="1352" t="b">
        <f>IF(OR(GC392=12,GC392=13,GC392=14),TRUE,FALSE)</f>
        <v>0</v>
      </c>
      <c r="GE392" s="759" t="b">
        <f>IF(ISNUMBER(SEARCH("TLED",U393)),TRUE,FALSE)</f>
        <v>0</v>
      </c>
      <c r="GF392" s="1035" t="str">
        <f>IFERROR(VLOOKUP(U393,Fixtures!BM$93:BR$142,6,FALSE),"")</f>
        <v/>
      </c>
      <c r="GG392" s="1385" t="b">
        <f>IF(OR(GE392=FALSE,GE394=FALSE),TRUE,IF(GF392-GF394&lt;5,FALSE,TRUE))</f>
        <v>1</v>
      </c>
      <c r="GK392" s="1034">
        <f>GL392</f>
        <v>0</v>
      </c>
      <c r="GL392" s="1034">
        <f>IF(G392="",0,1)</f>
        <v>0</v>
      </c>
      <c r="GM392" s="1034">
        <f>SUM(GN392:HB392)</f>
        <v>2</v>
      </c>
      <c r="GN392" s="1034">
        <f>IF(G393="",0,1)</f>
        <v>0</v>
      </c>
      <c r="GO392" s="1034">
        <f>IF(G394="",0,1)</f>
        <v>0</v>
      </c>
      <c r="GP392" s="1034">
        <f>IF(R393="",0,1)</f>
        <v>0</v>
      </c>
      <c r="GQ392" s="1034">
        <f>IF(__Retrofit_TI_NC=0,1,IF(R394="",0,1))</f>
        <v>1</v>
      </c>
      <c r="GR392" s="1034">
        <f>IF(CN392="Exterior",1,IF(G395="",0,1))</f>
        <v>1</v>
      </c>
      <c r="GS392" s="1034">
        <f>IF(__Retrofit_TI_NC&lt;&gt;0,1,IF(T393="",0,1))</f>
        <v>0</v>
      </c>
      <c r="GT392" s="1034">
        <f>IF(__Retrofit_TI_NC&lt;&gt;0,1,IF(U393="",0,1))</f>
        <v>0</v>
      </c>
      <c r="GU392" s="1034">
        <f>IF(T394="",0,1)</f>
        <v>0</v>
      </c>
      <c r="GV392" s="1034">
        <f>IF(U394="",0,1)</f>
        <v>0</v>
      </c>
      <c r="GW392" s="1034">
        <f>IF(__Retrofit_TI_NC=2,1,IF(U395="",0,1))</f>
        <v>0</v>
      </c>
      <c r="GX392" s="1034">
        <f>IF(__Retrofit_TI_NC&lt;&gt;0,1,IF(AE393="",0,1))</f>
        <v>0</v>
      </c>
      <c r="GY392" s="1034">
        <f>IF(__Retrofit_TI_NC&lt;&gt;0,1,IF(AF393="",0,1))</f>
        <v>0</v>
      </c>
      <c r="GZ392" s="1034">
        <f>IF(AE394="",0,1)</f>
        <v>0</v>
      </c>
      <c r="HA392" s="1034">
        <f>IF(AF394="",0,1)</f>
        <v>0</v>
      </c>
      <c r="HB392" s="1034">
        <f>IF(__Retrofit_TI_NC=2,1,IF(AF395="",0,1))</f>
        <v>0</v>
      </c>
      <c r="HV392" s="436"/>
      <c r="HW392" s="1384" t="b">
        <f>IF(OR(HW395=0,HW395=HT$16,HW395=HS$16,HW395=HU$16),TRUE,FALSE)</f>
        <v>0</v>
      </c>
      <c r="HX392" s="1377" t="b">
        <f>HW392</f>
        <v>0</v>
      </c>
      <c r="HY392" s="436"/>
      <c r="HZ392" s="436"/>
      <c r="IA392" s="1386" t="b">
        <f>IF(MAX(GJ395:HP395)&gt;5,FALSE,TRUE)</f>
        <v>0</v>
      </c>
      <c r="IB392" s="1380">
        <f>IF(IA392=TRUE,AC392,0)</f>
        <v>0</v>
      </c>
      <c r="IC392" s="1380">
        <f>IB392-IB394</f>
        <v>0</v>
      </c>
      <c r="IF392" s="1380" t="e">
        <f>ROUND(T393*VLOOKUP(U393,Fixtures_Existing_List,2,FALSE)*N393*R393/1000,0)</f>
        <v>#N/A</v>
      </c>
      <c r="IG392" s="1381" t="e">
        <f>IF392-IF394</f>
        <v>#N/A</v>
      </c>
      <c r="IH392" s="1384" t="e">
        <f>ROUND(IF(CN392="Interior",N394*R394*R393*N393*_C406_reduction/1000,N394*R394*R393*N393/1000),0)</f>
        <v>#N/A</v>
      </c>
      <c r="II392" s="1384" t="e">
        <f>IH392-IH394</f>
        <v>#N/A</v>
      </c>
      <c r="IK392" s="1351" t="e">
        <f>IF($CO392="interior",IL392/2,VLOOKUP($CP392,Control_Savings_Exterior,IK$30,FALSE))</f>
        <v>#N/A</v>
      </c>
      <c r="IL392" s="1351" t="e">
        <f>IF($CO392="interior",VLOOKUP($CP392,Control_Savings_Interior,IL$30,FALSE),VLOOKUP($CP392,Control_Savings_Exterior,IL$30,FALSE))</f>
        <v>#N/A</v>
      </c>
      <c r="IM392" s="1351" t="e">
        <f>IF($CO392="interior",IF(R393&gt;FO$37,(IM$28*(FO$37/R393)),IM$28)*FP392,VLOOKUP($CP392,Control_Savings_Exterior,IM$30,FALSE))</f>
        <v>#N/A</v>
      </c>
      <c r="IN392" s="1351" t="e">
        <f>IF($CO392="interior",ROUND(((1-IL392)*IM392)+IL392,2),VLOOKUP($CP392,Control_Savings_Exterior,IN$30,FALSE))</f>
        <v>#N/A</v>
      </c>
      <c r="IO392" s="1351" t="e">
        <f>IF($CO392="interior", ROUND(((1-IL392)*(IM392*(1-IP$28)))+IP392,2), VLOOKUP($CP392,Control_Savings_Exterior,IO$30,FALSE))</f>
        <v>#N/A</v>
      </c>
      <c r="IP392" s="1351">
        <f>IF($CO392="interior",ROUND(((1-IL392)*IP$28)+IL392,2),0)</f>
        <v>0</v>
      </c>
    </row>
    <row r="393" spans="1:250" s="82" customFormat="1" ht="14.95" customHeight="1" thickTop="1" thickBot="1">
      <c r="B393" s="1421"/>
      <c r="C393" s="1422"/>
      <c r="D393" s="1423"/>
      <c r="E393" s="1393" t="s">
        <v>244</v>
      </c>
      <c r="F393" s="1394"/>
      <c r="G393" s="1395"/>
      <c r="H393" s="1395"/>
      <c r="I393" s="1395"/>
      <c r="J393" s="1395"/>
      <c r="K393" s="1395"/>
      <c r="L393" s="1395"/>
      <c r="M393" s="509" t="e">
        <f>IF(__Retrofit_TI_NC&lt;&gt;0,IF(VLOOKUP(G394,'Space Table'!$B$3:$L$160,3,FALSE)&gt;0,1,0),IF(__Retrofit_TI_NC=VLOOKUP(G394,'Space Table'!$B$3:$L$160,3,FALSE),1,0))</f>
        <v>#N/A</v>
      </c>
      <c r="N393" s="509" t="str">
        <f>IFERROR(VLOOKUP(G393,_Lookup_Heat_Type_Table_New,2,FALSE),"")</f>
        <v/>
      </c>
      <c r="O393" s="509">
        <f>IF(__Retrofit_TI_NC=1,CONCATENATE("TI ",G393),IF(__Retrofit_TI_NC=2,CONCATENATE("NC ",G393),G393))</f>
        <v>0</v>
      </c>
      <c r="P393" s="1396" t="s">
        <v>352</v>
      </c>
      <c r="Q393" s="1396"/>
      <c r="R393" s="673"/>
      <c r="S393" s="1429"/>
      <c r="T393" s="675"/>
      <c r="U393" s="1496"/>
      <c r="V393" s="1497"/>
      <c r="W393" s="1497"/>
      <c r="X393" s="1497"/>
      <c r="Y393" s="1497"/>
      <c r="Z393" s="1497"/>
      <c r="AA393" s="1497"/>
      <c r="AB393" s="1497"/>
      <c r="AC393" s="1497"/>
      <c r="AD393" s="1498"/>
      <c r="AE393" s="675"/>
      <c r="AF393" s="1397"/>
      <c r="AG393" s="1397"/>
      <c r="AH393" s="1397"/>
      <c r="AI393" s="1397"/>
      <c r="AJ393" s="1434"/>
      <c r="AK393" s="1436"/>
      <c r="AL393" s="1438"/>
      <c r="AM393" s="1441"/>
      <c r="AN393" s="1442"/>
      <c r="AO393" s="1447"/>
      <c r="AP393" s="1447"/>
      <c r="AQ393" s="1448"/>
      <c r="AR393" s="1452"/>
      <c r="AS393" s="1455"/>
      <c r="AT393" s="1458"/>
      <c r="AU393" s="516"/>
      <c r="AV393" s="1479"/>
      <c r="AW393" s="1479"/>
      <c r="BC393" s="38"/>
      <c r="BD393" s="38"/>
      <c r="BE393" s="38"/>
      <c r="BF393" s="38"/>
      <c r="BG393" s="38"/>
      <c r="BH393" s="38"/>
      <c r="BI393" s="38"/>
      <c r="BJ393" s="38"/>
      <c r="BK393" s="38"/>
      <c r="BL393" s="38"/>
      <c r="BM393" s="38"/>
      <c r="BN393" s="38"/>
      <c r="BO393" s="38"/>
      <c r="BP393" s="38"/>
      <c r="BQ393" s="38"/>
      <c r="BR393" s="38"/>
      <c r="BS393" s="38"/>
      <c r="BT393" s="38"/>
      <c r="BU393" s="38"/>
      <c r="BV393" s="38"/>
      <c r="BW393" s="38"/>
      <c r="BX393" s="38"/>
      <c r="BY393" s="38"/>
      <c r="BZ393" s="38"/>
      <c r="CA393" s="38"/>
      <c r="CB393" s="38"/>
      <c r="CC393" s="38"/>
      <c r="CD393" s="38"/>
      <c r="CE393" s="38"/>
      <c r="CF393" s="38"/>
      <c r="CG393" s="38"/>
      <c r="CH393" s="38"/>
      <c r="CI393" s="38"/>
      <c r="CM393" s="1352"/>
      <c r="CN393" s="1352"/>
      <c r="CO393" s="1416"/>
      <c r="CP393" s="1418"/>
      <c r="CR393" s="1386"/>
      <c r="CS393" s="1355"/>
      <c r="CT393" s="1355"/>
      <c r="CU393" s="1355"/>
      <c r="CV393" s="1372"/>
      <c r="CW393" s="1372"/>
      <c r="CX393" s="1371"/>
      <c r="CY393" s="1486"/>
      <c r="CZ393" s="1486"/>
      <c r="DA393" s="1486"/>
      <c r="DC393" s="1355"/>
      <c r="DD393" s="1461"/>
      <c r="DE393" s="1355"/>
      <c r="DF393" s="1407"/>
      <c r="DG393" s="1372"/>
      <c r="DH393" s="1369"/>
      <c r="DJ393" s="1484"/>
      <c r="DL393" s="1419"/>
      <c r="DN393" s="1403"/>
      <c r="DO393" s="1405"/>
      <c r="DP393" s="1354"/>
      <c r="DQ393" s="1405"/>
      <c r="DR393" s="1403"/>
      <c r="DS393" s="1489"/>
      <c r="DU393" s="1403"/>
      <c r="DV393" s="1405"/>
      <c r="DW393" s="1403"/>
      <c r="DX393" s="1403"/>
      <c r="DZ393" s="1481"/>
      <c r="EA393" s="1481"/>
      <c r="EC393" s="1482"/>
      <c r="ED393" s="1369"/>
      <c r="EE393" s="1371"/>
      <c r="EF393" s="1369"/>
      <c r="EG393" s="1369"/>
      <c r="EH393" s="1374"/>
      <c r="EI393" s="1374"/>
      <c r="EJ393" s="1363"/>
      <c r="EK393" s="1376"/>
      <c r="EL393" s="1376"/>
      <c r="EM393" s="1362"/>
      <c r="EN393" s="1362"/>
      <c r="EO393" s="1363"/>
      <c r="EP393" s="1363"/>
      <c r="EQ393" s="1363"/>
      <c r="ES393" s="1403"/>
      <c r="EU393" s="1411"/>
      <c r="EV393" s="1411"/>
      <c r="EW393" s="1411"/>
      <c r="EX393" s="1411"/>
      <c r="EY393" s="1411"/>
      <c r="EZ393" s="1413"/>
      <c r="FB393" s="1365"/>
      <c r="FD393" s="1354"/>
      <c r="FE393" s="1354"/>
      <c r="FF393" s="138"/>
      <c r="FI393" s="1357"/>
      <c r="FJ393" s="1357"/>
      <c r="FK393" s="1365"/>
      <c r="FL393" s="1365"/>
      <c r="FM393" s="1365"/>
      <c r="FO393" s="1361"/>
      <c r="FP393" s="1361"/>
      <c r="FQ393" s="1366"/>
      <c r="FR393" s="1368"/>
      <c r="FS393" s="1361"/>
      <c r="FT393" s="1368"/>
      <c r="FU393" s="1360"/>
      <c r="FW393" s="1352"/>
      <c r="FX393" s="1352"/>
      <c r="FY393" s="1352"/>
      <c r="FZ393" s="1352"/>
      <c r="GA393" s="1352"/>
      <c r="GB393" s="1352"/>
      <c r="GC393" s="1352"/>
      <c r="GD393" s="1352"/>
      <c r="GE393" s="759"/>
      <c r="GF393" s="1035"/>
      <c r="GG393" s="1385"/>
      <c r="GI393" s="1384" t="b">
        <f>IF(AND(GL393=TRUE,GM393=TRUE),TRUE,FALSE)</f>
        <v>0</v>
      </c>
      <c r="GJ393" s="1379" t="b">
        <f>IFERROR(IF(__Retrofit_TI_NC=2,TRUE,IF(AR392="Yes",TRUE,FALSE)),FALSE)</f>
        <v>1</v>
      </c>
      <c r="GL393" s="1379" t="b">
        <f>IFERROR(IF(GL392=1,TRUE,FALSE),FALSE)</f>
        <v>0</v>
      </c>
      <c r="GM393" s="1379" t="b">
        <f>IFERROR(IF(GM392=GM$14,TRUE,FALSE),FALSE)</f>
        <v>0</v>
      </c>
      <c r="HC393" s="1379" t="b">
        <f>IFERROR(IF(M393=1,TRUE,FALSE),FALSE)</f>
        <v>0</v>
      </c>
      <c r="HD393" s="1379" t="b">
        <f>IFERROR(IF(M394=1,TRUE,FALSE),FALSE)</f>
        <v>0</v>
      </c>
      <c r="HE393" s="1379" t="b">
        <f>IFERROR(IF(__Retrofit_TI_NC&lt;&gt;0,TRUE,IFERROR(IF(VLOOKUP(U393,Fixtures_Existing_List,2,FALSE)&lt;&gt;"",TRUE,FALSE),FALSE)),FALSE)</f>
        <v>0</v>
      </c>
      <c r="HF393" s="1379" t="b">
        <f>IFERROR(IF(VLOOKUP(U394,Fixtures_Proposed_List,2,FALSE)&lt;&gt;"",TRUE,FALSE),FALSE)</f>
        <v>0</v>
      </c>
      <c r="HG393" s="1379" t="b">
        <f>IF(AND(__Retrofit_TI_NC=2,EZ392=TRUE),FALSE,TRUE)</f>
        <v>1</v>
      </c>
      <c r="HH393" s="1379" t="b">
        <f>GG392</f>
        <v>1</v>
      </c>
      <c r="HI393" s="1384" t="b">
        <f>IF(ISERROR(MATCH(FB392,_Control_Match[],0))=TRUE,FALSE,TRUE)</f>
        <v>0</v>
      </c>
      <c r="HJ393" s="1384" t="b">
        <f>IFERROR(IF(EU392&lt;&gt;EV392,FALSE,TRUE),FALSE)</f>
        <v>0</v>
      </c>
      <c r="HK393" s="1384" t="b">
        <f>IFERROR(IF(EU394&lt;&gt;EV394,FALSE,TRUE),FALSE)</f>
        <v>0</v>
      </c>
      <c r="HL393" s="1379" t="b">
        <f>IFERROR(IF(CN392="Exterior",TRUE,IF(OR(AND(FJ392=0,EW394&gt;4),AND(FJ392=4,EW394&gt;4,EW394&lt;7)),FALSE,TRUE)),FALSE)</f>
        <v>0</v>
      </c>
      <c r="HM393" s="1379" t="b">
        <f>IFERROR(IF(AND(FL394=7,EZ392=TRUE),FALSE,TRUE),FALSE)</f>
        <v>0</v>
      </c>
      <c r="HN393" s="1379" t="b">
        <f>IFERROR(IF(AND(T394&lt;&gt;AE394,AF394="Interior LLLC")=TRUE,FALSE,TRUE),FALSE)</f>
        <v>1</v>
      </c>
      <c r="HO393" s="1379" t="b">
        <f>IFERROR(IF(OR(AF394=Lookup!AU$13,AF394=Lookup!AU$14)=TRUE,IF(AE394&gt;T394,FALSE,TRUE),TRUE),FALSE)</f>
        <v>1</v>
      </c>
      <c r="HP393" s="1379" t="b">
        <f>IFERROR(IF(__Retrofit_TI_NC=2,IF(EW394&lt;EW392,FALSE,TRUE),TRUE),FALSE)</f>
        <v>1</v>
      </c>
      <c r="HQ393" s="1379" t="b">
        <f>IF(CN392="Interior",IG$6,TRUE)</f>
        <v>1</v>
      </c>
      <c r="HR393" s="1379" t="b">
        <f>IF(CN392="Exterior",IG$8,TRUE)</f>
        <v>1</v>
      </c>
      <c r="HS393" s="1379" t="b">
        <f>IFERROR(IF(__Retrofit_TI_NC&lt;&gt;0,IF(AW392&lt;AV392,FALSE,TRUE),TRUE),FALSE)</f>
        <v>1</v>
      </c>
      <c r="HT393" s="1379" t="b">
        <f>IFERROR(IF(AND(G393="Exterior",R393&gt;4200),FALSE,TRUE),FALSE)</f>
        <v>1</v>
      </c>
      <c r="HU393" s="1379" t="b">
        <f>IFERROR(IF(AB395/AB392&lt;HU$18,FALSE,TRUE),FALSE)</f>
        <v>0</v>
      </c>
      <c r="HW393" s="1382"/>
      <c r="HX393" s="1378"/>
      <c r="HY393" s="1377" t="str">
        <f>VLOOKUP(HW395,_Error_Table,4,FALSE)</f>
        <v>White</v>
      </c>
      <c r="HZ393" s="436"/>
      <c r="IA393" s="1386"/>
      <c r="IB393" s="1380"/>
      <c r="IC393" s="1379"/>
      <c r="IF393" s="1380"/>
      <c r="IG393" s="1382"/>
      <c r="IH393" s="1382"/>
      <c r="II393" s="1382"/>
      <c r="IK393" s="1351"/>
      <c r="IL393" s="1351"/>
      <c r="IM393" s="1351"/>
      <c r="IN393" s="1351"/>
      <c r="IO393" s="1351"/>
      <c r="IP393" s="1351"/>
    </row>
    <row r="394" spans="1:250" s="82" customFormat="1" ht="14.95" customHeight="1" thickTop="1" thickBot="1">
      <c r="A394" s="82">
        <f>ROW()</f>
        <v>394</v>
      </c>
      <c r="B394" s="1421"/>
      <c r="C394" s="1422"/>
      <c r="D394" s="1423"/>
      <c r="E394" s="1393" t="s">
        <v>245</v>
      </c>
      <c r="F394" s="1394"/>
      <c r="G394" s="1398"/>
      <c r="H394" s="1399"/>
      <c r="I394" s="1399"/>
      <c r="J394" s="1399"/>
      <c r="K394" s="1399"/>
      <c r="L394" s="1400"/>
      <c r="M394" s="509">
        <f>IFERROR(IF(IF(__Retrofit_TI_NC&lt;&gt;0,IF(CN392="Interior",MATCH(G394,Lookup_Interior_New,0),MATCH(G394,Lookup_Exterior_New,0)),IF(CN392="Interior",MATCH(G394,Lookup_Interior,0),MATCH(G394,Lookup_Exterior_Areas,0)))&gt;0,1,0),0)</f>
        <v>0</v>
      </c>
      <c r="N394" s="509" t="e">
        <f>IF(__Retrofit_TI_NC=1,
VLOOKUP(G394,'Space Table'!$B$3:$L$160,4,FALSE),
IF(__Retrofit_TI_NC=2,VLOOKUP(G394,'Space Table'!$B$3:$L$160,5,FALSE),VLOOKUP(G394,'Space Table'!$B$3:$L$160,5,FALSE)))</f>
        <v>#N/A</v>
      </c>
      <c r="O394" s="509">
        <f>G394</f>
        <v>0</v>
      </c>
      <c r="P394" s="1394" t="s">
        <v>355</v>
      </c>
      <c r="Q394" s="1394"/>
      <c r="R394" s="674"/>
      <c r="S394" s="1401" t="s">
        <v>284</v>
      </c>
      <c r="T394" s="672"/>
      <c r="U394" s="1499"/>
      <c r="V394" s="1500"/>
      <c r="W394" s="1500"/>
      <c r="X394" s="1500"/>
      <c r="Y394" s="1500"/>
      <c r="Z394" s="1500"/>
      <c r="AA394" s="1500"/>
      <c r="AB394" s="1501"/>
      <c r="AC394" s="1501"/>
      <c r="AD394" s="1502"/>
      <c r="AE394" s="672"/>
      <c r="AF394" s="1474"/>
      <c r="AG394" s="1474"/>
      <c r="AH394" s="1474"/>
      <c r="AI394" s="1474"/>
      <c r="AJ394" s="1475">
        <f>DF394</f>
        <v>0</v>
      </c>
      <c r="AK394" s="1470" t="str">
        <f>IFERROR(ROUND(AJ394*AC395,0),"")</f>
        <v/>
      </c>
      <c r="AL394" s="1472">
        <f>IFERROR(IF(HW392=FALSE,0,AC395-AK394),0)</f>
        <v>0</v>
      </c>
      <c r="AM394" s="1441"/>
      <c r="AN394" s="1442"/>
      <c r="AO394" s="1447"/>
      <c r="AP394" s="1447"/>
      <c r="AQ394" s="1448"/>
      <c r="AR394" s="1452"/>
      <c r="AS394" s="1455"/>
      <c r="AT394" s="1458"/>
      <c r="AU394" s="516"/>
      <c r="AV394" s="1479"/>
      <c r="AW394" s="1479"/>
      <c r="BC394" s="38"/>
      <c r="BD394" s="38"/>
      <c r="BE394" s="38"/>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M394" s="1352"/>
      <c r="CN394" s="1352"/>
      <c r="CO394" s="1415" t="str">
        <f>CN392</f>
        <v/>
      </c>
      <c r="CP394" s="1417" t="e">
        <f>CP392</f>
        <v>#N/A</v>
      </c>
      <c r="CR394" s="1386" t="s">
        <v>284</v>
      </c>
      <c r="CS394" s="1353">
        <f>IF(HW392=TRUE,T394,0)</f>
        <v>0</v>
      </c>
      <c r="CT394" s="1353" t="str">
        <f>IF(HW392=TRUE,U394,"")</f>
        <v/>
      </c>
      <c r="CU394" s="1373">
        <f>IF(HW392=TRUE,U395,0)</f>
        <v>0</v>
      </c>
      <c r="CV394" s="1370">
        <f>IF(HW392=TRUE,AB395,0)</f>
        <v>0</v>
      </c>
      <c r="CW394" s="1370">
        <f>IF(HW392=TRUE,AC395,0)</f>
        <v>0</v>
      </c>
      <c r="CX394" s="1371"/>
      <c r="CY394" s="1486"/>
      <c r="CZ394" s="1486"/>
      <c r="DA394" s="1486"/>
      <c r="DC394" s="1353">
        <f>IF(HW392=TRUE,AE394,0)</f>
        <v>0</v>
      </c>
      <c r="DD394" s="1353" t="str">
        <f>IF(HW392=TRUE,AF394,"")</f>
        <v/>
      </c>
      <c r="DE394" s="1373">
        <f>AF395</f>
        <v>0</v>
      </c>
      <c r="DF394" s="1406">
        <f>IFERROR(IF(FL394=3,IK394,IF(FL394=4,IL394,IF(FL394=5,IM394,IF(FL394=6,IN394,IF(FL394=7,IO394,IF(FL394=8,IP394,0)))))),0)</f>
        <v>0</v>
      </c>
      <c r="DG394" s="1370">
        <f>IF(HW392=TRUE,AK394,0)</f>
        <v>0</v>
      </c>
      <c r="DH394" s="1369"/>
      <c r="DK394" s="1483">
        <f>IFERROR(CW394-DG394,0)</f>
        <v>0</v>
      </c>
      <c r="DL394" s="1420"/>
      <c r="DN394" s="1403"/>
      <c r="DO394" s="1477" t="str">
        <f>DN392</f>
        <v/>
      </c>
      <c r="DP394" s="1354"/>
      <c r="DQ394" s="1477" t="str">
        <f>IF(DP392=7,"LLLC","")</f>
        <v/>
      </c>
      <c r="DR394" s="1403"/>
      <c r="DS394" s="1489"/>
      <c r="DU394" s="1403"/>
      <c r="DV394" s="1404" t="str">
        <f>DU392</f>
        <v/>
      </c>
      <c r="DW394" s="1403"/>
      <c r="DX394" s="1403"/>
      <c r="DZ394" s="1481"/>
      <c r="EA394" s="1481"/>
      <c r="EC394" s="1482"/>
      <c r="ED394" s="1369"/>
      <c r="EE394" s="1371"/>
      <c r="EF394" s="1369"/>
      <c r="EG394" s="1369"/>
      <c r="EH394" s="1374"/>
      <c r="EI394" s="1374"/>
      <c r="EJ394" s="1363"/>
      <c r="EK394" s="1376"/>
      <c r="EL394" s="1376"/>
      <c r="EM394" s="1362"/>
      <c r="EN394" s="1362"/>
      <c r="EO394" s="1363"/>
      <c r="EP394" s="1363"/>
      <c r="EQ394" s="1363"/>
      <c r="ES394" s="1403"/>
      <c r="EU394" s="1411" t="e">
        <f>VLOOKUP(CP394,'Space Table'!$B$3:$L$160,8,FALSE)</f>
        <v>#N/A</v>
      </c>
      <c r="EV394" s="1411" t="e">
        <f>IF(EY394="Yes",VLOOKUP(AF394,Lookup_Control_Type_Table2,4,FALSE),VLOOKUP(AF394,Lookup_Control_Type_Table2,3,FALSE))</f>
        <v>#N/A</v>
      </c>
      <c r="EW394" s="1411" t="e">
        <f>VLOOKUP(AF394,Lookup!AU$3:AV$15,2,FALSE)</f>
        <v>#N/A</v>
      </c>
      <c r="EX394" s="1411" t="e">
        <f>VLOOKUP(EU392,Lookup_Control_Type_Table,2,FALSE)</f>
        <v>#N/A</v>
      </c>
      <c r="EY394" s="1411" t="e">
        <f>VLOOKUP(CP394,'Space Table'!$B$3:$L$160,7,FALSE)</f>
        <v>#N/A</v>
      </c>
      <c r="EZ394" s="1413"/>
      <c r="FB394" s="1365" t="str">
        <f>CONCATENATE(CN392," - ",AF394)</f>
        <v xml:space="preserve"> - </v>
      </c>
      <c r="FD394" s="1354"/>
      <c r="FE394" s="1354"/>
      <c r="FF394" s="138"/>
      <c r="FI394" s="1356" t="str">
        <f>IF(CN392="Exterior","Not Daylighted",G395)</f>
        <v>Not Daylighted</v>
      </c>
      <c r="FJ394" s="1356">
        <f>VLOOKUP(FI394,_Daylight_Table_Codes,2,FALSE)</f>
        <v>0</v>
      </c>
      <c r="FK394" s="1365">
        <f>AF394</f>
        <v>0</v>
      </c>
      <c r="FL394" s="1365" t="e">
        <f>VLOOKUP(FK394,_Control_Table,2,FALSE)</f>
        <v>#N/A</v>
      </c>
      <c r="FM394" s="1365" t="e">
        <f>IF(AND(FP394&gt;0,FK394="Occupancy Sensor"),"Daylight + Occupancy",IF(AND(FP394&gt;0,FL394&lt;4),"Interior Daylight Dimming",FK394))</f>
        <v>#N/A</v>
      </c>
      <c r="FO394" s="1364">
        <f>IF(CN392="Interior",VLOOKUP(CP392,Control_Savings_Interior,5,FALSE),0)</f>
        <v>0</v>
      </c>
      <c r="FP394" s="1361">
        <f>IF(CN394="Exterior",0,IF(FJ394=2,0.5,IF(OR(FJ394=1,FJ394=3),1,0)))</f>
        <v>0</v>
      </c>
      <c r="FQ394" s="1366">
        <f>IF(R393&gt;FO$37,(FO394*(FO$37/R393)),FO394)*FP394</f>
        <v>0</v>
      </c>
      <c r="FR394" s="1364">
        <f>DF394</f>
        <v>0</v>
      </c>
      <c r="FS394" s="1364">
        <f>ROUND(FR394+((1-FR394)*FQ394),2)</f>
        <v>0</v>
      </c>
      <c r="FT394" s="1364">
        <f>IF(__Retrofit_TI_NC=2,FS394,FR394)</f>
        <v>0</v>
      </c>
      <c r="FU394" s="1360">
        <f>IF(CO394="Interior",VLOOKUP(CP394,Control_Savings_Interior,4,FALSE),0)</f>
        <v>0</v>
      </c>
      <c r="FW394" s="1352"/>
      <c r="FX394" s="1352"/>
      <c r="FY394" s="1352"/>
      <c r="FZ394" s="1352"/>
      <c r="GA394" s="1352"/>
      <c r="GB394" s="1352"/>
      <c r="GC394" s="1352"/>
      <c r="GD394" s="1352"/>
      <c r="GE394" s="759" t="b">
        <f>IF(ISNUMBER(SEARCH("TLED",U394)),TRUE,FALSE)</f>
        <v>0</v>
      </c>
      <c r="GF394" s="1035" t="str">
        <f>IFERROR(VLOOKUP(U394,Fixtures!DM$93:DR$142,6,FALSE),"")</f>
        <v/>
      </c>
      <c r="GG394" s="1385"/>
      <c r="GI394" s="1383"/>
      <c r="GJ394" s="1379"/>
      <c r="GL394" s="1379"/>
      <c r="GM394" s="1379"/>
      <c r="HC394" s="1379"/>
      <c r="HD394" s="1379"/>
      <c r="HE394" s="1379"/>
      <c r="HF394" s="1379"/>
      <c r="HG394" s="1379"/>
      <c r="HH394" s="1379"/>
      <c r="HI394" s="1383"/>
      <c r="HJ394" s="1383"/>
      <c r="HK394" s="1383"/>
      <c r="HL394" s="1379"/>
      <c r="HM394" s="1379"/>
      <c r="HN394" s="1379"/>
      <c r="HO394" s="1379"/>
      <c r="HP394" s="1379"/>
      <c r="HQ394" s="1379"/>
      <c r="HR394" s="1379"/>
      <c r="HS394" s="1379"/>
      <c r="HT394" s="1379"/>
      <c r="HU394" s="1379"/>
      <c r="HW394" s="1383"/>
      <c r="HX394" s="1384" t="b">
        <f>HW392</f>
        <v>0</v>
      </c>
      <c r="HY394" s="1378"/>
      <c r="HZ394" s="436"/>
      <c r="IA394" s="1386"/>
      <c r="IB394" s="1380">
        <f>IF(IA392=TRUE,AC395,0)</f>
        <v>0</v>
      </c>
      <c r="IC394" s="1379"/>
      <c r="IF394" s="1380" t="e">
        <f>ROUND(T394*AB395*N393*R393/1000,0)</f>
        <v>#VALUE!</v>
      </c>
      <c r="IG394" s="1382"/>
      <c r="IH394" s="1384" t="e">
        <f>ROUND(T394*AB395*N393*R393/1000,0)</f>
        <v>#VALUE!</v>
      </c>
      <c r="II394" s="1382"/>
      <c r="IK394" s="1351" t="e">
        <f>IF($CO394="interior",IL394/2,VLOOKUP($CP394,Control_Savings_Exterior,IK$30,FALSE))</f>
        <v>#N/A</v>
      </c>
      <c r="IL394" s="1351" t="e">
        <f>IF($CO394="interior",VLOOKUP($CP394,Control_Savings_Interior,IL$30,FALSE),VLOOKUP($CP394,Control_Savings_Exterior,IL$30,FALSE))</f>
        <v>#N/A</v>
      </c>
      <c r="IM394" s="1351" t="e">
        <f>IF($CO394="interior",IF(R393&gt;FO$37,(IM$28*(FO$37/R393)),IM$28)*FP394,VLOOKUP($CP394,Control_Savings_Exterior,IM$30,FALSE))</f>
        <v>#N/A</v>
      </c>
      <c r="IN394" s="1351" t="e">
        <f>IF($CO394="interior",ROUND(((1-IL394)*IM394)+IL394,2),VLOOKUP($CP394,Control_Savings_Exterior,IN$30,FALSE))</f>
        <v>#N/A</v>
      </c>
      <c r="IO394" s="1351" t="e">
        <f>IF($CO394="interior", ROUND(((1-IL394)*(IM394*(1-IP$28)))+IP394,2), VLOOKUP($CP394,Control_Savings_Exterior,IO$30,FALSE))</f>
        <v>#N/A</v>
      </c>
      <c r="IP394" s="1351">
        <f>IF($CO394="interior",ROUND(((1-IL394)*IP$28)+IL394,2),0)</f>
        <v>0</v>
      </c>
    </row>
    <row r="395" spans="1:250" s="82" customFormat="1" ht="14.95" customHeight="1" thickTop="1" thickBot="1">
      <c r="B395" s="1421"/>
      <c r="C395" s="1422"/>
      <c r="D395" s="1423"/>
      <c r="E395" s="1462" t="s">
        <v>357</v>
      </c>
      <c r="F395" s="1463"/>
      <c r="G395" s="1464" t="s">
        <v>362</v>
      </c>
      <c r="H395" s="1465"/>
      <c r="I395" s="1465"/>
      <c r="J395" s="1465"/>
      <c r="K395" s="1465"/>
      <c r="L395" s="1466"/>
      <c r="M395" s="669">
        <f>IFERROR(VLOOKUP(G395,_Daylight_Table[],2,FALSE),0)</f>
        <v>0</v>
      </c>
      <c r="N395" s="670"/>
      <c r="O395" s="669" t="e">
        <f>VLOOKUP(G394,'Space Table'!$B$3:$L$160,11,FALSE)</f>
        <v>#N/A</v>
      </c>
      <c r="P395" s="1408"/>
      <c r="Q395" s="1409"/>
      <c r="R395" s="1409"/>
      <c r="S395" s="1402"/>
      <c r="T395" s="671" t="s">
        <v>281</v>
      </c>
      <c r="U395" s="1467" t="str">
        <f>IFERROR(VLOOKUP(U394,Fixtures!DM$93:DP$142,4,FALSE),"")</f>
        <v/>
      </c>
      <c r="V395" s="1468"/>
      <c r="W395" s="1468"/>
      <c r="X395" s="1468"/>
      <c r="Y395" s="1468"/>
      <c r="Z395" s="1468"/>
      <c r="AA395" s="1468"/>
      <c r="AB395" s="1046" t="str">
        <f>IFERROR(VLOOKUP(U394,Fixtures_Proposed_List,2,FALSE),"")</f>
        <v/>
      </c>
      <c r="AC395" s="1036" t="str">
        <f>IFERROR(ROUND(T394*AB395*N393*R393/1000,0),"")</f>
        <v/>
      </c>
      <c r="AD395" s="1037" t="str">
        <f>IFERROR(ROUND(T394*AB395/1000,2),"")</f>
        <v/>
      </c>
      <c r="AE395" s="1045" t="s">
        <v>281</v>
      </c>
      <c r="AF395" s="1469"/>
      <c r="AG395" s="1469"/>
      <c r="AH395" s="1469"/>
      <c r="AI395" s="1469"/>
      <c r="AJ395" s="1476"/>
      <c r="AK395" s="1471"/>
      <c r="AL395" s="1473"/>
      <c r="AM395" s="1443"/>
      <c r="AN395" s="1444"/>
      <c r="AO395" s="1449"/>
      <c r="AP395" s="1449"/>
      <c r="AQ395" s="1450"/>
      <c r="AR395" s="1453"/>
      <c r="AS395" s="1456"/>
      <c r="AT395" s="1459"/>
      <c r="AU395" s="517"/>
      <c r="AV395" s="1480"/>
      <c r="AW395" s="1480"/>
      <c r="BC395" s="38"/>
      <c r="BD395" s="38"/>
      <c r="BE395" s="38"/>
      <c r="BF395" s="38"/>
      <c r="BG395" s="38"/>
      <c r="BH395" s="38"/>
      <c r="BI395" s="38"/>
      <c r="BJ395" s="38"/>
      <c r="BK395" s="38"/>
      <c r="BL395" s="38"/>
      <c r="BM395" s="38"/>
      <c r="BN395" s="38"/>
      <c r="BO395" s="38"/>
      <c r="BP395" s="38"/>
      <c r="BQ395" s="38"/>
      <c r="BR395" s="38"/>
      <c r="BS395" s="38"/>
      <c r="BT395" s="38"/>
      <c r="BU395" s="38"/>
      <c r="BV395" s="38"/>
      <c r="BW395" s="38"/>
      <c r="BX395" s="38"/>
      <c r="BY395" s="38"/>
      <c r="BZ395" s="38"/>
      <c r="CA395" s="38"/>
      <c r="CB395" s="38"/>
      <c r="CC395" s="38"/>
      <c r="CD395" s="38"/>
      <c r="CE395" s="38"/>
      <c r="CF395" s="38"/>
      <c r="CG395" s="38"/>
      <c r="CH395" s="38"/>
      <c r="CI395" s="38"/>
      <c r="CM395" s="1352"/>
      <c r="CN395" s="1352"/>
      <c r="CO395" s="1416"/>
      <c r="CP395" s="1418"/>
      <c r="CR395" s="1386"/>
      <c r="CS395" s="1355"/>
      <c r="CT395" s="1355"/>
      <c r="CU395" s="1375"/>
      <c r="CV395" s="1372"/>
      <c r="CW395" s="1372"/>
      <c r="CX395" s="1372"/>
      <c r="CY395" s="1487"/>
      <c r="CZ395" s="1487"/>
      <c r="DA395" s="1487"/>
      <c r="DC395" s="1355"/>
      <c r="DD395" s="1355"/>
      <c r="DE395" s="1375"/>
      <c r="DF395" s="1407"/>
      <c r="DG395" s="1372"/>
      <c r="DH395" s="1369"/>
      <c r="DK395" s="1484"/>
      <c r="DL395" s="1420"/>
      <c r="DN395" s="1403"/>
      <c r="DO395" s="1405"/>
      <c r="DP395" s="1355"/>
      <c r="DQ395" s="1405"/>
      <c r="DR395" s="1403"/>
      <c r="DS395" s="1489"/>
      <c r="DU395" s="1403"/>
      <c r="DV395" s="1405"/>
      <c r="DW395" s="1403"/>
      <c r="DX395" s="1403"/>
      <c r="DZ395" s="1481"/>
      <c r="EA395" s="1481"/>
      <c r="EC395" s="1482"/>
      <c r="ED395" s="1369"/>
      <c r="EE395" s="1372"/>
      <c r="EF395" s="1369"/>
      <c r="EG395" s="1369"/>
      <c r="EH395" s="1375"/>
      <c r="EI395" s="1375"/>
      <c r="EJ395" s="1363"/>
      <c r="EK395" s="1376"/>
      <c r="EL395" s="1376"/>
      <c r="EM395" s="1362"/>
      <c r="EN395" s="1362"/>
      <c r="EO395" s="1363"/>
      <c r="EP395" s="1363"/>
      <c r="EQ395" s="1363"/>
      <c r="ES395" s="1403"/>
      <c r="EU395" s="1488"/>
      <c r="EV395" s="1488"/>
      <c r="EW395" s="1488"/>
      <c r="EX395" s="1488"/>
      <c r="EY395" s="1488"/>
      <c r="EZ395" s="1414"/>
      <c r="FB395" s="1365"/>
      <c r="FD395" s="1355"/>
      <c r="FE395" s="1355"/>
      <c r="FF395" s="138"/>
      <c r="FI395" s="1357"/>
      <c r="FJ395" s="1357"/>
      <c r="FK395" s="1365"/>
      <c r="FL395" s="1365"/>
      <c r="FM395" s="1365"/>
      <c r="FO395" s="1361"/>
      <c r="FP395" s="1361"/>
      <c r="FQ395" s="1366"/>
      <c r="FR395" s="1361"/>
      <c r="FS395" s="1361"/>
      <c r="FT395" s="1361"/>
      <c r="FU395" s="1360"/>
      <c r="FW395" s="1352"/>
      <c r="FX395" s="1352"/>
      <c r="FY395" s="1352"/>
      <c r="FZ395" s="1352"/>
      <c r="GA395" s="1352"/>
      <c r="GB395" s="1352"/>
      <c r="GC395" s="1352"/>
      <c r="GD395" s="1352"/>
      <c r="GE395" s="759"/>
      <c r="GF395" s="1035"/>
      <c r="GG395" s="1385"/>
      <c r="GJ395" s="1034">
        <f>IF(GJ393=TRUE,0,GJ$16)</f>
        <v>0</v>
      </c>
      <c r="GL395" s="1034">
        <f>IF(GL393=TRUE,0,GL$16)</f>
        <v>36</v>
      </c>
      <c r="GM395" s="1034">
        <f>IF(GM393=TRUE,0,GM$16)</f>
        <v>35</v>
      </c>
      <c r="GN395" s="436"/>
      <c r="GO395" s="436"/>
      <c r="GP395" s="436"/>
      <c r="GQ395" s="436"/>
      <c r="GR395" s="436"/>
      <c r="HC395" s="1034">
        <f t="shared" ref="HC395:HH395" si="286">IF(HC393=TRUE,0,HC$16)</f>
        <v>19</v>
      </c>
      <c r="HD395" s="1034">
        <f t="shared" si="286"/>
        <v>18</v>
      </c>
      <c r="HE395" s="1034">
        <f t="shared" si="286"/>
        <v>17</v>
      </c>
      <c r="HF395" s="1034">
        <f t="shared" si="286"/>
        <v>16</v>
      </c>
      <c r="HG395" s="1034">
        <f t="shared" si="286"/>
        <v>0</v>
      </c>
      <c r="HH395" s="1034">
        <f t="shared" si="286"/>
        <v>0</v>
      </c>
      <c r="HI395" s="1034">
        <f>IF(HI393=TRUE,0,HI$16)</f>
        <v>13</v>
      </c>
      <c r="HJ395" s="1034">
        <f t="shared" ref="HJ395:HL395" si="287">IF(HJ393=TRUE,0,HJ$16)</f>
        <v>12</v>
      </c>
      <c r="HK395" s="1034">
        <f t="shared" si="287"/>
        <v>11</v>
      </c>
      <c r="HL395" s="1034">
        <f t="shared" si="287"/>
        <v>10</v>
      </c>
      <c r="HM395" s="1034">
        <f>IF(HM393=TRUE,0,HM$16)</f>
        <v>9</v>
      </c>
      <c r="HN395" s="1034">
        <f t="shared" ref="HN395:HR395" si="288">IF(HN393=TRUE,0,HN$16)</f>
        <v>0</v>
      </c>
      <c r="HO395" s="1034">
        <f t="shared" si="288"/>
        <v>0</v>
      </c>
      <c r="HP395" s="1034">
        <f t="shared" si="288"/>
        <v>0</v>
      </c>
      <c r="HQ395" s="1034">
        <f t="shared" si="288"/>
        <v>0</v>
      </c>
      <c r="HR395" s="1034">
        <f t="shared" si="288"/>
        <v>0</v>
      </c>
      <c r="HS395" s="1034">
        <f>IF(HS393=TRUE,0,HS$16)</f>
        <v>0</v>
      </c>
      <c r="HT395" s="1034">
        <f t="shared" ref="HT395" si="289">IF(HT393=TRUE,0,HT$16)</f>
        <v>0</v>
      </c>
      <c r="HU395" s="1034">
        <f>IF(HU393=TRUE,0,HU$16)</f>
        <v>1</v>
      </c>
      <c r="HW395" s="1034">
        <f>IF(GL393=FALSE,GL395,IF(GM393=FALSE,GM395,MAX(GJ395:HU395)))</f>
        <v>36</v>
      </c>
      <c r="HX395" s="1383"/>
      <c r="HY395" s="241" t="str">
        <f>VLOOKUP(HW395,_Error_Table,3,FALSE)</f>
        <v xml:space="preserve"> </v>
      </c>
      <c r="HZ395" s="241"/>
      <c r="IA395" s="1386"/>
      <c r="IB395" s="1380"/>
      <c r="IC395" s="1379"/>
      <c r="IF395" s="1380"/>
      <c r="IG395" s="1383"/>
      <c r="IH395" s="1383"/>
      <c r="II395" s="1383"/>
      <c r="IK395" s="1351"/>
      <c r="IL395" s="1351"/>
      <c r="IM395" s="1351"/>
      <c r="IN395" s="1351"/>
      <c r="IO395" s="1351"/>
      <c r="IP395" s="1351"/>
    </row>
    <row r="396" spans="1:250" s="82" customFormat="1" ht="5.0999999999999996" customHeight="1" thickBot="1">
      <c r="B396" s="763"/>
      <c r="C396" s="1038"/>
      <c r="D396" s="1038"/>
      <c r="E396" s="1490"/>
      <c r="F396" s="1490"/>
      <c r="G396" s="1490"/>
      <c r="H396" s="1490"/>
      <c r="I396" s="1490"/>
      <c r="J396" s="1490"/>
      <c r="K396" s="1490"/>
      <c r="L396" s="1490"/>
      <c r="M396" s="1490"/>
      <c r="N396" s="1490"/>
      <c r="O396" s="1490"/>
      <c r="P396" s="1490"/>
      <c r="Q396" s="1490"/>
      <c r="R396" s="1490"/>
      <c r="S396" s="1490"/>
      <c r="T396" s="1490"/>
      <c r="U396" s="1490"/>
      <c r="V396" s="1490"/>
      <c r="W396" s="1490"/>
      <c r="X396" s="1490"/>
      <c r="Y396" s="1490"/>
      <c r="Z396" s="1490"/>
      <c r="AA396" s="1490"/>
      <c r="AB396" s="1490"/>
      <c r="AC396" s="1490"/>
      <c r="AD396" s="1490"/>
      <c r="AE396" s="1490"/>
      <c r="AF396" s="1490"/>
      <c r="AG396" s="1490"/>
      <c r="AH396" s="1490"/>
      <c r="AI396" s="1490"/>
      <c r="AJ396" s="1490"/>
      <c r="AK396" s="1490"/>
      <c r="AL396" s="1490"/>
      <c r="AM396" s="1490"/>
      <c r="AN396" s="1490"/>
      <c r="AO396" s="1490"/>
      <c r="AP396" s="1490"/>
      <c r="AQ396" s="1490"/>
      <c r="AR396" s="1490"/>
      <c r="AS396" s="1490"/>
      <c r="AT396" s="1490"/>
      <c r="AU396" s="1041"/>
      <c r="BC396" s="38"/>
      <c r="BD396" s="38"/>
      <c r="BE396" s="38"/>
      <c r="BF396" s="38"/>
      <c r="BG396" s="38"/>
      <c r="BH396" s="38"/>
      <c r="BI396" s="38"/>
      <c r="BJ396" s="38"/>
      <c r="BK396" s="38"/>
      <c r="BL396" s="38"/>
      <c r="BM396" s="38"/>
      <c r="BN396" s="38"/>
      <c r="BO396" s="38"/>
      <c r="BP396" s="38"/>
      <c r="BQ396" s="38"/>
      <c r="BR396" s="38"/>
      <c r="BS396" s="38"/>
      <c r="BT396" s="38"/>
      <c r="BU396" s="38"/>
      <c r="BV396" s="38"/>
      <c r="BW396" s="38"/>
      <c r="BX396" s="38"/>
      <c r="BY396" s="38"/>
      <c r="BZ396" s="38"/>
      <c r="CA396" s="38"/>
      <c r="CB396" s="38"/>
      <c r="CC396" s="38"/>
      <c r="CD396" s="38"/>
      <c r="CE396" s="38"/>
      <c r="CF396" s="38"/>
      <c r="CG396" s="38"/>
      <c r="CH396" s="38"/>
      <c r="CI396" s="38"/>
      <c r="CM396" s="749"/>
      <c r="CN396" s="749"/>
      <c r="CO396" s="1043"/>
      <c r="CP396" s="749"/>
      <c r="CS396" s="436"/>
      <c r="CT396" s="436"/>
      <c r="CU396" s="243"/>
      <c r="CV396" s="244"/>
      <c r="CW396" s="244"/>
      <c r="CX396" s="244"/>
      <c r="CY396" s="245"/>
      <c r="CZ396" s="245"/>
      <c r="DA396" s="245"/>
      <c r="DC396" s="750"/>
      <c r="DD396" s="751"/>
      <c r="DE396" s="752"/>
      <c r="DF396" s="753"/>
      <c r="DG396" s="754"/>
      <c r="DH396" s="754"/>
      <c r="DK396" s="244"/>
      <c r="DL396" s="750"/>
      <c r="DN396" s="750"/>
      <c r="DO396" s="755"/>
      <c r="DP396" s="436"/>
      <c r="DQ396" s="750"/>
      <c r="DR396" s="750"/>
      <c r="DS396" s="750"/>
      <c r="DU396" s="750"/>
      <c r="DV396" s="750"/>
      <c r="DW396" s="750"/>
      <c r="DX396" s="750"/>
      <c r="DZ396" s="756"/>
      <c r="EA396" s="756"/>
      <c r="EC396" s="754"/>
      <c r="ED396" s="754"/>
      <c r="EE396" s="244"/>
      <c r="EF396" s="754"/>
      <c r="EG396" s="754"/>
      <c r="EH396" s="243"/>
      <c r="EI396" s="243"/>
      <c r="EJ396" s="752"/>
      <c r="EK396" s="757"/>
      <c r="EL396" s="757"/>
      <c r="EM396" s="758"/>
      <c r="EN396" s="758"/>
      <c r="EO396" s="752"/>
      <c r="EP396" s="752"/>
      <c r="EQ396" s="752"/>
      <c r="ES396" s="750"/>
      <c r="EU396" s="436"/>
      <c r="EV396" s="436"/>
      <c r="EW396" s="436"/>
      <c r="EX396" s="436"/>
      <c r="EY396" s="436"/>
      <c r="EZ396" s="436"/>
      <c r="FB396" s="643"/>
      <c r="FD396" s="436"/>
      <c r="FE396" s="436"/>
      <c r="FF396" s="436"/>
      <c r="FO396" s="750"/>
      <c r="FP396" s="436"/>
      <c r="FQ396" s="436"/>
      <c r="FR396" s="750"/>
      <c r="FS396" s="750"/>
      <c r="FW396" s="749"/>
      <c r="FX396" s="749"/>
      <c r="FY396" s="749"/>
      <c r="FZ396" s="749"/>
      <c r="GA396" s="749"/>
      <c r="GB396" s="749"/>
      <c r="GC396" s="749"/>
      <c r="GD396" s="749"/>
      <c r="GE396" s="751"/>
      <c r="GF396" s="750"/>
      <c r="GG396" s="750"/>
    </row>
    <row r="397" spans="1:250" s="82" customFormat="1" ht="14.95" customHeight="1" thickTop="1" thickBot="1">
      <c r="B397" s="1421" t="str">
        <f>HY400</f>
        <v xml:space="preserve"> </v>
      </c>
      <c r="C397" s="1422">
        <f>C392+1</f>
        <v>70</v>
      </c>
      <c r="D397" s="1423"/>
      <c r="E397" s="1424" t="s">
        <v>242</v>
      </c>
      <c r="F397" s="1425"/>
      <c r="G397" s="1426"/>
      <c r="H397" s="1427"/>
      <c r="I397" s="1427"/>
      <c r="J397" s="1427"/>
      <c r="K397" s="1427"/>
      <c r="L397" s="1427"/>
      <c r="M397" s="1427"/>
      <c r="N397" s="1427"/>
      <c r="O397" s="1427"/>
      <c r="P397" s="1427"/>
      <c r="Q397" s="1427"/>
      <c r="R397" s="1427"/>
      <c r="S397" s="1428" t="s">
        <v>283</v>
      </c>
      <c r="T397" s="668" t="s">
        <v>190</v>
      </c>
      <c r="U397" s="1430" t="s">
        <v>186</v>
      </c>
      <c r="V397" s="1431"/>
      <c r="W397" s="1431"/>
      <c r="X397" s="1431"/>
      <c r="Y397" s="1431"/>
      <c r="Z397" s="1431"/>
      <c r="AA397" s="1431"/>
      <c r="AB397" s="1088" t="str">
        <f>IFERROR(IF(__Retrofit_TI_NC=0,VLOOKUP(U398,Fixtures_Existing_List,2,FALSE),ROUND(N399*R399/T399,10)),"")</f>
        <v/>
      </c>
      <c r="AC397" s="1039" t="str">
        <f>IFERROR(IF(__Retrofit_TI_NC=0,ROUND(T398*AB397*N398*R398/1000,0),IF(CN397="Interior",N399*R399*R398*N398*_C406_reduction/1000,N399*R399*R398*N398/1000)),"")</f>
        <v/>
      </c>
      <c r="AD397" s="1040" t="str">
        <f>IFERROR(IF(C$36=0,ROUND(T398*AB397/1000,2),N399*R399/1000),"")</f>
        <v/>
      </c>
      <c r="AE397" s="1044" t="s">
        <v>190</v>
      </c>
      <c r="AF397" s="1432" t="str">
        <f>IF(__Retrofit_TI_NC=2,CONCATENATE("Code min = ",DD397),IF(__Retrofit_TI_NC=1,"Emter what you think the existing control was"," Control"))</f>
        <v xml:space="preserve"> Control</v>
      </c>
      <c r="AG397" s="1432"/>
      <c r="AH397" s="1432"/>
      <c r="AI397" s="1432"/>
      <c r="AJ397" s="1433">
        <f>DF397</f>
        <v>0</v>
      </c>
      <c r="AK397" s="1435" t="str">
        <f>IFERROR(ROUND(AJ397*AC397,0),"")</f>
        <v/>
      </c>
      <c r="AL397" s="1437">
        <f>IFERROR(IF(HW397=FALSE,0,AC397-AK397),0)</f>
        <v>0</v>
      </c>
      <c r="AM397" s="1439">
        <f>AL397-AL399</f>
        <v>0</v>
      </c>
      <c r="AN397" s="1440"/>
      <c r="AO397" s="1445">
        <f>IFERROR(IF(HW397=FALSE,0,(T399*U400)+(AE399*AF400)),0)</f>
        <v>0</v>
      </c>
      <c r="AP397" s="1445"/>
      <c r="AQ397" s="1446"/>
      <c r="AR397" s="1451" t="s">
        <v>157</v>
      </c>
      <c r="AS397" s="1454">
        <f>IF(AR397="Yes",1,0)</f>
        <v>1</v>
      </c>
      <c r="AT397" s="1457" t="str">
        <f>IF(OR(DN397=4,DN397=5,DN397=6,DN397=12),CONCATENATE("$",IF(GD397=TRUE,Lookup!$B$11,Lookup!$B$2)," /lamp"),CONCATENATE(EA397,"/ kWh"))</f>
        <v>0/ kWh</v>
      </c>
      <c r="AU397" s="516"/>
      <c r="AV397" s="1478">
        <f>IFERROR(IF(GI398=TRUE,(AB400*T399)/R399,0),"NA")</f>
        <v>0</v>
      </c>
      <c r="AW397" s="1478" t="str">
        <f>IFERROR(N399*_C406_reduction,"NA")</f>
        <v>NA</v>
      </c>
      <c r="BC397" s="38"/>
      <c r="BD397" s="38"/>
      <c r="BE397" s="38"/>
      <c r="BF397" s="38"/>
      <c r="BG397" s="38"/>
      <c r="BH397" s="38"/>
      <c r="BI397" s="38"/>
      <c r="BJ397" s="38"/>
      <c r="BK397" s="38"/>
      <c r="BL397" s="38"/>
      <c r="BM397" s="38"/>
      <c r="BN397" s="38"/>
      <c r="BO397" s="38"/>
      <c r="BP397" s="38"/>
      <c r="BQ397" s="38"/>
      <c r="BR397" s="38"/>
      <c r="BS397" s="38"/>
      <c r="BT397" s="38"/>
      <c r="BU397" s="38"/>
      <c r="BV397" s="38"/>
      <c r="BW397" s="38"/>
      <c r="BX397" s="38"/>
      <c r="BY397" s="38"/>
      <c r="BZ397" s="38"/>
      <c r="CA397" s="38"/>
      <c r="CB397" s="38"/>
      <c r="CC397" s="38"/>
      <c r="CD397" s="38"/>
      <c r="CE397" s="38"/>
      <c r="CF397" s="38"/>
      <c r="CG397" s="38"/>
      <c r="CH397" s="38"/>
      <c r="CI397" s="38"/>
      <c r="CM397" s="1352" t="str">
        <f>N398</f>
        <v/>
      </c>
      <c r="CN397" s="1352" t="str">
        <f>IFERROR(VLOOKUP(G398,_Lookup_Heat_Type_Table_New,3,FALSE),"")</f>
        <v/>
      </c>
      <c r="CO397" s="1415" t="str">
        <f>CN397</f>
        <v/>
      </c>
      <c r="CP397" s="1417" t="e">
        <f>VLOOKUP(G399,'Space Table'!$B$3:$L$160,9,FALSE)</f>
        <v>#N/A</v>
      </c>
      <c r="CR397" s="1386" t="s">
        <v>283</v>
      </c>
      <c r="CS397" s="1353">
        <f>IF(HW397=TRUE,T398,0)</f>
        <v>0</v>
      </c>
      <c r="CT397" s="1353" t="str">
        <f>IF(HW397=TRUE,U398,"")</f>
        <v/>
      </c>
      <c r="CU397" s="1353"/>
      <c r="CV397" s="1370">
        <f>IF(HW397=TRUE,AB397,0)</f>
        <v>0</v>
      </c>
      <c r="CW397" s="1370">
        <f>IF(HW397=TRUE,AC397,0)</f>
        <v>0</v>
      </c>
      <c r="CX397" s="1370">
        <f>IFERROR(IF(HW397=TRUE,CW397-CW399,0),0)</f>
        <v>0</v>
      </c>
      <c r="CY397" s="1485">
        <f>IF(HW397=TRUE,AD397,0)</f>
        <v>0</v>
      </c>
      <c r="CZ397" s="1485">
        <f>IF(HW397=TRUE,AD400,0)</f>
        <v>0</v>
      </c>
      <c r="DA397" s="1485">
        <f>IFERROR(CY397-CZ397,0)</f>
        <v>0</v>
      </c>
      <c r="DC397" s="1353">
        <f>IF(HW397=TRUE,AE398,0)</f>
        <v>0</v>
      </c>
      <c r="DD397" s="1460">
        <f>IF(__Retrofit_TI_NC=2,IF(CN397="Exterior",O400,FM397),FK397)</f>
        <v>0</v>
      </c>
      <c r="DE397" s="1353"/>
      <c r="DF397" s="1406">
        <f>IFERROR(IF(FL397=3,IK397,IF(FL397=4,IL397,IF(FL397=5,IM397,IF(FL397=6,IN397,IF(FL397=7,IO397,IF(FL397=8,IP397,0)))))),0)</f>
        <v>0</v>
      </c>
      <c r="DG397" s="1370">
        <f>IF(HW397=TRUE,AK397,0)</f>
        <v>0</v>
      </c>
      <c r="DH397" s="1369">
        <f>IFERROR(IF(HW397=TRUE,DG399-DG397,0),0)</f>
        <v>0</v>
      </c>
      <c r="DJ397" s="1483">
        <f>IFERROR(CW397-DG397,0)</f>
        <v>0</v>
      </c>
      <c r="DL397" s="1419">
        <f>DJ397-DK399</f>
        <v>0</v>
      </c>
      <c r="DN397" s="1403" t="str">
        <f>IFERROR(IF(AND(OR(FY397=4,FY397=5,FY397=6),OR(GB397=4,GB397=5,GB397=6)),FY397+8,VLOOKUP(CT399,Fixtures!R$31:Y$78,8,FALSE)),"")</f>
        <v/>
      </c>
      <c r="DO397" s="1404" t="str">
        <f>DN397</f>
        <v/>
      </c>
      <c r="DP397" s="1353" t="str">
        <f>IFERROR(VLOOKUP(DD399,Lookup!AU$3:AV$15,2,FALSE),"")</f>
        <v/>
      </c>
      <c r="DQ397" s="1404" t="str">
        <f>IF(DP397=7,"LLLC","")</f>
        <v/>
      </c>
      <c r="DR397" s="1403">
        <f>IFERROR(IF(OR(DN397=4,DN397=5,DN397=6,DN397=12,DN397=13,DN397=14),VLOOKUP(CT399,Fixtures!DN$27:EG$77,19,FALSE),1)*CS399,0)</f>
        <v>0</v>
      </c>
      <c r="DS397" s="1489">
        <f>IF(DP397=7,IF(DD397=DD399,0,DC399),0)</f>
        <v>0</v>
      </c>
      <c r="DU397" s="1403" t="str">
        <f>IFERROR(IF(EW397&lt;EW399,"Yes","No"),"")</f>
        <v/>
      </c>
      <c r="DV397" s="1404" t="str">
        <f>DU397</f>
        <v/>
      </c>
      <c r="DW397" s="1403">
        <f>IF(DU397="Yes",DC399,0)</f>
        <v>0</v>
      </c>
      <c r="DX397" s="1403">
        <f>DW397-DS397</f>
        <v>0</v>
      </c>
      <c r="DZ397" s="1481">
        <f>IFERROR(VLOOKUP(DN397,Lookup!AN$3:AO$16,2,FALSE),0)</f>
        <v>0</v>
      </c>
      <c r="EA397" s="1481">
        <f>IF(HW397=FALSE,0,IF(DU397="Yes",DZ397+Lookup!B$6,DZ397))</f>
        <v>0</v>
      </c>
      <c r="EC397" s="1482">
        <f>IF(HW397=TRUE,DJ397,0)</f>
        <v>0</v>
      </c>
      <c r="ED397" s="1369">
        <f>IF(HW397=TRUE,CW399,0)</f>
        <v>0</v>
      </c>
      <c r="EE397" s="1370">
        <f>IFERROR(EC397-ED397,0)</f>
        <v>0</v>
      </c>
      <c r="EF397" s="1369">
        <f>IF(HW397=TRUE,DG399,0)</f>
        <v>0</v>
      </c>
      <c r="EG397" s="1369">
        <f>IFERROR(EC397-ED397+EF397,0)</f>
        <v>0</v>
      </c>
      <c r="EH397" s="1373">
        <f>IF(HW397=TRUE,CS399*CU399,0)</f>
        <v>0</v>
      </c>
      <c r="EI397" s="1373">
        <f>IF(HW397=TRUE,DC399*DE399,0)</f>
        <v>0</v>
      </c>
      <c r="EJ397" s="1363">
        <f>AO397</f>
        <v>0</v>
      </c>
      <c r="EK397" s="1376" t="str">
        <f>IFERROR(IF(HW397=TRUE,VLOOKUP(DN397,Lookup!AN$3:AP$16,3,FALSE)*DR397,""),0)</f>
        <v/>
      </c>
      <c r="EL397" s="1376">
        <f>IF(HW397=TRUE,DW397*Lookup!AP$12,0)</f>
        <v>0</v>
      </c>
      <c r="EM397" s="1362">
        <f>IFERROR(IF(HW397=TRUE,EK397/EM$33,0),0)</f>
        <v>0</v>
      </c>
      <c r="EN397" s="1362">
        <f>IF(HW397=TRUE,EL397/EN$33,0)</f>
        <v>0</v>
      </c>
      <c r="EO397" s="1363">
        <f>IF(HW397=TRUE,EQ$33*EM397,0)</f>
        <v>0</v>
      </c>
      <c r="EP397" s="1363">
        <f>IF(HW397=TRUE,EQ$33*EN397,0)</f>
        <v>0</v>
      </c>
      <c r="EQ397" s="1363">
        <f>EO397+EP397</f>
        <v>0</v>
      </c>
      <c r="ES397" s="1403">
        <f>IF(G397="",0,1)</f>
        <v>0</v>
      </c>
      <c r="EU397" s="1410" t="e">
        <f>VLOOKUP(CP399,'Space Table'!$B$3:$L$160,8,FALSE)</f>
        <v>#N/A</v>
      </c>
      <c r="EV397" s="1410" t="e">
        <f>IF(EY397="Yes",VLOOKUP(DD397,Lookup_Control_Type_Table2,4,FALSE),VLOOKUP(DD397,Lookup_Control_Type_Table2,3,FALSE))</f>
        <v>#N/A</v>
      </c>
      <c r="EW397" s="1410" t="e">
        <f>VLOOKUP(DD397,Lookup!AU$3:AV$15,2,FALSE)</f>
        <v>#N/A</v>
      </c>
      <c r="EX397" s="1410" t="e">
        <f>VLOOKUP(EU397,Lookup_Control_Type_Table,2,FALSE)</f>
        <v>#N/A</v>
      </c>
      <c r="EY397" s="1410" t="e">
        <f>VLOOKUP(CP399,'Space Table'!$B$3:$L$160,7,FALSE)</f>
        <v>#N/A</v>
      </c>
      <c r="EZ397" s="1412" t="b">
        <f>ISNUMBER(SEARCH("TLED",U399))</f>
        <v>0</v>
      </c>
      <c r="FB397" s="1365" t="str">
        <f>CONCATENATE(CN397," - ",DD397)</f>
        <v xml:space="preserve"> - 0</v>
      </c>
      <c r="FD397" s="1353" t="str">
        <f>VLOOKUP(CT399,Fixtures!DN$27:EZ$77,38,FALSE)</f>
        <v/>
      </c>
      <c r="FE397" s="1353">
        <f>IFERROR(FD397*EE397,0)</f>
        <v>0</v>
      </c>
      <c r="FF397" s="138"/>
      <c r="FI397" s="1356" t="str">
        <f>IF(CN397="Exterior","Not Daylighted",G400)</f>
        <v>Not Daylighted</v>
      </c>
      <c r="FJ397" s="1356">
        <f>VLOOKUP(FI397,_Daylight_Table_Codes,2,FALSE)</f>
        <v>0</v>
      </c>
      <c r="FK397" s="1365">
        <f>IF(__Retrofit_TI_NC=2,VLOOKUP(G399,'Space Table'!$B$3:$L$160,11,FALSE),AF398)</f>
        <v>0</v>
      </c>
      <c r="FL397" s="1365" t="e">
        <f>VLOOKUP(FK397,_Control_Table,2,FALSE)</f>
        <v>#N/A</v>
      </c>
      <c r="FM397" s="1365" t="e">
        <f>IF(AND(FP397&gt;0,FK397="Occupancy Sensor"),"Daylight + Occupancy",IF(AND(FP397&gt;0,FL397&lt;4),"Interior Daylight Dimming",FK397))</f>
        <v>#N/A</v>
      </c>
      <c r="FO397" s="1364">
        <f>IF(CO397="Interior",VLOOKUP(CP397,Control_Savings_Interior,5,FALSE),0)</f>
        <v>0</v>
      </c>
      <c r="FP397" s="1361">
        <f>IF(CN397="Exterior",0,IF(FJ397=2,0.5,IF(OR(FJ397=1,FJ397=3),1,0)))</f>
        <v>0</v>
      </c>
      <c r="FQ397" s="1366"/>
      <c r="FR397" s="1367"/>
      <c r="FS397" s="1364"/>
      <c r="FT397" s="1367"/>
      <c r="FU397" s="1360"/>
      <c r="FW397" s="1352" t="str">
        <f>IFERROR(VLOOKUP(U398,_Exist_Fixture_Table,3,FALSE),"")</f>
        <v/>
      </c>
      <c r="FX397" s="1352" t="str">
        <f>VLOOKUP(CT397,_Exist_Fixture_Table,4,FALSE)</f>
        <v/>
      </c>
      <c r="FY397" s="1352">
        <f>IFERROR(VLOOKUP(FX397,Lookup!AM$6:AN$8,2,FALSE),0)</f>
        <v>0</v>
      </c>
      <c r="FZ397" s="1352" t="b">
        <f>IFERROR(IF(OR(GB397=4,GB397=5,GB397=6),TRUE,FALSE),"")</f>
        <v>0</v>
      </c>
      <c r="GA397" s="1352" t="str">
        <f>IFERROR(VLOOKUP(GB397,FY$6:FZ$10,2,FALSE),"")</f>
        <v/>
      </c>
      <c r="GB397" s="1352" t="str">
        <f>VLOOKUP(CT399,Fixtures!R$31:Y$78,8,FALSE)</f>
        <v/>
      </c>
      <c r="GC397" s="1352">
        <f>IF(AND(FW397=TRUE,FZ397=TRUE,OR(DN397=12,DN397=13,DN397=14)),FY397+8,0)</f>
        <v>0</v>
      </c>
      <c r="GD397" s="1352" t="b">
        <f>IF(OR(GC397=12,GC397=13,GC397=14),TRUE,FALSE)</f>
        <v>0</v>
      </c>
      <c r="GE397" s="759" t="b">
        <f>IF(ISNUMBER(SEARCH("TLED",U398)),TRUE,FALSE)</f>
        <v>0</v>
      </c>
      <c r="GF397" s="1035" t="str">
        <f>IFERROR(VLOOKUP(U398,Fixtures!BM$93:BR$142,6,FALSE),"")</f>
        <v/>
      </c>
      <c r="GG397" s="1385" t="b">
        <f>IF(OR(GE397=FALSE,GE399=FALSE),TRUE,IF(GF397-GF399&lt;5,FALSE,TRUE))</f>
        <v>1</v>
      </c>
      <c r="GK397" s="1034">
        <f>GL397</f>
        <v>0</v>
      </c>
      <c r="GL397" s="1034">
        <f>IF(G397="",0,1)</f>
        <v>0</v>
      </c>
      <c r="GM397" s="1034">
        <f>SUM(GN397:HB397)</f>
        <v>2</v>
      </c>
      <c r="GN397" s="1034">
        <f>IF(G398="",0,1)</f>
        <v>0</v>
      </c>
      <c r="GO397" s="1034">
        <f>IF(G399="",0,1)</f>
        <v>0</v>
      </c>
      <c r="GP397" s="1034">
        <f>IF(R398="",0,1)</f>
        <v>0</v>
      </c>
      <c r="GQ397" s="1034">
        <f>IF(__Retrofit_TI_NC=0,1,IF(R399="",0,1))</f>
        <v>1</v>
      </c>
      <c r="GR397" s="1034">
        <f>IF(CN397="Exterior",1,IF(G400="",0,1))</f>
        <v>1</v>
      </c>
      <c r="GS397" s="1034">
        <f>IF(__Retrofit_TI_NC&lt;&gt;0,1,IF(T398="",0,1))</f>
        <v>0</v>
      </c>
      <c r="GT397" s="1034">
        <f>IF(__Retrofit_TI_NC&lt;&gt;0,1,IF(U398="",0,1))</f>
        <v>0</v>
      </c>
      <c r="GU397" s="1034">
        <f>IF(T399="",0,1)</f>
        <v>0</v>
      </c>
      <c r="GV397" s="1034">
        <f>IF(U399="",0,1)</f>
        <v>0</v>
      </c>
      <c r="GW397" s="1034">
        <f>IF(__Retrofit_TI_NC=2,1,IF(U400="",0,1))</f>
        <v>0</v>
      </c>
      <c r="GX397" s="1034">
        <f>IF(__Retrofit_TI_NC&lt;&gt;0,1,IF(AE398="",0,1))</f>
        <v>0</v>
      </c>
      <c r="GY397" s="1034">
        <f>IF(__Retrofit_TI_NC&lt;&gt;0,1,IF(AF398="",0,1))</f>
        <v>0</v>
      </c>
      <c r="GZ397" s="1034">
        <f>IF(AE399="",0,1)</f>
        <v>0</v>
      </c>
      <c r="HA397" s="1034">
        <f>IF(AF399="",0,1)</f>
        <v>0</v>
      </c>
      <c r="HB397" s="1034">
        <f>IF(__Retrofit_TI_NC=2,1,IF(AF400="",0,1))</f>
        <v>0</v>
      </c>
      <c r="HV397" s="436"/>
      <c r="HW397" s="1384" t="b">
        <f>IF(OR(HW400=0,HW400=HT$16,HW400=HS$16,HW400=HU$16),TRUE,FALSE)</f>
        <v>0</v>
      </c>
      <c r="HX397" s="1377" t="b">
        <f>HW397</f>
        <v>0</v>
      </c>
      <c r="HY397" s="436"/>
      <c r="HZ397" s="436"/>
      <c r="IA397" s="1386" t="b">
        <f>IF(MAX(GJ400:HP400)&gt;5,FALSE,TRUE)</f>
        <v>0</v>
      </c>
      <c r="IB397" s="1380">
        <f>IF(IA397=TRUE,AC397,0)</f>
        <v>0</v>
      </c>
      <c r="IC397" s="1380">
        <f>IB397-IB399</f>
        <v>0</v>
      </c>
      <c r="IF397" s="1380" t="e">
        <f>ROUND(T398*VLOOKUP(U398,Fixtures_Existing_List,2,FALSE)*N398*R398/1000,0)</f>
        <v>#N/A</v>
      </c>
      <c r="IG397" s="1381" t="e">
        <f>IF397-IF399</f>
        <v>#N/A</v>
      </c>
      <c r="IH397" s="1384" t="e">
        <f>ROUND(IF(CN397="Interior",N399*R399*R398*N398*_C406_reduction/1000,N399*R399*R398*N398/1000),0)</f>
        <v>#N/A</v>
      </c>
      <c r="II397" s="1384" t="e">
        <f>IH397-IH399</f>
        <v>#N/A</v>
      </c>
      <c r="IK397" s="1351" t="e">
        <f>IF($CO397="interior",IL397/2,VLOOKUP($CP397,Control_Savings_Exterior,IK$30,FALSE))</f>
        <v>#N/A</v>
      </c>
      <c r="IL397" s="1351" t="e">
        <f>IF($CO397="interior",VLOOKUP($CP397,Control_Savings_Interior,IL$30,FALSE),VLOOKUP($CP397,Control_Savings_Exterior,IL$30,FALSE))</f>
        <v>#N/A</v>
      </c>
      <c r="IM397" s="1351" t="e">
        <f>IF($CO397="interior",IF(R398&gt;FO$37,(IM$28*(FO$37/R398)),IM$28)*FP397,VLOOKUP($CP397,Control_Savings_Exterior,IM$30,FALSE))</f>
        <v>#N/A</v>
      </c>
      <c r="IN397" s="1351" t="e">
        <f>IF($CO397="interior",ROUND(((1-IL397)*IM397)+IL397,2),VLOOKUP($CP397,Control_Savings_Exterior,IN$30,FALSE))</f>
        <v>#N/A</v>
      </c>
      <c r="IO397" s="1351" t="e">
        <f>IF($CO397="interior", ROUND(((1-IL397)*(IM397*(1-IP$28)))+IP397,2), VLOOKUP($CP397,Control_Savings_Exterior,IO$30,FALSE))</f>
        <v>#N/A</v>
      </c>
      <c r="IP397" s="1351">
        <f>IF($CO397="interior",ROUND(((1-IL397)*IP$28)+IL397,2),0)</f>
        <v>0</v>
      </c>
    </row>
    <row r="398" spans="1:250" s="82" customFormat="1" ht="14.95" customHeight="1" thickTop="1" thickBot="1">
      <c r="B398" s="1421"/>
      <c r="C398" s="1422"/>
      <c r="D398" s="1423"/>
      <c r="E398" s="1393" t="s">
        <v>244</v>
      </c>
      <c r="F398" s="1394"/>
      <c r="G398" s="1395"/>
      <c r="H398" s="1395"/>
      <c r="I398" s="1395"/>
      <c r="J398" s="1395"/>
      <c r="K398" s="1395"/>
      <c r="L398" s="1395"/>
      <c r="M398" s="509" t="e">
        <f>IF(__Retrofit_TI_NC&lt;&gt;0,IF(VLOOKUP(G399,'Space Table'!$B$3:$L$160,3,FALSE)&gt;0,1,0),IF(__Retrofit_TI_NC=VLOOKUP(G399,'Space Table'!$B$3:$L$160,3,FALSE),1,0))</f>
        <v>#N/A</v>
      </c>
      <c r="N398" s="509" t="str">
        <f>IFERROR(VLOOKUP(G398,_Lookup_Heat_Type_Table_New,2,FALSE),"")</f>
        <v/>
      </c>
      <c r="O398" s="509">
        <f>IF(__Retrofit_TI_NC=1,CONCATENATE("TI ",G398),IF(__Retrofit_TI_NC=2,CONCATENATE("NC ",G398),G398))</f>
        <v>0</v>
      </c>
      <c r="P398" s="1396" t="s">
        <v>352</v>
      </c>
      <c r="Q398" s="1396"/>
      <c r="R398" s="673"/>
      <c r="S398" s="1429"/>
      <c r="T398" s="675"/>
      <c r="U398" s="1496"/>
      <c r="V398" s="1497"/>
      <c r="W398" s="1497"/>
      <c r="X398" s="1497"/>
      <c r="Y398" s="1497"/>
      <c r="Z398" s="1497"/>
      <c r="AA398" s="1497"/>
      <c r="AB398" s="1497"/>
      <c r="AC398" s="1497"/>
      <c r="AD398" s="1498"/>
      <c r="AE398" s="675"/>
      <c r="AF398" s="1397"/>
      <c r="AG398" s="1397"/>
      <c r="AH398" s="1397"/>
      <c r="AI398" s="1397"/>
      <c r="AJ398" s="1434"/>
      <c r="AK398" s="1436"/>
      <c r="AL398" s="1438"/>
      <c r="AM398" s="1441"/>
      <c r="AN398" s="1442"/>
      <c r="AO398" s="1447"/>
      <c r="AP398" s="1447"/>
      <c r="AQ398" s="1448"/>
      <c r="AR398" s="1452"/>
      <c r="AS398" s="1455"/>
      <c r="AT398" s="1458"/>
      <c r="AU398" s="516"/>
      <c r="AV398" s="1479"/>
      <c r="AW398" s="1479"/>
      <c r="BC398" s="38"/>
      <c r="BD398" s="38"/>
      <c r="BE398" s="38"/>
      <c r="BF398" s="38"/>
      <c r="BG398" s="38"/>
      <c r="BH398" s="38"/>
      <c r="BI398" s="38"/>
      <c r="BJ398" s="38"/>
      <c r="BK398" s="38"/>
      <c r="BL398" s="38"/>
      <c r="BM398" s="38"/>
      <c r="BN398" s="38"/>
      <c r="BO398" s="38"/>
      <c r="BP398" s="38"/>
      <c r="BQ398" s="38"/>
      <c r="BR398" s="38"/>
      <c r="BS398" s="38"/>
      <c r="BT398" s="38"/>
      <c r="BU398" s="38"/>
      <c r="BV398" s="38"/>
      <c r="BW398" s="38"/>
      <c r="BX398" s="38"/>
      <c r="BY398" s="38"/>
      <c r="BZ398" s="38"/>
      <c r="CA398" s="38"/>
      <c r="CB398" s="38"/>
      <c r="CC398" s="38"/>
      <c r="CD398" s="38"/>
      <c r="CE398" s="38"/>
      <c r="CF398" s="38"/>
      <c r="CG398" s="38"/>
      <c r="CH398" s="38"/>
      <c r="CI398" s="38"/>
      <c r="CM398" s="1352"/>
      <c r="CN398" s="1352"/>
      <c r="CO398" s="1416"/>
      <c r="CP398" s="1418"/>
      <c r="CR398" s="1386"/>
      <c r="CS398" s="1355"/>
      <c r="CT398" s="1355"/>
      <c r="CU398" s="1355"/>
      <c r="CV398" s="1372"/>
      <c r="CW398" s="1372"/>
      <c r="CX398" s="1371"/>
      <c r="CY398" s="1486"/>
      <c r="CZ398" s="1486"/>
      <c r="DA398" s="1486"/>
      <c r="DC398" s="1355"/>
      <c r="DD398" s="1461"/>
      <c r="DE398" s="1355"/>
      <c r="DF398" s="1407"/>
      <c r="DG398" s="1372"/>
      <c r="DH398" s="1369"/>
      <c r="DJ398" s="1484"/>
      <c r="DL398" s="1419"/>
      <c r="DN398" s="1403"/>
      <c r="DO398" s="1405"/>
      <c r="DP398" s="1354"/>
      <c r="DQ398" s="1405"/>
      <c r="DR398" s="1403"/>
      <c r="DS398" s="1489"/>
      <c r="DU398" s="1403"/>
      <c r="DV398" s="1405"/>
      <c r="DW398" s="1403"/>
      <c r="DX398" s="1403"/>
      <c r="DZ398" s="1481"/>
      <c r="EA398" s="1481"/>
      <c r="EC398" s="1482"/>
      <c r="ED398" s="1369"/>
      <c r="EE398" s="1371"/>
      <c r="EF398" s="1369"/>
      <c r="EG398" s="1369"/>
      <c r="EH398" s="1374"/>
      <c r="EI398" s="1374"/>
      <c r="EJ398" s="1363"/>
      <c r="EK398" s="1376"/>
      <c r="EL398" s="1376"/>
      <c r="EM398" s="1362"/>
      <c r="EN398" s="1362"/>
      <c r="EO398" s="1363"/>
      <c r="EP398" s="1363"/>
      <c r="EQ398" s="1363"/>
      <c r="ES398" s="1403"/>
      <c r="EU398" s="1411"/>
      <c r="EV398" s="1411"/>
      <c r="EW398" s="1411"/>
      <c r="EX398" s="1411"/>
      <c r="EY398" s="1411"/>
      <c r="EZ398" s="1413"/>
      <c r="FB398" s="1365"/>
      <c r="FD398" s="1354"/>
      <c r="FE398" s="1354"/>
      <c r="FF398" s="138"/>
      <c r="FI398" s="1357"/>
      <c r="FJ398" s="1357"/>
      <c r="FK398" s="1365"/>
      <c r="FL398" s="1365"/>
      <c r="FM398" s="1365"/>
      <c r="FO398" s="1361"/>
      <c r="FP398" s="1361"/>
      <c r="FQ398" s="1366"/>
      <c r="FR398" s="1368"/>
      <c r="FS398" s="1361"/>
      <c r="FT398" s="1368"/>
      <c r="FU398" s="1360"/>
      <c r="FW398" s="1352"/>
      <c r="FX398" s="1352"/>
      <c r="FY398" s="1352"/>
      <c r="FZ398" s="1352"/>
      <c r="GA398" s="1352"/>
      <c r="GB398" s="1352"/>
      <c r="GC398" s="1352"/>
      <c r="GD398" s="1352"/>
      <c r="GE398" s="759"/>
      <c r="GF398" s="1035"/>
      <c r="GG398" s="1385"/>
      <c r="GI398" s="1384" t="b">
        <f>IF(AND(GL398=TRUE,GM398=TRUE),TRUE,FALSE)</f>
        <v>0</v>
      </c>
      <c r="GJ398" s="1379" t="b">
        <f>IFERROR(IF(__Retrofit_TI_NC=2,TRUE,IF(AR397="Yes",TRUE,FALSE)),FALSE)</f>
        <v>1</v>
      </c>
      <c r="GL398" s="1379" t="b">
        <f>IFERROR(IF(GL397=1,TRUE,FALSE),FALSE)</f>
        <v>0</v>
      </c>
      <c r="GM398" s="1379" t="b">
        <f>IFERROR(IF(GM397=GM$14,TRUE,FALSE),FALSE)</f>
        <v>0</v>
      </c>
      <c r="HC398" s="1379" t="b">
        <f>IFERROR(IF(M398=1,TRUE,FALSE),FALSE)</f>
        <v>0</v>
      </c>
      <c r="HD398" s="1379" t="b">
        <f>IFERROR(IF(M399=1,TRUE,FALSE),FALSE)</f>
        <v>0</v>
      </c>
      <c r="HE398" s="1379" t="b">
        <f>IFERROR(IF(__Retrofit_TI_NC&lt;&gt;0,TRUE,IFERROR(IF(VLOOKUP(U398,Fixtures_Existing_List,2,FALSE)&lt;&gt;"",TRUE,FALSE),FALSE)),FALSE)</f>
        <v>0</v>
      </c>
      <c r="HF398" s="1379" t="b">
        <f>IFERROR(IF(VLOOKUP(U399,Fixtures_Proposed_List,2,FALSE)&lt;&gt;"",TRUE,FALSE),FALSE)</f>
        <v>0</v>
      </c>
      <c r="HG398" s="1379" t="b">
        <f>IF(AND(__Retrofit_TI_NC=2,EZ397=TRUE),FALSE,TRUE)</f>
        <v>1</v>
      </c>
      <c r="HH398" s="1379" t="b">
        <f>GG397</f>
        <v>1</v>
      </c>
      <c r="HI398" s="1384" t="b">
        <f>IF(ISERROR(MATCH(FB397,_Control_Match[],0))=TRUE,FALSE,TRUE)</f>
        <v>0</v>
      </c>
      <c r="HJ398" s="1384" t="b">
        <f>IFERROR(IF(EU397&lt;&gt;EV397,FALSE,TRUE),FALSE)</f>
        <v>0</v>
      </c>
      <c r="HK398" s="1384" t="b">
        <f>IFERROR(IF(EU399&lt;&gt;EV399,FALSE,TRUE),FALSE)</f>
        <v>0</v>
      </c>
      <c r="HL398" s="1379" t="b">
        <f>IFERROR(IF(CN397="Exterior",TRUE,IF(OR(AND(FJ397=0,EW399&gt;4),AND(FJ397=4,EW399&gt;4,EW399&lt;7)),FALSE,TRUE)),FALSE)</f>
        <v>0</v>
      </c>
      <c r="HM398" s="1379" t="b">
        <f>IFERROR(IF(AND(FL399=7,EZ397=TRUE),FALSE,TRUE),FALSE)</f>
        <v>0</v>
      </c>
      <c r="HN398" s="1379" t="b">
        <f>IFERROR(IF(AND(T399&lt;&gt;AE399,AF399="Interior LLLC")=TRUE,FALSE,TRUE),FALSE)</f>
        <v>1</v>
      </c>
      <c r="HO398" s="1379" t="b">
        <f>IFERROR(IF(OR(AF399=Lookup!AU$13,AF399=Lookup!AU$14)=TRUE,IF(AE399&gt;T399,FALSE,TRUE),TRUE),FALSE)</f>
        <v>1</v>
      </c>
      <c r="HP398" s="1379" t="b">
        <f>IFERROR(IF(__Retrofit_TI_NC=2,IF(EW399&lt;EW397,FALSE,TRUE),TRUE),FALSE)</f>
        <v>1</v>
      </c>
      <c r="HQ398" s="1379" t="b">
        <f>IF(CN397="Interior",IG$6,TRUE)</f>
        <v>1</v>
      </c>
      <c r="HR398" s="1379" t="b">
        <f>IF(CN397="Exterior",IG$8,TRUE)</f>
        <v>1</v>
      </c>
      <c r="HS398" s="1379" t="b">
        <f>IFERROR(IF(__Retrofit_TI_NC&lt;&gt;0,IF(AW397&lt;AV397,FALSE,TRUE),TRUE),FALSE)</f>
        <v>1</v>
      </c>
      <c r="HT398" s="1379" t="b">
        <f>IFERROR(IF(AND(G398="Exterior",R398&gt;4200),FALSE,TRUE),FALSE)</f>
        <v>1</v>
      </c>
      <c r="HU398" s="1379" t="b">
        <f>IFERROR(IF(AB400/AB397&lt;HU$18,FALSE,TRUE),FALSE)</f>
        <v>0</v>
      </c>
      <c r="HW398" s="1382"/>
      <c r="HX398" s="1378"/>
      <c r="HY398" s="1377" t="str">
        <f>VLOOKUP(HW400,_Error_Table,4,FALSE)</f>
        <v>White</v>
      </c>
      <c r="HZ398" s="436"/>
      <c r="IA398" s="1386"/>
      <c r="IB398" s="1380"/>
      <c r="IC398" s="1379"/>
      <c r="IF398" s="1380"/>
      <c r="IG398" s="1382"/>
      <c r="IH398" s="1382"/>
      <c r="II398" s="1382"/>
      <c r="IK398" s="1351"/>
      <c r="IL398" s="1351"/>
      <c r="IM398" s="1351"/>
      <c r="IN398" s="1351"/>
      <c r="IO398" s="1351"/>
      <c r="IP398" s="1351"/>
    </row>
    <row r="399" spans="1:250" s="82" customFormat="1" ht="14.95" customHeight="1" thickTop="1" thickBot="1">
      <c r="A399" s="82">
        <f>ROW()</f>
        <v>399</v>
      </c>
      <c r="B399" s="1421"/>
      <c r="C399" s="1422"/>
      <c r="D399" s="1423"/>
      <c r="E399" s="1393" t="s">
        <v>245</v>
      </c>
      <c r="F399" s="1394"/>
      <c r="G399" s="1398"/>
      <c r="H399" s="1399"/>
      <c r="I399" s="1399"/>
      <c r="J399" s="1399"/>
      <c r="K399" s="1399"/>
      <c r="L399" s="1400"/>
      <c r="M399" s="509">
        <f>IFERROR(IF(IF(__Retrofit_TI_NC&lt;&gt;0,IF(CN397="Interior",MATCH(G399,Lookup_Interior_New,0),MATCH(G399,Lookup_Exterior_New,0)),IF(CN397="Interior",MATCH(G399,Lookup_Interior,0),MATCH(G399,Lookup_Exterior_Areas,0)))&gt;0,1,0),0)</f>
        <v>0</v>
      </c>
      <c r="N399" s="509" t="e">
        <f>IF(__Retrofit_TI_NC=1,
VLOOKUP(G399,'Space Table'!$B$3:$L$160,4,FALSE),
IF(__Retrofit_TI_NC=2,VLOOKUP(G399,'Space Table'!$B$3:$L$160,5,FALSE),VLOOKUP(G399,'Space Table'!$B$3:$L$160,5,FALSE)))</f>
        <v>#N/A</v>
      </c>
      <c r="O399" s="509">
        <f>G399</f>
        <v>0</v>
      </c>
      <c r="P399" s="1394" t="s">
        <v>355</v>
      </c>
      <c r="Q399" s="1394"/>
      <c r="R399" s="674"/>
      <c r="S399" s="1401" t="s">
        <v>284</v>
      </c>
      <c r="T399" s="672"/>
      <c r="U399" s="1499"/>
      <c r="V399" s="1500"/>
      <c r="W399" s="1500"/>
      <c r="X399" s="1500"/>
      <c r="Y399" s="1500"/>
      <c r="Z399" s="1500"/>
      <c r="AA399" s="1500"/>
      <c r="AB399" s="1501"/>
      <c r="AC399" s="1501"/>
      <c r="AD399" s="1502"/>
      <c r="AE399" s="672"/>
      <c r="AF399" s="1474"/>
      <c r="AG399" s="1474"/>
      <c r="AH399" s="1474"/>
      <c r="AI399" s="1474"/>
      <c r="AJ399" s="1475">
        <f>DF399</f>
        <v>0</v>
      </c>
      <c r="AK399" s="1470" t="str">
        <f>IFERROR(ROUND(AJ399*AC400,0),"")</f>
        <v/>
      </c>
      <c r="AL399" s="1472">
        <f>IFERROR(IF(HW397=FALSE,0,AC400-AK399),0)</f>
        <v>0</v>
      </c>
      <c r="AM399" s="1441"/>
      <c r="AN399" s="1442"/>
      <c r="AO399" s="1447"/>
      <c r="AP399" s="1447"/>
      <c r="AQ399" s="1448"/>
      <c r="AR399" s="1452"/>
      <c r="AS399" s="1455"/>
      <c r="AT399" s="1458"/>
      <c r="AU399" s="516"/>
      <c r="AV399" s="1479"/>
      <c r="AW399" s="1479"/>
      <c r="BC399" s="38"/>
      <c r="BD399" s="38"/>
      <c r="BE399" s="38"/>
      <c r="BF399" s="38"/>
      <c r="BG399" s="38"/>
      <c r="BH399" s="38"/>
      <c r="BI399" s="38"/>
      <c r="BJ399" s="38"/>
      <c r="BK399" s="38"/>
      <c r="BL399" s="38"/>
      <c r="BM399" s="38"/>
      <c r="BN399" s="38"/>
      <c r="BO399" s="38"/>
      <c r="BP399" s="38"/>
      <c r="BQ399" s="38"/>
      <c r="BR399" s="38"/>
      <c r="BS399" s="38"/>
      <c r="BT399" s="38"/>
      <c r="BU399" s="38"/>
      <c r="BV399" s="38"/>
      <c r="BW399" s="38"/>
      <c r="BX399" s="38"/>
      <c r="BY399" s="38"/>
      <c r="BZ399" s="38"/>
      <c r="CA399" s="38"/>
      <c r="CB399" s="38"/>
      <c r="CC399" s="38"/>
      <c r="CD399" s="38"/>
      <c r="CE399" s="38"/>
      <c r="CF399" s="38"/>
      <c r="CG399" s="38"/>
      <c r="CH399" s="38"/>
      <c r="CI399" s="38"/>
      <c r="CM399" s="1352"/>
      <c r="CN399" s="1352"/>
      <c r="CO399" s="1415" t="str">
        <f>CN397</f>
        <v/>
      </c>
      <c r="CP399" s="1417" t="e">
        <f>CP397</f>
        <v>#N/A</v>
      </c>
      <c r="CR399" s="1386" t="s">
        <v>284</v>
      </c>
      <c r="CS399" s="1353">
        <f>IF(HW397=TRUE,T399,0)</f>
        <v>0</v>
      </c>
      <c r="CT399" s="1353" t="str">
        <f>IF(HW397=TRUE,U399,"")</f>
        <v/>
      </c>
      <c r="CU399" s="1373">
        <f>IF(HW397=TRUE,U400,0)</f>
        <v>0</v>
      </c>
      <c r="CV399" s="1370">
        <f>IF(HW397=TRUE,AB400,0)</f>
        <v>0</v>
      </c>
      <c r="CW399" s="1370">
        <f>IF(HW397=TRUE,AC400,0)</f>
        <v>0</v>
      </c>
      <c r="CX399" s="1371"/>
      <c r="CY399" s="1486"/>
      <c r="CZ399" s="1486"/>
      <c r="DA399" s="1486"/>
      <c r="DC399" s="1353">
        <f>IF(HW397=TRUE,AE399,0)</f>
        <v>0</v>
      </c>
      <c r="DD399" s="1353" t="str">
        <f>IF(HW397=TRUE,AF399,"")</f>
        <v/>
      </c>
      <c r="DE399" s="1373">
        <f>AF400</f>
        <v>0</v>
      </c>
      <c r="DF399" s="1406">
        <f>IFERROR(IF(FL399=3,IK399,IF(FL399=4,IL399,IF(FL399=5,IM399,IF(FL399=6,IN399,IF(FL399=7,IO399,IF(FL399=8,IP399,0)))))),0)</f>
        <v>0</v>
      </c>
      <c r="DG399" s="1370">
        <f>IF(HW397=TRUE,AK399,0)</f>
        <v>0</v>
      </c>
      <c r="DH399" s="1369"/>
      <c r="DK399" s="1483">
        <f>IFERROR(CW399-DG399,0)</f>
        <v>0</v>
      </c>
      <c r="DL399" s="1420"/>
      <c r="DN399" s="1403"/>
      <c r="DO399" s="1477" t="str">
        <f>DN397</f>
        <v/>
      </c>
      <c r="DP399" s="1354"/>
      <c r="DQ399" s="1477" t="str">
        <f>IF(DP397=7,"LLLC","")</f>
        <v/>
      </c>
      <c r="DR399" s="1403"/>
      <c r="DS399" s="1489"/>
      <c r="DU399" s="1403"/>
      <c r="DV399" s="1404" t="str">
        <f>DU397</f>
        <v/>
      </c>
      <c r="DW399" s="1403"/>
      <c r="DX399" s="1403"/>
      <c r="DZ399" s="1481"/>
      <c r="EA399" s="1481"/>
      <c r="EC399" s="1482"/>
      <c r="ED399" s="1369"/>
      <c r="EE399" s="1371"/>
      <c r="EF399" s="1369"/>
      <c r="EG399" s="1369"/>
      <c r="EH399" s="1374"/>
      <c r="EI399" s="1374"/>
      <c r="EJ399" s="1363"/>
      <c r="EK399" s="1376"/>
      <c r="EL399" s="1376"/>
      <c r="EM399" s="1362"/>
      <c r="EN399" s="1362"/>
      <c r="EO399" s="1363"/>
      <c r="EP399" s="1363"/>
      <c r="EQ399" s="1363"/>
      <c r="ES399" s="1403"/>
      <c r="EU399" s="1411" t="e">
        <f>VLOOKUP(CP399,'Space Table'!$B$3:$L$160,8,FALSE)</f>
        <v>#N/A</v>
      </c>
      <c r="EV399" s="1411" t="e">
        <f>IF(EY399="Yes",VLOOKUP(AF399,Lookup_Control_Type_Table2,4,FALSE),VLOOKUP(AF399,Lookup_Control_Type_Table2,3,FALSE))</f>
        <v>#N/A</v>
      </c>
      <c r="EW399" s="1411" t="e">
        <f>VLOOKUP(AF399,Lookup!AU$3:AV$15,2,FALSE)</f>
        <v>#N/A</v>
      </c>
      <c r="EX399" s="1411" t="e">
        <f>VLOOKUP(EU397,Lookup_Control_Type_Table,2,FALSE)</f>
        <v>#N/A</v>
      </c>
      <c r="EY399" s="1411" t="e">
        <f>VLOOKUP(CP399,'Space Table'!$B$3:$L$160,7,FALSE)</f>
        <v>#N/A</v>
      </c>
      <c r="EZ399" s="1413"/>
      <c r="FB399" s="1365" t="str">
        <f>CONCATENATE(CN397," - ",AF399)</f>
        <v xml:space="preserve"> - </v>
      </c>
      <c r="FD399" s="1354"/>
      <c r="FE399" s="1354"/>
      <c r="FF399" s="138"/>
      <c r="FI399" s="1356" t="str">
        <f>IF(CN397="Exterior","Not Daylighted",G400)</f>
        <v>Not Daylighted</v>
      </c>
      <c r="FJ399" s="1356">
        <f>VLOOKUP(FI399,_Daylight_Table_Codes,2,FALSE)</f>
        <v>0</v>
      </c>
      <c r="FK399" s="1365">
        <f>AF399</f>
        <v>0</v>
      </c>
      <c r="FL399" s="1365" t="e">
        <f>VLOOKUP(FK399,_Control_Table,2,FALSE)</f>
        <v>#N/A</v>
      </c>
      <c r="FM399" s="1365" t="e">
        <f>IF(AND(FP399&gt;0,FK399="Occupancy Sensor"),"Daylight + Occupancy",IF(AND(FP399&gt;0,FL399&lt;4),"Interior Daylight Dimming",FK399))</f>
        <v>#N/A</v>
      </c>
      <c r="FO399" s="1364">
        <f>IF(CN397="Interior",VLOOKUP(CP397,Control_Savings_Interior,5,FALSE),0)</f>
        <v>0</v>
      </c>
      <c r="FP399" s="1361">
        <f>IF(CN399="Exterior",0,IF(FJ399=2,0.5,IF(OR(FJ399=1,FJ399=3),1,0)))</f>
        <v>0</v>
      </c>
      <c r="FQ399" s="1366">
        <f>IF(R398&gt;FO$37,(FO399*(FO$37/R398)),FO399)*FP399</f>
        <v>0</v>
      </c>
      <c r="FR399" s="1364">
        <f>DF399</f>
        <v>0</v>
      </c>
      <c r="FS399" s="1364">
        <f>ROUND(FR399+((1-FR399)*FQ399),2)</f>
        <v>0</v>
      </c>
      <c r="FT399" s="1364">
        <f>IF(__Retrofit_TI_NC=2,FS399,FR399)</f>
        <v>0</v>
      </c>
      <c r="FU399" s="1360">
        <f>IF(CO399="Interior",VLOOKUP(CP399,Control_Savings_Interior,4,FALSE),0)</f>
        <v>0</v>
      </c>
      <c r="FW399" s="1352"/>
      <c r="FX399" s="1352"/>
      <c r="FY399" s="1352"/>
      <c r="FZ399" s="1352"/>
      <c r="GA399" s="1352"/>
      <c r="GB399" s="1352"/>
      <c r="GC399" s="1352"/>
      <c r="GD399" s="1352"/>
      <c r="GE399" s="759" t="b">
        <f>IF(ISNUMBER(SEARCH("TLED",U399)),TRUE,FALSE)</f>
        <v>0</v>
      </c>
      <c r="GF399" s="1035" t="str">
        <f>IFERROR(VLOOKUP(U399,Fixtures!DM$93:DR$142,6,FALSE),"")</f>
        <v/>
      </c>
      <c r="GG399" s="1385"/>
      <c r="GI399" s="1383"/>
      <c r="GJ399" s="1379"/>
      <c r="GL399" s="1379"/>
      <c r="GM399" s="1379"/>
      <c r="HC399" s="1379"/>
      <c r="HD399" s="1379"/>
      <c r="HE399" s="1379"/>
      <c r="HF399" s="1379"/>
      <c r="HG399" s="1379"/>
      <c r="HH399" s="1379"/>
      <c r="HI399" s="1383"/>
      <c r="HJ399" s="1383"/>
      <c r="HK399" s="1383"/>
      <c r="HL399" s="1379"/>
      <c r="HM399" s="1379"/>
      <c r="HN399" s="1379"/>
      <c r="HO399" s="1379"/>
      <c r="HP399" s="1379"/>
      <c r="HQ399" s="1379"/>
      <c r="HR399" s="1379"/>
      <c r="HS399" s="1379"/>
      <c r="HT399" s="1379"/>
      <c r="HU399" s="1379"/>
      <c r="HW399" s="1383"/>
      <c r="HX399" s="1384" t="b">
        <f>HW397</f>
        <v>0</v>
      </c>
      <c r="HY399" s="1378"/>
      <c r="HZ399" s="436"/>
      <c r="IA399" s="1386"/>
      <c r="IB399" s="1380">
        <f>IF(IA397=TRUE,AC400,0)</f>
        <v>0</v>
      </c>
      <c r="IC399" s="1379"/>
      <c r="IF399" s="1380" t="e">
        <f>ROUND(T399*AB400*N398*R398/1000,0)</f>
        <v>#VALUE!</v>
      </c>
      <c r="IG399" s="1382"/>
      <c r="IH399" s="1384" t="e">
        <f>ROUND(T399*AB400*N398*R398/1000,0)</f>
        <v>#VALUE!</v>
      </c>
      <c r="II399" s="1382"/>
      <c r="IK399" s="1351" t="e">
        <f>IF($CO399="interior",IL399/2,VLOOKUP($CP399,Control_Savings_Exterior,IK$30,FALSE))</f>
        <v>#N/A</v>
      </c>
      <c r="IL399" s="1351" t="e">
        <f>IF($CO399="interior",VLOOKUP($CP399,Control_Savings_Interior,IL$30,FALSE),VLOOKUP($CP399,Control_Savings_Exterior,IL$30,FALSE))</f>
        <v>#N/A</v>
      </c>
      <c r="IM399" s="1351" t="e">
        <f>IF($CO399="interior",IF(R398&gt;FO$37,(IM$28*(FO$37/R398)),IM$28)*FP399,VLOOKUP($CP399,Control_Savings_Exterior,IM$30,FALSE))</f>
        <v>#N/A</v>
      </c>
      <c r="IN399" s="1351" t="e">
        <f>IF($CO399="interior",ROUND(((1-IL399)*IM399)+IL399,2),VLOOKUP($CP399,Control_Savings_Exterior,IN$30,FALSE))</f>
        <v>#N/A</v>
      </c>
      <c r="IO399" s="1351" t="e">
        <f>IF($CO399="interior", ROUND(((1-IL399)*(IM399*(1-IP$28)))+IP399,2), VLOOKUP($CP399,Control_Savings_Exterior,IO$30,FALSE))</f>
        <v>#N/A</v>
      </c>
      <c r="IP399" s="1351">
        <f>IF($CO399="interior",ROUND(((1-IL399)*IP$28)+IL399,2),0)</f>
        <v>0</v>
      </c>
    </row>
    <row r="400" spans="1:250" s="82" customFormat="1" ht="14.95" customHeight="1" thickTop="1" thickBot="1">
      <c r="B400" s="1421"/>
      <c r="C400" s="1422"/>
      <c r="D400" s="1423"/>
      <c r="E400" s="1462" t="s">
        <v>357</v>
      </c>
      <c r="F400" s="1463"/>
      <c r="G400" s="1464" t="s">
        <v>362</v>
      </c>
      <c r="H400" s="1465"/>
      <c r="I400" s="1465"/>
      <c r="J400" s="1465"/>
      <c r="K400" s="1465"/>
      <c r="L400" s="1466"/>
      <c r="M400" s="669">
        <f>IFERROR(VLOOKUP(G400,_Daylight_Table[],2,FALSE),0)</f>
        <v>0</v>
      </c>
      <c r="N400" s="670"/>
      <c r="O400" s="669" t="e">
        <f>VLOOKUP(G399,'Space Table'!$B$3:$L$160,11,FALSE)</f>
        <v>#N/A</v>
      </c>
      <c r="P400" s="1408"/>
      <c r="Q400" s="1409"/>
      <c r="R400" s="1409"/>
      <c r="S400" s="1402"/>
      <c r="T400" s="671" t="s">
        <v>281</v>
      </c>
      <c r="U400" s="1467" t="str">
        <f>IFERROR(VLOOKUP(U399,Fixtures!DM$93:DP$142,4,FALSE),"")</f>
        <v/>
      </c>
      <c r="V400" s="1468"/>
      <c r="W400" s="1468"/>
      <c r="X400" s="1468"/>
      <c r="Y400" s="1468"/>
      <c r="Z400" s="1468"/>
      <c r="AA400" s="1468"/>
      <c r="AB400" s="1046" t="str">
        <f>IFERROR(VLOOKUP(U399,Fixtures_Proposed_List,2,FALSE),"")</f>
        <v/>
      </c>
      <c r="AC400" s="1036" t="str">
        <f>IFERROR(ROUND(T399*AB400*N398*R398/1000,0),"")</f>
        <v/>
      </c>
      <c r="AD400" s="1037" t="str">
        <f>IFERROR(ROUND(T399*AB400/1000,2),"")</f>
        <v/>
      </c>
      <c r="AE400" s="1045" t="s">
        <v>281</v>
      </c>
      <c r="AF400" s="1469"/>
      <c r="AG400" s="1469"/>
      <c r="AH400" s="1469"/>
      <c r="AI400" s="1469"/>
      <c r="AJ400" s="1476"/>
      <c r="AK400" s="1471"/>
      <c r="AL400" s="1473"/>
      <c r="AM400" s="1443"/>
      <c r="AN400" s="1444"/>
      <c r="AO400" s="1449"/>
      <c r="AP400" s="1449"/>
      <c r="AQ400" s="1450"/>
      <c r="AR400" s="1453"/>
      <c r="AS400" s="1456"/>
      <c r="AT400" s="1459"/>
      <c r="AU400" s="517"/>
      <c r="AV400" s="1480"/>
      <c r="AW400" s="1480"/>
      <c r="BC400" s="38"/>
      <c r="BD400" s="38"/>
      <c r="BE400" s="38"/>
      <c r="BF400" s="38"/>
      <c r="BG400" s="38"/>
      <c r="BH400" s="38"/>
      <c r="BI400" s="38"/>
      <c r="BJ400" s="38"/>
      <c r="BK400" s="38"/>
      <c r="BL400" s="38"/>
      <c r="BM400" s="38"/>
      <c r="BN400" s="38"/>
      <c r="BO400" s="38"/>
      <c r="BP400" s="38"/>
      <c r="BQ400" s="38"/>
      <c r="BR400" s="38"/>
      <c r="BS400" s="38"/>
      <c r="BT400" s="38"/>
      <c r="BU400" s="38"/>
      <c r="BV400" s="38"/>
      <c r="BW400" s="38"/>
      <c r="BX400" s="38"/>
      <c r="BY400" s="38"/>
      <c r="BZ400" s="38"/>
      <c r="CA400" s="38"/>
      <c r="CB400" s="38"/>
      <c r="CC400" s="38"/>
      <c r="CD400" s="38"/>
      <c r="CE400" s="38"/>
      <c r="CF400" s="38"/>
      <c r="CG400" s="38"/>
      <c r="CH400" s="38"/>
      <c r="CI400" s="38"/>
      <c r="CM400" s="1352"/>
      <c r="CN400" s="1352"/>
      <c r="CO400" s="1416"/>
      <c r="CP400" s="1418"/>
      <c r="CR400" s="1386"/>
      <c r="CS400" s="1355"/>
      <c r="CT400" s="1355"/>
      <c r="CU400" s="1375"/>
      <c r="CV400" s="1372"/>
      <c r="CW400" s="1372"/>
      <c r="CX400" s="1372"/>
      <c r="CY400" s="1487"/>
      <c r="CZ400" s="1487"/>
      <c r="DA400" s="1487"/>
      <c r="DC400" s="1355"/>
      <c r="DD400" s="1355"/>
      <c r="DE400" s="1375"/>
      <c r="DF400" s="1407"/>
      <c r="DG400" s="1372"/>
      <c r="DH400" s="1369"/>
      <c r="DK400" s="1484"/>
      <c r="DL400" s="1420"/>
      <c r="DN400" s="1403"/>
      <c r="DO400" s="1405"/>
      <c r="DP400" s="1355"/>
      <c r="DQ400" s="1405"/>
      <c r="DR400" s="1403"/>
      <c r="DS400" s="1489"/>
      <c r="DU400" s="1403"/>
      <c r="DV400" s="1405"/>
      <c r="DW400" s="1403"/>
      <c r="DX400" s="1403"/>
      <c r="DZ400" s="1481"/>
      <c r="EA400" s="1481"/>
      <c r="EC400" s="1482"/>
      <c r="ED400" s="1369"/>
      <c r="EE400" s="1372"/>
      <c r="EF400" s="1369"/>
      <c r="EG400" s="1369"/>
      <c r="EH400" s="1375"/>
      <c r="EI400" s="1375"/>
      <c r="EJ400" s="1363"/>
      <c r="EK400" s="1376"/>
      <c r="EL400" s="1376"/>
      <c r="EM400" s="1362"/>
      <c r="EN400" s="1362"/>
      <c r="EO400" s="1363"/>
      <c r="EP400" s="1363"/>
      <c r="EQ400" s="1363"/>
      <c r="ES400" s="1403"/>
      <c r="EU400" s="1488"/>
      <c r="EV400" s="1488"/>
      <c r="EW400" s="1488"/>
      <c r="EX400" s="1488"/>
      <c r="EY400" s="1488"/>
      <c r="EZ400" s="1414"/>
      <c r="FB400" s="1365"/>
      <c r="FD400" s="1355"/>
      <c r="FE400" s="1355"/>
      <c r="FF400" s="138"/>
      <c r="FI400" s="1357"/>
      <c r="FJ400" s="1357"/>
      <c r="FK400" s="1365"/>
      <c r="FL400" s="1365"/>
      <c r="FM400" s="1365"/>
      <c r="FO400" s="1361"/>
      <c r="FP400" s="1361"/>
      <c r="FQ400" s="1366"/>
      <c r="FR400" s="1361"/>
      <c r="FS400" s="1361"/>
      <c r="FT400" s="1361"/>
      <c r="FU400" s="1360"/>
      <c r="FW400" s="1352"/>
      <c r="FX400" s="1352"/>
      <c r="FY400" s="1352"/>
      <c r="FZ400" s="1352"/>
      <c r="GA400" s="1352"/>
      <c r="GB400" s="1352"/>
      <c r="GC400" s="1352"/>
      <c r="GD400" s="1352"/>
      <c r="GE400" s="759"/>
      <c r="GF400" s="1035"/>
      <c r="GG400" s="1385"/>
      <c r="GJ400" s="1034">
        <f>IF(GJ398=TRUE,0,GJ$16)</f>
        <v>0</v>
      </c>
      <c r="GL400" s="1034">
        <f>IF(GL398=TRUE,0,GL$16)</f>
        <v>36</v>
      </c>
      <c r="GM400" s="1034">
        <f>IF(GM398=TRUE,0,GM$16)</f>
        <v>35</v>
      </c>
      <c r="GN400" s="436"/>
      <c r="GO400" s="436"/>
      <c r="GP400" s="436"/>
      <c r="GQ400" s="436"/>
      <c r="GR400" s="436"/>
      <c r="HC400" s="1034">
        <f t="shared" ref="HC400:HH400" si="290">IF(HC398=TRUE,0,HC$16)</f>
        <v>19</v>
      </c>
      <c r="HD400" s="1034">
        <f t="shared" si="290"/>
        <v>18</v>
      </c>
      <c r="HE400" s="1034">
        <f t="shared" si="290"/>
        <v>17</v>
      </c>
      <c r="HF400" s="1034">
        <f t="shared" si="290"/>
        <v>16</v>
      </c>
      <c r="HG400" s="1034">
        <f t="shared" si="290"/>
        <v>0</v>
      </c>
      <c r="HH400" s="1034">
        <f t="shared" si="290"/>
        <v>0</v>
      </c>
      <c r="HI400" s="1034">
        <f>IF(HI398=TRUE,0,HI$16)</f>
        <v>13</v>
      </c>
      <c r="HJ400" s="1034">
        <f t="shared" ref="HJ400:HL400" si="291">IF(HJ398=TRUE,0,HJ$16)</f>
        <v>12</v>
      </c>
      <c r="HK400" s="1034">
        <f t="shared" si="291"/>
        <v>11</v>
      </c>
      <c r="HL400" s="1034">
        <f t="shared" si="291"/>
        <v>10</v>
      </c>
      <c r="HM400" s="1034">
        <f>IF(HM398=TRUE,0,HM$16)</f>
        <v>9</v>
      </c>
      <c r="HN400" s="1034">
        <f t="shared" ref="HN400:HR400" si="292">IF(HN398=TRUE,0,HN$16)</f>
        <v>0</v>
      </c>
      <c r="HO400" s="1034">
        <f t="shared" si="292"/>
        <v>0</v>
      </c>
      <c r="HP400" s="1034">
        <f t="shared" si="292"/>
        <v>0</v>
      </c>
      <c r="HQ400" s="1034">
        <f t="shared" si="292"/>
        <v>0</v>
      </c>
      <c r="HR400" s="1034">
        <f t="shared" si="292"/>
        <v>0</v>
      </c>
      <c r="HS400" s="1034">
        <f>IF(HS398=TRUE,0,HS$16)</f>
        <v>0</v>
      </c>
      <c r="HT400" s="1034">
        <f t="shared" ref="HT400" si="293">IF(HT398=TRUE,0,HT$16)</f>
        <v>0</v>
      </c>
      <c r="HU400" s="1034">
        <f>IF(HU398=TRUE,0,HU$16)</f>
        <v>1</v>
      </c>
      <c r="HW400" s="1034">
        <f>IF(GL398=FALSE,GL400,IF(GM398=FALSE,GM400,MAX(GJ400:HU400)))</f>
        <v>36</v>
      </c>
      <c r="HX400" s="1383"/>
      <c r="HY400" s="241" t="str">
        <f>VLOOKUP(HW400,_Error_Table,3,FALSE)</f>
        <v xml:space="preserve"> </v>
      </c>
      <c r="HZ400" s="241"/>
      <c r="IA400" s="1386"/>
      <c r="IB400" s="1380"/>
      <c r="IC400" s="1379"/>
      <c r="IF400" s="1380"/>
      <c r="IG400" s="1383"/>
      <c r="IH400" s="1383"/>
      <c r="II400" s="1383"/>
      <c r="IK400" s="1351"/>
      <c r="IL400" s="1351"/>
      <c r="IM400" s="1351"/>
      <c r="IN400" s="1351"/>
      <c r="IO400" s="1351"/>
      <c r="IP400" s="1351"/>
    </row>
    <row r="401" spans="1:250" s="82" customFormat="1">
      <c r="B401" s="763"/>
      <c r="C401" s="437"/>
      <c r="D401" s="437"/>
      <c r="E401" s="1490"/>
      <c r="F401" s="1490"/>
      <c r="G401" s="1490"/>
      <c r="H401" s="1490"/>
      <c r="I401" s="1490"/>
      <c r="J401" s="1490"/>
      <c r="K401" s="1490"/>
      <c r="L401" s="1490"/>
      <c r="M401" s="1490"/>
      <c r="N401" s="1490"/>
      <c r="O401" s="1490"/>
      <c r="P401" s="1490"/>
      <c r="Q401" s="1490"/>
      <c r="R401" s="1490"/>
      <c r="S401" s="1490"/>
      <c r="T401" s="1490"/>
      <c r="U401" s="1490"/>
      <c r="V401" s="1490"/>
      <c r="W401" s="1490"/>
      <c r="X401" s="1490"/>
      <c r="Y401" s="1490"/>
      <c r="Z401" s="1490"/>
      <c r="AA401" s="1490"/>
      <c r="AB401" s="1490"/>
      <c r="AC401" s="1490"/>
      <c r="AD401" s="1490"/>
      <c r="AE401" s="1490"/>
      <c r="AF401" s="1490"/>
      <c r="AG401" s="1490"/>
      <c r="AH401" s="1490"/>
      <c r="AI401" s="1490"/>
      <c r="AJ401" s="1490"/>
      <c r="AK401" s="1490"/>
      <c r="AL401" s="1490"/>
      <c r="AM401" s="1490"/>
      <c r="AN401" s="1490"/>
      <c r="AO401" s="1490"/>
      <c r="AP401" s="1490"/>
      <c r="AQ401" s="1490"/>
      <c r="AR401" s="1490"/>
      <c r="AS401" s="1490"/>
      <c r="AT401" s="1490"/>
      <c r="AU401" s="518"/>
      <c r="BC401" s="38"/>
      <c r="BD401" s="38"/>
      <c r="BE401" s="38"/>
      <c r="BF401" s="38"/>
      <c r="BG401" s="38"/>
      <c r="BH401" s="38"/>
      <c r="BI401" s="38"/>
      <c r="BJ401" s="38"/>
      <c r="BK401" s="38"/>
      <c r="BL401" s="38"/>
      <c r="BM401" s="38"/>
      <c r="BN401" s="38"/>
      <c r="BO401" s="38"/>
      <c r="BP401" s="38"/>
      <c r="BQ401" s="38"/>
      <c r="BR401" s="38"/>
      <c r="BS401" s="38"/>
      <c r="BT401" s="38"/>
      <c r="BU401" s="38"/>
      <c r="BV401" s="38"/>
      <c r="BW401" s="38"/>
      <c r="BX401" s="38"/>
      <c r="BY401" s="38"/>
      <c r="BZ401" s="38"/>
      <c r="CA401" s="38"/>
      <c r="CB401" s="38"/>
      <c r="CC401" s="38"/>
      <c r="CD401" s="38"/>
      <c r="CE401" s="38"/>
      <c r="CF401" s="38"/>
      <c r="CG401" s="38"/>
      <c r="CH401" s="38"/>
      <c r="CI401" s="38"/>
      <c r="CM401" s="749"/>
      <c r="CN401" s="749"/>
      <c r="CO401" s="485"/>
      <c r="CP401" s="749"/>
      <c r="CS401" s="436"/>
      <c r="CT401" s="436"/>
      <c r="CU401" s="243"/>
      <c r="CV401" s="244"/>
      <c r="CW401" s="244"/>
      <c r="CX401" s="244"/>
      <c r="CY401" s="245"/>
      <c r="CZ401" s="245"/>
      <c r="DA401" s="245"/>
      <c r="DC401" s="750"/>
      <c r="DD401" s="751"/>
      <c r="DE401" s="752"/>
      <c r="DF401" s="753"/>
      <c r="DG401" s="754"/>
      <c r="DH401" s="754"/>
      <c r="DK401" s="244"/>
      <c r="DL401" s="750"/>
      <c r="DN401" s="750"/>
      <c r="DO401" s="755"/>
      <c r="DP401" s="436"/>
      <c r="DQ401" s="750"/>
      <c r="DR401" s="750"/>
      <c r="DS401" s="750"/>
      <c r="DU401" s="750"/>
      <c r="DV401" s="750"/>
      <c r="DW401" s="750"/>
      <c r="DX401" s="750"/>
      <c r="DZ401" s="756"/>
      <c r="EA401" s="756"/>
      <c r="EC401" s="754"/>
      <c r="ED401" s="754"/>
      <c r="EE401" s="244"/>
      <c r="EF401" s="754"/>
      <c r="EG401" s="754"/>
      <c r="EH401" s="243"/>
      <c r="EI401" s="243"/>
      <c r="EJ401" s="752"/>
      <c r="EK401" s="757"/>
      <c r="EL401" s="757"/>
      <c r="EM401" s="758"/>
      <c r="EN401" s="758"/>
      <c r="EO401" s="752"/>
      <c r="EP401" s="752"/>
      <c r="EQ401" s="752"/>
      <c r="ES401" s="750"/>
      <c r="EU401" s="436"/>
      <c r="EV401" s="436"/>
      <c r="EW401" s="436"/>
      <c r="EX401" s="436"/>
      <c r="EY401" s="436"/>
      <c r="EZ401" s="436"/>
      <c r="FB401" s="643"/>
      <c r="FD401" s="436"/>
      <c r="FE401" s="436"/>
      <c r="FF401" s="436"/>
      <c r="FO401" s="750"/>
      <c r="FP401" s="436"/>
      <c r="FQ401" s="436"/>
      <c r="FR401" s="750"/>
      <c r="FS401" s="750"/>
      <c r="FW401" s="749"/>
      <c r="FX401" s="749"/>
      <c r="FY401" s="749"/>
      <c r="FZ401" s="749"/>
      <c r="GA401" s="749"/>
      <c r="GB401" s="749"/>
      <c r="GC401" s="749"/>
      <c r="GD401" s="749"/>
      <c r="GE401" s="751"/>
      <c r="GF401" s="750"/>
      <c r="GG401" s="750"/>
    </row>
    <row r="402" spans="1:250">
      <c r="DU402" s="755"/>
      <c r="DV402" s="755"/>
      <c r="DW402" s="755"/>
      <c r="DX402" s="755"/>
      <c r="DY402" s="755"/>
      <c r="DZ402" s="755"/>
      <c r="EA402" s="755"/>
      <c r="EB402" s="755"/>
      <c r="EC402" s="764" t="s">
        <v>283</v>
      </c>
      <c r="ED402" s="764" t="s">
        <v>284</v>
      </c>
      <c r="EE402" s="764" t="s">
        <v>186</v>
      </c>
      <c r="EF402" s="764" t="s">
        <v>286</v>
      </c>
      <c r="EG402" s="764" t="s">
        <v>287</v>
      </c>
      <c r="EH402" s="764"/>
      <c r="EI402" s="764"/>
      <c r="EJ402" s="764" t="s">
        <v>288</v>
      </c>
      <c r="EK402" s="764" t="s">
        <v>186</v>
      </c>
      <c r="EL402" s="764" t="s">
        <v>286</v>
      </c>
      <c r="EM402" s="764" t="s">
        <v>186</v>
      </c>
      <c r="EN402" s="764" t="s">
        <v>286</v>
      </c>
      <c r="EO402" s="764" t="s">
        <v>186</v>
      </c>
      <c r="EP402" s="764" t="s">
        <v>286</v>
      </c>
      <c r="EQ402" s="764"/>
      <c r="ES402" s="38">
        <f>ROW()</f>
        <v>402</v>
      </c>
    </row>
    <row r="403" spans="1:250" s="82" customFormat="1" ht="20.25" customHeight="1">
      <c r="B403" s="247"/>
      <c r="C403" s="437"/>
      <c r="D403" s="437"/>
      <c r="E403" s="247"/>
      <c r="F403" s="247"/>
      <c r="G403" s="247"/>
      <c r="H403" s="247"/>
      <c r="I403" s="485"/>
      <c r="J403" s="485"/>
      <c r="K403" s="485"/>
      <c r="L403" s="485"/>
      <c r="M403" s="485"/>
      <c r="N403" s="485"/>
      <c r="O403" s="485"/>
      <c r="P403" s="485"/>
      <c r="Q403" s="485"/>
      <c r="R403" s="436"/>
      <c r="S403" s="242"/>
      <c r="T403" s="436"/>
      <c r="U403" s="241"/>
      <c r="V403" s="241"/>
      <c r="W403" s="241"/>
      <c r="X403" s="241"/>
      <c r="Y403" s="241"/>
      <c r="Z403" s="241"/>
      <c r="AA403" s="243"/>
      <c r="AB403" s="436"/>
      <c r="AC403" s="244"/>
      <c r="AD403" s="245"/>
      <c r="AE403" s="436"/>
      <c r="AF403" s="241"/>
      <c r="AG403" s="241"/>
      <c r="AH403" s="241"/>
      <c r="AI403" s="243"/>
      <c r="AJ403" s="246"/>
      <c r="AK403" s="244"/>
      <c r="AL403" s="244"/>
      <c r="AM403" s="1540" t="s">
        <v>332</v>
      </c>
      <c r="AN403" s="1541"/>
      <c r="AO403" s="1529" t="s">
        <v>350</v>
      </c>
      <c r="AP403" s="1529"/>
      <c r="AQ403" s="1529" t="s">
        <v>205</v>
      </c>
      <c r="AR403" s="1529"/>
      <c r="AS403" s="1529"/>
      <c r="AT403" s="1529"/>
      <c r="AU403" s="485"/>
      <c r="BC403" s="38"/>
      <c r="BD403" s="38"/>
      <c r="BE403" s="38"/>
      <c r="BF403" s="38"/>
      <c r="BG403" s="38"/>
      <c r="BH403" s="38"/>
      <c r="BI403" s="38"/>
      <c r="BJ403" s="38"/>
      <c r="BK403" s="38"/>
      <c r="BL403" s="38"/>
      <c r="BM403" s="38"/>
      <c r="BN403" s="38"/>
      <c r="BO403" s="38"/>
      <c r="BP403" s="38"/>
      <c r="BQ403" s="38"/>
      <c r="BR403" s="38"/>
      <c r="BS403" s="38"/>
      <c r="BT403" s="38"/>
      <c r="BU403" s="38"/>
      <c r="BV403" s="38"/>
      <c r="BW403" s="38"/>
      <c r="BX403" s="38"/>
      <c r="BY403" s="38"/>
      <c r="BZ403" s="38"/>
      <c r="CA403" s="38"/>
      <c r="CB403" s="38"/>
      <c r="CC403" s="38"/>
      <c r="CD403" s="38"/>
      <c r="CE403" s="38"/>
      <c r="CF403" s="38"/>
      <c r="CG403" s="38"/>
      <c r="CH403" s="38"/>
      <c r="CI403" s="38"/>
      <c r="CM403" s="105" t="s">
        <v>290</v>
      </c>
      <c r="CN403" s="105" t="s">
        <v>291</v>
      </c>
      <c r="CO403" s="105"/>
      <c r="CP403" s="105" t="s">
        <v>292</v>
      </c>
      <c r="CQ403" s="38"/>
      <c r="CR403" s="38"/>
      <c r="CS403" s="37" t="s">
        <v>280</v>
      </c>
      <c r="CT403" s="38"/>
      <c r="CU403" s="105" t="s">
        <v>281</v>
      </c>
      <c r="CV403" s="38"/>
      <c r="CW403" s="38"/>
      <c r="CX403" s="105" t="s">
        <v>282</v>
      </c>
      <c r="CY403" s="105" t="s">
        <v>283</v>
      </c>
      <c r="CZ403" s="105" t="s">
        <v>284</v>
      </c>
      <c r="DA403" s="105" t="s">
        <v>285</v>
      </c>
      <c r="DB403" s="436"/>
      <c r="DC403" s="37" t="s">
        <v>293</v>
      </c>
      <c r="DD403" s="38"/>
      <c r="DE403" s="105" t="s">
        <v>281</v>
      </c>
      <c r="DF403" s="37"/>
      <c r="DG403" s="105" t="s">
        <v>282</v>
      </c>
      <c r="DH403" s="105" t="s">
        <v>282</v>
      </c>
      <c r="DI403" s="38"/>
      <c r="DJ403" s="105" t="s">
        <v>348</v>
      </c>
      <c r="DK403" s="105" t="s">
        <v>348</v>
      </c>
      <c r="DL403" s="105" t="s">
        <v>233</v>
      </c>
      <c r="DM403" s="38"/>
      <c r="DN403" s="1358" t="s">
        <v>186</v>
      </c>
      <c r="DO403" s="1358"/>
      <c r="DP403" s="105" t="s">
        <v>286</v>
      </c>
      <c r="DQ403" s="105"/>
      <c r="DR403" s="105" t="s">
        <v>294</v>
      </c>
      <c r="DS403" s="105" t="s">
        <v>294</v>
      </c>
      <c r="DT403" s="38"/>
      <c r="DU403" s="1358" t="s">
        <v>286</v>
      </c>
      <c r="DV403" s="1358"/>
      <c r="DW403" s="105" t="s">
        <v>294</v>
      </c>
      <c r="DX403" s="105" t="s">
        <v>295</v>
      </c>
      <c r="DY403" s="38"/>
      <c r="DZ403" s="105" t="s">
        <v>296</v>
      </c>
      <c r="EA403" s="105" t="s">
        <v>297</v>
      </c>
      <c r="EB403" s="436"/>
      <c r="EC403" s="689" t="s">
        <v>186</v>
      </c>
      <c r="ED403" s="689" t="s">
        <v>186</v>
      </c>
      <c r="EE403" s="689" t="s">
        <v>298</v>
      </c>
      <c r="EF403" s="689" t="s">
        <v>298</v>
      </c>
      <c r="EG403" s="689" t="s">
        <v>298</v>
      </c>
      <c r="EH403" s="689" t="s">
        <v>186</v>
      </c>
      <c r="EI403" s="689" t="s">
        <v>286</v>
      </c>
      <c r="EJ403" s="689" t="s">
        <v>286</v>
      </c>
      <c r="EK403" s="689" t="s">
        <v>299</v>
      </c>
      <c r="EL403" s="689" t="s">
        <v>299</v>
      </c>
      <c r="EM403" s="689" t="s">
        <v>299</v>
      </c>
      <c r="EN403" s="689" t="s">
        <v>299</v>
      </c>
      <c r="EO403" s="689" t="s">
        <v>299</v>
      </c>
      <c r="EP403" s="689" t="s">
        <v>299</v>
      </c>
      <c r="EQ403" s="689" t="s">
        <v>299</v>
      </c>
      <c r="ER403" s="436"/>
      <c r="ES403" s="436"/>
      <c r="EU403" s="436"/>
      <c r="EV403" s="436"/>
      <c r="EW403" s="436"/>
      <c r="EX403" s="436"/>
      <c r="EY403" s="436"/>
      <c r="EZ403" s="436"/>
      <c r="FD403" s="436"/>
      <c r="FE403" s="436"/>
      <c r="FF403" s="436"/>
      <c r="FI403" s="105" t="s">
        <v>300</v>
      </c>
      <c r="FJ403" s="105" t="s">
        <v>301</v>
      </c>
      <c r="FK403" s="105" t="s">
        <v>302</v>
      </c>
      <c r="FL403" s="105" t="s">
        <v>303</v>
      </c>
      <c r="FM403" s="38"/>
      <c r="FN403" s="38" t="s">
        <v>304</v>
      </c>
      <c r="FO403" s="105">
        <v>3200</v>
      </c>
      <c r="FP403" s="105" t="s">
        <v>305</v>
      </c>
      <c r="FQ403" s="105" t="s">
        <v>306</v>
      </c>
      <c r="FR403" s="105" t="s">
        <v>307</v>
      </c>
      <c r="FS403" s="105" t="s">
        <v>306</v>
      </c>
      <c r="FT403" s="38"/>
      <c r="FU403" s="38"/>
    </row>
    <row r="404" spans="1:250" s="82" customFormat="1" ht="20.25" customHeight="1" thickBot="1">
      <c r="B404" s="247"/>
      <c r="C404" s="660">
        <f>1+C326</f>
        <v>6</v>
      </c>
      <c r="D404" s="437"/>
      <c r="E404" s="241" t="str">
        <f>CONCATENATE(AF$20," - page ",C404)</f>
        <v xml:space="preserve"> - page 6</v>
      </c>
      <c r="F404" s="247"/>
      <c r="G404" s="247"/>
      <c r="H404" s="247"/>
      <c r="I404" s="485"/>
      <c r="J404" s="485"/>
      <c r="K404" s="485"/>
      <c r="L404" s="485"/>
      <c r="M404" s="485"/>
      <c r="N404" s="485"/>
      <c r="O404" s="485"/>
      <c r="P404" s="485"/>
      <c r="Q404" s="485"/>
      <c r="R404" s="436"/>
      <c r="S404" s="242"/>
      <c r="T404" s="436"/>
      <c r="U404" s="241"/>
      <c r="V404" s="241"/>
      <c r="W404" s="241"/>
      <c r="X404" s="241"/>
      <c r="Y404" s="241"/>
      <c r="Z404" s="241"/>
      <c r="AA404" s="243"/>
      <c r="AB404" s="677" t="s">
        <v>132</v>
      </c>
      <c r="AC404" s="677" t="s">
        <v>282</v>
      </c>
      <c r="AD404" s="677" t="s">
        <v>312</v>
      </c>
      <c r="AE404" s="436"/>
      <c r="AF404" s="241"/>
      <c r="AG404" s="241"/>
      <c r="AH404" s="241"/>
      <c r="AI404" s="243"/>
      <c r="AJ404" s="678" t="s">
        <v>233</v>
      </c>
      <c r="AK404" s="678" t="s">
        <v>332</v>
      </c>
      <c r="AL404" s="679" t="s">
        <v>349</v>
      </c>
      <c r="AM404" s="1565">
        <f>AX$4</f>
        <v>0</v>
      </c>
      <c r="AN404" s="1566"/>
      <c r="AO404" s="1567">
        <f>AX$6</f>
        <v>0</v>
      </c>
      <c r="AP404" s="1568"/>
      <c r="AQ404" s="1569"/>
      <c r="AR404" s="1561">
        <f>AX$2</f>
        <v>0</v>
      </c>
      <c r="AS404" s="1561"/>
      <c r="AT404" s="1379"/>
      <c r="AU404" s="436"/>
      <c r="BC404" s="38"/>
      <c r="BD404" s="38"/>
      <c r="BE404" s="38"/>
      <c r="BF404" s="38"/>
      <c r="BG404" s="38"/>
      <c r="BH404" s="38"/>
      <c r="BI404" s="38"/>
      <c r="BJ404" s="38"/>
      <c r="BK404" s="38"/>
      <c r="BL404" s="38"/>
      <c r="BM404" s="38"/>
      <c r="BN404" s="38"/>
      <c r="BO404" s="38"/>
      <c r="BP404" s="38"/>
      <c r="BQ404" s="38"/>
      <c r="BR404" s="38"/>
      <c r="BS404" s="38"/>
      <c r="BT404" s="38"/>
      <c r="BU404" s="38"/>
      <c r="BV404" s="38"/>
      <c r="BW404" s="38"/>
      <c r="BX404" s="38"/>
      <c r="BY404" s="38"/>
      <c r="BZ404" s="38"/>
      <c r="CA404" s="38"/>
      <c r="CB404" s="38"/>
      <c r="CC404" s="38"/>
      <c r="CD404" s="38"/>
      <c r="CE404" s="38"/>
      <c r="CF404" s="38"/>
      <c r="CG404" s="38"/>
      <c r="CH404" s="38"/>
      <c r="CI404" s="38"/>
      <c r="CM404" s="105" t="s">
        <v>310</v>
      </c>
      <c r="CN404" s="105" t="s">
        <v>277</v>
      </c>
      <c r="CO404" s="105"/>
      <c r="CP404" s="105" t="s">
        <v>172</v>
      </c>
      <c r="CQ404" s="38"/>
      <c r="CR404" s="38"/>
      <c r="CS404" s="105" t="s">
        <v>190</v>
      </c>
      <c r="CT404" s="105" t="s">
        <v>186</v>
      </c>
      <c r="CU404" s="105" t="s">
        <v>311</v>
      </c>
      <c r="CV404" s="105" t="s">
        <v>132</v>
      </c>
      <c r="CW404" s="105" t="s">
        <v>282</v>
      </c>
      <c r="CX404" s="105" t="s">
        <v>285</v>
      </c>
      <c r="CY404" s="105" t="s">
        <v>312</v>
      </c>
      <c r="CZ404" s="105" t="s">
        <v>312</v>
      </c>
      <c r="DA404" s="105" t="s">
        <v>312</v>
      </c>
      <c r="DB404" s="436"/>
      <c r="DC404" s="105" t="s">
        <v>190</v>
      </c>
      <c r="DD404" s="37" t="s">
        <v>286</v>
      </c>
      <c r="DE404" s="105" t="s">
        <v>311</v>
      </c>
      <c r="DF404" s="105" t="s">
        <v>313</v>
      </c>
      <c r="DG404" s="105" t="s">
        <v>285</v>
      </c>
      <c r="DH404" s="105" t="s">
        <v>285</v>
      </c>
      <c r="DI404" s="38"/>
      <c r="DJ404" s="105" t="s">
        <v>349</v>
      </c>
      <c r="DK404" s="105" t="s">
        <v>284</v>
      </c>
      <c r="DL404" s="38"/>
      <c r="DM404" s="38"/>
      <c r="DN404" s="1359" t="s">
        <v>172</v>
      </c>
      <c r="DO404" s="1359"/>
      <c r="DP404" s="105" t="s">
        <v>172</v>
      </c>
      <c r="DQ404" s="105"/>
      <c r="DR404" s="105" t="s">
        <v>186</v>
      </c>
      <c r="DS404" s="105" t="s">
        <v>314</v>
      </c>
      <c r="DT404" s="38"/>
      <c r="DU404" s="1359" t="s">
        <v>315</v>
      </c>
      <c r="DV404" s="1359"/>
      <c r="DW404" s="105" t="s">
        <v>316</v>
      </c>
      <c r="DX404" s="105" t="s">
        <v>314</v>
      </c>
      <c r="DY404" s="38"/>
      <c r="DZ404" s="105" t="s">
        <v>205</v>
      </c>
      <c r="EA404" s="105" t="s">
        <v>205</v>
      </c>
      <c r="EB404" s="436"/>
      <c r="EC404" s="689" t="s">
        <v>282</v>
      </c>
      <c r="ED404" s="689" t="s">
        <v>282</v>
      </c>
      <c r="EE404" s="689" t="s">
        <v>282</v>
      </c>
      <c r="EF404" s="689" t="s">
        <v>282</v>
      </c>
      <c r="EG404" s="689" t="s">
        <v>282</v>
      </c>
      <c r="EH404" s="689" t="s">
        <v>281</v>
      </c>
      <c r="EI404" s="689" t="s">
        <v>281</v>
      </c>
      <c r="EJ404" s="689" t="s">
        <v>281</v>
      </c>
      <c r="EK404" s="689" t="s">
        <v>317</v>
      </c>
      <c r="EL404" s="689" t="s">
        <v>317</v>
      </c>
      <c r="EM404" s="689" t="s">
        <v>318</v>
      </c>
      <c r="EN404" s="689" t="s">
        <v>318</v>
      </c>
      <c r="EO404" s="689" t="s">
        <v>281</v>
      </c>
      <c r="EP404" s="689" t="s">
        <v>281</v>
      </c>
      <c r="EQ404" s="689" t="s">
        <v>281</v>
      </c>
      <c r="ER404" s="436"/>
      <c r="ES404" s="436">
        <f>SUM(ES405:ES478)</f>
        <v>0</v>
      </c>
      <c r="EU404" s="436"/>
      <c r="EV404" s="436"/>
      <c r="EW404" s="436"/>
      <c r="EX404" s="436"/>
      <c r="EY404" s="89" t="s">
        <v>314</v>
      </c>
      <c r="EZ404" s="89" t="s">
        <v>170</v>
      </c>
      <c r="FD404" s="436"/>
      <c r="FE404" s="436"/>
      <c r="FF404" s="436"/>
      <c r="FI404" s="38"/>
      <c r="FJ404" s="105" t="s">
        <v>273</v>
      </c>
      <c r="FK404" s="38"/>
      <c r="FL404" s="38"/>
      <c r="FM404" s="38"/>
      <c r="FN404" s="38" t="s">
        <v>233</v>
      </c>
      <c r="FO404" s="105" t="s">
        <v>305</v>
      </c>
      <c r="FP404" s="105" t="s">
        <v>320</v>
      </c>
      <c r="FQ404" s="105" t="s">
        <v>305</v>
      </c>
      <c r="FR404" s="105" t="s">
        <v>286</v>
      </c>
      <c r="FS404" s="37" t="s">
        <v>321</v>
      </c>
      <c r="FT404" s="38"/>
      <c r="FU404" s="105" t="s">
        <v>322</v>
      </c>
    </row>
    <row r="405" spans="1:250" s="82" customFormat="1" ht="14.95" customHeight="1" thickTop="1" thickBot="1">
      <c r="B405" s="1421" t="str">
        <f>HY408</f>
        <v xml:space="preserve"> </v>
      </c>
      <c r="C405" s="1422">
        <f>C397+1</f>
        <v>71</v>
      </c>
      <c r="D405" s="1423"/>
      <c r="E405" s="1424" t="s">
        <v>242</v>
      </c>
      <c r="F405" s="1425"/>
      <c r="G405" s="1426"/>
      <c r="H405" s="1427"/>
      <c r="I405" s="1427"/>
      <c r="J405" s="1427"/>
      <c r="K405" s="1427"/>
      <c r="L405" s="1427"/>
      <c r="M405" s="1427"/>
      <c r="N405" s="1427"/>
      <c r="O405" s="1427"/>
      <c r="P405" s="1427"/>
      <c r="Q405" s="1427"/>
      <c r="R405" s="1427"/>
      <c r="S405" s="1428" t="s">
        <v>283</v>
      </c>
      <c r="T405" s="668" t="s">
        <v>190</v>
      </c>
      <c r="U405" s="1430" t="s">
        <v>186</v>
      </c>
      <c r="V405" s="1431"/>
      <c r="W405" s="1431"/>
      <c r="X405" s="1431"/>
      <c r="Y405" s="1431"/>
      <c r="Z405" s="1431"/>
      <c r="AA405" s="1431"/>
      <c r="AB405" s="1088" t="str">
        <f>IFERROR(IF(__Retrofit_TI_NC=0,VLOOKUP(U406,Fixtures_Existing_List,2,FALSE),ROUND(N407*R407/T407,10)),"")</f>
        <v/>
      </c>
      <c r="AC405" s="1039" t="str">
        <f>IFERROR(IF(__Retrofit_TI_NC=0,ROUND(T406*AB405*N406*R406/1000,0),IF(CN405="Interior",N407*R407*R406*N406*_C406_reduction/1000,N407*R407*R406*N406/1000)),"")</f>
        <v/>
      </c>
      <c r="AD405" s="1040" t="str">
        <f>IFERROR(IF(C$36=0,ROUND(T406*AB405/1000,2),N407*R407/1000),"")</f>
        <v/>
      </c>
      <c r="AE405" s="1044" t="s">
        <v>190</v>
      </c>
      <c r="AF405" s="1432" t="str">
        <f>IF(__Retrofit_TI_NC=2,CONCATENATE("Code min = ",DD405),IF(__Retrofit_TI_NC=1,"Emter what you think the existing control was"," Control"))</f>
        <v xml:space="preserve"> Control</v>
      </c>
      <c r="AG405" s="1432"/>
      <c r="AH405" s="1432"/>
      <c r="AI405" s="1432"/>
      <c r="AJ405" s="1433">
        <f>DF405</f>
        <v>0</v>
      </c>
      <c r="AK405" s="1435" t="str">
        <f>IFERROR(ROUND(AJ405*AC405,0),"")</f>
        <v/>
      </c>
      <c r="AL405" s="1437">
        <f>IFERROR(IF(HW405=FALSE,0,AC405-AK405),0)</f>
        <v>0</v>
      </c>
      <c r="AM405" s="1439">
        <f>AL405-AL407</f>
        <v>0</v>
      </c>
      <c r="AN405" s="1440"/>
      <c r="AO405" s="1445">
        <f>IFERROR(IF(HW405=FALSE,0,(T407*U408)+(AE407*AF408)),0)</f>
        <v>0</v>
      </c>
      <c r="AP405" s="1445"/>
      <c r="AQ405" s="1446"/>
      <c r="AR405" s="1451" t="s">
        <v>157</v>
      </c>
      <c r="AS405" s="1454">
        <f>IF(AR405="Yes",1,0)</f>
        <v>1</v>
      </c>
      <c r="AT405" s="1457" t="str">
        <f>IF(OR(DN405=4,DN405=5,DN405=6,DN405=12),CONCATENATE("$",IF(GD405=TRUE,Lookup!$B$11,Lookup!$B$2)," /lamp"),CONCATENATE(EA405,"/ kWh"))</f>
        <v>0/ kWh</v>
      </c>
      <c r="AU405" s="516"/>
      <c r="AV405" s="1478">
        <f>IFERROR(IF(GI406=TRUE,(AB408*T407)/R407,0),"NA")</f>
        <v>0</v>
      </c>
      <c r="AW405" s="1478" t="str">
        <f>IFERROR(N407*_C406_reduction,"NA")</f>
        <v>NA</v>
      </c>
      <c r="BC405" s="38"/>
      <c r="BD405" s="38"/>
      <c r="BE405" s="38"/>
      <c r="BF405" s="38"/>
      <c r="BG405" s="38"/>
      <c r="BH405" s="38"/>
      <c r="BI405" s="38"/>
      <c r="BJ405" s="38"/>
      <c r="BK405" s="38"/>
      <c r="BL405" s="38"/>
      <c r="BM405" s="38"/>
      <c r="BN405" s="38"/>
      <c r="BO405" s="38"/>
      <c r="BP405" s="38"/>
      <c r="BQ405" s="38"/>
      <c r="BR405" s="38"/>
      <c r="BS405" s="38"/>
      <c r="BT405" s="38"/>
      <c r="BU405" s="38"/>
      <c r="BV405" s="38"/>
      <c r="BW405" s="38"/>
      <c r="BX405" s="38"/>
      <c r="BY405" s="38"/>
      <c r="BZ405" s="38"/>
      <c r="CA405" s="38"/>
      <c r="CB405" s="38"/>
      <c r="CC405" s="38"/>
      <c r="CD405" s="38"/>
      <c r="CE405" s="38"/>
      <c r="CF405" s="38"/>
      <c r="CG405" s="38"/>
      <c r="CH405" s="38"/>
      <c r="CI405" s="38"/>
      <c r="CM405" s="1352" t="str">
        <f>N406</f>
        <v/>
      </c>
      <c r="CN405" s="1352" t="str">
        <f>IFERROR(VLOOKUP(G406,_Lookup_Heat_Type_Table_New,3,FALSE),"")</f>
        <v/>
      </c>
      <c r="CO405" s="1415" t="str">
        <f>CN405</f>
        <v/>
      </c>
      <c r="CP405" s="1417" t="e">
        <f>VLOOKUP(G407,'Space Table'!$B$3:$L$160,9,FALSE)</f>
        <v>#N/A</v>
      </c>
      <c r="CR405" s="1386" t="s">
        <v>283</v>
      </c>
      <c r="CS405" s="1353">
        <f>IF(HW405=TRUE,T406,0)</f>
        <v>0</v>
      </c>
      <c r="CT405" s="1353" t="str">
        <f>IF(HW405=TRUE,U406,"")</f>
        <v/>
      </c>
      <c r="CU405" s="1353"/>
      <c r="CV405" s="1370">
        <f>IF(HW405=TRUE,AB405,0)</f>
        <v>0</v>
      </c>
      <c r="CW405" s="1370">
        <f>IF(HW405=TRUE,AC405,0)</f>
        <v>0</v>
      </c>
      <c r="CX405" s="1370">
        <f>IFERROR(IF(HW405=TRUE,CW405-CW407,0),0)</f>
        <v>0</v>
      </c>
      <c r="CY405" s="1485">
        <f>IF(HW405=TRUE,AD405,0)</f>
        <v>0</v>
      </c>
      <c r="CZ405" s="1485">
        <f>IF(HW405=TRUE,AD408,0)</f>
        <v>0</v>
      </c>
      <c r="DA405" s="1485">
        <f>IFERROR(CY405-CZ405,0)</f>
        <v>0</v>
      </c>
      <c r="DC405" s="1353">
        <f>IF(HW405=TRUE,AE406,0)</f>
        <v>0</v>
      </c>
      <c r="DD405" s="1460">
        <f>IF(__Retrofit_TI_NC=2,IF(CN405="Exterior",O408,FM405),FK405)</f>
        <v>0</v>
      </c>
      <c r="DE405" s="1353"/>
      <c r="DF405" s="1406">
        <f>IFERROR(IF(FL405=3,IK405,IF(FL405=4,IL405,IF(FL405=5,IM405,IF(FL405=6,IN405,IF(FL405=7,IO405,IF(FL405=8,IP405,0)))))),0)</f>
        <v>0</v>
      </c>
      <c r="DG405" s="1370">
        <f>IF(HW405=TRUE,AK405,0)</f>
        <v>0</v>
      </c>
      <c r="DH405" s="1369">
        <f>IFERROR(IF(HW405=TRUE,DG407-DG405,0),0)</f>
        <v>0</v>
      </c>
      <c r="DJ405" s="1483">
        <f>IFERROR(CW405-DG405,0)</f>
        <v>0</v>
      </c>
      <c r="DL405" s="1419">
        <f>DJ405-DK407</f>
        <v>0</v>
      </c>
      <c r="DN405" s="1403" t="str">
        <f>IFERROR(IF(AND(OR(FY405=4,FY405=5,FY405=6),OR(GB405=4,GB405=5,GB405=6)),FY405+8,VLOOKUP(CT407,Fixtures!R$31:Y$78,8,FALSE)),"")</f>
        <v/>
      </c>
      <c r="DO405" s="1404" t="str">
        <f>DN405</f>
        <v/>
      </c>
      <c r="DP405" s="1353" t="str">
        <f>IFERROR(VLOOKUP(DD407,Lookup!AU$3:AV$15,2,FALSE),"")</f>
        <v/>
      </c>
      <c r="DQ405" s="1404" t="str">
        <f>IF(DP405=7,"LLLC","")</f>
        <v/>
      </c>
      <c r="DR405" s="1403">
        <f>IFERROR(IF(OR(DN405=4,DN405=5,DN405=6,DN405=12,DN405=13,DN405=14),VLOOKUP(CT407,Fixtures!DN$27:EG$77,19,FALSE),1)*CS407,0)</f>
        <v>0</v>
      </c>
      <c r="DS405" s="1489">
        <f>IF(DP405=7,IF(DD405=DD407,0,DC407),0)</f>
        <v>0</v>
      </c>
      <c r="DU405" s="1403" t="str">
        <f>IFERROR(IF(EW405&lt;EW407,"Yes","No"),"")</f>
        <v/>
      </c>
      <c r="DV405" s="1404" t="str">
        <f>DU405</f>
        <v/>
      </c>
      <c r="DW405" s="1403">
        <f>IF(DU405="Yes",DC407,0)</f>
        <v>0</v>
      </c>
      <c r="DX405" s="1403">
        <f>DW405-DS405</f>
        <v>0</v>
      </c>
      <c r="DZ405" s="1481">
        <f>IFERROR(VLOOKUP(DN405,Lookup!AN$3:AO$16,2,FALSE),0)</f>
        <v>0</v>
      </c>
      <c r="EA405" s="1481">
        <f>IF(HW405=FALSE,0,IF(DU405="Yes",DZ405+Lookup!B$6,DZ405))</f>
        <v>0</v>
      </c>
      <c r="EC405" s="1482">
        <f>IF(HW405=TRUE,DJ405,0)</f>
        <v>0</v>
      </c>
      <c r="ED405" s="1369">
        <f>IF(HW405=TRUE,CW407,0)</f>
        <v>0</v>
      </c>
      <c r="EE405" s="1370">
        <f>IFERROR(EC405-ED405,0)</f>
        <v>0</v>
      </c>
      <c r="EF405" s="1369">
        <f>IF(HW405=TRUE,DG407,0)</f>
        <v>0</v>
      </c>
      <c r="EG405" s="1369">
        <f>IFERROR(EC405-ED405+EF405,0)</f>
        <v>0</v>
      </c>
      <c r="EH405" s="1373">
        <f>IF(HW405=TRUE,CS407*CU407,0)</f>
        <v>0</v>
      </c>
      <c r="EI405" s="1373">
        <f>IF(HW405=TRUE,DC407*DE407,0)</f>
        <v>0</v>
      </c>
      <c r="EJ405" s="1363">
        <f>AO405</f>
        <v>0</v>
      </c>
      <c r="EK405" s="1376" t="str">
        <f>IFERROR(IF(HW405=TRUE,VLOOKUP(DN405,Lookup!AN$3:AP$16,3,FALSE)*DR405,""),0)</f>
        <v/>
      </c>
      <c r="EL405" s="1376">
        <f>IF(HW405=TRUE,DW405*Lookup!AP$12,0)</f>
        <v>0</v>
      </c>
      <c r="EM405" s="1362">
        <f>IFERROR(IF(HW405=TRUE,EK405/EM$33,0),0)</f>
        <v>0</v>
      </c>
      <c r="EN405" s="1362">
        <f>IF(HW405=TRUE,EL405/EN$33,0)</f>
        <v>0</v>
      </c>
      <c r="EO405" s="1363">
        <f>IF(HW405=TRUE,EQ$33*EM405,0)</f>
        <v>0</v>
      </c>
      <c r="EP405" s="1363">
        <f>IF(HW405=TRUE,EQ$33*EN405,0)</f>
        <v>0</v>
      </c>
      <c r="EQ405" s="1363">
        <f>EO405+EP405</f>
        <v>0</v>
      </c>
      <c r="ES405" s="1403">
        <f>IF(G405="",0,1)</f>
        <v>0</v>
      </c>
      <c r="EU405" s="1410" t="e">
        <f>VLOOKUP(CP407,'Space Table'!$B$3:$L$160,8,FALSE)</f>
        <v>#N/A</v>
      </c>
      <c r="EV405" s="1410" t="e">
        <f>IF(EY405="Yes",VLOOKUP(DD405,Lookup_Control_Type_Table2,4,FALSE),VLOOKUP(DD405,Lookup_Control_Type_Table2,3,FALSE))</f>
        <v>#N/A</v>
      </c>
      <c r="EW405" s="1410" t="e">
        <f>VLOOKUP(DD405,Lookup!AU$3:AV$15,2,FALSE)</f>
        <v>#N/A</v>
      </c>
      <c r="EX405" s="1410" t="e">
        <f>VLOOKUP(EU405,Lookup_Control_Type_Table,2,FALSE)</f>
        <v>#N/A</v>
      </c>
      <c r="EY405" s="1410" t="e">
        <f>VLOOKUP(CP407,'Space Table'!$B$3:$L$160,7,FALSE)</f>
        <v>#N/A</v>
      </c>
      <c r="EZ405" s="1412" t="b">
        <f>ISNUMBER(SEARCH("TLED",U407))</f>
        <v>0</v>
      </c>
      <c r="FB405" s="1365" t="str">
        <f>CONCATENATE(CN405," - ",DD405)</f>
        <v xml:space="preserve"> - 0</v>
      </c>
      <c r="FD405" s="1353" t="str">
        <f>VLOOKUP(CT407,Fixtures!DN$27:EZ$77,38,FALSE)</f>
        <v/>
      </c>
      <c r="FE405" s="1353">
        <f>IFERROR(FD405*EE405,0)</f>
        <v>0</v>
      </c>
      <c r="FF405" s="138"/>
      <c r="FI405" s="1356" t="str">
        <f>IF(CN405="Exterior","Not Daylighted",G408)</f>
        <v>Not Daylighted</v>
      </c>
      <c r="FJ405" s="1356">
        <f>VLOOKUP(FI405,_Daylight_Table_Codes,2,FALSE)</f>
        <v>0</v>
      </c>
      <c r="FK405" s="1365">
        <f>IF(__Retrofit_TI_NC=2,VLOOKUP(G407,'Space Table'!$B$3:$L$160,11,FALSE),AF406)</f>
        <v>0</v>
      </c>
      <c r="FL405" s="1365" t="e">
        <f>VLOOKUP(FK405,_Control_Table,2,FALSE)</f>
        <v>#N/A</v>
      </c>
      <c r="FM405" s="1365" t="e">
        <f>IF(AND(FP405&gt;0,FK405="Occupancy Sensor"),"Daylight + Occupancy",IF(AND(FP405&gt;0,FL405&lt;4),"Interior Daylight Dimming",FK405))</f>
        <v>#N/A</v>
      </c>
      <c r="FO405" s="1364">
        <f>IF(CO405="Interior",VLOOKUP(CP405,Control_Savings_Interior,5,FALSE),0)</f>
        <v>0</v>
      </c>
      <c r="FP405" s="1361">
        <f>IF(CN405="Exterior",0,IF(FJ405=2,0.5,IF(OR(FJ405=1,FJ405=3),1,0)))</f>
        <v>0</v>
      </c>
      <c r="FQ405" s="1366"/>
      <c r="FR405" s="1367"/>
      <c r="FS405" s="1364"/>
      <c r="FT405" s="1367"/>
      <c r="FU405" s="1360"/>
      <c r="FW405" s="1352" t="str">
        <f>IFERROR(VLOOKUP(U406,_Exist_Fixture_Table,3,FALSE),"")</f>
        <v/>
      </c>
      <c r="FX405" s="1352" t="str">
        <f>VLOOKUP(CT405,_Exist_Fixture_Table,4,FALSE)</f>
        <v/>
      </c>
      <c r="FY405" s="1352">
        <f>IFERROR(VLOOKUP(FX405,Lookup!AM$6:AN$8,2,FALSE),0)</f>
        <v>0</v>
      </c>
      <c r="FZ405" s="1352" t="b">
        <f>IFERROR(IF(OR(GB405=4,GB405=5,GB405=6),TRUE,FALSE),"")</f>
        <v>0</v>
      </c>
      <c r="GA405" s="1352" t="str">
        <f>IFERROR(VLOOKUP(GB405,FY$6:FZ$10,2,FALSE),"")</f>
        <v/>
      </c>
      <c r="GB405" s="1352" t="str">
        <f>VLOOKUP(CT407,Fixtures!R$31:Y$78,8,FALSE)</f>
        <v/>
      </c>
      <c r="GC405" s="1352">
        <f>IF(AND(FW405=TRUE,FZ405=TRUE,OR(DN405=12,DN405=13,DN405=14)),FY405+8,0)</f>
        <v>0</v>
      </c>
      <c r="GD405" s="1352" t="b">
        <f>IF(OR(GC405=12,GC405=13,GC405=14),TRUE,FALSE)</f>
        <v>0</v>
      </c>
      <c r="GE405" s="759" t="b">
        <f>IF(ISNUMBER(SEARCH("TLED",U406)),TRUE,FALSE)</f>
        <v>0</v>
      </c>
      <c r="GF405" s="1035" t="str">
        <f>IFERROR(VLOOKUP(U406,Fixtures!BM$93:BR$142,6,FALSE),"")</f>
        <v/>
      </c>
      <c r="GG405" s="1385" t="b">
        <f>IF(OR(GE405=FALSE,GE407=FALSE),TRUE,IF(GF405-GF407&lt;5,FALSE,TRUE))</f>
        <v>1</v>
      </c>
      <c r="GK405" s="1034">
        <f>GL405</f>
        <v>0</v>
      </c>
      <c r="GL405" s="1034">
        <f>IF(G405="",0,1)</f>
        <v>0</v>
      </c>
      <c r="GM405" s="1034">
        <f>SUM(GN405:HB405)</f>
        <v>2</v>
      </c>
      <c r="GN405" s="1034">
        <f>IF(G406="",0,1)</f>
        <v>0</v>
      </c>
      <c r="GO405" s="1034">
        <f>IF(G407="",0,1)</f>
        <v>0</v>
      </c>
      <c r="GP405" s="1034">
        <f>IF(R406="",0,1)</f>
        <v>0</v>
      </c>
      <c r="GQ405" s="1034">
        <f>IF(__Retrofit_TI_NC=0,1,IF(R407="",0,1))</f>
        <v>1</v>
      </c>
      <c r="GR405" s="1034">
        <f>IF(CN405="Exterior",1,IF(G408="",0,1))</f>
        <v>1</v>
      </c>
      <c r="GS405" s="1034">
        <f>IF(__Retrofit_TI_NC&lt;&gt;0,1,IF(T406="",0,1))</f>
        <v>0</v>
      </c>
      <c r="GT405" s="1034">
        <f>IF(__Retrofit_TI_NC&lt;&gt;0,1,IF(U406="",0,1))</f>
        <v>0</v>
      </c>
      <c r="GU405" s="1034">
        <f>IF(T407="",0,1)</f>
        <v>0</v>
      </c>
      <c r="GV405" s="1034">
        <f>IF(U407="",0,1)</f>
        <v>0</v>
      </c>
      <c r="GW405" s="1034">
        <f>IF(__Retrofit_TI_NC=2,1,IF(U408="",0,1))</f>
        <v>0</v>
      </c>
      <c r="GX405" s="1034">
        <f>IF(__Retrofit_TI_NC&lt;&gt;0,1,IF(AE406="",0,1))</f>
        <v>0</v>
      </c>
      <c r="GY405" s="1034">
        <f>IF(__Retrofit_TI_NC&lt;&gt;0,1,IF(AF406="",0,1))</f>
        <v>0</v>
      </c>
      <c r="GZ405" s="1034">
        <f>IF(AE407="",0,1)</f>
        <v>0</v>
      </c>
      <c r="HA405" s="1034">
        <f>IF(AF407="",0,1)</f>
        <v>0</v>
      </c>
      <c r="HB405" s="1034">
        <f>IF(__Retrofit_TI_NC=2,1,IF(AF408="",0,1))</f>
        <v>0</v>
      </c>
      <c r="HV405" s="436"/>
      <c r="HW405" s="1384" t="b">
        <f>IF(OR(HW408=0,HW408=HT$16,HW408=HS$16,HW408=HU$16),TRUE,FALSE)</f>
        <v>0</v>
      </c>
      <c r="HX405" s="1377" t="b">
        <f>HW405</f>
        <v>0</v>
      </c>
      <c r="HY405" s="436"/>
      <c r="HZ405" s="436"/>
      <c r="IA405" s="1386" t="b">
        <f>IF(MAX(GJ408:HP408)&gt;5,FALSE,TRUE)</f>
        <v>0</v>
      </c>
      <c r="IB405" s="1380">
        <f>IF(IA405=TRUE,AC405,0)</f>
        <v>0</v>
      </c>
      <c r="IC405" s="1380">
        <f>IB405-IB407</f>
        <v>0</v>
      </c>
      <c r="IF405" s="1380" t="e">
        <f>ROUND(T406*VLOOKUP(U406,Fixtures_Existing_List,2,FALSE)*N406*R406/1000,0)</f>
        <v>#N/A</v>
      </c>
      <c r="IG405" s="1381" t="e">
        <f>IF405-IF407</f>
        <v>#N/A</v>
      </c>
      <c r="IH405" s="1384" t="e">
        <f>ROUND(IF(CN405="Interior",N407*R407*R406*N406*_C406_reduction/1000,N407*R407*R406*N406/1000),0)</f>
        <v>#N/A</v>
      </c>
      <c r="II405" s="1384" t="e">
        <f>IH405-IH407</f>
        <v>#N/A</v>
      </c>
      <c r="IK405" s="1351" t="e">
        <f>IF($CO405="interior",IL405/2,VLOOKUP($CP405,Control_Savings_Exterior,IK$30,FALSE))</f>
        <v>#N/A</v>
      </c>
      <c r="IL405" s="1351" t="e">
        <f>IF($CO405="interior",VLOOKUP($CP405,Control_Savings_Interior,IL$30,FALSE),VLOOKUP($CP405,Control_Savings_Exterior,IL$30,FALSE))</f>
        <v>#N/A</v>
      </c>
      <c r="IM405" s="1351" t="e">
        <f>IF($CO405="interior",IF(R406&gt;FO$37,(IM$28*(FO$37/R406)),IM$28)*FP405,VLOOKUP($CP405,Control_Savings_Exterior,IM$30,FALSE))</f>
        <v>#N/A</v>
      </c>
      <c r="IN405" s="1351" t="e">
        <f>IF($CO405="interior",ROUND(((1-IL405)*IM405)+IL405,2),VLOOKUP($CP405,Control_Savings_Exterior,IN$30,FALSE))</f>
        <v>#N/A</v>
      </c>
      <c r="IO405" s="1351" t="e">
        <f>IF($CO405="interior", ROUND(((1-IL405)*(IM405*(1-IP$28)))+IP405,2), VLOOKUP($CP405,Control_Savings_Exterior,IO$30,FALSE))</f>
        <v>#N/A</v>
      </c>
      <c r="IP405" s="1351">
        <f>IF($CO405="interior",ROUND(((1-IL405)*IP$28)+IL405,2),0)</f>
        <v>0</v>
      </c>
    </row>
    <row r="406" spans="1:250" s="82" customFormat="1" ht="14.95" customHeight="1" thickTop="1" thickBot="1">
      <c r="B406" s="1421"/>
      <c r="C406" s="1422"/>
      <c r="D406" s="1423"/>
      <c r="E406" s="1393" t="s">
        <v>244</v>
      </c>
      <c r="F406" s="1394"/>
      <c r="G406" s="1395"/>
      <c r="H406" s="1395"/>
      <c r="I406" s="1395"/>
      <c r="J406" s="1395"/>
      <c r="K406" s="1395"/>
      <c r="L406" s="1395"/>
      <c r="M406" s="509" t="e">
        <f>IF(__Retrofit_TI_NC&lt;&gt;0,IF(VLOOKUP(G407,'Space Table'!$B$3:$L$160,3,FALSE)&gt;0,1,0),IF(__Retrofit_TI_NC=VLOOKUP(G407,'Space Table'!$B$3:$L$160,3,FALSE),1,0))</f>
        <v>#N/A</v>
      </c>
      <c r="N406" s="509" t="str">
        <f>IFERROR(VLOOKUP(G406,_Lookup_Heat_Type_Table_New,2,FALSE),"")</f>
        <v/>
      </c>
      <c r="O406" s="509">
        <f>IF(__Retrofit_TI_NC=1,CONCATENATE("TI ",G406),IF(__Retrofit_TI_NC=2,CONCATENATE("NC ",G406),G406))</f>
        <v>0</v>
      </c>
      <c r="P406" s="1396" t="s">
        <v>352</v>
      </c>
      <c r="Q406" s="1396"/>
      <c r="R406" s="673"/>
      <c r="S406" s="1429"/>
      <c r="T406" s="675"/>
      <c r="U406" s="1496"/>
      <c r="V406" s="1497"/>
      <c r="W406" s="1497"/>
      <c r="X406" s="1497"/>
      <c r="Y406" s="1497"/>
      <c r="Z406" s="1497"/>
      <c r="AA406" s="1497"/>
      <c r="AB406" s="1497"/>
      <c r="AC406" s="1497"/>
      <c r="AD406" s="1498"/>
      <c r="AE406" s="675"/>
      <c r="AF406" s="1397"/>
      <c r="AG406" s="1397"/>
      <c r="AH406" s="1397"/>
      <c r="AI406" s="1397"/>
      <c r="AJ406" s="1434"/>
      <c r="AK406" s="1436"/>
      <c r="AL406" s="1438"/>
      <c r="AM406" s="1441"/>
      <c r="AN406" s="1442"/>
      <c r="AO406" s="1447"/>
      <c r="AP406" s="1447"/>
      <c r="AQ406" s="1448"/>
      <c r="AR406" s="1452"/>
      <c r="AS406" s="1455"/>
      <c r="AT406" s="1458"/>
      <c r="AU406" s="516"/>
      <c r="AV406" s="1479"/>
      <c r="AW406" s="1479"/>
      <c r="BC406" s="38"/>
      <c r="BD406" s="38"/>
      <c r="BE406" s="38"/>
      <c r="BF406" s="38"/>
      <c r="BG406" s="38"/>
      <c r="BH406" s="38"/>
      <c r="BI406" s="38"/>
      <c r="BJ406" s="38"/>
      <c r="BK406" s="38"/>
      <c r="BL406" s="38"/>
      <c r="BM406" s="38"/>
      <c r="BN406" s="38"/>
      <c r="BO406" s="38"/>
      <c r="BP406" s="38"/>
      <c r="BQ406" s="38"/>
      <c r="BR406" s="38"/>
      <c r="BS406" s="38"/>
      <c r="BT406" s="38"/>
      <c r="BU406" s="38"/>
      <c r="BV406" s="38"/>
      <c r="BW406" s="38"/>
      <c r="BX406" s="38"/>
      <c r="BY406" s="38"/>
      <c r="BZ406" s="38"/>
      <c r="CA406" s="38"/>
      <c r="CB406" s="38"/>
      <c r="CC406" s="38"/>
      <c r="CD406" s="38"/>
      <c r="CE406" s="38"/>
      <c r="CF406" s="38"/>
      <c r="CG406" s="38"/>
      <c r="CH406" s="38"/>
      <c r="CI406" s="38"/>
      <c r="CM406" s="1352"/>
      <c r="CN406" s="1352"/>
      <c r="CO406" s="1416"/>
      <c r="CP406" s="1418"/>
      <c r="CR406" s="1386"/>
      <c r="CS406" s="1355"/>
      <c r="CT406" s="1355"/>
      <c r="CU406" s="1355"/>
      <c r="CV406" s="1372"/>
      <c r="CW406" s="1372"/>
      <c r="CX406" s="1371"/>
      <c r="CY406" s="1486"/>
      <c r="CZ406" s="1486"/>
      <c r="DA406" s="1486"/>
      <c r="DC406" s="1355"/>
      <c r="DD406" s="1461"/>
      <c r="DE406" s="1355"/>
      <c r="DF406" s="1407"/>
      <c r="DG406" s="1372"/>
      <c r="DH406" s="1369"/>
      <c r="DJ406" s="1484"/>
      <c r="DL406" s="1419"/>
      <c r="DN406" s="1403"/>
      <c r="DO406" s="1405"/>
      <c r="DP406" s="1354"/>
      <c r="DQ406" s="1405"/>
      <c r="DR406" s="1403"/>
      <c r="DS406" s="1489"/>
      <c r="DU406" s="1403"/>
      <c r="DV406" s="1405"/>
      <c r="DW406" s="1403"/>
      <c r="DX406" s="1403"/>
      <c r="DZ406" s="1481"/>
      <c r="EA406" s="1481"/>
      <c r="EC406" s="1482"/>
      <c r="ED406" s="1369"/>
      <c r="EE406" s="1371"/>
      <c r="EF406" s="1369"/>
      <c r="EG406" s="1369"/>
      <c r="EH406" s="1374"/>
      <c r="EI406" s="1374"/>
      <c r="EJ406" s="1363"/>
      <c r="EK406" s="1376"/>
      <c r="EL406" s="1376"/>
      <c r="EM406" s="1362"/>
      <c r="EN406" s="1362"/>
      <c r="EO406" s="1363"/>
      <c r="EP406" s="1363"/>
      <c r="EQ406" s="1363"/>
      <c r="ES406" s="1403"/>
      <c r="EU406" s="1411"/>
      <c r="EV406" s="1411"/>
      <c r="EW406" s="1411"/>
      <c r="EX406" s="1411"/>
      <c r="EY406" s="1411"/>
      <c r="EZ406" s="1413"/>
      <c r="FB406" s="1365"/>
      <c r="FD406" s="1354"/>
      <c r="FE406" s="1354"/>
      <c r="FF406" s="138"/>
      <c r="FI406" s="1357"/>
      <c r="FJ406" s="1357"/>
      <c r="FK406" s="1365"/>
      <c r="FL406" s="1365"/>
      <c r="FM406" s="1365"/>
      <c r="FO406" s="1361"/>
      <c r="FP406" s="1361"/>
      <c r="FQ406" s="1366"/>
      <c r="FR406" s="1368"/>
      <c r="FS406" s="1361"/>
      <c r="FT406" s="1368"/>
      <c r="FU406" s="1360"/>
      <c r="FW406" s="1352"/>
      <c r="FX406" s="1352"/>
      <c r="FY406" s="1352"/>
      <c r="FZ406" s="1352"/>
      <c r="GA406" s="1352"/>
      <c r="GB406" s="1352"/>
      <c r="GC406" s="1352"/>
      <c r="GD406" s="1352"/>
      <c r="GE406" s="759"/>
      <c r="GF406" s="1035"/>
      <c r="GG406" s="1385"/>
      <c r="GI406" s="1384" t="b">
        <f>IF(AND(GL406=TRUE,GM406=TRUE),TRUE,FALSE)</f>
        <v>0</v>
      </c>
      <c r="GJ406" s="1379" t="b">
        <f>IFERROR(IF(__Retrofit_TI_NC=2,TRUE,IF(AR405="Yes",TRUE,FALSE)),FALSE)</f>
        <v>1</v>
      </c>
      <c r="GL406" s="1379" t="b">
        <f>IFERROR(IF(GL405=1,TRUE,FALSE),FALSE)</f>
        <v>0</v>
      </c>
      <c r="GM406" s="1379" t="b">
        <f>IFERROR(IF(GM405=GM$14,TRUE,FALSE),FALSE)</f>
        <v>0</v>
      </c>
      <c r="HC406" s="1379" t="b">
        <f>IFERROR(IF(M406=1,TRUE,FALSE),FALSE)</f>
        <v>0</v>
      </c>
      <c r="HD406" s="1379" t="b">
        <f>IFERROR(IF(M407=1,TRUE,FALSE),FALSE)</f>
        <v>0</v>
      </c>
      <c r="HE406" s="1379" t="b">
        <f>IFERROR(IF(__Retrofit_TI_NC&lt;&gt;0,TRUE,IFERROR(IF(VLOOKUP(U406,Fixtures_Existing_List,2,FALSE)&lt;&gt;"",TRUE,FALSE),FALSE)),FALSE)</f>
        <v>0</v>
      </c>
      <c r="HF406" s="1379" t="b">
        <f>IFERROR(IF(VLOOKUP(U407,Fixtures_Proposed_List,2,FALSE)&lt;&gt;"",TRUE,FALSE),FALSE)</f>
        <v>0</v>
      </c>
      <c r="HG406" s="1379" t="b">
        <f>IF(AND(__Retrofit_TI_NC=2,EZ405=TRUE),FALSE,TRUE)</f>
        <v>1</v>
      </c>
      <c r="HH406" s="1379" t="b">
        <f>GG405</f>
        <v>1</v>
      </c>
      <c r="HI406" s="1384" t="b">
        <f>IF(ISERROR(MATCH(FB405,_Control_Match[],0))=TRUE,FALSE,TRUE)</f>
        <v>0</v>
      </c>
      <c r="HJ406" s="1384" t="b">
        <f>IFERROR(IF(EU405&lt;&gt;EV405,FALSE,TRUE),FALSE)</f>
        <v>0</v>
      </c>
      <c r="HK406" s="1384" t="b">
        <f>IFERROR(IF(EU407&lt;&gt;EV407,FALSE,TRUE),FALSE)</f>
        <v>0</v>
      </c>
      <c r="HL406" s="1379" t="b">
        <f>IFERROR(IF(CN405="Exterior",TRUE,IF(OR(AND(FJ405=0,EW407&gt;4),AND(FJ405=4,EW407&gt;4,EW407&lt;7)),FALSE,TRUE)),FALSE)</f>
        <v>0</v>
      </c>
      <c r="HM406" s="1379" t="b">
        <f>IFERROR(IF(AND(FL407=7,EZ405=TRUE),FALSE,TRUE),FALSE)</f>
        <v>0</v>
      </c>
      <c r="HN406" s="1379" t="b">
        <f>IFERROR(IF(AND(T407&lt;&gt;AE407,AF407="Interior LLLC")=TRUE,FALSE,TRUE),FALSE)</f>
        <v>1</v>
      </c>
      <c r="HO406" s="1379" t="b">
        <f>IFERROR(IF(OR(AF407=Lookup!AU$13,AF407=Lookup!AU$14)=TRUE,IF(AE407&gt;T407,FALSE,TRUE),TRUE),FALSE)</f>
        <v>1</v>
      </c>
      <c r="HP406" s="1379" t="b">
        <f>IFERROR(IF(__Retrofit_TI_NC=2,IF(EW407&lt;EW405,FALSE,TRUE),TRUE),FALSE)</f>
        <v>1</v>
      </c>
      <c r="HQ406" s="1379" t="b">
        <f>IF(CN405="Interior",IG$6,TRUE)</f>
        <v>1</v>
      </c>
      <c r="HR406" s="1379" t="b">
        <f>IF(CN405="Exterior",IG$8,TRUE)</f>
        <v>1</v>
      </c>
      <c r="HS406" s="1379" t="b">
        <f>IFERROR(IF(__Retrofit_TI_NC&lt;&gt;0,IF(AW405&lt;AV405,FALSE,TRUE),TRUE),FALSE)</f>
        <v>1</v>
      </c>
      <c r="HT406" s="1379" t="b">
        <f>IFERROR(IF(AND(G406="Exterior",R406&gt;4200),FALSE,TRUE),FALSE)</f>
        <v>1</v>
      </c>
      <c r="HU406" s="1379" t="b">
        <f>IFERROR(IF(AB408/AB405&lt;HU$18,FALSE,TRUE),FALSE)</f>
        <v>0</v>
      </c>
      <c r="HW406" s="1382"/>
      <c r="HX406" s="1378"/>
      <c r="HY406" s="1377" t="str">
        <f>VLOOKUP(HW408,_Error_Table,4,FALSE)</f>
        <v>White</v>
      </c>
      <c r="HZ406" s="436"/>
      <c r="IA406" s="1386"/>
      <c r="IB406" s="1380"/>
      <c r="IC406" s="1379"/>
      <c r="IF406" s="1380"/>
      <c r="IG406" s="1382"/>
      <c r="IH406" s="1382"/>
      <c r="II406" s="1382"/>
      <c r="IK406" s="1351"/>
      <c r="IL406" s="1351"/>
      <c r="IM406" s="1351"/>
      <c r="IN406" s="1351"/>
      <c r="IO406" s="1351"/>
      <c r="IP406" s="1351"/>
    </row>
    <row r="407" spans="1:250" s="82" customFormat="1" ht="14.95" customHeight="1" thickTop="1" thickBot="1">
      <c r="A407" s="82">
        <f>ROW()</f>
        <v>407</v>
      </c>
      <c r="B407" s="1421"/>
      <c r="C407" s="1422"/>
      <c r="D407" s="1423"/>
      <c r="E407" s="1393" t="s">
        <v>245</v>
      </c>
      <c r="F407" s="1394"/>
      <c r="G407" s="1398"/>
      <c r="H407" s="1399"/>
      <c r="I407" s="1399"/>
      <c r="J407" s="1399"/>
      <c r="K407" s="1399"/>
      <c r="L407" s="1400"/>
      <c r="M407" s="509">
        <f>IFERROR(IF(IF(__Retrofit_TI_NC&lt;&gt;0,IF(CN405="Interior",MATCH(G407,Lookup_Interior_New,0),MATCH(G407,Lookup_Exterior_New,0)),IF(CN405="Interior",MATCH(G407,Lookup_Interior,0),MATCH(G407,Lookup_Exterior_Areas,0)))&gt;0,1,0),0)</f>
        <v>0</v>
      </c>
      <c r="N407" s="509" t="e">
        <f>IF(__Retrofit_TI_NC=1,
VLOOKUP(G407,'Space Table'!$B$3:$L$160,4,FALSE),
IF(__Retrofit_TI_NC=2,VLOOKUP(G407,'Space Table'!$B$3:$L$160,5,FALSE),VLOOKUP(G407,'Space Table'!$B$3:$L$160,5,FALSE)))</f>
        <v>#N/A</v>
      </c>
      <c r="O407" s="509">
        <f>G407</f>
        <v>0</v>
      </c>
      <c r="P407" s="1394" t="s">
        <v>355</v>
      </c>
      <c r="Q407" s="1394"/>
      <c r="R407" s="674"/>
      <c r="S407" s="1401" t="s">
        <v>284</v>
      </c>
      <c r="T407" s="672"/>
      <c r="U407" s="1499"/>
      <c r="V407" s="1500"/>
      <c r="W407" s="1500"/>
      <c r="X407" s="1500"/>
      <c r="Y407" s="1500"/>
      <c r="Z407" s="1500"/>
      <c r="AA407" s="1500"/>
      <c r="AB407" s="1501"/>
      <c r="AC407" s="1501"/>
      <c r="AD407" s="1502"/>
      <c r="AE407" s="672"/>
      <c r="AF407" s="1474"/>
      <c r="AG407" s="1474"/>
      <c r="AH407" s="1474"/>
      <c r="AI407" s="1474"/>
      <c r="AJ407" s="1475">
        <f>DF407</f>
        <v>0</v>
      </c>
      <c r="AK407" s="1470" t="str">
        <f>IFERROR(ROUND(AJ407*AC408,0),"")</f>
        <v/>
      </c>
      <c r="AL407" s="1472">
        <f>IFERROR(IF(HW405=FALSE,0,AC408-AK407),0)</f>
        <v>0</v>
      </c>
      <c r="AM407" s="1441"/>
      <c r="AN407" s="1442"/>
      <c r="AO407" s="1447"/>
      <c r="AP407" s="1447"/>
      <c r="AQ407" s="1448"/>
      <c r="AR407" s="1452"/>
      <c r="AS407" s="1455"/>
      <c r="AT407" s="1458"/>
      <c r="AU407" s="516"/>
      <c r="AV407" s="1479"/>
      <c r="AW407" s="1479"/>
      <c r="BC407" s="38"/>
      <c r="BD407" s="38"/>
      <c r="BE407" s="38"/>
      <c r="BF407" s="38"/>
      <c r="BG407" s="38"/>
      <c r="BH407" s="38"/>
      <c r="BI407" s="38"/>
      <c r="BJ407" s="38"/>
      <c r="BK407" s="38"/>
      <c r="BL407" s="38"/>
      <c r="BM407" s="38"/>
      <c r="BN407" s="38"/>
      <c r="BO407" s="38"/>
      <c r="BP407" s="38"/>
      <c r="BQ407" s="38"/>
      <c r="BR407" s="38"/>
      <c r="BS407" s="38"/>
      <c r="BT407" s="38"/>
      <c r="BU407" s="38"/>
      <c r="BV407" s="38"/>
      <c r="BW407" s="38"/>
      <c r="BX407" s="38"/>
      <c r="BY407" s="38"/>
      <c r="BZ407" s="38"/>
      <c r="CA407" s="38"/>
      <c r="CB407" s="38"/>
      <c r="CC407" s="38"/>
      <c r="CD407" s="38"/>
      <c r="CE407" s="38"/>
      <c r="CF407" s="38"/>
      <c r="CG407" s="38"/>
      <c r="CH407" s="38"/>
      <c r="CI407" s="38"/>
      <c r="CM407" s="1352"/>
      <c r="CN407" s="1352"/>
      <c r="CO407" s="1415" t="str">
        <f>CN405</f>
        <v/>
      </c>
      <c r="CP407" s="1417" t="e">
        <f>CP405</f>
        <v>#N/A</v>
      </c>
      <c r="CR407" s="1386" t="s">
        <v>284</v>
      </c>
      <c r="CS407" s="1353">
        <f>IF(HW405=TRUE,T407,0)</f>
        <v>0</v>
      </c>
      <c r="CT407" s="1353" t="str">
        <f>IF(HW405=TRUE,U407,"")</f>
        <v/>
      </c>
      <c r="CU407" s="1373">
        <f>IF(HW405=TRUE,U408,0)</f>
        <v>0</v>
      </c>
      <c r="CV407" s="1370">
        <f>IF(HW405=TRUE,AB408,0)</f>
        <v>0</v>
      </c>
      <c r="CW407" s="1370">
        <f>IF(HW405=TRUE,AC408,0)</f>
        <v>0</v>
      </c>
      <c r="CX407" s="1371"/>
      <c r="CY407" s="1486"/>
      <c r="CZ407" s="1486"/>
      <c r="DA407" s="1486"/>
      <c r="DC407" s="1353">
        <f>IF(HW405=TRUE,AE407,0)</f>
        <v>0</v>
      </c>
      <c r="DD407" s="1353" t="str">
        <f>IF(HW405=TRUE,AF407,"")</f>
        <v/>
      </c>
      <c r="DE407" s="1373">
        <f>AF408</f>
        <v>0</v>
      </c>
      <c r="DF407" s="1406">
        <f>IFERROR(IF(FL407=3,IK407,IF(FL407=4,IL407,IF(FL407=5,IM407,IF(FL407=6,IN407,IF(FL407=7,IO407,IF(FL407=8,IP407,0)))))),0)</f>
        <v>0</v>
      </c>
      <c r="DG407" s="1370">
        <f>IF(HW405=TRUE,AK407,0)</f>
        <v>0</v>
      </c>
      <c r="DH407" s="1369"/>
      <c r="DK407" s="1483">
        <f>IFERROR(CW407-DG407,0)</f>
        <v>0</v>
      </c>
      <c r="DL407" s="1420"/>
      <c r="DN407" s="1403"/>
      <c r="DO407" s="1477" t="str">
        <f>DN405</f>
        <v/>
      </c>
      <c r="DP407" s="1354"/>
      <c r="DQ407" s="1477" t="str">
        <f>IF(DP405=7,"LLLC","")</f>
        <v/>
      </c>
      <c r="DR407" s="1403"/>
      <c r="DS407" s="1489"/>
      <c r="DU407" s="1403"/>
      <c r="DV407" s="1404" t="str">
        <f>DU405</f>
        <v/>
      </c>
      <c r="DW407" s="1403"/>
      <c r="DX407" s="1403"/>
      <c r="DZ407" s="1481"/>
      <c r="EA407" s="1481"/>
      <c r="EC407" s="1482"/>
      <c r="ED407" s="1369"/>
      <c r="EE407" s="1371"/>
      <c r="EF407" s="1369"/>
      <c r="EG407" s="1369"/>
      <c r="EH407" s="1374"/>
      <c r="EI407" s="1374"/>
      <c r="EJ407" s="1363"/>
      <c r="EK407" s="1376"/>
      <c r="EL407" s="1376"/>
      <c r="EM407" s="1362"/>
      <c r="EN407" s="1362"/>
      <c r="EO407" s="1363"/>
      <c r="EP407" s="1363"/>
      <c r="EQ407" s="1363"/>
      <c r="ES407" s="1403"/>
      <c r="EU407" s="1411" t="e">
        <f>VLOOKUP(CP407,'Space Table'!$B$3:$L$160,8,FALSE)</f>
        <v>#N/A</v>
      </c>
      <c r="EV407" s="1411" t="e">
        <f>IF(EY407="Yes",VLOOKUP(AF407,Lookup_Control_Type_Table2,4,FALSE),VLOOKUP(AF407,Lookup_Control_Type_Table2,3,FALSE))</f>
        <v>#N/A</v>
      </c>
      <c r="EW407" s="1411" t="e">
        <f>VLOOKUP(AF407,Lookup!AU$3:AV$15,2,FALSE)</f>
        <v>#N/A</v>
      </c>
      <c r="EX407" s="1411" t="e">
        <f>VLOOKUP(EU405,Lookup_Control_Type_Table,2,FALSE)</f>
        <v>#N/A</v>
      </c>
      <c r="EY407" s="1411" t="e">
        <f>VLOOKUP(CP407,'Space Table'!$B$3:$L$160,7,FALSE)</f>
        <v>#N/A</v>
      </c>
      <c r="EZ407" s="1413"/>
      <c r="FB407" s="1365" t="str">
        <f>CONCATENATE(CN405," - ",AF407)</f>
        <v xml:space="preserve"> - </v>
      </c>
      <c r="FD407" s="1354"/>
      <c r="FE407" s="1354"/>
      <c r="FF407" s="138"/>
      <c r="FI407" s="1356" t="str">
        <f>IF(CN405="Exterior","Not Daylighted",G408)</f>
        <v>Not Daylighted</v>
      </c>
      <c r="FJ407" s="1356">
        <f>VLOOKUP(FI407,_Daylight_Table_Codes,2,FALSE)</f>
        <v>0</v>
      </c>
      <c r="FK407" s="1365">
        <f>AF407</f>
        <v>0</v>
      </c>
      <c r="FL407" s="1365" t="e">
        <f>VLOOKUP(FK407,_Control_Table,2,FALSE)</f>
        <v>#N/A</v>
      </c>
      <c r="FM407" s="1365" t="e">
        <f>IF(AND(FP407&gt;0,FK407="Occupancy Sensor"),"Daylight + Occupancy",IF(AND(FP407&gt;0,FL407&lt;4),"Interior Daylight Dimming",FK407))</f>
        <v>#N/A</v>
      </c>
      <c r="FO407" s="1364">
        <f>IF(CN405="Interior",VLOOKUP(CP405,Control_Savings_Interior,5,FALSE),0)</f>
        <v>0</v>
      </c>
      <c r="FP407" s="1361">
        <f>IF(CN407="Exterior",0,IF(FJ407=2,0.5,IF(OR(FJ407=1,FJ407=3),1,0)))</f>
        <v>0</v>
      </c>
      <c r="FQ407" s="1366">
        <f>IF(R406&gt;FO$37,(FO407*(FO$37/R406)),FO407)*FP407</f>
        <v>0</v>
      </c>
      <c r="FR407" s="1364">
        <f>DF407</f>
        <v>0</v>
      </c>
      <c r="FS407" s="1364">
        <f>ROUND(FR407+((1-FR407)*FQ407),2)</f>
        <v>0</v>
      </c>
      <c r="FT407" s="1364">
        <f>IF(__Retrofit_TI_NC=2,FS407,FR407)</f>
        <v>0</v>
      </c>
      <c r="FU407" s="1360">
        <f>IF(CO407="Interior",VLOOKUP(CP407,Control_Savings_Interior,4,FALSE),0)</f>
        <v>0</v>
      </c>
      <c r="FW407" s="1352"/>
      <c r="FX407" s="1352"/>
      <c r="FY407" s="1352"/>
      <c r="FZ407" s="1352"/>
      <c r="GA407" s="1352"/>
      <c r="GB407" s="1352"/>
      <c r="GC407" s="1352"/>
      <c r="GD407" s="1352"/>
      <c r="GE407" s="759" t="b">
        <f>IF(ISNUMBER(SEARCH("TLED",U407)),TRUE,FALSE)</f>
        <v>0</v>
      </c>
      <c r="GF407" s="1035" t="str">
        <f>IFERROR(VLOOKUP(U407,Fixtures!DM$93:DR$142,6,FALSE),"")</f>
        <v/>
      </c>
      <c r="GG407" s="1385"/>
      <c r="GI407" s="1383"/>
      <c r="GJ407" s="1379"/>
      <c r="GL407" s="1379"/>
      <c r="GM407" s="1379"/>
      <c r="HC407" s="1379"/>
      <c r="HD407" s="1379"/>
      <c r="HE407" s="1379"/>
      <c r="HF407" s="1379"/>
      <c r="HG407" s="1379"/>
      <c r="HH407" s="1379"/>
      <c r="HI407" s="1383"/>
      <c r="HJ407" s="1383"/>
      <c r="HK407" s="1383"/>
      <c r="HL407" s="1379"/>
      <c r="HM407" s="1379"/>
      <c r="HN407" s="1379"/>
      <c r="HO407" s="1379"/>
      <c r="HP407" s="1379"/>
      <c r="HQ407" s="1379"/>
      <c r="HR407" s="1379"/>
      <c r="HS407" s="1379"/>
      <c r="HT407" s="1379"/>
      <c r="HU407" s="1379"/>
      <c r="HW407" s="1383"/>
      <c r="HX407" s="1384" t="b">
        <f>HW405</f>
        <v>0</v>
      </c>
      <c r="HY407" s="1378"/>
      <c r="HZ407" s="436"/>
      <c r="IA407" s="1386"/>
      <c r="IB407" s="1380">
        <f>IF(IA405=TRUE,AC408,0)</f>
        <v>0</v>
      </c>
      <c r="IC407" s="1379"/>
      <c r="IF407" s="1380" t="e">
        <f>ROUND(T407*AB408*N406*R406/1000,0)</f>
        <v>#VALUE!</v>
      </c>
      <c r="IG407" s="1382"/>
      <c r="IH407" s="1384" t="e">
        <f>ROUND(T407*AB408*N406*R406/1000,0)</f>
        <v>#VALUE!</v>
      </c>
      <c r="II407" s="1382"/>
      <c r="IK407" s="1351" t="e">
        <f>IF($CO407="interior",IL407/2,VLOOKUP($CP407,Control_Savings_Exterior,IK$30,FALSE))</f>
        <v>#N/A</v>
      </c>
      <c r="IL407" s="1351" t="e">
        <f>IF($CO407="interior",VLOOKUP($CP407,Control_Savings_Interior,IL$30,FALSE),VLOOKUP($CP407,Control_Savings_Exterior,IL$30,FALSE))</f>
        <v>#N/A</v>
      </c>
      <c r="IM407" s="1351" t="e">
        <f>IF($CO407="interior",IF(R406&gt;FO$37,(IM$28*(FO$37/R406)),IM$28)*FP407,VLOOKUP($CP407,Control_Savings_Exterior,IM$30,FALSE))</f>
        <v>#N/A</v>
      </c>
      <c r="IN407" s="1351" t="e">
        <f>IF($CO407="interior",ROUND(((1-IL407)*IM407)+IL407,2),VLOOKUP($CP407,Control_Savings_Exterior,IN$30,FALSE))</f>
        <v>#N/A</v>
      </c>
      <c r="IO407" s="1351" t="e">
        <f>IF($CO407="interior", ROUND(((1-IL407)*(IM407*(1-IP$28)))+IP407,2), VLOOKUP($CP407,Control_Savings_Exterior,IO$30,FALSE))</f>
        <v>#N/A</v>
      </c>
      <c r="IP407" s="1351">
        <f>IF($CO407="interior",ROUND(((1-IL407)*IP$28)+IL407,2),0)</f>
        <v>0</v>
      </c>
    </row>
    <row r="408" spans="1:250" s="82" customFormat="1" ht="14.95" customHeight="1" thickTop="1" thickBot="1">
      <c r="B408" s="1421"/>
      <c r="C408" s="1422"/>
      <c r="D408" s="1423"/>
      <c r="E408" s="1462" t="s">
        <v>357</v>
      </c>
      <c r="F408" s="1463"/>
      <c r="G408" s="1464" t="s">
        <v>362</v>
      </c>
      <c r="H408" s="1465"/>
      <c r="I408" s="1465"/>
      <c r="J408" s="1465"/>
      <c r="K408" s="1465"/>
      <c r="L408" s="1466"/>
      <c r="M408" s="669">
        <f>IFERROR(VLOOKUP(G408,_Daylight_Table[],2,FALSE),0)</f>
        <v>0</v>
      </c>
      <c r="N408" s="670"/>
      <c r="O408" s="669" t="e">
        <f>VLOOKUP(G407,'Space Table'!$B$3:$L$160,11,FALSE)</f>
        <v>#N/A</v>
      </c>
      <c r="P408" s="1408"/>
      <c r="Q408" s="1409"/>
      <c r="R408" s="1409"/>
      <c r="S408" s="1402"/>
      <c r="T408" s="671" t="s">
        <v>281</v>
      </c>
      <c r="U408" s="1467" t="str">
        <f>IFERROR(VLOOKUP(U407,Fixtures!DM$93:DP$142,4,FALSE),"")</f>
        <v/>
      </c>
      <c r="V408" s="1468"/>
      <c r="W408" s="1468"/>
      <c r="X408" s="1468"/>
      <c r="Y408" s="1468"/>
      <c r="Z408" s="1468"/>
      <c r="AA408" s="1468"/>
      <c r="AB408" s="1046" t="str">
        <f>IFERROR(VLOOKUP(U407,Fixtures_Proposed_List,2,FALSE),"")</f>
        <v/>
      </c>
      <c r="AC408" s="1036" t="str">
        <f>IFERROR(ROUND(T407*AB408*N406*R406/1000,0),"")</f>
        <v/>
      </c>
      <c r="AD408" s="1037" t="str">
        <f>IFERROR(ROUND(T407*AB408/1000,2),"")</f>
        <v/>
      </c>
      <c r="AE408" s="1045" t="s">
        <v>281</v>
      </c>
      <c r="AF408" s="1469"/>
      <c r="AG408" s="1469"/>
      <c r="AH408" s="1469"/>
      <c r="AI408" s="1469"/>
      <c r="AJ408" s="1476"/>
      <c r="AK408" s="1471"/>
      <c r="AL408" s="1473"/>
      <c r="AM408" s="1443"/>
      <c r="AN408" s="1444"/>
      <c r="AO408" s="1449"/>
      <c r="AP408" s="1449"/>
      <c r="AQ408" s="1450"/>
      <c r="AR408" s="1453"/>
      <c r="AS408" s="1456"/>
      <c r="AT408" s="1459"/>
      <c r="AU408" s="517"/>
      <c r="AV408" s="1480"/>
      <c r="AW408" s="1480"/>
      <c r="BC408" s="38"/>
      <c r="BD408" s="38"/>
      <c r="BE408" s="38"/>
      <c r="BF408" s="38"/>
      <c r="BG408" s="38"/>
      <c r="BH408" s="38"/>
      <c r="BI408" s="38"/>
      <c r="BJ408" s="38"/>
      <c r="BK408" s="38"/>
      <c r="BL408" s="38"/>
      <c r="BM408" s="38"/>
      <c r="BN408" s="38"/>
      <c r="BO408" s="38"/>
      <c r="BP408" s="38"/>
      <c r="BQ408" s="38"/>
      <c r="BR408" s="38"/>
      <c r="BS408" s="38"/>
      <c r="BT408" s="38"/>
      <c r="BU408" s="38"/>
      <c r="BV408" s="38"/>
      <c r="BW408" s="38"/>
      <c r="BX408" s="38"/>
      <c r="BY408" s="38"/>
      <c r="BZ408" s="38"/>
      <c r="CA408" s="38"/>
      <c r="CB408" s="38"/>
      <c r="CC408" s="38"/>
      <c r="CD408" s="38"/>
      <c r="CE408" s="38"/>
      <c r="CF408" s="38"/>
      <c r="CG408" s="38"/>
      <c r="CH408" s="38"/>
      <c r="CI408" s="38"/>
      <c r="CM408" s="1352"/>
      <c r="CN408" s="1352"/>
      <c r="CO408" s="1416"/>
      <c r="CP408" s="1418"/>
      <c r="CR408" s="1386"/>
      <c r="CS408" s="1355"/>
      <c r="CT408" s="1355"/>
      <c r="CU408" s="1375"/>
      <c r="CV408" s="1372"/>
      <c r="CW408" s="1372"/>
      <c r="CX408" s="1372"/>
      <c r="CY408" s="1487"/>
      <c r="CZ408" s="1487"/>
      <c r="DA408" s="1487"/>
      <c r="DC408" s="1355"/>
      <c r="DD408" s="1355"/>
      <c r="DE408" s="1375"/>
      <c r="DF408" s="1407"/>
      <c r="DG408" s="1372"/>
      <c r="DH408" s="1369"/>
      <c r="DK408" s="1484"/>
      <c r="DL408" s="1420"/>
      <c r="DN408" s="1403"/>
      <c r="DO408" s="1405"/>
      <c r="DP408" s="1355"/>
      <c r="DQ408" s="1405"/>
      <c r="DR408" s="1403"/>
      <c r="DS408" s="1489"/>
      <c r="DU408" s="1403"/>
      <c r="DV408" s="1405"/>
      <c r="DW408" s="1403"/>
      <c r="DX408" s="1403"/>
      <c r="DZ408" s="1481"/>
      <c r="EA408" s="1481"/>
      <c r="EC408" s="1482"/>
      <c r="ED408" s="1369"/>
      <c r="EE408" s="1372"/>
      <c r="EF408" s="1369"/>
      <c r="EG408" s="1369"/>
      <c r="EH408" s="1375"/>
      <c r="EI408" s="1375"/>
      <c r="EJ408" s="1363"/>
      <c r="EK408" s="1376"/>
      <c r="EL408" s="1376"/>
      <c r="EM408" s="1362"/>
      <c r="EN408" s="1362"/>
      <c r="EO408" s="1363"/>
      <c r="EP408" s="1363"/>
      <c r="EQ408" s="1363"/>
      <c r="ES408" s="1403"/>
      <c r="EU408" s="1488"/>
      <c r="EV408" s="1488"/>
      <c r="EW408" s="1488"/>
      <c r="EX408" s="1488"/>
      <c r="EY408" s="1488"/>
      <c r="EZ408" s="1414"/>
      <c r="FB408" s="1365"/>
      <c r="FD408" s="1355"/>
      <c r="FE408" s="1355"/>
      <c r="FF408" s="138"/>
      <c r="FI408" s="1357"/>
      <c r="FJ408" s="1357"/>
      <c r="FK408" s="1365"/>
      <c r="FL408" s="1365"/>
      <c r="FM408" s="1365"/>
      <c r="FO408" s="1361"/>
      <c r="FP408" s="1361"/>
      <c r="FQ408" s="1366"/>
      <c r="FR408" s="1361"/>
      <c r="FS408" s="1361"/>
      <c r="FT408" s="1361"/>
      <c r="FU408" s="1360"/>
      <c r="FW408" s="1352"/>
      <c r="FX408" s="1352"/>
      <c r="FY408" s="1352"/>
      <c r="FZ408" s="1352"/>
      <c r="GA408" s="1352"/>
      <c r="GB408" s="1352"/>
      <c r="GC408" s="1352"/>
      <c r="GD408" s="1352"/>
      <c r="GE408" s="759"/>
      <c r="GF408" s="1035"/>
      <c r="GG408" s="1385"/>
      <c r="GJ408" s="1034">
        <f>IF(GJ406=TRUE,0,GJ$16)</f>
        <v>0</v>
      </c>
      <c r="GL408" s="1034">
        <f>IF(GL406=TRUE,0,GL$16)</f>
        <v>36</v>
      </c>
      <c r="GM408" s="1034">
        <f>IF(GM406=TRUE,0,GM$16)</f>
        <v>35</v>
      </c>
      <c r="GN408" s="436"/>
      <c r="GO408" s="436"/>
      <c r="GP408" s="436"/>
      <c r="GQ408" s="436"/>
      <c r="GR408" s="436"/>
      <c r="HC408" s="1034">
        <f t="shared" ref="HC408:HH408" si="294">IF(HC406=TRUE,0,HC$16)</f>
        <v>19</v>
      </c>
      <c r="HD408" s="1034">
        <f t="shared" si="294"/>
        <v>18</v>
      </c>
      <c r="HE408" s="1034">
        <f t="shared" si="294"/>
        <v>17</v>
      </c>
      <c r="HF408" s="1034">
        <f t="shared" si="294"/>
        <v>16</v>
      </c>
      <c r="HG408" s="1034">
        <f t="shared" si="294"/>
        <v>0</v>
      </c>
      <c r="HH408" s="1034">
        <f t="shared" si="294"/>
        <v>0</v>
      </c>
      <c r="HI408" s="1034">
        <f>IF(HI406=TRUE,0,HI$16)</f>
        <v>13</v>
      </c>
      <c r="HJ408" s="1034">
        <f t="shared" ref="HJ408:HL408" si="295">IF(HJ406=TRUE,0,HJ$16)</f>
        <v>12</v>
      </c>
      <c r="HK408" s="1034">
        <f t="shared" si="295"/>
        <v>11</v>
      </c>
      <c r="HL408" s="1034">
        <f t="shared" si="295"/>
        <v>10</v>
      </c>
      <c r="HM408" s="1034">
        <f>IF(HM406=TRUE,0,HM$16)</f>
        <v>9</v>
      </c>
      <c r="HN408" s="1034">
        <f t="shared" ref="HN408:HR408" si="296">IF(HN406=TRUE,0,HN$16)</f>
        <v>0</v>
      </c>
      <c r="HO408" s="1034">
        <f t="shared" si="296"/>
        <v>0</v>
      </c>
      <c r="HP408" s="1034">
        <f t="shared" si="296"/>
        <v>0</v>
      </c>
      <c r="HQ408" s="1034">
        <f t="shared" si="296"/>
        <v>0</v>
      </c>
      <c r="HR408" s="1034">
        <f t="shared" si="296"/>
        <v>0</v>
      </c>
      <c r="HS408" s="1034">
        <f>IF(HS406=TRUE,0,HS$16)</f>
        <v>0</v>
      </c>
      <c r="HT408" s="1034">
        <f t="shared" ref="HT408" si="297">IF(HT406=TRUE,0,HT$16)</f>
        <v>0</v>
      </c>
      <c r="HU408" s="1034">
        <f>IF(HU406=TRUE,0,HU$16)</f>
        <v>1</v>
      </c>
      <c r="HW408" s="1034">
        <f>IF(GL406=FALSE,GL408,IF(GM406=FALSE,GM408,MAX(GJ408:HU408)))</f>
        <v>36</v>
      </c>
      <c r="HX408" s="1383"/>
      <c r="HY408" s="241" t="str">
        <f>VLOOKUP(HW408,_Error_Table,3,FALSE)</f>
        <v xml:space="preserve"> </v>
      </c>
      <c r="HZ408" s="241"/>
      <c r="IA408" s="1386"/>
      <c r="IB408" s="1380"/>
      <c r="IC408" s="1379"/>
      <c r="IF408" s="1380"/>
      <c r="IG408" s="1383"/>
      <c r="IH408" s="1383"/>
      <c r="II408" s="1383"/>
      <c r="IK408" s="1351"/>
      <c r="IL408" s="1351"/>
      <c r="IM408" s="1351"/>
      <c r="IN408" s="1351"/>
      <c r="IO408" s="1351"/>
      <c r="IP408" s="1351"/>
    </row>
    <row r="409" spans="1:250" s="82" customFormat="1" ht="5.0999999999999996" customHeight="1" thickBot="1">
      <c r="B409" s="763"/>
      <c r="C409" s="1038"/>
      <c r="D409" s="1038"/>
      <c r="E409" s="1490"/>
      <c r="F409" s="1490"/>
      <c r="G409" s="1490"/>
      <c r="H409" s="1490"/>
      <c r="I409" s="1490"/>
      <c r="J409" s="1490"/>
      <c r="K409" s="1490"/>
      <c r="L409" s="1490"/>
      <c r="M409" s="1490"/>
      <c r="N409" s="1490"/>
      <c r="O409" s="1490"/>
      <c r="P409" s="1490"/>
      <c r="Q409" s="1490"/>
      <c r="R409" s="1490"/>
      <c r="S409" s="1490"/>
      <c r="T409" s="1490"/>
      <c r="U409" s="1490"/>
      <c r="V409" s="1490"/>
      <c r="W409" s="1490"/>
      <c r="X409" s="1490"/>
      <c r="Y409" s="1490"/>
      <c r="Z409" s="1490"/>
      <c r="AA409" s="1490"/>
      <c r="AB409" s="1490"/>
      <c r="AC409" s="1490"/>
      <c r="AD409" s="1490"/>
      <c r="AE409" s="1490"/>
      <c r="AF409" s="1490"/>
      <c r="AG409" s="1490"/>
      <c r="AH409" s="1490"/>
      <c r="AI409" s="1490"/>
      <c r="AJ409" s="1490"/>
      <c r="AK409" s="1490"/>
      <c r="AL409" s="1490"/>
      <c r="AM409" s="1490"/>
      <c r="AN409" s="1490"/>
      <c r="AO409" s="1490"/>
      <c r="AP409" s="1490"/>
      <c r="AQ409" s="1490"/>
      <c r="AR409" s="1490"/>
      <c r="AS409" s="1490"/>
      <c r="AT409" s="1490"/>
      <c r="AU409" s="1041"/>
      <c r="BC409" s="38"/>
      <c r="BD409" s="38"/>
      <c r="BE409" s="38"/>
      <c r="BF409" s="38"/>
      <c r="BG409" s="38"/>
      <c r="BH409" s="38"/>
      <c r="BI409" s="38"/>
      <c r="BJ409" s="38"/>
      <c r="BK409" s="38"/>
      <c r="BL409" s="38"/>
      <c r="BM409" s="38"/>
      <c r="BN409" s="38"/>
      <c r="BO409" s="38"/>
      <c r="BP409" s="38"/>
      <c r="BQ409" s="38"/>
      <c r="BR409" s="38"/>
      <c r="BS409" s="38"/>
      <c r="BT409" s="38"/>
      <c r="BU409" s="38"/>
      <c r="BV409" s="38"/>
      <c r="BW409" s="38"/>
      <c r="BX409" s="38"/>
      <c r="BY409" s="38"/>
      <c r="BZ409" s="38"/>
      <c r="CA409" s="38"/>
      <c r="CB409" s="38"/>
      <c r="CC409" s="38"/>
      <c r="CD409" s="38"/>
      <c r="CE409" s="38"/>
      <c r="CF409" s="38"/>
      <c r="CG409" s="38"/>
      <c r="CH409" s="38"/>
      <c r="CI409" s="38"/>
      <c r="CM409" s="749"/>
      <c r="CN409" s="749"/>
      <c r="CO409" s="1043"/>
      <c r="CP409" s="749"/>
      <c r="CS409" s="436"/>
      <c r="CT409" s="436"/>
      <c r="CU409" s="243"/>
      <c r="CV409" s="244"/>
      <c r="CW409" s="244"/>
      <c r="CX409" s="244"/>
      <c r="CY409" s="245"/>
      <c r="CZ409" s="245"/>
      <c r="DA409" s="245"/>
      <c r="DC409" s="750"/>
      <c r="DD409" s="751"/>
      <c r="DE409" s="752"/>
      <c r="DF409" s="753"/>
      <c r="DG409" s="754"/>
      <c r="DH409" s="754"/>
      <c r="DK409" s="244"/>
      <c r="DL409" s="750"/>
      <c r="DN409" s="750"/>
      <c r="DO409" s="755"/>
      <c r="DP409" s="436"/>
      <c r="DQ409" s="750"/>
      <c r="DR409" s="750"/>
      <c r="DS409" s="750"/>
      <c r="DU409" s="750"/>
      <c r="DV409" s="750"/>
      <c r="DW409" s="750"/>
      <c r="DX409" s="750"/>
      <c r="DZ409" s="756"/>
      <c r="EA409" s="756"/>
      <c r="EC409" s="754"/>
      <c r="ED409" s="754"/>
      <c r="EE409" s="244"/>
      <c r="EF409" s="754"/>
      <c r="EG409" s="754"/>
      <c r="EH409" s="243"/>
      <c r="EI409" s="243"/>
      <c r="EJ409" s="752"/>
      <c r="EK409" s="757"/>
      <c r="EL409" s="757"/>
      <c r="EM409" s="758"/>
      <c r="EN409" s="758"/>
      <c r="EO409" s="752"/>
      <c r="EP409" s="752"/>
      <c r="EQ409" s="752"/>
      <c r="ES409" s="750"/>
      <c r="EU409" s="436"/>
      <c r="EV409" s="436"/>
      <c r="EW409" s="436"/>
      <c r="EX409" s="436"/>
      <c r="EY409" s="436"/>
      <c r="EZ409" s="436"/>
      <c r="FB409" s="643"/>
      <c r="FD409" s="436"/>
      <c r="FE409" s="436"/>
      <c r="FF409" s="436"/>
      <c r="FO409" s="750"/>
      <c r="FP409" s="436"/>
      <c r="FQ409" s="436"/>
      <c r="FR409" s="750"/>
      <c r="FS409" s="750"/>
      <c r="FW409" s="749"/>
      <c r="FX409" s="749"/>
      <c r="FY409" s="749"/>
      <c r="FZ409" s="749"/>
      <c r="GA409" s="749"/>
      <c r="GB409" s="749"/>
      <c r="GC409" s="749"/>
      <c r="GD409" s="749"/>
      <c r="GE409" s="751"/>
      <c r="GF409" s="750"/>
      <c r="GG409" s="750"/>
    </row>
    <row r="410" spans="1:250" s="82" customFormat="1" ht="14.95" customHeight="1" thickTop="1" thickBot="1">
      <c r="B410" s="1421" t="str">
        <f>HY413</f>
        <v xml:space="preserve"> </v>
      </c>
      <c r="C410" s="1422">
        <f>C405+1</f>
        <v>72</v>
      </c>
      <c r="D410" s="1423"/>
      <c r="E410" s="1424" t="s">
        <v>242</v>
      </c>
      <c r="F410" s="1425"/>
      <c r="G410" s="1426"/>
      <c r="H410" s="1427"/>
      <c r="I410" s="1427"/>
      <c r="J410" s="1427"/>
      <c r="K410" s="1427"/>
      <c r="L410" s="1427"/>
      <c r="M410" s="1427"/>
      <c r="N410" s="1427"/>
      <c r="O410" s="1427"/>
      <c r="P410" s="1427"/>
      <c r="Q410" s="1427"/>
      <c r="R410" s="1427"/>
      <c r="S410" s="1428" t="s">
        <v>283</v>
      </c>
      <c r="T410" s="668" t="s">
        <v>190</v>
      </c>
      <c r="U410" s="1430" t="s">
        <v>186</v>
      </c>
      <c r="V410" s="1431"/>
      <c r="W410" s="1431"/>
      <c r="X410" s="1431"/>
      <c r="Y410" s="1431"/>
      <c r="Z410" s="1431"/>
      <c r="AA410" s="1431"/>
      <c r="AB410" s="1088" t="str">
        <f>IFERROR(IF(__Retrofit_TI_NC=0,VLOOKUP(U411,Fixtures_Existing_List,2,FALSE),ROUND(N412*R412/T412,10)),"")</f>
        <v/>
      </c>
      <c r="AC410" s="1039" t="str">
        <f>IFERROR(IF(__Retrofit_TI_NC=0,ROUND(T411*AB410*N411*R411/1000,0),IF(CN410="Interior",N412*R412*R411*N411*_C406_reduction/1000,N412*R412*R411*N411/1000)),"")</f>
        <v/>
      </c>
      <c r="AD410" s="1040" t="str">
        <f>IFERROR(IF(C$36=0,ROUND(T411*AB410/1000,2),N412*R412/1000),"")</f>
        <v/>
      </c>
      <c r="AE410" s="1044" t="s">
        <v>190</v>
      </c>
      <c r="AF410" s="1432" t="str">
        <f>IF(__Retrofit_TI_NC=2,CONCATENATE("Code min = ",DD410),IF(__Retrofit_TI_NC=1,"Emter what you think the existing control was"," Control"))</f>
        <v xml:space="preserve"> Control</v>
      </c>
      <c r="AG410" s="1432"/>
      <c r="AH410" s="1432"/>
      <c r="AI410" s="1432"/>
      <c r="AJ410" s="1433">
        <f>DF410</f>
        <v>0</v>
      </c>
      <c r="AK410" s="1435" t="str">
        <f>IFERROR(ROUND(AJ410*AC410,0),"")</f>
        <v/>
      </c>
      <c r="AL410" s="1437">
        <f>IFERROR(IF(HW410=FALSE,0,AC410-AK410),0)</f>
        <v>0</v>
      </c>
      <c r="AM410" s="1439">
        <f>AL410-AL412</f>
        <v>0</v>
      </c>
      <c r="AN410" s="1440"/>
      <c r="AO410" s="1445">
        <f>IFERROR(IF(HW410=FALSE,0,(T412*U413)+(AE412*AF413)),0)</f>
        <v>0</v>
      </c>
      <c r="AP410" s="1445"/>
      <c r="AQ410" s="1446"/>
      <c r="AR410" s="1451" t="s">
        <v>157</v>
      </c>
      <c r="AS410" s="1454">
        <f>IF(AR410="Yes",1,0)</f>
        <v>1</v>
      </c>
      <c r="AT410" s="1457" t="str">
        <f>IF(OR(DN410=4,DN410=5,DN410=6,DN410=12),CONCATENATE("$",IF(GD410=TRUE,Lookup!$B$11,Lookup!$B$2)," /lamp"),CONCATENATE(EA410,"/ kWh"))</f>
        <v>0/ kWh</v>
      </c>
      <c r="AU410" s="516"/>
      <c r="AV410" s="1478">
        <f>IFERROR(IF(GI411=TRUE,(AB413*T412)/R412,0),"NA")</f>
        <v>0</v>
      </c>
      <c r="AW410" s="1478" t="str">
        <f>IFERROR(N412*_C406_reduction,"NA")</f>
        <v>NA</v>
      </c>
      <c r="BC410" s="38"/>
      <c r="BD410" s="38"/>
      <c r="BE410" s="38"/>
      <c r="BF410" s="38"/>
      <c r="BG410" s="38"/>
      <c r="BH410" s="38"/>
      <c r="BI410" s="38"/>
      <c r="BJ410" s="38"/>
      <c r="BK410" s="38"/>
      <c r="BL410" s="38"/>
      <c r="BM410" s="38"/>
      <c r="BN410" s="38"/>
      <c r="BO410" s="38"/>
      <c r="BP410" s="38"/>
      <c r="BQ410" s="38"/>
      <c r="BR410" s="38"/>
      <c r="BS410" s="38"/>
      <c r="BT410" s="38"/>
      <c r="BU410" s="38"/>
      <c r="BV410" s="38"/>
      <c r="BW410" s="38"/>
      <c r="BX410" s="38"/>
      <c r="BY410" s="38"/>
      <c r="BZ410" s="38"/>
      <c r="CA410" s="38"/>
      <c r="CB410" s="38"/>
      <c r="CC410" s="38"/>
      <c r="CD410" s="38"/>
      <c r="CE410" s="38"/>
      <c r="CF410" s="38"/>
      <c r="CG410" s="38"/>
      <c r="CH410" s="38"/>
      <c r="CI410" s="38"/>
      <c r="CM410" s="1352" t="str">
        <f>N411</f>
        <v/>
      </c>
      <c r="CN410" s="1352" t="str">
        <f>IFERROR(VLOOKUP(G411,_Lookup_Heat_Type_Table_New,3,FALSE),"")</f>
        <v/>
      </c>
      <c r="CO410" s="1415" t="str">
        <f>CN410</f>
        <v/>
      </c>
      <c r="CP410" s="1417" t="e">
        <f>VLOOKUP(G412,'Space Table'!$B$3:$L$160,9,FALSE)</f>
        <v>#N/A</v>
      </c>
      <c r="CR410" s="1386" t="s">
        <v>283</v>
      </c>
      <c r="CS410" s="1353">
        <f>IF(HW410=TRUE,T411,0)</f>
        <v>0</v>
      </c>
      <c r="CT410" s="1353" t="str">
        <f>IF(HW410=TRUE,U411,"")</f>
        <v/>
      </c>
      <c r="CU410" s="1353"/>
      <c r="CV410" s="1370">
        <f>IF(HW410=TRUE,AB410,0)</f>
        <v>0</v>
      </c>
      <c r="CW410" s="1370">
        <f>IF(HW410=TRUE,AC410,0)</f>
        <v>0</v>
      </c>
      <c r="CX410" s="1370">
        <f>IFERROR(IF(HW410=TRUE,CW410-CW412,0),0)</f>
        <v>0</v>
      </c>
      <c r="CY410" s="1485">
        <f>IF(HW410=TRUE,AD410,0)</f>
        <v>0</v>
      </c>
      <c r="CZ410" s="1485">
        <f>IF(HW410=TRUE,AD413,0)</f>
        <v>0</v>
      </c>
      <c r="DA410" s="1485">
        <f>IFERROR(CY410-CZ410,0)</f>
        <v>0</v>
      </c>
      <c r="DC410" s="1353">
        <f>IF(HW410=TRUE,AE411,0)</f>
        <v>0</v>
      </c>
      <c r="DD410" s="1460">
        <f>IF(__Retrofit_TI_NC=2,IF(CN410="Exterior",O413,FM410),FK410)</f>
        <v>0</v>
      </c>
      <c r="DE410" s="1353"/>
      <c r="DF410" s="1406">
        <f>IFERROR(IF(FL410=3,IK410,IF(FL410=4,IL410,IF(FL410=5,IM410,IF(FL410=6,IN410,IF(FL410=7,IO410,IF(FL410=8,IP410,0)))))),0)</f>
        <v>0</v>
      </c>
      <c r="DG410" s="1370">
        <f>IF(HW410=TRUE,AK410,0)</f>
        <v>0</v>
      </c>
      <c r="DH410" s="1369">
        <f>IFERROR(IF(HW410=TRUE,DG412-DG410,0),0)</f>
        <v>0</v>
      </c>
      <c r="DJ410" s="1483">
        <f>IFERROR(CW410-DG410,0)</f>
        <v>0</v>
      </c>
      <c r="DL410" s="1419">
        <f>DJ410-DK412</f>
        <v>0</v>
      </c>
      <c r="DN410" s="1403" t="str">
        <f>IFERROR(IF(AND(OR(FY410=4,FY410=5,FY410=6),OR(GB410=4,GB410=5,GB410=6)),FY410+8,VLOOKUP(CT412,Fixtures!R$31:Y$78,8,FALSE)),"")</f>
        <v/>
      </c>
      <c r="DO410" s="1404" t="str">
        <f>DN410</f>
        <v/>
      </c>
      <c r="DP410" s="1353" t="str">
        <f>IFERROR(VLOOKUP(DD412,Lookup!AU$3:AV$15,2,FALSE),"")</f>
        <v/>
      </c>
      <c r="DQ410" s="1404" t="str">
        <f>IF(DP410=7,"LLLC","")</f>
        <v/>
      </c>
      <c r="DR410" s="1403">
        <f>IFERROR(IF(OR(DN410=4,DN410=5,DN410=6,DN410=12,DN410=13,DN410=14),VLOOKUP(CT412,Fixtures!DN$27:EG$77,19,FALSE),1)*CS412,0)</f>
        <v>0</v>
      </c>
      <c r="DS410" s="1489">
        <f>IF(DP410=7,IF(DD410=DD412,0,DC412),0)</f>
        <v>0</v>
      </c>
      <c r="DU410" s="1403" t="str">
        <f>IFERROR(IF(EW410&lt;EW412,"Yes","No"),"")</f>
        <v/>
      </c>
      <c r="DV410" s="1404" t="str">
        <f>DU410</f>
        <v/>
      </c>
      <c r="DW410" s="1403">
        <f>IF(DU410="Yes",DC412,0)</f>
        <v>0</v>
      </c>
      <c r="DX410" s="1403">
        <f>DW410-DS410</f>
        <v>0</v>
      </c>
      <c r="DZ410" s="1481">
        <f>IFERROR(VLOOKUP(DN410,Lookup!AN$3:AO$16,2,FALSE),0)</f>
        <v>0</v>
      </c>
      <c r="EA410" s="1481">
        <f>IF(HW410=FALSE,0,IF(DU410="Yes",DZ410+Lookup!B$6,DZ410))</f>
        <v>0</v>
      </c>
      <c r="EC410" s="1482">
        <f>IF(HW410=TRUE,DJ410,0)</f>
        <v>0</v>
      </c>
      <c r="ED410" s="1369">
        <f>IF(HW410=TRUE,CW412,0)</f>
        <v>0</v>
      </c>
      <c r="EE410" s="1370">
        <f>IFERROR(EC410-ED410,0)</f>
        <v>0</v>
      </c>
      <c r="EF410" s="1369">
        <f>IF(HW410=TRUE,DG412,0)</f>
        <v>0</v>
      </c>
      <c r="EG410" s="1369">
        <f>IFERROR(EC410-ED410+EF410,0)</f>
        <v>0</v>
      </c>
      <c r="EH410" s="1373">
        <f>IF(HW410=TRUE,CS412*CU412,0)</f>
        <v>0</v>
      </c>
      <c r="EI410" s="1373">
        <f>IF(HW410=TRUE,DC412*DE412,0)</f>
        <v>0</v>
      </c>
      <c r="EJ410" s="1363">
        <f>AO410</f>
        <v>0</v>
      </c>
      <c r="EK410" s="1376" t="str">
        <f>IFERROR(IF(HW410=TRUE,VLOOKUP(DN410,Lookup!AN$3:AP$16,3,FALSE)*DR410,""),0)</f>
        <v/>
      </c>
      <c r="EL410" s="1376">
        <f>IF(HW410=TRUE,DW410*Lookup!AP$12,0)</f>
        <v>0</v>
      </c>
      <c r="EM410" s="1362">
        <f>IFERROR(IF(HW410=TRUE,EK410/EM$33,0),0)</f>
        <v>0</v>
      </c>
      <c r="EN410" s="1362">
        <f>IF(HW410=TRUE,EL410/EN$33,0)</f>
        <v>0</v>
      </c>
      <c r="EO410" s="1363">
        <f>IF(HW410=TRUE,EQ$33*EM410,0)</f>
        <v>0</v>
      </c>
      <c r="EP410" s="1363">
        <f>IF(HW410=TRUE,EQ$33*EN410,0)</f>
        <v>0</v>
      </c>
      <c r="EQ410" s="1363">
        <f>EO410+EP410</f>
        <v>0</v>
      </c>
      <c r="ES410" s="1403">
        <f>IF(G410="",0,1)</f>
        <v>0</v>
      </c>
      <c r="EU410" s="1410" t="e">
        <f>VLOOKUP(CP412,'Space Table'!$B$3:$L$160,8,FALSE)</f>
        <v>#N/A</v>
      </c>
      <c r="EV410" s="1410" t="e">
        <f>IF(EY410="Yes",VLOOKUP(DD410,Lookup_Control_Type_Table2,4,FALSE),VLOOKUP(DD410,Lookup_Control_Type_Table2,3,FALSE))</f>
        <v>#N/A</v>
      </c>
      <c r="EW410" s="1410" t="e">
        <f>VLOOKUP(DD410,Lookup!AU$3:AV$15,2,FALSE)</f>
        <v>#N/A</v>
      </c>
      <c r="EX410" s="1410" t="e">
        <f>VLOOKUP(EU410,Lookup_Control_Type_Table,2,FALSE)</f>
        <v>#N/A</v>
      </c>
      <c r="EY410" s="1410" t="e">
        <f>VLOOKUP(CP412,'Space Table'!$B$3:$L$160,7,FALSE)</f>
        <v>#N/A</v>
      </c>
      <c r="EZ410" s="1412" t="b">
        <f>ISNUMBER(SEARCH("TLED",U412))</f>
        <v>0</v>
      </c>
      <c r="FB410" s="1365" t="str">
        <f>CONCATENATE(CN410," - ",DD410)</f>
        <v xml:space="preserve"> - 0</v>
      </c>
      <c r="FD410" s="1353" t="str">
        <f>VLOOKUP(CT412,Fixtures!DN$27:EZ$77,38,FALSE)</f>
        <v/>
      </c>
      <c r="FE410" s="1353">
        <f>IFERROR(FD410*EE410,0)</f>
        <v>0</v>
      </c>
      <c r="FF410" s="138"/>
      <c r="FI410" s="1356" t="str">
        <f>IF(CN410="Exterior","Not Daylighted",G413)</f>
        <v>Not Daylighted</v>
      </c>
      <c r="FJ410" s="1356">
        <f>VLOOKUP(FI410,_Daylight_Table_Codes,2,FALSE)</f>
        <v>0</v>
      </c>
      <c r="FK410" s="1365">
        <f>IF(__Retrofit_TI_NC=2,VLOOKUP(G412,'Space Table'!$B$3:$L$160,11,FALSE),AF411)</f>
        <v>0</v>
      </c>
      <c r="FL410" s="1365" t="e">
        <f>VLOOKUP(FK410,_Control_Table,2,FALSE)</f>
        <v>#N/A</v>
      </c>
      <c r="FM410" s="1365" t="e">
        <f>IF(AND(FP410&gt;0,FK410="Occupancy Sensor"),"Daylight + Occupancy",IF(AND(FP410&gt;0,FL410&lt;4),"Interior Daylight Dimming",FK410))</f>
        <v>#N/A</v>
      </c>
      <c r="FO410" s="1364">
        <f>IF(CO410="Interior",VLOOKUP(CP410,Control_Savings_Interior,5,FALSE),0)</f>
        <v>0</v>
      </c>
      <c r="FP410" s="1361">
        <f>IF(CN410="Exterior",0,IF(FJ410=2,0.5,IF(OR(FJ410=1,FJ410=3),1,0)))</f>
        <v>0</v>
      </c>
      <c r="FQ410" s="1366"/>
      <c r="FR410" s="1367"/>
      <c r="FS410" s="1364"/>
      <c r="FT410" s="1367"/>
      <c r="FU410" s="1360"/>
      <c r="FW410" s="1352" t="str">
        <f>IFERROR(VLOOKUP(U411,_Exist_Fixture_Table,3,FALSE),"")</f>
        <v/>
      </c>
      <c r="FX410" s="1352" t="str">
        <f>VLOOKUP(CT410,_Exist_Fixture_Table,4,FALSE)</f>
        <v/>
      </c>
      <c r="FY410" s="1352">
        <f>IFERROR(VLOOKUP(FX410,Lookup!AM$6:AN$8,2,FALSE),0)</f>
        <v>0</v>
      </c>
      <c r="FZ410" s="1352" t="b">
        <f>IFERROR(IF(OR(GB410=4,GB410=5,GB410=6),TRUE,FALSE),"")</f>
        <v>0</v>
      </c>
      <c r="GA410" s="1352" t="str">
        <f>IFERROR(VLOOKUP(GB410,FY$6:FZ$10,2,FALSE),"")</f>
        <v/>
      </c>
      <c r="GB410" s="1352" t="str">
        <f>VLOOKUP(CT412,Fixtures!R$31:Y$78,8,FALSE)</f>
        <v/>
      </c>
      <c r="GC410" s="1352">
        <f>IF(AND(FW410=TRUE,FZ410=TRUE,OR(DN410=12,DN410=13,DN410=14)),FY410+8,0)</f>
        <v>0</v>
      </c>
      <c r="GD410" s="1352" t="b">
        <f>IF(OR(GC410=12,GC410=13,GC410=14),TRUE,FALSE)</f>
        <v>0</v>
      </c>
      <c r="GE410" s="759" t="b">
        <f>IF(ISNUMBER(SEARCH("TLED",U411)),TRUE,FALSE)</f>
        <v>0</v>
      </c>
      <c r="GF410" s="1035" t="str">
        <f>IFERROR(VLOOKUP(U411,Fixtures!BM$93:BR$142,6,FALSE),"")</f>
        <v/>
      </c>
      <c r="GG410" s="1385" t="b">
        <f>IF(OR(GE410=FALSE,GE412=FALSE),TRUE,IF(GF410-GF412&lt;5,FALSE,TRUE))</f>
        <v>1</v>
      </c>
      <c r="GK410" s="1034">
        <f>GL410</f>
        <v>0</v>
      </c>
      <c r="GL410" s="1034">
        <f>IF(G410="",0,1)</f>
        <v>0</v>
      </c>
      <c r="GM410" s="1034">
        <f>SUM(GN410:HB410)</f>
        <v>2</v>
      </c>
      <c r="GN410" s="1034">
        <f>IF(G411="",0,1)</f>
        <v>0</v>
      </c>
      <c r="GO410" s="1034">
        <f>IF(G412="",0,1)</f>
        <v>0</v>
      </c>
      <c r="GP410" s="1034">
        <f>IF(R411="",0,1)</f>
        <v>0</v>
      </c>
      <c r="GQ410" s="1034">
        <f>IF(__Retrofit_TI_NC=0,1,IF(R412="",0,1))</f>
        <v>1</v>
      </c>
      <c r="GR410" s="1034">
        <f>IF(CN410="Exterior",1,IF(G413="",0,1))</f>
        <v>1</v>
      </c>
      <c r="GS410" s="1034">
        <f>IF(__Retrofit_TI_NC&lt;&gt;0,1,IF(T411="",0,1))</f>
        <v>0</v>
      </c>
      <c r="GT410" s="1034">
        <f>IF(__Retrofit_TI_NC&lt;&gt;0,1,IF(U411="",0,1))</f>
        <v>0</v>
      </c>
      <c r="GU410" s="1034">
        <f>IF(T412="",0,1)</f>
        <v>0</v>
      </c>
      <c r="GV410" s="1034">
        <f>IF(U412="",0,1)</f>
        <v>0</v>
      </c>
      <c r="GW410" s="1034">
        <f>IF(__Retrofit_TI_NC=2,1,IF(U413="",0,1))</f>
        <v>0</v>
      </c>
      <c r="GX410" s="1034">
        <f>IF(__Retrofit_TI_NC&lt;&gt;0,1,IF(AE411="",0,1))</f>
        <v>0</v>
      </c>
      <c r="GY410" s="1034">
        <f>IF(__Retrofit_TI_NC&lt;&gt;0,1,IF(AF411="",0,1))</f>
        <v>0</v>
      </c>
      <c r="GZ410" s="1034">
        <f>IF(AE412="",0,1)</f>
        <v>0</v>
      </c>
      <c r="HA410" s="1034">
        <f>IF(AF412="",0,1)</f>
        <v>0</v>
      </c>
      <c r="HB410" s="1034">
        <f>IF(__Retrofit_TI_NC=2,1,IF(AF413="",0,1))</f>
        <v>0</v>
      </c>
      <c r="HV410" s="436"/>
      <c r="HW410" s="1384" t="b">
        <f>IF(OR(HW413=0,HW413=HT$16,HW413=HS$16,HW413=HU$16),TRUE,FALSE)</f>
        <v>0</v>
      </c>
      <c r="HX410" s="1377" t="b">
        <f>HW410</f>
        <v>0</v>
      </c>
      <c r="HY410" s="436"/>
      <c r="HZ410" s="436"/>
      <c r="IA410" s="1386" t="b">
        <f>IF(MAX(GJ413:HP413)&gt;5,FALSE,TRUE)</f>
        <v>0</v>
      </c>
      <c r="IB410" s="1380">
        <f>IF(IA410=TRUE,AC410,0)</f>
        <v>0</v>
      </c>
      <c r="IC410" s="1380">
        <f>IB410-IB412</f>
        <v>0</v>
      </c>
      <c r="IF410" s="1380" t="e">
        <f>ROUND(T411*VLOOKUP(U411,Fixtures_Existing_List,2,FALSE)*N411*R411/1000,0)</f>
        <v>#N/A</v>
      </c>
      <c r="IG410" s="1381" t="e">
        <f>IF410-IF412</f>
        <v>#N/A</v>
      </c>
      <c r="IH410" s="1384" t="e">
        <f>ROUND(IF(CN410="Interior",N412*R412*R411*N411*_C406_reduction/1000,N412*R412*R411*N411/1000),0)</f>
        <v>#N/A</v>
      </c>
      <c r="II410" s="1384" t="e">
        <f>IH410-IH412</f>
        <v>#N/A</v>
      </c>
      <c r="IK410" s="1351" t="e">
        <f>IF($CO410="interior",IL410/2,VLOOKUP($CP410,Control_Savings_Exterior,IK$30,FALSE))</f>
        <v>#N/A</v>
      </c>
      <c r="IL410" s="1351" t="e">
        <f>IF($CO410="interior",VLOOKUP($CP410,Control_Savings_Interior,IL$30,FALSE),VLOOKUP($CP410,Control_Savings_Exterior,IL$30,FALSE))</f>
        <v>#N/A</v>
      </c>
      <c r="IM410" s="1351" t="e">
        <f>IF($CO410="interior",IF(R411&gt;FO$37,(IM$28*(FO$37/R411)),IM$28)*FP410,VLOOKUP($CP410,Control_Savings_Exterior,IM$30,FALSE))</f>
        <v>#N/A</v>
      </c>
      <c r="IN410" s="1351" t="e">
        <f>IF($CO410="interior",ROUND(((1-IL410)*IM410)+IL410,2),VLOOKUP($CP410,Control_Savings_Exterior,IN$30,FALSE))</f>
        <v>#N/A</v>
      </c>
      <c r="IO410" s="1351" t="e">
        <f>IF($CO410="interior", ROUND(((1-IL410)*(IM410*(1-IP$28)))+IP410,2), VLOOKUP($CP410,Control_Savings_Exterior,IO$30,FALSE))</f>
        <v>#N/A</v>
      </c>
      <c r="IP410" s="1351">
        <f>IF($CO410="interior",ROUND(((1-IL410)*IP$28)+IL410,2),0)</f>
        <v>0</v>
      </c>
    </row>
    <row r="411" spans="1:250" s="82" customFormat="1" ht="14.95" customHeight="1" thickTop="1" thickBot="1">
      <c r="B411" s="1421"/>
      <c r="C411" s="1422"/>
      <c r="D411" s="1423"/>
      <c r="E411" s="1393" t="s">
        <v>244</v>
      </c>
      <c r="F411" s="1394"/>
      <c r="G411" s="1395"/>
      <c r="H411" s="1395"/>
      <c r="I411" s="1395"/>
      <c r="J411" s="1395"/>
      <c r="K411" s="1395"/>
      <c r="L411" s="1395"/>
      <c r="M411" s="509" t="e">
        <f>IF(__Retrofit_TI_NC&lt;&gt;0,IF(VLOOKUP(G412,'Space Table'!$B$3:$L$160,3,FALSE)&gt;0,1,0),IF(__Retrofit_TI_NC=VLOOKUP(G412,'Space Table'!$B$3:$L$160,3,FALSE),1,0))</f>
        <v>#N/A</v>
      </c>
      <c r="N411" s="509" t="str">
        <f>IFERROR(VLOOKUP(G411,_Lookup_Heat_Type_Table_New,2,FALSE),"")</f>
        <v/>
      </c>
      <c r="O411" s="509">
        <f>IF(__Retrofit_TI_NC=1,CONCATENATE("TI ",G411),IF(__Retrofit_TI_NC=2,CONCATENATE("NC ",G411),G411))</f>
        <v>0</v>
      </c>
      <c r="P411" s="1396" t="s">
        <v>352</v>
      </c>
      <c r="Q411" s="1396"/>
      <c r="R411" s="673"/>
      <c r="S411" s="1429"/>
      <c r="T411" s="675"/>
      <c r="U411" s="1496"/>
      <c r="V411" s="1497"/>
      <c r="W411" s="1497"/>
      <c r="X411" s="1497"/>
      <c r="Y411" s="1497"/>
      <c r="Z411" s="1497"/>
      <c r="AA411" s="1497"/>
      <c r="AB411" s="1497"/>
      <c r="AC411" s="1497"/>
      <c r="AD411" s="1498"/>
      <c r="AE411" s="675"/>
      <c r="AF411" s="1397"/>
      <c r="AG411" s="1397"/>
      <c r="AH411" s="1397"/>
      <c r="AI411" s="1397"/>
      <c r="AJ411" s="1434"/>
      <c r="AK411" s="1436"/>
      <c r="AL411" s="1438"/>
      <c r="AM411" s="1441"/>
      <c r="AN411" s="1442"/>
      <c r="AO411" s="1447"/>
      <c r="AP411" s="1447"/>
      <c r="AQ411" s="1448"/>
      <c r="AR411" s="1452"/>
      <c r="AS411" s="1455"/>
      <c r="AT411" s="1458"/>
      <c r="AU411" s="516"/>
      <c r="AV411" s="1479"/>
      <c r="AW411" s="1479"/>
      <c r="BC411" s="38"/>
      <c r="BD411" s="38"/>
      <c r="BE411" s="38"/>
      <c r="BF411" s="38"/>
      <c r="BG411" s="38"/>
      <c r="BH411" s="38"/>
      <c r="BI411" s="38"/>
      <c r="BJ411" s="38"/>
      <c r="BK411" s="38"/>
      <c r="BL411" s="38"/>
      <c r="BM411" s="38"/>
      <c r="BN411" s="38"/>
      <c r="BO411" s="38"/>
      <c r="BP411" s="38"/>
      <c r="BQ411" s="38"/>
      <c r="BR411" s="38"/>
      <c r="BS411" s="38"/>
      <c r="BT411" s="38"/>
      <c r="BU411" s="38"/>
      <c r="BV411" s="38"/>
      <c r="BW411" s="38"/>
      <c r="BX411" s="38"/>
      <c r="BY411" s="38"/>
      <c r="BZ411" s="38"/>
      <c r="CA411" s="38"/>
      <c r="CB411" s="38"/>
      <c r="CC411" s="38"/>
      <c r="CD411" s="38"/>
      <c r="CE411" s="38"/>
      <c r="CF411" s="38"/>
      <c r="CG411" s="38"/>
      <c r="CH411" s="38"/>
      <c r="CI411" s="38"/>
      <c r="CM411" s="1352"/>
      <c r="CN411" s="1352"/>
      <c r="CO411" s="1416"/>
      <c r="CP411" s="1418"/>
      <c r="CR411" s="1386"/>
      <c r="CS411" s="1355"/>
      <c r="CT411" s="1355"/>
      <c r="CU411" s="1355"/>
      <c r="CV411" s="1372"/>
      <c r="CW411" s="1372"/>
      <c r="CX411" s="1371"/>
      <c r="CY411" s="1486"/>
      <c r="CZ411" s="1486"/>
      <c r="DA411" s="1486"/>
      <c r="DC411" s="1355"/>
      <c r="DD411" s="1461"/>
      <c r="DE411" s="1355"/>
      <c r="DF411" s="1407"/>
      <c r="DG411" s="1372"/>
      <c r="DH411" s="1369"/>
      <c r="DJ411" s="1484"/>
      <c r="DL411" s="1419"/>
      <c r="DN411" s="1403"/>
      <c r="DO411" s="1405"/>
      <c r="DP411" s="1354"/>
      <c r="DQ411" s="1405"/>
      <c r="DR411" s="1403"/>
      <c r="DS411" s="1489"/>
      <c r="DU411" s="1403"/>
      <c r="DV411" s="1405"/>
      <c r="DW411" s="1403"/>
      <c r="DX411" s="1403"/>
      <c r="DZ411" s="1481"/>
      <c r="EA411" s="1481"/>
      <c r="EC411" s="1482"/>
      <c r="ED411" s="1369"/>
      <c r="EE411" s="1371"/>
      <c r="EF411" s="1369"/>
      <c r="EG411" s="1369"/>
      <c r="EH411" s="1374"/>
      <c r="EI411" s="1374"/>
      <c r="EJ411" s="1363"/>
      <c r="EK411" s="1376"/>
      <c r="EL411" s="1376"/>
      <c r="EM411" s="1362"/>
      <c r="EN411" s="1362"/>
      <c r="EO411" s="1363"/>
      <c r="EP411" s="1363"/>
      <c r="EQ411" s="1363"/>
      <c r="ES411" s="1403"/>
      <c r="EU411" s="1411"/>
      <c r="EV411" s="1411"/>
      <c r="EW411" s="1411"/>
      <c r="EX411" s="1411"/>
      <c r="EY411" s="1411"/>
      <c r="EZ411" s="1413"/>
      <c r="FB411" s="1365"/>
      <c r="FD411" s="1354"/>
      <c r="FE411" s="1354"/>
      <c r="FF411" s="138"/>
      <c r="FI411" s="1357"/>
      <c r="FJ411" s="1357"/>
      <c r="FK411" s="1365"/>
      <c r="FL411" s="1365"/>
      <c r="FM411" s="1365"/>
      <c r="FO411" s="1361"/>
      <c r="FP411" s="1361"/>
      <c r="FQ411" s="1366"/>
      <c r="FR411" s="1368"/>
      <c r="FS411" s="1361"/>
      <c r="FT411" s="1368"/>
      <c r="FU411" s="1360"/>
      <c r="FW411" s="1352"/>
      <c r="FX411" s="1352"/>
      <c r="FY411" s="1352"/>
      <c r="FZ411" s="1352"/>
      <c r="GA411" s="1352"/>
      <c r="GB411" s="1352"/>
      <c r="GC411" s="1352"/>
      <c r="GD411" s="1352"/>
      <c r="GE411" s="759"/>
      <c r="GF411" s="1035"/>
      <c r="GG411" s="1385"/>
      <c r="GI411" s="1384" t="b">
        <f>IF(AND(GL411=TRUE,GM411=TRUE),TRUE,FALSE)</f>
        <v>0</v>
      </c>
      <c r="GJ411" s="1379" t="b">
        <f>IFERROR(IF(__Retrofit_TI_NC=2,TRUE,IF(AR410="Yes",TRUE,FALSE)),FALSE)</f>
        <v>1</v>
      </c>
      <c r="GL411" s="1379" t="b">
        <f>IFERROR(IF(GL410=1,TRUE,FALSE),FALSE)</f>
        <v>0</v>
      </c>
      <c r="GM411" s="1379" t="b">
        <f>IFERROR(IF(GM410=GM$14,TRUE,FALSE),FALSE)</f>
        <v>0</v>
      </c>
      <c r="HC411" s="1379" t="b">
        <f>IFERROR(IF(M411=1,TRUE,FALSE),FALSE)</f>
        <v>0</v>
      </c>
      <c r="HD411" s="1379" t="b">
        <f>IFERROR(IF(M412=1,TRUE,FALSE),FALSE)</f>
        <v>0</v>
      </c>
      <c r="HE411" s="1379" t="b">
        <f>IFERROR(IF(__Retrofit_TI_NC&lt;&gt;0,TRUE,IFERROR(IF(VLOOKUP(U411,Fixtures_Existing_List,2,FALSE)&lt;&gt;"",TRUE,FALSE),FALSE)),FALSE)</f>
        <v>0</v>
      </c>
      <c r="HF411" s="1379" t="b">
        <f>IFERROR(IF(VLOOKUP(U412,Fixtures_Proposed_List,2,FALSE)&lt;&gt;"",TRUE,FALSE),FALSE)</f>
        <v>0</v>
      </c>
      <c r="HG411" s="1379" t="b">
        <f>IF(AND(__Retrofit_TI_NC=2,EZ410=TRUE),FALSE,TRUE)</f>
        <v>1</v>
      </c>
      <c r="HH411" s="1379" t="b">
        <f>GG410</f>
        <v>1</v>
      </c>
      <c r="HI411" s="1384" t="b">
        <f>IF(ISERROR(MATCH(FB410,_Control_Match[],0))=TRUE,FALSE,TRUE)</f>
        <v>0</v>
      </c>
      <c r="HJ411" s="1384" t="b">
        <f>IFERROR(IF(EU410&lt;&gt;EV410,FALSE,TRUE),FALSE)</f>
        <v>0</v>
      </c>
      <c r="HK411" s="1384" t="b">
        <f>IFERROR(IF(EU412&lt;&gt;EV412,FALSE,TRUE),FALSE)</f>
        <v>0</v>
      </c>
      <c r="HL411" s="1379" t="b">
        <f>IFERROR(IF(CN410="Exterior",TRUE,IF(OR(AND(FJ410=0,EW412&gt;4),AND(FJ410=4,EW412&gt;4,EW412&lt;7)),FALSE,TRUE)),FALSE)</f>
        <v>0</v>
      </c>
      <c r="HM411" s="1379" t="b">
        <f>IFERROR(IF(AND(FL412=7,EZ410=TRUE),FALSE,TRUE),FALSE)</f>
        <v>0</v>
      </c>
      <c r="HN411" s="1379" t="b">
        <f>IFERROR(IF(AND(T412&lt;&gt;AE412,AF412="Interior LLLC")=TRUE,FALSE,TRUE),FALSE)</f>
        <v>1</v>
      </c>
      <c r="HO411" s="1379" t="b">
        <f>IFERROR(IF(OR(AF412=Lookup!AU$13,AF412=Lookup!AU$14)=TRUE,IF(AE412&gt;T412,FALSE,TRUE),TRUE),FALSE)</f>
        <v>1</v>
      </c>
      <c r="HP411" s="1379" t="b">
        <f>IFERROR(IF(__Retrofit_TI_NC=2,IF(EW412&lt;EW410,FALSE,TRUE),TRUE),FALSE)</f>
        <v>1</v>
      </c>
      <c r="HQ411" s="1379" t="b">
        <f>IF(CN410="Interior",IG$6,TRUE)</f>
        <v>1</v>
      </c>
      <c r="HR411" s="1379" t="b">
        <f>IF(CN410="Exterior",IG$8,TRUE)</f>
        <v>1</v>
      </c>
      <c r="HS411" s="1379" t="b">
        <f>IFERROR(IF(__Retrofit_TI_NC&lt;&gt;0,IF(AW410&lt;AV410,FALSE,TRUE),TRUE),FALSE)</f>
        <v>1</v>
      </c>
      <c r="HT411" s="1379" t="b">
        <f>IFERROR(IF(AND(G411="Exterior",R411&gt;4200),FALSE,TRUE),FALSE)</f>
        <v>1</v>
      </c>
      <c r="HU411" s="1379" t="b">
        <f>IFERROR(IF(AB413/AB410&lt;HU$18,FALSE,TRUE),FALSE)</f>
        <v>0</v>
      </c>
      <c r="HW411" s="1382"/>
      <c r="HX411" s="1378"/>
      <c r="HY411" s="1377" t="str">
        <f>VLOOKUP(HW413,_Error_Table,4,FALSE)</f>
        <v>White</v>
      </c>
      <c r="HZ411" s="436"/>
      <c r="IA411" s="1386"/>
      <c r="IB411" s="1380"/>
      <c r="IC411" s="1379"/>
      <c r="IF411" s="1380"/>
      <c r="IG411" s="1382"/>
      <c r="IH411" s="1382"/>
      <c r="II411" s="1382"/>
      <c r="IK411" s="1351"/>
      <c r="IL411" s="1351"/>
      <c r="IM411" s="1351"/>
      <c r="IN411" s="1351"/>
      <c r="IO411" s="1351"/>
      <c r="IP411" s="1351"/>
    </row>
    <row r="412" spans="1:250" s="82" customFormat="1" ht="14.95" customHeight="1" thickTop="1" thickBot="1">
      <c r="A412" s="82">
        <f>ROW()</f>
        <v>412</v>
      </c>
      <c r="B412" s="1421"/>
      <c r="C412" s="1422"/>
      <c r="D412" s="1423"/>
      <c r="E412" s="1393" t="s">
        <v>245</v>
      </c>
      <c r="F412" s="1394"/>
      <c r="G412" s="1398"/>
      <c r="H412" s="1399"/>
      <c r="I412" s="1399"/>
      <c r="J412" s="1399"/>
      <c r="K412" s="1399"/>
      <c r="L412" s="1400"/>
      <c r="M412" s="509">
        <f>IFERROR(IF(IF(__Retrofit_TI_NC&lt;&gt;0,IF(CN410="Interior",MATCH(G412,Lookup_Interior_New,0),MATCH(G412,Lookup_Exterior_New,0)),IF(CN410="Interior",MATCH(G412,Lookup_Interior,0),MATCH(G412,Lookup_Exterior_Areas,0)))&gt;0,1,0),0)</f>
        <v>0</v>
      </c>
      <c r="N412" s="509" t="e">
        <f>IF(__Retrofit_TI_NC=1,
VLOOKUP(G412,'Space Table'!$B$3:$L$160,4,FALSE),
IF(__Retrofit_TI_NC=2,VLOOKUP(G412,'Space Table'!$B$3:$L$160,5,FALSE),VLOOKUP(G412,'Space Table'!$B$3:$L$160,5,FALSE)))</f>
        <v>#N/A</v>
      </c>
      <c r="O412" s="509">
        <f>G412</f>
        <v>0</v>
      </c>
      <c r="P412" s="1394" t="s">
        <v>355</v>
      </c>
      <c r="Q412" s="1394"/>
      <c r="R412" s="674"/>
      <c r="S412" s="1401" t="s">
        <v>284</v>
      </c>
      <c r="T412" s="672"/>
      <c r="U412" s="1499"/>
      <c r="V412" s="1500"/>
      <c r="W412" s="1500"/>
      <c r="X412" s="1500"/>
      <c r="Y412" s="1500"/>
      <c r="Z412" s="1500"/>
      <c r="AA412" s="1500"/>
      <c r="AB412" s="1501"/>
      <c r="AC412" s="1501"/>
      <c r="AD412" s="1502"/>
      <c r="AE412" s="672"/>
      <c r="AF412" s="1474"/>
      <c r="AG412" s="1474"/>
      <c r="AH412" s="1474"/>
      <c r="AI412" s="1474"/>
      <c r="AJ412" s="1475">
        <f>DF412</f>
        <v>0</v>
      </c>
      <c r="AK412" s="1470" t="str">
        <f>IFERROR(ROUND(AJ412*AC413,0),"")</f>
        <v/>
      </c>
      <c r="AL412" s="1472">
        <f>IFERROR(IF(HW410=FALSE,0,AC413-AK412),0)</f>
        <v>0</v>
      </c>
      <c r="AM412" s="1441"/>
      <c r="AN412" s="1442"/>
      <c r="AO412" s="1447"/>
      <c r="AP412" s="1447"/>
      <c r="AQ412" s="1448"/>
      <c r="AR412" s="1452"/>
      <c r="AS412" s="1455"/>
      <c r="AT412" s="1458"/>
      <c r="AU412" s="516"/>
      <c r="AV412" s="1479"/>
      <c r="AW412" s="1479"/>
      <c r="BC412" s="38"/>
      <c r="BD412" s="38"/>
      <c r="BE412" s="38"/>
      <c r="BF412" s="38"/>
      <c r="BG412" s="38"/>
      <c r="BH412" s="38"/>
      <c r="BI412" s="38"/>
      <c r="BJ412" s="38"/>
      <c r="BK412" s="38"/>
      <c r="BL412" s="38"/>
      <c r="BM412" s="38"/>
      <c r="BN412" s="38"/>
      <c r="BO412" s="38"/>
      <c r="BP412" s="38"/>
      <c r="BQ412" s="38"/>
      <c r="BR412" s="38"/>
      <c r="BS412" s="38"/>
      <c r="BT412" s="38"/>
      <c r="BU412" s="38"/>
      <c r="BV412" s="38"/>
      <c r="BW412" s="38"/>
      <c r="BX412" s="38"/>
      <c r="BY412" s="38"/>
      <c r="BZ412" s="38"/>
      <c r="CA412" s="38"/>
      <c r="CB412" s="38"/>
      <c r="CC412" s="38"/>
      <c r="CD412" s="38"/>
      <c r="CE412" s="38"/>
      <c r="CF412" s="38"/>
      <c r="CG412" s="38"/>
      <c r="CH412" s="38"/>
      <c r="CI412" s="38"/>
      <c r="CM412" s="1352"/>
      <c r="CN412" s="1352"/>
      <c r="CO412" s="1415" t="str">
        <f>CN410</f>
        <v/>
      </c>
      <c r="CP412" s="1417" t="e">
        <f>CP410</f>
        <v>#N/A</v>
      </c>
      <c r="CR412" s="1386" t="s">
        <v>284</v>
      </c>
      <c r="CS412" s="1353">
        <f>IF(HW410=TRUE,T412,0)</f>
        <v>0</v>
      </c>
      <c r="CT412" s="1353" t="str">
        <f>IF(HW410=TRUE,U412,"")</f>
        <v/>
      </c>
      <c r="CU412" s="1373">
        <f>IF(HW410=TRUE,U413,0)</f>
        <v>0</v>
      </c>
      <c r="CV412" s="1370">
        <f>IF(HW410=TRUE,AB413,0)</f>
        <v>0</v>
      </c>
      <c r="CW412" s="1370">
        <f>IF(HW410=TRUE,AC413,0)</f>
        <v>0</v>
      </c>
      <c r="CX412" s="1371"/>
      <c r="CY412" s="1486"/>
      <c r="CZ412" s="1486"/>
      <c r="DA412" s="1486"/>
      <c r="DC412" s="1353">
        <f>IF(HW410=TRUE,AE412,0)</f>
        <v>0</v>
      </c>
      <c r="DD412" s="1353" t="str">
        <f>IF(HW410=TRUE,AF412,"")</f>
        <v/>
      </c>
      <c r="DE412" s="1373">
        <f>AF413</f>
        <v>0</v>
      </c>
      <c r="DF412" s="1406">
        <f>IFERROR(IF(FL412=3,IK412,IF(FL412=4,IL412,IF(FL412=5,IM412,IF(FL412=6,IN412,IF(FL412=7,IO412,IF(FL412=8,IP412,0)))))),0)</f>
        <v>0</v>
      </c>
      <c r="DG412" s="1370">
        <f>IF(HW410=TRUE,AK412,0)</f>
        <v>0</v>
      </c>
      <c r="DH412" s="1369"/>
      <c r="DK412" s="1483">
        <f>IFERROR(CW412-DG412,0)</f>
        <v>0</v>
      </c>
      <c r="DL412" s="1420"/>
      <c r="DN412" s="1403"/>
      <c r="DO412" s="1477" t="str">
        <f>DN410</f>
        <v/>
      </c>
      <c r="DP412" s="1354"/>
      <c r="DQ412" s="1477" t="str">
        <f>IF(DP410=7,"LLLC","")</f>
        <v/>
      </c>
      <c r="DR412" s="1403"/>
      <c r="DS412" s="1489"/>
      <c r="DU412" s="1403"/>
      <c r="DV412" s="1404" t="str">
        <f>DU410</f>
        <v/>
      </c>
      <c r="DW412" s="1403"/>
      <c r="DX412" s="1403"/>
      <c r="DZ412" s="1481"/>
      <c r="EA412" s="1481"/>
      <c r="EC412" s="1482"/>
      <c r="ED412" s="1369"/>
      <c r="EE412" s="1371"/>
      <c r="EF412" s="1369"/>
      <c r="EG412" s="1369"/>
      <c r="EH412" s="1374"/>
      <c r="EI412" s="1374"/>
      <c r="EJ412" s="1363"/>
      <c r="EK412" s="1376"/>
      <c r="EL412" s="1376"/>
      <c r="EM412" s="1362"/>
      <c r="EN412" s="1362"/>
      <c r="EO412" s="1363"/>
      <c r="EP412" s="1363"/>
      <c r="EQ412" s="1363"/>
      <c r="ES412" s="1403"/>
      <c r="EU412" s="1411" t="e">
        <f>VLOOKUP(CP412,'Space Table'!$B$3:$L$160,8,FALSE)</f>
        <v>#N/A</v>
      </c>
      <c r="EV412" s="1411" t="e">
        <f>IF(EY412="Yes",VLOOKUP(AF412,Lookup_Control_Type_Table2,4,FALSE),VLOOKUP(AF412,Lookup_Control_Type_Table2,3,FALSE))</f>
        <v>#N/A</v>
      </c>
      <c r="EW412" s="1411" t="e">
        <f>VLOOKUP(AF412,Lookup!AU$3:AV$15,2,FALSE)</f>
        <v>#N/A</v>
      </c>
      <c r="EX412" s="1411" t="e">
        <f>VLOOKUP(EU410,Lookup_Control_Type_Table,2,FALSE)</f>
        <v>#N/A</v>
      </c>
      <c r="EY412" s="1411" t="e">
        <f>VLOOKUP(CP412,'Space Table'!$B$3:$L$160,7,FALSE)</f>
        <v>#N/A</v>
      </c>
      <c r="EZ412" s="1413"/>
      <c r="FB412" s="1365" t="str">
        <f>CONCATENATE(CN410," - ",AF412)</f>
        <v xml:space="preserve"> - </v>
      </c>
      <c r="FD412" s="1354"/>
      <c r="FE412" s="1354"/>
      <c r="FF412" s="138"/>
      <c r="FI412" s="1356" t="str">
        <f>IF(CN410="Exterior","Not Daylighted",G413)</f>
        <v>Not Daylighted</v>
      </c>
      <c r="FJ412" s="1356">
        <f>VLOOKUP(FI412,_Daylight_Table_Codes,2,FALSE)</f>
        <v>0</v>
      </c>
      <c r="FK412" s="1365">
        <f>AF412</f>
        <v>0</v>
      </c>
      <c r="FL412" s="1365" t="e">
        <f>VLOOKUP(FK412,_Control_Table,2,FALSE)</f>
        <v>#N/A</v>
      </c>
      <c r="FM412" s="1365" t="e">
        <f>IF(AND(FP412&gt;0,FK412="Occupancy Sensor"),"Daylight + Occupancy",IF(AND(FP412&gt;0,FL412&lt;4),"Interior Daylight Dimming",FK412))</f>
        <v>#N/A</v>
      </c>
      <c r="FO412" s="1364">
        <f>IF(CN410="Interior",VLOOKUP(CP410,Control_Savings_Interior,5,FALSE),0)</f>
        <v>0</v>
      </c>
      <c r="FP412" s="1361">
        <f>IF(CN412="Exterior",0,IF(FJ412=2,0.5,IF(OR(FJ412=1,FJ412=3),1,0)))</f>
        <v>0</v>
      </c>
      <c r="FQ412" s="1366">
        <f>IF(R411&gt;FO$37,(FO412*(FO$37/R411)),FO412)*FP412</f>
        <v>0</v>
      </c>
      <c r="FR412" s="1364">
        <f>DF412</f>
        <v>0</v>
      </c>
      <c r="FS412" s="1364">
        <f>ROUND(FR412+((1-FR412)*FQ412),2)</f>
        <v>0</v>
      </c>
      <c r="FT412" s="1364">
        <f>IF(__Retrofit_TI_NC=2,FS412,FR412)</f>
        <v>0</v>
      </c>
      <c r="FU412" s="1360">
        <f>IF(CO412="Interior",VLOOKUP(CP412,Control_Savings_Interior,4,FALSE),0)</f>
        <v>0</v>
      </c>
      <c r="FW412" s="1352"/>
      <c r="FX412" s="1352"/>
      <c r="FY412" s="1352"/>
      <c r="FZ412" s="1352"/>
      <c r="GA412" s="1352"/>
      <c r="GB412" s="1352"/>
      <c r="GC412" s="1352"/>
      <c r="GD412" s="1352"/>
      <c r="GE412" s="759" t="b">
        <f>IF(ISNUMBER(SEARCH("TLED",U412)),TRUE,FALSE)</f>
        <v>0</v>
      </c>
      <c r="GF412" s="1035" t="str">
        <f>IFERROR(VLOOKUP(U412,Fixtures!DM$93:DR$142,6,FALSE),"")</f>
        <v/>
      </c>
      <c r="GG412" s="1385"/>
      <c r="GI412" s="1383"/>
      <c r="GJ412" s="1379"/>
      <c r="GL412" s="1379"/>
      <c r="GM412" s="1379"/>
      <c r="HC412" s="1379"/>
      <c r="HD412" s="1379"/>
      <c r="HE412" s="1379"/>
      <c r="HF412" s="1379"/>
      <c r="HG412" s="1379"/>
      <c r="HH412" s="1379"/>
      <c r="HI412" s="1383"/>
      <c r="HJ412" s="1383"/>
      <c r="HK412" s="1383"/>
      <c r="HL412" s="1379"/>
      <c r="HM412" s="1379"/>
      <c r="HN412" s="1379"/>
      <c r="HO412" s="1379"/>
      <c r="HP412" s="1379"/>
      <c r="HQ412" s="1379"/>
      <c r="HR412" s="1379"/>
      <c r="HS412" s="1379"/>
      <c r="HT412" s="1379"/>
      <c r="HU412" s="1379"/>
      <c r="HW412" s="1383"/>
      <c r="HX412" s="1384" t="b">
        <f>HW410</f>
        <v>0</v>
      </c>
      <c r="HY412" s="1378"/>
      <c r="HZ412" s="436"/>
      <c r="IA412" s="1386"/>
      <c r="IB412" s="1380">
        <f>IF(IA410=TRUE,AC413,0)</f>
        <v>0</v>
      </c>
      <c r="IC412" s="1379"/>
      <c r="IF412" s="1380" t="e">
        <f>ROUND(T412*AB413*N411*R411/1000,0)</f>
        <v>#VALUE!</v>
      </c>
      <c r="IG412" s="1382"/>
      <c r="IH412" s="1384" t="e">
        <f>ROUND(T412*AB413*N411*R411/1000,0)</f>
        <v>#VALUE!</v>
      </c>
      <c r="II412" s="1382"/>
      <c r="IK412" s="1351" t="e">
        <f>IF($CO412="interior",IL412/2,VLOOKUP($CP412,Control_Savings_Exterior,IK$30,FALSE))</f>
        <v>#N/A</v>
      </c>
      <c r="IL412" s="1351" t="e">
        <f>IF($CO412="interior",VLOOKUP($CP412,Control_Savings_Interior,IL$30,FALSE),VLOOKUP($CP412,Control_Savings_Exterior,IL$30,FALSE))</f>
        <v>#N/A</v>
      </c>
      <c r="IM412" s="1351" t="e">
        <f>IF($CO412="interior",IF(R411&gt;FO$37,(IM$28*(FO$37/R411)),IM$28)*FP412,VLOOKUP($CP412,Control_Savings_Exterior,IM$30,FALSE))</f>
        <v>#N/A</v>
      </c>
      <c r="IN412" s="1351" t="e">
        <f>IF($CO412="interior",ROUND(((1-IL412)*IM412)+IL412,2),VLOOKUP($CP412,Control_Savings_Exterior,IN$30,FALSE))</f>
        <v>#N/A</v>
      </c>
      <c r="IO412" s="1351" t="e">
        <f>IF($CO412="interior", ROUND(((1-IL412)*(IM412*(1-IP$28)))+IP412,2), VLOOKUP($CP412,Control_Savings_Exterior,IO$30,FALSE))</f>
        <v>#N/A</v>
      </c>
      <c r="IP412" s="1351">
        <f>IF($CO412="interior",ROUND(((1-IL412)*IP$28)+IL412,2),0)</f>
        <v>0</v>
      </c>
    </row>
    <row r="413" spans="1:250" s="82" customFormat="1" ht="14.95" customHeight="1" thickTop="1" thickBot="1">
      <c r="B413" s="1421"/>
      <c r="C413" s="1422"/>
      <c r="D413" s="1423"/>
      <c r="E413" s="1462" t="s">
        <v>357</v>
      </c>
      <c r="F413" s="1463"/>
      <c r="G413" s="1464" t="s">
        <v>362</v>
      </c>
      <c r="H413" s="1465"/>
      <c r="I413" s="1465"/>
      <c r="J413" s="1465"/>
      <c r="K413" s="1465"/>
      <c r="L413" s="1466"/>
      <c r="M413" s="669">
        <f>IFERROR(VLOOKUP(G413,_Daylight_Table[],2,FALSE),0)</f>
        <v>0</v>
      </c>
      <c r="N413" s="670"/>
      <c r="O413" s="669" t="e">
        <f>VLOOKUP(G412,'Space Table'!$B$3:$L$160,11,FALSE)</f>
        <v>#N/A</v>
      </c>
      <c r="P413" s="1408"/>
      <c r="Q413" s="1409"/>
      <c r="R413" s="1409"/>
      <c r="S413" s="1402"/>
      <c r="T413" s="671" t="s">
        <v>281</v>
      </c>
      <c r="U413" s="1467" t="str">
        <f>IFERROR(VLOOKUP(U412,Fixtures!DM$93:DP$142,4,FALSE),"")</f>
        <v/>
      </c>
      <c r="V413" s="1468"/>
      <c r="W413" s="1468"/>
      <c r="X413" s="1468"/>
      <c r="Y413" s="1468"/>
      <c r="Z413" s="1468"/>
      <c r="AA413" s="1468"/>
      <c r="AB413" s="1046" t="str">
        <f>IFERROR(VLOOKUP(U412,Fixtures_Proposed_List,2,FALSE),"")</f>
        <v/>
      </c>
      <c r="AC413" s="1036" t="str">
        <f>IFERROR(ROUND(T412*AB413*N411*R411/1000,0),"")</f>
        <v/>
      </c>
      <c r="AD413" s="1037" t="str">
        <f>IFERROR(ROUND(T412*AB413/1000,2),"")</f>
        <v/>
      </c>
      <c r="AE413" s="1045" t="s">
        <v>281</v>
      </c>
      <c r="AF413" s="1469"/>
      <c r="AG413" s="1469"/>
      <c r="AH413" s="1469"/>
      <c r="AI413" s="1469"/>
      <c r="AJ413" s="1476"/>
      <c r="AK413" s="1471"/>
      <c r="AL413" s="1473"/>
      <c r="AM413" s="1443"/>
      <c r="AN413" s="1444"/>
      <c r="AO413" s="1449"/>
      <c r="AP413" s="1449"/>
      <c r="AQ413" s="1450"/>
      <c r="AR413" s="1453"/>
      <c r="AS413" s="1456"/>
      <c r="AT413" s="1459"/>
      <c r="AU413" s="517"/>
      <c r="AV413" s="1480"/>
      <c r="AW413" s="1480"/>
      <c r="BC413" s="38"/>
      <c r="BD413" s="38"/>
      <c r="BE413" s="38"/>
      <c r="BF413" s="38"/>
      <c r="BG413" s="38"/>
      <c r="BH413" s="38"/>
      <c r="BI413" s="38"/>
      <c r="BJ413" s="38"/>
      <c r="BK413" s="38"/>
      <c r="BL413" s="38"/>
      <c r="BM413" s="38"/>
      <c r="BN413" s="38"/>
      <c r="BO413" s="38"/>
      <c r="BP413" s="38"/>
      <c r="BQ413" s="38"/>
      <c r="BR413" s="38"/>
      <c r="BS413" s="38"/>
      <c r="BT413" s="38"/>
      <c r="BU413" s="38"/>
      <c r="BV413" s="38"/>
      <c r="BW413" s="38"/>
      <c r="BX413" s="38"/>
      <c r="BY413" s="38"/>
      <c r="BZ413" s="38"/>
      <c r="CA413" s="38"/>
      <c r="CB413" s="38"/>
      <c r="CC413" s="38"/>
      <c r="CD413" s="38"/>
      <c r="CE413" s="38"/>
      <c r="CF413" s="38"/>
      <c r="CG413" s="38"/>
      <c r="CH413" s="38"/>
      <c r="CI413" s="38"/>
      <c r="CM413" s="1352"/>
      <c r="CN413" s="1352"/>
      <c r="CO413" s="1416"/>
      <c r="CP413" s="1418"/>
      <c r="CR413" s="1386"/>
      <c r="CS413" s="1355"/>
      <c r="CT413" s="1355"/>
      <c r="CU413" s="1375"/>
      <c r="CV413" s="1372"/>
      <c r="CW413" s="1372"/>
      <c r="CX413" s="1372"/>
      <c r="CY413" s="1487"/>
      <c r="CZ413" s="1487"/>
      <c r="DA413" s="1487"/>
      <c r="DC413" s="1355"/>
      <c r="DD413" s="1355"/>
      <c r="DE413" s="1375"/>
      <c r="DF413" s="1407"/>
      <c r="DG413" s="1372"/>
      <c r="DH413" s="1369"/>
      <c r="DK413" s="1484"/>
      <c r="DL413" s="1420"/>
      <c r="DN413" s="1403"/>
      <c r="DO413" s="1405"/>
      <c r="DP413" s="1355"/>
      <c r="DQ413" s="1405"/>
      <c r="DR413" s="1403"/>
      <c r="DS413" s="1489"/>
      <c r="DU413" s="1403"/>
      <c r="DV413" s="1405"/>
      <c r="DW413" s="1403"/>
      <c r="DX413" s="1403"/>
      <c r="DZ413" s="1481"/>
      <c r="EA413" s="1481"/>
      <c r="EC413" s="1482"/>
      <c r="ED413" s="1369"/>
      <c r="EE413" s="1372"/>
      <c r="EF413" s="1369"/>
      <c r="EG413" s="1369"/>
      <c r="EH413" s="1375"/>
      <c r="EI413" s="1375"/>
      <c r="EJ413" s="1363"/>
      <c r="EK413" s="1376"/>
      <c r="EL413" s="1376"/>
      <c r="EM413" s="1362"/>
      <c r="EN413" s="1362"/>
      <c r="EO413" s="1363"/>
      <c r="EP413" s="1363"/>
      <c r="EQ413" s="1363"/>
      <c r="ES413" s="1403"/>
      <c r="EU413" s="1488"/>
      <c r="EV413" s="1488"/>
      <c r="EW413" s="1488"/>
      <c r="EX413" s="1488"/>
      <c r="EY413" s="1488"/>
      <c r="EZ413" s="1414"/>
      <c r="FB413" s="1365"/>
      <c r="FD413" s="1355"/>
      <c r="FE413" s="1355"/>
      <c r="FF413" s="138"/>
      <c r="FI413" s="1357"/>
      <c r="FJ413" s="1357"/>
      <c r="FK413" s="1365"/>
      <c r="FL413" s="1365"/>
      <c r="FM413" s="1365"/>
      <c r="FO413" s="1361"/>
      <c r="FP413" s="1361"/>
      <c r="FQ413" s="1366"/>
      <c r="FR413" s="1361"/>
      <c r="FS413" s="1361"/>
      <c r="FT413" s="1361"/>
      <c r="FU413" s="1360"/>
      <c r="FW413" s="1352"/>
      <c r="FX413" s="1352"/>
      <c r="FY413" s="1352"/>
      <c r="FZ413" s="1352"/>
      <c r="GA413" s="1352"/>
      <c r="GB413" s="1352"/>
      <c r="GC413" s="1352"/>
      <c r="GD413" s="1352"/>
      <c r="GE413" s="759"/>
      <c r="GF413" s="1035"/>
      <c r="GG413" s="1385"/>
      <c r="GJ413" s="1034">
        <f>IF(GJ411=TRUE,0,GJ$16)</f>
        <v>0</v>
      </c>
      <c r="GL413" s="1034">
        <f>IF(GL411=TRUE,0,GL$16)</f>
        <v>36</v>
      </c>
      <c r="GM413" s="1034">
        <f>IF(GM411=TRUE,0,GM$16)</f>
        <v>35</v>
      </c>
      <c r="GN413" s="436"/>
      <c r="GO413" s="436"/>
      <c r="GP413" s="436"/>
      <c r="GQ413" s="436"/>
      <c r="GR413" s="436"/>
      <c r="HC413" s="1034">
        <f t="shared" ref="HC413:HH413" si="298">IF(HC411=TRUE,0,HC$16)</f>
        <v>19</v>
      </c>
      <c r="HD413" s="1034">
        <f t="shared" si="298"/>
        <v>18</v>
      </c>
      <c r="HE413" s="1034">
        <f t="shared" si="298"/>
        <v>17</v>
      </c>
      <c r="HF413" s="1034">
        <f t="shared" si="298"/>
        <v>16</v>
      </c>
      <c r="HG413" s="1034">
        <f t="shared" si="298"/>
        <v>0</v>
      </c>
      <c r="HH413" s="1034">
        <f t="shared" si="298"/>
        <v>0</v>
      </c>
      <c r="HI413" s="1034">
        <f>IF(HI411=TRUE,0,HI$16)</f>
        <v>13</v>
      </c>
      <c r="HJ413" s="1034">
        <f t="shared" ref="HJ413:HL413" si="299">IF(HJ411=TRUE,0,HJ$16)</f>
        <v>12</v>
      </c>
      <c r="HK413" s="1034">
        <f t="shared" si="299"/>
        <v>11</v>
      </c>
      <c r="HL413" s="1034">
        <f t="shared" si="299"/>
        <v>10</v>
      </c>
      <c r="HM413" s="1034">
        <f>IF(HM411=TRUE,0,HM$16)</f>
        <v>9</v>
      </c>
      <c r="HN413" s="1034">
        <f t="shared" ref="HN413:HR413" si="300">IF(HN411=TRUE,0,HN$16)</f>
        <v>0</v>
      </c>
      <c r="HO413" s="1034">
        <f t="shared" si="300"/>
        <v>0</v>
      </c>
      <c r="HP413" s="1034">
        <f t="shared" si="300"/>
        <v>0</v>
      </c>
      <c r="HQ413" s="1034">
        <f t="shared" si="300"/>
        <v>0</v>
      </c>
      <c r="HR413" s="1034">
        <f t="shared" si="300"/>
        <v>0</v>
      </c>
      <c r="HS413" s="1034">
        <f>IF(HS411=TRUE,0,HS$16)</f>
        <v>0</v>
      </c>
      <c r="HT413" s="1034">
        <f t="shared" ref="HT413" si="301">IF(HT411=TRUE,0,HT$16)</f>
        <v>0</v>
      </c>
      <c r="HU413" s="1034">
        <f>IF(HU411=TRUE,0,HU$16)</f>
        <v>1</v>
      </c>
      <c r="HW413" s="1034">
        <f>IF(GL411=FALSE,GL413,IF(GM411=FALSE,GM413,MAX(GJ413:HU413)))</f>
        <v>36</v>
      </c>
      <c r="HX413" s="1383"/>
      <c r="HY413" s="241" t="str">
        <f>VLOOKUP(HW413,_Error_Table,3,FALSE)</f>
        <v xml:space="preserve"> </v>
      </c>
      <c r="HZ413" s="241"/>
      <c r="IA413" s="1386"/>
      <c r="IB413" s="1380"/>
      <c r="IC413" s="1379"/>
      <c r="IF413" s="1380"/>
      <c r="IG413" s="1383"/>
      <c r="IH413" s="1383"/>
      <c r="II413" s="1383"/>
      <c r="IK413" s="1351"/>
      <c r="IL413" s="1351"/>
      <c r="IM413" s="1351"/>
      <c r="IN413" s="1351"/>
      <c r="IO413" s="1351"/>
      <c r="IP413" s="1351"/>
    </row>
    <row r="414" spans="1:250" s="82" customFormat="1" ht="5.0999999999999996" customHeight="1" thickBot="1">
      <c r="B414" s="763"/>
      <c r="C414" s="1038"/>
      <c r="D414" s="1038"/>
      <c r="E414" s="1490"/>
      <c r="F414" s="1490"/>
      <c r="G414" s="1490"/>
      <c r="H414" s="1490"/>
      <c r="I414" s="1490"/>
      <c r="J414" s="1490"/>
      <c r="K414" s="1490"/>
      <c r="L414" s="1490"/>
      <c r="M414" s="1490"/>
      <c r="N414" s="1490"/>
      <c r="O414" s="1490"/>
      <c r="P414" s="1490"/>
      <c r="Q414" s="1490"/>
      <c r="R414" s="1490"/>
      <c r="S414" s="1490"/>
      <c r="T414" s="1490"/>
      <c r="U414" s="1490"/>
      <c r="V414" s="1490"/>
      <c r="W414" s="1490"/>
      <c r="X414" s="1490"/>
      <c r="Y414" s="1490"/>
      <c r="Z414" s="1490"/>
      <c r="AA414" s="1490"/>
      <c r="AB414" s="1490"/>
      <c r="AC414" s="1490"/>
      <c r="AD414" s="1490"/>
      <c r="AE414" s="1490"/>
      <c r="AF414" s="1490"/>
      <c r="AG414" s="1490"/>
      <c r="AH414" s="1490"/>
      <c r="AI414" s="1490"/>
      <c r="AJ414" s="1490"/>
      <c r="AK414" s="1490"/>
      <c r="AL414" s="1490"/>
      <c r="AM414" s="1490"/>
      <c r="AN414" s="1490"/>
      <c r="AO414" s="1490"/>
      <c r="AP414" s="1490"/>
      <c r="AQ414" s="1490"/>
      <c r="AR414" s="1490"/>
      <c r="AS414" s="1490"/>
      <c r="AT414" s="1490"/>
      <c r="AU414" s="1041"/>
      <c r="BC414" s="38"/>
      <c r="BD414" s="38"/>
      <c r="BE414" s="38"/>
      <c r="BF414" s="38"/>
      <c r="BG414" s="38"/>
      <c r="BH414" s="38"/>
      <c r="BI414" s="38"/>
      <c r="BJ414" s="38"/>
      <c r="BK414" s="38"/>
      <c r="BL414" s="38"/>
      <c r="BM414" s="38"/>
      <c r="BN414" s="38"/>
      <c r="BO414" s="38"/>
      <c r="BP414" s="38"/>
      <c r="BQ414" s="38"/>
      <c r="BR414" s="38"/>
      <c r="BS414" s="38"/>
      <c r="BT414" s="38"/>
      <c r="BU414" s="38"/>
      <c r="BV414" s="38"/>
      <c r="BW414" s="38"/>
      <c r="BX414" s="38"/>
      <c r="BY414" s="38"/>
      <c r="BZ414" s="38"/>
      <c r="CA414" s="38"/>
      <c r="CB414" s="38"/>
      <c r="CC414" s="38"/>
      <c r="CD414" s="38"/>
      <c r="CE414" s="38"/>
      <c r="CF414" s="38"/>
      <c r="CG414" s="38"/>
      <c r="CH414" s="38"/>
      <c r="CI414" s="38"/>
      <c r="CM414" s="749"/>
      <c r="CN414" s="749"/>
      <c r="CO414" s="1043"/>
      <c r="CP414" s="749"/>
      <c r="CS414" s="436"/>
      <c r="CT414" s="436"/>
      <c r="CU414" s="243"/>
      <c r="CV414" s="244"/>
      <c r="CW414" s="244"/>
      <c r="CX414" s="244"/>
      <c r="CY414" s="245"/>
      <c r="CZ414" s="245"/>
      <c r="DA414" s="245"/>
      <c r="DC414" s="750"/>
      <c r="DD414" s="751"/>
      <c r="DE414" s="752"/>
      <c r="DF414" s="753"/>
      <c r="DG414" s="754"/>
      <c r="DH414" s="754"/>
      <c r="DK414" s="244"/>
      <c r="DL414" s="750"/>
      <c r="DN414" s="750"/>
      <c r="DO414" s="755"/>
      <c r="DP414" s="436"/>
      <c r="DQ414" s="750"/>
      <c r="DR414" s="750"/>
      <c r="DS414" s="750"/>
      <c r="DU414" s="750"/>
      <c r="DV414" s="750"/>
      <c r="DW414" s="750"/>
      <c r="DX414" s="750"/>
      <c r="DZ414" s="756"/>
      <c r="EA414" s="756"/>
      <c r="EC414" s="754"/>
      <c r="ED414" s="754"/>
      <c r="EE414" s="244"/>
      <c r="EF414" s="754"/>
      <c r="EG414" s="754"/>
      <c r="EH414" s="243"/>
      <c r="EI414" s="243"/>
      <c r="EJ414" s="752"/>
      <c r="EK414" s="757"/>
      <c r="EL414" s="757"/>
      <c r="EM414" s="758"/>
      <c r="EN414" s="758"/>
      <c r="EO414" s="752"/>
      <c r="EP414" s="752"/>
      <c r="EQ414" s="752"/>
      <c r="ES414" s="750"/>
      <c r="EU414" s="436"/>
      <c r="EV414" s="436"/>
      <c r="EW414" s="436"/>
      <c r="EX414" s="436"/>
      <c r="EY414" s="436"/>
      <c r="EZ414" s="436"/>
      <c r="FB414" s="643"/>
      <c r="FD414" s="436"/>
      <c r="FE414" s="436"/>
      <c r="FF414" s="436"/>
      <c r="FO414" s="750"/>
      <c r="FP414" s="436"/>
      <c r="FQ414" s="436"/>
      <c r="FR414" s="750"/>
      <c r="FS414" s="750"/>
      <c r="FW414" s="749"/>
      <c r="FX414" s="749"/>
      <c r="FY414" s="749"/>
      <c r="FZ414" s="749"/>
      <c r="GA414" s="749"/>
      <c r="GB414" s="749"/>
      <c r="GC414" s="749"/>
      <c r="GD414" s="749"/>
      <c r="GE414" s="751"/>
      <c r="GF414" s="750"/>
      <c r="GG414" s="750"/>
    </row>
    <row r="415" spans="1:250" s="82" customFormat="1" ht="14.95" customHeight="1" thickTop="1" thickBot="1">
      <c r="B415" s="1421" t="str">
        <f>HY418</f>
        <v xml:space="preserve"> </v>
      </c>
      <c r="C415" s="1422">
        <f>C410+1</f>
        <v>73</v>
      </c>
      <c r="D415" s="1423"/>
      <c r="E415" s="1424" t="s">
        <v>242</v>
      </c>
      <c r="F415" s="1425"/>
      <c r="G415" s="1426"/>
      <c r="H415" s="1427"/>
      <c r="I415" s="1427"/>
      <c r="J415" s="1427"/>
      <c r="K415" s="1427"/>
      <c r="L415" s="1427"/>
      <c r="M415" s="1427"/>
      <c r="N415" s="1427"/>
      <c r="O415" s="1427"/>
      <c r="P415" s="1427"/>
      <c r="Q415" s="1427"/>
      <c r="R415" s="1427"/>
      <c r="S415" s="1428" t="s">
        <v>283</v>
      </c>
      <c r="T415" s="668" t="s">
        <v>190</v>
      </c>
      <c r="U415" s="1430" t="s">
        <v>186</v>
      </c>
      <c r="V415" s="1431"/>
      <c r="W415" s="1431"/>
      <c r="X415" s="1431"/>
      <c r="Y415" s="1431"/>
      <c r="Z415" s="1431"/>
      <c r="AA415" s="1431"/>
      <c r="AB415" s="1088" t="str">
        <f>IFERROR(IF(__Retrofit_TI_NC=0,VLOOKUP(U416,Fixtures_Existing_List,2,FALSE),ROUND(N417*R417/T417,10)),"")</f>
        <v/>
      </c>
      <c r="AC415" s="1039" t="str">
        <f>IFERROR(IF(__Retrofit_TI_NC=0,ROUND(T416*AB415*N416*R416/1000,0),IF(CN415="Interior",N417*R417*R416*N416*_C406_reduction/1000,N417*R417*R416*N416/1000)),"")</f>
        <v/>
      </c>
      <c r="AD415" s="1040" t="str">
        <f>IFERROR(IF(C$36=0,ROUND(T416*AB415/1000,2),N417*R417/1000),"")</f>
        <v/>
      </c>
      <c r="AE415" s="1044" t="s">
        <v>190</v>
      </c>
      <c r="AF415" s="1432" t="str">
        <f>IF(__Retrofit_TI_NC=2,CONCATENATE("Code min = ",DD415),IF(__Retrofit_TI_NC=1,"Emter what you think the existing control was"," Control"))</f>
        <v xml:space="preserve"> Control</v>
      </c>
      <c r="AG415" s="1432"/>
      <c r="AH415" s="1432"/>
      <c r="AI415" s="1432"/>
      <c r="AJ415" s="1433">
        <f>DF415</f>
        <v>0</v>
      </c>
      <c r="AK415" s="1435" t="str">
        <f>IFERROR(ROUND(AJ415*AC415,0),"")</f>
        <v/>
      </c>
      <c r="AL415" s="1437">
        <f>IFERROR(IF(HW415=FALSE,0,AC415-AK415),0)</f>
        <v>0</v>
      </c>
      <c r="AM415" s="1439">
        <f>AL415-AL417</f>
        <v>0</v>
      </c>
      <c r="AN415" s="1440"/>
      <c r="AO415" s="1445">
        <f>IFERROR(IF(HW415=FALSE,0,(T417*U418)+(AE417*AF418)),0)</f>
        <v>0</v>
      </c>
      <c r="AP415" s="1445"/>
      <c r="AQ415" s="1446"/>
      <c r="AR415" s="1451" t="s">
        <v>157</v>
      </c>
      <c r="AS415" s="1454">
        <f>IF(AR415="Yes",1,0)</f>
        <v>1</v>
      </c>
      <c r="AT415" s="1457" t="str">
        <f>IF(OR(DN415=4,DN415=5,DN415=6,DN415=12),CONCATENATE("$",IF(GD415=TRUE,Lookup!$B$11,Lookup!$B$2)," /lamp"),CONCATENATE(EA415,"/ kWh"))</f>
        <v>0/ kWh</v>
      </c>
      <c r="AU415" s="516"/>
      <c r="AV415" s="1478">
        <f>IFERROR(IF(GI416=TRUE,(AB418*T417)/R417,0),"NA")</f>
        <v>0</v>
      </c>
      <c r="AW415" s="1478" t="str">
        <f>IFERROR(N417*_C406_reduction,"NA")</f>
        <v>NA</v>
      </c>
      <c r="BC415" s="38"/>
      <c r="BD415" s="38"/>
      <c r="BE415" s="38"/>
      <c r="BF415" s="38"/>
      <c r="BG415" s="38"/>
      <c r="BH415" s="38"/>
      <c r="BI415" s="38"/>
      <c r="BJ415" s="38"/>
      <c r="BK415" s="38"/>
      <c r="BL415" s="38"/>
      <c r="BM415" s="38"/>
      <c r="BN415" s="38"/>
      <c r="BO415" s="38"/>
      <c r="BP415" s="38"/>
      <c r="BQ415" s="38"/>
      <c r="BR415" s="38"/>
      <c r="BS415" s="38"/>
      <c r="BT415" s="38"/>
      <c r="BU415" s="38"/>
      <c r="BV415" s="38"/>
      <c r="BW415" s="38"/>
      <c r="BX415" s="38"/>
      <c r="BY415" s="38"/>
      <c r="BZ415" s="38"/>
      <c r="CA415" s="38"/>
      <c r="CB415" s="38"/>
      <c r="CC415" s="38"/>
      <c r="CD415" s="38"/>
      <c r="CE415" s="38"/>
      <c r="CF415" s="38"/>
      <c r="CG415" s="38"/>
      <c r="CH415" s="38"/>
      <c r="CI415" s="38"/>
      <c r="CM415" s="1352" t="str">
        <f>N416</f>
        <v/>
      </c>
      <c r="CN415" s="1352" t="str">
        <f>IFERROR(VLOOKUP(G416,_Lookup_Heat_Type_Table_New,3,FALSE),"")</f>
        <v/>
      </c>
      <c r="CO415" s="1415" t="str">
        <f>CN415</f>
        <v/>
      </c>
      <c r="CP415" s="1417" t="e">
        <f>VLOOKUP(G417,'Space Table'!$B$3:$L$160,9,FALSE)</f>
        <v>#N/A</v>
      </c>
      <c r="CR415" s="1386" t="s">
        <v>283</v>
      </c>
      <c r="CS415" s="1353">
        <f>IF(HW415=TRUE,T416,0)</f>
        <v>0</v>
      </c>
      <c r="CT415" s="1353" t="str">
        <f>IF(HW415=TRUE,U416,"")</f>
        <v/>
      </c>
      <c r="CU415" s="1353"/>
      <c r="CV415" s="1370">
        <f>IF(HW415=TRUE,AB415,0)</f>
        <v>0</v>
      </c>
      <c r="CW415" s="1370">
        <f>IF(HW415=TRUE,AC415,0)</f>
        <v>0</v>
      </c>
      <c r="CX415" s="1370">
        <f>IFERROR(IF(HW415=TRUE,CW415-CW417,0),0)</f>
        <v>0</v>
      </c>
      <c r="CY415" s="1485">
        <f>IF(HW415=TRUE,AD415,0)</f>
        <v>0</v>
      </c>
      <c r="CZ415" s="1485">
        <f>IF(HW415=TRUE,AD418,0)</f>
        <v>0</v>
      </c>
      <c r="DA415" s="1485">
        <f>IFERROR(CY415-CZ415,0)</f>
        <v>0</v>
      </c>
      <c r="DC415" s="1353">
        <f>IF(HW415=TRUE,AE416,0)</f>
        <v>0</v>
      </c>
      <c r="DD415" s="1460">
        <f>IF(__Retrofit_TI_NC=2,IF(CN415="Exterior",O418,FM415),FK415)</f>
        <v>0</v>
      </c>
      <c r="DE415" s="1353"/>
      <c r="DF415" s="1406">
        <f>IFERROR(IF(FL415=3,IK415,IF(FL415=4,IL415,IF(FL415=5,IM415,IF(FL415=6,IN415,IF(FL415=7,IO415,IF(FL415=8,IP415,0)))))),0)</f>
        <v>0</v>
      </c>
      <c r="DG415" s="1370">
        <f>IF(HW415=TRUE,AK415,0)</f>
        <v>0</v>
      </c>
      <c r="DH415" s="1369">
        <f>IFERROR(IF(HW415=TRUE,DG417-DG415,0),0)</f>
        <v>0</v>
      </c>
      <c r="DJ415" s="1483">
        <f>IFERROR(CW415-DG415,0)</f>
        <v>0</v>
      </c>
      <c r="DL415" s="1419">
        <f>DJ415-DK417</f>
        <v>0</v>
      </c>
      <c r="DN415" s="1403" t="str">
        <f>IFERROR(IF(AND(OR(FY415=4,FY415=5,FY415=6),OR(GB415=4,GB415=5,GB415=6)),FY415+8,VLOOKUP(CT417,Fixtures!R$31:Y$78,8,FALSE)),"")</f>
        <v/>
      </c>
      <c r="DO415" s="1404" t="str">
        <f>DN415</f>
        <v/>
      </c>
      <c r="DP415" s="1353" t="str">
        <f>IFERROR(VLOOKUP(DD417,Lookup!AU$3:AV$15,2,FALSE),"")</f>
        <v/>
      </c>
      <c r="DQ415" s="1404" t="str">
        <f>IF(DP415=7,"LLLC","")</f>
        <v/>
      </c>
      <c r="DR415" s="1403">
        <f>IFERROR(IF(OR(DN415=4,DN415=5,DN415=6,DN415=12,DN415=13,DN415=14),VLOOKUP(CT417,Fixtures!DN$27:EG$77,19,FALSE),1)*CS417,0)</f>
        <v>0</v>
      </c>
      <c r="DS415" s="1489">
        <f>IF(DP415=7,IF(DD415=DD417,0,DC417),0)</f>
        <v>0</v>
      </c>
      <c r="DU415" s="1403" t="str">
        <f>IFERROR(IF(EW415&lt;EW417,"Yes","No"),"")</f>
        <v/>
      </c>
      <c r="DV415" s="1404" t="str">
        <f>DU415</f>
        <v/>
      </c>
      <c r="DW415" s="1403">
        <f>IF(DU415="Yes",DC417,0)</f>
        <v>0</v>
      </c>
      <c r="DX415" s="1403">
        <f>DW415-DS415</f>
        <v>0</v>
      </c>
      <c r="DZ415" s="1481">
        <f>IFERROR(VLOOKUP(DN415,Lookup!AN$3:AO$16,2,FALSE),0)</f>
        <v>0</v>
      </c>
      <c r="EA415" s="1481">
        <f>IF(HW415=FALSE,0,IF(DU415="Yes",DZ415+Lookup!B$6,DZ415))</f>
        <v>0</v>
      </c>
      <c r="EC415" s="1482">
        <f>IF(HW415=TRUE,DJ415,0)</f>
        <v>0</v>
      </c>
      <c r="ED415" s="1369">
        <f>IF(HW415=TRUE,CW417,0)</f>
        <v>0</v>
      </c>
      <c r="EE415" s="1370">
        <f>IFERROR(EC415-ED415,0)</f>
        <v>0</v>
      </c>
      <c r="EF415" s="1369">
        <f>IF(HW415=TRUE,DG417,0)</f>
        <v>0</v>
      </c>
      <c r="EG415" s="1369">
        <f>IFERROR(EC415-ED415+EF415,0)</f>
        <v>0</v>
      </c>
      <c r="EH415" s="1373">
        <f>IF(HW415=TRUE,CS417*CU417,0)</f>
        <v>0</v>
      </c>
      <c r="EI415" s="1373">
        <f>IF(HW415=TRUE,DC417*DE417,0)</f>
        <v>0</v>
      </c>
      <c r="EJ415" s="1363">
        <f>AO415</f>
        <v>0</v>
      </c>
      <c r="EK415" s="1376" t="str">
        <f>IFERROR(IF(HW415=TRUE,VLOOKUP(DN415,Lookup!AN$3:AP$16,3,FALSE)*DR415,""),0)</f>
        <v/>
      </c>
      <c r="EL415" s="1376">
        <f>IF(HW415=TRUE,DW415*Lookup!AP$12,0)</f>
        <v>0</v>
      </c>
      <c r="EM415" s="1362">
        <f>IFERROR(IF(HW415=TRUE,EK415/EM$33,0),0)</f>
        <v>0</v>
      </c>
      <c r="EN415" s="1362">
        <f>IF(HW415=TRUE,EL415/EN$33,0)</f>
        <v>0</v>
      </c>
      <c r="EO415" s="1363">
        <f>IF(HW415=TRUE,EQ$33*EM415,0)</f>
        <v>0</v>
      </c>
      <c r="EP415" s="1363">
        <f>IF(HW415=TRUE,EQ$33*EN415,0)</f>
        <v>0</v>
      </c>
      <c r="EQ415" s="1363">
        <f>EO415+EP415</f>
        <v>0</v>
      </c>
      <c r="ES415" s="1403">
        <f>IF(G415="",0,1)</f>
        <v>0</v>
      </c>
      <c r="EU415" s="1410" t="e">
        <f>VLOOKUP(CP417,'Space Table'!$B$3:$L$160,8,FALSE)</f>
        <v>#N/A</v>
      </c>
      <c r="EV415" s="1410" t="e">
        <f>IF(EY415="Yes",VLOOKUP(DD415,Lookup_Control_Type_Table2,4,FALSE),VLOOKUP(DD415,Lookup_Control_Type_Table2,3,FALSE))</f>
        <v>#N/A</v>
      </c>
      <c r="EW415" s="1410" t="e">
        <f>VLOOKUP(DD415,Lookup!AU$3:AV$15,2,FALSE)</f>
        <v>#N/A</v>
      </c>
      <c r="EX415" s="1410" t="e">
        <f>VLOOKUP(EU415,Lookup_Control_Type_Table,2,FALSE)</f>
        <v>#N/A</v>
      </c>
      <c r="EY415" s="1410" t="e">
        <f>VLOOKUP(CP417,'Space Table'!$B$3:$L$160,7,FALSE)</f>
        <v>#N/A</v>
      </c>
      <c r="EZ415" s="1412" t="b">
        <f>ISNUMBER(SEARCH("TLED",U417))</f>
        <v>0</v>
      </c>
      <c r="FB415" s="1365" t="str">
        <f>CONCATENATE(CN415," - ",DD415)</f>
        <v xml:space="preserve"> - 0</v>
      </c>
      <c r="FD415" s="1353" t="str">
        <f>VLOOKUP(CT417,Fixtures!DN$27:EZ$77,38,FALSE)</f>
        <v/>
      </c>
      <c r="FE415" s="1353">
        <f>IFERROR(FD415*EE415,0)</f>
        <v>0</v>
      </c>
      <c r="FF415" s="138"/>
      <c r="FI415" s="1356" t="str">
        <f>IF(CN415="Exterior","Not Daylighted",G418)</f>
        <v>Not Daylighted</v>
      </c>
      <c r="FJ415" s="1356">
        <f>VLOOKUP(FI415,_Daylight_Table_Codes,2,FALSE)</f>
        <v>0</v>
      </c>
      <c r="FK415" s="1365">
        <f>IF(__Retrofit_TI_NC=2,VLOOKUP(G417,'Space Table'!$B$3:$L$160,11,FALSE),AF416)</f>
        <v>0</v>
      </c>
      <c r="FL415" s="1365" t="e">
        <f>VLOOKUP(FK415,_Control_Table,2,FALSE)</f>
        <v>#N/A</v>
      </c>
      <c r="FM415" s="1365" t="e">
        <f>IF(AND(FP415&gt;0,FK415="Occupancy Sensor"),"Daylight + Occupancy",IF(AND(FP415&gt;0,FL415&lt;4),"Interior Daylight Dimming",FK415))</f>
        <v>#N/A</v>
      </c>
      <c r="FO415" s="1364">
        <f>IF(CO415="Interior",VLOOKUP(CP415,Control_Savings_Interior,5,FALSE),0)</f>
        <v>0</v>
      </c>
      <c r="FP415" s="1361">
        <f>IF(CN415="Exterior",0,IF(FJ415=2,0.5,IF(OR(FJ415=1,FJ415=3),1,0)))</f>
        <v>0</v>
      </c>
      <c r="FQ415" s="1366"/>
      <c r="FR415" s="1367"/>
      <c r="FS415" s="1364"/>
      <c r="FT415" s="1367"/>
      <c r="FU415" s="1360"/>
      <c r="FW415" s="1352" t="str">
        <f>IFERROR(VLOOKUP(U416,_Exist_Fixture_Table,3,FALSE),"")</f>
        <v/>
      </c>
      <c r="FX415" s="1352" t="str">
        <f>VLOOKUP(CT415,_Exist_Fixture_Table,4,FALSE)</f>
        <v/>
      </c>
      <c r="FY415" s="1352">
        <f>IFERROR(VLOOKUP(FX415,Lookup!AM$6:AN$8,2,FALSE),0)</f>
        <v>0</v>
      </c>
      <c r="FZ415" s="1352" t="b">
        <f>IFERROR(IF(OR(GB415=4,GB415=5,GB415=6),TRUE,FALSE),"")</f>
        <v>0</v>
      </c>
      <c r="GA415" s="1352" t="str">
        <f>IFERROR(VLOOKUP(GB415,FY$6:FZ$10,2,FALSE),"")</f>
        <v/>
      </c>
      <c r="GB415" s="1352" t="str">
        <f>VLOOKUP(CT417,Fixtures!R$31:Y$78,8,FALSE)</f>
        <v/>
      </c>
      <c r="GC415" s="1352">
        <f>IF(AND(FW415=TRUE,FZ415=TRUE,OR(DN415=12,DN415=13,DN415=14)),FY415+8,0)</f>
        <v>0</v>
      </c>
      <c r="GD415" s="1352" t="b">
        <f>IF(OR(GC415=12,GC415=13,GC415=14),TRUE,FALSE)</f>
        <v>0</v>
      </c>
      <c r="GE415" s="759" t="b">
        <f>IF(ISNUMBER(SEARCH("TLED",U416)),TRUE,FALSE)</f>
        <v>0</v>
      </c>
      <c r="GF415" s="1035" t="str">
        <f>IFERROR(VLOOKUP(U416,Fixtures!BM$93:BR$142,6,FALSE),"")</f>
        <v/>
      </c>
      <c r="GG415" s="1385" t="b">
        <f>IF(OR(GE415=FALSE,GE417=FALSE),TRUE,IF(GF415-GF417&lt;5,FALSE,TRUE))</f>
        <v>1</v>
      </c>
      <c r="GK415" s="1034">
        <f>GL415</f>
        <v>0</v>
      </c>
      <c r="GL415" s="1034">
        <f>IF(G415="",0,1)</f>
        <v>0</v>
      </c>
      <c r="GM415" s="1034">
        <f>SUM(GN415:HB415)</f>
        <v>2</v>
      </c>
      <c r="GN415" s="1034">
        <f>IF(G416="",0,1)</f>
        <v>0</v>
      </c>
      <c r="GO415" s="1034">
        <f>IF(G417="",0,1)</f>
        <v>0</v>
      </c>
      <c r="GP415" s="1034">
        <f>IF(R416="",0,1)</f>
        <v>0</v>
      </c>
      <c r="GQ415" s="1034">
        <f>IF(__Retrofit_TI_NC=0,1,IF(R417="",0,1))</f>
        <v>1</v>
      </c>
      <c r="GR415" s="1034">
        <f>IF(CN415="Exterior",1,IF(G418="",0,1))</f>
        <v>1</v>
      </c>
      <c r="GS415" s="1034">
        <f>IF(__Retrofit_TI_NC&lt;&gt;0,1,IF(T416="",0,1))</f>
        <v>0</v>
      </c>
      <c r="GT415" s="1034">
        <f>IF(__Retrofit_TI_NC&lt;&gt;0,1,IF(U416="",0,1))</f>
        <v>0</v>
      </c>
      <c r="GU415" s="1034">
        <f>IF(T417="",0,1)</f>
        <v>0</v>
      </c>
      <c r="GV415" s="1034">
        <f>IF(U417="",0,1)</f>
        <v>0</v>
      </c>
      <c r="GW415" s="1034">
        <f>IF(__Retrofit_TI_NC=2,1,IF(U418="",0,1))</f>
        <v>0</v>
      </c>
      <c r="GX415" s="1034">
        <f>IF(__Retrofit_TI_NC&lt;&gt;0,1,IF(AE416="",0,1))</f>
        <v>0</v>
      </c>
      <c r="GY415" s="1034">
        <f>IF(__Retrofit_TI_NC&lt;&gt;0,1,IF(AF416="",0,1))</f>
        <v>0</v>
      </c>
      <c r="GZ415" s="1034">
        <f>IF(AE417="",0,1)</f>
        <v>0</v>
      </c>
      <c r="HA415" s="1034">
        <f>IF(AF417="",0,1)</f>
        <v>0</v>
      </c>
      <c r="HB415" s="1034">
        <f>IF(__Retrofit_TI_NC=2,1,IF(AF418="",0,1))</f>
        <v>0</v>
      </c>
      <c r="HV415" s="436"/>
      <c r="HW415" s="1384" t="b">
        <f>IF(OR(HW418=0,HW418=HT$16,HW418=HS$16,HW418=HU$16),TRUE,FALSE)</f>
        <v>0</v>
      </c>
      <c r="HX415" s="1377" t="b">
        <f>HW415</f>
        <v>0</v>
      </c>
      <c r="HY415" s="436"/>
      <c r="HZ415" s="436"/>
      <c r="IA415" s="1386" t="b">
        <f>IF(MAX(GJ418:HP418)&gt;5,FALSE,TRUE)</f>
        <v>0</v>
      </c>
      <c r="IB415" s="1380">
        <f>IF(IA415=TRUE,AC415,0)</f>
        <v>0</v>
      </c>
      <c r="IC415" s="1380">
        <f>IB415-IB417</f>
        <v>0</v>
      </c>
      <c r="IF415" s="1380" t="e">
        <f>ROUND(T416*VLOOKUP(U416,Fixtures_Existing_List,2,FALSE)*N416*R416/1000,0)</f>
        <v>#N/A</v>
      </c>
      <c r="IG415" s="1381" t="e">
        <f>IF415-IF417</f>
        <v>#N/A</v>
      </c>
      <c r="IH415" s="1384" t="e">
        <f>ROUND(IF(CN415="Interior",N417*R417*R416*N416*_C406_reduction/1000,N417*R417*R416*N416/1000),0)</f>
        <v>#N/A</v>
      </c>
      <c r="II415" s="1384" t="e">
        <f>IH415-IH417</f>
        <v>#N/A</v>
      </c>
      <c r="IK415" s="1351" t="e">
        <f>IF($CO415="interior",IL415/2,VLOOKUP($CP415,Control_Savings_Exterior,IK$30,FALSE))</f>
        <v>#N/A</v>
      </c>
      <c r="IL415" s="1351" t="e">
        <f>IF($CO415="interior",VLOOKUP($CP415,Control_Savings_Interior,IL$30,FALSE),VLOOKUP($CP415,Control_Savings_Exterior,IL$30,FALSE))</f>
        <v>#N/A</v>
      </c>
      <c r="IM415" s="1351" t="e">
        <f>IF($CO415="interior",IF(R416&gt;FO$37,(IM$28*(FO$37/R416)),IM$28)*FP415,VLOOKUP($CP415,Control_Savings_Exterior,IM$30,FALSE))</f>
        <v>#N/A</v>
      </c>
      <c r="IN415" s="1351" t="e">
        <f>IF($CO415="interior",ROUND(((1-IL415)*IM415)+IL415,2),VLOOKUP($CP415,Control_Savings_Exterior,IN$30,FALSE))</f>
        <v>#N/A</v>
      </c>
      <c r="IO415" s="1351" t="e">
        <f>IF($CO415="interior", ROUND(((1-IL415)*(IM415*(1-IP$28)))+IP415,2), VLOOKUP($CP415,Control_Savings_Exterior,IO$30,FALSE))</f>
        <v>#N/A</v>
      </c>
      <c r="IP415" s="1351">
        <f>IF($CO415="interior",ROUND(((1-IL415)*IP$28)+IL415,2),0)</f>
        <v>0</v>
      </c>
    </row>
    <row r="416" spans="1:250" s="82" customFormat="1" ht="14.95" customHeight="1" thickTop="1" thickBot="1">
      <c r="B416" s="1421"/>
      <c r="C416" s="1422"/>
      <c r="D416" s="1423"/>
      <c r="E416" s="1393" t="s">
        <v>244</v>
      </c>
      <c r="F416" s="1394"/>
      <c r="G416" s="1395"/>
      <c r="H416" s="1395"/>
      <c r="I416" s="1395"/>
      <c r="J416" s="1395"/>
      <c r="K416" s="1395"/>
      <c r="L416" s="1395"/>
      <c r="M416" s="509" t="e">
        <f>IF(__Retrofit_TI_NC&lt;&gt;0,IF(VLOOKUP(G417,'Space Table'!$B$3:$L$160,3,FALSE)&gt;0,1,0),IF(__Retrofit_TI_NC=VLOOKUP(G417,'Space Table'!$B$3:$L$160,3,FALSE),1,0))</f>
        <v>#N/A</v>
      </c>
      <c r="N416" s="509" t="str">
        <f>IFERROR(VLOOKUP(G416,_Lookup_Heat_Type_Table_New,2,FALSE),"")</f>
        <v/>
      </c>
      <c r="O416" s="509">
        <f>IF(__Retrofit_TI_NC=1,CONCATENATE("TI ",G416),IF(__Retrofit_TI_NC=2,CONCATENATE("NC ",G416),G416))</f>
        <v>0</v>
      </c>
      <c r="P416" s="1396" t="s">
        <v>352</v>
      </c>
      <c r="Q416" s="1396"/>
      <c r="R416" s="673"/>
      <c r="S416" s="1429"/>
      <c r="T416" s="675"/>
      <c r="U416" s="1496"/>
      <c r="V416" s="1497"/>
      <c r="W416" s="1497"/>
      <c r="X416" s="1497"/>
      <c r="Y416" s="1497"/>
      <c r="Z416" s="1497"/>
      <c r="AA416" s="1497"/>
      <c r="AB416" s="1497"/>
      <c r="AC416" s="1497"/>
      <c r="AD416" s="1498"/>
      <c r="AE416" s="675"/>
      <c r="AF416" s="1397"/>
      <c r="AG416" s="1397"/>
      <c r="AH416" s="1397"/>
      <c r="AI416" s="1397"/>
      <c r="AJ416" s="1434"/>
      <c r="AK416" s="1436"/>
      <c r="AL416" s="1438"/>
      <c r="AM416" s="1441"/>
      <c r="AN416" s="1442"/>
      <c r="AO416" s="1447"/>
      <c r="AP416" s="1447"/>
      <c r="AQ416" s="1448"/>
      <c r="AR416" s="1452"/>
      <c r="AS416" s="1455"/>
      <c r="AT416" s="1458"/>
      <c r="AU416" s="516"/>
      <c r="AV416" s="1479"/>
      <c r="AW416" s="1479"/>
      <c r="BC416" s="38"/>
      <c r="BD416" s="38"/>
      <c r="BE416" s="38"/>
      <c r="BF416" s="38"/>
      <c r="BG416" s="38"/>
      <c r="BH416" s="38"/>
      <c r="BI416" s="38"/>
      <c r="BJ416" s="38"/>
      <c r="BK416" s="38"/>
      <c r="BL416" s="38"/>
      <c r="BM416" s="38"/>
      <c r="BN416" s="38"/>
      <c r="BO416" s="38"/>
      <c r="BP416" s="38"/>
      <c r="BQ416" s="38"/>
      <c r="BR416" s="38"/>
      <c r="BS416" s="38"/>
      <c r="BT416" s="38"/>
      <c r="BU416" s="38"/>
      <c r="BV416" s="38"/>
      <c r="BW416" s="38"/>
      <c r="BX416" s="38"/>
      <c r="BY416" s="38"/>
      <c r="BZ416" s="38"/>
      <c r="CA416" s="38"/>
      <c r="CB416" s="38"/>
      <c r="CC416" s="38"/>
      <c r="CD416" s="38"/>
      <c r="CE416" s="38"/>
      <c r="CF416" s="38"/>
      <c r="CG416" s="38"/>
      <c r="CH416" s="38"/>
      <c r="CI416" s="38"/>
      <c r="CM416" s="1352"/>
      <c r="CN416" s="1352"/>
      <c r="CO416" s="1416"/>
      <c r="CP416" s="1418"/>
      <c r="CR416" s="1386"/>
      <c r="CS416" s="1355"/>
      <c r="CT416" s="1355"/>
      <c r="CU416" s="1355"/>
      <c r="CV416" s="1372"/>
      <c r="CW416" s="1372"/>
      <c r="CX416" s="1371"/>
      <c r="CY416" s="1486"/>
      <c r="CZ416" s="1486"/>
      <c r="DA416" s="1486"/>
      <c r="DC416" s="1355"/>
      <c r="DD416" s="1461"/>
      <c r="DE416" s="1355"/>
      <c r="DF416" s="1407"/>
      <c r="DG416" s="1372"/>
      <c r="DH416" s="1369"/>
      <c r="DJ416" s="1484"/>
      <c r="DL416" s="1419"/>
      <c r="DN416" s="1403"/>
      <c r="DO416" s="1405"/>
      <c r="DP416" s="1354"/>
      <c r="DQ416" s="1405"/>
      <c r="DR416" s="1403"/>
      <c r="DS416" s="1489"/>
      <c r="DU416" s="1403"/>
      <c r="DV416" s="1405"/>
      <c r="DW416" s="1403"/>
      <c r="DX416" s="1403"/>
      <c r="DZ416" s="1481"/>
      <c r="EA416" s="1481"/>
      <c r="EC416" s="1482"/>
      <c r="ED416" s="1369"/>
      <c r="EE416" s="1371"/>
      <c r="EF416" s="1369"/>
      <c r="EG416" s="1369"/>
      <c r="EH416" s="1374"/>
      <c r="EI416" s="1374"/>
      <c r="EJ416" s="1363"/>
      <c r="EK416" s="1376"/>
      <c r="EL416" s="1376"/>
      <c r="EM416" s="1362"/>
      <c r="EN416" s="1362"/>
      <c r="EO416" s="1363"/>
      <c r="EP416" s="1363"/>
      <c r="EQ416" s="1363"/>
      <c r="ES416" s="1403"/>
      <c r="EU416" s="1411"/>
      <c r="EV416" s="1411"/>
      <c r="EW416" s="1411"/>
      <c r="EX416" s="1411"/>
      <c r="EY416" s="1411"/>
      <c r="EZ416" s="1413"/>
      <c r="FB416" s="1365"/>
      <c r="FD416" s="1354"/>
      <c r="FE416" s="1354"/>
      <c r="FF416" s="138"/>
      <c r="FI416" s="1357"/>
      <c r="FJ416" s="1357"/>
      <c r="FK416" s="1365"/>
      <c r="FL416" s="1365"/>
      <c r="FM416" s="1365"/>
      <c r="FO416" s="1361"/>
      <c r="FP416" s="1361"/>
      <c r="FQ416" s="1366"/>
      <c r="FR416" s="1368"/>
      <c r="FS416" s="1361"/>
      <c r="FT416" s="1368"/>
      <c r="FU416" s="1360"/>
      <c r="FW416" s="1352"/>
      <c r="FX416" s="1352"/>
      <c r="FY416" s="1352"/>
      <c r="FZ416" s="1352"/>
      <c r="GA416" s="1352"/>
      <c r="GB416" s="1352"/>
      <c r="GC416" s="1352"/>
      <c r="GD416" s="1352"/>
      <c r="GE416" s="759"/>
      <c r="GF416" s="1035"/>
      <c r="GG416" s="1385"/>
      <c r="GI416" s="1384" t="b">
        <f>IF(AND(GL416=TRUE,GM416=TRUE),TRUE,FALSE)</f>
        <v>0</v>
      </c>
      <c r="GJ416" s="1379" t="b">
        <f>IFERROR(IF(__Retrofit_TI_NC=2,TRUE,IF(AR415="Yes",TRUE,FALSE)),FALSE)</f>
        <v>1</v>
      </c>
      <c r="GL416" s="1379" t="b">
        <f>IFERROR(IF(GL415=1,TRUE,FALSE),FALSE)</f>
        <v>0</v>
      </c>
      <c r="GM416" s="1379" t="b">
        <f>IFERROR(IF(GM415=GM$14,TRUE,FALSE),FALSE)</f>
        <v>0</v>
      </c>
      <c r="HC416" s="1379" t="b">
        <f>IFERROR(IF(M416=1,TRUE,FALSE),FALSE)</f>
        <v>0</v>
      </c>
      <c r="HD416" s="1379" t="b">
        <f>IFERROR(IF(M417=1,TRUE,FALSE),FALSE)</f>
        <v>0</v>
      </c>
      <c r="HE416" s="1379" t="b">
        <f>IFERROR(IF(__Retrofit_TI_NC&lt;&gt;0,TRUE,IFERROR(IF(VLOOKUP(U416,Fixtures_Existing_List,2,FALSE)&lt;&gt;"",TRUE,FALSE),FALSE)),FALSE)</f>
        <v>0</v>
      </c>
      <c r="HF416" s="1379" t="b">
        <f>IFERROR(IF(VLOOKUP(U417,Fixtures_Proposed_List,2,FALSE)&lt;&gt;"",TRUE,FALSE),FALSE)</f>
        <v>0</v>
      </c>
      <c r="HG416" s="1379" t="b">
        <f>IF(AND(__Retrofit_TI_NC=2,EZ415=TRUE),FALSE,TRUE)</f>
        <v>1</v>
      </c>
      <c r="HH416" s="1379" t="b">
        <f>GG415</f>
        <v>1</v>
      </c>
      <c r="HI416" s="1384" t="b">
        <f>IF(ISERROR(MATCH(FB415,_Control_Match[],0))=TRUE,FALSE,TRUE)</f>
        <v>0</v>
      </c>
      <c r="HJ416" s="1384" t="b">
        <f>IFERROR(IF(EU415&lt;&gt;EV415,FALSE,TRUE),FALSE)</f>
        <v>0</v>
      </c>
      <c r="HK416" s="1384" t="b">
        <f>IFERROR(IF(EU417&lt;&gt;EV417,FALSE,TRUE),FALSE)</f>
        <v>0</v>
      </c>
      <c r="HL416" s="1379" t="b">
        <f>IFERROR(IF(CN415="Exterior",TRUE,IF(OR(AND(FJ415=0,EW417&gt;4),AND(FJ415=4,EW417&gt;4,EW417&lt;7)),FALSE,TRUE)),FALSE)</f>
        <v>0</v>
      </c>
      <c r="HM416" s="1379" t="b">
        <f>IFERROR(IF(AND(FL417=7,EZ415=TRUE),FALSE,TRUE),FALSE)</f>
        <v>0</v>
      </c>
      <c r="HN416" s="1379" t="b">
        <f>IFERROR(IF(AND(T417&lt;&gt;AE417,AF417="Interior LLLC")=TRUE,FALSE,TRUE),FALSE)</f>
        <v>1</v>
      </c>
      <c r="HO416" s="1379" t="b">
        <f>IFERROR(IF(OR(AF417=Lookup!AU$13,AF417=Lookup!AU$14)=TRUE,IF(AE417&gt;T417,FALSE,TRUE),TRUE),FALSE)</f>
        <v>1</v>
      </c>
      <c r="HP416" s="1379" t="b">
        <f>IFERROR(IF(__Retrofit_TI_NC=2,IF(EW417&lt;EW415,FALSE,TRUE),TRUE),FALSE)</f>
        <v>1</v>
      </c>
      <c r="HQ416" s="1379" t="b">
        <f>IF(CN415="Interior",IG$6,TRUE)</f>
        <v>1</v>
      </c>
      <c r="HR416" s="1379" t="b">
        <f>IF(CN415="Exterior",IG$8,TRUE)</f>
        <v>1</v>
      </c>
      <c r="HS416" s="1379" t="b">
        <f>IFERROR(IF(__Retrofit_TI_NC&lt;&gt;0,IF(AW415&lt;AV415,FALSE,TRUE),TRUE),FALSE)</f>
        <v>1</v>
      </c>
      <c r="HT416" s="1379" t="b">
        <f>IFERROR(IF(AND(G416="Exterior",R416&gt;4200),FALSE,TRUE),FALSE)</f>
        <v>1</v>
      </c>
      <c r="HU416" s="1379" t="b">
        <f>IFERROR(IF(AB418/AB415&lt;HU$18,FALSE,TRUE),FALSE)</f>
        <v>0</v>
      </c>
      <c r="HW416" s="1382"/>
      <c r="HX416" s="1378"/>
      <c r="HY416" s="1377" t="str">
        <f>VLOOKUP(HW418,_Error_Table,4,FALSE)</f>
        <v>White</v>
      </c>
      <c r="HZ416" s="436"/>
      <c r="IA416" s="1386"/>
      <c r="IB416" s="1380"/>
      <c r="IC416" s="1379"/>
      <c r="IF416" s="1380"/>
      <c r="IG416" s="1382"/>
      <c r="IH416" s="1382"/>
      <c r="II416" s="1382"/>
      <c r="IK416" s="1351"/>
      <c r="IL416" s="1351"/>
      <c r="IM416" s="1351"/>
      <c r="IN416" s="1351"/>
      <c r="IO416" s="1351"/>
      <c r="IP416" s="1351"/>
    </row>
    <row r="417" spans="1:250" s="82" customFormat="1" ht="14.95" customHeight="1" thickTop="1" thickBot="1">
      <c r="A417" s="82">
        <f>ROW()</f>
        <v>417</v>
      </c>
      <c r="B417" s="1421"/>
      <c r="C417" s="1422"/>
      <c r="D417" s="1423"/>
      <c r="E417" s="1393" t="s">
        <v>245</v>
      </c>
      <c r="F417" s="1394"/>
      <c r="G417" s="1398"/>
      <c r="H417" s="1399"/>
      <c r="I417" s="1399"/>
      <c r="J417" s="1399"/>
      <c r="K417" s="1399"/>
      <c r="L417" s="1400"/>
      <c r="M417" s="509">
        <f>IFERROR(IF(IF(__Retrofit_TI_NC&lt;&gt;0,IF(CN415="Interior",MATCH(G417,Lookup_Interior_New,0),MATCH(G417,Lookup_Exterior_New,0)),IF(CN415="Interior",MATCH(G417,Lookup_Interior,0),MATCH(G417,Lookup_Exterior_Areas,0)))&gt;0,1,0),0)</f>
        <v>0</v>
      </c>
      <c r="N417" s="509" t="e">
        <f>IF(__Retrofit_TI_NC=1,
VLOOKUP(G417,'Space Table'!$B$3:$L$160,4,FALSE),
IF(__Retrofit_TI_NC=2,VLOOKUP(G417,'Space Table'!$B$3:$L$160,5,FALSE),VLOOKUP(G417,'Space Table'!$B$3:$L$160,5,FALSE)))</f>
        <v>#N/A</v>
      </c>
      <c r="O417" s="509">
        <f>G417</f>
        <v>0</v>
      </c>
      <c r="P417" s="1394" t="s">
        <v>355</v>
      </c>
      <c r="Q417" s="1394"/>
      <c r="R417" s="674"/>
      <c r="S417" s="1401" t="s">
        <v>284</v>
      </c>
      <c r="T417" s="672"/>
      <c r="U417" s="1499"/>
      <c r="V417" s="1500"/>
      <c r="W417" s="1500"/>
      <c r="X417" s="1500"/>
      <c r="Y417" s="1500"/>
      <c r="Z417" s="1500"/>
      <c r="AA417" s="1500"/>
      <c r="AB417" s="1501"/>
      <c r="AC417" s="1501"/>
      <c r="AD417" s="1502"/>
      <c r="AE417" s="672"/>
      <c r="AF417" s="1474"/>
      <c r="AG417" s="1474"/>
      <c r="AH417" s="1474"/>
      <c r="AI417" s="1474"/>
      <c r="AJ417" s="1475">
        <f>DF417</f>
        <v>0</v>
      </c>
      <c r="AK417" s="1470" t="str">
        <f>IFERROR(ROUND(AJ417*AC418,0),"")</f>
        <v/>
      </c>
      <c r="AL417" s="1472">
        <f>IFERROR(IF(HW415=FALSE,0,AC418-AK417),0)</f>
        <v>0</v>
      </c>
      <c r="AM417" s="1441"/>
      <c r="AN417" s="1442"/>
      <c r="AO417" s="1447"/>
      <c r="AP417" s="1447"/>
      <c r="AQ417" s="1448"/>
      <c r="AR417" s="1452"/>
      <c r="AS417" s="1455"/>
      <c r="AT417" s="1458"/>
      <c r="AU417" s="516"/>
      <c r="AV417" s="1479"/>
      <c r="AW417" s="1479"/>
      <c r="BC417" s="38"/>
      <c r="BD417" s="38"/>
      <c r="BE417" s="38"/>
      <c r="BF417" s="38"/>
      <c r="BG417" s="38"/>
      <c r="BH417" s="38"/>
      <c r="BI417" s="38"/>
      <c r="BJ417" s="38"/>
      <c r="BK417" s="38"/>
      <c r="BL417" s="38"/>
      <c r="BM417" s="38"/>
      <c r="BN417" s="38"/>
      <c r="BO417" s="38"/>
      <c r="BP417" s="38"/>
      <c r="BQ417" s="38"/>
      <c r="BR417" s="38"/>
      <c r="BS417" s="38"/>
      <c r="BT417" s="38"/>
      <c r="BU417" s="38"/>
      <c r="BV417" s="38"/>
      <c r="BW417" s="38"/>
      <c r="BX417" s="38"/>
      <c r="BY417" s="38"/>
      <c r="BZ417" s="38"/>
      <c r="CA417" s="38"/>
      <c r="CB417" s="38"/>
      <c r="CC417" s="38"/>
      <c r="CD417" s="38"/>
      <c r="CE417" s="38"/>
      <c r="CF417" s="38"/>
      <c r="CG417" s="38"/>
      <c r="CH417" s="38"/>
      <c r="CI417" s="38"/>
      <c r="CM417" s="1352"/>
      <c r="CN417" s="1352"/>
      <c r="CO417" s="1415" t="str">
        <f>CN415</f>
        <v/>
      </c>
      <c r="CP417" s="1417" t="e">
        <f>CP415</f>
        <v>#N/A</v>
      </c>
      <c r="CR417" s="1386" t="s">
        <v>284</v>
      </c>
      <c r="CS417" s="1353">
        <f>IF(HW415=TRUE,T417,0)</f>
        <v>0</v>
      </c>
      <c r="CT417" s="1353" t="str">
        <f>IF(HW415=TRUE,U417,"")</f>
        <v/>
      </c>
      <c r="CU417" s="1373">
        <f>IF(HW415=TRUE,U418,0)</f>
        <v>0</v>
      </c>
      <c r="CV417" s="1370">
        <f>IF(HW415=TRUE,AB418,0)</f>
        <v>0</v>
      </c>
      <c r="CW417" s="1370">
        <f>IF(HW415=TRUE,AC418,0)</f>
        <v>0</v>
      </c>
      <c r="CX417" s="1371"/>
      <c r="CY417" s="1486"/>
      <c r="CZ417" s="1486"/>
      <c r="DA417" s="1486"/>
      <c r="DC417" s="1353">
        <f>IF(HW415=TRUE,AE417,0)</f>
        <v>0</v>
      </c>
      <c r="DD417" s="1353" t="str">
        <f>IF(HW415=TRUE,AF417,"")</f>
        <v/>
      </c>
      <c r="DE417" s="1373">
        <f>AF418</f>
        <v>0</v>
      </c>
      <c r="DF417" s="1406">
        <f>IFERROR(IF(FL417=3,IK417,IF(FL417=4,IL417,IF(FL417=5,IM417,IF(FL417=6,IN417,IF(FL417=7,IO417,IF(FL417=8,IP417,0)))))),0)</f>
        <v>0</v>
      </c>
      <c r="DG417" s="1370">
        <f>IF(HW415=TRUE,AK417,0)</f>
        <v>0</v>
      </c>
      <c r="DH417" s="1369"/>
      <c r="DK417" s="1483">
        <f>IFERROR(CW417-DG417,0)</f>
        <v>0</v>
      </c>
      <c r="DL417" s="1420"/>
      <c r="DN417" s="1403"/>
      <c r="DO417" s="1477" t="str">
        <f>DN415</f>
        <v/>
      </c>
      <c r="DP417" s="1354"/>
      <c r="DQ417" s="1477" t="str">
        <f>IF(DP415=7,"LLLC","")</f>
        <v/>
      </c>
      <c r="DR417" s="1403"/>
      <c r="DS417" s="1489"/>
      <c r="DU417" s="1403"/>
      <c r="DV417" s="1404" t="str">
        <f>DU415</f>
        <v/>
      </c>
      <c r="DW417" s="1403"/>
      <c r="DX417" s="1403"/>
      <c r="DZ417" s="1481"/>
      <c r="EA417" s="1481"/>
      <c r="EC417" s="1482"/>
      <c r="ED417" s="1369"/>
      <c r="EE417" s="1371"/>
      <c r="EF417" s="1369"/>
      <c r="EG417" s="1369"/>
      <c r="EH417" s="1374"/>
      <c r="EI417" s="1374"/>
      <c r="EJ417" s="1363"/>
      <c r="EK417" s="1376"/>
      <c r="EL417" s="1376"/>
      <c r="EM417" s="1362"/>
      <c r="EN417" s="1362"/>
      <c r="EO417" s="1363"/>
      <c r="EP417" s="1363"/>
      <c r="EQ417" s="1363"/>
      <c r="ES417" s="1403"/>
      <c r="EU417" s="1411" t="e">
        <f>VLOOKUP(CP417,'Space Table'!$B$3:$L$160,8,FALSE)</f>
        <v>#N/A</v>
      </c>
      <c r="EV417" s="1411" t="e">
        <f>IF(EY417="Yes",VLOOKUP(AF417,Lookup_Control_Type_Table2,4,FALSE),VLOOKUP(AF417,Lookup_Control_Type_Table2,3,FALSE))</f>
        <v>#N/A</v>
      </c>
      <c r="EW417" s="1411" t="e">
        <f>VLOOKUP(AF417,Lookup!AU$3:AV$15,2,FALSE)</f>
        <v>#N/A</v>
      </c>
      <c r="EX417" s="1411" t="e">
        <f>VLOOKUP(EU415,Lookup_Control_Type_Table,2,FALSE)</f>
        <v>#N/A</v>
      </c>
      <c r="EY417" s="1411" t="e">
        <f>VLOOKUP(CP417,'Space Table'!$B$3:$L$160,7,FALSE)</f>
        <v>#N/A</v>
      </c>
      <c r="EZ417" s="1413"/>
      <c r="FB417" s="1365" t="str">
        <f>CONCATENATE(CN415," - ",AF417)</f>
        <v xml:space="preserve"> - </v>
      </c>
      <c r="FD417" s="1354"/>
      <c r="FE417" s="1354"/>
      <c r="FF417" s="138"/>
      <c r="FI417" s="1356" t="str">
        <f>IF(CN415="Exterior","Not Daylighted",G418)</f>
        <v>Not Daylighted</v>
      </c>
      <c r="FJ417" s="1356">
        <f>VLOOKUP(FI417,_Daylight_Table_Codes,2,FALSE)</f>
        <v>0</v>
      </c>
      <c r="FK417" s="1365">
        <f>AF417</f>
        <v>0</v>
      </c>
      <c r="FL417" s="1365" t="e">
        <f>VLOOKUP(FK417,_Control_Table,2,FALSE)</f>
        <v>#N/A</v>
      </c>
      <c r="FM417" s="1365" t="e">
        <f>IF(AND(FP417&gt;0,FK417="Occupancy Sensor"),"Daylight + Occupancy",IF(AND(FP417&gt;0,FL417&lt;4),"Interior Daylight Dimming",FK417))</f>
        <v>#N/A</v>
      </c>
      <c r="FO417" s="1364">
        <f>IF(CN415="Interior",VLOOKUP(CP415,Control_Savings_Interior,5,FALSE),0)</f>
        <v>0</v>
      </c>
      <c r="FP417" s="1361">
        <f>IF(CN417="Exterior",0,IF(FJ417=2,0.5,IF(OR(FJ417=1,FJ417=3),1,0)))</f>
        <v>0</v>
      </c>
      <c r="FQ417" s="1366">
        <f>IF(R416&gt;FO$37,(FO417*(FO$37/R416)),FO417)*FP417</f>
        <v>0</v>
      </c>
      <c r="FR417" s="1364">
        <f>DF417</f>
        <v>0</v>
      </c>
      <c r="FS417" s="1364">
        <f>ROUND(FR417+((1-FR417)*FQ417),2)</f>
        <v>0</v>
      </c>
      <c r="FT417" s="1364">
        <f>IF(__Retrofit_TI_NC=2,FS417,FR417)</f>
        <v>0</v>
      </c>
      <c r="FU417" s="1360">
        <f>IF(CO417="Interior",VLOOKUP(CP417,Control_Savings_Interior,4,FALSE),0)</f>
        <v>0</v>
      </c>
      <c r="FW417" s="1352"/>
      <c r="FX417" s="1352"/>
      <c r="FY417" s="1352"/>
      <c r="FZ417" s="1352"/>
      <c r="GA417" s="1352"/>
      <c r="GB417" s="1352"/>
      <c r="GC417" s="1352"/>
      <c r="GD417" s="1352"/>
      <c r="GE417" s="759" t="b">
        <f>IF(ISNUMBER(SEARCH("TLED",U417)),TRUE,FALSE)</f>
        <v>0</v>
      </c>
      <c r="GF417" s="1035" t="str">
        <f>IFERROR(VLOOKUP(U417,Fixtures!DM$93:DR$142,6,FALSE),"")</f>
        <v/>
      </c>
      <c r="GG417" s="1385"/>
      <c r="GI417" s="1383"/>
      <c r="GJ417" s="1379"/>
      <c r="GL417" s="1379"/>
      <c r="GM417" s="1379"/>
      <c r="HC417" s="1379"/>
      <c r="HD417" s="1379"/>
      <c r="HE417" s="1379"/>
      <c r="HF417" s="1379"/>
      <c r="HG417" s="1379"/>
      <c r="HH417" s="1379"/>
      <c r="HI417" s="1383"/>
      <c r="HJ417" s="1383"/>
      <c r="HK417" s="1383"/>
      <c r="HL417" s="1379"/>
      <c r="HM417" s="1379"/>
      <c r="HN417" s="1379"/>
      <c r="HO417" s="1379"/>
      <c r="HP417" s="1379"/>
      <c r="HQ417" s="1379"/>
      <c r="HR417" s="1379"/>
      <c r="HS417" s="1379"/>
      <c r="HT417" s="1379"/>
      <c r="HU417" s="1379"/>
      <c r="HW417" s="1383"/>
      <c r="HX417" s="1384" t="b">
        <f>HW415</f>
        <v>0</v>
      </c>
      <c r="HY417" s="1378"/>
      <c r="HZ417" s="436"/>
      <c r="IA417" s="1386"/>
      <c r="IB417" s="1380">
        <f>IF(IA415=TRUE,AC418,0)</f>
        <v>0</v>
      </c>
      <c r="IC417" s="1379"/>
      <c r="IF417" s="1380" t="e">
        <f>ROUND(T417*AB418*N416*R416/1000,0)</f>
        <v>#VALUE!</v>
      </c>
      <c r="IG417" s="1382"/>
      <c r="IH417" s="1384" t="e">
        <f>ROUND(T417*AB418*N416*R416/1000,0)</f>
        <v>#VALUE!</v>
      </c>
      <c r="II417" s="1382"/>
      <c r="IK417" s="1351" t="e">
        <f>IF($CO417="interior",IL417/2,VLOOKUP($CP417,Control_Savings_Exterior,IK$30,FALSE))</f>
        <v>#N/A</v>
      </c>
      <c r="IL417" s="1351" t="e">
        <f>IF($CO417="interior",VLOOKUP($CP417,Control_Savings_Interior,IL$30,FALSE),VLOOKUP($CP417,Control_Savings_Exterior,IL$30,FALSE))</f>
        <v>#N/A</v>
      </c>
      <c r="IM417" s="1351" t="e">
        <f>IF($CO417="interior",IF(R416&gt;FO$37,(IM$28*(FO$37/R416)),IM$28)*FP417,VLOOKUP($CP417,Control_Savings_Exterior,IM$30,FALSE))</f>
        <v>#N/A</v>
      </c>
      <c r="IN417" s="1351" t="e">
        <f>IF($CO417="interior",ROUND(((1-IL417)*IM417)+IL417,2),VLOOKUP($CP417,Control_Savings_Exterior,IN$30,FALSE))</f>
        <v>#N/A</v>
      </c>
      <c r="IO417" s="1351" t="e">
        <f>IF($CO417="interior", ROUND(((1-IL417)*(IM417*(1-IP$28)))+IP417,2), VLOOKUP($CP417,Control_Savings_Exterior,IO$30,FALSE))</f>
        <v>#N/A</v>
      </c>
      <c r="IP417" s="1351">
        <f>IF($CO417="interior",ROUND(((1-IL417)*IP$28)+IL417,2),0)</f>
        <v>0</v>
      </c>
    </row>
    <row r="418" spans="1:250" s="82" customFormat="1" ht="14.95" customHeight="1" thickTop="1" thickBot="1">
      <c r="B418" s="1421"/>
      <c r="C418" s="1422"/>
      <c r="D418" s="1423"/>
      <c r="E418" s="1462" t="s">
        <v>357</v>
      </c>
      <c r="F418" s="1463"/>
      <c r="G418" s="1464" t="s">
        <v>362</v>
      </c>
      <c r="H418" s="1465"/>
      <c r="I418" s="1465"/>
      <c r="J418" s="1465"/>
      <c r="K418" s="1465"/>
      <c r="L418" s="1466"/>
      <c r="M418" s="669">
        <f>IFERROR(VLOOKUP(G418,_Daylight_Table[],2,FALSE),0)</f>
        <v>0</v>
      </c>
      <c r="N418" s="670"/>
      <c r="O418" s="669" t="e">
        <f>VLOOKUP(G417,'Space Table'!$B$3:$L$160,11,FALSE)</f>
        <v>#N/A</v>
      </c>
      <c r="P418" s="1408"/>
      <c r="Q418" s="1409"/>
      <c r="R418" s="1409"/>
      <c r="S418" s="1402"/>
      <c r="T418" s="671" t="s">
        <v>281</v>
      </c>
      <c r="U418" s="1467" t="str">
        <f>IFERROR(VLOOKUP(U417,Fixtures!DM$93:DP$142,4,FALSE),"")</f>
        <v/>
      </c>
      <c r="V418" s="1468"/>
      <c r="W418" s="1468"/>
      <c r="X418" s="1468"/>
      <c r="Y418" s="1468"/>
      <c r="Z418" s="1468"/>
      <c r="AA418" s="1468"/>
      <c r="AB418" s="1046" t="str">
        <f>IFERROR(VLOOKUP(U417,Fixtures_Proposed_List,2,FALSE),"")</f>
        <v/>
      </c>
      <c r="AC418" s="1036" t="str">
        <f>IFERROR(ROUND(T417*AB418*N416*R416/1000,0),"")</f>
        <v/>
      </c>
      <c r="AD418" s="1037" t="str">
        <f>IFERROR(ROUND(T417*AB418/1000,2),"")</f>
        <v/>
      </c>
      <c r="AE418" s="1045" t="s">
        <v>281</v>
      </c>
      <c r="AF418" s="1469"/>
      <c r="AG418" s="1469"/>
      <c r="AH418" s="1469"/>
      <c r="AI418" s="1469"/>
      <c r="AJ418" s="1476"/>
      <c r="AK418" s="1471"/>
      <c r="AL418" s="1473"/>
      <c r="AM418" s="1443"/>
      <c r="AN418" s="1444"/>
      <c r="AO418" s="1449"/>
      <c r="AP418" s="1449"/>
      <c r="AQ418" s="1450"/>
      <c r="AR418" s="1453"/>
      <c r="AS418" s="1456"/>
      <c r="AT418" s="1459"/>
      <c r="AU418" s="517"/>
      <c r="AV418" s="1480"/>
      <c r="AW418" s="1480"/>
      <c r="BC418" s="38"/>
      <c r="BD418" s="38"/>
      <c r="BE418" s="38"/>
      <c r="BF418" s="38"/>
      <c r="BG418" s="38"/>
      <c r="BH418" s="38"/>
      <c r="BI418" s="38"/>
      <c r="BJ418" s="38"/>
      <c r="BK418" s="38"/>
      <c r="BL418" s="38"/>
      <c r="BM418" s="38"/>
      <c r="BN418" s="38"/>
      <c r="BO418" s="38"/>
      <c r="BP418" s="38"/>
      <c r="BQ418" s="38"/>
      <c r="BR418" s="38"/>
      <c r="BS418" s="38"/>
      <c r="BT418" s="38"/>
      <c r="BU418" s="38"/>
      <c r="BV418" s="38"/>
      <c r="BW418" s="38"/>
      <c r="BX418" s="38"/>
      <c r="BY418" s="38"/>
      <c r="BZ418" s="38"/>
      <c r="CA418" s="38"/>
      <c r="CB418" s="38"/>
      <c r="CC418" s="38"/>
      <c r="CD418" s="38"/>
      <c r="CE418" s="38"/>
      <c r="CF418" s="38"/>
      <c r="CG418" s="38"/>
      <c r="CH418" s="38"/>
      <c r="CI418" s="38"/>
      <c r="CM418" s="1352"/>
      <c r="CN418" s="1352"/>
      <c r="CO418" s="1416"/>
      <c r="CP418" s="1418"/>
      <c r="CR418" s="1386"/>
      <c r="CS418" s="1355"/>
      <c r="CT418" s="1355"/>
      <c r="CU418" s="1375"/>
      <c r="CV418" s="1372"/>
      <c r="CW418" s="1372"/>
      <c r="CX418" s="1372"/>
      <c r="CY418" s="1487"/>
      <c r="CZ418" s="1487"/>
      <c r="DA418" s="1487"/>
      <c r="DC418" s="1355"/>
      <c r="DD418" s="1355"/>
      <c r="DE418" s="1375"/>
      <c r="DF418" s="1407"/>
      <c r="DG418" s="1372"/>
      <c r="DH418" s="1369"/>
      <c r="DK418" s="1484"/>
      <c r="DL418" s="1420"/>
      <c r="DN418" s="1403"/>
      <c r="DO418" s="1405"/>
      <c r="DP418" s="1355"/>
      <c r="DQ418" s="1405"/>
      <c r="DR418" s="1403"/>
      <c r="DS418" s="1489"/>
      <c r="DU418" s="1403"/>
      <c r="DV418" s="1405"/>
      <c r="DW418" s="1403"/>
      <c r="DX418" s="1403"/>
      <c r="DZ418" s="1481"/>
      <c r="EA418" s="1481"/>
      <c r="EC418" s="1482"/>
      <c r="ED418" s="1369"/>
      <c r="EE418" s="1372"/>
      <c r="EF418" s="1369"/>
      <c r="EG418" s="1369"/>
      <c r="EH418" s="1375"/>
      <c r="EI418" s="1375"/>
      <c r="EJ418" s="1363"/>
      <c r="EK418" s="1376"/>
      <c r="EL418" s="1376"/>
      <c r="EM418" s="1362"/>
      <c r="EN418" s="1362"/>
      <c r="EO418" s="1363"/>
      <c r="EP418" s="1363"/>
      <c r="EQ418" s="1363"/>
      <c r="ES418" s="1403"/>
      <c r="EU418" s="1488"/>
      <c r="EV418" s="1488"/>
      <c r="EW418" s="1488"/>
      <c r="EX418" s="1488"/>
      <c r="EY418" s="1488"/>
      <c r="EZ418" s="1414"/>
      <c r="FB418" s="1365"/>
      <c r="FD418" s="1355"/>
      <c r="FE418" s="1355"/>
      <c r="FF418" s="138"/>
      <c r="FI418" s="1357"/>
      <c r="FJ418" s="1357"/>
      <c r="FK418" s="1365"/>
      <c r="FL418" s="1365"/>
      <c r="FM418" s="1365"/>
      <c r="FO418" s="1361"/>
      <c r="FP418" s="1361"/>
      <c r="FQ418" s="1366"/>
      <c r="FR418" s="1361"/>
      <c r="FS418" s="1361"/>
      <c r="FT418" s="1361"/>
      <c r="FU418" s="1360"/>
      <c r="FW418" s="1352"/>
      <c r="FX418" s="1352"/>
      <c r="FY418" s="1352"/>
      <c r="FZ418" s="1352"/>
      <c r="GA418" s="1352"/>
      <c r="GB418" s="1352"/>
      <c r="GC418" s="1352"/>
      <c r="GD418" s="1352"/>
      <c r="GE418" s="759"/>
      <c r="GF418" s="1035"/>
      <c r="GG418" s="1385"/>
      <c r="GJ418" s="1034">
        <f>IF(GJ416=TRUE,0,GJ$16)</f>
        <v>0</v>
      </c>
      <c r="GL418" s="1034">
        <f>IF(GL416=TRUE,0,GL$16)</f>
        <v>36</v>
      </c>
      <c r="GM418" s="1034">
        <f>IF(GM416=TRUE,0,GM$16)</f>
        <v>35</v>
      </c>
      <c r="GN418" s="436"/>
      <c r="GO418" s="436"/>
      <c r="GP418" s="436"/>
      <c r="GQ418" s="436"/>
      <c r="GR418" s="436"/>
      <c r="HC418" s="1034">
        <f t="shared" ref="HC418:HH418" si="302">IF(HC416=TRUE,0,HC$16)</f>
        <v>19</v>
      </c>
      <c r="HD418" s="1034">
        <f t="shared" si="302"/>
        <v>18</v>
      </c>
      <c r="HE418" s="1034">
        <f t="shared" si="302"/>
        <v>17</v>
      </c>
      <c r="HF418" s="1034">
        <f t="shared" si="302"/>
        <v>16</v>
      </c>
      <c r="HG418" s="1034">
        <f t="shared" si="302"/>
        <v>0</v>
      </c>
      <c r="HH418" s="1034">
        <f t="shared" si="302"/>
        <v>0</v>
      </c>
      <c r="HI418" s="1034">
        <f>IF(HI416=TRUE,0,HI$16)</f>
        <v>13</v>
      </c>
      <c r="HJ418" s="1034">
        <f t="shared" ref="HJ418:HL418" si="303">IF(HJ416=TRUE,0,HJ$16)</f>
        <v>12</v>
      </c>
      <c r="HK418" s="1034">
        <f t="shared" si="303"/>
        <v>11</v>
      </c>
      <c r="HL418" s="1034">
        <f t="shared" si="303"/>
        <v>10</v>
      </c>
      <c r="HM418" s="1034">
        <f>IF(HM416=TRUE,0,HM$16)</f>
        <v>9</v>
      </c>
      <c r="HN418" s="1034">
        <f t="shared" ref="HN418:HR418" si="304">IF(HN416=TRUE,0,HN$16)</f>
        <v>0</v>
      </c>
      <c r="HO418" s="1034">
        <f t="shared" si="304"/>
        <v>0</v>
      </c>
      <c r="HP418" s="1034">
        <f t="shared" si="304"/>
        <v>0</v>
      </c>
      <c r="HQ418" s="1034">
        <f t="shared" si="304"/>
        <v>0</v>
      </c>
      <c r="HR418" s="1034">
        <f t="shared" si="304"/>
        <v>0</v>
      </c>
      <c r="HS418" s="1034">
        <f>IF(HS416=TRUE,0,HS$16)</f>
        <v>0</v>
      </c>
      <c r="HT418" s="1034">
        <f t="shared" ref="HT418" si="305">IF(HT416=TRUE,0,HT$16)</f>
        <v>0</v>
      </c>
      <c r="HU418" s="1034">
        <f>IF(HU416=TRUE,0,HU$16)</f>
        <v>1</v>
      </c>
      <c r="HW418" s="1034">
        <f>IF(GL416=FALSE,GL418,IF(GM416=FALSE,GM418,MAX(GJ418:HU418)))</f>
        <v>36</v>
      </c>
      <c r="HX418" s="1383"/>
      <c r="HY418" s="241" t="str">
        <f>VLOOKUP(HW418,_Error_Table,3,FALSE)</f>
        <v xml:space="preserve"> </v>
      </c>
      <c r="HZ418" s="241"/>
      <c r="IA418" s="1386"/>
      <c r="IB418" s="1380"/>
      <c r="IC418" s="1379"/>
      <c r="IF418" s="1380"/>
      <c r="IG418" s="1383"/>
      <c r="IH418" s="1383"/>
      <c r="II418" s="1383"/>
      <c r="IK418" s="1351"/>
      <c r="IL418" s="1351"/>
      <c r="IM418" s="1351"/>
      <c r="IN418" s="1351"/>
      <c r="IO418" s="1351"/>
      <c r="IP418" s="1351"/>
    </row>
    <row r="419" spans="1:250" s="82" customFormat="1" ht="5.0999999999999996" customHeight="1" thickBot="1">
      <c r="B419" s="763"/>
      <c r="C419" s="1038"/>
      <c r="D419" s="1038"/>
      <c r="E419" s="1490"/>
      <c r="F419" s="1490"/>
      <c r="G419" s="1490"/>
      <c r="H419" s="1490"/>
      <c r="I419" s="1490"/>
      <c r="J419" s="1490"/>
      <c r="K419" s="1490"/>
      <c r="L419" s="1490"/>
      <c r="M419" s="1490"/>
      <c r="N419" s="1490"/>
      <c r="O419" s="1490"/>
      <c r="P419" s="1490"/>
      <c r="Q419" s="1490"/>
      <c r="R419" s="1490"/>
      <c r="S419" s="1490"/>
      <c r="T419" s="1490"/>
      <c r="U419" s="1490"/>
      <c r="V419" s="1490"/>
      <c r="W419" s="1490"/>
      <c r="X419" s="1490"/>
      <c r="Y419" s="1490"/>
      <c r="Z419" s="1490"/>
      <c r="AA419" s="1490"/>
      <c r="AB419" s="1490"/>
      <c r="AC419" s="1490"/>
      <c r="AD419" s="1490"/>
      <c r="AE419" s="1490"/>
      <c r="AF419" s="1490"/>
      <c r="AG419" s="1490"/>
      <c r="AH419" s="1490"/>
      <c r="AI419" s="1490"/>
      <c r="AJ419" s="1490"/>
      <c r="AK419" s="1490"/>
      <c r="AL419" s="1490"/>
      <c r="AM419" s="1490"/>
      <c r="AN419" s="1490"/>
      <c r="AO419" s="1490"/>
      <c r="AP419" s="1490"/>
      <c r="AQ419" s="1490"/>
      <c r="AR419" s="1490"/>
      <c r="AS419" s="1490"/>
      <c r="AT419" s="1490"/>
      <c r="AU419" s="1041"/>
      <c r="BC419" s="38"/>
      <c r="BD419" s="38"/>
      <c r="BE419" s="38"/>
      <c r="BF419" s="38"/>
      <c r="BG419" s="38"/>
      <c r="BH419" s="38"/>
      <c r="BI419" s="38"/>
      <c r="BJ419" s="38"/>
      <c r="BK419" s="38"/>
      <c r="BL419" s="38"/>
      <c r="BM419" s="38"/>
      <c r="BN419" s="38"/>
      <c r="BO419" s="38"/>
      <c r="BP419" s="38"/>
      <c r="BQ419" s="38"/>
      <c r="BR419" s="38"/>
      <c r="BS419" s="38"/>
      <c r="BT419" s="38"/>
      <c r="BU419" s="38"/>
      <c r="BV419" s="38"/>
      <c r="BW419" s="38"/>
      <c r="BX419" s="38"/>
      <c r="BY419" s="38"/>
      <c r="BZ419" s="38"/>
      <c r="CA419" s="38"/>
      <c r="CB419" s="38"/>
      <c r="CC419" s="38"/>
      <c r="CD419" s="38"/>
      <c r="CE419" s="38"/>
      <c r="CF419" s="38"/>
      <c r="CG419" s="38"/>
      <c r="CH419" s="38"/>
      <c r="CI419" s="38"/>
      <c r="CM419" s="749"/>
      <c r="CN419" s="749"/>
      <c r="CO419" s="1043"/>
      <c r="CP419" s="749"/>
      <c r="CS419" s="436"/>
      <c r="CT419" s="436"/>
      <c r="CU419" s="243"/>
      <c r="CV419" s="244"/>
      <c r="CW419" s="244"/>
      <c r="CX419" s="244"/>
      <c r="CY419" s="245"/>
      <c r="CZ419" s="245"/>
      <c r="DA419" s="245"/>
      <c r="DC419" s="750"/>
      <c r="DD419" s="751"/>
      <c r="DE419" s="752"/>
      <c r="DF419" s="753"/>
      <c r="DG419" s="754"/>
      <c r="DH419" s="754"/>
      <c r="DK419" s="244"/>
      <c r="DL419" s="750"/>
      <c r="DN419" s="750"/>
      <c r="DO419" s="755"/>
      <c r="DP419" s="436"/>
      <c r="DQ419" s="750"/>
      <c r="DR419" s="750"/>
      <c r="DS419" s="750"/>
      <c r="DU419" s="750"/>
      <c r="DV419" s="750"/>
      <c r="DW419" s="750"/>
      <c r="DX419" s="750"/>
      <c r="DZ419" s="756"/>
      <c r="EA419" s="756"/>
      <c r="EC419" s="754"/>
      <c r="ED419" s="754"/>
      <c r="EE419" s="244"/>
      <c r="EF419" s="754"/>
      <c r="EG419" s="754"/>
      <c r="EH419" s="243"/>
      <c r="EI419" s="243"/>
      <c r="EJ419" s="752"/>
      <c r="EK419" s="757"/>
      <c r="EL419" s="757"/>
      <c r="EM419" s="758"/>
      <c r="EN419" s="758"/>
      <c r="EO419" s="752"/>
      <c r="EP419" s="752"/>
      <c r="EQ419" s="752"/>
      <c r="ES419" s="750"/>
      <c r="EU419" s="436"/>
      <c r="EV419" s="436"/>
      <c r="EW419" s="436"/>
      <c r="EX419" s="436"/>
      <c r="EY419" s="436"/>
      <c r="EZ419" s="436"/>
      <c r="FB419" s="643"/>
      <c r="FD419" s="436"/>
      <c r="FE419" s="436"/>
      <c r="FF419" s="436"/>
      <c r="FO419" s="750"/>
      <c r="FP419" s="436"/>
      <c r="FQ419" s="436"/>
      <c r="FR419" s="750"/>
      <c r="FS419" s="750"/>
      <c r="FW419" s="749"/>
      <c r="FX419" s="749"/>
      <c r="FY419" s="749"/>
      <c r="FZ419" s="749"/>
      <c r="GA419" s="749"/>
      <c r="GB419" s="749"/>
      <c r="GC419" s="749"/>
      <c r="GD419" s="749"/>
      <c r="GE419" s="751"/>
      <c r="GF419" s="750"/>
      <c r="GG419" s="750"/>
    </row>
    <row r="420" spans="1:250" s="82" customFormat="1" ht="14.95" customHeight="1" thickTop="1" thickBot="1">
      <c r="B420" s="1421" t="str">
        <f>HY423</f>
        <v xml:space="preserve"> </v>
      </c>
      <c r="C420" s="1422">
        <f>C415+1</f>
        <v>74</v>
      </c>
      <c r="D420" s="1423"/>
      <c r="E420" s="1424" t="s">
        <v>242</v>
      </c>
      <c r="F420" s="1425"/>
      <c r="G420" s="1426"/>
      <c r="H420" s="1427"/>
      <c r="I420" s="1427"/>
      <c r="J420" s="1427"/>
      <c r="K420" s="1427"/>
      <c r="L420" s="1427"/>
      <c r="M420" s="1427"/>
      <c r="N420" s="1427"/>
      <c r="O420" s="1427"/>
      <c r="P420" s="1427"/>
      <c r="Q420" s="1427"/>
      <c r="R420" s="1427"/>
      <c r="S420" s="1428" t="s">
        <v>283</v>
      </c>
      <c r="T420" s="668" t="s">
        <v>190</v>
      </c>
      <c r="U420" s="1430" t="s">
        <v>186</v>
      </c>
      <c r="V420" s="1431"/>
      <c r="W420" s="1431"/>
      <c r="X420" s="1431"/>
      <c r="Y420" s="1431"/>
      <c r="Z420" s="1431"/>
      <c r="AA420" s="1431"/>
      <c r="AB420" s="1088" t="str">
        <f>IFERROR(IF(__Retrofit_TI_NC=0,VLOOKUP(U421,Fixtures_Existing_List,2,FALSE),ROUND(N422*R422/T422,10)),"")</f>
        <v/>
      </c>
      <c r="AC420" s="1039" t="str">
        <f>IFERROR(IF(__Retrofit_TI_NC=0,ROUND(T421*AB420*N421*R421/1000,0),IF(CN420="Interior",N422*R422*R421*N421*_C406_reduction/1000,N422*R422*R421*N421/1000)),"")</f>
        <v/>
      </c>
      <c r="AD420" s="1040" t="str">
        <f>IFERROR(IF(C$36=0,ROUND(T421*AB420/1000,2),N422*R422/1000),"")</f>
        <v/>
      </c>
      <c r="AE420" s="1044" t="s">
        <v>190</v>
      </c>
      <c r="AF420" s="1432" t="str">
        <f>IF(__Retrofit_TI_NC=2,CONCATENATE("Code min = ",DD420),IF(__Retrofit_TI_NC=1,"Emter what you think the existing control was"," Control"))</f>
        <v xml:space="preserve"> Control</v>
      </c>
      <c r="AG420" s="1432"/>
      <c r="AH420" s="1432"/>
      <c r="AI420" s="1432"/>
      <c r="AJ420" s="1433">
        <f>DF420</f>
        <v>0</v>
      </c>
      <c r="AK420" s="1435" t="str">
        <f>IFERROR(ROUND(AJ420*AC420,0),"")</f>
        <v/>
      </c>
      <c r="AL420" s="1437">
        <f>IFERROR(IF(HW420=FALSE,0,AC420-AK420),0)</f>
        <v>0</v>
      </c>
      <c r="AM420" s="1439">
        <f>AL420-AL422</f>
        <v>0</v>
      </c>
      <c r="AN420" s="1440"/>
      <c r="AO420" s="1445">
        <f>IFERROR(IF(HW420=FALSE,0,(T422*U423)+(AE422*AF423)),0)</f>
        <v>0</v>
      </c>
      <c r="AP420" s="1445"/>
      <c r="AQ420" s="1446"/>
      <c r="AR420" s="1451" t="s">
        <v>157</v>
      </c>
      <c r="AS420" s="1454">
        <f>IF(AR420="Yes",1,0)</f>
        <v>1</v>
      </c>
      <c r="AT420" s="1457" t="str">
        <f>IF(OR(DN420=4,DN420=5,DN420=6,DN420=12),CONCATENATE("$",IF(GD420=TRUE,Lookup!$B$11,Lookup!$B$2)," /lamp"),CONCATENATE(EA420,"/ kWh"))</f>
        <v>0/ kWh</v>
      </c>
      <c r="AU420" s="516"/>
      <c r="AV420" s="1478">
        <f>IFERROR(IF(GI421=TRUE,(AB423*T422)/R422,0),"NA")</f>
        <v>0</v>
      </c>
      <c r="AW420" s="1478" t="str">
        <f>IFERROR(N422*_C406_reduction,"NA")</f>
        <v>NA</v>
      </c>
      <c r="BC420" s="38"/>
      <c r="BD420" s="38"/>
      <c r="BE420" s="38"/>
      <c r="BF420" s="38"/>
      <c r="BG420" s="38"/>
      <c r="BH420" s="38"/>
      <c r="BI420" s="38"/>
      <c r="BJ420" s="38"/>
      <c r="BK420" s="38"/>
      <c r="BL420" s="38"/>
      <c r="BM420" s="38"/>
      <c r="BN420" s="38"/>
      <c r="BO420" s="38"/>
      <c r="BP420" s="38"/>
      <c r="BQ420" s="38"/>
      <c r="BR420" s="38"/>
      <c r="BS420" s="38"/>
      <c r="BT420" s="38"/>
      <c r="BU420" s="38"/>
      <c r="BV420" s="38"/>
      <c r="BW420" s="38"/>
      <c r="BX420" s="38"/>
      <c r="BY420" s="38"/>
      <c r="BZ420" s="38"/>
      <c r="CA420" s="38"/>
      <c r="CB420" s="38"/>
      <c r="CC420" s="38"/>
      <c r="CD420" s="38"/>
      <c r="CE420" s="38"/>
      <c r="CF420" s="38"/>
      <c r="CG420" s="38"/>
      <c r="CH420" s="38"/>
      <c r="CI420" s="38"/>
      <c r="CM420" s="1352" t="str">
        <f>N421</f>
        <v/>
      </c>
      <c r="CN420" s="1352" t="str">
        <f>IFERROR(VLOOKUP(G421,_Lookup_Heat_Type_Table_New,3,FALSE),"")</f>
        <v/>
      </c>
      <c r="CO420" s="1415" t="str">
        <f>CN420</f>
        <v/>
      </c>
      <c r="CP420" s="1417" t="e">
        <f>VLOOKUP(G422,'Space Table'!$B$3:$L$160,9,FALSE)</f>
        <v>#N/A</v>
      </c>
      <c r="CR420" s="1386" t="s">
        <v>283</v>
      </c>
      <c r="CS420" s="1353">
        <f>IF(HW420=TRUE,T421,0)</f>
        <v>0</v>
      </c>
      <c r="CT420" s="1353" t="str">
        <f>IF(HW420=TRUE,U421,"")</f>
        <v/>
      </c>
      <c r="CU420" s="1353"/>
      <c r="CV420" s="1370">
        <f>IF(HW420=TRUE,AB420,0)</f>
        <v>0</v>
      </c>
      <c r="CW420" s="1370">
        <f>IF(HW420=TRUE,AC420,0)</f>
        <v>0</v>
      </c>
      <c r="CX420" s="1370">
        <f>IFERROR(IF(HW420=TRUE,CW420-CW422,0),0)</f>
        <v>0</v>
      </c>
      <c r="CY420" s="1485">
        <f>IF(HW420=TRUE,AD420,0)</f>
        <v>0</v>
      </c>
      <c r="CZ420" s="1485">
        <f>IF(HW420=TRUE,AD423,0)</f>
        <v>0</v>
      </c>
      <c r="DA420" s="1485">
        <f>IFERROR(CY420-CZ420,0)</f>
        <v>0</v>
      </c>
      <c r="DC420" s="1353">
        <f>IF(HW420=TRUE,AE421,0)</f>
        <v>0</v>
      </c>
      <c r="DD420" s="1460">
        <f>IF(__Retrofit_TI_NC=2,IF(CN420="Exterior",O423,FM420),FK420)</f>
        <v>0</v>
      </c>
      <c r="DE420" s="1353"/>
      <c r="DF420" s="1406">
        <f>IFERROR(IF(FL420=3,IK420,IF(FL420=4,IL420,IF(FL420=5,IM420,IF(FL420=6,IN420,IF(FL420=7,IO420,IF(FL420=8,IP420,0)))))),0)</f>
        <v>0</v>
      </c>
      <c r="DG420" s="1370">
        <f>IF(HW420=TRUE,AK420,0)</f>
        <v>0</v>
      </c>
      <c r="DH420" s="1369">
        <f>IFERROR(IF(HW420=TRUE,DG422-DG420,0),0)</f>
        <v>0</v>
      </c>
      <c r="DJ420" s="1483">
        <f>IFERROR(CW420-DG420,0)</f>
        <v>0</v>
      </c>
      <c r="DL420" s="1419">
        <f>DJ420-DK422</f>
        <v>0</v>
      </c>
      <c r="DN420" s="1403" t="str">
        <f>IFERROR(IF(AND(OR(FY420=4,FY420=5,FY420=6),OR(GB420=4,GB420=5,GB420=6)),FY420+8,VLOOKUP(CT422,Fixtures!R$31:Y$78,8,FALSE)),"")</f>
        <v/>
      </c>
      <c r="DO420" s="1404" t="str">
        <f>DN420</f>
        <v/>
      </c>
      <c r="DP420" s="1353" t="str">
        <f>IFERROR(VLOOKUP(DD422,Lookup!AU$3:AV$15,2,FALSE),"")</f>
        <v/>
      </c>
      <c r="DQ420" s="1404" t="str">
        <f>IF(DP420=7,"LLLC","")</f>
        <v/>
      </c>
      <c r="DR420" s="1403">
        <f>IFERROR(IF(OR(DN420=4,DN420=5,DN420=6,DN420=12,DN420=13,DN420=14),VLOOKUP(CT422,Fixtures!DN$27:EG$77,19,FALSE),1)*CS422,0)</f>
        <v>0</v>
      </c>
      <c r="DS420" s="1489">
        <f>IF(DP420=7,IF(DD420=DD422,0,DC422),0)</f>
        <v>0</v>
      </c>
      <c r="DU420" s="1403" t="str">
        <f>IFERROR(IF(EW420&lt;EW422,"Yes","No"),"")</f>
        <v/>
      </c>
      <c r="DV420" s="1404" t="str">
        <f>DU420</f>
        <v/>
      </c>
      <c r="DW420" s="1403">
        <f>IF(DU420="Yes",DC422,0)</f>
        <v>0</v>
      </c>
      <c r="DX420" s="1403">
        <f>DW420-DS420</f>
        <v>0</v>
      </c>
      <c r="DZ420" s="1481">
        <f>IFERROR(VLOOKUP(DN420,Lookup!AN$3:AO$16,2,FALSE),0)</f>
        <v>0</v>
      </c>
      <c r="EA420" s="1481">
        <f>IF(HW420=FALSE,0,IF(DU420="Yes",DZ420+Lookup!B$6,DZ420))</f>
        <v>0</v>
      </c>
      <c r="EC420" s="1482">
        <f>IF(HW420=TRUE,DJ420,0)</f>
        <v>0</v>
      </c>
      <c r="ED420" s="1369">
        <f>IF(HW420=TRUE,CW422,0)</f>
        <v>0</v>
      </c>
      <c r="EE420" s="1370">
        <f>IFERROR(EC420-ED420,0)</f>
        <v>0</v>
      </c>
      <c r="EF420" s="1369">
        <f>IF(HW420=TRUE,DG422,0)</f>
        <v>0</v>
      </c>
      <c r="EG420" s="1369">
        <f>IFERROR(EC420-ED420+EF420,0)</f>
        <v>0</v>
      </c>
      <c r="EH420" s="1373">
        <f>IF(HW420=TRUE,CS422*CU422,0)</f>
        <v>0</v>
      </c>
      <c r="EI420" s="1373">
        <f>IF(HW420=TRUE,DC422*DE422,0)</f>
        <v>0</v>
      </c>
      <c r="EJ420" s="1363">
        <f>AO420</f>
        <v>0</v>
      </c>
      <c r="EK420" s="1376" t="str">
        <f>IFERROR(IF(HW420=TRUE,VLOOKUP(DN420,Lookup!AN$3:AP$16,3,FALSE)*DR420,""),0)</f>
        <v/>
      </c>
      <c r="EL420" s="1376">
        <f>IF(HW420=TRUE,DW420*Lookup!AP$12,0)</f>
        <v>0</v>
      </c>
      <c r="EM420" s="1362">
        <f>IFERROR(IF(HW420=TRUE,EK420/EM$33,0),0)</f>
        <v>0</v>
      </c>
      <c r="EN420" s="1362">
        <f>IF(HW420=TRUE,EL420/EN$33,0)</f>
        <v>0</v>
      </c>
      <c r="EO420" s="1363">
        <f>IF(HW420=TRUE,EQ$33*EM420,0)</f>
        <v>0</v>
      </c>
      <c r="EP420" s="1363">
        <f>IF(HW420=TRUE,EQ$33*EN420,0)</f>
        <v>0</v>
      </c>
      <c r="EQ420" s="1363">
        <f>EO420+EP420</f>
        <v>0</v>
      </c>
      <c r="ES420" s="1403">
        <f>IF(G420="",0,1)</f>
        <v>0</v>
      </c>
      <c r="EU420" s="1410" t="e">
        <f>VLOOKUP(CP422,'Space Table'!$B$3:$L$160,8,FALSE)</f>
        <v>#N/A</v>
      </c>
      <c r="EV420" s="1410" t="e">
        <f>IF(EY420="Yes",VLOOKUP(DD420,Lookup_Control_Type_Table2,4,FALSE),VLOOKUP(DD420,Lookup_Control_Type_Table2,3,FALSE))</f>
        <v>#N/A</v>
      </c>
      <c r="EW420" s="1410" t="e">
        <f>VLOOKUP(DD420,Lookup!AU$3:AV$15,2,FALSE)</f>
        <v>#N/A</v>
      </c>
      <c r="EX420" s="1410" t="e">
        <f>VLOOKUP(EU420,Lookup_Control_Type_Table,2,FALSE)</f>
        <v>#N/A</v>
      </c>
      <c r="EY420" s="1410" t="e">
        <f>VLOOKUP(CP422,'Space Table'!$B$3:$L$160,7,FALSE)</f>
        <v>#N/A</v>
      </c>
      <c r="EZ420" s="1412" t="b">
        <f>ISNUMBER(SEARCH("TLED",U422))</f>
        <v>0</v>
      </c>
      <c r="FB420" s="1365" t="str">
        <f>CONCATENATE(CN420," - ",DD420)</f>
        <v xml:space="preserve"> - 0</v>
      </c>
      <c r="FD420" s="1353" t="str">
        <f>VLOOKUP(CT422,Fixtures!DN$27:EZ$77,38,FALSE)</f>
        <v/>
      </c>
      <c r="FE420" s="1353">
        <f>IFERROR(FD420*EE420,0)</f>
        <v>0</v>
      </c>
      <c r="FF420" s="138"/>
      <c r="FI420" s="1356" t="str">
        <f>IF(CN420="Exterior","Not Daylighted",G423)</f>
        <v>Not Daylighted</v>
      </c>
      <c r="FJ420" s="1356">
        <f>VLOOKUP(FI420,_Daylight_Table_Codes,2,FALSE)</f>
        <v>0</v>
      </c>
      <c r="FK420" s="1365">
        <f>IF(__Retrofit_TI_NC=2,VLOOKUP(G422,'Space Table'!$B$3:$L$160,11,FALSE),AF421)</f>
        <v>0</v>
      </c>
      <c r="FL420" s="1365" t="e">
        <f>VLOOKUP(FK420,_Control_Table,2,FALSE)</f>
        <v>#N/A</v>
      </c>
      <c r="FM420" s="1365" t="e">
        <f>IF(AND(FP420&gt;0,FK420="Occupancy Sensor"),"Daylight + Occupancy",IF(AND(FP420&gt;0,FL420&lt;4),"Interior Daylight Dimming",FK420))</f>
        <v>#N/A</v>
      </c>
      <c r="FO420" s="1364">
        <f>IF(CO420="Interior",VLOOKUP(CP420,Control_Savings_Interior,5,FALSE),0)</f>
        <v>0</v>
      </c>
      <c r="FP420" s="1361">
        <f>IF(CN420="Exterior",0,IF(FJ420=2,0.5,IF(OR(FJ420=1,FJ420=3),1,0)))</f>
        <v>0</v>
      </c>
      <c r="FQ420" s="1366"/>
      <c r="FR420" s="1367"/>
      <c r="FS420" s="1364"/>
      <c r="FT420" s="1367"/>
      <c r="FU420" s="1360"/>
      <c r="FW420" s="1352" t="str">
        <f>IFERROR(VLOOKUP(U421,_Exist_Fixture_Table,3,FALSE),"")</f>
        <v/>
      </c>
      <c r="FX420" s="1352" t="str">
        <f>VLOOKUP(CT420,_Exist_Fixture_Table,4,FALSE)</f>
        <v/>
      </c>
      <c r="FY420" s="1352">
        <f>IFERROR(VLOOKUP(FX420,Lookup!AM$6:AN$8,2,FALSE),0)</f>
        <v>0</v>
      </c>
      <c r="FZ420" s="1352" t="b">
        <f>IFERROR(IF(OR(GB420=4,GB420=5,GB420=6),TRUE,FALSE),"")</f>
        <v>0</v>
      </c>
      <c r="GA420" s="1352" t="str">
        <f>IFERROR(VLOOKUP(GB420,FY$6:FZ$10,2,FALSE),"")</f>
        <v/>
      </c>
      <c r="GB420" s="1352" t="str">
        <f>VLOOKUP(CT422,Fixtures!R$31:Y$78,8,FALSE)</f>
        <v/>
      </c>
      <c r="GC420" s="1352">
        <f>IF(AND(FW420=TRUE,FZ420=TRUE,OR(DN420=12,DN420=13,DN420=14)),FY420+8,0)</f>
        <v>0</v>
      </c>
      <c r="GD420" s="1352" t="b">
        <f>IF(OR(GC420=12,GC420=13,GC420=14),TRUE,FALSE)</f>
        <v>0</v>
      </c>
      <c r="GE420" s="759" t="b">
        <f>IF(ISNUMBER(SEARCH("TLED",U421)),TRUE,FALSE)</f>
        <v>0</v>
      </c>
      <c r="GF420" s="1035" t="str">
        <f>IFERROR(VLOOKUP(U421,Fixtures!BM$93:BR$142,6,FALSE),"")</f>
        <v/>
      </c>
      <c r="GG420" s="1385" t="b">
        <f>IF(OR(GE420=FALSE,GE422=FALSE),TRUE,IF(GF420-GF422&lt;5,FALSE,TRUE))</f>
        <v>1</v>
      </c>
      <c r="GK420" s="1034">
        <f>GL420</f>
        <v>0</v>
      </c>
      <c r="GL420" s="1034">
        <f>IF(G420="",0,1)</f>
        <v>0</v>
      </c>
      <c r="GM420" s="1034">
        <f>SUM(GN420:HB420)</f>
        <v>2</v>
      </c>
      <c r="GN420" s="1034">
        <f>IF(G421="",0,1)</f>
        <v>0</v>
      </c>
      <c r="GO420" s="1034">
        <f>IF(G422="",0,1)</f>
        <v>0</v>
      </c>
      <c r="GP420" s="1034">
        <f>IF(R421="",0,1)</f>
        <v>0</v>
      </c>
      <c r="GQ420" s="1034">
        <f>IF(__Retrofit_TI_NC=0,1,IF(R422="",0,1))</f>
        <v>1</v>
      </c>
      <c r="GR420" s="1034">
        <f>IF(CN420="Exterior",1,IF(G423="",0,1))</f>
        <v>1</v>
      </c>
      <c r="GS420" s="1034">
        <f>IF(__Retrofit_TI_NC&lt;&gt;0,1,IF(T421="",0,1))</f>
        <v>0</v>
      </c>
      <c r="GT420" s="1034">
        <f>IF(__Retrofit_TI_NC&lt;&gt;0,1,IF(U421="",0,1))</f>
        <v>0</v>
      </c>
      <c r="GU420" s="1034">
        <f>IF(T422="",0,1)</f>
        <v>0</v>
      </c>
      <c r="GV420" s="1034">
        <f>IF(U422="",0,1)</f>
        <v>0</v>
      </c>
      <c r="GW420" s="1034">
        <f>IF(__Retrofit_TI_NC=2,1,IF(U423="",0,1))</f>
        <v>0</v>
      </c>
      <c r="GX420" s="1034">
        <f>IF(__Retrofit_TI_NC&lt;&gt;0,1,IF(AE421="",0,1))</f>
        <v>0</v>
      </c>
      <c r="GY420" s="1034">
        <f>IF(__Retrofit_TI_NC&lt;&gt;0,1,IF(AF421="",0,1))</f>
        <v>0</v>
      </c>
      <c r="GZ420" s="1034">
        <f>IF(AE422="",0,1)</f>
        <v>0</v>
      </c>
      <c r="HA420" s="1034">
        <f>IF(AF422="",0,1)</f>
        <v>0</v>
      </c>
      <c r="HB420" s="1034">
        <f>IF(__Retrofit_TI_NC=2,1,IF(AF423="",0,1))</f>
        <v>0</v>
      </c>
      <c r="HV420" s="436"/>
      <c r="HW420" s="1384" t="b">
        <f>IF(OR(HW423=0,HW423=HT$16,HW423=HS$16,HW423=HU$16),TRUE,FALSE)</f>
        <v>0</v>
      </c>
      <c r="HX420" s="1377" t="b">
        <f>HW420</f>
        <v>0</v>
      </c>
      <c r="HY420" s="436"/>
      <c r="HZ420" s="436"/>
      <c r="IA420" s="1386" t="b">
        <f>IF(MAX(GJ423:HP423)&gt;5,FALSE,TRUE)</f>
        <v>0</v>
      </c>
      <c r="IB420" s="1380">
        <f>IF(IA420=TRUE,AC420,0)</f>
        <v>0</v>
      </c>
      <c r="IC420" s="1380">
        <f>IB420-IB422</f>
        <v>0</v>
      </c>
      <c r="IF420" s="1380" t="e">
        <f>ROUND(T421*VLOOKUP(U421,Fixtures_Existing_List,2,FALSE)*N421*R421/1000,0)</f>
        <v>#N/A</v>
      </c>
      <c r="IG420" s="1381" t="e">
        <f>IF420-IF422</f>
        <v>#N/A</v>
      </c>
      <c r="IH420" s="1384" t="e">
        <f>ROUND(IF(CN420="Interior",N422*R422*R421*N421*_C406_reduction/1000,N422*R422*R421*N421/1000),0)</f>
        <v>#N/A</v>
      </c>
      <c r="II420" s="1384" t="e">
        <f>IH420-IH422</f>
        <v>#N/A</v>
      </c>
      <c r="IK420" s="1351" t="e">
        <f>IF($CO420="interior",IL420/2,VLOOKUP($CP420,Control_Savings_Exterior,IK$30,FALSE))</f>
        <v>#N/A</v>
      </c>
      <c r="IL420" s="1351" t="e">
        <f>IF($CO420="interior",VLOOKUP($CP420,Control_Savings_Interior,IL$30,FALSE),VLOOKUP($CP420,Control_Savings_Exterior,IL$30,FALSE))</f>
        <v>#N/A</v>
      </c>
      <c r="IM420" s="1351" t="e">
        <f>IF($CO420="interior",IF(R421&gt;FO$37,(IM$28*(FO$37/R421)),IM$28)*FP420,VLOOKUP($CP420,Control_Savings_Exterior,IM$30,FALSE))</f>
        <v>#N/A</v>
      </c>
      <c r="IN420" s="1351" t="e">
        <f>IF($CO420="interior",ROUND(((1-IL420)*IM420)+IL420,2),VLOOKUP($CP420,Control_Savings_Exterior,IN$30,FALSE))</f>
        <v>#N/A</v>
      </c>
      <c r="IO420" s="1351" t="e">
        <f>IF($CO420="interior", ROUND(((1-IL420)*(IM420*(1-IP$28)))+IP420,2), VLOOKUP($CP420,Control_Savings_Exterior,IO$30,FALSE))</f>
        <v>#N/A</v>
      </c>
      <c r="IP420" s="1351">
        <f>IF($CO420="interior",ROUND(((1-IL420)*IP$28)+IL420,2),0)</f>
        <v>0</v>
      </c>
    </row>
    <row r="421" spans="1:250" s="82" customFormat="1" ht="14.95" customHeight="1" thickTop="1" thickBot="1">
      <c r="B421" s="1421"/>
      <c r="C421" s="1422"/>
      <c r="D421" s="1423"/>
      <c r="E421" s="1393" t="s">
        <v>244</v>
      </c>
      <c r="F421" s="1394"/>
      <c r="G421" s="1395"/>
      <c r="H421" s="1395"/>
      <c r="I421" s="1395"/>
      <c r="J421" s="1395"/>
      <c r="K421" s="1395"/>
      <c r="L421" s="1395"/>
      <c r="M421" s="509" t="e">
        <f>IF(__Retrofit_TI_NC&lt;&gt;0,IF(VLOOKUP(G422,'Space Table'!$B$3:$L$160,3,FALSE)&gt;0,1,0),IF(__Retrofit_TI_NC=VLOOKUP(G422,'Space Table'!$B$3:$L$160,3,FALSE),1,0))</f>
        <v>#N/A</v>
      </c>
      <c r="N421" s="509" t="str">
        <f>IFERROR(VLOOKUP(G421,_Lookup_Heat_Type_Table_New,2,FALSE),"")</f>
        <v/>
      </c>
      <c r="O421" s="509">
        <f>IF(__Retrofit_TI_NC=1,CONCATENATE("TI ",G421),IF(__Retrofit_TI_NC=2,CONCATENATE("NC ",G421),G421))</f>
        <v>0</v>
      </c>
      <c r="P421" s="1396" t="s">
        <v>352</v>
      </c>
      <c r="Q421" s="1396"/>
      <c r="R421" s="673"/>
      <c r="S421" s="1429"/>
      <c r="T421" s="675"/>
      <c r="U421" s="1496"/>
      <c r="V421" s="1497"/>
      <c r="W421" s="1497"/>
      <c r="X421" s="1497"/>
      <c r="Y421" s="1497"/>
      <c r="Z421" s="1497"/>
      <c r="AA421" s="1497"/>
      <c r="AB421" s="1497"/>
      <c r="AC421" s="1497"/>
      <c r="AD421" s="1498"/>
      <c r="AE421" s="675"/>
      <c r="AF421" s="1397"/>
      <c r="AG421" s="1397"/>
      <c r="AH421" s="1397"/>
      <c r="AI421" s="1397"/>
      <c r="AJ421" s="1434"/>
      <c r="AK421" s="1436"/>
      <c r="AL421" s="1438"/>
      <c r="AM421" s="1441"/>
      <c r="AN421" s="1442"/>
      <c r="AO421" s="1447"/>
      <c r="AP421" s="1447"/>
      <c r="AQ421" s="1448"/>
      <c r="AR421" s="1452"/>
      <c r="AS421" s="1455"/>
      <c r="AT421" s="1458"/>
      <c r="AU421" s="516"/>
      <c r="AV421" s="1479"/>
      <c r="AW421" s="1479"/>
      <c r="BC421" s="38"/>
      <c r="BD421" s="38"/>
      <c r="BE421" s="38"/>
      <c r="BF421" s="38"/>
      <c r="BG421" s="38"/>
      <c r="BH421" s="38"/>
      <c r="BI421" s="38"/>
      <c r="BJ421" s="38"/>
      <c r="BK421" s="38"/>
      <c r="BL421" s="38"/>
      <c r="BM421" s="38"/>
      <c r="BN421" s="38"/>
      <c r="BO421" s="38"/>
      <c r="BP421" s="38"/>
      <c r="BQ421" s="38"/>
      <c r="BR421" s="38"/>
      <c r="BS421" s="38"/>
      <c r="BT421" s="38"/>
      <c r="BU421" s="38"/>
      <c r="BV421" s="38"/>
      <c r="BW421" s="38"/>
      <c r="BX421" s="38"/>
      <c r="BY421" s="38"/>
      <c r="BZ421" s="38"/>
      <c r="CA421" s="38"/>
      <c r="CB421" s="38"/>
      <c r="CC421" s="38"/>
      <c r="CD421" s="38"/>
      <c r="CE421" s="38"/>
      <c r="CF421" s="38"/>
      <c r="CG421" s="38"/>
      <c r="CH421" s="38"/>
      <c r="CI421" s="38"/>
      <c r="CM421" s="1352"/>
      <c r="CN421" s="1352"/>
      <c r="CO421" s="1416"/>
      <c r="CP421" s="1418"/>
      <c r="CR421" s="1386"/>
      <c r="CS421" s="1355"/>
      <c r="CT421" s="1355"/>
      <c r="CU421" s="1355"/>
      <c r="CV421" s="1372"/>
      <c r="CW421" s="1372"/>
      <c r="CX421" s="1371"/>
      <c r="CY421" s="1486"/>
      <c r="CZ421" s="1486"/>
      <c r="DA421" s="1486"/>
      <c r="DC421" s="1355"/>
      <c r="DD421" s="1461"/>
      <c r="DE421" s="1355"/>
      <c r="DF421" s="1407"/>
      <c r="DG421" s="1372"/>
      <c r="DH421" s="1369"/>
      <c r="DJ421" s="1484"/>
      <c r="DL421" s="1419"/>
      <c r="DN421" s="1403"/>
      <c r="DO421" s="1405"/>
      <c r="DP421" s="1354"/>
      <c r="DQ421" s="1405"/>
      <c r="DR421" s="1403"/>
      <c r="DS421" s="1489"/>
      <c r="DU421" s="1403"/>
      <c r="DV421" s="1405"/>
      <c r="DW421" s="1403"/>
      <c r="DX421" s="1403"/>
      <c r="DZ421" s="1481"/>
      <c r="EA421" s="1481"/>
      <c r="EC421" s="1482"/>
      <c r="ED421" s="1369"/>
      <c r="EE421" s="1371"/>
      <c r="EF421" s="1369"/>
      <c r="EG421" s="1369"/>
      <c r="EH421" s="1374"/>
      <c r="EI421" s="1374"/>
      <c r="EJ421" s="1363"/>
      <c r="EK421" s="1376"/>
      <c r="EL421" s="1376"/>
      <c r="EM421" s="1362"/>
      <c r="EN421" s="1362"/>
      <c r="EO421" s="1363"/>
      <c r="EP421" s="1363"/>
      <c r="EQ421" s="1363"/>
      <c r="ES421" s="1403"/>
      <c r="EU421" s="1411"/>
      <c r="EV421" s="1411"/>
      <c r="EW421" s="1411"/>
      <c r="EX421" s="1411"/>
      <c r="EY421" s="1411"/>
      <c r="EZ421" s="1413"/>
      <c r="FB421" s="1365"/>
      <c r="FD421" s="1354"/>
      <c r="FE421" s="1354"/>
      <c r="FF421" s="138"/>
      <c r="FI421" s="1357"/>
      <c r="FJ421" s="1357"/>
      <c r="FK421" s="1365"/>
      <c r="FL421" s="1365"/>
      <c r="FM421" s="1365"/>
      <c r="FO421" s="1361"/>
      <c r="FP421" s="1361"/>
      <c r="FQ421" s="1366"/>
      <c r="FR421" s="1368"/>
      <c r="FS421" s="1361"/>
      <c r="FT421" s="1368"/>
      <c r="FU421" s="1360"/>
      <c r="FW421" s="1352"/>
      <c r="FX421" s="1352"/>
      <c r="FY421" s="1352"/>
      <c r="FZ421" s="1352"/>
      <c r="GA421" s="1352"/>
      <c r="GB421" s="1352"/>
      <c r="GC421" s="1352"/>
      <c r="GD421" s="1352"/>
      <c r="GE421" s="759"/>
      <c r="GF421" s="1035"/>
      <c r="GG421" s="1385"/>
      <c r="GI421" s="1384" t="b">
        <f>IF(AND(GL421=TRUE,GM421=TRUE),TRUE,FALSE)</f>
        <v>0</v>
      </c>
      <c r="GJ421" s="1379" t="b">
        <f>IFERROR(IF(__Retrofit_TI_NC=2,TRUE,IF(AR420="Yes",TRUE,FALSE)),FALSE)</f>
        <v>1</v>
      </c>
      <c r="GL421" s="1379" t="b">
        <f>IFERROR(IF(GL420=1,TRUE,FALSE),FALSE)</f>
        <v>0</v>
      </c>
      <c r="GM421" s="1379" t="b">
        <f>IFERROR(IF(GM420=GM$14,TRUE,FALSE),FALSE)</f>
        <v>0</v>
      </c>
      <c r="HC421" s="1379" t="b">
        <f>IFERROR(IF(M421=1,TRUE,FALSE),FALSE)</f>
        <v>0</v>
      </c>
      <c r="HD421" s="1379" t="b">
        <f>IFERROR(IF(M422=1,TRUE,FALSE),FALSE)</f>
        <v>0</v>
      </c>
      <c r="HE421" s="1379" t="b">
        <f>IFERROR(IF(__Retrofit_TI_NC&lt;&gt;0,TRUE,IFERROR(IF(VLOOKUP(U421,Fixtures_Existing_List,2,FALSE)&lt;&gt;"",TRUE,FALSE),FALSE)),FALSE)</f>
        <v>0</v>
      </c>
      <c r="HF421" s="1379" t="b">
        <f>IFERROR(IF(VLOOKUP(U422,Fixtures_Proposed_List,2,FALSE)&lt;&gt;"",TRUE,FALSE),FALSE)</f>
        <v>0</v>
      </c>
      <c r="HG421" s="1379" t="b">
        <f>IF(AND(__Retrofit_TI_NC=2,EZ420=TRUE),FALSE,TRUE)</f>
        <v>1</v>
      </c>
      <c r="HH421" s="1379" t="b">
        <f>GG420</f>
        <v>1</v>
      </c>
      <c r="HI421" s="1384" t="b">
        <f>IF(ISERROR(MATCH(FB420,_Control_Match[],0))=TRUE,FALSE,TRUE)</f>
        <v>0</v>
      </c>
      <c r="HJ421" s="1384" t="b">
        <f>IFERROR(IF(EU420&lt;&gt;EV420,FALSE,TRUE),FALSE)</f>
        <v>0</v>
      </c>
      <c r="HK421" s="1384" t="b">
        <f>IFERROR(IF(EU422&lt;&gt;EV422,FALSE,TRUE),FALSE)</f>
        <v>0</v>
      </c>
      <c r="HL421" s="1379" t="b">
        <f>IFERROR(IF(CN420="Exterior",TRUE,IF(OR(AND(FJ420=0,EW422&gt;4),AND(FJ420=4,EW422&gt;4,EW422&lt;7)),FALSE,TRUE)),FALSE)</f>
        <v>0</v>
      </c>
      <c r="HM421" s="1379" t="b">
        <f>IFERROR(IF(AND(FL422=7,EZ420=TRUE),FALSE,TRUE),FALSE)</f>
        <v>0</v>
      </c>
      <c r="HN421" s="1379" t="b">
        <f>IFERROR(IF(AND(T422&lt;&gt;AE422,AF422="Interior LLLC")=TRUE,FALSE,TRUE),FALSE)</f>
        <v>1</v>
      </c>
      <c r="HO421" s="1379" t="b">
        <f>IFERROR(IF(OR(AF422=Lookup!AU$13,AF422=Lookup!AU$14)=TRUE,IF(AE422&gt;T422,FALSE,TRUE),TRUE),FALSE)</f>
        <v>1</v>
      </c>
      <c r="HP421" s="1379" t="b">
        <f>IFERROR(IF(__Retrofit_TI_NC=2,IF(EW422&lt;EW420,FALSE,TRUE),TRUE),FALSE)</f>
        <v>1</v>
      </c>
      <c r="HQ421" s="1379" t="b">
        <f>IF(CN420="Interior",IG$6,TRUE)</f>
        <v>1</v>
      </c>
      <c r="HR421" s="1379" t="b">
        <f>IF(CN420="Exterior",IG$8,TRUE)</f>
        <v>1</v>
      </c>
      <c r="HS421" s="1379" t="b">
        <f>IFERROR(IF(__Retrofit_TI_NC&lt;&gt;0,IF(AW420&lt;AV420,FALSE,TRUE),TRUE),FALSE)</f>
        <v>1</v>
      </c>
      <c r="HT421" s="1379" t="b">
        <f>IFERROR(IF(AND(G421="Exterior",R421&gt;4200),FALSE,TRUE),FALSE)</f>
        <v>1</v>
      </c>
      <c r="HU421" s="1379" t="b">
        <f>IFERROR(IF(AB423/AB420&lt;HU$18,FALSE,TRUE),FALSE)</f>
        <v>0</v>
      </c>
      <c r="HW421" s="1382"/>
      <c r="HX421" s="1378"/>
      <c r="HY421" s="1377" t="str">
        <f>VLOOKUP(HW423,_Error_Table,4,FALSE)</f>
        <v>White</v>
      </c>
      <c r="HZ421" s="436"/>
      <c r="IA421" s="1386"/>
      <c r="IB421" s="1380"/>
      <c r="IC421" s="1379"/>
      <c r="IF421" s="1380"/>
      <c r="IG421" s="1382"/>
      <c r="IH421" s="1382"/>
      <c r="II421" s="1382"/>
      <c r="IK421" s="1351"/>
      <c r="IL421" s="1351"/>
      <c r="IM421" s="1351"/>
      <c r="IN421" s="1351"/>
      <c r="IO421" s="1351"/>
      <c r="IP421" s="1351"/>
    </row>
    <row r="422" spans="1:250" s="82" customFormat="1" ht="14.95" customHeight="1" thickTop="1" thickBot="1">
      <c r="A422" s="82">
        <f>ROW()</f>
        <v>422</v>
      </c>
      <c r="B422" s="1421"/>
      <c r="C422" s="1422"/>
      <c r="D422" s="1423"/>
      <c r="E422" s="1393" t="s">
        <v>245</v>
      </c>
      <c r="F422" s="1394"/>
      <c r="G422" s="1398"/>
      <c r="H422" s="1399"/>
      <c r="I422" s="1399"/>
      <c r="J422" s="1399"/>
      <c r="K422" s="1399"/>
      <c r="L422" s="1400"/>
      <c r="M422" s="509">
        <f>IFERROR(IF(IF(__Retrofit_TI_NC&lt;&gt;0,IF(CN420="Interior",MATCH(G422,Lookup_Interior_New,0),MATCH(G422,Lookup_Exterior_New,0)),IF(CN420="Interior",MATCH(G422,Lookup_Interior,0),MATCH(G422,Lookup_Exterior_Areas,0)))&gt;0,1,0),0)</f>
        <v>0</v>
      </c>
      <c r="N422" s="509" t="e">
        <f>IF(__Retrofit_TI_NC=1,
VLOOKUP(G422,'Space Table'!$B$3:$L$160,4,FALSE),
IF(__Retrofit_TI_NC=2,VLOOKUP(G422,'Space Table'!$B$3:$L$160,5,FALSE),VLOOKUP(G422,'Space Table'!$B$3:$L$160,5,FALSE)))</f>
        <v>#N/A</v>
      </c>
      <c r="O422" s="509">
        <f>G422</f>
        <v>0</v>
      </c>
      <c r="P422" s="1394" t="s">
        <v>355</v>
      </c>
      <c r="Q422" s="1394"/>
      <c r="R422" s="674"/>
      <c r="S422" s="1401" t="s">
        <v>284</v>
      </c>
      <c r="T422" s="672"/>
      <c r="U422" s="1499"/>
      <c r="V422" s="1500"/>
      <c r="W422" s="1500"/>
      <c r="X422" s="1500"/>
      <c r="Y422" s="1500"/>
      <c r="Z422" s="1500"/>
      <c r="AA422" s="1500"/>
      <c r="AB422" s="1501"/>
      <c r="AC422" s="1501"/>
      <c r="AD422" s="1502"/>
      <c r="AE422" s="672"/>
      <c r="AF422" s="1474"/>
      <c r="AG422" s="1474"/>
      <c r="AH422" s="1474"/>
      <c r="AI422" s="1474"/>
      <c r="AJ422" s="1475">
        <f>DF422</f>
        <v>0</v>
      </c>
      <c r="AK422" s="1470" t="str">
        <f>IFERROR(ROUND(AJ422*AC423,0),"")</f>
        <v/>
      </c>
      <c r="AL422" s="1472">
        <f>IFERROR(IF(HW420=FALSE,0,AC423-AK422),0)</f>
        <v>0</v>
      </c>
      <c r="AM422" s="1441"/>
      <c r="AN422" s="1442"/>
      <c r="AO422" s="1447"/>
      <c r="AP422" s="1447"/>
      <c r="AQ422" s="1448"/>
      <c r="AR422" s="1452"/>
      <c r="AS422" s="1455"/>
      <c r="AT422" s="1458"/>
      <c r="AU422" s="516"/>
      <c r="AV422" s="1479"/>
      <c r="AW422" s="1479"/>
      <c r="BC422" s="38"/>
      <c r="BD422" s="38"/>
      <c r="BE422" s="38"/>
      <c r="BF422" s="38"/>
      <c r="BG422" s="38"/>
      <c r="BH422" s="38"/>
      <c r="BI422" s="38"/>
      <c r="BJ422" s="38"/>
      <c r="BK422" s="38"/>
      <c r="BL422" s="38"/>
      <c r="BM422" s="38"/>
      <c r="BN422" s="38"/>
      <c r="BO422" s="38"/>
      <c r="BP422" s="38"/>
      <c r="BQ422" s="38"/>
      <c r="BR422" s="38"/>
      <c r="BS422" s="38"/>
      <c r="BT422" s="38"/>
      <c r="BU422" s="38"/>
      <c r="BV422" s="38"/>
      <c r="BW422" s="38"/>
      <c r="BX422" s="38"/>
      <c r="BY422" s="38"/>
      <c r="BZ422" s="38"/>
      <c r="CA422" s="38"/>
      <c r="CB422" s="38"/>
      <c r="CC422" s="38"/>
      <c r="CD422" s="38"/>
      <c r="CE422" s="38"/>
      <c r="CF422" s="38"/>
      <c r="CG422" s="38"/>
      <c r="CH422" s="38"/>
      <c r="CI422" s="38"/>
      <c r="CM422" s="1352"/>
      <c r="CN422" s="1352"/>
      <c r="CO422" s="1415" t="str">
        <f>CN420</f>
        <v/>
      </c>
      <c r="CP422" s="1417" t="e">
        <f>CP420</f>
        <v>#N/A</v>
      </c>
      <c r="CR422" s="1386" t="s">
        <v>284</v>
      </c>
      <c r="CS422" s="1353">
        <f>IF(HW420=TRUE,T422,0)</f>
        <v>0</v>
      </c>
      <c r="CT422" s="1353" t="str">
        <f>IF(HW420=TRUE,U422,"")</f>
        <v/>
      </c>
      <c r="CU422" s="1373">
        <f>IF(HW420=TRUE,U423,0)</f>
        <v>0</v>
      </c>
      <c r="CV422" s="1370">
        <f>IF(HW420=TRUE,AB423,0)</f>
        <v>0</v>
      </c>
      <c r="CW422" s="1370">
        <f>IF(HW420=TRUE,AC423,0)</f>
        <v>0</v>
      </c>
      <c r="CX422" s="1371"/>
      <c r="CY422" s="1486"/>
      <c r="CZ422" s="1486"/>
      <c r="DA422" s="1486"/>
      <c r="DC422" s="1353">
        <f>IF(HW420=TRUE,AE422,0)</f>
        <v>0</v>
      </c>
      <c r="DD422" s="1353" t="str">
        <f>IF(HW420=TRUE,AF422,"")</f>
        <v/>
      </c>
      <c r="DE422" s="1373">
        <f>AF423</f>
        <v>0</v>
      </c>
      <c r="DF422" s="1406">
        <f>IFERROR(IF(FL422=3,IK422,IF(FL422=4,IL422,IF(FL422=5,IM422,IF(FL422=6,IN422,IF(FL422=7,IO422,IF(FL422=8,IP422,0)))))),0)</f>
        <v>0</v>
      </c>
      <c r="DG422" s="1370">
        <f>IF(HW420=TRUE,AK422,0)</f>
        <v>0</v>
      </c>
      <c r="DH422" s="1369"/>
      <c r="DK422" s="1483">
        <f>IFERROR(CW422-DG422,0)</f>
        <v>0</v>
      </c>
      <c r="DL422" s="1420"/>
      <c r="DN422" s="1403"/>
      <c r="DO422" s="1477" t="str">
        <f>DN420</f>
        <v/>
      </c>
      <c r="DP422" s="1354"/>
      <c r="DQ422" s="1477" t="str">
        <f>IF(DP420=7,"LLLC","")</f>
        <v/>
      </c>
      <c r="DR422" s="1403"/>
      <c r="DS422" s="1489"/>
      <c r="DU422" s="1403"/>
      <c r="DV422" s="1404" t="str">
        <f>DU420</f>
        <v/>
      </c>
      <c r="DW422" s="1403"/>
      <c r="DX422" s="1403"/>
      <c r="DZ422" s="1481"/>
      <c r="EA422" s="1481"/>
      <c r="EC422" s="1482"/>
      <c r="ED422" s="1369"/>
      <c r="EE422" s="1371"/>
      <c r="EF422" s="1369"/>
      <c r="EG422" s="1369"/>
      <c r="EH422" s="1374"/>
      <c r="EI422" s="1374"/>
      <c r="EJ422" s="1363"/>
      <c r="EK422" s="1376"/>
      <c r="EL422" s="1376"/>
      <c r="EM422" s="1362"/>
      <c r="EN422" s="1362"/>
      <c r="EO422" s="1363"/>
      <c r="EP422" s="1363"/>
      <c r="EQ422" s="1363"/>
      <c r="ES422" s="1403"/>
      <c r="EU422" s="1411" t="e">
        <f>VLOOKUP(CP422,'Space Table'!$B$3:$L$160,8,FALSE)</f>
        <v>#N/A</v>
      </c>
      <c r="EV422" s="1411" t="e">
        <f>IF(EY422="Yes",VLOOKUP(AF422,Lookup_Control_Type_Table2,4,FALSE),VLOOKUP(AF422,Lookup_Control_Type_Table2,3,FALSE))</f>
        <v>#N/A</v>
      </c>
      <c r="EW422" s="1411" t="e">
        <f>VLOOKUP(AF422,Lookup!AU$3:AV$15,2,FALSE)</f>
        <v>#N/A</v>
      </c>
      <c r="EX422" s="1411" t="e">
        <f>VLOOKUP(EU420,Lookup_Control_Type_Table,2,FALSE)</f>
        <v>#N/A</v>
      </c>
      <c r="EY422" s="1411" t="e">
        <f>VLOOKUP(CP422,'Space Table'!$B$3:$L$160,7,FALSE)</f>
        <v>#N/A</v>
      </c>
      <c r="EZ422" s="1413"/>
      <c r="FB422" s="1365" t="str">
        <f>CONCATENATE(CN420," - ",AF422)</f>
        <v xml:space="preserve"> - </v>
      </c>
      <c r="FD422" s="1354"/>
      <c r="FE422" s="1354"/>
      <c r="FF422" s="138"/>
      <c r="FI422" s="1356" t="str">
        <f>IF(CN420="Exterior","Not Daylighted",G423)</f>
        <v>Not Daylighted</v>
      </c>
      <c r="FJ422" s="1356">
        <f>VLOOKUP(FI422,_Daylight_Table_Codes,2,FALSE)</f>
        <v>0</v>
      </c>
      <c r="FK422" s="1365">
        <f>AF422</f>
        <v>0</v>
      </c>
      <c r="FL422" s="1365" t="e">
        <f>VLOOKUP(FK422,_Control_Table,2,FALSE)</f>
        <v>#N/A</v>
      </c>
      <c r="FM422" s="1365" t="e">
        <f>IF(AND(FP422&gt;0,FK422="Occupancy Sensor"),"Daylight + Occupancy",IF(AND(FP422&gt;0,FL422&lt;4),"Interior Daylight Dimming",FK422))</f>
        <v>#N/A</v>
      </c>
      <c r="FO422" s="1364">
        <f>IF(CN420="Interior",VLOOKUP(CP420,Control_Savings_Interior,5,FALSE),0)</f>
        <v>0</v>
      </c>
      <c r="FP422" s="1361">
        <f>IF(CN422="Exterior",0,IF(FJ422=2,0.5,IF(OR(FJ422=1,FJ422=3),1,0)))</f>
        <v>0</v>
      </c>
      <c r="FQ422" s="1366">
        <f>IF(R421&gt;FO$37,(FO422*(FO$37/R421)),FO422)*FP422</f>
        <v>0</v>
      </c>
      <c r="FR422" s="1364">
        <f>DF422</f>
        <v>0</v>
      </c>
      <c r="FS422" s="1364">
        <f>ROUND(FR422+((1-FR422)*FQ422),2)</f>
        <v>0</v>
      </c>
      <c r="FT422" s="1364">
        <f>IF(__Retrofit_TI_NC=2,FS422,FR422)</f>
        <v>0</v>
      </c>
      <c r="FU422" s="1360">
        <f>IF(CO422="Interior",VLOOKUP(CP422,Control_Savings_Interior,4,FALSE),0)</f>
        <v>0</v>
      </c>
      <c r="FW422" s="1352"/>
      <c r="FX422" s="1352"/>
      <c r="FY422" s="1352"/>
      <c r="FZ422" s="1352"/>
      <c r="GA422" s="1352"/>
      <c r="GB422" s="1352"/>
      <c r="GC422" s="1352"/>
      <c r="GD422" s="1352"/>
      <c r="GE422" s="759" t="b">
        <f>IF(ISNUMBER(SEARCH("TLED",U422)),TRUE,FALSE)</f>
        <v>0</v>
      </c>
      <c r="GF422" s="1035" t="str">
        <f>IFERROR(VLOOKUP(U422,Fixtures!DM$93:DR$142,6,FALSE),"")</f>
        <v/>
      </c>
      <c r="GG422" s="1385"/>
      <c r="GI422" s="1383"/>
      <c r="GJ422" s="1379"/>
      <c r="GL422" s="1379"/>
      <c r="GM422" s="1379"/>
      <c r="HC422" s="1379"/>
      <c r="HD422" s="1379"/>
      <c r="HE422" s="1379"/>
      <c r="HF422" s="1379"/>
      <c r="HG422" s="1379"/>
      <c r="HH422" s="1379"/>
      <c r="HI422" s="1383"/>
      <c r="HJ422" s="1383"/>
      <c r="HK422" s="1383"/>
      <c r="HL422" s="1379"/>
      <c r="HM422" s="1379"/>
      <c r="HN422" s="1379"/>
      <c r="HO422" s="1379"/>
      <c r="HP422" s="1379"/>
      <c r="HQ422" s="1379"/>
      <c r="HR422" s="1379"/>
      <c r="HS422" s="1379"/>
      <c r="HT422" s="1379"/>
      <c r="HU422" s="1379"/>
      <c r="HW422" s="1383"/>
      <c r="HX422" s="1384" t="b">
        <f>HW420</f>
        <v>0</v>
      </c>
      <c r="HY422" s="1378"/>
      <c r="HZ422" s="436"/>
      <c r="IA422" s="1386"/>
      <c r="IB422" s="1380">
        <f>IF(IA420=TRUE,AC423,0)</f>
        <v>0</v>
      </c>
      <c r="IC422" s="1379"/>
      <c r="IF422" s="1380" t="e">
        <f>ROUND(T422*AB423*N421*R421/1000,0)</f>
        <v>#VALUE!</v>
      </c>
      <c r="IG422" s="1382"/>
      <c r="IH422" s="1384" t="e">
        <f>ROUND(T422*AB423*N421*R421/1000,0)</f>
        <v>#VALUE!</v>
      </c>
      <c r="II422" s="1382"/>
      <c r="IK422" s="1351" t="e">
        <f>IF($CO422="interior",IL422/2,VLOOKUP($CP422,Control_Savings_Exterior,IK$30,FALSE))</f>
        <v>#N/A</v>
      </c>
      <c r="IL422" s="1351" t="e">
        <f>IF($CO422="interior",VLOOKUP($CP422,Control_Savings_Interior,IL$30,FALSE),VLOOKUP($CP422,Control_Savings_Exterior,IL$30,FALSE))</f>
        <v>#N/A</v>
      </c>
      <c r="IM422" s="1351" t="e">
        <f>IF($CO422="interior",IF(R421&gt;FO$37,(IM$28*(FO$37/R421)),IM$28)*FP422,VLOOKUP($CP422,Control_Savings_Exterior,IM$30,FALSE))</f>
        <v>#N/A</v>
      </c>
      <c r="IN422" s="1351" t="e">
        <f>IF($CO422="interior",ROUND(((1-IL422)*IM422)+IL422,2),VLOOKUP($CP422,Control_Savings_Exterior,IN$30,FALSE))</f>
        <v>#N/A</v>
      </c>
      <c r="IO422" s="1351" t="e">
        <f>IF($CO422="interior", ROUND(((1-IL422)*(IM422*(1-IP$28)))+IP422,2), VLOOKUP($CP422,Control_Savings_Exterior,IO$30,FALSE))</f>
        <v>#N/A</v>
      </c>
      <c r="IP422" s="1351">
        <f>IF($CO422="interior",ROUND(((1-IL422)*IP$28)+IL422,2),0)</f>
        <v>0</v>
      </c>
    </row>
    <row r="423" spans="1:250" s="82" customFormat="1" ht="14.95" customHeight="1" thickTop="1" thickBot="1">
      <c r="B423" s="1421"/>
      <c r="C423" s="1422"/>
      <c r="D423" s="1423"/>
      <c r="E423" s="1462" t="s">
        <v>357</v>
      </c>
      <c r="F423" s="1463"/>
      <c r="G423" s="1464" t="s">
        <v>362</v>
      </c>
      <c r="H423" s="1465"/>
      <c r="I423" s="1465"/>
      <c r="J423" s="1465"/>
      <c r="K423" s="1465"/>
      <c r="L423" s="1466"/>
      <c r="M423" s="669">
        <f>IFERROR(VLOOKUP(G423,_Daylight_Table[],2,FALSE),0)</f>
        <v>0</v>
      </c>
      <c r="N423" s="670"/>
      <c r="O423" s="669" t="e">
        <f>VLOOKUP(G422,'Space Table'!$B$3:$L$160,11,FALSE)</f>
        <v>#N/A</v>
      </c>
      <c r="P423" s="1408"/>
      <c r="Q423" s="1409"/>
      <c r="R423" s="1409"/>
      <c r="S423" s="1402"/>
      <c r="T423" s="671" t="s">
        <v>281</v>
      </c>
      <c r="U423" s="1467" t="str">
        <f>IFERROR(VLOOKUP(U422,Fixtures!DM$93:DP$142,4,FALSE),"")</f>
        <v/>
      </c>
      <c r="V423" s="1468"/>
      <c r="W423" s="1468"/>
      <c r="X423" s="1468"/>
      <c r="Y423" s="1468"/>
      <c r="Z423" s="1468"/>
      <c r="AA423" s="1468"/>
      <c r="AB423" s="1046" t="str">
        <f>IFERROR(VLOOKUP(U422,Fixtures_Proposed_List,2,FALSE),"")</f>
        <v/>
      </c>
      <c r="AC423" s="1036" t="str">
        <f>IFERROR(ROUND(T422*AB423*N421*R421/1000,0),"")</f>
        <v/>
      </c>
      <c r="AD423" s="1037" t="str">
        <f>IFERROR(ROUND(T422*AB423/1000,2),"")</f>
        <v/>
      </c>
      <c r="AE423" s="1045" t="s">
        <v>281</v>
      </c>
      <c r="AF423" s="1469"/>
      <c r="AG423" s="1469"/>
      <c r="AH423" s="1469"/>
      <c r="AI423" s="1469"/>
      <c r="AJ423" s="1476"/>
      <c r="AK423" s="1471"/>
      <c r="AL423" s="1473"/>
      <c r="AM423" s="1443"/>
      <c r="AN423" s="1444"/>
      <c r="AO423" s="1449"/>
      <c r="AP423" s="1449"/>
      <c r="AQ423" s="1450"/>
      <c r="AR423" s="1453"/>
      <c r="AS423" s="1456"/>
      <c r="AT423" s="1459"/>
      <c r="AU423" s="517"/>
      <c r="AV423" s="1480"/>
      <c r="AW423" s="1480"/>
      <c r="BC423" s="38"/>
      <c r="BD423" s="38"/>
      <c r="BE423" s="38"/>
      <c r="BF423" s="38"/>
      <c r="BG423" s="38"/>
      <c r="BH423" s="38"/>
      <c r="BI423" s="38"/>
      <c r="BJ423" s="38"/>
      <c r="BK423" s="38"/>
      <c r="BL423" s="38"/>
      <c r="BM423" s="38"/>
      <c r="BN423" s="38"/>
      <c r="BO423" s="38"/>
      <c r="BP423" s="38"/>
      <c r="BQ423" s="38"/>
      <c r="BR423" s="38"/>
      <c r="BS423" s="38"/>
      <c r="BT423" s="38"/>
      <c r="BU423" s="38"/>
      <c r="BV423" s="38"/>
      <c r="BW423" s="38"/>
      <c r="BX423" s="38"/>
      <c r="BY423" s="38"/>
      <c r="BZ423" s="38"/>
      <c r="CA423" s="38"/>
      <c r="CB423" s="38"/>
      <c r="CC423" s="38"/>
      <c r="CD423" s="38"/>
      <c r="CE423" s="38"/>
      <c r="CF423" s="38"/>
      <c r="CG423" s="38"/>
      <c r="CH423" s="38"/>
      <c r="CI423" s="38"/>
      <c r="CM423" s="1352"/>
      <c r="CN423" s="1352"/>
      <c r="CO423" s="1416"/>
      <c r="CP423" s="1418"/>
      <c r="CR423" s="1386"/>
      <c r="CS423" s="1355"/>
      <c r="CT423" s="1355"/>
      <c r="CU423" s="1375"/>
      <c r="CV423" s="1372"/>
      <c r="CW423" s="1372"/>
      <c r="CX423" s="1372"/>
      <c r="CY423" s="1487"/>
      <c r="CZ423" s="1487"/>
      <c r="DA423" s="1487"/>
      <c r="DC423" s="1355"/>
      <c r="DD423" s="1355"/>
      <c r="DE423" s="1375"/>
      <c r="DF423" s="1407"/>
      <c r="DG423" s="1372"/>
      <c r="DH423" s="1369"/>
      <c r="DK423" s="1484"/>
      <c r="DL423" s="1420"/>
      <c r="DN423" s="1403"/>
      <c r="DO423" s="1405"/>
      <c r="DP423" s="1355"/>
      <c r="DQ423" s="1405"/>
      <c r="DR423" s="1403"/>
      <c r="DS423" s="1489"/>
      <c r="DU423" s="1403"/>
      <c r="DV423" s="1405"/>
      <c r="DW423" s="1403"/>
      <c r="DX423" s="1403"/>
      <c r="DZ423" s="1481"/>
      <c r="EA423" s="1481"/>
      <c r="EC423" s="1482"/>
      <c r="ED423" s="1369"/>
      <c r="EE423" s="1372"/>
      <c r="EF423" s="1369"/>
      <c r="EG423" s="1369"/>
      <c r="EH423" s="1375"/>
      <c r="EI423" s="1375"/>
      <c r="EJ423" s="1363"/>
      <c r="EK423" s="1376"/>
      <c r="EL423" s="1376"/>
      <c r="EM423" s="1362"/>
      <c r="EN423" s="1362"/>
      <c r="EO423" s="1363"/>
      <c r="EP423" s="1363"/>
      <c r="EQ423" s="1363"/>
      <c r="ES423" s="1403"/>
      <c r="EU423" s="1488"/>
      <c r="EV423" s="1488"/>
      <c r="EW423" s="1488"/>
      <c r="EX423" s="1488"/>
      <c r="EY423" s="1488"/>
      <c r="EZ423" s="1414"/>
      <c r="FB423" s="1365"/>
      <c r="FD423" s="1355"/>
      <c r="FE423" s="1355"/>
      <c r="FF423" s="138"/>
      <c r="FI423" s="1357"/>
      <c r="FJ423" s="1357"/>
      <c r="FK423" s="1365"/>
      <c r="FL423" s="1365"/>
      <c r="FM423" s="1365"/>
      <c r="FO423" s="1361"/>
      <c r="FP423" s="1361"/>
      <c r="FQ423" s="1366"/>
      <c r="FR423" s="1361"/>
      <c r="FS423" s="1361"/>
      <c r="FT423" s="1361"/>
      <c r="FU423" s="1360"/>
      <c r="FW423" s="1352"/>
      <c r="FX423" s="1352"/>
      <c r="FY423" s="1352"/>
      <c r="FZ423" s="1352"/>
      <c r="GA423" s="1352"/>
      <c r="GB423" s="1352"/>
      <c r="GC423" s="1352"/>
      <c r="GD423" s="1352"/>
      <c r="GE423" s="759"/>
      <c r="GF423" s="1035"/>
      <c r="GG423" s="1385"/>
      <c r="GJ423" s="1034">
        <f>IF(GJ421=TRUE,0,GJ$16)</f>
        <v>0</v>
      </c>
      <c r="GL423" s="1034">
        <f>IF(GL421=TRUE,0,GL$16)</f>
        <v>36</v>
      </c>
      <c r="GM423" s="1034">
        <f>IF(GM421=TRUE,0,GM$16)</f>
        <v>35</v>
      </c>
      <c r="GN423" s="436"/>
      <c r="GO423" s="436"/>
      <c r="GP423" s="436"/>
      <c r="GQ423" s="436"/>
      <c r="GR423" s="436"/>
      <c r="HC423" s="1034">
        <f t="shared" ref="HC423:HH423" si="306">IF(HC421=TRUE,0,HC$16)</f>
        <v>19</v>
      </c>
      <c r="HD423" s="1034">
        <f t="shared" si="306"/>
        <v>18</v>
      </c>
      <c r="HE423" s="1034">
        <f t="shared" si="306"/>
        <v>17</v>
      </c>
      <c r="HF423" s="1034">
        <f t="shared" si="306"/>
        <v>16</v>
      </c>
      <c r="HG423" s="1034">
        <f t="shared" si="306"/>
        <v>0</v>
      </c>
      <c r="HH423" s="1034">
        <f t="shared" si="306"/>
        <v>0</v>
      </c>
      <c r="HI423" s="1034">
        <f>IF(HI421=TRUE,0,HI$16)</f>
        <v>13</v>
      </c>
      <c r="HJ423" s="1034">
        <f t="shared" ref="HJ423:HL423" si="307">IF(HJ421=TRUE,0,HJ$16)</f>
        <v>12</v>
      </c>
      <c r="HK423" s="1034">
        <f t="shared" si="307"/>
        <v>11</v>
      </c>
      <c r="HL423" s="1034">
        <f t="shared" si="307"/>
        <v>10</v>
      </c>
      <c r="HM423" s="1034">
        <f>IF(HM421=TRUE,0,HM$16)</f>
        <v>9</v>
      </c>
      <c r="HN423" s="1034">
        <f t="shared" ref="HN423:HR423" si="308">IF(HN421=TRUE,0,HN$16)</f>
        <v>0</v>
      </c>
      <c r="HO423" s="1034">
        <f t="shared" si="308"/>
        <v>0</v>
      </c>
      <c r="HP423" s="1034">
        <f t="shared" si="308"/>
        <v>0</v>
      </c>
      <c r="HQ423" s="1034">
        <f t="shared" si="308"/>
        <v>0</v>
      </c>
      <c r="HR423" s="1034">
        <f t="shared" si="308"/>
        <v>0</v>
      </c>
      <c r="HS423" s="1034">
        <f>IF(HS421=TRUE,0,HS$16)</f>
        <v>0</v>
      </c>
      <c r="HT423" s="1034">
        <f t="shared" ref="HT423" si="309">IF(HT421=TRUE,0,HT$16)</f>
        <v>0</v>
      </c>
      <c r="HU423" s="1034">
        <f>IF(HU421=TRUE,0,HU$16)</f>
        <v>1</v>
      </c>
      <c r="HW423" s="1034">
        <f>IF(GL421=FALSE,GL423,IF(GM421=FALSE,GM423,MAX(GJ423:HU423)))</f>
        <v>36</v>
      </c>
      <c r="HX423" s="1383"/>
      <c r="HY423" s="241" t="str">
        <f>VLOOKUP(HW423,_Error_Table,3,FALSE)</f>
        <v xml:space="preserve"> </v>
      </c>
      <c r="HZ423" s="241"/>
      <c r="IA423" s="1386"/>
      <c r="IB423" s="1380"/>
      <c r="IC423" s="1379"/>
      <c r="IF423" s="1380"/>
      <c r="IG423" s="1383"/>
      <c r="IH423" s="1383"/>
      <c r="II423" s="1383"/>
      <c r="IK423" s="1351"/>
      <c r="IL423" s="1351"/>
      <c r="IM423" s="1351"/>
      <c r="IN423" s="1351"/>
      <c r="IO423" s="1351"/>
      <c r="IP423" s="1351"/>
    </row>
    <row r="424" spans="1:250" s="82" customFormat="1" ht="5.0999999999999996" customHeight="1" thickBot="1">
      <c r="B424" s="763"/>
      <c r="C424" s="1038"/>
      <c r="D424" s="1038"/>
      <c r="E424" s="1490"/>
      <c r="F424" s="1490"/>
      <c r="G424" s="1490"/>
      <c r="H424" s="1490"/>
      <c r="I424" s="1490"/>
      <c r="J424" s="1490"/>
      <c r="K424" s="1490"/>
      <c r="L424" s="1490"/>
      <c r="M424" s="1490"/>
      <c r="N424" s="1490"/>
      <c r="O424" s="1490"/>
      <c r="P424" s="1490"/>
      <c r="Q424" s="1490"/>
      <c r="R424" s="1490"/>
      <c r="S424" s="1490"/>
      <c r="T424" s="1490"/>
      <c r="U424" s="1490"/>
      <c r="V424" s="1490"/>
      <c r="W424" s="1490"/>
      <c r="X424" s="1490"/>
      <c r="Y424" s="1490"/>
      <c r="Z424" s="1490"/>
      <c r="AA424" s="1490"/>
      <c r="AB424" s="1490"/>
      <c r="AC424" s="1490"/>
      <c r="AD424" s="1490"/>
      <c r="AE424" s="1490"/>
      <c r="AF424" s="1490"/>
      <c r="AG424" s="1490"/>
      <c r="AH424" s="1490"/>
      <c r="AI424" s="1490"/>
      <c r="AJ424" s="1490"/>
      <c r="AK424" s="1490"/>
      <c r="AL424" s="1490"/>
      <c r="AM424" s="1490"/>
      <c r="AN424" s="1490"/>
      <c r="AO424" s="1490"/>
      <c r="AP424" s="1490"/>
      <c r="AQ424" s="1490"/>
      <c r="AR424" s="1490"/>
      <c r="AS424" s="1490"/>
      <c r="AT424" s="1490"/>
      <c r="AU424" s="1041"/>
      <c r="BC424" s="38"/>
      <c r="BD424" s="38"/>
      <c r="BE424" s="38"/>
      <c r="BF424" s="38"/>
      <c r="BG424" s="38"/>
      <c r="BH424" s="38"/>
      <c r="BI424" s="38"/>
      <c r="BJ424" s="38"/>
      <c r="BK424" s="38"/>
      <c r="BL424" s="38"/>
      <c r="BM424" s="38"/>
      <c r="BN424" s="38"/>
      <c r="BO424" s="38"/>
      <c r="BP424" s="38"/>
      <c r="BQ424" s="38"/>
      <c r="BR424" s="38"/>
      <c r="BS424" s="38"/>
      <c r="BT424" s="38"/>
      <c r="BU424" s="38"/>
      <c r="BV424" s="38"/>
      <c r="BW424" s="38"/>
      <c r="BX424" s="38"/>
      <c r="BY424" s="38"/>
      <c r="BZ424" s="38"/>
      <c r="CA424" s="38"/>
      <c r="CB424" s="38"/>
      <c r="CC424" s="38"/>
      <c r="CD424" s="38"/>
      <c r="CE424" s="38"/>
      <c r="CF424" s="38"/>
      <c r="CG424" s="38"/>
      <c r="CH424" s="38"/>
      <c r="CI424" s="38"/>
      <c r="CM424" s="749"/>
      <c r="CN424" s="749"/>
      <c r="CO424" s="1043"/>
      <c r="CP424" s="749"/>
      <c r="CS424" s="436"/>
      <c r="CT424" s="436"/>
      <c r="CU424" s="243"/>
      <c r="CV424" s="244"/>
      <c r="CW424" s="244"/>
      <c r="CX424" s="244"/>
      <c r="CY424" s="245"/>
      <c r="CZ424" s="245"/>
      <c r="DA424" s="245"/>
      <c r="DC424" s="750"/>
      <c r="DD424" s="751"/>
      <c r="DE424" s="752"/>
      <c r="DF424" s="753"/>
      <c r="DG424" s="754"/>
      <c r="DH424" s="754"/>
      <c r="DK424" s="244"/>
      <c r="DL424" s="750"/>
      <c r="DN424" s="750"/>
      <c r="DO424" s="755"/>
      <c r="DP424" s="436"/>
      <c r="DQ424" s="750"/>
      <c r="DR424" s="750"/>
      <c r="DS424" s="750"/>
      <c r="DU424" s="750"/>
      <c r="DV424" s="750"/>
      <c r="DW424" s="750"/>
      <c r="DX424" s="750"/>
      <c r="DZ424" s="756"/>
      <c r="EA424" s="756"/>
      <c r="EC424" s="754"/>
      <c r="ED424" s="754"/>
      <c r="EE424" s="244"/>
      <c r="EF424" s="754"/>
      <c r="EG424" s="754"/>
      <c r="EH424" s="243"/>
      <c r="EI424" s="243"/>
      <c r="EJ424" s="752"/>
      <c r="EK424" s="757"/>
      <c r="EL424" s="757"/>
      <c r="EM424" s="758"/>
      <c r="EN424" s="758"/>
      <c r="EO424" s="752"/>
      <c r="EP424" s="752"/>
      <c r="EQ424" s="752"/>
      <c r="ES424" s="750"/>
      <c r="EU424" s="436"/>
      <c r="EV424" s="436"/>
      <c r="EW424" s="436"/>
      <c r="EX424" s="436"/>
      <c r="EY424" s="436"/>
      <c r="EZ424" s="436"/>
      <c r="FB424" s="643"/>
      <c r="FD424" s="436"/>
      <c r="FE424" s="436"/>
      <c r="FF424" s="436"/>
      <c r="FO424" s="750"/>
      <c r="FP424" s="436"/>
      <c r="FQ424" s="436"/>
      <c r="FR424" s="750"/>
      <c r="FS424" s="750"/>
      <c r="FW424" s="749"/>
      <c r="FX424" s="749"/>
      <c r="FY424" s="749"/>
      <c r="FZ424" s="749"/>
      <c r="GA424" s="749"/>
      <c r="GB424" s="749"/>
      <c r="GC424" s="749"/>
      <c r="GD424" s="749"/>
      <c r="GE424" s="751"/>
      <c r="GF424" s="750"/>
      <c r="GG424" s="750"/>
    </row>
    <row r="425" spans="1:250" s="82" customFormat="1" ht="14.95" customHeight="1" thickTop="1" thickBot="1">
      <c r="B425" s="1421" t="str">
        <f>HY428</f>
        <v xml:space="preserve"> </v>
      </c>
      <c r="C425" s="1422">
        <f>C420+1</f>
        <v>75</v>
      </c>
      <c r="D425" s="1423"/>
      <c r="E425" s="1424" t="s">
        <v>242</v>
      </c>
      <c r="F425" s="1425"/>
      <c r="G425" s="1426"/>
      <c r="H425" s="1427"/>
      <c r="I425" s="1427"/>
      <c r="J425" s="1427"/>
      <c r="K425" s="1427"/>
      <c r="L425" s="1427"/>
      <c r="M425" s="1427"/>
      <c r="N425" s="1427"/>
      <c r="O425" s="1427"/>
      <c r="P425" s="1427"/>
      <c r="Q425" s="1427"/>
      <c r="R425" s="1427"/>
      <c r="S425" s="1428" t="s">
        <v>283</v>
      </c>
      <c r="T425" s="668" t="s">
        <v>190</v>
      </c>
      <c r="U425" s="1430" t="s">
        <v>186</v>
      </c>
      <c r="V425" s="1431"/>
      <c r="W425" s="1431"/>
      <c r="X425" s="1431"/>
      <c r="Y425" s="1431"/>
      <c r="Z425" s="1431"/>
      <c r="AA425" s="1431"/>
      <c r="AB425" s="1088" t="str">
        <f>IFERROR(IF(__Retrofit_TI_NC=0,VLOOKUP(U426,Fixtures_Existing_List,2,FALSE),ROUND(N427*R427/T427,10)),"")</f>
        <v/>
      </c>
      <c r="AC425" s="1039" t="str">
        <f>IFERROR(IF(__Retrofit_TI_NC=0,ROUND(T426*AB425*N426*R426/1000,0),IF(CN425="Interior",N427*R427*R426*N426*_C406_reduction/1000,N427*R427*R426*N426/1000)),"")</f>
        <v/>
      </c>
      <c r="AD425" s="1040" t="str">
        <f>IFERROR(IF(C$36=0,ROUND(T426*AB425/1000,2),N427*R427/1000),"")</f>
        <v/>
      </c>
      <c r="AE425" s="1044" t="s">
        <v>190</v>
      </c>
      <c r="AF425" s="1432" t="str">
        <f>IF(__Retrofit_TI_NC=2,CONCATENATE("Code min = ",DD425),IF(__Retrofit_TI_NC=1,"Emter what you think the existing control was"," Control"))</f>
        <v xml:space="preserve"> Control</v>
      </c>
      <c r="AG425" s="1432"/>
      <c r="AH425" s="1432"/>
      <c r="AI425" s="1432"/>
      <c r="AJ425" s="1433">
        <f>DF425</f>
        <v>0</v>
      </c>
      <c r="AK425" s="1435" t="str">
        <f>IFERROR(ROUND(AJ425*AC425,0),"")</f>
        <v/>
      </c>
      <c r="AL425" s="1437">
        <f>IFERROR(IF(HW425=FALSE,0,AC425-AK425),0)</f>
        <v>0</v>
      </c>
      <c r="AM425" s="1439">
        <f>AL425-AL427</f>
        <v>0</v>
      </c>
      <c r="AN425" s="1440"/>
      <c r="AO425" s="1445">
        <f>IFERROR(IF(HW425=FALSE,0,(T427*U428)+(AE427*AF428)),0)</f>
        <v>0</v>
      </c>
      <c r="AP425" s="1445"/>
      <c r="AQ425" s="1446"/>
      <c r="AR425" s="1451" t="s">
        <v>157</v>
      </c>
      <c r="AS425" s="1454">
        <f>IF(AR425="Yes",1,0)</f>
        <v>1</v>
      </c>
      <c r="AT425" s="1457" t="str">
        <f>IF(OR(DN425=4,DN425=5,DN425=6,DN425=12),CONCATENATE("$",IF(GD425=TRUE,Lookup!$B$11,Lookup!$B$2)," /lamp"),CONCATENATE(EA425,"/ kWh"))</f>
        <v>0/ kWh</v>
      </c>
      <c r="AU425" s="516"/>
      <c r="AV425" s="1478">
        <f>IFERROR(IF(GI426=TRUE,(AB428*T427)/R427,0),"NA")</f>
        <v>0</v>
      </c>
      <c r="AW425" s="1478" t="str">
        <f>IFERROR(N427*_C406_reduction,"NA")</f>
        <v>NA</v>
      </c>
      <c r="BC425" s="38"/>
      <c r="BD425" s="38"/>
      <c r="BE425" s="38"/>
      <c r="BF425" s="38"/>
      <c r="BG425" s="38"/>
      <c r="BH425" s="38"/>
      <c r="BI425" s="38"/>
      <c r="BJ425" s="38"/>
      <c r="BK425" s="38"/>
      <c r="BL425" s="38"/>
      <c r="BM425" s="38"/>
      <c r="BN425" s="38"/>
      <c r="BO425" s="38"/>
      <c r="BP425" s="38"/>
      <c r="BQ425" s="38"/>
      <c r="BR425" s="38"/>
      <c r="BS425" s="38"/>
      <c r="BT425" s="38"/>
      <c r="BU425" s="38"/>
      <c r="BV425" s="38"/>
      <c r="BW425" s="38"/>
      <c r="BX425" s="38"/>
      <c r="BY425" s="38"/>
      <c r="BZ425" s="38"/>
      <c r="CA425" s="38"/>
      <c r="CB425" s="38"/>
      <c r="CC425" s="38"/>
      <c r="CD425" s="38"/>
      <c r="CE425" s="38"/>
      <c r="CF425" s="38"/>
      <c r="CG425" s="38"/>
      <c r="CH425" s="38"/>
      <c r="CI425" s="38"/>
      <c r="CM425" s="1352" t="str">
        <f>N426</f>
        <v/>
      </c>
      <c r="CN425" s="1352" t="str">
        <f>IFERROR(VLOOKUP(G426,_Lookup_Heat_Type_Table_New,3,FALSE),"")</f>
        <v/>
      </c>
      <c r="CO425" s="1415" t="str">
        <f>CN425</f>
        <v/>
      </c>
      <c r="CP425" s="1417" t="e">
        <f>VLOOKUP(G427,'Space Table'!$B$3:$L$160,9,FALSE)</f>
        <v>#N/A</v>
      </c>
      <c r="CR425" s="1386" t="s">
        <v>283</v>
      </c>
      <c r="CS425" s="1353">
        <f>IF(HW425=TRUE,T426,0)</f>
        <v>0</v>
      </c>
      <c r="CT425" s="1353" t="str">
        <f>IF(HW425=TRUE,U426,"")</f>
        <v/>
      </c>
      <c r="CU425" s="1353"/>
      <c r="CV425" s="1370">
        <f>IF(HW425=TRUE,AB425,0)</f>
        <v>0</v>
      </c>
      <c r="CW425" s="1370">
        <f>IF(HW425=TRUE,AC425,0)</f>
        <v>0</v>
      </c>
      <c r="CX425" s="1370">
        <f>IFERROR(IF(HW425=TRUE,CW425-CW427,0),0)</f>
        <v>0</v>
      </c>
      <c r="CY425" s="1485">
        <f>IF(HW425=TRUE,AD425,0)</f>
        <v>0</v>
      </c>
      <c r="CZ425" s="1485">
        <f>IF(HW425=TRUE,AD428,0)</f>
        <v>0</v>
      </c>
      <c r="DA425" s="1485">
        <f>IFERROR(CY425-CZ425,0)</f>
        <v>0</v>
      </c>
      <c r="DC425" s="1353">
        <f>IF(HW425=TRUE,AE426,0)</f>
        <v>0</v>
      </c>
      <c r="DD425" s="1460">
        <f>IF(__Retrofit_TI_NC=2,IF(CN425="Exterior",O428,FM425),FK425)</f>
        <v>0</v>
      </c>
      <c r="DE425" s="1353"/>
      <c r="DF425" s="1406">
        <f>IFERROR(IF(FL425=3,IK425,IF(FL425=4,IL425,IF(FL425=5,IM425,IF(FL425=6,IN425,IF(FL425=7,IO425,IF(FL425=8,IP425,0)))))),0)</f>
        <v>0</v>
      </c>
      <c r="DG425" s="1370">
        <f>IF(HW425=TRUE,AK425,0)</f>
        <v>0</v>
      </c>
      <c r="DH425" s="1369">
        <f>IFERROR(IF(HW425=TRUE,DG427-DG425,0),0)</f>
        <v>0</v>
      </c>
      <c r="DJ425" s="1483">
        <f>IFERROR(CW425-DG425,0)</f>
        <v>0</v>
      </c>
      <c r="DL425" s="1419">
        <f>DJ425-DK427</f>
        <v>0</v>
      </c>
      <c r="DN425" s="1403" t="str">
        <f>IFERROR(IF(AND(OR(FY425=4,FY425=5,FY425=6),OR(GB425=4,GB425=5,GB425=6)),FY425+8,VLOOKUP(CT427,Fixtures!R$31:Y$78,8,FALSE)),"")</f>
        <v/>
      </c>
      <c r="DO425" s="1404" t="str">
        <f>DN425</f>
        <v/>
      </c>
      <c r="DP425" s="1353" t="str">
        <f>IFERROR(VLOOKUP(DD427,Lookup!AU$3:AV$15,2,FALSE),"")</f>
        <v/>
      </c>
      <c r="DQ425" s="1404" t="str">
        <f>IF(DP425=7,"LLLC","")</f>
        <v/>
      </c>
      <c r="DR425" s="1403">
        <f>IFERROR(IF(OR(DN425=4,DN425=5,DN425=6,DN425=12,DN425=13,DN425=14),VLOOKUP(CT427,Fixtures!DN$27:EG$77,19,FALSE),1)*CS427,0)</f>
        <v>0</v>
      </c>
      <c r="DS425" s="1489">
        <f>IF(DP425=7,IF(DD425=DD427,0,DC427),0)</f>
        <v>0</v>
      </c>
      <c r="DU425" s="1403" t="str">
        <f>IFERROR(IF(EW425&lt;EW427,"Yes","No"),"")</f>
        <v/>
      </c>
      <c r="DV425" s="1404" t="str">
        <f>DU425</f>
        <v/>
      </c>
      <c r="DW425" s="1403">
        <f>IF(DU425="Yes",DC427,0)</f>
        <v>0</v>
      </c>
      <c r="DX425" s="1403">
        <f>DW425-DS425</f>
        <v>0</v>
      </c>
      <c r="DZ425" s="1481">
        <f>IFERROR(VLOOKUP(DN425,Lookup!AN$3:AO$16,2,FALSE),0)</f>
        <v>0</v>
      </c>
      <c r="EA425" s="1481">
        <f>IF(HW425=FALSE,0,IF(DU425="Yes",DZ425+Lookup!B$6,DZ425))</f>
        <v>0</v>
      </c>
      <c r="EC425" s="1482">
        <f>IF(HW425=TRUE,DJ425,0)</f>
        <v>0</v>
      </c>
      <c r="ED425" s="1369">
        <f>IF(HW425=TRUE,CW427,0)</f>
        <v>0</v>
      </c>
      <c r="EE425" s="1370">
        <f>IFERROR(EC425-ED425,0)</f>
        <v>0</v>
      </c>
      <c r="EF425" s="1369">
        <f>IF(HW425=TRUE,DG427,0)</f>
        <v>0</v>
      </c>
      <c r="EG425" s="1369">
        <f>IFERROR(EC425-ED425+EF425,0)</f>
        <v>0</v>
      </c>
      <c r="EH425" s="1373">
        <f>IF(HW425=TRUE,CS427*CU427,0)</f>
        <v>0</v>
      </c>
      <c r="EI425" s="1373">
        <f>IF(HW425=TRUE,DC427*DE427,0)</f>
        <v>0</v>
      </c>
      <c r="EJ425" s="1363">
        <f>AO425</f>
        <v>0</v>
      </c>
      <c r="EK425" s="1376" t="str">
        <f>IFERROR(IF(HW425=TRUE,VLOOKUP(DN425,Lookup!AN$3:AP$16,3,FALSE)*DR425,""),0)</f>
        <v/>
      </c>
      <c r="EL425" s="1376">
        <f>IF(HW425=TRUE,DW425*Lookup!AP$12,0)</f>
        <v>0</v>
      </c>
      <c r="EM425" s="1362">
        <f>IFERROR(IF(HW425=TRUE,EK425/EM$33,0),0)</f>
        <v>0</v>
      </c>
      <c r="EN425" s="1362">
        <f>IF(HW425=TRUE,EL425/EN$33,0)</f>
        <v>0</v>
      </c>
      <c r="EO425" s="1363">
        <f>IF(HW425=TRUE,EQ$33*EM425,0)</f>
        <v>0</v>
      </c>
      <c r="EP425" s="1363">
        <f>IF(HW425=TRUE,EQ$33*EN425,0)</f>
        <v>0</v>
      </c>
      <c r="EQ425" s="1363">
        <f>EO425+EP425</f>
        <v>0</v>
      </c>
      <c r="ES425" s="1403">
        <f>IF(G425="",0,1)</f>
        <v>0</v>
      </c>
      <c r="EU425" s="1410" t="e">
        <f>VLOOKUP(CP427,'Space Table'!$B$3:$L$160,8,FALSE)</f>
        <v>#N/A</v>
      </c>
      <c r="EV425" s="1410" t="e">
        <f>IF(EY425="Yes",VLOOKUP(DD425,Lookup_Control_Type_Table2,4,FALSE),VLOOKUP(DD425,Lookup_Control_Type_Table2,3,FALSE))</f>
        <v>#N/A</v>
      </c>
      <c r="EW425" s="1410" t="e">
        <f>VLOOKUP(DD425,Lookup!AU$3:AV$15,2,FALSE)</f>
        <v>#N/A</v>
      </c>
      <c r="EX425" s="1410" t="e">
        <f>VLOOKUP(EU425,Lookup_Control_Type_Table,2,FALSE)</f>
        <v>#N/A</v>
      </c>
      <c r="EY425" s="1410" t="e">
        <f>VLOOKUP(CP427,'Space Table'!$B$3:$L$160,7,FALSE)</f>
        <v>#N/A</v>
      </c>
      <c r="EZ425" s="1412" t="b">
        <f>ISNUMBER(SEARCH("TLED",U427))</f>
        <v>0</v>
      </c>
      <c r="FB425" s="1365" t="str">
        <f>CONCATENATE(CN425," - ",DD425)</f>
        <v xml:space="preserve"> - 0</v>
      </c>
      <c r="FD425" s="1353" t="str">
        <f>VLOOKUP(CT427,Fixtures!DN$27:EZ$77,38,FALSE)</f>
        <v/>
      </c>
      <c r="FE425" s="1353">
        <f>IFERROR(FD425*EE425,0)</f>
        <v>0</v>
      </c>
      <c r="FF425" s="138"/>
      <c r="FI425" s="1356" t="str">
        <f>IF(CN425="Exterior","Not Daylighted",G428)</f>
        <v>Not Daylighted</v>
      </c>
      <c r="FJ425" s="1356">
        <f>VLOOKUP(FI425,_Daylight_Table_Codes,2,FALSE)</f>
        <v>0</v>
      </c>
      <c r="FK425" s="1365">
        <f>IF(__Retrofit_TI_NC=2,VLOOKUP(G427,'Space Table'!$B$3:$L$160,11,FALSE),AF426)</f>
        <v>0</v>
      </c>
      <c r="FL425" s="1365" t="e">
        <f>VLOOKUP(FK425,_Control_Table,2,FALSE)</f>
        <v>#N/A</v>
      </c>
      <c r="FM425" s="1365" t="e">
        <f>IF(AND(FP425&gt;0,FK425="Occupancy Sensor"),"Daylight + Occupancy",IF(AND(FP425&gt;0,FL425&lt;4),"Interior Daylight Dimming",FK425))</f>
        <v>#N/A</v>
      </c>
      <c r="FO425" s="1364">
        <f>IF(CO425="Interior",VLOOKUP(CP425,Control_Savings_Interior,5,FALSE),0)</f>
        <v>0</v>
      </c>
      <c r="FP425" s="1361">
        <f>IF(CN425="Exterior",0,IF(FJ425=2,0.5,IF(OR(FJ425=1,FJ425=3),1,0)))</f>
        <v>0</v>
      </c>
      <c r="FQ425" s="1366"/>
      <c r="FR425" s="1367"/>
      <c r="FS425" s="1364"/>
      <c r="FT425" s="1367"/>
      <c r="FU425" s="1360"/>
      <c r="FW425" s="1352" t="str">
        <f>IFERROR(VLOOKUP(U426,_Exist_Fixture_Table,3,FALSE),"")</f>
        <v/>
      </c>
      <c r="FX425" s="1352" t="str">
        <f>VLOOKUP(CT425,_Exist_Fixture_Table,4,FALSE)</f>
        <v/>
      </c>
      <c r="FY425" s="1352">
        <f>IFERROR(VLOOKUP(FX425,Lookup!AM$6:AN$8,2,FALSE),0)</f>
        <v>0</v>
      </c>
      <c r="FZ425" s="1352" t="b">
        <f>IFERROR(IF(OR(GB425=4,GB425=5,GB425=6),TRUE,FALSE),"")</f>
        <v>0</v>
      </c>
      <c r="GA425" s="1352" t="str">
        <f>IFERROR(VLOOKUP(GB425,FY$6:FZ$10,2,FALSE),"")</f>
        <v/>
      </c>
      <c r="GB425" s="1352" t="str">
        <f>VLOOKUP(CT427,Fixtures!R$31:Y$78,8,FALSE)</f>
        <v/>
      </c>
      <c r="GC425" s="1352">
        <f>IF(AND(FW425=TRUE,FZ425=TRUE,OR(DN425=12,DN425=13,DN425=14)),FY425+8,0)</f>
        <v>0</v>
      </c>
      <c r="GD425" s="1352" t="b">
        <f>IF(OR(GC425=12,GC425=13,GC425=14),TRUE,FALSE)</f>
        <v>0</v>
      </c>
      <c r="GE425" s="759" t="b">
        <f>IF(ISNUMBER(SEARCH("TLED",U426)),TRUE,FALSE)</f>
        <v>0</v>
      </c>
      <c r="GF425" s="1035" t="str">
        <f>IFERROR(VLOOKUP(U426,Fixtures!BM$93:BR$142,6,FALSE),"")</f>
        <v/>
      </c>
      <c r="GG425" s="1385" t="b">
        <f>IF(OR(GE425=FALSE,GE427=FALSE),TRUE,IF(GF425-GF427&lt;5,FALSE,TRUE))</f>
        <v>1</v>
      </c>
      <c r="GK425" s="1034">
        <f>GL425</f>
        <v>0</v>
      </c>
      <c r="GL425" s="1034">
        <f>IF(G425="",0,1)</f>
        <v>0</v>
      </c>
      <c r="GM425" s="1034">
        <f>SUM(GN425:HB425)</f>
        <v>2</v>
      </c>
      <c r="GN425" s="1034">
        <f>IF(G426="",0,1)</f>
        <v>0</v>
      </c>
      <c r="GO425" s="1034">
        <f>IF(G427="",0,1)</f>
        <v>0</v>
      </c>
      <c r="GP425" s="1034">
        <f>IF(R426="",0,1)</f>
        <v>0</v>
      </c>
      <c r="GQ425" s="1034">
        <f>IF(__Retrofit_TI_NC=0,1,IF(R427="",0,1))</f>
        <v>1</v>
      </c>
      <c r="GR425" s="1034">
        <f>IF(CN425="Exterior",1,IF(G428="",0,1))</f>
        <v>1</v>
      </c>
      <c r="GS425" s="1034">
        <f>IF(__Retrofit_TI_NC&lt;&gt;0,1,IF(T426="",0,1))</f>
        <v>0</v>
      </c>
      <c r="GT425" s="1034">
        <f>IF(__Retrofit_TI_NC&lt;&gt;0,1,IF(U426="",0,1))</f>
        <v>0</v>
      </c>
      <c r="GU425" s="1034">
        <f>IF(T427="",0,1)</f>
        <v>0</v>
      </c>
      <c r="GV425" s="1034">
        <f>IF(U427="",0,1)</f>
        <v>0</v>
      </c>
      <c r="GW425" s="1034">
        <f>IF(__Retrofit_TI_NC=2,1,IF(U428="",0,1))</f>
        <v>0</v>
      </c>
      <c r="GX425" s="1034">
        <f>IF(__Retrofit_TI_NC&lt;&gt;0,1,IF(AE426="",0,1))</f>
        <v>0</v>
      </c>
      <c r="GY425" s="1034">
        <f>IF(__Retrofit_TI_NC&lt;&gt;0,1,IF(AF426="",0,1))</f>
        <v>0</v>
      </c>
      <c r="GZ425" s="1034">
        <f>IF(AE427="",0,1)</f>
        <v>0</v>
      </c>
      <c r="HA425" s="1034">
        <f>IF(AF427="",0,1)</f>
        <v>0</v>
      </c>
      <c r="HB425" s="1034">
        <f>IF(__Retrofit_TI_NC=2,1,IF(AF428="",0,1))</f>
        <v>0</v>
      </c>
      <c r="HV425" s="436"/>
      <c r="HW425" s="1384" t="b">
        <f>IF(OR(HW428=0,HW428=HT$16,HW428=HS$16,HW428=HU$16),TRUE,FALSE)</f>
        <v>0</v>
      </c>
      <c r="HX425" s="1377" t="b">
        <f>HW425</f>
        <v>0</v>
      </c>
      <c r="HY425" s="436"/>
      <c r="HZ425" s="436"/>
      <c r="IA425" s="1386" t="b">
        <f>IF(MAX(GJ428:HP428)&gt;5,FALSE,TRUE)</f>
        <v>0</v>
      </c>
      <c r="IB425" s="1380">
        <f>IF(IA425=TRUE,AC425,0)</f>
        <v>0</v>
      </c>
      <c r="IC425" s="1380">
        <f>IB425-IB427</f>
        <v>0</v>
      </c>
      <c r="IF425" s="1380" t="e">
        <f>ROUND(T426*VLOOKUP(U426,Fixtures_Existing_List,2,FALSE)*N426*R426/1000,0)</f>
        <v>#N/A</v>
      </c>
      <c r="IG425" s="1381" t="e">
        <f>IF425-IF427</f>
        <v>#N/A</v>
      </c>
      <c r="IH425" s="1384" t="e">
        <f>ROUND(IF(CN425="Interior",N427*R427*R426*N426*_C406_reduction/1000,N427*R427*R426*N426/1000),0)</f>
        <v>#N/A</v>
      </c>
      <c r="II425" s="1384" t="e">
        <f>IH425-IH427</f>
        <v>#N/A</v>
      </c>
      <c r="IK425" s="1351" t="e">
        <f>IF($CO425="interior",IL425/2,VLOOKUP($CP425,Control_Savings_Exterior,IK$30,FALSE))</f>
        <v>#N/A</v>
      </c>
      <c r="IL425" s="1351" t="e">
        <f>IF($CO425="interior",VLOOKUP($CP425,Control_Savings_Interior,IL$30,FALSE),VLOOKUP($CP425,Control_Savings_Exterior,IL$30,FALSE))</f>
        <v>#N/A</v>
      </c>
      <c r="IM425" s="1351" t="e">
        <f>IF($CO425="interior",IF(R426&gt;FO$37,(IM$28*(FO$37/R426)),IM$28)*FP425,VLOOKUP($CP425,Control_Savings_Exterior,IM$30,FALSE))</f>
        <v>#N/A</v>
      </c>
      <c r="IN425" s="1351" t="e">
        <f>IF($CO425="interior",ROUND(((1-IL425)*IM425)+IL425,2),VLOOKUP($CP425,Control_Savings_Exterior,IN$30,FALSE))</f>
        <v>#N/A</v>
      </c>
      <c r="IO425" s="1351" t="e">
        <f>IF($CO425="interior", ROUND(((1-IL425)*(IM425*(1-IP$28)))+IP425,2), VLOOKUP($CP425,Control_Savings_Exterior,IO$30,FALSE))</f>
        <v>#N/A</v>
      </c>
      <c r="IP425" s="1351">
        <f>IF($CO425="interior",ROUND(((1-IL425)*IP$28)+IL425,2),0)</f>
        <v>0</v>
      </c>
    </row>
    <row r="426" spans="1:250" s="82" customFormat="1" ht="14.95" customHeight="1" thickTop="1" thickBot="1">
      <c r="B426" s="1421"/>
      <c r="C426" s="1422"/>
      <c r="D426" s="1423"/>
      <c r="E426" s="1393" t="s">
        <v>244</v>
      </c>
      <c r="F426" s="1394"/>
      <c r="G426" s="1395"/>
      <c r="H426" s="1395"/>
      <c r="I426" s="1395"/>
      <c r="J426" s="1395"/>
      <c r="K426" s="1395"/>
      <c r="L426" s="1395"/>
      <c r="M426" s="509" t="e">
        <f>IF(__Retrofit_TI_NC&lt;&gt;0,IF(VLOOKUP(G427,'Space Table'!$B$3:$L$160,3,FALSE)&gt;0,1,0),IF(__Retrofit_TI_NC=VLOOKUP(G427,'Space Table'!$B$3:$L$160,3,FALSE),1,0))</f>
        <v>#N/A</v>
      </c>
      <c r="N426" s="509" t="str">
        <f>IFERROR(VLOOKUP(G426,_Lookup_Heat_Type_Table_New,2,FALSE),"")</f>
        <v/>
      </c>
      <c r="O426" s="509">
        <f>IF(__Retrofit_TI_NC=1,CONCATENATE("TI ",G426),IF(__Retrofit_TI_NC=2,CONCATENATE("NC ",G426),G426))</f>
        <v>0</v>
      </c>
      <c r="P426" s="1396" t="s">
        <v>352</v>
      </c>
      <c r="Q426" s="1396"/>
      <c r="R426" s="673"/>
      <c r="S426" s="1429"/>
      <c r="T426" s="675"/>
      <c r="U426" s="1496"/>
      <c r="V426" s="1497"/>
      <c r="W426" s="1497"/>
      <c r="X426" s="1497"/>
      <c r="Y426" s="1497"/>
      <c r="Z426" s="1497"/>
      <c r="AA426" s="1497"/>
      <c r="AB426" s="1497"/>
      <c r="AC426" s="1497"/>
      <c r="AD426" s="1498"/>
      <c r="AE426" s="675"/>
      <c r="AF426" s="1397"/>
      <c r="AG426" s="1397"/>
      <c r="AH426" s="1397"/>
      <c r="AI426" s="1397"/>
      <c r="AJ426" s="1434"/>
      <c r="AK426" s="1436"/>
      <c r="AL426" s="1438"/>
      <c r="AM426" s="1441"/>
      <c r="AN426" s="1442"/>
      <c r="AO426" s="1447"/>
      <c r="AP426" s="1447"/>
      <c r="AQ426" s="1448"/>
      <c r="AR426" s="1452"/>
      <c r="AS426" s="1455"/>
      <c r="AT426" s="1458"/>
      <c r="AU426" s="516"/>
      <c r="AV426" s="1479"/>
      <c r="AW426" s="1479"/>
      <c r="BC426" s="38"/>
      <c r="BD426" s="38"/>
      <c r="BE426" s="38"/>
      <c r="BF426" s="38"/>
      <c r="BG426" s="38"/>
      <c r="BH426" s="38"/>
      <c r="BI426" s="38"/>
      <c r="BJ426" s="38"/>
      <c r="BK426" s="38"/>
      <c r="BL426" s="38"/>
      <c r="BM426" s="38"/>
      <c r="BN426" s="38"/>
      <c r="BO426" s="38"/>
      <c r="BP426" s="38"/>
      <c r="BQ426" s="38"/>
      <c r="BR426" s="38"/>
      <c r="BS426" s="38"/>
      <c r="BT426" s="38"/>
      <c r="BU426" s="38"/>
      <c r="BV426" s="38"/>
      <c r="BW426" s="38"/>
      <c r="BX426" s="38"/>
      <c r="BY426" s="38"/>
      <c r="BZ426" s="38"/>
      <c r="CA426" s="38"/>
      <c r="CB426" s="38"/>
      <c r="CC426" s="38"/>
      <c r="CD426" s="38"/>
      <c r="CE426" s="38"/>
      <c r="CF426" s="38"/>
      <c r="CG426" s="38"/>
      <c r="CH426" s="38"/>
      <c r="CI426" s="38"/>
      <c r="CM426" s="1352"/>
      <c r="CN426" s="1352"/>
      <c r="CO426" s="1416"/>
      <c r="CP426" s="1418"/>
      <c r="CR426" s="1386"/>
      <c r="CS426" s="1355"/>
      <c r="CT426" s="1355"/>
      <c r="CU426" s="1355"/>
      <c r="CV426" s="1372"/>
      <c r="CW426" s="1372"/>
      <c r="CX426" s="1371"/>
      <c r="CY426" s="1486"/>
      <c r="CZ426" s="1486"/>
      <c r="DA426" s="1486"/>
      <c r="DC426" s="1355"/>
      <c r="DD426" s="1461"/>
      <c r="DE426" s="1355"/>
      <c r="DF426" s="1407"/>
      <c r="DG426" s="1372"/>
      <c r="DH426" s="1369"/>
      <c r="DJ426" s="1484"/>
      <c r="DL426" s="1419"/>
      <c r="DN426" s="1403"/>
      <c r="DO426" s="1405"/>
      <c r="DP426" s="1354"/>
      <c r="DQ426" s="1405"/>
      <c r="DR426" s="1403"/>
      <c r="DS426" s="1489"/>
      <c r="DU426" s="1403"/>
      <c r="DV426" s="1405"/>
      <c r="DW426" s="1403"/>
      <c r="DX426" s="1403"/>
      <c r="DZ426" s="1481"/>
      <c r="EA426" s="1481"/>
      <c r="EC426" s="1482"/>
      <c r="ED426" s="1369"/>
      <c r="EE426" s="1371"/>
      <c r="EF426" s="1369"/>
      <c r="EG426" s="1369"/>
      <c r="EH426" s="1374"/>
      <c r="EI426" s="1374"/>
      <c r="EJ426" s="1363"/>
      <c r="EK426" s="1376"/>
      <c r="EL426" s="1376"/>
      <c r="EM426" s="1362"/>
      <c r="EN426" s="1362"/>
      <c r="EO426" s="1363"/>
      <c r="EP426" s="1363"/>
      <c r="EQ426" s="1363"/>
      <c r="ES426" s="1403"/>
      <c r="EU426" s="1411"/>
      <c r="EV426" s="1411"/>
      <c r="EW426" s="1411"/>
      <c r="EX426" s="1411"/>
      <c r="EY426" s="1411"/>
      <c r="EZ426" s="1413"/>
      <c r="FB426" s="1365"/>
      <c r="FD426" s="1354"/>
      <c r="FE426" s="1354"/>
      <c r="FF426" s="138"/>
      <c r="FI426" s="1357"/>
      <c r="FJ426" s="1357"/>
      <c r="FK426" s="1365"/>
      <c r="FL426" s="1365"/>
      <c r="FM426" s="1365"/>
      <c r="FO426" s="1361"/>
      <c r="FP426" s="1361"/>
      <c r="FQ426" s="1366"/>
      <c r="FR426" s="1368"/>
      <c r="FS426" s="1361"/>
      <c r="FT426" s="1368"/>
      <c r="FU426" s="1360"/>
      <c r="FW426" s="1352"/>
      <c r="FX426" s="1352"/>
      <c r="FY426" s="1352"/>
      <c r="FZ426" s="1352"/>
      <c r="GA426" s="1352"/>
      <c r="GB426" s="1352"/>
      <c r="GC426" s="1352"/>
      <c r="GD426" s="1352"/>
      <c r="GE426" s="759"/>
      <c r="GF426" s="1035"/>
      <c r="GG426" s="1385"/>
      <c r="GI426" s="1384" t="b">
        <f>IF(AND(GL426=TRUE,GM426=TRUE),TRUE,FALSE)</f>
        <v>0</v>
      </c>
      <c r="GJ426" s="1379" t="b">
        <f>IFERROR(IF(__Retrofit_TI_NC=2,TRUE,IF(AR425="Yes",TRUE,FALSE)),FALSE)</f>
        <v>1</v>
      </c>
      <c r="GL426" s="1379" t="b">
        <f>IFERROR(IF(GL425=1,TRUE,FALSE),FALSE)</f>
        <v>0</v>
      </c>
      <c r="GM426" s="1379" t="b">
        <f>IFERROR(IF(GM425=GM$14,TRUE,FALSE),FALSE)</f>
        <v>0</v>
      </c>
      <c r="HC426" s="1379" t="b">
        <f>IFERROR(IF(M426=1,TRUE,FALSE),FALSE)</f>
        <v>0</v>
      </c>
      <c r="HD426" s="1379" t="b">
        <f>IFERROR(IF(M427=1,TRUE,FALSE),FALSE)</f>
        <v>0</v>
      </c>
      <c r="HE426" s="1379" t="b">
        <f>IFERROR(IF(__Retrofit_TI_NC&lt;&gt;0,TRUE,IFERROR(IF(VLOOKUP(U426,Fixtures_Existing_List,2,FALSE)&lt;&gt;"",TRUE,FALSE),FALSE)),FALSE)</f>
        <v>0</v>
      </c>
      <c r="HF426" s="1379" t="b">
        <f>IFERROR(IF(VLOOKUP(U427,Fixtures_Proposed_List,2,FALSE)&lt;&gt;"",TRUE,FALSE),FALSE)</f>
        <v>0</v>
      </c>
      <c r="HG426" s="1379" t="b">
        <f>IF(AND(__Retrofit_TI_NC=2,EZ425=TRUE),FALSE,TRUE)</f>
        <v>1</v>
      </c>
      <c r="HH426" s="1379" t="b">
        <f>GG425</f>
        <v>1</v>
      </c>
      <c r="HI426" s="1384" t="b">
        <f>IF(ISERROR(MATCH(FB425,_Control_Match[],0))=TRUE,FALSE,TRUE)</f>
        <v>0</v>
      </c>
      <c r="HJ426" s="1384" t="b">
        <f>IFERROR(IF(EU425&lt;&gt;EV425,FALSE,TRUE),FALSE)</f>
        <v>0</v>
      </c>
      <c r="HK426" s="1384" t="b">
        <f>IFERROR(IF(EU427&lt;&gt;EV427,FALSE,TRUE),FALSE)</f>
        <v>0</v>
      </c>
      <c r="HL426" s="1379" t="b">
        <f>IFERROR(IF(CN425="Exterior",TRUE,IF(OR(AND(FJ425=0,EW427&gt;4),AND(FJ425=4,EW427&gt;4,EW427&lt;7)),FALSE,TRUE)),FALSE)</f>
        <v>0</v>
      </c>
      <c r="HM426" s="1379" t="b">
        <f>IFERROR(IF(AND(FL427=7,EZ425=TRUE),FALSE,TRUE),FALSE)</f>
        <v>0</v>
      </c>
      <c r="HN426" s="1379" t="b">
        <f>IFERROR(IF(AND(T427&lt;&gt;AE427,AF427="Interior LLLC")=TRUE,FALSE,TRUE),FALSE)</f>
        <v>1</v>
      </c>
      <c r="HO426" s="1379" t="b">
        <f>IFERROR(IF(OR(AF427=Lookup!AU$13,AF427=Lookup!AU$14)=TRUE,IF(AE427&gt;T427,FALSE,TRUE),TRUE),FALSE)</f>
        <v>1</v>
      </c>
      <c r="HP426" s="1379" t="b">
        <f>IFERROR(IF(__Retrofit_TI_NC=2,IF(EW427&lt;EW425,FALSE,TRUE),TRUE),FALSE)</f>
        <v>1</v>
      </c>
      <c r="HQ426" s="1379" t="b">
        <f>IF(CN425="Interior",IG$6,TRUE)</f>
        <v>1</v>
      </c>
      <c r="HR426" s="1379" t="b">
        <f>IF(CN425="Exterior",IG$8,TRUE)</f>
        <v>1</v>
      </c>
      <c r="HS426" s="1379" t="b">
        <f>IFERROR(IF(__Retrofit_TI_NC&lt;&gt;0,IF(AW425&lt;AV425,FALSE,TRUE),TRUE),FALSE)</f>
        <v>1</v>
      </c>
      <c r="HT426" s="1379" t="b">
        <f>IFERROR(IF(AND(G426="Exterior",R426&gt;4200),FALSE,TRUE),FALSE)</f>
        <v>1</v>
      </c>
      <c r="HU426" s="1379" t="b">
        <f>IFERROR(IF(AB428/AB425&lt;HU$18,FALSE,TRUE),FALSE)</f>
        <v>0</v>
      </c>
      <c r="HW426" s="1382"/>
      <c r="HX426" s="1378"/>
      <c r="HY426" s="1377" t="str">
        <f>VLOOKUP(HW428,_Error_Table,4,FALSE)</f>
        <v>White</v>
      </c>
      <c r="HZ426" s="436"/>
      <c r="IA426" s="1386"/>
      <c r="IB426" s="1380"/>
      <c r="IC426" s="1379"/>
      <c r="IF426" s="1380"/>
      <c r="IG426" s="1382"/>
      <c r="IH426" s="1382"/>
      <c r="II426" s="1382"/>
      <c r="IK426" s="1351"/>
      <c r="IL426" s="1351"/>
      <c r="IM426" s="1351"/>
      <c r="IN426" s="1351"/>
      <c r="IO426" s="1351"/>
      <c r="IP426" s="1351"/>
    </row>
    <row r="427" spans="1:250" s="82" customFormat="1" ht="14.95" customHeight="1" thickTop="1" thickBot="1">
      <c r="A427" s="82">
        <f>ROW()</f>
        <v>427</v>
      </c>
      <c r="B427" s="1421"/>
      <c r="C427" s="1422"/>
      <c r="D427" s="1423"/>
      <c r="E427" s="1393" t="s">
        <v>245</v>
      </c>
      <c r="F427" s="1394"/>
      <c r="G427" s="1398"/>
      <c r="H427" s="1399"/>
      <c r="I427" s="1399"/>
      <c r="J427" s="1399"/>
      <c r="K427" s="1399"/>
      <c r="L427" s="1400"/>
      <c r="M427" s="509">
        <f>IFERROR(IF(IF(__Retrofit_TI_NC&lt;&gt;0,IF(CN425="Interior",MATCH(G427,Lookup_Interior_New,0),MATCH(G427,Lookup_Exterior_New,0)),IF(CN425="Interior",MATCH(G427,Lookup_Interior,0),MATCH(G427,Lookup_Exterior_Areas,0)))&gt;0,1,0),0)</f>
        <v>0</v>
      </c>
      <c r="N427" s="509" t="e">
        <f>IF(__Retrofit_TI_NC=1,
VLOOKUP(G427,'Space Table'!$B$3:$L$160,4,FALSE),
IF(__Retrofit_TI_NC=2,VLOOKUP(G427,'Space Table'!$B$3:$L$160,5,FALSE),VLOOKUP(G427,'Space Table'!$B$3:$L$160,5,FALSE)))</f>
        <v>#N/A</v>
      </c>
      <c r="O427" s="509">
        <f>G427</f>
        <v>0</v>
      </c>
      <c r="P427" s="1394" t="s">
        <v>355</v>
      </c>
      <c r="Q427" s="1394"/>
      <c r="R427" s="674"/>
      <c r="S427" s="1401" t="s">
        <v>284</v>
      </c>
      <c r="T427" s="672"/>
      <c r="U427" s="1499"/>
      <c r="V427" s="1500"/>
      <c r="W427" s="1500"/>
      <c r="X427" s="1500"/>
      <c r="Y427" s="1500"/>
      <c r="Z427" s="1500"/>
      <c r="AA427" s="1500"/>
      <c r="AB427" s="1501"/>
      <c r="AC427" s="1501"/>
      <c r="AD427" s="1502"/>
      <c r="AE427" s="672"/>
      <c r="AF427" s="1474"/>
      <c r="AG427" s="1474"/>
      <c r="AH427" s="1474"/>
      <c r="AI427" s="1474"/>
      <c r="AJ427" s="1475">
        <f>DF427</f>
        <v>0</v>
      </c>
      <c r="AK427" s="1470" t="str">
        <f>IFERROR(ROUND(AJ427*AC428,0),"")</f>
        <v/>
      </c>
      <c r="AL427" s="1472">
        <f>IFERROR(IF(HW425=FALSE,0,AC428-AK427),0)</f>
        <v>0</v>
      </c>
      <c r="AM427" s="1441"/>
      <c r="AN427" s="1442"/>
      <c r="AO427" s="1447"/>
      <c r="AP427" s="1447"/>
      <c r="AQ427" s="1448"/>
      <c r="AR427" s="1452"/>
      <c r="AS427" s="1455"/>
      <c r="AT427" s="1458"/>
      <c r="AU427" s="516"/>
      <c r="AV427" s="1479"/>
      <c r="AW427" s="1479"/>
      <c r="BC427" s="38"/>
      <c r="BD427" s="38"/>
      <c r="BE427" s="38"/>
      <c r="BF427" s="38"/>
      <c r="BG427" s="38"/>
      <c r="BH427" s="38"/>
      <c r="BI427" s="38"/>
      <c r="BJ427" s="38"/>
      <c r="BK427" s="38"/>
      <c r="BL427" s="38"/>
      <c r="BM427" s="38"/>
      <c r="BN427" s="38"/>
      <c r="BO427" s="38"/>
      <c r="BP427" s="38"/>
      <c r="BQ427" s="38"/>
      <c r="BR427" s="38"/>
      <c r="BS427" s="38"/>
      <c r="BT427" s="38"/>
      <c r="BU427" s="38"/>
      <c r="BV427" s="38"/>
      <c r="BW427" s="38"/>
      <c r="BX427" s="38"/>
      <c r="BY427" s="38"/>
      <c r="BZ427" s="38"/>
      <c r="CA427" s="38"/>
      <c r="CB427" s="38"/>
      <c r="CC427" s="38"/>
      <c r="CD427" s="38"/>
      <c r="CE427" s="38"/>
      <c r="CF427" s="38"/>
      <c r="CG427" s="38"/>
      <c r="CH427" s="38"/>
      <c r="CI427" s="38"/>
      <c r="CM427" s="1352"/>
      <c r="CN427" s="1352"/>
      <c r="CO427" s="1415" t="str">
        <f>CN425</f>
        <v/>
      </c>
      <c r="CP427" s="1417" t="e">
        <f>CP425</f>
        <v>#N/A</v>
      </c>
      <c r="CR427" s="1386" t="s">
        <v>284</v>
      </c>
      <c r="CS427" s="1353">
        <f>IF(HW425=TRUE,T427,0)</f>
        <v>0</v>
      </c>
      <c r="CT427" s="1353" t="str">
        <f>IF(HW425=TRUE,U427,"")</f>
        <v/>
      </c>
      <c r="CU427" s="1373">
        <f>IF(HW425=TRUE,U428,0)</f>
        <v>0</v>
      </c>
      <c r="CV427" s="1370">
        <f>IF(HW425=TRUE,AB428,0)</f>
        <v>0</v>
      </c>
      <c r="CW427" s="1370">
        <f>IF(HW425=TRUE,AC428,0)</f>
        <v>0</v>
      </c>
      <c r="CX427" s="1371"/>
      <c r="CY427" s="1486"/>
      <c r="CZ427" s="1486"/>
      <c r="DA427" s="1486"/>
      <c r="DC427" s="1353">
        <f>IF(HW425=TRUE,AE427,0)</f>
        <v>0</v>
      </c>
      <c r="DD427" s="1353" t="str">
        <f>IF(HW425=TRUE,AF427,"")</f>
        <v/>
      </c>
      <c r="DE427" s="1373">
        <f>AF428</f>
        <v>0</v>
      </c>
      <c r="DF427" s="1406">
        <f>IFERROR(IF(FL427=3,IK427,IF(FL427=4,IL427,IF(FL427=5,IM427,IF(FL427=6,IN427,IF(FL427=7,IO427,IF(FL427=8,IP427,0)))))),0)</f>
        <v>0</v>
      </c>
      <c r="DG427" s="1370">
        <f>IF(HW425=TRUE,AK427,0)</f>
        <v>0</v>
      </c>
      <c r="DH427" s="1369"/>
      <c r="DK427" s="1483">
        <f>IFERROR(CW427-DG427,0)</f>
        <v>0</v>
      </c>
      <c r="DL427" s="1420"/>
      <c r="DN427" s="1403"/>
      <c r="DO427" s="1477" t="str">
        <f>DN425</f>
        <v/>
      </c>
      <c r="DP427" s="1354"/>
      <c r="DQ427" s="1477" t="str">
        <f>IF(DP425=7,"LLLC","")</f>
        <v/>
      </c>
      <c r="DR427" s="1403"/>
      <c r="DS427" s="1489"/>
      <c r="DU427" s="1403"/>
      <c r="DV427" s="1404" t="str">
        <f>DU425</f>
        <v/>
      </c>
      <c r="DW427" s="1403"/>
      <c r="DX427" s="1403"/>
      <c r="DZ427" s="1481"/>
      <c r="EA427" s="1481"/>
      <c r="EC427" s="1482"/>
      <c r="ED427" s="1369"/>
      <c r="EE427" s="1371"/>
      <c r="EF427" s="1369"/>
      <c r="EG427" s="1369"/>
      <c r="EH427" s="1374"/>
      <c r="EI427" s="1374"/>
      <c r="EJ427" s="1363"/>
      <c r="EK427" s="1376"/>
      <c r="EL427" s="1376"/>
      <c r="EM427" s="1362"/>
      <c r="EN427" s="1362"/>
      <c r="EO427" s="1363"/>
      <c r="EP427" s="1363"/>
      <c r="EQ427" s="1363"/>
      <c r="ES427" s="1403"/>
      <c r="EU427" s="1411" t="e">
        <f>VLOOKUP(CP427,'Space Table'!$B$3:$L$160,8,FALSE)</f>
        <v>#N/A</v>
      </c>
      <c r="EV427" s="1411" t="e">
        <f>IF(EY427="Yes",VLOOKUP(AF427,Lookup_Control_Type_Table2,4,FALSE),VLOOKUP(AF427,Lookup_Control_Type_Table2,3,FALSE))</f>
        <v>#N/A</v>
      </c>
      <c r="EW427" s="1411" t="e">
        <f>VLOOKUP(AF427,Lookup!AU$3:AV$15,2,FALSE)</f>
        <v>#N/A</v>
      </c>
      <c r="EX427" s="1411" t="e">
        <f>VLOOKUP(EU425,Lookup_Control_Type_Table,2,FALSE)</f>
        <v>#N/A</v>
      </c>
      <c r="EY427" s="1411" t="e">
        <f>VLOOKUP(CP427,'Space Table'!$B$3:$L$160,7,FALSE)</f>
        <v>#N/A</v>
      </c>
      <c r="EZ427" s="1413"/>
      <c r="FB427" s="1365" t="str">
        <f>CONCATENATE(CN425," - ",AF427)</f>
        <v xml:space="preserve"> - </v>
      </c>
      <c r="FD427" s="1354"/>
      <c r="FE427" s="1354"/>
      <c r="FF427" s="138"/>
      <c r="FI427" s="1356" t="str">
        <f>IF(CN425="Exterior","Not Daylighted",G428)</f>
        <v>Not Daylighted</v>
      </c>
      <c r="FJ427" s="1356">
        <f>VLOOKUP(FI427,_Daylight_Table_Codes,2,FALSE)</f>
        <v>0</v>
      </c>
      <c r="FK427" s="1365">
        <f>AF427</f>
        <v>0</v>
      </c>
      <c r="FL427" s="1365" t="e">
        <f>VLOOKUP(FK427,_Control_Table,2,FALSE)</f>
        <v>#N/A</v>
      </c>
      <c r="FM427" s="1365" t="e">
        <f>IF(AND(FP427&gt;0,FK427="Occupancy Sensor"),"Daylight + Occupancy",IF(AND(FP427&gt;0,FL427&lt;4),"Interior Daylight Dimming",FK427))</f>
        <v>#N/A</v>
      </c>
      <c r="FO427" s="1364">
        <f>IF(CN425="Interior",VLOOKUP(CP425,Control_Savings_Interior,5,FALSE),0)</f>
        <v>0</v>
      </c>
      <c r="FP427" s="1361">
        <f>IF(CN427="Exterior",0,IF(FJ427=2,0.5,IF(OR(FJ427=1,FJ427=3),1,0)))</f>
        <v>0</v>
      </c>
      <c r="FQ427" s="1366">
        <f>IF(R426&gt;FO$37,(FO427*(FO$37/R426)),FO427)*FP427</f>
        <v>0</v>
      </c>
      <c r="FR427" s="1364">
        <f>DF427</f>
        <v>0</v>
      </c>
      <c r="FS427" s="1364">
        <f>ROUND(FR427+((1-FR427)*FQ427),2)</f>
        <v>0</v>
      </c>
      <c r="FT427" s="1364">
        <f>IF(__Retrofit_TI_NC=2,FS427,FR427)</f>
        <v>0</v>
      </c>
      <c r="FU427" s="1360">
        <f>IF(CO427="Interior",VLOOKUP(CP427,Control_Savings_Interior,4,FALSE),0)</f>
        <v>0</v>
      </c>
      <c r="FW427" s="1352"/>
      <c r="FX427" s="1352"/>
      <c r="FY427" s="1352"/>
      <c r="FZ427" s="1352"/>
      <c r="GA427" s="1352"/>
      <c r="GB427" s="1352"/>
      <c r="GC427" s="1352"/>
      <c r="GD427" s="1352"/>
      <c r="GE427" s="759" t="b">
        <f>IF(ISNUMBER(SEARCH("TLED",U427)),TRUE,FALSE)</f>
        <v>0</v>
      </c>
      <c r="GF427" s="1035" t="str">
        <f>IFERROR(VLOOKUP(U427,Fixtures!DM$93:DR$142,6,FALSE),"")</f>
        <v/>
      </c>
      <c r="GG427" s="1385"/>
      <c r="GI427" s="1383"/>
      <c r="GJ427" s="1379"/>
      <c r="GL427" s="1379"/>
      <c r="GM427" s="1379"/>
      <c r="HC427" s="1379"/>
      <c r="HD427" s="1379"/>
      <c r="HE427" s="1379"/>
      <c r="HF427" s="1379"/>
      <c r="HG427" s="1379"/>
      <c r="HH427" s="1379"/>
      <c r="HI427" s="1383"/>
      <c r="HJ427" s="1383"/>
      <c r="HK427" s="1383"/>
      <c r="HL427" s="1379"/>
      <c r="HM427" s="1379"/>
      <c r="HN427" s="1379"/>
      <c r="HO427" s="1379"/>
      <c r="HP427" s="1379"/>
      <c r="HQ427" s="1379"/>
      <c r="HR427" s="1379"/>
      <c r="HS427" s="1379"/>
      <c r="HT427" s="1379"/>
      <c r="HU427" s="1379"/>
      <c r="HW427" s="1383"/>
      <c r="HX427" s="1384" t="b">
        <f>HW425</f>
        <v>0</v>
      </c>
      <c r="HY427" s="1378"/>
      <c r="HZ427" s="436"/>
      <c r="IA427" s="1386"/>
      <c r="IB427" s="1380">
        <f>IF(IA425=TRUE,AC428,0)</f>
        <v>0</v>
      </c>
      <c r="IC427" s="1379"/>
      <c r="IF427" s="1380" t="e">
        <f>ROUND(T427*AB428*N426*R426/1000,0)</f>
        <v>#VALUE!</v>
      </c>
      <c r="IG427" s="1382"/>
      <c r="IH427" s="1384" t="e">
        <f>ROUND(T427*AB428*N426*R426/1000,0)</f>
        <v>#VALUE!</v>
      </c>
      <c r="II427" s="1382"/>
      <c r="IK427" s="1351" t="e">
        <f>IF($CO427="interior",IL427/2,VLOOKUP($CP427,Control_Savings_Exterior,IK$30,FALSE))</f>
        <v>#N/A</v>
      </c>
      <c r="IL427" s="1351" t="e">
        <f>IF($CO427="interior",VLOOKUP($CP427,Control_Savings_Interior,IL$30,FALSE),VLOOKUP($CP427,Control_Savings_Exterior,IL$30,FALSE))</f>
        <v>#N/A</v>
      </c>
      <c r="IM427" s="1351" t="e">
        <f>IF($CO427="interior",IF(R426&gt;FO$37,(IM$28*(FO$37/R426)),IM$28)*FP427,VLOOKUP($CP427,Control_Savings_Exterior,IM$30,FALSE))</f>
        <v>#N/A</v>
      </c>
      <c r="IN427" s="1351" t="e">
        <f>IF($CO427="interior",ROUND(((1-IL427)*IM427)+IL427,2),VLOOKUP($CP427,Control_Savings_Exterior,IN$30,FALSE))</f>
        <v>#N/A</v>
      </c>
      <c r="IO427" s="1351" t="e">
        <f>IF($CO427="interior", ROUND(((1-IL427)*(IM427*(1-IP$28)))+IP427,2), VLOOKUP($CP427,Control_Savings_Exterior,IO$30,FALSE))</f>
        <v>#N/A</v>
      </c>
      <c r="IP427" s="1351">
        <f>IF($CO427="interior",ROUND(((1-IL427)*IP$28)+IL427,2),0)</f>
        <v>0</v>
      </c>
    </row>
    <row r="428" spans="1:250" s="82" customFormat="1" ht="14.95" customHeight="1" thickTop="1" thickBot="1">
      <c r="B428" s="1421"/>
      <c r="C428" s="1422"/>
      <c r="D428" s="1423"/>
      <c r="E428" s="1462" t="s">
        <v>357</v>
      </c>
      <c r="F428" s="1463"/>
      <c r="G428" s="1464" t="s">
        <v>362</v>
      </c>
      <c r="H428" s="1465"/>
      <c r="I428" s="1465"/>
      <c r="J428" s="1465"/>
      <c r="K428" s="1465"/>
      <c r="L428" s="1466"/>
      <c r="M428" s="669">
        <f>IFERROR(VLOOKUP(G428,_Daylight_Table[],2,FALSE),0)</f>
        <v>0</v>
      </c>
      <c r="N428" s="670"/>
      <c r="O428" s="669" t="e">
        <f>VLOOKUP(G427,'Space Table'!$B$3:$L$160,11,FALSE)</f>
        <v>#N/A</v>
      </c>
      <c r="P428" s="1408"/>
      <c r="Q428" s="1409"/>
      <c r="R428" s="1409"/>
      <c r="S428" s="1402"/>
      <c r="T428" s="671" t="s">
        <v>281</v>
      </c>
      <c r="U428" s="1467" t="str">
        <f>IFERROR(VLOOKUP(U427,Fixtures!DM$93:DP$142,4,FALSE),"")</f>
        <v/>
      </c>
      <c r="V428" s="1468"/>
      <c r="W428" s="1468"/>
      <c r="X428" s="1468"/>
      <c r="Y428" s="1468"/>
      <c r="Z428" s="1468"/>
      <c r="AA428" s="1468"/>
      <c r="AB428" s="1046" t="str">
        <f>IFERROR(VLOOKUP(U427,Fixtures_Proposed_List,2,FALSE),"")</f>
        <v/>
      </c>
      <c r="AC428" s="1036" t="str">
        <f>IFERROR(ROUND(T427*AB428*N426*R426/1000,0),"")</f>
        <v/>
      </c>
      <c r="AD428" s="1037" t="str">
        <f>IFERROR(ROUND(T427*AB428/1000,2),"")</f>
        <v/>
      </c>
      <c r="AE428" s="1045" t="s">
        <v>281</v>
      </c>
      <c r="AF428" s="1469"/>
      <c r="AG428" s="1469"/>
      <c r="AH428" s="1469"/>
      <c r="AI428" s="1469"/>
      <c r="AJ428" s="1476"/>
      <c r="AK428" s="1471"/>
      <c r="AL428" s="1473"/>
      <c r="AM428" s="1443"/>
      <c r="AN428" s="1444"/>
      <c r="AO428" s="1449"/>
      <c r="AP428" s="1449"/>
      <c r="AQ428" s="1450"/>
      <c r="AR428" s="1453"/>
      <c r="AS428" s="1456"/>
      <c r="AT428" s="1459"/>
      <c r="AU428" s="517"/>
      <c r="AV428" s="1480"/>
      <c r="AW428" s="1480"/>
      <c r="BC428" s="38"/>
      <c r="BD428" s="38"/>
      <c r="BE428" s="38"/>
      <c r="BF428" s="38"/>
      <c r="BG428" s="38"/>
      <c r="BH428" s="38"/>
      <c r="BI428" s="38"/>
      <c r="BJ428" s="38"/>
      <c r="BK428" s="38"/>
      <c r="BL428" s="38"/>
      <c r="BM428" s="38"/>
      <c r="BN428" s="38"/>
      <c r="BO428" s="38"/>
      <c r="BP428" s="38"/>
      <c r="BQ428" s="38"/>
      <c r="BR428" s="38"/>
      <c r="BS428" s="38"/>
      <c r="BT428" s="38"/>
      <c r="BU428" s="38"/>
      <c r="BV428" s="38"/>
      <c r="BW428" s="38"/>
      <c r="BX428" s="38"/>
      <c r="BY428" s="38"/>
      <c r="BZ428" s="38"/>
      <c r="CA428" s="38"/>
      <c r="CB428" s="38"/>
      <c r="CC428" s="38"/>
      <c r="CD428" s="38"/>
      <c r="CE428" s="38"/>
      <c r="CF428" s="38"/>
      <c r="CG428" s="38"/>
      <c r="CH428" s="38"/>
      <c r="CI428" s="38"/>
      <c r="CM428" s="1352"/>
      <c r="CN428" s="1352"/>
      <c r="CO428" s="1416"/>
      <c r="CP428" s="1418"/>
      <c r="CR428" s="1386"/>
      <c r="CS428" s="1355"/>
      <c r="CT428" s="1355"/>
      <c r="CU428" s="1375"/>
      <c r="CV428" s="1372"/>
      <c r="CW428" s="1372"/>
      <c r="CX428" s="1372"/>
      <c r="CY428" s="1487"/>
      <c r="CZ428" s="1487"/>
      <c r="DA428" s="1487"/>
      <c r="DC428" s="1355"/>
      <c r="DD428" s="1355"/>
      <c r="DE428" s="1375"/>
      <c r="DF428" s="1407"/>
      <c r="DG428" s="1372"/>
      <c r="DH428" s="1369"/>
      <c r="DK428" s="1484"/>
      <c r="DL428" s="1420"/>
      <c r="DN428" s="1403"/>
      <c r="DO428" s="1405"/>
      <c r="DP428" s="1355"/>
      <c r="DQ428" s="1405"/>
      <c r="DR428" s="1403"/>
      <c r="DS428" s="1489"/>
      <c r="DU428" s="1403"/>
      <c r="DV428" s="1405"/>
      <c r="DW428" s="1403"/>
      <c r="DX428" s="1403"/>
      <c r="DZ428" s="1481"/>
      <c r="EA428" s="1481"/>
      <c r="EC428" s="1482"/>
      <c r="ED428" s="1369"/>
      <c r="EE428" s="1372"/>
      <c r="EF428" s="1369"/>
      <c r="EG428" s="1369"/>
      <c r="EH428" s="1375"/>
      <c r="EI428" s="1375"/>
      <c r="EJ428" s="1363"/>
      <c r="EK428" s="1376"/>
      <c r="EL428" s="1376"/>
      <c r="EM428" s="1362"/>
      <c r="EN428" s="1362"/>
      <c r="EO428" s="1363"/>
      <c r="EP428" s="1363"/>
      <c r="EQ428" s="1363"/>
      <c r="ES428" s="1403"/>
      <c r="EU428" s="1488"/>
      <c r="EV428" s="1488"/>
      <c r="EW428" s="1488"/>
      <c r="EX428" s="1488"/>
      <c r="EY428" s="1488"/>
      <c r="EZ428" s="1414"/>
      <c r="FB428" s="1365"/>
      <c r="FD428" s="1355"/>
      <c r="FE428" s="1355"/>
      <c r="FF428" s="138"/>
      <c r="FI428" s="1357"/>
      <c r="FJ428" s="1357"/>
      <c r="FK428" s="1365"/>
      <c r="FL428" s="1365"/>
      <c r="FM428" s="1365"/>
      <c r="FO428" s="1361"/>
      <c r="FP428" s="1361"/>
      <c r="FQ428" s="1366"/>
      <c r="FR428" s="1361"/>
      <c r="FS428" s="1361"/>
      <c r="FT428" s="1361"/>
      <c r="FU428" s="1360"/>
      <c r="FW428" s="1352"/>
      <c r="FX428" s="1352"/>
      <c r="FY428" s="1352"/>
      <c r="FZ428" s="1352"/>
      <c r="GA428" s="1352"/>
      <c r="GB428" s="1352"/>
      <c r="GC428" s="1352"/>
      <c r="GD428" s="1352"/>
      <c r="GE428" s="759"/>
      <c r="GF428" s="1035"/>
      <c r="GG428" s="1385"/>
      <c r="GJ428" s="1034">
        <f>IF(GJ426=TRUE,0,GJ$16)</f>
        <v>0</v>
      </c>
      <c r="GL428" s="1034">
        <f>IF(GL426=TRUE,0,GL$16)</f>
        <v>36</v>
      </c>
      <c r="GM428" s="1034">
        <f>IF(GM426=TRUE,0,GM$16)</f>
        <v>35</v>
      </c>
      <c r="GN428" s="436"/>
      <c r="GO428" s="436"/>
      <c r="GP428" s="436"/>
      <c r="GQ428" s="436"/>
      <c r="GR428" s="436"/>
      <c r="HC428" s="1034">
        <f t="shared" ref="HC428:HH428" si="310">IF(HC426=TRUE,0,HC$16)</f>
        <v>19</v>
      </c>
      <c r="HD428" s="1034">
        <f t="shared" si="310"/>
        <v>18</v>
      </c>
      <c r="HE428" s="1034">
        <f t="shared" si="310"/>
        <v>17</v>
      </c>
      <c r="HF428" s="1034">
        <f t="shared" si="310"/>
        <v>16</v>
      </c>
      <c r="HG428" s="1034">
        <f t="shared" si="310"/>
        <v>0</v>
      </c>
      <c r="HH428" s="1034">
        <f t="shared" si="310"/>
        <v>0</v>
      </c>
      <c r="HI428" s="1034">
        <f>IF(HI426=TRUE,0,HI$16)</f>
        <v>13</v>
      </c>
      <c r="HJ428" s="1034">
        <f t="shared" ref="HJ428:HL428" si="311">IF(HJ426=TRUE,0,HJ$16)</f>
        <v>12</v>
      </c>
      <c r="HK428" s="1034">
        <f t="shared" si="311"/>
        <v>11</v>
      </c>
      <c r="HL428" s="1034">
        <f t="shared" si="311"/>
        <v>10</v>
      </c>
      <c r="HM428" s="1034">
        <f>IF(HM426=TRUE,0,HM$16)</f>
        <v>9</v>
      </c>
      <c r="HN428" s="1034">
        <f t="shared" ref="HN428:HR428" si="312">IF(HN426=TRUE,0,HN$16)</f>
        <v>0</v>
      </c>
      <c r="HO428" s="1034">
        <f t="shared" si="312"/>
        <v>0</v>
      </c>
      <c r="HP428" s="1034">
        <f t="shared" si="312"/>
        <v>0</v>
      </c>
      <c r="HQ428" s="1034">
        <f t="shared" si="312"/>
        <v>0</v>
      </c>
      <c r="HR428" s="1034">
        <f t="shared" si="312"/>
        <v>0</v>
      </c>
      <c r="HS428" s="1034">
        <f>IF(HS426=TRUE,0,HS$16)</f>
        <v>0</v>
      </c>
      <c r="HT428" s="1034">
        <f t="shared" ref="HT428" si="313">IF(HT426=TRUE,0,HT$16)</f>
        <v>0</v>
      </c>
      <c r="HU428" s="1034">
        <f>IF(HU426=TRUE,0,HU$16)</f>
        <v>1</v>
      </c>
      <c r="HW428" s="1034">
        <f>IF(GL426=FALSE,GL428,IF(GM426=FALSE,GM428,MAX(GJ428:HU428)))</f>
        <v>36</v>
      </c>
      <c r="HX428" s="1383"/>
      <c r="HY428" s="241" t="str">
        <f>VLOOKUP(HW428,_Error_Table,3,FALSE)</f>
        <v xml:space="preserve"> </v>
      </c>
      <c r="HZ428" s="241"/>
      <c r="IA428" s="1386"/>
      <c r="IB428" s="1380"/>
      <c r="IC428" s="1379"/>
      <c r="IF428" s="1380"/>
      <c r="IG428" s="1383"/>
      <c r="IH428" s="1383"/>
      <c r="II428" s="1383"/>
      <c r="IK428" s="1351"/>
      <c r="IL428" s="1351"/>
      <c r="IM428" s="1351"/>
      <c r="IN428" s="1351"/>
      <c r="IO428" s="1351"/>
      <c r="IP428" s="1351"/>
    </row>
    <row r="429" spans="1:250" s="82" customFormat="1" ht="5.0999999999999996" customHeight="1" thickBot="1">
      <c r="B429" s="763"/>
      <c r="C429" s="1038"/>
      <c r="D429" s="1038"/>
      <c r="E429" s="1490"/>
      <c r="F429" s="1490"/>
      <c r="G429" s="1490"/>
      <c r="H429" s="1490"/>
      <c r="I429" s="1490"/>
      <c r="J429" s="1490"/>
      <c r="K429" s="1490"/>
      <c r="L429" s="1490"/>
      <c r="M429" s="1490"/>
      <c r="N429" s="1490"/>
      <c r="O429" s="1490"/>
      <c r="P429" s="1490"/>
      <c r="Q429" s="1490"/>
      <c r="R429" s="1490"/>
      <c r="S429" s="1490"/>
      <c r="T429" s="1490"/>
      <c r="U429" s="1490"/>
      <c r="V429" s="1490"/>
      <c r="W429" s="1490"/>
      <c r="X429" s="1490"/>
      <c r="Y429" s="1490"/>
      <c r="Z429" s="1490"/>
      <c r="AA429" s="1490"/>
      <c r="AB429" s="1490"/>
      <c r="AC429" s="1490"/>
      <c r="AD429" s="1490"/>
      <c r="AE429" s="1490"/>
      <c r="AF429" s="1490"/>
      <c r="AG429" s="1490"/>
      <c r="AH429" s="1490"/>
      <c r="AI429" s="1490"/>
      <c r="AJ429" s="1490"/>
      <c r="AK429" s="1490"/>
      <c r="AL429" s="1490"/>
      <c r="AM429" s="1490"/>
      <c r="AN429" s="1490"/>
      <c r="AO429" s="1490"/>
      <c r="AP429" s="1490"/>
      <c r="AQ429" s="1490"/>
      <c r="AR429" s="1490"/>
      <c r="AS429" s="1490"/>
      <c r="AT429" s="1490"/>
      <c r="AU429" s="1041"/>
      <c r="BC429" s="38"/>
      <c r="BD429" s="38"/>
      <c r="BE429" s="38"/>
      <c r="BF429" s="38"/>
      <c r="BG429" s="38"/>
      <c r="BH429" s="38"/>
      <c r="BI429" s="38"/>
      <c r="BJ429" s="38"/>
      <c r="BK429" s="38"/>
      <c r="BL429" s="38"/>
      <c r="BM429" s="38"/>
      <c r="BN429" s="38"/>
      <c r="BO429" s="38"/>
      <c r="BP429" s="38"/>
      <c r="BQ429" s="38"/>
      <c r="BR429" s="38"/>
      <c r="BS429" s="38"/>
      <c r="BT429" s="38"/>
      <c r="BU429" s="38"/>
      <c r="BV429" s="38"/>
      <c r="BW429" s="38"/>
      <c r="BX429" s="38"/>
      <c r="BY429" s="38"/>
      <c r="BZ429" s="38"/>
      <c r="CA429" s="38"/>
      <c r="CB429" s="38"/>
      <c r="CC429" s="38"/>
      <c r="CD429" s="38"/>
      <c r="CE429" s="38"/>
      <c r="CF429" s="38"/>
      <c r="CG429" s="38"/>
      <c r="CH429" s="38"/>
      <c r="CI429" s="38"/>
      <c r="CM429" s="749"/>
      <c r="CN429" s="749"/>
      <c r="CO429" s="1043"/>
      <c r="CP429" s="749"/>
      <c r="CS429" s="436"/>
      <c r="CT429" s="436"/>
      <c r="CU429" s="243"/>
      <c r="CV429" s="244"/>
      <c r="CW429" s="244"/>
      <c r="CX429" s="244"/>
      <c r="CY429" s="245"/>
      <c r="CZ429" s="245"/>
      <c r="DA429" s="245"/>
      <c r="DC429" s="750"/>
      <c r="DD429" s="751"/>
      <c r="DE429" s="752"/>
      <c r="DF429" s="753"/>
      <c r="DG429" s="754"/>
      <c r="DH429" s="754"/>
      <c r="DK429" s="244"/>
      <c r="DL429" s="750"/>
      <c r="DN429" s="750"/>
      <c r="DO429" s="755"/>
      <c r="DP429" s="436"/>
      <c r="DQ429" s="750"/>
      <c r="DR429" s="750"/>
      <c r="DS429" s="750"/>
      <c r="DU429" s="750"/>
      <c r="DV429" s="750"/>
      <c r="DW429" s="750"/>
      <c r="DX429" s="750"/>
      <c r="DZ429" s="756"/>
      <c r="EA429" s="756"/>
      <c r="EC429" s="754"/>
      <c r="ED429" s="754"/>
      <c r="EE429" s="244"/>
      <c r="EF429" s="754"/>
      <c r="EG429" s="754"/>
      <c r="EH429" s="243"/>
      <c r="EI429" s="243"/>
      <c r="EJ429" s="752"/>
      <c r="EK429" s="757"/>
      <c r="EL429" s="757"/>
      <c r="EM429" s="758"/>
      <c r="EN429" s="758"/>
      <c r="EO429" s="752"/>
      <c r="EP429" s="752"/>
      <c r="EQ429" s="752"/>
      <c r="ES429" s="750"/>
      <c r="EU429" s="436"/>
      <c r="EV429" s="436"/>
      <c r="EW429" s="436"/>
      <c r="EX429" s="436"/>
      <c r="EY429" s="436"/>
      <c r="EZ429" s="436"/>
      <c r="FB429" s="643"/>
      <c r="FD429" s="436"/>
      <c r="FE429" s="436"/>
      <c r="FF429" s="436"/>
      <c r="FO429" s="750"/>
      <c r="FP429" s="436"/>
      <c r="FQ429" s="436"/>
      <c r="FR429" s="750"/>
      <c r="FS429" s="750"/>
      <c r="FW429" s="749"/>
      <c r="FX429" s="749"/>
      <c r="FY429" s="749"/>
      <c r="FZ429" s="749"/>
      <c r="GA429" s="749"/>
      <c r="GB429" s="749"/>
      <c r="GC429" s="749"/>
      <c r="GD429" s="749"/>
      <c r="GE429" s="751"/>
      <c r="GF429" s="750"/>
      <c r="GG429" s="750"/>
    </row>
    <row r="430" spans="1:250" s="82" customFormat="1" ht="14.95" customHeight="1" thickTop="1" thickBot="1">
      <c r="B430" s="1421" t="str">
        <f>HY433</f>
        <v xml:space="preserve"> </v>
      </c>
      <c r="C430" s="1422">
        <f>C425+1</f>
        <v>76</v>
      </c>
      <c r="D430" s="1423"/>
      <c r="E430" s="1424" t="s">
        <v>242</v>
      </c>
      <c r="F430" s="1425"/>
      <c r="G430" s="1426"/>
      <c r="H430" s="1427"/>
      <c r="I430" s="1427"/>
      <c r="J430" s="1427"/>
      <c r="K430" s="1427"/>
      <c r="L430" s="1427"/>
      <c r="M430" s="1427"/>
      <c r="N430" s="1427"/>
      <c r="O430" s="1427"/>
      <c r="P430" s="1427"/>
      <c r="Q430" s="1427"/>
      <c r="R430" s="1427"/>
      <c r="S430" s="1428" t="s">
        <v>283</v>
      </c>
      <c r="T430" s="668" t="s">
        <v>190</v>
      </c>
      <c r="U430" s="1430" t="s">
        <v>186</v>
      </c>
      <c r="V430" s="1431"/>
      <c r="W430" s="1431"/>
      <c r="X430" s="1431"/>
      <c r="Y430" s="1431"/>
      <c r="Z430" s="1431"/>
      <c r="AA430" s="1431"/>
      <c r="AB430" s="1088" t="str">
        <f>IFERROR(IF(__Retrofit_TI_NC=0,VLOOKUP(U431,Fixtures_Existing_List,2,FALSE),ROUND(N432*R432/T432,10)),"")</f>
        <v/>
      </c>
      <c r="AC430" s="1039" t="str">
        <f>IFERROR(IF(__Retrofit_TI_NC=0,ROUND(T431*AB430*N431*R431/1000,0),IF(CN430="Interior",N432*R432*R431*N431*_C406_reduction/1000,N432*R432*R431*N431/1000)),"")</f>
        <v/>
      </c>
      <c r="AD430" s="1040" t="str">
        <f>IFERROR(IF(C$36=0,ROUND(T431*AB430/1000,2),N432*R432/1000),"")</f>
        <v/>
      </c>
      <c r="AE430" s="1044" t="s">
        <v>190</v>
      </c>
      <c r="AF430" s="1432" t="str">
        <f>IF(__Retrofit_TI_NC=2,CONCATENATE("Code min = ",DD430),IF(__Retrofit_TI_NC=1,"Emter what you think the existing control was"," Control"))</f>
        <v xml:space="preserve"> Control</v>
      </c>
      <c r="AG430" s="1432"/>
      <c r="AH430" s="1432"/>
      <c r="AI430" s="1432"/>
      <c r="AJ430" s="1433">
        <f>DF430</f>
        <v>0</v>
      </c>
      <c r="AK430" s="1435" t="str">
        <f>IFERROR(ROUND(AJ430*AC430,0),"")</f>
        <v/>
      </c>
      <c r="AL430" s="1437">
        <f>IFERROR(IF(HW430=FALSE,0,AC430-AK430),0)</f>
        <v>0</v>
      </c>
      <c r="AM430" s="1439">
        <f>AL430-AL432</f>
        <v>0</v>
      </c>
      <c r="AN430" s="1440"/>
      <c r="AO430" s="1445">
        <f>IFERROR(IF(HW430=FALSE,0,(T432*U433)+(AE432*AF433)),0)</f>
        <v>0</v>
      </c>
      <c r="AP430" s="1445"/>
      <c r="AQ430" s="1446"/>
      <c r="AR430" s="1451" t="s">
        <v>157</v>
      </c>
      <c r="AS430" s="1454">
        <f>IF(AR430="Yes",1,0)</f>
        <v>1</v>
      </c>
      <c r="AT430" s="1457" t="str">
        <f>IF(OR(DN430=4,DN430=5,DN430=6,DN430=12),CONCATENATE("$",IF(GD430=TRUE,Lookup!$B$11,Lookup!$B$2)," /lamp"),CONCATENATE(EA430,"/ kWh"))</f>
        <v>0/ kWh</v>
      </c>
      <c r="AU430" s="516"/>
      <c r="AV430" s="1478">
        <f>IFERROR(IF(GI431=TRUE,(AB433*T432)/R432,0),"NA")</f>
        <v>0</v>
      </c>
      <c r="AW430" s="1478" t="str">
        <f>IFERROR(N432*_C406_reduction,"NA")</f>
        <v>NA</v>
      </c>
      <c r="BC430" s="38"/>
      <c r="BD430" s="38"/>
      <c r="BE430" s="38"/>
      <c r="BF430" s="38"/>
      <c r="BG430" s="38"/>
      <c r="BH430" s="38"/>
      <c r="BI430" s="38"/>
      <c r="BJ430" s="38"/>
      <c r="BK430" s="38"/>
      <c r="BL430" s="38"/>
      <c r="BM430" s="38"/>
      <c r="BN430" s="38"/>
      <c r="BO430" s="38"/>
      <c r="BP430" s="38"/>
      <c r="BQ430" s="38"/>
      <c r="BR430" s="38"/>
      <c r="BS430" s="38"/>
      <c r="BT430" s="38"/>
      <c r="BU430" s="38"/>
      <c r="BV430" s="38"/>
      <c r="BW430" s="38"/>
      <c r="BX430" s="38"/>
      <c r="BY430" s="38"/>
      <c r="BZ430" s="38"/>
      <c r="CA430" s="38"/>
      <c r="CB430" s="38"/>
      <c r="CC430" s="38"/>
      <c r="CD430" s="38"/>
      <c r="CE430" s="38"/>
      <c r="CF430" s="38"/>
      <c r="CG430" s="38"/>
      <c r="CH430" s="38"/>
      <c r="CI430" s="38"/>
      <c r="CM430" s="1352" t="str">
        <f>N431</f>
        <v/>
      </c>
      <c r="CN430" s="1352" t="str">
        <f>IFERROR(VLOOKUP(G431,_Lookup_Heat_Type_Table_New,3,FALSE),"")</f>
        <v/>
      </c>
      <c r="CO430" s="1415" t="str">
        <f>CN430</f>
        <v/>
      </c>
      <c r="CP430" s="1417" t="e">
        <f>VLOOKUP(G432,'Space Table'!$B$3:$L$160,9,FALSE)</f>
        <v>#N/A</v>
      </c>
      <c r="CR430" s="1386" t="s">
        <v>283</v>
      </c>
      <c r="CS430" s="1353">
        <f>IF(HW430=TRUE,T431,0)</f>
        <v>0</v>
      </c>
      <c r="CT430" s="1353" t="str">
        <f>IF(HW430=TRUE,U431,"")</f>
        <v/>
      </c>
      <c r="CU430" s="1353"/>
      <c r="CV430" s="1370">
        <f>IF(HW430=TRUE,AB430,0)</f>
        <v>0</v>
      </c>
      <c r="CW430" s="1370">
        <f>IF(HW430=TRUE,AC430,0)</f>
        <v>0</v>
      </c>
      <c r="CX430" s="1370">
        <f>IFERROR(IF(HW430=TRUE,CW430-CW432,0),0)</f>
        <v>0</v>
      </c>
      <c r="CY430" s="1485">
        <f>IF(HW430=TRUE,AD430,0)</f>
        <v>0</v>
      </c>
      <c r="CZ430" s="1485">
        <f>IF(HW430=TRUE,AD433,0)</f>
        <v>0</v>
      </c>
      <c r="DA430" s="1485">
        <f>IFERROR(CY430-CZ430,0)</f>
        <v>0</v>
      </c>
      <c r="DC430" s="1353">
        <f>IF(HW430=TRUE,AE431,0)</f>
        <v>0</v>
      </c>
      <c r="DD430" s="1460">
        <f>IF(__Retrofit_TI_NC=2,IF(CN430="Exterior",O433,FM430),FK430)</f>
        <v>0</v>
      </c>
      <c r="DE430" s="1353"/>
      <c r="DF430" s="1406">
        <f>IFERROR(IF(FL430=3,IK430,IF(FL430=4,IL430,IF(FL430=5,IM430,IF(FL430=6,IN430,IF(FL430=7,IO430,IF(FL430=8,IP430,0)))))),0)</f>
        <v>0</v>
      </c>
      <c r="DG430" s="1370">
        <f>IF(HW430=TRUE,AK430,0)</f>
        <v>0</v>
      </c>
      <c r="DH430" s="1369">
        <f>IFERROR(IF(HW430=TRUE,DG432-DG430,0),0)</f>
        <v>0</v>
      </c>
      <c r="DJ430" s="1483">
        <f>IFERROR(CW430-DG430,0)</f>
        <v>0</v>
      </c>
      <c r="DL430" s="1419">
        <f>DJ430-DK432</f>
        <v>0</v>
      </c>
      <c r="DN430" s="1403" t="str">
        <f>IFERROR(IF(AND(OR(FY430=4,FY430=5,FY430=6),OR(GB430=4,GB430=5,GB430=6)),FY430+8,VLOOKUP(CT432,Fixtures!R$31:Y$78,8,FALSE)),"")</f>
        <v/>
      </c>
      <c r="DO430" s="1404" t="str">
        <f>DN430</f>
        <v/>
      </c>
      <c r="DP430" s="1353" t="str">
        <f>IFERROR(VLOOKUP(DD432,Lookup!AU$3:AV$15,2,FALSE),"")</f>
        <v/>
      </c>
      <c r="DQ430" s="1404" t="str">
        <f>IF(DP430=7,"LLLC","")</f>
        <v/>
      </c>
      <c r="DR430" s="1403">
        <f>IFERROR(IF(OR(DN430=4,DN430=5,DN430=6,DN430=12,DN430=13,DN430=14),VLOOKUP(CT432,Fixtures!DN$27:EG$77,19,FALSE),1)*CS432,0)</f>
        <v>0</v>
      </c>
      <c r="DS430" s="1489">
        <f>IF(DP430=7,IF(DD430=DD432,0,DC432),0)</f>
        <v>0</v>
      </c>
      <c r="DU430" s="1403" t="str">
        <f>IFERROR(IF(EW430&lt;EW432,"Yes","No"),"")</f>
        <v/>
      </c>
      <c r="DV430" s="1404" t="str">
        <f>DU430</f>
        <v/>
      </c>
      <c r="DW430" s="1403">
        <f>IF(DU430="Yes",DC432,0)</f>
        <v>0</v>
      </c>
      <c r="DX430" s="1403">
        <f>DW430-DS430</f>
        <v>0</v>
      </c>
      <c r="DZ430" s="1481">
        <f>IFERROR(VLOOKUP(DN430,Lookup!AN$3:AO$16,2,FALSE),0)</f>
        <v>0</v>
      </c>
      <c r="EA430" s="1481">
        <f>IF(HW430=FALSE,0,IF(DU430="Yes",DZ430+Lookup!B$6,DZ430))</f>
        <v>0</v>
      </c>
      <c r="EC430" s="1482">
        <f>IF(HW430=TRUE,DJ430,0)</f>
        <v>0</v>
      </c>
      <c r="ED430" s="1369">
        <f>IF(HW430=TRUE,CW432,0)</f>
        <v>0</v>
      </c>
      <c r="EE430" s="1370">
        <f>IFERROR(EC430-ED430,0)</f>
        <v>0</v>
      </c>
      <c r="EF430" s="1369">
        <f>IF(HW430=TRUE,DG432,0)</f>
        <v>0</v>
      </c>
      <c r="EG430" s="1369">
        <f>IFERROR(EC430-ED430+EF430,0)</f>
        <v>0</v>
      </c>
      <c r="EH430" s="1373">
        <f>IF(HW430=TRUE,CS432*CU432,0)</f>
        <v>0</v>
      </c>
      <c r="EI430" s="1373">
        <f>IF(HW430=TRUE,DC432*DE432,0)</f>
        <v>0</v>
      </c>
      <c r="EJ430" s="1363">
        <f>AO430</f>
        <v>0</v>
      </c>
      <c r="EK430" s="1376" t="str">
        <f>IFERROR(IF(HW430=TRUE,VLOOKUP(DN430,Lookup!AN$3:AP$16,3,FALSE)*DR430,""),0)</f>
        <v/>
      </c>
      <c r="EL430" s="1376">
        <f>IF(HW430=TRUE,DW430*Lookup!AP$12,0)</f>
        <v>0</v>
      </c>
      <c r="EM430" s="1362">
        <f>IFERROR(IF(HW430=TRUE,EK430/EM$33,0),0)</f>
        <v>0</v>
      </c>
      <c r="EN430" s="1362">
        <f>IF(HW430=TRUE,EL430/EN$33,0)</f>
        <v>0</v>
      </c>
      <c r="EO430" s="1363">
        <f>IF(HW430=TRUE,EQ$33*EM430,0)</f>
        <v>0</v>
      </c>
      <c r="EP430" s="1363">
        <f>IF(HW430=TRUE,EQ$33*EN430,0)</f>
        <v>0</v>
      </c>
      <c r="EQ430" s="1363">
        <f>EO430+EP430</f>
        <v>0</v>
      </c>
      <c r="ES430" s="1403">
        <f>IF(G430="",0,1)</f>
        <v>0</v>
      </c>
      <c r="EU430" s="1410" t="e">
        <f>VLOOKUP(CP432,'Space Table'!$B$3:$L$160,8,FALSE)</f>
        <v>#N/A</v>
      </c>
      <c r="EV430" s="1410" t="e">
        <f>IF(EY430="Yes",VLOOKUP(DD430,Lookup_Control_Type_Table2,4,FALSE),VLOOKUP(DD430,Lookup_Control_Type_Table2,3,FALSE))</f>
        <v>#N/A</v>
      </c>
      <c r="EW430" s="1410" t="e">
        <f>VLOOKUP(DD430,Lookup!AU$3:AV$15,2,FALSE)</f>
        <v>#N/A</v>
      </c>
      <c r="EX430" s="1410" t="e">
        <f>VLOOKUP(EU430,Lookup_Control_Type_Table,2,FALSE)</f>
        <v>#N/A</v>
      </c>
      <c r="EY430" s="1410" t="e">
        <f>VLOOKUP(CP432,'Space Table'!$B$3:$L$160,7,FALSE)</f>
        <v>#N/A</v>
      </c>
      <c r="EZ430" s="1412" t="b">
        <f>ISNUMBER(SEARCH("TLED",U432))</f>
        <v>0</v>
      </c>
      <c r="FB430" s="1365" t="str">
        <f>CONCATENATE(CN430," - ",DD430)</f>
        <v xml:space="preserve"> - 0</v>
      </c>
      <c r="FD430" s="1353" t="str">
        <f>VLOOKUP(CT432,Fixtures!DN$27:EZ$77,38,FALSE)</f>
        <v/>
      </c>
      <c r="FE430" s="1353">
        <f>IFERROR(FD430*EE430,0)</f>
        <v>0</v>
      </c>
      <c r="FF430" s="138"/>
      <c r="FI430" s="1356" t="str">
        <f>IF(CN430="Exterior","Not Daylighted",G433)</f>
        <v>Not Daylighted</v>
      </c>
      <c r="FJ430" s="1356">
        <f>VLOOKUP(FI430,_Daylight_Table_Codes,2,FALSE)</f>
        <v>0</v>
      </c>
      <c r="FK430" s="1365">
        <f>IF(__Retrofit_TI_NC=2,VLOOKUP(G432,'Space Table'!$B$3:$L$160,11,FALSE),AF431)</f>
        <v>0</v>
      </c>
      <c r="FL430" s="1365" t="e">
        <f>VLOOKUP(FK430,_Control_Table,2,FALSE)</f>
        <v>#N/A</v>
      </c>
      <c r="FM430" s="1365" t="e">
        <f>IF(AND(FP430&gt;0,FK430="Occupancy Sensor"),"Daylight + Occupancy",IF(AND(FP430&gt;0,FL430&lt;4),"Interior Daylight Dimming",FK430))</f>
        <v>#N/A</v>
      </c>
      <c r="FO430" s="1364">
        <f>IF(CO430="Interior",VLOOKUP(CP430,Control_Savings_Interior,5,FALSE),0)</f>
        <v>0</v>
      </c>
      <c r="FP430" s="1361">
        <f>IF(CN430="Exterior",0,IF(FJ430=2,0.5,IF(OR(FJ430=1,FJ430=3),1,0)))</f>
        <v>0</v>
      </c>
      <c r="FQ430" s="1366"/>
      <c r="FR430" s="1367"/>
      <c r="FS430" s="1364"/>
      <c r="FT430" s="1367"/>
      <c r="FU430" s="1360"/>
      <c r="FW430" s="1352" t="str">
        <f>IFERROR(VLOOKUP(U431,_Exist_Fixture_Table,3,FALSE),"")</f>
        <v/>
      </c>
      <c r="FX430" s="1352" t="str">
        <f>VLOOKUP(CT430,_Exist_Fixture_Table,4,FALSE)</f>
        <v/>
      </c>
      <c r="FY430" s="1352">
        <f>IFERROR(VLOOKUP(FX430,Lookup!AM$6:AN$8,2,FALSE),0)</f>
        <v>0</v>
      </c>
      <c r="FZ430" s="1352" t="b">
        <f>IFERROR(IF(OR(GB430=4,GB430=5,GB430=6),TRUE,FALSE),"")</f>
        <v>0</v>
      </c>
      <c r="GA430" s="1352" t="str">
        <f>IFERROR(VLOOKUP(GB430,FY$6:FZ$10,2,FALSE),"")</f>
        <v/>
      </c>
      <c r="GB430" s="1352" t="str">
        <f>VLOOKUP(CT432,Fixtures!R$31:Y$78,8,FALSE)</f>
        <v/>
      </c>
      <c r="GC430" s="1352">
        <f>IF(AND(FW430=TRUE,FZ430=TRUE,OR(DN430=12,DN430=13,DN430=14)),FY430+8,0)</f>
        <v>0</v>
      </c>
      <c r="GD430" s="1352" t="b">
        <f>IF(OR(GC430=12,GC430=13,GC430=14),TRUE,FALSE)</f>
        <v>0</v>
      </c>
      <c r="GE430" s="759" t="b">
        <f>IF(ISNUMBER(SEARCH("TLED",U431)),TRUE,FALSE)</f>
        <v>0</v>
      </c>
      <c r="GF430" s="1035" t="str">
        <f>IFERROR(VLOOKUP(U431,Fixtures!BM$93:BR$142,6,FALSE),"")</f>
        <v/>
      </c>
      <c r="GG430" s="1385" t="b">
        <f>IF(OR(GE430=FALSE,GE432=FALSE),TRUE,IF(GF430-GF432&lt;5,FALSE,TRUE))</f>
        <v>1</v>
      </c>
      <c r="GK430" s="1034">
        <f>GL430</f>
        <v>0</v>
      </c>
      <c r="GL430" s="1034">
        <f>IF(G430="",0,1)</f>
        <v>0</v>
      </c>
      <c r="GM430" s="1034">
        <f>SUM(GN430:HB430)</f>
        <v>2</v>
      </c>
      <c r="GN430" s="1034">
        <f>IF(G431="",0,1)</f>
        <v>0</v>
      </c>
      <c r="GO430" s="1034">
        <f>IF(G432="",0,1)</f>
        <v>0</v>
      </c>
      <c r="GP430" s="1034">
        <f>IF(R431="",0,1)</f>
        <v>0</v>
      </c>
      <c r="GQ430" s="1034">
        <f>IF(__Retrofit_TI_NC=0,1,IF(R432="",0,1))</f>
        <v>1</v>
      </c>
      <c r="GR430" s="1034">
        <f>IF(CN430="Exterior",1,IF(G433="",0,1))</f>
        <v>1</v>
      </c>
      <c r="GS430" s="1034">
        <f>IF(__Retrofit_TI_NC&lt;&gt;0,1,IF(T431="",0,1))</f>
        <v>0</v>
      </c>
      <c r="GT430" s="1034">
        <f>IF(__Retrofit_TI_NC&lt;&gt;0,1,IF(U431="",0,1))</f>
        <v>0</v>
      </c>
      <c r="GU430" s="1034">
        <f>IF(T432="",0,1)</f>
        <v>0</v>
      </c>
      <c r="GV430" s="1034">
        <f>IF(U432="",0,1)</f>
        <v>0</v>
      </c>
      <c r="GW430" s="1034">
        <f>IF(__Retrofit_TI_NC=2,1,IF(U433="",0,1))</f>
        <v>0</v>
      </c>
      <c r="GX430" s="1034">
        <f>IF(__Retrofit_TI_NC&lt;&gt;0,1,IF(AE431="",0,1))</f>
        <v>0</v>
      </c>
      <c r="GY430" s="1034">
        <f>IF(__Retrofit_TI_NC&lt;&gt;0,1,IF(AF431="",0,1))</f>
        <v>0</v>
      </c>
      <c r="GZ430" s="1034">
        <f>IF(AE432="",0,1)</f>
        <v>0</v>
      </c>
      <c r="HA430" s="1034">
        <f>IF(AF432="",0,1)</f>
        <v>0</v>
      </c>
      <c r="HB430" s="1034">
        <f>IF(__Retrofit_TI_NC=2,1,IF(AF433="",0,1))</f>
        <v>0</v>
      </c>
      <c r="HV430" s="436"/>
      <c r="HW430" s="1384" t="b">
        <f>IF(OR(HW433=0,HW433=HT$16,HW433=HS$16,HW433=HU$16),TRUE,FALSE)</f>
        <v>0</v>
      </c>
      <c r="HX430" s="1377" t="b">
        <f>HW430</f>
        <v>0</v>
      </c>
      <c r="HY430" s="436"/>
      <c r="HZ430" s="436"/>
      <c r="IA430" s="1386" t="b">
        <f>IF(MAX(GJ433:HP433)&gt;5,FALSE,TRUE)</f>
        <v>0</v>
      </c>
      <c r="IB430" s="1380">
        <f>IF(IA430=TRUE,AC430,0)</f>
        <v>0</v>
      </c>
      <c r="IC430" s="1380">
        <f>IB430-IB432</f>
        <v>0</v>
      </c>
      <c r="IF430" s="1380" t="e">
        <f>ROUND(T431*VLOOKUP(U431,Fixtures_Existing_List,2,FALSE)*N431*R431/1000,0)</f>
        <v>#N/A</v>
      </c>
      <c r="IG430" s="1381" t="e">
        <f>IF430-IF432</f>
        <v>#N/A</v>
      </c>
      <c r="IH430" s="1384" t="e">
        <f>ROUND(IF(CN430="Interior",N432*R432*R431*N431*_C406_reduction/1000,N432*R432*R431*N431/1000),0)</f>
        <v>#N/A</v>
      </c>
      <c r="II430" s="1384" t="e">
        <f>IH430-IH432</f>
        <v>#N/A</v>
      </c>
      <c r="IK430" s="1351" t="e">
        <f>IF($CO430="interior",IL430/2,VLOOKUP($CP430,Control_Savings_Exterior,IK$30,FALSE))</f>
        <v>#N/A</v>
      </c>
      <c r="IL430" s="1351" t="e">
        <f>IF($CO430="interior",VLOOKUP($CP430,Control_Savings_Interior,IL$30,FALSE),VLOOKUP($CP430,Control_Savings_Exterior,IL$30,FALSE))</f>
        <v>#N/A</v>
      </c>
      <c r="IM430" s="1351" t="e">
        <f>IF($CO430="interior",IF(R431&gt;FO$37,(IM$28*(FO$37/R431)),IM$28)*FP430,VLOOKUP($CP430,Control_Savings_Exterior,IM$30,FALSE))</f>
        <v>#N/A</v>
      </c>
      <c r="IN430" s="1351" t="e">
        <f>IF($CO430="interior",ROUND(((1-IL430)*IM430)+IL430,2),VLOOKUP($CP430,Control_Savings_Exterior,IN$30,FALSE))</f>
        <v>#N/A</v>
      </c>
      <c r="IO430" s="1351" t="e">
        <f>IF($CO430="interior", ROUND(((1-IL430)*(IM430*(1-IP$28)))+IP430,2), VLOOKUP($CP430,Control_Savings_Exterior,IO$30,FALSE))</f>
        <v>#N/A</v>
      </c>
      <c r="IP430" s="1351">
        <f>IF($CO430="interior",ROUND(((1-IL430)*IP$28)+IL430,2),0)</f>
        <v>0</v>
      </c>
    </row>
    <row r="431" spans="1:250" s="82" customFormat="1" ht="14.95" customHeight="1" thickTop="1" thickBot="1">
      <c r="B431" s="1421"/>
      <c r="C431" s="1422"/>
      <c r="D431" s="1423"/>
      <c r="E431" s="1393" t="s">
        <v>244</v>
      </c>
      <c r="F431" s="1394"/>
      <c r="G431" s="1395"/>
      <c r="H431" s="1395"/>
      <c r="I431" s="1395"/>
      <c r="J431" s="1395"/>
      <c r="K431" s="1395"/>
      <c r="L431" s="1395"/>
      <c r="M431" s="509" t="e">
        <f>IF(__Retrofit_TI_NC&lt;&gt;0,IF(VLOOKUP(G432,'Space Table'!$B$3:$L$160,3,FALSE)&gt;0,1,0),IF(__Retrofit_TI_NC=VLOOKUP(G432,'Space Table'!$B$3:$L$160,3,FALSE),1,0))</f>
        <v>#N/A</v>
      </c>
      <c r="N431" s="509" t="str">
        <f>IFERROR(VLOOKUP(G431,_Lookup_Heat_Type_Table_New,2,FALSE),"")</f>
        <v/>
      </c>
      <c r="O431" s="509">
        <f>IF(__Retrofit_TI_NC=1,CONCATENATE("TI ",G431),IF(__Retrofit_TI_NC=2,CONCATENATE("NC ",G431),G431))</f>
        <v>0</v>
      </c>
      <c r="P431" s="1396" t="s">
        <v>352</v>
      </c>
      <c r="Q431" s="1396"/>
      <c r="R431" s="673"/>
      <c r="S431" s="1429"/>
      <c r="T431" s="675"/>
      <c r="U431" s="1496"/>
      <c r="V431" s="1497"/>
      <c r="W431" s="1497"/>
      <c r="X431" s="1497"/>
      <c r="Y431" s="1497"/>
      <c r="Z431" s="1497"/>
      <c r="AA431" s="1497"/>
      <c r="AB431" s="1497"/>
      <c r="AC431" s="1497"/>
      <c r="AD431" s="1498"/>
      <c r="AE431" s="675"/>
      <c r="AF431" s="1397"/>
      <c r="AG431" s="1397"/>
      <c r="AH431" s="1397"/>
      <c r="AI431" s="1397"/>
      <c r="AJ431" s="1434"/>
      <c r="AK431" s="1436"/>
      <c r="AL431" s="1438"/>
      <c r="AM431" s="1441"/>
      <c r="AN431" s="1442"/>
      <c r="AO431" s="1447"/>
      <c r="AP431" s="1447"/>
      <c r="AQ431" s="1448"/>
      <c r="AR431" s="1452"/>
      <c r="AS431" s="1455"/>
      <c r="AT431" s="1458"/>
      <c r="AU431" s="516"/>
      <c r="AV431" s="1479"/>
      <c r="AW431" s="1479"/>
      <c r="BC431" s="38"/>
      <c r="BD431" s="38"/>
      <c r="BE431" s="38"/>
      <c r="BF431" s="38"/>
      <c r="BG431" s="38"/>
      <c r="BH431" s="38"/>
      <c r="BI431" s="38"/>
      <c r="BJ431" s="38"/>
      <c r="BK431" s="38"/>
      <c r="BL431" s="38"/>
      <c r="BM431" s="38"/>
      <c r="BN431" s="38"/>
      <c r="BO431" s="38"/>
      <c r="BP431" s="38"/>
      <c r="BQ431" s="38"/>
      <c r="BR431" s="38"/>
      <c r="BS431" s="38"/>
      <c r="BT431" s="38"/>
      <c r="BU431" s="38"/>
      <c r="BV431" s="38"/>
      <c r="BW431" s="38"/>
      <c r="BX431" s="38"/>
      <c r="BY431" s="38"/>
      <c r="BZ431" s="38"/>
      <c r="CA431" s="38"/>
      <c r="CB431" s="38"/>
      <c r="CC431" s="38"/>
      <c r="CD431" s="38"/>
      <c r="CE431" s="38"/>
      <c r="CF431" s="38"/>
      <c r="CG431" s="38"/>
      <c r="CH431" s="38"/>
      <c r="CI431" s="38"/>
      <c r="CM431" s="1352"/>
      <c r="CN431" s="1352"/>
      <c r="CO431" s="1416"/>
      <c r="CP431" s="1418"/>
      <c r="CR431" s="1386"/>
      <c r="CS431" s="1355"/>
      <c r="CT431" s="1355"/>
      <c r="CU431" s="1355"/>
      <c r="CV431" s="1372"/>
      <c r="CW431" s="1372"/>
      <c r="CX431" s="1371"/>
      <c r="CY431" s="1486"/>
      <c r="CZ431" s="1486"/>
      <c r="DA431" s="1486"/>
      <c r="DC431" s="1355"/>
      <c r="DD431" s="1461"/>
      <c r="DE431" s="1355"/>
      <c r="DF431" s="1407"/>
      <c r="DG431" s="1372"/>
      <c r="DH431" s="1369"/>
      <c r="DJ431" s="1484"/>
      <c r="DL431" s="1419"/>
      <c r="DN431" s="1403"/>
      <c r="DO431" s="1405"/>
      <c r="DP431" s="1354"/>
      <c r="DQ431" s="1405"/>
      <c r="DR431" s="1403"/>
      <c r="DS431" s="1489"/>
      <c r="DU431" s="1403"/>
      <c r="DV431" s="1405"/>
      <c r="DW431" s="1403"/>
      <c r="DX431" s="1403"/>
      <c r="DZ431" s="1481"/>
      <c r="EA431" s="1481"/>
      <c r="EC431" s="1482"/>
      <c r="ED431" s="1369"/>
      <c r="EE431" s="1371"/>
      <c r="EF431" s="1369"/>
      <c r="EG431" s="1369"/>
      <c r="EH431" s="1374"/>
      <c r="EI431" s="1374"/>
      <c r="EJ431" s="1363"/>
      <c r="EK431" s="1376"/>
      <c r="EL431" s="1376"/>
      <c r="EM431" s="1362"/>
      <c r="EN431" s="1362"/>
      <c r="EO431" s="1363"/>
      <c r="EP431" s="1363"/>
      <c r="EQ431" s="1363"/>
      <c r="ES431" s="1403"/>
      <c r="EU431" s="1411"/>
      <c r="EV431" s="1411"/>
      <c r="EW431" s="1411"/>
      <c r="EX431" s="1411"/>
      <c r="EY431" s="1411"/>
      <c r="EZ431" s="1413"/>
      <c r="FB431" s="1365"/>
      <c r="FD431" s="1354"/>
      <c r="FE431" s="1354"/>
      <c r="FF431" s="138"/>
      <c r="FI431" s="1357"/>
      <c r="FJ431" s="1357"/>
      <c r="FK431" s="1365"/>
      <c r="FL431" s="1365"/>
      <c r="FM431" s="1365"/>
      <c r="FO431" s="1361"/>
      <c r="FP431" s="1361"/>
      <c r="FQ431" s="1366"/>
      <c r="FR431" s="1368"/>
      <c r="FS431" s="1361"/>
      <c r="FT431" s="1368"/>
      <c r="FU431" s="1360"/>
      <c r="FW431" s="1352"/>
      <c r="FX431" s="1352"/>
      <c r="FY431" s="1352"/>
      <c r="FZ431" s="1352"/>
      <c r="GA431" s="1352"/>
      <c r="GB431" s="1352"/>
      <c r="GC431" s="1352"/>
      <c r="GD431" s="1352"/>
      <c r="GE431" s="759"/>
      <c r="GF431" s="1035"/>
      <c r="GG431" s="1385"/>
      <c r="GI431" s="1384" t="b">
        <f>IF(AND(GL431=TRUE,GM431=TRUE),TRUE,FALSE)</f>
        <v>0</v>
      </c>
      <c r="GJ431" s="1379" t="b">
        <f>IFERROR(IF(__Retrofit_TI_NC=2,TRUE,IF(AR430="Yes",TRUE,FALSE)),FALSE)</f>
        <v>1</v>
      </c>
      <c r="GL431" s="1379" t="b">
        <f>IFERROR(IF(GL430=1,TRUE,FALSE),FALSE)</f>
        <v>0</v>
      </c>
      <c r="GM431" s="1379" t="b">
        <f>IFERROR(IF(GM430=GM$14,TRUE,FALSE),FALSE)</f>
        <v>0</v>
      </c>
      <c r="HC431" s="1379" t="b">
        <f>IFERROR(IF(M431=1,TRUE,FALSE),FALSE)</f>
        <v>0</v>
      </c>
      <c r="HD431" s="1379" t="b">
        <f>IFERROR(IF(M432=1,TRUE,FALSE),FALSE)</f>
        <v>0</v>
      </c>
      <c r="HE431" s="1379" t="b">
        <f>IFERROR(IF(__Retrofit_TI_NC&lt;&gt;0,TRUE,IFERROR(IF(VLOOKUP(U431,Fixtures_Existing_List,2,FALSE)&lt;&gt;"",TRUE,FALSE),FALSE)),FALSE)</f>
        <v>0</v>
      </c>
      <c r="HF431" s="1379" t="b">
        <f>IFERROR(IF(VLOOKUP(U432,Fixtures_Proposed_List,2,FALSE)&lt;&gt;"",TRUE,FALSE),FALSE)</f>
        <v>0</v>
      </c>
      <c r="HG431" s="1379" t="b">
        <f>IF(AND(__Retrofit_TI_NC=2,EZ430=TRUE),FALSE,TRUE)</f>
        <v>1</v>
      </c>
      <c r="HH431" s="1379" t="b">
        <f>GG430</f>
        <v>1</v>
      </c>
      <c r="HI431" s="1384" t="b">
        <f>IF(ISERROR(MATCH(FB430,_Control_Match[],0))=TRUE,FALSE,TRUE)</f>
        <v>0</v>
      </c>
      <c r="HJ431" s="1384" t="b">
        <f>IFERROR(IF(EU430&lt;&gt;EV430,FALSE,TRUE),FALSE)</f>
        <v>0</v>
      </c>
      <c r="HK431" s="1384" t="b">
        <f>IFERROR(IF(EU432&lt;&gt;EV432,FALSE,TRUE),FALSE)</f>
        <v>0</v>
      </c>
      <c r="HL431" s="1379" t="b">
        <f>IFERROR(IF(CN430="Exterior",TRUE,IF(OR(AND(FJ430=0,EW432&gt;4),AND(FJ430=4,EW432&gt;4,EW432&lt;7)),FALSE,TRUE)),FALSE)</f>
        <v>0</v>
      </c>
      <c r="HM431" s="1379" t="b">
        <f>IFERROR(IF(AND(FL432=7,EZ430=TRUE),FALSE,TRUE),FALSE)</f>
        <v>0</v>
      </c>
      <c r="HN431" s="1379" t="b">
        <f>IFERROR(IF(AND(T432&lt;&gt;AE432,AF432="Interior LLLC")=TRUE,FALSE,TRUE),FALSE)</f>
        <v>1</v>
      </c>
      <c r="HO431" s="1379" t="b">
        <f>IFERROR(IF(OR(AF432=Lookup!AU$13,AF432=Lookup!AU$14)=TRUE,IF(AE432&gt;T432,FALSE,TRUE),TRUE),FALSE)</f>
        <v>1</v>
      </c>
      <c r="HP431" s="1379" t="b">
        <f>IFERROR(IF(__Retrofit_TI_NC=2,IF(EW432&lt;EW430,FALSE,TRUE),TRUE),FALSE)</f>
        <v>1</v>
      </c>
      <c r="HQ431" s="1379" t="b">
        <f>IF(CN430="Interior",IG$6,TRUE)</f>
        <v>1</v>
      </c>
      <c r="HR431" s="1379" t="b">
        <f>IF(CN430="Exterior",IG$8,TRUE)</f>
        <v>1</v>
      </c>
      <c r="HS431" s="1379" t="b">
        <f>IFERROR(IF(__Retrofit_TI_NC&lt;&gt;0,IF(AW430&lt;AV430,FALSE,TRUE),TRUE),FALSE)</f>
        <v>1</v>
      </c>
      <c r="HT431" s="1379" t="b">
        <f>IFERROR(IF(AND(G431="Exterior",R431&gt;4200),FALSE,TRUE),FALSE)</f>
        <v>1</v>
      </c>
      <c r="HU431" s="1379" t="b">
        <f>IFERROR(IF(AB433/AB430&lt;HU$18,FALSE,TRUE),FALSE)</f>
        <v>0</v>
      </c>
      <c r="HW431" s="1382"/>
      <c r="HX431" s="1378"/>
      <c r="HY431" s="1377" t="str">
        <f>VLOOKUP(HW433,_Error_Table,4,FALSE)</f>
        <v>White</v>
      </c>
      <c r="HZ431" s="436"/>
      <c r="IA431" s="1386"/>
      <c r="IB431" s="1380"/>
      <c r="IC431" s="1379"/>
      <c r="IF431" s="1380"/>
      <c r="IG431" s="1382"/>
      <c r="IH431" s="1382"/>
      <c r="II431" s="1382"/>
      <c r="IK431" s="1351"/>
      <c r="IL431" s="1351"/>
      <c r="IM431" s="1351"/>
      <c r="IN431" s="1351"/>
      <c r="IO431" s="1351"/>
      <c r="IP431" s="1351"/>
    </row>
    <row r="432" spans="1:250" s="82" customFormat="1" ht="14.95" customHeight="1" thickTop="1" thickBot="1">
      <c r="A432" s="82">
        <f>ROW()</f>
        <v>432</v>
      </c>
      <c r="B432" s="1421"/>
      <c r="C432" s="1422"/>
      <c r="D432" s="1423"/>
      <c r="E432" s="1393" t="s">
        <v>245</v>
      </c>
      <c r="F432" s="1394"/>
      <c r="G432" s="1398"/>
      <c r="H432" s="1399"/>
      <c r="I432" s="1399"/>
      <c r="J432" s="1399"/>
      <c r="K432" s="1399"/>
      <c r="L432" s="1400"/>
      <c r="M432" s="509">
        <f>IFERROR(IF(IF(__Retrofit_TI_NC&lt;&gt;0,IF(CN430="Interior",MATCH(G432,Lookup_Interior_New,0),MATCH(G432,Lookup_Exterior_New,0)),IF(CN430="Interior",MATCH(G432,Lookup_Interior,0),MATCH(G432,Lookup_Exterior_Areas,0)))&gt;0,1,0),0)</f>
        <v>0</v>
      </c>
      <c r="N432" s="509" t="e">
        <f>IF(__Retrofit_TI_NC=1,
VLOOKUP(G432,'Space Table'!$B$3:$L$160,4,FALSE),
IF(__Retrofit_TI_NC=2,VLOOKUP(G432,'Space Table'!$B$3:$L$160,5,FALSE),VLOOKUP(G432,'Space Table'!$B$3:$L$160,5,FALSE)))</f>
        <v>#N/A</v>
      </c>
      <c r="O432" s="509">
        <f>G432</f>
        <v>0</v>
      </c>
      <c r="P432" s="1394" t="s">
        <v>355</v>
      </c>
      <c r="Q432" s="1394"/>
      <c r="R432" s="674"/>
      <c r="S432" s="1401" t="s">
        <v>284</v>
      </c>
      <c r="T432" s="672"/>
      <c r="U432" s="1499"/>
      <c r="V432" s="1500"/>
      <c r="W432" s="1500"/>
      <c r="X432" s="1500"/>
      <c r="Y432" s="1500"/>
      <c r="Z432" s="1500"/>
      <c r="AA432" s="1500"/>
      <c r="AB432" s="1501"/>
      <c r="AC432" s="1501"/>
      <c r="AD432" s="1502"/>
      <c r="AE432" s="672"/>
      <c r="AF432" s="1474"/>
      <c r="AG432" s="1474"/>
      <c r="AH432" s="1474"/>
      <c r="AI432" s="1474"/>
      <c r="AJ432" s="1475">
        <f>DF432</f>
        <v>0</v>
      </c>
      <c r="AK432" s="1470" t="str">
        <f>IFERROR(ROUND(AJ432*AC433,0),"")</f>
        <v/>
      </c>
      <c r="AL432" s="1472">
        <f>IFERROR(IF(HW430=FALSE,0,AC433-AK432),0)</f>
        <v>0</v>
      </c>
      <c r="AM432" s="1441"/>
      <c r="AN432" s="1442"/>
      <c r="AO432" s="1447"/>
      <c r="AP432" s="1447"/>
      <c r="AQ432" s="1448"/>
      <c r="AR432" s="1452"/>
      <c r="AS432" s="1455"/>
      <c r="AT432" s="1458"/>
      <c r="AU432" s="516"/>
      <c r="AV432" s="1479"/>
      <c r="AW432" s="1479"/>
      <c r="BC432" s="38"/>
      <c r="BD432" s="38"/>
      <c r="BE432" s="38"/>
      <c r="BF432" s="38"/>
      <c r="BG432" s="38"/>
      <c r="BH432" s="38"/>
      <c r="BI432" s="38"/>
      <c r="BJ432" s="38"/>
      <c r="BK432" s="38"/>
      <c r="BL432" s="38"/>
      <c r="BM432" s="38"/>
      <c r="BN432" s="38"/>
      <c r="BO432" s="38"/>
      <c r="BP432" s="38"/>
      <c r="BQ432" s="38"/>
      <c r="BR432" s="38"/>
      <c r="BS432" s="38"/>
      <c r="BT432" s="38"/>
      <c r="BU432" s="38"/>
      <c r="BV432" s="38"/>
      <c r="BW432" s="38"/>
      <c r="BX432" s="38"/>
      <c r="BY432" s="38"/>
      <c r="BZ432" s="38"/>
      <c r="CA432" s="38"/>
      <c r="CB432" s="38"/>
      <c r="CC432" s="38"/>
      <c r="CD432" s="38"/>
      <c r="CE432" s="38"/>
      <c r="CF432" s="38"/>
      <c r="CG432" s="38"/>
      <c r="CH432" s="38"/>
      <c r="CI432" s="38"/>
      <c r="CM432" s="1352"/>
      <c r="CN432" s="1352"/>
      <c r="CO432" s="1415" t="str">
        <f>CN430</f>
        <v/>
      </c>
      <c r="CP432" s="1417" t="e">
        <f>CP430</f>
        <v>#N/A</v>
      </c>
      <c r="CR432" s="1386" t="s">
        <v>284</v>
      </c>
      <c r="CS432" s="1353">
        <f>IF(HW430=TRUE,T432,0)</f>
        <v>0</v>
      </c>
      <c r="CT432" s="1353" t="str">
        <f>IF(HW430=TRUE,U432,"")</f>
        <v/>
      </c>
      <c r="CU432" s="1373">
        <f>IF(HW430=TRUE,U433,0)</f>
        <v>0</v>
      </c>
      <c r="CV432" s="1370">
        <f>IF(HW430=TRUE,AB433,0)</f>
        <v>0</v>
      </c>
      <c r="CW432" s="1370">
        <f>IF(HW430=TRUE,AC433,0)</f>
        <v>0</v>
      </c>
      <c r="CX432" s="1371"/>
      <c r="CY432" s="1486"/>
      <c r="CZ432" s="1486"/>
      <c r="DA432" s="1486"/>
      <c r="DC432" s="1353">
        <f>IF(HW430=TRUE,AE432,0)</f>
        <v>0</v>
      </c>
      <c r="DD432" s="1353" t="str">
        <f>IF(HW430=TRUE,AF432,"")</f>
        <v/>
      </c>
      <c r="DE432" s="1373">
        <f>AF433</f>
        <v>0</v>
      </c>
      <c r="DF432" s="1406">
        <f>IFERROR(IF(FL432=3,IK432,IF(FL432=4,IL432,IF(FL432=5,IM432,IF(FL432=6,IN432,IF(FL432=7,IO432,IF(FL432=8,IP432,0)))))),0)</f>
        <v>0</v>
      </c>
      <c r="DG432" s="1370">
        <f>IF(HW430=TRUE,AK432,0)</f>
        <v>0</v>
      </c>
      <c r="DH432" s="1369"/>
      <c r="DK432" s="1483">
        <f>IFERROR(CW432-DG432,0)</f>
        <v>0</v>
      </c>
      <c r="DL432" s="1420"/>
      <c r="DN432" s="1403"/>
      <c r="DO432" s="1477" t="str">
        <f>DN430</f>
        <v/>
      </c>
      <c r="DP432" s="1354"/>
      <c r="DQ432" s="1477" t="str">
        <f>IF(DP430=7,"LLLC","")</f>
        <v/>
      </c>
      <c r="DR432" s="1403"/>
      <c r="DS432" s="1489"/>
      <c r="DU432" s="1403"/>
      <c r="DV432" s="1404" t="str">
        <f>DU430</f>
        <v/>
      </c>
      <c r="DW432" s="1403"/>
      <c r="DX432" s="1403"/>
      <c r="DZ432" s="1481"/>
      <c r="EA432" s="1481"/>
      <c r="EC432" s="1482"/>
      <c r="ED432" s="1369"/>
      <c r="EE432" s="1371"/>
      <c r="EF432" s="1369"/>
      <c r="EG432" s="1369"/>
      <c r="EH432" s="1374"/>
      <c r="EI432" s="1374"/>
      <c r="EJ432" s="1363"/>
      <c r="EK432" s="1376"/>
      <c r="EL432" s="1376"/>
      <c r="EM432" s="1362"/>
      <c r="EN432" s="1362"/>
      <c r="EO432" s="1363"/>
      <c r="EP432" s="1363"/>
      <c r="EQ432" s="1363"/>
      <c r="ES432" s="1403"/>
      <c r="EU432" s="1411" t="e">
        <f>VLOOKUP(CP432,'Space Table'!$B$3:$L$160,8,FALSE)</f>
        <v>#N/A</v>
      </c>
      <c r="EV432" s="1411" t="e">
        <f>IF(EY432="Yes",VLOOKUP(AF432,Lookup_Control_Type_Table2,4,FALSE),VLOOKUP(AF432,Lookup_Control_Type_Table2,3,FALSE))</f>
        <v>#N/A</v>
      </c>
      <c r="EW432" s="1411" t="e">
        <f>VLOOKUP(AF432,Lookup!AU$3:AV$15,2,FALSE)</f>
        <v>#N/A</v>
      </c>
      <c r="EX432" s="1411" t="e">
        <f>VLOOKUP(EU430,Lookup_Control_Type_Table,2,FALSE)</f>
        <v>#N/A</v>
      </c>
      <c r="EY432" s="1411" t="e">
        <f>VLOOKUP(CP432,'Space Table'!$B$3:$L$160,7,FALSE)</f>
        <v>#N/A</v>
      </c>
      <c r="EZ432" s="1413"/>
      <c r="FB432" s="1365" t="str">
        <f>CONCATENATE(CN430," - ",AF432)</f>
        <v xml:space="preserve"> - </v>
      </c>
      <c r="FD432" s="1354"/>
      <c r="FE432" s="1354"/>
      <c r="FF432" s="138"/>
      <c r="FI432" s="1356" t="str">
        <f>IF(CN430="Exterior","Not Daylighted",G433)</f>
        <v>Not Daylighted</v>
      </c>
      <c r="FJ432" s="1356">
        <f>VLOOKUP(FI432,_Daylight_Table_Codes,2,FALSE)</f>
        <v>0</v>
      </c>
      <c r="FK432" s="1365">
        <f>AF432</f>
        <v>0</v>
      </c>
      <c r="FL432" s="1365" t="e">
        <f>VLOOKUP(FK432,_Control_Table,2,FALSE)</f>
        <v>#N/A</v>
      </c>
      <c r="FM432" s="1365" t="e">
        <f>IF(AND(FP432&gt;0,FK432="Occupancy Sensor"),"Daylight + Occupancy",IF(AND(FP432&gt;0,FL432&lt;4),"Interior Daylight Dimming",FK432))</f>
        <v>#N/A</v>
      </c>
      <c r="FO432" s="1364">
        <f>IF(CN430="Interior",VLOOKUP(CP430,Control_Savings_Interior,5,FALSE),0)</f>
        <v>0</v>
      </c>
      <c r="FP432" s="1361">
        <f>IF(CN432="Exterior",0,IF(FJ432=2,0.5,IF(OR(FJ432=1,FJ432=3),1,0)))</f>
        <v>0</v>
      </c>
      <c r="FQ432" s="1366">
        <f>IF(R431&gt;FO$37,(FO432*(FO$37/R431)),FO432)*FP432</f>
        <v>0</v>
      </c>
      <c r="FR432" s="1364">
        <f>DF432</f>
        <v>0</v>
      </c>
      <c r="FS432" s="1364">
        <f>ROUND(FR432+((1-FR432)*FQ432),2)</f>
        <v>0</v>
      </c>
      <c r="FT432" s="1364">
        <f>IF(__Retrofit_TI_NC=2,FS432,FR432)</f>
        <v>0</v>
      </c>
      <c r="FU432" s="1360">
        <f>IF(CO432="Interior",VLOOKUP(CP432,Control_Savings_Interior,4,FALSE),0)</f>
        <v>0</v>
      </c>
      <c r="FW432" s="1352"/>
      <c r="FX432" s="1352"/>
      <c r="FY432" s="1352"/>
      <c r="FZ432" s="1352"/>
      <c r="GA432" s="1352"/>
      <c r="GB432" s="1352"/>
      <c r="GC432" s="1352"/>
      <c r="GD432" s="1352"/>
      <c r="GE432" s="759" t="b">
        <f>IF(ISNUMBER(SEARCH("TLED",U432)),TRUE,FALSE)</f>
        <v>0</v>
      </c>
      <c r="GF432" s="1035" t="str">
        <f>IFERROR(VLOOKUP(U432,Fixtures!DM$93:DR$142,6,FALSE),"")</f>
        <v/>
      </c>
      <c r="GG432" s="1385"/>
      <c r="GI432" s="1383"/>
      <c r="GJ432" s="1379"/>
      <c r="GL432" s="1379"/>
      <c r="GM432" s="1379"/>
      <c r="HC432" s="1379"/>
      <c r="HD432" s="1379"/>
      <c r="HE432" s="1379"/>
      <c r="HF432" s="1379"/>
      <c r="HG432" s="1379"/>
      <c r="HH432" s="1379"/>
      <c r="HI432" s="1383"/>
      <c r="HJ432" s="1383"/>
      <c r="HK432" s="1383"/>
      <c r="HL432" s="1379"/>
      <c r="HM432" s="1379"/>
      <c r="HN432" s="1379"/>
      <c r="HO432" s="1379"/>
      <c r="HP432" s="1379"/>
      <c r="HQ432" s="1379"/>
      <c r="HR432" s="1379"/>
      <c r="HS432" s="1379"/>
      <c r="HT432" s="1379"/>
      <c r="HU432" s="1379"/>
      <c r="HW432" s="1383"/>
      <c r="HX432" s="1384" t="b">
        <f>HW430</f>
        <v>0</v>
      </c>
      <c r="HY432" s="1378"/>
      <c r="HZ432" s="436"/>
      <c r="IA432" s="1386"/>
      <c r="IB432" s="1380">
        <f>IF(IA430=TRUE,AC433,0)</f>
        <v>0</v>
      </c>
      <c r="IC432" s="1379"/>
      <c r="IF432" s="1380" t="e">
        <f>ROUND(T432*AB433*N431*R431/1000,0)</f>
        <v>#VALUE!</v>
      </c>
      <c r="IG432" s="1382"/>
      <c r="IH432" s="1384" t="e">
        <f>ROUND(T432*AB433*N431*R431/1000,0)</f>
        <v>#VALUE!</v>
      </c>
      <c r="II432" s="1382"/>
      <c r="IK432" s="1351" t="e">
        <f>IF($CO432="interior",IL432/2,VLOOKUP($CP432,Control_Savings_Exterior,IK$30,FALSE))</f>
        <v>#N/A</v>
      </c>
      <c r="IL432" s="1351" t="e">
        <f>IF($CO432="interior",VLOOKUP($CP432,Control_Savings_Interior,IL$30,FALSE),VLOOKUP($CP432,Control_Savings_Exterior,IL$30,FALSE))</f>
        <v>#N/A</v>
      </c>
      <c r="IM432" s="1351" t="e">
        <f>IF($CO432="interior",IF(R431&gt;FO$37,(IM$28*(FO$37/R431)),IM$28)*FP432,VLOOKUP($CP432,Control_Savings_Exterior,IM$30,FALSE))</f>
        <v>#N/A</v>
      </c>
      <c r="IN432" s="1351" t="e">
        <f>IF($CO432="interior",ROUND(((1-IL432)*IM432)+IL432,2),VLOOKUP($CP432,Control_Savings_Exterior,IN$30,FALSE))</f>
        <v>#N/A</v>
      </c>
      <c r="IO432" s="1351" t="e">
        <f>IF($CO432="interior", ROUND(((1-IL432)*(IM432*(1-IP$28)))+IP432,2), VLOOKUP($CP432,Control_Savings_Exterior,IO$30,FALSE))</f>
        <v>#N/A</v>
      </c>
      <c r="IP432" s="1351">
        <f>IF($CO432="interior",ROUND(((1-IL432)*IP$28)+IL432,2),0)</f>
        <v>0</v>
      </c>
    </row>
    <row r="433" spans="1:250" s="82" customFormat="1" ht="14.95" customHeight="1" thickTop="1" thickBot="1">
      <c r="B433" s="1421"/>
      <c r="C433" s="1422"/>
      <c r="D433" s="1423"/>
      <c r="E433" s="1462" t="s">
        <v>357</v>
      </c>
      <c r="F433" s="1463"/>
      <c r="G433" s="1464" t="s">
        <v>362</v>
      </c>
      <c r="H433" s="1465"/>
      <c r="I433" s="1465"/>
      <c r="J433" s="1465"/>
      <c r="K433" s="1465"/>
      <c r="L433" s="1466"/>
      <c r="M433" s="669">
        <f>IFERROR(VLOOKUP(G433,_Daylight_Table[],2,FALSE),0)</f>
        <v>0</v>
      </c>
      <c r="N433" s="670"/>
      <c r="O433" s="669" t="e">
        <f>VLOOKUP(G432,'Space Table'!$B$3:$L$160,11,FALSE)</f>
        <v>#N/A</v>
      </c>
      <c r="P433" s="1408"/>
      <c r="Q433" s="1409"/>
      <c r="R433" s="1409"/>
      <c r="S433" s="1402"/>
      <c r="T433" s="671" t="s">
        <v>281</v>
      </c>
      <c r="U433" s="1467" t="str">
        <f>IFERROR(VLOOKUP(U432,Fixtures!DM$93:DP$142,4,FALSE),"")</f>
        <v/>
      </c>
      <c r="V433" s="1468"/>
      <c r="W433" s="1468"/>
      <c r="X433" s="1468"/>
      <c r="Y433" s="1468"/>
      <c r="Z433" s="1468"/>
      <c r="AA433" s="1468"/>
      <c r="AB433" s="1046" t="str">
        <f>IFERROR(VLOOKUP(U432,Fixtures_Proposed_List,2,FALSE),"")</f>
        <v/>
      </c>
      <c r="AC433" s="1036" t="str">
        <f>IFERROR(ROUND(T432*AB433*N431*R431/1000,0),"")</f>
        <v/>
      </c>
      <c r="AD433" s="1037" t="str">
        <f>IFERROR(ROUND(T432*AB433/1000,2),"")</f>
        <v/>
      </c>
      <c r="AE433" s="1045" t="s">
        <v>281</v>
      </c>
      <c r="AF433" s="1469"/>
      <c r="AG433" s="1469"/>
      <c r="AH433" s="1469"/>
      <c r="AI433" s="1469"/>
      <c r="AJ433" s="1476"/>
      <c r="AK433" s="1471"/>
      <c r="AL433" s="1473"/>
      <c r="AM433" s="1443"/>
      <c r="AN433" s="1444"/>
      <c r="AO433" s="1449"/>
      <c r="AP433" s="1449"/>
      <c r="AQ433" s="1450"/>
      <c r="AR433" s="1453"/>
      <c r="AS433" s="1456"/>
      <c r="AT433" s="1459"/>
      <c r="AU433" s="517"/>
      <c r="AV433" s="1480"/>
      <c r="AW433" s="1480"/>
      <c r="BC433" s="38"/>
      <c r="BD433" s="38"/>
      <c r="BE433" s="38"/>
      <c r="BF433" s="38"/>
      <c r="BG433" s="38"/>
      <c r="BH433" s="38"/>
      <c r="BI433" s="38"/>
      <c r="BJ433" s="38"/>
      <c r="BK433" s="38"/>
      <c r="BL433" s="38"/>
      <c r="BM433" s="38"/>
      <c r="BN433" s="38"/>
      <c r="BO433" s="38"/>
      <c r="BP433" s="38"/>
      <c r="BQ433" s="38"/>
      <c r="BR433" s="38"/>
      <c r="BS433" s="38"/>
      <c r="BT433" s="38"/>
      <c r="BU433" s="38"/>
      <c r="BV433" s="38"/>
      <c r="BW433" s="38"/>
      <c r="BX433" s="38"/>
      <c r="BY433" s="38"/>
      <c r="BZ433" s="38"/>
      <c r="CA433" s="38"/>
      <c r="CB433" s="38"/>
      <c r="CC433" s="38"/>
      <c r="CD433" s="38"/>
      <c r="CE433" s="38"/>
      <c r="CF433" s="38"/>
      <c r="CG433" s="38"/>
      <c r="CH433" s="38"/>
      <c r="CI433" s="38"/>
      <c r="CM433" s="1352"/>
      <c r="CN433" s="1352"/>
      <c r="CO433" s="1416"/>
      <c r="CP433" s="1418"/>
      <c r="CR433" s="1386"/>
      <c r="CS433" s="1355"/>
      <c r="CT433" s="1355"/>
      <c r="CU433" s="1375"/>
      <c r="CV433" s="1372"/>
      <c r="CW433" s="1372"/>
      <c r="CX433" s="1372"/>
      <c r="CY433" s="1487"/>
      <c r="CZ433" s="1487"/>
      <c r="DA433" s="1487"/>
      <c r="DC433" s="1355"/>
      <c r="DD433" s="1355"/>
      <c r="DE433" s="1375"/>
      <c r="DF433" s="1407"/>
      <c r="DG433" s="1372"/>
      <c r="DH433" s="1369"/>
      <c r="DK433" s="1484"/>
      <c r="DL433" s="1420"/>
      <c r="DN433" s="1403"/>
      <c r="DO433" s="1405"/>
      <c r="DP433" s="1355"/>
      <c r="DQ433" s="1405"/>
      <c r="DR433" s="1403"/>
      <c r="DS433" s="1489"/>
      <c r="DU433" s="1403"/>
      <c r="DV433" s="1405"/>
      <c r="DW433" s="1403"/>
      <c r="DX433" s="1403"/>
      <c r="DZ433" s="1481"/>
      <c r="EA433" s="1481"/>
      <c r="EC433" s="1482"/>
      <c r="ED433" s="1369"/>
      <c r="EE433" s="1372"/>
      <c r="EF433" s="1369"/>
      <c r="EG433" s="1369"/>
      <c r="EH433" s="1375"/>
      <c r="EI433" s="1375"/>
      <c r="EJ433" s="1363"/>
      <c r="EK433" s="1376"/>
      <c r="EL433" s="1376"/>
      <c r="EM433" s="1362"/>
      <c r="EN433" s="1362"/>
      <c r="EO433" s="1363"/>
      <c r="EP433" s="1363"/>
      <c r="EQ433" s="1363"/>
      <c r="ES433" s="1403"/>
      <c r="EU433" s="1488"/>
      <c r="EV433" s="1488"/>
      <c r="EW433" s="1488"/>
      <c r="EX433" s="1488"/>
      <c r="EY433" s="1488"/>
      <c r="EZ433" s="1414"/>
      <c r="FB433" s="1365"/>
      <c r="FD433" s="1355"/>
      <c r="FE433" s="1355"/>
      <c r="FF433" s="138"/>
      <c r="FI433" s="1357"/>
      <c r="FJ433" s="1357"/>
      <c r="FK433" s="1365"/>
      <c r="FL433" s="1365"/>
      <c r="FM433" s="1365"/>
      <c r="FO433" s="1361"/>
      <c r="FP433" s="1361"/>
      <c r="FQ433" s="1366"/>
      <c r="FR433" s="1361"/>
      <c r="FS433" s="1361"/>
      <c r="FT433" s="1361"/>
      <c r="FU433" s="1360"/>
      <c r="FW433" s="1352"/>
      <c r="FX433" s="1352"/>
      <c r="FY433" s="1352"/>
      <c r="FZ433" s="1352"/>
      <c r="GA433" s="1352"/>
      <c r="GB433" s="1352"/>
      <c r="GC433" s="1352"/>
      <c r="GD433" s="1352"/>
      <c r="GE433" s="759"/>
      <c r="GF433" s="1035"/>
      <c r="GG433" s="1385"/>
      <c r="GJ433" s="1034">
        <f>IF(GJ431=TRUE,0,GJ$16)</f>
        <v>0</v>
      </c>
      <c r="GL433" s="1034">
        <f>IF(GL431=TRUE,0,GL$16)</f>
        <v>36</v>
      </c>
      <c r="GM433" s="1034">
        <f>IF(GM431=TRUE,0,GM$16)</f>
        <v>35</v>
      </c>
      <c r="GN433" s="436"/>
      <c r="GO433" s="436"/>
      <c r="GP433" s="436"/>
      <c r="GQ433" s="436"/>
      <c r="GR433" s="436"/>
      <c r="HC433" s="1034">
        <f t="shared" ref="HC433:HH433" si="314">IF(HC431=TRUE,0,HC$16)</f>
        <v>19</v>
      </c>
      <c r="HD433" s="1034">
        <f t="shared" si="314"/>
        <v>18</v>
      </c>
      <c r="HE433" s="1034">
        <f t="shared" si="314"/>
        <v>17</v>
      </c>
      <c r="HF433" s="1034">
        <f t="shared" si="314"/>
        <v>16</v>
      </c>
      <c r="HG433" s="1034">
        <f t="shared" si="314"/>
        <v>0</v>
      </c>
      <c r="HH433" s="1034">
        <f t="shared" si="314"/>
        <v>0</v>
      </c>
      <c r="HI433" s="1034">
        <f>IF(HI431=TRUE,0,HI$16)</f>
        <v>13</v>
      </c>
      <c r="HJ433" s="1034">
        <f t="shared" ref="HJ433:HL433" si="315">IF(HJ431=TRUE,0,HJ$16)</f>
        <v>12</v>
      </c>
      <c r="HK433" s="1034">
        <f t="shared" si="315"/>
        <v>11</v>
      </c>
      <c r="HL433" s="1034">
        <f t="shared" si="315"/>
        <v>10</v>
      </c>
      <c r="HM433" s="1034">
        <f>IF(HM431=TRUE,0,HM$16)</f>
        <v>9</v>
      </c>
      <c r="HN433" s="1034">
        <f t="shared" ref="HN433:HR433" si="316">IF(HN431=TRUE,0,HN$16)</f>
        <v>0</v>
      </c>
      <c r="HO433" s="1034">
        <f t="shared" si="316"/>
        <v>0</v>
      </c>
      <c r="HP433" s="1034">
        <f t="shared" si="316"/>
        <v>0</v>
      </c>
      <c r="HQ433" s="1034">
        <f t="shared" si="316"/>
        <v>0</v>
      </c>
      <c r="HR433" s="1034">
        <f t="shared" si="316"/>
        <v>0</v>
      </c>
      <c r="HS433" s="1034">
        <f>IF(HS431=TRUE,0,HS$16)</f>
        <v>0</v>
      </c>
      <c r="HT433" s="1034">
        <f t="shared" ref="HT433" si="317">IF(HT431=TRUE,0,HT$16)</f>
        <v>0</v>
      </c>
      <c r="HU433" s="1034">
        <f>IF(HU431=TRUE,0,HU$16)</f>
        <v>1</v>
      </c>
      <c r="HW433" s="1034">
        <f>IF(GL431=FALSE,GL433,IF(GM431=FALSE,GM433,MAX(GJ433:HU433)))</f>
        <v>36</v>
      </c>
      <c r="HX433" s="1383"/>
      <c r="HY433" s="241" t="str">
        <f>VLOOKUP(HW433,_Error_Table,3,FALSE)</f>
        <v xml:space="preserve"> </v>
      </c>
      <c r="HZ433" s="241"/>
      <c r="IA433" s="1386"/>
      <c r="IB433" s="1380"/>
      <c r="IC433" s="1379"/>
      <c r="IF433" s="1380"/>
      <c r="IG433" s="1383"/>
      <c r="IH433" s="1383"/>
      <c r="II433" s="1383"/>
      <c r="IK433" s="1351"/>
      <c r="IL433" s="1351"/>
      <c r="IM433" s="1351"/>
      <c r="IN433" s="1351"/>
      <c r="IO433" s="1351"/>
      <c r="IP433" s="1351"/>
    </row>
    <row r="434" spans="1:250" s="82" customFormat="1" ht="5.0999999999999996" customHeight="1" thickBot="1">
      <c r="B434" s="763"/>
      <c r="C434" s="1038"/>
      <c r="D434" s="1038"/>
      <c r="E434" s="1490"/>
      <c r="F434" s="1490"/>
      <c r="G434" s="1490"/>
      <c r="H434" s="1490"/>
      <c r="I434" s="1490"/>
      <c r="J434" s="1490"/>
      <c r="K434" s="1490"/>
      <c r="L434" s="1490"/>
      <c r="M434" s="1490"/>
      <c r="N434" s="1490"/>
      <c r="O434" s="1490"/>
      <c r="P434" s="1490"/>
      <c r="Q434" s="1490"/>
      <c r="R434" s="1490"/>
      <c r="S434" s="1490"/>
      <c r="T434" s="1490"/>
      <c r="U434" s="1490"/>
      <c r="V434" s="1490"/>
      <c r="W434" s="1490"/>
      <c r="X434" s="1490"/>
      <c r="Y434" s="1490"/>
      <c r="Z434" s="1490"/>
      <c r="AA434" s="1490"/>
      <c r="AB434" s="1490"/>
      <c r="AC434" s="1490"/>
      <c r="AD434" s="1490"/>
      <c r="AE434" s="1490"/>
      <c r="AF434" s="1490"/>
      <c r="AG434" s="1490"/>
      <c r="AH434" s="1490"/>
      <c r="AI434" s="1490"/>
      <c r="AJ434" s="1490"/>
      <c r="AK434" s="1490"/>
      <c r="AL434" s="1490"/>
      <c r="AM434" s="1490"/>
      <c r="AN434" s="1490"/>
      <c r="AO434" s="1490"/>
      <c r="AP434" s="1490"/>
      <c r="AQ434" s="1490"/>
      <c r="AR434" s="1490"/>
      <c r="AS434" s="1490"/>
      <c r="AT434" s="1490"/>
      <c r="AU434" s="1041"/>
      <c r="BC434" s="38"/>
      <c r="BD434" s="38"/>
      <c r="BE434" s="38"/>
      <c r="BF434" s="38"/>
      <c r="BG434" s="38"/>
      <c r="BH434" s="38"/>
      <c r="BI434" s="38"/>
      <c r="BJ434" s="38"/>
      <c r="BK434" s="38"/>
      <c r="BL434" s="38"/>
      <c r="BM434" s="38"/>
      <c r="BN434" s="38"/>
      <c r="BO434" s="38"/>
      <c r="BP434" s="38"/>
      <c r="BQ434" s="38"/>
      <c r="BR434" s="38"/>
      <c r="BS434" s="38"/>
      <c r="BT434" s="38"/>
      <c r="BU434" s="38"/>
      <c r="BV434" s="38"/>
      <c r="BW434" s="38"/>
      <c r="BX434" s="38"/>
      <c r="BY434" s="38"/>
      <c r="BZ434" s="38"/>
      <c r="CA434" s="38"/>
      <c r="CB434" s="38"/>
      <c r="CC434" s="38"/>
      <c r="CD434" s="38"/>
      <c r="CE434" s="38"/>
      <c r="CF434" s="38"/>
      <c r="CG434" s="38"/>
      <c r="CH434" s="38"/>
      <c r="CI434" s="38"/>
      <c r="CM434" s="749"/>
      <c r="CN434" s="749"/>
      <c r="CO434" s="1043"/>
      <c r="CP434" s="749"/>
      <c r="CS434" s="436"/>
      <c r="CT434" s="436"/>
      <c r="CU434" s="243"/>
      <c r="CV434" s="244"/>
      <c r="CW434" s="244"/>
      <c r="CX434" s="244"/>
      <c r="CY434" s="245"/>
      <c r="CZ434" s="245"/>
      <c r="DA434" s="245"/>
      <c r="DC434" s="750"/>
      <c r="DD434" s="751"/>
      <c r="DE434" s="752"/>
      <c r="DF434" s="753"/>
      <c r="DG434" s="754"/>
      <c r="DH434" s="754"/>
      <c r="DK434" s="244"/>
      <c r="DL434" s="750"/>
      <c r="DN434" s="750"/>
      <c r="DO434" s="755"/>
      <c r="DP434" s="436"/>
      <c r="DQ434" s="750"/>
      <c r="DR434" s="750"/>
      <c r="DS434" s="750"/>
      <c r="DU434" s="750"/>
      <c r="DV434" s="750"/>
      <c r="DW434" s="750"/>
      <c r="DX434" s="750"/>
      <c r="DZ434" s="756"/>
      <c r="EA434" s="756"/>
      <c r="EC434" s="754"/>
      <c r="ED434" s="754"/>
      <c r="EE434" s="244"/>
      <c r="EF434" s="754"/>
      <c r="EG434" s="754"/>
      <c r="EH434" s="243"/>
      <c r="EI434" s="243"/>
      <c r="EJ434" s="752"/>
      <c r="EK434" s="757"/>
      <c r="EL434" s="757"/>
      <c r="EM434" s="758"/>
      <c r="EN434" s="758"/>
      <c r="EO434" s="752"/>
      <c r="EP434" s="752"/>
      <c r="EQ434" s="752"/>
      <c r="ES434" s="750"/>
      <c r="EU434" s="436"/>
      <c r="EV434" s="436"/>
      <c r="EW434" s="436"/>
      <c r="EX434" s="436"/>
      <c r="EY434" s="436"/>
      <c r="EZ434" s="436"/>
      <c r="FB434" s="643"/>
      <c r="FD434" s="436"/>
      <c r="FE434" s="436"/>
      <c r="FF434" s="436"/>
      <c r="FO434" s="750"/>
      <c r="FP434" s="436"/>
      <c r="FQ434" s="436"/>
      <c r="FR434" s="750"/>
      <c r="FS434" s="750"/>
      <c r="FW434" s="749"/>
      <c r="FX434" s="749"/>
      <c r="FY434" s="749"/>
      <c r="FZ434" s="749"/>
      <c r="GA434" s="749"/>
      <c r="GB434" s="749"/>
      <c r="GC434" s="749"/>
      <c r="GD434" s="749"/>
      <c r="GE434" s="751"/>
      <c r="GF434" s="750"/>
      <c r="GG434" s="750"/>
    </row>
    <row r="435" spans="1:250" s="82" customFormat="1" ht="14.95" customHeight="1" thickTop="1" thickBot="1">
      <c r="B435" s="1421" t="str">
        <f>HY438</f>
        <v xml:space="preserve"> </v>
      </c>
      <c r="C435" s="1422">
        <f>C430+1</f>
        <v>77</v>
      </c>
      <c r="D435" s="1423"/>
      <c r="E435" s="1424" t="s">
        <v>242</v>
      </c>
      <c r="F435" s="1425"/>
      <c r="G435" s="1426"/>
      <c r="H435" s="1427"/>
      <c r="I435" s="1427"/>
      <c r="J435" s="1427"/>
      <c r="K435" s="1427"/>
      <c r="L435" s="1427"/>
      <c r="M435" s="1427"/>
      <c r="N435" s="1427"/>
      <c r="O435" s="1427"/>
      <c r="P435" s="1427"/>
      <c r="Q435" s="1427"/>
      <c r="R435" s="1427"/>
      <c r="S435" s="1428" t="s">
        <v>283</v>
      </c>
      <c r="T435" s="668" t="s">
        <v>190</v>
      </c>
      <c r="U435" s="1430" t="s">
        <v>186</v>
      </c>
      <c r="V435" s="1431"/>
      <c r="W435" s="1431"/>
      <c r="X435" s="1431"/>
      <c r="Y435" s="1431"/>
      <c r="Z435" s="1431"/>
      <c r="AA435" s="1431"/>
      <c r="AB435" s="1088" t="str">
        <f>IFERROR(IF(__Retrofit_TI_NC=0,VLOOKUP(U436,Fixtures_Existing_List,2,FALSE),ROUND(N437*R437/T437,10)),"")</f>
        <v/>
      </c>
      <c r="AC435" s="1039" t="str">
        <f>IFERROR(IF(__Retrofit_TI_NC=0,ROUND(T436*AB435*N436*R436/1000,0),IF(CN435="Interior",N437*R437*R436*N436*_C406_reduction/1000,N437*R437*R436*N436/1000)),"")</f>
        <v/>
      </c>
      <c r="AD435" s="1040" t="str">
        <f>IFERROR(IF(C$36=0,ROUND(T436*AB435/1000,2),N437*R437/1000),"")</f>
        <v/>
      </c>
      <c r="AE435" s="1044" t="s">
        <v>190</v>
      </c>
      <c r="AF435" s="1432" t="str">
        <f>IF(__Retrofit_TI_NC=2,CONCATENATE("Code min = ",DD435),IF(__Retrofit_TI_NC=1,"Emter what you think the existing control was"," Control"))</f>
        <v xml:space="preserve"> Control</v>
      </c>
      <c r="AG435" s="1432"/>
      <c r="AH435" s="1432"/>
      <c r="AI435" s="1432"/>
      <c r="AJ435" s="1433">
        <f>DF435</f>
        <v>0</v>
      </c>
      <c r="AK435" s="1435" t="str">
        <f>IFERROR(ROUND(AJ435*AC435,0),"")</f>
        <v/>
      </c>
      <c r="AL435" s="1437">
        <f>IFERROR(IF(HW435=FALSE,0,AC435-AK435),0)</f>
        <v>0</v>
      </c>
      <c r="AM435" s="1439">
        <f>AL435-AL437</f>
        <v>0</v>
      </c>
      <c r="AN435" s="1440"/>
      <c r="AO435" s="1445">
        <f>IFERROR(IF(HW435=FALSE,0,(T437*U438)+(AE437*AF438)),0)</f>
        <v>0</v>
      </c>
      <c r="AP435" s="1445"/>
      <c r="AQ435" s="1446"/>
      <c r="AR435" s="1451" t="s">
        <v>157</v>
      </c>
      <c r="AS435" s="1454">
        <f>IF(AR435="Yes",1,0)</f>
        <v>1</v>
      </c>
      <c r="AT435" s="1457" t="str">
        <f>IF(OR(DN435=4,DN435=5,DN435=6,DN435=12),CONCATENATE("$",IF(GD435=TRUE,Lookup!$B$11,Lookup!$B$2)," /lamp"),CONCATENATE(EA435,"/ kWh"))</f>
        <v>0/ kWh</v>
      </c>
      <c r="AU435" s="516"/>
      <c r="AV435" s="1478">
        <f>IFERROR(IF(GI436=TRUE,(AB438*T437)/R437,0),"NA")</f>
        <v>0</v>
      </c>
      <c r="AW435" s="1478" t="str">
        <f>IFERROR(N437*_C406_reduction,"NA")</f>
        <v>NA</v>
      </c>
      <c r="BC435" s="38"/>
      <c r="BD435" s="38"/>
      <c r="BE435" s="38"/>
      <c r="BF435" s="38"/>
      <c r="BG435" s="38"/>
      <c r="BH435" s="38"/>
      <c r="BI435" s="38"/>
      <c r="BJ435" s="38"/>
      <c r="BK435" s="38"/>
      <c r="BL435" s="38"/>
      <c r="BM435" s="38"/>
      <c r="BN435" s="38"/>
      <c r="BO435" s="38"/>
      <c r="BP435" s="38"/>
      <c r="BQ435" s="38"/>
      <c r="BR435" s="38"/>
      <c r="BS435" s="38"/>
      <c r="BT435" s="38"/>
      <c r="BU435" s="38"/>
      <c r="BV435" s="38"/>
      <c r="BW435" s="38"/>
      <c r="BX435" s="38"/>
      <c r="BY435" s="38"/>
      <c r="BZ435" s="38"/>
      <c r="CA435" s="38"/>
      <c r="CB435" s="38"/>
      <c r="CC435" s="38"/>
      <c r="CD435" s="38"/>
      <c r="CE435" s="38"/>
      <c r="CF435" s="38"/>
      <c r="CG435" s="38"/>
      <c r="CH435" s="38"/>
      <c r="CI435" s="38"/>
      <c r="CM435" s="1352" t="str">
        <f>N436</f>
        <v/>
      </c>
      <c r="CN435" s="1352" t="str">
        <f>IFERROR(VLOOKUP(G436,_Lookup_Heat_Type_Table_New,3,FALSE),"")</f>
        <v/>
      </c>
      <c r="CO435" s="1415" t="str">
        <f>CN435</f>
        <v/>
      </c>
      <c r="CP435" s="1417" t="e">
        <f>VLOOKUP(G437,'Space Table'!$B$3:$L$160,9,FALSE)</f>
        <v>#N/A</v>
      </c>
      <c r="CR435" s="1386" t="s">
        <v>283</v>
      </c>
      <c r="CS435" s="1353">
        <f>IF(HW435=TRUE,T436,0)</f>
        <v>0</v>
      </c>
      <c r="CT435" s="1353" t="str">
        <f>IF(HW435=TRUE,U436,"")</f>
        <v/>
      </c>
      <c r="CU435" s="1353"/>
      <c r="CV435" s="1370">
        <f>IF(HW435=TRUE,AB435,0)</f>
        <v>0</v>
      </c>
      <c r="CW435" s="1370">
        <f>IF(HW435=TRUE,AC435,0)</f>
        <v>0</v>
      </c>
      <c r="CX435" s="1370">
        <f>IFERROR(IF(HW435=TRUE,CW435-CW437,0),0)</f>
        <v>0</v>
      </c>
      <c r="CY435" s="1485">
        <f>IF(HW435=TRUE,AD435,0)</f>
        <v>0</v>
      </c>
      <c r="CZ435" s="1485">
        <f>IF(HW435=TRUE,AD438,0)</f>
        <v>0</v>
      </c>
      <c r="DA435" s="1485">
        <f>IFERROR(CY435-CZ435,0)</f>
        <v>0</v>
      </c>
      <c r="DC435" s="1353">
        <f>IF(HW435=TRUE,AE436,0)</f>
        <v>0</v>
      </c>
      <c r="DD435" s="1460">
        <f>IF(__Retrofit_TI_NC=2,IF(CN435="Exterior",O438,FM435),FK435)</f>
        <v>0</v>
      </c>
      <c r="DE435" s="1353"/>
      <c r="DF435" s="1406">
        <f>IFERROR(IF(FL435=3,IK435,IF(FL435=4,IL435,IF(FL435=5,IM435,IF(FL435=6,IN435,IF(FL435=7,IO435,IF(FL435=8,IP435,0)))))),0)</f>
        <v>0</v>
      </c>
      <c r="DG435" s="1370">
        <f>IF(HW435=TRUE,AK435,0)</f>
        <v>0</v>
      </c>
      <c r="DH435" s="1369">
        <f>IFERROR(IF(HW435=TRUE,DG437-DG435,0),0)</f>
        <v>0</v>
      </c>
      <c r="DJ435" s="1483">
        <f>IFERROR(CW435-DG435,0)</f>
        <v>0</v>
      </c>
      <c r="DL435" s="1419">
        <f>DJ435-DK437</f>
        <v>0</v>
      </c>
      <c r="DN435" s="1403" t="str">
        <f>IFERROR(IF(AND(OR(FY435=4,FY435=5,FY435=6),OR(GB435=4,GB435=5,GB435=6)),FY435+8,VLOOKUP(CT437,Fixtures!R$31:Y$78,8,FALSE)),"")</f>
        <v/>
      </c>
      <c r="DO435" s="1404" t="str">
        <f>DN435</f>
        <v/>
      </c>
      <c r="DP435" s="1353" t="str">
        <f>IFERROR(VLOOKUP(DD437,Lookup!AU$3:AV$15,2,FALSE),"")</f>
        <v/>
      </c>
      <c r="DQ435" s="1404" t="str">
        <f>IF(DP435=7,"LLLC","")</f>
        <v/>
      </c>
      <c r="DR435" s="1403">
        <f>IFERROR(IF(OR(DN435=4,DN435=5,DN435=6,DN435=12,DN435=13,DN435=14),VLOOKUP(CT437,Fixtures!DN$27:EG$77,19,FALSE),1)*CS437,0)</f>
        <v>0</v>
      </c>
      <c r="DS435" s="1489">
        <f>IF(DP435=7,IF(DD435=DD437,0,DC437),0)</f>
        <v>0</v>
      </c>
      <c r="DU435" s="1403" t="str">
        <f>IFERROR(IF(EW435&lt;EW437,"Yes","No"),"")</f>
        <v/>
      </c>
      <c r="DV435" s="1404" t="str">
        <f>DU435</f>
        <v/>
      </c>
      <c r="DW435" s="1403">
        <f>IF(DU435="Yes",DC437,0)</f>
        <v>0</v>
      </c>
      <c r="DX435" s="1403">
        <f>DW435-DS435</f>
        <v>0</v>
      </c>
      <c r="DZ435" s="1481">
        <f>IFERROR(VLOOKUP(DN435,Lookup!AN$3:AO$16,2,FALSE),0)</f>
        <v>0</v>
      </c>
      <c r="EA435" s="1481">
        <f>IF(HW435=FALSE,0,IF(DU435="Yes",DZ435+Lookup!B$6,DZ435))</f>
        <v>0</v>
      </c>
      <c r="EC435" s="1482">
        <f>IF(HW435=TRUE,DJ435,0)</f>
        <v>0</v>
      </c>
      <c r="ED435" s="1369">
        <f>IF(HW435=TRUE,CW437,0)</f>
        <v>0</v>
      </c>
      <c r="EE435" s="1370">
        <f>IFERROR(EC435-ED435,0)</f>
        <v>0</v>
      </c>
      <c r="EF435" s="1369">
        <f>IF(HW435=TRUE,DG437,0)</f>
        <v>0</v>
      </c>
      <c r="EG435" s="1369">
        <f>IFERROR(EC435-ED435+EF435,0)</f>
        <v>0</v>
      </c>
      <c r="EH435" s="1373">
        <f>IF(HW435=TRUE,CS437*CU437,0)</f>
        <v>0</v>
      </c>
      <c r="EI435" s="1373">
        <f>IF(HW435=TRUE,DC437*DE437,0)</f>
        <v>0</v>
      </c>
      <c r="EJ435" s="1363">
        <f>AO435</f>
        <v>0</v>
      </c>
      <c r="EK435" s="1376" t="str">
        <f>IFERROR(IF(HW435=TRUE,VLOOKUP(DN435,Lookup!AN$3:AP$16,3,FALSE)*DR435,""),0)</f>
        <v/>
      </c>
      <c r="EL435" s="1376">
        <f>IF(HW435=TRUE,DW435*Lookup!AP$12,0)</f>
        <v>0</v>
      </c>
      <c r="EM435" s="1362">
        <f>IFERROR(IF(HW435=TRUE,EK435/EM$33,0),0)</f>
        <v>0</v>
      </c>
      <c r="EN435" s="1362">
        <f>IF(HW435=TRUE,EL435/EN$33,0)</f>
        <v>0</v>
      </c>
      <c r="EO435" s="1363">
        <f>IF(HW435=TRUE,EQ$33*EM435,0)</f>
        <v>0</v>
      </c>
      <c r="EP435" s="1363">
        <f>IF(HW435=TRUE,EQ$33*EN435,0)</f>
        <v>0</v>
      </c>
      <c r="EQ435" s="1363">
        <f>EO435+EP435</f>
        <v>0</v>
      </c>
      <c r="ES435" s="1403">
        <f>IF(G435="",0,1)</f>
        <v>0</v>
      </c>
      <c r="EU435" s="1410" t="e">
        <f>VLOOKUP(CP437,'Space Table'!$B$3:$L$160,8,FALSE)</f>
        <v>#N/A</v>
      </c>
      <c r="EV435" s="1410" t="e">
        <f>IF(EY435="Yes",VLOOKUP(DD435,Lookup_Control_Type_Table2,4,FALSE),VLOOKUP(DD435,Lookup_Control_Type_Table2,3,FALSE))</f>
        <v>#N/A</v>
      </c>
      <c r="EW435" s="1410" t="e">
        <f>VLOOKUP(DD435,Lookup!AU$3:AV$15,2,FALSE)</f>
        <v>#N/A</v>
      </c>
      <c r="EX435" s="1410" t="e">
        <f>VLOOKUP(EU435,Lookup_Control_Type_Table,2,FALSE)</f>
        <v>#N/A</v>
      </c>
      <c r="EY435" s="1410" t="e">
        <f>VLOOKUP(CP437,'Space Table'!$B$3:$L$160,7,FALSE)</f>
        <v>#N/A</v>
      </c>
      <c r="EZ435" s="1412" t="b">
        <f>ISNUMBER(SEARCH("TLED",U437))</f>
        <v>0</v>
      </c>
      <c r="FB435" s="1365" t="str">
        <f>CONCATENATE(CN435," - ",DD435)</f>
        <v xml:space="preserve"> - 0</v>
      </c>
      <c r="FD435" s="1353" t="str">
        <f>VLOOKUP(CT437,Fixtures!DN$27:EZ$77,38,FALSE)</f>
        <v/>
      </c>
      <c r="FE435" s="1353">
        <f>IFERROR(FD435*EE435,0)</f>
        <v>0</v>
      </c>
      <c r="FF435" s="138"/>
      <c r="FI435" s="1356" t="str">
        <f>IF(CN435="Exterior","Not Daylighted",G438)</f>
        <v>Not Daylighted</v>
      </c>
      <c r="FJ435" s="1356">
        <f>VLOOKUP(FI435,_Daylight_Table_Codes,2,FALSE)</f>
        <v>0</v>
      </c>
      <c r="FK435" s="1365">
        <f>IF(__Retrofit_TI_NC=2,VLOOKUP(G437,'Space Table'!$B$3:$L$160,11,FALSE),AF436)</f>
        <v>0</v>
      </c>
      <c r="FL435" s="1365" t="e">
        <f>VLOOKUP(FK435,_Control_Table,2,FALSE)</f>
        <v>#N/A</v>
      </c>
      <c r="FM435" s="1365" t="e">
        <f>IF(AND(FP435&gt;0,FK435="Occupancy Sensor"),"Daylight + Occupancy",IF(AND(FP435&gt;0,FL435&lt;4),"Interior Daylight Dimming",FK435))</f>
        <v>#N/A</v>
      </c>
      <c r="FO435" s="1364">
        <f>IF(CO435="Interior",VLOOKUP(CP435,Control_Savings_Interior,5,FALSE),0)</f>
        <v>0</v>
      </c>
      <c r="FP435" s="1361">
        <f>IF(CN435="Exterior",0,IF(FJ435=2,0.5,IF(OR(FJ435=1,FJ435=3),1,0)))</f>
        <v>0</v>
      </c>
      <c r="FQ435" s="1366"/>
      <c r="FR435" s="1367"/>
      <c r="FS435" s="1364"/>
      <c r="FT435" s="1367"/>
      <c r="FU435" s="1360"/>
      <c r="FW435" s="1352" t="str">
        <f>IFERROR(VLOOKUP(U436,_Exist_Fixture_Table,3,FALSE),"")</f>
        <v/>
      </c>
      <c r="FX435" s="1352" t="str">
        <f>VLOOKUP(CT435,_Exist_Fixture_Table,4,FALSE)</f>
        <v/>
      </c>
      <c r="FY435" s="1352">
        <f>IFERROR(VLOOKUP(FX435,Lookup!AM$6:AN$8,2,FALSE),0)</f>
        <v>0</v>
      </c>
      <c r="FZ435" s="1352" t="b">
        <f>IFERROR(IF(OR(GB435=4,GB435=5,GB435=6),TRUE,FALSE),"")</f>
        <v>0</v>
      </c>
      <c r="GA435" s="1352" t="str">
        <f>IFERROR(VLOOKUP(GB435,FY$6:FZ$10,2,FALSE),"")</f>
        <v/>
      </c>
      <c r="GB435" s="1352" t="str">
        <f>VLOOKUP(CT437,Fixtures!R$31:Y$78,8,FALSE)</f>
        <v/>
      </c>
      <c r="GC435" s="1352">
        <f>IF(AND(FW435=TRUE,FZ435=TRUE,OR(DN435=12,DN435=13,DN435=14)),FY435+8,0)</f>
        <v>0</v>
      </c>
      <c r="GD435" s="1352" t="b">
        <f>IF(OR(GC435=12,GC435=13,GC435=14),TRUE,FALSE)</f>
        <v>0</v>
      </c>
      <c r="GE435" s="759" t="b">
        <f>IF(ISNUMBER(SEARCH("TLED",U436)),TRUE,FALSE)</f>
        <v>0</v>
      </c>
      <c r="GF435" s="1035" t="str">
        <f>IFERROR(VLOOKUP(U436,Fixtures!BM$93:BR$142,6,FALSE),"")</f>
        <v/>
      </c>
      <c r="GG435" s="1385" t="b">
        <f>IF(OR(GE435=FALSE,GE437=FALSE),TRUE,IF(GF435-GF437&lt;5,FALSE,TRUE))</f>
        <v>1</v>
      </c>
      <c r="GK435" s="1034">
        <f>GL435</f>
        <v>0</v>
      </c>
      <c r="GL435" s="1034">
        <f>IF(G435="",0,1)</f>
        <v>0</v>
      </c>
      <c r="GM435" s="1034">
        <f>SUM(GN435:HB435)</f>
        <v>2</v>
      </c>
      <c r="GN435" s="1034">
        <f>IF(G436="",0,1)</f>
        <v>0</v>
      </c>
      <c r="GO435" s="1034">
        <f>IF(G437="",0,1)</f>
        <v>0</v>
      </c>
      <c r="GP435" s="1034">
        <f>IF(R436="",0,1)</f>
        <v>0</v>
      </c>
      <c r="GQ435" s="1034">
        <f>IF(__Retrofit_TI_NC=0,1,IF(R437="",0,1))</f>
        <v>1</v>
      </c>
      <c r="GR435" s="1034">
        <f>IF(CN435="Exterior",1,IF(G438="",0,1))</f>
        <v>1</v>
      </c>
      <c r="GS435" s="1034">
        <f>IF(__Retrofit_TI_NC&lt;&gt;0,1,IF(T436="",0,1))</f>
        <v>0</v>
      </c>
      <c r="GT435" s="1034">
        <f>IF(__Retrofit_TI_NC&lt;&gt;0,1,IF(U436="",0,1))</f>
        <v>0</v>
      </c>
      <c r="GU435" s="1034">
        <f>IF(T437="",0,1)</f>
        <v>0</v>
      </c>
      <c r="GV435" s="1034">
        <f>IF(U437="",0,1)</f>
        <v>0</v>
      </c>
      <c r="GW435" s="1034">
        <f>IF(__Retrofit_TI_NC=2,1,IF(U438="",0,1))</f>
        <v>0</v>
      </c>
      <c r="GX435" s="1034">
        <f>IF(__Retrofit_TI_NC&lt;&gt;0,1,IF(AE436="",0,1))</f>
        <v>0</v>
      </c>
      <c r="GY435" s="1034">
        <f>IF(__Retrofit_TI_NC&lt;&gt;0,1,IF(AF436="",0,1))</f>
        <v>0</v>
      </c>
      <c r="GZ435" s="1034">
        <f>IF(AE437="",0,1)</f>
        <v>0</v>
      </c>
      <c r="HA435" s="1034">
        <f>IF(AF437="",0,1)</f>
        <v>0</v>
      </c>
      <c r="HB435" s="1034">
        <f>IF(__Retrofit_TI_NC=2,1,IF(AF438="",0,1))</f>
        <v>0</v>
      </c>
      <c r="HV435" s="436"/>
      <c r="HW435" s="1384" t="b">
        <f>IF(OR(HW438=0,HW438=HT$16,HW438=HS$16,HW438=HU$16),TRUE,FALSE)</f>
        <v>0</v>
      </c>
      <c r="HX435" s="1377" t="b">
        <f>HW435</f>
        <v>0</v>
      </c>
      <c r="HY435" s="436"/>
      <c r="HZ435" s="436"/>
      <c r="IA435" s="1386" t="b">
        <f>IF(MAX(GJ438:HP438)&gt;5,FALSE,TRUE)</f>
        <v>0</v>
      </c>
      <c r="IB435" s="1380">
        <f>IF(IA435=TRUE,AC435,0)</f>
        <v>0</v>
      </c>
      <c r="IC435" s="1380">
        <f>IB435-IB437</f>
        <v>0</v>
      </c>
      <c r="IF435" s="1380" t="e">
        <f>ROUND(T436*VLOOKUP(U436,Fixtures_Existing_List,2,FALSE)*N436*R436/1000,0)</f>
        <v>#N/A</v>
      </c>
      <c r="IG435" s="1381" t="e">
        <f>IF435-IF437</f>
        <v>#N/A</v>
      </c>
      <c r="IH435" s="1384" t="e">
        <f>ROUND(IF(CN435="Interior",N437*R437*R436*N436*_C406_reduction/1000,N437*R437*R436*N436/1000),0)</f>
        <v>#N/A</v>
      </c>
      <c r="II435" s="1384" t="e">
        <f>IH435-IH437</f>
        <v>#N/A</v>
      </c>
      <c r="IK435" s="1351" t="e">
        <f>IF($CO435="interior",IL435/2,VLOOKUP($CP435,Control_Savings_Exterior,IK$30,FALSE))</f>
        <v>#N/A</v>
      </c>
      <c r="IL435" s="1351" t="e">
        <f>IF($CO435="interior",VLOOKUP($CP435,Control_Savings_Interior,IL$30,FALSE),VLOOKUP($CP435,Control_Savings_Exterior,IL$30,FALSE))</f>
        <v>#N/A</v>
      </c>
      <c r="IM435" s="1351" t="e">
        <f>IF($CO435="interior",IF(R436&gt;FO$37,(IM$28*(FO$37/R436)),IM$28)*FP435,VLOOKUP($CP435,Control_Savings_Exterior,IM$30,FALSE))</f>
        <v>#N/A</v>
      </c>
      <c r="IN435" s="1351" t="e">
        <f>IF($CO435="interior",ROUND(((1-IL435)*IM435)+IL435,2),VLOOKUP($CP435,Control_Savings_Exterior,IN$30,FALSE))</f>
        <v>#N/A</v>
      </c>
      <c r="IO435" s="1351" t="e">
        <f>IF($CO435="interior", ROUND(((1-IL435)*(IM435*(1-IP$28)))+IP435,2), VLOOKUP($CP435,Control_Savings_Exterior,IO$30,FALSE))</f>
        <v>#N/A</v>
      </c>
      <c r="IP435" s="1351">
        <f>IF($CO435="interior",ROUND(((1-IL435)*IP$28)+IL435,2),0)</f>
        <v>0</v>
      </c>
    </row>
    <row r="436" spans="1:250" s="82" customFormat="1" ht="14.95" customHeight="1" thickTop="1" thickBot="1">
      <c r="B436" s="1421"/>
      <c r="C436" s="1422"/>
      <c r="D436" s="1423"/>
      <c r="E436" s="1393" t="s">
        <v>244</v>
      </c>
      <c r="F436" s="1394"/>
      <c r="G436" s="1395"/>
      <c r="H436" s="1395"/>
      <c r="I436" s="1395"/>
      <c r="J436" s="1395"/>
      <c r="K436" s="1395"/>
      <c r="L436" s="1395"/>
      <c r="M436" s="509" t="e">
        <f>IF(__Retrofit_TI_NC&lt;&gt;0,IF(VLOOKUP(G437,'Space Table'!$B$3:$L$160,3,FALSE)&gt;0,1,0),IF(__Retrofit_TI_NC=VLOOKUP(G437,'Space Table'!$B$3:$L$160,3,FALSE),1,0))</f>
        <v>#N/A</v>
      </c>
      <c r="N436" s="509" t="str">
        <f>IFERROR(VLOOKUP(G436,_Lookup_Heat_Type_Table_New,2,FALSE),"")</f>
        <v/>
      </c>
      <c r="O436" s="509">
        <f>IF(__Retrofit_TI_NC=1,CONCATENATE("TI ",G436),IF(__Retrofit_TI_NC=2,CONCATENATE("NC ",G436),G436))</f>
        <v>0</v>
      </c>
      <c r="P436" s="1396" t="s">
        <v>352</v>
      </c>
      <c r="Q436" s="1396"/>
      <c r="R436" s="673"/>
      <c r="S436" s="1429"/>
      <c r="T436" s="675"/>
      <c r="U436" s="1496"/>
      <c r="V436" s="1497"/>
      <c r="W436" s="1497"/>
      <c r="X436" s="1497"/>
      <c r="Y436" s="1497"/>
      <c r="Z436" s="1497"/>
      <c r="AA436" s="1497"/>
      <c r="AB436" s="1497"/>
      <c r="AC436" s="1497"/>
      <c r="AD436" s="1498"/>
      <c r="AE436" s="675"/>
      <c r="AF436" s="1397"/>
      <c r="AG436" s="1397"/>
      <c r="AH436" s="1397"/>
      <c r="AI436" s="1397"/>
      <c r="AJ436" s="1434"/>
      <c r="AK436" s="1436"/>
      <c r="AL436" s="1438"/>
      <c r="AM436" s="1441"/>
      <c r="AN436" s="1442"/>
      <c r="AO436" s="1447"/>
      <c r="AP436" s="1447"/>
      <c r="AQ436" s="1448"/>
      <c r="AR436" s="1452"/>
      <c r="AS436" s="1455"/>
      <c r="AT436" s="1458"/>
      <c r="AU436" s="516"/>
      <c r="AV436" s="1479"/>
      <c r="AW436" s="1479"/>
      <c r="BC436" s="38"/>
      <c r="BD436" s="38"/>
      <c r="BE436" s="38"/>
      <c r="BF436" s="38"/>
      <c r="BG436" s="38"/>
      <c r="BH436" s="38"/>
      <c r="BI436" s="38"/>
      <c r="BJ436" s="38"/>
      <c r="BK436" s="38"/>
      <c r="BL436" s="38"/>
      <c r="BM436" s="38"/>
      <c r="BN436" s="38"/>
      <c r="BO436" s="38"/>
      <c r="BP436" s="38"/>
      <c r="BQ436" s="38"/>
      <c r="BR436" s="38"/>
      <c r="BS436" s="38"/>
      <c r="BT436" s="38"/>
      <c r="BU436" s="38"/>
      <c r="BV436" s="38"/>
      <c r="BW436" s="38"/>
      <c r="BX436" s="38"/>
      <c r="BY436" s="38"/>
      <c r="BZ436" s="38"/>
      <c r="CA436" s="38"/>
      <c r="CB436" s="38"/>
      <c r="CC436" s="38"/>
      <c r="CD436" s="38"/>
      <c r="CE436" s="38"/>
      <c r="CF436" s="38"/>
      <c r="CG436" s="38"/>
      <c r="CH436" s="38"/>
      <c r="CI436" s="38"/>
      <c r="CM436" s="1352"/>
      <c r="CN436" s="1352"/>
      <c r="CO436" s="1416"/>
      <c r="CP436" s="1418"/>
      <c r="CR436" s="1386"/>
      <c r="CS436" s="1355"/>
      <c r="CT436" s="1355"/>
      <c r="CU436" s="1355"/>
      <c r="CV436" s="1372"/>
      <c r="CW436" s="1372"/>
      <c r="CX436" s="1371"/>
      <c r="CY436" s="1486"/>
      <c r="CZ436" s="1486"/>
      <c r="DA436" s="1486"/>
      <c r="DC436" s="1355"/>
      <c r="DD436" s="1461"/>
      <c r="DE436" s="1355"/>
      <c r="DF436" s="1407"/>
      <c r="DG436" s="1372"/>
      <c r="DH436" s="1369"/>
      <c r="DJ436" s="1484"/>
      <c r="DL436" s="1419"/>
      <c r="DN436" s="1403"/>
      <c r="DO436" s="1405"/>
      <c r="DP436" s="1354"/>
      <c r="DQ436" s="1405"/>
      <c r="DR436" s="1403"/>
      <c r="DS436" s="1489"/>
      <c r="DU436" s="1403"/>
      <c r="DV436" s="1405"/>
      <c r="DW436" s="1403"/>
      <c r="DX436" s="1403"/>
      <c r="DZ436" s="1481"/>
      <c r="EA436" s="1481"/>
      <c r="EC436" s="1482"/>
      <c r="ED436" s="1369"/>
      <c r="EE436" s="1371"/>
      <c r="EF436" s="1369"/>
      <c r="EG436" s="1369"/>
      <c r="EH436" s="1374"/>
      <c r="EI436" s="1374"/>
      <c r="EJ436" s="1363"/>
      <c r="EK436" s="1376"/>
      <c r="EL436" s="1376"/>
      <c r="EM436" s="1362"/>
      <c r="EN436" s="1362"/>
      <c r="EO436" s="1363"/>
      <c r="EP436" s="1363"/>
      <c r="EQ436" s="1363"/>
      <c r="ES436" s="1403"/>
      <c r="EU436" s="1411"/>
      <c r="EV436" s="1411"/>
      <c r="EW436" s="1411"/>
      <c r="EX436" s="1411"/>
      <c r="EY436" s="1411"/>
      <c r="EZ436" s="1413"/>
      <c r="FB436" s="1365"/>
      <c r="FD436" s="1354"/>
      <c r="FE436" s="1354"/>
      <c r="FF436" s="138"/>
      <c r="FI436" s="1357"/>
      <c r="FJ436" s="1357"/>
      <c r="FK436" s="1365"/>
      <c r="FL436" s="1365"/>
      <c r="FM436" s="1365"/>
      <c r="FO436" s="1361"/>
      <c r="FP436" s="1361"/>
      <c r="FQ436" s="1366"/>
      <c r="FR436" s="1368"/>
      <c r="FS436" s="1361"/>
      <c r="FT436" s="1368"/>
      <c r="FU436" s="1360"/>
      <c r="FW436" s="1352"/>
      <c r="FX436" s="1352"/>
      <c r="FY436" s="1352"/>
      <c r="FZ436" s="1352"/>
      <c r="GA436" s="1352"/>
      <c r="GB436" s="1352"/>
      <c r="GC436" s="1352"/>
      <c r="GD436" s="1352"/>
      <c r="GE436" s="759"/>
      <c r="GF436" s="1035"/>
      <c r="GG436" s="1385"/>
      <c r="GI436" s="1384" t="b">
        <f>IF(AND(GL436=TRUE,GM436=TRUE),TRUE,FALSE)</f>
        <v>0</v>
      </c>
      <c r="GJ436" s="1379" t="b">
        <f>IFERROR(IF(__Retrofit_TI_NC=2,TRUE,IF(AR435="Yes",TRUE,FALSE)),FALSE)</f>
        <v>1</v>
      </c>
      <c r="GL436" s="1379" t="b">
        <f>IFERROR(IF(GL435=1,TRUE,FALSE),FALSE)</f>
        <v>0</v>
      </c>
      <c r="GM436" s="1379" t="b">
        <f>IFERROR(IF(GM435=GM$14,TRUE,FALSE),FALSE)</f>
        <v>0</v>
      </c>
      <c r="HC436" s="1379" t="b">
        <f>IFERROR(IF(M436=1,TRUE,FALSE),FALSE)</f>
        <v>0</v>
      </c>
      <c r="HD436" s="1379" t="b">
        <f>IFERROR(IF(M437=1,TRUE,FALSE),FALSE)</f>
        <v>0</v>
      </c>
      <c r="HE436" s="1379" t="b">
        <f>IFERROR(IF(__Retrofit_TI_NC&lt;&gt;0,TRUE,IFERROR(IF(VLOOKUP(U436,Fixtures_Existing_List,2,FALSE)&lt;&gt;"",TRUE,FALSE),FALSE)),FALSE)</f>
        <v>0</v>
      </c>
      <c r="HF436" s="1379" t="b">
        <f>IFERROR(IF(VLOOKUP(U437,Fixtures_Proposed_List,2,FALSE)&lt;&gt;"",TRUE,FALSE),FALSE)</f>
        <v>0</v>
      </c>
      <c r="HG436" s="1379" t="b">
        <f>IF(AND(__Retrofit_TI_NC=2,EZ435=TRUE),FALSE,TRUE)</f>
        <v>1</v>
      </c>
      <c r="HH436" s="1379" t="b">
        <f>GG435</f>
        <v>1</v>
      </c>
      <c r="HI436" s="1384" t="b">
        <f>IF(ISERROR(MATCH(FB435,_Control_Match[],0))=TRUE,FALSE,TRUE)</f>
        <v>0</v>
      </c>
      <c r="HJ436" s="1384" t="b">
        <f>IFERROR(IF(EU435&lt;&gt;EV435,FALSE,TRUE),FALSE)</f>
        <v>0</v>
      </c>
      <c r="HK436" s="1384" t="b">
        <f>IFERROR(IF(EU437&lt;&gt;EV437,FALSE,TRUE),FALSE)</f>
        <v>0</v>
      </c>
      <c r="HL436" s="1379" t="b">
        <f>IFERROR(IF(CN435="Exterior",TRUE,IF(OR(AND(FJ435=0,EW437&gt;4),AND(FJ435=4,EW437&gt;4,EW437&lt;7)),FALSE,TRUE)),FALSE)</f>
        <v>0</v>
      </c>
      <c r="HM436" s="1379" t="b">
        <f>IFERROR(IF(AND(FL437=7,EZ435=TRUE),FALSE,TRUE),FALSE)</f>
        <v>0</v>
      </c>
      <c r="HN436" s="1379" t="b">
        <f>IFERROR(IF(AND(T437&lt;&gt;AE437,AF437="Interior LLLC")=TRUE,FALSE,TRUE),FALSE)</f>
        <v>1</v>
      </c>
      <c r="HO436" s="1379" t="b">
        <f>IFERROR(IF(OR(AF437=Lookup!AU$13,AF437=Lookup!AU$14)=TRUE,IF(AE437&gt;T437,FALSE,TRUE),TRUE),FALSE)</f>
        <v>1</v>
      </c>
      <c r="HP436" s="1379" t="b">
        <f>IFERROR(IF(__Retrofit_TI_NC=2,IF(EW437&lt;EW435,FALSE,TRUE),TRUE),FALSE)</f>
        <v>1</v>
      </c>
      <c r="HQ436" s="1379" t="b">
        <f>IF(CN435="Interior",IG$6,TRUE)</f>
        <v>1</v>
      </c>
      <c r="HR436" s="1379" t="b">
        <f>IF(CN435="Exterior",IG$8,TRUE)</f>
        <v>1</v>
      </c>
      <c r="HS436" s="1379" t="b">
        <f>IFERROR(IF(__Retrofit_TI_NC&lt;&gt;0,IF(AW435&lt;AV435,FALSE,TRUE),TRUE),FALSE)</f>
        <v>1</v>
      </c>
      <c r="HT436" s="1379" t="b">
        <f>IFERROR(IF(AND(G436="Exterior",R436&gt;4200),FALSE,TRUE),FALSE)</f>
        <v>1</v>
      </c>
      <c r="HU436" s="1379" t="b">
        <f>IFERROR(IF(AB438/AB435&lt;HU$18,FALSE,TRUE),FALSE)</f>
        <v>0</v>
      </c>
      <c r="HW436" s="1382"/>
      <c r="HX436" s="1378"/>
      <c r="HY436" s="1377" t="str">
        <f>VLOOKUP(HW438,_Error_Table,4,FALSE)</f>
        <v>White</v>
      </c>
      <c r="HZ436" s="436"/>
      <c r="IA436" s="1386"/>
      <c r="IB436" s="1380"/>
      <c r="IC436" s="1379"/>
      <c r="IF436" s="1380"/>
      <c r="IG436" s="1382"/>
      <c r="IH436" s="1382"/>
      <c r="II436" s="1382"/>
      <c r="IK436" s="1351"/>
      <c r="IL436" s="1351"/>
      <c r="IM436" s="1351"/>
      <c r="IN436" s="1351"/>
      <c r="IO436" s="1351"/>
      <c r="IP436" s="1351"/>
    </row>
    <row r="437" spans="1:250" s="82" customFormat="1" ht="14.95" customHeight="1" thickTop="1" thickBot="1">
      <c r="A437" s="82">
        <f>ROW()</f>
        <v>437</v>
      </c>
      <c r="B437" s="1421"/>
      <c r="C437" s="1422"/>
      <c r="D437" s="1423"/>
      <c r="E437" s="1393" t="s">
        <v>245</v>
      </c>
      <c r="F437" s="1394"/>
      <c r="G437" s="1398"/>
      <c r="H437" s="1399"/>
      <c r="I437" s="1399"/>
      <c r="J437" s="1399"/>
      <c r="K437" s="1399"/>
      <c r="L437" s="1400"/>
      <c r="M437" s="509">
        <f>IFERROR(IF(IF(__Retrofit_TI_NC&lt;&gt;0,IF(CN435="Interior",MATCH(G437,Lookup_Interior_New,0),MATCH(G437,Lookup_Exterior_New,0)),IF(CN435="Interior",MATCH(G437,Lookup_Interior,0),MATCH(G437,Lookup_Exterior_Areas,0)))&gt;0,1,0),0)</f>
        <v>0</v>
      </c>
      <c r="N437" s="509" t="e">
        <f>IF(__Retrofit_TI_NC=1,
VLOOKUP(G437,'Space Table'!$B$3:$L$160,4,FALSE),
IF(__Retrofit_TI_NC=2,VLOOKUP(G437,'Space Table'!$B$3:$L$160,5,FALSE),VLOOKUP(G437,'Space Table'!$B$3:$L$160,5,FALSE)))</f>
        <v>#N/A</v>
      </c>
      <c r="O437" s="509">
        <f>G437</f>
        <v>0</v>
      </c>
      <c r="P437" s="1394" t="s">
        <v>355</v>
      </c>
      <c r="Q437" s="1394"/>
      <c r="R437" s="674"/>
      <c r="S437" s="1401" t="s">
        <v>284</v>
      </c>
      <c r="T437" s="672"/>
      <c r="U437" s="1499"/>
      <c r="V437" s="1500"/>
      <c r="W437" s="1500"/>
      <c r="X437" s="1500"/>
      <c r="Y437" s="1500"/>
      <c r="Z437" s="1500"/>
      <c r="AA437" s="1500"/>
      <c r="AB437" s="1501"/>
      <c r="AC437" s="1501"/>
      <c r="AD437" s="1502"/>
      <c r="AE437" s="672"/>
      <c r="AF437" s="1474"/>
      <c r="AG437" s="1474"/>
      <c r="AH437" s="1474"/>
      <c r="AI437" s="1474"/>
      <c r="AJ437" s="1475">
        <f>DF437</f>
        <v>0</v>
      </c>
      <c r="AK437" s="1470" t="str">
        <f>IFERROR(ROUND(AJ437*AC438,0),"")</f>
        <v/>
      </c>
      <c r="AL437" s="1472">
        <f>IFERROR(IF(HW435=FALSE,0,AC438-AK437),0)</f>
        <v>0</v>
      </c>
      <c r="AM437" s="1441"/>
      <c r="AN437" s="1442"/>
      <c r="AO437" s="1447"/>
      <c r="AP437" s="1447"/>
      <c r="AQ437" s="1448"/>
      <c r="AR437" s="1452"/>
      <c r="AS437" s="1455"/>
      <c r="AT437" s="1458"/>
      <c r="AU437" s="516"/>
      <c r="AV437" s="1479"/>
      <c r="AW437" s="1479"/>
      <c r="BC437" s="38"/>
      <c r="BD437" s="38"/>
      <c r="BE437" s="38"/>
      <c r="BF437" s="38"/>
      <c r="BG437" s="38"/>
      <c r="BH437" s="38"/>
      <c r="BI437" s="38"/>
      <c r="BJ437" s="38"/>
      <c r="BK437" s="38"/>
      <c r="BL437" s="38"/>
      <c r="BM437" s="38"/>
      <c r="BN437" s="38"/>
      <c r="BO437" s="38"/>
      <c r="BP437" s="38"/>
      <c r="BQ437" s="38"/>
      <c r="BR437" s="38"/>
      <c r="BS437" s="38"/>
      <c r="BT437" s="38"/>
      <c r="BU437" s="38"/>
      <c r="BV437" s="38"/>
      <c r="BW437" s="38"/>
      <c r="BX437" s="38"/>
      <c r="BY437" s="38"/>
      <c r="BZ437" s="38"/>
      <c r="CA437" s="38"/>
      <c r="CB437" s="38"/>
      <c r="CC437" s="38"/>
      <c r="CD437" s="38"/>
      <c r="CE437" s="38"/>
      <c r="CF437" s="38"/>
      <c r="CG437" s="38"/>
      <c r="CH437" s="38"/>
      <c r="CI437" s="38"/>
      <c r="CM437" s="1352"/>
      <c r="CN437" s="1352"/>
      <c r="CO437" s="1415" t="str">
        <f>CN435</f>
        <v/>
      </c>
      <c r="CP437" s="1417" t="e">
        <f>CP435</f>
        <v>#N/A</v>
      </c>
      <c r="CR437" s="1386" t="s">
        <v>284</v>
      </c>
      <c r="CS437" s="1353">
        <f>IF(HW435=TRUE,T437,0)</f>
        <v>0</v>
      </c>
      <c r="CT437" s="1353" t="str">
        <f>IF(HW435=TRUE,U437,"")</f>
        <v/>
      </c>
      <c r="CU437" s="1373">
        <f>IF(HW435=TRUE,U438,0)</f>
        <v>0</v>
      </c>
      <c r="CV437" s="1370">
        <f>IF(HW435=TRUE,AB438,0)</f>
        <v>0</v>
      </c>
      <c r="CW437" s="1370">
        <f>IF(HW435=TRUE,AC438,0)</f>
        <v>0</v>
      </c>
      <c r="CX437" s="1371"/>
      <c r="CY437" s="1486"/>
      <c r="CZ437" s="1486"/>
      <c r="DA437" s="1486"/>
      <c r="DC437" s="1353">
        <f>IF(HW435=TRUE,AE437,0)</f>
        <v>0</v>
      </c>
      <c r="DD437" s="1353" t="str">
        <f>IF(HW435=TRUE,AF437,"")</f>
        <v/>
      </c>
      <c r="DE437" s="1373">
        <f>AF438</f>
        <v>0</v>
      </c>
      <c r="DF437" s="1406">
        <f>IFERROR(IF(FL437=3,IK437,IF(FL437=4,IL437,IF(FL437=5,IM437,IF(FL437=6,IN437,IF(FL437=7,IO437,IF(FL437=8,IP437,0)))))),0)</f>
        <v>0</v>
      </c>
      <c r="DG437" s="1370">
        <f>IF(HW435=TRUE,AK437,0)</f>
        <v>0</v>
      </c>
      <c r="DH437" s="1369"/>
      <c r="DK437" s="1483">
        <f>IFERROR(CW437-DG437,0)</f>
        <v>0</v>
      </c>
      <c r="DL437" s="1420"/>
      <c r="DN437" s="1403"/>
      <c r="DO437" s="1477" t="str">
        <f>DN435</f>
        <v/>
      </c>
      <c r="DP437" s="1354"/>
      <c r="DQ437" s="1477" t="str">
        <f>IF(DP435=7,"LLLC","")</f>
        <v/>
      </c>
      <c r="DR437" s="1403"/>
      <c r="DS437" s="1489"/>
      <c r="DU437" s="1403"/>
      <c r="DV437" s="1404" t="str">
        <f>DU435</f>
        <v/>
      </c>
      <c r="DW437" s="1403"/>
      <c r="DX437" s="1403"/>
      <c r="DZ437" s="1481"/>
      <c r="EA437" s="1481"/>
      <c r="EC437" s="1482"/>
      <c r="ED437" s="1369"/>
      <c r="EE437" s="1371"/>
      <c r="EF437" s="1369"/>
      <c r="EG437" s="1369"/>
      <c r="EH437" s="1374"/>
      <c r="EI437" s="1374"/>
      <c r="EJ437" s="1363"/>
      <c r="EK437" s="1376"/>
      <c r="EL437" s="1376"/>
      <c r="EM437" s="1362"/>
      <c r="EN437" s="1362"/>
      <c r="EO437" s="1363"/>
      <c r="EP437" s="1363"/>
      <c r="EQ437" s="1363"/>
      <c r="ES437" s="1403"/>
      <c r="EU437" s="1411" t="e">
        <f>VLOOKUP(CP437,'Space Table'!$B$3:$L$160,8,FALSE)</f>
        <v>#N/A</v>
      </c>
      <c r="EV437" s="1411" t="e">
        <f>IF(EY437="Yes",VLOOKUP(AF437,Lookup_Control_Type_Table2,4,FALSE),VLOOKUP(AF437,Lookup_Control_Type_Table2,3,FALSE))</f>
        <v>#N/A</v>
      </c>
      <c r="EW437" s="1411" t="e">
        <f>VLOOKUP(AF437,Lookup!AU$3:AV$15,2,FALSE)</f>
        <v>#N/A</v>
      </c>
      <c r="EX437" s="1411" t="e">
        <f>VLOOKUP(EU435,Lookup_Control_Type_Table,2,FALSE)</f>
        <v>#N/A</v>
      </c>
      <c r="EY437" s="1411" t="e">
        <f>VLOOKUP(CP437,'Space Table'!$B$3:$L$160,7,FALSE)</f>
        <v>#N/A</v>
      </c>
      <c r="EZ437" s="1413"/>
      <c r="FB437" s="1365" t="str">
        <f>CONCATENATE(CN435," - ",AF437)</f>
        <v xml:space="preserve"> - </v>
      </c>
      <c r="FD437" s="1354"/>
      <c r="FE437" s="1354"/>
      <c r="FF437" s="138"/>
      <c r="FI437" s="1356" t="str">
        <f>IF(CN435="Exterior","Not Daylighted",G438)</f>
        <v>Not Daylighted</v>
      </c>
      <c r="FJ437" s="1356">
        <f>VLOOKUP(FI437,_Daylight_Table_Codes,2,FALSE)</f>
        <v>0</v>
      </c>
      <c r="FK437" s="1365">
        <f>AF437</f>
        <v>0</v>
      </c>
      <c r="FL437" s="1365" t="e">
        <f>VLOOKUP(FK437,_Control_Table,2,FALSE)</f>
        <v>#N/A</v>
      </c>
      <c r="FM437" s="1365" t="e">
        <f>IF(AND(FP437&gt;0,FK437="Occupancy Sensor"),"Daylight + Occupancy",IF(AND(FP437&gt;0,FL437&lt;4),"Interior Daylight Dimming",FK437))</f>
        <v>#N/A</v>
      </c>
      <c r="FO437" s="1364">
        <f>IF(CN435="Interior",VLOOKUP(CP435,Control_Savings_Interior,5,FALSE),0)</f>
        <v>0</v>
      </c>
      <c r="FP437" s="1361">
        <f>IF(CN437="Exterior",0,IF(FJ437=2,0.5,IF(OR(FJ437=1,FJ437=3),1,0)))</f>
        <v>0</v>
      </c>
      <c r="FQ437" s="1366">
        <f>IF(R436&gt;FO$37,(FO437*(FO$37/R436)),FO437)*FP437</f>
        <v>0</v>
      </c>
      <c r="FR437" s="1364">
        <f>DF437</f>
        <v>0</v>
      </c>
      <c r="FS437" s="1364">
        <f>ROUND(FR437+((1-FR437)*FQ437),2)</f>
        <v>0</v>
      </c>
      <c r="FT437" s="1364">
        <f>IF(__Retrofit_TI_NC=2,FS437,FR437)</f>
        <v>0</v>
      </c>
      <c r="FU437" s="1360">
        <f>IF(CO437="Interior",VLOOKUP(CP437,Control_Savings_Interior,4,FALSE),0)</f>
        <v>0</v>
      </c>
      <c r="FW437" s="1352"/>
      <c r="FX437" s="1352"/>
      <c r="FY437" s="1352"/>
      <c r="FZ437" s="1352"/>
      <c r="GA437" s="1352"/>
      <c r="GB437" s="1352"/>
      <c r="GC437" s="1352"/>
      <c r="GD437" s="1352"/>
      <c r="GE437" s="759" t="b">
        <f>IF(ISNUMBER(SEARCH("TLED",U437)),TRUE,FALSE)</f>
        <v>0</v>
      </c>
      <c r="GF437" s="1035" t="str">
        <f>IFERROR(VLOOKUP(U437,Fixtures!DM$93:DR$142,6,FALSE),"")</f>
        <v/>
      </c>
      <c r="GG437" s="1385"/>
      <c r="GI437" s="1383"/>
      <c r="GJ437" s="1379"/>
      <c r="GL437" s="1379"/>
      <c r="GM437" s="1379"/>
      <c r="HC437" s="1379"/>
      <c r="HD437" s="1379"/>
      <c r="HE437" s="1379"/>
      <c r="HF437" s="1379"/>
      <c r="HG437" s="1379"/>
      <c r="HH437" s="1379"/>
      <c r="HI437" s="1383"/>
      <c r="HJ437" s="1383"/>
      <c r="HK437" s="1383"/>
      <c r="HL437" s="1379"/>
      <c r="HM437" s="1379"/>
      <c r="HN437" s="1379"/>
      <c r="HO437" s="1379"/>
      <c r="HP437" s="1379"/>
      <c r="HQ437" s="1379"/>
      <c r="HR437" s="1379"/>
      <c r="HS437" s="1379"/>
      <c r="HT437" s="1379"/>
      <c r="HU437" s="1379"/>
      <c r="HW437" s="1383"/>
      <c r="HX437" s="1384" t="b">
        <f>HW435</f>
        <v>0</v>
      </c>
      <c r="HY437" s="1378"/>
      <c r="HZ437" s="436"/>
      <c r="IA437" s="1386"/>
      <c r="IB437" s="1380">
        <f>IF(IA435=TRUE,AC438,0)</f>
        <v>0</v>
      </c>
      <c r="IC437" s="1379"/>
      <c r="IF437" s="1380" t="e">
        <f>ROUND(T437*AB438*N436*R436/1000,0)</f>
        <v>#VALUE!</v>
      </c>
      <c r="IG437" s="1382"/>
      <c r="IH437" s="1384" t="e">
        <f>ROUND(T437*AB438*N436*R436/1000,0)</f>
        <v>#VALUE!</v>
      </c>
      <c r="II437" s="1382"/>
      <c r="IK437" s="1351" t="e">
        <f>IF($CO437="interior",IL437/2,VLOOKUP($CP437,Control_Savings_Exterior,IK$30,FALSE))</f>
        <v>#N/A</v>
      </c>
      <c r="IL437" s="1351" t="e">
        <f>IF($CO437="interior",VLOOKUP($CP437,Control_Savings_Interior,IL$30,FALSE),VLOOKUP($CP437,Control_Savings_Exterior,IL$30,FALSE))</f>
        <v>#N/A</v>
      </c>
      <c r="IM437" s="1351" t="e">
        <f>IF($CO437="interior",IF(R436&gt;FO$37,(IM$28*(FO$37/R436)),IM$28)*FP437,VLOOKUP($CP437,Control_Savings_Exterior,IM$30,FALSE))</f>
        <v>#N/A</v>
      </c>
      <c r="IN437" s="1351" t="e">
        <f>IF($CO437="interior",ROUND(((1-IL437)*IM437)+IL437,2),VLOOKUP($CP437,Control_Savings_Exterior,IN$30,FALSE))</f>
        <v>#N/A</v>
      </c>
      <c r="IO437" s="1351" t="e">
        <f>IF($CO437="interior", ROUND(((1-IL437)*(IM437*(1-IP$28)))+IP437,2), VLOOKUP($CP437,Control_Savings_Exterior,IO$30,FALSE))</f>
        <v>#N/A</v>
      </c>
      <c r="IP437" s="1351">
        <f>IF($CO437="interior",ROUND(((1-IL437)*IP$28)+IL437,2),0)</f>
        <v>0</v>
      </c>
    </row>
    <row r="438" spans="1:250" s="82" customFormat="1" ht="14.95" customHeight="1" thickTop="1" thickBot="1">
      <c r="B438" s="1421"/>
      <c r="C438" s="1422"/>
      <c r="D438" s="1423"/>
      <c r="E438" s="1462" t="s">
        <v>357</v>
      </c>
      <c r="F438" s="1463"/>
      <c r="G438" s="1464" t="s">
        <v>362</v>
      </c>
      <c r="H438" s="1465"/>
      <c r="I438" s="1465"/>
      <c r="J438" s="1465"/>
      <c r="K438" s="1465"/>
      <c r="L438" s="1466"/>
      <c r="M438" s="669">
        <f>IFERROR(VLOOKUP(G438,_Daylight_Table[],2,FALSE),0)</f>
        <v>0</v>
      </c>
      <c r="N438" s="670"/>
      <c r="O438" s="669" t="e">
        <f>VLOOKUP(G437,'Space Table'!$B$3:$L$160,11,FALSE)</f>
        <v>#N/A</v>
      </c>
      <c r="P438" s="1408"/>
      <c r="Q438" s="1409"/>
      <c r="R438" s="1409"/>
      <c r="S438" s="1402"/>
      <c r="T438" s="671" t="s">
        <v>281</v>
      </c>
      <c r="U438" s="1467" t="str">
        <f>IFERROR(VLOOKUP(U437,Fixtures!DM$93:DP$142,4,FALSE),"")</f>
        <v/>
      </c>
      <c r="V438" s="1468"/>
      <c r="W438" s="1468"/>
      <c r="X438" s="1468"/>
      <c r="Y438" s="1468"/>
      <c r="Z438" s="1468"/>
      <c r="AA438" s="1468"/>
      <c r="AB438" s="1046" t="str">
        <f>IFERROR(VLOOKUP(U437,Fixtures_Proposed_List,2,FALSE),"")</f>
        <v/>
      </c>
      <c r="AC438" s="1036" t="str">
        <f>IFERROR(ROUND(T437*AB438*N436*R436/1000,0),"")</f>
        <v/>
      </c>
      <c r="AD438" s="1037" t="str">
        <f>IFERROR(ROUND(T437*AB438/1000,2),"")</f>
        <v/>
      </c>
      <c r="AE438" s="1045" t="s">
        <v>281</v>
      </c>
      <c r="AF438" s="1469"/>
      <c r="AG438" s="1469"/>
      <c r="AH438" s="1469"/>
      <c r="AI438" s="1469"/>
      <c r="AJ438" s="1476"/>
      <c r="AK438" s="1471"/>
      <c r="AL438" s="1473"/>
      <c r="AM438" s="1443"/>
      <c r="AN438" s="1444"/>
      <c r="AO438" s="1449"/>
      <c r="AP438" s="1449"/>
      <c r="AQ438" s="1450"/>
      <c r="AR438" s="1453"/>
      <c r="AS438" s="1456"/>
      <c r="AT438" s="1459"/>
      <c r="AU438" s="517"/>
      <c r="AV438" s="1480"/>
      <c r="AW438" s="1480"/>
      <c r="BC438" s="38"/>
      <c r="BD438" s="38"/>
      <c r="BE438" s="38"/>
      <c r="BF438" s="38"/>
      <c r="BG438" s="38"/>
      <c r="BH438" s="38"/>
      <c r="BI438" s="38"/>
      <c r="BJ438" s="38"/>
      <c r="BK438" s="38"/>
      <c r="BL438" s="38"/>
      <c r="BM438" s="38"/>
      <c r="BN438" s="38"/>
      <c r="BO438" s="38"/>
      <c r="BP438" s="38"/>
      <c r="BQ438" s="38"/>
      <c r="BR438" s="38"/>
      <c r="BS438" s="38"/>
      <c r="BT438" s="38"/>
      <c r="BU438" s="38"/>
      <c r="BV438" s="38"/>
      <c r="BW438" s="38"/>
      <c r="BX438" s="38"/>
      <c r="BY438" s="38"/>
      <c r="BZ438" s="38"/>
      <c r="CA438" s="38"/>
      <c r="CB438" s="38"/>
      <c r="CC438" s="38"/>
      <c r="CD438" s="38"/>
      <c r="CE438" s="38"/>
      <c r="CF438" s="38"/>
      <c r="CG438" s="38"/>
      <c r="CH438" s="38"/>
      <c r="CI438" s="38"/>
      <c r="CM438" s="1352"/>
      <c r="CN438" s="1352"/>
      <c r="CO438" s="1416"/>
      <c r="CP438" s="1418"/>
      <c r="CR438" s="1386"/>
      <c r="CS438" s="1355"/>
      <c r="CT438" s="1355"/>
      <c r="CU438" s="1375"/>
      <c r="CV438" s="1372"/>
      <c r="CW438" s="1372"/>
      <c r="CX438" s="1372"/>
      <c r="CY438" s="1487"/>
      <c r="CZ438" s="1487"/>
      <c r="DA438" s="1487"/>
      <c r="DC438" s="1355"/>
      <c r="DD438" s="1355"/>
      <c r="DE438" s="1375"/>
      <c r="DF438" s="1407"/>
      <c r="DG438" s="1372"/>
      <c r="DH438" s="1369"/>
      <c r="DK438" s="1484"/>
      <c r="DL438" s="1420"/>
      <c r="DN438" s="1403"/>
      <c r="DO438" s="1405"/>
      <c r="DP438" s="1355"/>
      <c r="DQ438" s="1405"/>
      <c r="DR438" s="1403"/>
      <c r="DS438" s="1489"/>
      <c r="DU438" s="1403"/>
      <c r="DV438" s="1405"/>
      <c r="DW438" s="1403"/>
      <c r="DX438" s="1403"/>
      <c r="DZ438" s="1481"/>
      <c r="EA438" s="1481"/>
      <c r="EC438" s="1482"/>
      <c r="ED438" s="1369"/>
      <c r="EE438" s="1372"/>
      <c r="EF438" s="1369"/>
      <c r="EG438" s="1369"/>
      <c r="EH438" s="1375"/>
      <c r="EI438" s="1375"/>
      <c r="EJ438" s="1363"/>
      <c r="EK438" s="1376"/>
      <c r="EL438" s="1376"/>
      <c r="EM438" s="1362"/>
      <c r="EN438" s="1362"/>
      <c r="EO438" s="1363"/>
      <c r="EP438" s="1363"/>
      <c r="EQ438" s="1363"/>
      <c r="ES438" s="1403"/>
      <c r="EU438" s="1488"/>
      <c r="EV438" s="1488"/>
      <c r="EW438" s="1488"/>
      <c r="EX438" s="1488"/>
      <c r="EY438" s="1488"/>
      <c r="EZ438" s="1414"/>
      <c r="FB438" s="1365"/>
      <c r="FD438" s="1355"/>
      <c r="FE438" s="1355"/>
      <c r="FF438" s="138"/>
      <c r="FI438" s="1357"/>
      <c r="FJ438" s="1357"/>
      <c r="FK438" s="1365"/>
      <c r="FL438" s="1365"/>
      <c r="FM438" s="1365"/>
      <c r="FO438" s="1361"/>
      <c r="FP438" s="1361"/>
      <c r="FQ438" s="1366"/>
      <c r="FR438" s="1361"/>
      <c r="FS438" s="1361"/>
      <c r="FT438" s="1361"/>
      <c r="FU438" s="1360"/>
      <c r="FW438" s="1352"/>
      <c r="FX438" s="1352"/>
      <c r="FY438" s="1352"/>
      <c r="FZ438" s="1352"/>
      <c r="GA438" s="1352"/>
      <c r="GB438" s="1352"/>
      <c r="GC438" s="1352"/>
      <c r="GD438" s="1352"/>
      <c r="GE438" s="759"/>
      <c r="GF438" s="1035"/>
      <c r="GG438" s="1385"/>
      <c r="GJ438" s="1034">
        <f>IF(GJ436=TRUE,0,GJ$16)</f>
        <v>0</v>
      </c>
      <c r="GL438" s="1034">
        <f>IF(GL436=TRUE,0,GL$16)</f>
        <v>36</v>
      </c>
      <c r="GM438" s="1034">
        <f>IF(GM436=TRUE,0,GM$16)</f>
        <v>35</v>
      </c>
      <c r="GN438" s="436"/>
      <c r="GO438" s="436"/>
      <c r="GP438" s="436"/>
      <c r="GQ438" s="436"/>
      <c r="GR438" s="436"/>
      <c r="HC438" s="1034">
        <f t="shared" ref="HC438:HH438" si="318">IF(HC436=TRUE,0,HC$16)</f>
        <v>19</v>
      </c>
      <c r="HD438" s="1034">
        <f t="shared" si="318"/>
        <v>18</v>
      </c>
      <c r="HE438" s="1034">
        <f t="shared" si="318"/>
        <v>17</v>
      </c>
      <c r="HF438" s="1034">
        <f t="shared" si="318"/>
        <v>16</v>
      </c>
      <c r="HG438" s="1034">
        <f t="shared" si="318"/>
        <v>0</v>
      </c>
      <c r="HH438" s="1034">
        <f t="shared" si="318"/>
        <v>0</v>
      </c>
      <c r="HI438" s="1034">
        <f>IF(HI436=TRUE,0,HI$16)</f>
        <v>13</v>
      </c>
      <c r="HJ438" s="1034">
        <f t="shared" ref="HJ438:HL438" si="319">IF(HJ436=TRUE,0,HJ$16)</f>
        <v>12</v>
      </c>
      <c r="HK438" s="1034">
        <f t="shared" si="319"/>
        <v>11</v>
      </c>
      <c r="HL438" s="1034">
        <f t="shared" si="319"/>
        <v>10</v>
      </c>
      <c r="HM438" s="1034">
        <f>IF(HM436=TRUE,0,HM$16)</f>
        <v>9</v>
      </c>
      <c r="HN438" s="1034">
        <f t="shared" ref="HN438:HR438" si="320">IF(HN436=TRUE,0,HN$16)</f>
        <v>0</v>
      </c>
      <c r="HO438" s="1034">
        <f t="shared" si="320"/>
        <v>0</v>
      </c>
      <c r="HP438" s="1034">
        <f t="shared" si="320"/>
        <v>0</v>
      </c>
      <c r="HQ438" s="1034">
        <f t="shared" si="320"/>
        <v>0</v>
      </c>
      <c r="HR438" s="1034">
        <f t="shared" si="320"/>
        <v>0</v>
      </c>
      <c r="HS438" s="1034">
        <f>IF(HS436=TRUE,0,HS$16)</f>
        <v>0</v>
      </c>
      <c r="HT438" s="1034">
        <f t="shared" ref="HT438" si="321">IF(HT436=TRUE,0,HT$16)</f>
        <v>0</v>
      </c>
      <c r="HU438" s="1034">
        <f>IF(HU436=TRUE,0,HU$16)</f>
        <v>1</v>
      </c>
      <c r="HW438" s="1034">
        <f>IF(GL436=FALSE,GL438,IF(GM436=FALSE,GM438,MAX(GJ438:HU438)))</f>
        <v>36</v>
      </c>
      <c r="HX438" s="1383"/>
      <c r="HY438" s="241" t="str">
        <f>VLOOKUP(HW438,_Error_Table,3,FALSE)</f>
        <v xml:space="preserve"> </v>
      </c>
      <c r="HZ438" s="241"/>
      <c r="IA438" s="1386"/>
      <c r="IB438" s="1380"/>
      <c r="IC438" s="1379"/>
      <c r="IF438" s="1380"/>
      <c r="IG438" s="1383"/>
      <c r="IH438" s="1383"/>
      <c r="II438" s="1383"/>
      <c r="IK438" s="1351"/>
      <c r="IL438" s="1351"/>
      <c r="IM438" s="1351"/>
      <c r="IN438" s="1351"/>
      <c r="IO438" s="1351"/>
      <c r="IP438" s="1351"/>
    </row>
    <row r="439" spans="1:250" s="82" customFormat="1" ht="5.0999999999999996" customHeight="1" thickBot="1">
      <c r="B439" s="763"/>
      <c r="C439" s="1038"/>
      <c r="D439" s="1038"/>
      <c r="E439" s="1490"/>
      <c r="F439" s="1490"/>
      <c r="G439" s="1490"/>
      <c r="H439" s="1490"/>
      <c r="I439" s="1490"/>
      <c r="J439" s="1490"/>
      <c r="K439" s="1490"/>
      <c r="L439" s="1490"/>
      <c r="M439" s="1490"/>
      <c r="N439" s="1490"/>
      <c r="O439" s="1490"/>
      <c r="P439" s="1490"/>
      <c r="Q439" s="1490"/>
      <c r="R439" s="1490"/>
      <c r="S439" s="1490"/>
      <c r="T439" s="1490"/>
      <c r="U439" s="1490"/>
      <c r="V439" s="1490"/>
      <c r="W439" s="1490"/>
      <c r="X439" s="1490"/>
      <c r="Y439" s="1490"/>
      <c r="Z439" s="1490"/>
      <c r="AA439" s="1490"/>
      <c r="AB439" s="1490"/>
      <c r="AC439" s="1490"/>
      <c r="AD439" s="1490"/>
      <c r="AE439" s="1490"/>
      <c r="AF439" s="1490"/>
      <c r="AG439" s="1490"/>
      <c r="AH439" s="1490"/>
      <c r="AI439" s="1490"/>
      <c r="AJ439" s="1490"/>
      <c r="AK439" s="1490"/>
      <c r="AL439" s="1490"/>
      <c r="AM439" s="1490"/>
      <c r="AN439" s="1490"/>
      <c r="AO439" s="1490"/>
      <c r="AP439" s="1490"/>
      <c r="AQ439" s="1490"/>
      <c r="AR439" s="1490"/>
      <c r="AS439" s="1490"/>
      <c r="AT439" s="1490"/>
      <c r="AU439" s="1041"/>
      <c r="BC439" s="38"/>
      <c r="BD439" s="38"/>
      <c r="BE439" s="38"/>
      <c r="BF439" s="38"/>
      <c r="BG439" s="38"/>
      <c r="BH439" s="38"/>
      <c r="BI439" s="38"/>
      <c r="BJ439" s="38"/>
      <c r="BK439" s="38"/>
      <c r="BL439" s="38"/>
      <c r="BM439" s="38"/>
      <c r="BN439" s="38"/>
      <c r="BO439" s="38"/>
      <c r="BP439" s="38"/>
      <c r="BQ439" s="38"/>
      <c r="BR439" s="38"/>
      <c r="BS439" s="38"/>
      <c r="BT439" s="38"/>
      <c r="BU439" s="38"/>
      <c r="BV439" s="38"/>
      <c r="BW439" s="38"/>
      <c r="BX439" s="38"/>
      <c r="BY439" s="38"/>
      <c r="BZ439" s="38"/>
      <c r="CA439" s="38"/>
      <c r="CB439" s="38"/>
      <c r="CC439" s="38"/>
      <c r="CD439" s="38"/>
      <c r="CE439" s="38"/>
      <c r="CF439" s="38"/>
      <c r="CG439" s="38"/>
      <c r="CH439" s="38"/>
      <c r="CI439" s="38"/>
      <c r="CM439" s="749"/>
      <c r="CN439" s="749"/>
      <c r="CO439" s="1043"/>
      <c r="CP439" s="749"/>
      <c r="CS439" s="436"/>
      <c r="CT439" s="436"/>
      <c r="CU439" s="243"/>
      <c r="CV439" s="244"/>
      <c r="CW439" s="244"/>
      <c r="CX439" s="244"/>
      <c r="CY439" s="245"/>
      <c r="CZ439" s="245"/>
      <c r="DA439" s="245"/>
      <c r="DC439" s="750"/>
      <c r="DD439" s="751"/>
      <c r="DE439" s="752"/>
      <c r="DF439" s="753"/>
      <c r="DG439" s="754"/>
      <c r="DH439" s="754"/>
      <c r="DK439" s="244"/>
      <c r="DL439" s="750"/>
      <c r="DN439" s="750"/>
      <c r="DO439" s="755"/>
      <c r="DP439" s="436"/>
      <c r="DQ439" s="750"/>
      <c r="DR439" s="750"/>
      <c r="DS439" s="750"/>
      <c r="DU439" s="750"/>
      <c r="DV439" s="750"/>
      <c r="DW439" s="750"/>
      <c r="DX439" s="750"/>
      <c r="DZ439" s="756"/>
      <c r="EA439" s="756"/>
      <c r="EC439" s="754"/>
      <c r="ED439" s="754"/>
      <c r="EE439" s="244"/>
      <c r="EF439" s="754"/>
      <c r="EG439" s="754"/>
      <c r="EH439" s="243"/>
      <c r="EI439" s="243"/>
      <c r="EJ439" s="752"/>
      <c r="EK439" s="757"/>
      <c r="EL439" s="757"/>
      <c r="EM439" s="758"/>
      <c r="EN439" s="758"/>
      <c r="EO439" s="752"/>
      <c r="EP439" s="752"/>
      <c r="EQ439" s="752"/>
      <c r="ES439" s="750"/>
      <c r="EU439" s="436"/>
      <c r="EV439" s="436"/>
      <c r="EW439" s="436"/>
      <c r="EX439" s="436"/>
      <c r="EY439" s="436"/>
      <c r="EZ439" s="436"/>
      <c r="FB439" s="643"/>
      <c r="FD439" s="436"/>
      <c r="FE439" s="436"/>
      <c r="FF439" s="436"/>
      <c r="FO439" s="750"/>
      <c r="FP439" s="436"/>
      <c r="FQ439" s="436"/>
      <c r="FR439" s="750"/>
      <c r="FS439" s="750"/>
      <c r="FW439" s="749"/>
      <c r="FX439" s="749"/>
      <c r="FY439" s="749"/>
      <c r="FZ439" s="749"/>
      <c r="GA439" s="749"/>
      <c r="GB439" s="749"/>
      <c r="GC439" s="749"/>
      <c r="GD439" s="749"/>
      <c r="GE439" s="751"/>
      <c r="GF439" s="750"/>
      <c r="GG439" s="750"/>
    </row>
    <row r="440" spans="1:250" s="82" customFormat="1" ht="14.95" customHeight="1" thickTop="1" thickBot="1">
      <c r="B440" s="1421" t="str">
        <f>HY443</f>
        <v xml:space="preserve"> </v>
      </c>
      <c r="C440" s="1422">
        <f>C435+1</f>
        <v>78</v>
      </c>
      <c r="D440" s="1423"/>
      <c r="E440" s="1424" t="s">
        <v>242</v>
      </c>
      <c r="F440" s="1425"/>
      <c r="G440" s="1426"/>
      <c r="H440" s="1427"/>
      <c r="I440" s="1427"/>
      <c r="J440" s="1427"/>
      <c r="K440" s="1427"/>
      <c r="L440" s="1427"/>
      <c r="M440" s="1427"/>
      <c r="N440" s="1427"/>
      <c r="O440" s="1427"/>
      <c r="P440" s="1427"/>
      <c r="Q440" s="1427"/>
      <c r="R440" s="1427"/>
      <c r="S440" s="1428" t="s">
        <v>283</v>
      </c>
      <c r="T440" s="668" t="s">
        <v>190</v>
      </c>
      <c r="U440" s="1430" t="s">
        <v>186</v>
      </c>
      <c r="V440" s="1431"/>
      <c r="W440" s="1431"/>
      <c r="X440" s="1431"/>
      <c r="Y440" s="1431"/>
      <c r="Z440" s="1431"/>
      <c r="AA440" s="1431"/>
      <c r="AB440" s="1088" t="str">
        <f>IFERROR(IF(__Retrofit_TI_NC=0,VLOOKUP(U441,Fixtures_Existing_List,2,FALSE),ROUND(N442*R442/T442,10)),"")</f>
        <v/>
      </c>
      <c r="AC440" s="1039" t="str">
        <f>IFERROR(IF(__Retrofit_TI_NC=0,ROUND(T441*AB440*N441*R441/1000,0),IF(CN440="Interior",N442*R442*R441*N441*_C406_reduction/1000,N442*R442*R441*N441/1000)),"")</f>
        <v/>
      </c>
      <c r="AD440" s="1040" t="str">
        <f>IFERROR(IF(C$36=0,ROUND(T441*AB440/1000,2),N442*R442/1000),"")</f>
        <v/>
      </c>
      <c r="AE440" s="1044" t="s">
        <v>190</v>
      </c>
      <c r="AF440" s="1432" t="str">
        <f>IF(__Retrofit_TI_NC=2,CONCATENATE("Code min = ",DD440),IF(__Retrofit_TI_NC=1,"Emter what you think the existing control was"," Control"))</f>
        <v xml:space="preserve"> Control</v>
      </c>
      <c r="AG440" s="1432"/>
      <c r="AH440" s="1432"/>
      <c r="AI440" s="1432"/>
      <c r="AJ440" s="1433">
        <f>DF440</f>
        <v>0</v>
      </c>
      <c r="AK440" s="1435" t="str">
        <f>IFERROR(ROUND(AJ440*AC440,0),"")</f>
        <v/>
      </c>
      <c r="AL440" s="1437">
        <f>IFERROR(IF(HW440=FALSE,0,AC440-AK440),0)</f>
        <v>0</v>
      </c>
      <c r="AM440" s="1439">
        <f>AL440-AL442</f>
        <v>0</v>
      </c>
      <c r="AN440" s="1440"/>
      <c r="AO440" s="1445">
        <f>IFERROR(IF(HW440=FALSE,0,(T442*U443)+(AE442*AF443)),0)</f>
        <v>0</v>
      </c>
      <c r="AP440" s="1445"/>
      <c r="AQ440" s="1446"/>
      <c r="AR440" s="1451" t="s">
        <v>157</v>
      </c>
      <c r="AS440" s="1454">
        <f>IF(AR440="Yes",1,0)</f>
        <v>1</v>
      </c>
      <c r="AT440" s="1457" t="str">
        <f>IF(OR(DN440=4,DN440=5,DN440=6,DN440=12),CONCATENATE("$",IF(GD440=TRUE,Lookup!$B$11,Lookup!$B$2)," /lamp"),CONCATENATE(EA440,"/ kWh"))</f>
        <v>0/ kWh</v>
      </c>
      <c r="AU440" s="516"/>
      <c r="AV440" s="1478">
        <f>IFERROR(IF(GI441=TRUE,(AB443*T442)/R442,0),"NA")</f>
        <v>0</v>
      </c>
      <c r="AW440" s="1478" t="str">
        <f>IFERROR(N442*_C406_reduction,"NA")</f>
        <v>NA</v>
      </c>
      <c r="BC440" s="38"/>
      <c r="BD440" s="38"/>
      <c r="BE440" s="38"/>
      <c r="BF440" s="38"/>
      <c r="BG440" s="38"/>
      <c r="BH440" s="38"/>
      <c r="BI440" s="38"/>
      <c r="BJ440" s="38"/>
      <c r="BK440" s="38"/>
      <c r="BL440" s="38"/>
      <c r="BM440" s="38"/>
      <c r="BN440" s="38"/>
      <c r="BO440" s="38"/>
      <c r="BP440" s="38"/>
      <c r="BQ440" s="38"/>
      <c r="BR440" s="38"/>
      <c r="BS440" s="38"/>
      <c r="BT440" s="38"/>
      <c r="BU440" s="38"/>
      <c r="BV440" s="38"/>
      <c r="BW440" s="38"/>
      <c r="BX440" s="38"/>
      <c r="BY440" s="38"/>
      <c r="BZ440" s="38"/>
      <c r="CA440" s="38"/>
      <c r="CB440" s="38"/>
      <c r="CC440" s="38"/>
      <c r="CD440" s="38"/>
      <c r="CE440" s="38"/>
      <c r="CF440" s="38"/>
      <c r="CG440" s="38"/>
      <c r="CH440" s="38"/>
      <c r="CI440" s="38"/>
      <c r="CM440" s="1352" t="str">
        <f>N441</f>
        <v/>
      </c>
      <c r="CN440" s="1352" t="str">
        <f>IFERROR(VLOOKUP(G441,_Lookup_Heat_Type_Table_New,3,FALSE),"")</f>
        <v/>
      </c>
      <c r="CO440" s="1415" t="str">
        <f>CN440</f>
        <v/>
      </c>
      <c r="CP440" s="1417" t="e">
        <f>VLOOKUP(G442,'Space Table'!$B$3:$L$160,9,FALSE)</f>
        <v>#N/A</v>
      </c>
      <c r="CR440" s="1386" t="s">
        <v>283</v>
      </c>
      <c r="CS440" s="1353">
        <f>IF(HW440=TRUE,T441,0)</f>
        <v>0</v>
      </c>
      <c r="CT440" s="1353" t="str">
        <f>IF(HW440=TRUE,U441,"")</f>
        <v/>
      </c>
      <c r="CU440" s="1353"/>
      <c r="CV440" s="1370">
        <f>IF(HW440=TRUE,AB440,0)</f>
        <v>0</v>
      </c>
      <c r="CW440" s="1370">
        <f>IF(HW440=TRUE,AC440,0)</f>
        <v>0</v>
      </c>
      <c r="CX440" s="1370">
        <f>IFERROR(IF(HW440=TRUE,CW440-CW442,0),0)</f>
        <v>0</v>
      </c>
      <c r="CY440" s="1485">
        <f>IF(HW440=TRUE,AD440,0)</f>
        <v>0</v>
      </c>
      <c r="CZ440" s="1485">
        <f>IF(HW440=TRUE,AD443,0)</f>
        <v>0</v>
      </c>
      <c r="DA440" s="1485">
        <f>IFERROR(CY440-CZ440,0)</f>
        <v>0</v>
      </c>
      <c r="DC440" s="1353">
        <f>IF(HW440=TRUE,AE441,0)</f>
        <v>0</v>
      </c>
      <c r="DD440" s="1460">
        <f>IF(__Retrofit_TI_NC=2,IF(CN440="Exterior",O443,FM440),FK440)</f>
        <v>0</v>
      </c>
      <c r="DE440" s="1353"/>
      <c r="DF440" s="1406">
        <f>IFERROR(IF(FL440=3,IK440,IF(FL440=4,IL440,IF(FL440=5,IM440,IF(FL440=6,IN440,IF(FL440=7,IO440,IF(FL440=8,IP440,0)))))),0)</f>
        <v>0</v>
      </c>
      <c r="DG440" s="1370">
        <f>IF(HW440=TRUE,AK440,0)</f>
        <v>0</v>
      </c>
      <c r="DH440" s="1369">
        <f>IFERROR(IF(HW440=TRUE,DG442-DG440,0),0)</f>
        <v>0</v>
      </c>
      <c r="DJ440" s="1483">
        <f>IFERROR(CW440-DG440,0)</f>
        <v>0</v>
      </c>
      <c r="DL440" s="1419">
        <f>DJ440-DK442</f>
        <v>0</v>
      </c>
      <c r="DN440" s="1403" t="str">
        <f>IFERROR(IF(AND(OR(FY440=4,FY440=5,FY440=6),OR(GB440=4,GB440=5,GB440=6)),FY440+8,VLOOKUP(CT442,Fixtures!R$31:Y$78,8,FALSE)),"")</f>
        <v/>
      </c>
      <c r="DO440" s="1404" t="str">
        <f>DN440</f>
        <v/>
      </c>
      <c r="DP440" s="1353" t="str">
        <f>IFERROR(VLOOKUP(DD442,Lookup!AU$3:AV$15,2,FALSE),"")</f>
        <v/>
      </c>
      <c r="DQ440" s="1404" t="str">
        <f>IF(DP440=7,"LLLC","")</f>
        <v/>
      </c>
      <c r="DR440" s="1403">
        <f>IFERROR(IF(OR(DN440=4,DN440=5,DN440=6,DN440=12,DN440=13,DN440=14),VLOOKUP(CT442,Fixtures!DN$27:EG$77,19,FALSE),1)*CS442,0)</f>
        <v>0</v>
      </c>
      <c r="DS440" s="1489">
        <f>IF(DP440=7,IF(DD440=DD442,0,DC442),0)</f>
        <v>0</v>
      </c>
      <c r="DU440" s="1403" t="str">
        <f>IFERROR(IF(EW440&lt;EW442,"Yes","No"),"")</f>
        <v/>
      </c>
      <c r="DV440" s="1404" t="str">
        <f>DU440</f>
        <v/>
      </c>
      <c r="DW440" s="1403">
        <f>IF(DU440="Yes",DC442,0)</f>
        <v>0</v>
      </c>
      <c r="DX440" s="1403">
        <f>DW440-DS440</f>
        <v>0</v>
      </c>
      <c r="DZ440" s="1481">
        <f>IFERROR(VLOOKUP(DN440,Lookup!AN$3:AO$16,2,FALSE),0)</f>
        <v>0</v>
      </c>
      <c r="EA440" s="1481">
        <f>IF(HW440=FALSE,0,IF(DU440="Yes",DZ440+Lookup!B$6,DZ440))</f>
        <v>0</v>
      </c>
      <c r="EC440" s="1482">
        <f>IF(HW440=TRUE,DJ440,0)</f>
        <v>0</v>
      </c>
      <c r="ED440" s="1369">
        <f>IF(HW440=TRUE,CW442,0)</f>
        <v>0</v>
      </c>
      <c r="EE440" s="1370">
        <f>IFERROR(EC440-ED440,0)</f>
        <v>0</v>
      </c>
      <c r="EF440" s="1369">
        <f>IF(HW440=TRUE,DG442,0)</f>
        <v>0</v>
      </c>
      <c r="EG440" s="1369">
        <f>IFERROR(EC440-ED440+EF440,0)</f>
        <v>0</v>
      </c>
      <c r="EH440" s="1373">
        <f>IF(HW440=TRUE,CS442*CU442,0)</f>
        <v>0</v>
      </c>
      <c r="EI440" s="1373">
        <f>IF(HW440=TRUE,DC442*DE442,0)</f>
        <v>0</v>
      </c>
      <c r="EJ440" s="1363">
        <f>AO440</f>
        <v>0</v>
      </c>
      <c r="EK440" s="1376" t="str">
        <f>IFERROR(IF(HW440=TRUE,VLOOKUP(DN440,Lookup!AN$3:AP$16,3,FALSE)*DR440,""),0)</f>
        <v/>
      </c>
      <c r="EL440" s="1376">
        <f>IF(HW440=TRUE,DW440*Lookup!AP$12,0)</f>
        <v>0</v>
      </c>
      <c r="EM440" s="1362">
        <f>IFERROR(IF(HW440=TRUE,EK440/EM$33,0),0)</f>
        <v>0</v>
      </c>
      <c r="EN440" s="1362">
        <f>IF(HW440=TRUE,EL440/EN$33,0)</f>
        <v>0</v>
      </c>
      <c r="EO440" s="1363">
        <f>IF(HW440=TRUE,EQ$33*EM440,0)</f>
        <v>0</v>
      </c>
      <c r="EP440" s="1363">
        <f>IF(HW440=TRUE,EQ$33*EN440,0)</f>
        <v>0</v>
      </c>
      <c r="EQ440" s="1363">
        <f>EO440+EP440</f>
        <v>0</v>
      </c>
      <c r="ES440" s="1403">
        <f>IF(G440="",0,1)</f>
        <v>0</v>
      </c>
      <c r="EU440" s="1410" t="e">
        <f>VLOOKUP(CP442,'Space Table'!$B$3:$L$160,8,FALSE)</f>
        <v>#N/A</v>
      </c>
      <c r="EV440" s="1410" t="e">
        <f>IF(EY440="Yes",VLOOKUP(DD440,Lookup_Control_Type_Table2,4,FALSE),VLOOKUP(DD440,Lookup_Control_Type_Table2,3,FALSE))</f>
        <v>#N/A</v>
      </c>
      <c r="EW440" s="1410" t="e">
        <f>VLOOKUP(DD440,Lookup!AU$3:AV$15,2,FALSE)</f>
        <v>#N/A</v>
      </c>
      <c r="EX440" s="1410" t="e">
        <f>VLOOKUP(EU440,Lookup_Control_Type_Table,2,FALSE)</f>
        <v>#N/A</v>
      </c>
      <c r="EY440" s="1410" t="e">
        <f>VLOOKUP(CP442,'Space Table'!$B$3:$L$160,7,FALSE)</f>
        <v>#N/A</v>
      </c>
      <c r="EZ440" s="1412" t="b">
        <f>ISNUMBER(SEARCH("TLED",U442))</f>
        <v>0</v>
      </c>
      <c r="FB440" s="1365" t="str">
        <f>CONCATENATE(CN440," - ",DD440)</f>
        <v xml:space="preserve"> - 0</v>
      </c>
      <c r="FD440" s="1353" t="str">
        <f>VLOOKUP(CT442,Fixtures!DN$27:EZ$77,38,FALSE)</f>
        <v/>
      </c>
      <c r="FE440" s="1353">
        <f>IFERROR(FD440*EE440,0)</f>
        <v>0</v>
      </c>
      <c r="FF440" s="138"/>
      <c r="FI440" s="1356" t="str">
        <f>IF(CN440="Exterior","Not Daylighted",G443)</f>
        <v>Not Daylighted</v>
      </c>
      <c r="FJ440" s="1356">
        <f>VLOOKUP(FI440,_Daylight_Table_Codes,2,FALSE)</f>
        <v>0</v>
      </c>
      <c r="FK440" s="1365">
        <f>IF(__Retrofit_TI_NC=2,VLOOKUP(G442,'Space Table'!$B$3:$L$160,11,FALSE),AF441)</f>
        <v>0</v>
      </c>
      <c r="FL440" s="1365" t="e">
        <f>VLOOKUP(FK440,_Control_Table,2,FALSE)</f>
        <v>#N/A</v>
      </c>
      <c r="FM440" s="1365" t="e">
        <f>IF(AND(FP440&gt;0,FK440="Occupancy Sensor"),"Daylight + Occupancy",IF(AND(FP440&gt;0,FL440&lt;4),"Interior Daylight Dimming",FK440))</f>
        <v>#N/A</v>
      </c>
      <c r="FO440" s="1364">
        <f>IF(CO440="Interior",VLOOKUP(CP440,Control_Savings_Interior,5,FALSE),0)</f>
        <v>0</v>
      </c>
      <c r="FP440" s="1361">
        <f>IF(CN440="Exterior",0,IF(FJ440=2,0.5,IF(OR(FJ440=1,FJ440=3),1,0)))</f>
        <v>0</v>
      </c>
      <c r="FQ440" s="1366"/>
      <c r="FR440" s="1367"/>
      <c r="FS440" s="1364"/>
      <c r="FT440" s="1367"/>
      <c r="FU440" s="1360"/>
      <c r="FW440" s="1352" t="str">
        <f>IFERROR(VLOOKUP(U441,_Exist_Fixture_Table,3,FALSE),"")</f>
        <v/>
      </c>
      <c r="FX440" s="1352" t="str">
        <f>VLOOKUP(CT440,_Exist_Fixture_Table,4,FALSE)</f>
        <v/>
      </c>
      <c r="FY440" s="1352">
        <f>IFERROR(VLOOKUP(FX440,Lookup!AM$6:AN$8,2,FALSE),0)</f>
        <v>0</v>
      </c>
      <c r="FZ440" s="1352" t="b">
        <f>IFERROR(IF(OR(GB440=4,GB440=5,GB440=6),TRUE,FALSE),"")</f>
        <v>0</v>
      </c>
      <c r="GA440" s="1352" t="str">
        <f>IFERROR(VLOOKUP(GB440,FY$6:FZ$10,2,FALSE),"")</f>
        <v/>
      </c>
      <c r="GB440" s="1352" t="str">
        <f>VLOOKUP(CT442,Fixtures!R$31:Y$78,8,FALSE)</f>
        <v/>
      </c>
      <c r="GC440" s="1352">
        <f>IF(AND(FW440=TRUE,FZ440=TRUE,OR(DN440=12,DN440=13,DN440=14)),FY440+8,0)</f>
        <v>0</v>
      </c>
      <c r="GD440" s="1352" t="b">
        <f>IF(OR(GC440=12,GC440=13,GC440=14),TRUE,FALSE)</f>
        <v>0</v>
      </c>
      <c r="GE440" s="759" t="b">
        <f>IF(ISNUMBER(SEARCH("TLED",U441)),TRUE,FALSE)</f>
        <v>0</v>
      </c>
      <c r="GF440" s="1035" t="str">
        <f>IFERROR(VLOOKUP(U441,Fixtures!BM$93:BR$142,6,FALSE),"")</f>
        <v/>
      </c>
      <c r="GG440" s="1385" t="b">
        <f>IF(OR(GE440=FALSE,GE442=FALSE),TRUE,IF(GF440-GF442&lt;5,FALSE,TRUE))</f>
        <v>1</v>
      </c>
      <c r="GK440" s="1034">
        <f>GL440</f>
        <v>0</v>
      </c>
      <c r="GL440" s="1034">
        <f>IF(G440="",0,1)</f>
        <v>0</v>
      </c>
      <c r="GM440" s="1034">
        <f>SUM(GN440:HB440)</f>
        <v>2</v>
      </c>
      <c r="GN440" s="1034">
        <f>IF(G441="",0,1)</f>
        <v>0</v>
      </c>
      <c r="GO440" s="1034">
        <f>IF(G442="",0,1)</f>
        <v>0</v>
      </c>
      <c r="GP440" s="1034">
        <f>IF(R441="",0,1)</f>
        <v>0</v>
      </c>
      <c r="GQ440" s="1034">
        <f>IF(__Retrofit_TI_NC=0,1,IF(R442="",0,1))</f>
        <v>1</v>
      </c>
      <c r="GR440" s="1034">
        <f>IF(CN440="Exterior",1,IF(G443="",0,1))</f>
        <v>1</v>
      </c>
      <c r="GS440" s="1034">
        <f>IF(__Retrofit_TI_NC&lt;&gt;0,1,IF(T441="",0,1))</f>
        <v>0</v>
      </c>
      <c r="GT440" s="1034">
        <f>IF(__Retrofit_TI_NC&lt;&gt;0,1,IF(U441="",0,1))</f>
        <v>0</v>
      </c>
      <c r="GU440" s="1034">
        <f>IF(T442="",0,1)</f>
        <v>0</v>
      </c>
      <c r="GV440" s="1034">
        <f>IF(U442="",0,1)</f>
        <v>0</v>
      </c>
      <c r="GW440" s="1034">
        <f>IF(__Retrofit_TI_NC=2,1,IF(U443="",0,1))</f>
        <v>0</v>
      </c>
      <c r="GX440" s="1034">
        <f>IF(__Retrofit_TI_NC&lt;&gt;0,1,IF(AE441="",0,1))</f>
        <v>0</v>
      </c>
      <c r="GY440" s="1034">
        <f>IF(__Retrofit_TI_NC&lt;&gt;0,1,IF(AF441="",0,1))</f>
        <v>0</v>
      </c>
      <c r="GZ440" s="1034">
        <f>IF(AE442="",0,1)</f>
        <v>0</v>
      </c>
      <c r="HA440" s="1034">
        <f>IF(AF442="",0,1)</f>
        <v>0</v>
      </c>
      <c r="HB440" s="1034">
        <f>IF(__Retrofit_TI_NC=2,1,IF(AF443="",0,1))</f>
        <v>0</v>
      </c>
      <c r="HV440" s="436"/>
      <c r="HW440" s="1384" t="b">
        <f>IF(OR(HW443=0,HW443=HT$16,HW443=HS$16,HW443=HU$16),TRUE,FALSE)</f>
        <v>0</v>
      </c>
      <c r="HX440" s="1377" t="b">
        <f>HW440</f>
        <v>0</v>
      </c>
      <c r="HY440" s="436"/>
      <c r="HZ440" s="436"/>
      <c r="IA440" s="1386" t="b">
        <f>IF(MAX(GJ443:HP443)&gt;5,FALSE,TRUE)</f>
        <v>0</v>
      </c>
      <c r="IB440" s="1380">
        <f>IF(IA440=TRUE,AC440,0)</f>
        <v>0</v>
      </c>
      <c r="IC440" s="1380">
        <f>IB440-IB442</f>
        <v>0</v>
      </c>
      <c r="IF440" s="1380" t="e">
        <f>ROUND(T441*VLOOKUP(U441,Fixtures_Existing_List,2,FALSE)*N441*R441/1000,0)</f>
        <v>#N/A</v>
      </c>
      <c r="IG440" s="1381" t="e">
        <f>IF440-IF442</f>
        <v>#N/A</v>
      </c>
      <c r="IH440" s="1384" t="e">
        <f>ROUND(IF(CN440="Interior",N442*R442*R441*N441*_C406_reduction/1000,N442*R442*R441*N441/1000),0)</f>
        <v>#N/A</v>
      </c>
      <c r="II440" s="1384" t="e">
        <f>IH440-IH442</f>
        <v>#N/A</v>
      </c>
      <c r="IK440" s="1351" t="e">
        <f>IF($CO440="interior",IL440/2,VLOOKUP($CP440,Control_Savings_Exterior,IK$30,FALSE))</f>
        <v>#N/A</v>
      </c>
      <c r="IL440" s="1351" t="e">
        <f>IF($CO440="interior",VLOOKUP($CP440,Control_Savings_Interior,IL$30,FALSE),VLOOKUP($CP440,Control_Savings_Exterior,IL$30,FALSE))</f>
        <v>#N/A</v>
      </c>
      <c r="IM440" s="1351" t="e">
        <f>IF($CO440="interior",IF(R441&gt;FO$37,(IM$28*(FO$37/R441)),IM$28)*FP440,VLOOKUP($CP440,Control_Savings_Exterior,IM$30,FALSE))</f>
        <v>#N/A</v>
      </c>
      <c r="IN440" s="1351" t="e">
        <f>IF($CO440="interior",ROUND(((1-IL440)*IM440)+IL440,2),VLOOKUP($CP440,Control_Savings_Exterior,IN$30,FALSE))</f>
        <v>#N/A</v>
      </c>
      <c r="IO440" s="1351" t="e">
        <f>IF($CO440="interior", ROUND(((1-IL440)*(IM440*(1-IP$28)))+IP440,2), VLOOKUP($CP440,Control_Savings_Exterior,IO$30,FALSE))</f>
        <v>#N/A</v>
      </c>
      <c r="IP440" s="1351">
        <f>IF($CO440="interior",ROUND(((1-IL440)*IP$28)+IL440,2),0)</f>
        <v>0</v>
      </c>
    </row>
    <row r="441" spans="1:250" s="82" customFormat="1" ht="14.95" customHeight="1" thickTop="1" thickBot="1">
      <c r="B441" s="1421"/>
      <c r="C441" s="1422"/>
      <c r="D441" s="1423"/>
      <c r="E441" s="1393" t="s">
        <v>244</v>
      </c>
      <c r="F441" s="1394"/>
      <c r="G441" s="1395"/>
      <c r="H441" s="1395"/>
      <c r="I441" s="1395"/>
      <c r="J441" s="1395"/>
      <c r="K441" s="1395"/>
      <c r="L441" s="1395"/>
      <c r="M441" s="509" t="e">
        <f>IF(__Retrofit_TI_NC&lt;&gt;0,IF(VLOOKUP(G442,'Space Table'!$B$3:$L$160,3,FALSE)&gt;0,1,0),IF(__Retrofit_TI_NC=VLOOKUP(G442,'Space Table'!$B$3:$L$160,3,FALSE),1,0))</f>
        <v>#N/A</v>
      </c>
      <c r="N441" s="509" t="str">
        <f>IFERROR(VLOOKUP(G441,_Lookup_Heat_Type_Table_New,2,FALSE),"")</f>
        <v/>
      </c>
      <c r="O441" s="509">
        <f>IF(__Retrofit_TI_NC=1,CONCATENATE("TI ",G441),IF(__Retrofit_TI_NC=2,CONCATENATE("NC ",G441),G441))</f>
        <v>0</v>
      </c>
      <c r="P441" s="1396" t="s">
        <v>352</v>
      </c>
      <c r="Q441" s="1396"/>
      <c r="R441" s="673"/>
      <c r="S441" s="1429"/>
      <c r="T441" s="675"/>
      <c r="U441" s="1496"/>
      <c r="V441" s="1497"/>
      <c r="W441" s="1497"/>
      <c r="X441" s="1497"/>
      <c r="Y441" s="1497"/>
      <c r="Z441" s="1497"/>
      <c r="AA441" s="1497"/>
      <c r="AB441" s="1497"/>
      <c r="AC441" s="1497"/>
      <c r="AD441" s="1498"/>
      <c r="AE441" s="675"/>
      <c r="AF441" s="1397"/>
      <c r="AG441" s="1397"/>
      <c r="AH441" s="1397"/>
      <c r="AI441" s="1397"/>
      <c r="AJ441" s="1434"/>
      <c r="AK441" s="1436"/>
      <c r="AL441" s="1438"/>
      <c r="AM441" s="1441"/>
      <c r="AN441" s="1442"/>
      <c r="AO441" s="1447"/>
      <c r="AP441" s="1447"/>
      <c r="AQ441" s="1448"/>
      <c r="AR441" s="1452"/>
      <c r="AS441" s="1455"/>
      <c r="AT441" s="1458"/>
      <c r="AU441" s="516"/>
      <c r="AV441" s="1479"/>
      <c r="AW441" s="1479"/>
      <c r="BC441" s="38"/>
      <c r="BD441" s="38"/>
      <c r="BE441" s="38"/>
      <c r="BF441" s="38"/>
      <c r="BG441" s="38"/>
      <c r="BH441" s="38"/>
      <c r="BI441" s="38"/>
      <c r="BJ441" s="38"/>
      <c r="BK441" s="38"/>
      <c r="BL441" s="38"/>
      <c r="BM441" s="38"/>
      <c r="BN441" s="38"/>
      <c r="BO441" s="38"/>
      <c r="BP441" s="38"/>
      <c r="BQ441" s="38"/>
      <c r="BR441" s="38"/>
      <c r="BS441" s="38"/>
      <c r="BT441" s="38"/>
      <c r="BU441" s="38"/>
      <c r="BV441" s="38"/>
      <c r="BW441" s="38"/>
      <c r="BX441" s="38"/>
      <c r="BY441" s="38"/>
      <c r="BZ441" s="38"/>
      <c r="CA441" s="38"/>
      <c r="CB441" s="38"/>
      <c r="CC441" s="38"/>
      <c r="CD441" s="38"/>
      <c r="CE441" s="38"/>
      <c r="CF441" s="38"/>
      <c r="CG441" s="38"/>
      <c r="CH441" s="38"/>
      <c r="CI441" s="38"/>
      <c r="CM441" s="1352"/>
      <c r="CN441" s="1352"/>
      <c r="CO441" s="1416"/>
      <c r="CP441" s="1418"/>
      <c r="CR441" s="1386"/>
      <c r="CS441" s="1355"/>
      <c r="CT441" s="1355"/>
      <c r="CU441" s="1355"/>
      <c r="CV441" s="1372"/>
      <c r="CW441" s="1372"/>
      <c r="CX441" s="1371"/>
      <c r="CY441" s="1486"/>
      <c r="CZ441" s="1486"/>
      <c r="DA441" s="1486"/>
      <c r="DC441" s="1355"/>
      <c r="DD441" s="1461"/>
      <c r="DE441" s="1355"/>
      <c r="DF441" s="1407"/>
      <c r="DG441" s="1372"/>
      <c r="DH441" s="1369"/>
      <c r="DJ441" s="1484"/>
      <c r="DL441" s="1419"/>
      <c r="DN441" s="1403"/>
      <c r="DO441" s="1405"/>
      <c r="DP441" s="1354"/>
      <c r="DQ441" s="1405"/>
      <c r="DR441" s="1403"/>
      <c r="DS441" s="1489"/>
      <c r="DU441" s="1403"/>
      <c r="DV441" s="1405"/>
      <c r="DW441" s="1403"/>
      <c r="DX441" s="1403"/>
      <c r="DZ441" s="1481"/>
      <c r="EA441" s="1481"/>
      <c r="EC441" s="1482"/>
      <c r="ED441" s="1369"/>
      <c r="EE441" s="1371"/>
      <c r="EF441" s="1369"/>
      <c r="EG441" s="1369"/>
      <c r="EH441" s="1374"/>
      <c r="EI441" s="1374"/>
      <c r="EJ441" s="1363"/>
      <c r="EK441" s="1376"/>
      <c r="EL441" s="1376"/>
      <c r="EM441" s="1362"/>
      <c r="EN441" s="1362"/>
      <c r="EO441" s="1363"/>
      <c r="EP441" s="1363"/>
      <c r="EQ441" s="1363"/>
      <c r="ES441" s="1403"/>
      <c r="EU441" s="1411"/>
      <c r="EV441" s="1411"/>
      <c r="EW441" s="1411"/>
      <c r="EX441" s="1411"/>
      <c r="EY441" s="1411"/>
      <c r="EZ441" s="1413"/>
      <c r="FB441" s="1365"/>
      <c r="FD441" s="1354"/>
      <c r="FE441" s="1354"/>
      <c r="FF441" s="138"/>
      <c r="FI441" s="1357"/>
      <c r="FJ441" s="1357"/>
      <c r="FK441" s="1365"/>
      <c r="FL441" s="1365"/>
      <c r="FM441" s="1365"/>
      <c r="FO441" s="1361"/>
      <c r="FP441" s="1361"/>
      <c r="FQ441" s="1366"/>
      <c r="FR441" s="1368"/>
      <c r="FS441" s="1361"/>
      <c r="FT441" s="1368"/>
      <c r="FU441" s="1360"/>
      <c r="FW441" s="1352"/>
      <c r="FX441" s="1352"/>
      <c r="FY441" s="1352"/>
      <c r="FZ441" s="1352"/>
      <c r="GA441" s="1352"/>
      <c r="GB441" s="1352"/>
      <c r="GC441" s="1352"/>
      <c r="GD441" s="1352"/>
      <c r="GE441" s="759"/>
      <c r="GF441" s="1035"/>
      <c r="GG441" s="1385"/>
      <c r="GI441" s="1384" t="b">
        <f>IF(AND(GL441=TRUE,GM441=TRUE),TRUE,FALSE)</f>
        <v>0</v>
      </c>
      <c r="GJ441" s="1379" t="b">
        <f>IFERROR(IF(__Retrofit_TI_NC=2,TRUE,IF(AR440="Yes",TRUE,FALSE)),FALSE)</f>
        <v>1</v>
      </c>
      <c r="GL441" s="1379" t="b">
        <f>IFERROR(IF(GL440=1,TRUE,FALSE),FALSE)</f>
        <v>0</v>
      </c>
      <c r="GM441" s="1379" t="b">
        <f>IFERROR(IF(GM440=GM$14,TRUE,FALSE),FALSE)</f>
        <v>0</v>
      </c>
      <c r="HC441" s="1379" t="b">
        <f>IFERROR(IF(M441=1,TRUE,FALSE),FALSE)</f>
        <v>0</v>
      </c>
      <c r="HD441" s="1379" t="b">
        <f>IFERROR(IF(M442=1,TRUE,FALSE),FALSE)</f>
        <v>0</v>
      </c>
      <c r="HE441" s="1379" t="b">
        <f>IFERROR(IF(__Retrofit_TI_NC&lt;&gt;0,TRUE,IFERROR(IF(VLOOKUP(U441,Fixtures_Existing_List,2,FALSE)&lt;&gt;"",TRUE,FALSE),FALSE)),FALSE)</f>
        <v>0</v>
      </c>
      <c r="HF441" s="1379" t="b">
        <f>IFERROR(IF(VLOOKUP(U442,Fixtures_Proposed_List,2,FALSE)&lt;&gt;"",TRUE,FALSE),FALSE)</f>
        <v>0</v>
      </c>
      <c r="HG441" s="1379" t="b">
        <f>IF(AND(__Retrofit_TI_NC=2,EZ440=TRUE),FALSE,TRUE)</f>
        <v>1</v>
      </c>
      <c r="HH441" s="1379" t="b">
        <f>GG440</f>
        <v>1</v>
      </c>
      <c r="HI441" s="1384" t="b">
        <f>IF(ISERROR(MATCH(FB440,_Control_Match[],0))=TRUE,FALSE,TRUE)</f>
        <v>0</v>
      </c>
      <c r="HJ441" s="1384" t="b">
        <f>IFERROR(IF(EU440&lt;&gt;EV440,FALSE,TRUE),FALSE)</f>
        <v>0</v>
      </c>
      <c r="HK441" s="1384" t="b">
        <f>IFERROR(IF(EU442&lt;&gt;EV442,FALSE,TRUE),FALSE)</f>
        <v>0</v>
      </c>
      <c r="HL441" s="1379" t="b">
        <f>IFERROR(IF(CN440="Exterior",TRUE,IF(OR(AND(FJ440=0,EW442&gt;4),AND(FJ440=4,EW442&gt;4,EW442&lt;7)),FALSE,TRUE)),FALSE)</f>
        <v>0</v>
      </c>
      <c r="HM441" s="1379" t="b">
        <f>IFERROR(IF(AND(FL442=7,EZ440=TRUE),FALSE,TRUE),FALSE)</f>
        <v>0</v>
      </c>
      <c r="HN441" s="1379" t="b">
        <f>IFERROR(IF(AND(T442&lt;&gt;AE442,AF442="Interior LLLC")=TRUE,FALSE,TRUE),FALSE)</f>
        <v>1</v>
      </c>
      <c r="HO441" s="1379" t="b">
        <f>IFERROR(IF(OR(AF442=Lookup!AU$13,AF442=Lookup!AU$14)=TRUE,IF(AE442&gt;T442,FALSE,TRUE),TRUE),FALSE)</f>
        <v>1</v>
      </c>
      <c r="HP441" s="1379" t="b">
        <f>IFERROR(IF(__Retrofit_TI_NC=2,IF(EW442&lt;EW440,FALSE,TRUE),TRUE),FALSE)</f>
        <v>1</v>
      </c>
      <c r="HQ441" s="1379" t="b">
        <f>IF(CN440="Interior",IG$6,TRUE)</f>
        <v>1</v>
      </c>
      <c r="HR441" s="1379" t="b">
        <f>IF(CN440="Exterior",IG$8,TRUE)</f>
        <v>1</v>
      </c>
      <c r="HS441" s="1379" t="b">
        <f>IFERROR(IF(__Retrofit_TI_NC&lt;&gt;0,IF(AW440&lt;AV440,FALSE,TRUE),TRUE),FALSE)</f>
        <v>1</v>
      </c>
      <c r="HT441" s="1379" t="b">
        <f>IFERROR(IF(AND(G441="Exterior",R441&gt;4200),FALSE,TRUE),FALSE)</f>
        <v>1</v>
      </c>
      <c r="HU441" s="1379" t="b">
        <f>IFERROR(IF(AB443/AB440&lt;HU$18,FALSE,TRUE),FALSE)</f>
        <v>0</v>
      </c>
      <c r="HW441" s="1382"/>
      <c r="HX441" s="1378"/>
      <c r="HY441" s="1377" t="str">
        <f>VLOOKUP(HW443,_Error_Table,4,FALSE)</f>
        <v>White</v>
      </c>
      <c r="HZ441" s="436"/>
      <c r="IA441" s="1386"/>
      <c r="IB441" s="1380"/>
      <c r="IC441" s="1379"/>
      <c r="IF441" s="1380"/>
      <c r="IG441" s="1382"/>
      <c r="IH441" s="1382"/>
      <c r="II441" s="1382"/>
      <c r="IK441" s="1351"/>
      <c r="IL441" s="1351"/>
      <c r="IM441" s="1351"/>
      <c r="IN441" s="1351"/>
      <c r="IO441" s="1351"/>
      <c r="IP441" s="1351"/>
    </row>
    <row r="442" spans="1:250" s="82" customFormat="1" ht="14.95" customHeight="1" thickTop="1" thickBot="1">
      <c r="A442" s="82">
        <f>ROW()</f>
        <v>442</v>
      </c>
      <c r="B442" s="1421"/>
      <c r="C442" s="1422"/>
      <c r="D442" s="1423"/>
      <c r="E442" s="1393" t="s">
        <v>245</v>
      </c>
      <c r="F442" s="1394"/>
      <c r="G442" s="1398"/>
      <c r="H442" s="1399"/>
      <c r="I442" s="1399"/>
      <c r="J442" s="1399"/>
      <c r="K442" s="1399"/>
      <c r="L442" s="1400"/>
      <c r="M442" s="509">
        <f>IFERROR(IF(IF(__Retrofit_TI_NC&lt;&gt;0,IF(CN440="Interior",MATCH(G442,Lookup_Interior_New,0),MATCH(G442,Lookup_Exterior_New,0)),IF(CN440="Interior",MATCH(G442,Lookup_Interior,0),MATCH(G442,Lookup_Exterior_Areas,0)))&gt;0,1,0),0)</f>
        <v>0</v>
      </c>
      <c r="N442" s="509" t="e">
        <f>IF(__Retrofit_TI_NC=1,
VLOOKUP(G442,'Space Table'!$B$3:$L$160,4,FALSE),
IF(__Retrofit_TI_NC=2,VLOOKUP(G442,'Space Table'!$B$3:$L$160,5,FALSE),VLOOKUP(G442,'Space Table'!$B$3:$L$160,5,FALSE)))</f>
        <v>#N/A</v>
      </c>
      <c r="O442" s="509">
        <f>G442</f>
        <v>0</v>
      </c>
      <c r="P442" s="1394" t="s">
        <v>355</v>
      </c>
      <c r="Q442" s="1394"/>
      <c r="R442" s="674"/>
      <c r="S442" s="1401" t="s">
        <v>284</v>
      </c>
      <c r="T442" s="672"/>
      <c r="U442" s="1499"/>
      <c r="V442" s="1500"/>
      <c r="W442" s="1500"/>
      <c r="X442" s="1500"/>
      <c r="Y442" s="1500"/>
      <c r="Z442" s="1500"/>
      <c r="AA442" s="1500"/>
      <c r="AB442" s="1501"/>
      <c r="AC442" s="1501"/>
      <c r="AD442" s="1502"/>
      <c r="AE442" s="672"/>
      <c r="AF442" s="1474"/>
      <c r="AG442" s="1474"/>
      <c r="AH442" s="1474"/>
      <c r="AI442" s="1474"/>
      <c r="AJ442" s="1475">
        <f>DF442</f>
        <v>0</v>
      </c>
      <c r="AK442" s="1470" t="str">
        <f>IFERROR(ROUND(AJ442*AC443,0),"")</f>
        <v/>
      </c>
      <c r="AL442" s="1472">
        <f>IFERROR(IF(HW440=FALSE,0,AC443-AK442),0)</f>
        <v>0</v>
      </c>
      <c r="AM442" s="1441"/>
      <c r="AN442" s="1442"/>
      <c r="AO442" s="1447"/>
      <c r="AP442" s="1447"/>
      <c r="AQ442" s="1448"/>
      <c r="AR442" s="1452"/>
      <c r="AS442" s="1455"/>
      <c r="AT442" s="1458"/>
      <c r="AU442" s="516"/>
      <c r="AV442" s="1479"/>
      <c r="AW442" s="1479"/>
      <c r="BC442" s="38"/>
      <c r="BD442" s="38"/>
      <c r="BE442" s="38"/>
      <c r="BF442" s="38"/>
      <c r="BG442" s="38"/>
      <c r="BH442" s="38"/>
      <c r="BI442" s="38"/>
      <c r="BJ442" s="38"/>
      <c r="BK442" s="38"/>
      <c r="BL442" s="38"/>
      <c r="BM442" s="38"/>
      <c r="BN442" s="38"/>
      <c r="BO442" s="38"/>
      <c r="BP442" s="38"/>
      <c r="BQ442" s="38"/>
      <c r="BR442" s="38"/>
      <c r="BS442" s="38"/>
      <c r="BT442" s="38"/>
      <c r="BU442" s="38"/>
      <c r="BV442" s="38"/>
      <c r="BW442" s="38"/>
      <c r="BX442" s="38"/>
      <c r="BY442" s="38"/>
      <c r="BZ442" s="38"/>
      <c r="CA442" s="38"/>
      <c r="CB442" s="38"/>
      <c r="CC442" s="38"/>
      <c r="CD442" s="38"/>
      <c r="CE442" s="38"/>
      <c r="CF442" s="38"/>
      <c r="CG442" s="38"/>
      <c r="CH442" s="38"/>
      <c r="CI442" s="38"/>
      <c r="CM442" s="1352"/>
      <c r="CN442" s="1352"/>
      <c r="CO442" s="1415" t="str">
        <f>CN440</f>
        <v/>
      </c>
      <c r="CP442" s="1417" t="e">
        <f>CP440</f>
        <v>#N/A</v>
      </c>
      <c r="CR442" s="1386" t="s">
        <v>284</v>
      </c>
      <c r="CS442" s="1353">
        <f>IF(HW440=TRUE,T442,0)</f>
        <v>0</v>
      </c>
      <c r="CT442" s="1353" t="str">
        <f>IF(HW440=TRUE,U442,"")</f>
        <v/>
      </c>
      <c r="CU442" s="1373">
        <f>IF(HW440=TRUE,U443,0)</f>
        <v>0</v>
      </c>
      <c r="CV442" s="1370">
        <f>IF(HW440=TRUE,AB443,0)</f>
        <v>0</v>
      </c>
      <c r="CW442" s="1370">
        <f>IF(HW440=TRUE,AC443,0)</f>
        <v>0</v>
      </c>
      <c r="CX442" s="1371"/>
      <c r="CY442" s="1486"/>
      <c r="CZ442" s="1486"/>
      <c r="DA442" s="1486"/>
      <c r="DC442" s="1353">
        <f>IF(HW440=TRUE,AE442,0)</f>
        <v>0</v>
      </c>
      <c r="DD442" s="1353" t="str">
        <f>IF(HW440=TRUE,AF442,"")</f>
        <v/>
      </c>
      <c r="DE442" s="1373">
        <f>AF443</f>
        <v>0</v>
      </c>
      <c r="DF442" s="1406">
        <f>IFERROR(IF(FL442=3,IK442,IF(FL442=4,IL442,IF(FL442=5,IM442,IF(FL442=6,IN442,IF(FL442=7,IO442,IF(FL442=8,IP442,0)))))),0)</f>
        <v>0</v>
      </c>
      <c r="DG442" s="1370">
        <f>IF(HW440=TRUE,AK442,0)</f>
        <v>0</v>
      </c>
      <c r="DH442" s="1369"/>
      <c r="DK442" s="1483">
        <f>IFERROR(CW442-DG442,0)</f>
        <v>0</v>
      </c>
      <c r="DL442" s="1420"/>
      <c r="DN442" s="1403"/>
      <c r="DO442" s="1477" t="str">
        <f>DN440</f>
        <v/>
      </c>
      <c r="DP442" s="1354"/>
      <c r="DQ442" s="1477" t="str">
        <f>IF(DP440=7,"LLLC","")</f>
        <v/>
      </c>
      <c r="DR442" s="1403"/>
      <c r="DS442" s="1489"/>
      <c r="DU442" s="1403"/>
      <c r="DV442" s="1404" t="str">
        <f>DU440</f>
        <v/>
      </c>
      <c r="DW442" s="1403"/>
      <c r="DX442" s="1403"/>
      <c r="DZ442" s="1481"/>
      <c r="EA442" s="1481"/>
      <c r="EC442" s="1482"/>
      <c r="ED442" s="1369"/>
      <c r="EE442" s="1371"/>
      <c r="EF442" s="1369"/>
      <c r="EG442" s="1369"/>
      <c r="EH442" s="1374"/>
      <c r="EI442" s="1374"/>
      <c r="EJ442" s="1363"/>
      <c r="EK442" s="1376"/>
      <c r="EL442" s="1376"/>
      <c r="EM442" s="1362"/>
      <c r="EN442" s="1362"/>
      <c r="EO442" s="1363"/>
      <c r="EP442" s="1363"/>
      <c r="EQ442" s="1363"/>
      <c r="ES442" s="1403"/>
      <c r="EU442" s="1411" t="e">
        <f>VLOOKUP(CP442,'Space Table'!$B$3:$L$160,8,FALSE)</f>
        <v>#N/A</v>
      </c>
      <c r="EV442" s="1411" t="e">
        <f>IF(EY442="Yes",VLOOKUP(AF442,Lookup_Control_Type_Table2,4,FALSE),VLOOKUP(AF442,Lookup_Control_Type_Table2,3,FALSE))</f>
        <v>#N/A</v>
      </c>
      <c r="EW442" s="1411" t="e">
        <f>VLOOKUP(AF442,Lookup!AU$3:AV$15,2,FALSE)</f>
        <v>#N/A</v>
      </c>
      <c r="EX442" s="1411" t="e">
        <f>VLOOKUP(EU440,Lookup_Control_Type_Table,2,FALSE)</f>
        <v>#N/A</v>
      </c>
      <c r="EY442" s="1411" t="e">
        <f>VLOOKUP(CP442,'Space Table'!$B$3:$L$160,7,FALSE)</f>
        <v>#N/A</v>
      </c>
      <c r="EZ442" s="1413"/>
      <c r="FB442" s="1365" t="str">
        <f>CONCATENATE(CN440," - ",AF442)</f>
        <v xml:space="preserve"> - </v>
      </c>
      <c r="FD442" s="1354"/>
      <c r="FE442" s="1354"/>
      <c r="FF442" s="138"/>
      <c r="FI442" s="1356" t="str">
        <f>IF(CN440="Exterior","Not Daylighted",G443)</f>
        <v>Not Daylighted</v>
      </c>
      <c r="FJ442" s="1356">
        <f>VLOOKUP(FI442,_Daylight_Table_Codes,2,FALSE)</f>
        <v>0</v>
      </c>
      <c r="FK442" s="1365">
        <f>AF442</f>
        <v>0</v>
      </c>
      <c r="FL442" s="1365" t="e">
        <f>VLOOKUP(FK442,_Control_Table,2,FALSE)</f>
        <v>#N/A</v>
      </c>
      <c r="FM442" s="1365" t="e">
        <f>IF(AND(FP442&gt;0,FK442="Occupancy Sensor"),"Daylight + Occupancy",IF(AND(FP442&gt;0,FL442&lt;4),"Interior Daylight Dimming",FK442))</f>
        <v>#N/A</v>
      </c>
      <c r="FO442" s="1364">
        <f>IF(CN440="Interior",VLOOKUP(CP440,Control_Savings_Interior,5,FALSE),0)</f>
        <v>0</v>
      </c>
      <c r="FP442" s="1361">
        <f>IF(CN442="Exterior",0,IF(FJ442=2,0.5,IF(OR(FJ442=1,FJ442=3),1,0)))</f>
        <v>0</v>
      </c>
      <c r="FQ442" s="1366">
        <f>IF(R441&gt;FO$37,(FO442*(FO$37/R441)),FO442)*FP442</f>
        <v>0</v>
      </c>
      <c r="FR442" s="1364">
        <f>DF442</f>
        <v>0</v>
      </c>
      <c r="FS442" s="1364">
        <f>ROUND(FR442+((1-FR442)*FQ442),2)</f>
        <v>0</v>
      </c>
      <c r="FT442" s="1364">
        <f>IF(__Retrofit_TI_NC=2,FS442,FR442)</f>
        <v>0</v>
      </c>
      <c r="FU442" s="1360">
        <f>IF(CO442="Interior",VLOOKUP(CP442,Control_Savings_Interior,4,FALSE),0)</f>
        <v>0</v>
      </c>
      <c r="FW442" s="1352"/>
      <c r="FX442" s="1352"/>
      <c r="FY442" s="1352"/>
      <c r="FZ442" s="1352"/>
      <c r="GA442" s="1352"/>
      <c r="GB442" s="1352"/>
      <c r="GC442" s="1352"/>
      <c r="GD442" s="1352"/>
      <c r="GE442" s="759" t="b">
        <f>IF(ISNUMBER(SEARCH("TLED",U442)),TRUE,FALSE)</f>
        <v>0</v>
      </c>
      <c r="GF442" s="1035" t="str">
        <f>IFERROR(VLOOKUP(U442,Fixtures!DM$93:DR$142,6,FALSE),"")</f>
        <v/>
      </c>
      <c r="GG442" s="1385"/>
      <c r="GI442" s="1383"/>
      <c r="GJ442" s="1379"/>
      <c r="GL442" s="1379"/>
      <c r="GM442" s="1379"/>
      <c r="HC442" s="1379"/>
      <c r="HD442" s="1379"/>
      <c r="HE442" s="1379"/>
      <c r="HF442" s="1379"/>
      <c r="HG442" s="1379"/>
      <c r="HH442" s="1379"/>
      <c r="HI442" s="1383"/>
      <c r="HJ442" s="1383"/>
      <c r="HK442" s="1383"/>
      <c r="HL442" s="1379"/>
      <c r="HM442" s="1379"/>
      <c r="HN442" s="1379"/>
      <c r="HO442" s="1379"/>
      <c r="HP442" s="1379"/>
      <c r="HQ442" s="1379"/>
      <c r="HR442" s="1379"/>
      <c r="HS442" s="1379"/>
      <c r="HT442" s="1379"/>
      <c r="HU442" s="1379"/>
      <c r="HW442" s="1383"/>
      <c r="HX442" s="1384" t="b">
        <f>HW440</f>
        <v>0</v>
      </c>
      <c r="HY442" s="1378"/>
      <c r="HZ442" s="436"/>
      <c r="IA442" s="1386"/>
      <c r="IB442" s="1380">
        <f>IF(IA440=TRUE,AC443,0)</f>
        <v>0</v>
      </c>
      <c r="IC442" s="1379"/>
      <c r="IF442" s="1380" t="e">
        <f>ROUND(T442*AB443*N441*R441/1000,0)</f>
        <v>#VALUE!</v>
      </c>
      <c r="IG442" s="1382"/>
      <c r="IH442" s="1384" t="e">
        <f>ROUND(T442*AB443*N441*R441/1000,0)</f>
        <v>#VALUE!</v>
      </c>
      <c r="II442" s="1382"/>
      <c r="IK442" s="1351" t="e">
        <f>IF($CO442="interior",IL442/2,VLOOKUP($CP442,Control_Savings_Exterior,IK$30,FALSE))</f>
        <v>#N/A</v>
      </c>
      <c r="IL442" s="1351" t="e">
        <f>IF($CO442="interior",VLOOKUP($CP442,Control_Savings_Interior,IL$30,FALSE),VLOOKUP($CP442,Control_Savings_Exterior,IL$30,FALSE))</f>
        <v>#N/A</v>
      </c>
      <c r="IM442" s="1351" t="e">
        <f>IF($CO442="interior",IF(R441&gt;FO$37,(IM$28*(FO$37/R441)),IM$28)*FP442,VLOOKUP($CP442,Control_Savings_Exterior,IM$30,FALSE))</f>
        <v>#N/A</v>
      </c>
      <c r="IN442" s="1351" t="e">
        <f>IF($CO442="interior",ROUND(((1-IL442)*IM442)+IL442,2),VLOOKUP($CP442,Control_Savings_Exterior,IN$30,FALSE))</f>
        <v>#N/A</v>
      </c>
      <c r="IO442" s="1351" t="e">
        <f>IF($CO442="interior", ROUND(((1-IL442)*(IM442*(1-IP$28)))+IP442,2), VLOOKUP($CP442,Control_Savings_Exterior,IO$30,FALSE))</f>
        <v>#N/A</v>
      </c>
      <c r="IP442" s="1351">
        <f>IF($CO442="interior",ROUND(((1-IL442)*IP$28)+IL442,2),0)</f>
        <v>0</v>
      </c>
    </row>
    <row r="443" spans="1:250" s="82" customFormat="1" ht="14.95" customHeight="1" thickTop="1" thickBot="1">
      <c r="B443" s="1421"/>
      <c r="C443" s="1422"/>
      <c r="D443" s="1423"/>
      <c r="E443" s="1462" t="s">
        <v>357</v>
      </c>
      <c r="F443" s="1463"/>
      <c r="G443" s="1464" t="s">
        <v>362</v>
      </c>
      <c r="H443" s="1465"/>
      <c r="I443" s="1465"/>
      <c r="J443" s="1465"/>
      <c r="K443" s="1465"/>
      <c r="L443" s="1466"/>
      <c r="M443" s="669">
        <f>IFERROR(VLOOKUP(G443,_Daylight_Table[],2,FALSE),0)</f>
        <v>0</v>
      </c>
      <c r="N443" s="670"/>
      <c r="O443" s="669" t="e">
        <f>VLOOKUP(G442,'Space Table'!$B$3:$L$160,11,FALSE)</f>
        <v>#N/A</v>
      </c>
      <c r="P443" s="1408"/>
      <c r="Q443" s="1409"/>
      <c r="R443" s="1409"/>
      <c r="S443" s="1402"/>
      <c r="T443" s="671" t="s">
        <v>281</v>
      </c>
      <c r="U443" s="1467" t="str">
        <f>IFERROR(VLOOKUP(U442,Fixtures!DM$93:DP$142,4,FALSE),"")</f>
        <v/>
      </c>
      <c r="V443" s="1468"/>
      <c r="W443" s="1468"/>
      <c r="X443" s="1468"/>
      <c r="Y443" s="1468"/>
      <c r="Z443" s="1468"/>
      <c r="AA443" s="1468"/>
      <c r="AB443" s="1046" t="str">
        <f>IFERROR(VLOOKUP(U442,Fixtures_Proposed_List,2,FALSE),"")</f>
        <v/>
      </c>
      <c r="AC443" s="1036" t="str">
        <f>IFERROR(ROUND(T442*AB443*N441*R441/1000,0),"")</f>
        <v/>
      </c>
      <c r="AD443" s="1037" t="str">
        <f>IFERROR(ROUND(T442*AB443/1000,2),"")</f>
        <v/>
      </c>
      <c r="AE443" s="1045" t="s">
        <v>281</v>
      </c>
      <c r="AF443" s="1469"/>
      <c r="AG443" s="1469"/>
      <c r="AH443" s="1469"/>
      <c r="AI443" s="1469"/>
      <c r="AJ443" s="1476"/>
      <c r="AK443" s="1471"/>
      <c r="AL443" s="1473"/>
      <c r="AM443" s="1443"/>
      <c r="AN443" s="1444"/>
      <c r="AO443" s="1449"/>
      <c r="AP443" s="1449"/>
      <c r="AQ443" s="1450"/>
      <c r="AR443" s="1453"/>
      <c r="AS443" s="1456"/>
      <c r="AT443" s="1459"/>
      <c r="AU443" s="517"/>
      <c r="AV443" s="1480"/>
      <c r="AW443" s="1480"/>
      <c r="BC443" s="38"/>
      <c r="BD443" s="38"/>
      <c r="BE443" s="38"/>
      <c r="BF443" s="38"/>
      <c r="BG443" s="38"/>
      <c r="BH443" s="38"/>
      <c r="BI443" s="38"/>
      <c r="BJ443" s="38"/>
      <c r="BK443" s="38"/>
      <c r="BL443" s="38"/>
      <c r="BM443" s="38"/>
      <c r="BN443" s="38"/>
      <c r="BO443" s="38"/>
      <c r="BP443" s="38"/>
      <c r="BQ443" s="38"/>
      <c r="BR443" s="38"/>
      <c r="BS443" s="38"/>
      <c r="BT443" s="38"/>
      <c r="BU443" s="38"/>
      <c r="BV443" s="38"/>
      <c r="BW443" s="38"/>
      <c r="BX443" s="38"/>
      <c r="BY443" s="38"/>
      <c r="BZ443" s="38"/>
      <c r="CA443" s="38"/>
      <c r="CB443" s="38"/>
      <c r="CC443" s="38"/>
      <c r="CD443" s="38"/>
      <c r="CE443" s="38"/>
      <c r="CF443" s="38"/>
      <c r="CG443" s="38"/>
      <c r="CH443" s="38"/>
      <c r="CI443" s="38"/>
      <c r="CM443" s="1352"/>
      <c r="CN443" s="1352"/>
      <c r="CO443" s="1416"/>
      <c r="CP443" s="1418"/>
      <c r="CR443" s="1386"/>
      <c r="CS443" s="1355"/>
      <c r="CT443" s="1355"/>
      <c r="CU443" s="1375"/>
      <c r="CV443" s="1372"/>
      <c r="CW443" s="1372"/>
      <c r="CX443" s="1372"/>
      <c r="CY443" s="1487"/>
      <c r="CZ443" s="1487"/>
      <c r="DA443" s="1487"/>
      <c r="DC443" s="1355"/>
      <c r="DD443" s="1355"/>
      <c r="DE443" s="1375"/>
      <c r="DF443" s="1407"/>
      <c r="DG443" s="1372"/>
      <c r="DH443" s="1369"/>
      <c r="DK443" s="1484"/>
      <c r="DL443" s="1420"/>
      <c r="DN443" s="1403"/>
      <c r="DO443" s="1405"/>
      <c r="DP443" s="1355"/>
      <c r="DQ443" s="1405"/>
      <c r="DR443" s="1403"/>
      <c r="DS443" s="1489"/>
      <c r="DU443" s="1403"/>
      <c r="DV443" s="1405"/>
      <c r="DW443" s="1403"/>
      <c r="DX443" s="1403"/>
      <c r="DZ443" s="1481"/>
      <c r="EA443" s="1481"/>
      <c r="EC443" s="1482"/>
      <c r="ED443" s="1369"/>
      <c r="EE443" s="1372"/>
      <c r="EF443" s="1369"/>
      <c r="EG443" s="1369"/>
      <c r="EH443" s="1375"/>
      <c r="EI443" s="1375"/>
      <c r="EJ443" s="1363"/>
      <c r="EK443" s="1376"/>
      <c r="EL443" s="1376"/>
      <c r="EM443" s="1362"/>
      <c r="EN443" s="1362"/>
      <c r="EO443" s="1363"/>
      <c r="EP443" s="1363"/>
      <c r="EQ443" s="1363"/>
      <c r="ES443" s="1403"/>
      <c r="EU443" s="1488"/>
      <c r="EV443" s="1488"/>
      <c r="EW443" s="1488"/>
      <c r="EX443" s="1488"/>
      <c r="EY443" s="1488"/>
      <c r="EZ443" s="1414"/>
      <c r="FB443" s="1365"/>
      <c r="FD443" s="1355"/>
      <c r="FE443" s="1355"/>
      <c r="FF443" s="138"/>
      <c r="FI443" s="1357"/>
      <c r="FJ443" s="1357"/>
      <c r="FK443" s="1365"/>
      <c r="FL443" s="1365"/>
      <c r="FM443" s="1365"/>
      <c r="FO443" s="1361"/>
      <c r="FP443" s="1361"/>
      <c r="FQ443" s="1366"/>
      <c r="FR443" s="1361"/>
      <c r="FS443" s="1361"/>
      <c r="FT443" s="1361"/>
      <c r="FU443" s="1360"/>
      <c r="FW443" s="1352"/>
      <c r="FX443" s="1352"/>
      <c r="FY443" s="1352"/>
      <c r="FZ443" s="1352"/>
      <c r="GA443" s="1352"/>
      <c r="GB443" s="1352"/>
      <c r="GC443" s="1352"/>
      <c r="GD443" s="1352"/>
      <c r="GE443" s="759"/>
      <c r="GF443" s="1035"/>
      <c r="GG443" s="1385"/>
      <c r="GJ443" s="1034">
        <f>IF(GJ441=TRUE,0,GJ$16)</f>
        <v>0</v>
      </c>
      <c r="GL443" s="1034">
        <f>IF(GL441=TRUE,0,GL$16)</f>
        <v>36</v>
      </c>
      <c r="GM443" s="1034">
        <f>IF(GM441=TRUE,0,GM$16)</f>
        <v>35</v>
      </c>
      <c r="GN443" s="436"/>
      <c r="GO443" s="436"/>
      <c r="GP443" s="436"/>
      <c r="GQ443" s="436"/>
      <c r="GR443" s="436"/>
      <c r="HC443" s="1034">
        <f t="shared" ref="HC443:HH443" si="322">IF(HC441=TRUE,0,HC$16)</f>
        <v>19</v>
      </c>
      <c r="HD443" s="1034">
        <f t="shared" si="322"/>
        <v>18</v>
      </c>
      <c r="HE443" s="1034">
        <f t="shared" si="322"/>
        <v>17</v>
      </c>
      <c r="HF443" s="1034">
        <f t="shared" si="322"/>
        <v>16</v>
      </c>
      <c r="HG443" s="1034">
        <f t="shared" si="322"/>
        <v>0</v>
      </c>
      <c r="HH443" s="1034">
        <f t="shared" si="322"/>
        <v>0</v>
      </c>
      <c r="HI443" s="1034">
        <f>IF(HI441=TRUE,0,HI$16)</f>
        <v>13</v>
      </c>
      <c r="HJ443" s="1034">
        <f t="shared" ref="HJ443:HL443" si="323">IF(HJ441=TRUE,0,HJ$16)</f>
        <v>12</v>
      </c>
      <c r="HK443" s="1034">
        <f t="shared" si="323"/>
        <v>11</v>
      </c>
      <c r="HL443" s="1034">
        <f t="shared" si="323"/>
        <v>10</v>
      </c>
      <c r="HM443" s="1034">
        <f>IF(HM441=TRUE,0,HM$16)</f>
        <v>9</v>
      </c>
      <c r="HN443" s="1034">
        <f t="shared" ref="HN443:HR443" si="324">IF(HN441=TRUE,0,HN$16)</f>
        <v>0</v>
      </c>
      <c r="HO443" s="1034">
        <f t="shared" si="324"/>
        <v>0</v>
      </c>
      <c r="HP443" s="1034">
        <f t="shared" si="324"/>
        <v>0</v>
      </c>
      <c r="HQ443" s="1034">
        <f t="shared" si="324"/>
        <v>0</v>
      </c>
      <c r="HR443" s="1034">
        <f t="shared" si="324"/>
        <v>0</v>
      </c>
      <c r="HS443" s="1034">
        <f>IF(HS441=TRUE,0,HS$16)</f>
        <v>0</v>
      </c>
      <c r="HT443" s="1034">
        <f t="shared" ref="HT443" si="325">IF(HT441=TRUE,0,HT$16)</f>
        <v>0</v>
      </c>
      <c r="HU443" s="1034">
        <f>IF(HU441=TRUE,0,HU$16)</f>
        <v>1</v>
      </c>
      <c r="HW443" s="1034">
        <f>IF(GL441=FALSE,GL443,IF(GM441=FALSE,GM443,MAX(GJ443:HU443)))</f>
        <v>36</v>
      </c>
      <c r="HX443" s="1383"/>
      <c r="HY443" s="241" t="str">
        <f>VLOOKUP(HW443,_Error_Table,3,FALSE)</f>
        <v xml:space="preserve"> </v>
      </c>
      <c r="HZ443" s="241"/>
      <c r="IA443" s="1386"/>
      <c r="IB443" s="1380"/>
      <c r="IC443" s="1379"/>
      <c r="IF443" s="1380"/>
      <c r="IG443" s="1383"/>
      <c r="IH443" s="1383"/>
      <c r="II443" s="1383"/>
      <c r="IK443" s="1351"/>
      <c r="IL443" s="1351"/>
      <c r="IM443" s="1351"/>
      <c r="IN443" s="1351"/>
      <c r="IO443" s="1351"/>
      <c r="IP443" s="1351"/>
    </row>
    <row r="444" spans="1:250" s="82" customFormat="1" ht="5.0999999999999996" customHeight="1" thickBot="1">
      <c r="B444" s="763"/>
      <c r="C444" s="1038"/>
      <c r="D444" s="1038"/>
      <c r="E444" s="1490"/>
      <c r="F444" s="1490"/>
      <c r="G444" s="1490"/>
      <c r="H444" s="1490"/>
      <c r="I444" s="1490"/>
      <c r="J444" s="1490"/>
      <c r="K444" s="1490"/>
      <c r="L444" s="1490"/>
      <c r="M444" s="1490"/>
      <c r="N444" s="1490"/>
      <c r="O444" s="1490"/>
      <c r="P444" s="1490"/>
      <c r="Q444" s="1490"/>
      <c r="R444" s="1490"/>
      <c r="S444" s="1490"/>
      <c r="T444" s="1490"/>
      <c r="U444" s="1490"/>
      <c r="V444" s="1490"/>
      <c r="W444" s="1490"/>
      <c r="X444" s="1490"/>
      <c r="Y444" s="1490"/>
      <c r="Z444" s="1490"/>
      <c r="AA444" s="1490"/>
      <c r="AB444" s="1490"/>
      <c r="AC444" s="1490"/>
      <c r="AD444" s="1490"/>
      <c r="AE444" s="1490"/>
      <c r="AF444" s="1490"/>
      <c r="AG444" s="1490"/>
      <c r="AH444" s="1490"/>
      <c r="AI444" s="1490"/>
      <c r="AJ444" s="1490"/>
      <c r="AK444" s="1490"/>
      <c r="AL444" s="1490"/>
      <c r="AM444" s="1490"/>
      <c r="AN444" s="1490"/>
      <c r="AO444" s="1490"/>
      <c r="AP444" s="1490"/>
      <c r="AQ444" s="1490"/>
      <c r="AR444" s="1490"/>
      <c r="AS444" s="1490"/>
      <c r="AT444" s="1490"/>
      <c r="AU444" s="1041"/>
      <c r="BC444" s="38"/>
      <c r="BD444" s="38"/>
      <c r="BE444" s="38"/>
      <c r="BF444" s="38"/>
      <c r="BG444" s="38"/>
      <c r="BH444" s="38"/>
      <c r="BI444" s="38"/>
      <c r="BJ444" s="38"/>
      <c r="BK444" s="38"/>
      <c r="BL444" s="38"/>
      <c r="BM444" s="38"/>
      <c r="BN444" s="38"/>
      <c r="BO444" s="38"/>
      <c r="BP444" s="38"/>
      <c r="BQ444" s="38"/>
      <c r="BR444" s="38"/>
      <c r="BS444" s="38"/>
      <c r="BT444" s="38"/>
      <c r="BU444" s="38"/>
      <c r="BV444" s="38"/>
      <c r="BW444" s="38"/>
      <c r="BX444" s="38"/>
      <c r="BY444" s="38"/>
      <c r="BZ444" s="38"/>
      <c r="CA444" s="38"/>
      <c r="CB444" s="38"/>
      <c r="CC444" s="38"/>
      <c r="CD444" s="38"/>
      <c r="CE444" s="38"/>
      <c r="CF444" s="38"/>
      <c r="CG444" s="38"/>
      <c r="CH444" s="38"/>
      <c r="CI444" s="38"/>
      <c r="CM444" s="749"/>
      <c r="CN444" s="749"/>
      <c r="CO444" s="1043"/>
      <c r="CP444" s="749"/>
      <c r="CS444" s="436"/>
      <c r="CT444" s="436"/>
      <c r="CU444" s="243"/>
      <c r="CV444" s="244"/>
      <c r="CW444" s="244"/>
      <c r="CX444" s="244"/>
      <c r="CY444" s="245"/>
      <c r="CZ444" s="245"/>
      <c r="DA444" s="245"/>
      <c r="DC444" s="750"/>
      <c r="DD444" s="751"/>
      <c r="DE444" s="752"/>
      <c r="DF444" s="753"/>
      <c r="DG444" s="754"/>
      <c r="DH444" s="754"/>
      <c r="DK444" s="244"/>
      <c r="DL444" s="750"/>
      <c r="DN444" s="750"/>
      <c r="DO444" s="755"/>
      <c r="DP444" s="436"/>
      <c r="DQ444" s="750"/>
      <c r="DR444" s="750"/>
      <c r="DS444" s="750"/>
      <c r="DU444" s="750"/>
      <c r="DV444" s="750"/>
      <c r="DW444" s="750"/>
      <c r="DX444" s="750"/>
      <c r="DZ444" s="756"/>
      <c r="EA444" s="756"/>
      <c r="EC444" s="754"/>
      <c r="ED444" s="754"/>
      <c r="EE444" s="244"/>
      <c r="EF444" s="754"/>
      <c r="EG444" s="754"/>
      <c r="EH444" s="243"/>
      <c r="EI444" s="243"/>
      <c r="EJ444" s="752"/>
      <c r="EK444" s="757"/>
      <c r="EL444" s="757"/>
      <c r="EM444" s="758"/>
      <c r="EN444" s="758"/>
      <c r="EO444" s="752"/>
      <c r="EP444" s="752"/>
      <c r="EQ444" s="752"/>
      <c r="ES444" s="750"/>
      <c r="EU444" s="436"/>
      <c r="EV444" s="436"/>
      <c r="EW444" s="436"/>
      <c r="EX444" s="436"/>
      <c r="EY444" s="436"/>
      <c r="EZ444" s="436"/>
      <c r="FB444" s="643"/>
      <c r="FD444" s="436"/>
      <c r="FE444" s="436"/>
      <c r="FF444" s="436"/>
      <c r="FO444" s="750"/>
      <c r="FP444" s="436"/>
      <c r="FQ444" s="436"/>
      <c r="FR444" s="750"/>
      <c r="FS444" s="750"/>
      <c r="FW444" s="749"/>
      <c r="FX444" s="749"/>
      <c r="FY444" s="749"/>
      <c r="FZ444" s="749"/>
      <c r="GA444" s="749"/>
      <c r="GB444" s="749"/>
      <c r="GC444" s="749"/>
      <c r="GD444" s="749"/>
      <c r="GE444" s="751"/>
      <c r="GF444" s="750"/>
      <c r="GG444" s="750"/>
    </row>
    <row r="445" spans="1:250" s="82" customFormat="1" ht="14.95" customHeight="1" thickTop="1" thickBot="1">
      <c r="B445" s="1421" t="str">
        <f>HY448</f>
        <v xml:space="preserve"> </v>
      </c>
      <c r="C445" s="1422">
        <f>C440+1</f>
        <v>79</v>
      </c>
      <c r="D445" s="1423"/>
      <c r="E445" s="1424" t="s">
        <v>242</v>
      </c>
      <c r="F445" s="1425"/>
      <c r="G445" s="1426"/>
      <c r="H445" s="1427"/>
      <c r="I445" s="1427"/>
      <c r="J445" s="1427"/>
      <c r="K445" s="1427"/>
      <c r="L445" s="1427"/>
      <c r="M445" s="1427"/>
      <c r="N445" s="1427"/>
      <c r="O445" s="1427"/>
      <c r="P445" s="1427"/>
      <c r="Q445" s="1427"/>
      <c r="R445" s="1427"/>
      <c r="S445" s="1428" t="s">
        <v>283</v>
      </c>
      <c r="T445" s="668" t="s">
        <v>190</v>
      </c>
      <c r="U445" s="1430" t="s">
        <v>186</v>
      </c>
      <c r="V445" s="1431"/>
      <c r="W445" s="1431"/>
      <c r="X445" s="1431"/>
      <c r="Y445" s="1431"/>
      <c r="Z445" s="1431"/>
      <c r="AA445" s="1431"/>
      <c r="AB445" s="1088" t="str">
        <f>IFERROR(IF(__Retrofit_TI_NC=0,VLOOKUP(U446,Fixtures_Existing_List,2,FALSE),ROUND(N447*R447/T447,10)),"")</f>
        <v/>
      </c>
      <c r="AC445" s="1039" t="str">
        <f>IFERROR(IF(__Retrofit_TI_NC=0,ROUND(T446*AB445*N446*R446/1000,0),IF(CN445="Interior",N447*R447*R446*N446*_C406_reduction/1000,N447*R447*R446*N446/1000)),"")</f>
        <v/>
      </c>
      <c r="AD445" s="1040" t="str">
        <f>IFERROR(IF(C$36=0,ROUND(T446*AB445/1000,2),N447*R447/1000),"")</f>
        <v/>
      </c>
      <c r="AE445" s="1044" t="s">
        <v>190</v>
      </c>
      <c r="AF445" s="1432" t="str">
        <f>IF(__Retrofit_TI_NC=2,CONCATENATE("Code min = ",DD445),IF(__Retrofit_TI_NC=1,"Emter what you think the existing control was"," Control"))</f>
        <v xml:space="preserve"> Control</v>
      </c>
      <c r="AG445" s="1432"/>
      <c r="AH445" s="1432"/>
      <c r="AI445" s="1432"/>
      <c r="AJ445" s="1433">
        <f>DF445</f>
        <v>0</v>
      </c>
      <c r="AK445" s="1435" t="str">
        <f>IFERROR(ROUND(AJ445*AC445,0),"")</f>
        <v/>
      </c>
      <c r="AL445" s="1437">
        <f>IFERROR(IF(HW445=FALSE,0,AC445-AK445),0)</f>
        <v>0</v>
      </c>
      <c r="AM445" s="1439">
        <f>AL445-AL447</f>
        <v>0</v>
      </c>
      <c r="AN445" s="1440"/>
      <c r="AO445" s="1445">
        <f>IFERROR(IF(HW445=FALSE,0,(T447*U448)+(AE447*AF448)),0)</f>
        <v>0</v>
      </c>
      <c r="AP445" s="1445"/>
      <c r="AQ445" s="1446"/>
      <c r="AR445" s="1451" t="s">
        <v>157</v>
      </c>
      <c r="AS445" s="1454">
        <f>IF(AR445="Yes",1,0)</f>
        <v>1</v>
      </c>
      <c r="AT445" s="1457" t="str">
        <f>IF(OR(DN445=4,DN445=5,DN445=6,DN445=12),CONCATENATE("$",IF(GD445=TRUE,Lookup!$B$11,Lookup!$B$2)," /lamp"),CONCATENATE(EA445,"/ kWh"))</f>
        <v>0/ kWh</v>
      </c>
      <c r="AU445" s="516"/>
      <c r="AV445" s="1478">
        <f>IFERROR(IF(GI446=TRUE,(AB448*T447)/R447,0),"NA")</f>
        <v>0</v>
      </c>
      <c r="AW445" s="1478" t="str">
        <f>IFERROR(N447*_C406_reduction,"NA")</f>
        <v>NA</v>
      </c>
      <c r="BC445" s="38"/>
      <c r="BD445" s="38"/>
      <c r="BE445" s="38"/>
      <c r="BF445" s="38"/>
      <c r="BG445" s="38"/>
      <c r="BH445" s="38"/>
      <c r="BI445" s="38"/>
      <c r="BJ445" s="38"/>
      <c r="BK445" s="38"/>
      <c r="BL445" s="38"/>
      <c r="BM445" s="38"/>
      <c r="BN445" s="38"/>
      <c r="BO445" s="38"/>
      <c r="BP445" s="38"/>
      <c r="BQ445" s="38"/>
      <c r="BR445" s="38"/>
      <c r="BS445" s="38"/>
      <c r="BT445" s="38"/>
      <c r="BU445" s="38"/>
      <c r="BV445" s="38"/>
      <c r="BW445" s="38"/>
      <c r="BX445" s="38"/>
      <c r="BY445" s="38"/>
      <c r="BZ445" s="38"/>
      <c r="CA445" s="38"/>
      <c r="CB445" s="38"/>
      <c r="CC445" s="38"/>
      <c r="CD445" s="38"/>
      <c r="CE445" s="38"/>
      <c r="CF445" s="38"/>
      <c r="CG445" s="38"/>
      <c r="CH445" s="38"/>
      <c r="CI445" s="38"/>
      <c r="CM445" s="1352" t="str">
        <f>N446</f>
        <v/>
      </c>
      <c r="CN445" s="1352" t="str">
        <f>IFERROR(VLOOKUP(G446,_Lookup_Heat_Type_Table_New,3,FALSE),"")</f>
        <v/>
      </c>
      <c r="CO445" s="1415" t="str">
        <f>CN445</f>
        <v/>
      </c>
      <c r="CP445" s="1417" t="e">
        <f>VLOOKUP(G447,'Space Table'!$B$3:$L$160,9,FALSE)</f>
        <v>#N/A</v>
      </c>
      <c r="CR445" s="1386" t="s">
        <v>283</v>
      </c>
      <c r="CS445" s="1353">
        <f>IF(HW445=TRUE,T446,0)</f>
        <v>0</v>
      </c>
      <c r="CT445" s="1353" t="str">
        <f>IF(HW445=TRUE,U446,"")</f>
        <v/>
      </c>
      <c r="CU445" s="1353"/>
      <c r="CV445" s="1370">
        <f>IF(HW445=TRUE,AB445,0)</f>
        <v>0</v>
      </c>
      <c r="CW445" s="1370">
        <f>IF(HW445=TRUE,AC445,0)</f>
        <v>0</v>
      </c>
      <c r="CX445" s="1370">
        <f>IFERROR(IF(HW445=TRUE,CW445-CW447,0),0)</f>
        <v>0</v>
      </c>
      <c r="CY445" s="1485">
        <f>IF(HW445=TRUE,AD445,0)</f>
        <v>0</v>
      </c>
      <c r="CZ445" s="1485">
        <f>IF(HW445=TRUE,AD448,0)</f>
        <v>0</v>
      </c>
      <c r="DA445" s="1485">
        <f>IFERROR(CY445-CZ445,0)</f>
        <v>0</v>
      </c>
      <c r="DC445" s="1353">
        <f>IF(HW445=TRUE,AE446,0)</f>
        <v>0</v>
      </c>
      <c r="DD445" s="1460">
        <f>IF(__Retrofit_TI_NC=2,IF(CN445="Exterior",O448,FM445),FK445)</f>
        <v>0</v>
      </c>
      <c r="DE445" s="1353"/>
      <c r="DF445" s="1406">
        <f>IFERROR(IF(FL445=3,IK445,IF(FL445=4,IL445,IF(FL445=5,IM445,IF(FL445=6,IN445,IF(FL445=7,IO445,IF(FL445=8,IP445,0)))))),0)</f>
        <v>0</v>
      </c>
      <c r="DG445" s="1370">
        <f>IF(HW445=TRUE,AK445,0)</f>
        <v>0</v>
      </c>
      <c r="DH445" s="1369">
        <f>IFERROR(IF(HW445=TRUE,DG447-DG445,0),0)</f>
        <v>0</v>
      </c>
      <c r="DJ445" s="1483">
        <f>IFERROR(CW445-DG445,0)</f>
        <v>0</v>
      </c>
      <c r="DL445" s="1419">
        <f>DJ445-DK447</f>
        <v>0</v>
      </c>
      <c r="DN445" s="1403" t="str">
        <f>IFERROR(IF(AND(OR(FY445=4,FY445=5,FY445=6),OR(GB445=4,GB445=5,GB445=6)),FY445+8,VLOOKUP(CT447,Fixtures!R$31:Y$78,8,FALSE)),"")</f>
        <v/>
      </c>
      <c r="DO445" s="1404" t="str">
        <f>DN445</f>
        <v/>
      </c>
      <c r="DP445" s="1353" t="str">
        <f>IFERROR(VLOOKUP(DD447,Lookup!AU$3:AV$15,2,FALSE),"")</f>
        <v/>
      </c>
      <c r="DQ445" s="1404" t="str">
        <f>IF(DP445=7,"LLLC","")</f>
        <v/>
      </c>
      <c r="DR445" s="1403">
        <f>IFERROR(IF(OR(DN445=4,DN445=5,DN445=6,DN445=12,DN445=13,DN445=14),VLOOKUP(CT447,Fixtures!DN$27:EG$77,19,FALSE),1)*CS447,0)</f>
        <v>0</v>
      </c>
      <c r="DS445" s="1489">
        <f>IF(DP445=7,IF(DD445=DD447,0,DC447),0)</f>
        <v>0</v>
      </c>
      <c r="DU445" s="1403" t="str">
        <f>IFERROR(IF(EW445&lt;EW447,"Yes","No"),"")</f>
        <v/>
      </c>
      <c r="DV445" s="1404" t="str">
        <f>DU445</f>
        <v/>
      </c>
      <c r="DW445" s="1403">
        <f>IF(DU445="Yes",DC447,0)</f>
        <v>0</v>
      </c>
      <c r="DX445" s="1403">
        <f>DW445-DS445</f>
        <v>0</v>
      </c>
      <c r="DZ445" s="1481">
        <f>IFERROR(VLOOKUP(DN445,Lookup!AN$3:AO$16,2,FALSE),0)</f>
        <v>0</v>
      </c>
      <c r="EA445" s="1481">
        <f>IF(HW445=FALSE,0,IF(DU445="Yes",DZ445+Lookup!B$6,DZ445))</f>
        <v>0</v>
      </c>
      <c r="EC445" s="1482">
        <f>IF(HW445=TRUE,DJ445,0)</f>
        <v>0</v>
      </c>
      <c r="ED445" s="1369">
        <f>IF(HW445=TRUE,CW447,0)</f>
        <v>0</v>
      </c>
      <c r="EE445" s="1370">
        <f>IFERROR(EC445-ED445,0)</f>
        <v>0</v>
      </c>
      <c r="EF445" s="1369">
        <f>IF(HW445=TRUE,DG447,0)</f>
        <v>0</v>
      </c>
      <c r="EG445" s="1369">
        <f>IFERROR(EC445-ED445+EF445,0)</f>
        <v>0</v>
      </c>
      <c r="EH445" s="1373">
        <f>IF(HW445=TRUE,CS447*CU447,0)</f>
        <v>0</v>
      </c>
      <c r="EI445" s="1373">
        <f>IF(HW445=TRUE,DC447*DE447,0)</f>
        <v>0</v>
      </c>
      <c r="EJ445" s="1363">
        <f>AO445</f>
        <v>0</v>
      </c>
      <c r="EK445" s="1376" t="str">
        <f>IFERROR(IF(HW445=TRUE,VLOOKUP(DN445,Lookup!AN$3:AP$16,3,FALSE)*DR445,""),0)</f>
        <v/>
      </c>
      <c r="EL445" s="1376">
        <f>IF(HW445=TRUE,DW445*Lookup!AP$12,0)</f>
        <v>0</v>
      </c>
      <c r="EM445" s="1362">
        <f>IFERROR(IF(HW445=TRUE,EK445/EM$33,0),0)</f>
        <v>0</v>
      </c>
      <c r="EN445" s="1362">
        <f>IF(HW445=TRUE,EL445/EN$33,0)</f>
        <v>0</v>
      </c>
      <c r="EO445" s="1363">
        <f>IF(HW445=TRUE,EQ$33*EM445,0)</f>
        <v>0</v>
      </c>
      <c r="EP445" s="1363">
        <f>IF(HW445=TRUE,EQ$33*EN445,0)</f>
        <v>0</v>
      </c>
      <c r="EQ445" s="1363">
        <f>EO445+EP445</f>
        <v>0</v>
      </c>
      <c r="ES445" s="1403">
        <f>IF(G445="",0,1)</f>
        <v>0</v>
      </c>
      <c r="EU445" s="1410" t="e">
        <f>VLOOKUP(CP447,'Space Table'!$B$3:$L$160,8,FALSE)</f>
        <v>#N/A</v>
      </c>
      <c r="EV445" s="1410" t="e">
        <f>IF(EY445="Yes",VLOOKUP(DD445,Lookup_Control_Type_Table2,4,FALSE),VLOOKUP(DD445,Lookup_Control_Type_Table2,3,FALSE))</f>
        <v>#N/A</v>
      </c>
      <c r="EW445" s="1410" t="e">
        <f>VLOOKUP(DD445,Lookup!AU$3:AV$15,2,FALSE)</f>
        <v>#N/A</v>
      </c>
      <c r="EX445" s="1410" t="e">
        <f>VLOOKUP(EU445,Lookup_Control_Type_Table,2,FALSE)</f>
        <v>#N/A</v>
      </c>
      <c r="EY445" s="1410" t="e">
        <f>VLOOKUP(CP447,'Space Table'!$B$3:$L$160,7,FALSE)</f>
        <v>#N/A</v>
      </c>
      <c r="EZ445" s="1412" t="b">
        <f>ISNUMBER(SEARCH("TLED",U447))</f>
        <v>0</v>
      </c>
      <c r="FB445" s="1365" t="str">
        <f>CONCATENATE(CN445," - ",DD445)</f>
        <v xml:space="preserve"> - 0</v>
      </c>
      <c r="FD445" s="1353" t="str">
        <f>VLOOKUP(CT447,Fixtures!DN$27:EZ$77,38,FALSE)</f>
        <v/>
      </c>
      <c r="FE445" s="1353">
        <f>IFERROR(FD445*EE445,0)</f>
        <v>0</v>
      </c>
      <c r="FF445" s="138"/>
      <c r="FI445" s="1356" t="str">
        <f>IF(CN445="Exterior","Not Daylighted",G448)</f>
        <v>Not Daylighted</v>
      </c>
      <c r="FJ445" s="1356">
        <f>VLOOKUP(FI445,_Daylight_Table_Codes,2,FALSE)</f>
        <v>0</v>
      </c>
      <c r="FK445" s="1365">
        <f>IF(__Retrofit_TI_NC=2,VLOOKUP(G447,'Space Table'!$B$3:$L$160,11,FALSE),AF446)</f>
        <v>0</v>
      </c>
      <c r="FL445" s="1365" t="e">
        <f>VLOOKUP(FK445,_Control_Table,2,FALSE)</f>
        <v>#N/A</v>
      </c>
      <c r="FM445" s="1365" t="e">
        <f>IF(AND(FP445&gt;0,FK445="Occupancy Sensor"),"Daylight + Occupancy",IF(AND(FP445&gt;0,FL445&lt;4),"Interior Daylight Dimming",FK445))</f>
        <v>#N/A</v>
      </c>
      <c r="FO445" s="1364">
        <f>IF(CO445="Interior",VLOOKUP(CP445,Control_Savings_Interior,5,FALSE),0)</f>
        <v>0</v>
      </c>
      <c r="FP445" s="1361">
        <f>IF(CN445="Exterior",0,IF(FJ445=2,0.5,IF(OR(FJ445=1,FJ445=3),1,0)))</f>
        <v>0</v>
      </c>
      <c r="FQ445" s="1366"/>
      <c r="FR445" s="1367"/>
      <c r="FS445" s="1364"/>
      <c r="FT445" s="1367"/>
      <c r="FU445" s="1360"/>
      <c r="FW445" s="1352" t="str">
        <f>IFERROR(VLOOKUP(U446,_Exist_Fixture_Table,3,FALSE),"")</f>
        <v/>
      </c>
      <c r="FX445" s="1352" t="str">
        <f>VLOOKUP(CT445,_Exist_Fixture_Table,4,FALSE)</f>
        <v/>
      </c>
      <c r="FY445" s="1352">
        <f>IFERROR(VLOOKUP(FX445,Lookup!AM$6:AN$8,2,FALSE),0)</f>
        <v>0</v>
      </c>
      <c r="FZ445" s="1352" t="b">
        <f>IFERROR(IF(OR(GB445=4,GB445=5,GB445=6),TRUE,FALSE),"")</f>
        <v>0</v>
      </c>
      <c r="GA445" s="1352" t="str">
        <f>IFERROR(VLOOKUP(GB445,FY$6:FZ$10,2,FALSE),"")</f>
        <v/>
      </c>
      <c r="GB445" s="1352" t="str">
        <f>VLOOKUP(CT447,Fixtures!R$31:Y$78,8,FALSE)</f>
        <v/>
      </c>
      <c r="GC445" s="1352">
        <f>IF(AND(FW445=TRUE,FZ445=TRUE,OR(DN445=12,DN445=13,DN445=14)),FY445+8,0)</f>
        <v>0</v>
      </c>
      <c r="GD445" s="1352" t="b">
        <f>IF(OR(GC445=12,GC445=13,GC445=14),TRUE,FALSE)</f>
        <v>0</v>
      </c>
      <c r="GE445" s="759" t="b">
        <f>IF(ISNUMBER(SEARCH("TLED",U446)),TRUE,FALSE)</f>
        <v>0</v>
      </c>
      <c r="GF445" s="1035" t="str">
        <f>IFERROR(VLOOKUP(U446,Fixtures!BM$93:BR$142,6,FALSE),"")</f>
        <v/>
      </c>
      <c r="GG445" s="1385" t="b">
        <f>IF(OR(GE445=FALSE,GE447=FALSE),TRUE,IF(GF445-GF447&lt;5,FALSE,TRUE))</f>
        <v>1</v>
      </c>
      <c r="GK445" s="1034">
        <f>GL445</f>
        <v>0</v>
      </c>
      <c r="GL445" s="1034">
        <f>IF(G445="",0,1)</f>
        <v>0</v>
      </c>
      <c r="GM445" s="1034">
        <f>SUM(GN445:HB445)</f>
        <v>2</v>
      </c>
      <c r="GN445" s="1034">
        <f>IF(G446="",0,1)</f>
        <v>0</v>
      </c>
      <c r="GO445" s="1034">
        <f>IF(G447="",0,1)</f>
        <v>0</v>
      </c>
      <c r="GP445" s="1034">
        <f>IF(R446="",0,1)</f>
        <v>0</v>
      </c>
      <c r="GQ445" s="1034">
        <f>IF(__Retrofit_TI_NC=0,1,IF(R447="",0,1))</f>
        <v>1</v>
      </c>
      <c r="GR445" s="1034">
        <f>IF(CN445="Exterior",1,IF(G448="",0,1))</f>
        <v>1</v>
      </c>
      <c r="GS445" s="1034">
        <f>IF(__Retrofit_TI_NC&lt;&gt;0,1,IF(T446="",0,1))</f>
        <v>0</v>
      </c>
      <c r="GT445" s="1034">
        <f>IF(__Retrofit_TI_NC&lt;&gt;0,1,IF(U446="",0,1))</f>
        <v>0</v>
      </c>
      <c r="GU445" s="1034">
        <f>IF(T447="",0,1)</f>
        <v>0</v>
      </c>
      <c r="GV445" s="1034">
        <f>IF(U447="",0,1)</f>
        <v>0</v>
      </c>
      <c r="GW445" s="1034">
        <f>IF(__Retrofit_TI_NC=2,1,IF(U448="",0,1))</f>
        <v>0</v>
      </c>
      <c r="GX445" s="1034">
        <f>IF(__Retrofit_TI_NC&lt;&gt;0,1,IF(AE446="",0,1))</f>
        <v>0</v>
      </c>
      <c r="GY445" s="1034">
        <f>IF(__Retrofit_TI_NC&lt;&gt;0,1,IF(AF446="",0,1))</f>
        <v>0</v>
      </c>
      <c r="GZ445" s="1034">
        <f>IF(AE447="",0,1)</f>
        <v>0</v>
      </c>
      <c r="HA445" s="1034">
        <f>IF(AF447="",0,1)</f>
        <v>0</v>
      </c>
      <c r="HB445" s="1034">
        <f>IF(__Retrofit_TI_NC=2,1,IF(AF448="",0,1))</f>
        <v>0</v>
      </c>
      <c r="HV445" s="436"/>
      <c r="HW445" s="1384" t="b">
        <f>IF(OR(HW448=0,HW448=HT$16,HW448=HS$16,HW448=HU$16),TRUE,FALSE)</f>
        <v>0</v>
      </c>
      <c r="HX445" s="1377" t="b">
        <f>HW445</f>
        <v>0</v>
      </c>
      <c r="HY445" s="436"/>
      <c r="HZ445" s="436"/>
      <c r="IA445" s="1386" t="b">
        <f>IF(MAX(GJ448:HP448)&gt;5,FALSE,TRUE)</f>
        <v>0</v>
      </c>
      <c r="IB445" s="1380">
        <f>IF(IA445=TRUE,AC445,0)</f>
        <v>0</v>
      </c>
      <c r="IC445" s="1380">
        <f>IB445-IB447</f>
        <v>0</v>
      </c>
      <c r="IF445" s="1380" t="e">
        <f>ROUND(T446*VLOOKUP(U446,Fixtures_Existing_List,2,FALSE)*N446*R446/1000,0)</f>
        <v>#N/A</v>
      </c>
      <c r="IG445" s="1381" t="e">
        <f>IF445-IF447</f>
        <v>#N/A</v>
      </c>
      <c r="IH445" s="1384" t="e">
        <f>ROUND(IF(CN445="Interior",N447*R447*R446*N446*_C406_reduction/1000,N447*R447*R446*N446/1000),0)</f>
        <v>#N/A</v>
      </c>
      <c r="II445" s="1384" t="e">
        <f>IH445-IH447</f>
        <v>#N/A</v>
      </c>
      <c r="IK445" s="1351" t="e">
        <f>IF($CO445="interior",IL445/2,VLOOKUP($CP445,Control_Savings_Exterior,IK$30,FALSE))</f>
        <v>#N/A</v>
      </c>
      <c r="IL445" s="1351" t="e">
        <f>IF($CO445="interior",VLOOKUP($CP445,Control_Savings_Interior,IL$30,FALSE),VLOOKUP($CP445,Control_Savings_Exterior,IL$30,FALSE))</f>
        <v>#N/A</v>
      </c>
      <c r="IM445" s="1351" t="e">
        <f>IF($CO445="interior",IF(R446&gt;FO$37,(IM$28*(FO$37/R446)),IM$28)*FP445,VLOOKUP($CP445,Control_Savings_Exterior,IM$30,FALSE))</f>
        <v>#N/A</v>
      </c>
      <c r="IN445" s="1351" t="e">
        <f>IF($CO445="interior",ROUND(((1-IL445)*IM445)+IL445,2),VLOOKUP($CP445,Control_Savings_Exterior,IN$30,FALSE))</f>
        <v>#N/A</v>
      </c>
      <c r="IO445" s="1351" t="e">
        <f>IF($CO445="interior", ROUND(((1-IL445)*(IM445*(1-IP$28)))+IP445,2), VLOOKUP($CP445,Control_Savings_Exterior,IO$30,FALSE))</f>
        <v>#N/A</v>
      </c>
      <c r="IP445" s="1351">
        <f>IF($CO445="interior",ROUND(((1-IL445)*IP$28)+IL445,2),0)</f>
        <v>0</v>
      </c>
    </row>
    <row r="446" spans="1:250" s="82" customFormat="1" ht="14.95" customHeight="1" thickTop="1" thickBot="1">
      <c r="B446" s="1421"/>
      <c r="C446" s="1422"/>
      <c r="D446" s="1423"/>
      <c r="E446" s="1393" t="s">
        <v>244</v>
      </c>
      <c r="F446" s="1394"/>
      <c r="G446" s="1395"/>
      <c r="H446" s="1395"/>
      <c r="I446" s="1395"/>
      <c r="J446" s="1395"/>
      <c r="K446" s="1395"/>
      <c r="L446" s="1395"/>
      <c r="M446" s="509" t="e">
        <f>IF(__Retrofit_TI_NC&lt;&gt;0,IF(VLOOKUP(G447,'Space Table'!$B$3:$L$160,3,FALSE)&gt;0,1,0),IF(__Retrofit_TI_NC=VLOOKUP(G447,'Space Table'!$B$3:$L$160,3,FALSE),1,0))</f>
        <v>#N/A</v>
      </c>
      <c r="N446" s="509" t="str">
        <f>IFERROR(VLOOKUP(G446,_Lookup_Heat_Type_Table_New,2,FALSE),"")</f>
        <v/>
      </c>
      <c r="O446" s="509">
        <f>IF(__Retrofit_TI_NC=1,CONCATENATE("TI ",G446),IF(__Retrofit_TI_NC=2,CONCATENATE("NC ",G446),G446))</f>
        <v>0</v>
      </c>
      <c r="P446" s="1396" t="s">
        <v>352</v>
      </c>
      <c r="Q446" s="1396"/>
      <c r="R446" s="673"/>
      <c r="S446" s="1429"/>
      <c r="T446" s="675"/>
      <c r="U446" s="1496"/>
      <c r="V446" s="1497"/>
      <c r="W446" s="1497"/>
      <c r="X446" s="1497"/>
      <c r="Y446" s="1497"/>
      <c r="Z446" s="1497"/>
      <c r="AA446" s="1497"/>
      <c r="AB446" s="1497"/>
      <c r="AC446" s="1497"/>
      <c r="AD446" s="1498"/>
      <c r="AE446" s="675"/>
      <c r="AF446" s="1397"/>
      <c r="AG446" s="1397"/>
      <c r="AH446" s="1397"/>
      <c r="AI446" s="1397"/>
      <c r="AJ446" s="1434"/>
      <c r="AK446" s="1436"/>
      <c r="AL446" s="1438"/>
      <c r="AM446" s="1441"/>
      <c r="AN446" s="1442"/>
      <c r="AO446" s="1447"/>
      <c r="AP446" s="1447"/>
      <c r="AQ446" s="1448"/>
      <c r="AR446" s="1452"/>
      <c r="AS446" s="1455"/>
      <c r="AT446" s="1458"/>
      <c r="AU446" s="516"/>
      <c r="AV446" s="1479"/>
      <c r="AW446" s="1479"/>
      <c r="BC446" s="38"/>
      <c r="BD446" s="38"/>
      <c r="BE446" s="38"/>
      <c r="BF446" s="38"/>
      <c r="BG446" s="38"/>
      <c r="BH446" s="38"/>
      <c r="BI446" s="38"/>
      <c r="BJ446" s="38"/>
      <c r="BK446" s="38"/>
      <c r="BL446" s="38"/>
      <c r="BM446" s="38"/>
      <c r="BN446" s="38"/>
      <c r="BO446" s="38"/>
      <c r="BP446" s="38"/>
      <c r="BQ446" s="38"/>
      <c r="BR446" s="38"/>
      <c r="BS446" s="38"/>
      <c r="BT446" s="38"/>
      <c r="BU446" s="38"/>
      <c r="BV446" s="38"/>
      <c r="BW446" s="38"/>
      <c r="BX446" s="38"/>
      <c r="BY446" s="38"/>
      <c r="BZ446" s="38"/>
      <c r="CA446" s="38"/>
      <c r="CB446" s="38"/>
      <c r="CC446" s="38"/>
      <c r="CD446" s="38"/>
      <c r="CE446" s="38"/>
      <c r="CF446" s="38"/>
      <c r="CG446" s="38"/>
      <c r="CH446" s="38"/>
      <c r="CI446" s="38"/>
      <c r="CM446" s="1352"/>
      <c r="CN446" s="1352"/>
      <c r="CO446" s="1416"/>
      <c r="CP446" s="1418"/>
      <c r="CR446" s="1386"/>
      <c r="CS446" s="1355"/>
      <c r="CT446" s="1355"/>
      <c r="CU446" s="1355"/>
      <c r="CV446" s="1372"/>
      <c r="CW446" s="1372"/>
      <c r="CX446" s="1371"/>
      <c r="CY446" s="1486"/>
      <c r="CZ446" s="1486"/>
      <c r="DA446" s="1486"/>
      <c r="DC446" s="1355"/>
      <c r="DD446" s="1461"/>
      <c r="DE446" s="1355"/>
      <c r="DF446" s="1407"/>
      <c r="DG446" s="1372"/>
      <c r="DH446" s="1369"/>
      <c r="DJ446" s="1484"/>
      <c r="DL446" s="1419"/>
      <c r="DN446" s="1403"/>
      <c r="DO446" s="1405"/>
      <c r="DP446" s="1354"/>
      <c r="DQ446" s="1405"/>
      <c r="DR446" s="1403"/>
      <c r="DS446" s="1489"/>
      <c r="DU446" s="1403"/>
      <c r="DV446" s="1405"/>
      <c r="DW446" s="1403"/>
      <c r="DX446" s="1403"/>
      <c r="DZ446" s="1481"/>
      <c r="EA446" s="1481"/>
      <c r="EC446" s="1482"/>
      <c r="ED446" s="1369"/>
      <c r="EE446" s="1371"/>
      <c r="EF446" s="1369"/>
      <c r="EG446" s="1369"/>
      <c r="EH446" s="1374"/>
      <c r="EI446" s="1374"/>
      <c r="EJ446" s="1363"/>
      <c r="EK446" s="1376"/>
      <c r="EL446" s="1376"/>
      <c r="EM446" s="1362"/>
      <c r="EN446" s="1362"/>
      <c r="EO446" s="1363"/>
      <c r="EP446" s="1363"/>
      <c r="EQ446" s="1363"/>
      <c r="ES446" s="1403"/>
      <c r="EU446" s="1411"/>
      <c r="EV446" s="1411"/>
      <c r="EW446" s="1411"/>
      <c r="EX446" s="1411"/>
      <c r="EY446" s="1411"/>
      <c r="EZ446" s="1413"/>
      <c r="FB446" s="1365"/>
      <c r="FD446" s="1354"/>
      <c r="FE446" s="1354"/>
      <c r="FF446" s="138"/>
      <c r="FI446" s="1357"/>
      <c r="FJ446" s="1357"/>
      <c r="FK446" s="1365"/>
      <c r="FL446" s="1365"/>
      <c r="FM446" s="1365"/>
      <c r="FO446" s="1361"/>
      <c r="FP446" s="1361"/>
      <c r="FQ446" s="1366"/>
      <c r="FR446" s="1368"/>
      <c r="FS446" s="1361"/>
      <c r="FT446" s="1368"/>
      <c r="FU446" s="1360"/>
      <c r="FW446" s="1352"/>
      <c r="FX446" s="1352"/>
      <c r="FY446" s="1352"/>
      <c r="FZ446" s="1352"/>
      <c r="GA446" s="1352"/>
      <c r="GB446" s="1352"/>
      <c r="GC446" s="1352"/>
      <c r="GD446" s="1352"/>
      <c r="GE446" s="759"/>
      <c r="GF446" s="1035"/>
      <c r="GG446" s="1385"/>
      <c r="GI446" s="1384" t="b">
        <f>IF(AND(GL446=TRUE,GM446=TRUE),TRUE,FALSE)</f>
        <v>0</v>
      </c>
      <c r="GJ446" s="1379" t="b">
        <f>IFERROR(IF(__Retrofit_TI_NC=2,TRUE,IF(AR445="Yes",TRUE,FALSE)),FALSE)</f>
        <v>1</v>
      </c>
      <c r="GL446" s="1379" t="b">
        <f>IFERROR(IF(GL445=1,TRUE,FALSE),FALSE)</f>
        <v>0</v>
      </c>
      <c r="GM446" s="1379" t="b">
        <f>IFERROR(IF(GM445=GM$14,TRUE,FALSE),FALSE)</f>
        <v>0</v>
      </c>
      <c r="HC446" s="1379" t="b">
        <f>IFERROR(IF(M446=1,TRUE,FALSE),FALSE)</f>
        <v>0</v>
      </c>
      <c r="HD446" s="1379" t="b">
        <f>IFERROR(IF(M447=1,TRUE,FALSE),FALSE)</f>
        <v>0</v>
      </c>
      <c r="HE446" s="1379" t="b">
        <f>IFERROR(IF(__Retrofit_TI_NC&lt;&gt;0,TRUE,IFERROR(IF(VLOOKUP(U446,Fixtures_Existing_List,2,FALSE)&lt;&gt;"",TRUE,FALSE),FALSE)),FALSE)</f>
        <v>0</v>
      </c>
      <c r="HF446" s="1379" t="b">
        <f>IFERROR(IF(VLOOKUP(U447,Fixtures_Proposed_List,2,FALSE)&lt;&gt;"",TRUE,FALSE),FALSE)</f>
        <v>0</v>
      </c>
      <c r="HG446" s="1379" t="b">
        <f>IF(AND(__Retrofit_TI_NC=2,EZ445=TRUE),FALSE,TRUE)</f>
        <v>1</v>
      </c>
      <c r="HH446" s="1379" t="b">
        <f>GG445</f>
        <v>1</v>
      </c>
      <c r="HI446" s="1384" t="b">
        <f>IF(ISERROR(MATCH(FB445,_Control_Match[],0))=TRUE,FALSE,TRUE)</f>
        <v>0</v>
      </c>
      <c r="HJ446" s="1384" t="b">
        <f>IFERROR(IF(EU445&lt;&gt;EV445,FALSE,TRUE),FALSE)</f>
        <v>0</v>
      </c>
      <c r="HK446" s="1384" t="b">
        <f>IFERROR(IF(EU447&lt;&gt;EV447,FALSE,TRUE),FALSE)</f>
        <v>0</v>
      </c>
      <c r="HL446" s="1379" t="b">
        <f>IFERROR(IF(CN445="Exterior",TRUE,IF(OR(AND(FJ445=0,EW447&gt;4),AND(FJ445=4,EW447&gt;4,EW447&lt;7)),FALSE,TRUE)),FALSE)</f>
        <v>0</v>
      </c>
      <c r="HM446" s="1379" t="b">
        <f>IFERROR(IF(AND(FL447=7,EZ445=TRUE),FALSE,TRUE),FALSE)</f>
        <v>0</v>
      </c>
      <c r="HN446" s="1379" t="b">
        <f>IFERROR(IF(AND(T447&lt;&gt;AE447,AF447="Interior LLLC")=TRUE,FALSE,TRUE),FALSE)</f>
        <v>1</v>
      </c>
      <c r="HO446" s="1379" t="b">
        <f>IFERROR(IF(OR(AF447=Lookup!AU$13,AF447=Lookup!AU$14)=TRUE,IF(AE447&gt;T447,FALSE,TRUE),TRUE),FALSE)</f>
        <v>1</v>
      </c>
      <c r="HP446" s="1379" t="b">
        <f>IFERROR(IF(__Retrofit_TI_NC=2,IF(EW447&lt;EW445,FALSE,TRUE),TRUE),FALSE)</f>
        <v>1</v>
      </c>
      <c r="HQ446" s="1379" t="b">
        <f>IF(CN445="Interior",IG$6,TRUE)</f>
        <v>1</v>
      </c>
      <c r="HR446" s="1379" t="b">
        <f>IF(CN445="Exterior",IG$8,TRUE)</f>
        <v>1</v>
      </c>
      <c r="HS446" s="1379" t="b">
        <f>IFERROR(IF(__Retrofit_TI_NC&lt;&gt;0,IF(AW445&lt;AV445,FALSE,TRUE),TRUE),FALSE)</f>
        <v>1</v>
      </c>
      <c r="HT446" s="1379" t="b">
        <f>IFERROR(IF(AND(G446="Exterior",R446&gt;4200),FALSE,TRUE),FALSE)</f>
        <v>1</v>
      </c>
      <c r="HU446" s="1379" t="b">
        <f>IFERROR(IF(AB448/AB445&lt;HU$18,FALSE,TRUE),FALSE)</f>
        <v>0</v>
      </c>
      <c r="HW446" s="1382"/>
      <c r="HX446" s="1378"/>
      <c r="HY446" s="1377" t="str">
        <f>VLOOKUP(HW448,_Error_Table,4,FALSE)</f>
        <v>White</v>
      </c>
      <c r="HZ446" s="436"/>
      <c r="IA446" s="1386"/>
      <c r="IB446" s="1380"/>
      <c r="IC446" s="1379"/>
      <c r="IF446" s="1380"/>
      <c r="IG446" s="1382"/>
      <c r="IH446" s="1382"/>
      <c r="II446" s="1382"/>
      <c r="IK446" s="1351"/>
      <c r="IL446" s="1351"/>
      <c r="IM446" s="1351"/>
      <c r="IN446" s="1351"/>
      <c r="IO446" s="1351"/>
      <c r="IP446" s="1351"/>
    </row>
    <row r="447" spans="1:250" s="82" customFormat="1" ht="14.95" customHeight="1" thickTop="1" thickBot="1">
      <c r="A447" s="82">
        <f>ROW()</f>
        <v>447</v>
      </c>
      <c r="B447" s="1421"/>
      <c r="C447" s="1422"/>
      <c r="D447" s="1423"/>
      <c r="E447" s="1393" t="s">
        <v>245</v>
      </c>
      <c r="F447" s="1394"/>
      <c r="G447" s="1398"/>
      <c r="H447" s="1399"/>
      <c r="I447" s="1399"/>
      <c r="J447" s="1399"/>
      <c r="K447" s="1399"/>
      <c r="L447" s="1400"/>
      <c r="M447" s="509">
        <f>IFERROR(IF(IF(__Retrofit_TI_NC&lt;&gt;0,IF(CN445="Interior",MATCH(G447,Lookup_Interior_New,0),MATCH(G447,Lookup_Exterior_New,0)),IF(CN445="Interior",MATCH(G447,Lookup_Interior,0),MATCH(G447,Lookup_Exterior_Areas,0)))&gt;0,1,0),0)</f>
        <v>0</v>
      </c>
      <c r="N447" s="509" t="e">
        <f>IF(__Retrofit_TI_NC=1,
VLOOKUP(G447,'Space Table'!$B$3:$L$160,4,FALSE),
IF(__Retrofit_TI_NC=2,VLOOKUP(G447,'Space Table'!$B$3:$L$160,5,FALSE),VLOOKUP(G447,'Space Table'!$B$3:$L$160,5,FALSE)))</f>
        <v>#N/A</v>
      </c>
      <c r="O447" s="509">
        <f>G447</f>
        <v>0</v>
      </c>
      <c r="P447" s="1394" t="s">
        <v>355</v>
      </c>
      <c r="Q447" s="1394"/>
      <c r="R447" s="674"/>
      <c r="S447" s="1401" t="s">
        <v>284</v>
      </c>
      <c r="T447" s="672"/>
      <c r="U447" s="1499"/>
      <c r="V447" s="1500"/>
      <c r="W447" s="1500"/>
      <c r="X447" s="1500"/>
      <c r="Y447" s="1500"/>
      <c r="Z447" s="1500"/>
      <c r="AA447" s="1500"/>
      <c r="AB447" s="1501"/>
      <c r="AC447" s="1501"/>
      <c r="AD447" s="1502"/>
      <c r="AE447" s="672"/>
      <c r="AF447" s="1474"/>
      <c r="AG447" s="1474"/>
      <c r="AH447" s="1474"/>
      <c r="AI447" s="1474"/>
      <c r="AJ447" s="1475">
        <f>DF447</f>
        <v>0</v>
      </c>
      <c r="AK447" s="1470" t="str">
        <f>IFERROR(ROUND(AJ447*AC448,0),"")</f>
        <v/>
      </c>
      <c r="AL447" s="1472">
        <f>IFERROR(IF(HW445=FALSE,0,AC448-AK447),0)</f>
        <v>0</v>
      </c>
      <c r="AM447" s="1441"/>
      <c r="AN447" s="1442"/>
      <c r="AO447" s="1447"/>
      <c r="AP447" s="1447"/>
      <c r="AQ447" s="1448"/>
      <c r="AR447" s="1452"/>
      <c r="AS447" s="1455"/>
      <c r="AT447" s="1458"/>
      <c r="AU447" s="516"/>
      <c r="AV447" s="1479"/>
      <c r="AW447" s="1479"/>
      <c r="BC447" s="38"/>
      <c r="BD447" s="38"/>
      <c r="BE447" s="38"/>
      <c r="BF447" s="38"/>
      <c r="BG447" s="38"/>
      <c r="BH447" s="38"/>
      <c r="BI447" s="38"/>
      <c r="BJ447" s="38"/>
      <c r="BK447" s="38"/>
      <c r="BL447" s="38"/>
      <c r="BM447" s="38"/>
      <c r="BN447" s="38"/>
      <c r="BO447" s="38"/>
      <c r="BP447" s="38"/>
      <c r="BQ447" s="38"/>
      <c r="BR447" s="38"/>
      <c r="BS447" s="38"/>
      <c r="BT447" s="38"/>
      <c r="BU447" s="38"/>
      <c r="BV447" s="38"/>
      <c r="BW447" s="38"/>
      <c r="BX447" s="38"/>
      <c r="BY447" s="38"/>
      <c r="BZ447" s="38"/>
      <c r="CA447" s="38"/>
      <c r="CB447" s="38"/>
      <c r="CC447" s="38"/>
      <c r="CD447" s="38"/>
      <c r="CE447" s="38"/>
      <c r="CF447" s="38"/>
      <c r="CG447" s="38"/>
      <c r="CH447" s="38"/>
      <c r="CI447" s="38"/>
      <c r="CM447" s="1352"/>
      <c r="CN447" s="1352"/>
      <c r="CO447" s="1415" t="str">
        <f>CN445</f>
        <v/>
      </c>
      <c r="CP447" s="1417" t="e">
        <f>CP445</f>
        <v>#N/A</v>
      </c>
      <c r="CR447" s="1386" t="s">
        <v>284</v>
      </c>
      <c r="CS447" s="1353">
        <f>IF(HW445=TRUE,T447,0)</f>
        <v>0</v>
      </c>
      <c r="CT447" s="1353" t="str">
        <f>IF(HW445=TRUE,U447,"")</f>
        <v/>
      </c>
      <c r="CU447" s="1373">
        <f>IF(HW445=TRUE,U448,0)</f>
        <v>0</v>
      </c>
      <c r="CV447" s="1370">
        <f>IF(HW445=TRUE,AB448,0)</f>
        <v>0</v>
      </c>
      <c r="CW447" s="1370">
        <f>IF(HW445=TRUE,AC448,0)</f>
        <v>0</v>
      </c>
      <c r="CX447" s="1371"/>
      <c r="CY447" s="1486"/>
      <c r="CZ447" s="1486"/>
      <c r="DA447" s="1486"/>
      <c r="DC447" s="1353">
        <f>IF(HW445=TRUE,AE447,0)</f>
        <v>0</v>
      </c>
      <c r="DD447" s="1353" t="str">
        <f>IF(HW445=TRUE,AF447,"")</f>
        <v/>
      </c>
      <c r="DE447" s="1373">
        <f>AF448</f>
        <v>0</v>
      </c>
      <c r="DF447" s="1406">
        <f>IFERROR(IF(FL447=3,IK447,IF(FL447=4,IL447,IF(FL447=5,IM447,IF(FL447=6,IN447,IF(FL447=7,IO447,IF(FL447=8,IP447,0)))))),0)</f>
        <v>0</v>
      </c>
      <c r="DG447" s="1370">
        <f>IF(HW445=TRUE,AK447,0)</f>
        <v>0</v>
      </c>
      <c r="DH447" s="1369"/>
      <c r="DK447" s="1483">
        <f>IFERROR(CW447-DG447,0)</f>
        <v>0</v>
      </c>
      <c r="DL447" s="1420"/>
      <c r="DN447" s="1403"/>
      <c r="DO447" s="1477" t="str">
        <f>DN445</f>
        <v/>
      </c>
      <c r="DP447" s="1354"/>
      <c r="DQ447" s="1477" t="str">
        <f>IF(DP445=7,"LLLC","")</f>
        <v/>
      </c>
      <c r="DR447" s="1403"/>
      <c r="DS447" s="1489"/>
      <c r="DU447" s="1403"/>
      <c r="DV447" s="1404" t="str">
        <f>DU445</f>
        <v/>
      </c>
      <c r="DW447" s="1403"/>
      <c r="DX447" s="1403"/>
      <c r="DZ447" s="1481"/>
      <c r="EA447" s="1481"/>
      <c r="EC447" s="1482"/>
      <c r="ED447" s="1369"/>
      <c r="EE447" s="1371"/>
      <c r="EF447" s="1369"/>
      <c r="EG447" s="1369"/>
      <c r="EH447" s="1374"/>
      <c r="EI447" s="1374"/>
      <c r="EJ447" s="1363"/>
      <c r="EK447" s="1376"/>
      <c r="EL447" s="1376"/>
      <c r="EM447" s="1362"/>
      <c r="EN447" s="1362"/>
      <c r="EO447" s="1363"/>
      <c r="EP447" s="1363"/>
      <c r="EQ447" s="1363"/>
      <c r="ES447" s="1403"/>
      <c r="EU447" s="1411" t="e">
        <f>VLOOKUP(CP447,'Space Table'!$B$3:$L$160,8,FALSE)</f>
        <v>#N/A</v>
      </c>
      <c r="EV447" s="1411" t="e">
        <f>IF(EY447="Yes",VLOOKUP(AF447,Lookup_Control_Type_Table2,4,FALSE),VLOOKUP(AF447,Lookup_Control_Type_Table2,3,FALSE))</f>
        <v>#N/A</v>
      </c>
      <c r="EW447" s="1411" t="e">
        <f>VLOOKUP(AF447,Lookup!AU$3:AV$15,2,FALSE)</f>
        <v>#N/A</v>
      </c>
      <c r="EX447" s="1411" t="e">
        <f>VLOOKUP(EU445,Lookup_Control_Type_Table,2,FALSE)</f>
        <v>#N/A</v>
      </c>
      <c r="EY447" s="1411" t="e">
        <f>VLOOKUP(CP447,'Space Table'!$B$3:$L$160,7,FALSE)</f>
        <v>#N/A</v>
      </c>
      <c r="EZ447" s="1413"/>
      <c r="FB447" s="1365" t="str">
        <f>CONCATENATE(CN445," - ",AF447)</f>
        <v xml:space="preserve"> - </v>
      </c>
      <c r="FD447" s="1354"/>
      <c r="FE447" s="1354"/>
      <c r="FF447" s="138"/>
      <c r="FI447" s="1356" t="str">
        <f>IF(CN445="Exterior","Not Daylighted",G448)</f>
        <v>Not Daylighted</v>
      </c>
      <c r="FJ447" s="1356">
        <f>VLOOKUP(FI447,_Daylight_Table_Codes,2,FALSE)</f>
        <v>0</v>
      </c>
      <c r="FK447" s="1365">
        <f>AF447</f>
        <v>0</v>
      </c>
      <c r="FL447" s="1365" t="e">
        <f>VLOOKUP(FK447,_Control_Table,2,FALSE)</f>
        <v>#N/A</v>
      </c>
      <c r="FM447" s="1365" t="e">
        <f>IF(AND(FP447&gt;0,FK447="Occupancy Sensor"),"Daylight + Occupancy",IF(AND(FP447&gt;0,FL447&lt;4),"Interior Daylight Dimming",FK447))</f>
        <v>#N/A</v>
      </c>
      <c r="FO447" s="1364">
        <f>IF(CN445="Interior",VLOOKUP(CP445,Control_Savings_Interior,5,FALSE),0)</f>
        <v>0</v>
      </c>
      <c r="FP447" s="1361">
        <f>IF(CN447="Exterior",0,IF(FJ447=2,0.5,IF(OR(FJ447=1,FJ447=3),1,0)))</f>
        <v>0</v>
      </c>
      <c r="FQ447" s="1366">
        <f>IF(R446&gt;FO$37,(FO447*(FO$37/R446)),FO447)*FP447</f>
        <v>0</v>
      </c>
      <c r="FR447" s="1364">
        <f>DF447</f>
        <v>0</v>
      </c>
      <c r="FS447" s="1364">
        <f>ROUND(FR447+((1-FR447)*FQ447),2)</f>
        <v>0</v>
      </c>
      <c r="FT447" s="1364">
        <f>IF(__Retrofit_TI_NC=2,FS447,FR447)</f>
        <v>0</v>
      </c>
      <c r="FU447" s="1360">
        <f>IF(CO447="Interior",VLOOKUP(CP447,Control_Savings_Interior,4,FALSE),0)</f>
        <v>0</v>
      </c>
      <c r="FW447" s="1352"/>
      <c r="FX447" s="1352"/>
      <c r="FY447" s="1352"/>
      <c r="FZ447" s="1352"/>
      <c r="GA447" s="1352"/>
      <c r="GB447" s="1352"/>
      <c r="GC447" s="1352"/>
      <c r="GD447" s="1352"/>
      <c r="GE447" s="759" t="b">
        <f>IF(ISNUMBER(SEARCH("TLED",U447)),TRUE,FALSE)</f>
        <v>0</v>
      </c>
      <c r="GF447" s="1035" t="str">
        <f>IFERROR(VLOOKUP(U447,Fixtures!DM$93:DR$142,6,FALSE),"")</f>
        <v/>
      </c>
      <c r="GG447" s="1385"/>
      <c r="GI447" s="1383"/>
      <c r="GJ447" s="1379"/>
      <c r="GL447" s="1379"/>
      <c r="GM447" s="1379"/>
      <c r="HC447" s="1379"/>
      <c r="HD447" s="1379"/>
      <c r="HE447" s="1379"/>
      <c r="HF447" s="1379"/>
      <c r="HG447" s="1379"/>
      <c r="HH447" s="1379"/>
      <c r="HI447" s="1383"/>
      <c r="HJ447" s="1383"/>
      <c r="HK447" s="1383"/>
      <c r="HL447" s="1379"/>
      <c r="HM447" s="1379"/>
      <c r="HN447" s="1379"/>
      <c r="HO447" s="1379"/>
      <c r="HP447" s="1379"/>
      <c r="HQ447" s="1379"/>
      <c r="HR447" s="1379"/>
      <c r="HS447" s="1379"/>
      <c r="HT447" s="1379"/>
      <c r="HU447" s="1379"/>
      <c r="HW447" s="1383"/>
      <c r="HX447" s="1384" t="b">
        <f>HW445</f>
        <v>0</v>
      </c>
      <c r="HY447" s="1378"/>
      <c r="HZ447" s="436"/>
      <c r="IA447" s="1386"/>
      <c r="IB447" s="1380">
        <f>IF(IA445=TRUE,AC448,0)</f>
        <v>0</v>
      </c>
      <c r="IC447" s="1379"/>
      <c r="IF447" s="1380" t="e">
        <f>ROUND(T447*AB448*N446*R446/1000,0)</f>
        <v>#VALUE!</v>
      </c>
      <c r="IG447" s="1382"/>
      <c r="IH447" s="1384" t="e">
        <f>ROUND(T447*AB448*N446*R446/1000,0)</f>
        <v>#VALUE!</v>
      </c>
      <c r="II447" s="1382"/>
      <c r="IK447" s="1351" t="e">
        <f>IF($CO447="interior",IL447/2,VLOOKUP($CP447,Control_Savings_Exterior,IK$30,FALSE))</f>
        <v>#N/A</v>
      </c>
      <c r="IL447" s="1351" t="e">
        <f>IF($CO447="interior",VLOOKUP($CP447,Control_Savings_Interior,IL$30,FALSE),VLOOKUP($CP447,Control_Savings_Exterior,IL$30,FALSE))</f>
        <v>#N/A</v>
      </c>
      <c r="IM447" s="1351" t="e">
        <f>IF($CO447="interior",IF(R446&gt;FO$37,(IM$28*(FO$37/R446)),IM$28)*FP447,VLOOKUP($CP447,Control_Savings_Exterior,IM$30,FALSE))</f>
        <v>#N/A</v>
      </c>
      <c r="IN447" s="1351" t="e">
        <f>IF($CO447="interior",ROUND(((1-IL447)*IM447)+IL447,2),VLOOKUP($CP447,Control_Savings_Exterior,IN$30,FALSE))</f>
        <v>#N/A</v>
      </c>
      <c r="IO447" s="1351" t="e">
        <f>IF($CO447="interior", ROUND(((1-IL447)*(IM447*(1-IP$28)))+IP447,2), VLOOKUP($CP447,Control_Savings_Exterior,IO$30,FALSE))</f>
        <v>#N/A</v>
      </c>
      <c r="IP447" s="1351">
        <f>IF($CO447="interior",ROUND(((1-IL447)*IP$28)+IL447,2),0)</f>
        <v>0</v>
      </c>
    </row>
    <row r="448" spans="1:250" s="82" customFormat="1" ht="14.95" customHeight="1" thickTop="1" thickBot="1">
      <c r="B448" s="1421"/>
      <c r="C448" s="1422"/>
      <c r="D448" s="1423"/>
      <c r="E448" s="1462" t="s">
        <v>357</v>
      </c>
      <c r="F448" s="1463"/>
      <c r="G448" s="1464" t="s">
        <v>362</v>
      </c>
      <c r="H448" s="1465"/>
      <c r="I448" s="1465"/>
      <c r="J448" s="1465"/>
      <c r="K448" s="1465"/>
      <c r="L448" s="1466"/>
      <c r="M448" s="669">
        <f>IFERROR(VLOOKUP(G448,_Daylight_Table[],2,FALSE),0)</f>
        <v>0</v>
      </c>
      <c r="N448" s="670"/>
      <c r="O448" s="669" t="e">
        <f>VLOOKUP(G447,'Space Table'!$B$3:$L$160,11,FALSE)</f>
        <v>#N/A</v>
      </c>
      <c r="P448" s="1408"/>
      <c r="Q448" s="1409"/>
      <c r="R448" s="1409"/>
      <c r="S448" s="1402"/>
      <c r="T448" s="671" t="s">
        <v>281</v>
      </c>
      <c r="U448" s="1467" t="str">
        <f>IFERROR(VLOOKUP(U447,Fixtures!DM$93:DP$142,4,FALSE),"")</f>
        <v/>
      </c>
      <c r="V448" s="1468"/>
      <c r="W448" s="1468"/>
      <c r="X448" s="1468"/>
      <c r="Y448" s="1468"/>
      <c r="Z448" s="1468"/>
      <c r="AA448" s="1468"/>
      <c r="AB448" s="1046" t="str">
        <f>IFERROR(VLOOKUP(U447,Fixtures_Proposed_List,2,FALSE),"")</f>
        <v/>
      </c>
      <c r="AC448" s="1036" t="str">
        <f>IFERROR(ROUND(T447*AB448*N446*R446/1000,0),"")</f>
        <v/>
      </c>
      <c r="AD448" s="1037" t="str">
        <f>IFERROR(ROUND(T447*AB448/1000,2),"")</f>
        <v/>
      </c>
      <c r="AE448" s="1045" t="s">
        <v>281</v>
      </c>
      <c r="AF448" s="1469"/>
      <c r="AG448" s="1469"/>
      <c r="AH448" s="1469"/>
      <c r="AI448" s="1469"/>
      <c r="AJ448" s="1476"/>
      <c r="AK448" s="1471"/>
      <c r="AL448" s="1473"/>
      <c r="AM448" s="1443"/>
      <c r="AN448" s="1444"/>
      <c r="AO448" s="1449"/>
      <c r="AP448" s="1449"/>
      <c r="AQ448" s="1450"/>
      <c r="AR448" s="1453"/>
      <c r="AS448" s="1456"/>
      <c r="AT448" s="1459"/>
      <c r="AU448" s="517"/>
      <c r="AV448" s="1480"/>
      <c r="AW448" s="1480"/>
      <c r="BC448" s="38"/>
      <c r="BD448" s="38"/>
      <c r="BE448" s="38"/>
      <c r="BF448" s="38"/>
      <c r="BG448" s="38"/>
      <c r="BH448" s="38"/>
      <c r="BI448" s="38"/>
      <c r="BJ448" s="38"/>
      <c r="BK448" s="38"/>
      <c r="BL448" s="38"/>
      <c r="BM448" s="38"/>
      <c r="BN448" s="38"/>
      <c r="BO448" s="38"/>
      <c r="BP448" s="38"/>
      <c r="BQ448" s="38"/>
      <c r="BR448" s="38"/>
      <c r="BS448" s="38"/>
      <c r="BT448" s="38"/>
      <c r="BU448" s="38"/>
      <c r="BV448" s="38"/>
      <c r="BW448" s="38"/>
      <c r="BX448" s="38"/>
      <c r="BY448" s="38"/>
      <c r="BZ448" s="38"/>
      <c r="CA448" s="38"/>
      <c r="CB448" s="38"/>
      <c r="CC448" s="38"/>
      <c r="CD448" s="38"/>
      <c r="CE448" s="38"/>
      <c r="CF448" s="38"/>
      <c r="CG448" s="38"/>
      <c r="CH448" s="38"/>
      <c r="CI448" s="38"/>
      <c r="CM448" s="1352"/>
      <c r="CN448" s="1352"/>
      <c r="CO448" s="1416"/>
      <c r="CP448" s="1418"/>
      <c r="CR448" s="1386"/>
      <c r="CS448" s="1355"/>
      <c r="CT448" s="1355"/>
      <c r="CU448" s="1375"/>
      <c r="CV448" s="1372"/>
      <c r="CW448" s="1372"/>
      <c r="CX448" s="1372"/>
      <c r="CY448" s="1487"/>
      <c r="CZ448" s="1487"/>
      <c r="DA448" s="1487"/>
      <c r="DC448" s="1355"/>
      <c r="DD448" s="1355"/>
      <c r="DE448" s="1375"/>
      <c r="DF448" s="1407"/>
      <c r="DG448" s="1372"/>
      <c r="DH448" s="1369"/>
      <c r="DK448" s="1484"/>
      <c r="DL448" s="1420"/>
      <c r="DN448" s="1403"/>
      <c r="DO448" s="1405"/>
      <c r="DP448" s="1355"/>
      <c r="DQ448" s="1405"/>
      <c r="DR448" s="1403"/>
      <c r="DS448" s="1489"/>
      <c r="DU448" s="1403"/>
      <c r="DV448" s="1405"/>
      <c r="DW448" s="1403"/>
      <c r="DX448" s="1403"/>
      <c r="DZ448" s="1481"/>
      <c r="EA448" s="1481"/>
      <c r="EC448" s="1482"/>
      <c r="ED448" s="1369"/>
      <c r="EE448" s="1372"/>
      <c r="EF448" s="1369"/>
      <c r="EG448" s="1369"/>
      <c r="EH448" s="1375"/>
      <c r="EI448" s="1375"/>
      <c r="EJ448" s="1363"/>
      <c r="EK448" s="1376"/>
      <c r="EL448" s="1376"/>
      <c r="EM448" s="1362"/>
      <c r="EN448" s="1362"/>
      <c r="EO448" s="1363"/>
      <c r="EP448" s="1363"/>
      <c r="EQ448" s="1363"/>
      <c r="ES448" s="1403"/>
      <c r="EU448" s="1488"/>
      <c r="EV448" s="1488"/>
      <c r="EW448" s="1488"/>
      <c r="EX448" s="1488"/>
      <c r="EY448" s="1488"/>
      <c r="EZ448" s="1414"/>
      <c r="FB448" s="1365"/>
      <c r="FD448" s="1355"/>
      <c r="FE448" s="1355"/>
      <c r="FF448" s="138"/>
      <c r="FI448" s="1357"/>
      <c r="FJ448" s="1357"/>
      <c r="FK448" s="1365"/>
      <c r="FL448" s="1365"/>
      <c r="FM448" s="1365"/>
      <c r="FO448" s="1361"/>
      <c r="FP448" s="1361"/>
      <c r="FQ448" s="1366"/>
      <c r="FR448" s="1361"/>
      <c r="FS448" s="1361"/>
      <c r="FT448" s="1361"/>
      <c r="FU448" s="1360"/>
      <c r="FW448" s="1352"/>
      <c r="FX448" s="1352"/>
      <c r="FY448" s="1352"/>
      <c r="FZ448" s="1352"/>
      <c r="GA448" s="1352"/>
      <c r="GB448" s="1352"/>
      <c r="GC448" s="1352"/>
      <c r="GD448" s="1352"/>
      <c r="GE448" s="759"/>
      <c r="GF448" s="1035"/>
      <c r="GG448" s="1385"/>
      <c r="GJ448" s="1034">
        <f>IF(GJ446=TRUE,0,GJ$16)</f>
        <v>0</v>
      </c>
      <c r="GL448" s="1034">
        <f>IF(GL446=TRUE,0,GL$16)</f>
        <v>36</v>
      </c>
      <c r="GM448" s="1034">
        <f>IF(GM446=TRUE,0,GM$16)</f>
        <v>35</v>
      </c>
      <c r="GN448" s="436"/>
      <c r="GO448" s="436"/>
      <c r="GP448" s="436"/>
      <c r="GQ448" s="436"/>
      <c r="GR448" s="436"/>
      <c r="HC448" s="1034">
        <f t="shared" ref="HC448:HH448" si="326">IF(HC446=TRUE,0,HC$16)</f>
        <v>19</v>
      </c>
      <c r="HD448" s="1034">
        <f t="shared" si="326"/>
        <v>18</v>
      </c>
      <c r="HE448" s="1034">
        <f t="shared" si="326"/>
        <v>17</v>
      </c>
      <c r="HF448" s="1034">
        <f t="shared" si="326"/>
        <v>16</v>
      </c>
      <c r="HG448" s="1034">
        <f t="shared" si="326"/>
        <v>0</v>
      </c>
      <c r="HH448" s="1034">
        <f t="shared" si="326"/>
        <v>0</v>
      </c>
      <c r="HI448" s="1034">
        <f>IF(HI446=TRUE,0,HI$16)</f>
        <v>13</v>
      </c>
      <c r="HJ448" s="1034">
        <f t="shared" ref="HJ448:HL448" si="327">IF(HJ446=TRUE,0,HJ$16)</f>
        <v>12</v>
      </c>
      <c r="HK448" s="1034">
        <f t="shared" si="327"/>
        <v>11</v>
      </c>
      <c r="HL448" s="1034">
        <f t="shared" si="327"/>
        <v>10</v>
      </c>
      <c r="HM448" s="1034">
        <f>IF(HM446=TRUE,0,HM$16)</f>
        <v>9</v>
      </c>
      <c r="HN448" s="1034">
        <f t="shared" ref="HN448:HR448" si="328">IF(HN446=TRUE,0,HN$16)</f>
        <v>0</v>
      </c>
      <c r="HO448" s="1034">
        <f t="shared" si="328"/>
        <v>0</v>
      </c>
      <c r="HP448" s="1034">
        <f t="shared" si="328"/>
        <v>0</v>
      </c>
      <c r="HQ448" s="1034">
        <f t="shared" si="328"/>
        <v>0</v>
      </c>
      <c r="HR448" s="1034">
        <f t="shared" si="328"/>
        <v>0</v>
      </c>
      <c r="HS448" s="1034">
        <f>IF(HS446=TRUE,0,HS$16)</f>
        <v>0</v>
      </c>
      <c r="HT448" s="1034">
        <f t="shared" ref="HT448" si="329">IF(HT446=TRUE,0,HT$16)</f>
        <v>0</v>
      </c>
      <c r="HU448" s="1034">
        <f>IF(HU446=TRUE,0,HU$16)</f>
        <v>1</v>
      </c>
      <c r="HW448" s="1034">
        <f>IF(GL446=FALSE,GL448,IF(GM446=FALSE,GM448,MAX(GJ448:HU448)))</f>
        <v>36</v>
      </c>
      <c r="HX448" s="1383"/>
      <c r="HY448" s="241" t="str">
        <f>VLOOKUP(HW448,_Error_Table,3,FALSE)</f>
        <v xml:space="preserve"> </v>
      </c>
      <c r="HZ448" s="241"/>
      <c r="IA448" s="1386"/>
      <c r="IB448" s="1380"/>
      <c r="IC448" s="1379"/>
      <c r="IF448" s="1380"/>
      <c r="IG448" s="1383"/>
      <c r="IH448" s="1383"/>
      <c r="II448" s="1383"/>
      <c r="IK448" s="1351"/>
      <c r="IL448" s="1351"/>
      <c r="IM448" s="1351"/>
      <c r="IN448" s="1351"/>
      <c r="IO448" s="1351"/>
      <c r="IP448" s="1351"/>
    </row>
    <row r="449" spans="1:250" s="82" customFormat="1" ht="5.0999999999999996" customHeight="1" thickBot="1">
      <c r="B449" s="763"/>
      <c r="C449" s="1038"/>
      <c r="D449" s="1038"/>
      <c r="E449" s="1490"/>
      <c r="F449" s="1490"/>
      <c r="G449" s="1490"/>
      <c r="H449" s="1490"/>
      <c r="I449" s="1490"/>
      <c r="J449" s="1490"/>
      <c r="K449" s="1490"/>
      <c r="L449" s="1490"/>
      <c r="M449" s="1490"/>
      <c r="N449" s="1490"/>
      <c r="O449" s="1490"/>
      <c r="P449" s="1490"/>
      <c r="Q449" s="1490"/>
      <c r="R449" s="1490"/>
      <c r="S449" s="1490"/>
      <c r="T449" s="1490"/>
      <c r="U449" s="1490"/>
      <c r="V449" s="1490"/>
      <c r="W449" s="1490"/>
      <c r="X449" s="1490"/>
      <c r="Y449" s="1490"/>
      <c r="Z449" s="1490"/>
      <c r="AA449" s="1490"/>
      <c r="AB449" s="1490"/>
      <c r="AC449" s="1490"/>
      <c r="AD449" s="1490"/>
      <c r="AE449" s="1490"/>
      <c r="AF449" s="1490"/>
      <c r="AG449" s="1490"/>
      <c r="AH449" s="1490"/>
      <c r="AI449" s="1490"/>
      <c r="AJ449" s="1490"/>
      <c r="AK449" s="1490"/>
      <c r="AL449" s="1490"/>
      <c r="AM449" s="1490"/>
      <c r="AN449" s="1490"/>
      <c r="AO449" s="1490"/>
      <c r="AP449" s="1490"/>
      <c r="AQ449" s="1490"/>
      <c r="AR449" s="1490"/>
      <c r="AS449" s="1490"/>
      <c r="AT449" s="1490"/>
      <c r="AU449" s="1041"/>
      <c r="BC449" s="38"/>
      <c r="BD449" s="38"/>
      <c r="BE449" s="38"/>
      <c r="BF449" s="38"/>
      <c r="BG449" s="38"/>
      <c r="BH449" s="38"/>
      <c r="BI449" s="38"/>
      <c r="BJ449" s="38"/>
      <c r="BK449" s="38"/>
      <c r="BL449" s="38"/>
      <c r="BM449" s="38"/>
      <c r="BN449" s="38"/>
      <c r="BO449" s="38"/>
      <c r="BP449" s="38"/>
      <c r="BQ449" s="38"/>
      <c r="BR449" s="38"/>
      <c r="BS449" s="38"/>
      <c r="BT449" s="38"/>
      <c r="BU449" s="38"/>
      <c r="BV449" s="38"/>
      <c r="BW449" s="38"/>
      <c r="BX449" s="38"/>
      <c r="BY449" s="38"/>
      <c r="BZ449" s="38"/>
      <c r="CA449" s="38"/>
      <c r="CB449" s="38"/>
      <c r="CC449" s="38"/>
      <c r="CD449" s="38"/>
      <c r="CE449" s="38"/>
      <c r="CF449" s="38"/>
      <c r="CG449" s="38"/>
      <c r="CH449" s="38"/>
      <c r="CI449" s="38"/>
      <c r="CM449" s="749"/>
      <c r="CN449" s="749"/>
      <c r="CO449" s="1043"/>
      <c r="CP449" s="749"/>
      <c r="CS449" s="436"/>
      <c r="CT449" s="436"/>
      <c r="CU449" s="243"/>
      <c r="CV449" s="244"/>
      <c r="CW449" s="244"/>
      <c r="CX449" s="244"/>
      <c r="CY449" s="245"/>
      <c r="CZ449" s="245"/>
      <c r="DA449" s="245"/>
      <c r="DC449" s="750"/>
      <c r="DD449" s="751"/>
      <c r="DE449" s="752"/>
      <c r="DF449" s="753"/>
      <c r="DG449" s="754"/>
      <c r="DH449" s="754"/>
      <c r="DK449" s="244"/>
      <c r="DL449" s="750"/>
      <c r="DN449" s="750"/>
      <c r="DO449" s="755"/>
      <c r="DP449" s="436"/>
      <c r="DQ449" s="750"/>
      <c r="DR449" s="750"/>
      <c r="DS449" s="750"/>
      <c r="DU449" s="750"/>
      <c r="DV449" s="750"/>
      <c r="DW449" s="750"/>
      <c r="DX449" s="750"/>
      <c r="DZ449" s="756"/>
      <c r="EA449" s="756"/>
      <c r="EC449" s="754"/>
      <c r="ED449" s="754"/>
      <c r="EE449" s="244"/>
      <c r="EF449" s="754"/>
      <c r="EG449" s="754"/>
      <c r="EH449" s="243"/>
      <c r="EI449" s="243"/>
      <c r="EJ449" s="752"/>
      <c r="EK449" s="757"/>
      <c r="EL449" s="757"/>
      <c r="EM449" s="758"/>
      <c r="EN449" s="758"/>
      <c r="EO449" s="752"/>
      <c r="EP449" s="752"/>
      <c r="EQ449" s="752"/>
      <c r="ES449" s="750"/>
      <c r="EU449" s="436"/>
      <c r="EV449" s="436"/>
      <c r="EW449" s="436"/>
      <c r="EX449" s="436"/>
      <c r="EY449" s="436"/>
      <c r="EZ449" s="436"/>
      <c r="FB449" s="643"/>
      <c r="FD449" s="436"/>
      <c r="FE449" s="436"/>
      <c r="FF449" s="436"/>
      <c r="FO449" s="750"/>
      <c r="FP449" s="436"/>
      <c r="FQ449" s="436"/>
      <c r="FR449" s="750"/>
      <c r="FS449" s="750"/>
      <c r="FW449" s="749"/>
      <c r="FX449" s="749"/>
      <c r="FY449" s="749"/>
      <c r="FZ449" s="749"/>
      <c r="GA449" s="749"/>
      <c r="GB449" s="749"/>
      <c r="GC449" s="749"/>
      <c r="GD449" s="749"/>
      <c r="GE449" s="751"/>
      <c r="GF449" s="750"/>
      <c r="GG449" s="750"/>
    </row>
    <row r="450" spans="1:250" s="82" customFormat="1" ht="14.95" customHeight="1" thickTop="1" thickBot="1">
      <c r="B450" s="1421" t="str">
        <f>HY453</f>
        <v xml:space="preserve"> </v>
      </c>
      <c r="C450" s="1422">
        <f>C445+1</f>
        <v>80</v>
      </c>
      <c r="D450" s="1423"/>
      <c r="E450" s="1424" t="s">
        <v>242</v>
      </c>
      <c r="F450" s="1425"/>
      <c r="G450" s="1426"/>
      <c r="H450" s="1427"/>
      <c r="I450" s="1427"/>
      <c r="J450" s="1427"/>
      <c r="K450" s="1427"/>
      <c r="L450" s="1427"/>
      <c r="M450" s="1427"/>
      <c r="N450" s="1427"/>
      <c r="O450" s="1427"/>
      <c r="P450" s="1427"/>
      <c r="Q450" s="1427"/>
      <c r="R450" s="1427"/>
      <c r="S450" s="1428" t="s">
        <v>283</v>
      </c>
      <c r="T450" s="668" t="s">
        <v>190</v>
      </c>
      <c r="U450" s="1430" t="s">
        <v>186</v>
      </c>
      <c r="V450" s="1431"/>
      <c r="W450" s="1431"/>
      <c r="X450" s="1431"/>
      <c r="Y450" s="1431"/>
      <c r="Z450" s="1431"/>
      <c r="AA450" s="1431"/>
      <c r="AB450" s="1088" t="str">
        <f>IFERROR(IF(__Retrofit_TI_NC=0,VLOOKUP(U451,Fixtures_Existing_List,2,FALSE),ROUND(N452*R452/T452,10)),"")</f>
        <v/>
      </c>
      <c r="AC450" s="1039" t="str">
        <f>IFERROR(IF(__Retrofit_TI_NC=0,ROUND(T451*AB450*N451*R451/1000,0),IF(CN450="Interior",N452*R452*R451*N451*_C406_reduction/1000,N452*R452*R451*N451/1000)),"")</f>
        <v/>
      </c>
      <c r="AD450" s="1040" t="str">
        <f>IFERROR(IF(C$36=0,ROUND(T451*AB450/1000,2),N452*R452/1000),"")</f>
        <v/>
      </c>
      <c r="AE450" s="1044" t="s">
        <v>190</v>
      </c>
      <c r="AF450" s="1432" t="str">
        <f>IF(__Retrofit_TI_NC=2,CONCATENATE("Code min = ",DD450),IF(__Retrofit_TI_NC=1,"Emter what you think the existing control was"," Control"))</f>
        <v xml:space="preserve"> Control</v>
      </c>
      <c r="AG450" s="1432"/>
      <c r="AH450" s="1432"/>
      <c r="AI450" s="1432"/>
      <c r="AJ450" s="1433">
        <f>DF450</f>
        <v>0</v>
      </c>
      <c r="AK450" s="1435" t="str">
        <f>IFERROR(ROUND(AJ450*AC450,0),"")</f>
        <v/>
      </c>
      <c r="AL450" s="1437">
        <f>IFERROR(IF(HW450=FALSE,0,AC450-AK450),0)</f>
        <v>0</v>
      </c>
      <c r="AM450" s="1439">
        <f>AL450-AL452</f>
        <v>0</v>
      </c>
      <c r="AN450" s="1440"/>
      <c r="AO450" s="1445">
        <f>IFERROR(IF(HW450=FALSE,0,(T452*U453)+(AE452*AF453)),0)</f>
        <v>0</v>
      </c>
      <c r="AP450" s="1445"/>
      <c r="AQ450" s="1446"/>
      <c r="AR450" s="1451" t="s">
        <v>157</v>
      </c>
      <c r="AS450" s="1454">
        <f>IF(AR450="Yes",1,0)</f>
        <v>1</v>
      </c>
      <c r="AT450" s="1457" t="str">
        <f>IF(OR(DN450=4,DN450=5,DN450=6,DN450=12),CONCATENATE("$",IF(GD450=TRUE,Lookup!$B$11,Lookup!$B$2)," /lamp"),CONCATENATE(EA450,"/ kWh"))</f>
        <v>0/ kWh</v>
      </c>
      <c r="AU450" s="516"/>
      <c r="AV450" s="1478">
        <f>IFERROR(IF(GI451=TRUE,(AB453*T452)/R452,0),"NA")</f>
        <v>0</v>
      </c>
      <c r="AW450" s="1478" t="str">
        <f>IFERROR(N452*_C406_reduction,"NA")</f>
        <v>NA</v>
      </c>
      <c r="BC450" s="38"/>
      <c r="BD450" s="38"/>
      <c r="BE450" s="38"/>
      <c r="BF450" s="38"/>
      <c r="BG450" s="38"/>
      <c r="BH450" s="38"/>
      <c r="BI450" s="38"/>
      <c r="BJ450" s="38"/>
      <c r="BK450" s="38"/>
      <c r="BL450" s="38"/>
      <c r="BM450" s="38"/>
      <c r="BN450" s="38"/>
      <c r="BO450" s="38"/>
      <c r="BP450" s="38"/>
      <c r="BQ450" s="38"/>
      <c r="BR450" s="38"/>
      <c r="BS450" s="38"/>
      <c r="BT450" s="38"/>
      <c r="BU450" s="38"/>
      <c r="BV450" s="38"/>
      <c r="BW450" s="38"/>
      <c r="BX450" s="38"/>
      <c r="BY450" s="38"/>
      <c r="BZ450" s="38"/>
      <c r="CA450" s="38"/>
      <c r="CB450" s="38"/>
      <c r="CC450" s="38"/>
      <c r="CD450" s="38"/>
      <c r="CE450" s="38"/>
      <c r="CF450" s="38"/>
      <c r="CG450" s="38"/>
      <c r="CH450" s="38"/>
      <c r="CI450" s="38"/>
      <c r="CM450" s="1352" t="str">
        <f>N451</f>
        <v/>
      </c>
      <c r="CN450" s="1352" t="str">
        <f>IFERROR(VLOOKUP(G451,_Lookup_Heat_Type_Table_New,3,FALSE),"")</f>
        <v/>
      </c>
      <c r="CO450" s="1415" t="str">
        <f>CN450</f>
        <v/>
      </c>
      <c r="CP450" s="1417" t="e">
        <f>VLOOKUP(G452,'Space Table'!$B$3:$L$160,9,FALSE)</f>
        <v>#N/A</v>
      </c>
      <c r="CR450" s="1386" t="s">
        <v>283</v>
      </c>
      <c r="CS450" s="1353">
        <f>IF(HW450=TRUE,T451,0)</f>
        <v>0</v>
      </c>
      <c r="CT450" s="1353" t="str">
        <f>IF(HW450=TRUE,U451,"")</f>
        <v/>
      </c>
      <c r="CU450" s="1353"/>
      <c r="CV450" s="1370">
        <f>IF(HW450=TRUE,AB450,0)</f>
        <v>0</v>
      </c>
      <c r="CW450" s="1370">
        <f>IF(HW450=TRUE,AC450,0)</f>
        <v>0</v>
      </c>
      <c r="CX450" s="1370">
        <f>IFERROR(IF(HW450=TRUE,CW450-CW452,0),0)</f>
        <v>0</v>
      </c>
      <c r="CY450" s="1485">
        <f>IF(HW450=TRUE,AD450,0)</f>
        <v>0</v>
      </c>
      <c r="CZ450" s="1485">
        <f>IF(HW450=TRUE,AD453,0)</f>
        <v>0</v>
      </c>
      <c r="DA450" s="1485">
        <f>IFERROR(CY450-CZ450,0)</f>
        <v>0</v>
      </c>
      <c r="DC450" s="1353">
        <f>IF(HW450=TRUE,AE451,0)</f>
        <v>0</v>
      </c>
      <c r="DD450" s="1460">
        <f>IF(__Retrofit_TI_NC=2,IF(CN450="Exterior",O453,FM450),FK450)</f>
        <v>0</v>
      </c>
      <c r="DE450" s="1353"/>
      <c r="DF450" s="1406">
        <f>IFERROR(IF(FL450=3,IK450,IF(FL450=4,IL450,IF(FL450=5,IM450,IF(FL450=6,IN450,IF(FL450=7,IO450,IF(FL450=8,IP450,0)))))),0)</f>
        <v>0</v>
      </c>
      <c r="DG450" s="1370">
        <f>IF(HW450=TRUE,AK450,0)</f>
        <v>0</v>
      </c>
      <c r="DH450" s="1369">
        <f>IFERROR(IF(HW450=TRUE,DG452-DG450,0),0)</f>
        <v>0</v>
      </c>
      <c r="DJ450" s="1483">
        <f>IFERROR(CW450-DG450,0)</f>
        <v>0</v>
      </c>
      <c r="DL450" s="1419">
        <f>DJ450-DK452</f>
        <v>0</v>
      </c>
      <c r="DN450" s="1403" t="str">
        <f>IFERROR(IF(AND(OR(FY450=4,FY450=5,FY450=6),OR(GB450=4,GB450=5,GB450=6)),FY450+8,VLOOKUP(CT452,Fixtures!R$31:Y$78,8,FALSE)),"")</f>
        <v/>
      </c>
      <c r="DO450" s="1404" t="str">
        <f>DN450</f>
        <v/>
      </c>
      <c r="DP450" s="1353" t="str">
        <f>IFERROR(VLOOKUP(DD452,Lookup!AU$3:AV$15,2,FALSE),"")</f>
        <v/>
      </c>
      <c r="DQ450" s="1404" t="str">
        <f>IF(DP450=7,"LLLC","")</f>
        <v/>
      </c>
      <c r="DR450" s="1403">
        <f>IFERROR(IF(OR(DN450=4,DN450=5,DN450=6,DN450=12,DN450=13,DN450=14),VLOOKUP(CT452,Fixtures!DN$27:EG$77,19,FALSE),1)*CS452,0)</f>
        <v>0</v>
      </c>
      <c r="DS450" s="1489">
        <f>IF(DP450=7,IF(DD450=DD452,0,DC452),0)</f>
        <v>0</v>
      </c>
      <c r="DU450" s="1403" t="str">
        <f>IFERROR(IF(EW450&lt;EW452,"Yes","No"),"")</f>
        <v/>
      </c>
      <c r="DV450" s="1404" t="str">
        <f>DU450</f>
        <v/>
      </c>
      <c r="DW450" s="1403">
        <f>IF(DU450="Yes",DC452,0)</f>
        <v>0</v>
      </c>
      <c r="DX450" s="1403">
        <f>DW450-DS450</f>
        <v>0</v>
      </c>
      <c r="DZ450" s="1481">
        <f>IFERROR(VLOOKUP(DN450,Lookup!AN$3:AO$16,2,FALSE),0)</f>
        <v>0</v>
      </c>
      <c r="EA450" s="1481">
        <f>IF(HW450=FALSE,0,IF(DU450="Yes",DZ450+Lookup!B$6,DZ450))</f>
        <v>0</v>
      </c>
      <c r="EC450" s="1482">
        <f>IF(HW450=TRUE,DJ450,0)</f>
        <v>0</v>
      </c>
      <c r="ED450" s="1369">
        <f>IF(HW450=TRUE,CW452,0)</f>
        <v>0</v>
      </c>
      <c r="EE450" s="1370">
        <f>IFERROR(EC450-ED450,0)</f>
        <v>0</v>
      </c>
      <c r="EF450" s="1369">
        <f>IF(HW450=TRUE,DG452,0)</f>
        <v>0</v>
      </c>
      <c r="EG450" s="1369">
        <f>IFERROR(EC450-ED450+EF450,0)</f>
        <v>0</v>
      </c>
      <c r="EH450" s="1373">
        <f>IF(HW450=TRUE,CS452*CU452,0)</f>
        <v>0</v>
      </c>
      <c r="EI450" s="1373">
        <f>IF(HW450=TRUE,DC452*DE452,0)</f>
        <v>0</v>
      </c>
      <c r="EJ450" s="1363">
        <f>AO450</f>
        <v>0</v>
      </c>
      <c r="EK450" s="1376" t="str">
        <f>IFERROR(IF(HW450=TRUE,VLOOKUP(DN450,Lookup!AN$3:AP$16,3,FALSE)*DR450,""),0)</f>
        <v/>
      </c>
      <c r="EL450" s="1376">
        <f>IF(HW450=TRUE,DW450*Lookup!AP$12,0)</f>
        <v>0</v>
      </c>
      <c r="EM450" s="1362">
        <f>IFERROR(IF(HW450=TRUE,EK450/EM$33,0),0)</f>
        <v>0</v>
      </c>
      <c r="EN450" s="1362">
        <f>IF(HW450=TRUE,EL450/EN$33,0)</f>
        <v>0</v>
      </c>
      <c r="EO450" s="1363">
        <f>IF(HW450=TRUE,EQ$33*EM450,0)</f>
        <v>0</v>
      </c>
      <c r="EP450" s="1363">
        <f>IF(HW450=TRUE,EQ$33*EN450,0)</f>
        <v>0</v>
      </c>
      <c r="EQ450" s="1363">
        <f>EO450+EP450</f>
        <v>0</v>
      </c>
      <c r="ES450" s="1403">
        <f>IF(G450="",0,1)</f>
        <v>0</v>
      </c>
      <c r="EU450" s="1410" t="e">
        <f>VLOOKUP(CP452,'Space Table'!$B$3:$L$160,8,FALSE)</f>
        <v>#N/A</v>
      </c>
      <c r="EV450" s="1410" t="e">
        <f>IF(EY450="Yes",VLOOKUP(DD450,Lookup_Control_Type_Table2,4,FALSE),VLOOKUP(DD450,Lookup_Control_Type_Table2,3,FALSE))</f>
        <v>#N/A</v>
      </c>
      <c r="EW450" s="1410" t="e">
        <f>VLOOKUP(DD450,Lookup!AU$3:AV$15,2,FALSE)</f>
        <v>#N/A</v>
      </c>
      <c r="EX450" s="1410" t="e">
        <f>VLOOKUP(EU450,Lookup_Control_Type_Table,2,FALSE)</f>
        <v>#N/A</v>
      </c>
      <c r="EY450" s="1410" t="e">
        <f>VLOOKUP(CP452,'Space Table'!$B$3:$L$160,7,FALSE)</f>
        <v>#N/A</v>
      </c>
      <c r="EZ450" s="1412" t="b">
        <f>ISNUMBER(SEARCH("TLED",U452))</f>
        <v>0</v>
      </c>
      <c r="FB450" s="1365" t="str">
        <f>CONCATENATE(CN450," - ",DD450)</f>
        <v xml:space="preserve"> - 0</v>
      </c>
      <c r="FD450" s="1353" t="str">
        <f>VLOOKUP(CT452,Fixtures!DN$27:EZ$77,38,FALSE)</f>
        <v/>
      </c>
      <c r="FE450" s="1353">
        <f>IFERROR(FD450*EE450,0)</f>
        <v>0</v>
      </c>
      <c r="FF450" s="138"/>
      <c r="FI450" s="1356" t="str">
        <f>IF(CN450="Exterior","Not Daylighted",G453)</f>
        <v>Not Daylighted</v>
      </c>
      <c r="FJ450" s="1356">
        <f>VLOOKUP(FI450,_Daylight_Table_Codes,2,FALSE)</f>
        <v>0</v>
      </c>
      <c r="FK450" s="1365">
        <f>IF(__Retrofit_TI_NC=2,VLOOKUP(G452,'Space Table'!$B$3:$L$160,11,FALSE),AF451)</f>
        <v>0</v>
      </c>
      <c r="FL450" s="1365" t="e">
        <f>VLOOKUP(FK450,_Control_Table,2,FALSE)</f>
        <v>#N/A</v>
      </c>
      <c r="FM450" s="1365" t="e">
        <f>IF(AND(FP450&gt;0,FK450="Occupancy Sensor"),"Daylight + Occupancy",IF(AND(FP450&gt;0,FL450&lt;4),"Interior Daylight Dimming",FK450))</f>
        <v>#N/A</v>
      </c>
      <c r="FO450" s="1364">
        <f>IF(CO450="Interior",VLOOKUP(CP450,Control_Savings_Interior,5,FALSE),0)</f>
        <v>0</v>
      </c>
      <c r="FP450" s="1361">
        <f>IF(CN450="Exterior",0,IF(FJ450=2,0.5,IF(OR(FJ450=1,FJ450=3),1,0)))</f>
        <v>0</v>
      </c>
      <c r="FQ450" s="1366"/>
      <c r="FR450" s="1367"/>
      <c r="FS450" s="1364"/>
      <c r="FT450" s="1367"/>
      <c r="FU450" s="1360"/>
      <c r="FW450" s="1352" t="str">
        <f>IFERROR(VLOOKUP(U451,_Exist_Fixture_Table,3,FALSE),"")</f>
        <v/>
      </c>
      <c r="FX450" s="1352" t="str">
        <f>VLOOKUP(CT450,_Exist_Fixture_Table,4,FALSE)</f>
        <v/>
      </c>
      <c r="FY450" s="1352">
        <f>IFERROR(VLOOKUP(FX450,Lookup!AM$6:AN$8,2,FALSE),0)</f>
        <v>0</v>
      </c>
      <c r="FZ450" s="1352" t="b">
        <f>IFERROR(IF(OR(GB450=4,GB450=5,GB450=6),TRUE,FALSE),"")</f>
        <v>0</v>
      </c>
      <c r="GA450" s="1352" t="str">
        <f>IFERROR(VLOOKUP(GB450,FY$6:FZ$10,2,FALSE),"")</f>
        <v/>
      </c>
      <c r="GB450" s="1352" t="str">
        <f>VLOOKUP(CT452,Fixtures!R$31:Y$78,8,FALSE)</f>
        <v/>
      </c>
      <c r="GC450" s="1352">
        <f>IF(AND(FW450=TRUE,FZ450=TRUE,OR(DN450=12,DN450=13,DN450=14)),FY450+8,0)</f>
        <v>0</v>
      </c>
      <c r="GD450" s="1352" t="b">
        <f>IF(OR(GC450=12,GC450=13,GC450=14),TRUE,FALSE)</f>
        <v>0</v>
      </c>
      <c r="GE450" s="759" t="b">
        <f>IF(ISNUMBER(SEARCH("TLED",U451)),TRUE,FALSE)</f>
        <v>0</v>
      </c>
      <c r="GF450" s="1035" t="str">
        <f>IFERROR(VLOOKUP(U451,Fixtures!BM$93:BR$142,6,FALSE),"")</f>
        <v/>
      </c>
      <c r="GG450" s="1385" t="b">
        <f>IF(OR(GE450=FALSE,GE452=FALSE),TRUE,IF(GF450-GF452&lt;5,FALSE,TRUE))</f>
        <v>1</v>
      </c>
      <c r="GK450" s="1034">
        <f>GL450</f>
        <v>0</v>
      </c>
      <c r="GL450" s="1034">
        <f>IF(G450="",0,1)</f>
        <v>0</v>
      </c>
      <c r="GM450" s="1034">
        <f>SUM(GN450:HB450)</f>
        <v>2</v>
      </c>
      <c r="GN450" s="1034">
        <f>IF(G451="",0,1)</f>
        <v>0</v>
      </c>
      <c r="GO450" s="1034">
        <f>IF(G452="",0,1)</f>
        <v>0</v>
      </c>
      <c r="GP450" s="1034">
        <f>IF(R451="",0,1)</f>
        <v>0</v>
      </c>
      <c r="GQ450" s="1034">
        <f>IF(__Retrofit_TI_NC=0,1,IF(R452="",0,1))</f>
        <v>1</v>
      </c>
      <c r="GR450" s="1034">
        <f>IF(CN450="Exterior",1,IF(G453="",0,1))</f>
        <v>1</v>
      </c>
      <c r="GS450" s="1034">
        <f>IF(__Retrofit_TI_NC&lt;&gt;0,1,IF(T451="",0,1))</f>
        <v>0</v>
      </c>
      <c r="GT450" s="1034">
        <f>IF(__Retrofit_TI_NC&lt;&gt;0,1,IF(U451="",0,1))</f>
        <v>0</v>
      </c>
      <c r="GU450" s="1034">
        <f>IF(T452="",0,1)</f>
        <v>0</v>
      </c>
      <c r="GV450" s="1034">
        <f>IF(U452="",0,1)</f>
        <v>0</v>
      </c>
      <c r="GW450" s="1034">
        <f>IF(__Retrofit_TI_NC=2,1,IF(U453="",0,1))</f>
        <v>0</v>
      </c>
      <c r="GX450" s="1034">
        <f>IF(__Retrofit_TI_NC&lt;&gt;0,1,IF(AE451="",0,1))</f>
        <v>0</v>
      </c>
      <c r="GY450" s="1034">
        <f>IF(__Retrofit_TI_NC&lt;&gt;0,1,IF(AF451="",0,1))</f>
        <v>0</v>
      </c>
      <c r="GZ450" s="1034">
        <f>IF(AE452="",0,1)</f>
        <v>0</v>
      </c>
      <c r="HA450" s="1034">
        <f>IF(AF452="",0,1)</f>
        <v>0</v>
      </c>
      <c r="HB450" s="1034">
        <f>IF(__Retrofit_TI_NC=2,1,IF(AF453="",0,1))</f>
        <v>0</v>
      </c>
      <c r="HV450" s="436"/>
      <c r="HW450" s="1384" t="b">
        <f>IF(OR(HW453=0,HW453=HT$16,HW453=HS$16,HW453=HU$16),TRUE,FALSE)</f>
        <v>0</v>
      </c>
      <c r="HX450" s="1377" t="b">
        <f>HW450</f>
        <v>0</v>
      </c>
      <c r="HY450" s="436"/>
      <c r="HZ450" s="436"/>
      <c r="IA450" s="1386" t="b">
        <f>IF(MAX(GJ453:HP453)&gt;5,FALSE,TRUE)</f>
        <v>0</v>
      </c>
      <c r="IB450" s="1380">
        <f>IF(IA450=TRUE,AC450,0)</f>
        <v>0</v>
      </c>
      <c r="IC450" s="1380">
        <f>IB450-IB452</f>
        <v>0</v>
      </c>
      <c r="IF450" s="1380" t="e">
        <f>ROUND(T451*VLOOKUP(U451,Fixtures_Existing_List,2,FALSE)*N451*R451/1000,0)</f>
        <v>#N/A</v>
      </c>
      <c r="IG450" s="1381" t="e">
        <f>IF450-IF452</f>
        <v>#N/A</v>
      </c>
      <c r="IH450" s="1384" t="e">
        <f>ROUND(IF(CN450="Interior",N452*R452*R451*N451*_C406_reduction/1000,N452*R452*R451*N451/1000),0)</f>
        <v>#N/A</v>
      </c>
      <c r="II450" s="1384" t="e">
        <f>IH450-IH452</f>
        <v>#N/A</v>
      </c>
      <c r="IK450" s="1351" t="e">
        <f>IF($CO450="interior",IL450/2,VLOOKUP($CP450,Control_Savings_Exterior,IK$30,FALSE))</f>
        <v>#N/A</v>
      </c>
      <c r="IL450" s="1351" t="e">
        <f>IF($CO450="interior",VLOOKUP($CP450,Control_Savings_Interior,IL$30,FALSE),VLOOKUP($CP450,Control_Savings_Exterior,IL$30,FALSE))</f>
        <v>#N/A</v>
      </c>
      <c r="IM450" s="1351" t="e">
        <f>IF($CO450="interior",IF(R451&gt;FO$37,(IM$28*(FO$37/R451)),IM$28)*FP450,VLOOKUP($CP450,Control_Savings_Exterior,IM$30,FALSE))</f>
        <v>#N/A</v>
      </c>
      <c r="IN450" s="1351" t="e">
        <f>IF($CO450="interior",ROUND(((1-IL450)*IM450)+IL450,2),VLOOKUP($CP450,Control_Savings_Exterior,IN$30,FALSE))</f>
        <v>#N/A</v>
      </c>
      <c r="IO450" s="1351" t="e">
        <f>IF($CO450="interior", ROUND(((1-IL450)*(IM450*(1-IP$28)))+IP450,2), VLOOKUP($CP450,Control_Savings_Exterior,IO$30,FALSE))</f>
        <v>#N/A</v>
      </c>
      <c r="IP450" s="1351">
        <f>IF($CO450="interior",ROUND(((1-IL450)*IP$28)+IL450,2),0)</f>
        <v>0</v>
      </c>
    </row>
    <row r="451" spans="1:250" s="82" customFormat="1" ht="14.95" customHeight="1" thickTop="1" thickBot="1">
      <c r="B451" s="1421"/>
      <c r="C451" s="1422"/>
      <c r="D451" s="1423"/>
      <c r="E451" s="1393" t="s">
        <v>244</v>
      </c>
      <c r="F451" s="1394"/>
      <c r="G451" s="1395"/>
      <c r="H451" s="1395"/>
      <c r="I451" s="1395"/>
      <c r="J451" s="1395"/>
      <c r="K451" s="1395"/>
      <c r="L451" s="1395"/>
      <c r="M451" s="509" t="e">
        <f>IF(__Retrofit_TI_NC&lt;&gt;0,IF(VLOOKUP(G452,'Space Table'!$B$3:$L$160,3,FALSE)&gt;0,1,0),IF(__Retrofit_TI_NC=VLOOKUP(G452,'Space Table'!$B$3:$L$160,3,FALSE),1,0))</f>
        <v>#N/A</v>
      </c>
      <c r="N451" s="509" t="str">
        <f>IFERROR(VLOOKUP(G451,_Lookup_Heat_Type_Table_New,2,FALSE),"")</f>
        <v/>
      </c>
      <c r="O451" s="509">
        <f>IF(__Retrofit_TI_NC=1,CONCATENATE("TI ",G451),IF(__Retrofit_TI_NC=2,CONCATENATE("NC ",G451),G451))</f>
        <v>0</v>
      </c>
      <c r="P451" s="1396" t="s">
        <v>352</v>
      </c>
      <c r="Q451" s="1396"/>
      <c r="R451" s="673"/>
      <c r="S451" s="1429"/>
      <c r="T451" s="675"/>
      <c r="U451" s="1496"/>
      <c r="V451" s="1497"/>
      <c r="W451" s="1497"/>
      <c r="X451" s="1497"/>
      <c r="Y451" s="1497"/>
      <c r="Z451" s="1497"/>
      <c r="AA451" s="1497"/>
      <c r="AB451" s="1497"/>
      <c r="AC451" s="1497"/>
      <c r="AD451" s="1498"/>
      <c r="AE451" s="675"/>
      <c r="AF451" s="1397"/>
      <c r="AG451" s="1397"/>
      <c r="AH451" s="1397"/>
      <c r="AI451" s="1397"/>
      <c r="AJ451" s="1434"/>
      <c r="AK451" s="1436"/>
      <c r="AL451" s="1438"/>
      <c r="AM451" s="1441"/>
      <c r="AN451" s="1442"/>
      <c r="AO451" s="1447"/>
      <c r="AP451" s="1447"/>
      <c r="AQ451" s="1448"/>
      <c r="AR451" s="1452"/>
      <c r="AS451" s="1455"/>
      <c r="AT451" s="1458"/>
      <c r="AU451" s="516"/>
      <c r="AV451" s="1479"/>
      <c r="AW451" s="1479"/>
      <c r="BC451" s="38"/>
      <c r="BD451" s="38"/>
      <c r="BE451" s="38"/>
      <c r="BF451" s="38"/>
      <c r="BG451" s="38"/>
      <c r="BH451" s="38"/>
      <c r="BI451" s="38"/>
      <c r="BJ451" s="38"/>
      <c r="BK451" s="38"/>
      <c r="BL451" s="38"/>
      <c r="BM451" s="38"/>
      <c r="BN451" s="38"/>
      <c r="BO451" s="38"/>
      <c r="BP451" s="38"/>
      <c r="BQ451" s="38"/>
      <c r="BR451" s="38"/>
      <c r="BS451" s="38"/>
      <c r="BT451" s="38"/>
      <c r="BU451" s="38"/>
      <c r="BV451" s="38"/>
      <c r="BW451" s="38"/>
      <c r="BX451" s="38"/>
      <c r="BY451" s="38"/>
      <c r="BZ451" s="38"/>
      <c r="CA451" s="38"/>
      <c r="CB451" s="38"/>
      <c r="CC451" s="38"/>
      <c r="CD451" s="38"/>
      <c r="CE451" s="38"/>
      <c r="CF451" s="38"/>
      <c r="CG451" s="38"/>
      <c r="CH451" s="38"/>
      <c r="CI451" s="38"/>
      <c r="CM451" s="1352"/>
      <c r="CN451" s="1352"/>
      <c r="CO451" s="1416"/>
      <c r="CP451" s="1418"/>
      <c r="CR451" s="1386"/>
      <c r="CS451" s="1355"/>
      <c r="CT451" s="1355"/>
      <c r="CU451" s="1355"/>
      <c r="CV451" s="1372"/>
      <c r="CW451" s="1372"/>
      <c r="CX451" s="1371"/>
      <c r="CY451" s="1486"/>
      <c r="CZ451" s="1486"/>
      <c r="DA451" s="1486"/>
      <c r="DC451" s="1355"/>
      <c r="DD451" s="1461"/>
      <c r="DE451" s="1355"/>
      <c r="DF451" s="1407"/>
      <c r="DG451" s="1372"/>
      <c r="DH451" s="1369"/>
      <c r="DJ451" s="1484"/>
      <c r="DL451" s="1419"/>
      <c r="DN451" s="1403"/>
      <c r="DO451" s="1405"/>
      <c r="DP451" s="1354"/>
      <c r="DQ451" s="1405"/>
      <c r="DR451" s="1403"/>
      <c r="DS451" s="1489"/>
      <c r="DU451" s="1403"/>
      <c r="DV451" s="1405"/>
      <c r="DW451" s="1403"/>
      <c r="DX451" s="1403"/>
      <c r="DZ451" s="1481"/>
      <c r="EA451" s="1481"/>
      <c r="EC451" s="1482"/>
      <c r="ED451" s="1369"/>
      <c r="EE451" s="1371"/>
      <c r="EF451" s="1369"/>
      <c r="EG451" s="1369"/>
      <c r="EH451" s="1374"/>
      <c r="EI451" s="1374"/>
      <c r="EJ451" s="1363"/>
      <c r="EK451" s="1376"/>
      <c r="EL451" s="1376"/>
      <c r="EM451" s="1362"/>
      <c r="EN451" s="1362"/>
      <c r="EO451" s="1363"/>
      <c r="EP451" s="1363"/>
      <c r="EQ451" s="1363"/>
      <c r="ES451" s="1403"/>
      <c r="EU451" s="1411"/>
      <c r="EV451" s="1411"/>
      <c r="EW451" s="1411"/>
      <c r="EX451" s="1411"/>
      <c r="EY451" s="1411"/>
      <c r="EZ451" s="1413"/>
      <c r="FB451" s="1365"/>
      <c r="FD451" s="1354"/>
      <c r="FE451" s="1354"/>
      <c r="FF451" s="138"/>
      <c r="FI451" s="1357"/>
      <c r="FJ451" s="1357"/>
      <c r="FK451" s="1365"/>
      <c r="FL451" s="1365"/>
      <c r="FM451" s="1365"/>
      <c r="FO451" s="1361"/>
      <c r="FP451" s="1361"/>
      <c r="FQ451" s="1366"/>
      <c r="FR451" s="1368"/>
      <c r="FS451" s="1361"/>
      <c r="FT451" s="1368"/>
      <c r="FU451" s="1360"/>
      <c r="FW451" s="1352"/>
      <c r="FX451" s="1352"/>
      <c r="FY451" s="1352"/>
      <c r="FZ451" s="1352"/>
      <c r="GA451" s="1352"/>
      <c r="GB451" s="1352"/>
      <c r="GC451" s="1352"/>
      <c r="GD451" s="1352"/>
      <c r="GE451" s="759"/>
      <c r="GF451" s="1035"/>
      <c r="GG451" s="1385"/>
      <c r="GI451" s="1384" t="b">
        <f>IF(AND(GL451=TRUE,GM451=TRUE),TRUE,FALSE)</f>
        <v>0</v>
      </c>
      <c r="GJ451" s="1379" t="b">
        <f>IFERROR(IF(__Retrofit_TI_NC=2,TRUE,IF(AR450="Yes",TRUE,FALSE)),FALSE)</f>
        <v>1</v>
      </c>
      <c r="GL451" s="1379" t="b">
        <f>IFERROR(IF(GL450=1,TRUE,FALSE),FALSE)</f>
        <v>0</v>
      </c>
      <c r="GM451" s="1379" t="b">
        <f>IFERROR(IF(GM450=GM$14,TRUE,FALSE),FALSE)</f>
        <v>0</v>
      </c>
      <c r="HC451" s="1379" t="b">
        <f>IFERROR(IF(M451=1,TRUE,FALSE),FALSE)</f>
        <v>0</v>
      </c>
      <c r="HD451" s="1379" t="b">
        <f>IFERROR(IF(M452=1,TRUE,FALSE),FALSE)</f>
        <v>0</v>
      </c>
      <c r="HE451" s="1379" t="b">
        <f>IFERROR(IF(__Retrofit_TI_NC&lt;&gt;0,TRUE,IFERROR(IF(VLOOKUP(U451,Fixtures_Existing_List,2,FALSE)&lt;&gt;"",TRUE,FALSE),FALSE)),FALSE)</f>
        <v>0</v>
      </c>
      <c r="HF451" s="1379" t="b">
        <f>IFERROR(IF(VLOOKUP(U452,Fixtures_Proposed_List,2,FALSE)&lt;&gt;"",TRUE,FALSE),FALSE)</f>
        <v>0</v>
      </c>
      <c r="HG451" s="1379" t="b">
        <f>IF(AND(__Retrofit_TI_NC=2,EZ450=TRUE),FALSE,TRUE)</f>
        <v>1</v>
      </c>
      <c r="HH451" s="1379" t="b">
        <f>GG450</f>
        <v>1</v>
      </c>
      <c r="HI451" s="1384" t="b">
        <f>IF(ISERROR(MATCH(FB450,_Control_Match[],0))=TRUE,FALSE,TRUE)</f>
        <v>0</v>
      </c>
      <c r="HJ451" s="1384" t="b">
        <f>IFERROR(IF(EU450&lt;&gt;EV450,FALSE,TRUE),FALSE)</f>
        <v>0</v>
      </c>
      <c r="HK451" s="1384" t="b">
        <f>IFERROR(IF(EU452&lt;&gt;EV452,FALSE,TRUE),FALSE)</f>
        <v>0</v>
      </c>
      <c r="HL451" s="1379" t="b">
        <f>IFERROR(IF(CN450="Exterior",TRUE,IF(OR(AND(FJ450=0,EW452&gt;4),AND(FJ450=4,EW452&gt;4,EW452&lt;7)),FALSE,TRUE)),FALSE)</f>
        <v>0</v>
      </c>
      <c r="HM451" s="1379" t="b">
        <f>IFERROR(IF(AND(FL452=7,EZ450=TRUE),FALSE,TRUE),FALSE)</f>
        <v>0</v>
      </c>
      <c r="HN451" s="1379" t="b">
        <f>IFERROR(IF(AND(T452&lt;&gt;AE452,AF452="Interior LLLC")=TRUE,FALSE,TRUE),FALSE)</f>
        <v>1</v>
      </c>
      <c r="HO451" s="1379" t="b">
        <f>IFERROR(IF(OR(AF452=Lookup!AU$13,AF452=Lookup!AU$14)=TRUE,IF(AE452&gt;T452,FALSE,TRUE),TRUE),FALSE)</f>
        <v>1</v>
      </c>
      <c r="HP451" s="1379" t="b">
        <f>IFERROR(IF(__Retrofit_TI_NC=2,IF(EW452&lt;EW450,FALSE,TRUE),TRUE),FALSE)</f>
        <v>1</v>
      </c>
      <c r="HQ451" s="1379" t="b">
        <f>IF(CN450="Interior",IG$6,TRUE)</f>
        <v>1</v>
      </c>
      <c r="HR451" s="1379" t="b">
        <f>IF(CN450="Exterior",IG$8,TRUE)</f>
        <v>1</v>
      </c>
      <c r="HS451" s="1379" t="b">
        <f>IFERROR(IF(__Retrofit_TI_NC&lt;&gt;0,IF(AW450&lt;AV450,FALSE,TRUE),TRUE),FALSE)</f>
        <v>1</v>
      </c>
      <c r="HT451" s="1379" t="b">
        <f>IFERROR(IF(AND(G451="Exterior",R451&gt;4200),FALSE,TRUE),FALSE)</f>
        <v>1</v>
      </c>
      <c r="HU451" s="1379" t="b">
        <f>IFERROR(IF(AB453/AB450&lt;HU$18,FALSE,TRUE),FALSE)</f>
        <v>0</v>
      </c>
      <c r="HW451" s="1382"/>
      <c r="HX451" s="1378"/>
      <c r="HY451" s="1377" t="str">
        <f>VLOOKUP(HW453,_Error_Table,4,FALSE)</f>
        <v>White</v>
      </c>
      <c r="HZ451" s="436"/>
      <c r="IA451" s="1386"/>
      <c r="IB451" s="1380"/>
      <c r="IC451" s="1379"/>
      <c r="IF451" s="1380"/>
      <c r="IG451" s="1382"/>
      <c r="IH451" s="1382"/>
      <c r="II451" s="1382"/>
      <c r="IK451" s="1351"/>
      <c r="IL451" s="1351"/>
      <c r="IM451" s="1351"/>
      <c r="IN451" s="1351"/>
      <c r="IO451" s="1351"/>
      <c r="IP451" s="1351"/>
    </row>
    <row r="452" spans="1:250" s="82" customFormat="1" ht="14.95" customHeight="1" thickTop="1" thickBot="1">
      <c r="A452" s="82">
        <f>ROW()</f>
        <v>452</v>
      </c>
      <c r="B452" s="1421"/>
      <c r="C452" s="1422"/>
      <c r="D452" s="1423"/>
      <c r="E452" s="1393" t="s">
        <v>245</v>
      </c>
      <c r="F452" s="1394"/>
      <c r="G452" s="1398"/>
      <c r="H452" s="1399"/>
      <c r="I452" s="1399"/>
      <c r="J452" s="1399"/>
      <c r="K452" s="1399"/>
      <c r="L452" s="1400"/>
      <c r="M452" s="509">
        <f>IFERROR(IF(IF(__Retrofit_TI_NC&lt;&gt;0,IF(CN450="Interior",MATCH(G452,Lookup_Interior_New,0),MATCH(G452,Lookup_Exterior_New,0)),IF(CN450="Interior",MATCH(G452,Lookup_Interior,0),MATCH(G452,Lookup_Exterior_Areas,0)))&gt;0,1,0),0)</f>
        <v>0</v>
      </c>
      <c r="N452" s="509" t="e">
        <f>IF(__Retrofit_TI_NC=1,
VLOOKUP(G452,'Space Table'!$B$3:$L$160,4,FALSE),
IF(__Retrofit_TI_NC=2,VLOOKUP(G452,'Space Table'!$B$3:$L$160,5,FALSE),VLOOKUP(G452,'Space Table'!$B$3:$L$160,5,FALSE)))</f>
        <v>#N/A</v>
      </c>
      <c r="O452" s="509">
        <f>G452</f>
        <v>0</v>
      </c>
      <c r="P452" s="1394" t="s">
        <v>355</v>
      </c>
      <c r="Q452" s="1394"/>
      <c r="R452" s="674"/>
      <c r="S452" s="1401" t="s">
        <v>284</v>
      </c>
      <c r="T452" s="672"/>
      <c r="U452" s="1499"/>
      <c r="V452" s="1500"/>
      <c r="W452" s="1500"/>
      <c r="X452" s="1500"/>
      <c r="Y452" s="1500"/>
      <c r="Z452" s="1500"/>
      <c r="AA452" s="1500"/>
      <c r="AB452" s="1501"/>
      <c r="AC452" s="1501"/>
      <c r="AD452" s="1502"/>
      <c r="AE452" s="672"/>
      <c r="AF452" s="1474"/>
      <c r="AG452" s="1474"/>
      <c r="AH452" s="1474"/>
      <c r="AI452" s="1474"/>
      <c r="AJ452" s="1475">
        <f>DF452</f>
        <v>0</v>
      </c>
      <c r="AK452" s="1470" t="str">
        <f>IFERROR(ROUND(AJ452*AC453,0),"")</f>
        <v/>
      </c>
      <c r="AL452" s="1472">
        <f>IFERROR(IF(HW450=FALSE,0,AC453-AK452),0)</f>
        <v>0</v>
      </c>
      <c r="AM452" s="1441"/>
      <c r="AN452" s="1442"/>
      <c r="AO452" s="1447"/>
      <c r="AP452" s="1447"/>
      <c r="AQ452" s="1448"/>
      <c r="AR452" s="1452"/>
      <c r="AS452" s="1455"/>
      <c r="AT452" s="1458"/>
      <c r="AU452" s="516"/>
      <c r="AV452" s="1479"/>
      <c r="AW452" s="1479"/>
      <c r="BC452" s="38"/>
      <c r="BD452" s="38"/>
      <c r="BE452" s="38"/>
      <c r="BF452" s="38"/>
      <c r="BG452" s="38"/>
      <c r="BH452" s="38"/>
      <c r="BI452" s="38"/>
      <c r="BJ452" s="38"/>
      <c r="BK452" s="38"/>
      <c r="BL452" s="38"/>
      <c r="BM452" s="38"/>
      <c r="BN452" s="38"/>
      <c r="BO452" s="38"/>
      <c r="BP452" s="38"/>
      <c r="BQ452" s="38"/>
      <c r="BR452" s="38"/>
      <c r="BS452" s="38"/>
      <c r="BT452" s="38"/>
      <c r="BU452" s="38"/>
      <c r="BV452" s="38"/>
      <c r="BW452" s="38"/>
      <c r="BX452" s="38"/>
      <c r="BY452" s="38"/>
      <c r="BZ452" s="38"/>
      <c r="CA452" s="38"/>
      <c r="CB452" s="38"/>
      <c r="CC452" s="38"/>
      <c r="CD452" s="38"/>
      <c r="CE452" s="38"/>
      <c r="CF452" s="38"/>
      <c r="CG452" s="38"/>
      <c r="CH452" s="38"/>
      <c r="CI452" s="38"/>
      <c r="CM452" s="1352"/>
      <c r="CN452" s="1352"/>
      <c r="CO452" s="1415" t="str">
        <f>CN450</f>
        <v/>
      </c>
      <c r="CP452" s="1417" t="e">
        <f>CP450</f>
        <v>#N/A</v>
      </c>
      <c r="CR452" s="1386" t="s">
        <v>284</v>
      </c>
      <c r="CS452" s="1353">
        <f>IF(HW450=TRUE,T452,0)</f>
        <v>0</v>
      </c>
      <c r="CT452" s="1353" t="str">
        <f>IF(HW450=TRUE,U452,"")</f>
        <v/>
      </c>
      <c r="CU452" s="1373">
        <f>IF(HW450=TRUE,U453,0)</f>
        <v>0</v>
      </c>
      <c r="CV452" s="1370">
        <f>IF(HW450=TRUE,AB453,0)</f>
        <v>0</v>
      </c>
      <c r="CW452" s="1370">
        <f>IF(HW450=TRUE,AC453,0)</f>
        <v>0</v>
      </c>
      <c r="CX452" s="1371"/>
      <c r="CY452" s="1486"/>
      <c r="CZ452" s="1486"/>
      <c r="DA452" s="1486"/>
      <c r="DC452" s="1353">
        <f>IF(HW450=TRUE,AE452,0)</f>
        <v>0</v>
      </c>
      <c r="DD452" s="1353" t="str">
        <f>IF(HW450=TRUE,AF452,"")</f>
        <v/>
      </c>
      <c r="DE452" s="1373">
        <f>AF453</f>
        <v>0</v>
      </c>
      <c r="DF452" s="1406">
        <f>IFERROR(IF(FL452=3,IK452,IF(FL452=4,IL452,IF(FL452=5,IM452,IF(FL452=6,IN452,IF(FL452=7,IO452,IF(FL452=8,IP452,0)))))),0)</f>
        <v>0</v>
      </c>
      <c r="DG452" s="1370">
        <f>IF(HW450=TRUE,AK452,0)</f>
        <v>0</v>
      </c>
      <c r="DH452" s="1369"/>
      <c r="DK452" s="1483">
        <f>IFERROR(CW452-DG452,0)</f>
        <v>0</v>
      </c>
      <c r="DL452" s="1420"/>
      <c r="DN452" s="1403"/>
      <c r="DO452" s="1477" t="str">
        <f>DN450</f>
        <v/>
      </c>
      <c r="DP452" s="1354"/>
      <c r="DQ452" s="1477" t="str">
        <f>IF(DP450=7,"LLLC","")</f>
        <v/>
      </c>
      <c r="DR452" s="1403"/>
      <c r="DS452" s="1489"/>
      <c r="DU452" s="1403"/>
      <c r="DV452" s="1404" t="str">
        <f>DU450</f>
        <v/>
      </c>
      <c r="DW452" s="1403"/>
      <c r="DX452" s="1403"/>
      <c r="DZ452" s="1481"/>
      <c r="EA452" s="1481"/>
      <c r="EC452" s="1482"/>
      <c r="ED452" s="1369"/>
      <c r="EE452" s="1371"/>
      <c r="EF452" s="1369"/>
      <c r="EG452" s="1369"/>
      <c r="EH452" s="1374"/>
      <c r="EI452" s="1374"/>
      <c r="EJ452" s="1363"/>
      <c r="EK452" s="1376"/>
      <c r="EL452" s="1376"/>
      <c r="EM452" s="1362"/>
      <c r="EN452" s="1362"/>
      <c r="EO452" s="1363"/>
      <c r="EP452" s="1363"/>
      <c r="EQ452" s="1363"/>
      <c r="ES452" s="1403"/>
      <c r="EU452" s="1411" t="e">
        <f>VLOOKUP(CP452,'Space Table'!$B$3:$L$160,8,FALSE)</f>
        <v>#N/A</v>
      </c>
      <c r="EV452" s="1411" t="e">
        <f>IF(EY452="Yes",VLOOKUP(AF452,Lookup_Control_Type_Table2,4,FALSE),VLOOKUP(AF452,Lookup_Control_Type_Table2,3,FALSE))</f>
        <v>#N/A</v>
      </c>
      <c r="EW452" s="1411" t="e">
        <f>VLOOKUP(AF452,Lookup!AU$3:AV$15,2,FALSE)</f>
        <v>#N/A</v>
      </c>
      <c r="EX452" s="1411" t="e">
        <f>VLOOKUP(EU450,Lookup_Control_Type_Table,2,FALSE)</f>
        <v>#N/A</v>
      </c>
      <c r="EY452" s="1411" t="e">
        <f>VLOOKUP(CP452,'Space Table'!$B$3:$L$160,7,FALSE)</f>
        <v>#N/A</v>
      </c>
      <c r="EZ452" s="1413"/>
      <c r="FB452" s="1365" t="str">
        <f>CONCATENATE(CN450," - ",AF452)</f>
        <v xml:space="preserve"> - </v>
      </c>
      <c r="FD452" s="1354"/>
      <c r="FE452" s="1354"/>
      <c r="FF452" s="138"/>
      <c r="FI452" s="1356" t="str">
        <f>IF(CN450="Exterior","Not Daylighted",G453)</f>
        <v>Not Daylighted</v>
      </c>
      <c r="FJ452" s="1356">
        <f>VLOOKUP(FI452,_Daylight_Table_Codes,2,FALSE)</f>
        <v>0</v>
      </c>
      <c r="FK452" s="1365">
        <f>AF452</f>
        <v>0</v>
      </c>
      <c r="FL452" s="1365" t="e">
        <f>VLOOKUP(FK452,_Control_Table,2,FALSE)</f>
        <v>#N/A</v>
      </c>
      <c r="FM452" s="1365" t="e">
        <f>IF(AND(FP452&gt;0,FK452="Occupancy Sensor"),"Daylight + Occupancy",IF(AND(FP452&gt;0,FL452&lt;4),"Interior Daylight Dimming",FK452))</f>
        <v>#N/A</v>
      </c>
      <c r="FO452" s="1364">
        <f>IF(CN450="Interior",VLOOKUP(CP450,Control_Savings_Interior,5,FALSE),0)</f>
        <v>0</v>
      </c>
      <c r="FP452" s="1361">
        <f>IF(CN452="Exterior",0,IF(FJ452=2,0.5,IF(OR(FJ452=1,FJ452=3),1,0)))</f>
        <v>0</v>
      </c>
      <c r="FQ452" s="1366">
        <f>IF(R451&gt;FO$37,(FO452*(FO$37/R451)),FO452)*FP452</f>
        <v>0</v>
      </c>
      <c r="FR452" s="1364">
        <f>DF452</f>
        <v>0</v>
      </c>
      <c r="FS452" s="1364">
        <f>ROUND(FR452+((1-FR452)*FQ452),2)</f>
        <v>0</v>
      </c>
      <c r="FT452" s="1364">
        <f>IF(__Retrofit_TI_NC=2,FS452,FR452)</f>
        <v>0</v>
      </c>
      <c r="FU452" s="1360">
        <f>IF(CO452="Interior",VLOOKUP(CP452,Control_Savings_Interior,4,FALSE),0)</f>
        <v>0</v>
      </c>
      <c r="FW452" s="1352"/>
      <c r="FX452" s="1352"/>
      <c r="FY452" s="1352"/>
      <c r="FZ452" s="1352"/>
      <c r="GA452" s="1352"/>
      <c r="GB452" s="1352"/>
      <c r="GC452" s="1352"/>
      <c r="GD452" s="1352"/>
      <c r="GE452" s="759" t="b">
        <f>IF(ISNUMBER(SEARCH("TLED",U452)),TRUE,FALSE)</f>
        <v>0</v>
      </c>
      <c r="GF452" s="1035" t="str">
        <f>IFERROR(VLOOKUP(U452,Fixtures!DM$93:DR$142,6,FALSE),"")</f>
        <v/>
      </c>
      <c r="GG452" s="1385"/>
      <c r="GI452" s="1383"/>
      <c r="GJ452" s="1379"/>
      <c r="GL452" s="1379"/>
      <c r="GM452" s="1379"/>
      <c r="HC452" s="1379"/>
      <c r="HD452" s="1379"/>
      <c r="HE452" s="1379"/>
      <c r="HF452" s="1379"/>
      <c r="HG452" s="1379"/>
      <c r="HH452" s="1379"/>
      <c r="HI452" s="1383"/>
      <c r="HJ452" s="1383"/>
      <c r="HK452" s="1383"/>
      <c r="HL452" s="1379"/>
      <c r="HM452" s="1379"/>
      <c r="HN452" s="1379"/>
      <c r="HO452" s="1379"/>
      <c r="HP452" s="1379"/>
      <c r="HQ452" s="1379"/>
      <c r="HR452" s="1379"/>
      <c r="HS452" s="1379"/>
      <c r="HT452" s="1379"/>
      <c r="HU452" s="1379"/>
      <c r="HW452" s="1383"/>
      <c r="HX452" s="1384" t="b">
        <f>HW450</f>
        <v>0</v>
      </c>
      <c r="HY452" s="1378"/>
      <c r="HZ452" s="436"/>
      <c r="IA452" s="1386"/>
      <c r="IB452" s="1380">
        <f>IF(IA450=TRUE,AC453,0)</f>
        <v>0</v>
      </c>
      <c r="IC452" s="1379"/>
      <c r="IF452" s="1380" t="e">
        <f>ROUND(T452*AB453*N451*R451/1000,0)</f>
        <v>#VALUE!</v>
      </c>
      <c r="IG452" s="1382"/>
      <c r="IH452" s="1384" t="e">
        <f>ROUND(T452*AB453*N451*R451/1000,0)</f>
        <v>#VALUE!</v>
      </c>
      <c r="II452" s="1382"/>
      <c r="IK452" s="1351" t="e">
        <f>IF($CO452="interior",IL452/2,VLOOKUP($CP452,Control_Savings_Exterior,IK$30,FALSE))</f>
        <v>#N/A</v>
      </c>
      <c r="IL452" s="1351" t="e">
        <f>IF($CO452="interior",VLOOKUP($CP452,Control_Savings_Interior,IL$30,FALSE),VLOOKUP($CP452,Control_Savings_Exterior,IL$30,FALSE))</f>
        <v>#N/A</v>
      </c>
      <c r="IM452" s="1351" t="e">
        <f>IF($CO452="interior",IF(R451&gt;FO$37,(IM$28*(FO$37/R451)),IM$28)*FP452,VLOOKUP($CP452,Control_Savings_Exterior,IM$30,FALSE))</f>
        <v>#N/A</v>
      </c>
      <c r="IN452" s="1351" t="e">
        <f>IF($CO452="interior",ROUND(((1-IL452)*IM452)+IL452,2),VLOOKUP($CP452,Control_Savings_Exterior,IN$30,FALSE))</f>
        <v>#N/A</v>
      </c>
      <c r="IO452" s="1351" t="e">
        <f>IF($CO452="interior", ROUND(((1-IL452)*(IM452*(1-IP$28)))+IP452,2), VLOOKUP($CP452,Control_Savings_Exterior,IO$30,FALSE))</f>
        <v>#N/A</v>
      </c>
      <c r="IP452" s="1351">
        <f>IF($CO452="interior",ROUND(((1-IL452)*IP$28)+IL452,2),0)</f>
        <v>0</v>
      </c>
    </row>
    <row r="453" spans="1:250" s="82" customFormat="1" ht="14.95" customHeight="1" thickTop="1" thickBot="1">
      <c r="B453" s="1421"/>
      <c r="C453" s="1422"/>
      <c r="D453" s="1423"/>
      <c r="E453" s="1462" t="s">
        <v>357</v>
      </c>
      <c r="F453" s="1463"/>
      <c r="G453" s="1464" t="s">
        <v>362</v>
      </c>
      <c r="H453" s="1465"/>
      <c r="I453" s="1465"/>
      <c r="J453" s="1465"/>
      <c r="K453" s="1465"/>
      <c r="L453" s="1466"/>
      <c r="M453" s="669">
        <f>IFERROR(VLOOKUP(G453,_Daylight_Table[],2,FALSE),0)</f>
        <v>0</v>
      </c>
      <c r="N453" s="670"/>
      <c r="O453" s="669" t="e">
        <f>VLOOKUP(G452,'Space Table'!$B$3:$L$160,11,FALSE)</f>
        <v>#N/A</v>
      </c>
      <c r="P453" s="1408"/>
      <c r="Q453" s="1409"/>
      <c r="R453" s="1409"/>
      <c r="S453" s="1402"/>
      <c r="T453" s="671" t="s">
        <v>281</v>
      </c>
      <c r="U453" s="1467" t="str">
        <f>IFERROR(VLOOKUP(U452,Fixtures!DM$93:DP$142,4,FALSE),"")</f>
        <v/>
      </c>
      <c r="V453" s="1468"/>
      <c r="W453" s="1468"/>
      <c r="X453" s="1468"/>
      <c r="Y453" s="1468"/>
      <c r="Z453" s="1468"/>
      <c r="AA453" s="1468"/>
      <c r="AB453" s="1046" t="str">
        <f>IFERROR(VLOOKUP(U452,Fixtures_Proposed_List,2,FALSE),"")</f>
        <v/>
      </c>
      <c r="AC453" s="1036" t="str">
        <f>IFERROR(ROUND(T452*AB453*N451*R451/1000,0),"")</f>
        <v/>
      </c>
      <c r="AD453" s="1037" t="str">
        <f>IFERROR(ROUND(T452*AB453/1000,2),"")</f>
        <v/>
      </c>
      <c r="AE453" s="1045" t="s">
        <v>281</v>
      </c>
      <c r="AF453" s="1469"/>
      <c r="AG453" s="1469"/>
      <c r="AH453" s="1469"/>
      <c r="AI453" s="1469"/>
      <c r="AJ453" s="1476"/>
      <c r="AK453" s="1471"/>
      <c r="AL453" s="1473"/>
      <c r="AM453" s="1443"/>
      <c r="AN453" s="1444"/>
      <c r="AO453" s="1449"/>
      <c r="AP453" s="1449"/>
      <c r="AQ453" s="1450"/>
      <c r="AR453" s="1453"/>
      <c r="AS453" s="1456"/>
      <c r="AT453" s="1459"/>
      <c r="AU453" s="517"/>
      <c r="AV453" s="1480"/>
      <c r="AW453" s="1480"/>
      <c r="BC453" s="38"/>
      <c r="BD453" s="38"/>
      <c r="BE453" s="38"/>
      <c r="BF453" s="38"/>
      <c r="BG453" s="38"/>
      <c r="BH453" s="38"/>
      <c r="BI453" s="38"/>
      <c r="BJ453" s="38"/>
      <c r="BK453" s="38"/>
      <c r="BL453" s="38"/>
      <c r="BM453" s="38"/>
      <c r="BN453" s="38"/>
      <c r="BO453" s="38"/>
      <c r="BP453" s="38"/>
      <c r="BQ453" s="38"/>
      <c r="BR453" s="38"/>
      <c r="BS453" s="38"/>
      <c r="BT453" s="38"/>
      <c r="BU453" s="38"/>
      <c r="BV453" s="38"/>
      <c r="BW453" s="38"/>
      <c r="BX453" s="38"/>
      <c r="BY453" s="38"/>
      <c r="BZ453" s="38"/>
      <c r="CA453" s="38"/>
      <c r="CB453" s="38"/>
      <c r="CC453" s="38"/>
      <c r="CD453" s="38"/>
      <c r="CE453" s="38"/>
      <c r="CF453" s="38"/>
      <c r="CG453" s="38"/>
      <c r="CH453" s="38"/>
      <c r="CI453" s="38"/>
      <c r="CM453" s="1352"/>
      <c r="CN453" s="1352"/>
      <c r="CO453" s="1416"/>
      <c r="CP453" s="1418"/>
      <c r="CR453" s="1386"/>
      <c r="CS453" s="1355"/>
      <c r="CT453" s="1355"/>
      <c r="CU453" s="1375"/>
      <c r="CV453" s="1372"/>
      <c r="CW453" s="1372"/>
      <c r="CX453" s="1372"/>
      <c r="CY453" s="1487"/>
      <c r="CZ453" s="1487"/>
      <c r="DA453" s="1487"/>
      <c r="DC453" s="1355"/>
      <c r="DD453" s="1355"/>
      <c r="DE453" s="1375"/>
      <c r="DF453" s="1407"/>
      <c r="DG453" s="1372"/>
      <c r="DH453" s="1369"/>
      <c r="DK453" s="1484"/>
      <c r="DL453" s="1420"/>
      <c r="DN453" s="1403"/>
      <c r="DO453" s="1405"/>
      <c r="DP453" s="1355"/>
      <c r="DQ453" s="1405"/>
      <c r="DR453" s="1403"/>
      <c r="DS453" s="1489"/>
      <c r="DU453" s="1403"/>
      <c r="DV453" s="1405"/>
      <c r="DW453" s="1403"/>
      <c r="DX453" s="1403"/>
      <c r="DZ453" s="1481"/>
      <c r="EA453" s="1481"/>
      <c r="EC453" s="1482"/>
      <c r="ED453" s="1369"/>
      <c r="EE453" s="1372"/>
      <c r="EF453" s="1369"/>
      <c r="EG453" s="1369"/>
      <c r="EH453" s="1375"/>
      <c r="EI453" s="1375"/>
      <c r="EJ453" s="1363"/>
      <c r="EK453" s="1376"/>
      <c r="EL453" s="1376"/>
      <c r="EM453" s="1362"/>
      <c r="EN453" s="1362"/>
      <c r="EO453" s="1363"/>
      <c r="EP453" s="1363"/>
      <c r="EQ453" s="1363"/>
      <c r="ES453" s="1403"/>
      <c r="EU453" s="1488"/>
      <c r="EV453" s="1488"/>
      <c r="EW453" s="1488"/>
      <c r="EX453" s="1488"/>
      <c r="EY453" s="1488"/>
      <c r="EZ453" s="1414"/>
      <c r="FB453" s="1365"/>
      <c r="FD453" s="1355"/>
      <c r="FE453" s="1355"/>
      <c r="FF453" s="138"/>
      <c r="FI453" s="1357"/>
      <c r="FJ453" s="1357"/>
      <c r="FK453" s="1365"/>
      <c r="FL453" s="1365"/>
      <c r="FM453" s="1365"/>
      <c r="FO453" s="1361"/>
      <c r="FP453" s="1361"/>
      <c r="FQ453" s="1366"/>
      <c r="FR453" s="1361"/>
      <c r="FS453" s="1361"/>
      <c r="FT453" s="1361"/>
      <c r="FU453" s="1360"/>
      <c r="FW453" s="1352"/>
      <c r="FX453" s="1352"/>
      <c r="FY453" s="1352"/>
      <c r="FZ453" s="1352"/>
      <c r="GA453" s="1352"/>
      <c r="GB453" s="1352"/>
      <c r="GC453" s="1352"/>
      <c r="GD453" s="1352"/>
      <c r="GE453" s="759"/>
      <c r="GF453" s="1035"/>
      <c r="GG453" s="1385"/>
      <c r="GJ453" s="1034">
        <f>IF(GJ451=TRUE,0,GJ$16)</f>
        <v>0</v>
      </c>
      <c r="GL453" s="1034">
        <f>IF(GL451=TRUE,0,GL$16)</f>
        <v>36</v>
      </c>
      <c r="GM453" s="1034">
        <f>IF(GM451=TRUE,0,GM$16)</f>
        <v>35</v>
      </c>
      <c r="GN453" s="436"/>
      <c r="GO453" s="436"/>
      <c r="GP453" s="436"/>
      <c r="GQ453" s="436"/>
      <c r="GR453" s="436"/>
      <c r="HC453" s="1034">
        <f t="shared" ref="HC453:HH453" si="330">IF(HC451=TRUE,0,HC$16)</f>
        <v>19</v>
      </c>
      <c r="HD453" s="1034">
        <f t="shared" si="330"/>
        <v>18</v>
      </c>
      <c r="HE453" s="1034">
        <f t="shared" si="330"/>
        <v>17</v>
      </c>
      <c r="HF453" s="1034">
        <f t="shared" si="330"/>
        <v>16</v>
      </c>
      <c r="HG453" s="1034">
        <f t="shared" si="330"/>
        <v>0</v>
      </c>
      <c r="HH453" s="1034">
        <f t="shared" si="330"/>
        <v>0</v>
      </c>
      <c r="HI453" s="1034">
        <f>IF(HI451=TRUE,0,HI$16)</f>
        <v>13</v>
      </c>
      <c r="HJ453" s="1034">
        <f t="shared" ref="HJ453:HL453" si="331">IF(HJ451=TRUE,0,HJ$16)</f>
        <v>12</v>
      </c>
      <c r="HK453" s="1034">
        <f t="shared" si="331"/>
        <v>11</v>
      </c>
      <c r="HL453" s="1034">
        <f t="shared" si="331"/>
        <v>10</v>
      </c>
      <c r="HM453" s="1034">
        <f>IF(HM451=TRUE,0,HM$16)</f>
        <v>9</v>
      </c>
      <c r="HN453" s="1034">
        <f t="shared" ref="HN453:HR453" si="332">IF(HN451=TRUE,0,HN$16)</f>
        <v>0</v>
      </c>
      <c r="HO453" s="1034">
        <f t="shared" si="332"/>
        <v>0</v>
      </c>
      <c r="HP453" s="1034">
        <f t="shared" si="332"/>
        <v>0</v>
      </c>
      <c r="HQ453" s="1034">
        <f t="shared" si="332"/>
        <v>0</v>
      </c>
      <c r="HR453" s="1034">
        <f t="shared" si="332"/>
        <v>0</v>
      </c>
      <c r="HS453" s="1034">
        <f>IF(HS451=TRUE,0,HS$16)</f>
        <v>0</v>
      </c>
      <c r="HT453" s="1034">
        <f t="shared" ref="HT453" si="333">IF(HT451=TRUE,0,HT$16)</f>
        <v>0</v>
      </c>
      <c r="HU453" s="1034">
        <f>IF(HU451=TRUE,0,HU$16)</f>
        <v>1</v>
      </c>
      <c r="HW453" s="1034">
        <f>IF(GL451=FALSE,GL453,IF(GM451=FALSE,GM453,MAX(GJ453:HU453)))</f>
        <v>36</v>
      </c>
      <c r="HX453" s="1383"/>
      <c r="HY453" s="241" t="str">
        <f>VLOOKUP(HW453,_Error_Table,3,FALSE)</f>
        <v xml:space="preserve"> </v>
      </c>
      <c r="HZ453" s="241"/>
      <c r="IA453" s="1386"/>
      <c r="IB453" s="1380"/>
      <c r="IC453" s="1379"/>
      <c r="IF453" s="1380"/>
      <c r="IG453" s="1383"/>
      <c r="IH453" s="1383"/>
      <c r="II453" s="1383"/>
      <c r="IK453" s="1351"/>
      <c r="IL453" s="1351"/>
      <c r="IM453" s="1351"/>
      <c r="IN453" s="1351"/>
      <c r="IO453" s="1351"/>
      <c r="IP453" s="1351"/>
    </row>
    <row r="454" spans="1:250" s="82" customFormat="1" ht="5.0999999999999996" customHeight="1" thickBot="1">
      <c r="B454" s="763"/>
      <c r="C454" s="1038"/>
      <c r="D454" s="1038"/>
      <c r="E454" s="1490"/>
      <c r="F454" s="1490"/>
      <c r="G454" s="1490"/>
      <c r="H454" s="1490"/>
      <c r="I454" s="1490"/>
      <c r="J454" s="1490"/>
      <c r="K454" s="1490"/>
      <c r="L454" s="1490"/>
      <c r="M454" s="1490"/>
      <c r="N454" s="1490"/>
      <c r="O454" s="1490"/>
      <c r="P454" s="1490"/>
      <c r="Q454" s="1490"/>
      <c r="R454" s="1490"/>
      <c r="S454" s="1490"/>
      <c r="T454" s="1490"/>
      <c r="U454" s="1490"/>
      <c r="V454" s="1490"/>
      <c r="W454" s="1490"/>
      <c r="X454" s="1490"/>
      <c r="Y454" s="1490"/>
      <c r="Z454" s="1490"/>
      <c r="AA454" s="1490"/>
      <c r="AB454" s="1490"/>
      <c r="AC454" s="1490"/>
      <c r="AD454" s="1490"/>
      <c r="AE454" s="1490"/>
      <c r="AF454" s="1490"/>
      <c r="AG454" s="1490"/>
      <c r="AH454" s="1490"/>
      <c r="AI454" s="1490"/>
      <c r="AJ454" s="1490"/>
      <c r="AK454" s="1490"/>
      <c r="AL454" s="1490"/>
      <c r="AM454" s="1490"/>
      <c r="AN454" s="1490"/>
      <c r="AO454" s="1490"/>
      <c r="AP454" s="1490"/>
      <c r="AQ454" s="1490"/>
      <c r="AR454" s="1490"/>
      <c r="AS454" s="1490"/>
      <c r="AT454" s="1490"/>
      <c r="AU454" s="1041"/>
      <c r="BC454" s="38"/>
      <c r="BD454" s="38"/>
      <c r="BE454" s="38"/>
      <c r="BF454" s="38"/>
      <c r="BG454" s="38"/>
      <c r="BH454" s="38"/>
      <c r="BI454" s="38"/>
      <c r="BJ454" s="38"/>
      <c r="BK454" s="38"/>
      <c r="BL454" s="38"/>
      <c r="BM454" s="38"/>
      <c r="BN454" s="38"/>
      <c r="BO454" s="38"/>
      <c r="BP454" s="38"/>
      <c r="BQ454" s="38"/>
      <c r="BR454" s="38"/>
      <c r="BS454" s="38"/>
      <c r="BT454" s="38"/>
      <c r="BU454" s="38"/>
      <c r="BV454" s="38"/>
      <c r="BW454" s="38"/>
      <c r="BX454" s="38"/>
      <c r="BY454" s="38"/>
      <c r="BZ454" s="38"/>
      <c r="CA454" s="38"/>
      <c r="CB454" s="38"/>
      <c r="CC454" s="38"/>
      <c r="CD454" s="38"/>
      <c r="CE454" s="38"/>
      <c r="CF454" s="38"/>
      <c r="CG454" s="38"/>
      <c r="CH454" s="38"/>
      <c r="CI454" s="38"/>
      <c r="CM454" s="749"/>
      <c r="CN454" s="749"/>
      <c r="CO454" s="1043"/>
      <c r="CP454" s="749"/>
      <c r="CS454" s="436"/>
      <c r="CT454" s="436"/>
      <c r="CU454" s="243"/>
      <c r="CV454" s="244"/>
      <c r="CW454" s="244"/>
      <c r="CX454" s="244"/>
      <c r="CY454" s="245"/>
      <c r="CZ454" s="245"/>
      <c r="DA454" s="245"/>
      <c r="DC454" s="750"/>
      <c r="DD454" s="751"/>
      <c r="DE454" s="752"/>
      <c r="DF454" s="753"/>
      <c r="DG454" s="754"/>
      <c r="DH454" s="754"/>
      <c r="DK454" s="244"/>
      <c r="DL454" s="750"/>
      <c r="DN454" s="750"/>
      <c r="DO454" s="755"/>
      <c r="DP454" s="436"/>
      <c r="DQ454" s="750"/>
      <c r="DR454" s="750"/>
      <c r="DS454" s="750"/>
      <c r="DU454" s="750"/>
      <c r="DV454" s="750"/>
      <c r="DW454" s="750"/>
      <c r="DX454" s="750"/>
      <c r="DZ454" s="756"/>
      <c r="EA454" s="756"/>
      <c r="EC454" s="754"/>
      <c r="ED454" s="754"/>
      <c r="EE454" s="244"/>
      <c r="EF454" s="754"/>
      <c r="EG454" s="754"/>
      <c r="EH454" s="243"/>
      <c r="EI454" s="243"/>
      <c r="EJ454" s="752"/>
      <c r="EK454" s="757"/>
      <c r="EL454" s="757"/>
      <c r="EM454" s="758"/>
      <c r="EN454" s="758"/>
      <c r="EO454" s="752"/>
      <c r="EP454" s="752"/>
      <c r="EQ454" s="752"/>
      <c r="ES454" s="750"/>
      <c r="EU454" s="436"/>
      <c r="EV454" s="436"/>
      <c r="EW454" s="436"/>
      <c r="EX454" s="436"/>
      <c r="EY454" s="436"/>
      <c r="EZ454" s="436"/>
      <c r="FB454" s="643"/>
      <c r="FD454" s="436"/>
      <c r="FE454" s="436"/>
      <c r="FF454" s="436"/>
      <c r="FO454" s="750"/>
      <c r="FP454" s="436"/>
      <c r="FQ454" s="436"/>
      <c r="FR454" s="750"/>
      <c r="FS454" s="750"/>
      <c r="FW454" s="749"/>
      <c r="FX454" s="749"/>
      <c r="FY454" s="749"/>
      <c r="FZ454" s="749"/>
      <c r="GA454" s="749"/>
      <c r="GB454" s="749"/>
      <c r="GC454" s="749"/>
      <c r="GD454" s="749"/>
      <c r="GE454" s="751"/>
      <c r="GF454" s="750"/>
      <c r="GG454" s="750"/>
    </row>
    <row r="455" spans="1:250" s="82" customFormat="1" ht="14.95" customHeight="1" thickTop="1" thickBot="1">
      <c r="B455" s="1421" t="str">
        <f>HY458</f>
        <v xml:space="preserve"> </v>
      </c>
      <c r="C455" s="1422">
        <f>C450+1</f>
        <v>81</v>
      </c>
      <c r="D455" s="1423"/>
      <c r="E455" s="1424" t="s">
        <v>242</v>
      </c>
      <c r="F455" s="1425"/>
      <c r="G455" s="1426"/>
      <c r="H455" s="1427"/>
      <c r="I455" s="1427"/>
      <c r="J455" s="1427"/>
      <c r="K455" s="1427"/>
      <c r="L455" s="1427"/>
      <c r="M455" s="1427"/>
      <c r="N455" s="1427"/>
      <c r="O455" s="1427"/>
      <c r="P455" s="1427"/>
      <c r="Q455" s="1427"/>
      <c r="R455" s="1427"/>
      <c r="S455" s="1428" t="s">
        <v>283</v>
      </c>
      <c r="T455" s="668" t="s">
        <v>190</v>
      </c>
      <c r="U455" s="1430" t="s">
        <v>186</v>
      </c>
      <c r="V455" s="1431"/>
      <c r="W455" s="1431"/>
      <c r="X455" s="1431"/>
      <c r="Y455" s="1431"/>
      <c r="Z455" s="1431"/>
      <c r="AA455" s="1431"/>
      <c r="AB455" s="1088" t="str">
        <f>IFERROR(IF(__Retrofit_TI_NC=0,VLOOKUP(U456,Fixtures_Existing_List,2,FALSE),ROUND(N457*R457/T457,10)),"")</f>
        <v/>
      </c>
      <c r="AC455" s="1039" t="str">
        <f>IFERROR(IF(__Retrofit_TI_NC=0,ROUND(T456*AB455*N456*R456/1000,0),IF(CN455="Interior",N457*R457*R456*N456*_C406_reduction/1000,N457*R457*R456*N456/1000)),"")</f>
        <v/>
      </c>
      <c r="AD455" s="1040" t="str">
        <f>IFERROR(IF(C$36=0,ROUND(T456*AB455/1000,2),N457*R457/1000),"")</f>
        <v/>
      </c>
      <c r="AE455" s="1044" t="s">
        <v>190</v>
      </c>
      <c r="AF455" s="1432" t="str">
        <f>IF(__Retrofit_TI_NC=2,CONCATENATE("Code min = ",DD455),IF(__Retrofit_TI_NC=1,"Emter what you think the existing control was"," Control"))</f>
        <v xml:space="preserve"> Control</v>
      </c>
      <c r="AG455" s="1432"/>
      <c r="AH455" s="1432"/>
      <c r="AI455" s="1432"/>
      <c r="AJ455" s="1433">
        <f>DF455</f>
        <v>0</v>
      </c>
      <c r="AK455" s="1435" t="str">
        <f>IFERROR(ROUND(AJ455*AC455,0),"")</f>
        <v/>
      </c>
      <c r="AL455" s="1437">
        <f>IFERROR(IF(HW455=FALSE,0,AC455-AK455),0)</f>
        <v>0</v>
      </c>
      <c r="AM455" s="1439">
        <f>AL455-AL457</f>
        <v>0</v>
      </c>
      <c r="AN455" s="1440"/>
      <c r="AO455" s="1445">
        <f>IFERROR(IF(HW455=FALSE,0,(T457*U458)+(AE457*AF458)),0)</f>
        <v>0</v>
      </c>
      <c r="AP455" s="1445"/>
      <c r="AQ455" s="1446"/>
      <c r="AR455" s="1451" t="s">
        <v>157</v>
      </c>
      <c r="AS455" s="1454">
        <f>IF(AR455="Yes",1,0)</f>
        <v>1</v>
      </c>
      <c r="AT455" s="1457" t="str">
        <f>IF(OR(DN455=4,DN455=5,DN455=6,DN455=12),CONCATENATE("$",IF(GD455=TRUE,Lookup!$B$11,Lookup!$B$2)," /lamp"),CONCATENATE(EA455,"/ kWh"))</f>
        <v>0/ kWh</v>
      </c>
      <c r="AU455" s="516"/>
      <c r="AV455" s="1478">
        <f>IFERROR(IF(GI456=TRUE,(AB458*T457)/R457,0),"NA")</f>
        <v>0</v>
      </c>
      <c r="AW455" s="1478" t="str">
        <f>IFERROR(N457*_C406_reduction,"NA")</f>
        <v>NA</v>
      </c>
      <c r="BC455" s="38"/>
      <c r="BD455" s="38"/>
      <c r="BE455" s="38"/>
      <c r="BF455" s="38"/>
      <c r="BG455" s="38"/>
      <c r="BH455" s="38"/>
      <c r="BI455" s="38"/>
      <c r="BJ455" s="38"/>
      <c r="BK455" s="38"/>
      <c r="BL455" s="38"/>
      <c r="BM455" s="38"/>
      <c r="BN455" s="38"/>
      <c r="BO455" s="38"/>
      <c r="BP455" s="38"/>
      <c r="BQ455" s="38"/>
      <c r="BR455" s="38"/>
      <c r="BS455" s="38"/>
      <c r="BT455" s="38"/>
      <c r="BU455" s="38"/>
      <c r="BV455" s="38"/>
      <c r="BW455" s="38"/>
      <c r="BX455" s="38"/>
      <c r="BY455" s="38"/>
      <c r="BZ455" s="38"/>
      <c r="CA455" s="38"/>
      <c r="CB455" s="38"/>
      <c r="CC455" s="38"/>
      <c r="CD455" s="38"/>
      <c r="CE455" s="38"/>
      <c r="CF455" s="38"/>
      <c r="CG455" s="38"/>
      <c r="CH455" s="38"/>
      <c r="CI455" s="38"/>
      <c r="CM455" s="1352" t="str">
        <f>N456</f>
        <v/>
      </c>
      <c r="CN455" s="1352" t="str">
        <f>IFERROR(VLOOKUP(G456,_Lookup_Heat_Type_Table_New,3,FALSE),"")</f>
        <v/>
      </c>
      <c r="CO455" s="1415" t="str">
        <f>CN455</f>
        <v/>
      </c>
      <c r="CP455" s="1417" t="e">
        <f>VLOOKUP(G457,'Space Table'!$B$3:$L$160,9,FALSE)</f>
        <v>#N/A</v>
      </c>
      <c r="CR455" s="1386" t="s">
        <v>283</v>
      </c>
      <c r="CS455" s="1353">
        <f>IF(HW455=TRUE,T456,0)</f>
        <v>0</v>
      </c>
      <c r="CT455" s="1353" t="str">
        <f>IF(HW455=TRUE,U456,"")</f>
        <v/>
      </c>
      <c r="CU455" s="1353"/>
      <c r="CV455" s="1370">
        <f>IF(HW455=TRUE,AB455,0)</f>
        <v>0</v>
      </c>
      <c r="CW455" s="1370">
        <f>IF(HW455=TRUE,AC455,0)</f>
        <v>0</v>
      </c>
      <c r="CX455" s="1370">
        <f>IFERROR(IF(HW455=TRUE,CW455-CW457,0),0)</f>
        <v>0</v>
      </c>
      <c r="CY455" s="1485">
        <f>IF(HW455=TRUE,AD455,0)</f>
        <v>0</v>
      </c>
      <c r="CZ455" s="1485">
        <f>IF(HW455=TRUE,AD458,0)</f>
        <v>0</v>
      </c>
      <c r="DA455" s="1485">
        <f>IFERROR(CY455-CZ455,0)</f>
        <v>0</v>
      </c>
      <c r="DC455" s="1353">
        <f>IF(HW455=TRUE,AE456,0)</f>
        <v>0</v>
      </c>
      <c r="DD455" s="1460">
        <f>IF(__Retrofit_TI_NC=2,IF(CN455="Exterior",O458,FM455),FK455)</f>
        <v>0</v>
      </c>
      <c r="DE455" s="1353"/>
      <c r="DF455" s="1406">
        <f>IFERROR(IF(FL455=3,IK455,IF(FL455=4,IL455,IF(FL455=5,IM455,IF(FL455=6,IN455,IF(FL455=7,IO455,IF(FL455=8,IP455,0)))))),0)</f>
        <v>0</v>
      </c>
      <c r="DG455" s="1370">
        <f>IF(HW455=TRUE,AK455,0)</f>
        <v>0</v>
      </c>
      <c r="DH455" s="1369">
        <f>IFERROR(IF(HW455=TRUE,DG457-DG455,0),0)</f>
        <v>0</v>
      </c>
      <c r="DJ455" s="1483">
        <f>IFERROR(CW455-DG455,0)</f>
        <v>0</v>
      </c>
      <c r="DL455" s="1419">
        <f>DJ455-DK457</f>
        <v>0</v>
      </c>
      <c r="DN455" s="1403" t="str">
        <f>IFERROR(IF(AND(OR(FY455=4,FY455=5,FY455=6),OR(GB455=4,GB455=5,GB455=6)),FY455+8,VLOOKUP(CT457,Fixtures!R$31:Y$78,8,FALSE)),"")</f>
        <v/>
      </c>
      <c r="DO455" s="1404" t="str">
        <f>DN455</f>
        <v/>
      </c>
      <c r="DP455" s="1353" t="str">
        <f>IFERROR(VLOOKUP(DD457,Lookup!AU$3:AV$15,2,FALSE),"")</f>
        <v/>
      </c>
      <c r="DQ455" s="1404" t="str">
        <f>IF(DP455=7,"LLLC","")</f>
        <v/>
      </c>
      <c r="DR455" s="1403">
        <f>IFERROR(IF(OR(DN455=4,DN455=5,DN455=6,DN455=12,DN455=13,DN455=14),VLOOKUP(CT457,Fixtures!DN$27:EG$77,19,FALSE),1)*CS457,0)</f>
        <v>0</v>
      </c>
      <c r="DS455" s="1489">
        <f>IF(DP455=7,IF(DD455=DD457,0,DC457),0)</f>
        <v>0</v>
      </c>
      <c r="DU455" s="1403" t="str">
        <f>IFERROR(IF(EW455&lt;EW457,"Yes","No"),"")</f>
        <v/>
      </c>
      <c r="DV455" s="1404" t="str">
        <f>DU455</f>
        <v/>
      </c>
      <c r="DW455" s="1403">
        <f>IF(DU455="Yes",DC457,0)</f>
        <v>0</v>
      </c>
      <c r="DX455" s="1403">
        <f>DW455-DS455</f>
        <v>0</v>
      </c>
      <c r="DZ455" s="1481">
        <f>IFERROR(VLOOKUP(DN455,Lookup!AN$3:AO$16,2,FALSE),0)</f>
        <v>0</v>
      </c>
      <c r="EA455" s="1481">
        <f>IF(HW455=FALSE,0,IF(DU455="Yes",DZ455+Lookup!B$6,DZ455))</f>
        <v>0</v>
      </c>
      <c r="EC455" s="1482">
        <f>IF(HW455=TRUE,DJ455,0)</f>
        <v>0</v>
      </c>
      <c r="ED455" s="1369">
        <f>IF(HW455=TRUE,CW457,0)</f>
        <v>0</v>
      </c>
      <c r="EE455" s="1370">
        <f>IFERROR(EC455-ED455,0)</f>
        <v>0</v>
      </c>
      <c r="EF455" s="1369">
        <f>IF(HW455=TRUE,DG457,0)</f>
        <v>0</v>
      </c>
      <c r="EG455" s="1369">
        <f>IFERROR(EC455-ED455+EF455,0)</f>
        <v>0</v>
      </c>
      <c r="EH455" s="1373">
        <f>IF(HW455=TRUE,CS457*CU457,0)</f>
        <v>0</v>
      </c>
      <c r="EI455" s="1373">
        <f>IF(HW455=TRUE,DC457*DE457,0)</f>
        <v>0</v>
      </c>
      <c r="EJ455" s="1363">
        <f>AO455</f>
        <v>0</v>
      </c>
      <c r="EK455" s="1376" t="str">
        <f>IFERROR(IF(HW455=TRUE,VLOOKUP(DN455,Lookup!AN$3:AP$16,3,FALSE)*DR455,""),0)</f>
        <v/>
      </c>
      <c r="EL455" s="1376">
        <f>IF(HW455=TRUE,DW455*Lookup!AP$12,0)</f>
        <v>0</v>
      </c>
      <c r="EM455" s="1362">
        <f>IFERROR(IF(HW455=TRUE,EK455/EM$33,0),0)</f>
        <v>0</v>
      </c>
      <c r="EN455" s="1362">
        <f>IF(HW455=TRUE,EL455/EN$33,0)</f>
        <v>0</v>
      </c>
      <c r="EO455" s="1363">
        <f>IF(HW455=TRUE,EQ$33*EM455,0)</f>
        <v>0</v>
      </c>
      <c r="EP455" s="1363">
        <f>IF(HW455=TRUE,EQ$33*EN455,0)</f>
        <v>0</v>
      </c>
      <c r="EQ455" s="1363">
        <f>EO455+EP455</f>
        <v>0</v>
      </c>
      <c r="ES455" s="1403">
        <f>IF(G455="",0,1)</f>
        <v>0</v>
      </c>
      <c r="EU455" s="1410" t="e">
        <f>VLOOKUP(CP457,'Space Table'!$B$3:$L$160,8,FALSE)</f>
        <v>#N/A</v>
      </c>
      <c r="EV455" s="1410" t="e">
        <f>IF(EY455="Yes",VLOOKUP(DD455,Lookup_Control_Type_Table2,4,FALSE),VLOOKUP(DD455,Lookup_Control_Type_Table2,3,FALSE))</f>
        <v>#N/A</v>
      </c>
      <c r="EW455" s="1410" t="e">
        <f>VLOOKUP(DD455,Lookup!AU$3:AV$15,2,FALSE)</f>
        <v>#N/A</v>
      </c>
      <c r="EX455" s="1410" t="e">
        <f>VLOOKUP(EU455,Lookup_Control_Type_Table,2,FALSE)</f>
        <v>#N/A</v>
      </c>
      <c r="EY455" s="1410" t="e">
        <f>VLOOKUP(CP457,'Space Table'!$B$3:$L$160,7,FALSE)</f>
        <v>#N/A</v>
      </c>
      <c r="EZ455" s="1412" t="b">
        <f>ISNUMBER(SEARCH("TLED",U457))</f>
        <v>0</v>
      </c>
      <c r="FB455" s="1365" t="str">
        <f>CONCATENATE(CN455," - ",DD455)</f>
        <v xml:space="preserve"> - 0</v>
      </c>
      <c r="FD455" s="1353" t="str">
        <f>VLOOKUP(CT457,Fixtures!DN$27:EZ$77,38,FALSE)</f>
        <v/>
      </c>
      <c r="FE455" s="1353">
        <f>IFERROR(FD455*EE455,0)</f>
        <v>0</v>
      </c>
      <c r="FF455" s="138"/>
      <c r="FI455" s="1356" t="str">
        <f>IF(CN455="Exterior","Not Daylighted",G458)</f>
        <v>Not Daylighted</v>
      </c>
      <c r="FJ455" s="1356">
        <f>VLOOKUP(FI455,_Daylight_Table_Codes,2,FALSE)</f>
        <v>0</v>
      </c>
      <c r="FK455" s="1365">
        <f>IF(__Retrofit_TI_NC=2,VLOOKUP(G457,'Space Table'!$B$3:$L$160,11,FALSE),AF456)</f>
        <v>0</v>
      </c>
      <c r="FL455" s="1365" t="e">
        <f>VLOOKUP(FK455,_Control_Table,2,FALSE)</f>
        <v>#N/A</v>
      </c>
      <c r="FM455" s="1365" t="e">
        <f>IF(AND(FP455&gt;0,FK455="Occupancy Sensor"),"Daylight + Occupancy",IF(AND(FP455&gt;0,FL455&lt;4),"Interior Daylight Dimming",FK455))</f>
        <v>#N/A</v>
      </c>
      <c r="FO455" s="1364">
        <f>IF(CO455="Interior",VLOOKUP(CP455,Control_Savings_Interior,5,FALSE),0)</f>
        <v>0</v>
      </c>
      <c r="FP455" s="1361">
        <f>IF(CN455="Exterior",0,IF(FJ455=2,0.5,IF(OR(FJ455=1,FJ455=3),1,0)))</f>
        <v>0</v>
      </c>
      <c r="FQ455" s="1366"/>
      <c r="FR455" s="1367"/>
      <c r="FS455" s="1364"/>
      <c r="FT455" s="1367"/>
      <c r="FU455" s="1360"/>
      <c r="FW455" s="1352" t="str">
        <f>IFERROR(VLOOKUP(U456,_Exist_Fixture_Table,3,FALSE),"")</f>
        <v/>
      </c>
      <c r="FX455" s="1352" t="str">
        <f>VLOOKUP(CT455,_Exist_Fixture_Table,4,FALSE)</f>
        <v/>
      </c>
      <c r="FY455" s="1352">
        <f>IFERROR(VLOOKUP(FX455,Lookup!AM$6:AN$8,2,FALSE),0)</f>
        <v>0</v>
      </c>
      <c r="FZ455" s="1352" t="b">
        <f>IFERROR(IF(OR(GB455=4,GB455=5,GB455=6),TRUE,FALSE),"")</f>
        <v>0</v>
      </c>
      <c r="GA455" s="1352" t="str">
        <f>IFERROR(VLOOKUP(GB455,FY$6:FZ$10,2,FALSE),"")</f>
        <v/>
      </c>
      <c r="GB455" s="1352" t="str">
        <f>VLOOKUP(CT457,Fixtures!R$31:Y$78,8,FALSE)</f>
        <v/>
      </c>
      <c r="GC455" s="1352">
        <f>IF(AND(FW455=TRUE,FZ455=TRUE,OR(DN455=12,DN455=13,DN455=14)),FY455+8,0)</f>
        <v>0</v>
      </c>
      <c r="GD455" s="1352" t="b">
        <f>IF(OR(GC455=12,GC455=13,GC455=14),TRUE,FALSE)</f>
        <v>0</v>
      </c>
      <c r="GE455" s="759" t="b">
        <f>IF(ISNUMBER(SEARCH("TLED",U456)),TRUE,FALSE)</f>
        <v>0</v>
      </c>
      <c r="GF455" s="1035" t="str">
        <f>IFERROR(VLOOKUP(U456,Fixtures!BM$93:BR$142,6,FALSE),"")</f>
        <v/>
      </c>
      <c r="GG455" s="1385" t="b">
        <f>IF(OR(GE455=FALSE,GE457=FALSE),TRUE,IF(GF455-GF457&lt;5,FALSE,TRUE))</f>
        <v>1</v>
      </c>
      <c r="GK455" s="1034">
        <f>GL455</f>
        <v>0</v>
      </c>
      <c r="GL455" s="1034">
        <f>IF(G455="",0,1)</f>
        <v>0</v>
      </c>
      <c r="GM455" s="1034">
        <f>SUM(GN455:HB455)</f>
        <v>2</v>
      </c>
      <c r="GN455" s="1034">
        <f>IF(G456="",0,1)</f>
        <v>0</v>
      </c>
      <c r="GO455" s="1034">
        <f>IF(G457="",0,1)</f>
        <v>0</v>
      </c>
      <c r="GP455" s="1034">
        <f>IF(R456="",0,1)</f>
        <v>0</v>
      </c>
      <c r="GQ455" s="1034">
        <f>IF(__Retrofit_TI_NC=0,1,IF(R457="",0,1))</f>
        <v>1</v>
      </c>
      <c r="GR455" s="1034">
        <f>IF(CN455="Exterior",1,IF(G458="",0,1))</f>
        <v>1</v>
      </c>
      <c r="GS455" s="1034">
        <f>IF(__Retrofit_TI_NC&lt;&gt;0,1,IF(T456="",0,1))</f>
        <v>0</v>
      </c>
      <c r="GT455" s="1034">
        <f>IF(__Retrofit_TI_NC&lt;&gt;0,1,IF(U456="",0,1))</f>
        <v>0</v>
      </c>
      <c r="GU455" s="1034">
        <f>IF(T457="",0,1)</f>
        <v>0</v>
      </c>
      <c r="GV455" s="1034">
        <f>IF(U457="",0,1)</f>
        <v>0</v>
      </c>
      <c r="GW455" s="1034">
        <f>IF(__Retrofit_TI_NC=2,1,IF(U458="",0,1))</f>
        <v>0</v>
      </c>
      <c r="GX455" s="1034">
        <f>IF(__Retrofit_TI_NC&lt;&gt;0,1,IF(AE456="",0,1))</f>
        <v>0</v>
      </c>
      <c r="GY455" s="1034">
        <f>IF(__Retrofit_TI_NC&lt;&gt;0,1,IF(AF456="",0,1))</f>
        <v>0</v>
      </c>
      <c r="GZ455" s="1034">
        <f>IF(AE457="",0,1)</f>
        <v>0</v>
      </c>
      <c r="HA455" s="1034">
        <f>IF(AF457="",0,1)</f>
        <v>0</v>
      </c>
      <c r="HB455" s="1034">
        <f>IF(__Retrofit_TI_NC=2,1,IF(AF458="",0,1))</f>
        <v>0</v>
      </c>
      <c r="HV455" s="436"/>
      <c r="HW455" s="1384" t="b">
        <f>IF(OR(HW458=0,HW458=HT$16,HW458=HS$16,HW458=HU$16),TRUE,FALSE)</f>
        <v>0</v>
      </c>
      <c r="HX455" s="1377" t="b">
        <f>HW455</f>
        <v>0</v>
      </c>
      <c r="HY455" s="436"/>
      <c r="HZ455" s="436"/>
      <c r="IA455" s="1386" t="b">
        <f>IF(MAX(GJ458:HP458)&gt;5,FALSE,TRUE)</f>
        <v>0</v>
      </c>
      <c r="IB455" s="1380">
        <f>IF(IA455=TRUE,AC455,0)</f>
        <v>0</v>
      </c>
      <c r="IC455" s="1380">
        <f>IB455-IB457</f>
        <v>0</v>
      </c>
      <c r="IF455" s="1380" t="e">
        <f>ROUND(T456*VLOOKUP(U456,Fixtures_Existing_List,2,FALSE)*N456*R456/1000,0)</f>
        <v>#N/A</v>
      </c>
      <c r="IG455" s="1381" t="e">
        <f>IF455-IF457</f>
        <v>#N/A</v>
      </c>
      <c r="IH455" s="1384" t="e">
        <f>ROUND(IF(CN455="Interior",N457*R457*R456*N456*_C406_reduction/1000,N457*R457*R456*N456/1000),0)</f>
        <v>#N/A</v>
      </c>
      <c r="II455" s="1384" t="e">
        <f>IH455-IH457</f>
        <v>#N/A</v>
      </c>
      <c r="IK455" s="1351" t="e">
        <f>IF($CO455="interior",IL455/2,VLOOKUP($CP455,Control_Savings_Exterior,IK$30,FALSE))</f>
        <v>#N/A</v>
      </c>
      <c r="IL455" s="1351" t="e">
        <f>IF($CO455="interior",VLOOKUP($CP455,Control_Savings_Interior,IL$30,FALSE),VLOOKUP($CP455,Control_Savings_Exterior,IL$30,FALSE))</f>
        <v>#N/A</v>
      </c>
      <c r="IM455" s="1351" t="e">
        <f>IF($CO455="interior",IF(R456&gt;FO$37,(IM$28*(FO$37/R456)),IM$28)*FP455,VLOOKUP($CP455,Control_Savings_Exterior,IM$30,FALSE))</f>
        <v>#N/A</v>
      </c>
      <c r="IN455" s="1351" t="e">
        <f>IF($CO455="interior",ROUND(((1-IL455)*IM455)+IL455,2),VLOOKUP($CP455,Control_Savings_Exterior,IN$30,FALSE))</f>
        <v>#N/A</v>
      </c>
      <c r="IO455" s="1351" t="e">
        <f>IF($CO455="interior", ROUND(((1-IL455)*(IM455*(1-IP$28)))+IP455,2), VLOOKUP($CP455,Control_Savings_Exterior,IO$30,FALSE))</f>
        <v>#N/A</v>
      </c>
      <c r="IP455" s="1351">
        <f>IF($CO455="interior",ROUND(((1-IL455)*IP$28)+IL455,2),0)</f>
        <v>0</v>
      </c>
    </row>
    <row r="456" spans="1:250" s="82" customFormat="1" ht="14.95" customHeight="1" thickTop="1" thickBot="1">
      <c r="B456" s="1421"/>
      <c r="C456" s="1422"/>
      <c r="D456" s="1423"/>
      <c r="E456" s="1393" t="s">
        <v>244</v>
      </c>
      <c r="F456" s="1394"/>
      <c r="G456" s="1395"/>
      <c r="H456" s="1395"/>
      <c r="I456" s="1395"/>
      <c r="J456" s="1395"/>
      <c r="K456" s="1395"/>
      <c r="L456" s="1395"/>
      <c r="M456" s="509" t="e">
        <f>IF(__Retrofit_TI_NC&lt;&gt;0,IF(VLOOKUP(G457,'Space Table'!$B$3:$L$160,3,FALSE)&gt;0,1,0),IF(__Retrofit_TI_NC=VLOOKUP(G457,'Space Table'!$B$3:$L$160,3,FALSE),1,0))</f>
        <v>#N/A</v>
      </c>
      <c r="N456" s="509" t="str">
        <f>IFERROR(VLOOKUP(G456,_Lookup_Heat_Type_Table_New,2,FALSE),"")</f>
        <v/>
      </c>
      <c r="O456" s="509">
        <f>IF(__Retrofit_TI_NC=1,CONCATENATE("TI ",G456),IF(__Retrofit_TI_NC=2,CONCATENATE("NC ",G456),G456))</f>
        <v>0</v>
      </c>
      <c r="P456" s="1396" t="s">
        <v>352</v>
      </c>
      <c r="Q456" s="1396"/>
      <c r="R456" s="673"/>
      <c r="S456" s="1429"/>
      <c r="T456" s="675"/>
      <c r="U456" s="1496"/>
      <c r="V456" s="1497"/>
      <c r="W456" s="1497"/>
      <c r="X456" s="1497"/>
      <c r="Y456" s="1497"/>
      <c r="Z456" s="1497"/>
      <c r="AA456" s="1497"/>
      <c r="AB456" s="1497"/>
      <c r="AC456" s="1497"/>
      <c r="AD456" s="1498"/>
      <c r="AE456" s="675"/>
      <c r="AF456" s="1397"/>
      <c r="AG456" s="1397"/>
      <c r="AH456" s="1397"/>
      <c r="AI456" s="1397"/>
      <c r="AJ456" s="1434"/>
      <c r="AK456" s="1436"/>
      <c r="AL456" s="1438"/>
      <c r="AM456" s="1441"/>
      <c r="AN456" s="1442"/>
      <c r="AO456" s="1447"/>
      <c r="AP456" s="1447"/>
      <c r="AQ456" s="1448"/>
      <c r="AR456" s="1452"/>
      <c r="AS456" s="1455"/>
      <c r="AT456" s="1458"/>
      <c r="AU456" s="516"/>
      <c r="AV456" s="1479"/>
      <c r="AW456" s="1479"/>
      <c r="BC456" s="38"/>
      <c r="BD456" s="38"/>
      <c r="BE456" s="38"/>
      <c r="BF456" s="38"/>
      <c r="BG456" s="38"/>
      <c r="BH456" s="38"/>
      <c r="BI456" s="38"/>
      <c r="BJ456" s="38"/>
      <c r="BK456" s="38"/>
      <c r="BL456" s="38"/>
      <c r="BM456" s="38"/>
      <c r="BN456" s="38"/>
      <c r="BO456" s="38"/>
      <c r="BP456" s="38"/>
      <c r="BQ456" s="38"/>
      <c r="BR456" s="38"/>
      <c r="BS456" s="38"/>
      <c r="BT456" s="38"/>
      <c r="BU456" s="38"/>
      <c r="BV456" s="38"/>
      <c r="BW456" s="38"/>
      <c r="BX456" s="38"/>
      <c r="BY456" s="38"/>
      <c r="BZ456" s="38"/>
      <c r="CA456" s="38"/>
      <c r="CB456" s="38"/>
      <c r="CC456" s="38"/>
      <c r="CD456" s="38"/>
      <c r="CE456" s="38"/>
      <c r="CF456" s="38"/>
      <c r="CG456" s="38"/>
      <c r="CH456" s="38"/>
      <c r="CI456" s="38"/>
      <c r="CM456" s="1352"/>
      <c r="CN456" s="1352"/>
      <c r="CO456" s="1416"/>
      <c r="CP456" s="1418"/>
      <c r="CR456" s="1386"/>
      <c r="CS456" s="1355"/>
      <c r="CT456" s="1355"/>
      <c r="CU456" s="1355"/>
      <c r="CV456" s="1372"/>
      <c r="CW456" s="1372"/>
      <c r="CX456" s="1371"/>
      <c r="CY456" s="1486"/>
      <c r="CZ456" s="1486"/>
      <c r="DA456" s="1486"/>
      <c r="DC456" s="1355"/>
      <c r="DD456" s="1461"/>
      <c r="DE456" s="1355"/>
      <c r="DF456" s="1407"/>
      <c r="DG456" s="1372"/>
      <c r="DH456" s="1369"/>
      <c r="DJ456" s="1484"/>
      <c r="DL456" s="1419"/>
      <c r="DN456" s="1403"/>
      <c r="DO456" s="1405"/>
      <c r="DP456" s="1354"/>
      <c r="DQ456" s="1405"/>
      <c r="DR456" s="1403"/>
      <c r="DS456" s="1489"/>
      <c r="DU456" s="1403"/>
      <c r="DV456" s="1405"/>
      <c r="DW456" s="1403"/>
      <c r="DX456" s="1403"/>
      <c r="DZ456" s="1481"/>
      <c r="EA456" s="1481"/>
      <c r="EC456" s="1482"/>
      <c r="ED456" s="1369"/>
      <c r="EE456" s="1371"/>
      <c r="EF456" s="1369"/>
      <c r="EG456" s="1369"/>
      <c r="EH456" s="1374"/>
      <c r="EI456" s="1374"/>
      <c r="EJ456" s="1363"/>
      <c r="EK456" s="1376"/>
      <c r="EL456" s="1376"/>
      <c r="EM456" s="1362"/>
      <c r="EN456" s="1362"/>
      <c r="EO456" s="1363"/>
      <c r="EP456" s="1363"/>
      <c r="EQ456" s="1363"/>
      <c r="ES456" s="1403"/>
      <c r="EU456" s="1411"/>
      <c r="EV456" s="1411"/>
      <c r="EW456" s="1411"/>
      <c r="EX456" s="1411"/>
      <c r="EY456" s="1411"/>
      <c r="EZ456" s="1413"/>
      <c r="FB456" s="1365"/>
      <c r="FD456" s="1354"/>
      <c r="FE456" s="1354"/>
      <c r="FF456" s="138"/>
      <c r="FI456" s="1357"/>
      <c r="FJ456" s="1357"/>
      <c r="FK456" s="1365"/>
      <c r="FL456" s="1365"/>
      <c r="FM456" s="1365"/>
      <c r="FO456" s="1361"/>
      <c r="FP456" s="1361"/>
      <c r="FQ456" s="1366"/>
      <c r="FR456" s="1368"/>
      <c r="FS456" s="1361"/>
      <c r="FT456" s="1368"/>
      <c r="FU456" s="1360"/>
      <c r="FW456" s="1352"/>
      <c r="FX456" s="1352"/>
      <c r="FY456" s="1352"/>
      <c r="FZ456" s="1352"/>
      <c r="GA456" s="1352"/>
      <c r="GB456" s="1352"/>
      <c r="GC456" s="1352"/>
      <c r="GD456" s="1352"/>
      <c r="GE456" s="759"/>
      <c r="GF456" s="1035"/>
      <c r="GG456" s="1385"/>
      <c r="GI456" s="1384" t="b">
        <f>IF(AND(GL456=TRUE,GM456=TRUE),TRUE,FALSE)</f>
        <v>0</v>
      </c>
      <c r="GJ456" s="1379" t="b">
        <f>IFERROR(IF(__Retrofit_TI_NC=2,TRUE,IF(AR455="Yes",TRUE,FALSE)),FALSE)</f>
        <v>1</v>
      </c>
      <c r="GL456" s="1379" t="b">
        <f>IFERROR(IF(GL455=1,TRUE,FALSE),FALSE)</f>
        <v>0</v>
      </c>
      <c r="GM456" s="1379" t="b">
        <f>IFERROR(IF(GM455=GM$14,TRUE,FALSE),FALSE)</f>
        <v>0</v>
      </c>
      <c r="HC456" s="1379" t="b">
        <f>IFERROR(IF(M456=1,TRUE,FALSE),FALSE)</f>
        <v>0</v>
      </c>
      <c r="HD456" s="1379" t="b">
        <f>IFERROR(IF(M457=1,TRUE,FALSE),FALSE)</f>
        <v>0</v>
      </c>
      <c r="HE456" s="1379" t="b">
        <f>IFERROR(IF(__Retrofit_TI_NC&lt;&gt;0,TRUE,IFERROR(IF(VLOOKUP(U456,Fixtures_Existing_List,2,FALSE)&lt;&gt;"",TRUE,FALSE),FALSE)),FALSE)</f>
        <v>0</v>
      </c>
      <c r="HF456" s="1379" t="b">
        <f>IFERROR(IF(VLOOKUP(U457,Fixtures_Proposed_List,2,FALSE)&lt;&gt;"",TRUE,FALSE),FALSE)</f>
        <v>0</v>
      </c>
      <c r="HG456" s="1379" t="b">
        <f>IF(AND(__Retrofit_TI_NC=2,EZ455=TRUE),FALSE,TRUE)</f>
        <v>1</v>
      </c>
      <c r="HH456" s="1379" t="b">
        <f>GG455</f>
        <v>1</v>
      </c>
      <c r="HI456" s="1384" t="b">
        <f>IF(ISERROR(MATCH(FB455,_Control_Match[],0))=TRUE,FALSE,TRUE)</f>
        <v>0</v>
      </c>
      <c r="HJ456" s="1384" t="b">
        <f>IFERROR(IF(EU455&lt;&gt;EV455,FALSE,TRUE),FALSE)</f>
        <v>0</v>
      </c>
      <c r="HK456" s="1384" t="b">
        <f>IFERROR(IF(EU457&lt;&gt;EV457,FALSE,TRUE),FALSE)</f>
        <v>0</v>
      </c>
      <c r="HL456" s="1379" t="b">
        <f>IFERROR(IF(CN455="Exterior",TRUE,IF(OR(AND(FJ455=0,EW457&gt;4),AND(FJ455=4,EW457&gt;4,EW457&lt;7)),FALSE,TRUE)),FALSE)</f>
        <v>0</v>
      </c>
      <c r="HM456" s="1379" t="b">
        <f>IFERROR(IF(AND(FL457=7,EZ455=TRUE),FALSE,TRUE),FALSE)</f>
        <v>0</v>
      </c>
      <c r="HN456" s="1379" t="b">
        <f>IFERROR(IF(AND(T457&lt;&gt;AE457,AF457="Interior LLLC")=TRUE,FALSE,TRUE),FALSE)</f>
        <v>1</v>
      </c>
      <c r="HO456" s="1379" t="b">
        <f>IFERROR(IF(OR(AF457=Lookup!AU$13,AF457=Lookup!AU$14)=TRUE,IF(AE457&gt;T457,FALSE,TRUE),TRUE),FALSE)</f>
        <v>1</v>
      </c>
      <c r="HP456" s="1379" t="b">
        <f>IFERROR(IF(__Retrofit_TI_NC=2,IF(EW457&lt;EW455,FALSE,TRUE),TRUE),FALSE)</f>
        <v>1</v>
      </c>
      <c r="HQ456" s="1379" t="b">
        <f>IF(CN455="Interior",IG$6,TRUE)</f>
        <v>1</v>
      </c>
      <c r="HR456" s="1379" t="b">
        <f>IF(CN455="Exterior",IG$8,TRUE)</f>
        <v>1</v>
      </c>
      <c r="HS456" s="1379" t="b">
        <f>IFERROR(IF(__Retrofit_TI_NC&lt;&gt;0,IF(AW455&lt;AV455,FALSE,TRUE),TRUE),FALSE)</f>
        <v>1</v>
      </c>
      <c r="HT456" s="1379" t="b">
        <f>IFERROR(IF(AND(G456="Exterior",R456&gt;4200),FALSE,TRUE),FALSE)</f>
        <v>1</v>
      </c>
      <c r="HU456" s="1379" t="b">
        <f>IFERROR(IF(AB458/AB455&lt;HU$18,FALSE,TRUE),FALSE)</f>
        <v>0</v>
      </c>
      <c r="HW456" s="1382"/>
      <c r="HX456" s="1378"/>
      <c r="HY456" s="1377" t="str">
        <f>VLOOKUP(HW458,_Error_Table,4,FALSE)</f>
        <v>White</v>
      </c>
      <c r="HZ456" s="436"/>
      <c r="IA456" s="1386"/>
      <c r="IB456" s="1380"/>
      <c r="IC456" s="1379"/>
      <c r="IF456" s="1380"/>
      <c r="IG456" s="1382"/>
      <c r="IH456" s="1382"/>
      <c r="II456" s="1382"/>
      <c r="IK456" s="1351"/>
      <c r="IL456" s="1351"/>
      <c r="IM456" s="1351"/>
      <c r="IN456" s="1351"/>
      <c r="IO456" s="1351"/>
      <c r="IP456" s="1351"/>
    </row>
    <row r="457" spans="1:250" s="82" customFormat="1" ht="14.95" customHeight="1" thickTop="1" thickBot="1">
      <c r="A457" s="82">
        <f>ROW()</f>
        <v>457</v>
      </c>
      <c r="B457" s="1421"/>
      <c r="C457" s="1422"/>
      <c r="D457" s="1423"/>
      <c r="E457" s="1393" t="s">
        <v>245</v>
      </c>
      <c r="F457" s="1394"/>
      <c r="G457" s="1398"/>
      <c r="H457" s="1399"/>
      <c r="I457" s="1399"/>
      <c r="J457" s="1399"/>
      <c r="K457" s="1399"/>
      <c r="L457" s="1400"/>
      <c r="M457" s="509">
        <f>IFERROR(IF(IF(__Retrofit_TI_NC&lt;&gt;0,IF(CN455="Interior",MATCH(G457,Lookup_Interior_New,0),MATCH(G457,Lookup_Exterior_New,0)),IF(CN455="Interior",MATCH(G457,Lookup_Interior,0),MATCH(G457,Lookup_Exterior_Areas,0)))&gt;0,1,0),0)</f>
        <v>0</v>
      </c>
      <c r="N457" s="509" t="e">
        <f>IF(__Retrofit_TI_NC=1,
VLOOKUP(G457,'Space Table'!$B$3:$L$160,4,FALSE),
IF(__Retrofit_TI_NC=2,VLOOKUP(G457,'Space Table'!$B$3:$L$160,5,FALSE),VLOOKUP(G457,'Space Table'!$B$3:$L$160,5,FALSE)))</f>
        <v>#N/A</v>
      </c>
      <c r="O457" s="509">
        <f>G457</f>
        <v>0</v>
      </c>
      <c r="P457" s="1394" t="s">
        <v>355</v>
      </c>
      <c r="Q457" s="1394"/>
      <c r="R457" s="674"/>
      <c r="S457" s="1401" t="s">
        <v>284</v>
      </c>
      <c r="T457" s="672"/>
      <c r="U457" s="1499"/>
      <c r="V457" s="1500"/>
      <c r="W457" s="1500"/>
      <c r="X457" s="1500"/>
      <c r="Y457" s="1500"/>
      <c r="Z457" s="1500"/>
      <c r="AA457" s="1500"/>
      <c r="AB457" s="1501"/>
      <c r="AC457" s="1501"/>
      <c r="AD457" s="1502"/>
      <c r="AE457" s="672"/>
      <c r="AF457" s="1474"/>
      <c r="AG457" s="1474"/>
      <c r="AH457" s="1474"/>
      <c r="AI457" s="1474"/>
      <c r="AJ457" s="1475">
        <f>DF457</f>
        <v>0</v>
      </c>
      <c r="AK457" s="1470" t="str">
        <f>IFERROR(ROUND(AJ457*AC458,0),"")</f>
        <v/>
      </c>
      <c r="AL457" s="1472">
        <f>IFERROR(IF(HW455=FALSE,0,AC458-AK457),0)</f>
        <v>0</v>
      </c>
      <c r="AM457" s="1441"/>
      <c r="AN457" s="1442"/>
      <c r="AO457" s="1447"/>
      <c r="AP457" s="1447"/>
      <c r="AQ457" s="1448"/>
      <c r="AR457" s="1452"/>
      <c r="AS457" s="1455"/>
      <c r="AT457" s="1458"/>
      <c r="AU457" s="516"/>
      <c r="AV457" s="1479"/>
      <c r="AW457" s="1479"/>
      <c r="BC457" s="38"/>
      <c r="BD457" s="38"/>
      <c r="BE457" s="38"/>
      <c r="BF457" s="38"/>
      <c r="BG457" s="38"/>
      <c r="BH457" s="38"/>
      <c r="BI457" s="38"/>
      <c r="BJ457" s="38"/>
      <c r="BK457" s="38"/>
      <c r="BL457" s="38"/>
      <c r="BM457" s="38"/>
      <c r="BN457" s="38"/>
      <c r="BO457" s="38"/>
      <c r="BP457" s="38"/>
      <c r="BQ457" s="38"/>
      <c r="BR457" s="38"/>
      <c r="BS457" s="38"/>
      <c r="BT457" s="38"/>
      <c r="BU457" s="38"/>
      <c r="BV457" s="38"/>
      <c r="BW457" s="38"/>
      <c r="BX457" s="38"/>
      <c r="BY457" s="38"/>
      <c r="BZ457" s="38"/>
      <c r="CA457" s="38"/>
      <c r="CB457" s="38"/>
      <c r="CC457" s="38"/>
      <c r="CD457" s="38"/>
      <c r="CE457" s="38"/>
      <c r="CF457" s="38"/>
      <c r="CG457" s="38"/>
      <c r="CH457" s="38"/>
      <c r="CI457" s="38"/>
      <c r="CM457" s="1352"/>
      <c r="CN457" s="1352"/>
      <c r="CO457" s="1415" t="str">
        <f>CN455</f>
        <v/>
      </c>
      <c r="CP457" s="1417" t="e">
        <f>CP455</f>
        <v>#N/A</v>
      </c>
      <c r="CR457" s="1386" t="s">
        <v>284</v>
      </c>
      <c r="CS457" s="1353">
        <f>IF(HW455=TRUE,T457,0)</f>
        <v>0</v>
      </c>
      <c r="CT457" s="1353" t="str">
        <f>IF(HW455=TRUE,U457,"")</f>
        <v/>
      </c>
      <c r="CU457" s="1373">
        <f>IF(HW455=TRUE,U458,0)</f>
        <v>0</v>
      </c>
      <c r="CV457" s="1370">
        <f>IF(HW455=TRUE,AB458,0)</f>
        <v>0</v>
      </c>
      <c r="CW457" s="1370">
        <f>IF(HW455=TRUE,AC458,0)</f>
        <v>0</v>
      </c>
      <c r="CX457" s="1371"/>
      <c r="CY457" s="1486"/>
      <c r="CZ457" s="1486"/>
      <c r="DA457" s="1486"/>
      <c r="DC457" s="1353">
        <f>IF(HW455=TRUE,AE457,0)</f>
        <v>0</v>
      </c>
      <c r="DD457" s="1353" t="str">
        <f>IF(HW455=TRUE,AF457,"")</f>
        <v/>
      </c>
      <c r="DE457" s="1373">
        <f>AF458</f>
        <v>0</v>
      </c>
      <c r="DF457" s="1406">
        <f>IFERROR(IF(FL457=3,IK457,IF(FL457=4,IL457,IF(FL457=5,IM457,IF(FL457=6,IN457,IF(FL457=7,IO457,IF(FL457=8,IP457,0)))))),0)</f>
        <v>0</v>
      </c>
      <c r="DG457" s="1370">
        <f>IF(HW455=TRUE,AK457,0)</f>
        <v>0</v>
      </c>
      <c r="DH457" s="1369"/>
      <c r="DK457" s="1483">
        <f>IFERROR(CW457-DG457,0)</f>
        <v>0</v>
      </c>
      <c r="DL457" s="1420"/>
      <c r="DN457" s="1403"/>
      <c r="DO457" s="1477" t="str">
        <f>DN455</f>
        <v/>
      </c>
      <c r="DP457" s="1354"/>
      <c r="DQ457" s="1477" t="str">
        <f>IF(DP455=7,"LLLC","")</f>
        <v/>
      </c>
      <c r="DR457" s="1403"/>
      <c r="DS457" s="1489"/>
      <c r="DU457" s="1403"/>
      <c r="DV457" s="1404" t="str">
        <f>DU455</f>
        <v/>
      </c>
      <c r="DW457" s="1403"/>
      <c r="DX457" s="1403"/>
      <c r="DZ457" s="1481"/>
      <c r="EA457" s="1481"/>
      <c r="EC457" s="1482"/>
      <c r="ED457" s="1369"/>
      <c r="EE457" s="1371"/>
      <c r="EF457" s="1369"/>
      <c r="EG457" s="1369"/>
      <c r="EH457" s="1374"/>
      <c r="EI457" s="1374"/>
      <c r="EJ457" s="1363"/>
      <c r="EK457" s="1376"/>
      <c r="EL457" s="1376"/>
      <c r="EM457" s="1362"/>
      <c r="EN457" s="1362"/>
      <c r="EO457" s="1363"/>
      <c r="EP457" s="1363"/>
      <c r="EQ457" s="1363"/>
      <c r="ES457" s="1403"/>
      <c r="EU457" s="1411" t="e">
        <f>VLOOKUP(CP457,'Space Table'!$B$3:$L$160,8,FALSE)</f>
        <v>#N/A</v>
      </c>
      <c r="EV457" s="1411" t="e">
        <f>IF(EY457="Yes",VLOOKUP(AF457,Lookup_Control_Type_Table2,4,FALSE),VLOOKUP(AF457,Lookup_Control_Type_Table2,3,FALSE))</f>
        <v>#N/A</v>
      </c>
      <c r="EW457" s="1411" t="e">
        <f>VLOOKUP(AF457,Lookup!AU$3:AV$15,2,FALSE)</f>
        <v>#N/A</v>
      </c>
      <c r="EX457" s="1411" t="e">
        <f>VLOOKUP(EU455,Lookup_Control_Type_Table,2,FALSE)</f>
        <v>#N/A</v>
      </c>
      <c r="EY457" s="1411" t="e">
        <f>VLOOKUP(CP457,'Space Table'!$B$3:$L$160,7,FALSE)</f>
        <v>#N/A</v>
      </c>
      <c r="EZ457" s="1413"/>
      <c r="FB457" s="1365" t="str">
        <f>CONCATENATE(CN455," - ",AF457)</f>
        <v xml:space="preserve"> - </v>
      </c>
      <c r="FD457" s="1354"/>
      <c r="FE457" s="1354"/>
      <c r="FF457" s="138"/>
      <c r="FI457" s="1356" t="str">
        <f>IF(CN455="Exterior","Not Daylighted",G458)</f>
        <v>Not Daylighted</v>
      </c>
      <c r="FJ457" s="1356">
        <f>VLOOKUP(FI457,_Daylight_Table_Codes,2,FALSE)</f>
        <v>0</v>
      </c>
      <c r="FK457" s="1365">
        <f>AF457</f>
        <v>0</v>
      </c>
      <c r="FL457" s="1365" t="e">
        <f>VLOOKUP(FK457,_Control_Table,2,FALSE)</f>
        <v>#N/A</v>
      </c>
      <c r="FM457" s="1365" t="e">
        <f>IF(AND(FP457&gt;0,FK457="Occupancy Sensor"),"Daylight + Occupancy",IF(AND(FP457&gt;0,FL457&lt;4),"Interior Daylight Dimming",FK457))</f>
        <v>#N/A</v>
      </c>
      <c r="FO457" s="1364">
        <f>IF(CN455="Interior",VLOOKUP(CP455,Control_Savings_Interior,5,FALSE),0)</f>
        <v>0</v>
      </c>
      <c r="FP457" s="1361">
        <f>IF(CN457="Exterior",0,IF(FJ457=2,0.5,IF(OR(FJ457=1,FJ457=3),1,0)))</f>
        <v>0</v>
      </c>
      <c r="FQ457" s="1366">
        <f>IF(R456&gt;FO$37,(FO457*(FO$37/R456)),FO457)*FP457</f>
        <v>0</v>
      </c>
      <c r="FR457" s="1364">
        <f>DF457</f>
        <v>0</v>
      </c>
      <c r="FS457" s="1364">
        <f>ROUND(FR457+((1-FR457)*FQ457),2)</f>
        <v>0</v>
      </c>
      <c r="FT457" s="1364">
        <f>IF(__Retrofit_TI_NC=2,FS457,FR457)</f>
        <v>0</v>
      </c>
      <c r="FU457" s="1360">
        <f>IF(CO457="Interior",VLOOKUP(CP457,Control_Savings_Interior,4,FALSE),0)</f>
        <v>0</v>
      </c>
      <c r="FW457" s="1352"/>
      <c r="FX457" s="1352"/>
      <c r="FY457" s="1352"/>
      <c r="FZ457" s="1352"/>
      <c r="GA457" s="1352"/>
      <c r="GB457" s="1352"/>
      <c r="GC457" s="1352"/>
      <c r="GD457" s="1352"/>
      <c r="GE457" s="759" t="b">
        <f>IF(ISNUMBER(SEARCH("TLED",U457)),TRUE,FALSE)</f>
        <v>0</v>
      </c>
      <c r="GF457" s="1035" t="str">
        <f>IFERROR(VLOOKUP(U457,Fixtures!DM$93:DR$142,6,FALSE),"")</f>
        <v/>
      </c>
      <c r="GG457" s="1385"/>
      <c r="GI457" s="1383"/>
      <c r="GJ457" s="1379"/>
      <c r="GL457" s="1379"/>
      <c r="GM457" s="1379"/>
      <c r="HC457" s="1379"/>
      <c r="HD457" s="1379"/>
      <c r="HE457" s="1379"/>
      <c r="HF457" s="1379"/>
      <c r="HG457" s="1379"/>
      <c r="HH457" s="1379"/>
      <c r="HI457" s="1383"/>
      <c r="HJ457" s="1383"/>
      <c r="HK457" s="1383"/>
      <c r="HL457" s="1379"/>
      <c r="HM457" s="1379"/>
      <c r="HN457" s="1379"/>
      <c r="HO457" s="1379"/>
      <c r="HP457" s="1379"/>
      <c r="HQ457" s="1379"/>
      <c r="HR457" s="1379"/>
      <c r="HS457" s="1379"/>
      <c r="HT457" s="1379"/>
      <c r="HU457" s="1379"/>
      <c r="HW457" s="1383"/>
      <c r="HX457" s="1384" t="b">
        <f>HW455</f>
        <v>0</v>
      </c>
      <c r="HY457" s="1378"/>
      <c r="HZ457" s="436"/>
      <c r="IA457" s="1386"/>
      <c r="IB457" s="1380">
        <f>IF(IA455=TRUE,AC458,0)</f>
        <v>0</v>
      </c>
      <c r="IC457" s="1379"/>
      <c r="IF457" s="1380" t="e">
        <f>ROUND(T457*AB458*N456*R456/1000,0)</f>
        <v>#VALUE!</v>
      </c>
      <c r="IG457" s="1382"/>
      <c r="IH457" s="1384" t="e">
        <f>ROUND(T457*AB458*N456*R456/1000,0)</f>
        <v>#VALUE!</v>
      </c>
      <c r="II457" s="1382"/>
      <c r="IK457" s="1351" t="e">
        <f>IF($CO457="interior",IL457/2,VLOOKUP($CP457,Control_Savings_Exterior,IK$30,FALSE))</f>
        <v>#N/A</v>
      </c>
      <c r="IL457" s="1351" t="e">
        <f>IF($CO457="interior",VLOOKUP($CP457,Control_Savings_Interior,IL$30,FALSE),VLOOKUP($CP457,Control_Savings_Exterior,IL$30,FALSE))</f>
        <v>#N/A</v>
      </c>
      <c r="IM457" s="1351" t="e">
        <f>IF($CO457="interior",IF(R456&gt;FO$37,(IM$28*(FO$37/R456)),IM$28)*FP457,VLOOKUP($CP457,Control_Savings_Exterior,IM$30,FALSE))</f>
        <v>#N/A</v>
      </c>
      <c r="IN457" s="1351" t="e">
        <f>IF($CO457="interior",ROUND(((1-IL457)*IM457)+IL457,2),VLOOKUP($CP457,Control_Savings_Exterior,IN$30,FALSE))</f>
        <v>#N/A</v>
      </c>
      <c r="IO457" s="1351" t="e">
        <f>IF($CO457="interior", ROUND(((1-IL457)*(IM457*(1-IP$28)))+IP457,2), VLOOKUP($CP457,Control_Savings_Exterior,IO$30,FALSE))</f>
        <v>#N/A</v>
      </c>
      <c r="IP457" s="1351">
        <f>IF($CO457="interior",ROUND(((1-IL457)*IP$28)+IL457,2),0)</f>
        <v>0</v>
      </c>
    </row>
    <row r="458" spans="1:250" s="82" customFormat="1" ht="14.95" customHeight="1" thickTop="1" thickBot="1">
      <c r="B458" s="1421"/>
      <c r="C458" s="1422"/>
      <c r="D458" s="1423"/>
      <c r="E458" s="1462" t="s">
        <v>357</v>
      </c>
      <c r="F458" s="1463"/>
      <c r="G458" s="1464" t="s">
        <v>362</v>
      </c>
      <c r="H458" s="1465"/>
      <c r="I458" s="1465"/>
      <c r="J458" s="1465"/>
      <c r="K458" s="1465"/>
      <c r="L458" s="1466"/>
      <c r="M458" s="669">
        <f>IFERROR(VLOOKUP(G458,_Daylight_Table[],2,FALSE),0)</f>
        <v>0</v>
      </c>
      <c r="N458" s="670"/>
      <c r="O458" s="669" t="e">
        <f>VLOOKUP(G457,'Space Table'!$B$3:$L$160,11,FALSE)</f>
        <v>#N/A</v>
      </c>
      <c r="P458" s="1408"/>
      <c r="Q458" s="1409"/>
      <c r="R458" s="1409"/>
      <c r="S458" s="1402"/>
      <c r="T458" s="671" t="s">
        <v>281</v>
      </c>
      <c r="U458" s="1467" t="str">
        <f>IFERROR(VLOOKUP(U457,Fixtures!DM$93:DP$142,4,FALSE),"")</f>
        <v/>
      </c>
      <c r="V458" s="1468"/>
      <c r="W458" s="1468"/>
      <c r="X458" s="1468"/>
      <c r="Y458" s="1468"/>
      <c r="Z458" s="1468"/>
      <c r="AA458" s="1468"/>
      <c r="AB458" s="1046" t="str">
        <f>IFERROR(VLOOKUP(U457,Fixtures_Proposed_List,2,FALSE),"")</f>
        <v/>
      </c>
      <c r="AC458" s="1036" t="str">
        <f>IFERROR(ROUND(T457*AB458*N456*R456/1000,0),"")</f>
        <v/>
      </c>
      <c r="AD458" s="1037" t="str">
        <f>IFERROR(ROUND(T457*AB458/1000,2),"")</f>
        <v/>
      </c>
      <c r="AE458" s="1045" t="s">
        <v>281</v>
      </c>
      <c r="AF458" s="1469"/>
      <c r="AG458" s="1469"/>
      <c r="AH458" s="1469"/>
      <c r="AI458" s="1469"/>
      <c r="AJ458" s="1476"/>
      <c r="AK458" s="1471"/>
      <c r="AL458" s="1473"/>
      <c r="AM458" s="1443"/>
      <c r="AN458" s="1444"/>
      <c r="AO458" s="1449"/>
      <c r="AP458" s="1449"/>
      <c r="AQ458" s="1450"/>
      <c r="AR458" s="1453"/>
      <c r="AS458" s="1456"/>
      <c r="AT458" s="1459"/>
      <c r="AU458" s="517"/>
      <c r="AV458" s="1480"/>
      <c r="AW458" s="1480"/>
      <c r="BC458" s="38"/>
      <c r="BD458" s="38"/>
      <c r="BE458" s="38"/>
      <c r="BF458" s="38"/>
      <c r="BG458" s="38"/>
      <c r="BH458" s="38"/>
      <c r="BI458" s="38"/>
      <c r="BJ458" s="38"/>
      <c r="BK458" s="38"/>
      <c r="BL458" s="38"/>
      <c r="BM458" s="38"/>
      <c r="BN458" s="38"/>
      <c r="BO458" s="38"/>
      <c r="BP458" s="38"/>
      <c r="BQ458" s="38"/>
      <c r="BR458" s="38"/>
      <c r="BS458" s="38"/>
      <c r="BT458" s="38"/>
      <c r="BU458" s="38"/>
      <c r="BV458" s="38"/>
      <c r="BW458" s="38"/>
      <c r="BX458" s="38"/>
      <c r="BY458" s="38"/>
      <c r="BZ458" s="38"/>
      <c r="CA458" s="38"/>
      <c r="CB458" s="38"/>
      <c r="CC458" s="38"/>
      <c r="CD458" s="38"/>
      <c r="CE458" s="38"/>
      <c r="CF458" s="38"/>
      <c r="CG458" s="38"/>
      <c r="CH458" s="38"/>
      <c r="CI458" s="38"/>
      <c r="CM458" s="1352"/>
      <c r="CN458" s="1352"/>
      <c r="CO458" s="1416"/>
      <c r="CP458" s="1418"/>
      <c r="CR458" s="1386"/>
      <c r="CS458" s="1355"/>
      <c r="CT458" s="1355"/>
      <c r="CU458" s="1375"/>
      <c r="CV458" s="1372"/>
      <c r="CW458" s="1372"/>
      <c r="CX458" s="1372"/>
      <c r="CY458" s="1487"/>
      <c r="CZ458" s="1487"/>
      <c r="DA458" s="1487"/>
      <c r="DC458" s="1355"/>
      <c r="DD458" s="1355"/>
      <c r="DE458" s="1375"/>
      <c r="DF458" s="1407"/>
      <c r="DG458" s="1372"/>
      <c r="DH458" s="1369"/>
      <c r="DK458" s="1484"/>
      <c r="DL458" s="1420"/>
      <c r="DN458" s="1403"/>
      <c r="DO458" s="1405"/>
      <c r="DP458" s="1355"/>
      <c r="DQ458" s="1405"/>
      <c r="DR458" s="1403"/>
      <c r="DS458" s="1489"/>
      <c r="DU458" s="1403"/>
      <c r="DV458" s="1405"/>
      <c r="DW458" s="1403"/>
      <c r="DX458" s="1403"/>
      <c r="DZ458" s="1481"/>
      <c r="EA458" s="1481"/>
      <c r="EC458" s="1482"/>
      <c r="ED458" s="1369"/>
      <c r="EE458" s="1372"/>
      <c r="EF458" s="1369"/>
      <c r="EG458" s="1369"/>
      <c r="EH458" s="1375"/>
      <c r="EI458" s="1375"/>
      <c r="EJ458" s="1363"/>
      <c r="EK458" s="1376"/>
      <c r="EL458" s="1376"/>
      <c r="EM458" s="1362"/>
      <c r="EN458" s="1362"/>
      <c r="EO458" s="1363"/>
      <c r="EP458" s="1363"/>
      <c r="EQ458" s="1363"/>
      <c r="ES458" s="1403"/>
      <c r="EU458" s="1488"/>
      <c r="EV458" s="1488"/>
      <c r="EW458" s="1488"/>
      <c r="EX458" s="1488"/>
      <c r="EY458" s="1488"/>
      <c r="EZ458" s="1414"/>
      <c r="FB458" s="1365"/>
      <c r="FD458" s="1355"/>
      <c r="FE458" s="1355"/>
      <c r="FF458" s="138"/>
      <c r="FI458" s="1357"/>
      <c r="FJ458" s="1357"/>
      <c r="FK458" s="1365"/>
      <c r="FL458" s="1365"/>
      <c r="FM458" s="1365"/>
      <c r="FO458" s="1361"/>
      <c r="FP458" s="1361"/>
      <c r="FQ458" s="1366"/>
      <c r="FR458" s="1361"/>
      <c r="FS458" s="1361"/>
      <c r="FT458" s="1361"/>
      <c r="FU458" s="1360"/>
      <c r="FW458" s="1352"/>
      <c r="FX458" s="1352"/>
      <c r="FY458" s="1352"/>
      <c r="FZ458" s="1352"/>
      <c r="GA458" s="1352"/>
      <c r="GB458" s="1352"/>
      <c r="GC458" s="1352"/>
      <c r="GD458" s="1352"/>
      <c r="GE458" s="759"/>
      <c r="GF458" s="1035"/>
      <c r="GG458" s="1385"/>
      <c r="GJ458" s="1034">
        <f>IF(GJ456=TRUE,0,GJ$16)</f>
        <v>0</v>
      </c>
      <c r="GL458" s="1034">
        <f>IF(GL456=TRUE,0,GL$16)</f>
        <v>36</v>
      </c>
      <c r="GM458" s="1034">
        <f>IF(GM456=TRUE,0,GM$16)</f>
        <v>35</v>
      </c>
      <c r="GN458" s="436"/>
      <c r="GO458" s="436"/>
      <c r="GP458" s="436"/>
      <c r="GQ458" s="436"/>
      <c r="GR458" s="436"/>
      <c r="HC458" s="1034">
        <f t="shared" ref="HC458:HH458" si="334">IF(HC456=TRUE,0,HC$16)</f>
        <v>19</v>
      </c>
      <c r="HD458" s="1034">
        <f t="shared" si="334"/>
        <v>18</v>
      </c>
      <c r="HE458" s="1034">
        <f t="shared" si="334"/>
        <v>17</v>
      </c>
      <c r="HF458" s="1034">
        <f t="shared" si="334"/>
        <v>16</v>
      </c>
      <c r="HG458" s="1034">
        <f t="shared" si="334"/>
        <v>0</v>
      </c>
      <c r="HH458" s="1034">
        <f t="shared" si="334"/>
        <v>0</v>
      </c>
      <c r="HI458" s="1034">
        <f>IF(HI456=TRUE,0,HI$16)</f>
        <v>13</v>
      </c>
      <c r="HJ458" s="1034">
        <f t="shared" ref="HJ458:HL458" si="335">IF(HJ456=TRUE,0,HJ$16)</f>
        <v>12</v>
      </c>
      <c r="HK458" s="1034">
        <f t="shared" si="335"/>
        <v>11</v>
      </c>
      <c r="HL458" s="1034">
        <f t="shared" si="335"/>
        <v>10</v>
      </c>
      <c r="HM458" s="1034">
        <f>IF(HM456=TRUE,0,HM$16)</f>
        <v>9</v>
      </c>
      <c r="HN458" s="1034">
        <f t="shared" ref="HN458:HR458" si="336">IF(HN456=TRUE,0,HN$16)</f>
        <v>0</v>
      </c>
      <c r="HO458" s="1034">
        <f t="shared" si="336"/>
        <v>0</v>
      </c>
      <c r="HP458" s="1034">
        <f t="shared" si="336"/>
        <v>0</v>
      </c>
      <c r="HQ458" s="1034">
        <f t="shared" si="336"/>
        <v>0</v>
      </c>
      <c r="HR458" s="1034">
        <f t="shared" si="336"/>
        <v>0</v>
      </c>
      <c r="HS458" s="1034">
        <f>IF(HS456=TRUE,0,HS$16)</f>
        <v>0</v>
      </c>
      <c r="HT458" s="1034">
        <f t="shared" ref="HT458" si="337">IF(HT456=TRUE,0,HT$16)</f>
        <v>0</v>
      </c>
      <c r="HU458" s="1034">
        <f>IF(HU456=TRUE,0,HU$16)</f>
        <v>1</v>
      </c>
      <c r="HW458" s="1034">
        <f>IF(GL456=FALSE,GL458,IF(GM456=FALSE,GM458,MAX(GJ458:HU458)))</f>
        <v>36</v>
      </c>
      <c r="HX458" s="1383"/>
      <c r="HY458" s="241" t="str">
        <f>VLOOKUP(HW458,_Error_Table,3,FALSE)</f>
        <v xml:space="preserve"> </v>
      </c>
      <c r="HZ458" s="241"/>
      <c r="IA458" s="1386"/>
      <c r="IB458" s="1380"/>
      <c r="IC458" s="1379"/>
      <c r="IF458" s="1380"/>
      <c r="IG458" s="1383"/>
      <c r="IH458" s="1383"/>
      <c r="II458" s="1383"/>
      <c r="IK458" s="1351"/>
      <c r="IL458" s="1351"/>
      <c r="IM458" s="1351"/>
      <c r="IN458" s="1351"/>
      <c r="IO458" s="1351"/>
      <c r="IP458" s="1351"/>
    </row>
    <row r="459" spans="1:250" s="82" customFormat="1" ht="5.0999999999999996" customHeight="1" thickBot="1">
      <c r="B459" s="763"/>
      <c r="C459" s="1038"/>
      <c r="D459" s="1038"/>
      <c r="E459" s="1490"/>
      <c r="F459" s="1490"/>
      <c r="G459" s="1490"/>
      <c r="H459" s="1490"/>
      <c r="I459" s="1490"/>
      <c r="J459" s="1490"/>
      <c r="K459" s="1490"/>
      <c r="L459" s="1490"/>
      <c r="M459" s="1490"/>
      <c r="N459" s="1490"/>
      <c r="O459" s="1490"/>
      <c r="P459" s="1490"/>
      <c r="Q459" s="1490"/>
      <c r="R459" s="1490"/>
      <c r="S459" s="1490"/>
      <c r="T459" s="1490"/>
      <c r="U459" s="1490"/>
      <c r="V459" s="1490"/>
      <c r="W459" s="1490"/>
      <c r="X459" s="1490"/>
      <c r="Y459" s="1490"/>
      <c r="Z459" s="1490"/>
      <c r="AA459" s="1490"/>
      <c r="AB459" s="1490"/>
      <c r="AC459" s="1490"/>
      <c r="AD459" s="1490"/>
      <c r="AE459" s="1490"/>
      <c r="AF459" s="1490"/>
      <c r="AG459" s="1490"/>
      <c r="AH459" s="1490"/>
      <c r="AI459" s="1490"/>
      <c r="AJ459" s="1490"/>
      <c r="AK459" s="1490"/>
      <c r="AL459" s="1490"/>
      <c r="AM459" s="1490"/>
      <c r="AN459" s="1490"/>
      <c r="AO459" s="1490"/>
      <c r="AP459" s="1490"/>
      <c r="AQ459" s="1490"/>
      <c r="AR459" s="1490"/>
      <c r="AS459" s="1490"/>
      <c r="AT459" s="1490"/>
      <c r="AU459" s="1041"/>
      <c r="BC459" s="38"/>
      <c r="BD459" s="38"/>
      <c r="BE459" s="38"/>
      <c r="BF459" s="38"/>
      <c r="BG459" s="38"/>
      <c r="BH459" s="38"/>
      <c r="BI459" s="38"/>
      <c r="BJ459" s="38"/>
      <c r="BK459" s="38"/>
      <c r="BL459" s="38"/>
      <c r="BM459" s="38"/>
      <c r="BN459" s="38"/>
      <c r="BO459" s="38"/>
      <c r="BP459" s="38"/>
      <c r="BQ459" s="38"/>
      <c r="BR459" s="38"/>
      <c r="BS459" s="38"/>
      <c r="BT459" s="38"/>
      <c r="BU459" s="38"/>
      <c r="BV459" s="38"/>
      <c r="BW459" s="38"/>
      <c r="BX459" s="38"/>
      <c r="BY459" s="38"/>
      <c r="BZ459" s="38"/>
      <c r="CA459" s="38"/>
      <c r="CB459" s="38"/>
      <c r="CC459" s="38"/>
      <c r="CD459" s="38"/>
      <c r="CE459" s="38"/>
      <c r="CF459" s="38"/>
      <c r="CG459" s="38"/>
      <c r="CH459" s="38"/>
      <c r="CI459" s="38"/>
      <c r="CM459" s="749"/>
      <c r="CN459" s="749"/>
      <c r="CO459" s="1043"/>
      <c r="CP459" s="749"/>
      <c r="CS459" s="436"/>
      <c r="CT459" s="436"/>
      <c r="CU459" s="243"/>
      <c r="CV459" s="244"/>
      <c r="CW459" s="244"/>
      <c r="CX459" s="244"/>
      <c r="CY459" s="245"/>
      <c r="CZ459" s="245"/>
      <c r="DA459" s="245"/>
      <c r="DC459" s="750"/>
      <c r="DD459" s="751"/>
      <c r="DE459" s="752"/>
      <c r="DF459" s="753"/>
      <c r="DG459" s="754"/>
      <c r="DH459" s="754"/>
      <c r="DK459" s="244"/>
      <c r="DL459" s="750"/>
      <c r="DN459" s="750"/>
      <c r="DO459" s="755"/>
      <c r="DP459" s="436"/>
      <c r="DQ459" s="750"/>
      <c r="DR459" s="750"/>
      <c r="DS459" s="750"/>
      <c r="DU459" s="750"/>
      <c r="DV459" s="750"/>
      <c r="DW459" s="750"/>
      <c r="DX459" s="750"/>
      <c r="DZ459" s="756"/>
      <c r="EA459" s="756"/>
      <c r="EC459" s="754"/>
      <c r="ED459" s="754"/>
      <c r="EE459" s="244"/>
      <c r="EF459" s="754"/>
      <c r="EG459" s="754"/>
      <c r="EH459" s="243"/>
      <c r="EI459" s="243"/>
      <c r="EJ459" s="752"/>
      <c r="EK459" s="757"/>
      <c r="EL459" s="757"/>
      <c r="EM459" s="758"/>
      <c r="EN459" s="758"/>
      <c r="EO459" s="752"/>
      <c r="EP459" s="752"/>
      <c r="EQ459" s="752"/>
      <c r="ES459" s="750"/>
      <c r="EU459" s="436"/>
      <c r="EV459" s="436"/>
      <c r="EW459" s="436"/>
      <c r="EX459" s="436"/>
      <c r="EY459" s="436"/>
      <c r="EZ459" s="436"/>
      <c r="FB459" s="643"/>
      <c r="FD459" s="436"/>
      <c r="FE459" s="436"/>
      <c r="FF459" s="436"/>
      <c r="FO459" s="750"/>
      <c r="FP459" s="436"/>
      <c r="FQ459" s="436"/>
      <c r="FR459" s="750"/>
      <c r="FS459" s="750"/>
      <c r="FW459" s="749"/>
      <c r="FX459" s="749"/>
      <c r="FY459" s="749"/>
      <c r="FZ459" s="749"/>
      <c r="GA459" s="749"/>
      <c r="GB459" s="749"/>
      <c r="GC459" s="749"/>
      <c r="GD459" s="749"/>
      <c r="GE459" s="751"/>
      <c r="GF459" s="750"/>
      <c r="GG459" s="750"/>
    </row>
    <row r="460" spans="1:250" s="82" customFormat="1" ht="14.95" customHeight="1" thickTop="1" thickBot="1">
      <c r="B460" s="1421" t="str">
        <f>HY463</f>
        <v xml:space="preserve"> </v>
      </c>
      <c r="C460" s="1422">
        <f>C455+1</f>
        <v>82</v>
      </c>
      <c r="D460" s="1423"/>
      <c r="E460" s="1424" t="s">
        <v>242</v>
      </c>
      <c r="F460" s="1425"/>
      <c r="G460" s="1426"/>
      <c r="H460" s="1427"/>
      <c r="I460" s="1427"/>
      <c r="J460" s="1427"/>
      <c r="K460" s="1427"/>
      <c r="L460" s="1427"/>
      <c r="M460" s="1427"/>
      <c r="N460" s="1427"/>
      <c r="O460" s="1427"/>
      <c r="P460" s="1427"/>
      <c r="Q460" s="1427"/>
      <c r="R460" s="1427"/>
      <c r="S460" s="1428" t="s">
        <v>283</v>
      </c>
      <c r="T460" s="668" t="s">
        <v>190</v>
      </c>
      <c r="U460" s="1430" t="s">
        <v>186</v>
      </c>
      <c r="V460" s="1431"/>
      <c r="W460" s="1431"/>
      <c r="X460" s="1431"/>
      <c r="Y460" s="1431"/>
      <c r="Z460" s="1431"/>
      <c r="AA460" s="1431"/>
      <c r="AB460" s="1088" t="str">
        <f>IFERROR(IF(__Retrofit_TI_NC=0,VLOOKUP(U461,Fixtures_Existing_List,2,FALSE),ROUND(N462*R462/T462,10)),"")</f>
        <v/>
      </c>
      <c r="AC460" s="1039" t="str">
        <f>IFERROR(IF(__Retrofit_TI_NC=0,ROUND(T461*AB460*N461*R461/1000,0),IF(CN460="Interior",N462*R462*R461*N461*_C406_reduction/1000,N462*R462*R461*N461/1000)),"")</f>
        <v/>
      </c>
      <c r="AD460" s="1040" t="str">
        <f>IFERROR(IF(C$36=0,ROUND(T461*AB460/1000,2),N462*R462/1000),"")</f>
        <v/>
      </c>
      <c r="AE460" s="1044" t="s">
        <v>190</v>
      </c>
      <c r="AF460" s="1432" t="str">
        <f>IF(__Retrofit_TI_NC=2,CONCATENATE("Code min = ",DD460),IF(__Retrofit_TI_NC=1,"Emter what you think the existing control was"," Control"))</f>
        <v xml:space="preserve"> Control</v>
      </c>
      <c r="AG460" s="1432"/>
      <c r="AH460" s="1432"/>
      <c r="AI460" s="1432"/>
      <c r="AJ460" s="1433">
        <f>DF460</f>
        <v>0</v>
      </c>
      <c r="AK460" s="1435" t="str">
        <f>IFERROR(ROUND(AJ460*AC460,0),"")</f>
        <v/>
      </c>
      <c r="AL460" s="1437">
        <f>IFERROR(IF(HW460=FALSE,0,AC460-AK460),0)</f>
        <v>0</v>
      </c>
      <c r="AM460" s="1439">
        <f>AL460-AL462</f>
        <v>0</v>
      </c>
      <c r="AN460" s="1440"/>
      <c r="AO460" s="1445">
        <f>IFERROR(IF(HW460=FALSE,0,(T462*U463)+(AE462*AF463)),0)</f>
        <v>0</v>
      </c>
      <c r="AP460" s="1445"/>
      <c r="AQ460" s="1446"/>
      <c r="AR460" s="1451" t="s">
        <v>157</v>
      </c>
      <c r="AS460" s="1454">
        <f>IF(AR460="Yes",1,0)</f>
        <v>1</v>
      </c>
      <c r="AT460" s="1457" t="str">
        <f>IF(OR(DN460=4,DN460=5,DN460=6,DN460=12),CONCATENATE("$",IF(GD460=TRUE,Lookup!$B$11,Lookup!$B$2)," /lamp"),CONCATENATE(EA460,"/ kWh"))</f>
        <v>0/ kWh</v>
      </c>
      <c r="AU460" s="516"/>
      <c r="AV460" s="1478">
        <f>IFERROR(IF(GI461=TRUE,(AB463*T462)/R462,0),"NA")</f>
        <v>0</v>
      </c>
      <c r="AW460" s="1478" t="str">
        <f>IFERROR(N462*_C406_reduction,"NA")</f>
        <v>NA</v>
      </c>
      <c r="BC460" s="38"/>
      <c r="BD460" s="38"/>
      <c r="BE460" s="38"/>
      <c r="BF460" s="38"/>
      <c r="BG460" s="38"/>
      <c r="BH460" s="38"/>
      <c r="BI460" s="38"/>
      <c r="BJ460" s="38"/>
      <c r="BK460" s="38"/>
      <c r="BL460" s="38"/>
      <c r="BM460" s="38"/>
      <c r="BN460" s="38"/>
      <c r="BO460" s="38"/>
      <c r="BP460" s="38"/>
      <c r="BQ460" s="38"/>
      <c r="BR460" s="38"/>
      <c r="BS460" s="38"/>
      <c r="BT460" s="38"/>
      <c r="BU460" s="38"/>
      <c r="BV460" s="38"/>
      <c r="BW460" s="38"/>
      <c r="BX460" s="38"/>
      <c r="BY460" s="38"/>
      <c r="BZ460" s="38"/>
      <c r="CA460" s="38"/>
      <c r="CB460" s="38"/>
      <c r="CC460" s="38"/>
      <c r="CD460" s="38"/>
      <c r="CE460" s="38"/>
      <c r="CF460" s="38"/>
      <c r="CG460" s="38"/>
      <c r="CH460" s="38"/>
      <c r="CI460" s="38"/>
      <c r="CM460" s="1352" t="str">
        <f>N461</f>
        <v/>
      </c>
      <c r="CN460" s="1352" t="str">
        <f>IFERROR(VLOOKUP(G461,_Lookup_Heat_Type_Table_New,3,FALSE),"")</f>
        <v/>
      </c>
      <c r="CO460" s="1415" t="str">
        <f>CN460</f>
        <v/>
      </c>
      <c r="CP460" s="1417" t="e">
        <f>VLOOKUP(G462,'Space Table'!$B$3:$L$160,9,FALSE)</f>
        <v>#N/A</v>
      </c>
      <c r="CR460" s="1386" t="s">
        <v>283</v>
      </c>
      <c r="CS460" s="1353">
        <f>IF(HW460=TRUE,T461,0)</f>
        <v>0</v>
      </c>
      <c r="CT460" s="1353" t="str">
        <f>IF(HW460=TRUE,U461,"")</f>
        <v/>
      </c>
      <c r="CU460" s="1353"/>
      <c r="CV460" s="1370">
        <f>IF(HW460=TRUE,AB460,0)</f>
        <v>0</v>
      </c>
      <c r="CW460" s="1370">
        <f>IF(HW460=TRUE,AC460,0)</f>
        <v>0</v>
      </c>
      <c r="CX460" s="1370">
        <f>IFERROR(IF(HW460=TRUE,CW460-CW462,0),0)</f>
        <v>0</v>
      </c>
      <c r="CY460" s="1485">
        <f>IF(HW460=TRUE,AD460,0)</f>
        <v>0</v>
      </c>
      <c r="CZ460" s="1485">
        <f>IF(HW460=TRUE,AD463,0)</f>
        <v>0</v>
      </c>
      <c r="DA460" s="1485">
        <f>IFERROR(CY460-CZ460,0)</f>
        <v>0</v>
      </c>
      <c r="DC460" s="1353">
        <f>IF(HW460=TRUE,AE461,0)</f>
        <v>0</v>
      </c>
      <c r="DD460" s="1460">
        <f>IF(__Retrofit_TI_NC=2,IF(CN460="Exterior",O463,FM460),FK460)</f>
        <v>0</v>
      </c>
      <c r="DE460" s="1353"/>
      <c r="DF460" s="1406">
        <f>IFERROR(IF(FL460=3,IK460,IF(FL460=4,IL460,IF(FL460=5,IM460,IF(FL460=6,IN460,IF(FL460=7,IO460,IF(FL460=8,IP460,0)))))),0)</f>
        <v>0</v>
      </c>
      <c r="DG460" s="1370">
        <f>IF(HW460=TRUE,AK460,0)</f>
        <v>0</v>
      </c>
      <c r="DH460" s="1369">
        <f>IFERROR(IF(HW460=TRUE,DG462-DG460,0),0)</f>
        <v>0</v>
      </c>
      <c r="DJ460" s="1483">
        <f>IFERROR(CW460-DG460,0)</f>
        <v>0</v>
      </c>
      <c r="DL460" s="1419">
        <f>DJ460-DK462</f>
        <v>0</v>
      </c>
      <c r="DN460" s="1403" t="str">
        <f>IFERROR(IF(AND(OR(FY460=4,FY460=5,FY460=6),OR(GB460=4,GB460=5,GB460=6)),FY460+8,VLOOKUP(CT462,Fixtures!R$31:Y$78,8,FALSE)),"")</f>
        <v/>
      </c>
      <c r="DO460" s="1404" t="str">
        <f>DN460</f>
        <v/>
      </c>
      <c r="DP460" s="1353" t="str">
        <f>IFERROR(VLOOKUP(DD462,Lookup!AU$3:AV$15,2,FALSE),"")</f>
        <v/>
      </c>
      <c r="DQ460" s="1404" t="str">
        <f>IF(DP460=7,"LLLC","")</f>
        <v/>
      </c>
      <c r="DR460" s="1403">
        <f>IFERROR(IF(OR(DN460=4,DN460=5,DN460=6,DN460=12,DN460=13,DN460=14),VLOOKUP(CT462,Fixtures!DN$27:EG$77,19,FALSE),1)*CS462,0)</f>
        <v>0</v>
      </c>
      <c r="DS460" s="1489">
        <f>IF(DP460=7,IF(DD460=DD462,0,DC462),0)</f>
        <v>0</v>
      </c>
      <c r="DU460" s="1403" t="str">
        <f>IFERROR(IF(EW460&lt;EW462,"Yes","No"),"")</f>
        <v/>
      </c>
      <c r="DV460" s="1404" t="str">
        <f>DU460</f>
        <v/>
      </c>
      <c r="DW460" s="1403">
        <f>IF(DU460="Yes",DC462,0)</f>
        <v>0</v>
      </c>
      <c r="DX460" s="1403">
        <f>DW460-DS460</f>
        <v>0</v>
      </c>
      <c r="DZ460" s="1481">
        <f>IFERROR(VLOOKUP(DN460,Lookup!AN$3:AO$16,2,FALSE),0)</f>
        <v>0</v>
      </c>
      <c r="EA460" s="1481">
        <f>IF(HW460=FALSE,0,IF(DU460="Yes",DZ460+Lookup!B$6,DZ460))</f>
        <v>0</v>
      </c>
      <c r="EC460" s="1482">
        <f>IF(HW460=TRUE,DJ460,0)</f>
        <v>0</v>
      </c>
      <c r="ED460" s="1369">
        <f>IF(HW460=TRUE,CW462,0)</f>
        <v>0</v>
      </c>
      <c r="EE460" s="1370">
        <f>IFERROR(EC460-ED460,0)</f>
        <v>0</v>
      </c>
      <c r="EF460" s="1369">
        <f>IF(HW460=TRUE,DG462,0)</f>
        <v>0</v>
      </c>
      <c r="EG460" s="1369">
        <f>IFERROR(EC460-ED460+EF460,0)</f>
        <v>0</v>
      </c>
      <c r="EH460" s="1373">
        <f>IF(HW460=TRUE,CS462*CU462,0)</f>
        <v>0</v>
      </c>
      <c r="EI460" s="1373">
        <f>IF(HW460=TRUE,DC462*DE462,0)</f>
        <v>0</v>
      </c>
      <c r="EJ460" s="1363">
        <f>AO460</f>
        <v>0</v>
      </c>
      <c r="EK460" s="1376" t="str">
        <f>IFERROR(IF(HW460=TRUE,VLOOKUP(DN460,Lookup!AN$3:AP$16,3,FALSE)*DR460,""),0)</f>
        <v/>
      </c>
      <c r="EL460" s="1376">
        <f>IF(HW460=TRUE,DW460*Lookup!AP$12,0)</f>
        <v>0</v>
      </c>
      <c r="EM460" s="1362">
        <f>IFERROR(IF(HW460=TRUE,EK460/EM$33,0),0)</f>
        <v>0</v>
      </c>
      <c r="EN460" s="1362">
        <f>IF(HW460=TRUE,EL460/EN$33,0)</f>
        <v>0</v>
      </c>
      <c r="EO460" s="1363">
        <f>IF(HW460=TRUE,EQ$33*EM460,0)</f>
        <v>0</v>
      </c>
      <c r="EP460" s="1363">
        <f>IF(HW460=TRUE,EQ$33*EN460,0)</f>
        <v>0</v>
      </c>
      <c r="EQ460" s="1363">
        <f>EO460+EP460</f>
        <v>0</v>
      </c>
      <c r="ES460" s="1403">
        <f>IF(G460="",0,1)</f>
        <v>0</v>
      </c>
      <c r="EU460" s="1410" t="e">
        <f>VLOOKUP(CP462,'Space Table'!$B$3:$L$160,8,FALSE)</f>
        <v>#N/A</v>
      </c>
      <c r="EV460" s="1410" t="e">
        <f>IF(EY460="Yes",VLOOKUP(DD460,Lookup_Control_Type_Table2,4,FALSE),VLOOKUP(DD460,Lookup_Control_Type_Table2,3,FALSE))</f>
        <v>#N/A</v>
      </c>
      <c r="EW460" s="1410" t="e">
        <f>VLOOKUP(DD460,Lookup!AU$3:AV$15,2,FALSE)</f>
        <v>#N/A</v>
      </c>
      <c r="EX460" s="1410" t="e">
        <f>VLOOKUP(EU460,Lookup_Control_Type_Table,2,FALSE)</f>
        <v>#N/A</v>
      </c>
      <c r="EY460" s="1410" t="e">
        <f>VLOOKUP(CP462,'Space Table'!$B$3:$L$160,7,FALSE)</f>
        <v>#N/A</v>
      </c>
      <c r="EZ460" s="1412" t="b">
        <f>ISNUMBER(SEARCH("TLED",U462))</f>
        <v>0</v>
      </c>
      <c r="FB460" s="1365" t="str">
        <f>CONCATENATE(CN460," - ",DD460)</f>
        <v xml:space="preserve"> - 0</v>
      </c>
      <c r="FD460" s="1353" t="str">
        <f>VLOOKUP(CT462,Fixtures!DN$27:EZ$77,38,FALSE)</f>
        <v/>
      </c>
      <c r="FE460" s="1353">
        <f>IFERROR(FD460*EE460,0)</f>
        <v>0</v>
      </c>
      <c r="FF460" s="138"/>
      <c r="FI460" s="1356" t="str">
        <f>IF(CN460="Exterior","Not Daylighted",G463)</f>
        <v>Not Daylighted</v>
      </c>
      <c r="FJ460" s="1356">
        <f>VLOOKUP(FI460,_Daylight_Table_Codes,2,FALSE)</f>
        <v>0</v>
      </c>
      <c r="FK460" s="1365">
        <f>IF(__Retrofit_TI_NC=2,VLOOKUP(G462,'Space Table'!$B$3:$L$160,11,FALSE),AF461)</f>
        <v>0</v>
      </c>
      <c r="FL460" s="1365" t="e">
        <f>VLOOKUP(FK460,_Control_Table,2,FALSE)</f>
        <v>#N/A</v>
      </c>
      <c r="FM460" s="1365" t="e">
        <f>IF(AND(FP460&gt;0,FK460="Occupancy Sensor"),"Daylight + Occupancy",IF(AND(FP460&gt;0,FL460&lt;4),"Interior Daylight Dimming",FK460))</f>
        <v>#N/A</v>
      </c>
      <c r="FO460" s="1364">
        <f>IF(CO460="Interior",VLOOKUP(CP460,Control_Savings_Interior,5,FALSE),0)</f>
        <v>0</v>
      </c>
      <c r="FP460" s="1361">
        <f>IF(CN460="Exterior",0,IF(FJ460=2,0.5,IF(OR(FJ460=1,FJ460=3),1,0)))</f>
        <v>0</v>
      </c>
      <c r="FQ460" s="1366"/>
      <c r="FR460" s="1367"/>
      <c r="FS460" s="1364"/>
      <c r="FT460" s="1367"/>
      <c r="FU460" s="1360"/>
      <c r="FW460" s="1352" t="str">
        <f>IFERROR(VLOOKUP(U461,_Exist_Fixture_Table,3,FALSE),"")</f>
        <v/>
      </c>
      <c r="FX460" s="1352" t="str">
        <f>VLOOKUP(CT460,_Exist_Fixture_Table,4,FALSE)</f>
        <v/>
      </c>
      <c r="FY460" s="1352">
        <f>IFERROR(VLOOKUP(FX460,Lookup!AM$6:AN$8,2,FALSE),0)</f>
        <v>0</v>
      </c>
      <c r="FZ460" s="1352" t="b">
        <f>IFERROR(IF(OR(GB460=4,GB460=5,GB460=6),TRUE,FALSE),"")</f>
        <v>0</v>
      </c>
      <c r="GA460" s="1352" t="str">
        <f>IFERROR(VLOOKUP(GB460,FY$6:FZ$10,2,FALSE),"")</f>
        <v/>
      </c>
      <c r="GB460" s="1352" t="str">
        <f>VLOOKUP(CT462,Fixtures!R$31:Y$78,8,FALSE)</f>
        <v/>
      </c>
      <c r="GC460" s="1352">
        <f>IF(AND(FW460=TRUE,FZ460=TRUE,OR(DN460=12,DN460=13,DN460=14)),FY460+8,0)</f>
        <v>0</v>
      </c>
      <c r="GD460" s="1352" t="b">
        <f>IF(OR(GC460=12,GC460=13,GC460=14),TRUE,FALSE)</f>
        <v>0</v>
      </c>
      <c r="GE460" s="759" t="b">
        <f>IF(ISNUMBER(SEARCH("TLED",U461)),TRUE,FALSE)</f>
        <v>0</v>
      </c>
      <c r="GF460" s="1035" t="str">
        <f>IFERROR(VLOOKUP(U461,Fixtures!BM$93:BR$142,6,FALSE),"")</f>
        <v/>
      </c>
      <c r="GG460" s="1385" t="b">
        <f>IF(OR(GE460=FALSE,GE462=FALSE),TRUE,IF(GF460-GF462&lt;5,FALSE,TRUE))</f>
        <v>1</v>
      </c>
      <c r="GK460" s="1034">
        <f>GL460</f>
        <v>0</v>
      </c>
      <c r="GL460" s="1034">
        <f>IF(G460="",0,1)</f>
        <v>0</v>
      </c>
      <c r="GM460" s="1034">
        <f>SUM(GN460:HB460)</f>
        <v>2</v>
      </c>
      <c r="GN460" s="1034">
        <f>IF(G461="",0,1)</f>
        <v>0</v>
      </c>
      <c r="GO460" s="1034">
        <f>IF(G462="",0,1)</f>
        <v>0</v>
      </c>
      <c r="GP460" s="1034">
        <f>IF(R461="",0,1)</f>
        <v>0</v>
      </c>
      <c r="GQ460" s="1034">
        <f>IF(__Retrofit_TI_NC=0,1,IF(R462="",0,1))</f>
        <v>1</v>
      </c>
      <c r="GR460" s="1034">
        <f>IF(CN460="Exterior",1,IF(G463="",0,1))</f>
        <v>1</v>
      </c>
      <c r="GS460" s="1034">
        <f>IF(__Retrofit_TI_NC&lt;&gt;0,1,IF(T461="",0,1))</f>
        <v>0</v>
      </c>
      <c r="GT460" s="1034">
        <f>IF(__Retrofit_TI_NC&lt;&gt;0,1,IF(U461="",0,1))</f>
        <v>0</v>
      </c>
      <c r="GU460" s="1034">
        <f>IF(T462="",0,1)</f>
        <v>0</v>
      </c>
      <c r="GV460" s="1034">
        <f>IF(U462="",0,1)</f>
        <v>0</v>
      </c>
      <c r="GW460" s="1034">
        <f>IF(__Retrofit_TI_NC=2,1,IF(U463="",0,1))</f>
        <v>0</v>
      </c>
      <c r="GX460" s="1034">
        <f>IF(__Retrofit_TI_NC&lt;&gt;0,1,IF(AE461="",0,1))</f>
        <v>0</v>
      </c>
      <c r="GY460" s="1034">
        <f>IF(__Retrofit_TI_NC&lt;&gt;0,1,IF(AF461="",0,1))</f>
        <v>0</v>
      </c>
      <c r="GZ460" s="1034">
        <f>IF(AE462="",0,1)</f>
        <v>0</v>
      </c>
      <c r="HA460" s="1034">
        <f>IF(AF462="",0,1)</f>
        <v>0</v>
      </c>
      <c r="HB460" s="1034">
        <f>IF(__Retrofit_TI_NC=2,1,IF(AF463="",0,1))</f>
        <v>0</v>
      </c>
      <c r="HV460" s="436"/>
      <c r="HW460" s="1384" t="b">
        <f>IF(OR(HW463=0,HW463=HT$16,HW463=HS$16,HW463=HU$16),TRUE,FALSE)</f>
        <v>0</v>
      </c>
      <c r="HX460" s="1377" t="b">
        <f>HW460</f>
        <v>0</v>
      </c>
      <c r="HY460" s="436"/>
      <c r="HZ460" s="436"/>
      <c r="IA460" s="1386" t="b">
        <f>IF(MAX(GJ463:HP463)&gt;5,FALSE,TRUE)</f>
        <v>0</v>
      </c>
      <c r="IB460" s="1380">
        <f>IF(IA460=TRUE,AC460,0)</f>
        <v>0</v>
      </c>
      <c r="IC460" s="1380">
        <f>IB460-IB462</f>
        <v>0</v>
      </c>
      <c r="IF460" s="1380" t="e">
        <f>ROUND(T461*VLOOKUP(U461,Fixtures_Existing_List,2,FALSE)*N461*R461/1000,0)</f>
        <v>#N/A</v>
      </c>
      <c r="IG460" s="1381" t="e">
        <f>IF460-IF462</f>
        <v>#N/A</v>
      </c>
      <c r="IH460" s="1384" t="e">
        <f>ROUND(IF(CN460="Interior",N462*R462*R461*N461*_C406_reduction/1000,N462*R462*R461*N461/1000),0)</f>
        <v>#N/A</v>
      </c>
      <c r="II460" s="1384" t="e">
        <f>IH460-IH462</f>
        <v>#N/A</v>
      </c>
      <c r="IK460" s="1351" t="e">
        <f>IF($CO460="interior",IL460/2,VLOOKUP($CP460,Control_Savings_Exterior,IK$30,FALSE))</f>
        <v>#N/A</v>
      </c>
      <c r="IL460" s="1351" t="e">
        <f>IF($CO460="interior",VLOOKUP($CP460,Control_Savings_Interior,IL$30,FALSE),VLOOKUP($CP460,Control_Savings_Exterior,IL$30,FALSE))</f>
        <v>#N/A</v>
      </c>
      <c r="IM460" s="1351" t="e">
        <f>IF($CO460="interior",IF(R461&gt;FO$37,(IM$28*(FO$37/R461)),IM$28)*FP460,VLOOKUP($CP460,Control_Savings_Exterior,IM$30,FALSE))</f>
        <v>#N/A</v>
      </c>
      <c r="IN460" s="1351" t="e">
        <f>IF($CO460="interior",ROUND(((1-IL460)*IM460)+IL460,2),VLOOKUP($CP460,Control_Savings_Exterior,IN$30,FALSE))</f>
        <v>#N/A</v>
      </c>
      <c r="IO460" s="1351" t="e">
        <f>IF($CO460="interior", ROUND(((1-IL460)*(IM460*(1-IP$28)))+IP460,2), VLOOKUP($CP460,Control_Savings_Exterior,IO$30,FALSE))</f>
        <v>#N/A</v>
      </c>
      <c r="IP460" s="1351">
        <f>IF($CO460="interior",ROUND(((1-IL460)*IP$28)+IL460,2),0)</f>
        <v>0</v>
      </c>
    </row>
    <row r="461" spans="1:250" s="82" customFormat="1" ht="14.95" customHeight="1" thickTop="1" thickBot="1">
      <c r="B461" s="1421"/>
      <c r="C461" s="1422"/>
      <c r="D461" s="1423"/>
      <c r="E461" s="1393" t="s">
        <v>244</v>
      </c>
      <c r="F461" s="1394"/>
      <c r="G461" s="1395"/>
      <c r="H461" s="1395"/>
      <c r="I461" s="1395"/>
      <c r="J461" s="1395"/>
      <c r="K461" s="1395"/>
      <c r="L461" s="1395"/>
      <c r="M461" s="509" t="e">
        <f>IF(__Retrofit_TI_NC&lt;&gt;0,IF(VLOOKUP(G462,'Space Table'!$B$3:$L$160,3,FALSE)&gt;0,1,0),IF(__Retrofit_TI_NC=VLOOKUP(G462,'Space Table'!$B$3:$L$160,3,FALSE),1,0))</f>
        <v>#N/A</v>
      </c>
      <c r="N461" s="509" t="str">
        <f>IFERROR(VLOOKUP(G461,_Lookup_Heat_Type_Table_New,2,FALSE),"")</f>
        <v/>
      </c>
      <c r="O461" s="509">
        <f>IF(__Retrofit_TI_NC=1,CONCATENATE("TI ",G461),IF(__Retrofit_TI_NC=2,CONCATENATE("NC ",G461),G461))</f>
        <v>0</v>
      </c>
      <c r="P461" s="1396" t="s">
        <v>352</v>
      </c>
      <c r="Q461" s="1396"/>
      <c r="R461" s="673"/>
      <c r="S461" s="1429"/>
      <c r="T461" s="675"/>
      <c r="U461" s="1496"/>
      <c r="V461" s="1497"/>
      <c r="W461" s="1497"/>
      <c r="X461" s="1497"/>
      <c r="Y461" s="1497"/>
      <c r="Z461" s="1497"/>
      <c r="AA461" s="1497"/>
      <c r="AB461" s="1497"/>
      <c r="AC461" s="1497"/>
      <c r="AD461" s="1498"/>
      <c r="AE461" s="675"/>
      <c r="AF461" s="1397"/>
      <c r="AG461" s="1397"/>
      <c r="AH461" s="1397"/>
      <c r="AI461" s="1397"/>
      <c r="AJ461" s="1434"/>
      <c r="AK461" s="1436"/>
      <c r="AL461" s="1438"/>
      <c r="AM461" s="1441"/>
      <c r="AN461" s="1442"/>
      <c r="AO461" s="1447"/>
      <c r="AP461" s="1447"/>
      <c r="AQ461" s="1448"/>
      <c r="AR461" s="1452"/>
      <c r="AS461" s="1455"/>
      <c r="AT461" s="1458"/>
      <c r="AU461" s="516"/>
      <c r="AV461" s="1479"/>
      <c r="AW461" s="1479"/>
      <c r="BC461" s="38"/>
      <c r="BD461" s="38"/>
      <c r="BE461" s="38"/>
      <c r="BF461" s="38"/>
      <c r="BG461" s="38"/>
      <c r="BH461" s="38"/>
      <c r="BI461" s="38"/>
      <c r="BJ461" s="38"/>
      <c r="BK461" s="38"/>
      <c r="BL461" s="38"/>
      <c r="BM461" s="38"/>
      <c r="BN461" s="38"/>
      <c r="BO461" s="38"/>
      <c r="BP461" s="38"/>
      <c r="BQ461" s="38"/>
      <c r="BR461" s="38"/>
      <c r="BS461" s="38"/>
      <c r="BT461" s="38"/>
      <c r="BU461" s="38"/>
      <c r="BV461" s="38"/>
      <c r="BW461" s="38"/>
      <c r="BX461" s="38"/>
      <c r="BY461" s="38"/>
      <c r="BZ461" s="38"/>
      <c r="CA461" s="38"/>
      <c r="CB461" s="38"/>
      <c r="CC461" s="38"/>
      <c r="CD461" s="38"/>
      <c r="CE461" s="38"/>
      <c r="CF461" s="38"/>
      <c r="CG461" s="38"/>
      <c r="CH461" s="38"/>
      <c r="CI461" s="38"/>
      <c r="CM461" s="1352"/>
      <c r="CN461" s="1352"/>
      <c r="CO461" s="1416"/>
      <c r="CP461" s="1418"/>
      <c r="CR461" s="1386"/>
      <c r="CS461" s="1355"/>
      <c r="CT461" s="1355"/>
      <c r="CU461" s="1355"/>
      <c r="CV461" s="1372"/>
      <c r="CW461" s="1372"/>
      <c r="CX461" s="1371"/>
      <c r="CY461" s="1486"/>
      <c r="CZ461" s="1486"/>
      <c r="DA461" s="1486"/>
      <c r="DC461" s="1355"/>
      <c r="DD461" s="1461"/>
      <c r="DE461" s="1355"/>
      <c r="DF461" s="1407"/>
      <c r="DG461" s="1372"/>
      <c r="DH461" s="1369"/>
      <c r="DJ461" s="1484"/>
      <c r="DL461" s="1419"/>
      <c r="DN461" s="1403"/>
      <c r="DO461" s="1405"/>
      <c r="DP461" s="1354"/>
      <c r="DQ461" s="1405"/>
      <c r="DR461" s="1403"/>
      <c r="DS461" s="1489"/>
      <c r="DU461" s="1403"/>
      <c r="DV461" s="1405"/>
      <c r="DW461" s="1403"/>
      <c r="DX461" s="1403"/>
      <c r="DZ461" s="1481"/>
      <c r="EA461" s="1481"/>
      <c r="EC461" s="1482"/>
      <c r="ED461" s="1369"/>
      <c r="EE461" s="1371"/>
      <c r="EF461" s="1369"/>
      <c r="EG461" s="1369"/>
      <c r="EH461" s="1374"/>
      <c r="EI461" s="1374"/>
      <c r="EJ461" s="1363"/>
      <c r="EK461" s="1376"/>
      <c r="EL461" s="1376"/>
      <c r="EM461" s="1362"/>
      <c r="EN461" s="1362"/>
      <c r="EO461" s="1363"/>
      <c r="EP461" s="1363"/>
      <c r="EQ461" s="1363"/>
      <c r="ES461" s="1403"/>
      <c r="EU461" s="1411"/>
      <c r="EV461" s="1411"/>
      <c r="EW461" s="1411"/>
      <c r="EX461" s="1411"/>
      <c r="EY461" s="1411"/>
      <c r="EZ461" s="1413"/>
      <c r="FB461" s="1365"/>
      <c r="FD461" s="1354"/>
      <c r="FE461" s="1354"/>
      <c r="FF461" s="138"/>
      <c r="FI461" s="1357"/>
      <c r="FJ461" s="1357"/>
      <c r="FK461" s="1365"/>
      <c r="FL461" s="1365"/>
      <c r="FM461" s="1365"/>
      <c r="FO461" s="1361"/>
      <c r="FP461" s="1361"/>
      <c r="FQ461" s="1366"/>
      <c r="FR461" s="1368"/>
      <c r="FS461" s="1361"/>
      <c r="FT461" s="1368"/>
      <c r="FU461" s="1360"/>
      <c r="FW461" s="1352"/>
      <c r="FX461" s="1352"/>
      <c r="FY461" s="1352"/>
      <c r="FZ461" s="1352"/>
      <c r="GA461" s="1352"/>
      <c r="GB461" s="1352"/>
      <c r="GC461" s="1352"/>
      <c r="GD461" s="1352"/>
      <c r="GE461" s="759"/>
      <c r="GF461" s="1035"/>
      <c r="GG461" s="1385"/>
      <c r="GI461" s="1384" t="b">
        <f>IF(AND(GL461=TRUE,GM461=TRUE),TRUE,FALSE)</f>
        <v>0</v>
      </c>
      <c r="GJ461" s="1379" t="b">
        <f>IFERROR(IF(__Retrofit_TI_NC=2,TRUE,IF(AR460="Yes",TRUE,FALSE)),FALSE)</f>
        <v>1</v>
      </c>
      <c r="GL461" s="1379" t="b">
        <f>IFERROR(IF(GL460=1,TRUE,FALSE),FALSE)</f>
        <v>0</v>
      </c>
      <c r="GM461" s="1379" t="b">
        <f>IFERROR(IF(GM460=GM$14,TRUE,FALSE),FALSE)</f>
        <v>0</v>
      </c>
      <c r="HC461" s="1379" t="b">
        <f>IFERROR(IF(M461=1,TRUE,FALSE),FALSE)</f>
        <v>0</v>
      </c>
      <c r="HD461" s="1379" t="b">
        <f>IFERROR(IF(M462=1,TRUE,FALSE),FALSE)</f>
        <v>0</v>
      </c>
      <c r="HE461" s="1379" t="b">
        <f>IFERROR(IF(__Retrofit_TI_NC&lt;&gt;0,TRUE,IFERROR(IF(VLOOKUP(U461,Fixtures_Existing_List,2,FALSE)&lt;&gt;"",TRUE,FALSE),FALSE)),FALSE)</f>
        <v>0</v>
      </c>
      <c r="HF461" s="1379" t="b">
        <f>IFERROR(IF(VLOOKUP(U462,Fixtures_Proposed_List,2,FALSE)&lt;&gt;"",TRUE,FALSE),FALSE)</f>
        <v>0</v>
      </c>
      <c r="HG461" s="1379" t="b">
        <f>IF(AND(__Retrofit_TI_NC=2,EZ460=TRUE),FALSE,TRUE)</f>
        <v>1</v>
      </c>
      <c r="HH461" s="1379" t="b">
        <f>GG460</f>
        <v>1</v>
      </c>
      <c r="HI461" s="1384" t="b">
        <f>IF(ISERROR(MATCH(FB460,_Control_Match[],0))=TRUE,FALSE,TRUE)</f>
        <v>0</v>
      </c>
      <c r="HJ461" s="1384" t="b">
        <f>IFERROR(IF(EU460&lt;&gt;EV460,FALSE,TRUE),FALSE)</f>
        <v>0</v>
      </c>
      <c r="HK461" s="1384" t="b">
        <f>IFERROR(IF(EU462&lt;&gt;EV462,FALSE,TRUE),FALSE)</f>
        <v>0</v>
      </c>
      <c r="HL461" s="1379" t="b">
        <f>IFERROR(IF(CN460="Exterior",TRUE,IF(OR(AND(FJ460=0,EW462&gt;4),AND(FJ460=4,EW462&gt;4,EW462&lt;7)),FALSE,TRUE)),FALSE)</f>
        <v>0</v>
      </c>
      <c r="HM461" s="1379" t="b">
        <f>IFERROR(IF(AND(FL462=7,EZ460=TRUE),FALSE,TRUE),FALSE)</f>
        <v>0</v>
      </c>
      <c r="HN461" s="1379" t="b">
        <f>IFERROR(IF(AND(T462&lt;&gt;AE462,AF462="Interior LLLC")=TRUE,FALSE,TRUE),FALSE)</f>
        <v>1</v>
      </c>
      <c r="HO461" s="1379" t="b">
        <f>IFERROR(IF(OR(AF462=Lookup!AU$13,AF462=Lookup!AU$14)=TRUE,IF(AE462&gt;T462,FALSE,TRUE),TRUE),FALSE)</f>
        <v>1</v>
      </c>
      <c r="HP461" s="1379" t="b">
        <f>IFERROR(IF(__Retrofit_TI_NC=2,IF(EW462&lt;EW460,FALSE,TRUE),TRUE),FALSE)</f>
        <v>1</v>
      </c>
      <c r="HQ461" s="1379" t="b">
        <f>IF(CN460="Interior",IG$6,TRUE)</f>
        <v>1</v>
      </c>
      <c r="HR461" s="1379" t="b">
        <f>IF(CN460="Exterior",IG$8,TRUE)</f>
        <v>1</v>
      </c>
      <c r="HS461" s="1379" t="b">
        <f>IFERROR(IF(__Retrofit_TI_NC&lt;&gt;0,IF(AW460&lt;AV460,FALSE,TRUE),TRUE),FALSE)</f>
        <v>1</v>
      </c>
      <c r="HT461" s="1379" t="b">
        <f>IFERROR(IF(AND(G461="Exterior",R461&gt;4200),FALSE,TRUE),FALSE)</f>
        <v>1</v>
      </c>
      <c r="HU461" s="1379" t="b">
        <f>IFERROR(IF(AB463/AB460&lt;HU$18,FALSE,TRUE),FALSE)</f>
        <v>0</v>
      </c>
      <c r="HW461" s="1382"/>
      <c r="HX461" s="1378"/>
      <c r="HY461" s="1377" t="str">
        <f>VLOOKUP(HW463,_Error_Table,4,FALSE)</f>
        <v>White</v>
      </c>
      <c r="HZ461" s="436"/>
      <c r="IA461" s="1386"/>
      <c r="IB461" s="1380"/>
      <c r="IC461" s="1379"/>
      <c r="IF461" s="1380"/>
      <c r="IG461" s="1382"/>
      <c r="IH461" s="1382"/>
      <c r="II461" s="1382"/>
      <c r="IK461" s="1351"/>
      <c r="IL461" s="1351"/>
      <c r="IM461" s="1351"/>
      <c r="IN461" s="1351"/>
      <c r="IO461" s="1351"/>
      <c r="IP461" s="1351"/>
    </row>
    <row r="462" spans="1:250" s="82" customFormat="1" ht="14.95" customHeight="1" thickTop="1" thickBot="1">
      <c r="A462" s="82">
        <f>ROW()</f>
        <v>462</v>
      </c>
      <c r="B462" s="1421"/>
      <c r="C462" s="1422"/>
      <c r="D462" s="1423"/>
      <c r="E462" s="1393" t="s">
        <v>245</v>
      </c>
      <c r="F462" s="1394"/>
      <c r="G462" s="1398"/>
      <c r="H462" s="1399"/>
      <c r="I462" s="1399"/>
      <c r="J462" s="1399"/>
      <c r="K462" s="1399"/>
      <c r="L462" s="1400"/>
      <c r="M462" s="509">
        <f>IFERROR(IF(IF(__Retrofit_TI_NC&lt;&gt;0,IF(CN460="Interior",MATCH(G462,Lookup_Interior_New,0),MATCH(G462,Lookup_Exterior_New,0)),IF(CN460="Interior",MATCH(G462,Lookup_Interior,0),MATCH(G462,Lookup_Exterior_Areas,0)))&gt;0,1,0),0)</f>
        <v>0</v>
      </c>
      <c r="N462" s="509" t="e">
        <f>IF(__Retrofit_TI_NC=1,
VLOOKUP(G462,'Space Table'!$B$3:$L$160,4,FALSE),
IF(__Retrofit_TI_NC=2,VLOOKUP(G462,'Space Table'!$B$3:$L$160,5,FALSE),VLOOKUP(G462,'Space Table'!$B$3:$L$160,5,FALSE)))</f>
        <v>#N/A</v>
      </c>
      <c r="O462" s="509">
        <f>G462</f>
        <v>0</v>
      </c>
      <c r="P462" s="1394" t="s">
        <v>355</v>
      </c>
      <c r="Q462" s="1394"/>
      <c r="R462" s="674"/>
      <c r="S462" s="1401" t="s">
        <v>284</v>
      </c>
      <c r="T462" s="672"/>
      <c r="U462" s="1499"/>
      <c r="V462" s="1500"/>
      <c r="W462" s="1500"/>
      <c r="X462" s="1500"/>
      <c r="Y462" s="1500"/>
      <c r="Z462" s="1500"/>
      <c r="AA462" s="1500"/>
      <c r="AB462" s="1501"/>
      <c r="AC462" s="1501"/>
      <c r="AD462" s="1502"/>
      <c r="AE462" s="672"/>
      <c r="AF462" s="1474"/>
      <c r="AG462" s="1474"/>
      <c r="AH462" s="1474"/>
      <c r="AI462" s="1474"/>
      <c r="AJ462" s="1475">
        <f>DF462</f>
        <v>0</v>
      </c>
      <c r="AK462" s="1470" t="str">
        <f>IFERROR(ROUND(AJ462*AC463,0),"")</f>
        <v/>
      </c>
      <c r="AL462" s="1472">
        <f>IFERROR(IF(HW460=FALSE,0,AC463-AK462),0)</f>
        <v>0</v>
      </c>
      <c r="AM462" s="1441"/>
      <c r="AN462" s="1442"/>
      <c r="AO462" s="1447"/>
      <c r="AP462" s="1447"/>
      <c r="AQ462" s="1448"/>
      <c r="AR462" s="1452"/>
      <c r="AS462" s="1455"/>
      <c r="AT462" s="1458"/>
      <c r="AU462" s="516"/>
      <c r="AV462" s="1479"/>
      <c r="AW462" s="1479"/>
      <c r="BC462" s="38"/>
      <c r="BD462" s="38"/>
      <c r="BE462" s="38"/>
      <c r="BF462" s="38"/>
      <c r="BG462" s="38"/>
      <c r="BH462" s="38"/>
      <c r="BI462" s="38"/>
      <c r="BJ462" s="38"/>
      <c r="BK462" s="38"/>
      <c r="BL462" s="38"/>
      <c r="BM462" s="38"/>
      <c r="BN462" s="38"/>
      <c r="BO462" s="38"/>
      <c r="BP462" s="38"/>
      <c r="BQ462" s="38"/>
      <c r="BR462" s="38"/>
      <c r="BS462" s="38"/>
      <c r="BT462" s="38"/>
      <c r="BU462" s="38"/>
      <c r="BV462" s="38"/>
      <c r="BW462" s="38"/>
      <c r="BX462" s="38"/>
      <c r="BY462" s="38"/>
      <c r="BZ462" s="38"/>
      <c r="CA462" s="38"/>
      <c r="CB462" s="38"/>
      <c r="CC462" s="38"/>
      <c r="CD462" s="38"/>
      <c r="CE462" s="38"/>
      <c r="CF462" s="38"/>
      <c r="CG462" s="38"/>
      <c r="CH462" s="38"/>
      <c r="CI462" s="38"/>
      <c r="CM462" s="1352"/>
      <c r="CN462" s="1352"/>
      <c r="CO462" s="1415" t="str">
        <f>CN460</f>
        <v/>
      </c>
      <c r="CP462" s="1417" t="e">
        <f>CP460</f>
        <v>#N/A</v>
      </c>
      <c r="CR462" s="1386" t="s">
        <v>284</v>
      </c>
      <c r="CS462" s="1353">
        <f>IF(HW460=TRUE,T462,0)</f>
        <v>0</v>
      </c>
      <c r="CT462" s="1353" t="str">
        <f>IF(HW460=TRUE,U462,"")</f>
        <v/>
      </c>
      <c r="CU462" s="1373">
        <f>IF(HW460=TRUE,U463,0)</f>
        <v>0</v>
      </c>
      <c r="CV462" s="1370">
        <f>IF(HW460=TRUE,AB463,0)</f>
        <v>0</v>
      </c>
      <c r="CW462" s="1370">
        <f>IF(HW460=TRUE,AC463,0)</f>
        <v>0</v>
      </c>
      <c r="CX462" s="1371"/>
      <c r="CY462" s="1486"/>
      <c r="CZ462" s="1486"/>
      <c r="DA462" s="1486"/>
      <c r="DC462" s="1353">
        <f>IF(HW460=TRUE,AE462,0)</f>
        <v>0</v>
      </c>
      <c r="DD462" s="1353" t="str">
        <f>IF(HW460=TRUE,AF462,"")</f>
        <v/>
      </c>
      <c r="DE462" s="1373">
        <f>AF463</f>
        <v>0</v>
      </c>
      <c r="DF462" s="1406">
        <f>IFERROR(IF(FL462=3,IK462,IF(FL462=4,IL462,IF(FL462=5,IM462,IF(FL462=6,IN462,IF(FL462=7,IO462,IF(FL462=8,IP462,0)))))),0)</f>
        <v>0</v>
      </c>
      <c r="DG462" s="1370">
        <f>IF(HW460=TRUE,AK462,0)</f>
        <v>0</v>
      </c>
      <c r="DH462" s="1369"/>
      <c r="DK462" s="1483">
        <f>IFERROR(CW462-DG462,0)</f>
        <v>0</v>
      </c>
      <c r="DL462" s="1420"/>
      <c r="DN462" s="1403"/>
      <c r="DO462" s="1477" t="str">
        <f>DN460</f>
        <v/>
      </c>
      <c r="DP462" s="1354"/>
      <c r="DQ462" s="1477" t="str">
        <f>IF(DP460=7,"LLLC","")</f>
        <v/>
      </c>
      <c r="DR462" s="1403"/>
      <c r="DS462" s="1489"/>
      <c r="DU462" s="1403"/>
      <c r="DV462" s="1404" t="str">
        <f>DU460</f>
        <v/>
      </c>
      <c r="DW462" s="1403"/>
      <c r="DX462" s="1403"/>
      <c r="DZ462" s="1481"/>
      <c r="EA462" s="1481"/>
      <c r="EC462" s="1482"/>
      <c r="ED462" s="1369"/>
      <c r="EE462" s="1371"/>
      <c r="EF462" s="1369"/>
      <c r="EG462" s="1369"/>
      <c r="EH462" s="1374"/>
      <c r="EI462" s="1374"/>
      <c r="EJ462" s="1363"/>
      <c r="EK462" s="1376"/>
      <c r="EL462" s="1376"/>
      <c r="EM462" s="1362"/>
      <c r="EN462" s="1362"/>
      <c r="EO462" s="1363"/>
      <c r="EP462" s="1363"/>
      <c r="EQ462" s="1363"/>
      <c r="ES462" s="1403"/>
      <c r="EU462" s="1411" t="e">
        <f>VLOOKUP(CP462,'Space Table'!$B$3:$L$160,8,FALSE)</f>
        <v>#N/A</v>
      </c>
      <c r="EV462" s="1411" t="e">
        <f>IF(EY462="Yes",VLOOKUP(AF462,Lookup_Control_Type_Table2,4,FALSE),VLOOKUP(AF462,Lookup_Control_Type_Table2,3,FALSE))</f>
        <v>#N/A</v>
      </c>
      <c r="EW462" s="1411" t="e">
        <f>VLOOKUP(AF462,Lookup!AU$3:AV$15,2,FALSE)</f>
        <v>#N/A</v>
      </c>
      <c r="EX462" s="1411" t="e">
        <f>VLOOKUP(EU460,Lookup_Control_Type_Table,2,FALSE)</f>
        <v>#N/A</v>
      </c>
      <c r="EY462" s="1411" t="e">
        <f>VLOOKUP(CP462,'Space Table'!$B$3:$L$160,7,FALSE)</f>
        <v>#N/A</v>
      </c>
      <c r="EZ462" s="1413"/>
      <c r="FB462" s="1365" t="str">
        <f>CONCATENATE(CN460," - ",AF462)</f>
        <v xml:space="preserve"> - </v>
      </c>
      <c r="FD462" s="1354"/>
      <c r="FE462" s="1354"/>
      <c r="FF462" s="138"/>
      <c r="FI462" s="1356" t="str">
        <f>IF(CN460="Exterior","Not Daylighted",G463)</f>
        <v>Not Daylighted</v>
      </c>
      <c r="FJ462" s="1356">
        <f>VLOOKUP(FI462,_Daylight_Table_Codes,2,FALSE)</f>
        <v>0</v>
      </c>
      <c r="FK462" s="1365">
        <f>AF462</f>
        <v>0</v>
      </c>
      <c r="FL462" s="1365" t="e">
        <f>VLOOKUP(FK462,_Control_Table,2,FALSE)</f>
        <v>#N/A</v>
      </c>
      <c r="FM462" s="1365" t="e">
        <f>IF(AND(FP462&gt;0,FK462="Occupancy Sensor"),"Daylight + Occupancy",IF(AND(FP462&gt;0,FL462&lt;4),"Interior Daylight Dimming",FK462))</f>
        <v>#N/A</v>
      </c>
      <c r="FO462" s="1364">
        <f>IF(CN460="Interior",VLOOKUP(CP460,Control_Savings_Interior,5,FALSE),0)</f>
        <v>0</v>
      </c>
      <c r="FP462" s="1361">
        <f>IF(CN462="Exterior",0,IF(FJ462=2,0.5,IF(OR(FJ462=1,FJ462=3),1,0)))</f>
        <v>0</v>
      </c>
      <c r="FQ462" s="1366">
        <f>IF(R461&gt;FO$37,(FO462*(FO$37/R461)),FO462)*FP462</f>
        <v>0</v>
      </c>
      <c r="FR462" s="1364">
        <f>DF462</f>
        <v>0</v>
      </c>
      <c r="FS462" s="1364">
        <f>ROUND(FR462+((1-FR462)*FQ462),2)</f>
        <v>0</v>
      </c>
      <c r="FT462" s="1364">
        <f>IF(__Retrofit_TI_NC=2,FS462,FR462)</f>
        <v>0</v>
      </c>
      <c r="FU462" s="1360">
        <f>IF(CO462="Interior",VLOOKUP(CP462,Control_Savings_Interior,4,FALSE),0)</f>
        <v>0</v>
      </c>
      <c r="FW462" s="1352"/>
      <c r="FX462" s="1352"/>
      <c r="FY462" s="1352"/>
      <c r="FZ462" s="1352"/>
      <c r="GA462" s="1352"/>
      <c r="GB462" s="1352"/>
      <c r="GC462" s="1352"/>
      <c r="GD462" s="1352"/>
      <c r="GE462" s="759" t="b">
        <f>IF(ISNUMBER(SEARCH("TLED",U462)),TRUE,FALSE)</f>
        <v>0</v>
      </c>
      <c r="GF462" s="1035" t="str">
        <f>IFERROR(VLOOKUP(U462,Fixtures!DM$93:DR$142,6,FALSE),"")</f>
        <v/>
      </c>
      <c r="GG462" s="1385"/>
      <c r="GI462" s="1383"/>
      <c r="GJ462" s="1379"/>
      <c r="GL462" s="1379"/>
      <c r="GM462" s="1379"/>
      <c r="HC462" s="1379"/>
      <c r="HD462" s="1379"/>
      <c r="HE462" s="1379"/>
      <c r="HF462" s="1379"/>
      <c r="HG462" s="1379"/>
      <c r="HH462" s="1379"/>
      <c r="HI462" s="1383"/>
      <c r="HJ462" s="1383"/>
      <c r="HK462" s="1383"/>
      <c r="HL462" s="1379"/>
      <c r="HM462" s="1379"/>
      <c r="HN462" s="1379"/>
      <c r="HO462" s="1379"/>
      <c r="HP462" s="1379"/>
      <c r="HQ462" s="1379"/>
      <c r="HR462" s="1379"/>
      <c r="HS462" s="1379"/>
      <c r="HT462" s="1379"/>
      <c r="HU462" s="1379"/>
      <c r="HW462" s="1383"/>
      <c r="HX462" s="1384" t="b">
        <f>HW460</f>
        <v>0</v>
      </c>
      <c r="HY462" s="1378"/>
      <c r="HZ462" s="436"/>
      <c r="IA462" s="1386"/>
      <c r="IB462" s="1380">
        <f>IF(IA460=TRUE,AC463,0)</f>
        <v>0</v>
      </c>
      <c r="IC462" s="1379"/>
      <c r="IF462" s="1380" t="e">
        <f>ROUND(T462*AB463*N461*R461/1000,0)</f>
        <v>#VALUE!</v>
      </c>
      <c r="IG462" s="1382"/>
      <c r="IH462" s="1384" t="e">
        <f>ROUND(T462*AB463*N461*R461/1000,0)</f>
        <v>#VALUE!</v>
      </c>
      <c r="II462" s="1382"/>
      <c r="IK462" s="1351" t="e">
        <f>IF($CO462="interior",IL462/2,VLOOKUP($CP462,Control_Savings_Exterior,IK$30,FALSE))</f>
        <v>#N/A</v>
      </c>
      <c r="IL462" s="1351" t="e">
        <f>IF($CO462="interior",VLOOKUP($CP462,Control_Savings_Interior,IL$30,FALSE),VLOOKUP($CP462,Control_Savings_Exterior,IL$30,FALSE))</f>
        <v>#N/A</v>
      </c>
      <c r="IM462" s="1351" t="e">
        <f>IF($CO462="interior",IF(R461&gt;FO$37,(IM$28*(FO$37/R461)),IM$28)*FP462,VLOOKUP($CP462,Control_Savings_Exterior,IM$30,FALSE))</f>
        <v>#N/A</v>
      </c>
      <c r="IN462" s="1351" t="e">
        <f>IF($CO462="interior",ROUND(((1-IL462)*IM462)+IL462,2),VLOOKUP($CP462,Control_Savings_Exterior,IN$30,FALSE))</f>
        <v>#N/A</v>
      </c>
      <c r="IO462" s="1351" t="e">
        <f>IF($CO462="interior", ROUND(((1-IL462)*(IM462*(1-IP$28)))+IP462,2), VLOOKUP($CP462,Control_Savings_Exterior,IO$30,FALSE))</f>
        <v>#N/A</v>
      </c>
      <c r="IP462" s="1351">
        <f>IF($CO462="interior",ROUND(((1-IL462)*IP$28)+IL462,2),0)</f>
        <v>0</v>
      </c>
    </row>
    <row r="463" spans="1:250" s="82" customFormat="1" ht="14.95" customHeight="1" thickTop="1" thickBot="1">
      <c r="B463" s="1421"/>
      <c r="C463" s="1422"/>
      <c r="D463" s="1423"/>
      <c r="E463" s="1462" t="s">
        <v>357</v>
      </c>
      <c r="F463" s="1463"/>
      <c r="G463" s="1464" t="s">
        <v>362</v>
      </c>
      <c r="H463" s="1465"/>
      <c r="I463" s="1465"/>
      <c r="J463" s="1465"/>
      <c r="K463" s="1465"/>
      <c r="L463" s="1466"/>
      <c r="M463" s="669">
        <f>IFERROR(VLOOKUP(G463,_Daylight_Table[],2,FALSE),0)</f>
        <v>0</v>
      </c>
      <c r="N463" s="670"/>
      <c r="O463" s="669" t="e">
        <f>VLOOKUP(G462,'Space Table'!$B$3:$L$160,11,FALSE)</f>
        <v>#N/A</v>
      </c>
      <c r="P463" s="1408"/>
      <c r="Q463" s="1409"/>
      <c r="R463" s="1409"/>
      <c r="S463" s="1402"/>
      <c r="T463" s="671" t="s">
        <v>281</v>
      </c>
      <c r="U463" s="1467" t="str">
        <f>IFERROR(VLOOKUP(U462,Fixtures!DM$93:DP$142,4,FALSE),"")</f>
        <v/>
      </c>
      <c r="V463" s="1468"/>
      <c r="W463" s="1468"/>
      <c r="X463" s="1468"/>
      <c r="Y463" s="1468"/>
      <c r="Z463" s="1468"/>
      <c r="AA463" s="1468"/>
      <c r="AB463" s="1046" t="str">
        <f>IFERROR(VLOOKUP(U462,Fixtures_Proposed_List,2,FALSE),"")</f>
        <v/>
      </c>
      <c r="AC463" s="1036" t="str">
        <f>IFERROR(ROUND(T462*AB463*N461*R461/1000,0),"")</f>
        <v/>
      </c>
      <c r="AD463" s="1037" t="str">
        <f>IFERROR(ROUND(T462*AB463/1000,2),"")</f>
        <v/>
      </c>
      <c r="AE463" s="1045" t="s">
        <v>281</v>
      </c>
      <c r="AF463" s="1469"/>
      <c r="AG463" s="1469"/>
      <c r="AH463" s="1469"/>
      <c r="AI463" s="1469"/>
      <c r="AJ463" s="1476"/>
      <c r="AK463" s="1471"/>
      <c r="AL463" s="1473"/>
      <c r="AM463" s="1443"/>
      <c r="AN463" s="1444"/>
      <c r="AO463" s="1449"/>
      <c r="AP463" s="1449"/>
      <c r="AQ463" s="1450"/>
      <c r="AR463" s="1453"/>
      <c r="AS463" s="1456"/>
      <c r="AT463" s="1459"/>
      <c r="AU463" s="517"/>
      <c r="AV463" s="1480"/>
      <c r="AW463" s="1480"/>
      <c r="BC463" s="38"/>
      <c r="BD463" s="38"/>
      <c r="BE463" s="38"/>
      <c r="BF463" s="38"/>
      <c r="BG463" s="38"/>
      <c r="BH463" s="38"/>
      <c r="BI463" s="38"/>
      <c r="BJ463" s="38"/>
      <c r="BK463" s="38"/>
      <c r="BL463" s="38"/>
      <c r="BM463" s="38"/>
      <c r="BN463" s="38"/>
      <c r="BO463" s="38"/>
      <c r="BP463" s="38"/>
      <c r="BQ463" s="38"/>
      <c r="BR463" s="38"/>
      <c r="BS463" s="38"/>
      <c r="BT463" s="38"/>
      <c r="BU463" s="38"/>
      <c r="BV463" s="38"/>
      <c r="BW463" s="38"/>
      <c r="BX463" s="38"/>
      <c r="BY463" s="38"/>
      <c r="BZ463" s="38"/>
      <c r="CA463" s="38"/>
      <c r="CB463" s="38"/>
      <c r="CC463" s="38"/>
      <c r="CD463" s="38"/>
      <c r="CE463" s="38"/>
      <c r="CF463" s="38"/>
      <c r="CG463" s="38"/>
      <c r="CH463" s="38"/>
      <c r="CI463" s="38"/>
      <c r="CM463" s="1352"/>
      <c r="CN463" s="1352"/>
      <c r="CO463" s="1416"/>
      <c r="CP463" s="1418"/>
      <c r="CR463" s="1386"/>
      <c r="CS463" s="1355"/>
      <c r="CT463" s="1355"/>
      <c r="CU463" s="1375"/>
      <c r="CV463" s="1372"/>
      <c r="CW463" s="1372"/>
      <c r="CX463" s="1372"/>
      <c r="CY463" s="1487"/>
      <c r="CZ463" s="1487"/>
      <c r="DA463" s="1487"/>
      <c r="DC463" s="1355"/>
      <c r="DD463" s="1355"/>
      <c r="DE463" s="1375"/>
      <c r="DF463" s="1407"/>
      <c r="DG463" s="1372"/>
      <c r="DH463" s="1369"/>
      <c r="DK463" s="1484"/>
      <c r="DL463" s="1420"/>
      <c r="DN463" s="1403"/>
      <c r="DO463" s="1405"/>
      <c r="DP463" s="1355"/>
      <c r="DQ463" s="1405"/>
      <c r="DR463" s="1403"/>
      <c r="DS463" s="1489"/>
      <c r="DU463" s="1403"/>
      <c r="DV463" s="1405"/>
      <c r="DW463" s="1403"/>
      <c r="DX463" s="1403"/>
      <c r="DZ463" s="1481"/>
      <c r="EA463" s="1481"/>
      <c r="EC463" s="1482"/>
      <c r="ED463" s="1369"/>
      <c r="EE463" s="1372"/>
      <c r="EF463" s="1369"/>
      <c r="EG463" s="1369"/>
      <c r="EH463" s="1375"/>
      <c r="EI463" s="1375"/>
      <c r="EJ463" s="1363"/>
      <c r="EK463" s="1376"/>
      <c r="EL463" s="1376"/>
      <c r="EM463" s="1362"/>
      <c r="EN463" s="1362"/>
      <c r="EO463" s="1363"/>
      <c r="EP463" s="1363"/>
      <c r="EQ463" s="1363"/>
      <c r="ES463" s="1403"/>
      <c r="EU463" s="1488"/>
      <c r="EV463" s="1488"/>
      <c r="EW463" s="1488"/>
      <c r="EX463" s="1488"/>
      <c r="EY463" s="1488"/>
      <c r="EZ463" s="1414"/>
      <c r="FB463" s="1365"/>
      <c r="FD463" s="1355"/>
      <c r="FE463" s="1355"/>
      <c r="FF463" s="138"/>
      <c r="FI463" s="1357"/>
      <c r="FJ463" s="1357"/>
      <c r="FK463" s="1365"/>
      <c r="FL463" s="1365"/>
      <c r="FM463" s="1365"/>
      <c r="FO463" s="1361"/>
      <c r="FP463" s="1361"/>
      <c r="FQ463" s="1366"/>
      <c r="FR463" s="1361"/>
      <c r="FS463" s="1361"/>
      <c r="FT463" s="1361"/>
      <c r="FU463" s="1360"/>
      <c r="FW463" s="1352"/>
      <c r="FX463" s="1352"/>
      <c r="FY463" s="1352"/>
      <c r="FZ463" s="1352"/>
      <c r="GA463" s="1352"/>
      <c r="GB463" s="1352"/>
      <c r="GC463" s="1352"/>
      <c r="GD463" s="1352"/>
      <c r="GE463" s="759"/>
      <c r="GF463" s="1035"/>
      <c r="GG463" s="1385"/>
      <c r="GJ463" s="1034">
        <f>IF(GJ461=TRUE,0,GJ$16)</f>
        <v>0</v>
      </c>
      <c r="GL463" s="1034">
        <f>IF(GL461=TRUE,0,GL$16)</f>
        <v>36</v>
      </c>
      <c r="GM463" s="1034">
        <f>IF(GM461=TRUE,0,GM$16)</f>
        <v>35</v>
      </c>
      <c r="GN463" s="436"/>
      <c r="GO463" s="436"/>
      <c r="GP463" s="436"/>
      <c r="GQ463" s="436"/>
      <c r="GR463" s="436"/>
      <c r="HC463" s="1034">
        <f t="shared" ref="HC463:HH463" si="338">IF(HC461=TRUE,0,HC$16)</f>
        <v>19</v>
      </c>
      <c r="HD463" s="1034">
        <f t="shared" si="338"/>
        <v>18</v>
      </c>
      <c r="HE463" s="1034">
        <f t="shared" si="338"/>
        <v>17</v>
      </c>
      <c r="HF463" s="1034">
        <f t="shared" si="338"/>
        <v>16</v>
      </c>
      <c r="HG463" s="1034">
        <f t="shared" si="338"/>
        <v>0</v>
      </c>
      <c r="HH463" s="1034">
        <f t="shared" si="338"/>
        <v>0</v>
      </c>
      <c r="HI463" s="1034">
        <f>IF(HI461=TRUE,0,HI$16)</f>
        <v>13</v>
      </c>
      <c r="HJ463" s="1034">
        <f t="shared" ref="HJ463:HL463" si="339">IF(HJ461=TRUE,0,HJ$16)</f>
        <v>12</v>
      </c>
      <c r="HK463" s="1034">
        <f t="shared" si="339"/>
        <v>11</v>
      </c>
      <c r="HL463" s="1034">
        <f t="shared" si="339"/>
        <v>10</v>
      </c>
      <c r="HM463" s="1034">
        <f>IF(HM461=TRUE,0,HM$16)</f>
        <v>9</v>
      </c>
      <c r="HN463" s="1034">
        <f t="shared" ref="HN463:HR463" si="340">IF(HN461=TRUE,0,HN$16)</f>
        <v>0</v>
      </c>
      <c r="HO463" s="1034">
        <f t="shared" si="340"/>
        <v>0</v>
      </c>
      <c r="HP463" s="1034">
        <f t="shared" si="340"/>
        <v>0</v>
      </c>
      <c r="HQ463" s="1034">
        <f t="shared" si="340"/>
        <v>0</v>
      </c>
      <c r="HR463" s="1034">
        <f t="shared" si="340"/>
        <v>0</v>
      </c>
      <c r="HS463" s="1034">
        <f>IF(HS461=TRUE,0,HS$16)</f>
        <v>0</v>
      </c>
      <c r="HT463" s="1034">
        <f t="shared" ref="HT463" si="341">IF(HT461=TRUE,0,HT$16)</f>
        <v>0</v>
      </c>
      <c r="HU463" s="1034">
        <f>IF(HU461=TRUE,0,HU$16)</f>
        <v>1</v>
      </c>
      <c r="HW463" s="1034">
        <f>IF(GL461=FALSE,GL463,IF(GM461=FALSE,GM463,MAX(GJ463:HU463)))</f>
        <v>36</v>
      </c>
      <c r="HX463" s="1383"/>
      <c r="HY463" s="241" t="str">
        <f>VLOOKUP(HW463,_Error_Table,3,FALSE)</f>
        <v xml:space="preserve"> </v>
      </c>
      <c r="HZ463" s="241"/>
      <c r="IA463" s="1386"/>
      <c r="IB463" s="1380"/>
      <c r="IC463" s="1379"/>
      <c r="IF463" s="1380"/>
      <c r="IG463" s="1383"/>
      <c r="IH463" s="1383"/>
      <c r="II463" s="1383"/>
      <c r="IK463" s="1351"/>
      <c r="IL463" s="1351"/>
      <c r="IM463" s="1351"/>
      <c r="IN463" s="1351"/>
      <c r="IO463" s="1351"/>
      <c r="IP463" s="1351"/>
    </row>
    <row r="464" spans="1:250" s="82" customFormat="1" ht="5.0999999999999996" customHeight="1" thickBot="1">
      <c r="B464" s="763"/>
      <c r="C464" s="1038"/>
      <c r="D464" s="1038"/>
      <c r="E464" s="1490"/>
      <c r="F464" s="1490"/>
      <c r="G464" s="1490"/>
      <c r="H464" s="1490"/>
      <c r="I464" s="1490"/>
      <c r="J464" s="1490"/>
      <c r="K464" s="1490"/>
      <c r="L464" s="1490"/>
      <c r="M464" s="1490"/>
      <c r="N464" s="1490"/>
      <c r="O464" s="1490"/>
      <c r="P464" s="1490"/>
      <c r="Q464" s="1490"/>
      <c r="R464" s="1490"/>
      <c r="S464" s="1490"/>
      <c r="T464" s="1490"/>
      <c r="U464" s="1490"/>
      <c r="V464" s="1490"/>
      <c r="W464" s="1490"/>
      <c r="X464" s="1490"/>
      <c r="Y464" s="1490"/>
      <c r="Z464" s="1490"/>
      <c r="AA464" s="1490"/>
      <c r="AB464" s="1490"/>
      <c r="AC464" s="1490"/>
      <c r="AD464" s="1490"/>
      <c r="AE464" s="1490"/>
      <c r="AF464" s="1490"/>
      <c r="AG464" s="1490"/>
      <c r="AH464" s="1490"/>
      <c r="AI464" s="1490"/>
      <c r="AJ464" s="1490"/>
      <c r="AK464" s="1490"/>
      <c r="AL464" s="1490"/>
      <c r="AM464" s="1490"/>
      <c r="AN464" s="1490"/>
      <c r="AO464" s="1490"/>
      <c r="AP464" s="1490"/>
      <c r="AQ464" s="1490"/>
      <c r="AR464" s="1490"/>
      <c r="AS464" s="1490"/>
      <c r="AT464" s="1490"/>
      <c r="AU464" s="1041"/>
      <c r="BC464" s="38"/>
      <c r="BD464" s="38"/>
      <c r="BE464" s="38"/>
      <c r="BF464" s="38"/>
      <c r="BG464" s="38"/>
      <c r="BH464" s="38"/>
      <c r="BI464" s="38"/>
      <c r="BJ464" s="38"/>
      <c r="BK464" s="38"/>
      <c r="BL464" s="38"/>
      <c r="BM464" s="38"/>
      <c r="BN464" s="38"/>
      <c r="BO464" s="38"/>
      <c r="BP464" s="38"/>
      <c r="BQ464" s="38"/>
      <c r="BR464" s="38"/>
      <c r="BS464" s="38"/>
      <c r="BT464" s="38"/>
      <c r="BU464" s="38"/>
      <c r="BV464" s="38"/>
      <c r="BW464" s="38"/>
      <c r="BX464" s="38"/>
      <c r="BY464" s="38"/>
      <c r="BZ464" s="38"/>
      <c r="CA464" s="38"/>
      <c r="CB464" s="38"/>
      <c r="CC464" s="38"/>
      <c r="CD464" s="38"/>
      <c r="CE464" s="38"/>
      <c r="CF464" s="38"/>
      <c r="CG464" s="38"/>
      <c r="CH464" s="38"/>
      <c r="CI464" s="38"/>
      <c r="CM464" s="749"/>
      <c r="CN464" s="749"/>
      <c r="CO464" s="1043"/>
      <c r="CP464" s="749"/>
      <c r="CS464" s="436"/>
      <c r="CT464" s="436"/>
      <c r="CU464" s="243"/>
      <c r="CV464" s="244"/>
      <c r="CW464" s="244"/>
      <c r="CX464" s="244"/>
      <c r="CY464" s="245"/>
      <c r="CZ464" s="245"/>
      <c r="DA464" s="245"/>
      <c r="DC464" s="750"/>
      <c r="DD464" s="751"/>
      <c r="DE464" s="752"/>
      <c r="DF464" s="753"/>
      <c r="DG464" s="754"/>
      <c r="DH464" s="754"/>
      <c r="DK464" s="244"/>
      <c r="DL464" s="750"/>
      <c r="DN464" s="750"/>
      <c r="DO464" s="755"/>
      <c r="DP464" s="436"/>
      <c r="DQ464" s="750"/>
      <c r="DR464" s="750"/>
      <c r="DS464" s="750"/>
      <c r="DU464" s="750"/>
      <c r="DV464" s="750"/>
      <c r="DW464" s="750"/>
      <c r="DX464" s="750"/>
      <c r="DZ464" s="756"/>
      <c r="EA464" s="756"/>
      <c r="EC464" s="754"/>
      <c r="ED464" s="754"/>
      <c r="EE464" s="244"/>
      <c r="EF464" s="754"/>
      <c r="EG464" s="754"/>
      <c r="EH464" s="243"/>
      <c r="EI464" s="243"/>
      <c r="EJ464" s="752"/>
      <c r="EK464" s="757"/>
      <c r="EL464" s="757"/>
      <c r="EM464" s="758"/>
      <c r="EN464" s="758"/>
      <c r="EO464" s="752"/>
      <c r="EP464" s="752"/>
      <c r="EQ464" s="752"/>
      <c r="ES464" s="750"/>
      <c r="EU464" s="436"/>
      <c r="EV464" s="436"/>
      <c r="EW464" s="436"/>
      <c r="EX464" s="436"/>
      <c r="EY464" s="436"/>
      <c r="EZ464" s="436"/>
      <c r="FB464" s="643"/>
      <c r="FD464" s="436"/>
      <c r="FE464" s="436"/>
      <c r="FF464" s="436"/>
      <c r="FO464" s="750"/>
      <c r="FP464" s="436"/>
      <c r="FQ464" s="436"/>
      <c r="FR464" s="750"/>
      <c r="FS464" s="750"/>
      <c r="FW464" s="749"/>
      <c r="FX464" s="749"/>
      <c r="FY464" s="749"/>
      <c r="FZ464" s="749"/>
      <c r="GA464" s="749"/>
      <c r="GB464" s="749"/>
      <c r="GC464" s="749"/>
      <c r="GD464" s="749"/>
      <c r="GE464" s="751"/>
      <c r="GF464" s="750"/>
      <c r="GG464" s="750"/>
    </row>
    <row r="465" spans="1:250" s="82" customFormat="1" ht="14.95" customHeight="1" thickTop="1" thickBot="1">
      <c r="B465" s="1421" t="str">
        <f>HY468</f>
        <v xml:space="preserve"> </v>
      </c>
      <c r="C465" s="1422">
        <f>C460+1</f>
        <v>83</v>
      </c>
      <c r="D465" s="1423"/>
      <c r="E465" s="1424" t="s">
        <v>242</v>
      </c>
      <c r="F465" s="1425"/>
      <c r="G465" s="1426"/>
      <c r="H465" s="1427"/>
      <c r="I465" s="1427"/>
      <c r="J465" s="1427"/>
      <c r="K465" s="1427"/>
      <c r="L465" s="1427"/>
      <c r="M465" s="1427"/>
      <c r="N465" s="1427"/>
      <c r="O465" s="1427"/>
      <c r="P465" s="1427"/>
      <c r="Q465" s="1427"/>
      <c r="R465" s="1427"/>
      <c r="S465" s="1428" t="s">
        <v>283</v>
      </c>
      <c r="T465" s="668" t="s">
        <v>190</v>
      </c>
      <c r="U465" s="1430" t="s">
        <v>186</v>
      </c>
      <c r="V465" s="1431"/>
      <c r="W465" s="1431"/>
      <c r="X465" s="1431"/>
      <c r="Y465" s="1431"/>
      <c r="Z465" s="1431"/>
      <c r="AA465" s="1431"/>
      <c r="AB465" s="1088" t="str">
        <f>IFERROR(IF(__Retrofit_TI_NC=0,VLOOKUP(U466,Fixtures_Existing_List,2,FALSE),ROUND(N467*R467/T467,10)),"")</f>
        <v/>
      </c>
      <c r="AC465" s="1039" t="str">
        <f>IFERROR(IF(__Retrofit_TI_NC=0,ROUND(T466*AB465*N466*R466/1000,0),IF(CN465="Interior",N467*R467*R466*N466*_C406_reduction/1000,N467*R467*R466*N466/1000)),"")</f>
        <v/>
      </c>
      <c r="AD465" s="1040" t="str">
        <f>IFERROR(IF(C$36=0,ROUND(T466*AB465/1000,2),N467*R467/1000),"")</f>
        <v/>
      </c>
      <c r="AE465" s="1044" t="s">
        <v>190</v>
      </c>
      <c r="AF465" s="1432" t="str">
        <f>IF(__Retrofit_TI_NC=2,CONCATENATE("Code min = ",DD465),IF(__Retrofit_TI_NC=1,"Emter what you think the existing control was"," Control"))</f>
        <v xml:space="preserve"> Control</v>
      </c>
      <c r="AG465" s="1432"/>
      <c r="AH465" s="1432"/>
      <c r="AI465" s="1432"/>
      <c r="AJ465" s="1433">
        <f>DF465</f>
        <v>0</v>
      </c>
      <c r="AK465" s="1435" t="str">
        <f>IFERROR(ROUND(AJ465*AC465,0),"")</f>
        <v/>
      </c>
      <c r="AL465" s="1437">
        <f>IFERROR(IF(HW465=FALSE,0,AC465-AK465),0)</f>
        <v>0</v>
      </c>
      <c r="AM465" s="1439">
        <f>AL465-AL467</f>
        <v>0</v>
      </c>
      <c r="AN465" s="1440"/>
      <c r="AO465" s="1445">
        <f>IFERROR(IF(HW465=FALSE,0,(T467*U468)+(AE467*AF468)),0)</f>
        <v>0</v>
      </c>
      <c r="AP465" s="1445"/>
      <c r="AQ465" s="1446"/>
      <c r="AR465" s="1451" t="s">
        <v>157</v>
      </c>
      <c r="AS465" s="1454">
        <f>IF(AR465="Yes",1,0)</f>
        <v>1</v>
      </c>
      <c r="AT465" s="1457" t="str">
        <f>IF(OR(DN465=4,DN465=5,DN465=6,DN465=12),CONCATENATE("$",IF(GD465=TRUE,Lookup!$B$11,Lookup!$B$2)," /lamp"),CONCATENATE(EA465,"/ kWh"))</f>
        <v>0/ kWh</v>
      </c>
      <c r="AU465" s="516"/>
      <c r="AV465" s="1478">
        <f>IFERROR(IF(GI466=TRUE,(AB468*T467)/R467,0),"NA")</f>
        <v>0</v>
      </c>
      <c r="AW465" s="1478" t="str">
        <f>IFERROR(N467*_C406_reduction,"NA")</f>
        <v>NA</v>
      </c>
      <c r="BC465" s="38"/>
      <c r="BD465" s="38"/>
      <c r="BE465" s="38"/>
      <c r="BF465" s="38"/>
      <c r="BG465" s="38"/>
      <c r="BH465" s="38"/>
      <c r="BI465" s="38"/>
      <c r="BJ465" s="38"/>
      <c r="BK465" s="38"/>
      <c r="BL465" s="38"/>
      <c r="BM465" s="38"/>
      <c r="BN465" s="38"/>
      <c r="BO465" s="38"/>
      <c r="BP465" s="38"/>
      <c r="BQ465" s="38"/>
      <c r="BR465" s="38"/>
      <c r="BS465" s="38"/>
      <c r="BT465" s="38"/>
      <c r="BU465" s="38"/>
      <c r="BV465" s="38"/>
      <c r="BW465" s="38"/>
      <c r="BX465" s="38"/>
      <c r="BY465" s="38"/>
      <c r="BZ465" s="38"/>
      <c r="CA465" s="38"/>
      <c r="CB465" s="38"/>
      <c r="CC465" s="38"/>
      <c r="CD465" s="38"/>
      <c r="CE465" s="38"/>
      <c r="CF465" s="38"/>
      <c r="CG465" s="38"/>
      <c r="CH465" s="38"/>
      <c r="CI465" s="38"/>
      <c r="CM465" s="1352" t="str">
        <f>N466</f>
        <v/>
      </c>
      <c r="CN465" s="1352" t="str">
        <f>IFERROR(VLOOKUP(G466,_Lookup_Heat_Type_Table_New,3,FALSE),"")</f>
        <v/>
      </c>
      <c r="CO465" s="1415" t="str">
        <f>CN465</f>
        <v/>
      </c>
      <c r="CP465" s="1417" t="e">
        <f>VLOOKUP(G467,'Space Table'!$B$3:$L$160,9,FALSE)</f>
        <v>#N/A</v>
      </c>
      <c r="CR465" s="1386" t="s">
        <v>283</v>
      </c>
      <c r="CS465" s="1353">
        <f>IF(HW465=TRUE,T466,0)</f>
        <v>0</v>
      </c>
      <c r="CT465" s="1353" t="str">
        <f>IF(HW465=TRUE,U466,"")</f>
        <v/>
      </c>
      <c r="CU465" s="1353"/>
      <c r="CV465" s="1370">
        <f>IF(HW465=TRUE,AB465,0)</f>
        <v>0</v>
      </c>
      <c r="CW465" s="1370">
        <f>IF(HW465=TRUE,AC465,0)</f>
        <v>0</v>
      </c>
      <c r="CX465" s="1370">
        <f>IFERROR(IF(HW465=TRUE,CW465-CW467,0),0)</f>
        <v>0</v>
      </c>
      <c r="CY465" s="1485">
        <f>IF(HW465=TRUE,AD465,0)</f>
        <v>0</v>
      </c>
      <c r="CZ465" s="1485">
        <f>IF(HW465=TRUE,AD468,0)</f>
        <v>0</v>
      </c>
      <c r="DA465" s="1485">
        <f>IFERROR(CY465-CZ465,0)</f>
        <v>0</v>
      </c>
      <c r="DC465" s="1353">
        <f>IF(HW465=TRUE,AE466,0)</f>
        <v>0</v>
      </c>
      <c r="DD465" s="1460">
        <f>IF(__Retrofit_TI_NC=2,IF(CN465="Exterior",O468,FM465),FK465)</f>
        <v>0</v>
      </c>
      <c r="DE465" s="1353"/>
      <c r="DF465" s="1406">
        <f>IFERROR(IF(FL465=3,IK465,IF(FL465=4,IL465,IF(FL465=5,IM465,IF(FL465=6,IN465,IF(FL465=7,IO465,IF(FL465=8,IP465,0)))))),0)</f>
        <v>0</v>
      </c>
      <c r="DG465" s="1370">
        <f>IF(HW465=TRUE,AK465,0)</f>
        <v>0</v>
      </c>
      <c r="DH465" s="1369">
        <f>IFERROR(IF(HW465=TRUE,DG467-DG465,0),0)</f>
        <v>0</v>
      </c>
      <c r="DJ465" s="1483">
        <f>IFERROR(CW465-DG465,0)</f>
        <v>0</v>
      </c>
      <c r="DL465" s="1419">
        <f>DJ465-DK467</f>
        <v>0</v>
      </c>
      <c r="DN465" s="1403" t="str">
        <f>IFERROR(IF(AND(OR(FY465=4,FY465=5,FY465=6),OR(GB465=4,GB465=5,GB465=6)),FY465+8,VLOOKUP(CT467,Fixtures!R$31:Y$78,8,FALSE)),"")</f>
        <v/>
      </c>
      <c r="DO465" s="1404" t="str">
        <f>DN465</f>
        <v/>
      </c>
      <c r="DP465" s="1353" t="str">
        <f>IFERROR(VLOOKUP(DD467,Lookup!AU$3:AV$15,2,FALSE),"")</f>
        <v/>
      </c>
      <c r="DQ465" s="1404" t="str">
        <f>IF(DP465=7,"LLLC","")</f>
        <v/>
      </c>
      <c r="DR465" s="1403">
        <f>IFERROR(IF(OR(DN465=4,DN465=5,DN465=6,DN465=12,DN465=13,DN465=14),VLOOKUP(CT467,Fixtures!DN$27:EG$77,19,FALSE),1)*CS467,0)</f>
        <v>0</v>
      </c>
      <c r="DS465" s="1489">
        <f>IF(DP465=7,IF(DD465=DD467,0,DC467),0)</f>
        <v>0</v>
      </c>
      <c r="DU465" s="1403" t="str">
        <f>IFERROR(IF(EW465&lt;EW467,"Yes","No"),"")</f>
        <v/>
      </c>
      <c r="DV465" s="1404" t="str">
        <f>DU465</f>
        <v/>
      </c>
      <c r="DW465" s="1403">
        <f>IF(DU465="Yes",DC467,0)</f>
        <v>0</v>
      </c>
      <c r="DX465" s="1403">
        <f>DW465-DS465</f>
        <v>0</v>
      </c>
      <c r="DZ465" s="1481">
        <f>IFERROR(VLOOKUP(DN465,Lookup!AN$3:AO$16,2,FALSE),0)</f>
        <v>0</v>
      </c>
      <c r="EA465" s="1481">
        <f>IF(HW465=FALSE,0,IF(DU465="Yes",DZ465+Lookup!B$6,DZ465))</f>
        <v>0</v>
      </c>
      <c r="EC465" s="1482">
        <f>IF(HW465=TRUE,DJ465,0)</f>
        <v>0</v>
      </c>
      <c r="ED465" s="1369">
        <f>IF(HW465=TRUE,CW467,0)</f>
        <v>0</v>
      </c>
      <c r="EE465" s="1370">
        <f>IFERROR(EC465-ED465,0)</f>
        <v>0</v>
      </c>
      <c r="EF465" s="1369">
        <f>IF(HW465=TRUE,DG467,0)</f>
        <v>0</v>
      </c>
      <c r="EG465" s="1369">
        <f>IFERROR(EC465-ED465+EF465,0)</f>
        <v>0</v>
      </c>
      <c r="EH465" s="1373">
        <f>IF(HW465=TRUE,CS467*CU467,0)</f>
        <v>0</v>
      </c>
      <c r="EI465" s="1373">
        <f>IF(HW465=TRUE,DC467*DE467,0)</f>
        <v>0</v>
      </c>
      <c r="EJ465" s="1363">
        <f>AO465</f>
        <v>0</v>
      </c>
      <c r="EK465" s="1376" t="str">
        <f>IFERROR(IF(HW465=TRUE,VLOOKUP(DN465,Lookup!AN$3:AP$16,3,FALSE)*DR465,""),0)</f>
        <v/>
      </c>
      <c r="EL465" s="1376">
        <f>IF(HW465=TRUE,DW465*Lookup!AP$12,0)</f>
        <v>0</v>
      </c>
      <c r="EM465" s="1362">
        <f>IFERROR(IF(HW465=TRUE,EK465/EM$33,0),0)</f>
        <v>0</v>
      </c>
      <c r="EN465" s="1362">
        <f>IF(HW465=TRUE,EL465/EN$33,0)</f>
        <v>0</v>
      </c>
      <c r="EO465" s="1363">
        <f>IF(HW465=TRUE,EQ$33*EM465,0)</f>
        <v>0</v>
      </c>
      <c r="EP465" s="1363">
        <f>IF(HW465=TRUE,EQ$33*EN465,0)</f>
        <v>0</v>
      </c>
      <c r="EQ465" s="1363">
        <f>EO465+EP465</f>
        <v>0</v>
      </c>
      <c r="ES465" s="1403">
        <f>IF(G465="",0,1)</f>
        <v>0</v>
      </c>
      <c r="EU465" s="1410" t="e">
        <f>VLOOKUP(CP467,'Space Table'!$B$3:$L$160,8,FALSE)</f>
        <v>#N/A</v>
      </c>
      <c r="EV465" s="1410" t="e">
        <f>IF(EY465="Yes",VLOOKUP(DD465,Lookup_Control_Type_Table2,4,FALSE),VLOOKUP(DD465,Lookup_Control_Type_Table2,3,FALSE))</f>
        <v>#N/A</v>
      </c>
      <c r="EW465" s="1410" t="e">
        <f>VLOOKUP(DD465,Lookup!AU$3:AV$15,2,FALSE)</f>
        <v>#N/A</v>
      </c>
      <c r="EX465" s="1410" t="e">
        <f>VLOOKUP(EU465,Lookup_Control_Type_Table,2,FALSE)</f>
        <v>#N/A</v>
      </c>
      <c r="EY465" s="1410" t="e">
        <f>VLOOKUP(CP467,'Space Table'!$B$3:$L$160,7,FALSE)</f>
        <v>#N/A</v>
      </c>
      <c r="EZ465" s="1412" t="b">
        <f>ISNUMBER(SEARCH("TLED",U467))</f>
        <v>0</v>
      </c>
      <c r="FB465" s="1365" t="str">
        <f>CONCATENATE(CN465," - ",DD465)</f>
        <v xml:space="preserve"> - 0</v>
      </c>
      <c r="FD465" s="1353" t="str">
        <f>VLOOKUP(CT467,Fixtures!DN$27:EZ$77,38,FALSE)</f>
        <v/>
      </c>
      <c r="FE465" s="1353">
        <f>IFERROR(FD465*EE465,0)</f>
        <v>0</v>
      </c>
      <c r="FF465" s="138"/>
      <c r="FI465" s="1356" t="str">
        <f>IF(CN465="Exterior","Not Daylighted",G468)</f>
        <v>Not Daylighted</v>
      </c>
      <c r="FJ465" s="1356">
        <f>VLOOKUP(FI465,_Daylight_Table_Codes,2,FALSE)</f>
        <v>0</v>
      </c>
      <c r="FK465" s="1365">
        <f>IF(__Retrofit_TI_NC=2,VLOOKUP(G467,'Space Table'!$B$3:$L$160,11,FALSE),AF466)</f>
        <v>0</v>
      </c>
      <c r="FL465" s="1365" t="e">
        <f>VLOOKUP(FK465,_Control_Table,2,FALSE)</f>
        <v>#N/A</v>
      </c>
      <c r="FM465" s="1365" t="e">
        <f>IF(AND(FP465&gt;0,FK465="Occupancy Sensor"),"Daylight + Occupancy",IF(AND(FP465&gt;0,FL465&lt;4),"Interior Daylight Dimming",FK465))</f>
        <v>#N/A</v>
      </c>
      <c r="FO465" s="1364">
        <f>IF(CO465="Interior",VLOOKUP(CP465,Control_Savings_Interior,5,FALSE),0)</f>
        <v>0</v>
      </c>
      <c r="FP465" s="1361">
        <f>IF(CN465="Exterior",0,IF(FJ465=2,0.5,IF(OR(FJ465=1,FJ465=3),1,0)))</f>
        <v>0</v>
      </c>
      <c r="FQ465" s="1366"/>
      <c r="FR465" s="1367"/>
      <c r="FS465" s="1364"/>
      <c r="FT465" s="1367"/>
      <c r="FU465" s="1360"/>
      <c r="FW465" s="1352" t="str">
        <f>IFERROR(VLOOKUP(U466,_Exist_Fixture_Table,3,FALSE),"")</f>
        <v/>
      </c>
      <c r="FX465" s="1352" t="str">
        <f>VLOOKUP(CT465,_Exist_Fixture_Table,4,FALSE)</f>
        <v/>
      </c>
      <c r="FY465" s="1352">
        <f>IFERROR(VLOOKUP(FX465,Lookup!AM$6:AN$8,2,FALSE),0)</f>
        <v>0</v>
      </c>
      <c r="FZ465" s="1352" t="b">
        <f>IFERROR(IF(OR(GB465=4,GB465=5,GB465=6),TRUE,FALSE),"")</f>
        <v>0</v>
      </c>
      <c r="GA465" s="1352" t="str">
        <f>IFERROR(VLOOKUP(GB465,FY$6:FZ$10,2,FALSE),"")</f>
        <v/>
      </c>
      <c r="GB465" s="1352" t="str">
        <f>VLOOKUP(CT467,Fixtures!R$31:Y$78,8,FALSE)</f>
        <v/>
      </c>
      <c r="GC465" s="1352">
        <f>IF(AND(FW465=TRUE,FZ465=TRUE,OR(DN465=12,DN465=13,DN465=14)),FY465+8,0)</f>
        <v>0</v>
      </c>
      <c r="GD465" s="1352" t="b">
        <f>IF(OR(GC465=12,GC465=13,GC465=14),TRUE,FALSE)</f>
        <v>0</v>
      </c>
      <c r="GE465" s="759" t="b">
        <f>IF(ISNUMBER(SEARCH("TLED",U466)),TRUE,FALSE)</f>
        <v>0</v>
      </c>
      <c r="GF465" s="1035" t="str">
        <f>IFERROR(VLOOKUP(U466,Fixtures!BM$93:BR$142,6,FALSE),"")</f>
        <v/>
      </c>
      <c r="GG465" s="1385" t="b">
        <f>IF(OR(GE465=FALSE,GE467=FALSE),TRUE,IF(GF465-GF467&lt;5,FALSE,TRUE))</f>
        <v>1</v>
      </c>
      <c r="GK465" s="1034">
        <f>GL465</f>
        <v>0</v>
      </c>
      <c r="GL465" s="1034">
        <f>IF(G465="",0,1)</f>
        <v>0</v>
      </c>
      <c r="GM465" s="1034">
        <f>SUM(GN465:HB465)</f>
        <v>2</v>
      </c>
      <c r="GN465" s="1034">
        <f>IF(G466="",0,1)</f>
        <v>0</v>
      </c>
      <c r="GO465" s="1034">
        <f>IF(G467="",0,1)</f>
        <v>0</v>
      </c>
      <c r="GP465" s="1034">
        <f>IF(R466="",0,1)</f>
        <v>0</v>
      </c>
      <c r="GQ465" s="1034">
        <f>IF(__Retrofit_TI_NC=0,1,IF(R467="",0,1))</f>
        <v>1</v>
      </c>
      <c r="GR465" s="1034">
        <f>IF(CN465="Exterior",1,IF(G468="",0,1))</f>
        <v>1</v>
      </c>
      <c r="GS465" s="1034">
        <f>IF(__Retrofit_TI_NC&lt;&gt;0,1,IF(T466="",0,1))</f>
        <v>0</v>
      </c>
      <c r="GT465" s="1034">
        <f>IF(__Retrofit_TI_NC&lt;&gt;0,1,IF(U466="",0,1))</f>
        <v>0</v>
      </c>
      <c r="GU465" s="1034">
        <f>IF(T467="",0,1)</f>
        <v>0</v>
      </c>
      <c r="GV465" s="1034">
        <f>IF(U467="",0,1)</f>
        <v>0</v>
      </c>
      <c r="GW465" s="1034">
        <f>IF(__Retrofit_TI_NC=2,1,IF(U468="",0,1))</f>
        <v>0</v>
      </c>
      <c r="GX465" s="1034">
        <f>IF(__Retrofit_TI_NC&lt;&gt;0,1,IF(AE466="",0,1))</f>
        <v>0</v>
      </c>
      <c r="GY465" s="1034">
        <f>IF(__Retrofit_TI_NC&lt;&gt;0,1,IF(AF466="",0,1))</f>
        <v>0</v>
      </c>
      <c r="GZ465" s="1034">
        <f>IF(AE467="",0,1)</f>
        <v>0</v>
      </c>
      <c r="HA465" s="1034">
        <f>IF(AF467="",0,1)</f>
        <v>0</v>
      </c>
      <c r="HB465" s="1034">
        <f>IF(__Retrofit_TI_NC=2,1,IF(AF468="",0,1))</f>
        <v>0</v>
      </c>
      <c r="HV465" s="436"/>
      <c r="HW465" s="1384" t="b">
        <f>IF(OR(HW468=0,HW468=HT$16,HW468=HS$16,HW468=HU$16),TRUE,FALSE)</f>
        <v>0</v>
      </c>
      <c r="HX465" s="1377" t="b">
        <f>HW465</f>
        <v>0</v>
      </c>
      <c r="HY465" s="436"/>
      <c r="HZ465" s="436"/>
      <c r="IA465" s="1386" t="b">
        <f>IF(MAX(GJ468:HP468)&gt;5,FALSE,TRUE)</f>
        <v>0</v>
      </c>
      <c r="IB465" s="1380">
        <f>IF(IA465=TRUE,AC465,0)</f>
        <v>0</v>
      </c>
      <c r="IC465" s="1380">
        <f>IB465-IB467</f>
        <v>0</v>
      </c>
      <c r="IF465" s="1380" t="e">
        <f>ROUND(T466*VLOOKUP(U466,Fixtures_Existing_List,2,FALSE)*N466*R466/1000,0)</f>
        <v>#N/A</v>
      </c>
      <c r="IG465" s="1381" t="e">
        <f>IF465-IF467</f>
        <v>#N/A</v>
      </c>
      <c r="IH465" s="1384" t="e">
        <f>ROUND(IF(CN465="Interior",N467*R467*R466*N466*_C406_reduction/1000,N467*R467*R466*N466/1000),0)</f>
        <v>#N/A</v>
      </c>
      <c r="II465" s="1384" t="e">
        <f>IH465-IH467</f>
        <v>#N/A</v>
      </c>
      <c r="IK465" s="1351" t="e">
        <f>IF($CO465="interior",IL465/2,VLOOKUP($CP465,Control_Savings_Exterior,IK$30,FALSE))</f>
        <v>#N/A</v>
      </c>
      <c r="IL465" s="1351" t="e">
        <f>IF($CO465="interior",VLOOKUP($CP465,Control_Savings_Interior,IL$30,FALSE),VLOOKUP($CP465,Control_Savings_Exterior,IL$30,FALSE))</f>
        <v>#N/A</v>
      </c>
      <c r="IM465" s="1351" t="e">
        <f>IF($CO465="interior",IF(R466&gt;FO$37,(IM$28*(FO$37/R466)),IM$28)*FP465,VLOOKUP($CP465,Control_Savings_Exterior,IM$30,FALSE))</f>
        <v>#N/A</v>
      </c>
      <c r="IN465" s="1351" t="e">
        <f>IF($CO465="interior",ROUND(((1-IL465)*IM465)+IL465,2),VLOOKUP($CP465,Control_Savings_Exterior,IN$30,FALSE))</f>
        <v>#N/A</v>
      </c>
      <c r="IO465" s="1351" t="e">
        <f>IF($CO465="interior", ROUND(((1-IL465)*(IM465*(1-IP$28)))+IP465,2), VLOOKUP($CP465,Control_Savings_Exterior,IO$30,FALSE))</f>
        <v>#N/A</v>
      </c>
      <c r="IP465" s="1351">
        <f>IF($CO465="interior",ROUND(((1-IL465)*IP$28)+IL465,2),0)</f>
        <v>0</v>
      </c>
    </row>
    <row r="466" spans="1:250" s="82" customFormat="1" ht="14.95" customHeight="1" thickTop="1" thickBot="1">
      <c r="B466" s="1421"/>
      <c r="C466" s="1422"/>
      <c r="D466" s="1423"/>
      <c r="E466" s="1393" t="s">
        <v>244</v>
      </c>
      <c r="F466" s="1394"/>
      <c r="G466" s="1395"/>
      <c r="H466" s="1395"/>
      <c r="I466" s="1395"/>
      <c r="J466" s="1395"/>
      <c r="K466" s="1395"/>
      <c r="L466" s="1395"/>
      <c r="M466" s="509" t="e">
        <f>IF(__Retrofit_TI_NC&lt;&gt;0,IF(VLOOKUP(G467,'Space Table'!$B$3:$L$160,3,FALSE)&gt;0,1,0),IF(__Retrofit_TI_NC=VLOOKUP(G467,'Space Table'!$B$3:$L$160,3,FALSE),1,0))</f>
        <v>#N/A</v>
      </c>
      <c r="N466" s="509" t="str">
        <f>IFERROR(VLOOKUP(G466,_Lookup_Heat_Type_Table_New,2,FALSE),"")</f>
        <v/>
      </c>
      <c r="O466" s="509">
        <f>IF(__Retrofit_TI_NC=1,CONCATENATE("TI ",G466),IF(__Retrofit_TI_NC=2,CONCATENATE("NC ",G466),G466))</f>
        <v>0</v>
      </c>
      <c r="P466" s="1396" t="s">
        <v>352</v>
      </c>
      <c r="Q466" s="1396"/>
      <c r="R466" s="673"/>
      <c r="S466" s="1429"/>
      <c r="T466" s="675"/>
      <c r="U466" s="1496"/>
      <c r="V466" s="1497"/>
      <c r="W466" s="1497"/>
      <c r="X466" s="1497"/>
      <c r="Y466" s="1497"/>
      <c r="Z466" s="1497"/>
      <c r="AA466" s="1497"/>
      <c r="AB466" s="1497"/>
      <c r="AC466" s="1497"/>
      <c r="AD466" s="1498"/>
      <c r="AE466" s="675"/>
      <c r="AF466" s="1397"/>
      <c r="AG466" s="1397"/>
      <c r="AH466" s="1397"/>
      <c r="AI466" s="1397"/>
      <c r="AJ466" s="1434"/>
      <c r="AK466" s="1436"/>
      <c r="AL466" s="1438"/>
      <c r="AM466" s="1441"/>
      <c r="AN466" s="1442"/>
      <c r="AO466" s="1447"/>
      <c r="AP466" s="1447"/>
      <c r="AQ466" s="1448"/>
      <c r="AR466" s="1452"/>
      <c r="AS466" s="1455"/>
      <c r="AT466" s="1458"/>
      <c r="AU466" s="516"/>
      <c r="AV466" s="1479"/>
      <c r="AW466" s="1479"/>
      <c r="BC466" s="38"/>
      <c r="BD466" s="38"/>
      <c r="BE466" s="38"/>
      <c r="BF466" s="38"/>
      <c r="BG466" s="38"/>
      <c r="BH466" s="38"/>
      <c r="BI466" s="38"/>
      <c r="BJ466" s="38"/>
      <c r="BK466" s="38"/>
      <c r="BL466" s="38"/>
      <c r="BM466" s="38"/>
      <c r="BN466" s="38"/>
      <c r="BO466" s="38"/>
      <c r="BP466" s="38"/>
      <c r="BQ466" s="38"/>
      <c r="BR466" s="38"/>
      <c r="BS466" s="38"/>
      <c r="BT466" s="38"/>
      <c r="BU466" s="38"/>
      <c r="BV466" s="38"/>
      <c r="BW466" s="38"/>
      <c r="BX466" s="38"/>
      <c r="BY466" s="38"/>
      <c r="BZ466" s="38"/>
      <c r="CA466" s="38"/>
      <c r="CB466" s="38"/>
      <c r="CC466" s="38"/>
      <c r="CD466" s="38"/>
      <c r="CE466" s="38"/>
      <c r="CF466" s="38"/>
      <c r="CG466" s="38"/>
      <c r="CH466" s="38"/>
      <c r="CI466" s="38"/>
      <c r="CM466" s="1352"/>
      <c r="CN466" s="1352"/>
      <c r="CO466" s="1416"/>
      <c r="CP466" s="1418"/>
      <c r="CR466" s="1386"/>
      <c r="CS466" s="1355"/>
      <c r="CT466" s="1355"/>
      <c r="CU466" s="1355"/>
      <c r="CV466" s="1372"/>
      <c r="CW466" s="1372"/>
      <c r="CX466" s="1371"/>
      <c r="CY466" s="1486"/>
      <c r="CZ466" s="1486"/>
      <c r="DA466" s="1486"/>
      <c r="DC466" s="1355"/>
      <c r="DD466" s="1461"/>
      <c r="DE466" s="1355"/>
      <c r="DF466" s="1407"/>
      <c r="DG466" s="1372"/>
      <c r="DH466" s="1369"/>
      <c r="DJ466" s="1484"/>
      <c r="DL466" s="1419"/>
      <c r="DN466" s="1403"/>
      <c r="DO466" s="1405"/>
      <c r="DP466" s="1354"/>
      <c r="DQ466" s="1405"/>
      <c r="DR466" s="1403"/>
      <c r="DS466" s="1489"/>
      <c r="DU466" s="1403"/>
      <c r="DV466" s="1405"/>
      <c r="DW466" s="1403"/>
      <c r="DX466" s="1403"/>
      <c r="DZ466" s="1481"/>
      <c r="EA466" s="1481"/>
      <c r="EC466" s="1482"/>
      <c r="ED466" s="1369"/>
      <c r="EE466" s="1371"/>
      <c r="EF466" s="1369"/>
      <c r="EG466" s="1369"/>
      <c r="EH466" s="1374"/>
      <c r="EI466" s="1374"/>
      <c r="EJ466" s="1363"/>
      <c r="EK466" s="1376"/>
      <c r="EL466" s="1376"/>
      <c r="EM466" s="1362"/>
      <c r="EN466" s="1362"/>
      <c r="EO466" s="1363"/>
      <c r="EP466" s="1363"/>
      <c r="EQ466" s="1363"/>
      <c r="ES466" s="1403"/>
      <c r="EU466" s="1411"/>
      <c r="EV466" s="1411"/>
      <c r="EW466" s="1411"/>
      <c r="EX466" s="1411"/>
      <c r="EY466" s="1411"/>
      <c r="EZ466" s="1413"/>
      <c r="FB466" s="1365"/>
      <c r="FD466" s="1354"/>
      <c r="FE466" s="1354"/>
      <c r="FF466" s="138"/>
      <c r="FI466" s="1357"/>
      <c r="FJ466" s="1357"/>
      <c r="FK466" s="1365"/>
      <c r="FL466" s="1365"/>
      <c r="FM466" s="1365"/>
      <c r="FO466" s="1361"/>
      <c r="FP466" s="1361"/>
      <c r="FQ466" s="1366"/>
      <c r="FR466" s="1368"/>
      <c r="FS466" s="1361"/>
      <c r="FT466" s="1368"/>
      <c r="FU466" s="1360"/>
      <c r="FW466" s="1352"/>
      <c r="FX466" s="1352"/>
      <c r="FY466" s="1352"/>
      <c r="FZ466" s="1352"/>
      <c r="GA466" s="1352"/>
      <c r="GB466" s="1352"/>
      <c r="GC466" s="1352"/>
      <c r="GD466" s="1352"/>
      <c r="GE466" s="759"/>
      <c r="GF466" s="1035"/>
      <c r="GG466" s="1385"/>
      <c r="GI466" s="1384" t="b">
        <f>IF(AND(GL466=TRUE,GM466=TRUE),TRUE,FALSE)</f>
        <v>0</v>
      </c>
      <c r="GJ466" s="1379" t="b">
        <f>IFERROR(IF(__Retrofit_TI_NC=2,TRUE,IF(AR465="Yes",TRUE,FALSE)),FALSE)</f>
        <v>1</v>
      </c>
      <c r="GL466" s="1379" t="b">
        <f>IFERROR(IF(GL465=1,TRUE,FALSE),FALSE)</f>
        <v>0</v>
      </c>
      <c r="GM466" s="1379" t="b">
        <f>IFERROR(IF(GM465=GM$14,TRUE,FALSE),FALSE)</f>
        <v>0</v>
      </c>
      <c r="HC466" s="1379" t="b">
        <f>IFERROR(IF(M466=1,TRUE,FALSE),FALSE)</f>
        <v>0</v>
      </c>
      <c r="HD466" s="1379" t="b">
        <f>IFERROR(IF(M467=1,TRUE,FALSE),FALSE)</f>
        <v>0</v>
      </c>
      <c r="HE466" s="1379" t="b">
        <f>IFERROR(IF(__Retrofit_TI_NC&lt;&gt;0,TRUE,IFERROR(IF(VLOOKUP(U466,Fixtures_Existing_List,2,FALSE)&lt;&gt;"",TRUE,FALSE),FALSE)),FALSE)</f>
        <v>0</v>
      </c>
      <c r="HF466" s="1379" t="b">
        <f>IFERROR(IF(VLOOKUP(U467,Fixtures_Proposed_List,2,FALSE)&lt;&gt;"",TRUE,FALSE),FALSE)</f>
        <v>0</v>
      </c>
      <c r="HG466" s="1379" t="b">
        <f>IF(AND(__Retrofit_TI_NC=2,EZ465=TRUE),FALSE,TRUE)</f>
        <v>1</v>
      </c>
      <c r="HH466" s="1379" t="b">
        <f>GG465</f>
        <v>1</v>
      </c>
      <c r="HI466" s="1384" t="b">
        <f>IF(ISERROR(MATCH(FB465,_Control_Match[],0))=TRUE,FALSE,TRUE)</f>
        <v>0</v>
      </c>
      <c r="HJ466" s="1384" t="b">
        <f>IFERROR(IF(EU465&lt;&gt;EV465,FALSE,TRUE),FALSE)</f>
        <v>0</v>
      </c>
      <c r="HK466" s="1384" t="b">
        <f>IFERROR(IF(EU467&lt;&gt;EV467,FALSE,TRUE),FALSE)</f>
        <v>0</v>
      </c>
      <c r="HL466" s="1379" t="b">
        <f>IFERROR(IF(CN465="Exterior",TRUE,IF(OR(AND(FJ465=0,EW467&gt;4),AND(FJ465=4,EW467&gt;4,EW467&lt;7)),FALSE,TRUE)),FALSE)</f>
        <v>0</v>
      </c>
      <c r="HM466" s="1379" t="b">
        <f>IFERROR(IF(AND(FL467=7,EZ465=TRUE),FALSE,TRUE),FALSE)</f>
        <v>0</v>
      </c>
      <c r="HN466" s="1379" t="b">
        <f>IFERROR(IF(AND(T467&lt;&gt;AE467,AF467="Interior LLLC")=TRUE,FALSE,TRUE),FALSE)</f>
        <v>1</v>
      </c>
      <c r="HO466" s="1379" t="b">
        <f>IFERROR(IF(OR(AF467=Lookup!AU$13,AF467=Lookup!AU$14)=TRUE,IF(AE467&gt;T467,FALSE,TRUE),TRUE),FALSE)</f>
        <v>1</v>
      </c>
      <c r="HP466" s="1379" t="b">
        <f>IFERROR(IF(__Retrofit_TI_NC=2,IF(EW467&lt;EW465,FALSE,TRUE),TRUE),FALSE)</f>
        <v>1</v>
      </c>
      <c r="HQ466" s="1379" t="b">
        <f>IF(CN465="Interior",IG$6,TRUE)</f>
        <v>1</v>
      </c>
      <c r="HR466" s="1379" t="b">
        <f>IF(CN465="Exterior",IG$8,TRUE)</f>
        <v>1</v>
      </c>
      <c r="HS466" s="1379" t="b">
        <f>IFERROR(IF(__Retrofit_TI_NC&lt;&gt;0,IF(AW465&lt;AV465,FALSE,TRUE),TRUE),FALSE)</f>
        <v>1</v>
      </c>
      <c r="HT466" s="1379" t="b">
        <f>IFERROR(IF(AND(G466="Exterior",R466&gt;4200),FALSE,TRUE),FALSE)</f>
        <v>1</v>
      </c>
      <c r="HU466" s="1379" t="b">
        <f>IFERROR(IF(AB468/AB465&lt;HU$18,FALSE,TRUE),FALSE)</f>
        <v>0</v>
      </c>
      <c r="HW466" s="1382"/>
      <c r="HX466" s="1378"/>
      <c r="HY466" s="1377" t="str">
        <f>VLOOKUP(HW468,_Error_Table,4,FALSE)</f>
        <v>White</v>
      </c>
      <c r="HZ466" s="436"/>
      <c r="IA466" s="1386"/>
      <c r="IB466" s="1380"/>
      <c r="IC466" s="1379"/>
      <c r="IF466" s="1380"/>
      <c r="IG466" s="1382"/>
      <c r="IH466" s="1382"/>
      <c r="II466" s="1382"/>
      <c r="IK466" s="1351"/>
      <c r="IL466" s="1351"/>
      <c r="IM466" s="1351"/>
      <c r="IN466" s="1351"/>
      <c r="IO466" s="1351"/>
      <c r="IP466" s="1351"/>
    </row>
    <row r="467" spans="1:250" s="82" customFormat="1" ht="14.95" customHeight="1" thickTop="1" thickBot="1">
      <c r="A467" s="82">
        <f>ROW()</f>
        <v>467</v>
      </c>
      <c r="B467" s="1421"/>
      <c r="C467" s="1422"/>
      <c r="D467" s="1423"/>
      <c r="E467" s="1393" t="s">
        <v>245</v>
      </c>
      <c r="F467" s="1394"/>
      <c r="G467" s="1398"/>
      <c r="H467" s="1399"/>
      <c r="I467" s="1399"/>
      <c r="J467" s="1399"/>
      <c r="K467" s="1399"/>
      <c r="L467" s="1400"/>
      <c r="M467" s="509">
        <f>IFERROR(IF(IF(__Retrofit_TI_NC&lt;&gt;0,IF(CN465="Interior",MATCH(G467,Lookup_Interior_New,0),MATCH(G467,Lookup_Exterior_New,0)),IF(CN465="Interior",MATCH(G467,Lookup_Interior,0),MATCH(G467,Lookup_Exterior_Areas,0)))&gt;0,1,0),0)</f>
        <v>0</v>
      </c>
      <c r="N467" s="509" t="e">
        <f>IF(__Retrofit_TI_NC=1,
VLOOKUP(G467,'Space Table'!$B$3:$L$160,4,FALSE),
IF(__Retrofit_TI_NC=2,VLOOKUP(G467,'Space Table'!$B$3:$L$160,5,FALSE),VLOOKUP(G467,'Space Table'!$B$3:$L$160,5,FALSE)))</f>
        <v>#N/A</v>
      </c>
      <c r="O467" s="509">
        <f>G467</f>
        <v>0</v>
      </c>
      <c r="P467" s="1394" t="s">
        <v>355</v>
      </c>
      <c r="Q467" s="1394"/>
      <c r="R467" s="674"/>
      <c r="S467" s="1401" t="s">
        <v>284</v>
      </c>
      <c r="T467" s="672"/>
      <c r="U467" s="1499"/>
      <c r="V467" s="1500"/>
      <c r="W467" s="1500"/>
      <c r="X467" s="1500"/>
      <c r="Y467" s="1500"/>
      <c r="Z467" s="1500"/>
      <c r="AA467" s="1500"/>
      <c r="AB467" s="1501"/>
      <c r="AC467" s="1501"/>
      <c r="AD467" s="1502"/>
      <c r="AE467" s="672"/>
      <c r="AF467" s="1474"/>
      <c r="AG467" s="1474"/>
      <c r="AH467" s="1474"/>
      <c r="AI467" s="1474"/>
      <c r="AJ467" s="1475">
        <f>DF467</f>
        <v>0</v>
      </c>
      <c r="AK467" s="1470" t="str">
        <f>IFERROR(ROUND(AJ467*AC468,0),"")</f>
        <v/>
      </c>
      <c r="AL467" s="1472">
        <f>IFERROR(IF(HW465=FALSE,0,AC468-AK467),0)</f>
        <v>0</v>
      </c>
      <c r="AM467" s="1441"/>
      <c r="AN467" s="1442"/>
      <c r="AO467" s="1447"/>
      <c r="AP467" s="1447"/>
      <c r="AQ467" s="1448"/>
      <c r="AR467" s="1452"/>
      <c r="AS467" s="1455"/>
      <c r="AT467" s="1458"/>
      <c r="AU467" s="516"/>
      <c r="AV467" s="1479"/>
      <c r="AW467" s="1479"/>
      <c r="BC467" s="38"/>
      <c r="BD467" s="38"/>
      <c r="BE467" s="38"/>
      <c r="BF467" s="38"/>
      <c r="BG467" s="38"/>
      <c r="BH467" s="38"/>
      <c r="BI467" s="38"/>
      <c r="BJ467" s="38"/>
      <c r="BK467" s="38"/>
      <c r="BL467" s="38"/>
      <c r="BM467" s="38"/>
      <c r="BN467" s="38"/>
      <c r="BO467" s="38"/>
      <c r="BP467" s="38"/>
      <c r="BQ467" s="38"/>
      <c r="BR467" s="38"/>
      <c r="BS467" s="38"/>
      <c r="BT467" s="38"/>
      <c r="BU467" s="38"/>
      <c r="BV467" s="38"/>
      <c r="BW467" s="38"/>
      <c r="BX467" s="38"/>
      <c r="BY467" s="38"/>
      <c r="BZ467" s="38"/>
      <c r="CA467" s="38"/>
      <c r="CB467" s="38"/>
      <c r="CC467" s="38"/>
      <c r="CD467" s="38"/>
      <c r="CE467" s="38"/>
      <c r="CF467" s="38"/>
      <c r="CG467" s="38"/>
      <c r="CH467" s="38"/>
      <c r="CI467" s="38"/>
      <c r="CM467" s="1352"/>
      <c r="CN467" s="1352"/>
      <c r="CO467" s="1415" t="str">
        <f>CN465</f>
        <v/>
      </c>
      <c r="CP467" s="1417" t="e">
        <f>CP465</f>
        <v>#N/A</v>
      </c>
      <c r="CR467" s="1386" t="s">
        <v>284</v>
      </c>
      <c r="CS467" s="1353">
        <f>IF(HW465=TRUE,T467,0)</f>
        <v>0</v>
      </c>
      <c r="CT467" s="1353" t="str">
        <f>IF(HW465=TRUE,U467,"")</f>
        <v/>
      </c>
      <c r="CU467" s="1373">
        <f>IF(HW465=TRUE,U468,0)</f>
        <v>0</v>
      </c>
      <c r="CV467" s="1370">
        <f>IF(HW465=TRUE,AB468,0)</f>
        <v>0</v>
      </c>
      <c r="CW467" s="1370">
        <f>IF(HW465=TRUE,AC468,0)</f>
        <v>0</v>
      </c>
      <c r="CX467" s="1371"/>
      <c r="CY467" s="1486"/>
      <c r="CZ467" s="1486"/>
      <c r="DA467" s="1486"/>
      <c r="DC467" s="1353">
        <f>IF(HW465=TRUE,AE467,0)</f>
        <v>0</v>
      </c>
      <c r="DD467" s="1353" t="str">
        <f>IF(HW465=TRUE,AF467,"")</f>
        <v/>
      </c>
      <c r="DE467" s="1373">
        <f>AF468</f>
        <v>0</v>
      </c>
      <c r="DF467" s="1406">
        <f>IFERROR(IF(FL467=3,IK467,IF(FL467=4,IL467,IF(FL467=5,IM467,IF(FL467=6,IN467,IF(FL467=7,IO467,IF(FL467=8,IP467,0)))))),0)</f>
        <v>0</v>
      </c>
      <c r="DG467" s="1370">
        <f>IF(HW465=TRUE,AK467,0)</f>
        <v>0</v>
      </c>
      <c r="DH467" s="1369"/>
      <c r="DK467" s="1483">
        <f>IFERROR(CW467-DG467,0)</f>
        <v>0</v>
      </c>
      <c r="DL467" s="1420"/>
      <c r="DN467" s="1403"/>
      <c r="DO467" s="1477" t="str">
        <f>DN465</f>
        <v/>
      </c>
      <c r="DP467" s="1354"/>
      <c r="DQ467" s="1477" t="str">
        <f>IF(DP465=7,"LLLC","")</f>
        <v/>
      </c>
      <c r="DR467" s="1403"/>
      <c r="DS467" s="1489"/>
      <c r="DU467" s="1403"/>
      <c r="DV467" s="1404" t="str">
        <f>DU465</f>
        <v/>
      </c>
      <c r="DW467" s="1403"/>
      <c r="DX467" s="1403"/>
      <c r="DZ467" s="1481"/>
      <c r="EA467" s="1481"/>
      <c r="EC467" s="1482"/>
      <c r="ED467" s="1369"/>
      <c r="EE467" s="1371"/>
      <c r="EF467" s="1369"/>
      <c r="EG467" s="1369"/>
      <c r="EH467" s="1374"/>
      <c r="EI467" s="1374"/>
      <c r="EJ467" s="1363"/>
      <c r="EK467" s="1376"/>
      <c r="EL467" s="1376"/>
      <c r="EM467" s="1362"/>
      <c r="EN467" s="1362"/>
      <c r="EO467" s="1363"/>
      <c r="EP467" s="1363"/>
      <c r="EQ467" s="1363"/>
      <c r="ES467" s="1403"/>
      <c r="EU467" s="1411" t="e">
        <f>VLOOKUP(CP467,'Space Table'!$B$3:$L$160,8,FALSE)</f>
        <v>#N/A</v>
      </c>
      <c r="EV467" s="1411" t="e">
        <f>IF(EY467="Yes",VLOOKUP(AF467,Lookup_Control_Type_Table2,4,FALSE),VLOOKUP(AF467,Lookup_Control_Type_Table2,3,FALSE))</f>
        <v>#N/A</v>
      </c>
      <c r="EW467" s="1411" t="e">
        <f>VLOOKUP(AF467,Lookup!AU$3:AV$15,2,FALSE)</f>
        <v>#N/A</v>
      </c>
      <c r="EX467" s="1411" t="e">
        <f>VLOOKUP(EU465,Lookup_Control_Type_Table,2,FALSE)</f>
        <v>#N/A</v>
      </c>
      <c r="EY467" s="1411" t="e">
        <f>VLOOKUP(CP467,'Space Table'!$B$3:$L$160,7,FALSE)</f>
        <v>#N/A</v>
      </c>
      <c r="EZ467" s="1413"/>
      <c r="FB467" s="1365" t="str">
        <f>CONCATENATE(CN465," - ",AF467)</f>
        <v xml:space="preserve"> - </v>
      </c>
      <c r="FD467" s="1354"/>
      <c r="FE467" s="1354"/>
      <c r="FF467" s="138"/>
      <c r="FI467" s="1356" t="str">
        <f>IF(CN465="Exterior","Not Daylighted",G468)</f>
        <v>Not Daylighted</v>
      </c>
      <c r="FJ467" s="1356">
        <f>VLOOKUP(FI467,_Daylight_Table_Codes,2,FALSE)</f>
        <v>0</v>
      </c>
      <c r="FK467" s="1365">
        <f>AF467</f>
        <v>0</v>
      </c>
      <c r="FL467" s="1365" t="e">
        <f>VLOOKUP(FK467,_Control_Table,2,FALSE)</f>
        <v>#N/A</v>
      </c>
      <c r="FM467" s="1365" t="e">
        <f>IF(AND(FP467&gt;0,FK467="Occupancy Sensor"),"Daylight + Occupancy",IF(AND(FP467&gt;0,FL467&lt;4),"Interior Daylight Dimming",FK467))</f>
        <v>#N/A</v>
      </c>
      <c r="FO467" s="1364">
        <f>IF(CN465="Interior",VLOOKUP(CP465,Control_Savings_Interior,5,FALSE),0)</f>
        <v>0</v>
      </c>
      <c r="FP467" s="1361">
        <f>IF(CN467="Exterior",0,IF(FJ467=2,0.5,IF(OR(FJ467=1,FJ467=3),1,0)))</f>
        <v>0</v>
      </c>
      <c r="FQ467" s="1366">
        <f>IF(R466&gt;FO$37,(FO467*(FO$37/R466)),FO467)*FP467</f>
        <v>0</v>
      </c>
      <c r="FR467" s="1364">
        <f>DF467</f>
        <v>0</v>
      </c>
      <c r="FS467" s="1364">
        <f>ROUND(FR467+((1-FR467)*FQ467),2)</f>
        <v>0</v>
      </c>
      <c r="FT467" s="1364">
        <f>IF(__Retrofit_TI_NC=2,FS467,FR467)</f>
        <v>0</v>
      </c>
      <c r="FU467" s="1360">
        <f>IF(CO467="Interior",VLOOKUP(CP467,Control_Savings_Interior,4,FALSE),0)</f>
        <v>0</v>
      </c>
      <c r="FW467" s="1352"/>
      <c r="FX467" s="1352"/>
      <c r="FY467" s="1352"/>
      <c r="FZ467" s="1352"/>
      <c r="GA467" s="1352"/>
      <c r="GB467" s="1352"/>
      <c r="GC467" s="1352"/>
      <c r="GD467" s="1352"/>
      <c r="GE467" s="759" t="b">
        <f>IF(ISNUMBER(SEARCH("TLED",U467)),TRUE,FALSE)</f>
        <v>0</v>
      </c>
      <c r="GF467" s="1035" t="str">
        <f>IFERROR(VLOOKUP(U467,Fixtures!DM$93:DR$142,6,FALSE),"")</f>
        <v/>
      </c>
      <c r="GG467" s="1385"/>
      <c r="GI467" s="1383"/>
      <c r="GJ467" s="1379"/>
      <c r="GL467" s="1379"/>
      <c r="GM467" s="1379"/>
      <c r="HC467" s="1379"/>
      <c r="HD467" s="1379"/>
      <c r="HE467" s="1379"/>
      <c r="HF467" s="1379"/>
      <c r="HG467" s="1379"/>
      <c r="HH467" s="1379"/>
      <c r="HI467" s="1383"/>
      <c r="HJ467" s="1383"/>
      <c r="HK467" s="1383"/>
      <c r="HL467" s="1379"/>
      <c r="HM467" s="1379"/>
      <c r="HN467" s="1379"/>
      <c r="HO467" s="1379"/>
      <c r="HP467" s="1379"/>
      <c r="HQ467" s="1379"/>
      <c r="HR467" s="1379"/>
      <c r="HS467" s="1379"/>
      <c r="HT467" s="1379"/>
      <c r="HU467" s="1379"/>
      <c r="HW467" s="1383"/>
      <c r="HX467" s="1384" t="b">
        <f>HW465</f>
        <v>0</v>
      </c>
      <c r="HY467" s="1378"/>
      <c r="HZ467" s="436"/>
      <c r="IA467" s="1386"/>
      <c r="IB467" s="1380">
        <f>IF(IA465=TRUE,AC468,0)</f>
        <v>0</v>
      </c>
      <c r="IC467" s="1379"/>
      <c r="IF467" s="1380" t="e">
        <f>ROUND(T467*AB468*N466*R466/1000,0)</f>
        <v>#VALUE!</v>
      </c>
      <c r="IG467" s="1382"/>
      <c r="IH467" s="1384" t="e">
        <f>ROUND(T467*AB468*N466*R466/1000,0)</f>
        <v>#VALUE!</v>
      </c>
      <c r="II467" s="1382"/>
      <c r="IK467" s="1351" t="e">
        <f>IF($CO467="interior",IL467/2,VLOOKUP($CP467,Control_Savings_Exterior,IK$30,FALSE))</f>
        <v>#N/A</v>
      </c>
      <c r="IL467" s="1351" t="e">
        <f>IF($CO467="interior",VLOOKUP($CP467,Control_Savings_Interior,IL$30,FALSE),VLOOKUP($CP467,Control_Savings_Exterior,IL$30,FALSE))</f>
        <v>#N/A</v>
      </c>
      <c r="IM467" s="1351" t="e">
        <f>IF($CO467="interior",IF(R466&gt;FO$37,(IM$28*(FO$37/R466)),IM$28)*FP467,VLOOKUP($CP467,Control_Savings_Exterior,IM$30,FALSE))</f>
        <v>#N/A</v>
      </c>
      <c r="IN467" s="1351" t="e">
        <f>IF($CO467="interior",ROUND(((1-IL467)*IM467)+IL467,2),VLOOKUP($CP467,Control_Savings_Exterior,IN$30,FALSE))</f>
        <v>#N/A</v>
      </c>
      <c r="IO467" s="1351" t="e">
        <f>IF($CO467="interior", ROUND(((1-IL467)*(IM467*(1-IP$28)))+IP467,2), VLOOKUP($CP467,Control_Savings_Exterior,IO$30,FALSE))</f>
        <v>#N/A</v>
      </c>
      <c r="IP467" s="1351">
        <f>IF($CO467="interior",ROUND(((1-IL467)*IP$28)+IL467,2),0)</f>
        <v>0</v>
      </c>
    </row>
    <row r="468" spans="1:250" s="82" customFormat="1" ht="14.95" customHeight="1" thickTop="1" thickBot="1">
      <c r="B468" s="1421"/>
      <c r="C468" s="1422"/>
      <c r="D468" s="1423"/>
      <c r="E468" s="1462" t="s">
        <v>357</v>
      </c>
      <c r="F468" s="1463"/>
      <c r="G468" s="1464" t="s">
        <v>362</v>
      </c>
      <c r="H468" s="1465"/>
      <c r="I468" s="1465"/>
      <c r="J468" s="1465"/>
      <c r="K468" s="1465"/>
      <c r="L468" s="1466"/>
      <c r="M468" s="669">
        <f>IFERROR(VLOOKUP(G468,_Daylight_Table[],2,FALSE),0)</f>
        <v>0</v>
      </c>
      <c r="N468" s="670"/>
      <c r="O468" s="669" t="e">
        <f>VLOOKUP(G467,'Space Table'!$B$3:$L$160,11,FALSE)</f>
        <v>#N/A</v>
      </c>
      <c r="P468" s="1408"/>
      <c r="Q468" s="1409"/>
      <c r="R468" s="1409"/>
      <c r="S468" s="1402"/>
      <c r="T468" s="671" t="s">
        <v>281</v>
      </c>
      <c r="U468" s="1467" t="str">
        <f>IFERROR(VLOOKUP(U467,Fixtures!DM$93:DP$142,4,FALSE),"")</f>
        <v/>
      </c>
      <c r="V468" s="1468"/>
      <c r="W468" s="1468"/>
      <c r="X468" s="1468"/>
      <c r="Y468" s="1468"/>
      <c r="Z468" s="1468"/>
      <c r="AA468" s="1468"/>
      <c r="AB468" s="1046" t="str">
        <f>IFERROR(VLOOKUP(U467,Fixtures_Proposed_List,2,FALSE),"")</f>
        <v/>
      </c>
      <c r="AC468" s="1036" t="str">
        <f>IFERROR(ROUND(T467*AB468*N466*R466/1000,0),"")</f>
        <v/>
      </c>
      <c r="AD468" s="1037" t="str">
        <f>IFERROR(ROUND(T467*AB468/1000,2),"")</f>
        <v/>
      </c>
      <c r="AE468" s="1045" t="s">
        <v>281</v>
      </c>
      <c r="AF468" s="1469"/>
      <c r="AG468" s="1469"/>
      <c r="AH468" s="1469"/>
      <c r="AI468" s="1469"/>
      <c r="AJ468" s="1476"/>
      <c r="AK468" s="1471"/>
      <c r="AL468" s="1473"/>
      <c r="AM468" s="1443"/>
      <c r="AN468" s="1444"/>
      <c r="AO468" s="1449"/>
      <c r="AP468" s="1449"/>
      <c r="AQ468" s="1450"/>
      <c r="AR468" s="1453"/>
      <c r="AS468" s="1456"/>
      <c r="AT468" s="1459"/>
      <c r="AU468" s="517"/>
      <c r="AV468" s="1480"/>
      <c r="AW468" s="1480"/>
      <c r="BC468" s="38"/>
      <c r="BD468" s="38"/>
      <c r="BE468" s="38"/>
      <c r="BF468" s="38"/>
      <c r="BG468" s="38"/>
      <c r="BH468" s="38"/>
      <c r="BI468" s="38"/>
      <c r="BJ468" s="38"/>
      <c r="BK468" s="38"/>
      <c r="BL468" s="38"/>
      <c r="BM468" s="38"/>
      <c r="BN468" s="38"/>
      <c r="BO468" s="38"/>
      <c r="BP468" s="38"/>
      <c r="BQ468" s="38"/>
      <c r="BR468" s="38"/>
      <c r="BS468" s="38"/>
      <c r="BT468" s="38"/>
      <c r="BU468" s="38"/>
      <c r="BV468" s="38"/>
      <c r="BW468" s="38"/>
      <c r="BX468" s="38"/>
      <c r="BY468" s="38"/>
      <c r="BZ468" s="38"/>
      <c r="CA468" s="38"/>
      <c r="CB468" s="38"/>
      <c r="CC468" s="38"/>
      <c r="CD468" s="38"/>
      <c r="CE468" s="38"/>
      <c r="CF468" s="38"/>
      <c r="CG468" s="38"/>
      <c r="CH468" s="38"/>
      <c r="CI468" s="38"/>
      <c r="CM468" s="1352"/>
      <c r="CN468" s="1352"/>
      <c r="CO468" s="1416"/>
      <c r="CP468" s="1418"/>
      <c r="CR468" s="1386"/>
      <c r="CS468" s="1355"/>
      <c r="CT468" s="1355"/>
      <c r="CU468" s="1375"/>
      <c r="CV468" s="1372"/>
      <c r="CW468" s="1372"/>
      <c r="CX468" s="1372"/>
      <c r="CY468" s="1487"/>
      <c r="CZ468" s="1487"/>
      <c r="DA468" s="1487"/>
      <c r="DC468" s="1355"/>
      <c r="DD468" s="1355"/>
      <c r="DE468" s="1375"/>
      <c r="DF468" s="1407"/>
      <c r="DG468" s="1372"/>
      <c r="DH468" s="1369"/>
      <c r="DK468" s="1484"/>
      <c r="DL468" s="1420"/>
      <c r="DN468" s="1403"/>
      <c r="DO468" s="1405"/>
      <c r="DP468" s="1355"/>
      <c r="DQ468" s="1405"/>
      <c r="DR468" s="1403"/>
      <c r="DS468" s="1489"/>
      <c r="DU468" s="1403"/>
      <c r="DV468" s="1405"/>
      <c r="DW468" s="1403"/>
      <c r="DX468" s="1403"/>
      <c r="DZ468" s="1481"/>
      <c r="EA468" s="1481"/>
      <c r="EC468" s="1482"/>
      <c r="ED468" s="1369"/>
      <c r="EE468" s="1372"/>
      <c r="EF468" s="1369"/>
      <c r="EG468" s="1369"/>
      <c r="EH468" s="1375"/>
      <c r="EI468" s="1375"/>
      <c r="EJ468" s="1363"/>
      <c r="EK468" s="1376"/>
      <c r="EL468" s="1376"/>
      <c r="EM468" s="1362"/>
      <c r="EN468" s="1362"/>
      <c r="EO468" s="1363"/>
      <c r="EP468" s="1363"/>
      <c r="EQ468" s="1363"/>
      <c r="ES468" s="1403"/>
      <c r="EU468" s="1488"/>
      <c r="EV468" s="1488"/>
      <c r="EW468" s="1488"/>
      <c r="EX468" s="1488"/>
      <c r="EY468" s="1488"/>
      <c r="EZ468" s="1414"/>
      <c r="FB468" s="1365"/>
      <c r="FD468" s="1355"/>
      <c r="FE468" s="1355"/>
      <c r="FF468" s="138"/>
      <c r="FI468" s="1357"/>
      <c r="FJ468" s="1357"/>
      <c r="FK468" s="1365"/>
      <c r="FL468" s="1365"/>
      <c r="FM468" s="1365"/>
      <c r="FO468" s="1361"/>
      <c r="FP468" s="1361"/>
      <c r="FQ468" s="1366"/>
      <c r="FR468" s="1361"/>
      <c r="FS468" s="1361"/>
      <c r="FT468" s="1361"/>
      <c r="FU468" s="1360"/>
      <c r="FW468" s="1352"/>
      <c r="FX468" s="1352"/>
      <c r="FY468" s="1352"/>
      <c r="FZ468" s="1352"/>
      <c r="GA468" s="1352"/>
      <c r="GB468" s="1352"/>
      <c r="GC468" s="1352"/>
      <c r="GD468" s="1352"/>
      <c r="GE468" s="759"/>
      <c r="GF468" s="1035"/>
      <c r="GG468" s="1385"/>
      <c r="GJ468" s="1034">
        <f>IF(GJ466=TRUE,0,GJ$16)</f>
        <v>0</v>
      </c>
      <c r="GL468" s="1034">
        <f>IF(GL466=TRUE,0,GL$16)</f>
        <v>36</v>
      </c>
      <c r="GM468" s="1034">
        <f>IF(GM466=TRUE,0,GM$16)</f>
        <v>35</v>
      </c>
      <c r="GN468" s="436"/>
      <c r="GO468" s="436"/>
      <c r="GP468" s="436"/>
      <c r="GQ468" s="436"/>
      <c r="GR468" s="436"/>
      <c r="HC468" s="1034">
        <f t="shared" ref="HC468:HH468" si="342">IF(HC466=TRUE,0,HC$16)</f>
        <v>19</v>
      </c>
      <c r="HD468" s="1034">
        <f t="shared" si="342"/>
        <v>18</v>
      </c>
      <c r="HE468" s="1034">
        <f t="shared" si="342"/>
        <v>17</v>
      </c>
      <c r="HF468" s="1034">
        <f t="shared" si="342"/>
        <v>16</v>
      </c>
      <c r="HG468" s="1034">
        <f t="shared" si="342"/>
        <v>0</v>
      </c>
      <c r="HH468" s="1034">
        <f t="shared" si="342"/>
        <v>0</v>
      </c>
      <c r="HI468" s="1034">
        <f>IF(HI466=TRUE,0,HI$16)</f>
        <v>13</v>
      </c>
      <c r="HJ468" s="1034">
        <f t="shared" ref="HJ468:HL468" si="343">IF(HJ466=TRUE,0,HJ$16)</f>
        <v>12</v>
      </c>
      <c r="HK468" s="1034">
        <f t="shared" si="343"/>
        <v>11</v>
      </c>
      <c r="HL468" s="1034">
        <f t="shared" si="343"/>
        <v>10</v>
      </c>
      <c r="HM468" s="1034">
        <f>IF(HM466=TRUE,0,HM$16)</f>
        <v>9</v>
      </c>
      <c r="HN468" s="1034">
        <f t="shared" ref="HN468:HR468" si="344">IF(HN466=TRUE,0,HN$16)</f>
        <v>0</v>
      </c>
      <c r="HO468" s="1034">
        <f t="shared" si="344"/>
        <v>0</v>
      </c>
      <c r="HP468" s="1034">
        <f t="shared" si="344"/>
        <v>0</v>
      </c>
      <c r="HQ468" s="1034">
        <f t="shared" si="344"/>
        <v>0</v>
      </c>
      <c r="HR468" s="1034">
        <f t="shared" si="344"/>
        <v>0</v>
      </c>
      <c r="HS468" s="1034">
        <f>IF(HS466=TRUE,0,HS$16)</f>
        <v>0</v>
      </c>
      <c r="HT468" s="1034">
        <f t="shared" ref="HT468" si="345">IF(HT466=TRUE,0,HT$16)</f>
        <v>0</v>
      </c>
      <c r="HU468" s="1034">
        <f>IF(HU466=TRUE,0,HU$16)</f>
        <v>1</v>
      </c>
      <c r="HW468" s="1034">
        <f>IF(GL466=FALSE,GL468,IF(GM466=FALSE,GM468,MAX(GJ468:HU468)))</f>
        <v>36</v>
      </c>
      <c r="HX468" s="1383"/>
      <c r="HY468" s="241" t="str">
        <f>VLOOKUP(HW468,_Error_Table,3,FALSE)</f>
        <v xml:space="preserve"> </v>
      </c>
      <c r="HZ468" s="241"/>
      <c r="IA468" s="1386"/>
      <c r="IB468" s="1380"/>
      <c r="IC468" s="1379"/>
      <c r="IF468" s="1380"/>
      <c r="IG468" s="1383"/>
      <c r="IH468" s="1383"/>
      <c r="II468" s="1383"/>
      <c r="IK468" s="1351"/>
      <c r="IL468" s="1351"/>
      <c r="IM468" s="1351"/>
      <c r="IN468" s="1351"/>
      <c r="IO468" s="1351"/>
      <c r="IP468" s="1351"/>
    </row>
    <row r="469" spans="1:250" s="82" customFormat="1" ht="5.0999999999999996" customHeight="1" thickTop="1" thickBot="1">
      <c r="B469" s="763"/>
      <c r="C469" s="1038"/>
      <c r="D469" s="1038"/>
      <c r="E469" s="1562"/>
      <c r="F469" s="1563"/>
      <c r="G469" s="1563"/>
      <c r="H469" s="1563"/>
      <c r="I469" s="1563"/>
      <c r="J469" s="1563"/>
      <c r="K469" s="1563"/>
      <c r="L469" s="1563"/>
      <c r="M469" s="1563"/>
      <c r="N469" s="1563"/>
      <c r="O469" s="1563"/>
      <c r="P469" s="1563"/>
      <c r="Q469" s="1563"/>
      <c r="R469" s="1563"/>
      <c r="S469" s="1563"/>
      <c r="T469" s="1563"/>
      <c r="U469" s="1563"/>
      <c r="V469" s="1563"/>
      <c r="W469" s="1563"/>
      <c r="X469" s="1563"/>
      <c r="Y469" s="1563"/>
      <c r="Z469" s="1563"/>
      <c r="AA469" s="1563"/>
      <c r="AB469" s="1563"/>
      <c r="AC469" s="1563"/>
      <c r="AD469" s="1563"/>
      <c r="AE469" s="1563"/>
      <c r="AF469" s="1563"/>
      <c r="AG469" s="1563"/>
      <c r="AH469" s="1563"/>
      <c r="AI469" s="1563"/>
      <c r="AJ469" s="1563"/>
      <c r="AK469" s="1563"/>
      <c r="AL469" s="1563"/>
      <c r="AM469" s="1563"/>
      <c r="AN469" s="1563"/>
      <c r="AO469" s="1563"/>
      <c r="AP469" s="1563"/>
      <c r="AQ469" s="1563"/>
      <c r="AR469" s="1563"/>
      <c r="AS469" s="1563"/>
      <c r="AT469" s="1564"/>
      <c r="AU469" s="1041"/>
      <c r="BC469" s="38"/>
      <c r="BD469" s="38"/>
      <c r="BE469" s="38"/>
      <c r="BF469" s="38"/>
      <c r="BG469" s="38"/>
      <c r="BH469" s="38"/>
      <c r="BI469" s="38"/>
      <c r="BJ469" s="38"/>
      <c r="BK469" s="38"/>
      <c r="BL469" s="38"/>
      <c r="BM469" s="38"/>
      <c r="BN469" s="38"/>
      <c r="BO469" s="38"/>
      <c r="BP469" s="38"/>
      <c r="BQ469" s="38"/>
      <c r="BR469" s="38"/>
      <c r="BS469" s="38"/>
      <c r="BT469" s="38"/>
      <c r="BU469" s="38"/>
      <c r="BV469" s="38"/>
      <c r="BW469" s="38"/>
      <c r="BX469" s="38"/>
      <c r="BY469" s="38"/>
      <c r="BZ469" s="38"/>
      <c r="CA469" s="38"/>
      <c r="CB469" s="38"/>
      <c r="CC469" s="38"/>
      <c r="CD469" s="38"/>
      <c r="CE469" s="38"/>
      <c r="CF469" s="38"/>
      <c r="CG469" s="38"/>
      <c r="CH469" s="38"/>
      <c r="CI469" s="38"/>
      <c r="CM469" s="749"/>
      <c r="CN469" s="749"/>
      <c r="CO469" s="1043"/>
      <c r="CP469" s="749"/>
      <c r="CS469" s="436"/>
      <c r="CT469" s="436"/>
      <c r="CU469" s="243"/>
      <c r="CV469" s="244"/>
      <c r="CW469" s="244"/>
      <c r="CX469" s="244"/>
      <c r="CY469" s="245"/>
      <c r="CZ469" s="245"/>
      <c r="DA469" s="245"/>
      <c r="DC469" s="750"/>
      <c r="DD469" s="751"/>
      <c r="DE469" s="752"/>
      <c r="DF469" s="753"/>
      <c r="DG469" s="754"/>
      <c r="DH469" s="754"/>
      <c r="DK469" s="244"/>
      <c r="DL469" s="750"/>
      <c r="DN469" s="750"/>
      <c r="DO469" s="755"/>
      <c r="DP469" s="436"/>
      <c r="DQ469" s="750"/>
      <c r="DR469" s="750"/>
      <c r="DS469" s="750"/>
      <c r="DU469" s="750"/>
      <c r="DV469" s="750"/>
      <c r="DW469" s="750"/>
      <c r="DX469" s="750"/>
      <c r="DZ469" s="756"/>
      <c r="EA469" s="756"/>
      <c r="EC469" s="754"/>
      <c r="ED469" s="754"/>
      <c r="EE469" s="244"/>
      <c r="EF469" s="754"/>
      <c r="EG469" s="754"/>
      <c r="EH469" s="243"/>
      <c r="EI469" s="243"/>
      <c r="EJ469" s="752"/>
      <c r="EK469" s="757"/>
      <c r="EL469" s="757"/>
      <c r="EM469" s="758"/>
      <c r="EN469" s="758"/>
      <c r="EO469" s="752"/>
      <c r="EP469" s="752"/>
      <c r="EQ469" s="752"/>
      <c r="ES469" s="750"/>
      <c r="EU469" s="436"/>
      <c r="EV469" s="436"/>
      <c r="EW469" s="436"/>
      <c r="EX469" s="436"/>
      <c r="EY469" s="436"/>
      <c r="EZ469" s="436"/>
      <c r="FB469" s="643"/>
      <c r="FD469" s="436"/>
      <c r="FE469" s="436"/>
      <c r="FF469" s="436"/>
      <c r="FO469" s="750"/>
      <c r="FP469" s="436"/>
      <c r="FQ469" s="436"/>
      <c r="FR469" s="750"/>
      <c r="FS469" s="750"/>
      <c r="FW469" s="749"/>
      <c r="FX469" s="749"/>
      <c r="FY469" s="749"/>
      <c r="FZ469" s="749"/>
      <c r="GA469" s="749"/>
      <c r="GB469" s="749"/>
      <c r="GC469" s="749"/>
      <c r="GD469" s="749"/>
      <c r="GE469" s="751"/>
      <c r="GF469" s="750"/>
      <c r="GG469" s="750"/>
    </row>
    <row r="470" spans="1:250" s="82" customFormat="1" ht="14.95" customHeight="1" thickTop="1" thickBot="1">
      <c r="B470" s="1421" t="str">
        <f>HY473</f>
        <v xml:space="preserve"> </v>
      </c>
      <c r="C470" s="1422">
        <f>C465+1</f>
        <v>84</v>
      </c>
      <c r="D470" s="1423"/>
      <c r="E470" s="1424" t="s">
        <v>242</v>
      </c>
      <c r="F470" s="1425"/>
      <c r="G470" s="1426"/>
      <c r="H470" s="1427"/>
      <c r="I470" s="1427"/>
      <c r="J470" s="1427"/>
      <c r="K470" s="1427"/>
      <c r="L470" s="1427"/>
      <c r="M470" s="1427"/>
      <c r="N470" s="1427"/>
      <c r="O470" s="1427"/>
      <c r="P470" s="1427"/>
      <c r="Q470" s="1427"/>
      <c r="R470" s="1427"/>
      <c r="S470" s="1428" t="s">
        <v>283</v>
      </c>
      <c r="T470" s="668" t="s">
        <v>190</v>
      </c>
      <c r="U470" s="1430" t="s">
        <v>186</v>
      </c>
      <c r="V470" s="1431"/>
      <c r="W470" s="1431"/>
      <c r="X470" s="1431"/>
      <c r="Y470" s="1431"/>
      <c r="Z470" s="1431"/>
      <c r="AA470" s="1431"/>
      <c r="AB470" s="1088" t="str">
        <f>IFERROR(IF(__Retrofit_TI_NC=0,VLOOKUP(U471,Fixtures_Existing_List,2,FALSE),ROUND(N472*R472/T472,10)),"")</f>
        <v/>
      </c>
      <c r="AC470" s="1039" t="str">
        <f>IFERROR(IF(__Retrofit_TI_NC=0,ROUND(T471*AB470*N471*R471/1000,0),IF(CN470="Interior",N472*R472*R471*N471*_C406_reduction/1000,N472*R472*R471*N471/1000)),"")</f>
        <v/>
      </c>
      <c r="AD470" s="1040" t="str">
        <f>IFERROR(IF(C$36=0,ROUND(T471*AB470/1000,2),N472*R472/1000),"")</f>
        <v/>
      </c>
      <c r="AE470" s="1044" t="s">
        <v>190</v>
      </c>
      <c r="AF470" s="1432" t="str">
        <f>IF(__Retrofit_TI_NC=2,CONCATENATE("Code min = ",DD470),IF(__Retrofit_TI_NC=1,"Emter what you think the existing control was"," Control"))</f>
        <v xml:space="preserve"> Control</v>
      </c>
      <c r="AG470" s="1432"/>
      <c r="AH470" s="1432"/>
      <c r="AI470" s="1432"/>
      <c r="AJ470" s="1433">
        <f>DF470</f>
        <v>0</v>
      </c>
      <c r="AK470" s="1435" t="str">
        <f>IFERROR(ROUND(AJ470*AC470,0),"")</f>
        <v/>
      </c>
      <c r="AL470" s="1437">
        <f>IFERROR(IF(HW470=FALSE,0,AC470-AK470),0)</f>
        <v>0</v>
      </c>
      <c r="AM470" s="1439">
        <f>AL470-AL472</f>
        <v>0</v>
      </c>
      <c r="AN470" s="1440"/>
      <c r="AO470" s="1445">
        <f>IFERROR(IF(HW470=FALSE,0,(T472*U473)+(AE472*AF473)),0)</f>
        <v>0</v>
      </c>
      <c r="AP470" s="1445"/>
      <c r="AQ470" s="1446"/>
      <c r="AR470" s="1451" t="s">
        <v>157</v>
      </c>
      <c r="AS470" s="1454">
        <f>IF(AR470="Yes",1,0)</f>
        <v>1</v>
      </c>
      <c r="AT470" s="1457" t="str">
        <f>IF(OR(DN470=4,DN470=5,DN470=6,DN470=12),CONCATENATE("$",IF(GD470=TRUE,Lookup!$B$11,Lookup!$B$2)," /lamp"),CONCATENATE(EA470,"/ kWh"))</f>
        <v>0/ kWh</v>
      </c>
      <c r="AU470" s="516"/>
      <c r="AV470" s="1478">
        <f>IFERROR(IF(GI471=TRUE,(AB473*T472)/R472,0),"NA")</f>
        <v>0</v>
      </c>
      <c r="AW470" s="1478" t="str">
        <f>IFERROR(N472*_C406_reduction,"NA")</f>
        <v>NA</v>
      </c>
      <c r="BC470" s="38"/>
      <c r="BD470" s="38"/>
      <c r="BE470" s="38"/>
      <c r="BF470" s="38"/>
      <c r="BG470" s="38"/>
      <c r="BH470" s="38"/>
      <c r="BI470" s="38"/>
      <c r="BJ470" s="38"/>
      <c r="BK470" s="38"/>
      <c r="BL470" s="38"/>
      <c r="BM470" s="38"/>
      <c r="BN470" s="38"/>
      <c r="BO470" s="38"/>
      <c r="BP470" s="38"/>
      <c r="BQ470" s="38"/>
      <c r="BR470" s="38"/>
      <c r="BS470" s="38"/>
      <c r="BT470" s="38"/>
      <c r="BU470" s="38"/>
      <c r="BV470" s="38"/>
      <c r="BW470" s="38"/>
      <c r="BX470" s="38"/>
      <c r="BY470" s="38"/>
      <c r="BZ470" s="38"/>
      <c r="CA470" s="38"/>
      <c r="CB470" s="38"/>
      <c r="CC470" s="38"/>
      <c r="CD470" s="38"/>
      <c r="CE470" s="38"/>
      <c r="CF470" s="38"/>
      <c r="CG470" s="38"/>
      <c r="CH470" s="38"/>
      <c r="CI470" s="38"/>
      <c r="CM470" s="1352" t="str">
        <f>N471</f>
        <v/>
      </c>
      <c r="CN470" s="1352" t="str">
        <f>IFERROR(VLOOKUP(G471,_Lookup_Heat_Type_Table_New,3,FALSE),"")</f>
        <v/>
      </c>
      <c r="CO470" s="1415" t="str">
        <f>CN470</f>
        <v/>
      </c>
      <c r="CP470" s="1417" t="e">
        <f>VLOOKUP(G472,'Space Table'!$B$3:$L$160,9,FALSE)</f>
        <v>#N/A</v>
      </c>
      <c r="CR470" s="1386" t="s">
        <v>283</v>
      </c>
      <c r="CS470" s="1353">
        <f>IF(HW470=TRUE,T471,0)</f>
        <v>0</v>
      </c>
      <c r="CT470" s="1353" t="str">
        <f>IF(HW470=TRUE,U471,"")</f>
        <v/>
      </c>
      <c r="CU470" s="1353"/>
      <c r="CV470" s="1370">
        <f>IF(HW470=TRUE,AB470,0)</f>
        <v>0</v>
      </c>
      <c r="CW470" s="1370">
        <f>IF(HW470=TRUE,AC470,0)</f>
        <v>0</v>
      </c>
      <c r="CX470" s="1370">
        <f>IFERROR(IF(HW470=TRUE,CW470-CW472,0),0)</f>
        <v>0</v>
      </c>
      <c r="CY470" s="1485">
        <f>IF(HW470=TRUE,AD470,0)</f>
        <v>0</v>
      </c>
      <c r="CZ470" s="1485">
        <f>IF(HW470=TRUE,AD473,0)</f>
        <v>0</v>
      </c>
      <c r="DA470" s="1485">
        <f>IFERROR(CY470-CZ470,0)</f>
        <v>0</v>
      </c>
      <c r="DC470" s="1353">
        <f>IF(HW470=TRUE,AE471,0)</f>
        <v>0</v>
      </c>
      <c r="DD470" s="1460">
        <f>IF(__Retrofit_TI_NC=2,IF(CN470="Exterior",O473,FM470),FK470)</f>
        <v>0</v>
      </c>
      <c r="DE470" s="1353"/>
      <c r="DF470" s="1406">
        <f>IFERROR(IF(FL470=3,IK470,IF(FL470=4,IL470,IF(FL470=5,IM470,IF(FL470=6,IN470,IF(FL470=7,IO470,IF(FL470=8,IP470,0)))))),0)</f>
        <v>0</v>
      </c>
      <c r="DG470" s="1370">
        <f>IF(HW470=TRUE,AK470,0)</f>
        <v>0</v>
      </c>
      <c r="DH470" s="1369">
        <f>IFERROR(IF(HW470=TRUE,DG472-DG470,0),0)</f>
        <v>0</v>
      </c>
      <c r="DJ470" s="1483">
        <f>IFERROR(CW470-DG470,0)</f>
        <v>0</v>
      </c>
      <c r="DL470" s="1419">
        <f>DJ470-DK472</f>
        <v>0</v>
      </c>
      <c r="DN470" s="1403" t="str">
        <f>IFERROR(IF(AND(OR(FY470=4,FY470=5,FY470=6),OR(GB470=4,GB470=5,GB470=6)),FY470+8,VLOOKUP(CT472,Fixtures!R$31:Y$78,8,FALSE)),"")</f>
        <v/>
      </c>
      <c r="DO470" s="1404" t="str">
        <f>DN470</f>
        <v/>
      </c>
      <c r="DP470" s="1353" t="str">
        <f>IFERROR(VLOOKUP(DD472,Lookup!AU$3:AV$15,2,FALSE),"")</f>
        <v/>
      </c>
      <c r="DQ470" s="1404" t="str">
        <f>IF(DP470=7,"LLLC","")</f>
        <v/>
      </c>
      <c r="DR470" s="1403">
        <f>IFERROR(IF(OR(DN470=4,DN470=5,DN470=6,DN470=12,DN470=13,DN470=14),VLOOKUP(CT472,Fixtures!DN$27:EG$77,19,FALSE),1)*CS472,0)</f>
        <v>0</v>
      </c>
      <c r="DS470" s="1489">
        <f>IF(DP470=7,IF(DD470=DD472,0,DC472),0)</f>
        <v>0</v>
      </c>
      <c r="DU470" s="1403" t="str">
        <f>IFERROR(IF(EW470&lt;EW472,"Yes","No"),"")</f>
        <v/>
      </c>
      <c r="DV470" s="1404" t="str">
        <f>DU470</f>
        <v/>
      </c>
      <c r="DW470" s="1403">
        <f>IF(DU470="Yes",DC472,0)</f>
        <v>0</v>
      </c>
      <c r="DX470" s="1403">
        <f>DW470-DS470</f>
        <v>0</v>
      </c>
      <c r="DZ470" s="1481">
        <f>IFERROR(VLOOKUP(DN470,Lookup!AN$3:AO$16,2,FALSE),0)</f>
        <v>0</v>
      </c>
      <c r="EA470" s="1481">
        <f>IF(HW470=FALSE,0,IF(DU470="Yes",DZ470+Lookup!B$6,DZ470))</f>
        <v>0</v>
      </c>
      <c r="EC470" s="1482">
        <f>IF(HW470=TRUE,DJ470,0)</f>
        <v>0</v>
      </c>
      <c r="ED470" s="1369">
        <f>IF(HW470=TRUE,CW472,0)</f>
        <v>0</v>
      </c>
      <c r="EE470" s="1370">
        <f>IFERROR(EC470-ED470,0)</f>
        <v>0</v>
      </c>
      <c r="EF470" s="1369">
        <f>IF(HW470=TRUE,DG472,0)</f>
        <v>0</v>
      </c>
      <c r="EG470" s="1369">
        <f>IFERROR(EC470-ED470+EF470,0)</f>
        <v>0</v>
      </c>
      <c r="EH470" s="1373">
        <f>IF(HW470=TRUE,CS472*CU472,0)</f>
        <v>0</v>
      </c>
      <c r="EI470" s="1373">
        <f>IF(HW470=TRUE,DC472*DE472,0)</f>
        <v>0</v>
      </c>
      <c r="EJ470" s="1363">
        <f>AO470</f>
        <v>0</v>
      </c>
      <c r="EK470" s="1376" t="str">
        <f>IFERROR(IF(HW470=TRUE,VLOOKUP(DN470,Lookup!AN$3:AP$16,3,FALSE)*DR470,""),0)</f>
        <v/>
      </c>
      <c r="EL470" s="1376">
        <f>IF(HW470=TRUE,DW470*Lookup!AP$12,0)</f>
        <v>0</v>
      </c>
      <c r="EM470" s="1362">
        <f>IFERROR(IF(HW470=TRUE,EK470/EM$33,0),0)</f>
        <v>0</v>
      </c>
      <c r="EN470" s="1362">
        <f>IF(HW470=TRUE,EL470/EN$33,0)</f>
        <v>0</v>
      </c>
      <c r="EO470" s="1363">
        <f>IF(HW470=TRUE,EQ$33*EM470,0)</f>
        <v>0</v>
      </c>
      <c r="EP470" s="1363">
        <f>IF(HW470=TRUE,EQ$33*EN470,0)</f>
        <v>0</v>
      </c>
      <c r="EQ470" s="1363">
        <f>EO470+EP470</f>
        <v>0</v>
      </c>
      <c r="ES470" s="1403">
        <f>IF(G470="",0,1)</f>
        <v>0</v>
      </c>
      <c r="EU470" s="1410" t="e">
        <f>VLOOKUP(CP472,'Space Table'!$B$3:$L$160,8,FALSE)</f>
        <v>#N/A</v>
      </c>
      <c r="EV470" s="1410" t="e">
        <f>IF(EY470="Yes",VLOOKUP(DD470,Lookup_Control_Type_Table2,4,FALSE),VLOOKUP(DD470,Lookup_Control_Type_Table2,3,FALSE))</f>
        <v>#N/A</v>
      </c>
      <c r="EW470" s="1410" t="e">
        <f>VLOOKUP(DD470,Lookup!AU$3:AV$15,2,FALSE)</f>
        <v>#N/A</v>
      </c>
      <c r="EX470" s="1410" t="e">
        <f>VLOOKUP(EU470,Lookup_Control_Type_Table,2,FALSE)</f>
        <v>#N/A</v>
      </c>
      <c r="EY470" s="1410" t="e">
        <f>VLOOKUP(CP472,'Space Table'!$B$3:$L$160,7,FALSE)</f>
        <v>#N/A</v>
      </c>
      <c r="EZ470" s="1412" t="b">
        <f>ISNUMBER(SEARCH("TLED",U472))</f>
        <v>0</v>
      </c>
      <c r="FB470" s="1365" t="str">
        <f>CONCATENATE(CN470," - ",DD470)</f>
        <v xml:space="preserve"> - 0</v>
      </c>
      <c r="FD470" s="1353" t="str">
        <f>VLOOKUP(CT472,Fixtures!DN$27:EZ$77,38,FALSE)</f>
        <v/>
      </c>
      <c r="FE470" s="1353">
        <f>IFERROR(FD470*EE470,0)</f>
        <v>0</v>
      </c>
      <c r="FF470" s="138"/>
      <c r="FI470" s="1356" t="str">
        <f>IF(CN470="Exterior","Not Daylighted",G473)</f>
        <v>Not Daylighted</v>
      </c>
      <c r="FJ470" s="1356">
        <f>VLOOKUP(FI470,_Daylight_Table_Codes,2,FALSE)</f>
        <v>0</v>
      </c>
      <c r="FK470" s="1365">
        <f>IF(__Retrofit_TI_NC=2,VLOOKUP(G472,'Space Table'!$B$3:$L$160,11,FALSE),AF471)</f>
        <v>0</v>
      </c>
      <c r="FL470" s="1365" t="e">
        <f>VLOOKUP(FK470,_Control_Table,2,FALSE)</f>
        <v>#N/A</v>
      </c>
      <c r="FM470" s="1365" t="e">
        <f>IF(AND(FP470&gt;0,FK470="Occupancy Sensor"),"Daylight + Occupancy",IF(AND(FP470&gt;0,FL470&lt;4),"Interior Daylight Dimming",FK470))</f>
        <v>#N/A</v>
      </c>
      <c r="FO470" s="1364">
        <f>IF(CO470="Interior",VLOOKUP(CP470,Control_Savings_Interior,5,FALSE),0)</f>
        <v>0</v>
      </c>
      <c r="FP470" s="1361">
        <f>IF(CN470="Exterior",0,IF(FJ470=2,0.5,IF(OR(FJ470=1,FJ470=3),1,0)))</f>
        <v>0</v>
      </c>
      <c r="FQ470" s="1366"/>
      <c r="FR470" s="1367"/>
      <c r="FS470" s="1364"/>
      <c r="FT470" s="1367"/>
      <c r="FU470" s="1360"/>
      <c r="FW470" s="1352" t="str">
        <f>IFERROR(VLOOKUP(U471,_Exist_Fixture_Table,3,FALSE),"")</f>
        <v/>
      </c>
      <c r="FX470" s="1352" t="str">
        <f>VLOOKUP(CT470,_Exist_Fixture_Table,4,FALSE)</f>
        <v/>
      </c>
      <c r="FY470" s="1352">
        <f>IFERROR(VLOOKUP(FX470,Lookup!AM$6:AN$8,2,FALSE),0)</f>
        <v>0</v>
      </c>
      <c r="FZ470" s="1352" t="b">
        <f>IFERROR(IF(OR(GB470=4,GB470=5,GB470=6),TRUE,FALSE),"")</f>
        <v>0</v>
      </c>
      <c r="GA470" s="1352" t="str">
        <f>IFERROR(VLOOKUP(GB470,FY$6:FZ$10,2,FALSE),"")</f>
        <v/>
      </c>
      <c r="GB470" s="1352" t="str">
        <f>VLOOKUP(CT472,Fixtures!R$31:Y$78,8,FALSE)</f>
        <v/>
      </c>
      <c r="GC470" s="1352">
        <f>IF(AND(FW470=TRUE,FZ470=TRUE,OR(DN470=12,DN470=13,DN470=14)),FY470+8,0)</f>
        <v>0</v>
      </c>
      <c r="GD470" s="1352" t="b">
        <f>IF(OR(GC470=12,GC470=13,GC470=14),TRUE,FALSE)</f>
        <v>0</v>
      </c>
      <c r="GE470" s="759" t="b">
        <f>IF(ISNUMBER(SEARCH("TLED",U471)),TRUE,FALSE)</f>
        <v>0</v>
      </c>
      <c r="GF470" s="1035" t="str">
        <f>IFERROR(VLOOKUP(U471,Fixtures!BM$93:BR$142,6,FALSE),"")</f>
        <v/>
      </c>
      <c r="GG470" s="1385" t="b">
        <f>IF(OR(GE470=FALSE,GE472=FALSE),TRUE,IF(GF470-GF472&lt;5,FALSE,TRUE))</f>
        <v>1</v>
      </c>
      <c r="GK470" s="1034">
        <f>GL470</f>
        <v>0</v>
      </c>
      <c r="GL470" s="1034">
        <f>IF(G470="",0,1)</f>
        <v>0</v>
      </c>
      <c r="GM470" s="1034">
        <f>SUM(GN470:HB470)</f>
        <v>2</v>
      </c>
      <c r="GN470" s="1034">
        <f>IF(G471="",0,1)</f>
        <v>0</v>
      </c>
      <c r="GO470" s="1034">
        <f>IF(G472="",0,1)</f>
        <v>0</v>
      </c>
      <c r="GP470" s="1034">
        <f>IF(R471="",0,1)</f>
        <v>0</v>
      </c>
      <c r="GQ470" s="1034">
        <f>IF(__Retrofit_TI_NC=0,1,IF(R472="",0,1))</f>
        <v>1</v>
      </c>
      <c r="GR470" s="1034">
        <f>IF(CN470="Exterior",1,IF(G473="",0,1))</f>
        <v>1</v>
      </c>
      <c r="GS470" s="1034">
        <f>IF(__Retrofit_TI_NC&lt;&gt;0,1,IF(T471="",0,1))</f>
        <v>0</v>
      </c>
      <c r="GT470" s="1034">
        <f>IF(__Retrofit_TI_NC&lt;&gt;0,1,IF(U471="",0,1))</f>
        <v>0</v>
      </c>
      <c r="GU470" s="1034">
        <f>IF(T472="",0,1)</f>
        <v>0</v>
      </c>
      <c r="GV470" s="1034">
        <f>IF(U472="",0,1)</f>
        <v>0</v>
      </c>
      <c r="GW470" s="1034">
        <f>IF(__Retrofit_TI_NC=2,1,IF(U473="",0,1))</f>
        <v>0</v>
      </c>
      <c r="GX470" s="1034">
        <f>IF(__Retrofit_TI_NC&lt;&gt;0,1,IF(AE471="",0,1))</f>
        <v>0</v>
      </c>
      <c r="GY470" s="1034">
        <f>IF(__Retrofit_TI_NC&lt;&gt;0,1,IF(AF471="",0,1))</f>
        <v>0</v>
      </c>
      <c r="GZ470" s="1034">
        <f>IF(AE472="",0,1)</f>
        <v>0</v>
      </c>
      <c r="HA470" s="1034">
        <f>IF(AF472="",0,1)</f>
        <v>0</v>
      </c>
      <c r="HB470" s="1034">
        <f>IF(__Retrofit_TI_NC=2,1,IF(AF473="",0,1))</f>
        <v>0</v>
      </c>
      <c r="HV470" s="436"/>
      <c r="HW470" s="1384" t="b">
        <f>IF(OR(HW473=0,HW473=HT$16,HW473=HS$16,HW473=HU$16),TRUE,FALSE)</f>
        <v>0</v>
      </c>
      <c r="HX470" s="1377" t="b">
        <f>HW470</f>
        <v>0</v>
      </c>
      <c r="HY470" s="436"/>
      <c r="HZ470" s="436"/>
      <c r="IA470" s="1386" t="b">
        <f>IF(MAX(GJ473:HP473)&gt;5,FALSE,TRUE)</f>
        <v>0</v>
      </c>
      <c r="IB470" s="1380">
        <f>IF(IA470=TRUE,AC470,0)</f>
        <v>0</v>
      </c>
      <c r="IC470" s="1380">
        <f>IB470-IB472</f>
        <v>0</v>
      </c>
      <c r="IF470" s="1380" t="e">
        <f>ROUND(T471*VLOOKUP(U471,Fixtures_Existing_List,2,FALSE)*N471*R471/1000,0)</f>
        <v>#N/A</v>
      </c>
      <c r="IG470" s="1381" t="e">
        <f>IF470-IF472</f>
        <v>#N/A</v>
      </c>
      <c r="IH470" s="1384" t="e">
        <f>ROUND(IF(CN470="Interior",N472*R472*R471*N471*_C406_reduction/1000,N472*R472*R471*N471/1000),0)</f>
        <v>#N/A</v>
      </c>
      <c r="II470" s="1384" t="e">
        <f>IH470-IH472</f>
        <v>#N/A</v>
      </c>
      <c r="IK470" s="1351" t="e">
        <f>IF($CO470="interior",IL470/2,VLOOKUP($CP470,Control_Savings_Exterior,IK$30,FALSE))</f>
        <v>#N/A</v>
      </c>
      <c r="IL470" s="1351" t="e">
        <f>IF($CO470="interior",VLOOKUP($CP470,Control_Savings_Interior,IL$30,FALSE),VLOOKUP($CP470,Control_Savings_Exterior,IL$30,FALSE))</f>
        <v>#N/A</v>
      </c>
      <c r="IM470" s="1351" t="e">
        <f>IF($CO470="interior",IF(R471&gt;FO$37,(IM$28*(FO$37/R471)),IM$28)*FP470,VLOOKUP($CP470,Control_Savings_Exterior,IM$30,FALSE))</f>
        <v>#N/A</v>
      </c>
      <c r="IN470" s="1351" t="e">
        <f>IF($CO470="interior",ROUND(((1-IL470)*IM470)+IL470,2),VLOOKUP($CP470,Control_Savings_Exterior,IN$30,FALSE))</f>
        <v>#N/A</v>
      </c>
      <c r="IO470" s="1351" t="e">
        <f>IF($CO470="interior", ROUND(((1-IL470)*(IM470*(1-IP$28)))+IP470,2), VLOOKUP($CP470,Control_Savings_Exterior,IO$30,FALSE))</f>
        <v>#N/A</v>
      </c>
      <c r="IP470" s="1351">
        <f>IF($CO470="interior",ROUND(((1-IL470)*IP$28)+IL470,2),0)</f>
        <v>0</v>
      </c>
    </row>
    <row r="471" spans="1:250" s="82" customFormat="1" ht="14.95" customHeight="1" thickTop="1" thickBot="1">
      <c r="B471" s="1421"/>
      <c r="C471" s="1422"/>
      <c r="D471" s="1423"/>
      <c r="E471" s="1393" t="s">
        <v>244</v>
      </c>
      <c r="F471" s="1394"/>
      <c r="G471" s="1395"/>
      <c r="H471" s="1395"/>
      <c r="I471" s="1395"/>
      <c r="J471" s="1395"/>
      <c r="K471" s="1395"/>
      <c r="L471" s="1395"/>
      <c r="M471" s="509" t="e">
        <f>IF(__Retrofit_TI_NC&lt;&gt;0,IF(VLOOKUP(G472,'Space Table'!$B$3:$L$160,3,FALSE)&gt;0,1,0),IF(__Retrofit_TI_NC=VLOOKUP(G472,'Space Table'!$B$3:$L$160,3,FALSE),1,0))</f>
        <v>#N/A</v>
      </c>
      <c r="N471" s="509" t="str">
        <f>IFERROR(VLOOKUP(G471,_Lookup_Heat_Type_Table_New,2,FALSE),"")</f>
        <v/>
      </c>
      <c r="O471" s="509">
        <f>IF(__Retrofit_TI_NC=1,CONCATENATE("TI ",G471),IF(__Retrofit_TI_NC=2,CONCATENATE("NC ",G471),G471))</f>
        <v>0</v>
      </c>
      <c r="P471" s="1396" t="s">
        <v>352</v>
      </c>
      <c r="Q471" s="1396"/>
      <c r="R471" s="673"/>
      <c r="S471" s="1429"/>
      <c r="T471" s="675"/>
      <c r="U471" s="1496"/>
      <c r="V471" s="1497"/>
      <c r="W471" s="1497"/>
      <c r="X471" s="1497"/>
      <c r="Y471" s="1497"/>
      <c r="Z471" s="1497"/>
      <c r="AA471" s="1497"/>
      <c r="AB471" s="1497"/>
      <c r="AC471" s="1497"/>
      <c r="AD471" s="1498"/>
      <c r="AE471" s="675"/>
      <c r="AF471" s="1397"/>
      <c r="AG471" s="1397"/>
      <c r="AH471" s="1397"/>
      <c r="AI471" s="1397"/>
      <c r="AJ471" s="1434"/>
      <c r="AK471" s="1436"/>
      <c r="AL471" s="1438"/>
      <c r="AM471" s="1441"/>
      <c r="AN471" s="1442"/>
      <c r="AO471" s="1447"/>
      <c r="AP471" s="1447"/>
      <c r="AQ471" s="1448"/>
      <c r="AR471" s="1452"/>
      <c r="AS471" s="1455"/>
      <c r="AT471" s="1458"/>
      <c r="AU471" s="516"/>
      <c r="AV471" s="1479"/>
      <c r="AW471" s="1479"/>
      <c r="BC471" s="38"/>
      <c r="BD471" s="38"/>
      <c r="BE471" s="38"/>
      <c r="BF471" s="38"/>
      <c r="BG471" s="38"/>
      <c r="BH471" s="38"/>
      <c r="BI471" s="38"/>
      <c r="BJ471" s="38"/>
      <c r="BK471" s="38"/>
      <c r="BL471" s="38"/>
      <c r="BM471" s="38"/>
      <c r="BN471" s="38"/>
      <c r="BO471" s="38"/>
      <c r="BP471" s="38"/>
      <c r="BQ471" s="38"/>
      <c r="BR471" s="38"/>
      <c r="BS471" s="38"/>
      <c r="BT471" s="38"/>
      <c r="BU471" s="38"/>
      <c r="BV471" s="38"/>
      <c r="BW471" s="38"/>
      <c r="BX471" s="38"/>
      <c r="BY471" s="38"/>
      <c r="BZ471" s="38"/>
      <c r="CA471" s="38"/>
      <c r="CB471" s="38"/>
      <c r="CC471" s="38"/>
      <c r="CD471" s="38"/>
      <c r="CE471" s="38"/>
      <c r="CF471" s="38"/>
      <c r="CG471" s="38"/>
      <c r="CH471" s="38"/>
      <c r="CI471" s="38"/>
      <c r="CM471" s="1352"/>
      <c r="CN471" s="1352"/>
      <c r="CO471" s="1416"/>
      <c r="CP471" s="1418"/>
      <c r="CR471" s="1386"/>
      <c r="CS471" s="1355"/>
      <c r="CT471" s="1355"/>
      <c r="CU471" s="1355"/>
      <c r="CV471" s="1372"/>
      <c r="CW471" s="1372"/>
      <c r="CX471" s="1371"/>
      <c r="CY471" s="1486"/>
      <c r="CZ471" s="1486"/>
      <c r="DA471" s="1486"/>
      <c r="DC471" s="1355"/>
      <c r="DD471" s="1461"/>
      <c r="DE471" s="1355"/>
      <c r="DF471" s="1407"/>
      <c r="DG471" s="1372"/>
      <c r="DH471" s="1369"/>
      <c r="DJ471" s="1484"/>
      <c r="DL471" s="1419"/>
      <c r="DN471" s="1403"/>
      <c r="DO471" s="1405"/>
      <c r="DP471" s="1354"/>
      <c r="DQ471" s="1405"/>
      <c r="DR471" s="1403"/>
      <c r="DS471" s="1489"/>
      <c r="DU471" s="1403"/>
      <c r="DV471" s="1405"/>
      <c r="DW471" s="1403"/>
      <c r="DX471" s="1403"/>
      <c r="DZ471" s="1481"/>
      <c r="EA471" s="1481"/>
      <c r="EC471" s="1482"/>
      <c r="ED471" s="1369"/>
      <c r="EE471" s="1371"/>
      <c r="EF471" s="1369"/>
      <c r="EG471" s="1369"/>
      <c r="EH471" s="1374"/>
      <c r="EI471" s="1374"/>
      <c r="EJ471" s="1363"/>
      <c r="EK471" s="1376"/>
      <c r="EL471" s="1376"/>
      <c r="EM471" s="1362"/>
      <c r="EN471" s="1362"/>
      <c r="EO471" s="1363"/>
      <c r="EP471" s="1363"/>
      <c r="EQ471" s="1363"/>
      <c r="ES471" s="1403"/>
      <c r="EU471" s="1411"/>
      <c r="EV471" s="1411"/>
      <c r="EW471" s="1411"/>
      <c r="EX471" s="1411"/>
      <c r="EY471" s="1411"/>
      <c r="EZ471" s="1413"/>
      <c r="FB471" s="1365"/>
      <c r="FD471" s="1354"/>
      <c r="FE471" s="1354"/>
      <c r="FF471" s="138"/>
      <c r="FI471" s="1357"/>
      <c r="FJ471" s="1357"/>
      <c r="FK471" s="1365"/>
      <c r="FL471" s="1365"/>
      <c r="FM471" s="1365"/>
      <c r="FO471" s="1361"/>
      <c r="FP471" s="1361"/>
      <c r="FQ471" s="1366"/>
      <c r="FR471" s="1368"/>
      <c r="FS471" s="1361"/>
      <c r="FT471" s="1368"/>
      <c r="FU471" s="1360"/>
      <c r="FW471" s="1352"/>
      <c r="FX471" s="1352"/>
      <c r="FY471" s="1352"/>
      <c r="FZ471" s="1352"/>
      <c r="GA471" s="1352"/>
      <c r="GB471" s="1352"/>
      <c r="GC471" s="1352"/>
      <c r="GD471" s="1352"/>
      <c r="GE471" s="759"/>
      <c r="GF471" s="1035"/>
      <c r="GG471" s="1385"/>
      <c r="GI471" s="1384" t="b">
        <f>IF(AND(GL471=TRUE,GM471=TRUE),TRUE,FALSE)</f>
        <v>0</v>
      </c>
      <c r="GJ471" s="1379" t="b">
        <f>IFERROR(IF(__Retrofit_TI_NC=2,TRUE,IF(AR470="Yes",TRUE,FALSE)),FALSE)</f>
        <v>1</v>
      </c>
      <c r="GL471" s="1379" t="b">
        <f>IFERROR(IF(GL470=1,TRUE,FALSE),FALSE)</f>
        <v>0</v>
      </c>
      <c r="GM471" s="1379" t="b">
        <f>IFERROR(IF(GM470=GM$14,TRUE,FALSE),FALSE)</f>
        <v>0</v>
      </c>
      <c r="HC471" s="1379" t="b">
        <f>IFERROR(IF(M471=1,TRUE,FALSE),FALSE)</f>
        <v>0</v>
      </c>
      <c r="HD471" s="1379" t="b">
        <f>IFERROR(IF(M472=1,TRUE,FALSE),FALSE)</f>
        <v>0</v>
      </c>
      <c r="HE471" s="1379" t="b">
        <f>IFERROR(IF(__Retrofit_TI_NC&lt;&gt;0,TRUE,IFERROR(IF(VLOOKUP(U471,Fixtures_Existing_List,2,FALSE)&lt;&gt;"",TRUE,FALSE),FALSE)),FALSE)</f>
        <v>0</v>
      </c>
      <c r="HF471" s="1379" t="b">
        <f>IFERROR(IF(VLOOKUP(U472,Fixtures_Proposed_List,2,FALSE)&lt;&gt;"",TRUE,FALSE),FALSE)</f>
        <v>0</v>
      </c>
      <c r="HG471" s="1379" t="b">
        <f>IF(AND(__Retrofit_TI_NC=2,EZ470=TRUE),FALSE,TRUE)</f>
        <v>1</v>
      </c>
      <c r="HH471" s="1379" t="b">
        <f>GG470</f>
        <v>1</v>
      </c>
      <c r="HI471" s="1384" t="b">
        <f>IF(ISERROR(MATCH(FB470,_Control_Match[],0))=TRUE,FALSE,TRUE)</f>
        <v>0</v>
      </c>
      <c r="HJ471" s="1384" t="b">
        <f>IFERROR(IF(EU470&lt;&gt;EV470,FALSE,TRUE),FALSE)</f>
        <v>0</v>
      </c>
      <c r="HK471" s="1384" t="b">
        <f>IFERROR(IF(EU472&lt;&gt;EV472,FALSE,TRUE),FALSE)</f>
        <v>0</v>
      </c>
      <c r="HL471" s="1379" t="b">
        <f>IFERROR(IF(CN470="Exterior",TRUE,IF(OR(AND(FJ470=0,EW472&gt;4),AND(FJ470=4,EW472&gt;4,EW472&lt;7)),FALSE,TRUE)),FALSE)</f>
        <v>0</v>
      </c>
      <c r="HM471" s="1379" t="b">
        <f>IFERROR(IF(AND(FL472=7,EZ470=TRUE),FALSE,TRUE),FALSE)</f>
        <v>0</v>
      </c>
      <c r="HN471" s="1379" t="b">
        <f>IFERROR(IF(AND(T472&lt;&gt;AE472,AF472="Interior LLLC")=TRUE,FALSE,TRUE),FALSE)</f>
        <v>1</v>
      </c>
      <c r="HO471" s="1379" t="b">
        <f>IFERROR(IF(OR(AF472=Lookup!AU$13,AF472=Lookup!AU$14)=TRUE,IF(AE472&gt;T472,FALSE,TRUE),TRUE),FALSE)</f>
        <v>1</v>
      </c>
      <c r="HP471" s="1379" t="b">
        <f>IFERROR(IF(__Retrofit_TI_NC=2,IF(EW472&lt;EW470,FALSE,TRUE),TRUE),FALSE)</f>
        <v>1</v>
      </c>
      <c r="HQ471" s="1379" t="b">
        <f>IF(CN470="Interior",IG$6,TRUE)</f>
        <v>1</v>
      </c>
      <c r="HR471" s="1379" t="b">
        <f>IF(CN470="Exterior",IG$8,TRUE)</f>
        <v>1</v>
      </c>
      <c r="HS471" s="1379" t="b">
        <f>IFERROR(IF(__Retrofit_TI_NC&lt;&gt;0,IF(AW470&lt;AV470,FALSE,TRUE),TRUE),FALSE)</f>
        <v>1</v>
      </c>
      <c r="HT471" s="1379" t="b">
        <f>IFERROR(IF(AND(G471="Exterior",R471&gt;4200),FALSE,TRUE),FALSE)</f>
        <v>1</v>
      </c>
      <c r="HU471" s="1379" t="b">
        <f>IFERROR(IF(AB473/AB470&lt;HU$18,FALSE,TRUE),FALSE)</f>
        <v>0</v>
      </c>
      <c r="HW471" s="1382"/>
      <c r="HX471" s="1378"/>
      <c r="HY471" s="1377" t="str">
        <f>VLOOKUP(HW473,_Error_Table,4,FALSE)</f>
        <v>White</v>
      </c>
      <c r="HZ471" s="436"/>
      <c r="IA471" s="1386"/>
      <c r="IB471" s="1380"/>
      <c r="IC471" s="1379"/>
      <c r="IF471" s="1380"/>
      <c r="IG471" s="1382"/>
      <c r="IH471" s="1382"/>
      <c r="II471" s="1382"/>
      <c r="IK471" s="1351"/>
      <c r="IL471" s="1351"/>
      <c r="IM471" s="1351"/>
      <c r="IN471" s="1351"/>
      <c r="IO471" s="1351"/>
      <c r="IP471" s="1351"/>
    </row>
    <row r="472" spans="1:250" s="82" customFormat="1" ht="14.95" customHeight="1" thickTop="1" thickBot="1">
      <c r="A472" s="82">
        <f>ROW()</f>
        <v>472</v>
      </c>
      <c r="B472" s="1421"/>
      <c r="C472" s="1422"/>
      <c r="D472" s="1423"/>
      <c r="E472" s="1393" t="s">
        <v>245</v>
      </c>
      <c r="F472" s="1394"/>
      <c r="G472" s="1398"/>
      <c r="H472" s="1399"/>
      <c r="I472" s="1399"/>
      <c r="J472" s="1399"/>
      <c r="K472" s="1399"/>
      <c r="L472" s="1400"/>
      <c r="M472" s="509">
        <f>IFERROR(IF(IF(__Retrofit_TI_NC&lt;&gt;0,IF(CN470="Interior",MATCH(G472,Lookup_Interior_New,0),MATCH(G472,Lookup_Exterior_New,0)),IF(CN470="Interior",MATCH(G472,Lookup_Interior,0),MATCH(G472,Lookup_Exterior_Areas,0)))&gt;0,1,0),0)</f>
        <v>0</v>
      </c>
      <c r="N472" s="509" t="e">
        <f>IF(__Retrofit_TI_NC=1,
VLOOKUP(G472,'Space Table'!$B$3:$L$160,4,FALSE),
IF(__Retrofit_TI_NC=2,VLOOKUP(G472,'Space Table'!$B$3:$L$160,5,FALSE),VLOOKUP(G472,'Space Table'!$B$3:$L$160,5,FALSE)))</f>
        <v>#N/A</v>
      </c>
      <c r="O472" s="509">
        <f>G472</f>
        <v>0</v>
      </c>
      <c r="P472" s="1394" t="s">
        <v>355</v>
      </c>
      <c r="Q472" s="1394"/>
      <c r="R472" s="674"/>
      <c r="S472" s="1401" t="s">
        <v>284</v>
      </c>
      <c r="T472" s="672"/>
      <c r="U472" s="1499"/>
      <c r="V472" s="1500"/>
      <c r="W472" s="1500"/>
      <c r="X472" s="1500"/>
      <c r="Y472" s="1500"/>
      <c r="Z472" s="1500"/>
      <c r="AA472" s="1500"/>
      <c r="AB472" s="1501"/>
      <c r="AC472" s="1501"/>
      <c r="AD472" s="1502"/>
      <c r="AE472" s="672"/>
      <c r="AF472" s="1474"/>
      <c r="AG472" s="1474"/>
      <c r="AH472" s="1474"/>
      <c r="AI472" s="1474"/>
      <c r="AJ472" s="1475">
        <f>DF472</f>
        <v>0</v>
      </c>
      <c r="AK472" s="1470" t="str">
        <f>IFERROR(ROUND(AJ472*AC473,0),"")</f>
        <v/>
      </c>
      <c r="AL472" s="1472">
        <f>IFERROR(IF(HW470=FALSE,0,AC473-AK472),0)</f>
        <v>0</v>
      </c>
      <c r="AM472" s="1441"/>
      <c r="AN472" s="1442"/>
      <c r="AO472" s="1447"/>
      <c r="AP472" s="1447"/>
      <c r="AQ472" s="1448"/>
      <c r="AR472" s="1452"/>
      <c r="AS472" s="1455"/>
      <c r="AT472" s="1458"/>
      <c r="AU472" s="516"/>
      <c r="AV472" s="1479"/>
      <c r="AW472" s="1479"/>
      <c r="BC472" s="38"/>
      <c r="BD472" s="38"/>
      <c r="BE472" s="38"/>
      <c r="BF472" s="38"/>
      <c r="BG472" s="38"/>
      <c r="BH472" s="38"/>
      <c r="BI472" s="38"/>
      <c r="BJ472" s="38"/>
      <c r="BK472" s="38"/>
      <c r="BL472" s="38"/>
      <c r="BM472" s="38"/>
      <c r="BN472" s="38"/>
      <c r="BO472" s="38"/>
      <c r="BP472" s="38"/>
      <c r="BQ472" s="38"/>
      <c r="BR472" s="38"/>
      <c r="BS472" s="38"/>
      <c r="BT472" s="38"/>
      <c r="BU472" s="38"/>
      <c r="BV472" s="38"/>
      <c r="BW472" s="38"/>
      <c r="BX472" s="38"/>
      <c r="BY472" s="38"/>
      <c r="BZ472" s="38"/>
      <c r="CA472" s="38"/>
      <c r="CB472" s="38"/>
      <c r="CC472" s="38"/>
      <c r="CD472" s="38"/>
      <c r="CE472" s="38"/>
      <c r="CF472" s="38"/>
      <c r="CG472" s="38"/>
      <c r="CH472" s="38"/>
      <c r="CI472" s="38"/>
      <c r="CM472" s="1352"/>
      <c r="CN472" s="1352"/>
      <c r="CO472" s="1415" t="str">
        <f>CN470</f>
        <v/>
      </c>
      <c r="CP472" s="1417" t="e">
        <f>CP470</f>
        <v>#N/A</v>
      </c>
      <c r="CR472" s="1386" t="s">
        <v>284</v>
      </c>
      <c r="CS472" s="1353">
        <f>IF(HW470=TRUE,T472,0)</f>
        <v>0</v>
      </c>
      <c r="CT472" s="1353" t="str">
        <f>IF(HW470=TRUE,U472,"")</f>
        <v/>
      </c>
      <c r="CU472" s="1373">
        <f>IF(HW470=TRUE,U473,0)</f>
        <v>0</v>
      </c>
      <c r="CV472" s="1370">
        <f>IF(HW470=TRUE,AB473,0)</f>
        <v>0</v>
      </c>
      <c r="CW472" s="1370">
        <f>IF(HW470=TRUE,AC473,0)</f>
        <v>0</v>
      </c>
      <c r="CX472" s="1371"/>
      <c r="CY472" s="1486"/>
      <c r="CZ472" s="1486"/>
      <c r="DA472" s="1486"/>
      <c r="DC472" s="1353">
        <f>IF(HW470=TRUE,AE472,0)</f>
        <v>0</v>
      </c>
      <c r="DD472" s="1353" t="str">
        <f>IF(HW470=TRUE,AF472,"")</f>
        <v/>
      </c>
      <c r="DE472" s="1373">
        <f>AF473</f>
        <v>0</v>
      </c>
      <c r="DF472" s="1406">
        <f>IFERROR(IF(FL472=3,IK472,IF(FL472=4,IL472,IF(FL472=5,IM472,IF(FL472=6,IN472,IF(FL472=7,IO472,IF(FL472=8,IP472,0)))))),0)</f>
        <v>0</v>
      </c>
      <c r="DG472" s="1370">
        <f>IF(HW470=TRUE,AK472,0)</f>
        <v>0</v>
      </c>
      <c r="DH472" s="1369"/>
      <c r="DK472" s="1483">
        <f>IFERROR(CW472-DG472,0)</f>
        <v>0</v>
      </c>
      <c r="DL472" s="1420"/>
      <c r="DN472" s="1403"/>
      <c r="DO472" s="1477" t="str">
        <f>DN470</f>
        <v/>
      </c>
      <c r="DP472" s="1354"/>
      <c r="DQ472" s="1477" t="str">
        <f>IF(DP470=7,"LLLC","")</f>
        <v/>
      </c>
      <c r="DR472" s="1403"/>
      <c r="DS472" s="1489"/>
      <c r="DU472" s="1403"/>
      <c r="DV472" s="1404" t="str">
        <f>DU470</f>
        <v/>
      </c>
      <c r="DW472" s="1403"/>
      <c r="DX472" s="1403"/>
      <c r="DZ472" s="1481"/>
      <c r="EA472" s="1481"/>
      <c r="EC472" s="1482"/>
      <c r="ED472" s="1369"/>
      <c r="EE472" s="1371"/>
      <c r="EF472" s="1369"/>
      <c r="EG472" s="1369"/>
      <c r="EH472" s="1374"/>
      <c r="EI472" s="1374"/>
      <c r="EJ472" s="1363"/>
      <c r="EK472" s="1376"/>
      <c r="EL472" s="1376"/>
      <c r="EM472" s="1362"/>
      <c r="EN472" s="1362"/>
      <c r="EO472" s="1363"/>
      <c r="EP472" s="1363"/>
      <c r="EQ472" s="1363"/>
      <c r="ES472" s="1403"/>
      <c r="EU472" s="1411" t="e">
        <f>VLOOKUP(CP472,'Space Table'!$B$3:$L$160,8,FALSE)</f>
        <v>#N/A</v>
      </c>
      <c r="EV472" s="1411" t="e">
        <f>IF(EY472="Yes",VLOOKUP(AF472,Lookup_Control_Type_Table2,4,FALSE),VLOOKUP(AF472,Lookup_Control_Type_Table2,3,FALSE))</f>
        <v>#N/A</v>
      </c>
      <c r="EW472" s="1411" t="e">
        <f>VLOOKUP(AF472,Lookup!AU$3:AV$15,2,FALSE)</f>
        <v>#N/A</v>
      </c>
      <c r="EX472" s="1411" t="e">
        <f>VLOOKUP(EU470,Lookup_Control_Type_Table,2,FALSE)</f>
        <v>#N/A</v>
      </c>
      <c r="EY472" s="1411" t="e">
        <f>VLOOKUP(CP472,'Space Table'!$B$3:$L$160,7,FALSE)</f>
        <v>#N/A</v>
      </c>
      <c r="EZ472" s="1413"/>
      <c r="FB472" s="1365" t="str">
        <f>CONCATENATE(CN470," - ",AF472)</f>
        <v xml:space="preserve"> - </v>
      </c>
      <c r="FD472" s="1354"/>
      <c r="FE472" s="1354"/>
      <c r="FF472" s="138"/>
      <c r="FI472" s="1356" t="str">
        <f>IF(CN470="Exterior","Not Daylighted",G473)</f>
        <v>Not Daylighted</v>
      </c>
      <c r="FJ472" s="1356">
        <f>VLOOKUP(FI472,_Daylight_Table_Codes,2,FALSE)</f>
        <v>0</v>
      </c>
      <c r="FK472" s="1365">
        <f>AF472</f>
        <v>0</v>
      </c>
      <c r="FL472" s="1365" t="e">
        <f>VLOOKUP(FK472,_Control_Table,2,FALSE)</f>
        <v>#N/A</v>
      </c>
      <c r="FM472" s="1365" t="e">
        <f>IF(AND(FP472&gt;0,FK472="Occupancy Sensor"),"Daylight + Occupancy",IF(AND(FP472&gt;0,FL472&lt;4),"Interior Daylight Dimming",FK472))</f>
        <v>#N/A</v>
      </c>
      <c r="FO472" s="1364">
        <f>IF(CN470="Interior",VLOOKUP(CP470,Control_Savings_Interior,5,FALSE),0)</f>
        <v>0</v>
      </c>
      <c r="FP472" s="1361">
        <f>IF(CN472="Exterior",0,IF(FJ472=2,0.5,IF(OR(FJ472=1,FJ472=3),1,0)))</f>
        <v>0</v>
      </c>
      <c r="FQ472" s="1366">
        <f>IF(R471&gt;FO$37,(FO472*(FO$37/R471)),FO472)*FP472</f>
        <v>0</v>
      </c>
      <c r="FR472" s="1364">
        <f>DF472</f>
        <v>0</v>
      </c>
      <c r="FS472" s="1364">
        <f>ROUND(FR472+((1-FR472)*FQ472),2)</f>
        <v>0</v>
      </c>
      <c r="FT472" s="1364">
        <f>IF(__Retrofit_TI_NC=2,FS472,FR472)</f>
        <v>0</v>
      </c>
      <c r="FU472" s="1360">
        <f>IF(CO472="Interior",VLOOKUP(CP472,Control_Savings_Interior,4,FALSE),0)</f>
        <v>0</v>
      </c>
      <c r="FW472" s="1352"/>
      <c r="FX472" s="1352"/>
      <c r="FY472" s="1352"/>
      <c r="FZ472" s="1352"/>
      <c r="GA472" s="1352"/>
      <c r="GB472" s="1352"/>
      <c r="GC472" s="1352"/>
      <c r="GD472" s="1352"/>
      <c r="GE472" s="759" t="b">
        <f>IF(ISNUMBER(SEARCH("TLED",U472)),TRUE,FALSE)</f>
        <v>0</v>
      </c>
      <c r="GF472" s="1035" t="str">
        <f>IFERROR(VLOOKUP(U472,Fixtures!DM$93:DR$142,6,FALSE),"")</f>
        <v/>
      </c>
      <c r="GG472" s="1385"/>
      <c r="GI472" s="1383"/>
      <c r="GJ472" s="1379"/>
      <c r="GL472" s="1379"/>
      <c r="GM472" s="1379"/>
      <c r="HC472" s="1379"/>
      <c r="HD472" s="1379"/>
      <c r="HE472" s="1379"/>
      <c r="HF472" s="1379"/>
      <c r="HG472" s="1379"/>
      <c r="HH472" s="1379"/>
      <c r="HI472" s="1383"/>
      <c r="HJ472" s="1383"/>
      <c r="HK472" s="1383"/>
      <c r="HL472" s="1379"/>
      <c r="HM472" s="1379"/>
      <c r="HN472" s="1379"/>
      <c r="HO472" s="1379"/>
      <c r="HP472" s="1379"/>
      <c r="HQ472" s="1379"/>
      <c r="HR472" s="1379"/>
      <c r="HS472" s="1379"/>
      <c r="HT472" s="1379"/>
      <c r="HU472" s="1379"/>
      <c r="HW472" s="1383"/>
      <c r="HX472" s="1384" t="b">
        <f>HW470</f>
        <v>0</v>
      </c>
      <c r="HY472" s="1378"/>
      <c r="HZ472" s="436"/>
      <c r="IA472" s="1386"/>
      <c r="IB472" s="1380">
        <f>IF(IA470=TRUE,AC473,0)</f>
        <v>0</v>
      </c>
      <c r="IC472" s="1379"/>
      <c r="IF472" s="1380" t="e">
        <f>ROUND(T472*AB473*N471*R471/1000,0)</f>
        <v>#VALUE!</v>
      </c>
      <c r="IG472" s="1382"/>
      <c r="IH472" s="1384" t="e">
        <f>ROUND(T472*AB473*N471*R471/1000,0)</f>
        <v>#VALUE!</v>
      </c>
      <c r="II472" s="1382"/>
      <c r="IK472" s="1351" t="e">
        <f>IF($CO472="interior",IL472/2,VLOOKUP($CP472,Control_Savings_Exterior,IK$30,FALSE))</f>
        <v>#N/A</v>
      </c>
      <c r="IL472" s="1351" t="e">
        <f>IF($CO472="interior",VLOOKUP($CP472,Control_Savings_Interior,IL$30,FALSE),VLOOKUP($CP472,Control_Savings_Exterior,IL$30,FALSE))</f>
        <v>#N/A</v>
      </c>
      <c r="IM472" s="1351" t="e">
        <f>IF($CO472="interior",IF(R471&gt;FO$37,(IM$28*(FO$37/R471)),IM$28)*FP472,VLOOKUP($CP472,Control_Savings_Exterior,IM$30,FALSE))</f>
        <v>#N/A</v>
      </c>
      <c r="IN472" s="1351" t="e">
        <f>IF($CO472="interior",ROUND(((1-IL472)*IM472)+IL472,2),VLOOKUP($CP472,Control_Savings_Exterior,IN$30,FALSE))</f>
        <v>#N/A</v>
      </c>
      <c r="IO472" s="1351" t="e">
        <f>IF($CO472="interior", ROUND(((1-IL472)*(IM472*(1-IP$28)))+IP472,2), VLOOKUP($CP472,Control_Savings_Exterior,IO$30,FALSE))</f>
        <v>#N/A</v>
      </c>
      <c r="IP472" s="1351">
        <f>IF($CO472="interior",ROUND(((1-IL472)*IP$28)+IL472,2),0)</f>
        <v>0</v>
      </c>
    </row>
    <row r="473" spans="1:250" s="82" customFormat="1" ht="14.95" customHeight="1" thickTop="1" thickBot="1">
      <c r="B473" s="1421"/>
      <c r="C473" s="1422"/>
      <c r="D473" s="1423"/>
      <c r="E473" s="1462" t="s">
        <v>357</v>
      </c>
      <c r="F473" s="1463"/>
      <c r="G473" s="1464" t="s">
        <v>362</v>
      </c>
      <c r="H473" s="1465"/>
      <c r="I473" s="1465"/>
      <c r="J473" s="1465"/>
      <c r="K473" s="1465"/>
      <c r="L473" s="1466"/>
      <c r="M473" s="669">
        <f>IFERROR(VLOOKUP(G473,_Daylight_Table[],2,FALSE),0)</f>
        <v>0</v>
      </c>
      <c r="N473" s="670"/>
      <c r="O473" s="669" t="e">
        <f>VLOOKUP(G472,'Space Table'!$B$3:$L$160,11,FALSE)</f>
        <v>#N/A</v>
      </c>
      <c r="P473" s="1408"/>
      <c r="Q473" s="1409"/>
      <c r="R473" s="1409"/>
      <c r="S473" s="1402"/>
      <c r="T473" s="671" t="s">
        <v>281</v>
      </c>
      <c r="U473" s="1467" t="str">
        <f>IFERROR(VLOOKUP(U472,Fixtures!DM$93:DP$142,4,FALSE),"")</f>
        <v/>
      </c>
      <c r="V473" s="1468"/>
      <c r="W473" s="1468"/>
      <c r="X473" s="1468"/>
      <c r="Y473" s="1468"/>
      <c r="Z473" s="1468"/>
      <c r="AA473" s="1468"/>
      <c r="AB473" s="1046" t="str">
        <f>IFERROR(VLOOKUP(U472,Fixtures_Proposed_List,2,FALSE),"")</f>
        <v/>
      </c>
      <c r="AC473" s="1036" t="str">
        <f>IFERROR(ROUND(T472*AB473*N471*R471/1000,0),"")</f>
        <v/>
      </c>
      <c r="AD473" s="1037" t="str">
        <f>IFERROR(ROUND(T472*AB473/1000,2),"")</f>
        <v/>
      </c>
      <c r="AE473" s="1045" t="s">
        <v>281</v>
      </c>
      <c r="AF473" s="1469"/>
      <c r="AG473" s="1469"/>
      <c r="AH473" s="1469"/>
      <c r="AI473" s="1469"/>
      <c r="AJ473" s="1476"/>
      <c r="AK473" s="1471"/>
      <c r="AL473" s="1473"/>
      <c r="AM473" s="1443"/>
      <c r="AN473" s="1444"/>
      <c r="AO473" s="1449"/>
      <c r="AP473" s="1449"/>
      <c r="AQ473" s="1450"/>
      <c r="AR473" s="1453"/>
      <c r="AS473" s="1456"/>
      <c r="AT473" s="1459"/>
      <c r="AU473" s="517"/>
      <c r="AV473" s="1480"/>
      <c r="AW473" s="1480"/>
      <c r="BC473" s="38"/>
      <c r="BD473" s="38"/>
      <c r="BE473" s="38"/>
      <c r="BF473" s="38"/>
      <c r="BG473" s="38"/>
      <c r="BH473" s="38"/>
      <c r="BI473" s="38"/>
      <c r="BJ473" s="38"/>
      <c r="BK473" s="38"/>
      <c r="BL473" s="38"/>
      <c r="BM473" s="38"/>
      <c r="BN473" s="38"/>
      <c r="BO473" s="38"/>
      <c r="BP473" s="38"/>
      <c r="BQ473" s="38"/>
      <c r="BR473" s="38"/>
      <c r="BS473" s="38"/>
      <c r="BT473" s="38"/>
      <c r="BU473" s="38"/>
      <c r="BV473" s="38"/>
      <c r="BW473" s="38"/>
      <c r="BX473" s="38"/>
      <c r="BY473" s="38"/>
      <c r="BZ473" s="38"/>
      <c r="CA473" s="38"/>
      <c r="CB473" s="38"/>
      <c r="CC473" s="38"/>
      <c r="CD473" s="38"/>
      <c r="CE473" s="38"/>
      <c r="CF473" s="38"/>
      <c r="CG473" s="38"/>
      <c r="CH473" s="38"/>
      <c r="CI473" s="38"/>
      <c r="CM473" s="1352"/>
      <c r="CN473" s="1352"/>
      <c r="CO473" s="1416"/>
      <c r="CP473" s="1418"/>
      <c r="CR473" s="1386"/>
      <c r="CS473" s="1355"/>
      <c r="CT473" s="1355"/>
      <c r="CU473" s="1375"/>
      <c r="CV473" s="1372"/>
      <c r="CW473" s="1372"/>
      <c r="CX473" s="1372"/>
      <c r="CY473" s="1487"/>
      <c r="CZ473" s="1487"/>
      <c r="DA473" s="1487"/>
      <c r="DC473" s="1355"/>
      <c r="DD473" s="1355"/>
      <c r="DE473" s="1375"/>
      <c r="DF473" s="1407"/>
      <c r="DG473" s="1372"/>
      <c r="DH473" s="1369"/>
      <c r="DK473" s="1484"/>
      <c r="DL473" s="1420"/>
      <c r="DN473" s="1403"/>
      <c r="DO473" s="1405"/>
      <c r="DP473" s="1355"/>
      <c r="DQ473" s="1405"/>
      <c r="DR473" s="1403"/>
      <c r="DS473" s="1489"/>
      <c r="DU473" s="1403"/>
      <c r="DV473" s="1405"/>
      <c r="DW473" s="1403"/>
      <c r="DX473" s="1403"/>
      <c r="DZ473" s="1481"/>
      <c r="EA473" s="1481"/>
      <c r="EC473" s="1482"/>
      <c r="ED473" s="1369"/>
      <c r="EE473" s="1372"/>
      <c r="EF473" s="1369"/>
      <c r="EG473" s="1369"/>
      <c r="EH473" s="1375"/>
      <c r="EI473" s="1375"/>
      <c r="EJ473" s="1363"/>
      <c r="EK473" s="1376"/>
      <c r="EL473" s="1376"/>
      <c r="EM473" s="1362"/>
      <c r="EN473" s="1362"/>
      <c r="EO473" s="1363"/>
      <c r="EP473" s="1363"/>
      <c r="EQ473" s="1363"/>
      <c r="ES473" s="1403"/>
      <c r="EU473" s="1488"/>
      <c r="EV473" s="1488"/>
      <c r="EW473" s="1488"/>
      <c r="EX473" s="1488"/>
      <c r="EY473" s="1488"/>
      <c r="EZ473" s="1414"/>
      <c r="FB473" s="1365"/>
      <c r="FD473" s="1355"/>
      <c r="FE473" s="1355"/>
      <c r="FF473" s="138"/>
      <c r="FI473" s="1357"/>
      <c r="FJ473" s="1357"/>
      <c r="FK473" s="1365"/>
      <c r="FL473" s="1365"/>
      <c r="FM473" s="1365"/>
      <c r="FO473" s="1361"/>
      <c r="FP473" s="1361"/>
      <c r="FQ473" s="1366"/>
      <c r="FR473" s="1361"/>
      <c r="FS473" s="1361"/>
      <c r="FT473" s="1361"/>
      <c r="FU473" s="1360"/>
      <c r="FW473" s="1352"/>
      <c r="FX473" s="1352"/>
      <c r="FY473" s="1352"/>
      <c r="FZ473" s="1352"/>
      <c r="GA473" s="1352"/>
      <c r="GB473" s="1352"/>
      <c r="GC473" s="1352"/>
      <c r="GD473" s="1352"/>
      <c r="GE473" s="759"/>
      <c r="GF473" s="1035"/>
      <c r="GG473" s="1385"/>
      <c r="GJ473" s="1034">
        <f>IF(GJ471=TRUE,0,GJ$16)</f>
        <v>0</v>
      </c>
      <c r="GL473" s="1034">
        <f>IF(GL471=TRUE,0,GL$16)</f>
        <v>36</v>
      </c>
      <c r="GM473" s="1034">
        <f>IF(GM471=TRUE,0,GM$16)</f>
        <v>35</v>
      </c>
      <c r="GN473" s="436"/>
      <c r="GO473" s="436"/>
      <c r="GP473" s="436"/>
      <c r="GQ473" s="436"/>
      <c r="GR473" s="436"/>
      <c r="HC473" s="1034">
        <f t="shared" ref="HC473:HH473" si="346">IF(HC471=TRUE,0,HC$16)</f>
        <v>19</v>
      </c>
      <c r="HD473" s="1034">
        <f t="shared" si="346"/>
        <v>18</v>
      </c>
      <c r="HE473" s="1034">
        <f t="shared" si="346"/>
        <v>17</v>
      </c>
      <c r="HF473" s="1034">
        <f t="shared" si="346"/>
        <v>16</v>
      </c>
      <c r="HG473" s="1034">
        <f t="shared" si="346"/>
        <v>0</v>
      </c>
      <c r="HH473" s="1034">
        <f t="shared" si="346"/>
        <v>0</v>
      </c>
      <c r="HI473" s="1034">
        <f>IF(HI471=TRUE,0,HI$16)</f>
        <v>13</v>
      </c>
      <c r="HJ473" s="1034">
        <f t="shared" ref="HJ473:HL473" si="347">IF(HJ471=TRUE,0,HJ$16)</f>
        <v>12</v>
      </c>
      <c r="HK473" s="1034">
        <f t="shared" si="347"/>
        <v>11</v>
      </c>
      <c r="HL473" s="1034">
        <f t="shared" si="347"/>
        <v>10</v>
      </c>
      <c r="HM473" s="1034">
        <f>IF(HM471=TRUE,0,HM$16)</f>
        <v>9</v>
      </c>
      <c r="HN473" s="1034">
        <f t="shared" ref="HN473:HR473" si="348">IF(HN471=TRUE,0,HN$16)</f>
        <v>0</v>
      </c>
      <c r="HO473" s="1034">
        <f t="shared" si="348"/>
        <v>0</v>
      </c>
      <c r="HP473" s="1034">
        <f t="shared" si="348"/>
        <v>0</v>
      </c>
      <c r="HQ473" s="1034">
        <f t="shared" si="348"/>
        <v>0</v>
      </c>
      <c r="HR473" s="1034">
        <f t="shared" si="348"/>
        <v>0</v>
      </c>
      <c r="HS473" s="1034">
        <f>IF(HS471=TRUE,0,HS$16)</f>
        <v>0</v>
      </c>
      <c r="HT473" s="1034">
        <f t="shared" ref="HT473" si="349">IF(HT471=TRUE,0,HT$16)</f>
        <v>0</v>
      </c>
      <c r="HU473" s="1034">
        <f>IF(HU471=TRUE,0,HU$16)</f>
        <v>1</v>
      </c>
      <c r="HW473" s="1034">
        <f>IF(GL471=FALSE,GL473,IF(GM471=FALSE,GM473,MAX(GJ473:HU473)))</f>
        <v>36</v>
      </c>
      <c r="HX473" s="1383"/>
      <c r="HY473" s="241" t="str">
        <f>VLOOKUP(HW473,_Error_Table,3,FALSE)</f>
        <v xml:space="preserve"> </v>
      </c>
      <c r="HZ473" s="241"/>
      <c r="IA473" s="1386"/>
      <c r="IB473" s="1380"/>
      <c r="IC473" s="1379"/>
      <c r="IF473" s="1380"/>
      <c r="IG473" s="1383"/>
      <c r="IH473" s="1383"/>
      <c r="II473" s="1383"/>
      <c r="IK473" s="1351"/>
      <c r="IL473" s="1351"/>
      <c r="IM473" s="1351"/>
      <c r="IN473" s="1351"/>
      <c r="IO473" s="1351"/>
      <c r="IP473" s="1351"/>
    </row>
    <row r="474" spans="1:250" s="82" customFormat="1" ht="5.0999999999999996" customHeight="1" thickBot="1">
      <c r="B474" s="763"/>
      <c r="C474" s="1038"/>
      <c r="D474" s="1038"/>
      <c r="E474" s="1490"/>
      <c r="F474" s="1490"/>
      <c r="G474" s="1490"/>
      <c r="H474" s="1490"/>
      <c r="I474" s="1490"/>
      <c r="J474" s="1490"/>
      <c r="K474" s="1490"/>
      <c r="L474" s="1490"/>
      <c r="M474" s="1490"/>
      <c r="N474" s="1490"/>
      <c r="O474" s="1490"/>
      <c r="P474" s="1490"/>
      <c r="Q474" s="1490"/>
      <c r="R474" s="1490"/>
      <c r="S474" s="1490"/>
      <c r="T474" s="1490"/>
      <c r="U474" s="1490"/>
      <c r="V474" s="1490"/>
      <c r="W474" s="1490"/>
      <c r="X474" s="1490"/>
      <c r="Y474" s="1490"/>
      <c r="Z474" s="1490"/>
      <c r="AA474" s="1490"/>
      <c r="AB474" s="1490"/>
      <c r="AC474" s="1490"/>
      <c r="AD474" s="1490"/>
      <c r="AE474" s="1490"/>
      <c r="AF474" s="1490"/>
      <c r="AG474" s="1490"/>
      <c r="AH474" s="1490"/>
      <c r="AI474" s="1490"/>
      <c r="AJ474" s="1490"/>
      <c r="AK474" s="1490"/>
      <c r="AL474" s="1490"/>
      <c r="AM474" s="1490"/>
      <c r="AN474" s="1490"/>
      <c r="AO474" s="1490"/>
      <c r="AP474" s="1490"/>
      <c r="AQ474" s="1490"/>
      <c r="AR474" s="1490"/>
      <c r="AS474" s="1490"/>
      <c r="AT474" s="1490"/>
      <c r="AU474" s="1041"/>
      <c r="BC474" s="38"/>
      <c r="BD474" s="38"/>
      <c r="BE474" s="38"/>
      <c r="BF474" s="38"/>
      <c r="BG474" s="38"/>
      <c r="BH474" s="38"/>
      <c r="BI474" s="38"/>
      <c r="BJ474" s="38"/>
      <c r="BK474" s="38"/>
      <c r="BL474" s="38"/>
      <c r="BM474" s="38"/>
      <c r="BN474" s="38"/>
      <c r="BO474" s="38"/>
      <c r="BP474" s="38"/>
      <c r="BQ474" s="38"/>
      <c r="BR474" s="38"/>
      <c r="BS474" s="38"/>
      <c r="BT474" s="38"/>
      <c r="BU474" s="38"/>
      <c r="BV474" s="38"/>
      <c r="BW474" s="38"/>
      <c r="BX474" s="38"/>
      <c r="BY474" s="38"/>
      <c r="BZ474" s="38"/>
      <c r="CA474" s="38"/>
      <c r="CB474" s="38"/>
      <c r="CC474" s="38"/>
      <c r="CD474" s="38"/>
      <c r="CE474" s="38"/>
      <c r="CF474" s="38"/>
      <c r="CG474" s="38"/>
      <c r="CH474" s="38"/>
      <c r="CI474" s="38"/>
      <c r="CM474" s="749"/>
      <c r="CN474" s="749"/>
      <c r="CO474" s="1043"/>
      <c r="CP474" s="749"/>
      <c r="CS474" s="436"/>
      <c r="CT474" s="436"/>
      <c r="CU474" s="243"/>
      <c r="CV474" s="244"/>
      <c r="CW474" s="244"/>
      <c r="CX474" s="244"/>
      <c r="CY474" s="245"/>
      <c r="CZ474" s="245"/>
      <c r="DA474" s="245"/>
      <c r="DC474" s="750"/>
      <c r="DD474" s="751"/>
      <c r="DE474" s="752"/>
      <c r="DF474" s="753"/>
      <c r="DG474" s="754"/>
      <c r="DH474" s="754"/>
      <c r="DK474" s="244"/>
      <c r="DL474" s="750"/>
      <c r="DN474" s="750"/>
      <c r="DO474" s="755"/>
      <c r="DP474" s="436"/>
      <c r="DQ474" s="750"/>
      <c r="DR474" s="750"/>
      <c r="DS474" s="750"/>
      <c r="DU474" s="750"/>
      <c r="DV474" s="750"/>
      <c r="DW474" s="750"/>
      <c r="DX474" s="750"/>
      <c r="DZ474" s="756"/>
      <c r="EA474" s="756"/>
      <c r="EC474" s="754"/>
      <c r="ED474" s="754"/>
      <c r="EE474" s="244"/>
      <c r="EF474" s="754"/>
      <c r="EG474" s="754"/>
      <c r="EH474" s="243"/>
      <c r="EI474" s="243"/>
      <c r="EJ474" s="752"/>
      <c r="EK474" s="757"/>
      <c r="EL474" s="757"/>
      <c r="EM474" s="758"/>
      <c r="EN474" s="758"/>
      <c r="EO474" s="752"/>
      <c r="EP474" s="752"/>
      <c r="EQ474" s="752"/>
      <c r="ES474" s="750"/>
      <c r="EU474" s="436"/>
      <c r="EV474" s="436"/>
      <c r="EW474" s="436"/>
      <c r="EX474" s="436"/>
      <c r="EY474" s="436"/>
      <c r="EZ474" s="436"/>
      <c r="FB474" s="643"/>
      <c r="FD474" s="436"/>
      <c r="FE474" s="436"/>
      <c r="FF474" s="436"/>
      <c r="FO474" s="750"/>
      <c r="FP474" s="436"/>
      <c r="FQ474" s="436"/>
      <c r="FR474" s="750"/>
      <c r="FS474" s="750"/>
      <c r="FW474" s="749"/>
      <c r="FX474" s="749"/>
      <c r="FY474" s="749"/>
      <c r="FZ474" s="749"/>
      <c r="GA474" s="749"/>
      <c r="GB474" s="749"/>
      <c r="GC474" s="749"/>
      <c r="GD474" s="749"/>
      <c r="GE474" s="751"/>
      <c r="GF474" s="750"/>
      <c r="GG474" s="750"/>
    </row>
    <row r="475" spans="1:250" s="82" customFormat="1" ht="14.95" customHeight="1" thickTop="1" thickBot="1">
      <c r="B475" s="1421" t="str">
        <f>HY478</f>
        <v xml:space="preserve"> </v>
      </c>
      <c r="C475" s="1422">
        <f>C470+1</f>
        <v>85</v>
      </c>
      <c r="D475" s="1423"/>
      <c r="E475" s="1424" t="s">
        <v>242</v>
      </c>
      <c r="F475" s="1425"/>
      <c r="G475" s="1426"/>
      <c r="H475" s="1427"/>
      <c r="I475" s="1427"/>
      <c r="J475" s="1427"/>
      <c r="K475" s="1427"/>
      <c r="L475" s="1427"/>
      <c r="M475" s="1427"/>
      <c r="N475" s="1427"/>
      <c r="O475" s="1427"/>
      <c r="P475" s="1427"/>
      <c r="Q475" s="1427"/>
      <c r="R475" s="1427"/>
      <c r="S475" s="1428" t="s">
        <v>283</v>
      </c>
      <c r="T475" s="668" t="s">
        <v>190</v>
      </c>
      <c r="U475" s="1430" t="s">
        <v>186</v>
      </c>
      <c r="V475" s="1431"/>
      <c r="W475" s="1431"/>
      <c r="X475" s="1431"/>
      <c r="Y475" s="1431"/>
      <c r="Z475" s="1431"/>
      <c r="AA475" s="1431"/>
      <c r="AB475" s="1088" t="str">
        <f>IFERROR(IF(__Retrofit_TI_NC=0,VLOOKUP(U476,Fixtures_Existing_List,2,FALSE),ROUND(N477*R477/T477,10)),"")</f>
        <v/>
      </c>
      <c r="AC475" s="1039" t="str">
        <f>IFERROR(IF(__Retrofit_TI_NC=0,ROUND(T476*AB475*N476*R476/1000,0),IF(CN475="Interior",N477*R477*R476*N476*_C406_reduction/1000,N477*R477*R476*N476/1000)),"")</f>
        <v/>
      </c>
      <c r="AD475" s="1040" t="str">
        <f>IFERROR(IF(C$36=0,ROUND(T476*AB475/1000,2),N477*R477/1000),"")</f>
        <v/>
      </c>
      <c r="AE475" s="1044" t="s">
        <v>190</v>
      </c>
      <c r="AF475" s="1432" t="str">
        <f>IF(__Retrofit_TI_NC=2,CONCATENATE("Code min = ",DD475),IF(__Retrofit_TI_NC=1,"Emter what you think the existing control was"," Control"))</f>
        <v xml:space="preserve"> Control</v>
      </c>
      <c r="AG475" s="1432"/>
      <c r="AH475" s="1432"/>
      <c r="AI475" s="1432"/>
      <c r="AJ475" s="1433">
        <f>DF475</f>
        <v>0</v>
      </c>
      <c r="AK475" s="1435" t="str">
        <f>IFERROR(ROUND(AJ475*AC475,0),"")</f>
        <v/>
      </c>
      <c r="AL475" s="1437">
        <f>IFERROR(IF(HW475=FALSE,0,AC475-AK475),0)</f>
        <v>0</v>
      </c>
      <c r="AM475" s="1439">
        <f>AL475-AL477</f>
        <v>0</v>
      </c>
      <c r="AN475" s="1440"/>
      <c r="AO475" s="1445">
        <f>IFERROR(IF(HW475=FALSE,0,(T477*U478)+(AE477*AF478)),0)</f>
        <v>0</v>
      </c>
      <c r="AP475" s="1445"/>
      <c r="AQ475" s="1446"/>
      <c r="AR475" s="1451" t="s">
        <v>157</v>
      </c>
      <c r="AS475" s="1454">
        <f>IF(AR475="Yes",1,0)</f>
        <v>1</v>
      </c>
      <c r="AT475" s="1457" t="str">
        <f>IF(OR(DN475=4,DN475=5,DN475=6,DN475=12),CONCATENATE("$",IF(GD475=TRUE,Lookup!$B$11,Lookup!$B$2)," /lamp"),CONCATENATE(EA475,"/ kWh"))</f>
        <v>0/ kWh</v>
      </c>
      <c r="AU475" s="516"/>
      <c r="AV475" s="1478">
        <f>IFERROR(IF(GI476=TRUE,(AB478*T477)/R477,0),"NA")</f>
        <v>0</v>
      </c>
      <c r="AW475" s="1478" t="str">
        <f>IFERROR(N477*_C406_reduction,"NA")</f>
        <v>NA</v>
      </c>
      <c r="BC475" s="38"/>
      <c r="BD475" s="38"/>
      <c r="BE475" s="38"/>
      <c r="BF475" s="38"/>
      <c r="BG475" s="38"/>
      <c r="BH475" s="38"/>
      <c r="BI475" s="38"/>
      <c r="BJ475" s="38"/>
      <c r="BK475" s="38"/>
      <c r="BL475" s="38"/>
      <c r="BM475" s="38"/>
      <c r="BN475" s="38"/>
      <c r="BO475" s="38"/>
      <c r="BP475" s="38"/>
      <c r="BQ475" s="38"/>
      <c r="BR475" s="38"/>
      <c r="BS475" s="38"/>
      <c r="BT475" s="38"/>
      <c r="BU475" s="38"/>
      <c r="BV475" s="38"/>
      <c r="BW475" s="38"/>
      <c r="BX475" s="38"/>
      <c r="BY475" s="38"/>
      <c r="BZ475" s="38"/>
      <c r="CA475" s="38"/>
      <c r="CB475" s="38"/>
      <c r="CC475" s="38"/>
      <c r="CD475" s="38"/>
      <c r="CE475" s="38"/>
      <c r="CF475" s="38"/>
      <c r="CG475" s="38"/>
      <c r="CH475" s="38"/>
      <c r="CI475" s="38"/>
      <c r="CM475" s="1352" t="str">
        <f>N476</f>
        <v/>
      </c>
      <c r="CN475" s="1352" t="str">
        <f>IFERROR(VLOOKUP(G476,_Lookup_Heat_Type_Table_New,3,FALSE),"")</f>
        <v/>
      </c>
      <c r="CO475" s="1415" t="str">
        <f>CN475</f>
        <v/>
      </c>
      <c r="CP475" s="1417" t="e">
        <f>VLOOKUP(G477,'Space Table'!$B$3:$L$160,9,FALSE)</f>
        <v>#N/A</v>
      </c>
      <c r="CR475" s="1386" t="s">
        <v>283</v>
      </c>
      <c r="CS475" s="1353">
        <f>IF(HW475=TRUE,T476,0)</f>
        <v>0</v>
      </c>
      <c r="CT475" s="1353" t="str">
        <f>IF(HW475=TRUE,U476,"")</f>
        <v/>
      </c>
      <c r="CU475" s="1353"/>
      <c r="CV475" s="1370">
        <f>IF(HW475=TRUE,AB475,0)</f>
        <v>0</v>
      </c>
      <c r="CW475" s="1370">
        <f>IF(HW475=TRUE,AC475,0)</f>
        <v>0</v>
      </c>
      <c r="CX475" s="1370">
        <f>IFERROR(IF(HW475=TRUE,CW475-CW477,0),0)</f>
        <v>0</v>
      </c>
      <c r="CY475" s="1485">
        <f>IF(HW475=TRUE,AD475,0)</f>
        <v>0</v>
      </c>
      <c r="CZ475" s="1485">
        <f>IF(HW475=TRUE,AD478,0)</f>
        <v>0</v>
      </c>
      <c r="DA475" s="1485">
        <f>IFERROR(CY475-CZ475,0)</f>
        <v>0</v>
      </c>
      <c r="DC475" s="1353">
        <f>IF(HW475=TRUE,AE476,0)</f>
        <v>0</v>
      </c>
      <c r="DD475" s="1460">
        <f>IF(__Retrofit_TI_NC=2,IF(CN475="Exterior",O478,FM475),FK475)</f>
        <v>0</v>
      </c>
      <c r="DE475" s="1353"/>
      <c r="DF475" s="1406">
        <f>IFERROR(IF(FL475=3,IK475,IF(FL475=4,IL475,IF(FL475=5,IM475,IF(FL475=6,IN475,IF(FL475=7,IO475,IF(FL475=8,IP475,0)))))),0)</f>
        <v>0</v>
      </c>
      <c r="DG475" s="1370">
        <f>IF(HW475=TRUE,AK475,0)</f>
        <v>0</v>
      </c>
      <c r="DH475" s="1369">
        <f>IFERROR(IF(HW475=TRUE,DG477-DG475,0),0)</f>
        <v>0</v>
      </c>
      <c r="DJ475" s="1483">
        <f>IFERROR(CW475-DG475,0)</f>
        <v>0</v>
      </c>
      <c r="DL475" s="1419">
        <f>DJ475-DK477</f>
        <v>0</v>
      </c>
      <c r="DN475" s="1403" t="str">
        <f>IFERROR(IF(AND(OR(FY475=4,FY475=5,FY475=6),OR(GB475=4,GB475=5,GB475=6)),FY475+8,VLOOKUP(CT477,Fixtures!R$31:Y$78,8,FALSE)),"")</f>
        <v/>
      </c>
      <c r="DO475" s="1404" t="str">
        <f>DN475</f>
        <v/>
      </c>
      <c r="DP475" s="1353" t="str">
        <f>IFERROR(VLOOKUP(DD477,Lookup!AU$3:AV$15,2,FALSE),"")</f>
        <v/>
      </c>
      <c r="DQ475" s="1404" t="str">
        <f>IF(DP475=7,"LLLC","")</f>
        <v/>
      </c>
      <c r="DR475" s="1403">
        <f>IFERROR(IF(OR(DN475=4,DN475=5,DN475=6,DN475=12,DN475=13,DN475=14),VLOOKUP(CT477,Fixtures!DN$27:EG$77,19,FALSE),1)*CS477,0)</f>
        <v>0</v>
      </c>
      <c r="DS475" s="1489">
        <f>IF(DP475=7,IF(DD475=DD477,0,DC477),0)</f>
        <v>0</v>
      </c>
      <c r="DU475" s="1403" t="str">
        <f>IFERROR(IF(EW475&lt;EW477,"Yes","No"),"")</f>
        <v/>
      </c>
      <c r="DV475" s="1404" t="str">
        <f>DU475</f>
        <v/>
      </c>
      <c r="DW475" s="1403">
        <f>IF(DU475="Yes",DC477,0)</f>
        <v>0</v>
      </c>
      <c r="DX475" s="1403">
        <f>DW475-DS475</f>
        <v>0</v>
      </c>
      <c r="DZ475" s="1481">
        <f>IFERROR(VLOOKUP(DN475,Lookup!AN$3:AO$16,2,FALSE),0)</f>
        <v>0</v>
      </c>
      <c r="EA475" s="1481">
        <f>IF(HW475=FALSE,0,IF(DU475="Yes",DZ475+Lookup!B$6,DZ475))</f>
        <v>0</v>
      </c>
      <c r="EC475" s="1482">
        <f>IF(HW475=TRUE,DJ475,0)</f>
        <v>0</v>
      </c>
      <c r="ED475" s="1369">
        <f>IF(HW475=TRUE,CW477,0)</f>
        <v>0</v>
      </c>
      <c r="EE475" s="1370">
        <f>IFERROR(EC475-ED475,0)</f>
        <v>0</v>
      </c>
      <c r="EF475" s="1369">
        <f>IF(HW475=TRUE,DG477,0)</f>
        <v>0</v>
      </c>
      <c r="EG475" s="1369">
        <f>IFERROR(EC475-ED475+EF475,0)</f>
        <v>0</v>
      </c>
      <c r="EH475" s="1373">
        <f>IF(HW475=TRUE,CS477*CU477,0)</f>
        <v>0</v>
      </c>
      <c r="EI475" s="1373">
        <f>IF(HW475=TRUE,DC477*DE477,0)</f>
        <v>0</v>
      </c>
      <c r="EJ475" s="1363">
        <f>AO475</f>
        <v>0</v>
      </c>
      <c r="EK475" s="1376" t="str">
        <f>IFERROR(IF(HW475=TRUE,VLOOKUP(DN475,Lookup!AN$3:AP$16,3,FALSE)*DR475,""),0)</f>
        <v/>
      </c>
      <c r="EL475" s="1376">
        <f>IF(HW475=TRUE,DW475*Lookup!AP$12,0)</f>
        <v>0</v>
      </c>
      <c r="EM475" s="1362">
        <f>IFERROR(IF(HW475=TRUE,EK475/EM$33,0),0)</f>
        <v>0</v>
      </c>
      <c r="EN475" s="1362">
        <f>IF(HW475=TRUE,EL475/EN$33,0)</f>
        <v>0</v>
      </c>
      <c r="EO475" s="1363">
        <f>IF(HW475=TRUE,EQ$33*EM475,0)</f>
        <v>0</v>
      </c>
      <c r="EP475" s="1363">
        <f>IF(HW475=TRUE,EQ$33*EN475,0)</f>
        <v>0</v>
      </c>
      <c r="EQ475" s="1363">
        <f>EO475+EP475</f>
        <v>0</v>
      </c>
      <c r="ES475" s="1403">
        <f>IF(G475="",0,1)</f>
        <v>0</v>
      </c>
      <c r="EU475" s="1410" t="e">
        <f>VLOOKUP(CP477,'Space Table'!$B$3:$L$160,8,FALSE)</f>
        <v>#N/A</v>
      </c>
      <c r="EV475" s="1410" t="e">
        <f>IF(EY475="Yes",VLOOKUP(DD475,Lookup_Control_Type_Table2,4,FALSE),VLOOKUP(DD475,Lookup_Control_Type_Table2,3,FALSE))</f>
        <v>#N/A</v>
      </c>
      <c r="EW475" s="1410" t="e">
        <f>VLOOKUP(DD475,Lookup!AU$3:AV$15,2,FALSE)</f>
        <v>#N/A</v>
      </c>
      <c r="EX475" s="1410" t="e">
        <f>VLOOKUP(EU475,Lookup_Control_Type_Table,2,FALSE)</f>
        <v>#N/A</v>
      </c>
      <c r="EY475" s="1410" t="e">
        <f>VLOOKUP(CP477,'Space Table'!$B$3:$L$160,7,FALSE)</f>
        <v>#N/A</v>
      </c>
      <c r="EZ475" s="1412" t="b">
        <f>ISNUMBER(SEARCH("TLED",U477))</f>
        <v>0</v>
      </c>
      <c r="FB475" s="1365" t="str">
        <f>CONCATENATE(CN475," - ",DD475)</f>
        <v xml:space="preserve"> - 0</v>
      </c>
      <c r="FD475" s="1353" t="str">
        <f>VLOOKUP(CT477,Fixtures!DN$27:EZ$77,38,FALSE)</f>
        <v/>
      </c>
      <c r="FE475" s="1353">
        <f>IFERROR(FD475*EE475,0)</f>
        <v>0</v>
      </c>
      <c r="FF475" s="138"/>
      <c r="FI475" s="1356" t="str">
        <f>IF(CN475="Exterior","Not Daylighted",G478)</f>
        <v>Not Daylighted</v>
      </c>
      <c r="FJ475" s="1356">
        <f>VLOOKUP(FI475,_Daylight_Table_Codes,2,FALSE)</f>
        <v>0</v>
      </c>
      <c r="FK475" s="1365">
        <f>IF(__Retrofit_TI_NC=2,VLOOKUP(G477,'Space Table'!$B$3:$L$160,11,FALSE),AF476)</f>
        <v>0</v>
      </c>
      <c r="FL475" s="1365" t="e">
        <f>VLOOKUP(FK475,_Control_Table,2,FALSE)</f>
        <v>#N/A</v>
      </c>
      <c r="FM475" s="1365" t="e">
        <f>IF(AND(FP475&gt;0,FK475="Occupancy Sensor"),"Daylight + Occupancy",IF(AND(FP475&gt;0,FL475&lt;4),"Interior Daylight Dimming",FK475))</f>
        <v>#N/A</v>
      </c>
      <c r="FO475" s="1364">
        <f>IF(CO475="Interior",VLOOKUP(CP475,Control_Savings_Interior,5,FALSE),0)</f>
        <v>0</v>
      </c>
      <c r="FP475" s="1361">
        <f>IF(CN475="Exterior",0,IF(FJ475=2,0.5,IF(OR(FJ475=1,FJ475=3),1,0)))</f>
        <v>0</v>
      </c>
      <c r="FQ475" s="1366"/>
      <c r="FR475" s="1367"/>
      <c r="FS475" s="1364"/>
      <c r="FT475" s="1367"/>
      <c r="FU475" s="1360"/>
      <c r="FW475" s="1352" t="str">
        <f>IFERROR(VLOOKUP(U476,_Exist_Fixture_Table,3,FALSE),"")</f>
        <v/>
      </c>
      <c r="FX475" s="1352" t="str">
        <f>VLOOKUP(CT475,_Exist_Fixture_Table,4,FALSE)</f>
        <v/>
      </c>
      <c r="FY475" s="1352">
        <f>IFERROR(VLOOKUP(FX475,Lookup!AM$6:AN$8,2,FALSE),0)</f>
        <v>0</v>
      </c>
      <c r="FZ475" s="1352" t="b">
        <f>IFERROR(IF(OR(GB475=4,GB475=5,GB475=6),TRUE,FALSE),"")</f>
        <v>0</v>
      </c>
      <c r="GA475" s="1352" t="str">
        <f>IFERROR(VLOOKUP(GB475,FY$6:FZ$10,2,FALSE),"")</f>
        <v/>
      </c>
      <c r="GB475" s="1352" t="str">
        <f>VLOOKUP(CT477,Fixtures!R$31:Y$78,8,FALSE)</f>
        <v/>
      </c>
      <c r="GC475" s="1352">
        <f>IF(AND(FW475=TRUE,FZ475=TRUE,OR(DN475=12,DN475=13,DN475=14)),FY475+8,0)</f>
        <v>0</v>
      </c>
      <c r="GD475" s="1352" t="b">
        <f>IF(OR(GC475=12,GC475=13,GC475=14),TRUE,FALSE)</f>
        <v>0</v>
      </c>
      <c r="GE475" s="759" t="b">
        <f>IF(ISNUMBER(SEARCH("TLED",U476)),TRUE,FALSE)</f>
        <v>0</v>
      </c>
      <c r="GF475" s="1035" t="str">
        <f>IFERROR(VLOOKUP(U476,Fixtures!BM$93:BR$142,6,FALSE),"")</f>
        <v/>
      </c>
      <c r="GG475" s="1385" t="b">
        <f>IF(OR(GE475=FALSE,GE477=FALSE),TRUE,IF(GF475-GF477&lt;5,FALSE,TRUE))</f>
        <v>1</v>
      </c>
      <c r="GK475" s="1034">
        <f>GL475</f>
        <v>0</v>
      </c>
      <c r="GL475" s="1034">
        <f>IF(G475="",0,1)</f>
        <v>0</v>
      </c>
      <c r="GM475" s="1034">
        <f>SUM(GN475:HB475)</f>
        <v>2</v>
      </c>
      <c r="GN475" s="1034">
        <f>IF(G476="",0,1)</f>
        <v>0</v>
      </c>
      <c r="GO475" s="1034">
        <f>IF(G477="",0,1)</f>
        <v>0</v>
      </c>
      <c r="GP475" s="1034">
        <f>IF(R476="",0,1)</f>
        <v>0</v>
      </c>
      <c r="GQ475" s="1034">
        <f>IF(__Retrofit_TI_NC=0,1,IF(R477="",0,1))</f>
        <v>1</v>
      </c>
      <c r="GR475" s="1034">
        <f>IF(CN475="Exterior",1,IF(G478="",0,1))</f>
        <v>1</v>
      </c>
      <c r="GS475" s="1034">
        <f>IF(__Retrofit_TI_NC&lt;&gt;0,1,IF(T476="",0,1))</f>
        <v>0</v>
      </c>
      <c r="GT475" s="1034">
        <f>IF(__Retrofit_TI_NC&lt;&gt;0,1,IF(U476="",0,1))</f>
        <v>0</v>
      </c>
      <c r="GU475" s="1034">
        <f>IF(T477="",0,1)</f>
        <v>0</v>
      </c>
      <c r="GV475" s="1034">
        <f>IF(U477="",0,1)</f>
        <v>0</v>
      </c>
      <c r="GW475" s="1034">
        <f>IF(__Retrofit_TI_NC=2,1,IF(U478="",0,1))</f>
        <v>0</v>
      </c>
      <c r="GX475" s="1034">
        <f>IF(__Retrofit_TI_NC&lt;&gt;0,1,IF(AE476="",0,1))</f>
        <v>0</v>
      </c>
      <c r="GY475" s="1034">
        <f>IF(__Retrofit_TI_NC&lt;&gt;0,1,IF(AF476="",0,1))</f>
        <v>0</v>
      </c>
      <c r="GZ475" s="1034">
        <f>IF(AE477="",0,1)</f>
        <v>0</v>
      </c>
      <c r="HA475" s="1034">
        <f>IF(AF477="",0,1)</f>
        <v>0</v>
      </c>
      <c r="HB475" s="1034">
        <f>IF(__Retrofit_TI_NC=2,1,IF(AF478="",0,1))</f>
        <v>0</v>
      </c>
      <c r="HV475" s="436"/>
      <c r="HW475" s="1384" t="b">
        <f>IF(OR(HW478=0,HW478=HT$16,HW478=HS$16,HW478=HU$16),TRUE,FALSE)</f>
        <v>0</v>
      </c>
      <c r="HX475" s="1377" t="b">
        <f>HW475</f>
        <v>0</v>
      </c>
      <c r="HY475" s="436"/>
      <c r="HZ475" s="436"/>
      <c r="IA475" s="1386" t="b">
        <f>IF(MAX(GJ478:HP478)&gt;5,FALSE,TRUE)</f>
        <v>0</v>
      </c>
      <c r="IB475" s="1380">
        <f>IF(IA475=TRUE,AC475,0)</f>
        <v>0</v>
      </c>
      <c r="IC475" s="1380">
        <f>IB475-IB477</f>
        <v>0</v>
      </c>
      <c r="IF475" s="1380" t="e">
        <f>ROUND(T476*VLOOKUP(U476,Fixtures_Existing_List,2,FALSE)*N476*R476/1000,0)</f>
        <v>#N/A</v>
      </c>
      <c r="IG475" s="1381" t="e">
        <f>IF475-IF477</f>
        <v>#N/A</v>
      </c>
      <c r="IH475" s="1384" t="e">
        <f>ROUND(IF(CN475="Interior",N477*R477*R476*N476*_C406_reduction/1000,N477*R477*R476*N476/1000),0)</f>
        <v>#N/A</v>
      </c>
      <c r="II475" s="1384" t="e">
        <f>IH475-IH477</f>
        <v>#N/A</v>
      </c>
      <c r="IK475" s="1351" t="e">
        <f>IF($CO475="interior",IL475/2,VLOOKUP($CP475,Control_Savings_Exterior,IK$30,FALSE))</f>
        <v>#N/A</v>
      </c>
      <c r="IL475" s="1351" t="e">
        <f>IF($CO475="interior",VLOOKUP($CP475,Control_Savings_Interior,IL$30,FALSE),VLOOKUP($CP475,Control_Savings_Exterior,IL$30,FALSE))</f>
        <v>#N/A</v>
      </c>
      <c r="IM475" s="1351" t="e">
        <f>IF($CO475="interior",IF(R476&gt;FO$37,(IM$28*(FO$37/R476)),IM$28)*FP475,VLOOKUP($CP475,Control_Savings_Exterior,IM$30,FALSE))</f>
        <v>#N/A</v>
      </c>
      <c r="IN475" s="1351" t="e">
        <f>IF($CO475="interior",ROUND(((1-IL475)*IM475)+IL475,2),VLOOKUP($CP475,Control_Savings_Exterior,IN$30,FALSE))</f>
        <v>#N/A</v>
      </c>
      <c r="IO475" s="1351" t="e">
        <f>IF($CO475="interior", ROUND(((1-IL475)*(IM475*(1-IP$28)))+IP475,2), VLOOKUP($CP475,Control_Savings_Exterior,IO$30,FALSE))</f>
        <v>#N/A</v>
      </c>
      <c r="IP475" s="1351">
        <f>IF($CO475="interior",ROUND(((1-IL475)*IP$28)+IL475,2),0)</f>
        <v>0</v>
      </c>
    </row>
    <row r="476" spans="1:250" s="82" customFormat="1" ht="14.95" customHeight="1" thickTop="1" thickBot="1">
      <c r="B476" s="1421"/>
      <c r="C476" s="1422"/>
      <c r="D476" s="1423"/>
      <c r="E476" s="1393" t="s">
        <v>244</v>
      </c>
      <c r="F476" s="1394"/>
      <c r="G476" s="1395"/>
      <c r="H476" s="1395"/>
      <c r="I476" s="1395"/>
      <c r="J476" s="1395"/>
      <c r="K476" s="1395"/>
      <c r="L476" s="1395"/>
      <c r="M476" s="509" t="e">
        <f>IF(__Retrofit_TI_NC&lt;&gt;0,IF(VLOOKUP(G477,'Space Table'!$B$3:$L$160,3,FALSE)&gt;0,1,0),IF(__Retrofit_TI_NC=VLOOKUP(G477,'Space Table'!$B$3:$L$160,3,FALSE),1,0))</f>
        <v>#N/A</v>
      </c>
      <c r="N476" s="509" t="str">
        <f>IFERROR(VLOOKUP(G476,_Lookup_Heat_Type_Table_New,2,FALSE),"")</f>
        <v/>
      </c>
      <c r="O476" s="509">
        <f>IF(__Retrofit_TI_NC=1,CONCATENATE("TI ",G476),IF(__Retrofit_TI_NC=2,CONCATENATE("NC ",G476),G476))</f>
        <v>0</v>
      </c>
      <c r="P476" s="1396" t="s">
        <v>352</v>
      </c>
      <c r="Q476" s="1396"/>
      <c r="R476" s="673"/>
      <c r="S476" s="1429"/>
      <c r="T476" s="675"/>
      <c r="U476" s="1496"/>
      <c r="V476" s="1497"/>
      <c r="W476" s="1497"/>
      <c r="X476" s="1497"/>
      <c r="Y476" s="1497"/>
      <c r="Z476" s="1497"/>
      <c r="AA476" s="1497"/>
      <c r="AB476" s="1497"/>
      <c r="AC476" s="1497"/>
      <c r="AD476" s="1498"/>
      <c r="AE476" s="675"/>
      <c r="AF476" s="1397"/>
      <c r="AG476" s="1397"/>
      <c r="AH476" s="1397"/>
      <c r="AI476" s="1397"/>
      <c r="AJ476" s="1434"/>
      <c r="AK476" s="1436"/>
      <c r="AL476" s="1438"/>
      <c r="AM476" s="1441"/>
      <c r="AN476" s="1442"/>
      <c r="AO476" s="1447"/>
      <c r="AP476" s="1447"/>
      <c r="AQ476" s="1448"/>
      <c r="AR476" s="1452"/>
      <c r="AS476" s="1455"/>
      <c r="AT476" s="1458"/>
      <c r="AU476" s="516"/>
      <c r="AV476" s="1479"/>
      <c r="AW476" s="1479"/>
      <c r="BC476" s="38"/>
      <c r="BD476" s="38"/>
      <c r="BE476" s="38"/>
      <c r="BF476" s="38"/>
      <c r="BG476" s="38"/>
      <c r="BH476" s="38"/>
      <c r="BI476" s="38"/>
      <c r="BJ476" s="38"/>
      <c r="BK476" s="38"/>
      <c r="BL476" s="38"/>
      <c r="BM476" s="38"/>
      <c r="BN476" s="38"/>
      <c r="BO476" s="38"/>
      <c r="BP476" s="38"/>
      <c r="BQ476" s="38"/>
      <c r="BR476" s="38"/>
      <c r="BS476" s="38"/>
      <c r="BT476" s="38"/>
      <c r="BU476" s="38"/>
      <c r="BV476" s="38"/>
      <c r="BW476" s="38"/>
      <c r="BX476" s="38"/>
      <c r="BY476" s="38"/>
      <c r="BZ476" s="38"/>
      <c r="CA476" s="38"/>
      <c r="CB476" s="38"/>
      <c r="CC476" s="38"/>
      <c r="CD476" s="38"/>
      <c r="CE476" s="38"/>
      <c r="CF476" s="38"/>
      <c r="CG476" s="38"/>
      <c r="CH476" s="38"/>
      <c r="CI476" s="38"/>
      <c r="CM476" s="1352"/>
      <c r="CN476" s="1352"/>
      <c r="CO476" s="1416"/>
      <c r="CP476" s="1418"/>
      <c r="CR476" s="1386"/>
      <c r="CS476" s="1355"/>
      <c r="CT476" s="1355"/>
      <c r="CU476" s="1355"/>
      <c r="CV476" s="1372"/>
      <c r="CW476" s="1372"/>
      <c r="CX476" s="1371"/>
      <c r="CY476" s="1486"/>
      <c r="CZ476" s="1486"/>
      <c r="DA476" s="1486"/>
      <c r="DC476" s="1355"/>
      <c r="DD476" s="1461"/>
      <c r="DE476" s="1355"/>
      <c r="DF476" s="1407"/>
      <c r="DG476" s="1372"/>
      <c r="DH476" s="1369"/>
      <c r="DJ476" s="1484"/>
      <c r="DL476" s="1419"/>
      <c r="DN476" s="1403"/>
      <c r="DO476" s="1405"/>
      <c r="DP476" s="1354"/>
      <c r="DQ476" s="1405"/>
      <c r="DR476" s="1403"/>
      <c r="DS476" s="1489"/>
      <c r="DU476" s="1403"/>
      <c r="DV476" s="1405"/>
      <c r="DW476" s="1403"/>
      <c r="DX476" s="1403"/>
      <c r="DZ476" s="1481"/>
      <c r="EA476" s="1481"/>
      <c r="EC476" s="1482"/>
      <c r="ED476" s="1369"/>
      <c r="EE476" s="1371"/>
      <c r="EF476" s="1369"/>
      <c r="EG476" s="1369"/>
      <c r="EH476" s="1374"/>
      <c r="EI476" s="1374"/>
      <c r="EJ476" s="1363"/>
      <c r="EK476" s="1376"/>
      <c r="EL476" s="1376"/>
      <c r="EM476" s="1362"/>
      <c r="EN476" s="1362"/>
      <c r="EO476" s="1363"/>
      <c r="EP476" s="1363"/>
      <c r="EQ476" s="1363"/>
      <c r="ES476" s="1403"/>
      <c r="EU476" s="1411"/>
      <c r="EV476" s="1411"/>
      <c r="EW476" s="1411"/>
      <c r="EX476" s="1411"/>
      <c r="EY476" s="1411"/>
      <c r="EZ476" s="1413"/>
      <c r="FB476" s="1365"/>
      <c r="FD476" s="1354"/>
      <c r="FE476" s="1354"/>
      <c r="FF476" s="138"/>
      <c r="FI476" s="1357"/>
      <c r="FJ476" s="1357"/>
      <c r="FK476" s="1365"/>
      <c r="FL476" s="1365"/>
      <c r="FM476" s="1365"/>
      <c r="FO476" s="1361"/>
      <c r="FP476" s="1361"/>
      <c r="FQ476" s="1366"/>
      <c r="FR476" s="1368"/>
      <c r="FS476" s="1361"/>
      <c r="FT476" s="1368"/>
      <c r="FU476" s="1360"/>
      <c r="FW476" s="1352"/>
      <c r="FX476" s="1352"/>
      <c r="FY476" s="1352"/>
      <c r="FZ476" s="1352"/>
      <c r="GA476" s="1352"/>
      <c r="GB476" s="1352"/>
      <c r="GC476" s="1352"/>
      <c r="GD476" s="1352"/>
      <c r="GE476" s="759"/>
      <c r="GF476" s="1035"/>
      <c r="GG476" s="1385"/>
      <c r="GI476" s="1384" t="b">
        <f>IF(AND(GL476=TRUE,GM476=TRUE),TRUE,FALSE)</f>
        <v>0</v>
      </c>
      <c r="GJ476" s="1379" t="b">
        <f>IFERROR(IF(__Retrofit_TI_NC=2,TRUE,IF(AR475="Yes",TRUE,FALSE)),FALSE)</f>
        <v>1</v>
      </c>
      <c r="GL476" s="1379" t="b">
        <f>IFERROR(IF(GL475=1,TRUE,FALSE),FALSE)</f>
        <v>0</v>
      </c>
      <c r="GM476" s="1379" t="b">
        <f>IFERROR(IF(GM475=GM$14,TRUE,FALSE),FALSE)</f>
        <v>0</v>
      </c>
      <c r="HC476" s="1379" t="b">
        <f>IFERROR(IF(M476=1,TRUE,FALSE),FALSE)</f>
        <v>0</v>
      </c>
      <c r="HD476" s="1379" t="b">
        <f>IFERROR(IF(M477=1,TRUE,FALSE),FALSE)</f>
        <v>0</v>
      </c>
      <c r="HE476" s="1379" t="b">
        <f>IFERROR(IF(__Retrofit_TI_NC&lt;&gt;0,TRUE,IFERROR(IF(VLOOKUP(U476,Fixtures_Existing_List,2,FALSE)&lt;&gt;"",TRUE,FALSE),FALSE)),FALSE)</f>
        <v>0</v>
      </c>
      <c r="HF476" s="1379" t="b">
        <f>IFERROR(IF(VLOOKUP(U477,Fixtures_Proposed_List,2,FALSE)&lt;&gt;"",TRUE,FALSE),FALSE)</f>
        <v>0</v>
      </c>
      <c r="HG476" s="1379" t="b">
        <f>IF(AND(__Retrofit_TI_NC=2,EZ475=TRUE),FALSE,TRUE)</f>
        <v>1</v>
      </c>
      <c r="HH476" s="1379" t="b">
        <f>GG475</f>
        <v>1</v>
      </c>
      <c r="HI476" s="1384" t="b">
        <f>IF(ISERROR(MATCH(FB475,_Control_Match[],0))=TRUE,FALSE,TRUE)</f>
        <v>0</v>
      </c>
      <c r="HJ476" s="1384" t="b">
        <f>IFERROR(IF(EU475&lt;&gt;EV475,FALSE,TRUE),FALSE)</f>
        <v>0</v>
      </c>
      <c r="HK476" s="1384" t="b">
        <f>IFERROR(IF(EU477&lt;&gt;EV477,FALSE,TRUE),FALSE)</f>
        <v>0</v>
      </c>
      <c r="HL476" s="1379" t="b">
        <f>IFERROR(IF(CN475="Exterior",TRUE,IF(OR(AND(FJ475=0,EW477&gt;4),AND(FJ475=4,EW477&gt;4,EW477&lt;7)),FALSE,TRUE)),FALSE)</f>
        <v>0</v>
      </c>
      <c r="HM476" s="1379" t="b">
        <f>IFERROR(IF(AND(FL477=7,EZ475=TRUE),FALSE,TRUE),FALSE)</f>
        <v>0</v>
      </c>
      <c r="HN476" s="1379" t="b">
        <f>IFERROR(IF(AND(T477&lt;&gt;AE477,AF477="Interior LLLC")=TRUE,FALSE,TRUE),FALSE)</f>
        <v>1</v>
      </c>
      <c r="HO476" s="1379" t="b">
        <f>IFERROR(IF(OR(AF477=Lookup!AU$13,AF477=Lookup!AU$14)=TRUE,IF(AE477&gt;T477,FALSE,TRUE),TRUE),FALSE)</f>
        <v>1</v>
      </c>
      <c r="HP476" s="1379" t="b">
        <f>IFERROR(IF(__Retrofit_TI_NC=2,IF(EW477&lt;EW475,FALSE,TRUE),TRUE),FALSE)</f>
        <v>1</v>
      </c>
      <c r="HQ476" s="1379" t="b">
        <f>IF(CN475="Interior",IG$6,TRUE)</f>
        <v>1</v>
      </c>
      <c r="HR476" s="1379" t="b">
        <f>IF(CN475="Exterior",IG$8,TRUE)</f>
        <v>1</v>
      </c>
      <c r="HS476" s="1379" t="b">
        <f>IFERROR(IF(__Retrofit_TI_NC&lt;&gt;0,IF(AW475&lt;AV475,FALSE,TRUE),TRUE),FALSE)</f>
        <v>1</v>
      </c>
      <c r="HT476" s="1379" t="b">
        <f>IFERROR(IF(AND(G476="Exterior",R476&gt;4200),FALSE,TRUE),FALSE)</f>
        <v>1</v>
      </c>
      <c r="HU476" s="1379" t="b">
        <f>IFERROR(IF(AB478/AB475&lt;HU$18,FALSE,TRUE),FALSE)</f>
        <v>0</v>
      </c>
      <c r="HW476" s="1382"/>
      <c r="HX476" s="1378"/>
      <c r="HY476" s="1377" t="str">
        <f>VLOOKUP(HW478,_Error_Table,4,FALSE)</f>
        <v>White</v>
      </c>
      <c r="HZ476" s="436"/>
      <c r="IA476" s="1386"/>
      <c r="IB476" s="1380"/>
      <c r="IC476" s="1379"/>
      <c r="IF476" s="1380"/>
      <c r="IG476" s="1382"/>
      <c r="IH476" s="1382"/>
      <c r="II476" s="1382"/>
      <c r="IK476" s="1351"/>
      <c r="IL476" s="1351"/>
      <c r="IM476" s="1351"/>
      <c r="IN476" s="1351"/>
      <c r="IO476" s="1351"/>
      <c r="IP476" s="1351"/>
    </row>
    <row r="477" spans="1:250" s="82" customFormat="1" ht="14.95" customHeight="1" thickTop="1" thickBot="1">
      <c r="A477" s="82">
        <f>ROW()</f>
        <v>477</v>
      </c>
      <c r="B477" s="1421"/>
      <c r="C477" s="1422"/>
      <c r="D477" s="1423"/>
      <c r="E477" s="1393" t="s">
        <v>245</v>
      </c>
      <c r="F477" s="1394"/>
      <c r="G477" s="1398"/>
      <c r="H477" s="1399"/>
      <c r="I477" s="1399"/>
      <c r="J477" s="1399"/>
      <c r="K477" s="1399"/>
      <c r="L477" s="1400"/>
      <c r="M477" s="509">
        <f>IFERROR(IF(IF(__Retrofit_TI_NC&lt;&gt;0,IF(CN475="Interior",MATCH(G477,Lookup_Interior_New,0),MATCH(G477,Lookup_Exterior_New,0)),IF(CN475="Interior",MATCH(G477,Lookup_Interior,0),MATCH(G477,Lookup_Exterior_Areas,0)))&gt;0,1,0),0)</f>
        <v>0</v>
      </c>
      <c r="N477" s="509" t="e">
        <f>IF(__Retrofit_TI_NC=1,
VLOOKUP(G477,'Space Table'!$B$3:$L$160,4,FALSE),
IF(__Retrofit_TI_NC=2,VLOOKUP(G477,'Space Table'!$B$3:$L$160,5,FALSE),VLOOKUP(G477,'Space Table'!$B$3:$L$160,5,FALSE)))</f>
        <v>#N/A</v>
      </c>
      <c r="O477" s="509">
        <f>G477</f>
        <v>0</v>
      </c>
      <c r="P477" s="1394" t="s">
        <v>355</v>
      </c>
      <c r="Q477" s="1394"/>
      <c r="R477" s="674"/>
      <c r="S477" s="1401" t="s">
        <v>284</v>
      </c>
      <c r="T477" s="672"/>
      <c r="U477" s="1499"/>
      <c r="V477" s="1500"/>
      <c r="W477" s="1500"/>
      <c r="X477" s="1500"/>
      <c r="Y477" s="1500"/>
      <c r="Z477" s="1500"/>
      <c r="AA477" s="1500"/>
      <c r="AB477" s="1501"/>
      <c r="AC477" s="1501"/>
      <c r="AD477" s="1502"/>
      <c r="AE477" s="672"/>
      <c r="AF477" s="1474"/>
      <c r="AG477" s="1474"/>
      <c r="AH477" s="1474"/>
      <c r="AI477" s="1474"/>
      <c r="AJ477" s="1475">
        <f>DF477</f>
        <v>0</v>
      </c>
      <c r="AK477" s="1470" t="str">
        <f>IFERROR(ROUND(AJ477*AC478,0),"")</f>
        <v/>
      </c>
      <c r="AL477" s="1472">
        <f>IFERROR(IF(HW475=FALSE,0,AC478-AK477),0)</f>
        <v>0</v>
      </c>
      <c r="AM477" s="1441"/>
      <c r="AN477" s="1442"/>
      <c r="AO477" s="1447"/>
      <c r="AP477" s="1447"/>
      <c r="AQ477" s="1448"/>
      <c r="AR477" s="1452"/>
      <c r="AS477" s="1455"/>
      <c r="AT477" s="1458"/>
      <c r="AU477" s="516"/>
      <c r="AV477" s="1479"/>
      <c r="AW477" s="1479"/>
      <c r="BC477" s="38"/>
      <c r="BD477" s="38"/>
      <c r="BE477" s="38"/>
      <c r="BF477" s="38"/>
      <c r="BG477" s="38"/>
      <c r="BH477" s="38"/>
      <c r="BI477" s="38"/>
      <c r="BJ477" s="38"/>
      <c r="BK477" s="38"/>
      <c r="BL477" s="38"/>
      <c r="BM477" s="38"/>
      <c r="BN477" s="38"/>
      <c r="BO477" s="38"/>
      <c r="BP477" s="38"/>
      <c r="BQ477" s="38"/>
      <c r="BR477" s="38"/>
      <c r="BS477" s="38"/>
      <c r="BT477" s="38"/>
      <c r="BU477" s="38"/>
      <c r="BV477" s="38"/>
      <c r="BW477" s="38"/>
      <c r="BX477" s="38"/>
      <c r="BY477" s="38"/>
      <c r="BZ477" s="38"/>
      <c r="CA477" s="38"/>
      <c r="CB477" s="38"/>
      <c r="CC477" s="38"/>
      <c r="CD477" s="38"/>
      <c r="CE477" s="38"/>
      <c r="CF477" s="38"/>
      <c r="CG477" s="38"/>
      <c r="CH477" s="38"/>
      <c r="CI477" s="38"/>
      <c r="CM477" s="1352"/>
      <c r="CN477" s="1352"/>
      <c r="CO477" s="1415" t="str">
        <f>CN475</f>
        <v/>
      </c>
      <c r="CP477" s="1417" t="e">
        <f>CP475</f>
        <v>#N/A</v>
      </c>
      <c r="CR477" s="1386" t="s">
        <v>284</v>
      </c>
      <c r="CS477" s="1353">
        <f>IF(HW475=TRUE,T477,0)</f>
        <v>0</v>
      </c>
      <c r="CT477" s="1353" t="str">
        <f>IF(HW475=TRUE,U477,"")</f>
        <v/>
      </c>
      <c r="CU477" s="1373">
        <f>IF(HW475=TRUE,U478,0)</f>
        <v>0</v>
      </c>
      <c r="CV477" s="1370">
        <f>IF(HW475=TRUE,AB478,0)</f>
        <v>0</v>
      </c>
      <c r="CW477" s="1370">
        <f>IF(HW475=TRUE,AC478,0)</f>
        <v>0</v>
      </c>
      <c r="CX477" s="1371"/>
      <c r="CY477" s="1486"/>
      <c r="CZ477" s="1486"/>
      <c r="DA477" s="1486"/>
      <c r="DC477" s="1353">
        <f>IF(HW475=TRUE,AE477,0)</f>
        <v>0</v>
      </c>
      <c r="DD477" s="1353" t="str">
        <f>IF(HW475=TRUE,AF477,"")</f>
        <v/>
      </c>
      <c r="DE477" s="1373">
        <f>AF478</f>
        <v>0</v>
      </c>
      <c r="DF477" s="1406">
        <f>IFERROR(IF(FL477=3,IK477,IF(FL477=4,IL477,IF(FL477=5,IM477,IF(FL477=6,IN477,IF(FL477=7,IO477,IF(FL477=8,IP477,0)))))),0)</f>
        <v>0</v>
      </c>
      <c r="DG477" s="1370">
        <f>IF(HW475=TRUE,AK477,0)</f>
        <v>0</v>
      </c>
      <c r="DH477" s="1369"/>
      <c r="DK477" s="1483">
        <f>IFERROR(CW477-DG477,0)</f>
        <v>0</v>
      </c>
      <c r="DL477" s="1420"/>
      <c r="DN477" s="1403"/>
      <c r="DO477" s="1477" t="str">
        <f>DN475</f>
        <v/>
      </c>
      <c r="DP477" s="1354"/>
      <c r="DQ477" s="1477" t="str">
        <f>IF(DP475=7,"LLLC","")</f>
        <v/>
      </c>
      <c r="DR477" s="1403"/>
      <c r="DS477" s="1489"/>
      <c r="DU477" s="1403"/>
      <c r="DV477" s="1404" t="str">
        <f>DU475</f>
        <v/>
      </c>
      <c r="DW477" s="1403"/>
      <c r="DX477" s="1403"/>
      <c r="DZ477" s="1481"/>
      <c r="EA477" s="1481"/>
      <c r="EC477" s="1482"/>
      <c r="ED477" s="1369"/>
      <c r="EE477" s="1371"/>
      <c r="EF477" s="1369"/>
      <c r="EG477" s="1369"/>
      <c r="EH477" s="1374"/>
      <c r="EI477" s="1374"/>
      <c r="EJ477" s="1363"/>
      <c r="EK477" s="1376"/>
      <c r="EL477" s="1376"/>
      <c r="EM477" s="1362"/>
      <c r="EN477" s="1362"/>
      <c r="EO477" s="1363"/>
      <c r="EP477" s="1363"/>
      <c r="EQ477" s="1363"/>
      <c r="ES477" s="1403"/>
      <c r="EU477" s="1411" t="e">
        <f>VLOOKUP(CP477,'Space Table'!$B$3:$L$160,8,FALSE)</f>
        <v>#N/A</v>
      </c>
      <c r="EV477" s="1411" t="e">
        <f>IF(EY477="Yes",VLOOKUP(AF477,Lookup_Control_Type_Table2,4,FALSE),VLOOKUP(AF477,Lookup_Control_Type_Table2,3,FALSE))</f>
        <v>#N/A</v>
      </c>
      <c r="EW477" s="1411" t="e">
        <f>VLOOKUP(AF477,Lookup!AU$3:AV$15,2,FALSE)</f>
        <v>#N/A</v>
      </c>
      <c r="EX477" s="1411" t="e">
        <f>VLOOKUP(EU475,Lookup_Control_Type_Table,2,FALSE)</f>
        <v>#N/A</v>
      </c>
      <c r="EY477" s="1411" t="e">
        <f>VLOOKUP(CP477,'Space Table'!$B$3:$L$160,7,FALSE)</f>
        <v>#N/A</v>
      </c>
      <c r="EZ477" s="1413"/>
      <c r="FB477" s="1365" t="str">
        <f>CONCATENATE(CN475," - ",AF477)</f>
        <v xml:space="preserve"> - </v>
      </c>
      <c r="FD477" s="1354"/>
      <c r="FE477" s="1354"/>
      <c r="FF477" s="138"/>
      <c r="FI477" s="1356" t="str">
        <f>IF(CN475="Exterior","Not Daylighted",G478)</f>
        <v>Not Daylighted</v>
      </c>
      <c r="FJ477" s="1356">
        <f>VLOOKUP(FI477,_Daylight_Table_Codes,2,FALSE)</f>
        <v>0</v>
      </c>
      <c r="FK477" s="1365">
        <f>AF477</f>
        <v>0</v>
      </c>
      <c r="FL477" s="1365" t="e">
        <f>VLOOKUP(FK477,_Control_Table,2,FALSE)</f>
        <v>#N/A</v>
      </c>
      <c r="FM477" s="1365" t="e">
        <f>IF(AND(FP477&gt;0,FK477="Occupancy Sensor"),"Daylight + Occupancy",IF(AND(FP477&gt;0,FL477&lt;4),"Interior Daylight Dimming",FK477))</f>
        <v>#N/A</v>
      </c>
      <c r="FO477" s="1364">
        <f>IF(CN475="Interior",VLOOKUP(CP475,Control_Savings_Interior,5,FALSE),0)</f>
        <v>0</v>
      </c>
      <c r="FP477" s="1361">
        <f>IF(CN477="Exterior",0,IF(FJ477=2,0.5,IF(OR(FJ477=1,FJ477=3),1,0)))</f>
        <v>0</v>
      </c>
      <c r="FQ477" s="1366">
        <f>IF(R476&gt;FO$37,(FO477*(FO$37/R476)),FO477)*FP477</f>
        <v>0</v>
      </c>
      <c r="FR477" s="1364">
        <f>DF477</f>
        <v>0</v>
      </c>
      <c r="FS477" s="1364">
        <f>ROUND(FR477+((1-FR477)*FQ477),2)</f>
        <v>0</v>
      </c>
      <c r="FT477" s="1364">
        <f>IF(__Retrofit_TI_NC=2,FS477,FR477)</f>
        <v>0</v>
      </c>
      <c r="FU477" s="1360">
        <f>IF(CO477="Interior",VLOOKUP(CP477,Control_Savings_Interior,4,FALSE),0)</f>
        <v>0</v>
      </c>
      <c r="FW477" s="1352"/>
      <c r="FX477" s="1352"/>
      <c r="FY477" s="1352"/>
      <c r="FZ477" s="1352"/>
      <c r="GA477" s="1352"/>
      <c r="GB477" s="1352"/>
      <c r="GC477" s="1352"/>
      <c r="GD477" s="1352"/>
      <c r="GE477" s="759" t="b">
        <f>IF(ISNUMBER(SEARCH("TLED",U477)),TRUE,FALSE)</f>
        <v>0</v>
      </c>
      <c r="GF477" s="1035" t="str">
        <f>IFERROR(VLOOKUP(U477,Fixtures!DM$93:DR$142,6,FALSE),"")</f>
        <v/>
      </c>
      <c r="GG477" s="1385"/>
      <c r="GI477" s="1383"/>
      <c r="GJ477" s="1379"/>
      <c r="GL477" s="1379"/>
      <c r="GM477" s="1379"/>
      <c r="HC477" s="1379"/>
      <c r="HD477" s="1379"/>
      <c r="HE477" s="1379"/>
      <c r="HF477" s="1379"/>
      <c r="HG477" s="1379"/>
      <c r="HH477" s="1379"/>
      <c r="HI477" s="1383"/>
      <c r="HJ477" s="1383"/>
      <c r="HK477" s="1383"/>
      <c r="HL477" s="1379"/>
      <c r="HM477" s="1379"/>
      <c r="HN477" s="1379"/>
      <c r="HO477" s="1379"/>
      <c r="HP477" s="1379"/>
      <c r="HQ477" s="1379"/>
      <c r="HR477" s="1379"/>
      <c r="HS477" s="1379"/>
      <c r="HT477" s="1379"/>
      <c r="HU477" s="1379"/>
      <c r="HW477" s="1383"/>
      <c r="HX477" s="1384" t="b">
        <f>HW475</f>
        <v>0</v>
      </c>
      <c r="HY477" s="1378"/>
      <c r="HZ477" s="436"/>
      <c r="IA477" s="1386"/>
      <c r="IB477" s="1380">
        <f>IF(IA475=TRUE,AC478,0)</f>
        <v>0</v>
      </c>
      <c r="IC477" s="1379"/>
      <c r="IF477" s="1380" t="e">
        <f>ROUND(T477*AB478*N476*R476/1000,0)</f>
        <v>#VALUE!</v>
      </c>
      <c r="IG477" s="1382"/>
      <c r="IH477" s="1384" t="e">
        <f>ROUND(T477*AB478*N476*R476/1000,0)</f>
        <v>#VALUE!</v>
      </c>
      <c r="II477" s="1382"/>
      <c r="IK477" s="1351" t="e">
        <f>IF($CO477="interior",IL477/2,VLOOKUP($CP477,Control_Savings_Exterior,IK$30,FALSE))</f>
        <v>#N/A</v>
      </c>
      <c r="IL477" s="1351" t="e">
        <f>IF($CO477="interior",VLOOKUP($CP477,Control_Savings_Interior,IL$30,FALSE),VLOOKUP($CP477,Control_Savings_Exterior,IL$30,FALSE))</f>
        <v>#N/A</v>
      </c>
      <c r="IM477" s="1351" t="e">
        <f>IF($CO477="interior",IF(R476&gt;FO$37,(IM$28*(FO$37/R476)),IM$28)*FP477,VLOOKUP($CP477,Control_Savings_Exterior,IM$30,FALSE))</f>
        <v>#N/A</v>
      </c>
      <c r="IN477" s="1351" t="e">
        <f>IF($CO477="interior",ROUND(((1-IL477)*IM477)+IL477,2),VLOOKUP($CP477,Control_Savings_Exterior,IN$30,FALSE))</f>
        <v>#N/A</v>
      </c>
      <c r="IO477" s="1351" t="e">
        <f>IF($CO477="interior", ROUND(((1-IL477)*(IM477*(1-IP$28)))+IP477,2), VLOOKUP($CP477,Control_Savings_Exterior,IO$30,FALSE))</f>
        <v>#N/A</v>
      </c>
      <c r="IP477" s="1351">
        <f>IF($CO477="interior",ROUND(((1-IL477)*IP$28)+IL477,2),0)</f>
        <v>0</v>
      </c>
    </row>
    <row r="478" spans="1:250" s="82" customFormat="1" ht="14.95" customHeight="1" thickTop="1" thickBot="1">
      <c r="B478" s="1421"/>
      <c r="C478" s="1422"/>
      <c r="D478" s="1423"/>
      <c r="E478" s="1462" t="s">
        <v>357</v>
      </c>
      <c r="F478" s="1463"/>
      <c r="G478" s="1464" t="s">
        <v>362</v>
      </c>
      <c r="H478" s="1465"/>
      <c r="I478" s="1465"/>
      <c r="J478" s="1465"/>
      <c r="K478" s="1465"/>
      <c r="L478" s="1466"/>
      <c r="M478" s="669">
        <f>IFERROR(VLOOKUP(G478,_Daylight_Table[],2,FALSE),0)</f>
        <v>0</v>
      </c>
      <c r="N478" s="670"/>
      <c r="O478" s="669" t="e">
        <f>VLOOKUP(G477,'Space Table'!$B$3:$L$160,11,FALSE)</f>
        <v>#N/A</v>
      </c>
      <c r="P478" s="1408"/>
      <c r="Q478" s="1409"/>
      <c r="R478" s="1409"/>
      <c r="S478" s="1402"/>
      <c r="T478" s="671" t="s">
        <v>281</v>
      </c>
      <c r="U478" s="1467" t="str">
        <f>IFERROR(VLOOKUP(U477,Fixtures!DM$93:DP$142,4,FALSE),"")</f>
        <v/>
      </c>
      <c r="V478" s="1468"/>
      <c r="W478" s="1468"/>
      <c r="X478" s="1468"/>
      <c r="Y478" s="1468"/>
      <c r="Z478" s="1468"/>
      <c r="AA478" s="1468"/>
      <c r="AB478" s="1046" t="str">
        <f>IFERROR(VLOOKUP(U477,Fixtures_Proposed_List,2,FALSE),"")</f>
        <v/>
      </c>
      <c r="AC478" s="1036" t="str">
        <f>IFERROR(ROUND(T477*AB478*N476*R476/1000,0),"")</f>
        <v/>
      </c>
      <c r="AD478" s="1037" t="str">
        <f>IFERROR(ROUND(T477*AB478/1000,2),"")</f>
        <v/>
      </c>
      <c r="AE478" s="1045" t="s">
        <v>281</v>
      </c>
      <c r="AF478" s="1469"/>
      <c r="AG478" s="1469"/>
      <c r="AH478" s="1469"/>
      <c r="AI478" s="1469"/>
      <c r="AJ478" s="1476"/>
      <c r="AK478" s="1471"/>
      <c r="AL478" s="1473"/>
      <c r="AM478" s="1443"/>
      <c r="AN478" s="1444"/>
      <c r="AO478" s="1449"/>
      <c r="AP478" s="1449"/>
      <c r="AQ478" s="1450"/>
      <c r="AR478" s="1453"/>
      <c r="AS478" s="1456"/>
      <c r="AT478" s="1459"/>
      <c r="AU478" s="517"/>
      <c r="AV478" s="1480"/>
      <c r="AW478" s="1480"/>
      <c r="BC478" s="38"/>
      <c r="BD478" s="38"/>
      <c r="BE478" s="38"/>
      <c r="BF478" s="38"/>
      <c r="BG478" s="38"/>
      <c r="BH478" s="38"/>
      <c r="BI478" s="38"/>
      <c r="BJ478" s="38"/>
      <c r="BK478" s="38"/>
      <c r="BL478" s="38"/>
      <c r="BM478" s="38"/>
      <c r="BN478" s="38"/>
      <c r="BO478" s="38"/>
      <c r="BP478" s="38"/>
      <c r="BQ478" s="38"/>
      <c r="BR478" s="38"/>
      <c r="BS478" s="38"/>
      <c r="BT478" s="38"/>
      <c r="BU478" s="38"/>
      <c r="BV478" s="38"/>
      <c r="BW478" s="38"/>
      <c r="BX478" s="38"/>
      <c r="BY478" s="38"/>
      <c r="BZ478" s="38"/>
      <c r="CA478" s="38"/>
      <c r="CB478" s="38"/>
      <c r="CC478" s="38"/>
      <c r="CD478" s="38"/>
      <c r="CE478" s="38"/>
      <c r="CF478" s="38"/>
      <c r="CG478" s="38"/>
      <c r="CH478" s="38"/>
      <c r="CI478" s="38"/>
      <c r="CM478" s="1352"/>
      <c r="CN478" s="1352"/>
      <c r="CO478" s="1416"/>
      <c r="CP478" s="1418"/>
      <c r="CR478" s="1386"/>
      <c r="CS478" s="1355"/>
      <c r="CT478" s="1355"/>
      <c r="CU478" s="1375"/>
      <c r="CV478" s="1372"/>
      <c r="CW478" s="1372"/>
      <c r="CX478" s="1372"/>
      <c r="CY478" s="1487"/>
      <c r="CZ478" s="1487"/>
      <c r="DA478" s="1487"/>
      <c r="DC478" s="1355"/>
      <c r="DD478" s="1355"/>
      <c r="DE478" s="1375"/>
      <c r="DF478" s="1407"/>
      <c r="DG478" s="1372"/>
      <c r="DH478" s="1369"/>
      <c r="DK478" s="1484"/>
      <c r="DL478" s="1420"/>
      <c r="DN478" s="1403"/>
      <c r="DO478" s="1405"/>
      <c r="DP478" s="1355"/>
      <c r="DQ478" s="1405"/>
      <c r="DR478" s="1403"/>
      <c r="DS478" s="1489"/>
      <c r="DU478" s="1403"/>
      <c r="DV478" s="1405"/>
      <c r="DW478" s="1403"/>
      <c r="DX478" s="1403"/>
      <c r="DZ478" s="1481"/>
      <c r="EA478" s="1481"/>
      <c r="EC478" s="1482"/>
      <c r="ED478" s="1369"/>
      <c r="EE478" s="1372"/>
      <c r="EF478" s="1369"/>
      <c r="EG478" s="1369"/>
      <c r="EH478" s="1375"/>
      <c r="EI478" s="1375"/>
      <c r="EJ478" s="1363"/>
      <c r="EK478" s="1376"/>
      <c r="EL478" s="1376"/>
      <c r="EM478" s="1362"/>
      <c r="EN478" s="1362"/>
      <c r="EO478" s="1363"/>
      <c r="EP478" s="1363"/>
      <c r="EQ478" s="1363"/>
      <c r="ES478" s="1403"/>
      <c r="EU478" s="1488"/>
      <c r="EV478" s="1488"/>
      <c r="EW478" s="1488"/>
      <c r="EX478" s="1488"/>
      <c r="EY478" s="1488"/>
      <c r="EZ478" s="1414"/>
      <c r="FB478" s="1365"/>
      <c r="FD478" s="1355"/>
      <c r="FE478" s="1355"/>
      <c r="FF478" s="138"/>
      <c r="FI478" s="1357"/>
      <c r="FJ478" s="1357"/>
      <c r="FK478" s="1365"/>
      <c r="FL478" s="1365"/>
      <c r="FM478" s="1365"/>
      <c r="FO478" s="1361"/>
      <c r="FP478" s="1361"/>
      <c r="FQ478" s="1366"/>
      <c r="FR478" s="1361"/>
      <c r="FS478" s="1361"/>
      <c r="FT478" s="1361"/>
      <c r="FU478" s="1360"/>
      <c r="FW478" s="1352"/>
      <c r="FX478" s="1352"/>
      <c r="FY478" s="1352"/>
      <c r="FZ478" s="1352"/>
      <c r="GA478" s="1352"/>
      <c r="GB478" s="1352"/>
      <c r="GC478" s="1352"/>
      <c r="GD478" s="1352"/>
      <c r="GE478" s="759"/>
      <c r="GF478" s="1035"/>
      <c r="GG478" s="1385"/>
      <c r="GJ478" s="1034">
        <f>IF(GJ476=TRUE,0,GJ$16)</f>
        <v>0</v>
      </c>
      <c r="GL478" s="1034">
        <f>IF(GL476=TRUE,0,GL$16)</f>
        <v>36</v>
      </c>
      <c r="GM478" s="1034">
        <f>IF(GM476=TRUE,0,GM$16)</f>
        <v>35</v>
      </c>
      <c r="GN478" s="436"/>
      <c r="GO478" s="436"/>
      <c r="GP478" s="436"/>
      <c r="GQ478" s="436"/>
      <c r="GR478" s="436"/>
      <c r="HC478" s="1034">
        <f t="shared" ref="HC478:HH478" si="350">IF(HC476=TRUE,0,HC$16)</f>
        <v>19</v>
      </c>
      <c r="HD478" s="1034">
        <f t="shared" si="350"/>
        <v>18</v>
      </c>
      <c r="HE478" s="1034">
        <f t="shared" si="350"/>
        <v>17</v>
      </c>
      <c r="HF478" s="1034">
        <f t="shared" si="350"/>
        <v>16</v>
      </c>
      <c r="HG478" s="1034">
        <f t="shared" si="350"/>
        <v>0</v>
      </c>
      <c r="HH478" s="1034">
        <f t="shared" si="350"/>
        <v>0</v>
      </c>
      <c r="HI478" s="1034">
        <f>IF(HI476=TRUE,0,HI$16)</f>
        <v>13</v>
      </c>
      <c r="HJ478" s="1034">
        <f t="shared" ref="HJ478:HL478" si="351">IF(HJ476=TRUE,0,HJ$16)</f>
        <v>12</v>
      </c>
      <c r="HK478" s="1034">
        <f t="shared" si="351"/>
        <v>11</v>
      </c>
      <c r="HL478" s="1034">
        <f t="shared" si="351"/>
        <v>10</v>
      </c>
      <c r="HM478" s="1034">
        <f>IF(HM476=TRUE,0,HM$16)</f>
        <v>9</v>
      </c>
      <c r="HN478" s="1034">
        <f t="shared" ref="HN478:HR478" si="352">IF(HN476=TRUE,0,HN$16)</f>
        <v>0</v>
      </c>
      <c r="HO478" s="1034">
        <f t="shared" si="352"/>
        <v>0</v>
      </c>
      <c r="HP478" s="1034">
        <f t="shared" si="352"/>
        <v>0</v>
      </c>
      <c r="HQ478" s="1034">
        <f t="shared" si="352"/>
        <v>0</v>
      </c>
      <c r="HR478" s="1034">
        <f t="shared" si="352"/>
        <v>0</v>
      </c>
      <c r="HS478" s="1034">
        <f>IF(HS476=TRUE,0,HS$16)</f>
        <v>0</v>
      </c>
      <c r="HT478" s="1034">
        <f t="shared" ref="HT478" si="353">IF(HT476=TRUE,0,HT$16)</f>
        <v>0</v>
      </c>
      <c r="HU478" s="1034">
        <f>IF(HU476=TRUE,0,HU$16)</f>
        <v>1</v>
      </c>
      <c r="HW478" s="1034">
        <f>IF(GL476=FALSE,GL478,IF(GM476=FALSE,GM478,MAX(GJ478:HU478)))</f>
        <v>36</v>
      </c>
      <c r="HX478" s="1383"/>
      <c r="HY478" s="241" t="str">
        <f>VLOOKUP(HW478,_Error_Table,3,FALSE)</f>
        <v xml:space="preserve"> </v>
      </c>
      <c r="HZ478" s="241"/>
      <c r="IA478" s="1386"/>
      <c r="IB478" s="1380"/>
      <c r="IC478" s="1379"/>
      <c r="IF478" s="1380"/>
      <c r="IG478" s="1383"/>
      <c r="IH478" s="1383"/>
      <c r="II478" s="1383"/>
      <c r="IK478" s="1351"/>
      <c r="IL478" s="1351"/>
      <c r="IM478" s="1351"/>
      <c r="IN478" s="1351"/>
      <c r="IO478" s="1351"/>
      <c r="IP478" s="1351"/>
    </row>
    <row r="479" spans="1:250" s="82" customFormat="1">
      <c r="B479" s="763"/>
      <c r="C479" s="437"/>
      <c r="D479" s="437"/>
      <c r="E479" s="1490"/>
      <c r="F479" s="1490"/>
      <c r="G479" s="1490"/>
      <c r="H479" s="1490"/>
      <c r="I479" s="1490"/>
      <c r="J479" s="1490"/>
      <c r="K479" s="1490"/>
      <c r="L479" s="1490"/>
      <c r="M479" s="1490"/>
      <c r="N479" s="1490"/>
      <c r="O479" s="1490"/>
      <c r="P479" s="1490"/>
      <c r="Q479" s="1490"/>
      <c r="R479" s="1490"/>
      <c r="S479" s="1490"/>
      <c r="T479" s="1490"/>
      <c r="U479" s="1490"/>
      <c r="V479" s="1490"/>
      <c r="W479" s="1490"/>
      <c r="X479" s="1490"/>
      <c r="Y479" s="1490"/>
      <c r="Z479" s="1490"/>
      <c r="AA479" s="1490"/>
      <c r="AB479" s="1490"/>
      <c r="AC479" s="1490"/>
      <c r="AD479" s="1490"/>
      <c r="AE479" s="1490"/>
      <c r="AF479" s="1490"/>
      <c r="AG479" s="1490"/>
      <c r="AH479" s="1490"/>
      <c r="AI479" s="1490"/>
      <c r="AJ479" s="1490"/>
      <c r="AK479" s="1490"/>
      <c r="AL479" s="1490"/>
      <c r="AM479" s="1490"/>
      <c r="AN479" s="1490"/>
      <c r="AO479" s="1490"/>
      <c r="AP479" s="1490"/>
      <c r="AQ479" s="1490"/>
      <c r="AR479" s="1490"/>
      <c r="AS479" s="1490"/>
      <c r="AT479" s="1490"/>
      <c r="AU479" s="518"/>
      <c r="BC479" s="38"/>
      <c r="BD479" s="38"/>
      <c r="BE479" s="38"/>
      <c r="BF479" s="38"/>
      <c r="BG479" s="38"/>
      <c r="BH479" s="38"/>
      <c r="BI479" s="38"/>
      <c r="BJ479" s="38"/>
      <c r="BK479" s="38"/>
      <c r="BL479" s="38"/>
      <c r="BM479" s="38"/>
      <c r="BN479" s="38"/>
      <c r="BO479" s="38"/>
      <c r="BP479" s="38"/>
      <c r="BQ479" s="38"/>
      <c r="BR479" s="38"/>
      <c r="BS479" s="38"/>
      <c r="BT479" s="38"/>
      <c r="BU479" s="38"/>
      <c r="BV479" s="38"/>
      <c r="BW479" s="38"/>
      <c r="BX479" s="38"/>
      <c r="BY479" s="38"/>
      <c r="BZ479" s="38"/>
      <c r="CA479" s="38"/>
      <c r="CB479" s="38"/>
      <c r="CC479" s="38"/>
      <c r="CD479" s="38"/>
      <c r="CE479" s="38"/>
      <c r="CF479" s="38"/>
      <c r="CG479" s="38"/>
      <c r="CH479" s="38"/>
      <c r="CI479" s="38"/>
      <c r="CM479" s="749"/>
      <c r="CN479" s="749"/>
      <c r="CO479" s="485"/>
      <c r="CP479" s="749"/>
      <c r="CS479" s="436"/>
      <c r="CT479" s="436"/>
      <c r="CU479" s="243"/>
      <c r="CV479" s="244"/>
      <c r="CW479" s="244"/>
      <c r="CX479" s="244"/>
      <c r="CY479" s="245"/>
      <c r="CZ479" s="245"/>
      <c r="DA479" s="245"/>
      <c r="DC479" s="750"/>
      <c r="DD479" s="751"/>
      <c r="DE479" s="752"/>
      <c r="DF479" s="753"/>
      <c r="DG479" s="754"/>
      <c r="DH479" s="754"/>
      <c r="DK479" s="244"/>
      <c r="DL479" s="750"/>
      <c r="DN479" s="750"/>
      <c r="DO479" s="755"/>
      <c r="DP479" s="436"/>
      <c r="DQ479" s="750"/>
      <c r="DR479" s="750"/>
      <c r="DS479" s="750"/>
      <c r="DU479" s="750"/>
      <c r="DV479" s="750"/>
      <c r="DW479" s="750"/>
      <c r="DX479" s="750"/>
      <c r="DZ479" s="756"/>
      <c r="EA479" s="756"/>
      <c r="EC479" s="754"/>
      <c r="ED479" s="754"/>
      <c r="EE479" s="244"/>
      <c r="EF479" s="754"/>
      <c r="EG479" s="754"/>
      <c r="EH479" s="243"/>
      <c r="EI479" s="243"/>
      <c r="EJ479" s="752"/>
      <c r="EK479" s="757"/>
      <c r="EL479" s="757"/>
      <c r="EM479" s="758"/>
      <c r="EN479" s="758"/>
      <c r="EO479" s="752"/>
      <c r="EP479" s="752"/>
      <c r="EQ479" s="752"/>
      <c r="ES479" s="750"/>
      <c r="EU479" s="436"/>
      <c r="EV479" s="436"/>
      <c r="EW479" s="436"/>
      <c r="EX479" s="436"/>
      <c r="EY479" s="436"/>
      <c r="EZ479" s="436"/>
      <c r="FB479" s="643"/>
      <c r="FD479" s="436"/>
      <c r="FE479" s="436"/>
      <c r="FF479" s="436"/>
      <c r="FO479" s="750"/>
      <c r="FP479" s="436"/>
      <c r="FQ479" s="436"/>
      <c r="FR479" s="750"/>
      <c r="FS479" s="750"/>
      <c r="FW479" s="749"/>
      <c r="FX479" s="749"/>
      <c r="FY479" s="749"/>
      <c r="FZ479" s="749"/>
      <c r="GA479" s="749"/>
      <c r="GB479" s="749"/>
      <c r="GC479" s="749"/>
      <c r="GD479" s="749"/>
      <c r="GE479" s="751"/>
      <c r="GF479" s="750"/>
      <c r="GG479" s="750"/>
    </row>
    <row r="480" spans="1:250">
      <c r="DU480" s="755"/>
      <c r="DV480" s="755"/>
      <c r="DW480" s="755"/>
      <c r="DX480" s="755"/>
      <c r="DY480" s="755"/>
      <c r="DZ480" s="755"/>
      <c r="EA480" s="755"/>
      <c r="EB480" s="755"/>
      <c r="EC480" s="764" t="s">
        <v>283</v>
      </c>
      <c r="ED480" s="764" t="s">
        <v>284</v>
      </c>
      <c r="EE480" s="764" t="s">
        <v>186</v>
      </c>
      <c r="EF480" s="764" t="s">
        <v>286</v>
      </c>
      <c r="EG480" s="764" t="s">
        <v>287</v>
      </c>
      <c r="EH480" s="764"/>
      <c r="EI480" s="764"/>
      <c r="EJ480" s="764" t="s">
        <v>288</v>
      </c>
      <c r="EK480" s="764" t="s">
        <v>186</v>
      </c>
      <c r="EL480" s="764" t="s">
        <v>286</v>
      </c>
      <c r="EM480" s="764" t="s">
        <v>186</v>
      </c>
      <c r="EN480" s="764" t="s">
        <v>286</v>
      </c>
      <c r="EO480" s="764" t="s">
        <v>186</v>
      </c>
      <c r="EP480" s="764" t="s">
        <v>286</v>
      </c>
      <c r="EQ480" s="764"/>
      <c r="ES480" s="38">
        <f>ROW()</f>
        <v>480</v>
      </c>
    </row>
    <row r="481" spans="1:250" s="82" customFormat="1" ht="20.25" customHeight="1">
      <c r="B481" s="247"/>
      <c r="C481" s="437"/>
      <c r="D481" s="437"/>
      <c r="E481" s="247"/>
      <c r="F481" s="247"/>
      <c r="G481" s="247"/>
      <c r="H481" s="247"/>
      <c r="I481" s="485"/>
      <c r="J481" s="485"/>
      <c r="K481" s="485"/>
      <c r="L481" s="485"/>
      <c r="M481" s="485"/>
      <c r="N481" s="485"/>
      <c r="O481" s="485"/>
      <c r="P481" s="485"/>
      <c r="Q481" s="485"/>
      <c r="R481" s="436"/>
      <c r="S481" s="242"/>
      <c r="T481" s="436"/>
      <c r="U481" s="241"/>
      <c r="V481" s="241"/>
      <c r="W481" s="241"/>
      <c r="X481" s="241"/>
      <c r="Y481" s="241"/>
      <c r="Z481" s="241"/>
      <c r="AA481" s="243"/>
      <c r="AB481" s="436"/>
      <c r="AC481" s="244"/>
      <c r="AD481" s="245"/>
      <c r="AE481" s="436"/>
      <c r="AF481" s="241"/>
      <c r="AG481" s="241"/>
      <c r="AH481" s="241"/>
      <c r="AI481" s="243"/>
      <c r="AJ481" s="246"/>
      <c r="AK481" s="244"/>
      <c r="AL481" s="244"/>
      <c r="AM481" s="1540" t="s">
        <v>332</v>
      </c>
      <c r="AN481" s="1541"/>
      <c r="AO481" s="1529" t="s">
        <v>350</v>
      </c>
      <c r="AP481" s="1529"/>
      <c r="AQ481" s="1529" t="s">
        <v>205</v>
      </c>
      <c r="AR481" s="1529"/>
      <c r="AS481" s="1529"/>
      <c r="AT481" s="1529"/>
      <c r="AU481" s="485"/>
      <c r="BC481" s="38"/>
      <c r="BD481" s="38"/>
      <c r="BE481" s="38"/>
      <c r="BF481" s="38"/>
      <c r="BG481" s="38"/>
      <c r="BH481" s="38"/>
      <c r="BI481" s="38"/>
      <c r="BJ481" s="38"/>
      <c r="BK481" s="38"/>
      <c r="BL481" s="38"/>
      <c r="BM481" s="38"/>
      <c r="BN481" s="38"/>
      <c r="BO481" s="38"/>
      <c r="BP481" s="38"/>
      <c r="BQ481" s="38"/>
      <c r="BR481" s="38"/>
      <c r="BS481" s="38"/>
      <c r="BT481" s="38"/>
      <c r="BU481" s="38"/>
      <c r="BV481" s="38"/>
      <c r="BW481" s="38"/>
      <c r="BX481" s="38"/>
      <c r="BY481" s="38"/>
      <c r="BZ481" s="38"/>
      <c r="CA481" s="38"/>
      <c r="CB481" s="38"/>
      <c r="CC481" s="38"/>
      <c r="CD481" s="38"/>
      <c r="CE481" s="38"/>
      <c r="CF481" s="38"/>
      <c r="CG481" s="38"/>
      <c r="CH481" s="38"/>
      <c r="CI481" s="38"/>
      <c r="CM481" s="105" t="s">
        <v>290</v>
      </c>
      <c r="CN481" s="105" t="s">
        <v>291</v>
      </c>
      <c r="CO481" s="105"/>
      <c r="CP481" s="105" t="s">
        <v>292</v>
      </c>
      <c r="CQ481" s="38"/>
      <c r="CR481" s="38"/>
      <c r="CS481" s="37" t="s">
        <v>280</v>
      </c>
      <c r="CT481" s="38"/>
      <c r="CU481" s="105" t="s">
        <v>281</v>
      </c>
      <c r="CV481" s="38"/>
      <c r="CW481" s="38"/>
      <c r="CX481" s="105" t="s">
        <v>282</v>
      </c>
      <c r="CY481" s="105" t="s">
        <v>283</v>
      </c>
      <c r="CZ481" s="105" t="s">
        <v>284</v>
      </c>
      <c r="DA481" s="105" t="s">
        <v>285</v>
      </c>
      <c r="DB481" s="436"/>
      <c r="DC481" s="37" t="s">
        <v>293</v>
      </c>
      <c r="DD481" s="38"/>
      <c r="DE481" s="105" t="s">
        <v>281</v>
      </c>
      <c r="DF481" s="37"/>
      <c r="DG481" s="105" t="s">
        <v>282</v>
      </c>
      <c r="DH481" s="105" t="s">
        <v>282</v>
      </c>
      <c r="DI481" s="38"/>
      <c r="DJ481" s="105" t="s">
        <v>348</v>
      </c>
      <c r="DK481" s="105" t="s">
        <v>348</v>
      </c>
      <c r="DL481" s="105" t="s">
        <v>233</v>
      </c>
      <c r="DM481" s="38"/>
      <c r="DN481" s="1358" t="s">
        <v>186</v>
      </c>
      <c r="DO481" s="1358"/>
      <c r="DP481" s="105" t="s">
        <v>286</v>
      </c>
      <c r="DQ481" s="105"/>
      <c r="DR481" s="105" t="s">
        <v>294</v>
      </c>
      <c r="DS481" s="105" t="s">
        <v>294</v>
      </c>
      <c r="DT481" s="38"/>
      <c r="DU481" s="1358" t="s">
        <v>286</v>
      </c>
      <c r="DV481" s="1358"/>
      <c r="DW481" s="105" t="s">
        <v>294</v>
      </c>
      <c r="DX481" s="105" t="s">
        <v>295</v>
      </c>
      <c r="DY481" s="38"/>
      <c r="DZ481" s="105" t="s">
        <v>296</v>
      </c>
      <c r="EA481" s="105" t="s">
        <v>297</v>
      </c>
      <c r="EB481" s="436"/>
      <c r="EC481" s="689" t="s">
        <v>186</v>
      </c>
      <c r="ED481" s="689" t="s">
        <v>186</v>
      </c>
      <c r="EE481" s="689" t="s">
        <v>298</v>
      </c>
      <c r="EF481" s="689" t="s">
        <v>298</v>
      </c>
      <c r="EG481" s="689" t="s">
        <v>298</v>
      </c>
      <c r="EH481" s="689" t="s">
        <v>186</v>
      </c>
      <c r="EI481" s="689" t="s">
        <v>286</v>
      </c>
      <c r="EJ481" s="689" t="s">
        <v>286</v>
      </c>
      <c r="EK481" s="689" t="s">
        <v>299</v>
      </c>
      <c r="EL481" s="689" t="s">
        <v>299</v>
      </c>
      <c r="EM481" s="689" t="s">
        <v>299</v>
      </c>
      <c r="EN481" s="689" t="s">
        <v>299</v>
      </c>
      <c r="EO481" s="689" t="s">
        <v>299</v>
      </c>
      <c r="EP481" s="689" t="s">
        <v>299</v>
      </c>
      <c r="EQ481" s="689" t="s">
        <v>299</v>
      </c>
      <c r="ER481" s="436"/>
      <c r="ES481" s="436"/>
      <c r="EU481" s="436"/>
      <c r="EV481" s="436"/>
      <c r="EW481" s="436"/>
      <c r="EX481" s="436"/>
      <c r="EY481" s="436"/>
      <c r="EZ481" s="436"/>
      <c r="FD481" s="436"/>
      <c r="FE481" s="436"/>
      <c r="FF481" s="436"/>
      <c r="FI481" s="105" t="s">
        <v>300</v>
      </c>
      <c r="FJ481" s="105" t="s">
        <v>301</v>
      </c>
      <c r="FK481" s="105" t="s">
        <v>302</v>
      </c>
      <c r="FL481" s="105" t="s">
        <v>303</v>
      </c>
      <c r="FM481" s="38"/>
      <c r="FN481" s="38" t="s">
        <v>304</v>
      </c>
      <c r="FO481" s="105">
        <v>3200</v>
      </c>
      <c r="FP481" s="105" t="s">
        <v>305</v>
      </c>
      <c r="FQ481" s="105" t="s">
        <v>306</v>
      </c>
      <c r="FR481" s="105" t="s">
        <v>307</v>
      </c>
      <c r="FS481" s="105" t="s">
        <v>306</v>
      </c>
      <c r="FT481" s="38"/>
      <c r="FU481" s="38"/>
    </row>
    <row r="482" spans="1:250" s="82" customFormat="1" ht="20.25" customHeight="1" thickBot="1">
      <c r="B482" s="247"/>
      <c r="C482" s="660">
        <f>1+C404</f>
        <v>7</v>
      </c>
      <c r="D482" s="437"/>
      <c r="E482" s="241" t="str">
        <f>CONCATENATE(AF$20," - page ",C482)</f>
        <v xml:space="preserve"> - page 7</v>
      </c>
      <c r="F482" s="247"/>
      <c r="G482" s="247"/>
      <c r="H482" s="247"/>
      <c r="I482" s="485"/>
      <c r="J482" s="485"/>
      <c r="K482" s="485"/>
      <c r="L482" s="485"/>
      <c r="M482" s="485"/>
      <c r="N482" s="485"/>
      <c r="O482" s="485"/>
      <c r="P482" s="485"/>
      <c r="Q482" s="485"/>
      <c r="R482" s="436"/>
      <c r="S482" s="242"/>
      <c r="T482" s="436"/>
      <c r="U482" s="241"/>
      <c r="V482" s="241"/>
      <c r="W482" s="241"/>
      <c r="X482" s="241"/>
      <c r="Y482" s="241"/>
      <c r="Z482" s="241"/>
      <c r="AA482" s="243"/>
      <c r="AB482" s="677" t="s">
        <v>132</v>
      </c>
      <c r="AC482" s="677" t="s">
        <v>282</v>
      </c>
      <c r="AD482" s="677" t="s">
        <v>312</v>
      </c>
      <c r="AE482" s="436"/>
      <c r="AF482" s="241"/>
      <c r="AG482" s="241"/>
      <c r="AH482" s="241"/>
      <c r="AI482" s="243"/>
      <c r="AJ482" s="678" t="s">
        <v>233</v>
      </c>
      <c r="AK482" s="678" t="s">
        <v>332</v>
      </c>
      <c r="AL482" s="679" t="s">
        <v>349</v>
      </c>
      <c r="AM482" s="1565">
        <f>AX$4</f>
        <v>0</v>
      </c>
      <c r="AN482" s="1566"/>
      <c r="AO482" s="1567">
        <f>AX$6</f>
        <v>0</v>
      </c>
      <c r="AP482" s="1568"/>
      <c r="AQ482" s="1569"/>
      <c r="AR482" s="1561">
        <f>AX$2</f>
        <v>0</v>
      </c>
      <c r="AS482" s="1561"/>
      <c r="AT482" s="1379"/>
      <c r="AU482" s="436"/>
      <c r="BC482" s="38"/>
      <c r="BD482" s="38"/>
      <c r="BE482" s="38"/>
      <c r="BF482" s="38"/>
      <c r="BG482" s="38"/>
      <c r="BH482" s="38"/>
      <c r="BI482" s="38"/>
      <c r="BJ482" s="38"/>
      <c r="BK482" s="38"/>
      <c r="BL482" s="38"/>
      <c r="BM482" s="38"/>
      <c r="BN482" s="38"/>
      <c r="BO482" s="38"/>
      <c r="BP482" s="38"/>
      <c r="BQ482" s="38"/>
      <c r="BR482" s="38"/>
      <c r="BS482" s="38"/>
      <c r="BT482" s="38"/>
      <c r="BU482" s="38"/>
      <c r="BV482" s="38"/>
      <c r="BW482" s="38"/>
      <c r="BX482" s="38"/>
      <c r="BY482" s="38"/>
      <c r="BZ482" s="38"/>
      <c r="CA482" s="38"/>
      <c r="CB482" s="38"/>
      <c r="CC482" s="38"/>
      <c r="CD482" s="38"/>
      <c r="CE482" s="38"/>
      <c r="CF482" s="38"/>
      <c r="CG482" s="38"/>
      <c r="CH482" s="38"/>
      <c r="CI482" s="38"/>
      <c r="CM482" s="105" t="s">
        <v>310</v>
      </c>
      <c r="CN482" s="105" t="s">
        <v>277</v>
      </c>
      <c r="CO482" s="105"/>
      <c r="CP482" s="105" t="s">
        <v>172</v>
      </c>
      <c r="CQ482" s="38"/>
      <c r="CR482" s="38"/>
      <c r="CS482" s="105" t="s">
        <v>190</v>
      </c>
      <c r="CT482" s="105" t="s">
        <v>186</v>
      </c>
      <c r="CU482" s="105" t="s">
        <v>311</v>
      </c>
      <c r="CV482" s="105" t="s">
        <v>132</v>
      </c>
      <c r="CW482" s="105" t="s">
        <v>282</v>
      </c>
      <c r="CX482" s="105" t="s">
        <v>285</v>
      </c>
      <c r="CY482" s="105" t="s">
        <v>312</v>
      </c>
      <c r="CZ482" s="105" t="s">
        <v>312</v>
      </c>
      <c r="DA482" s="105" t="s">
        <v>312</v>
      </c>
      <c r="DB482" s="436"/>
      <c r="DC482" s="105" t="s">
        <v>190</v>
      </c>
      <c r="DD482" s="37" t="s">
        <v>286</v>
      </c>
      <c r="DE482" s="105" t="s">
        <v>311</v>
      </c>
      <c r="DF482" s="105" t="s">
        <v>313</v>
      </c>
      <c r="DG482" s="105" t="s">
        <v>285</v>
      </c>
      <c r="DH482" s="105" t="s">
        <v>285</v>
      </c>
      <c r="DI482" s="38"/>
      <c r="DJ482" s="105" t="s">
        <v>349</v>
      </c>
      <c r="DK482" s="105" t="s">
        <v>284</v>
      </c>
      <c r="DL482" s="38"/>
      <c r="DM482" s="38"/>
      <c r="DN482" s="1359" t="s">
        <v>172</v>
      </c>
      <c r="DO482" s="1359"/>
      <c r="DP482" s="105" t="s">
        <v>172</v>
      </c>
      <c r="DQ482" s="105"/>
      <c r="DR482" s="105" t="s">
        <v>186</v>
      </c>
      <c r="DS482" s="105" t="s">
        <v>314</v>
      </c>
      <c r="DT482" s="38"/>
      <c r="DU482" s="1359" t="s">
        <v>315</v>
      </c>
      <c r="DV482" s="1359"/>
      <c r="DW482" s="105" t="s">
        <v>316</v>
      </c>
      <c r="DX482" s="105" t="s">
        <v>314</v>
      </c>
      <c r="DY482" s="38"/>
      <c r="DZ482" s="105" t="s">
        <v>205</v>
      </c>
      <c r="EA482" s="105" t="s">
        <v>205</v>
      </c>
      <c r="EB482" s="436"/>
      <c r="EC482" s="689" t="s">
        <v>282</v>
      </c>
      <c r="ED482" s="689" t="s">
        <v>282</v>
      </c>
      <c r="EE482" s="689" t="s">
        <v>282</v>
      </c>
      <c r="EF482" s="689" t="s">
        <v>282</v>
      </c>
      <c r="EG482" s="689" t="s">
        <v>282</v>
      </c>
      <c r="EH482" s="689" t="s">
        <v>281</v>
      </c>
      <c r="EI482" s="689" t="s">
        <v>281</v>
      </c>
      <c r="EJ482" s="689" t="s">
        <v>281</v>
      </c>
      <c r="EK482" s="689" t="s">
        <v>317</v>
      </c>
      <c r="EL482" s="689" t="s">
        <v>317</v>
      </c>
      <c r="EM482" s="689" t="s">
        <v>318</v>
      </c>
      <c r="EN482" s="689" t="s">
        <v>318</v>
      </c>
      <c r="EO482" s="689" t="s">
        <v>281</v>
      </c>
      <c r="EP482" s="689" t="s">
        <v>281</v>
      </c>
      <c r="EQ482" s="689" t="s">
        <v>281</v>
      </c>
      <c r="ER482" s="436"/>
      <c r="ES482" s="436">
        <f>SUM(ES483:ES556)</f>
        <v>0</v>
      </c>
      <c r="EU482" s="436"/>
      <c r="EV482" s="436"/>
      <c r="EW482" s="436"/>
      <c r="EX482" s="436"/>
      <c r="EY482" s="89" t="s">
        <v>314</v>
      </c>
      <c r="EZ482" s="89" t="s">
        <v>170</v>
      </c>
      <c r="FD482" s="436"/>
      <c r="FE482" s="436"/>
      <c r="FF482" s="436"/>
      <c r="FI482" s="38"/>
      <c r="FJ482" s="105" t="s">
        <v>273</v>
      </c>
      <c r="FK482" s="38"/>
      <c r="FL482" s="38"/>
      <c r="FM482" s="38"/>
      <c r="FN482" s="38" t="s">
        <v>233</v>
      </c>
      <c r="FO482" s="105" t="s">
        <v>305</v>
      </c>
      <c r="FP482" s="105" t="s">
        <v>320</v>
      </c>
      <c r="FQ482" s="105" t="s">
        <v>305</v>
      </c>
      <c r="FR482" s="105" t="s">
        <v>286</v>
      </c>
      <c r="FS482" s="37" t="s">
        <v>321</v>
      </c>
      <c r="FT482" s="38"/>
      <c r="FU482" s="105" t="s">
        <v>322</v>
      </c>
    </row>
    <row r="483" spans="1:250" s="82" customFormat="1" ht="14.95" customHeight="1" thickTop="1" thickBot="1">
      <c r="B483" s="1421" t="str">
        <f>HY486</f>
        <v xml:space="preserve"> </v>
      </c>
      <c r="C483" s="1422">
        <f>C475+1</f>
        <v>86</v>
      </c>
      <c r="D483" s="1423"/>
      <c r="E483" s="1424" t="s">
        <v>242</v>
      </c>
      <c r="F483" s="1425"/>
      <c r="G483" s="1426"/>
      <c r="H483" s="1427"/>
      <c r="I483" s="1427"/>
      <c r="J483" s="1427"/>
      <c r="K483" s="1427"/>
      <c r="L483" s="1427"/>
      <c r="M483" s="1427"/>
      <c r="N483" s="1427"/>
      <c r="O483" s="1427"/>
      <c r="P483" s="1427"/>
      <c r="Q483" s="1427"/>
      <c r="R483" s="1427"/>
      <c r="S483" s="1428" t="s">
        <v>283</v>
      </c>
      <c r="T483" s="668" t="s">
        <v>190</v>
      </c>
      <c r="U483" s="1430" t="s">
        <v>186</v>
      </c>
      <c r="V483" s="1431"/>
      <c r="W483" s="1431"/>
      <c r="X483" s="1431"/>
      <c r="Y483" s="1431"/>
      <c r="Z483" s="1431"/>
      <c r="AA483" s="1431"/>
      <c r="AB483" s="1088" t="str">
        <f>IFERROR(IF(__Retrofit_TI_NC=0,VLOOKUP(U484,Fixtures_Existing_List,2,FALSE),ROUND(N485*R485/T485,10)),"")</f>
        <v/>
      </c>
      <c r="AC483" s="1039" t="str">
        <f>IFERROR(IF(__Retrofit_TI_NC=0,ROUND(T484*AB483*N484*R484/1000,0),IF(CN483="Interior",N485*R485*R484*N484*_C406_reduction/1000,N485*R485*R484*N484/1000)),"")</f>
        <v/>
      </c>
      <c r="AD483" s="1040" t="str">
        <f>IFERROR(IF(C$36=0,ROUND(T484*AB483/1000,2),N485*R485/1000),"")</f>
        <v/>
      </c>
      <c r="AE483" s="1044" t="s">
        <v>190</v>
      </c>
      <c r="AF483" s="1432" t="str">
        <f>IF(__Retrofit_TI_NC=2,CONCATENATE("Code min = ",DD483),IF(__Retrofit_TI_NC=1,"Emter what you think the existing control was"," Control"))</f>
        <v xml:space="preserve"> Control</v>
      </c>
      <c r="AG483" s="1432"/>
      <c r="AH483" s="1432"/>
      <c r="AI483" s="1432"/>
      <c r="AJ483" s="1433">
        <f>DF483</f>
        <v>0</v>
      </c>
      <c r="AK483" s="1435" t="str">
        <f>IFERROR(ROUND(AJ483*AC483,0),"")</f>
        <v/>
      </c>
      <c r="AL483" s="1437">
        <f>IFERROR(IF(HW483=FALSE,0,AC483-AK483),0)</f>
        <v>0</v>
      </c>
      <c r="AM483" s="1439">
        <f>AL483-AL485</f>
        <v>0</v>
      </c>
      <c r="AN483" s="1440"/>
      <c r="AO483" s="1445">
        <f>IFERROR(IF(HW483=FALSE,0,(T485*U486)+(AE485*AF486)),0)</f>
        <v>0</v>
      </c>
      <c r="AP483" s="1445"/>
      <c r="AQ483" s="1446"/>
      <c r="AR483" s="1451" t="s">
        <v>157</v>
      </c>
      <c r="AS483" s="1454">
        <f>IF(AR483="Yes",1,0)</f>
        <v>1</v>
      </c>
      <c r="AT483" s="1457" t="str">
        <f>IF(OR(DN483=4,DN483=5,DN483=6,DN483=12),CONCATENATE("$",IF(GD483=TRUE,Lookup!$B$11,Lookup!$B$2)," /lamp"),CONCATENATE(EA483,"/ kWh"))</f>
        <v>0/ kWh</v>
      </c>
      <c r="AU483" s="516"/>
      <c r="AV483" s="1478">
        <f>IFERROR(IF(GI484=TRUE,(AB486*T485)/R485,0),"NA")</f>
        <v>0</v>
      </c>
      <c r="AW483" s="1478" t="str">
        <f>IFERROR(N485*_C406_reduction,"NA")</f>
        <v>NA</v>
      </c>
      <c r="BC483" s="38"/>
      <c r="BD483" s="38"/>
      <c r="BE483" s="38"/>
      <c r="BF483" s="38"/>
      <c r="BG483" s="38"/>
      <c r="BH483" s="38"/>
      <c r="BI483" s="38"/>
      <c r="BJ483" s="38"/>
      <c r="BK483" s="38"/>
      <c r="BL483" s="38"/>
      <c r="BM483" s="38"/>
      <c r="BN483" s="38"/>
      <c r="BO483" s="38"/>
      <c r="BP483" s="38"/>
      <c r="BQ483" s="38"/>
      <c r="BR483" s="38"/>
      <c r="BS483" s="38"/>
      <c r="BT483" s="38"/>
      <c r="BU483" s="38"/>
      <c r="BV483" s="38"/>
      <c r="BW483" s="38"/>
      <c r="BX483" s="38"/>
      <c r="BY483" s="38"/>
      <c r="BZ483" s="38"/>
      <c r="CA483" s="38"/>
      <c r="CB483" s="38"/>
      <c r="CC483" s="38"/>
      <c r="CD483" s="38"/>
      <c r="CE483" s="38"/>
      <c r="CF483" s="38"/>
      <c r="CG483" s="38"/>
      <c r="CH483" s="38"/>
      <c r="CI483" s="38"/>
      <c r="CM483" s="1352" t="str">
        <f>N484</f>
        <v/>
      </c>
      <c r="CN483" s="1352" t="str">
        <f>IFERROR(VLOOKUP(G484,_Lookup_Heat_Type_Table_New,3,FALSE),"")</f>
        <v/>
      </c>
      <c r="CO483" s="1415" t="str">
        <f>CN483</f>
        <v/>
      </c>
      <c r="CP483" s="1417" t="e">
        <f>VLOOKUP(G485,'Space Table'!$B$3:$L$160,9,FALSE)</f>
        <v>#N/A</v>
      </c>
      <c r="CR483" s="1386" t="s">
        <v>283</v>
      </c>
      <c r="CS483" s="1353">
        <f>IF(HW483=TRUE,T484,0)</f>
        <v>0</v>
      </c>
      <c r="CT483" s="1353" t="str">
        <f>IF(HW483=TRUE,U484,"")</f>
        <v/>
      </c>
      <c r="CU483" s="1353"/>
      <c r="CV483" s="1370">
        <f>IF(HW483=TRUE,AB483,0)</f>
        <v>0</v>
      </c>
      <c r="CW483" s="1370">
        <f>IF(HW483=TRUE,AC483,0)</f>
        <v>0</v>
      </c>
      <c r="CX483" s="1370">
        <f>IFERROR(IF(HW483=TRUE,CW483-CW485,0),0)</f>
        <v>0</v>
      </c>
      <c r="CY483" s="1485">
        <f>IF(HW483=TRUE,AD483,0)</f>
        <v>0</v>
      </c>
      <c r="CZ483" s="1485">
        <f>IF(HW483=TRUE,AD486,0)</f>
        <v>0</v>
      </c>
      <c r="DA483" s="1485">
        <f>IFERROR(CY483-CZ483,0)</f>
        <v>0</v>
      </c>
      <c r="DC483" s="1353">
        <f>IF(HW483=TRUE,AE484,0)</f>
        <v>0</v>
      </c>
      <c r="DD483" s="1460">
        <f>IF(__Retrofit_TI_NC=2,IF(CN483="Exterior",O486,FM483),FK483)</f>
        <v>0</v>
      </c>
      <c r="DE483" s="1353"/>
      <c r="DF483" s="1406">
        <f>IFERROR(IF(FL483=3,IK483,IF(FL483=4,IL483,IF(FL483=5,IM483,IF(FL483=6,IN483,IF(FL483=7,IO483,IF(FL483=8,IP483,0)))))),0)</f>
        <v>0</v>
      </c>
      <c r="DG483" s="1370">
        <f>IF(HW483=TRUE,AK483,0)</f>
        <v>0</v>
      </c>
      <c r="DH483" s="1369">
        <f>IFERROR(IF(HW483=TRUE,DG485-DG483,0),0)</f>
        <v>0</v>
      </c>
      <c r="DJ483" s="1483">
        <f>IFERROR(CW483-DG483,0)</f>
        <v>0</v>
      </c>
      <c r="DL483" s="1419">
        <f>DJ483-DK485</f>
        <v>0</v>
      </c>
      <c r="DN483" s="1403" t="str">
        <f>IFERROR(IF(AND(OR(FY483=4,FY483=5,FY483=6),OR(GB483=4,GB483=5,GB483=6)),FY483+8,VLOOKUP(CT485,Fixtures!R$31:Y$78,8,FALSE)),"")</f>
        <v/>
      </c>
      <c r="DO483" s="1404" t="str">
        <f>DN483</f>
        <v/>
      </c>
      <c r="DP483" s="1353" t="str">
        <f>IFERROR(VLOOKUP(DD485,Lookup!AU$3:AV$15,2,FALSE),"")</f>
        <v/>
      </c>
      <c r="DQ483" s="1404" t="str">
        <f>IF(DP483=7,"LLLC","")</f>
        <v/>
      </c>
      <c r="DR483" s="1403">
        <f>IFERROR(IF(OR(DN483=4,DN483=5,DN483=6,DN483=12,DN483=13,DN483=14),VLOOKUP(CT485,Fixtures!DN$27:EG$77,19,FALSE),1)*CS485,0)</f>
        <v>0</v>
      </c>
      <c r="DS483" s="1489">
        <f>IF(DP483=7,IF(DD483=DD485,0,DC485),0)</f>
        <v>0</v>
      </c>
      <c r="DU483" s="1403" t="str">
        <f>IFERROR(IF(EW483&lt;EW485,"Yes","No"),"")</f>
        <v/>
      </c>
      <c r="DV483" s="1404" t="str">
        <f>DU483</f>
        <v/>
      </c>
      <c r="DW483" s="1403">
        <f>IF(DU483="Yes",DC485,0)</f>
        <v>0</v>
      </c>
      <c r="DX483" s="1403">
        <f>DW483-DS483</f>
        <v>0</v>
      </c>
      <c r="DZ483" s="1481">
        <f>IFERROR(VLOOKUP(DN483,Lookup!AN$3:AO$16,2,FALSE),0)</f>
        <v>0</v>
      </c>
      <c r="EA483" s="1481">
        <f>IF(HW483=FALSE,0,IF(DU483="Yes",DZ483+Lookup!B$6,DZ483))</f>
        <v>0</v>
      </c>
      <c r="EC483" s="1482">
        <f>IF(HW483=TRUE,DJ483,0)</f>
        <v>0</v>
      </c>
      <c r="ED483" s="1369">
        <f>IF(HW483=TRUE,CW485,0)</f>
        <v>0</v>
      </c>
      <c r="EE483" s="1370">
        <f>IFERROR(EC483-ED483,0)</f>
        <v>0</v>
      </c>
      <c r="EF483" s="1369">
        <f>IF(HW483=TRUE,DG485,0)</f>
        <v>0</v>
      </c>
      <c r="EG483" s="1369">
        <f>IFERROR(EC483-ED483+EF483,0)</f>
        <v>0</v>
      </c>
      <c r="EH483" s="1373">
        <f>IF(HW483=TRUE,CS485*CU485,0)</f>
        <v>0</v>
      </c>
      <c r="EI483" s="1373">
        <f>IF(HW483=TRUE,DC485*DE485,0)</f>
        <v>0</v>
      </c>
      <c r="EJ483" s="1363">
        <f>AO483</f>
        <v>0</v>
      </c>
      <c r="EK483" s="1376" t="str">
        <f>IFERROR(IF(HW483=TRUE,VLOOKUP(DN483,Lookup!AN$3:AP$16,3,FALSE)*DR483,""),0)</f>
        <v/>
      </c>
      <c r="EL483" s="1376">
        <f>IF(HW483=TRUE,DW483*Lookup!AP$12,0)</f>
        <v>0</v>
      </c>
      <c r="EM483" s="1362">
        <f>IFERROR(IF(HW483=TRUE,EK483/EM$33,0),0)</f>
        <v>0</v>
      </c>
      <c r="EN483" s="1362">
        <f>IF(HW483=TRUE,EL483/EN$33,0)</f>
        <v>0</v>
      </c>
      <c r="EO483" s="1363">
        <f>IF(HW483=TRUE,EQ$33*EM483,0)</f>
        <v>0</v>
      </c>
      <c r="EP483" s="1363">
        <f>IF(HW483=TRUE,EQ$33*EN483,0)</f>
        <v>0</v>
      </c>
      <c r="EQ483" s="1363">
        <f>EO483+EP483</f>
        <v>0</v>
      </c>
      <c r="ES483" s="1403">
        <f>IF(G483="",0,1)</f>
        <v>0</v>
      </c>
      <c r="EU483" s="1410" t="e">
        <f>VLOOKUP(CP485,'Space Table'!$B$3:$L$160,8,FALSE)</f>
        <v>#N/A</v>
      </c>
      <c r="EV483" s="1410" t="e">
        <f>IF(EY483="Yes",VLOOKUP(DD483,Lookup_Control_Type_Table2,4,FALSE),VLOOKUP(DD483,Lookup_Control_Type_Table2,3,FALSE))</f>
        <v>#N/A</v>
      </c>
      <c r="EW483" s="1410" t="e">
        <f>VLOOKUP(DD483,Lookup!AU$3:AV$15,2,FALSE)</f>
        <v>#N/A</v>
      </c>
      <c r="EX483" s="1410" t="e">
        <f>VLOOKUP(EU483,Lookup_Control_Type_Table,2,FALSE)</f>
        <v>#N/A</v>
      </c>
      <c r="EY483" s="1410" t="e">
        <f>VLOOKUP(CP485,'Space Table'!$B$3:$L$160,7,FALSE)</f>
        <v>#N/A</v>
      </c>
      <c r="EZ483" s="1412" t="b">
        <f>ISNUMBER(SEARCH("TLED",U485))</f>
        <v>0</v>
      </c>
      <c r="FB483" s="1365" t="str">
        <f>CONCATENATE(CN483," - ",DD483)</f>
        <v xml:space="preserve"> - 0</v>
      </c>
      <c r="FD483" s="1353" t="str">
        <f>VLOOKUP(CT485,Fixtures!DN$27:EZ$77,38,FALSE)</f>
        <v/>
      </c>
      <c r="FE483" s="1353">
        <f>IFERROR(FD483*EE483,0)</f>
        <v>0</v>
      </c>
      <c r="FF483" s="138"/>
      <c r="FI483" s="1356" t="str">
        <f>IF(CN483="Exterior","Not Daylighted",G486)</f>
        <v>Not Daylighted</v>
      </c>
      <c r="FJ483" s="1356">
        <f>VLOOKUP(FI483,_Daylight_Table_Codes,2,FALSE)</f>
        <v>0</v>
      </c>
      <c r="FK483" s="1365">
        <f>IF(__Retrofit_TI_NC=2,VLOOKUP(G485,'Space Table'!$B$3:$L$160,11,FALSE),AF484)</f>
        <v>0</v>
      </c>
      <c r="FL483" s="1365" t="e">
        <f>VLOOKUP(FK483,_Control_Table,2,FALSE)</f>
        <v>#N/A</v>
      </c>
      <c r="FM483" s="1365" t="e">
        <f>IF(AND(FP483&gt;0,FK483="Occupancy Sensor"),"Daylight + Occupancy",IF(AND(FP483&gt;0,FL483&lt;4),"Interior Daylight Dimming",FK483))</f>
        <v>#N/A</v>
      </c>
      <c r="FO483" s="1364">
        <f>IF(CO483="Interior",VLOOKUP(CP483,Control_Savings_Interior,5,FALSE),0)</f>
        <v>0</v>
      </c>
      <c r="FP483" s="1361">
        <f>IF(CN483="Exterior",0,IF(FJ483=2,0.5,IF(OR(FJ483=1,FJ483=3),1,0)))</f>
        <v>0</v>
      </c>
      <c r="FQ483" s="1366"/>
      <c r="FR483" s="1367"/>
      <c r="FS483" s="1364"/>
      <c r="FT483" s="1367"/>
      <c r="FU483" s="1360"/>
      <c r="FW483" s="1352" t="str">
        <f>IFERROR(VLOOKUP(U484,_Exist_Fixture_Table,3,FALSE),"")</f>
        <v/>
      </c>
      <c r="FX483" s="1352" t="str">
        <f>VLOOKUP(CT483,_Exist_Fixture_Table,4,FALSE)</f>
        <v/>
      </c>
      <c r="FY483" s="1352">
        <f>IFERROR(VLOOKUP(FX483,Lookup!AM$6:AN$8,2,FALSE),0)</f>
        <v>0</v>
      </c>
      <c r="FZ483" s="1352" t="b">
        <f>IFERROR(IF(OR(GB483=4,GB483=5,GB483=6),TRUE,FALSE),"")</f>
        <v>0</v>
      </c>
      <c r="GA483" s="1352" t="str">
        <f>IFERROR(VLOOKUP(GB483,FY$6:FZ$10,2,FALSE),"")</f>
        <v/>
      </c>
      <c r="GB483" s="1352" t="str">
        <f>VLOOKUP(CT485,Fixtures!R$31:Y$78,8,FALSE)</f>
        <v/>
      </c>
      <c r="GC483" s="1352">
        <f>IF(AND(FW483=TRUE,FZ483=TRUE,OR(DN483=12,DN483=13,DN483=14)),FY483+8,0)</f>
        <v>0</v>
      </c>
      <c r="GD483" s="1352" t="b">
        <f>IF(OR(GC483=12,GC483=13,GC483=14),TRUE,FALSE)</f>
        <v>0</v>
      </c>
      <c r="GE483" s="759" t="b">
        <f>IF(ISNUMBER(SEARCH("TLED",U484)),TRUE,FALSE)</f>
        <v>0</v>
      </c>
      <c r="GF483" s="1035" t="str">
        <f>IFERROR(VLOOKUP(U484,Fixtures!BM$93:BR$142,6,FALSE),"")</f>
        <v/>
      </c>
      <c r="GG483" s="1385" t="b">
        <f>IF(OR(GE483=FALSE,GE485=FALSE),TRUE,IF(GF483-GF485&lt;5,FALSE,TRUE))</f>
        <v>1</v>
      </c>
      <c r="GK483" s="1034">
        <f>GL483</f>
        <v>0</v>
      </c>
      <c r="GL483" s="1034">
        <f>IF(G483="",0,1)</f>
        <v>0</v>
      </c>
      <c r="GM483" s="1034">
        <f>SUM(GN483:HB483)</f>
        <v>2</v>
      </c>
      <c r="GN483" s="1034">
        <f>IF(G484="",0,1)</f>
        <v>0</v>
      </c>
      <c r="GO483" s="1034">
        <f>IF(G485="",0,1)</f>
        <v>0</v>
      </c>
      <c r="GP483" s="1034">
        <f>IF(R484="",0,1)</f>
        <v>0</v>
      </c>
      <c r="GQ483" s="1034">
        <f>IF(__Retrofit_TI_NC=0,1,IF(R485="",0,1))</f>
        <v>1</v>
      </c>
      <c r="GR483" s="1034">
        <f>IF(CN483="Exterior",1,IF(G486="",0,1))</f>
        <v>1</v>
      </c>
      <c r="GS483" s="1034">
        <f>IF(__Retrofit_TI_NC&lt;&gt;0,1,IF(T484="",0,1))</f>
        <v>0</v>
      </c>
      <c r="GT483" s="1034">
        <f>IF(__Retrofit_TI_NC&lt;&gt;0,1,IF(U484="",0,1))</f>
        <v>0</v>
      </c>
      <c r="GU483" s="1034">
        <f>IF(T485="",0,1)</f>
        <v>0</v>
      </c>
      <c r="GV483" s="1034">
        <f>IF(U485="",0,1)</f>
        <v>0</v>
      </c>
      <c r="GW483" s="1034">
        <f>IF(__Retrofit_TI_NC=2,1,IF(U486="",0,1))</f>
        <v>0</v>
      </c>
      <c r="GX483" s="1034">
        <f>IF(__Retrofit_TI_NC&lt;&gt;0,1,IF(AE484="",0,1))</f>
        <v>0</v>
      </c>
      <c r="GY483" s="1034">
        <f>IF(__Retrofit_TI_NC&lt;&gt;0,1,IF(AF484="",0,1))</f>
        <v>0</v>
      </c>
      <c r="GZ483" s="1034">
        <f>IF(AE485="",0,1)</f>
        <v>0</v>
      </c>
      <c r="HA483" s="1034">
        <f>IF(AF485="",0,1)</f>
        <v>0</v>
      </c>
      <c r="HB483" s="1034">
        <f>IF(__Retrofit_TI_NC=2,1,IF(AF486="",0,1))</f>
        <v>0</v>
      </c>
      <c r="HV483" s="436"/>
      <c r="HW483" s="1384" t="b">
        <f>IF(OR(HW486=0,HW486=HT$16,HW486=HS$16,HW486=HU$16),TRUE,FALSE)</f>
        <v>0</v>
      </c>
      <c r="HX483" s="1377" t="b">
        <f>HW483</f>
        <v>0</v>
      </c>
      <c r="HY483" s="436"/>
      <c r="HZ483" s="436"/>
      <c r="IA483" s="1386" t="b">
        <f>IF(MAX(GJ486:HP486)&gt;5,FALSE,TRUE)</f>
        <v>0</v>
      </c>
      <c r="IB483" s="1380">
        <f>IF(IA483=TRUE,AC483,0)</f>
        <v>0</v>
      </c>
      <c r="IC483" s="1380">
        <f>IB483-IB485</f>
        <v>0</v>
      </c>
      <c r="IF483" s="1380" t="e">
        <f>ROUND(T484*VLOOKUP(U484,Fixtures_Existing_List,2,FALSE)*N484*R484/1000,0)</f>
        <v>#N/A</v>
      </c>
      <c r="IG483" s="1381" t="e">
        <f>IF483-IF485</f>
        <v>#N/A</v>
      </c>
      <c r="IH483" s="1384" t="e">
        <f>ROUND(IF(CN483="Interior",N485*R485*R484*N484*_C406_reduction/1000,N485*R485*R484*N484/1000),0)</f>
        <v>#N/A</v>
      </c>
      <c r="II483" s="1384" t="e">
        <f>IH483-IH485</f>
        <v>#N/A</v>
      </c>
      <c r="IK483" s="1351" t="e">
        <f>IF($CO483="interior",IL483/2,VLOOKUP($CP483,Control_Savings_Exterior,IK$30,FALSE))</f>
        <v>#N/A</v>
      </c>
      <c r="IL483" s="1351" t="e">
        <f>IF($CO483="interior",VLOOKUP($CP483,Control_Savings_Interior,IL$30,FALSE),VLOOKUP($CP483,Control_Savings_Exterior,IL$30,FALSE))</f>
        <v>#N/A</v>
      </c>
      <c r="IM483" s="1351" t="e">
        <f>IF($CO483="interior",IF(R484&gt;FO$37,(IM$28*(FO$37/R484)),IM$28)*FP483,VLOOKUP($CP483,Control_Savings_Exterior,IM$30,FALSE))</f>
        <v>#N/A</v>
      </c>
      <c r="IN483" s="1351" t="e">
        <f>IF($CO483="interior",ROUND(((1-IL483)*IM483)+IL483,2),VLOOKUP($CP483,Control_Savings_Exterior,IN$30,FALSE))</f>
        <v>#N/A</v>
      </c>
      <c r="IO483" s="1351" t="e">
        <f>IF($CO483="interior", ROUND(((1-IL483)*(IM483*(1-IP$28)))+IP483,2), VLOOKUP($CP483,Control_Savings_Exterior,IO$30,FALSE))</f>
        <v>#N/A</v>
      </c>
      <c r="IP483" s="1351">
        <f>IF($CO483="interior",ROUND(((1-IL483)*IP$28)+IL483,2),0)</f>
        <v>0</v>
      </c>
    </row>
    <row r="484" spans="1:250" s="82" customFormat="1" ht="14.95" customHeight="1" thickTop="1" thickBot="1">
      <c r="B484" s="1421"/>
      <c r="C484" s="1422"/>
      <c r="D484" s="1423"/>
      <c r="E484" s="1393" t="s">
        <v>244</v>
      </c>
      <c r="F484" s="1394"/>
      <c r="G484" s="1395"/>
      <c r="H484" s="1395"/>
      <c r="I484" s="1395"/>
      <c r="J484" s="1395"/>
      <c r="K484" s="1395"/>
      <c r="L484" s="1395"/>
      <c r="M484" s="509" t="e">
        <f>IF(__Retrofit_TI_NC&lt;&gt;0,IF(VLOOKUP(G485,'Space Table'!$B$3:$L$160,3,FALSE)&gt;0,1,0),IF(__Retrofit_TI_NC=VLOOKUP(G485,'Space Table'!$B$3:$L$160,3,FALSE),1,0))</f>
        <v>#N/A</v>
      </c>
      <c r="N484" s="509" t="str">
        <f>IFERROR(VLOOKUP(G484,_Lookup_Heat_Type_Table_New,2,FALSE),"")</f>
        <v/>
      </c>
      <c r="O484" s="509">
        <f>IF(__Retrofit_TI_NC=1,CONCATENATE("TI ",G484),IF(__Retrofit_TI_NC=2,CONCATENATE("NC ",G484),G484))</f>
        <v>0</v>
      </c>
      <c r="P484" s="1396" t="s">
        <v>352</v>
      </c>
      <c r="Q484" s="1396"/>
      <c r="R484" s="673"/>
      <c r="S484" s="1429"/>
      <c r="T484" s="675"/>
      <c r="U484" s="1496"/>
      <c r="V484" s="1497"/>
      <c r="W484" s="1497"/>
      <c r="X484" s="1497"/>
      <c r="Y484" s="1497"/>
      <c r="Z484" s="1497"/>
      <c r="AA484" s="1497"/>
      <c r="AB484" s="1497"/>
      <c r="AC484" s="1497"/>
      <c r="AD484" s="1498"/>
      <c r="AE484" s="675"/>
      <c r="AF484" s="1397"/>
      <c r="AG484" s="1397"/>
      <c r="AH484" s="1397"/>
      <c r="AI484" s="1397"/>
      <c r="AJ484" s="1434"/>
      <c r="AK484" s="1436"/>
      <c r="AL484" s="1438"/>
      <c r="AM484" s="1441"/>
      <c r="AN484" s="1442"/>
      <c r="AO484" s="1447"/>
      <c r="AP484" s="1447"/>
      <c r="AQ484" s="1448"/>
      <c r="AR484" s="1452"/>
      <c r="AS484" s="1455"/>
      <c r="AT484" s="1458"/>
      <c r="AU484" s="516"/>
      <c r="AV484" s="1479"/>
      <c r="AW484" s="1479"/>
      <c r="BC484" s="38"/>
      <c r="BD484" s="38"/>
      <c r="BE484" s="38"/>
      <c r="BF484" s="38"/>
      <c r="BG484" s="38"/>
      <c r="BH484" s="38"/>
      <c r="BI484" s="38"/>
      <c r="BJ484" s="38"/>
      <c r="BK484" s="38"/>
      <c r="BL484" s="38"/>
      <c r="BM484" s="38"/>
      <c r="BN484" s="38"/>
      <c r="BO484" s="38"/>
      <c r="BP484" s="38"/>
      <c r="BQ484" s="38"/>
      <c r="BR484" s="38"/>
      <c r="BS484" s="38"/>
      <c r="BT484" s="38"/>
      <c r="BU484" s="38"/>
      <c r="BV484" s="38"/>
      <c r="BW484" s="38"/>
      <c r="BX484" s="38"/>
      <c r="BY484" s="38"/>
      <c r="BZ484" s="38"/>
      <c r="CA484" s="38"/>
      <c r="CB484" s="38"/>
      <c r="CC484" s="38"/>
      <c r="CD484" s="38"/>
      <c r="CE484" s="38"/>
      <c r="CF484" s="38"/>
      <c r="CG484" s="38"/>
      <c r="CH484" s="38"/>
      <c r="CI484" s="38"/>
      <c r="CM484" s="1352"/>
      <c r="CN484" s="1352"/>
      <c r="CO484" s="1416"/>
      <c r="CP484" s="1418"/>
      <c r="CR484" s="1386"/>
      <c r="CS484" s="1355"/>
      <c r="CT484" s="1355"/>
      <c r="CU484" s="1355"/>
      <c r="CV484" s="1372"/>
      <c r="CW484" s="1372"/>
      <c r="CX484" s="1371"/>
      <c r="CY484" s="1486"/>
      <c r="CZ484" s="1486"/>
      <c r="DA484" s="1486"/>
      <c r="DC484" s="1355"/>
      <c r="DD484" s="1461"/>
      <c r="DE484" s="1355"/>
      <c r="DF484" s="1407"/>
      <c r="DG484" s="1372"/>
      <c r="DH484" s="1369"/>
      <c r="DJ484" s="1484"/>
      <c r="DL484" s="1419"/>
      <c r="DN484" s="1403"/>
      <c r="DO484" s="1405"/>
      <c r="DP484" s="1354"/>
      <c r="DQ484" s="1405"/>
      <c r="DR484" s="1403"/>
      <c r="DS484" s="1489"/>
      <c r="DU484" s="1403"/>
      <c r="DV484" s="1405"/>
      <c r="DW484" s="1403"/>
      <c r="DX484" s="1403"/>
      <c r="DZ484" s="1481"/>
      <c r="EA484" s="1481"/>
      <c r="EC484" s="1482"/>
      <c r="ED484" s="1369"/>
      <c r="EE484" s="1371"/>
      <c r="EF484" s="1369"/>
      <c r="EG484" s="1369"/>
      <c r="EH484" s="1374"/>
      <c r="EI484" s="1374"/>
      <c r="EJ484" s="1363"/>
      <c r="EK484" s="1376"/>
      <c r="EL484" s="1376"/>
      <c r="EM484" s="1362"/>
      <c r="EN484" s="1362"/>
      <c r="EO484" s="1363"/>
      <c r="EP484" s="1363"/>
      <c r="EQ484" s="1363"/>
      <c r="ES484" s="1403"/>
      <c r="EU484" s="1411"/>
      <c r="EV484" s="1411"/>
      <c r="EW484" s="1411"/>
      <c r="EX484" s="1411"/>
      <c r="EY484" s="1411"/>
      <c r="EZ484" s="1413"/>
      <c r="FB484" s="1365"/>
      <c r="FD484" s="1354"/>
      <c r="FE484" s="1354"/>
      <c r="FF484" s="138"/>
      <c r="FI484" s="1357"/>
      <c r="FJ484" s="1357"/>
      <c r="FK484" s="1365"/>
      <c r="FL484" s="1365"/>
      <c r="FM484" s="1365"/>
      <c r="FO484" s="1361"/>
      <c r="FP484" s="1361"/>
      <c r="FQ484" s="1366"/>
      <c r="FR484" s="1368"/>
      <c r="FS484" s="1361"/>
      <c r="FT484" s="1368"/>
      <c r="FU484" s="1360"/>
      <c r="FW484" s="1352"/>
      <c r="FX484" s="1352"/>
      <c r="FY484" s="1352"/>
      <c r="FZ484" s="1352"/>
      <c r="GA484" s="1352"/>
      <c r="GB484" s="1352"/>
      <c r="GC484" s="1352"/>
      <c r="GD484" s="1352"/>
      <c r="GE484" s="759"/>
      <c r="GF484" s="1035"/>
      <c r="GG484" s="1385"/>
      <c r="GI484" s="1384" t="b">
        <f>IF(AND(GL484=TRUE,GM484=TRUE),TRUE,FALSE)</f>
        <v>0</v>
      </c>
      <c r="GJ484" s="1379" t="b">
        <f>IFERROR(IF(__Retrofit_TI_NC=2,TRUE,IF(AR483="Yes",TRUE,FALSE)),FALSE)</f>
        <v>1</v>
      </c>
      <c r="GL484" s="1379" t="b">
        <f>IFERROR(IF(GL483=1,TRUE,FALSE),FALSE)</f>
        <v>0</v>
      </c>
      <c r="GM484" s="1379" t="b">
        <f>IFERROR(IF(GM483=GM$14,TRUE,FALSE),FALSE)</f>
        <v>0</v>
      </c>
      <c r="HC484" s="1379" t="b">
        <f>IFERROR(IF(M484=1,TRUE,FALSE),FALSE)</f>
        <v>0</v>
      </c>
      <c r="HD484" s="1379" t="b">
        <f>IFERROR(IF(M485=1,TRUE,FALSE),FALSE)</f>
        <v>0</v>
      </c>
      <c r="HE484" s="1379" t="b">
        <f>IFERROR(IF(__Retrofit_TI_NC&lt;&gt;0,TRUE,IFERROR(IF(VLOOKUP(U484,Fixtures_Existing_List,2,FALSE)&lt;&gt;"",TRUE,FALSE),FALSE)),FALSE)</f>
        <v>0</v>
      </c>
      <c r="HF484" s="1379" t="b">
        <f>IFERROR(IF(VLOOKUP(U485,Fixtures_Proposed_List,2,FALSE)&lt;&gt;"",TRUE,FALSE),FALSE)</f>
        <v>0</v>
      </c>
      <c r="HG484" s="1379" t="b">
        <f>IF(AND(__Retrofit_TI_NC=2,EZ483=TRUE),FALSE,TRUE)</f>
        <v>1</v>
      </c>
      <c r="HH484" s="1379" t="b">
        <f>GG483</f>
        <v>1</v>
      </c>
      <c r="HI484" s="1384" t="b">
        <f>IF(ISERROR(MATCH(FB483,_Control_Match[],0))=TRUE,FALSE,TRUE)</f>
        <v>0</v>
      </c>
      <c r="HJ484" s="1384" t="b">
        <f>IFERROR(IF(EU483&lt;&gt;EV483,FALSE,TRUE),FALSE)</f>
        <v>0</v>
      </c>
      <c r="HK484" s="1384" t="b">
        <f>IFERROR(IF(EU485&lt;&gt;EV485,FALSE,TRUE),FALSE)</f>
        <v>0</v>
      </c>
      <c r="HL484" s="1379" t="b">
        <f>IFERROR(IF(CN483="Exterior",TRUE,IF(OR(AND(FJ483=0,EW485&gt;4),AND(FJ483=4,EW485&gt;4,EW485&lt;7)),FALSE,TRUE)),FALSE)</f>
        <v>0</v>
      </c>
      <c r="HM484" s="1379" t="b">
        <f>IFERROR(IF(AND(FL485=7,EZ483=TRUE),FALSE,TRUE),FALSE)</f>
        <v>0</v>
      </c>
      <c r="HN484" s="1379" t="b">
        <f>IFERROR(IF(AND(T485&lt;&gt;AE485,AF485="Interior LLLC")=TRUE,FALSE,TRUE),FALSE)</f>
        <v>1</v>
      </c>
      <c r="HO484" s="1379" t="b">
        <f>IFERROR(IF(OR(AF485=Lookup!AU$13,AF485=Lookup!AU$14)=TRUE,IF(AE485&gt;T485,FALSE,TRUE),TRUE),FALSE)</f>
        <v>1</v>
      </c>
      <c r="HP484" s="1379" t="b">
        <f>IFERROR(IF(__Retrofit_TI_NC=2,IF(EW485&lt;EW483,FALSE,TRUE),TRUE),FALSE)</f>
        <v>1</v>
      </c>
      <c r="HQ484" s="1379" t="b">
        <f>IF(CN483="Interior",IG$6,TRUE)</f>
        <v>1</v>
      </c>
      <c r="HR484" s="1379" t="b">
        <f>IF(CN483="Exterior",IG$8,TRUE)</f>
        <v>1</v>
      </c>
      <c r="HS484" s="1379" t="b">
        <f>IFERROR(IF(__Retrofit_TI_NC&lt;&gt;0,IF(AW483&lt;AV483,FALSE,TRUE),TRUE),FALSE)</f>
        <v>1</v>
      </c>
      <c r="HT484" s="1379" t="b">
        <f>IFERROR(IF(AND(G484="Exterior",R484&gt;4200),FALSE,TRUE),FALSE)</f>
        <v>1</v>
      </c>
      <c r="HU484" s="1379" t="b">
        <f>IFERROR(IF(AB486/AB483&lt;HU$18,FALSE,TRUE),FALSE)</f>
        <v>0</v>
      </c>
      <c r="HW484" s="1382"/>
      <c r="HX484" s="1378"/>
      <c r="HY484" s="1377" t="str">
        <f>VLOOKUP(HW486,_Error_Table,4,FALSE)</f>
        <v>White</v>
      </c>
      <c r="HZ484" s="436"/>
      <c r="IA484" s="1386"/>
      <c r="IB484" s="1380"/>
      <c r="IC484" s="1379"/>
      <c r="IF484" s="1380"/>
      <c r="IG484" s="1382"/>
      <c r="IH484" s="1382"/>
      <c r="II484" s="1382"/>
      <c r="IK484" s="1351"/>
      <c r="IL484" s="1351"/>
      <c r="IM484" s="1351"/>
      <c r="IN484" s="1351"/>
      <c r="IO484" s="1351"/>
      <c r="IP484" s="1351"/>
    </row>
    <row r="485" spans="1:250" s="82" customFormat="1" ht="14.95" customHeight="1" thickTop="1" thickBot="1">
      <c r="A485" s="82">
        <f>ROW()</f>
        <v>485</v>
      </c>
      <c r="B485" s="1421"/>
      <c r="C485" s="1422"/>
      <c r="D485" s="1423"/>
      <c r="E485" s="1393" t="s">
        <v>245</v>
      </c>
      <c r="F485" s="1394"/>
      <c r="G485" s="1398"/>
      <c r="H485" s="1399"/>
      <c r="I485" s="1399"/>
      <c r="J485" s="1399"/>
      <c r="K485" s="1399"/>
      <c r="L485" s="1400"/>
      <c r="M485" s="509">
        <f>IFERROR(IF(IF(__Retrofit_TI_NC&lt;&gt;0,IF(CN483="Interior",MATCH(G485,Lookup_Interior_New,0),MATCH(G485,Lookup_Exterior_New,0)),IF(CN483="Interior",MATCH(G485,Lookup_Interior,0),MATCH(G485,Lookup_Exterior_Areas,0)))&gt;0,1,0),0)</f>
        <v>0</v>
      </c>
      <c r="N485" s="509" t="e">
        <f>IF(__Retrofit_TI_NC=1,
VLOOKUP(G485,'Space Table'!$B$3:$L$160,4,FALSE),
IF(__Retrofit_TI_NC=2,VLOOKUP(G485,'Space Table'!$B$3:$L$160,5,FALSE),VLOOKUP(G485,'Space Table'!$B$3:$L$160,5,FALSE)))</f>
        <v>#N/A</v>
      </c>
      <c r="O485" s="509">
        <f>G485</f>
        <v>0</v>
      </c>
      <c r="P485" s="1394" t="s">
        <v>355</v>
      </c>
      <c r="Q485" s="1394"/>
      <c r="R485" s="674"/>
      <c r="S485" s="1401" t="s">
        <v>284</v>
      </c>
      <c r="T485" s="672"/>
      <c r="U485" s="1499"/>
      <c r="V485" s="1500"/>
      <c r="W485" s="1500"/>
      <c r="X485" s="1500"/>
      <c r="Y485" s="1500"/>
      <c r="Z485" s="1500"/>
      <c r="AA485" s="1500"/>
      <c r="AB485" s="1501"/>
      <c r="AC485" s="1501"/>
      <c r="AD485" s="1502"/>
      <c r="AE485" s="672"/>
      <c r="AF485" s="1474"/>
      <c r="AG485" s="1474"/>
      <c r="AH485" s="1474"/>
      <c r="AI485" s="1474"/>
      <c r="AJ485" s="1475">
        <f>DF485</f>
        <v>0</v>
      </c>
      <c r="AK485" s="1470" t="str">
        <f>IFERROR(ROUND(AJ485*AC486,0),"")</f>
        <v/>
      </c>
      <c r="AL485" s="1472">
        <f>IFERROR(IF(HW483=FALSE,0,AC486-AK485),0)</f>
        <v>0</v>
      </c>
      <c r="AM485" s="1441"/>
      <c r="AN485" s="1442"/>
      <c r="AO485" s="1447"/>
      <c r="AP485" s="1447"/>
      <c r="AQ485" s="1448"/>
      <c r="AR485" s="1452"/>
      <c r="AS485" s="1455"/>
      <c r="AT485" s="1458"/>
      <c r="AU485" s="516"/>
      <c r="AV485" s="1479"/>
      <c r="AW485" s="1479"/>
      <c r="BC485" s="38"/>
      <c r="BD485" s="38"/>
      <c r="BE485" s="38"/>
      <c r="BF485" s="38"/>
      <c r="BG485" s="38"/>
      <c r="BH485" s="38"/>
      <c r="BI485" s="38"/>
      <c r="BJ485" s="38"/>
      <c r="BK485" s="38"/>
      <c r="BL485" s="38"/>
      <c r="BM485" s="38"/>
      <c r="BN485" s="38"/>
      <c r="BO485" s="38"/>
      <c r="BP485" s="38"/>
      <c r="BQ485" s="38"/>
      <c r="BR485" s="38"/>
      <c r="BS485" s="38"/>
      <c r="BT485" s="38"/>
      <c r="BU485" s="38"/>
      <c r="BV485" s="38"/>
      <c r="BW485" s="38"/>
      <c r="BX485" s="38"/>
      <c r="BY485" s="38"/>
      <c r="BZ485" s="38"/>
      <c r="CA485" s="38"/>
      <c r="CB485" s="38"/>
      <c r="CC485" s="38"/>
      <c r="CD485" s="38"/>
      <c r="CE485" s="38"/>
      <c r="CF485" s="38"/>
      <c r="CG485" s="38"/>
      <c r="CH485" s="38"/>
      <c r="CI485" s="38"/>
      <c r="CM485" s="1352"/>
      <c r="CN485" s="1352"/>
      <c r="CO485" s="1415" t="str">
        <f>CN483</f>
        <v/>
      </c>
      <c r="CP485" s="1417" t="e">
        <f>CP483</f>
        <v>#N/A</v>
      </c>
      <c r="CR485" s="1386" t="s">
        <v>284</v>
      </c>
      <c r="CS485" s="1353">
        <f>IF(HW483=TRUE,T485,0)</f>
        <v>0</v>
      </c>
      <c r="CT485" s="1353" t="str">
        <f>IF(HW483=TRUE,U485,"")</f>
        <v/>
      </c>
      <c r="CU485" s="1373">
        <f>IF(HW483=TRUE,U486,0)</f>
        <v>0</v>
      </c>
      <c r="CV485" s="1370">
        <f>IF(HW483=TRUE,AB486,0)</f>
        <v>0</v>
      </c>
      <c r="CW485" s="1370">
        <f>IF(HW483=TRUE,AC486,0)</f>
        <v>0</v>
      </c>
      <c r="CX485" s="1371"/>
      <c r="CY485" s="1486"/>
      <c r="CZ485" s="1486"/>
      <c r="DA485" s="1486"/>
      <c r="DC485" s="1353">
        <f>IF(HW483=TRUE,AE485,0)</f>
        <v>0</v>
      </c>
      <c r="DD485" s="1353" t="str">
        <f>IF(HW483=TRUE,AF485,"")</f>
        <v/>
      </c>
      <c r="DE485" s="1373">
        <f>AF486</f>
        <v>0</v>
      </c>
      <c r="DF485" s="1406">
        <f>IFERROR(IF(FL485=3,IK485,IF(FL485=4,IL485,IF(FL485=5,IM485,IF(FL485=6,IN485,IF(FL485=7,IO485,IF(FL485=8,IP485,0)))))),0)</f>
        <v>0</v>
      </c>
      <c r="DG485" s="1370">
        <f>IF(HW483=TRUE,AK485,0)</f>
        <v>0</v>
      </c>
      <c r="DH485" s="1369"/>
      <c r="DK485" s="1483">
        <f>IFERROR(CW485-DG485,0)</f>
        <v>0</v>
      </c>
      <c r="DL485" s="1420"/>
      <c r="DN485" s="1403"/>
      <c r="DO485" s="1477" t="str">
        <f>DN483</f>
        <v/>
      </c>
      <c r="DP485" s="1354"/>
      <c r="DQ485" s="1477" t="str">
        <f>IF(DP483=7,"LLLC","")</f>
        <v/>
      </c>
      <c r="DR485" s="1403"/>
      <c r="DS485" s="1489"/>
      <c r="DU485" s="1403"/>
      <c r="DV485" s="1404" t="str">
        <f>DU483</f>
        <v/>
      </c>
      <c r="DW485" s="1403"/>
      <c r="DX485" s="1403"/>
      <c r="DZ485" s="1481"/>
      <c r="EA485" s="1481"/>
      <c r="EC485" s="1482"/>
      <c r="ED485" s="1369"/>
      <c r="EE485" s="1371"/>
      <c r="EF485" s="1369"/>
      <c r="EG485" s="1369"/>
      <c r="EH485" s="1374"/>
      <c r="EI485" s="1374"/>
      <c r="EJ485" s="1363"/>
      <c r="EK485" s="1376"/>
      <c r="EL485" s="1376"/>
      <c r="EM485" s="1362"/>
      <c r="EN485" s="1362"/>
      <c r="EO485" s="1363"/>
      <c r="EP485" s="1363"/>
      <c r="EQ485" s="1363"/>
      <c r="ES485" s="1403"/>
      <c r="EU485" s="1411" t="e">
        <f>VLOOKUP(CP485,'Space Table'!$B$3:$L$160,8,FALSE)</f>
        <v>#N/A</v>
      </c>
      <c r="EV485" s="1411" t="e">
        <f>IF(EY485="Yes",VLOOKUP(AF485,Lookup_Control_Type_Table2,4,FALSE),VLOOKUP(AF485,Lookup_Control_Type_Table2,3,FALSE))</f>
        <v>#N/A</v>
      </c>
      <c r="EW485" s="1411" t="e">
        <f>VLOOKUP(AF485,Lookup!AU$3:AV$15,2,FALSE)</f>
        <v>#N/A</v>
      </c>
      <c r="EX485" s="1411" t="e">
        <f>VLOOKUP(EU483,Lookup_Control_Type_Table,2,FALSE)</f>
        <v>#N/A</v>
      </c>
      <c r="EY485" s="1411" t="e">
        <f>VLOOKUP(CP485,'Space Table'!$B$3:$L$160,7,FALSE)</f>
        <v>#N/A</v>
      </c>
      <c r="EZ485" s="1413"/>
      <c r="FB485" s="1365" t="str">
        <f>CONCATENATE(CN483," - ",AF485)</f>
        <v xml:space="preserve"> - </v>
      </c>
      <c r="FD485" s="1354"/>
      <c r="FE485" s="1354"/>
      <c r="FF485" s="138"/>
      <c r="FI485" s="1356" t="str">
        <f>IF(CN483="Exterior","Not Daylighted",G486)</f>
        <v>Not Daylighted</v>
      </c>
      <c r="FJ485" s="1356">
        <f>VLOOKUP(FI485,_Daylight_Table_Codes,2,FALSE)</f>
        <v>0</v>
      </c>
      <c r="FK485" s="1365">
        <f>AF485</f>
        <v>0</v>
      </c>
      <c r="FL485" s="1365" t="e">
        <f>VLOOKUP(FK485,_Control_Table,2,FALSE)</f>
        <v>#N/A</v>
      </c>
      <c r="FM485" s="1365" t="e">
        <f>IF(AND(FP485&gt;0,FK485="Occupancy Sensor"),"Daylight + Occupancy",IF(AND(FP485&gt;0,FL485&lt;4),"Interior Daylight Dimming",FK485))</f>
        <v>#N/A</v>
      </c>
      <c r="FO485" s="1364">
        <f>IF(CN483="Interior",VLOOKUP(CP483,Control_Savings_Interior,5,FALSE),0)</f>
        <v>0</v>
      </c>
      <c r="FP485" s="1361">
        <f>IF(CN485="Exterior",0,IF(FJ485=2,0.5,IF(OR(FJ485=1,FJ485=3),1,0)))</f>
        <v>0</v>
      </c>
      <c r="FQ485" s="1366">
        <f>IF(R484&gt;FO$37,(FO485*(FO$37/R484)),FO485)*FP485</f>
        <v>0</v>
      </c>
      <c r="FR485" s="1364">
        <f>DF485</f>
        <v>0</v>
      </c>
      <c r="FS485" s="1364">
        <f>ROUND(FR485+((1-FR485)*FQ485),2)</f>
        <v>0</v>
      </c>
      <c r="FT485" s="1364">
        <f>IF(__Retrofit_TI_NC=2,FS485,FR485)</f>
        <v>0</v>
      </c>
      <c r="FU485" s="1360">
        <f>IF(CO485="Interior",VLOOKUP(CP485,Control_Savings_Interior,4,FALSE),0)</f>
        <v>0</v>
      </c>
      <c r="FW485" s="1352"/>
      <c r="FX485" s="1352"/>
      <c r="FY485" s="1352"/>
      <c r="FZ485" s="1352"/>
      <c r="GA485" s="1352"/>
      <c r="GB485" s="1352"/>
      <c r="GC485" s="1352"/>
      <c r="GD485" s="1352"/>
      <c r="GE485" s="759" t="b">
        <f>IF(ISNUMBER(SEARCH("TLED",U485)),TRUE,FALSE)</f>
        <v>0</v>
      </c>
      <c r="GF485" s="1035" t="str">
        <f>IFERROR(VLOOKUP(U485,Fixtures!DM$93:DR$142,6,FALSE),"")</f>
        <v/>
      </c>
      <c r="GG485" s="1385"/>
      <c r="GI485" s="1383"/>
      <c r="GJ485" s="1379"/>
      <c r="GL485" s="1379"/>
      <c r="GM485" s="1379"/>
      <c r="HC485" s="1379"/>
      <c r="HD485" s="1379"/>
      <c r="HE485" s="1379"/>
      <c r="HF485" s="1379"/>
      <c r="HG485" s="1379"/>
      <c r="HH485" s="1379"/>
      <c r="HI485" s="1383"/>
      <c r="HJ485" s="1383"/>
      <c r="HK485" s="1383"/>
      <c r="HL485" s="1379"/>
      <c r="HM485" s="1379"/>
      <c r="HN485" s="1379"/>
      <c r="HO485" s="1379"/>
      <c r="HP485" s="1379"/>
      <c r="HQ485" s="1379"/>
      <c r="HR485" s="1379"/>
      <c r="HS485" s="1379"/>
      <c r="HT485" s="1379"/>
      <c r="HU485" s="1379"/>
      <c r="HW485" s="1383"/>
      <c r="HX485" s="1384" t="b">
        <f>HW483</f>
        <v>0</v>
      </c>
      <c r="HY485" s="1378"/>
      <c r="HZ485" s="436"/>
      <c r="IA485" s="1386"/>
      <c r="IB485" s="1380">
        <f>IF(IA483=TRUE,AC486,0)</f>
        <v>0</v>
      </c>
      <c r="IC485" s="1379"/>
      <c r="IF485" s="1380" t="e">
        <f>ROUND(T485*AB486*N484*R484/1000,0)</f>
        <v>#VALUE!</v>
      </c>
      <c r="IG485" s="1382"/>
      <c r="IH485" s="1384" t="e">
        <f>ROUND(T485*AB486*N484*R484/1000,0)</f>
        <v>#VALUE!</v>
      </c>
      <c r="II485" s="1382"/>
      <c r="IK485" s="1351" t="e">
        <f>IF($CO485="interior",IL485/2,VLOOKUP($CP485,Control_Savings_Exterior,IK$30,FALSE))</f>
        <v>#N/A</v>
      </c>
      <c r="IL485" s="1351" t="e">
        <f>IF($CO485="interior",VLOOKUP($CP485,Control_Savings_Interior,IL$30,FALSE),VLOOKUP($CP485,Control_Savings_Exterior,IL$30,FALSE))</f>
        <v>#N/A</v>
      </c>
      <c r="IM485" s="1351" t="e">
        <f>IF($CO485="interior",IF(R484&gt;FO$37,(IM$28*(FO$37/R484)),IM$28)*FP485,VLOOKUP($CP485,Control_Savings_Exterior,IM$30,FALSE))</f>
        <v>#N/A</v>
      </c>
      <c r="IN485" s="1351" t="e">
        <f>IF($CO485="interior",ROUND(((1-IL485)*IM485)+IL485,2),VLOOKUP($CP485,Control_Savings_Exterior,IN$30,FALSE))</f>
        <v>#N/A</v>
      </c>
      <c r="IO485" s="1351" t="e">
        <f>IF($CO485="interior", ROUND(((1-IL485)*(IM485*(1-IP$28)))+IP485,2), VLOOKUP($CP485,Control_Savings_Exterior,IO$30,FALSE))</f>
        <v>#N/A</v>
      </c>
      <c r="IP485" s="1351">
        <f>IF($CO485="interior",ROUND(((1-IL485)*IP$28)+IL485,2),0)</f>
        <v>0</v>
      </c>
    </row>
    <row r="486" spans="1:250" s="82" customFormat="1" ht="14.95" customHeight="1" thickTop="1" thickBot="1">
      <c r="B486" s="1421"/>
      <c r="C486" s="1422"/>
      <c r="D486" s="1423"/>
      <c r="E486" s="1462" t="s">
        <v>357</v>
      </c>
      <c r="F486" s="1463"/>
      <c r="G486" s="1464" t="s">
        <v>362</v>
      </c>
      <c r="H486" s="1465"/>
      <c r="I486" s="1465"/>
      <c r="J486" s="1465"/>
      <c r="K486" s="1465"/>
      <c r="L486" s="1466"/>
      <c r="M486" s="669">
        <f>IFERROR(VLOOKUP(G486,_Daylight_Table[],2,FALSE),0)</f>
        <v>0</v>
      </c>
      <c r="N486" s="670"/>
      <c r="O486" s="669" t="e">
        <f>VLOOKUP(G485,'Space Table'!$B$3:$L$160,11,FALSE)</f>
        <v>#N/A</v>
      </c>
      <c r="P486" s="1408"/>
      <c r="Q486" s="1409"/>
      <c r="R486" s="1409"/>
      <c r="S486" s="1402"/>
      <c r="T486" s="671" t="s">
        <v>281</v>
      </c>
      <c r="U486" s="1467" t="str">
        <f>IFERROR(VLOOKUP(U485,Fixtures!DM$93:DP$142,4,FALSE),"")</f>
        <v/>
      </c>
      <c r="V486" s="1468"/>
      <c r="W486" s="1468"/>
      <c r="X486" s="1468"/>
      <c r="Y486" s="1468"/>
      <c r="Z486" s="1468"/>
      <c r="AA486" s="1468"/>
      <c r="AB486" s="1046" t="str">
        <f>IFERROR(VLOOKUP(U485,Fixtures_Proposed_List,2,FALSE),"")</f>
        <v/>
      </c>
      <c r="AC486" s="1036" t="str">
        <f>IFERROR(ROUND(T485*AB486*N484*R484/1000,0),"")</f>
        <v/>
      </c>
      <c r="AD486" s="1037" t="str">
        <f>IFERROR(ROUND(T485*AB486/1000,2),"")</f>
        <v/>
      </c>
      <c r="AE486" s="1045" t="s">
        <v>281</v>
      </c>
      <c r="AF486" s="1469"/>
      <c r="AG486" s="1469"/>
      <c r="AH486" s="1469"/>
      <c r="AI486" s="1469"/>
      <c r="AJ486" s="1476"/>
      <c r="AK486" s="1471"/>
      <c r="AL486" s="1473"/>
      <c r="AM486" s="1443"/>
      <c r="AN486" s="1444"/>
      <c r="AO486" s="1449"/>
      <c r="AP486" s="1449"/>
      <c r="AQ486" s="1450"/>
      <c r="AR486" s="1453"/>
      <c r="AS486" s="1456"/>
      <c r="AT486" s="1459"/>
      <c r="AU486" s="517"/>
      <c r="AV486" s="1480"/>
      <c r="AW486" s="1480"/>
      <c r="BC486" s="38"/>
      <c r="BD486" s="38"/>
      <c r="BE486" s="38"/>
      <c r="BF486" s="38"/>
      <c r="BG486" s="38"/>
      <c r="BH486" s="38"/>
      <c r="BI486" s="38"/>
      <c r="BJ486" s="38"/>
      <c r="BK486" s="38"/>
      <c r="BL486" s="38"/>
      <c r="BM486" s="38"/>
      <c r="BN486" s="38"/>
      <c r="BO486" s="38"/>
      <c r="BP486" s="38"/>
      <c r="BQ486" s="38"/>
      <c r="BR486" s="38"/>
      <c r="BS486" s="38"/>
      <c r="BT486" s="38"/>
      <c r="BU486" s="38"/>
      <c r="BV486" s="38"/>
      <c r="BW486" s="38"/>
      <c r="BX486" s="38"/>
      <c r="BY486" s="38"/>
      <c r="BZ486" s="38"/>
      <c r="CA486" s="38"/>
      <c r="CB486" s="38"/>
      <c r="CC486" s="38"/>
      <c r="CD486" s="38"/>
      <c r="CE486" s="38"/>
      <c r="CF486" s="38"/>
      <c r="CG486" s="38"/>
      <c r="CH486" s="38"/>
      <c r="CI486" s="38"/>
      <c r="CM486" s="1352"/>
      <c r="CN486" s="1352"/>
      <c r="CO486" s="1416"/>
      <c r="CP486" s="1418"/>
      <c r="CR486" s="1386"/>
      <c r="CS486" s="1355"/>
      <c r="CT486" s="1355"/>
      <c r="CU486" s="1375"/>
      <c r="CV486" s="1372"/>
      <c r="CW486" s="1372"/>
      <c r="CX486" s="1372"/>
      <c r="CY486" s="1487"/>
      <c r="CZ486" s="1487"/>
      <c r="DA486" s="1487"/>
      <c r="DC486" s="1355"/>
      <c r="DD486" s="1355"/>
      <c r="DE486" s="1375"/>
      <c r="DF486" s="1407"/>
      <c r="DG486" s="1372"/>
      <c r="DH486" s="1369"/>
      <c r="DK486" s="1484"/>
      <c r="DL486" s="1420"/>
      <c r="DN486" s="1403"/>
      <c r="DO486" s="1405"/>
      <c r="DP486" s="1355"/>
      <c r="DQ486" s="1405"/>
      <c r="DR486" s="1403"/>
      <c r="DS486" s="1489"/>
      <c r="DU486" s="1403"/>
      <c r="DV486" s="1405"/>
      <c r="DW486" s="1403"/>
      <c r="DX486" s="1403"/>
      <c r="DZ486" s="1481"/>
      <c r="EA486" s="1481"/>
      <c r="EC486" s="1482"/>
      <c r="ED486" s="1369"/>
      <c r="EE486" s="1372"/>
      <c r="EF486" s="1369"/>
      <c r="EG486" s="1369"/>
      <c r="EH486" s="1375"/>
      <c r="EI486" s="1375"/>
      <c r="EJ486" s="1363"/>
      <c r="EK486" s="1376"/>
      <c r="EL486" s="1376"/>
      <c r="EM486" s="1362"/>
      <c r="EN486" s="1362"/>
      <c r="EO486" s="1363"/>
      <c r="EP486" s="1363"/>
      <c r="EQ486" s="1363"/>
      <c r="ES486" s="1403"/>
      <c r="EU486" s="1488"/>
      <c r="EV486" s="1488"/>
      <c r="EW486" s="1488"/>
      <c r="EX486" s="1488"/>
      <c r="EY486" s="1488"/>
      <c r="EZ486" s="1414"/>
      <c r="FB486" s="1365"/>
      <c r="FD486" s="1355"/>
      <c r="FE486" s="1355"/>
      <c r="FF486" s="138"/>
      <c r="FI486" s="1357"/>
      <c r="FJ486" s="1357"/>
      <c r="FK486" s="1365"/>
      <c r="FL486" s="1365"/>
      <c r="FM486" s="1365"/>
      <c r="FO486" s="1361"/>
      <c r="FP486" s="1361"/>
      <c r="FQ486" s="1366"/>
      <c r="FR486" s="1361"/>
      <c r="FS486" s="1361"/>
      <c r="FT486" s="1361"/>
      <c r="FU486" s="1360"/>
      <c r="FW486" s="1352"/>
      <c r="FX486" s="1352"/>
      <c r="FY486" s="1352"/>
      <c r="FZ486" s="1352"/>
      <c r="GA486" s="1352"/>
      <c r="GB486" s="1352"/>
      <c r="GC486" s="1352"/>
      <c r="GD486" s="1352"/>
      <c r="GE486" s="759"/>
      <c r="GF486" s="1035"/>
      <c r="GG486" s="1385"/>
      <c r="GJ486" s="1034">
        <f>IF(GJ484=TRUE,0,GJ$16)</f>
        <v>0</v>
      </c>
      <c r="GL486" s="1034">
        <f>IF(GL484=TRUE,0,GL$16)</f>
        <v>36</v>
      </c>
      <c r="GM486" s="1034">
        <f>IF(GM484=TRUE,0,GM$16)</f>
        <v>35</v>
      </c>
      <c r="GN486" s="436"/>
      <c r="GO486" s="436"/>
      <c r="GP486" s="436"/>
      <c r="GQ486" s="436"/>
      <c r="GR486" s="436"/>
      <c r="HC486" s="1034">
        <f t="shared" ref="HC486:HH486" si="354">IF(HC484=TRUE,0,HC$16)</f>
        <v>19</v>
      </c>
      <c r="HD486" s="1034">
        <f t="shared" si="354"/>
        <v>18</v>
      </c>
      <c r="HE486" s="1034">
        <f t="shared" si="354"/>
        <v>17</v>
      </c>
      <c r="HF486" s="1034">
        <f t="shared" si="354"/>
        <v>16</v>
      </c>
      <c r="HG486" s="1034">
        <f t="shared" si="354"/>
        <v>0</v>
      </c>
      <c r="HH486" s="1034">
        <f t="shared" si="354"/>
        <v>0</v>
      </c>
      <c r="HI486" s="1034">
        <f>IF(HI484=TRUE,0,HI$16)</f>
        <v>13</v>
      </c>
      <c r="HJ486" s="1034">
        <f t="shared" ref="HJ486:HL486" si="355">IF(HJ484=TRUE,0,HJ$16)</f>
        <v>12</v>
      </c>
      <c r="HK486" s="1034">
        <f t="shared" si="355"/>
        <v>11</v>
      </c>
      <c r="HL486" s="1034">
        <f t="shared" si="355"/>
        <v>10</v>
      </c>
      <c r="HM486" s="1034">
        <f>IF(HM484=TRUE,0,HM$16)</f>
        <v>9</v>
      </c>
      <c r="HN486" s="1034">
        <f t="shared" ref="HN486:HR486" si="356">IF(HN484=TRUE,0,HN$16)</f>
        <v>0</v>
      </c>
      <c r="HO486" s="1034">
        <f t="shared" si="356"/>
        <v>0</v>
      </c>
      <c r="HP486" s="1034">
        <f t="shared" si="356"/>
        <v>0</v>
      </c>
      <c r="HQ486" s="1034">
        <f t="shared" si="356"/>
        <v>0</v>
      </c>
      <c r="HR486" s="1034">
        <f t="shared" si="356"/>
        <v>0</v>
      </c>
      <c r="HS486" s="1034">
        <f>IF(HS484=TRUE,0,HS$16)</f>
        <v>0</v>
      </c>
      <c r="HT486" s="1034">
        <f t="shared" ref="HT486" si="357">IF(HT484=TRUE,0,HT$16)</f>
        <v>0</v>
      </c>
      <c r="HU486" s="1034">
        <f>IF(HU484=TRUE,0,HU$16)</f>
        <v>1</v>
      </c>
      <c r="HW486" s="1034">
        <f>IF(GL484=FALSE,GL486,IF(GM484=FALSE,GM486,MAX(GJ486:HU486)))</f>
        <v>36</v>
      </c>
      <c r="HX486" s="1383"/>
      <c r="HY486" s="241" t="str">
        <f>VLOOKUP(HW486,_Error_Table,3,FALSE)</f>
        <v xml:space="preserve"> </v>
      </c>
      <c r="HZ486" s="241"/>
      <c r="IA486" s="1386"/>
      <c r="IB486" s="1380"/>
      <c r="IC486" s="1379"/>
      <c r="IF486" s="1380"/>
      <c r="IG486" s="1383"/>
      <c r="IH486" s="1383"/>
      <c r="II486" s="1383"/>
      <c r="IK486" s="1351"/>
      <c r="IL486" s="1351"/>
      <c r="IM486" s="1351"/>
      <c r="IN486" s="1351"/>
      <c r="IO486" s="1351"/>
      <c r="IP486" s="1351"/>
    </row>
    <row r="487" spans="1:250" s="82" customFormat="1" ht="5.0999999999999996" customHeight="1" thickBot="1">
      <c r="B487" s="763"/>
      <c r="C487" s="1038"/>
      <c r="D487" s="1038"/>
      <c r="E487" s="1490"/>
      <c r="F487" s="1490"/>
      <c r="G487" s="1490"/>
      <c r="H487" s="1490"/>
      <c r="I487" s="1490"/>
      <c r="J487" s="1490"/>
      <c r="K487" s="1490"/>
      <c r="L487" s="1490"/>
      <c r="M487" s="1490"/>
      <c r="N487" s="1490"/>
      <c r="O487" s="1490"/>
      <c r="P487" s="1490"/>
      <c r="Q487" s="1490"/>
      <c r="R487" s="1490"/>
      <c r="S487" s="1490"/>
      <c r="T487" s="1490"/>
      <c r="U487" s="1490"/>
      <c r="V487" s="1490"/>
      <c r="W487" s="1490"/>
      <c r="X487" s="1490"/>
      <c r="Y487" s="1490"/>
      <c r="Z487" s="1490"/>
      <c r="AA487" s="1490"/>
      <c r="AB487" s="1490"/>
      <c r="AC487" s="1490"/>
      <c r="AD487" s="1490"/>
      <c r="AE487" s="1490"/>
      <c r="AF487" s="1490"/>
      <c r="AG487" s="1490"/>
      <c r="AH487" s="1490"/>
      <c r="AI487" s="1490"/>
      <c r="AJ487" s="1490"/>
      <c r="AK487" s="1490"/>
      <c r="AL487" s="1490"/>
      <c r="AM487" s="1490"/>
      <c r="AN487" s="1490"/>
      <c r="AO487" s="1490"/>
      <c r="AP487" s="1490"/>
      <c r="AQ487" s="1490"/>
      <c r="AR487" s="1490"/>
      <c r="AS487" s="1490"/>
      <c r="AT487" s="1490"/>
      <c r="AU487" s="1041"/>
      <c r="BC487" s="38"/>
      <c r="BD487" s="38"/>
      <c r="BE487" s="38"/>
      <c r="BF487" s="38"/>
      <c r="BG487" s="38"/>
      <c r="BH487" s="38"/>
      <c r="BI487" s="38"/>
      <c r="BJ487" s="38"/>
      <c r="BK487" s="38"/>
      <c r="BL487" s="38"/>
      <c r="BM487" s="38"/>
      <c r="BN487" s="38"/>
      <c r="BO487" s="38"/>
      <c r="BP487" s="38"/>
      <c r="BQ487" s="38"/>
      <c r="BR487" s="38"/>
      <c r="BS487" s="38"/>
      <c r="BT487" s="38"/>
      <c r="BU487" s="38"/>
      <c r="BV487" s="38"/>
      <c r="BW487" s="38"/>
      <c r="BX487" s="38"/>
      <c r="BY487" s="38"/>
      <c r="BZ487" s="38"/>
      <c r="CA487" s="38"/>
      <c r="CB487" s="38"/>
      <c r="CC487" s="38"/>
      <c r="CD487" s="38"/>
      <c r="CE487" s="38"/>
      <c r="CF487" s="38"/>
      <c r="CG487" s="38"/>
      <c r="CH487" s="38"/>
      <c r="CI487" s="38"/>
      <c r="CM487" s="749"/>
      <c r="CN487" s="749"/>
      <c r="CO487" s="1043"/>
      <c r="CP487" s="749"/>
      <c r="CS487" s="436"/>
      <c r="CT487" s="436"/>
      <c r="CU487" s="243"/>
      <c r="CV487" s="244"/>
      <c r="CW487" s="244"/>
      <c r="CX487" s="244"/>
      <c r="CY487" s="245"/>
      <c r="CZ487" s="245"/>
      <c r="DA487" s="245"/>
      <c r="DC487" s="750"/>
      <c r="DD487" s="751"/>
      <c r="DE487" s="752"/>
      <c r="DF487" s="753"/>
      <c r="DG487" s="754"/>
      <c r="DH487" s="754"/>
      <c r="DK487" s="244"/>
      <c r="DL487" s="750"/>
      <c r="DN487" s="750"/>
      <c r="DO487" s="755"/>
      <c r="DP487" s="436"/>
      <c r="DQ487" s="750"/>
      <c r="DR487" s="750"/>
      <c r="DS487" s="750"/>
      <c r="DU487" s="750"/>
      <c r="DV487" s="750"/>
      <c r="DW487" s="750"/>
      <c r="DX487" s="750"/>
      <c r="DZ487" s="756"/>
      <c r="EA487" s="756"/>
      <c r="EC487" s="754"/>
      <c r="ED487" s="754"/>
      <c r="EE487" s="244"/>
      <c r="EF487" s="754"/>
      <c r="EG487" s="754"/>
      <c r="EH487" s="243"/>
      <c r="EI487" s="243"/>
      <c r="EJ487" s="752"/>
      <c r="EK487" s="757"/>
      <c r="EL487" s="757"/>
      <c r="EM487" s="758"/>
      <c r="EN487" s="758"/>
      <c r="EO487" s="752"/>
      <c r="EP487" s="752"/>
      <c r="EQ487" s="752"/>
      <c r="ES487" s="750"/>
      <c r="EU487" s="436"/>
      <c r="EV487" s="436"/>
      <c r="EW487" s="436"/>
      <c r="EX487" s="436"/>
      <c r="EY487" s="436"/>
      <c r="EZ487" s="436"/>
      <c r="FB487" s="643"/>
      <c r="FD487" s="436"/>
      <c r="FE487" s="436"/>
      <c r="FF487" s="436"/>
      <c r="FO487" s="750"/>
      <c r="FP487" s="436"/>
      <c r="FQ487" s="436"/>
      <c r="FR487" s="750"/>
      <c r="FS487" s="750"/>
      <c r="FW487" s="749"/>
      <c r="FX487" s="749"/>
      <c r="FY487" s="749"/>
      <c r="FZ487" s="749"/>
      <c r="GA487" s="749"/>
      <c r="GB487" s="749"/>
      <c r="GC487" s="749"/>
      <c r="GD487" s="749"/>
      <c r="GE487" s="751"/>
      <c r="GF487" s="750"/>
      <c r="GG487" s="750"/>
    </row>
    <row r="488" spans="1:250" s="82" customFormat="1" ht="14.95" customHeight="1" thickTop="1" thickBot="1">
      <c r="B488" s="1421" t="str">
        <f>HY491</f>
        <v xml:space="preserve"> </v>
      </c>
      <c r="C488" s="1422">
        <f>C483+1</f>
        <v>87</v>
      </c>
      <c r="D488" s="1423"/>
      <c r="E488" s="1424" t="s">
        <v>242</v>
      </c>
      <c r="F488" s="1425"/>
      <c r="G488" s="1426"/>
      <c r="H488" s="1427"/>
      <c r="I488" s="1427"/>
      <c r="J488" s="1427"/>
      <c r="K488" s="1427"/>
      <c r="L488" s="1427"/>
      <c r="M488" s="1427"/>
      <c r="N488" s="1427"/>
      <c r="O488" s="1427"/>
      <c r="P488" s="1427"/>
      <c r="Q488" s="1427"/>
      <c r="R488" s="1427"/>
      <c r="S488" s="1428" t="s">
        <v>283</v>
      </c>
      <c r="T488" s="668" t="s">
        <v>190</v>
      </c>
      <c r="U488" s="1430" t="s">
        <v>186</v>
      </c>
      <c r="V488" s="1431"/>
      <c r="W488" s="1431"/>
      <c r="X488" s="1431"/>
      <c r="Y488" s="1431"/>
      <c r="Z488" s="1431"/>
      <c r="AA488" s="1431"/>
      <c r="AB488" s="1088" t="str">
        <f>IFERROR(IF(__Retrofit_TI_NC=0,VLOOKUP(U489,Fixtures_Existing_List,2,FALSE),ROUND(N490*R490/T490,10)),"")</f>
        <v/>
      </c>
      <c r="AC488" s="1039" t="str">
        <f>IFERROR(IF(__Retrofit_TI_NC=0,ROUND(T489*AB488*N489*R489/1000,0),IF(CN488="Interior",N490*R490*R489*N489*_C406_reduction/1000,N490*R490*R489*N489/1000)),"")</f>
        <v/>
      </c>
      <c r="AD488" s="1040" t="str">
        <f>IFERROR(IF(C$36=0,ROUND(T489*AB488/1000,2),N490*R490/1000),"")</f>
        <v/>
      </c>
      <c r="AE488" s="1044" t="s">
        <v>190</v>
      </c>
      <c r="AF488" s="1432" t="str">
        <f>IF(__Retrofit_TI_NC=2,CONCATENATE("Code min = ",DD488),IF(__Retrofit_TI_NC=1,"Emter what you think the existing control was"," Control"))</f>
        <v xml:space="preserve"> Control</v>
      </c>
      <c r="AG488" s="1432"/>
      <c r="AH488" s="1432"/>
      <c r="AI488" s="1432"/>
      <c r="AJ488" s="1433">
        <f>DF488</f>
        <v>0</v>
      </c>
      <c r="AK488" s="1435" t="str">
        <f>IFERROR(ROUND(AJ488*AC488,0),"")</f>
        <v/>
      </c>
      <c r="AL488" s="1437">
        <f>IFERROR(IF(HW488=FALSE,0,AC488-AK488),0)</f>
        <v>0</v>
      </c>
      <c r="AM488" s="1439">
        <f>AL488-AL490</f>
        <v>0</v>
      </c>
      <c r="AN488" s="1440"/>
      <c r="AO488" s="1445">
        <f>IFERROR(IF(HW488=FALSE,0,(T490*U491)+(AE490*AF491)),0)</f>
        <v>0</v>
      </c>
      <c r="AP488" s="1445"/>
      <c r="AQ488" s="1446"/>
      <c r="AR488" s="1451" t="s">
        <v>157</v>
      </c>
      <c r="AS488" s="1454">
        <f>IF(AR488="Yes",1,0)</f>
        <v>1</v>
      </c>
      <c r="AT488" s="1457" t="str">
        <f>IF(OR(DN488=4,DN488=5,DN488=6,DN488=12),CONCATENATE("$",IF(GD488=TRUE,Lookup!$B$11,Lookup!$B$2)," /lamp"),CONCATENATE(EA488,"/ kWh"))</f>
        <v>0/ kWh</v>
      </c>
      <c r="AU488" s="516"/>
      <c r="AV488" s="1478">
        <f>IFERROR(IF(GI489=TRUE,(AB491*T490)/R490,0),"NA")</f>
        <v>0</v>
      </c>
      <c r="AW488" s="1478" t="str">
        <f>IFERROR(N490*_C406_reduction,"NA")</f>
        <v>NA</v>
      </c>
      <c r="BC488" s="38"/>
      <c r="BD488" s="38"/>
      <c r="BE488" s="38"/>
      <c r="BF488" s="38"/>
      <c r="BG488" s="38"/>
      <c r="BH488" s="38"/>
      <c r="BI488" s="38"/>
      <c r="BJ488" s="38"/>
      <c r="BK488" s="38"/>
      <c r="BL488" s="38"/>
      <c r="BM488" s="38"/>
      <c r="BN488" s="38"/>
      <c r="BO488" s="38"/>
      <c r="BP488" s="38"/>
      <c r="BQ488" s="38"/>
      <c r="BR488" s="38"/>
      <c r="BS488" s="38"/>
      <c r="BT488" s="38"/>
      <c r="BU488" s="38"/>
      <c r="BV488" s="38"/>
      <c r="BW488" s="38"/>
      <c r="BX488" s="38"/>
      <c r="BY488" s="38"/>
      <c r="BZ488" s="38"/>
      <c r="CA488" s="38"/>
      <c r="CB488" s="38"/>
      <c r="CC488" s="38"/>
      <c r="CD488" s="38"/>
      <c r="CE488" s="38"/>
      <c r="CF488" s="38"/>
      <c r="CG488" s="38"/>
      <c r="CH488" s="38"/>
      <c r="CI488" s="38"/>
      <c r="CM488" s="1352" t="str">
        <f>N489</f>
        <v/>
      </c>
      <c r="CN488" s="1352" t="str">
        <f>IFERROR(VLOOKUP(G489,_Lookup_Heat_Type_Table_New,3,FALSE),"")</f>
        <v/>
      </c>
      <c r="CO488" s="1415" t="str">
        <f>CN488</f>
        <v/>
      </c>
      <c r="CP488" s="1417" t="e">
        <f>VLOOKUP(G490,'Space Table'!$B$3:$L$160,9,FALSE)</f>
        <v>#N/A</v>
      </c>
      <c r="CR488" s="1386" t="s">
        <v>283</v>
      </c>
      <c r="CS488" s="1353">
        <f>IF(HW488=TRUE,T489,0)</f>
        <v>0</v>
      </c>
      <c r="CT488" s="1353" t="str">
        <f>IF(HW488=TRUE,U489,"")</f>
        <v/>
      </c>
      <c r="CU488" s="1353"/>
      <c r="CV488" s="1370">
        <f>IF(HW488=TRUE,AB488,0)</f>
        <v>0</v>
      </c>
      <c r="CW488" s="1370">
        <f>IF(HW488=TRUE,AC488,0)</f>
        <v>0</v>
      </c>
      <c r="CX488" s="1370">
        <f>IFERROR(IF(HW488=TRUE,CW488-CW490,0),0)</f>
        <v>0</v>
      </c>
      <c r="CY488" s="1485">
        <f>IF(HW488=TRUE,AD488,0)</f>
        <v>0</v>
      </c>
      <c r="CZ488" s="1485">
        <f>IF(HW488=TRUE,AD491,0)</f>
        <v>0</v>
      </c>
      <c r="DA488" s="1485">
        <f>IFERROR(CY488-CZ488,0)</f>
        <v>0</v>
      </c>
      <c r="DC488" s="1353">
        <f>IF(HW488=TRUE,AE489,0)</f>
        <v>0</v>
      </c>
      <c r="DD488" s="1460">
        <f>IF(__Retrofit_TI_NC=2,IF(CN488="Exterior",O491,FM488),FK488)</f>
        <v>0</v>
      </c>
      <c r="DE488" s="1353"/>
      <c r="DF488" s="1406">
        <f>IFERROR(IF(FL488=3,IK488,IF(FL488=4,IL488,IF(FL488=5,IM488,IF(FL488=6,IN488,IF(FL488=7,IO488,IF(FL488=8,IP488,0)))))),0)</f>
        <v>0</v>
      </c>
      <c r="DG488" s="1370">
        <f>IF(HW488=TRUE,AK488,0)</f>
        <v>0</v>
      </c>
      <c r="DH488" s="1369">
        <f>IFERROR(IF(HW488=TRUE,DG490-DG488,0),0)</f>
        <v>0</v>
      </c>
      <c r="DJ488" s="1483">
        <f>IFERROR(CW488-DG488,0)</f>
        <v>0</v>
      </c>
      <c r="DL488" s="1419">
        <f>DJ488-DK490</f>
        <v>0</v>
      </c>
      <c r="DN488" s="1403" t="str">
        <f>IFERROR(IF(AND(OR(FY488=4,FY488=5,FY488=6),OR(GB488=4,GB488=5,GB488=6)),FY488+8,VLOOKUP(CT490,Fixtures!R$31:Y$78,8,FALSE)),"")</f>
        <v/>
      </c>
      <c r="DO488" s="1404" t="str">
        <f>DN488</f>
        <v/>
      </c>
      <c r="DP488" s="1353" t="str">
        <f>IFERROR(VLOOKUP(DD490,Lookup!AU$3:AV$15,2,FALSE),"")</f>
        <v/>
      </c>
      <c r="DQ488" s="1404" t="str">
        <f>IF(DP488=7,"LLLC","")</f>
        <v/>
      </c>
      <c r="DR488" s="1403">
        <f>IFERROR(IF(OR(DN488=4,DN488=5,DN488=6,DN488=12,DN488=13,DN488=14),VLOOKUP(CT490,Fixtures!DN$27:EG$77,19,FALSE),1)*CS490,0)</f>
        <v>0</v>
      </c>
      <c r="DS488" s="1489">
        <f>IF(DP488=7,IF(DD488=DD490,0,DC490),0)</f>
        <v>0</v>
      </c>
      <c r="DU488" s="1403" t="str">
        <f>IFERROR(IF(EW488&lt;EW490,"Yes","No"),"")</f>
        <v/>
      </c>
      <c r="DV488" s="1404" t="str">
        <f>DU488</f>
        <v/>
      </c>
      <c r="DW488" s="1403">
        <f>IF(DU488="Yes",DC490,0)</f>
        <v>0</v>
      </c>
      <c r="DX488" s="1403">
        <f>DW488-DS488</f>
        <v>0</v>
      </c>
      <c r="DZ488" s="1481">
        <f>IFERROR(VLOOKUP(DN488,Lookup!AN$3:AO$16,2,FALSE),0)</f>
        <v>0</v>
      </c>
      <c r="EA488" s="1481">
        <f>IF(HW488=FALSE,0,IF(DU488="Yes",DZ488+Lookup!B$6,DZ488))</f>
        <v>0</v>
      </c>
      <c r="EC488" s="1482">
        <f>IF(HW488=TRUE,DJ488,0)</f>
        <v>0</v>
      </c>
      <c r="ED488" s="1369">
        <f>IF(HW488=TRUE,CW490,0)</f>
        <v>0</v>
      </c>
      <c r="EE488" s="1370">
        <f>IFERROR(EC488-ED488,0)</f>
        <v>0</v>
      </c>
      <c r="EF488" s="1369">
        <f>IF(HW488=TRUE,DG490,0)</f>
        <v>0</v>
      </c>
      <c r="EG488" s="1369">
        <f>IFERROR(EC488-ED488+EF488,0)</f>
        <v>0</v>
      </c>
      <c r="EH488" s="1373">
        <f>IF(HW488=TRUE,CS490*CU490,0)</f>
        <v>0</v>
      </c>
      <c r="EI488" s="1373">
        <f>IF(HW488=TRUE,DC490*DE490,0)</f>
        <v>0</v>
      </c>
      <c r="EJ488" s="1363">
        <f>AO488</f>
        <v>0</v>
      </c>
      <c r="EK488" s="1376" t="str">
        <f>IFERROR(IF(HW488=TRUE,VLOOKUP(DN488,Lookup!AN$3:AP$16,3,FALSE)*DR488,""),0)</f>
        <v/>
      </c>
      <c r="EL488" s="1376">
        <f>IF(HW488=TRUE,DW488*Lookup!AP$12,0)</f>
        <v>0</v>
      </c>
      <c r="EM488" s="1362">
        <f>IFERROR(IF(HW488=TRUE,EK488/EM$33,0),0)</f>
        <v>0</v>
      </c>
      <c r="EN488" s="1362">
        <f>IF(HW488=TRUE,EL488/EN$33,0)</f>
        <v>0</v>
      </c>
      <c r="EO488" s="1363">
        <f>IF(HW488=TRUE,EQ$33*EM488,0)</f>
        <v>0</v>
      </c>
      <c r="EP488" s="1363">
        <f>IF(HW488=TRUE,EQ$33*EN488,0)</f>
        <v>0</v>
      </c>
      <c r="EQ488" s="1363">
        <f>EO488+EP488</f>
        <v>0</v>
      </c>
      <c r="ES488" s="1403">
        <f>IF(G488="",0,1)</f>
        <v>0</v>
      </c>
      <c r="EU488" s="1410" t="e">
        <f>VLOOKUP(CP490,'Space Table'!$B$3:$L$160,8,FALSE)</f>
        <v>#N/A</v>
      </c>
      <c r="EV488" s="1410" t="e">
        <f>IF(EY488="Yes",VLOOKUP(DD488,Lookup_Control_Type_Table2,4,FALSE),VLOOKUP(DD488,Lookup_Control_Type_Table2,3,FALSE))</f>
        <v>#N/A</v>
      </c>
      <c r="EW488" s="1410" t="e">
        <f>VLOOKUP(DD488,Lookup!AU$3:AV$15,2,FALSE)</f>
        <v>#N/A</v>
      </c>
      <c r="EX488" s="1410" t="e">
        <f>VLOOKUP(EU488,Lookup_Control_Type_Table,2,FALSE)</f>
        <v>#N/A</v>
      </c>
      <c r="EY488" s="1410" t="e">
        <f>VLOOKUP(CP490,'Space Table'!$B$3:$L$160,7,FALSE)</f>
        <v>#N/A</v>
      </c>
      <c r="EZ488" s="1412" t="b">
        <f>ISNUMBER(SEARCH("TLED",U490))</f>
        <v>0</v>
      </c>
      <c r="FB488" s="1365" t="str">
        <f>CONCATENATE(CN488," - ",DD488)</f>
        <v xml:space="preserve"> - 0</v>
      </c>
      <c r="FD488" s="1353" t="str">
        <f>VLOOKUP(CT490,Fixtures!DN$27:EZ$77,38,FALSE)</f>
        <v/>
      </c>
      <c r="FE488" s="1353">
        <f>IFERROR(FD488*EE488,0)</f>
        <v>0</v>
      </c>
      <c r="FF488" s="138"/>
      <c r="FI488" s="1356" t="str">
        <f>IF(CN488="Exterior","Not Daylighted",G491)</f>
        <v>Not Daylighted</v>
      </c>
      <c r="FJ488" s="1356">
        <f>VLOOKUP(FI488,_Daylight_Table_Codes,2,FALSE)</f>
        <v>0</v>
      </c>
      <c r="FK488" s="1365">
        <f>IF(__Retrofit_TI_NC=2,VLOOKUP(G490,'Space Table'!$B$3:$L$160,11,FALSE),AF489)</f>
        <v>0</v>
      </c>
      <c r="FL488" s="1365" t="e">
        <f>VLOOKUP(FK488,_Control_Table,2,FALSE)</f>
        <v>#N/A</v>
      </c>
      <c r="FM488" s="1365" t="e">
        <f>IF(AND(FP488&gt;0,FK488="Occupancy Sensor"),"Daylight + Occupancy",IF(AND(FP488&gt;0,FL488&lt;4),"Interior Daylight Dimming",FK488))</f>
        <v>#N/A</v>
      </c>
      <c r="FO488" s="1364">
        <f>IF(CO488="Interior",VLOOKUP(CP488,Control_Savings_Interior,5,FALSE),0)</f>
        <v>0</v>
      </c>
      <c r="FP488" s="1361">
        <f>IF(CN488="Exterior",0,IF(FJ488=2,0.5,IF(OR(FJ488=1,FJ488=3),1,0)))</f>
        <v>0</v>
      </c>
      <c r="FQ488" s="1366"/>
      <c r="FR488" s="1367"/>
      <c r="FS488" s="1364"/>
      <c r="FT488" s="1367"/>
      <c r="FU488" s="1360"/>
      <c r="FW488" s="1352" t="str">
        <f>IFERROR(VLOOKUP(U489,_Exist_Fixture_Table,3,FALSE),"")</f>
        <v/>
      </c>
      <c r="FX488" s="1352" t="str">
        <f>VLOOKUP(CT488,_Exist_Fixture_Table,4,FALSE)</f>
        <v/>
      </c>
      <c r="FY488" s="1352">
        <f>IFERROR(VLOOKUP(FX488,Lookup!AM$6:AN$8,2,FALSE),0)</f>
        <v>0</v>
      </c>
      <c r="FZ488" s="1352" t="b">
        <f>IFERROR(IF(OR(GB488=4,GB488=5,GB488=6),TRUE,FALSE),"")</f>
        <v>0</v>
      </c>
      <c r="GA488" s="1352" t="str">
        <f>IFERROR(VLOOKUP(GB488,FY$6:FZ$10,2,FALSE),"")</f>
        <v/>
      </c>
      <c r="GB488" s="1352" t="str">
        <f>VLOOKUP(CT490,Fixtures!R$31:Y$78,8,FALSE)</f>
        <v/>
      </c>
      <c r="GC488" s="1352">
        <f>IF(AND(FW488=TRUE,FZ488=TRUE,OR(DN488=12,DN488=13,DN488=14)),FY488+8,0)</f>
        <v>0</v>
      </c>
      <c r="GD488" s="1352" t="b">
        <f>IF(OR(GC488=12,GC488=13,GC488=14),TRUE,FALSE)</f>
        <v>0</v>
      </c>
      <c r="GE488" s="759" t="b">
        <f>IF(ISNUMBER(SEARCH("TLED",U489)),TRUE,FALSE)</f>
        <v>0</v>
      </c>
      <c r="GF488" s="1035" t="str">
        <f>IFERROR(VLOOKUP(U489,Fixtures!BM$93:BR$142,6,FALSE),"")</f>
        <v/>
      </c>
      <c r="GG488" s="1385" t="b">
        <f>IF(OR(GE488=FALSE,GE490=FALSE),TRUE,IF(GF488-GF490&lt;5,FALSE,TRUE))</f>
        <v>1</v>
      </c>
      <c r="GK488" s="1034">
        <f>GL488</f>
        <v>0</v>
      </c>
      <c r="GL488" s="1034">
        <f>IF(G488="",0,1)</f>
        <v>0</v>
      </c>
      <c r="GM488" s="1034">
        <f>SUM(GN488:HB488)</f>
        <v>2</v>
      </c>
      <c r="GN488" s="1034">
        <f>IF(G489="",0,1)</f>
        <v>0</v>
      </c>
      <c r="GO488" s="1034">
        <f>IF(G490="",0,1)</f>
        <v>0</v>
      </c>
      <c r="GP488" s="1034">
        <f>IF(R489="",0,1)</f>
        <v>0</v>
      </c>
      <c r="GQ488" s="1034">
        <f>IF(__Retrofit_TI_NC=0,1,IF(R490="",0,1))</f>
        <v>1</v>
      </c>
      <c r="GR488" s="1034">
        <f>IF(CN488="Exterior",1,IF(G491="",0,1))</f>
        <v>1</v>
      </c>
      <c r="GS488" s="1034">
        <f>IF(__Retrofit_TI_NC&lt;&gt;0,1,IF(T489="",0,1))</f>
        <v>0</v>
      </c>
      <c r="GT488" s="1034">
        <f>IF(__Retrofit_TI_NC&lt;&gt;0,1,IF(U489="",0,1))</f>
        <v>0</v>
      </c>
      <c r="GU488" s="1034">
        <f>IF(T490="",0,1)</f>
        <v>0</v>
      </c>
      <c r="GV488" s="1034">
        <f>IF(U490="",0,1)</f>
        <v>0</v>
      </c>
      <c r="GW488" s="1034">
        <f>IF(__Retrofit_TI_NC=2,1,IF(U491="",0,1))</f>
        <v>0</v>
      </c>
      <c r="GX488" s="1034">
        <f>IF(__Retrofit_TI_NC&lt;&gt;0,1,IF(AE489="",0,1))</f>
        <v>0</v>
      </c>
      <c r="GY488" s="1034">
        <f>IF(__Retrofit_TI_NC&lt;&gt;0,1,IF(AF489="",0,1))</f>
        <v>0</v>
      </c>
      <c r="GZ488" s="1034">
        <f>IF(AE490="",0,1)</f>
        <v>0</v>
      </c>
      <c r="HA488" s="1034">
        <f>IF(AF490="",0,1)</f>
        <v>0</v>
      </c>
      <c r="HB488" s="1034">
        <f>IF(__Retrofit_TI_NC=2,1,IF(AF491="",0,1))</f>
        <v>0</v>
      </c>
      <c r="HV488" s="436"/>
      <c r="HW488" s="1384" t="b">
        <f>IF(OR(HW491=0,HW491=HT$16,HW491=HS$16,HW491=HU$16),TRUE,FALSE)</f>
        <v>0</v>
      </c>
      <c r="HX488" s="1377" t="b">
        <f>HW488</f>
        <v>0</v>
      </c>
      <c r="HY488" s="436"/>
      <c r="HZ488" s="436"/>
      <c r="IA488" s="1386" t="b">
        <f>IF(MAX(GJ491:HP491)&gt;5,FALSE,TRUE)</f>
        <v>0</v>
      </c>
      <c r="IB488" s="1380">
        <f>IF(IA488=TRUE,AC488,0)</f>
        <v>0</v>
      </c>
      <c r="IC488" s="1380">
        <f>IB488-IB490</f>
        <v>0</v>
      </c>
      <c r="IF488" s="1380" t="e">
        <f>ROUND(T489*VLOOKUP(U489,Fixtures_Existing_List,2,FALSE)*N489*R489/1000,0)</f>
        <v>#N/A</v>
      </c>
      <c r="IG488" s="1381" t="e">
        <f>IF488-IF490</f>
        <v>#N/A</v>
      </c>
      <c r="IH488" s="1384" t="e">
        <f>ROUND(IF(CN488="Interior",N490*R490*R489*N489*_C406_reduction/1000,N490*R490*R489*N489/1000),0)</f>
        <v>#N/A</v>
      </c>
      <c r="II488" s="1384" t="e">
        <f>IH488-IH490</f>
        <v>#N/A</v>
      </c>
      <c r="IK488" s="1351" t="e">
        <f>IF($CO488="interior",IL488/2,VLOOKUP($CP488,Control_Savings_Exterior,IK$30,FALSE))</f>
        <v>#N/A</v>
      </c>
      <c r="IL488" s="1351" t="e">
        <f>IF($CO488="interior",VLOOKUP($CP488,Control_Savings_Interior,IL$30,FALSE),VLOOKUP($CP488,Control_Savings_Exterior,IL$30,FALSE))</f>
        <v>#N/A</v>
      </c>
      <c r="IM488" s="1351" t="e">
        <f>IF($CO488="interior",IF(R489&gt;FO$37,(IM$28*(FO$37/R489)),IM$28)*FP488,VLOOKUP($CP488,Control_Savings_Exterior,IM$30,FALSE))</f>
        <v>#N/A</v>
      </c>
      <c r="IN488" s="1351" t="e">
        <f>IF($CO488="interior",ROUND(((1-IL488)*IM488)+IL488,2),VLOOKUP($CP488,Control_Savings_Exterior,IN$30,FALSE))</f>
        <v>#N/A</v>
      </c>
      <c r="IO488" s="1351" t="e">
        <f>IF($CO488="interior", ROUND(((1-IL488)*(IM488*(1-IP$28)))+IP488,2), VLOOKUP($CP488,Control_Savings_Exterior,IO$30,FALSE))</f>
        <v>#N/A</v>
      </c>
      <c r="IP488" s="1351">
        <f>IF($CO488="interior",ROUND(((1-IL488)*IP$28)+IL488,2),0)</f>
        <v>0</v>
      </c>
    </row>
    <row r="489" spans="1:250" s="82" customFormat="1" ht="14.95" customHeight="1" thickTop="1" thickBot="1">
      <c r="B489" s="1421"/>
      <c r="C489" s="1422"/>
      <c r="D489" s="1423"/>
      <c r="E489" s="1393" t="s">
        <v>244</v>
      </c>
      <c r="F489" s="1394"/>
      <c r="G489" s="1395"/>
      <c r="H489" s="1395"/>
      <c r="I489" s="1395"/>
      <c r="J489" s="1395"/>
      <c r="K489" s="1395"/>
      <c r="L489" s="1395"/>
      <c r="M489" s="509" t="e">
        <f>IF(__Retrofit_TI_NC&lt;&gt;0,IF(VLOOKUP(G490,'Space Table'!$B$3:$L$160,3,FALSE)&gt;0,1,0),IF(__Retrofit_TI_NC=VLOOKUP(G490,'Space Table'!$B$3:$L$160,3,FALSE),1,0))</f>
        <v>#N/A</v>
      </c>
      <c r="N489" s="509" t="str">
        <f>IFERROR(VLOOKUP(G489,_Lookup_Heat_Type_Table_New,2,FALSE),"")</f>
        <v/>
      </c>
      <c r="O489" s="509">
        <f>IF(__Retrofit_TI_NC=1,CONCATENATE("TI ",G489),IF(__Retrofit_TI_NC=2,CONCATENATE("NC ",G489),G489))</f>
        <v>0</v>
      </c>
      <c r="P489" s="1396" t="s">
        <v>352</v>
      </c>
      <c r="Q489" s="1396"/>
      <c r="R489" s="673"/>
      <c r="S489" s="1429"/>
      <c r="T489" s="675"/>
      <c r="U489" s="1496"/>
      <c r="V489" s="1497"/>
      <c r="W489" s="1497"/>
      <c r="X489" s="1497"/>
      <c r="Y489" s="1497"/>
      <c r="Z489" s="1497"/>
      <c r="AA489" s="1497"/>
      <c r="AB489" s="1497"/>
      <c r="AC489" s="1497"/>
      <c r="AD489" s="1498"/>
      <c r="AE489" s="675"/>
      <c r="AF489" s="1397"/>
      <c r="AG489" s="1397"/>
      <c r="AH489" s="1397"/>
      <c r="AI489" s="1397"/>
      <c r="AJ489" s="1434"/>
      <c r="AK489" s="1436"/>
      <c r="AL489" s="1438"/>
      <c r="AM489" s="1441"/>
      <c r="AN489" s="1442"/>
      <c r="AO489" s="1447"/>
      <c r="AP489" s="1447"/>
      <c r="AQ489" s="1448"/>
      <c r="AR489" s="1452"/>
      <c r="AS489" s="1455"/>
      <c r="AT489" s="1458"/>
      <c r="AU489" s="516"/>
      <c r="AV489" s="1479"/>
      <c r="AW489" s="1479"/>
      <c r="BC489" s="38"/>
      <c r="BD489" s="38"/>
      <c r="BE489" s="38"/>
      <c r="BF489" s="38"/>
      <c r="BG489" s="38"/>
      <c r="BH489" s="38"/>
      <c r="BI489" s="38"/>
      <c r="BJ489" s="38"/>
      <c r="BK489" s="38"/>
      <c r="BL489" s="38"/>
      <c r="BM489" s="38"/>
      <c r="BN489" s="38"/>
      <c r="BO489" s="38"/>
      <c r="BP489" s="38"/>
      <c r="BQ489" s="38"/>
      <c r="BR489" s="38"/>
      <c r="BS489" s="38"/>
      <c r="BT489" s="38"/>
      <c r="BU489" s="38"/>
      <c r="BV489" s="38"/>
      <c r="BW489" s="38"/>
      <c r="BX489" s="38"/>
      <c r="BY489" s="38"/>
      <c r="BZ489" s="38"/>
      <c r="CA489" s="38"/>
      <c r="CB489" s="38"/>
      <c r="CC489" s="38"/>
      <c r="CD489" s="38"/>
      <c r="CE489" s="38"/>
      <c r="CF489" s="38"/>
      <c r="CG489" s="38"/>
      <c r="CH489" s="38"/>
      <c r="CI489" s="38"/>
      <c r="CM489" s="1352"/>
      <c r="CN489" s="1352"/>
      <c r="CO489" s="1416"/>
      <c r="CP489" s="1418"/>
      <c r="CR489" s="1386"/>
      <c r="CS489" s="1355"/>
      <c r="CT489" s="1355"/>
      <c r="CU489" s="1355"/>
      <c r="CV489" s="1372"/>
      <c r="CW489" s="1372"/>
      <c r="CX489" s="1371"/>
      <c r="CY489" s="1486"/>
      <c r="CZ489" s="1486"/>
      <c r="DA489" s="1486"/>
      <c r="DC489" s="1355"/>
      <c r="DD489" s="1461"/>
      <c r="DE489" s="1355"/>
      <c r="DF489" s="1407"/>
      <c r="DG489" s="1372"/>
      <c r="DH489" s="1369"/>
      <c r="DJ489" s="1484"/>
      <c r="DL489" s="1419"/>
      <c r="DN489" s="1403"/>
      <c r="DO489" s="1405"/>
      <c r="DP489" s="1354"/>
      <c r="DQ489" s="1405"/>
      <c r="DR489" s="1403"/>
      <c r="DS489" s="1489"/>
      <c r="DU489" s="1403"/>
      <c r="DV489" s="1405"/>
      <c r="DW489" s="1403"/>
      <c r="DX489" s="1403"/>
      <c r="DZ489" s="1481"/>
      <c r="EA489" s="1481"/>
      <c r="EC489" s="1482"/>
      <c r="ED489" s="1369"/>
      <c r="EE489" s="1371"/>
      <c r="EF489" s="1369"/>
      <c r="EG489" s="1369"/>
      <c r="EH489" s="1374"/>
      <c r="EI489" s="1374"/>
      <c r="EJ489" s="1363"/>
      <c r="EK489" s="1376"/>
      <c r="EL489" s="1376"/>
      <c r="EM489" s="1362"/>
      <c r="EN489" s="1362"/>
      <c r="EO489" s="1363"/>
      <c r="EP489" s="1363"/>
      <c r="EQ489" s="1363"/>
      <c r="ES489" s="1403"/>
      <c r="EU489" s="1411"/>
      <c r="EV489" s="1411"/>
      <c r="EW489" s="1411"/>
      <c r="EX489" s="1411"/>
      <c r="EY489" s="1411"/>
      <c r="EZ489" s="1413"/>
      <c r="FB489" s="1365"/>
      <c r="FD489" s="1354"/>
      <c r="FE489" s="1354"/>
      <c r="FF489" s="138"/>
      <c r="FI489" s="1357"/>
      <c r="FJ489" s="1357"/>
      <c r="FK489" s="1365"/>
      <c r="FL489" s="1365"/>
      <c r="FM489" s="1365"/>
      <c r="FO489" s="1361"/>
      <c r="FP489" s="1361"/>
      <c r="FQ489" s="1366"/>
      <c r="FR489" s="1368"/>
      <c r="FS489" s="1361"/>
      <c r="FT489" s="1368"/>
      <c r="FU489" s="1360"/>
      <c r="FW489" s="1352"/>
      <c r="FX489" s="1352"/>
      <c r="FY489" s="1352"/>
      <c r="FZ489" s="1352"/>
      <c r="GA489" s="1352"/>
      <c r="GB489" s="1352"/>
      <c r="GC489" s="1352"/>
      <c r="GD489" s="1352"/>
      <c r="GE489" s="759"/>
      <c r="GF489" s="1035"/>
      <c r="GG489" s="1385"/>
      <c r="GI489" s="1384" t="b">
        <f>IF(AND(GL489=TRUE,GM489=TRUE),TRUE,FALSE)</f>
        <v>0</v>
      </c>
      <c r="GJ489" s="1379" t="b">
        <f>IFERROR(IF(__Retrofit_TI_NC=2,TRUE,IF(AR488="Yes",TRUE,FALSE)),FALSE)</f>
        <v>1</v>
      </c>
      <c r="GL489" s="1379" t="b">
        <f>IFERROR(IF(GL488=1,TRUE,FALSE),FALSE)</f>
        <v>0</v>
      </c>
      <c r="GM489" s="1379" t="b">
        <f>IFERROR(IF(GM488=GM$14,TRUE,FALSE),FALSE)</f>
        <v>0</v>
      </c>
      <c r="HC489" s="1379" t="b">
        <f>IFERROR(IF(M489=1,TRUE,FALSE),FALSE)</f>
        <v>0</v>
      </c>
      <c r="HD489" s="1379" t="b">
        <f>IFERROR(IF(M490=1,TRUE,FALSE),FALSE)</f>
        <v>0</v>
      </c>
      <c r="HE489" s="1379" t="b">
        <f>IFERROR(IF(__Retrofit_TI_NC&lt;&gt;0,TRUE,IFERROR(IF(VLOOKUP(U489,Fixtures_Existing_List,2,FALSE)&lt;&gt;"",TRUE,FALSE),FALSE)),FALSE)</f>
        <v>0</v>
      </c>
      <c r="HF489" s="1379" t="b">
        <f>IFERROR(IF(VLOOKUP(U490,Fixtures_Proposed_List,2,FALSE)&lt;&gt;"",TRUE,FALSE),FALSE)</f>
        <v>0</v>
      </c>
      <c r="HG489" s="1379" t="b">
        <f>IF(AND(__Retrofit_TI_NC=2,EZ488=TRUE),FALSE,TRUE)</f>
        <v>1</v>
      </c>
      <c r="HH489" s="1379" t="b">
        <f>GG488</f>
        <v>1</v>
      </c>
      <c r="HI489" s="1384" t="b">
        <f>IF(ISERROR(MATCH(FB488,_Control_Match[],0))=TRUE,FALSE,TRUE)</f>
        <v>0</v>
      </c>
      <c r="HJ489" s="1384" t="b">
        <f>IFERROR(IF(EU488&lt;&gt;EV488,FALSE,TRUE),FALSE)</f>
        <v>0</v>
      </c>
      <c r="HK489" s="1384" t="b">
        <f>IFERROR(IF(EU490&lt;&gt;EV490,FALSE,TRUE),FALSE)</f>
        <v>0</v>
      </c>
      <c r="HL489" s="1379" t="b">
        <f>IFERROR(IF(CN488="Exterior",TRUE,IF(OR(AND(FJ488=0,EW490&gt;4),AND(FJ488=4,EW490&gt;4,EW490&lt;7)),FALSE,TRUE)),FALSE)</f>
        <v>0</v>
      </c>
      <c r="HM489" s="1379" t="b">
        <f>IFERROR(IF(AND(FL490=7,EZ488=TRUE),FALSE,TRUE),FALSE)</f>
        <v>0</v>
      </c>
      <c r="HN489" s="1379" t="b">
        <f>IFERROR(IF(AND(T490&lt;&gt;AE490,AF490="Interior LLLC")=TRUE,FALSE,TRUE),FALSE)</f>
        <v>1</v>
      </c>
      <c r="HO489" s="1379" t="b">
        <f>IFERROR(IF(OR(AF490=Lookup!AU$13,AF490=Lookup!AU$14)=TRUE,IF(AE490&gt;T490,FALSE,TRUE),TRUE),FALSE)</f>
        <v>1</v>
      </c>
      <c r="HP489" s="1379" t="b">
        <f>IFERROR(IF(__Retrofit_TI_NC=2,IF(EW490&lt;EW488,FALSE,TRUE),TRUE),FALSE)</f>
        <v>1</v>
      </c>
      <c r="HQ489" s="1379" t="b">
        <f>IF(CN488="Interior",IG$6,TRUE)</f>
        <v>1</v>
      </c>
      <c r="HR489" s="1379" t="b">
        <f>IF(CN488="Exterior",IG$8,TRUE)</f>
        <v>1</v>
      </c>
      <c r="HS489" s="1379" t="b">
        <f>IFERROR(IF(__Retrofit_TI_NC&lt;&gt;0,IF(AW488&lt;AV488,FALSE,TRUE),TRUE),FALSE)</f>
        <v>1</v>
      </c>
      <c r="HT489" s="1379" t="b">
        <f>IFERROR(IF(AND(G489="Exterior",R489&gt;4200),FALSE,TRUE),FALSE)</f>
        <v>1</v>
      </c>
      <c r="HU489" s="1379" t="b">
        <f>IFERROR(IF(AB491/AB488&lt;HU$18,FALSE,TRUE),FALSE)</f>
        <v>0</v>
      </c>
      <c r="HW489" s="1382"/>
      <c r="HX489" s="1378"/>
      <c r="HY489" s="1377" t="str">
        <f>VLOOKUP(HW491,_Error_Table,4,FALSE)</f>
        <v>White</v>
      </c>
      <c r="HZ489" s="436"/>
      <c r="IA489" s="1386"/>
      <c r="IB489" s="1380"/>
      <c r="IC489" s="1379"/>
      <c r="IF489" s="1380"/>
      <c r="IG489" s="1382"/>
      <c r="IH489" s="1382"/>
      <c r="II489" s="1382"/>
      <c r="IK489" s="1351"/>
      <c r="IL489" s="1351"/>
      <c r="IM489" s="1351"/>
      <c r="IN489" s="1351"/>
      <c r="IO489" s="1351"/>
      <c r="IP489" s="1351"/>
    </row>
    <row r="490" spans="1:250" s="82" customFormat="1" ht="14.95" customHeight="1" thickTop="1" thickBot="1">
      <c r="A490" s="82">
        <f>ROW()</f>
        <v>490</v>
      </c>
      <c r="B490" s="1421"/>
      <c r="C490" s="1422"/>
      <c r="D490" s="1423"/>
      <c r="E490" s="1393" t="s">
        <v>245</v>
      </c>
      <c r="F490" s="1394"/>
      <c r="G490" s="1398"/>
      <c r="H490" s="1399"/>
      <c r="I490" s="1399"/>
      <c r="J490" s="1399"/>
      <c r="K490" s="1399"/>
      <c r="L490" s="1400"/>
      <c r="M490" s="509">
        <f>IFERROR(IF(IF(__Retrofit_TI_NC&lt;&gt;0,IF(CN488="Interior",MATCH(G490,Lookup_Interior_New,0),MATCH(G490,Lookup_Exterior_New,0)),IF(CN488="Interior",MATCH(G490,Lookup_Interior,0),MATCH(G490,Lookup_Exterior_Areas,0)))&gt;0,1,0),0)</f>
        <v>0</v>
      </c>
      <c r="N490" s="509" t="e">
        <f>IF(__Retrofit_TI_NC=1,
VLOOKUP(G490,'Space Table'!$B$3:$L$160,4,FALSE),
IF(__Retrofit_TI_NC=2,VLOOKUP(G490,'Space Table'!$B$3:$L$160,5,FALSE),VLOOKUP(G490,'Space Table'!$B$3:$L$160,5,FALSE)))</f>
        <v>#N/A</v>
      </c>
      <c r="O490" s="509">
        <f>G490</f>
        <v>0</v>
      </c>
      <c r="P490" s="1394" t="s">
        <v>355</v>
      </c>
      <c r="Q490" s="1394"/>
      <c r="R490" s="674"/>
      <c r="S490" s="1401" t="s">
        <v>284</v>
      </c>
      <c r="T490" s="672"/>
      <c r="U490" s="1499"/>
      <c r="V490" s="1500"/>
      <c r="W490" s="1500"/>
      <c r="X490" s="1500"/>
      <c r="Y490" s="1500"/>
      <c r="Z490" s="1500"/>
      <c r="AA490" s="1500"/>
      <c r="AB490" s="1501"/>
      <c r="AC490" s="1501"/>
      <c r="AD490" s="1502"/>
      <c r="AE490" s="672"/>
      <c r="AF490" s="1474"/>
      <c r="AG490" s="1474"/>
      <c r="AH490" s="1474"/>
      <c r="AI490" s="1474"/>
      <c r="AJ490" s="1475">
        <f>DF490</f>
        <v>0</v>
      </c>
      <c r="AK490" s="1470" t="str">
        <f>IFERROR(ROUND(AJ490*AC491,0),"")</f>
        <v/>
      </c>
      <c r="AL490" s="1472">
        <f>IFERROR(IF(HW488=FALSE,0,AC491-AK490),0)</f>
        <v>0</v>
      </c>
      <c r="AM490" s="1441"/>
      <c r="AN490" s="1442"/>
      <c r="AO490" s="1447"/>
      <c r="AP490" s="1447"/>
      <c r="AQ490" s="1448"/>
      <c r="AR490" s="1452"/>
      <c r="AS490" s="1455"/>
      <c r="AT490" s="1458"/>
      <c r="AU490" s="516"/>
      <c r="AV490" s="1479"/>
      <c r="AW490" s="1479"/>
      <c r="BC490" s="38"/>
      <c r="BD490" s="38"/>
      <c r="BE490" s="38"/>
      <c r="BF490" s="38"/>
      <c r="BG490" s="38"/>
      <c r="BH490" s="38"/>
      <c r="BI490" s="38"/>
      <c r="BJ490" s="38"/>
      <c r="BK490" s="38"/>
      <c r="BL490" s="38"/>
      <c r="BM490" s="38"/>
      <c r="BN490" s="38"/>
      <c r="BO490" s="38"/>
      <c r="BP490" s="38"/>
      <c r="BQ490" s="38"/>
      <c r="BR490" s="38"/>
      <c r="BS490" s="38"/>
      <c r="BT490" s="38"/>
      <c r="BU490" s="38"/>
      <c r="BV490" s="38"/>
      <c r="BW490" s="38"/>
      <c r="BX490" s="38"/>
      <c r="BY490" s="38"/>
      <c r="BZ490" s="38"/>
      <c r="CA490" s="38"/>
      <c r="CB490" s="38"/>
      <c r="CC490" s="38"/>
      <c r="CD490" s="38"/>
      <c r="CE490" s="38"/>
      <c r="CF490" s="38"/>
      <c r="CG490" s="38"/>
      <c r="CH490" s="38"/>
      <c r="CI490" s="38"/>
      <c r="CM490" s="1352"/>
      <c r="CN490" s="1352"/>
      <c r="CO490" s="1415" t="str">
        <f>CN488</f>
        <v/>
      </c>
      <c r="CP490" s="1417" t="e">
        <f>CP488</f>
        <v>#N/A</v>
      </c>
      <c r="CR490" s="1386" t="s">
        <v>284</v>
      </c>
      <c r="CS490" s="1353">
        <f>IF(HW488=TRUE,T490,0)</f>
        <v>0</v>
      </c>
      <c r="CT490" s="1353" t="str">
        <f>IF(HW488=TRUE,U490,"")</f>
        <v/>
      </c>
      <c r="CU490" s="1373">
        <f>IF(HW488=TRUE,U491,0)</f>
        <v>0</v>
      </c>
      <c r="CV490" s="1370">
        <f>IF(HW488=TRUE,AB491,0)</f>
        <v>0</v>
      </c>
      <c r="CW490" s="1370">
        <f>IF(HW488=TRUE,AC491,0)</f>
        <v>0</v>
      </c>
      <c r="CX490" s="1371"/>
      <c r="CY490" s="1486"/>
      <c r="CZ490" s="1486"/>
      <c r="DA490" s="1486"/>
      <c r="DC490" s="1353">
        <f>IF(HW488=TRUE,AE490,0)</f>
        <v>0</v>
      </c>
      <c r="DD490" s="1353" t="str">
        <f>IF(HW488=TRUE,AF490,"")</f>
        <v/>
      </c>
      <c r="DE490" s="1373">
        <f>AF491</f>
        <v>0</v>
      </c>
      <c r="DF490" s="1406">
        <f>IFERROR(IF(FL490=3,IK490,IF(FL490=4,IL490,IF(FL490=5,IM490,IF(FL490=6,IN490,IF(FL490=7,IO490,IF(FL490=8,IP490,0)))))),0)</f>
        <v>0</v>
      </c>
      <c r="DG490" s="1370">
        <f>IF(HW488=TRUE,AK490,0)</f>
        <v>0</v>
      </c>
      <c r="DH490" s="1369"/>
      <c r="DK490" s="1483">
        <f>IFERROR(CW490-DG490,0)</f>
        <v>0</v>
      </c>
      <c r="DL490" s="1420"/>
      <c r="DN490" s="1403"/>
      <c r="DO490" s="1477" t="str">
        <f>DN488</f>
        <v/>
      </c>
      <c r="DP490" s="1354"/>
      <c r="DQ490" s="1477" t="str">
        <f>IF(DP488=7,"LLLC","")</f>
        <v/>
      </c>
      <c r="DR490" s="1403"/>
      <c r="DS490" s="1489"/>
      <c r="DU490" s="1403"/>
      <c r="DV490" s="1404" t="str">
        <f>DU488</f>
        <v/>
      </c>
      <c r="DW490" s="1403"/>
      <c r="DX490" s="1403"/>
      <c r="DZ490" s="1481"/>
      <c r="EA490" s="1481"/>
      <c r="EC490" s="1482"/>
      <c r="ED490" s="1369"/>
      <c r="EE490" s="1371"/>
      <c r="EF490" s="1369"/>
      <c r="EG490" s="1369"/>
      <c r="EH490" s="1374"/>
      <c r="EI490" s="1374"/>
      <c r="EJ490" s="1363"/>
      <c r="EK490" s="1376"/>
      <c r="EL490" s="1376"/>
      <c r="EM490" s="1362"/>
      <c r="EN490" s="1362"/>
      <c r="EO490" s="1363"/>
      <c r="EP490" s="1363"/>
      <c r="EQ490" s="1363"/>
      <c r="ES490" s="1403"/>
      <c r="EU490" s="1411" t="e">
        <f>VLOOKUP(CP490,'Space Table'!$B$3:$L$160,8,FALSE)</f>
        <v>#N/A</v>
      </c>
      <c r="EV490" s="1411" t="e">
        <f>IF(EY490="Yes",VLOOKUP(AF490,Lookup_Control_Type_Table2,4,FALSE),VLOOKUP(AF490,Lookup_Control_Type_Table2,3,FALSE))</f>
        <v>#N/A</v>
      </c>
      <c r="EW490" s="1411" t="e">
        <f>VLOOKUP(AF490,Lookup!AU$3:AV$15,2,FALSE)</f>
        <v>#N/A</v>
      </c>
      <c r="EX490" s="1411" t="e">
        <f>VLOOKUP(EU488,Lookup_Control_Type_Table,2,FALSE)</f>
        <v>#N/A</v>
      </c>
      <c r="EY490" s="1411" t="e">
        <f>VLOOKUP(CP490,'Space Table'!$B$3:$L$160,7,FALSE)</f>
        <v>#N/A</v>
      </c>
      <c r="EZ490" s="1413"/>
      <c r="FB490" s="1365" t="str">
        <f>CONCATENATE(CN488," - ",AF490)</f>
        <v xml:space="preserve"> - </v>
      </c>
      <c r="FD490" s="1354"/>
      <c r="FE490" s="1354"/>
      <c r="FF490" s="138"/>
      <c r="FI490" s="1356" t="str">
        <f>IF(CN488="Exterior","Not Daylighted",G491)</f>
        <v>Not Daylighted</v>
      </c>
      <c r="FJ490" s="1356">
        <f>VLOOKUP(FI490,_Daylight_Table_Codes,2,FALSE)</f>
        <v>0</v>
      </c>
      <c r="FK490" s="1365">
        <f>AF490</f>
        <v>0</v>
      </c>
      <c r="FL490" s="1365" t="e">
        <f>VLOOKUP(FK490,_Control_Table,2,FALSE)</f>
        <v>#N/A</v>
      </c>
      <c r="FM490" s="1365" t="e">
        <f>IF(AND(FP490&gt;0,FK490="Occupancy Sensor"),"Daylight + Occupancy",IF(AND(FP490&gt;0,FL490&lt;4),"Interior Daylight Dimming",FK490))</f>
        <v>#N/A</v>
      </c>
      <c r="FO490" s="1364">
        <f>IF(CN488="Interior",VLOOKUP(CP488,Control_Savings_Interior,5,FALSE),0)</f>
        <v>0</v>
      </c>
      <c r="FP490" s="1361">
        <f>IF(CN490="Exterior",0,IF(FJ490=2,0.5,IF(OR(FJ490=1,FJ490=3),1,0)))</f>
        <v>0</v>
      </c>
      <c r="FQ490" s="1366">
        <f>IF(R489&gt;FO$37,(FO490*(FO$37/R489)),FO490)*FP490</f>
        <v>0</v>
      </c>
      <c r="FR490" s="1364">
        <f>DF490</f>
        <v>0</v>
      </c>
      <c r="FS490" s="1364">
        <f>ROUND(FR490+((1-FR490)*FQ490),2)</f>
        <v>0</v>
      </c>
      <c r="FT490" s="1364">
        <f>IF(__Retrofit_TI_NC=2,FS490,FR490)</f>
        <v>0</v>
      </c>
      <c r="FU490" s="1360">
        <f>IF(CO490="Interior",VLOOKUP(CP490,Control_Savings_Interior,4,FALSE),0)</f>
        <v>0</v>
      </c>
      <c r="FW490" s="1352"/>
      <c r="FX490" s="1352"/>
      <c r="FY490" s="1352"/>
      <c r="FZ490" s="1352"/>
      <c r="GA490" s="1352"/>
      <c r="GB490" s="1352"/>
      <c r="GC490" s="1352"/>
      <c r="GD490" s="1352"/>
      <c r="GE490" s="759" t="b">
        <f>IF(ISNUMBER(SEARCH("TLED",U490)),TRUE,FALSE)</f>
        <v>0</v>
      </c>
      <c r="GF490" s="1035" t="str">
        <f>IFERROR(VLOOKUP(U490,Fixtures!DM$93:DR$142,6,FALSE),"")</f>
        <v/>
      </c>
      <c r="GG490" s="1385"/>
      <c r="GI490" s="1383"/>
      <c r="GJ490" s="1379"/>
      <c r="GL490" s="1379"/>
      <c r="GM490" s="1379"/>
      <c r="HC490" s="1379"/>
      <c r="HD490" s="1379"/>
      <c r="HE490" s="1379"/>
      <c r="HF490" s="1379"/>
      <c r="HG490" s="1379"/>
      <c r="HH490" s="1379"/>
      <c r="HI490" s="1383"/>
      <c r="HJ490" s="1383"/>
      <c r="HK490" s="1383"/>
      <c r="HL490" s="1379"/>
      <c r="HM490" s="1379"/>
      <c r="HN490" s="1379"/>
      <c r="HO490" s="1379"/>
      <c r="HP490" s="1379"/>
      <c r="HQ490" s="1379"/>
      <c r="HR490" s="1379"/>
      <c r="HS490" s="1379"/>
      <c r="HT490" s="1379"/>
      <c r="HU490" s="1379"/>
      <c r="HW490" s="1383"/>
      <c r="HX490" s="1384" t="b">
        <f>HW488</f>
        <v>0</v>
      </c>
      <c r="HY490" s="1378"/>
      <c r="HZ490" s="436"/>
      <c r="IA490" s="1386"/>
      <c r="IB490" s="1380">
        <f>IF(IA488=TRUE,AC491,0)</f>
        <v>0</v>
      </c>
      <c r="IC490" s="1379"/>
      <c r="IF490" s="1380" t="e">
        <f>ROUND(T490*AB491*N489*R489/1000,0)</f>
        <v>#VALUE!</v>
      </c>
      <c r="IG490" s="1382"/>
      <c r="IH490" s="1384" t="e">
        <f>ROUND(T490*AB491*N489*R489/1000,0)</f>
        <v>#VALUE!</v>
      </c>
      <c r="II490" s="1382"/>
      <c r="IK490" s="1351" t="e">
        <f>IF($CO490="interior",IL490/2,VLOOKUP($CP490,Control_Savings_Exterior,IK$30,FALSE))</f>
        <v>#N/A</v>
      </c>
      <c r="IL490" s="1351" t="e">
        <f>IF($CO490="interior",VLOOKUP($CP490,Control_Savings_Interior,IL$30,FALSE),VLOOKUP($CP490,Control_Savings_Exterior,IL$30,FALSE))</f>
        <v>#N/A</v>
      </c>
      <c r="IM490" s="1351" t="e">
        <f>IF($CO490="interior",IF(R489&gt;FO$37,(IM$28*(FO$37/R489)),IM$28)*FP490,VLOOKUP($CP490,Control_Savings_Exterior,IM$30,FALSE))</f>
        <v>#N/A</v>
      </c>
      <c r="IN490" s="1351" t="e">
        <f>IF($CO490="interior",ROUND(((1-IL490)*IM490)+IL490,2),VLOOKUP($CP490,Control_Savings_Exterior,IN$30,FALSE))</f>
        <v>#N/A</v>
      </c>
      <c r="IO490" s="1351" t="e">
        <f>IF($CO490="interior", ROUND(((1-IL490)*(IM490*(1-IP$28)))+IP490,2), VLOOKUP($CP490,Control_Savings_Exterior,IO$30,FALSE))</f>
        <v>#N/A</v>
      </c>
      <c r="IP490" s="1351">
        <f>IF($CO490="interior",ROUND(((1-IL490)*IP$28)+IL490,2),0)</f>
        <v>0</v>
      </c>
    </row>
    <row r="491" spans="1:250" s="82" customFormat="1" ht="14.95" customHeight="1" thickTop="1" thickBot="1">
      <c r="B491" s="1421"/>
      <c r="C491" s="1422"/>
      <c r="D491" s="1423"/>
      <c r="E491" s="1462" t="s">
        <v>357</v>
      </c>
      <c r="F491" s="1463"/>
      <c r="G491" s="1464" t="s">
        <v>362</v>
      </c>
      <c r="H491" s="1465"/>
      <c r="I491" s="1465"/>
      <c r="J491" s="1465"/>
      <c r="K491" s="1465"/>
      <c r="L491" s="1466"/>
      <c r="M491" s="669">
        <f>IFERROR(VLOOKUP(G491,_Daylight_Table[],2,FALSE),0)</f>
        <v>0</v>
      </c>
      <c r="N491" s="670"/>
      <c r="O491" s="669" t="e">
        <f>VLOOKUP(G490,'Space Table'!$B$3:$L$160,11,FALSE)</f>
        <v>#N/A</v>
      </c>
      <c r="P491" s="1408"/>
      <c r="Q491" s="1409"/>
      <c r="R491" s="1409"/>
      <c r="S491" s="1402"/>
      <c r="T491" s="671" t="s">
        <v>281</v>
      </c>
      <c r="U491" s="1467" t="str">
        <f>IFERROR(VLOOKUP(U490,Fixtures!DM$93:DP$142,4,FALSE),"")</f>
        <v/>
      </c>
      <c r="V491" s="1468"/>
      <c r="W491" s="1468"/>
      <c r="X491" s="1468"/>
      <c r="Y491" s="1468"/>
      <c r="Z491" s="1468"/>
      <c r="AA491" s="1468"/>
      <c r="AB491" s="1046" t="str">
        <f>IFERROR(VLOOKUP(U490,Fixtures_Proposed_List,2,FALSE),"")</f>
        <v/>
      </c>
      <c r="AC491" s="1036" t="str">
        <f>IFERROR(ROUND(T490*AB491*N489*R489/1000,0),"")</f>
        <v/>
      </c>
      <c r="AD491" s="1037" t="str">
        <f>IFERROR(ROUND(T490*AB491/1000,2),"")</f>
        <v/>
      </c>
      <c r="AE491" s="1045" t="s">
        <v>281</v>
      </c>
      <c r="AF491" s="1469"/>
      <c r="AG491" s="1469"/>
      <c r="AH491" s="1469"/>
      <c r="AI491" s="1469"/>
      <c r="AJ491" s="1476"/>
      <c r="AK491" s="1471"/>
      <c r="AL491" s="1473"/>
      <c r="AM491" s="1443"/>
      <c r="AN491" s="1444"/>
      <c r="AO491" s="1449"/>
      <c r="AP491" s="1449"/>
      <c r="AQ491" s="1450"/>
      <c r="AR491" s="1453"/>
      <c r="AS491" s="1456"/>
      <c r="AT491" s="1459"/>
      <c r="AU491" s="517"/>
      <c r="AV491" s="1480"/>
      <c r="AW491" s="1480"/>
      <c r="BC491" s="38"/>
      <c r="BD491" s="38"/>
      <c r="BE491" s="38"/>
      <c r="BF491" s="38"/>
      <c r="BG491" s="38"/>
      <c r="BH491" s="38"/>
      <c r="BI491" s="38"/>
      <c r="BJ491" s="38"/>
      <c r="BK491" s="38"/>
      <c r="BL491" s="38"/>
      <c r="BM491" s="38"/>
      <c r="BN491" s="38"/>
      <c r="BO491" s="38"/>
      <c r="BP491" s="38"/>
      <c r="BQ491" s="38"/>
      <c r="BR491" s="38"/>
      <c r="BS491" s="38"/>
      <c r="BT491" s="38"/>
      <c r="BU491" s="38"/>
      <c r="BV491" s="38"/>
      <c r="BW491" s="38"/>
      <c r="BX491" s="38"/>
      <c r="BY491" s="38"/>
      <c r="BZ491" s="38"/>
      <c r="CA491" s="38"/>
      <c r="CB491" s="38"/>
      <c r="CC491" s="38"/>
      <c r="CD491" s="38"/>
      <c r="CE491" s="38"/>
      <c r="CF491" s="38"/>
      <c r="CG491" s="38"/>
      <c r="CH491" s="38"/>
      <c r="CI491" s="38"/>
      <c r="CM491" s="1352"/>
      <c r="CN491" s="1352"/>
      <c r="CO491" s="1416"/>
      <c r="CP491" s="1418"/>
      <c r="CR491" s="1386"/>
      <c r="CS491" s="1355"/>
      <c r="CT491" s="1355"/>
      <c r="CU491" s="1375"/>
      <c r="CV491" s="1372"/>
      <c r="CW491" s="1372"/>
      <c r="CX491" s="1372"/>
      <c r="CY491" s="1487"/>
      <c r="CZ491" s="1487"/>
      <c r="DA491" s="1487"/>
      <c r="DC491" s="1355"/>
      <c r="DD491" s="1355"/>
      <c r="DE491" s="1375"/>
      <c r="DF491" s="1407"/>
      <c r="DG491" s="1372"/>
      <c r="DH491" s="1369"/>
      <c r="DK491" s="1484"/>
      <c r="DL491" s="1420"/>
      <c r="DN491" s="1403"/>
      <c r="DO491" s="1405"/>
      <c r="DP491" s="1355"/>
      <c r="DQ491" s="1405"/>
      <c r="DR491" s="1403"/>
      <c r="DS491" s="1489"/>
      <c r="DU491" s="1403"/>
      <c r="DV491" s="1405"/>
      <c r="DW491" s="1403"/>
      <c r="DX491" s="1403"/>
      <c r="DZ491" s="1481"/>
      <c r="EA491" s="1481"/>
      <c r="EC491" s="1482"/>
      <c r="ED491" s="1369"/>
      <c r="EE491" s="1372"/>
      <c r="EF491" s="1369"/>
      <c r="EG491" s="1369"/>
      <c r="EH491" s="1375"/>
      <c r="EI491" s="1375"/>
      <c r="EJ491" s="1363"/>
      <c r="EK491" s="1376"/>
      <c r="EL491" s="1376"/>
      <c r="EM491" s="1362"/>
      <c r="EN491" s="1362"/>
      <c r="EO491" s="1363"/>
      <c r="EP491" s="1363"/>
      <c r="EQ491" s="1363"/>
      <c r="ES491" s="1403"/>
      <c r="EU491" s="1488"/>
      <c r="EV491" s="1488"/>
      <c r="EW491" s="1488"/>
      <c r="EX491" s="1488"/>
      <c r="EY491" s="1488"/>
      <c r="EZ491" s="1414"/>
      <c r="FB491" s="1365"/>
      <c r="FD491" s="1355"/>
      <c r="FE491" s="1355"/>
      <c r="FF491" s="138"/>
      <c r="FI491" s="1357"/>
      <c r="FJ491" s="1357"/>
      <c r="FK491" s="1365"/>
      <c r="FL491" s="1365"/>
      <c r="FM491" s="1365"/>
      <c r="FO491" s="1361"/>
      <c r="FP491" s="1361"/>
      <c r="FQ491" s="1366"/>
      <c r="FR491" s="1361"/>
      <c r="FS491" s="1361"/>
      <c r="FT491" s="1361"/>
      <c r="FU491" s="1360"/>
      <c r="FW491" s="1352"/>
      <c r="FX491" s="1352"/>
      <c r="FY491" s="1352"/>
      <c r="FZ491" s="1352"/>
      <c r="GA491" s="1352"/>
      <c r="GB491" s="1352"/>
      <c r="GC491" s="1352"/>
      <c r="GD491" s="1352"/>
      <c r="GE491" s="759"/>
      <c r="GF491" s="1035"/>
      <c r="GG491" s="1385"/>
      <c r="GJ491" s="1034">
        <f>IF(GJ489=TRUE,0,GJ$16)</f>
        <v>0</v>
      </c>
      <c r="GL491" s="1034">
        <f>IF(GL489=TRUE,0,GL$16)</f>
        <v>36</v>
      </c>
      <c r="GM491" s="1034">
        <f>IF(GM489=TRUE,0,GM$16)</f>
        <v>35</v>
      </c>
      <c r="GN491" s="436"/>
      <c r="GO491" s="436"/>
      <c r="GP491" s="436"/>
      <c r="GQ491" s="436"/>
      <c r="GR491" s="436"/>
      <c r="HC491" s="1034">
        <f t="shared" ref="HC491:HH491" si="358">IF(HC489=TRUE,0,HC$16)</f>
        <v>19</v>
      </c>
      <c r="HD491" s="1034">
        <f t="shared" si="358"/>
        <v>18</v>
      </c>
      <c r="HE491" s="1034">
        <f t="shared" si="358"/>
        <v>17</v>
      </c>
      <c r="HF491" s="1034">
        <f t="shared" si="358"/>
        <v>16</v>
      </c>
      <c r="HG491" s="1034">
        <f t="shared" si="358"/>
        <v>0</v>
      </c>
      <c r="HH491" s="1034">
        <f t="shared" si="358"/>
        <v>0</v>
      </c>
      <c r="HI491" s="1034">
        <f>IF(HI489=TRUE,0,HI$16)</f>
        <v>13</v>
      </c>
      <c r="HJ491" s="1034">
        <f t="shared" ref="HJ491:HL491" si="359">IF(HJ489=TRUE,0,HJ$16)</f>
        <v>12</v>
      </c>
      <c r="HK491" s="1034">
        <f t="shared" si="359"/>
        <v>11</v>
      </c>
      <c r="HL491" s="1034">
        <f t="shared" si="359"/>
        <v>10</v>
      </c>
      <c r="HM491" s="1034">
        <f>IF(HM489=TRUE,0,HM$16)</f>
        <v>9</v>
      </c>
      <c r="HN491" s="1034">
        <f t="shared" ref="HN491:HR491" si="360">IF(HN489=TRUE,0,HN$16)</f>
        <v>0</v>
      </c>
      <c r="HO491" s="1034">
        <f t="shared" si="360"/>
        <v>0</v>
      </c>
      <c r="HP491" s="1034">
        <f t="shared" si="360"/>
        <v>0</v>
      </c>
      <c r="HQ491" s="1034">
        <f t="shared" si="360"/>
        <v>0</v>
      </c>
      <c r="HR491" s="1034">
        <f t="shared" si="360"/>
        <v>0</v>
      </c>
      <c r="HS491" s="1034">
        <f>IF(HS489=TRUE,0,HS$16)</f>
        <v>0</v>
      </c>
      <c r="HT491" s="1034">
        <f t="shared" ref="HT491" si="361">IF(HT489=TRUE,0,HT$16)</f>
        <v>0</v>
      </c>
      <c r="HU491" s="1034">
        <f>IF(HU489=TRUE,0,HU$16)</f>
        <v>1</v>
      </c>
      <c r="HW491" s="1034">
        <f>IF(GL489=FALSE,GL491,IF(GM489=FALSE,GM491,MAX(GJ491:HU491)))</f>
        <v>36</v>
      </c>
      <c r="HX491" s="1383"/>
      <c r="HY491" s="241" t="str">
        <f>VLOOKUP(HW491,_Error_Table,3,FALSE)</f>
        <v xml:space="preserve"> </v>
      </c>
      <c r="HZ491" s="241"/>
      <c r="IA491" s="1386"/>
      <c r="IB491" s="1380"/>
      <c r="IC491" s="1379"/>
      <c r="IF491" s="1380"/>
      <c r="IG491" s="1383"/>
      <c r="IH491" s="1383"/>
      <c r="II491" s="1383"/>
      <c r="IK491" s="1351"/>
      <c r="IL491" s="1351"/>
      <c r="IM491" s="1351"/>
      <c r="IN491" s="1351"/>
      <c r="IO491" s="1351"/>
      <c r="IP491" s="1351"/>
    </row>
    <row r="492" spans="1:250" s="82" customFormat="1" ht="5.0999999999999996" customHeight="1" thickBot="1">
      <c r="B492" s="763"/>
      <c r="C492" s="1038"/>
      <c r="D492" s="1038"/>
      <c r="E492" s="1490"/>
      <c r="F492" s="1490"/>
      <c r="G492" s="1490"/>
      <c r="H492" s="1490"/>
      <c r="I492" s="1490"/>
      <c r="J492" s="1490"/>
      <c r="K492" s="1490"/>
      <c r="L492" s="1490"/>
      <c r="M492" s="1490"/>
      <c r="N492" s="1490"/>
      <c r="O492" s="1490"/>
      <c r="P492" s="1490"/>
      <c r="Q492" s="1490"/>
      <c r="R492" s="1490"/>
      <c r="S492" s="1490"/>
      <c r="T492" s="1490"/>
      <c r="U492" s="1490"/>
      <c r="V492" s="1490"/>
      <c r="W492" s="1490"/>
      <c r="X492" s="1490"/>
      <c r="Y492" s="1490"/>
      <c r="Z492" s="1490"/>
      <c r="AA492" s="1490"/>
      <c r="AB492" s="1490"/>
      <c r="AC492" s="1490"/>
      <c r="AD492" s="1490"/>
      <c r="AE492" s="1490"/>
      <c r="AF492" s="1490"/>
      <c r="AG492" s="1490"/>
      <c r="AH492" s="1490"/>
      <c r="AI492" s="1490"/>
      <c r="AJ492" s="1490"/>
      <c r="AK492" s="1490"/>
      <c r="AL492" s="1490"/>
      <c r="AM492" s="1490"/>
      <c r="AN492" s="1490"/>
      <c r="AO492" s="1490"/>
      <c r="AP492" s="1490"/>
      <c r="AQ492" s="1490"/>
      <c r="AR492" s="1490"/>
      <c r="AS492" s="1490"/>
      <c r="AT492" s="1490"/>
      <c r="AU492" s="1041"/>
      <c r="BC492" s="38"/>
      <c r="BD492" s="38"/>
      <c r="BE492" s="38"/>
      <c r="BF492" s="38"/>
      <c r="BG492" s="38"/>
      <c r="BH492" s="38"/>
      <c r="BI492" s="38"/>
      <c r="BJ492" s="38"/>
      <c r="BK492" s="38"/>
      <c r="BL492" s="38"/>
      <c r="BM492" s="38"/>
      <c r="BN492" s="38"/>
      <c r="BO492" s="38"/>
      <c r="BP492" s="38"/>
      <c r="BQ492" s="38"/>
      <c r="BR492" s="38"/>
      <c r="BS492" s="38"/>
      <c r="BT492" s="38"/>
      <c r="BU492" s="38"/>
      <c r="BV492" s="38"/>
      <c r="BW492" s="38"/>
      <c r="BX492" s="38"/>
      <c r="BY492" s="38"/>
      <c r="BZ492" s="38"/>
      <c r="CA492" s="38"/>
      <c r="CB492" s="38"/>
      <c r="CC492" s="38"/>
      <c r="CD492" s="38"/>
      <c r="CE492" s="38"/>
      <c r="CF492" s="38"/>
      <c r="CG492" s="38"/>
      <c r="CH492" s="38"/>
      <c r="CI492" s="38"/>
      <c r="CM492" s="749"/>
      <c r="CN492" s="749"/>
      <c r="CO492" s="1043"/>
      <c r="CP492" s="749"/>
      <c r="CS492" s="436"/>
      <c r="CT492" s="436"/>
      <c r="CU492" s="243"/>
      <c r="CV492" s="244"/>
      <c r="CW492" s="244"/>
      <c r="CX492" s="244"/>
      <c r="CY492" s="245"/>
      <c r="CZ492" s="245"/>
      <c r="DA492" s="245"/>
      <c r="DC492" s="750"/>
      <c r="DD492" s="751"/>
      <c r="DE492" s="752"/>
      <c r="DF492" s="753"/>
      <c r="DG492" s="754"/>
      <c r="DH492" s="754"/>
      <c r="DK492" s="244"/>
      <c r="DL492" s="750"/>
      <c r="DN492" s="750"/>
      <c r="DO492" s="755"/>
      <c r="DP492" s="436"/>
      <c r="DQ492" s="750"/>
      <c r="DR492" s="750"/>
      <c r="DS492" s="750"/>
      <c r="DU492" s="750"/>
      <c r="DV492" s="750"/>
      <c r="DW492" s="750"/>
      <c r="DX492" s="750"/>
      <c r="DZ492" s="756"/>
      <c r="EA492" s="756"/>
      <c r="EC492" s="754"/>
      <c r="ED492" s="754"/>
      <c r="EE492" s="244"/>
      <c r="EF492" s="754"/>
      <c r="EG492" s="754"/>
      <c r="EH492" s="243"/>
      <c r="EI492" s="243"/>
      <c r="EJ492" s="752"/>
      <c r="EK492" s="757"/>
      <c r="EL492" s="757"/>
      <c r="EM492" s="758"/>
      <c r="EN492" s="758"/>
      <c r="EO492" s="752"/>
      <c r="EP492" s="752"/>
      <c r="EQ492" s="752"/>
      <c r="ES492" s="750"/>
      <c r="EU492" s="436"/>
      <c r="EV492" s="436"/>
      <c r="EW492" s="436"/>
      <c r="EX492" s="436"/>
      <c r="EY492" s="436"/>
      <c r="EZ492" s="436"/>
      <c r="FB492" s="643"/>
      <c r="FD492" s="436"/>
      <c r="FE492" s="436"/>
      <c r="FF492" s="436"/>
      <c r="FO492" s="750"/>
      <c r="FP492" s="436"/>
      <c r="FQ492" s="436"/>
      <c r="FR492" s="750"/>
      <c r="FS492" s="750"/>
      <c r="FW492" s="749"/>
      <c r="FX492" s="749"/>
      <c r="FY492" s="749"/>
      <c r="FZ492" s="749"/>
      <c r="GA492" s="749"/>
      <c r="GB492" s="749"/>
      <c r="GC492" s="749"/>
      <c r="GD492" s="749"/>
      <c r="GE492" s="751"/>
      <c r="GF492" s="750"/>
      <c r="GG492" s="750"/>
    </row>
    <row r="493" spans="1:250" s="82" customFormat="1" ht="14.95" customHeight="1" thickTop="1" thickBot="1">
      <c r="B493" s="1421" t="str">
        <f>HY496</f>
        <v xml:space="preserve"> </v>
      </c>
      <c r="C493" s="1422">
        <f>C488+1</f>
        <v>88</v>
      </c>
      <c r="D493" s="1423"/>
      <c r="E493" s="1424" t="s">
        <v>242</v>
      </c>
      <c r="F493" s="1425"/>
      <c r="G493" s="1426"/>
      <c r="H493" s="1427"/>
      <c r="I493" s="1427"/>
      <c r="J493" s="1427"/>
      <c r="K493" s="1427"/>
      <c r="L493" s="1427"/>
      <c r="M493" s="1427"/>
      <c r="N493" s="1427"/>
      <c r="O493" s="1427"/>
      <c r="P493" s="1427"/>
      <c r="Q493" s="1427"/>
      <c r="R493" s="1427"/>
      <c r="S493" s="1428" t="s">
        <v>283</v>
      </c>
      <c r="T493" s="668" t="s">
        <v>190</v>
      </c>
      <c r="U493" s="1430" t="s">
        <v>186</v>
      </c>
      <c r="V493" s="1431"/>
      <c r="W493" s="1431"/>
      <c r="X493" s="1431"/>
      <c r="Y493" s="1431"/>
      <c r="Z493" s="1431"/>
      <c r="AA493" s="1431"/>
      <c r="AB493" s="1088" t="str">
        <f>IFERROR(IF(__Retrofit_TI_NC=0,VLOOKUP(U494,Fixtures_Existing_List,2,FALSE),ROUND(N495*R495/T495,10)),"")</f>
        <v/>
      </c>
      <c r="AC493" s="1039" t="str">
        <f>IFERROR(IF(__Retrofit_TI_NC=0,ROUND(T494*AB493*N494*R494/1000,0),IF(CN493="Interior",N495*R495*R494*N494*_C406_reduction/1000,N495*R495*R494*N494/1000)),"")</f>
        <v/>
      </c>
      <c r="AD493" s="1040" t="str">
        <f>IFERROR(IF(C$36=0,ROUND(T494*AB493/1000,2),N495*R495/1000),"")</f>
        <v/>
      </c>
      <c r="AE493" s="1044" t="s">
        <v>190</v>
      </c>
      <c r="AF493" s="1432" t="str">
        <f>IF(__Retrofit_TI_NC=2,CONCATENATE("Code min = ",DD493),IF(__Retrofit_TI_NC=1,"Emter what you think the existing control was"," Control"))</f>
        <v xml:space="preserve"> Control</v>
      </c>
      <c r="AG493" s="1432"/>
      <c r="AH493" s="1432"/>
      <c r="AI493" s="1432"/>
      <c r="AJ493" s="1433">
        <f>DF493</f>
        <v>0</v>
      </c>
      <c r="AK493" s="1435" t="str">
        <f>IFERROR(ROUND(AJ493*AC493,0),"")</f>
        <v/>
      </c>
      <c r="AL493" s="1437">
        <f>IFERROR(IF(HW493=FALSE,0,AC493-AK493),0)</f>
        <v>0</v>
      </c>
      <c r="AM493" s="1439">
        <f>AL493-AL495</f>
        <v>0</v>
      </c>
      <c r="AN493" s="1440"/>
      <c r="AO493" s="1445">
        <f>IFERROR(IF(HW493=FALSE,0,(T495*U496)+(AE495*AF496)),0)</f>
        <v>0</v>
      </c>
      <c r="AP493" s="1445"/>
      <c r="AQ493" s="1446"/>
      <c r="AR493" s="1451" t="s">
        <v>157</v>
      </c>
      <c r="AS493" s="1454">
        <f>IF(AR493="Yes",1,0)</f>
        <v>1</v>
      </c>
      <c r="AT493" s="1457" t="str">
        <f>IF(OR(DN493=4,DN493=5,DN493=6,DN493=12),CONCATENATE("$",IF(GD493=TRUE,Lookup!$B$11,Lookup!$B$2)," /lamp"),CONCATENATE(EA493,"/ kWh"))</f>
        <v>0/ kWh</v>
      </c>
      <c r="AU493" s="516"/>
      <c r="AV493" s="1478">
        <f>IFERROR(IF(GI494=TRUE,(AB496*T495)/R495,0),"NA")</f>
        <v>0</v>
      </c>
      <c r="AW493" s="1478" t="str">
        <f>IFERROR(N495*_C406_reduction,"NA")</f>
        <v>NA</v>
      </c>
      <c r="BC493" s="38"/>
      <c r="BD493" s="38"/>
      <c r="BE493" s="38"/>
      <c r="BF493" s="38"/>
      <c r="BG493" s="38"/>
      <c r="BH493" s="38"/>
      <c r="BI493" s="38"/>
      <c r="BJ493" s="38"/>
      <c r="BK493" s="38"/>
      <c r="BL493" s="38"/>
      <c r="BM493" s="38"/>
      <c r="BN493" s="38"/>
      <c r="BO493" s="38"/>
      <c r="BP493" s="38"/>
      <c r="BQ493" s="38"/>
      <c r="BR493" s="38"/>
      <c r="BS493" s="38"/>
      <c r="BT493" s="38"/>
      <c r="BU493" s="38"/>
      <c r="BV493" s="38"/>
      <c r="BW493" s="38"/>
      <c r="BX493" s="38"/>
      <c r="BY493" s="38"/>
      <c r="BZ493" s="38"/>
      <c r="CA493" s="38"/>
      <c r="CB493" s="38"/>
      <c r="CC493" s="38"/>
      <c r="CD493" s="38"/>
      <c r="CE493" s="38"/>
      <c r="CF493" s="38"/>
      <c r="CG493" s="38"/>
      <c r="CH493" s="38"/>
      <c r="CI493" s="38"/>
      <c r="CM493" s="1352" t="str">
        <f>N494</f>
        <v/>
      </c>
      <c r="CN493" s="1352" t="str">
        <f>IFERROR(VLOOKUP(G494,_Lookup_Heat_Type_Table_New,3,FALSE),"")</f>
        <v/>
      </c>
      <c r="CO493" s="1415" t="str">
        <f>CN493</f>
        <v/>
      </c>
      <c r="CP493" s="1417" t="e">
        <f>VLOOKUP(G495,'Space Table'!$B$3:$L$160,9,FALSE)</f>
        <v>#N/A</v>
      </c>
      <c r="CR493" s="1386" t="s">
        <v>283</v>
      </c>
      <c r="CS493" s="1353">
        <f>IF(HW493=TRUE,T494,0)</f>
        <v>0</v>
      </c>
      <c r="CT493" s="1353" t="str">
        <f>IF(HW493=TRUE,U494,"")</f>
        <v/>
      </c>
      <c r="CU493" s="1353"/>
      <c r="CV493" s="1370">
        <f>IF(HW493=TRUE,AB493,0)</f>
        <v>0</v>
      </c>
      <c r="CW493" s="1370">
        <f>IF(HW493=TRUE,AC493,0)</f>
        <v>0</v>
      </c>
      <c r="CX493" s="1370">
        <f>IFERROR(IF(HW493=TRUE,CW493-CW495,0),0)</f>
        <v>0</v>
      </c>
      <c r="CY493" s="1485">
        <f>IF(HW493=TRUE,AD493,0)</f>
        <v>0</v>
      </c>
      <c r="CZ493" s="1485">
        <f>IF(HW493=TRUE,AD496,0)</f>
        <v>0</v>
      </c>
      <c r="DA493" s="1485">
        <f>IFERROR(CY493-CZ493,0)</f>
        <v>0</v>
      </c>
      <c r="DC493" s="1353">
        <f>IF(HW493=TRUE,AE494,0)</f>
        <v>0</v>
      </c>
      <c r="DD493" s="1460">
        <f>IF(__Retrofit_TI_NC=2,IF(CN493="Exterior",O496,FM493),FK493)</f>
        <v>0</v>
      </c>
      <c r="DE493" s="1353"/>
      <c r="DF493" s="1406">
        <f>IFERROR(IF(FL493=3,IK493,IF(FL493=4,IL493,IF(FL493=5,IM493,IF(FL493=6,IN493,IF(FL493=7,IO493,IF(FL493=8,IP493,0)))))),0)</f>
        <v>0</v>
      </c>
      <c r="DG493" s="1370">
        <f>IF(HW493=TRUE,AK493,0)</f>
        <v>0</v>
      </c>
      <c r="DH493" s="1369">
        <f>IFERROR(IF(HW493=TRUE,DG495-DG493,0),0)</f>
        <v>0</v>
      </c>
      <c r="DJ493" s="1483">
        <f>IFERROR(CW493-DG493,0)</f>
        <v>0</v>
      </c>
      <c r="DL493" s="1419">
        <f>DJ493-DK495</f>
        <v>0</v>
      </c>
      <c r="DN493" s="1403" t="str">
        <f>IFERROR(IF(AND(OR(FY493=4,FY493=5,FY493=6),OR(GB493=4,GB493=5,GB493=6)),FY493+8,VLOOKUP(CT495,Fixtures!R$31:Y$78,8,FALSE)),"")</f>
        <v/>
      </c>
      <c r="DO493" s="1404" t="str">
        <f>DN493</f>
        <v/>
      </c>
      <c r="DP493" s="1353" t="str">
        <f>IFERROR(VLOOKUP(DD495,Lookup!AU$3:AV$15,2,FALSE),"")</f>
        <v/>
      </c>
      <c r="DQ493" s="1404" t="str">
        <f>IF(DP493=7,"LLLC","")</f>
        <v/>
      </c>
      <c r="DR493" s="1403">
        <f>IFERROR(IF(OR(DN493=4,DN493=5,DN493=6,DN493=12,DN493=13,DN493=14),VLOOKUP(CT495,Fixtures!DN$27:EG$77,19,FALSE),1)*CS495,0)</f>
        <v>0</v>
      </c>
      <c r="DS493" s="1489">
        <f>IF(DP493=7,IF(DD493=DD495,0,DC495),0)</f>
        <v>0</v>
      </c>
      <c r="DU493" s="1403" t="str">
        <f>IFERROR(IF(EW493&lt;EW495,"Yes","No"),"")</f>
        <v/>
      </c>
      <c r="DV493" s="1404" t="str">
        <f>DU493</f>
        <v/>
      </c>
      <c r="DW493" s="1403">
        <f>IF(DU493="Yes",DC495,0)</f>
        <v>0</v>
      </c>
      <c r="DX493" s="1403">
        <f>DW493-DS493</f>
        <v>0</v>
      </c>
      <c r="DZ493" s="1481">
        <f>IFERROR(VLOOKUP(DN493,Lookup!AN$3:AO$16,2,FALSE),0)</f>
        <v>0</v>
      </c>
      <c r="EA493" s="1481">
        <f>IF(HW493=FALSE,0,IF(DU493="Yes",DZ493+Lookup!B$6,DZ493))</f>
        <v>0</v>
      </c>
      <c r="EC493" s="1482">
        <f>IF(HW493=TRUE,DJ493,0)</f>
        <v>0</v>
      </c>
      <c r="ED493" s="1369">
        <f>IF(HW493=TRUE,CW495,0)</f>
        <v>0</v>
      </c>
      <c r="EE493" s="1370">
        <f>IFERROR(EC493-ED493,0)</f>
        <v>0</v>
      </c>
      <c r="EF493" s="1369">
        <f>IF(HW493=TRUE,DG495,0)</f>
        <v>0</v>
      </c>
      <c r="EG493" s="1369">
        <f>IFERROR(EC493-ED493+EF493,0)</f>
        <v>0</v>
      </c>
      <c r="EH493" s="1373">
        <f>IF(HW493=TRUE,CS495*CU495,0)</f>
        <v>0</v>
      </c>
      <c r="EI493" s="1373">
        <f>IF(HW493=TRUE,DC495*DE495,0)</f>
        <v>0</v>
      </c>
      <c r="EJ493" s="1363">
        <f>AO493</f>
        <v>0</v>
      </c>
      <c r="EK493" s="1376" t="str">
        <f>IFERROR(IF(HW493=TRUE,VLOOKUP(DN493,Lookup!AN$3:AP$16,3,FALSE)*DR493,""),0)</f>
        <v/>
      </c>
      <c r="EL493" s="1376">
        <f>IF(HW493=TRUE,DW493*Lookup!AP$12,0)</f>
        <v>0</v>
      </c>
      <c r="EM493" s="1362">
        <f>IFERROR(IF(HW493=TRUE,EK493/EM$33,0),0)</f>
        <v>0</v>
      </c>
      <c r="EN493" s="1362">
        <f>IF(HW493=TRUE,EL493/EN$33,0)</f>
        <v>0</v>
      </c>
      <c r="EO493" s="1363">
        <f>IF(HW493=TRUE,EQ$33*EM493,0)</f>
        <v>0</v>
      </c>
      <c r="EP493" s="1363">
        <f>IF(HW493=TRUE,EQ$33*EN493,0)</f>
        <v>0</v>
      </c>
      <c r="EQ493" s="1363">
        <f>EO493+EP493</f>
        <v>0</v>
      </c>
      <c r="ES493" s="1403">
        <f>IF(G493="",0,1)</f>
        <v>0</v>
      </c>
      <c r="EU493" s="1410" t="e">
        <f>VLOOKUP(CP495,'Space Table'!$B$3:$L$160,8,FALSE)</f>
        <v>#N/A</v>
      </c>
      <c r="EV493" s="1410" t="e">
        <f>IF(EY493="Yes",VLOOKUP(DD493,Lookup_Control_Type_Table2,4,FALSE),VLOOKUP(DD493,Lookup_Control_Type_Table2,3,FALSE))</f>
        <v>#N/A</v>
      </c>
      <c r="EW493" s="1410" t="e">
        <f>VLOOKUP(DD493,Lookup!AU$3:AV$15,2,FALSE)</f>
        <v>#N/A</v>
      </c>
      <c r="EX493" s="1410" t="e">
        <f>VLOOKUP(EU493,Lookup_Control_Type_Table,2,FALSE)</f>
        <v>#N/A</v>
      </c>
      <c r="EY493" s="1410" t="e">
        <f>VLOOKUP(CP495,'Space Table'!$B$3:$L$160,7,FALSE)</f>
        <v>#N/A</v>
      </c>
      <c r="EZ493" s="1412" t="b">
        <f>ISNUMBER(SEARCH("TLED",U495))</f>
        <v>0</v>
      </c>
      <c r="FB493" s="1365" t="str">
        <f>CONCATENATE(CN493," - ",DD493)</f>
        <v xml:space="preserve"> - 0</v>
      </c>
      <c r="FD493" s="1353" t="str">
        <f>VLOOKUP(CT495,Fixtures!DN$27:EZ$77,38,FALSE)</f>
        <v/>
      </c>
      <c r="FE493" s="1353">
        <f>IFERROR(FD493*EE493,0)</f>
        <v>0</v>
      </c>
      <c r="FF493" s="138"/>
      <c r="FI493" s="1356" t="str">
        <f>IF(CN493="Exterior","Not Daylighted",G496)</f>
        <v>Not Daylighted</v>
      </c>
      <c r="FJ493" s="1356">
        <f>VLOOKUP(FI493,_Daylight_Table_Codes,2,FALSE)</f>
        <v>0</v>
      </c>
      <c r="FK493" s="1365">
        <f>IF(__Retrofit_TI_NC=2,VLOOKUP(G495,'Space Table'!$B$3:$L$160,11,FALSE),AF494)</f>
        <v>0</v>
      </c>
      <c r="FL493" s="1365" t="e">
        <f>VLOOKUP(FK493,_Control_Table,2,FALSE)</f>
        <v>#N/A</v>
      </c>
      <c r="FM493" s="1365" t="e">
        <f>IF(AND(FP493&gt;0,FK493="Occupancy Sensor"),"Daylight + Occupancy",IF(AND(FP493&gt;0,FL493&lt;4),"Interior Daylight Dimming",FK493))</f>
        <v>#N/A</v>
      </c>
      <c r="FO493" s="1364">
        <f>IF(CO493="Interior",VLOOKUP(CP493,Control_Savings_Interior,5,FALSE),0)</f>
        <v>0</v>
      </c>
      <c r="FP493" s="1361">
        <f>IF(CN493="Exterior",0,IF(FJ493=2,0.5,IF(OR(FJ493=1,FJ493=3),1,0)))</f>
        <v>0</v>
      </c>
      <c r="FQ493" s="1366"/>
      <c r="FR493" s="1367"/>
      <c r="FS493" s="1364"/>
      <c r="FT493" s="1367"/>
      <c r="FU493" s="1360"/>
      <c r="FW493" s="1352" t="str">
        <f>IFERROR(VLOOKUP(U494,_Exist_Fixture_Table,3,FALSE),"")</f>
        <v/>
      </c>
      <c r="FX493" s="1352" t="str">
        <f>VLOOKUP(CT493,_Exist_Fixture_Table,4,FALSE)</f>
        <v/>
      </c>
      <c r="FY493" s="1352">
        <f>IFERROR(VLOOKUP(FX493,Lookup!AM$6:AN$8,2,FALSE),0)</f>
        <v>0</v>
      </c>
      <c r="FZ493" s="1352" t="b">
        <f>IFERROR(IF(OR(GB493=4,GB493=5,GB493=6),TRUE,FALSE),"")</f>
        <v>0</v>
      </c>
      <c r="GA493" s="1352" t="str">
        <f>IFERROR(VLOOKUP(GB493,FY$6:FZ$10,2,FALSE),"")</f>
        <v/>
      </c>
      <c r="GB493" s="1352" t="str">
        <f>VLOOKUP(CT495,Fixtures!R$31:Y$78,8,FALSE)</f>
        <v/>
      </c>
      <c r="GC493" s="1352">
        <f>IF(AND(FW493=TRUE,FZ493=TRUE,OR(DN493=12,DN493=13,DN493=14)),FY493+8,0)</f>
        <v>0</v>
      </c>
      <c r="GD493" s="1352" t="b">
        <f>IF(OR(GC493=12,GC493=13,GC493=14),TRUE,FALSE)</f>
        <v>0</v>
      </c>
      <c r="GE493" s="759" t="b">
        <f>IF(ISNUMBER(SEARCH("TLED",U494)),TRUE,FALSE)</f>
        <v>0</v>
      </c>
      <c r="GF493" s="1035" t="str">
        <f>IFERROR(VLOOKUP(U494,Fixtures!BM$93:BR$142,6,FALSE),"")</f>
        <v/>
      </c>
      <c r="GG493" s="1385" t="b">
        <f>IF(OR(GE493=FALSE,GE495=FALSE),TRUE,IF(GF493-GF495&lt;5,FALSE,TRUE))</f>
        <v>1</v>
      </c>
      <c r="GK493" s="1034">
        <f>GL493</f>
        <v>0</v>
      </c>
      <c r="GL493" s="1034">
        <f>IF(G493="",0,1)</f>
        <v>0</v>
      </c>
      <c r="GM493" s="1034">
        <f>SUM(GN493:HB493)</f>
        <v>2</v>
      </c>
      <c r="GN493" s="1034">
        <f>IF(G494="",0,1)</f>
        <v>0</v>
      </c>
      <c r="GO493" s="1034">
        <f>IF(G495="",0,1)</f>
        <v>0</v>
      </c>
      <c r="GP493" s="1034">
        <f>IF(R494="",0,1)</f>
        <v>0</v>
      </c>
      <c r="GQ493" s="1034">
        <f>IF(__Retrofit_TI_NC=0,1,IF(R495="",0,1))</f>
        <v>1</v>
      </c>
      <c r="GR493" s="1034">
        <f>IF(CN493="Exterior",1,IF(G496="",0,1))</f>
        <v>1</v>
      </c>
      <c r="GS493" s="1034">
        <f>IF(__Retrofit_TI_NC&lt;&gt;0,1,IF(T494="",0,1))</f>
        <v>0</v>
      </c>
      <c r="GT493" s="1034">
        <f>IF(__Retrofit_TI_NC&lt;&gt;0,1,IF(U494="",0,1))</f>
        <v>0</v>
      </c>
      <c r="GU493" s="1034">
        <f>IF(T495="",0,1)</f>
        <v>0</v>
      </c>
      <c r="GV493" s="1034">
        <f>IF(U495="",0,1)</f>
        <v>0</v>
      </c>
      <c r="GW493" s="1034">
        <f>IF(__Retrofit_TI_NC=2,1,IF(U496="",0,1))</f>
        <v>0</v>
      </c>
      <c r="GX493" s="1034">
        <f>IF(__Retrofit_TI_NC&lt;&gt;0,1,IF(AE494="",0,1))</f>
        <v>0</v>
      </c>
      <c r="GY493" s="1034">
        <f>IF(__Retrofit_TI_NC&lt;&gt;0,1,IF(AF494="",0,1))</f>
        <v>0</v>
      </c>
      <c r="GZ493" s="1034">
        <f>IF(AE495="",0,1)</f>
        <v>0</v>
      </c>
      <c r="HA493" s="1034">
        <f>IF(AF495="",0,1)</f>
        <v>0</v>
      </c>
      <c r="HB493" s="1034">
        <f>IF(__Retrofit_TI_NC=2,1,IF(AF496="",0,1))</f>
        <v>0</v>
      </c>
      <c r="HV493" s="436"/>
      <c r="HW493" s="1384" t="b">
        <f>IF(OR(HW496=0,HW496=HT$16,HW496=HS$16,HW496=HU$16),TRUE,FALSE)</f>
        <v>0</v>
      </c>
      <c r="HX493" s="1377" t="b">
        <f>HW493</f>
        <v>0</v>
      </c>
      <c r="HY493" s="436"/>
      <c r="HZ493" s="436"/>
      <c r="IA493" s="1386" t="b">
        <f>IF(MAX(GJ496:HP496)&gt;5,FALSE,TRUE)</f>
        <v>0</v>
      </c>
      <c r="IB493" s="1380">
        <f>IF(IA493=TRUE,AC493,0)</f>
        <v>0</v>
      </c>
      <c r="IC493" s="1380">
        <f>IB493-IB495</f>
        <v>0</v>
      </c>
      <c r="IF493" s="1380" t="e">
        <f>ROUND(T494*VLOOKUP(U494,Fixtures_Existing_List,2,FALSE)*N494*R494/1000,0)</f>
        <v>#N/A</v>
      </c>
      <c r="IG493" s="1381" t="e">
        <f>IF493-IF495</f>
        <v>#N/A</v>
      </c>
      <c r="IH493" s="1384" t="e">
        <f>ROUND(IF(CN493="Interior",N495*R495*R494*N494*_C406_reduction/1000,N495*R495*R494*N494/1000),0)</f>
        <v>#N/A</v>
      </c>
      <c r="II493" s="1384" t="e">
        <f>IH493-IH495</f>
        <v>#N/A</v>
      </c>
      <c r="IK493" s="1351" t="e">
        <f>IF($CO493="interior",IL493/2,VLOOKUP($CP493,Control_Savings_Exterior,IK$30,FALSE))</f>
        <v>#N/A</v>
      </c>
      <c r="IL493" s="1351" t="e">
        <f>IF($CO493="interior",VLOOKUP($CP493,Control_Savings_Interior,IL$30,FALSE),VLOOKUP($CP493,Control_Savings_Exterior,IL$30,FALSE))</f>
        <v>#N/A</v>
      </c>
      <c r="IM493" s="1351" t="e">
        <f>IF($CO493="interior",IF(R494&gt;FO$37,(IM$28*(FO$37/R494)),IM$28)*FP493,VLOOKUP($CP493,Control_Savings_Exterior,IM$30,FALSE))</f>
        <v>#N/A</v>
      </c>
      <c r="IN493" s="1351" t="e">
        <f>IF($CO493="interior",ROUND(((1-IL493)*IM493)+IL493,2),VLOOKUP($CP493,Control_Savings_Exterior,IN$30,FALSE))</f>
        <v>#N/A</v>
      </c>
      <c r="IO493" s="1351" t="e">
        <f>IF($CO493="interior", ROUND(((1-IL493)*(IM493*(1-IP$28)))+IP493,2), VLOOKUP($CP493,Control_Savings_Exterior,IO$30,FALSE))</f>
        <v>#N/A</v>
      </c>
      <c r="IP493" s="1351">
        <f>IF($CO493="interior",ROUND(((1-IL493)*IP$28)+IL493,2),0)</f>
        <v>0</v>
      </c>
    </row>
    <row r="494" spans="1:250" s="82" customFormat="1" ht="14.95" customHeight="1" thickTop="1" thickBot="1">
      <c r="B494" s="1421"/>
      <c r="C494" s="1422"/>
      <c r="D494" s="1423"/>
      <c r="E494" s="1393" t="s">
        <v>244</v>
      </c>
      <c r="F494" s="1394"/>
      <c r="G494" s="1395"/>
      <c r="H494" s="1395"/>
      <c r="I494" s="1395"/>
      <c r="J494" s="1395"/>
      <c r="K494" s="1395"/>
      <c r="L494" s="1395"/>
      <c r="M494" s="509" t="e">
        <f>IF(__Retrofit_TI_NC&lt;&gt;0,IF(VLOOKUP(G495,'Space Table'!$B$3:$L$160,3,FALSE)&gt;0,1,0),IF(__Retrofit_TI_NC=VLOOKUP(G495,'Space Table'!$B$3:$L$160,3,FALSE),1,0))</f>
        <v>#N/A</v>
      </c>
      <c r="N494" s="509" t="str">
        <f>IFERROR(VLOOKUP(G494,_Lookup_Heat_Type_Table_New,2,FALSE),"")</f>
        <v/>
      </c>
      <c r="O494" s="509">
        <f>IF(__Retrofit_TI_NC=1,CONCATENATE("TI ",G494),IF(__Retrofit_TI_NC=2,CONCATENATE("NC ",G494),G494))</f>
        <v>0</v>
      </c>
      <c r="P494" s="1396" t="s">
        <v>352</v>
      </c>
      <c r="Q494" s="1396"/>
      <c r="R494" s="673"/>
      <c r="S494" s="1429"/>
      <c r="T494" s="675"/>
      <c r="U494" s="1496"/>
      <c r="V494" s="1497"/>
      <c r="W494" s="1497"/>
      <c r="X494" s="1497"/>
      <c r="Y494" s="1497"/>
      <c r="Z494" s="1497"/>
      <c r="AA494" s="1497"/>
      <c r="AB494" s="1497"/>
      <c r="AC494" s="1497"/>
      <c r="AD494" s="1498"/>
      <c r="AE494" s="675"/>
      <c r="AF494" s="1397"/>
      <c r="AG494" s="1397"/>
      <c r="AH494" s="1397"/>
      <c r="AI494" s="1397"/>
      <c r="AJ494" s="1434"/>
      <c r="AK494" s="1436"/>
      <c r="AL494" s="1438"/>
      <c r="AM494" s="1441"/>
      <c r="AN494" s="1442"/>
      <c r="AO494" s="1447"/>
      <c r="AP494" s="1447"/>
      <c r="AQ494" s="1448"/>
      <c r="AR494" s="1452"/>
      <c r="AS494" s="1455"/>
      <c r="AT494" s="1458"/>
      <c r="AU494" s="516"/>
      <c r="AV494" s="1479"/>
      <c r="AW494" s="1479"/>
      <c r="BC494" s="38"/>
      <c r="BD494" s="38"/>
      <c r="BE494" s="38"/>
      <c r="BF494" s="38"/>
      <c r="BG494" s="38"/>
      <c r="BH494" s="38"/>
      <c r="BI494" s="38"/>
      <c r="BJ494" s="38"/>
      <c r="BK494" s="38"/>
      <c r="BL494" s="38"/>
      <c r="BM494" s="38"/>
      <c r="BN494" s="38"/>
      <c r="BO494" s="38"/>
      <c r="BP494" s="38"/>
      <c r="BQ494" s="38"/>
      <c r="BR494" s="38"/>
      <c r="BS494" s="38"/>
      <c r="BT494" s="38"/>
      <c r="BU494" s="38"/>
      <c r="BV494" s="38"/>
      <c r="BW494" s="38"/>
      <c r="BX494" s="38"/>
      <c r="BY494" s="38"/>
      <c r="BZ494" s="38"/>
      <c r="CA494" s="38"/>
      <c r="CB494" s="38"/>
      <c r="CC494" s="38"/>
      <c r="CD494" s="38"/>
      <c r="CE494" s="38"/>
      <c r="CF494" s="38"/>
      <c r="CG494" s="38"/>
      <c r="CH494" s="38"/>
      <c r="CI494" s="38"/>
      <c r="CM494" s="1352"/>
      <c r="CN494" s="1352"/>
      <c r="CO494" s="1416"/>
      <c r="CP494" s="1418"/>
      <c r="CR494" s="1386"/>
      <c r="CS494" s="1355"/>
      <c r="CT494" s="1355"/>
      <c r="CU494" s="1355"/>
      <c r="CV494" s="1372"/>
      <c r="CW494" s="1372"/>
      <c r="CX494" s="1371"/>
      <c r="CY494" s="1486"/>
      <c r="CZ494" s="1486"/>
      <c r="DA494" s="1486"/>
      <c r="DC494" s="1355"/>
      <c r="DD494" s="1461"/>
      <c r="DE494" s="1355"/>
      <c r="DF494" s="1407"/>
      <c r="DG494" s="1372"/>
      <c r="DH494" s="1369"/>
      <c r="DJ494" s="1484"/>
      <c r="DL494" s="1419"/>
      <c r="DN494" s="1403"/>
      <c r="DO494" s="1405"/>
      <c r="DP494" s="1354"/>
      <c r="DQ494" s="1405"/>
      <c r="DR494" s="1403"/>
      <c r="DS494" s="1489"/>
      <c r="DU494" s="1403"/>
      <c r="DV494" s="1405"/>
      <c r="DW494" s="1403"/>
      <c r="DX494" s="1403"/>
      <c r="DZ494" s="1481"/>
      <c r="EA494" s="1481"/>
      <c r="EC494" s="1482"/>
      <c r="ED494" s="1369"/>
      <c r="EE494" s="1371"/>
      <c r="EF494" s="1369"/>
      <c r="EG494" s="1369"/>
      <c r="EH494" s="1374"/>
      <c r="EI494" s="1374"/>
      <c r="EJ494" s="1363"/>
      <c r="EK494" s="1376"/>
      <c r="EL494" s="1376"/>
      <c r="EM494" s="1362"/>
      <c r="EN494" s="1362"/>
      <c r="EO494" s="1363"/>
      <c r="EP494" s="1363"/>
      <c r="EQ494" s="1363"/>
      <c r="ES494" s="1403"/>
      <c r="EU494" s="1411"/>
      <c r="EV494" s="1411"/>
      <c r="EW494" s="1411"/>
      <c r="EX494" s="1411"/>
      <c r="EY494" s="1411"/>
      <c r="EZ494" s="1413"/>
      <c r="FB494" s="1365"/>
      <c r="FD494" s="1354"/>
      <c r="FE494" s="1354"/>
      <c r="FF494" s="138"/>
      <c r="FI494" s="1357"/>
      <c r="FJ494" s="1357"/>
      <c r="FK494" s="1365"/>
      <c r="FL494" s="1365"/>
      <c r="FM494" s="1365"/>
      <c r="FO494" s="1361"/>
      <c r="FP494" s="1361"/>
      <c r="FQ494" s="1366"/>
      <c r="FR494" s="1368"/>
      <c r="FS494" s="1361"/>
      <c r="FT494" s="1368"/>
      <c r="FU494" s="1360"/>
      <c r="FW494" s="1352"/>
      <c r="FX494" s="1352"/>
      <c r="FY494" s="1352"/>
      <c r="FZ494" s="1352"/>
      <c r="GA494" s="1352"/>
      <c r="GB494" s="1352"/>
      <c r="GC494" s="1352"/>
      <c r="GD494" s="1352"/>
      <c r="GE494" s="759"/>
      <c r="GF494" s="1035"/>
      <c r="GG494" s="1385"/>
      <c r="GI494" s="1384" t="b">
        <f>IF(AND(GL494=TRUE,GM494=TRUE),TRUE,FALSE)</f>
        <v>0</v>
      </c>
      <c r="GJ494" s="1379" t="b">
        <f>IFERROR(IF(__Retrofit_TI_NC=2,TRUE,IF(AR493="Yes",TRUE,FALSE)),FALSE)</f>
        <v>1</v>
      </c>
      <c r="GL494" s="1379" t="b">
        <f>IFERROR(IF(GL493=1,TRUE,FALSE),FALSE)</f>
        <v>0</v>
      </c>
      <c r="GM494" s="1379" t="b">
        <f>IFERROR(IF(GM493=GM$14,TRUE,FALSE),FALSE)</f>
        <v>0</v>
      </c>
      <c r="HC494" s="1379" t="b">
        <f>IFERROR(IF(M494=1,TRUE,FALSE),FALSE)</f>
        <v>0</v>
      </c>
      <c r="HD494" s="1379" t="b">
        <f>IFERROR(IF(M495=1,TRUE,FALSE),FALSE)</f>
        <v>0</v>
      </c>
      <c r="HE494" s="1379" t="b">
        <f>IFERROR(IF(__Retrofit_TI_NC&lt;&gt;0,TRUE,IFERROR(IF(VLOOKUP(U494,Fixtures_Existing_List,2,FALSE)&lt;&gt;"",TRUE,FALSE),FALSE)),FALSE)</f>
        <v>0</v>
      </c>
      <c r="HF494" s="1379" t="b">
        <f>IFERROR(IF(VLOOKUP(U495,Fixtures_Proposed_List,2,FALSE)&lt;&gt;"",TRUE,FALSE),FALSE)</f>
        <v>0</v>
      </c>
      <c r="HG494" s="1379" t="b">
        <f>IF(AND(__Retrofit_TI_NC=2,EZ493=TRUE),FALSE,TRUE)</f>
        <v>1</v>
      </c>
      <c r="HH494" s="1379" t="b">
        <f>GG493</f>
        <v>1</v>
      </c>
      <c r="HI494" s="1384" t="b">
        <f>IF(ISERROR(MATCH(FB493,_Control_Match[],0))=TRUE,FALSE,TRUE)</f>
        <v>0</v>
      </c>
      <c r="HJ494" s="1384" t="b">
        <f>IFERROR(IF(EU493&lt;&gt;EV493,FALSE,TRUE),FALSE)</f>
        <v>0</v>
      </c>
      <c r="HK494" s="1384" t="b">
        <f>IFERROR(IF(EU495&lt;&gt;EV495,FALSE,TRUE),FALSE)</f>
        <v>0</v>
      </c>
      <c r="HL494" s="1379" t="b">
        <f>IFERROR(IF(CN493="Exterior",TRUE,IF(OR(AND(FJ493=0,EW495&gt;4),AND(FJ493=4,EW495&gt;4,EW495&lt;7)),FALSE,TRUE)),FALSE)</f>
        <v>0</v>
      </c>
      <c r="HM494" s="1379" t="b">
        <f>IFERROR(IF(AND(FL495=7,EZ493=TRUE),FALSE,TRUE),FALSE)</f>
        <v>0</v>
      </c>
      <c r="HN494" s="1379" t="b">
        <f>IFERROR(IF(AND(T495&lt;&gt;AE495,AF495="Interior LLLC")=TRUE,FALSE,TRUE),FALSE)</f>
        <v>1</v>
      </c>
      <c r="HO494" s="1379" t="b">
        <f>IFERROR(IF(OR(AF495=Lookup!AU$13,AF495=Lookup!AU$14)=TRUE,IF(AE495&gt;T495,FALSE,TRUE),TRUE),FALSE)</f>
        <v>1</v>
      </c>
      <c r="HP494" s="1379" t="b">
        <f>IFERROR(IF(__Retrofit_TI_NC=2,IF(EW495&lt;EW493,FALSE,TRUE),TRUE),FALSE)</f>
        <v>1</v>
      </c>
      <c r="HQ494" s="1379" t="b">
        <f>IF(CN493="Interior",IG$6,TRUE)</f>
        <v>1</v>
      </c>
      <c r="HR494" s="1379" t="b">
        <f>IF(CN493="Exterior",IG$8,TRUE)</f>
        <v>1</v>
      </c>
      <c r="HS494" s="1379" t="b">
        <f>IFERROR(IF(__Retrofit_TI_NC&lt;&gt;0,IF(AW493&lt;AV493,FALSE,TRUE),TRUE),FALSE)</f>
        <v>1</v>
      </c>
      <c r="HT494" s="1379" t="b">
        <f>IFERROR(IF(AND(G494="Exterior",R494&gt;4200),FALSE,TRUE),FALSE)</f>
        <v>1</v>
      </c>
      <c r="HU494" s="1379" t="b">
        <f>IFERROR(IF(AB496/AB493&lt;HU$18,FALSE,TRUE),FALSE)</f>
        <v>0</v>
      </c>
      <c r="HW494" s="1382"/>
      <c r="HX494" s="1378"/>
      <c r="HY494" s="1377" t="str">
        <f>VLOOKUP(HW496,_Error_Table,4,FALSE)</f>
        <v>White</v>
      </c>
      <c r="HZ494" s="436"/>
      <c r="IA494" s="1386"/>
      <c r="IB494" s="1380"/>
      <c r="IC494" s="1379"/>
      <c r="IF494" s="1380"/>
      <c r="IG494" s="1382"/>
      <c r="IH494" s="1382"/>
      <c r="II494" s="1382"/>
      <c r="IK494" s="1351"/>
      <c r="IL494" s="1351"/>
      <c r="IM494" s="1351"/>
      <c r="IN494" s="1351"/>
      <c r="IO494" s="1351"/>
      <c r="IP494" s="1351"/>
    </row>
    <row r="495" spans="1:250" s="82" customFormat="1" ht="14.95" customHeight="1" thickTop="1" thickBot="1">
      <c r="A495" s="82">
        <f>ROW()</f>
        <v>495</v>
      </c>
      <c r="B495" s="1421"/>
      <c r="C495" s="1422"/>
      <c r="D495" s="1423"/>
      <c r="E495" s="1393" t="s">
        <v>245</v>
      </c>
      <c r="F495" s="1394"/>
      <c r="G495" s="1398"/>
      <c r="H495" s="1399"/>
      <c r="I495" s="1399"/>
      <c r="J495" s="1399"/>
      <c r="K495" s="1399"/>
      <c r="L495" s="1400"/>
      <c r="M495" s="509">
        <f>IFERROR(IF(IF(__Retrofit_TI_NC&lt;&gt;0,IF(CN493="Interior",MATCH(G495,Lookup_Interior_New,0),MATCH(G495,Lookup_Exterior_New,0)),IF(CN493="Interior",MATCH(G495,Lookup_Interior,0),MATCH(G495,Lookup_Exterior_Areas,0)))&gt;0,1,0),0)</f>
        <v>0</v>
      </c>
      <c r="N495" s="509" t="e">
        <f>IF(__Retrofit_TI_NC=1,
VLOOKUP(G495,'Space Table'!$B$3:$L$160,4,FALSE),
IF(__Retrofit_TI_NC=2,VLOOKUP(G495,'Space Table'!$B$3:$L$160,5,FALSE),VLOOKUP(G495,'Space Table'!$B$3:$L$160,5,FALSE)))</f>
        <v>#N/A</v>
      </c>
      <c r="O495" s="509">
        <f>G495</f>
        <v>0</v>
      </c>
      <c r="P495" s="1394" t="s">
        <v>355</v>
      </c>
      <c r="Q495" s="1394"/>
      <c r="R495" s="674"/>
      <c r="S495" s="1401" t="s">
        <v>284</v>
      </c>
      <c r="T495" s="672"/>
      <c r="U495" s="1499"/>
      <c r="V495" s="1500"/>
      <c r="W495" s="1500"/>
      <c r="X495" s="1500"/>
      <c r="Y495" s="1500"/>
      <c r="Z495" s="1500"/>
      <c r="AA495" s="1500"/>
      <c r="AB495" s="1501"/>
      <c r="AC495" s="1501"/>
      <c r="AD495" s="1502"/>
      <c r="AE495" s="672"/>
      <c r="AF495" s="1474"/>
      <c r="AG495" s="1474"/>
      <c r="AH495" s="1474"/>
      <c r="AI495" s="1474"/>
      <c r="AJ495" s="1475">
        <f>DF495</f>
        <v>0</v>
      </c>
      <c r="AK495" s="1470" t="str">
        <f>IFERROR(ROUND(AJ495*AC496,0),"")</f>
        <v/>
      </c>
      <c r="AL495" s="1472">
        <f>IFERROR(IF(HW493=FALSE,0,AC496-AK495),0)</f>
        <v>0</v>
      </c>
      <c r="AM495" s="1441"/>
      <c r="AN495" s="1442"/>
      <c r="AO495" s="1447"/>
      <c r="AP495" s="1447"/>
      <c r="AQ495" s="1448"/>
      <c r="AR495" s="1452"/>
      <c r="AS495" s="1455"/>
      <c r="AT495" s="1458"/>
      <c r="AU495" s="516"/>
      <c r="AV495" s="1479"/>
      <c r="AW495" s="1479"/>
      <c r="BC495" s="38"/>
      <c r="BD495" s="38"/>
      <c r="BE495" s="38"/>
      <c r="BF495" s="38"/>
      <c r="BG495" s="38"/>
      <c r="BH495" s="38"/>
      <c r="BI495" s="38"/>
      <c r="BJ495" s="38"/>
      <c r="BK495" s="38"/>
      <c r="BL495" s="38"/>
      <c r="BM495" s="38"/>
      <c r="BN495" s="38"/>
      <c r="BO495" s="38"/>
      <c r="BP495" s="38"/>
      <c r="BQ495" s="38"/>
      <c r="BR495" s="38"/>
      <c r="BS495" s="38"/>
      <c r="BT495" s="38"/>
      <c r="BU495" s="38"/>
      <c r="BV495" s="38"/>
      <c r="BW495" s="38"/>
      <c r="BX495" s="38"/>
      <c r="BY495" s="38"/>
      <c r="BZ495" s="38"/>
      <c r="CA495" s="38"/>
      <c r="CB495" s="38"/>
      <c r="CC495" s="38"/>
      <c r="CD495" s="38"/>
      <c r="CE495" s="38"/>
      <c r="CF495" s="38"/>
      <c r="CG495" s="38"/>
      <c r="CH495" s="38"/>
      <c r="CI495" s="38"/>
      <c r="CM495" s="1352"/>
      <c r="CN495" s="1352"/>
      <c r="CO495" s="1415" t="str">
        <f>CN493</f>
        <v/>
      </c>
      <c r="CP495" s="1417" t="e">
        <f>CP493</f>
        <v>#N/A</v>
      </c>
      <c r="CR495" s="1386" t="s">
        <v>284</v>
      </c>
      <c r="CS495" s="1353">
        <f>IF(HW493=TRUE,T495,0)</f>
        <v>0</v>
      </c>
      <c r="CT495" s="1353" t="str">
        <f>IF(HW493=TRUE,U495,"")</f>
        <v/>
      </c>
      <c r="CU495" s="1373">
        <f>IF(HW493=TRUE,U496,0)</f>
        <v>0</v>
      </c>
      <c r="CV495" s="1370">
        <f>IF(HW493=TRUE,AB496,0)</f>
        <v>0</v>
      </c>
      <c r="CW495" s="1370">
        <f>IF(HW493=TRUE,AC496,0)</f>
        <v>0</v>
      </c>
      <c r="CX495" s="1371"/>
      <c r="CY495" s="1486"/>
      <c r="CZ495" s="1486"/>
      <c r="DA495" s="1486"/>
      <c r="DC495" s="1353">
        <f>IF(HW493=TRUE,AE495,0)</f>
        <v>0</v>
      </c>
      <c r="DD495" s="1353" t="str">
        <f>IF(HW493=TRUE,AF495,"")</f>
        <v/>
      </c>
      <c r="DE495" s="1373">
        <f>AF496</f>
        <v>0</v>
      </c>
      <c r="DF495" s="1406">
        <f>IFERROR(IF(FL495=3,IK495,IF(FL495=4,IL495,IF(FL495=5,IM495,IF(FL495=6,IN495,IF(FL495=7,IO495,IF(FL495=8,IP495,0)))))),0)</f>
        <v>0</v>
      </c>
      <c r="DG495" s="1370">
        <f>IF(HW493=TRUE,AK495,0)</f>
        <v>0</v>
      </c>
      <c r="DH495" s="1369"/>
      <c r="DK495" s="1483">
        <f>IFERROR(CW495-DG495,0)</f>
        <v>0</v>
      </c>
      <c r="DL495" s="1420"/>
      <c r="DN495" s="1403"/>
      <c r="DO495" s="1477" t="str">
        <f>DN493</f>
        <v/>
      </c>
      <c r="DP495" s="1354"/>
      <c r="DQ495" s="1477" t="str">
        <f>IF(DP493=7,"LLLC","")</f>
        <v/>
      </c>
      <c r="DR495" s="1403"/>
      <c r="DS495" s="1489"/>
      <c r="DU495" s="1403"/>
      <c r="DV495" s="1404" t="str">
        <f>DU493</f>
        <v/>
      </c>
      <c r="DW495" s="1403"/>
      <c r="DX495" s="1403"/>
      <c r="DZ495" s="1481"/>
      <c r="EA495" s="1481"/>
      <c r="EC495" s="1482"/>
      <c r="ED495" s="1369"/>
      <c r="EE495" s="1371"/>
      <c r="EF495" s="1369"/>
      <c r="EG495" s="1369"/>
      <c r="EH495" s="1374"/>
      <c r="EI495" s="1374"/>
      <c r="EJ495" s="1363"/>
      <c r="EK495" s="1376"/>
      <c r="EL495" s="1376"/>
      <c r="EM495" s="1362"/>
      <c r="EN495" s="1362"/>
      <c r="EO495" s="1363"/>
      <c r="EP495" s="1363"/>
      <c r="EQ495" s="1363"/>
      <c r="ES495" s="1403"/>
      <c r="EU495" s="1411" t="e">
        <f>VLOOKUP(CP495,'Space Table'!$B$3:$L$160,8,FALSE)</f>
        <v>#N/A</v>
      </c>
      <c r="EV495" s="1411" t="e">
        <f>IF(EY495="Yes",VLOOKUP(AF495,Lookup_Control_Type_Table2,4,FALSE),VLOOKUP(AF495,Lookup_Control_Type_Table2,3,FALSE))</f>
        <v>#N/A</v>
      </c>
      <c r="EW495" s="1411" t="e">
        <f>VLOOKUP(AF495,Lookup!AU$3:AV$15,2,FALSE)</f>
        <v>#N/A</v>
      </c>
      <c r="EX495" s="1411" t="e">
        <f>VLOOKUP(EU493,Lookup_Control_Type_Table,2,FALSE)</f>
        <v>#N/A</v>
      </c>
      <c r="EY495" s="1411" t="e">
        <f>VLOOKUP(CP495,'Space Table'!$B$3:$L$160,7,FALSE)</f>
        <v>#N/A</v>
      </c>
      <c r="EZ495" s="1413"/>
      <c r="FB495" s="1365" t="str">
        <f>CONCATENATE(CN493," - ",AF495)</f>
        <v xml:space="preserve"> - </v>
      </c>
      <c r="FD495" s="1354"/>
      <c r="FE495" s="1354"/>
      <c r="FF495" s="138"/>
      <c r="FI495" s="1356" t="str">
        <f>IF(CN493="Exterior","Not Daylighted",G496)</f>
        <v>Not Daylighted</v>
      </c>
      <c r="FJ495" s="1356">
        <f>VLOOKUP(FI495,_Daylight_Table_Codes,2,FALSE)</f>
        <v>0</v>
      </c>
      <c r="FK495" s="1365">
        <f>AF495</f>
        <v>0</v>
      </c>
      <c r="FL495" s="1365" t="e">
        <f>VLOOKUP(FK495,_Control_Table,2,FALSE)</f>
        <v>#N/A</v>
      </c>
      <c r="FM495" s="1365" t="e">
        <f>IF(AND(FP495&gt;0,FK495="Occupancy Sensor"),"Daylight + Occupancy",IF(AND(FP495&gt;0,FL495&lt;4),"Interior Daylight Dimming",FK495))</f>
        <v>#N/A</v>
      </c>
      <c r="FO495" s="1364">
        <f>IF(CN493="Interior",VLOOKUP(CP493,Control_Savings_Interior,5,FALSE),0)</f>
        <v>0</v>
      </c>
      <c r="FP495" s="1361">
        <f>IF(CN495="Exterior",0,IF(FJ495=2,0.5,IF(OR(FJ495=1,FJ495=3),1,0)))</f>
        <v>0</v>
      </c>
      <c r="FQ495" s="1366">
        <f>IF(R494&gt;FO$37,(FO495*(FO$37/R494)),FO495)*FP495</f>
        <v>0</v>
      </c>
      <c r="FR495" s="1364">
        <f>DF495</f>
        <v>0</v>
      </c>
      <c r="FS495" s="1364">
        <f>ROUND(FR495+((1-FR495)*FQ495),2)</f>
        <v>0</v>
      </c>
      <c r="FT495" s="1364">
        <f>IF(__Retrofit_TI_NC=2,FS495,FR495)</f>
        <v>0</v>
      </c>
      <c r="FU495" s="1360">
        <f>IF(CO495="Interior",VLOOKUP(CP495,Control_Savings_Interior,4,FALSE),0)</f>
        <v>0</v>
      </c>
      <c r="FW495" s="1352"/>
      <c r="FX495" s="1352"/>
      <c r="FY495" s="1352"/>
      <c r="FZ495" s="1352"/>
      <c r="GA495" s="1352"/>
      <c r="GB495" s="1352"/>
      <c r="GC495" s="1352"/>
      <c r="GD495" s="1352"/>
      <c r="GE495" s="759" t="b">
        <f>IF(ISNUMBER(SEARCH("TLED",U495)),TRUE,FALSE)</f>
        <v>0</v>
      </c>
      <c r="GF495" s="1035" t="str">
        <f>IFERROR(VLOOKUP(U495,Fixtures!DM$93:DR$142,6,FALSE),"")</f>
        <v/>
      </c>
      <c r="GG495" s="1385"/>
      <c r="GI495" s="1383"/>
      <c r="GJ495" s="1379"/>
      <c r="GL495" s="1379"/>
      <c r="GM495" s="1379"/>
      <c r="HC495" s="1379"/>
      <c r="HD495" s="1379"/>
      <c r="HE495" s="1379"/>
      <c r="HF495" s="1379"/>
      <c r="HG495" s="1379"/>
      <c r="HH495" s="1379"/>
      <c r="HI495" s="1383"/>
      <c r="HJ495" s="1383"/>
      <c r="HK495" s="1383"/>
      <c r="HL495" s="1379"/>
      <c r="HM495" s="1379"/>
      <c r="HN495" s="1379"/>
      <c r="HO495" s="1379"/>
      <c r="HP495" s="1379"/>
      <c r="HQ495" s="1379"/>
      <c r="HR495" s="1379"/>
      <c r="HS495" s="1379"/>
      <c r="HT495" s="1379"/>
      <c r="HU495" s="1379"/>
      <c r="HW495" s="1383"/>
      <c r="HX495" s="1384" t="b">
        <f>HW493</f>
        <v>0</v>
      </c>
      <c r="HY495" s="1378"/>
      <c r="HZ495" s="436"/>
      <c r="IA495" s="1386"/>
      <c r="IB495" s="1380">
        <f>IF(IA493=TRUE,AC496,0)</f>
        <v>0</v>
      </c>
      <c r="IC495" s="1379"/>
      <c r="IF495" s="1380" t="e">
        <f>ROUND(T495*AB496*N494*R494/1000,0)</f>
        <v>#VALUE!</v>
      </c>
      <c r="IG495" s="1382"/>
      <c r="IH495" s="1384" t="e">
        <f>ROUND(T495*AB496*N494*R494/1000,0)</f>
        <v>#VALUE!</v>
      </c>
      <c r="II495" s="1382"/>
      <c r="IK495" s="1351" t="e">
        <f>IF($CO495="interior",IL495/2,VLOOKUP($CP495,Control_Savings_Exterior,IK$30,FALSE))</f>
        <v>#N/A</v>
      </c>
      <c r="IL495" s="1351" t="e">
        <f>IF($CO495="interior",VLOOKUP($CP495,Control_Savings_Interior,IL$30,FALSE),VLOOKUP($CP495,Control_Savings_Exterior,IL$30,FALSE))</f>
        <v>#N/A</v>
      </c>
      <c r="IM495" s="1351" t="e">
        <f>IF($CO495="interior",IF(R494&gt;FO$37,(IM$28*(FO$37/R494)),IM$28)*FP495,VLOOKUP($CP495,Control_Savings_Exterior,IM$30,FALSE))</f>
        <v>#N/A</v>
      </c>
      <c r="IN495" s="1351" t="e">
        <f>IF($CO495="interior",ROUND(((1-IL495)*IM495)+IL495,2),VLOOKUP($CP495,Control_Savings_Exterior,IN$30,FALSE))</f>
        <v>#N/A</v>
      </c>
      <c r="IO495" s="1351" t="e">
        <f>IF($CO495="interior", ROUND(((1-IL495)*(IM495*(1-IP$28)))+IP495,2), VLOOKUP($CP495,Control_Savings_Exterior,IO$30,FALSE))</f>
        <v>#N/A</v>
      </c>
      <c r="IP495" s="1351">
        <f>IF($CO495="interior",ROUND(((1-IL495)*IP$28)+IL495,2),0)</f>
        <v>0</v>
      </c>
    </row>
    <row r="496" spans="1:250" s="82" customFormat="1" ht="14.95" customHeight="1" thickTop="1" thickBot="1">
      <c r="B496" s="1421"/>
      <c r="C496" s="1422"/>
      <c r="D496" s="1423"/>
      <c r="E496" s="1462" t="s">
        <v>357</v>
      </c>
      <c r="F496" s="1463"/>
      <c r="G496" s="1464" t="s">
        <v>362</v>
      </c>
      <c r="H496" s="1465"/>
      <c r="I496" s="1465"/>
      <c r="J496" s="1465"/>
      <c r="K496" s="1465"/>
      <c r="L496" s="1466"/>
      <c r="M496" s="669">
        <f>IFERROR(VLOOKUP(G496,_Daylight_Table[],2,FALSE),0)</f>
        <v>0</v>
      </c>
      <c r="N496" s="670"/>
      <c r="O496" s="669" t="e">
        <f>VLOOKUP(G495,'Space Table'!$B$3:$L$160,11,FALSE)</f>
        <v>#N/A</v>
      </c>
      <c r="P496" s="1408"/>
      <c r="Q496" s="1409"/>
      <c r="R496" s="1409"/>
      <c r="S496" s="1402"/>
      <c r="T496" s="671" t="s">
        <v>281</v>
      </c>
      <c r="U496" s="1467" t="str">
        <f>IFERROR(VLOOKUP(U495,Fixtures!DM$93:DP$142,4,FALSE),"")</f>
        <v/>
      </c>
      <c r="V496" s="1468"/>
      <c r="W496" s="1468"/>
      <c r="X496" s="1468"/>
      <c r="Y496" s="1468"/>
      <c r="Z496" s="1468"/>
      <c r="AA496" s="1468"/>
      <c r="AB496" s="1046" t="str">
        <f>IFERROR(VLOOKUP(U495,Fixtures_Proposed_List,2,FALSE),"")</f>
        <v/>
      </c>
      <c r="AC496" s="1036" t="str">
        <f>IFERROR(ROUND(T495*AB496*N494*R494/1000,0),"")</f>
        <v/>
      </c>
      <c r="AD496" s="1037" t="str">
        <f>IFERROR(ROUND(T495*AB496/1000,2),"")</f>
        <v/>
      </c>
      <c r="AE496" s="1045" t="s">
        <v>281</v>
      </c>
      <c r="AF496" s="1469"/>
      <c r="AG496" s="1469"/>
      <c r="AH496" s="1469"/>
      <c r="AI496" s="1469"/>
      <c r="AJ496" s="1476"/>
      <c r="AK496" s="1471"/>
      <c r="AL496" s="1473"/>
      <c r="AM496" s="1443"/>
      <c r="AN496" s="1444"/>
      <c r="AO496" s="1449"/>
      <c r="AP496" s="1449"/>
      <c r="AQ496" s="1450"/>
      <c r="AR496" s="1453"/>
      <c r="AS496" s="1456"/>
      <c r="AT496" s="1459"/>
      <c r="AU496" s="517"/>
      <c r="AV496" s="1480"/>
      <c r="AW496" s="1480"/>
      <c r="BC496" s="38"/>
      <c r="BD496" s="38"/>
      <c r="BE496" s="38"/>
      <c r="BF496" s="38"/>
      <c r="BG496" s="38"/>
      <c r="BH496" s="38"/>
      <c r="BI496" s="38"/>
      <c r="BJ496" s="38"/>
      <c r="BK496" s="38"/>
      <c r="BL496" s="38"/>
      <c r="BM496" s="38"/>
      <c r="BN496" s="38"/>
      <c r="BO496" s="38"/>
      <c r="BP496" s="38"/>
      <c r="BQ496" s="38"/>
      <c r="BR496" s="38"/>
      <c r="BS496" s="38"/>
      <c r="BT496" s="38"/>
      <c r="BU496" s="38"/>
      <c r="BV496" s="38"/>
      <c r="BW496" s="38"/>
      <c r="BX496" s="38"/>
      <c r="BY496" s="38"/>
      <c r="BZ496" s="38"/>
      <c r="CA496" s="38"/>
      <c r="CB496" s="38"/>
      <c r="CC496" s="38"/>
      <c r="CD496" s="38"/>
      <c r="CE496" s="38"/>
      <c r="CF496" s="38"/>
      <c r="CG496" s="38"/>
      <c r="CH496" s="38"/>
      <c r="CI496" s="38"/>
      <c r="CM496" s="1352"/>
      <c r="CN496" s="1352"/>
      <c r="CO496" s="1416"/>
      <c r="CP496" s="1418"/>
      <c r="CR496" s="1386"/>
      <c r="CS496" s="1355"/>
      <c r="CT496" s="1355"/>
      <c r="CU496" s="1375"/>
      <c r="CV496" s="1372"/>
      <c r="CW496" s="1372"/>
      <c r="CX496" s="1372"/>
      <c r="CY496" s="1487"/>
      <c r="CZ496" s="1487"/>
      <c r="DA496" s="1487"/>
      <c r="DC496" s="1355"/>
      <c r="DD496" s="1355"/>
      <c r="DE496" s="1375"/>
      <c r="DF496" s="1407"/>
      <c r="DG496" s="1372"/>
      <c r="DH496" s="1369"/>
      <c r="DK496" s="1484"/>
      <c r="DL496" s="1420"/>
      <c r="DN496" s="1403"/>
      <c r="DO496" s="1405"/>
      <c r="DP496" s="1355"/>
      <c r="DQ496" s="1405"/>
      <c r="DR496" s="1403"/>
      <c r="DS496" s="1489"/>
      <c r="DU496" s="1403"/>
      <c r="DV496" s="1405"/>
      <c r="DW496" s="1403"/>
      <c r="DX496" s="1403"/>
      <c r="DZ496" s="1481"/>
      <c r="EA496" s="1481"/>
      <c r="EC496" s="1482"/>
      <c r="ED496" s="1369"/>
      <c r="EE496" s="1372"/>
      <c r="EF496" s="1369"/>
      <c r="EG496" s="1369"/>
      <c r="EH496" s="1375"/>
      <c r="EI496" s="1375"/>
      <c r="EJ496" s="1363"/>
      <c r="EK496" s="1376"/>
      <c r="EL496" s="1376"/>
      <c r="EM496" s="1362"/>
      <c r="EN496" s="1362"/>
      <c r="EO496" s="1363"/>
      <c r="EP496" s="1363"/>
      <c r="EQ496" s="1363"/>
      <c r="ES496" s="1403"/>
      <c r="EU496" s="1488"/>
      <c r="EV496" s="1488"/>
      <c r="EW496" s="1488"/>
      <c r="EX496" s="1488"/>
      <c r="EY496" s="1488"/>
      <c r="EZ496" s="1414"/>
      <c r="FB496" s="1365"/>
      <c r="FD496" s="1355"/>
      <c r="FE496" s="1355"/>
      <c r="FF496" s="138"/>
      <c r="FI496" s="1357"/>
      <c r="FJ496" s="1357"/>
      <c r="FK496" s="1365"/>
      <c r="FL496" s="1365"/>
      <c r="FM496" s="1365"/>
      <c r="FO496" s="1361"/>
      <c r="FP496" s="1361"/>
      <c r="FQ496" s="1366"/>
      <c r="FR496" s="1361"/>
      <c r="FS496" s="1361"/>
      <c r="FT496" s="1361"/>
      <c r="FU496" s="1360"/>
      <c r="FW496" s="1352"/>
      <c r="FX496" s="1352"/>
      <c r="FY496" s="1352"/>
      <c r="FZ496" s="1352"/>
      <c r="GA496" s="1352"/>
      <c r="GB496" s="1352"/>
      <c r="GC496" s="1352"/>
      <c r="GD496" s="1352"/>
      <c r="GE496" s="759"/>
      <c r="GF496" s="1035"/>
      <c r="GG496" s="1385"/>
      <c r="GJ496" s="1034">
        <f>IF(GJ494=TRUE,0,GJ$16)</f>
        <v>0</v>
      </c>
      <c r="GL496" s="1034">
        <f>IF(GL494=TRUE,0,GL$16)</f>
        <v>36</v>
      </c>
      <c r="GM496" s="1034">
        <f>IF(GM494=TRUE,0,GM$16)</f>
        <v>35</v>
      </c>
      <c r="GN496" s="436"/>
      <c r="GO496" s="436"/>
      <c r="GP496" s="436"/>
      <c r="GQ496" s="436"/>
      <c r="GR496" s="436"/>
      <c r="HC496" s="1034">
        <f t="shared" ref="HC496:HH496" si="362">IF(HC494=TRUE,0,HC$16)</f>
        <v>19</v>
      </c>
      <c r="HD496" s="1034">
        <f t="shared" si="362"/>
        <v>18</v>
      </c>
      <c r="HE496" s="1034">
        <f t="shared" si="362"/>
        <v>17</v>
      </c>
      <c r="HF496" s="1034">
        <f t="shared" si="362"/>
        <v>16</v>
      </c>
      <c r="HG496" s="1034">
        <f t="shared" si="362"/>
        <v>0</v>
      </c>
      <c r="HH496" s="1034">
        <f t="shared" si="362"/>
        <v>0</v>
      </c>
      <c r="HI496" s="1034">
        <f>IF(HI494=TRUE,0,HI$16)</f>
        <v>13</v>
      </c>
      <c r="HJ496" s="1034">
        <f t="shared" ref="HJ496:HL496" si="363">IF(HJ494=TRUE,0,HJ$16)</f>
        <v>12</v>
      </c>
      <c r="HK496" s="1034">
        <f t="shared" si="363"/>
        <v>11</v>
      </c>
      <c r="HL496" s="1034">
        <f t="shared" si="363"/>
        <v>10</v>
      </c>
      <c r="HM496" s="1034">
        <f>IF(HM494=TRUE,0,HM$16)</f>
        <v>9</v>
      </c>
      <c r="HN496" s="1034">
        <f t="shared" ref="HN496:HR496" si="364">IF(HN494=TRUE,0,HN$16)</f>
        <v>0</v>
      </c>
      <c r="HO496" s="1034">
        <f t="shared" si="364"/>
        <v>0</v>
      </c>
      <c r="HP496" s="1034">
        <f t="shared" si="364"/>
        <v>0</v>
      </c>
      <c r="HQ496" s="1034">
        <f t="shared" si="364"/>
        <v>0</v>
      </c>
      <c r="HR496" s="1034">
        <f t="shared" si="364"/>
        <v>0</v>
      </c>
      <c r="HS496" s="1034">
        <f>IF(HS494=TRUE,0,HS$16)</f>
        <v>0</v>
      </c>
      <c r="HT496" s="1034">
        <f t="shared" ref="HT496" si="365">IF(HT494=TRUE,0,HT$16)</f>
        <v>0</v>
      </c>
      <c r="HU496" s="1034">
        <f>IF(HU494=TRUE,0,HU$16)</f>
        <v>1</v>
      </c>
      <c r="HW496" s="1034">
        <f>IF(GL494=FALSE,GL496,IF(GM494=FALSE,GM496,MAX(GJ496:HU496)))</f>
        <v>36</v>
      </c>
      <c r="HX496" s="1383"/>
      <c r="HY496" s="241" t="str">
        <f>VLOOKUP(HW496,_Error_Table,3,FALSE)</f>
        <v xml:space="preserve"> </v>
      </c>
      <c r="HZ496" s="241"/>
      <c r="IA496" s="1386"/>
      <c r="IB496" s="1380"/>
      <c r="IC496" s="1379"/>
      <c r="IF496" s="1380"/>
      <c r="IG496" s="1383"/>
      <c r="IH496" s="1383"/>
      <c r="II496" s="1383"/>
      <c r="IK496" s="1351"/>
      <c r="IL496" s="1351"/>
      <c r="IM496" s="1351"/>
      <c r="IN496" s="1351"/>
      <c r="IO496" s="1351"/>
      <c r="IP496" s="1351"/>
    </row>
    <row r="497" spans="1:250" s="82" customFormat="1" ht="5.0999999999999996" customHeight="1" thickBot="1">
      <c r="B497" s="763"/>
      <c r="C497" s="1038"/>
      <c r="D497" s="1038"/>
      <c r="E497" s="1490"/>
      <c r="F497" s="1490"/>
      <c r="G497" s="1490"/>
      <c r="H497" s="1490"/>
      <c r="I497" s="1490"/>
      <c r="J497" s="1490"/>
      <c r="K497" s="1490"/>
      <c r="L497" s="1490"/>
      <c r="M497" s="1490"/>
      <c r="N497" s="1490"/>
      <c r="O497" s="1490"/>
      <c r="P497" s="1490"/>
      <c r="Q497" s="1490"/>
      <c r="R497" s="1490"/>
      <c r="S497" s="1490"/>
      <c r="T497" s="1490"/>
      <c r="U497" s="1490"/>
      <c r="V497" s="1490"/>
      <c r="W497" s="1490"/>
      <c r="X497" s="1490"/>
      <c r="Y497" s="1490"/>
      <c r="Z497" s="1490"/>
      <c r="AA497" s="1490"/>
      <c r="AB497" s="1490"/>
      <c r="AC497" s="1490"/>
      <c r="AD497" s="1490"/>
      <c r="AE497" s="1490"/>
      <c r="AF497" s="1490"/>
      <c r="AG497" s="1490"/>
      <c r="AH497" s="1490"/>
      <c r="AI497" s="1490"/>
      <c r="AJ497" s="1490"/>
      <c r="AK497" s="1490"/>
      <c r="AL497" s="1490"/>
      <c r="AM497" s="1490"/>
      <c r="AN497" s="1490"/>
      <c r="AO497" s="1490"/>
      <c r="AP497" s="1490"/>
      <c r="AQ497" s="1490"/>
      <c r="AR497" s="1490"/>
      <c r="AS497" s="1490"/>
      <c r="AT497" s="1490"/>
      <c r="AU497" s="1041"/>
      <c r="BC497" s="38"/>
      <c r="BD497" s="38"/>
      <c r="BE497" s="38"/>
      <c r="BF497" s="38"/>
      <c r="BG497" s="38"/>
      <c r="BH497" s="38"/>
      <c r="BI497" s="38"/>
      <c r="BJ497" s="38"/>
      <c r="BK497" s="38"/>
      <c r="BL497" s="38"/>
      <c r="BM497" s="38"/>
      <c r="BN497" s="38"/>
      <c r="BO497" s="38"/>
      <c r="BP497" s="38"/>
      <c r="BQ497" s="38"/>
      <c r="BR497" s="38"/>
      <c r="BS497" s="38"/>
      <c r="BT497" s="38"/>
      <c r="BU497" s="38"/>
      <c r="BV497" s="38"/>
      <c r="BW497" s="38"/>
      <c r="BX497" s="38"/>
      <c r="BY497" s="38"/>
      <c r="BZ497" s="38"/>
      <c r="CA497" s="38"/>
      <c r="CB497" s="38"/>
      <c r="CC497" s="38"/>
      <c r="CD497" s="38"/>
      <c r="CE497" s="38"/>
      <c r="CF497" s="38"/>
      <c r="CG497" s="38"/>
      <c r="CH497" s="38"/>
      <c r="CI497" s="38"/>
      <c r="CM497" s="749"/>
      <c r="CN497" s="749"/>
      <c r="CO497" s="1043"/>
      <c r="CP497" s="749"/>
      <c r="CS497" s="436"/>
      <c r="CT497" s="436"/>
      <c r="CU497" s="243"/>
      <c r="CV497" s="244"/>
      <c r="CW497" s="244"/>
      <c r="CX497" s="244"/>
      <c r="CY497" s="245"/>
      <c r="CZ497" s="245"/>
      <c r="DA497" s="245"/>
      <c r="DC497" s="750"/>
      <c r="DD497" s="751"/>
      <c r="DE497" s="752"/>
      <c r="DF497" s="753"/>
      <c r="DG497" s="754"/>
      <c r="DH497" s="754"/>
      <c r="DK497" s="244"/>
      <c r="DL497" s="750"/>
      <c r="DN497" s="750"/>
      <c r="DO497" s="755"/>
      <c r="DP497" s="436"/>
      <c r="DQ497" s="750"/>
      <c r="DR497" s="750"/>
      <c r="DS497" s="750"/>
      <c r="DU497" s="750"/>
      <c r="DV497" s="750"/>
      <c r="DW497" s="750"/>
      <c r="DX497" s="750"/>
      <c r="DZ497" s="756"/>
      <c r="EA497" s="756"/>
      <c r="EC497" s="754"/>
      <c r="ED497" s="754"/>
      <c r="EE497" s="244"/>
      <c r="EF497" s="754"/>
      <c r="EG497" s="754"/>
      <c r="EH497" s="243"/>
      <c r="EI497" s="243"/>
      <c r="EJ497" s="752"/>
      <c r="EK497" s="757"/>
      <c r="EL497" s="757"/>
      <c r="EM497" s="758"/>
      <c r="EN497" s="758"/>
      <c r="EO497" s="752"/>
      <c r="EP497" s="752"/>
      <c r="EQ497" s="752"/>
      <c r="ES497" s="750"/>
      <c r="EU497" s="436"/>
      <c r="EV497" s="436"/>
      <c r="EW497" s="436"/>
      <c r="EX497" s="436"/>
      <c r="EY497" s="436"/>
      <c r="EZ497" s="436"/>
      <c r="FB497" s="643"/>
      <c r="FD497" s="436"/>
      <c r="FE497" s="436"/>
      <c r="FF497" s="436"/>
      <c r="FO497" s="750"/>
      <c r="FP497" s="436"/>
      <c r="FQ497" s="436"/>
      <c r="FR497" s="750"/>
      <c r="FS497" s="750"/>
      <c r="FW497" s="749"/>
      <c r="FX497" s="749"/>
      <c r="FY497" s="749"/>
      <c r="FZ497" s="749"/>
      <c r="GA497" s="749"/>
      <c r="GB497" s="749"/>
      <c r="GC497" s="749"/>
      <c r="GD497" s="749"/>
      <c r="GE497" s="751"/>
      <c r="GF497" s="750"/>
      <c r="GG497" s="750"/>
    </row>
    <row r="498" spans="1:250" s="82" customFormat="1" ht="14.95" customHeight="1" thickTop="1" thickBot="1">
      <c r="B498" s="1421" t="str">
        <f>HY501</f>
        <v xml:space="preserve"> </v>
      </c>
      <c r="C498" s="1422">
        <f>C493+1</f>
        <v>89</v>
      </c>
      <c r="D498" s="1423"/>
      <c r="E498" s="1424" t="s">
        <v>242</v>
      </c>
      <c r="F498" s="1425"/>
      <c r="G498" s="1426"/>
      <c r="H498" s="1427"/>
      <c r="I498" s="1427"/>
      <c r="J498" s="1427"/>
      <c r="K498" s="1427"/>
      <c r="L498" s="1427"/>
      <c r="M498" s="1427"/>
      <c r="N498" s="1427"/>
      <c r="O498" s="1427"/>
      <c r="P498" s="1427"/>
      <c r="Q498" s="1427"/>
      <c r="R498" s="1427"/>
      <c r="S498" s="1428" t="s">
        <v>283</v>
      </c>
      <c r="T498" s="668" t="s">
        <v>190</v>
      </c>
      <c r="U498" s="1430" t="s">
        <v>186</v>
      </c>
      <c r="V498" s="1431"/>
      <c r="W498" s="1431"/>
      <c r="X498" s="1431"/>
      <c r="Y498" s="1431"/>
      <c r="Z498" s="1431"/>
      <c r="AA498" s="1431"/>
      <c r="AB498" s="1088" t="str">
        <f>IFERROR(IF(__Retrofit_TI_NC=0,VLOOKUP(U499,Fixtures_Existing_List,2,FALSE),ROUND(N500*R500/T500,10)),"")</f>
        <v/>
      </c>
      <c r="AC498" s="1039" t="str">
        <f>IFERROR(IF(__Retrofit_TI_NC=0,ROUND(T499*AB498*N499*R499/1000,0),IF(CN498="Interior",N500*R500*R499*N499*_C406_reduction/1000,N500*R500*R499*N499/1000)),"")</f>
        <v/>
      </c>
      <c r="AD498" s="1040" t="str">
        <f>IFERROR(IF(C$36=0,ROUND(T499*AB498/1000,2),N500*R500/1000),"")</f>
        <v/>
      </c>
      <c r="AE498" s="1044" t="s">
        <v>190</v>
      </c>
      <c r="AF498" s="1432" t="str">
        <f>IF(__Retrofit_TI_NC=2,CONCATENATE("Code min = ",DD498),IF(__Retrofit_TI_NC=1,"Emter what you think the existing control was"," Control"))</f>
        <v xml:space="preserve"> Control</v>
      </c>
      <c r="AG498" s="1432"/>
      <c r="AH498" s="1432"/>
      <c r="AI498" s="1432"/>
      <c r="AJ498" s="1433">
        <f>DF498</f>
        <v>0</v>
      </c>
      <c r="AK498" s="1435" t="str">
        <f>IFERROR(ROUND(AJ498*AC498,0),"")</f>
        <v/>
      </c>
      <c r="AL498" s="1437">
        <f>IFERROR(IF(HW498=FALSE,0,AC498-AK498),0)</f>
        <v>0</v>
      </c>
      <c r="AM498" s="1439">
        <f>AL498-AL500</f>
        <v>0</v>
      </c>
      <c r="AN498" s="1440"/>
      <c r="AO498" s="1445">
        <f>IFERROR(IF(HW498=FALSE,0,(T500*U501)+(AE500*AF501)),0)</f>
        <v>0</v>
      </c>
      <c r="AP498" s="1445"/>
      <c r="AQ498" s="1446"/>
      <c r="AR498" s="1451" t="s">
        <v>157</v>
      </c>
      <c r="AS498" s="1454">
        <f>IF(AR498="Yes",1,0)</f>
        <v>1</v>
      </c>
      <c r="AT498" s="1457" t="str">
        <f>IF(OR(DN498=4,DN498=5,DN498=6,DN498=12),CONCATENATE("$",IF(GD498=TRUE,Lookup!$B$11,Lookup!$B$2)," /lamp"),CONCATENATE(EA498,"/ kWh"))</f>
        <v>0/ kWh</v>
      </c>
      <c r="AU498" s="516"/>
      <c r="AV498" s="1478">
        <f>IFERROR(IF(GI499=TRUE,(AB501*T500)/R500,0),"NA")</f>
        <v>0</v>
      </c>
      <c r="AW498" s="1478" t="str">
        <f>IFERROR(N500*_C406_reduction,"NA")</f>
        <v>NA</v>
      </c>
      <c r="BC498" s="38"/>
      <c r="BD498" s="38"/>
      <c r="BE498" s="38"/>
      <c r="BF498" s="38"/>
      <c r="BG498" s="38"/>
      <c r="BH498" s="38"/>
      <c r="BI498" s="38"/>
      <c r="BJ498" s="38"/>
      <c r="BK498" s="38"/>
      <c r="BL498" s="38"/>
      <c r="BM498" s="38"/>
      <c r="BN498" s="38"/>
      <c r="BO498" s="38"/>
      <c r="BP498" s="38"/>
      <c r="BQ498" s="38"/>
      <c r="BR498" s="38"/>
      <c r="BS498" s="38"/>
      <c r="BT498" s="38"/>
      <c r="BU498" s="38"/>
      <c r="BV498" s="38"/>
      <c r="BW498" s="38"/>
      <c r="BX498" s="38"/>
      <c r="BY498" s="38"/>
      <c r="BZ498" s="38"/>
      <c r="CA498" s="38"/>
      <c r="CB498" s="38"/>
      <c r="CC498" s="38"/>
      <c r="CD498" s="38"/>
      <c r="CE498" s="38"/>
      <c r="CF498" s="38"/>
      <c r="CG498" s="38"/>
      <c r="CH498" s="38"/>
      <c r="CI498" s="38"/>
      <c r="CM498" s="1352" t="str">
        <f>N499</f>
        <v/>
      </c>
      <c r="CN498" s="1352" t="str">
        <f>IFERROR(VLOOKUP(G499,_Lookup_Heat_Type_Table_New,3,FALSE),"")</f>
        <v/>
      </c>
      <c r="CO498" s="1415" t="str">
        <f>CN498</f>
        <v/>
      </c>
      <c r="CP498" s="1417" t="e">
        <f>VLOOKUP(G500,'Space Table'!$B$3:$L$160,9,FALSE)</f>
        <v>#N/A</v>
      </c>
      <c r="CR498" s="1386" t="s">
        <v>283</v>
      </c>
      <c r="CS498" s="1353">
        <f>IF(HW498=TRUE,T499,0)</f>
        <v>0</v>
      </c>
      <c r="CT498" s="1353" t="str">
        <f>IF(HW498=TRUE,U499,"")</f>
        <v/>
      </c>
      <c r="CU498" s="1353"/>
      <c r="CV498" s="1370">
        <f>IF(HW498=TRUE,AB498,0)</f>
        <v>0</v>
      </c>
      <c r="CW498" s="1370">
        <f>IF(HW498=TRUE,AC498,0)</f>
        <v>0</v>
      </c>
      <c r="CX498" s="1370">
        <f>IFERROR(IF(HW498=TRUE,CW498-CW500,0),0)</f>
        <v>0</v>
      </c>
      <c r="CY498" s="1485">
        <f>IF(HW498=TRUE,AD498,0)</f>
        <v>0</v>
      </c>
      <c r="CZ498" s="1485">
        <f>IF(HW498=TRUE,AD501,0)</f>
        <v>0</v>
      </c>
      <c r="DA498" s="1485">
        <f>IFERROR(CY498-CZ498,0)</f>
        <v>0</v>
      </c>
      <c r="DC498" s="1353">
        <f>IF(HW498=TRUE,AE499,0)</f>
        <v>0</v>
      </c>
      <c r="DD498" s="1460">
        <f>IF(__Retrofit_TI_NC=2,IF(CN498="Exterior",O501,FM498),FK498)</f>
        <v>0</v>
      </c>
      <c r="DE498" s="1353"/>
      <c r="DF498" s="1406">
        <f>IFERROR(IF(FL498=3,IK498,IF(FL498=4,IL498,IF(FL498=5,IM498,IF(FL498=6,IN498,IF(FL498=7,IO498,IF(FL498=8,IP498,0)))))),0)</f>
        <v>0</v>
      </c>
      <c r="DG498" s="1370">
        <f>IF(HW498=TRUE,AK498,0)</f>
        <v>0</v>
      </c>
      <c r="DH498" s="1369">
        <f>IFERROR(IF(HW498=TRUE,DG500-DG498,0),0)</f>
        <v>0</v>
      </c>
      <c r="DJ498" s="1483">
        <f>IFERROR(CW498-DG498,0)</f>
        <v>0</v>
      </c>
      <c r="DL498" s="1419">
        <f>DJ498-DK500</f>
        <v>0</v>
      </c>
      <c r="DN498" s="1403" t="str">
        <f>IFERROR(IF(AND(OR(FY498=4,FY498=5,FY498=6),OR(GB498=4,GB498=5,GB498=6)),FY498+8,VLOOKUP(CT500,Fixtures!R$31:Y$78,8,FALSE)),"")</f>
        <v/>
      </c>
      <c r="DO498" s="1404" t="str">
        <f>DN498</f>
        <v/>
      </c>
      <c r="DP498" s="1353" t="str">
        <f>IFERROR(VLOOKUP(DD500,Lookup!AU$3:AV$15,2,FALSE),"")</f>
        <v/>
      </c>
      <c r="DQ498" s="1404" t="str">
        <f>IF(DP498=7,"LLLC","")</f>
        <v/>
      </c>
      <c r="DR498" s="1403">
        <f>IFERROR(IF(OR(DN498=4,DN498=5,DN498=6,DN498=12,DN498=13,DN498=14),VLOOKUP(CT500,Fixtures!DN$27:EG$77,19,FALSE),1)*CS500,0)</f>
        <v>0</v>
      </c>
      <c r="DS498" s="1489">
        <f>IF(DP498=7,IF(DD498=DD500,0,DC500),0)</f>
        <v>0</v>
      </c>
      <c r="DU498" s="1403" t="str">
        <f>IFERROR(IF(EW498&lt;EW500,"Yes","No"),"")</f>
        <v/>
      </c>
      <c r="DV498" s="1404" t="str">
        <f>DU498</f>
        <v/>
      </c>
      <c r="DW498" s="1403">
        <f>IF(DU498="Yes",DC500,0)</f>
        <v>0</v>
      </c>
      <c r="DX498" s="1403">
        <f>DW498-DS498</f>
        <v>0</v>
      </c>
      <c r="DZ498" s="1481">
        <f>IFERROR(VLOOKUP(DN498,Lookup!AN$3:AO$16,2,FALSE),0)</f>
        <v>0</v>
      </c>
      <c r="EA498" s="1481">
        <f>IF(HW498=FALSE,0,IF(DU498="Yes",DZ498+Lookup!B$6,DZ498))</f>
        <v>0</v>
      </c>
      <c r="EC498" s="1482">
        <f>IF(HW498=TRUE,DJ498,0)</f>
        <v>0</v>
      </c>
      <c r="ED498" s="1369">
        <f>IF(HW498=TRUE,CW500,0)</f>
        <v>0</v>
      </c>
      <c r="EE498" s="1370">
        <f>IFERROR(EC498-ED498,0)</f>
        <v>0</v>
      </c>
      <c r="EF498" s="1369">
        <f>IF(HW498=TRUE,DG500,0)</f>
        <v>0</v>
      </c>
      <c r="EG498" s="1369">
        <f>IFERROR(EC498-ED498+EF498,0)</f>
        <v>0</v>
      </c>
      <c r="EH498" s="1373">
        <f>IF(HW498=TRUE,CS500*CU500,0)</f>
        <v>0</v>
      </c>
      <c r="EI498" s="1373">
        <f>IF(HW498=TRUE,DC500*DE500,0)</f>
        <v>0</v>
      </c>
      <c r="EJ498" s="1363">
        <f>AO498</f>
        <v>0</v>
      </c>
      <c r="EK498" s="1376" t="str">
        <f>IFERROR(IF(HW498=TRUE,VLOOKUP(DN498,Lookup!AN$3:AP$16,3,FALSE)*DR498,""),0)</f>
        <v/>
      </c>
      <c r="EL498" s="1376">
        <f>IF(HW498=TRUE,DW498*Lookup!AP$12,0)</f>
        <v>0</v>
      </c>
      <c r="EM498" s="1362">
        <f>IFERROR(IF(HW498=TRUE,EK498/EM$33,0),0)</f>
        <v>0</v>
      </c>
      <c r="EN498" s="1362">
        <f>IF(HW498=TRUE,EL498/EN$33,0)</f>
        <v>0</v>
      </c>
      <c r="EO498" s="1363">
        <f>IF(HW498=TRUE,EQ$33*EM498,0)</f>
        <v>0</v>
      </c>
      <c r="EP498" s="1363">
        <f>IF(HW498=TRUE,EQ$33*EN498,0)</f>
        <v>0</v>
      </c>
      <c r="EQ498" s="1363">
        <f>EO498+EP498</f>
        <v>0</v>
      </c>
      <c r="ES498" s="1403">
        <f>IF(G498="",0,1)</f>
        <v>0</v>
      </c>
      <c r="EU498" s="1410" t="e">
        <f>VLOOKUP(CP500,'Space Table'!$B$3:$L$160,8,FALSE)</f>
        <v>#N/A</v>
      </c>
      <c r="EV498" s="1410" t="e">
        <f>IF(EY498="Yes",VLOOKUP(DD498,Lookup_Control_Type_Table2,4,FALSE),VLOOKUP(DD498,Lookup_Control_Type_Table2,3,FALSE))</f>
        <v>#N/A</v>
      </c>
      <c r="EW498" s="1410" t="e">
        <f>VLOOKUP(DD498,Lookup!AU$3:AV$15,2,FALSE)</f>
        <v>#N/A</v>
      </c>
      <c r="EX498" s="1410" t="e">
        <f>VLOOKUP(EU498,Lookup_Control_Type_Table,2,FALSE)</f>
        <v>#N/A</v>
      </c>
      <c r="EY498" s="1410" t="e">
        <f>VLOOKUP(CP500,'Space Table'!$B$3:$L$160,7,FALSE)</f>
        <v>#N/A</v>
      </c>
      <c r="EZ498" s="1412" t="b">
        <f>ISNUMBER(SEARCH("TLED",U500))</f>
        <v>0</v>
      </c>
      <c r="FB498" s="1365" t="str">
        <f>CONCATENATE(CN498," - ",DD498)</f>
        <v xml:space="preserve"> - 0</v>
      </c>
      <c r="FD498" s="1353" t="str">
        <f>VLOOKUP(CT500,Fixtures!DN$27:EZ$77,38,FALSE)</f>
        <v/>
      </c>
      <c r="FE498" s="1353">
        <f>IFERROR(FD498*EE498,0)</f>
        <v>0</v>
      </c>
      <c r="FF498" s="138"/>
      <c r="FI498" s="1356" t="str">
        <f>IF(CN498="Exterior","Not Daylighted",G501)</f>
        <v>Not Daylighted</v>
      </c>
      <c r="FJ498" s="1356">
        <f>VLOOKUP(FI498,_Daylight_Table_Codes,2,FALSE)</f>
        <v>0</v>
      </c>
      <c r="FK498" s="1365">
        <f>IF(__Retrofit_TI_NC=2,VLOOKUP(G500,'Space Table'!$B$3:$L$160,11,FALSE),AF499)</f>
        <v>0</v>
      </c>
      <c r="FL498" s="1365" t="e">
        <f>VLOOKUP(FK498,_Control_Table,2,FALSE)</f>
        <v>#N/A</v>
      </c>
      <c r="FM498" s="1365" t="e">
        <f>IF(AND(FP498&gt;0,FK498="Occupancy Sensor"),"Daylight + Occupancy",IF(AND(FP498&gt;0,FL498&lt;4),"Interior Daylight Dimming",FK498))</f>
        <v>#N/A</v>
      </c>
      <c r="FO498" s="1364">
        <f>IF(CO498="Interior",VLOOKUP(CP498,Control_Savings_Interior,5,FALSE),0)</f>
        <v>0</v>
      </c>
      <c r="FP498" s="1361">
        <f>IF(CN498="Exterior",0,IF(FJ498=2,0.5,IF(OR(FJ498=1,FJ498=3),1,0)))</f>
        <v>0</v>
      </c>
      <c r="FQ498" s="1366"/>
      <c r="FR498" s="1367"/>
      <c r="FS498" s="1364"/>
      <c r="FT498" s="1367"/>
      <c r="FU498" s="1360"/>
      <c r="FW498" s="1352" t="str">
        <f>IFERROR(VLOOKUP(U499,_Exist_Fixture_Table,3,FALSE),"")</f>
        <v/>
      </c>
      <c r="FX498" s="1352" t="str">
        <f>VLOOKUP(CT498,_Exist_Fixture_Table,4,FALSE)</f>
        <v/>
      </c>
      <c r="FY498" s="1352">
        <f>IFERROR(VLOOKUP(FX498,Lookup!AM$6:AN$8,2,FALSE),0)</f>
        <v>0</v>
      </c>
      <c r="FZ498" s="1352" t="b">
        <f>IFERROR(IF(OR(GB498=4,GB498=5,GB498=6),TRUE,FALSE),"")</f>
        <v>0</v>
      </c>
      <c r="GA498" s="1352" t="str">
        <f>IFERROR(VLOOKUP(GB498,FY$6:FZ$10,2,FALSE),"")</f>
        <v/>
      </c>
      <c r="GB498" s="1352" t="str">
        <f>VLOOKUP(CT500,Fixtures!R$31:Y$78,8,FALSE)</f>
        <v/>
      </c>
      <c r="GC498" s="1352">
        <f>IF(AND(FW498=TRUE,FZ498=TRUE,OR(DN498=12,DN498=13,DN498=14)),FY498+8,0)</f>
        <v>0</v>
      </c>
      <c r="GD498" s="1352" t="b">
        <f>IF(OR(GC498=12,GC498=13,GC498=14),TRUE,FALSE)</f>
        <v>0</v>
      </c>
      <c r="GE498" s="759" t="b">
        <f>IF(ISNUMBER(SEARCH("TLED",U499)),TRUE,FALSE)</f>
        <v>0</v>
      </c>
      <c r="GF498" s="1035" t="str">
        <f>IFERROR(VLOOKUP(U499,Fixtures!BM$93:BR$142,6,FALSE),"")</f>
        <v/>
      </c>
      <c r="GG498" s="1385" t="b">
        <f>IF(OR(GE498=FALSE,GE500=FALSE),TRUE,IF(GF498-GF500&lt;5,FALSE,TRUE))</f>
        <v>1</v>
      </c>
      <c r="GK498" s="1034">
        <f>GL498</f>
        <v>0</v>
      </c>
      <c r="GL498" s="1034">
        <f>IF(G498="",0,1)</f>
        <v>0</v>
      </c>
      <c r="GM498" s="1034">
        <f>SUM(GN498:HB498)</f>
        <v>2</v>
      </c>
      <c r="GN498" s="1034">
        <f>IF(G499="",0,1)</f>
        <v>0</v>
      </c>
      <c r="GO498" s="1034">
        <f>IF(G500="",0,1)</f>
        <v>0</v>
      </c>
      <c r="GP498" s="1034">
        <f>IF(R499="",0,1)</f>
        <v>0</v>
      </c>
      <c r="GQ498" s="1034">
        <f>IF(__Retrofit_TI_NC=0,1,IF(R500="",0,1))</f>
        <v>1</v>
      </c>
      <c r="GR498" s="1034">
        <f>IF(CN498="Exterior",1,IF(G501="",0,1))</f>
        <v>1</v>
      </c>
      <c r="GS498" s="1034">
        <f>IF(__Retrofit_TI_NC&lt;&gt;0,1,IF(T499="",0,1))</f>
        <v>0</v>
      </c>
      <c r="GT498" s="1034">
        <f>IF(__Retrofit_TI_NC&lt;&gt;0,1,IF(U499="",0,1))</f>
        <v>0</v>
      </c>
      <c r="GU498" s="1034">
        <f>IF(T500="",0,1)</f>
        <v>0</v>
      </c>
      <c r="GV498" s="1034">
        <f>IF(U500="",0,1)</f>
        <v>0</v>
      </c>
      <c r="GW498" s="1034">
        <f>IF(__Retrofit_TI_NC=2,1,IF(U501="",0,1))</f>
        <v>0</v>
      </c>
      <c r="GX498" s="1034">
        <f>IF(__Retrofit_TI_NC&lt;&gt;0,1,IF(AE499="",0,1))</f>
        <v>0</v>
      </c>
      <c r="GY498" s="1034">
        <f>IF(__Retrofit_TI_NC&lt;&gt;0,1,IF(AF499="",0,1))</f>
        <v>0</v>
      </c>
      <c r="GZ498" s="1034">
        <f>IF(AE500="",0,1)</f>
        <v>0</v>
      </c>
      <c r="HA498" s="1034">
        <f>IF(AF500="",0,1)</f>
        <v>0</v>
      </c>
      <c r="HB498" s="1034">
        <f>IF(__Retrofit_TI_NC=2,1,IF(AF501="",0,1))</f>
        <v>0</v>
      </c>
      <c r="HV498" s="436"/>
      <c r="HW498" s="1384" t="b">
        <f>IF(OR(HW501=0,HW501=HT$16,HW501=HS$16,HW501=HU$16),TRUE,FALSE)</f>
        <v>0</v>
      </c>
      <c r="HX498" s="1377" t="b">
        <f>HW498</f>
        <v>0</v>
      </c>
      <c r="HY498" s="436"/>
      <c r="HZ498" s="436"/>
      <c r="IA498" s="1386" t="b">
        <f>IF(MAX(GJ501:HP501)&gt;5,FALSE,TRUE)</f>
        <v>0</v>
      </c>
      <c r="IB498" s="1380">
        <f>IF(IA498=TRUE,AC498,0)</f>
        <v>0</v>
      </c>
      <c r="IC498" s="1380">
        <f>IB498-IB500</f>
        <v>0</v>
      </c>
      <c r="IF498" s="1380" t="e">
        <f>ROUND(T499*VLOOKUP(U499,Fixtures_Existing_List,2,FALSE)*N499*R499/1000,0)</f>
        <v>#N/A</v>
      </c>
      <c r="IG498" s="1381" t="e">
        <f>IF498-IF500</f>
        <v>#N/A</v>
      </c>
      <c r="IH498" s="1384" t="e">
        <f>ROUND(IF(CN498="Interior",N500*R500*R499*N499*_C406_reduction/1000,N500*R500*R499*N499/1000),0)</f>
        <v>#N/A</v>
      </c>
      <c r="II498" s="1384" t="e">
        <f>IH498-IH500</f>
        <v>#N/A</v>
      </c>
      <c r="IK498" s="1351" t="e">
        <f>IF($CO498="interior",IL498/2,VLOOKUP($CP498,Control_Savings_Exterior,IK$30,FALSE))</f>
        <v>#N/A</v>
      </c>
      <c r="IL498" s="1351" t="e">
        <f>IF($CO498="interior",VLOOKUP($CP498,Control_Savings_Interior,IL$30,FALSE),VLOOKUP($CP498,Control_Savings_Exterior,IL$30,FALSE))</f>
        <v>#N/A</v>
      </c>
      <c r="IM498" s="1351" t="e">
        <f>IF($CO498="interior",IF(R499&gt;FO$37,(IM$28*(FO$37/R499)),IM$28)*FP498,VLOOKUP($CP498,Control_Savings_Exterior,IM$30,FALSE))</f>
        <v>#N/A</v>
      </c>
      <c r="IN498" s="1351" t="e">
        <f>IF($CO498="interior",ROUND(((1-IL498)*IM498)+IL498,2),VLOOKUP($CP498,Control_Savings_Exterior,IN$30,FALSE))</f>
        <v>#N/A</v>
      </c>
      <c r="IO498" s="1351" t="e">
        <f>IF($CO498="interior", ROUND(((1-IL498)*(IM498*(1-IP$28)))+IP498,2), VLOOKUP($CP498,Control_Savings_Exterior,IO$30,FALSE))</f>
        <v>#N/A</v>
      </c>
      <c r="IP498" s="1351">
        <f>IF($CO498="interior",ROUND(((1-IL498)*IP$28)+IL498,2),0)</f>
        <v>0</v>
      </c>
    </row>
    <row r="499" spans="1:250" s="82" customFormat="1" ht="14.95" customHeight="1" thickTop="1" thickBot="1">
      <c r="B499" s="1421"/>
      <c r="C499" s="1422"/>
      <c r="D499" s="1423"/>
      <c r="E499" s="1393" t="s">
        <v>244</v>
      </c>
      <c r="F499" s="1394"/>
      <c r="G499" s="1395"/>
      <c r="H499" s="1395"/>
      <c r="I499" s="1395"/>
      <c r="J499" s="1395"/>
      <c r="K499" s="1395"/>
      <c r="L499" s="1395"/>
      <c r="M499" s="509" t="e">
        <f>IF(__Retrofit_TI_NC&lt;&gt;0,IF(VLOOKUP(G500,'Space Table'!$B$3:$L$160,3,FALSE)&gt;0,1,0),IF(__Retrofit_TI_NC=VLOOKUP(G500,'Space Table'!$B$3:$L$160,3,FALSE),1,0))</f>
        <v>#N/A</v>
      </c>
      <c r="N499" s="509" t="str">
        <f>IFERROR(VLOOKUP(G499,_Lookup_Heat_Type_Table_New,2,FALSE),"")</f>
        <v/>
      </c>
      <c r="O499" s="509">
        <f>IF(__Retrofit_TI_NC=1,CONCATENATE("TI ",G499),IF(__Retrofit_TI_NC=2,CONCATENATE("NC ",G499),G499))</f>
        <v>0</v>
      </c>
      <c r="P499" s="1396" t="s">
        <v>352</v>
      </c>
      <c r="Q499" s="1396"/>
      <c r="R499" s="673"/>
      <c r="S499" s="1429"/>
      <c r="T499" s="675"/>
      <c r="U499" s="1496"/>
      <c r="V499" s="1497"/>
      <c r="W499" s="1497"/>
      <c r="X499" s="1497"/>
      <c r="Y499" s="1497"/>
      <c r="Z499" s="1497"/>
      <c r="AA499" s="1497"/>
      <c r="AB499" s="1497"/>
      <c r="AC499" s="1497"/>
      <c r="AD499" s="1498"/>
      <c r="AE499" s="675"/>
      <c r="AF499" s="1397"/>
      <c r="AG499" s="1397"/>
      <c r="AH499" s="1397"/>
      <c r="AI499" s="1397"/>
      <c r="AJ499" s="1434"/>
      <c r="AK499" s="1436"/>
      <c r="AL499" s="1438"/>
      <c r="AM499" s="1441"/>
      <c r="AN499" s="1442"/>
      <c r="AO499" s="1447"/>
      <c r="AP499" s="1447"/>
      <c r="AQ499" s="1448"/>
      <c r="AR499" s="1452"/>
      <c r="AS499" s="1455"/>
      <c r="AT499" s="1458"/>
      <c r="AU499" s="516"/>
      <c r="AV499" s="1479"/>
      <c r="AW499" s="1479"/>
      <c r="BC499" s="38"/>
      <c r="BD499" s="38"/>
      <c r="BE499" s="38"/>
      <c r="BF499" s="38"/>
      <c r="BG499" s="38"/>
      <c r="BH499" s="38"/>
      <c r="BI499" s="38"/>
      <c r="BJ499" s="38"/>
      <c r="BK499" s="38"/>
      <c r="BL499" s="38"/>
      <c r="BM499" s="38"/>
      <c r="BN499" s="38"/>
      <c r="BO499" s="38"/>
      <c r="BP499" s="38"/>
      <c r="BQ499" s="38"/>
      <c r="BR499" s="38"/>
      <c r="BS499" s="38"/>
      <c r="BT499" s="38"/>
      <c r="BU499" s="38"/>
      <c r="BV499" s="38"/>
      <c r="BW499" s="38"/>
      <c r="BX499" s="38"/>
      <c r="BY499" s="38"/>
      <c r="BZ499" s="38"/>
      <c r="CA499" s="38"/>
      <c r="CB499" s="38"/>
      <c r="CC499" s="38"/>
      <c r="CD499" s="38"/>
      <c r="CE499" s="38"/>
      <c r="CF499" s="38"/>
      <c r="CG499" s="38"/>
      <c r="CH499" s="38"/>
      <c r="CI499" s="38"/>
      <c r="CM499" s="1352"/>
      <c r="CN499" s="1352"/>
      <c r="CO499" s="1416"/>
      <c r="CP499" s="1418"/>
      <c r="CR499" s="1386"/>
      <c r="CS499" s="1355"/>
      <c r="CT499" s="1355"/>
      <c r="CU499" s="1355"/>
      <c r="CV499" s="1372"/>
      <c r="CW499" s="1372"/>
      <c r="CX499" s="1371"/>
      <c r="CY499" s="1486"/>
      <c r="CZ499" s="1486"/>
      <c r="DA499" s="1486"/>
      <c r="DC499" s="1355"/>
      <c r="DD499" s="1461"/>
      <c r="DE499" s="1355"/>
      <c r="DF499" s="1407"/>
      <c r="DG499" s="1372"/>
      <c r="DH499" s="1369"/>
      <c r="DJ499" s="1484"/>
      <c r="DL499" s="1419"/>
      <c r="DN499" s="1403"/>
      <c r="DO499" s="1405"/>
      <c r="DP499" s="1354"/>
      <c r="DQ499" s="1405"/>
      <c r="DR499" s="1403"/>
      <c r="DS499" s="1489"/>
      <c r="DU499" s="1403"/>
      <c r="DV499" s="1405"/>
      <c r="DW499" s="1403"/>
      <c r="DX499" s="1403"/>
      <c r="DZ499" s="1481"/>
      <c r="EA499" s="1481"/>
      <c r="EC499" s="1482"/>
      <c r="ED499" s="1369"/>
      <c r="EE499" s="1371"/>
      <c r="EF499" s="1369"/>
      <c r="EG499" s="1369"/>
      <c r="EH499" s="1374"/>
      <c r="EI499" s="1374"/>
      <c r="EJ499" s="1363"/>
      <c r="EK499" s="1376"/>
      <c r="EL499" s="1376"/>
      <c r="EM499" s="1362"/>
      <c r="EN499" s="1362"/>
      <c r="EO499" s="1363"/>
      <c r="EP499" s="1363"/>
      <c r="EQ499" s="1363"/>
      <c r="ES499" s="1403"/>
      <c r="EU499" s="1411"/>
      <c r="EV499" s="1411"/>
      <c r="EW499" s="1411"/>
      <c r="EX499" s="1411"/>
      <c r="EY499" s="1411"/>
      <c r="EZ499" s="1413"/>
      <c r="FB499" s="1365"/>
      <c r="FD499" s="1354"/>
      <c r="FE499" s="1354"/>
      <c r="FF499" s="138"/>
      <c r="FI499" s="1357"/>
      <c r="FJ499" s="1357"/>
      <c r="FK499" s="1365"/>
      <c r="FL499" s="1365"/>
      <c r="FM499" s="1365"/>
      <c r="FO499" s="1361"/>
      <c r="FP499" s="1361"/>
      <c r="FQ499" s="1366"/>
      <c r="FR499" s="1368"/>
      <c r="FS499" s="1361"/>
      <c r="FT499" s="1368"/>
      <c r="FU499" s="1360"/>
      <c r="FW499" s="1352"/>
      <c r="FX499" s="1352"/>
      <c r="FY499" s="1352"/>
      <c r="FZ499" s="1352"/>
      <c r="GA499" s="1352"/>
      <c r="GB499" s="1352"/>
      <c r="GC499" s="1352"/>
      <c r="GD499" s="1352"/>
      <c r="GE499" s="759"/>
      <c r="GF499" s="1035"/>
      <c r="GG499" s="1385"/>
      <c r="GI499" s="1384" t="b">
        <f>IF(AND(GL499=TRUE,GM499=TRUE),TRUE,FALSE)</f>
        <v>0</v>
      </c>
      <c r="GJ499" s="1379" t="b">
        <f>IFERROR(IF(__Retrofit_TI_NC=2,TRUE,IF(AR498="Yes",TRUE,FALSE)),FALSE)</f>
        <v>1</v>
      </c>
      <c r="GL499" s="1379" t="b">
        <f>IFERROR(IF(GL498=1,TRUE,FALSE),FALSE)</f>
        <v>0</v>
      </c>
      <c r="GM499" s="1379" t="b">
        <f>IFERROR(IF(GM498=GM$14,TRUE,FALSE),FALSE)</f>
        <v>0</v>
      </c>
      <c r="HC499" s="1379" t="b">
        <f>IFERROR(IF(M499=1,TRUE,FALSE),FALSE)</f>
        <v>0</v>
      </c>
      <c r="HD499" s="1379" t="b">
        <f>IFERROR(IF(M500=1,TRUE,FALSE),FALSE)</f>
        <v>0</v>
      </c>
      <c r="HE499" s="1379" t="b">
        <f>IFERROR(IF(__Retrofit_TI_NC&lt;&gt;0,TRUE,IFERROR(IF(VLOOKUP(U499,Fixtures_Existing_List,2,FALSE)&lt;&gt;"",TRUE,FALSE),FALSE)),FALSE)</f>
        <v>0</v>
      </c>
      <c r="HF499" s="1379" t="b">
        <f>IFERROR(IF(VLOOKUP(U500,Fixtures_Proposed_List,2,FALSE)&lt;&gt;"",TRUE,FALSE),FALSE)</f>
        <v>0</v>
      </c>
      <c r="HG499" s="1379" t="b">
        <f>IF(AND(__Retrofit_TI_NC=2,EZ498=TRUE),FALSE,TRUE)</f>
        <v>1</v>
      </c>
      <c r="HH499" s="1379" t="b">
        <f>GG498</f>
        <v>1</v>
      </c>
      <c r="HI499" s="1384" t="b">
        <f>IF(ISERROR(MATCH(FB498,_Control_Match[],0))=TRUE,FALSE,TRUE)</f>
        <v>0</v>
      </c>
      <c r="HJ499" s="1384" t="b">
        <f>IFERROR(IF(EU498&lt;&gt;EV498,FALSE,TRUE),FALSE)</f>
        <v>0</v>
      </c>
      <c r="HK499" s="1384" t="b">
        <f>IFERROR(IF(EU500&lt;&gt;EV500,FALSE,TRUE),FALSE)</f>
        <v>0</v>
      </c>
      <c r="HL499" s="1379" t="b">
        <f>IFERROR(IF(CN498="Exterior",TRUE,IF(OR(AND(FJ498=0,EW500&gt;4),AND(FJ498=4,EW500&gt;4,EW500&lt;7)),FALSE,TRUE)),FALSE)</f>
        <v>0</v>
      </c>
      <c r="HM499" s="1379" t="b">
        <f>IFERROR(IF(AND(FL500=7,EZ498=TRUE),FALSE,TRUE),FALSE)</f>
        <v>0</v>
      </c>
      <c r="HN499" s="1379" t="b">
        <f>IFERROR(IF(AND(T500&lt;&gt;AE500,AF500="Interior LLLC")=TRUE,FALSE,TRUE),FALSE)</f>
        <v>1</v>
      </c>
      <c r="HO499" s="1379" t="b">
        <f>IFERROR(IF(OR(AF500=Lookup!AU$13,AF500=Lookup!AU$14)=TRUE,IF(AE500&gt;T500,FALSE,TRUE),TRUE),FALSE)</f>
        <v>1</v>
      </c>
      <c r="HP499" s="1379" t="b">
        <f>IFERROR(IF(__Retrofit_TI_NC=2,IF(EW500&lt;EW498,FALSE,TRUE),TRUE),FALSE)</f>
        <v>1</v>
      </c>
      <c r="HQ499" s="1379" t="b">
        <f>IF(CN498="Interior",IG$6,TRUE)</f>
        <v>1</v>
      </c>
      <c r="HR499" s="1379" t="b">
        <f>IF(CN498="Exterior",IG$8,TRUE)</f>
        <v>1</v>
      </c>
      <c r="HS499" s="1379" t="b">
        <f>IFERROR(IF(__Retrofit_TI_NC&lt;&gt;0,IF(AW498&lt;AV498,FALSE,TRUE),TRUE),FALSE)</f>
        <v>1</v>
      </c>
      <c r="HT499" s="1379" t="b">
        <f>IFERROR(IF(AND(G499="Exterior",R499&gt;4200),FALSE,TRUE),FALSE)</f>
        <v>1</v>
      </c>
      <c r="HU499" s="1379" t="b">
        <f>IFERROR(IF(AB501/AB498&lt;HU$18,FALSE,TRUE),FALSE)</f>
        <v>0</v>
      </c>
      <c r="HW499" s="1382"/>
      <c r="HX499" s="1378"/>
      <c r="HY499" s="1377" t="str">
        <f>VLOOKUP(HW501,_Error_Table,4,FALSE)</f>
        <v>White</v>
      </c>
      <c r="HZ499" s="436"/>
      <c r="IA499" s="1386"/>
      <c r="IB499" s="1380"/>
      <c r="IC499" s="1379"/>
      <c r="IF499" s="1380"/>
      <c r="IG499" s="1382"/>
      <c r="IH499" s="1382"/>
      <c r="II499" s="1382"/>
      <c r="IK499" s="1351"/>
      <c r="IL499" s="1351"/>
      <c r="IM499" s="1351"/>
      <c r="IN499" s="1351"/>
      <c r="IO499" s="1351"/>
      <c r="IP499" s="1351"/>
    </row>
    <row r="500" spans="1:250" s="82" customFormat="1" ht="14.95" customHeight="1" thickTop="1" thickBot="1">
      <c r="A500" s="82">
        <f>ROW()</f>
        <v>500</v>
      </c>
      <c r="B500" s="1421"/>
      <c r="C500" s="1422"/>
      <c r="D500" s="1423"/>
      <c r="E500" s="1393" t="s">
        <v>245</v>
      </c>
      <c r="F500" s="1394"/>
      <c r="G500" s="1398"/>
      <c r="H500" s="1399"/>
      <c r="I500" s="1399"/>
      <c r="J500" s="1399"/>
      <c r="K500" s="1399"/>
      <c r="L500" s="1400"/>
      <c r="M500" s="509">
        <f>IFERROR(IF(IF(__Retrofit_TI_NC&lt;&gt;0,IF(CN498="Interior",MATCH(G500,Lookup_Interior_New,0),MATCH(G500,Lookup_Exterior_New,0)),IF(CN498="Interior",MATCH(G500,Lookup_Interior,0),MATCH(G500,Lookup_Exterior_Areas,0)))&gt;0,1,0),0)</f>
        <v>0</v>
      </c>
      <c r="N500" s="509" t="e">
        <f>IF(__Retrofit_TI_NC=1,
VLOOKUP(G500,'Space Table'!$B$3:$L$160,4,FALSE),
IF(__Retrofit_TI_NC=2,VLOOKUP(G500,'Space Table'!$B$3:$L$160,5,FALSE),VLOOKUP(G500,'Space Table'!$B$3:$L$160,5,FALSE)))</f>
        <v>#N/A</v>
      </c>
      <c r="O500" s="509">
        <f>G500</f>
        <v>0</v>
      </c>
      <c r="P500" s="1394" t="s">
        <v>355</v>
      </c>
      <c r="Q500" s="1394"/>
      <c r="R500" s="674"/>
      <c r="S500" s="1401" t="s">
        <v>284</v>
      </c>
      <c r="T500" s="672"/>
      <c r="U500" s="1499"/>
      <c r="V500" s="1500"/>
      <c r="W500" s="1500"/>
      <c r="X500" s="1500"/>
      <c r="Y500" s="1500"/>
      <c r="Z500" s="1500"/>
      <c r="AA500" s="1500"/>
      <c r="AB500" s="1501"/>
      <c r="AC500" s="1501"/>
      <c r="AD500" s="1502"/>
      <c r="AE500" s="672"/>
      <c r="AF500" s="1474"/>
      <c r="AG500" s="1474"/>
      <c r="AH500" s="1474"/>
      <c r="AI500" s="1474"/>
      <c r="AJ500" s="1475">
        <f>DF500</f>
        <v>0</v>
      </c>
      <c r="AK500" s="1470" t="str">
        <f>IFERROR(ROUND(AJ500*AC501,0),"")</f>
        <v/>
      </c>
      <c r="AL500" s="1472">
        <f>IFERROR(IF(HW498=FALSE,0,AC501-AK500),0)</f>
        <v>0</v>
      </c>
      <c r="AM500" s="1441"/>
      <c r="AN500" s="1442"/>
      <c r="AO500" s="1447"/>
      <c r="AP500" s="1447"/>
      <c r="AQ500" s="1448"/>
      <c r="AR500" s="1452"/>
      <c r="AS500" s="1455"/>
      <c r="AT500" s="1458"/>
      <c r="AU500" s="516"/>
      <c r="AV500" s="1479"/>
      <c r="AW500" s="1479"/>
      <c r="BC500" s="38"/>
      <c r="BD500" s="38"/>
      <c r="BE500" s="38"/>
      <c r="BF500" s="38"/>
      <c r="BG500" s="38"/>
      <c r="BH500" s="38"/>
      <c r="BI500" s="38"/>
      <c r="BJ500" s="38"/>
      <c r="BK500" s="38"/>
      <c r="BL500" s="38"/>
      <c r="BM500" s="38"/>
      <c r="BN500" s="38"/>
      <c r="BO500" s="38"/>
      <c r="BP500" s="38"/>
      <c r="BQ500" s="38"/>
      <c r="BR500" s="38"/>
      <c r="BS500" s="38"/>
      <c r="BT500" s="38"/>
      <c r="BU500" s="38"/>
      <c r="BV500" s="38"/>
      <c r="BW500" s="38"/>
      <c r="BX500" s="38"/>
      <c r="BY500" s="38"/>
      <c r="BZ500" s="38"/>
      <c r="CA500" s="38"/>
      <c r="CB500" s="38"/>
      <c r="CC500" s="38"/>
      <c r="CD500" s="38"/>
      <c r="CE500" s="38"/>
      <c r="CF500" s="38"/>
      <c r="CG500" s="38"/>
      <c r="CH500" s="38"/>
      <c r="CI500" s="38"/>
      <c r="CM500" s="1352"/>
      <c r="CN500" s="1352"/>
      <c r="CO500" s="1415" t="str">
        <f>CN498</f>
        <v/>
      </c>
      <c r="CP500" s="1417" t="e">
        <f>CP498</f>
        <v>#N/A</v>
      </c>
      <c r="CR500" s="1386" t="s">
        <v>284</v>
      </c>
      <c r="CS500" s="1353">
        <f>IF(HW498=TRUE,T500,0)</f>
        <v>0</v>
      </c>
      <c r="CT500" s="1353" t="str">
        <f>IF(HW498=TRUE,U500,"")</f>
        <v/>
      </c>
      <c r="CU500" s="1373">
        <f>IF(HW498=TRUE,U501,0)</f>
        <v>0</v>
      </c>
      <c r="CV500" s="1370">
        <f>IF(HW498=TRUE,AB501,0)</f>
        <v>0</v>
      </c>
      <c r="CW500" s="1370">
        <f>IF(HW498=TRUE,AC501,0)</f>
        <v>0</v>
      </c>
      <c r="CX500" s="1371"/>
      <c r="CY500" s="1486"/>
      <c r="CZ500" s="1486"/>
      <c r="DA500" s="1486"/>
      <c r="DC500" s="1353">
        <f>IF(HW498=TRUE,AE500,0)</f>
        <v>0</v>
      </c>
      <c r="DD500" s="1353" t="str">
        <f>IF(HW498=TRUE,AF500,"")</f>
        <v/>
      </c>
      <c r="DE500" s="1373">
        <f>AF501</f>
        <v>0</v>
      </c>
      <c r="DF500" s="1406">
        <f>IFERROR(IF(FL500=3,IK500,IF(FL500=4,IL500,IF(FL500=5,IM500,IF(FL500=6,IN500,IF(FL500=7,IO500,IF(FL500=8,IP500,0)))))),0)</f>
        <v>0</v>
      </c>
      <c r="DG500" s="1370">
        <f>IF(HW498=TRUE,AK500,0)</f>
        <v>0</v>
      </c>
      <c r="DH500" s="1369"/>
      <c r="DK500" s="1483">
        <f>IFERROR(CW500-DG500,0)</f>
        <v>0</v>
      </c>
      <c r="DL500" s="1420"/>
      <c r="DN500" s="1403"/>
      <c r="DO500" s="1477" t="str">
        <f>DN498</f>
        <v/>
      </c>
      <c r="DP500" s="1354"/>
      <c r="DQ500" s="1477" t="str">
        <f>IF(DP498=7,"LLLC","")</f>
        <v/>
      </c>
      <c r="DR500" s="1403"/>
      <c r="DS500" s="1489"/>
      <c r="DU500" s="1403"/>
      <c r="DV500" s="1404" t="str">
        <f>DU498</f>
        <v/>
      </c>
      <c r="DW500" s="1403"/>
      <c r="DX500" s="1403"/>
      <c r="DZ500" s="1481"/>
      <c r="EA500" s="1481"/>
      <c r="EC500" s="1482"/>
      <c r="ED500" s="1369"/>
      <c r="EE500" s="1371"/>
      <c r="EF500" s="1369"/>
      <c r="EG500" s="1369"/>
      <c r="EH500" s="1374"/>
      <c r="EI500" s="1374"/>
      <c r="EJ500" s="1363"/>
      <c r="EK500" s="1376"/>
      <c r="EL500" s="1376"/>
      <c r="EM500" s="1362"/>
      <c r="EN500" s="1362"/>
      <c r="EO500" s="1363"/>
      <c r="EP500" s="1363"/>
      <c r="EQ500" s="1363"/>
      <c r="ES500" s="1403"/>
      <c r="EU500" s="1411" t="e">
        <f>VLOOKUP(CP500,'Space Table'!$B$3:$L$160,8,FALSE)</f>
        <v>#N/A</v>
      </c>
      <c r="EV500" s="1411" t="e">
        <f>IF(EY500="Yes",VLOOKUP(AF500,Lookup_Control_Type_Table2,4,FALSE),VLOOKUP(AF500,Lookup_Control_Type_Table2,3,FALSE))</f>
        <v>#N/A</v>
      </c>
      <c r="EW500" s="1411" t="e">
        <f>VLOOKUP(AF500,Lookup!AU$3:AV$15,2,FALSE)</f>
        <v>#N/A</v>
      </c>
      <c r="EX500" s="1411" t="e">
        <f>VLOOKUP(EU498,Lookup_Control_Type_Table,2,FALSE)</f>
        <v>#N/A</v>
      </c>
      <c r="EY500" s="1411" t="e">
        <f>VLOOKUP(CP500,'Space Table'!$B$3:$L$160,7,FALSE)</f>
        <v>#N/A</v>
      </c>
      <c r="EZ500" s="1413"/>
      <c r="FB500" s="1365" t="str">
        <f>CONCATENATE(CN498," - ",AF500)</f>
        <v xml:space="preserve"> - </v>
      </c>
      <c r="FD500" s="1354"/>
      <c r="FE500" s="1354"/>
      <c r="FF500" s="138"/>
      <c r="FI500" s="1356" t="str">
        <f>IF(CN498="Exterior","Not Daylighted",G501)</f>
        <v>Not Daylighted</v>
      </c>
      <c r="FJ500" s="1356">
        <f>VLOOKUP(FI500,_Daylight_Table_Codes,2,FALSE)</f>
        <v>0</v>
      </c>
      <c r="FK500" s="1365">
        <f>AF500</f>
        <v>0</v>
      </c>
      <c r="FL500" s="1365" t="e">
        <f>VLOOKUP(FK500,_Control_Table,2,FALSE)</f>
        <v>#N/A</v>
      </c>
      <c r="FM500" s="1365" t="e">
        <f>IF(AND(FP500&gt;0,FK500="Occupancy Sensor"),"Daylight + Occupancy",IF(AND(FP500&gt;0,FL500&lt;4),"Interior Daylight Dimming",FK500))</f>
        <v>#N/A</v>
      </c>
      <c r="FO500" s="1364">
        <f>IF(CN498="Interior",VLOOKUP(CP498,Control_Savings_Interior,5,FALSE),0)</f>
        <v>0</v>
      </c>
      <c r="FP500" s="1361">
        <f>IF(CN500="Exterior",0,IF(FJ500=2,0.5,IF(OR(FJ500=1,FJ500=3),1,0)))</f>
        <v>0</v>
      </c>
      <c r="FQ500" s="1366">
        <f>IF(R499&gt;FO$37,(FO500*(FO$37/R499)),FO500)*FP500</f>
        <v>0</v>
      </c>
      <c r="FR500" s="1364">
        <f>DF500</f>
        <v>0</v>
      </c>
      <c r="FS500" s="1364">
        <f>ROUND(FR500+((1-FR500)*FQ500),2)</f>
        <v>0</v>
      </c>
      <c r="FT500" s="1364">
        <f>IF(__Retrofit_TI_NC=2,FS500,FR500)</f>
        <v>0</v>
      </c>
      <c r="FU500" s="1360">
        <f>IF(CO500="Interior",VLOOKUP(CP500,Control_Savings_Interior,4,FALSE),0)</f>
        <v>0</v>
      </c>
      <c r="FW500" s="1352"/>
      <c r="FX500" s="1352"/>
      <c r="FY500" s="1352"/>
      <c r="FZ500" s="1352"/>
      <c r="GA500" s="1352"/>
      <c r="GB500" s="1352"/>
      <c r="GC500" s="1352"/>
      <c r="GD500" s="1352"/>
      <c r="GE500" s="759" t="b">
        <f>IF(ISNUMBER(SEARCH("TLED",U500)),TRUE,FALSE)</f>
        <v>0</v>
      </c>
      <c r="GF500" s="1035" t="str">
        <f>IFERROR(VLOOKUP(U500,Fixtures!DM$93:DR$142,6,FALSE),"")</f>
        <v/>
      </c>
      <c r="GG500" s="1385"/>
      <c r="GI500" s="1383"/>
      <c r="GJ500" s="1379"/>
      <c r="GL500" s="1379"/>
      <c r="GM500" s="1379"/>
      <c r="HC500" s="1379"/>
      <c r="HD500" s="1379"/>
      <c r="HE500" s="1379"/>
      <c r="HF500" s="1379"/>
      <c r="HG500" s="1379"/>
      <c r="HH500" s="1379"/>
      <c r="HI500" s="1383"/>
      <c r="HJ500" s="1383"/>
      <c r="HK500" s="1383"/>
      <c r="HL500" s="1379"/>
      <c r="HM500" s="1379"/>
      <c r="HN500" s="1379"/>
      <c r="HO500" s="1379"/>
      <c r="HP500" s="1379"/>
      <c r="HQ500" s="1379"/>
      <c r="HR500" s="1379"/>
      <c r="HS500" s="1379"/>
      <c r="HT500" s="1379"/>
      <c r="HU500" s="1379"/>
      <c r="HW500" s="1383"/>
      <c r="HX500" s="1384" t="b">
        <f>HW498</f>
        <v>0</v>
      </c>
      <c r="HY500" s="1378"/>
      <c r="HZ500" s="436"/>
      <c r="IA500" s="1386"/>
      <c r="IB500" s="1380">
        <f>IF(IA498=TRUE,AC501,0)</f>
        <v>0</v>
      </c>
      <c r="IC500" s="1379"/>
      <c r="IF500" s="1380" t="e">
        <f>ROUND(T500*AB501*N499*R499/1000,0)</f>
        <v>#VALUE!</v>
      </c>
      <c r="IG500" s="1382"/>
      <c r="IH500" s="1384" t="e">
        <f>ROUND(T500*AB501*N499*R499/1000,0)</f>
        <v>#VALUE!</v>
      </c>
      <c r="II500" s="1382"/>
      <c r="IK500" s="1351" t="e">
        <f>IF($CO500="interior",IL500/2,VLOOKUP($CP500,Control_Savings_Exterior,IK$30,FALSE))</f>
        <v>#N/A</v>
      </c>
      <c r="IL500" s="1351" t="e">
        <f>IF($CO500="interior",VLOOKUP($CP500,Control_Savings_Interior,IL$30,FALSE),VLOOKUP($CP500,Control_Savings_Exterior,IL$30,FALSE))</f>
        <v>#N/A</v>
      </c>
      <c r="IM500" s="1351" t="e">
        <f>IF($CO500="interior",IF(R499&gt;FO$37,(IM$28*(FO$37/R499)),IM$28)*FP500,VLOOKUP($CP500,Control_Savings_Exterior,IM$30,FALSE))</f>
        <v>#N/A</v>
      </c>
      <c r="IN500" s="1351" t="e">
        <f>IF($CO500="interior",ROUND(((1-IL500)*IM500)+IL500,2),VLOOKUP($CP500,Control_Savings_Exterior,IN$30,FALSE))</f>
        <v>#N/A</v>
      </c>
      <c r="IO500" s="1351" t="e">
        <f>IF($CO500="interior", ROUND(((1-IL500)*(IM500*(1-IP$28)))+IP500,2), VLOOKUP($CP500,Control_Savings_Exterior,IO$30,FALSE))</f>
        <v>#N/A</v>
      </c>
      <c r="IP500" s="1351">
        <f>IF($CO500="interior",ROUND(((1-IL500)*IP$28)+IL500,2),0)</f>
        <v>0</v>
      </c>
    </row>
    <row r="501" spans="1:250" s="82" customFormat="1" ht="14.95" customHeight="1" thickTop="1" thickBot="1">
      <c r="B501" s="1421"/>
      <c r="C501" s="1422"/>
      <c r="D501" s="1423"/>
      <c r="E501" s="1462" t="s">
        <v>357</v>
      </c>
      <c r="F501" s="1463"/>
      <c r="G501" s="1464" t="s">
        <v>362</v>
      </c>
      <c r="H501" s="1465"/>
      <c r="I501" s="1465"/>
      <c r="J501" s="1465"/>
      <c r="K501" s="1465"/>
      <c r="L501" s="1466"/>
      <c r="M501" s="669">
        <f>IFERROR(VLOOKUP(G501,_Daylight_Table[],2,FALSE),0)</f>
        <v>0</v>
      </c>
      <c r="N501" s="670"/>
      <c r="O501" s="669" t="e">
        <f>VLOOKUP(G500,'Space Table'!$B$3:$L$160,11,FALSE)</f>
        <v>#N/A</v>
      </c>
      <c r="P501" s="1408"/>
      <c r="Q501" s="1409"/>
      <c r="R501" s="1409"/>
      <c r="S501" s="1402"/>
      <c r="T501" s="671" t="s">
        <v>281</v>
      </c>
      <c r="U501" s="1467" t="str">
        <f>IFERROR(VLOOKUP(U500,Fixtures!DM$93:DP$142,4,FALSE),"")</f>
        <v/>
      </c>
      <c r="V501" s="1468"/>
      <c r="W501" s="1468"/>
      <c r="X501" s="1468"/>
      <c r="Y501" s="1468"/>
      <c r="Z501" s="1468"/>
      <c r="AA501" s="1468"/>
      <c r="AB501" s="1046" t="str">
        <f>IFERROR(VLOOKUP(U500,Fixtures_Proposed_List,2,FALSE),"")</f>
        <v/>
      </c>
      <c r="AC501" s="1036" t="str">
        <f>IFERROR(ROUND(T500*AB501*N499*R499/1000,0),"")</f>
        <v/>
      </c>
      <c r="AD501" s="1037" t="str">
        <f>IFERROR(ROUND(T500*AB501/1000,2),"")</f>
        <v/>
      </c>
      <c r="AE501" s="1045" t="s">
        <v>281</v>
      </c>
      <c r="AF501" s="1469"/>
      <c r="AG501" s="1469"/>
      <c r="AH501" s="1469"/>
      <c r="AI501" s="1469"/>
      <c r="AJ501" s="1476"/>
      <c r="AK501" s="1471"/>
      <c r="AL501" s="1473"/>
      <c r="AM501" s="1443"/>
      <c r="AN501" s="1444"/>
      <c r="AO501" s="1449"/>
      <c r="AP501" s="1449"/>
      <c r="AQ501" s="1450"/>
      <c r="AR501" s="1453"/>
      <c r="AS501" s="1456"/>
      <c r="AT501" s="1459"/>
      <c r="AU501" s="517"/>
      <c r="AV501" s="1480"/>
      <c r="AW501" s="1480"/>
      <c r="BC501" s="38"/>
      <c r="BD501" s="38"/>
      <c r="BE501" s="38"/>
      <c r="BF501" s="38"/>
      <c r="BG501" s="38"/>
      <c r="BH501" s="38"/>
      <c r="BI501" s="38"/>
      <c r="BJ501" s="38"/>
      <c r="BK501" s="38"/>
      <c r="BL501" s="38"/>
      <c r="BM501" s="38"/>
      <c r="BN501" s="38"/>
      <c r="BO501" s="38"/>
      <c r="BP501" s="38"/>
      <c r="BQ501" s="38"/>
      <c r="BR501" s="38"/>
      <c r="BS501" s="38"/>
      <c r="BT501" s="38"/>
      <c r="BU501" s="38"/>
      <c r="BV501" s="38"/>
      <c r="BW501" s="38"/>
      <c r="BX501" s="38"/>
      <c r="BY501" s="38"/>
      <c r="BZ501" s="38"/>
      <c r="CA501" s="38"/>
      <c r="CB501" s="38"/>
      <c r="CC501" s="38"/>
      <c r="CD501" s="38"/>
      <c r="CE501" s="38"/>
      <c r="CF501" s="38"/>
      <c r="CG501" s="38"/>
      <c r="CH501" s="38"/>
      <c r="CI501" s="38"/>
      <c r="CM501" s="1352"/>
      <c r="CN501" s="1352"/>
      <c r="CO501" s="1416"/>
      <c r="CP501" s="1418"/>
      <c r="CR501" s="1386"/>
      <c r="CS501" s="1355"/>
      <c r="CT501" s="1355"/>
      <c r="CU501" s="1375"/>
      <c r="CV501" s="1372"/>
      <c r="CW501" s="1372"/>
      <c r="CX501" s="1372"/>
      <c r="CY501" s="1487"/>
      <c r="CZ501" s="1487"/>
      <c r="DA501" s="1487"/>
      <c r="DC501" s="1355"/>
      <c r="DD501" s="1355"/>
      <c r="DE501" s="1375"/>
      <c r="DF501" s="1407"/>
      <c r="DG501" s="1372"/>
      <c r="DH501" s="1369"/>
      <c r="DK501" s="1484"/>
      <c r="DL501" s="1420"/>
      <c r="DN501" s="1403"/>
      <c r="DO501" s="1405"/>
      <c r="DP501" s="1355"/>
      <c r="DQ501" s="1405"/>
      <c r="DR501" s="1403"/>
      <c r="DS501" s="1489"/>
      <c r="DU501" s="1403"/>
      <c r="DV501" s="1405"/>
      <c r="DW501" s="1403"/>
      <c r="DX501" s="1403"/>
      <c r="DZ501" s="1481"/>
      <c r="EA501" s="1481"/>
      <c r="EC501" s="1482"/>
      <c r="ED501" s="1369"/>
      <c r="EE501" s="1372"/>
      <c r="EF501" s="1369"/>
      <c r="EG501" s="1369"/>
      <c r="EH501" s="1375"/>
      <c r="EI501" s="1375"/>
      <c r="EJ501" s="1363"/>
      <c r="EK501" s="1376"/>
      <c r="EL501" s="1376"/>
      <c r="EM501" s="1362"/>
      <c r="EN501" s="1362"/>
      <c r="EO501" s="1363"/>
      <c r="EP501" s="1363"/>
      <c r="EQ501" s="1363"/>
      <c r="ES501" s="1403"/>
      <c r="EU501" s="1488"/>
      <c r="EV501" s="1488"/>
      <c r="EW501" s="1488"/>
      <c r="EX501" s="1488"/>
      <c r="EY501" s="1488"/>
      <c r="EZ501" s="1414"/>
      <c r="FB501" s="1365"/>
      <c r="FD501" s="1355"/>
      <c r="FE501" s="1355"/>
      <c r="FF501" s="138"/>
      <c r="FI501" s="1357"/>
      <c r="FJ501" s="1357"/>
      <c r="FK501" s="1365"/>
      <c r="FL501" s="1365"/>
      <c r="FM501" s="1365"/>
      <c r="FO501" s="1361"/>
      <c r="FP501" s="1361"/>
      <c r="FQ501" s="1366"/>
      <c r="FR501" s="1361"/>
      <c r="FS501" s="1361"/>
      <c r="FT501" s="1361"/>
      <c r="FU501" s="1360"/>
      <c r="FW501" s="1352"/>
      <c r="FX501" s="1352"/>
      <c r="FY501" s="1352"/>
      <c r="FZ501" s="1352"/>
      <c r="GA501" s="1352"/>
      <c r="GB501" s="1352"/>
      <c r="GC501" s="1352"/>
      <c r="GD501" s="1352"/>
      <c r="GE501" s="759"/>
      <c r="GF501" s="1035"/>
      <c r="GG501" s="1385"/>
      <c r="GJ501" s="1034">
        <f>IF(GJ499=TRUE,0,GJ$16)</f>
        <v>0</v>
      </c>
      <c r="GL501" s="1034">
        <f>IF(GL499=TRUE,0,GL$16)</f>
        <v>36</v>
      </c>
      <c r="GM501" s="1034">
        <f>IF(GM499=TRUE,0,GM$16)</f>
        <v>35</v>
      </c>
      <c r="GN501" s="436"/>
      <c r="GO501" s="436"/>
      <c r="GP501" s="436"/>
      <c r="GQ501" s="436"/>
      <c r="GR501" s="436"/>
      <c r="HC501" s="1034">
        <f t="shared" ref="HC501:HH501" si="366">IF(HC499=TRUE,0,HC$16)</f>
        <v>19</v>
      </c>
      <c r="HD501" s="1034">
        <f t="shared" si="366"/>
        <v>18</v>
      </c>
      <c r="HE501" s="1034">
        <f t="shared" si="366"/>
        <v>17</v>
      </c>
      <c r="HF501" s="1034">
        <f t="shared" si="366"/>
        <v>16</v>
      </c>
      <c r="HG501" s="1034">
        <f t="shared" si="366"/>
        <v>0</v>
      </c>
      <c r="HH501" s="1034">
        <f t="shared" si="366"/>
        <v>0</v>
      </c>
      <c r="HI501" s="1034">
        <f>IF(HI499=TRUE,0,HI$16)</f>
        <v>13</v>
      </c>
      <c r="HJ501" s="1034">
        <f t="shared" ref="HJ501:HL501" si="367">IF(HJ499=TRUE,0,HJ$16)</f>
        <v>12</v>
      </c>
      <c r="HK501" s="1034">
        <f t="shared" si="367"/>
        <v>11</v>
      </c>
      <c r="HL501" s="1034">
        <f t="shared" si="367"/>
        <v>10</v>
      </c>
      <c r="HM501" s="1034">
        <f>IF(HM499=TRUE,0,HM$16)</f>
        <v>9</v>
      </c>
      <c r="HN501" s="1034">
        <f t="shared" ref="HN501:HR501" si="368">IF(HN499=TRUE,0,HN$16)</f>
        <v>0</v>
      </c>
      <c r="HO501" s="1034">
        <f t="shared" si="368"/>
        <v>0</v>
      </c>
      <c r="HP501" s="1034">
        <f t="shared" si="368"/>
        <v>0</v>
      </c>
      <c r="HQ501" s="1034">
        <f t="shared" si="368"/>
        <v>0</v>
      </c>
      <c r="HR501" s="1034">
        <f t="shared" si="368"/>
        <v>0</v>
      </c>
      <c r="HS501" s="1034">
        <f>IF(HS499=TRUE,0,HS$16)</f>
        <v>0</v>
      </c>
      <c r="HT501" s="1034">
        <f t="shared" ref="HT501" si="369">IF(HT499=TRUE,0,HT$16)</f>
        <v>0</v>
      </c>
      <c r="HU501" s="1034">
        <f>IF(HU499=TRUE,0,HU$16)</f>
        <v>1</v>
      </c>
      <c r="HW501" s="1034">
        <f>IF(GL499=FALSE,GL501,IF(GM499=FALSE,GM501,MAX(GJ501:HU501)))</f>
        <v>36</v>
      </c>
      <c r="HX501" s="1383"/>
      <c r="HY501" s="241" t="str">
        <f>VLOOKUP(HW501,_Error_Table,3,FALSE)</f>
        <v xml:space="preserve"> </v>
      </c>
      <c r="HZ501" s="241"/>
      <c r="IA501" s="1386"/>
      <c r="IB501" s="1380"/>
      <c r="IC501" s="1379"/>
      <c r="IF501" s="1380"/>
      <c r="IG501" s="1383"/>
      <c r="IH501" s="1383"/>
      <c r="II501" s="1383"/>
      <c r="IK501" s="1351"/>
      <c r="IL501" s="1351"/>
      <c r="IM501" s="1351"/>
      <c r="IN501" s="1351"/>
      <c r="IO501" s="1351"/>
      <c r="IP501" s="1351"/>
    </row>
    <row r="502" spans="1:250" s="82" customFormat="1" ht="5.0999999999999996" customHeight="1" thickBot="1">
      <c r="B502" s="763"/>
      <c r="C502" s="1038"/>
      <c r="D502" s="1038"/>
      <c r="E502" s="1490"/>
      <c r="F502" s="1490"/>
      <c r="G502" s="1490"/>
      <c r="H502" s="1490"/>
      <c r="I502" s="1490"/>
      <c r="J502" s="1490"/>
      <c r="K502" s="1490"/>
      <c r="L502" s="1490"/>
      <c r="M502" s="1490"/>
      <c r="N502" s="1490"/>
      <c r="O502" s="1490"/>
      <c r="P502" s="1490"/>
      <c r="Q502" s="1490"/>
      <c r="R502" s="1490"/>
      <c r="S502" s="1490"/>
      <c r="T502" s="1490"/>
      <c r="U502" s="1490"/>
      <c r="V502" s="1490"/>
      <c r="W502" s="1490"/>
      <c r="X502" s="1490"/>
      <c r="Y502" s="1490"/>
      <c r="Z502" s="1490"/>
      <c r="AA502" s="1490"/>
      <c r="AB502" s="1490"/>
      <c r="AC502" s="1490"/>
      <c r="AD502" s="1490"/>
      <c r="AE502" s="1490"/>
      <c r="AF502" s="1490"/>
      <c r="AG502" s="1490"/>
      <c r="AH502" s="1490"/>
      <c r="AI502" s="1490"/>
      <c r="AJ502" s="1490"/>
      <c r="AK502" s="1490"/>
      <c r="AL502" s="1490"/>
      <c r="AM502" s="1490"/>
      <c r="AN502" s="1490"/>
      <c r="AO502" s="1490"/>
      <c r="AP502" s="1490"/>
      <c r="AQ502" s="1490"/>
      <c r="AR502" s="1490"/>
      <c r="AS502" s="1490"/>
      <c r="AT502" s="1490"/>
      <c r="AU502" s="1041"/>
      <c r="BC502" s="38"/>
      <c r="BD502" s="38"/>
      <c r="BE502" s="38"/>
      <c r="BF502" s="38"/>
      <c r="BG502" s="38"/>
      <c r="BH502" s="38"/>
      <c r="BI502" s="38"/>
      <c r="BJ502" s="38"/>
      <c r="BK502" s="38"/>
      <c r="BL502" s="38"/>
      <c r="BM502" s="38"/>
      <c r="BN502" s="38"/>
      <c r="BO502" s="38"/>
      <c r="BP502" s="38"/>
      <c r="BQ502" s="38"/>
      <c r="BR502" s="38"/>
      <c r="BS502" s="38"/>
      <c r="BT502" s="38"/>
      <c r="BU502" s="38"/>
      <c r="BV502" s="38"/>
      <c r="BW502" s="38"/>
      <c r="BX502" s="38"/>
      <c r="BY502" s="38"/>
      <c r="BZ502" s="38"/>
      <c r="CA502" s="38"/>
      <c r="CB502" s="38"/>
      <c r="CC502" s="38"/>
      <c r="CD502" s="38"/>
      <c r="CE502" s="38"/>
      <c r="CF502" s="38"/>
      <c r="CG502" s="38"/>
      <c r="CH502" s="38"/>
      <c r="CI502" s="38"/>
      <c r="CM502" s="749"/>
      <c r="CN502" s="749"/>
      <c r="CO502" s="1043"/>
      <c r="CP502" s="749"/>
      <c r="CS502" s="436"/>
      <c r="CT502" s="436"/>
      <c r="CU502" s="243"/>
      <c r="CV502" s="244"/>
      <c r="CW502" s="244"/>
      <c r="CX502" s="244"/>
      <c r="CY502" s="245"/>
      <c r="CZ502" s="245"/>
      <c r="DA502" s="245"/>
      <c r="DC502" s="750"/>
      <c r="DD502" s="751"/>
      <c r="DE502" s="752"/>
      <c r="DF502" s="753"/>
      <c r="DG502" s="754"/>
      <c r="DH502" s="754"/>
      <c r="DK502" s="244"/>
      <c r="DL502" s="750"/>
      <c r="DN502" s="750"/>
      <c r="DO502" s="755"/>
      <c r="DP502" s="436"/>
      <c r="DQ502" s="750"/>
      <c r="DR502" s="750"/>
      <c r="DS502" s="750"/>
      <c r="DU502" s="750"/>
      <c r="DV502" s="750"/>
      <c r="DW502" s="750"/>
      <c r="DX502" s="750"/>
      <c r="DZ502" s="756"/>
      <c r="EA502" s="756"/>
      <c r="EC502" s="754"/>
      <c r="ED502" s="754"/>
      <c r="EE502" s="244"/>
      <c r="EF502" s="754"/>
      <c r="EG502" s="754"/>
      <c r="EH502" s="243"/>
      <c r="EI502" s="243"/>
      <c r="EJ502" s="752"/>
      <c r="EK502" s="757"/>
      <c r="EL502" s="757"/>
      <c r="EM502" s="758"/>
      <c r="EN502" s="758"/>
      <c r="EO502" s="752"/>
      <c r="EP502" s="752"/>
      <c r="EQ502" s="752"/>
      <c r="ES502" s="750"/>
      <c r="EU502" s="436"/>
      <c r="EV502" s="436"/>
      <c r="EW502" s="436"/>
      <c r="EX502" s="436"/>
      <c r="EY502" s="436"/>
      <c r="EZ502" s="436"/>
      <c r="FB502" s="643"/>
      <c r="FD502" s="436"/>
      <c r="FE502" s="436"/>
      <c r="FF502" s="436"/>
      <c r="FO502" s="750"/>
      <c r="FP502" s="436"/>
      <c r="FQ502" s="436"/>
      <c r="FR502" s="750"/>
      <c r="FS502" s="750"/>
      <c r="FW502" s="749"/>
      <c r="FX502" s="749"/>
      <c r="FY502" s="749"/>
      <c r="FZ502" s="749"/>
      <c r="GA502" s="749"/>
      <c r="GB502" s="749"/>
      <c r="GC502" s="749"/>
      <c r="GD502" s="749"/>
      <c r="GE502" s="751"/>
      <c r="GF502" s="750"/>
      <c r="GG502" s="750"/>
    </row>
    <row r="503" spans="1:250" s="82" customFormat="1" ht="14.95" customHeight="1" thickTop="1" thickBot="1">
      <c r="B503" s="1421" t="str">
        <f>HY506</f>
        <v xml:space="preserve"> </v>
      </c>
      <c r="C503" s="1422">
        <f>C498+1</f>
        <v>90</v>
      </c>
      <c r="D503" s="1423"/>
      <c r="E503" s="1424" t="s">
        <v>242</v>
      </c>
      <c r="F503" s="1425"/>
      <c r="G503" s="1426"/>
      <c r="H503" s="1427"/>
      <c r="I503" s="1427"/>
      <c r="J503" s="1427"/>
      <c r="K503" s="1427"/>
      <c r="L503" s="1427"/>
      <c r="M503" s="1427"/>
      <c r="N503" s="1427"/>
      <c r="O503" s="1427"/>
      <c r="P503" s="1427"/>
      <c r="Q503" s="1427"/>
      <c r="R503" s="1427"/>
      <c r="S503" s="1428" t="s">
        <v>283</v>
      </c>
      <c r="T503" s="668" t="s">
        <v>190</v>
      </c>
      <c r="U503" s="1430" t="s">
        <v>186</v>
      </c>
      <c r="V503" s="1431"/>
      <c r="W503" s="1431"/>
      <c r="X503" s="1431"/>
      <c r="Y503" s="1431"/>
      <c r="Z503" s="1431"/>
      <c r="AA503" s="1431"/>
      <c r="AB503" s="1088" t="str">
        <f>IFERROR(IF(__Retrofit_TI_NC=0,VLOOKUP(U504,Fixtures_Existing_List,2,FALSE),ROUND(N505*R505/T505,10)),"")</f>
        <v/>
      </c>
      <c r="AC503" s="1039" t="str">
        <f>IFERROR(IF(__Retrofit_TI_NC=0,ROUND(T504*AB503*N504*R504/1000,0),IF(CN503="Interior",N505*R505*R504*N504*_C406_reduction/1000,N505*R505*R504*N504/1000)),"")</f>
        <v/>
      </c>
      <c r="AD503" s="1040" t="str">
        <f>IFERROR(IF(C$36=0,ROUND(T504*AB503/1000,2),N505*R505/1000),"")</f>
        <v/>
      </c>
      <c r="AE503" s="1044" t="s">
        <v>190</v>
      </c>
      <c r="AF503" s="1432" t="str">
        <f>IF(__Retrofit_TI_NC=2,CONCATENATE("Code min = ",DD503),IF(__Retrofit_TI_NC=1,"Emter what you think the existing control was"," Control"))</f>
        <v xml:space="preserve"> Control</v>
      </c>
      <c r="AG503" s="1432"/>
      <c r="AH503" s="1432"/>
      <c r="AI503" s="1432"/>
      <c r="AJ503" s="1433">
        <f>DF503</f>
        <v>0</v>
      </c>
      <c r="AK503" s="1435" t="str">
        <f>IFERROR(ROUND(AJ503*AC503,0),"")</f>
        <v/>
      </c>
      <c r="AL503" s="1437">
        <f>IFERROR(IF(HW503=FALSE,0,AC503-AK503),0)</f>
        <v>0</v>
      </c>
      <c r="AM503" s="1439">
        <f>AL503-AL505</f>
        <v>0</v>
      </c>
      <c r="AN503" s="1440"/>
      <c r="AO503" s="1445">
        <f>IFERROR(IF(HW503=FALSE,0,(T505*U506)+(AE505*AF506)),0)</f>
        <v>0</v>
      </c>
      <c r="AP503" s="1445"/>
      <c r="AQ503" s="1446"/>
      <c r="AR503" s="1451" t="s">
        <v>157</v>
      </c>
      <c r="AS503" s="1454">
        <f>IF(AR503="Yes",1,0)</f>
        <v>1</v>
      </c>
      <c r="AT503" s="1457" t="str">
        <f>IF(OR(DN503=4,DN503=5,DN503=6,DN503=12),CONCATENATE("$",IF(GD503=TRUE,Lookup!$B$11,Lookup!$B$2)," /lamp"),CONCATENATE(EA503,"/ kWh"))</f>
        <v>0/ kWh</v>
      </c>
      <c r="AU503" s="516"/>
      <c r="AV503" s="1478">
        <f>IFERROR(IF(GI504=TRUE,(AB506*T505)/R505,0),"NA")</f>
        <v>0</v>
      </c>
      <c r="AW503" s="1478" t="str">
        <f>IFERROR(N505*_C406_reduction,"NA")</f>
        <v>NA</v>
      </c>
      <c r="BC503" s="38"/>
      <c r="BD503" s="38"/>
      <c r="BE503" s="38"/>
      <c r="BF503" s="38"/>
      <c r="BG503" s="38"/>
      <c r="BH503" s="38"/>
      <c r="BI503" s="38"/>
      <c r="BJ503" s="38"/>
      <c r="BK503" s="38"/>
      <c r="BL503" s="38"/>
      <c r="BM503" s="38"/>
      <c r="BN503" s="38"/>
      <c r="BO503" s="38"/>
      <c r="BP503" s="38"/>
      <c r="BQ503" s="38"/>
      <c r="BR503" s="38"/>
      <c r="BS503" s="38"/>
      <c r="BT503" s="38"/>
      <c r="BU503" s="38"/>
      <c r="BV503" s="38"/>
      <c r="BW503" s="38"/>
      <c r="BX503" s="38"/>
      <c r="BY503" s="38"/>
      <c r="BZ503" s="38"/>
      <c r="CA503" s="38"/>
      <c r="CB503" s="38"/>
      <c r="CC503" s="38"/>
      <c r="CD503" s="38"/>
      <c r="CE503" s="38"/>
      <c r="CF503" s="38"/>
      <c r="CG503" s="38"/>
      <c r="CH503" s="38"/>
      <c r="CI503" s="38"/>
      <c r="CM503" s="1352" t="str">
        <f>N504</f>
        <v/>
      </c>
      <c r="CN503" s="1352" t="str">
        <f>IFERROR(VLOOKUP(G504,_Lookup_Heat_Type_Table_New,3,FALSE),"")</f>
        <v/>
      </c>
      <c r="CO503" s="1415" t="str">
        <f>CN503</f>
        <v/>
      </c>
      <c r="CP503" s="1417" t="e">
        <f>VLOOKUP(G505,'Space Table'!$B$3:$L$160,9,FALSE)</f>
        <v>#N/A</v>
      </c>
      <c r="CR503" s="1386" t="s">
        <v>283</v>
      </c>
      <c r="CS503" s="1353">
        <f>IF(HW503=TRUE,T504,0)</f>
        <v>0</v>
      </c>
      <c r="CT503" s="1353" t="str">
        <f>IF(HW503=TRUE,U504,"")</f>
        <v/>
      </c>
      <c r="CU503" s="1353"/>
      <c r="CV503" s="1370">
        <f>IF(HW503=TRUE,AB503,0)</f>
        <v>0</v>
      </c>
      <c r="CW503" s="1370">
        <f>IF(HW503=TRUE,AC503,0)</f>
        <v>0</v>
      </c>
      <c r="CX503" s="1370">
        <f>IFERROR(IF(HW503=TRUE,CW503-CW505,0),0)</f>
        <v>0</v>
      </c>
      <c r="CY503" s="1485">
        <f>IF(HW503=TRUE,AD503,0)</f>
        <v>0</v>
      </c>
      <c r="CZ503" s="1485">
        <f>IF(HW503=TRUE,AD506,0)</f>
        <v>0</v>
      </c>
      <c r="DA503" s="1485">
        <f>IFERROR(CY503-CZ503,0)</f>
        <v>0</v>
      </c>
      <c r="DC503" s="1353">
        <f>IF(HW503=TRUE,AE504,0)</f>
        <v>0</v>
      </c>
      <c r="DD503" s="1460">
        <f>IF(__Retrofit_TI_NC=2,IF(CN503="Exterior",O506,FM503),FK503)</f>
        <v>0</v>
      </c>
      <c r="DE503" s="1353"/>
      <c r="DF503" s="1406">
        <f>IFERROR(IF(FL503=3,IK503,IF(FL503=4,IL503,IF(FL503=5,IM503,IF(FL503=6,IN503,IF(FL503=7,IO503,IF(FL503=8,IP503,0)))))),0)</f>
        <v>0</v>
      </c>
      <c r="DG503" s="1370">
        <f>IF(HW503=TRUE,AK503,0)</f>
        <v>0</v>
      </c>
      <c r="DH503" s="1369">
        <f>IFERROR(IF(HW503=TRUE,DG505-DG503,0),0)</f>
        <v>0</v>
      </c>
      <c r="DJ503" s="1483">
        <f>IFERROR(CW503-DG503,0)</f>
        <v>0</v>
      </c>
      <c r="DL503" s="1419">
        <f>DJ503-DK505</f>
        <v>0</v>
      </c>
      <c r="DN503" s="1403" t="str">
        <f>IFERROR(IF(AND(OR(FY503=4,FY503=5,FY503=6),OR(GB503=4,GB503=5,GB503=6)),FY503+8,VLOOKUP(CT505,Fixtures!R$31:Y$78,8,FALSE)),"")</f>
        <v/>
      </c>
      <c r="DO503" s="1404" t="str">
        <f>DN503</f>
        <v/>
      </c>
      <c r="DP503" s="1353" t="str">
        <f>IFERROR(VLOOKUP(DD505,Lookup!AU$3:AV$15,2,FALSE),"")</f>
        <v/>
      </c>
      <c r="DQ503" s="1404" t="str">
        <f>IF(DP503=7,"LLLC","")</f>
        <v/>
      </c>
      <c r="DR503" s="1403">
        <f>IFERROR(IF(OR(DN503=4,DN503=5,DN503=6,DN503=12,DN503=13,DN503=14),VLOOKUP(CT505,Fixtures!DN$27:EG$77,19,FALSE),1)*CS505,0)</f>
        <v>0</v>
      </c>
      <c r="DS503" s="1489">
        <f>IF(DP503=7,IF(DD503=DD505,0,DC505),0)</f>
        <v>0</v>
      </c>
      <c r="DU503" s="1403" t="str">
        <f>IFERROR(IF(EW503&lt;EW505,"Yes","No"),"")</f>
        <v/>
      </c>
      <c r="DV503" s="1404" t="str">
        <f>DU503</f>
        <v/>
      </c>
      <c r="DW503" s="1403">
        <f>IF(DU503="Yes",DC505,0)</f>
        <v>0</v>
      </c>
      <c r="DX503" s="1403">
        <f>DW503-DS503</f>
        <v>0</v>
      </c>
      <c r="DZ503" s="1481">
        <f>IFERROR(VLOOKUP(DN503,Lookup!AN$3:AO$16,2,FALSE),0)</f>
        <v>0</v>
      </c>
      <c r="EA503" s="1481">
        <f>IF(HW503=FALSE,0,IF(DU503="Yes",DZ503+Lookup!B$6,DZ503))</f>
        <v>0</v>
      </c>
      <c r="EC503" s="1482">
        <f>IF(HW503=TRUE,DJ503,0)</f>
        <v>0</v>
      </c>
      <c r="ED503" s="1369">
        <f>IF(HW503=TRUE,CW505,0)</f>
        <v>0</v>
      </c>
      <c r="EE503" s="1370">
        <f>IFERROR(EC503-ED503,0)</f>
        <v>0</v>
      </c>
      <c r="EF503" s="1369">
        <f>IF(HW503=TRUE,DG505,0)</f>
        <v>0</v>
      </c>
      <c r="EG503" s="1369">
        <f>IFERROR(EC503-ED503+EF503,0)</f>
        <v>0</v>
      </c>
      <c r="EH503" s="1373">
        <f>IF(HW503=TRUE,CS505*CU505,0)</f>
        <v>0</v>
      </c>
      <c r="EI503" s="1373">
        <f>IF(HW503=TRUE,DC505*DE505,0)</f>
        <v>0</v>
      </c>
      <c r="EJ503" s="1363">
        <f>AO503</f>
        <v>0</v>
      </c>
      <c r="EK503" s="1376" t="str">
        <f>IFERROR(IF(HW503=TRUE,VLOOKUP(DN503,Lookup!AN$3:AP$16,3,FALSE)*DR503,""),0)</f>
        <v/>
      </c>
      <c r="EL503" s="1376">
        <f>IF(HW503=TRUE,DW503*Lookup!AP$12,0)</f>
        <v>0</v>
      </c>
      <c r="EM503" s="1362">
        <f>IFERROR(IF(HW503=TRUE,EK503/EM$33,0),0)</f>
        <v>0</v>
      </c>
      <c r="EN503" s="1362">
        <f>IF(HW503=TRUE,EL503/EN$33,0)</f>
        <v>0</v>
      </c>
      <c r="EO503" s="1363">
        <f>IF(HW503=TRUE,EQ$33*EM503,0)</f>
        <v>0</v>
      </c>
      <c r="EP503" s="1363">
        <f>IF(HW503=TRUE,EQ$33*EN503,0)</f>
        <v>0</v>
      </c>
      <c r="EQ503" s="1363">
        <f>EO503+EP503</f>
        <v>0</v>
      </c>
      <c r="ES503" s="1403">
        <f>IF(G503="",0,1)</f>
        <v>0</v>
      </c>
      <c r="EU503" s="1410" t="e">
        <f>VLOOKUP(CP505,'Space Table'!$B$3:$L$160,8,FALSE)</f>
        <v>#N/A</v>
      </c>
      <c r="EV503" s="1410" t="e">
        <f>IF(EY503="Yes",VLOOKUP(DD503,Lookup_Control_Type_Table2,4,FALSE),VLOOKUP(DD503,Lookup_Control_Type_Table2,3,FALSE))</f>
        <v>#N/A</v>
      </c>
      <c r="EW503" s="1410" t="e">
        <f>VLOOKUP(DD503,Lookup!AU$3:AV$15,2,FALSE)</f>
        <v>#N/A</v>
      </c>
      <c r="EX503" s="1410" t="e">
        <f>VLOOKUP(EU503,Lookup_Control_Type_Table,2,FALSE)</f>
        <v>#N/A</v>
      </c>
      <c r="EY503" s="1410" t="e">
        <f>VLOOKUP(CP505,'Space Table'!$B$3:$L$160,7,FALSE)</f>
        <v>#N/A</v>
      </c>
      <c r="EZ503" s="1412" t="b">
        <f>ISNUMBER(SEARCH("TLED",U505))</f>
        <v>0</v>
      </c>
      <c r="FB503" s="1365" t="str">
        <f>CONCATENATE(CN503," - ",DD503)</f>
        <v xml:space="preserve"> - 0</v>
      </c>
      <c r="FD503" s="1353" t="str">
        <f>VLOOKUP(CT505,Fixtures!DN$27:EZ$77,38,FALSE)</f>
        <v/>
      </c>
      <c r="FE503" s="1353">
        <f>IFERROR(FD503*EE503,0)</f>
        <v>0</v>
      </c>
      <c r="FF503" s="138"/>
      <c r="FI503" s="1356" t="str">
        <f>IF(CN503="Exterior","Not Daylighted",G506)</f>
        <v>Not Daylighted</v>
      </c>
      <c r="FJ503" s="1356">
        <f>VLOOKUP(FI503,_Daylight_Table_Codes,2,FALSE)</f>
        <v>0</v>
      </c>
      <c r="FK503" s="1365">
        <f>IF(__Retrofit_TI_NC=2,VLOOKUP(G505,'Space Table'!$B$3:$L$160,11,FALSE),AF504)</f>
        <v>0</v>
      </c>
      <c r="FL503" s="1365" t="e">
        <f>VLOOKUP(FK503,_Control_Table,2,FALSE)</f>
        <v>#N/A</v>
      </c>
      <c r="FM503" s="1365" t="e">
        <f>IF(AND(FP503&gt;0,FK503="Occupancy Sensor"),"Daylight + Occupancy",IF(AND(FP503&gt;0,FL503&lt;4),"Interior Daylight Dimming",FK503))</f>
        <v>#N/A</v>
      </c>
      <c r="FO503" s="1364">
        <f>IF(CO503="Interior",VLOOKUP(CP503,Control_Savings_Interior,5,FALSE),0)</f>
        <v>0</v>
      </c>
      <c r="FP503" s="1361">
        <f>IF(CN503="Exterior",0,IF(FJ503=2,0.5,IF(OR(FJ503=1,FJ503=3),1,0)))</f>
        <v>0</v>
      </c>
      <c r="FQ503" s="1366"/>
      <c r="FR503" s="1367"/>
      <c r="FS503" s="1364"/>
      <c r="FT503" s="1367"/>
      <c r="FU503" s="1360"/>
      <c r="FW503" s="1352" t="str">
        <f>IFERROR(VLOOKUP(U504,_Exist_Fixture_Table,3,FALSE),"")</f>
        <v/>
      </c>
      <c r="FX503" s="1352" t="str">
        <f>VLOOKUP(CT503,_Exist_Fixture_Table,4,FALSE)</f>
        <v/>
      </c>
      <c r="FY503" s="1352">
        <f>IFERROR(VLOOKUP(FX503,Lookup!AM$6:AN$8,2,FALSE),0)</f>
        <v>0</v>
      </c>
      <c r="FZ503" s="1352" t="b">
        <f>IFERROR(IF(OR(GB503=4,GB503=5,GB503=6),TRUE,FALSE),"")</f>
        <v>0</v>
      </c>
      <c r="GA503" s="1352" t="str">
        <f>IFERROR(VLOOKUP(GB503,FY$6:FZ$10,2,FALSE),"")</f>
        <v/>
      </c>
      <c r="GB503" s="1352" t="str">
        <f>VLOOKUP(CT505,Fixtures!R$31:Y$78,8,FALSE)</f>
        <v/>
      </c>
      <c r="GC503" s="1352">
        <f>IF(AND(FW503=TRUE,FZ503=TRUE,OR(DN503=12,DN503=13,DN503=14)),FY503+8,0)</f>
        <v>0</v>
      </c>
      <c r="GD503" s="1352" t="b">
        <f>IF(OR(GC503=12,GC503=13,GC503=14),TRUE,FALSE)</f>
        <v>0</v>
      </c>
      <c r="GE503" s="759" t="b">
        <f>IF(ISNUMBER(SEARCH("TLED",U504)),TRUE,FALSE)</f>
        <v>0</v>
      </c>
      <c r="GF503" s="1035" t="str">
        <f>IFERROR(VLOOKUP(U504,Fixtures!BM$93:BR$142,6,FALSE),"")</f>
        <v/>
      </c>
      <c r="GG503" s="1385" t="b">
        <f>IF(OR(GE503=FALSE,GE505=FALSE),TRUE,IF(GF503-GF505&lt;5,FALSE,TRUE))</f>
        <v>1</v>
      </c>
      <c r="GK503" s="1034">
        <f>GL503</f>
        <v>0</v>
      </c>
      <c r="GL503" s="1034">
        <f>IF(G503="",0,1)</f>
        <v>0</v>
      </c>
      <c r="GM503" s="1034">
        <f>SUM(GN503:HB503)</f>
        <v>2</v>
      </c>
      <c r="GN503" s="1034">
        <f>IF(G504="",0,1)</f>
        <v>0</v>
      </c>
      <c r="GO503" s="1034">
        <f>IF(G505="",0,1)</f>
        <v>0</v>
      </c>
      <c r="GP503" s="1034">
        <f>IF(R504="",0,1)</f>
        <v>0</v>
      </c>
      <c r="GQ503" s="1034">
        <f>IF(__Retrofit_TI_NC=0,1,IF(R505="",0,1))</f>
        <v>1</v>
      </c>
      <c r="GR503" s="1034">
        <f>IF(CN503="Exterior",1,IF(G506="",0,1))</f>
        <v>1</v>
      </c>
      <c r="GS503" s="1034">
        <f>IF(__Retrofit_TI_NC&lt;&gt;0,1,IF(T504="",0,1))</f>
        <v>0</v>
      </c>
      <c r="GT503" s="1034">
        <f>IF(__Retrofit_TI_NC&lt;&gt;0,1,IF(U504="",0,1))</f>
        <v>0</v>
      </c>
      <c r="GU503" s="1034">
        <f>IF(T505="",0,1)</f>
        <v>0</v>
      </c>
      <c r="GV503" s="1034">
        <f>IF(U505="",0,1)</f>
        <v>0</v>
      </c>
      <c r="GW503" s="1034">
        <f>IF(__Retrofit_TI_NC=2,1,IF(U506="",0,1))</f>
        <v>0</v>
      </c>
      <c r="GX503" s="1034">
        <f>IF(__Retrofit_TI_NC&lt;&gt;0,1,IF(AE504="",0,1))</f>
        <v>0</v>
      </c>
      <c r="GY503" s="1034">
        <f>IF(__Retrofit_TI_NC&lt;&gt;0,1,IF(AF504="",0,1))</f>
        <v>0</v>
      </c>
      <c r="GZ503" s="1034">
        <f>IF(AE505="",0,1)</f>
        <v>0</v>
      </c>
      <c r="HA503" s="1034">
        <f>IF(AF505="",0,1)</f>
        <v>0</v>
      </c>
      <c r="HB503" s="1034">
        <f>IF(__Retrofit_TI_NC=2,1,IF(AF506="",0,1))</f>
        <v>0</v>
      </c>
      <c r="HV503" s="436"/>
      <c r="HW503" s="1384" t="b">
        <f>IF(OR(HW506=0,HW506=HT$16,HW506=HS$16,HW506=HU$16),TRUE,FALSE)</f>
        <v>0</v>
      </c>
      <c r="HX503" s="1377" t="b">
        <f>HW503</f>
        <v>0</v>
      </c>
      <c r="HY503" s="436"/>
      <c r="HZ503" s="436"/>
      <c r="IA503" s="1386" t="b">
        <f>IF(MAX(GJ506:HP506)&gt;5,FALSE,TRUE)</f>
        <v>0</v>
      </c>
      <c r="IB503" s="1380">
        <f>IF(IA503=TRUE,AC503,0)</f>
        <v>0</v>
      </c>
      <c r="IC503" s="1380">
        <f>IB503-IB505</f>
        <v>0</v>
      </c>
      <c r="IF503" s="1380" t="e">
        <f>ROUND(T504*VLOOKUP(U504,Fixtures_Existing_List,2,FALSE)*N504*R504/1000,0)</f>
        <v>#N/A</v>
      </c>
      <c r="IG503" s="1381" t="e">
        <f>IF503-IF505</f>
        <v>#N/A</v>
      </c>
      <c r="IH503" s="1384" t="e">
        <f>ROUND(IF(CN503="Interior",N505*R505*R504*N504*_C406_reduction/1000,N505*R505*R504*N504/1000),0)</f>
        <v>#N/A</v>
      </c>
      <c r="II503" s="1384" t="e">
        <f>IH503-IH505</f>
        <v>#N/A</v>
      </c>
      <c r="IK503" s="1351" t="e">
        <f>IF($CO503="interior",IL503/2,VLOOKUP($CP503,Control_Savings_Exterior,IK$30,FALSE))</f>
        <v>#N/A</v>
      </c>
      <c r="IL503" s="1351" t="e">
        <f>IF($CO503="interior",VLOOKUP($CP503,Control_Savings_Interior,IL$30,FALSE),VLOOKUP($CP503,Control_Savings_Exterior,IL$30,FALSE))</f>
        <v>#N/A</v>
      </c>
      <c r="IM503" s="1351" t="e">
        <f>IF($CO503="interior",IF(R504&gt;FO$37,(IM$28*(FO$37/R504)),IM$28)*FP503,VLOOKUP($CP503,Control_Savings_Exterior,IM$30,FALSE))</f>
        <v>#N/A</v>
      </c>
      <c r="IN503" s="1351" t="e">
        <f>IF($CO503="interior",ROUND(((1-IL503)*IM503)+IL503,2),VLOOKUP($CP503,Control_Savings_Exterior,IN$30,FALSE))</f>
        <v>#N/A</v>
      </c>
      <c r="IO503" s="1351" t="e">
        <f>IF($CO503="interior", ROUND(((1-IL503)*(IM503*(1-IP$28)))+IP503,2), VLOOKUP($CP503,Control_Savings_Exterior,IO$30,FALSE))</f>
        <v>#N/A</v>
      </c>
      <c r="IP503" s="1351">
        <f>IF($CO503="interior",ROUND(((1-IL503)*IP$28)+IL503,2),0)</f>
        <v>0</v>
      </c>
    </row>
    <row r="504" spans="1:250" s="82" customFormat="1" ht="14.95" customHeight="1" thickTop="1" thickBot="1">
      <c r="B504" s="1421"/>
      <c r="C504" s="1422"/>
      <c r="D504" s="1423"/>
      <c r="E504" s="1393" t="s">
        <v>244</v>
      </c>
      <c r="F504" s="1394"/>
      <c r="G504" s="1395"/>
      <c r="H504" s="1395"/>
      <c r="I504" s="1395"/>
      <c r="J504" s="1395"/>
      <c r="K504" s="1395"/>
      <c r="L504" s="1395"/>
      <c r="M504" s="509" t="e">
        <f>IF(__Retrofit_TI_NC&lt;&gt;0,IF(VLOOKUP(G505,'Space Table'!$B$3:$L$160,3,FALSE)&gt;0,1,0),IF(__Retrofit_TI_NC=VLOOKUP(G505,'Space Table'!$B$3:$L$160,3,FALSE),1,0))</f>
        <v>#N/A</v>
      </c>
      <c r="N504" s="509" t="str">
        <f>IFERROR(VLOOKUP(G504,_Lookup_Heat_Type_Table_New,2,FALSE),"")</f>
        <v/>
      </c>
      <c r="O504" s="509">
        <f>IF(__Retrofit_TI_NC=1,CONCATENATE("TI ",G504),IF(__Retrofit_TI_NC=2,CONCATENATE("NC ",G504),G504))</f>
        <v>0</v>
      </c>
      <c r="P504" s="1396" t="s">
        <v>352</v>
      </c>
      <c r="Q504" s="1396"/>
      <c r="R504" s="673"/>
      <c r="S504" s="1429"/>
      <c r="T504" s="675"/>
      <c r="U504" s="1496"/>
      <c r="V504" s="1497"/>
      <c r="W504" s="1497"/>
      <c r="X504" s="1497"/>
      <c r="Y504" s="1497"/>
      <c r="Z504" s="1497"/>
      <c r="AA504" s="1497"/>
      <c r="AB504" s="1497"/>
      <c r="AC504" s="1497"/>
      <c r="AD504" s="1498"/>
      <c r="AE504" s="675"/>
      <c r="AF504" s="1397"/>
      <c r="AG504" s="1397"/>
      <c r="AH504" s="1397"/>
      <c r="AI504" s="1397"/>
      <c r="AJ504" s="1434"/>
      <c r="AK504" s="1436"/>
      <c r="AL504" s="1438"/>
      <c r="AM504" s="1441"/>
      <c r="AN504" s="1442"/>
      <c r="AO504" s="1447"/>
      <c r="AP504" s="1447"/>
      <c r="AQ504" s="1448"/>
      <c r="AR504" s="1452"/>
      <c r="AS504" s="1455"/>
      <c r="AT504" s="1458"/>
      <c r="AU504" s="516"/>
      <c r="AV504" s="1479"/>
      <c r="AW504" s="1479"/>
      <c r="BC504" s="38"/>
      <c r="BD504" s="38"/>
      <c r="BE504" s="38"/>
      <c r="BF504" s="38"/>
      <c r="BG504" s="38"/>
      <c r="BH504" s="38"/>
      <c r="BI504" s="38"/>
      <c r="BJ504" s="38"/>
      <c r="BK504" s="38"/>
      <c r="BL504" s="38"/>
      <c r="BM504" s="38"/>
      <c r="BN504" s="38"/>
      <c r="BO504" s="38"/>
      <c r="BP504" s="38"/>
      <c r="BQ504" s="38"/>
      <c r="BR504" s="38"/>
      <c r="BS504" s="38"/>
      <c r="BT504" s="38"/>
      <c r="BU504" s="38"/>
      <c r="BV504" s="38"/>
      <c r="BW504" s="38"/>
      <c r="BX504" s="38"/>
      <c r="BY504" s="38"/>
      <c r="BZ504" s="38"/>
      <c r="CA504" s="38"/>
      <c r="CB504" s="38"/>
      <c r="CC504" s="38"/>
      <c r="CD504" s="38"/>
      <c r="CE504" s="38"/>
      <c r="CF504" s="38"/>
      <c r="CG504" s="38"/>
      <c r="CH504" s="38"/>
      <c r="CI504" s="38"/>
      <c r="CM504" s="1352"/>
      <c r="CN504" s="1352"/>
      <c r="CO504" s="1416"/>
      <c r="CP504" s="1418"/>
      <c r="CR504" s="1386"/>
      <c r="CS504" s="1355"/>
      <c r="CT504" s="1355"/>
      <c r="CU504" s="1355"/>
      <c r="CV504" s="1372"/>
      <c r="CW504" s="1372"/>
      <c r="CX504" s="1371"/>
      <c r="CY504" s="1486"/>
      <c r="CZ504" s="1486"/>
      <c r="DA504" s="1486"/>
      <c r="DC504" s="1355"/>
      <c r="DD504" s="1461"/>
      <c r="DE504" s="1355"/>
      <c r="DF504" s="1407"/>
      <c r="DG504" s="1372"/>
      <c r="DH504" s="1369"/>
      <c r="DJ504" s="1484"/>
      <c r="DL504" s="1419"/>
      <c r="DN504" s="1403"/>
      <c r="DO504" s="1405"/>
      <c r="DP504" s="1354"/>
      <c r="DQ504" s="1405"/>
      <c r="DR504" s="1403"/>
      <c r="DS504" s="1489"/>
      <c r="DU504" s="1403"/>
      <c r="DV504" s="1405"/>
      <c r="DW504" s="1403"/>
      <c r="DX504" s="1403"/>
      <c r="DZ504" s="1481"/>
      <c r="EA504" s="1481"/>
      <c r="EC504" s="1482"/>
      <c r="ED504" s="1369"/>
      <c r="EE504" s="1371"/>
      <c r="EF504" s="1369"/>
      <c r="EG504" s="1369"/>
      <c r="EH504" s="1374"/>
      <c r="EI504" s="1374"/>
      <c r="EJ504" s="1363"/>
      <c r="EK504" s="1376"/>
      <c r="EL504" s="1376"/>
      <c r="EM504" s="1362"/>
      <c r="EN504" s="1362"/>
      <c r="EO504" s="1363"/>
      <c r="EP504" s="1363"/>
      <c r="EQ504" s="1363"/>
      <c r="ES504" s="1403"/>
      <c r="EU504" s="1411"/>
      <c r="EV504" s="1411"/>
      <c r="EW504" s="1411"/>
      <c r="EX504" s="1411"/>
      <c r="EY504" s="1411"/>
      <c r="EZ504" s="1413"/>
      <c r="FB504" s="1365"/>
      <c r="FD504" s="1354"/>
      <c r="FE504" s="1354"/>
      <c r="FF504" s="138"/>
      <c r="FI504" s="1357"/>
      <c r="FJ504" s="1357"/>
      <c r="FK504" s="1365"/>
      <c r="FL504" s="1365"/>
      <c r="FM504" s="1365"/>
      <c r="FO504" s="1361"/>
      <c r="FP504" s="1361"/>
      <c r="FQ504" s="1366"/>
      <c r="FR504" s="1368"/>
      <c r="FS504" s="1361"/>
      <c r="FT504" s="1368"/>
      <c r="FU504" s="1360"/>
      <c r="FW504" s="1352"/>
      <c r="FX504" s="1352"/>
      <c r="FY504" s="1352"/>
      <c r="FZ504" s="1352"/>
      <c r="GA504" s="1352"/>
      <c r="GB504" s="1352"/>
      <c r="GC504" s="1352"/>
      <c r="GD504" s="1352"/>
      <c r="GE504" s="759"/>
      <c r="GF504" s="1035"/>
      <c r="GG504" s="1385"/>
      <c r="GI504" s="1384" t="b">
        <f>IF(AND(GL504=TRUE,GM504=TRUE),TRUE,FALSE)</f>
        <v>0</v>
      </c>
      <c r="GJ504" s="1379" t="b">
        <f>IFERROR(IF(__Retrofit_TI_NC=2,TRUE,IF(AR503="Yes",TRUE,FALSE)),FALSE)</f>
        <v>1</v>
      </c>
      <c r="GL504" s="1379" t="b">
        <f>IFERROR(IF(GL503=1,TRUE,FALSE),FALSE)</f>
        <v>0</v>
      </c>
      <c r="GM504" s="1379" t="b">
        <f>IFERROR(IF(GM503=GM$14,TRUE,FALSE),FALSE)</f>
        <v>0</v>
      </c>
      <c r="HC504" s="1379" t="b">
        <f>IFERROR(IF(M504=1,TRUE,FALSE),FALSE)</f>
        <v>0</v>
      </c>
      <c r="HD504" s="1379" t="b">
        <f>IFERROR(IF(M505=1,TRUE,FALSE),FALSE)</f>
        <v>0</v>
      </c>
      <c r="HE504" s="1379" t="b">
        <f>IFERROR(IF(__Retrofit_TI_NC&lt;&gt;0,TRUE,IFERROR(IF(VLOOKUP(U504,Fixtures_Existing_List,2,FALSE)&lt;&gt;"",TRUE,FALSE),FALSE)),FALSE)</f>
        <v>0</v>
      </c>
      <c r="HF504" s="1379" t="b">
        <f>IFERROR(IF(VLOOKUP(U505,Fixtures_Proposed_List,2,FALSE)&lt;&gt;"",TRUE,FALSE),FALSE)</f>
        <v>0</v>
      </c>
      <c r="HG504" s="1379" t="b">
        <f>IF(AND(__Retrofit_TI_NC=2,EZ503=TRUE),FALSE,TRUE)</f>
        <v>1</v>
      </c>
      <c r="HH504" s="1379" t="b">
        <f>GG503</f>
        <v>1</v>
      </c>
      <c r="HI504" s="1384" t="b">
        <f>IF(ISERROR(MATCH(FB503,_Control_Match[],0))=TRUE,FALSE,TRUE)</f>
        <v>0</v>
      </c>
      <c r="HJ504" s="1384" t="b">
        <f>IFERROR(IF(EU503&lt;&gt;EV503,FALSE,TRUE),FALSE)</f>
        <v>0</v>
      </c>
      <c r="HK504" s="1384" t="b">
        <f>IFERROR(IF(EU505&lt;&gt;EV505,FALSE,TRUE),FALSE)</f>
        <v>0</v>
      </c>
      <c r="HL504" s="1379" t="b">
        <f>IFERROR(IF(CN503="Exterior",TRUE,IF(OR(AND(FJ503=0,EW505&gt;4),AND(FJ503=4,EW505&gt;4,EW505&lt;7)),FALSE,TRUE)),FALSE)</f>
        <v>0</v>
      </c>
      <c r="HM504" s="1379" t="b">
        <f>IFERROR(IF(AND(FL505=7,EZ503=TRUE),FALSE,TRUE),FALSE)</f>
        <v>0</v>
      </c>
      <c r="HN504" s="1379" t="b">
        <f>IFERROR(IF(AND(T505&lt;&gt;AE505,AF505="Interior LLLC")=TRUE,FALSE,TRUE),FALSE)</f>
        <v>1</v>
      </c>
      <c r="HO504" s="1379" t="b">
        <f>IFERROR(IF(OR(AF505=Lookup!AU$13,AF505=Lookup!AU$14)=TRUE,IF(AE505&gt;T505,FALSE,TRUE),TRUE),FALSE)</f>
        <v>1</v>
      </c>
      <c r="HP504" s="1379" t="b">
        <f>IFERROR(IF(__Retrofit_TI_NC=2,IF(EW505&lt;EW503,FALSE,TRUE),TRUE),FALSE)</f>
        <v>1</v>
      </c>
      <c r="HQ504" s="1379" t="b">
        <f>IF(CN503="Interior",IG$6,TRUE)</f>
        <v>1</v>
      </c>
      <c r="HR504" s="1379" t="b">
        <f>IF(CN503="Exterior",IG$8,TRUE)</f>
        <v>1</v>
      </c>
      <c r="HS504" s="1379" t="b">
        <f>IFERROR(IF(__Retrofit_TI_NC&lt;&gt;0,IF(AW503&lt;AV503,FALSE,TRUE),TRUE),FALSE)</f>
        <v>1</v>
      </c>
      <c r="HT504" s="1379" t="b">
        <f>IFERROR(IF(AND(G504="Exterior",R504&gt;4200),FALSE,TRUE),FALSE)</f>
        <v>1</v>
      </c>
      <c r="HU504" s="1379" t="b">
        <f>IFERROR(IF(AB506/AB503&lt;HU$18,FALSE,TRUE),FALSE)</f>
        <v>0</v>
      </c>
      <c r="HW504" s="1382"/>
      <c r="HX504" s="1378"/>
      <c r="HY504" s="1377" t="str">
        <f>VLOOKUP(HW506,_Error_Table,4,FALSE)</f>
        <v>White</v>
      </c>
      <c r="HZ504" s="436"/>
      <c r="IA504" s="1386"/>
      <c r="IB504" s="1380"/>
      <c r="IC504" s="1379"/>
      <c r="IF504" s="1380"/>
      <c r="IG504" s="1382"/>
      <c r="IH504" s="1382"/>
      <c r="II504" s="1382"/>
      <c r="IK504" s="1351"/>
      <c r="IL504" s="1351"/>
      <c r="IM504" s="1351"/>
      <c r="IN504" s="1351"/>
      <c r="IO504" s="1351"/>
      <c r="IP504" s="1351"/>
    </row>
    <row r="505" spans="1:250" s="82" customFormat="1" ht="14.95" customHeight="1" thickTop="1" thickBot="1">
      <c r="A505" s="82">
        <f>ROW()</f>
        <v>505</v>
      </c>
      <c r="B505" s="1421"/>
      <c r="C505" s="1422"/>
      <c r="D505" s="1423"/>
      <c r="E505" s="1393" t="s">
        <v>245</v>
      </c>
      <c r="F505" s="1394"/>
      <c r="G505" s="1398"/>
      <c r="H505" s="1399"/>
      <c r="I505" s="1399"/>
      <c r="J505" s="1399"/>
      <c r="K505" s="1399"/>
      <c r="L505" s="1400"/>
      <c r="M505" s="509">
        <f>IFERROR(IF(IF(__Retrofit_TI_NC&lt;&gt;0,IF(CN503="Interior",MATCH(G505,Lookup_Interior_New,0),MATCH(G505,Lookup_Exterior_New,0)),IF(CN503="Interior",MATCH(G505,Lookup_Interior,0),MATCH(G505,Lookup_Exterior_Areas,0)))&gt;0,1,0),0)</f>
        <v>0</v>
      </c>
      <c r="N505" s="509" t="e">
        <f>IF(__Retrofit_TI_NC=1,
VLOOKUP(G505,'Space Table'!$B$3:$L$160,4,FALSE),
IF(__Retrofit_TI_NC=2,VLOOKUP(G505,'Space Table'!$B$3:$L$160,5,FALSE),VLOOKUP(G505,'Space Table'!$B$3:$L$160,5,FALSE)))</f>
        <v>#N/A</v>
      </c>
      <c r="O505" s="509">
        <f>G505</f>
        <v>0</v>
      </c>
      <c r="P505" s="1394" t="s">
        <v>355</v>
      </c>
      <c r="Q505" s="1394"/>
      <c r="R505" s="674"/>
      <c r="S505" s="1401" t="s">
        <v>284</v>
      </c>
      <c r="T505" s="672"/>
      <c r="U505" s="1499"/>
      <c r="V505" s="1500"/>
      <c r="W505" s="1500"/>
      <c r="X505" s="1500"/>
      <c r="Y505" s="1500"/>
      <c r="Z505" s="1500"/>
      <c r="AA505" s="1500"/>
      <c r="AB505" s="1501"/>
      <c r="AC505" s="1501"/>
      <c r="AD505" s="1502"/>
      <c r="AE505" s="672"/>
      <c r="AF505" s="1474"/>
      <c r="AG505" s="1474"/>
      <c r="AH505" s="1474"/>
      <c r="AI505" s="1474"/>
      <c r="AJ505" s="1475">
        <f>DF505</f>
        <v>0</v>
      </c>
      <c r="AK505" s="1470" t="str">
        <f>IFERROR(ROUND(AJ505*AC506,0),"")</f>
        <v/>
      </c>
      <c r="AL505" s="1472">
        <f>IFERROR(IF(HW503=FALSE,0,AC506-AK505),0)</f>
        <v>0</v>
      </c>
      <c r="AM505" s="1441"/>
      <c r="AN505" s="1442"/>
      <c r="AO505" s="1447"/>
      <c r="AP505" s="1447"/>
      <c r="AQ505" s="1448"/>
      <c r="AR505" s="1452"/>
      <c r="AS505" s="1455"/>
      <c r="AT505" s="1458"/>
      <c r="AU505" s="516"/>
      <c r="AV505" s="1479"/>
      <c r="AW505" s="1479"/>
      <c r="BC505" s="38"/>
      <c r="BD505" s="38"/>
      <c r="BE505" s="38"/>
      <c r="BF505" s="38"/>
      <c r="BG505" s="38"/>
      <c r="BH505" s="38"/>
      <c r="BI505" s="38"/>
      <c r="BJ505" s="38"/>
      <c r="BK505" s="38"/>
      <c r="BL505" s="38"/>
      <c r="BM505" s="38"/>
      <c r="BN505" s="38"/>
      <c r="BO505" s="38"/>
      <c r="BP505" s="38"/>
      <c r="BQ505" s="38"/>
      <c r="BR505" s="38"/>
      <c r="BS505" s="38"/>
      <c r="BT505" s="38"/>
      <c r="BU505" s="38"/>
      <c r="BV505" s="38"/>
      <c r="BW505" s="38"/>
      <c r="BX505" s="38"/>
      <c r="BY505" s="38"/>
      <c r="BZ505" s="38"/>
      <c r="CA505" s="38"/>
      <c r="CB505" s="38"/>
      <c r="CC505" s="38"/>
      <c r="CD505" s="38"/>
      <c r="CE505" s="38"/>
      <c r="CF505" s="38"/>
      <c r="CG505" s="38"/>
      <c r="CH505" s="38"/>
      <c r="CI505" s="38"/>
      <c r="CM505" s="1352"/>
      <c r="CN505" s="1352"/>
      <c r="CO505" s="1415" t="str">
        <f>CN503</f>
        <v/>
      </c>
      <c r="CP505" s="1417" t="e">
        <f>CP503</f>
        <v>#N/A</v>
      </c>
      <c r="CR505" s="1386" t="s">
        <v>284</v>
      </c>
      <c r="CS505" s="1353">
        <f>IF(HW503=TRUE,T505,0)</f>
        <v>0</v>
      </c>
      <c r="CT505" s="1353" t="str">
        <f>IF(HW503=TRUE,U505,"")</f>
        <v/>
      </c>
      <c r="CU505" s="1373">
        <f>IF(HW503=TRUE,U506,0)</f>
        <v>0</v>
      </c>
      <c r="CV505" s="1370">
        <f>IF(HW503=TRUE,AB506,0)</f>
        <v>0</v>
      </c>
      <c r="CW505" s="1370">
        <f>IF(HW503=TRUE,AC506,0)</f>
        <v>0</v>
      </c>
      <c r="CX505" s="1371"/>
      <c r="CY505" s="1486"/>
      <c r="CZ505" s="1486"/>
      <c r="DA505" s="1486"/>
      <c r="DC505" s="1353">
        <f>IF(HW503=TRUE,AE505,0)</f>
        <v>0</v>
      </c>
      <c r="DD505" s="1353" t="str">
        <f>IF(HW503=TRUE,AF505,"")</f>
        <v/>
      </c>
      <c r="DE505" s="1373">
        <f>AF506</f>
        <v>0</v>
      </c>
      <c r="DF505" s="1406">
        <f>IFERROR(IF(FL505=3,IK505,IF(FL505=4,IL505,IF(FL505=5,IM505,IF(FL505=6,IN505,IF(FL505=7,IO505,IF(FL505=8,IP505,0)))))),0)</f>
        <v>0</v>
      </c>
      <c r="DG505" s="1370">
        <f>IF(HW503=TRUE,AK505,0)</f>
        <v>0</v>
      </c>
      <c r="DH505" s="1369"/>
      <c r="DK505" s="1483">
        <f>IFERROR(CW505-DG505,0)</f>
        <v>0</v>
      </c>
      <c r="DL505" s="1420"/>
      <c r="DN505" s="1403"/>
      <c r="DO505" s="1477" t="str">
        <f>DN503</f>
        <v/>
      </c>
      <c r="DP505" s="1354"/>
      <c r="DQ505" s="1477" t="str">
        <f>IF(DP503=7,"LLLC","")</f>
        <v/>
      </c>
      <c r="DR505" s="1403"/>
      <c r="DS505" s="1489"/>
      <c r="DU505" s="1403"/>
      <c r="DV505" s="1404" t="str">
        <f>DU503</f>
        <v/>
      </c>
      <c r="DW505" s="1403"/>
      <c r="DX505" s="1403"/>
      <c r="DZ505" s="1481"/>
      <c r="EA505" s="1481"/>
      <c r="EC505" s="1482"/>
      <c r="ED505" s="1369"/>
      <c r="EE505" s="1371"/>
      <c r="EF505" s="1369"/>
      <c r="EG505" s="1369"/>
      <c r="EH505" s="1374"/>
      <c r="EI505" s="1374"/>
      <c r="EJ505" s="1363"/>
      <c r="EK505" s="1376"/>
      <c r="EL505" s="1376"/>
      <c r="EM505" s="1362"/>
      <c r="EN505" s="1362"/>
      <c r="EO505" s="1363"/>
      <c r="EP505" s="1363"/>
      <c r="EQ505" s="1363"/>
      <c r="ES505" s="1403"/>
      <c r="EU505" s="1411" t="e">
        <f>VLOOKUP(CP505,'Space Table'!$B$3:$L$160,8,FALSE)</f>
        <v>#N/A</v>
      </c>
      <c r="EV505" s="1411" t="e">
        <f>IF(EY505="Yes",VLOOKUP(AF505,Lookup_Control_Type_Table2,4,FALSE),VLOOKUP(AF505,Lookup_Control_Type_Table2,3,FALSE))</f>
        <v>#N/A</v>
      </c>
      <c r="EW505" s="1411" t="e">
        <f>VLOOKUP(AF505,Lookup!AU$3:AV$15,2,FALSE)</f>
        <v>#N/A</v>
      </c>
      <c r="EX505" s="1411" t="e">
        <f>VLOOKUP(EU503,Lookup_Control_Type_Table,2,FALSE)</f>
        <v>#N/A</v>
      </c>
      <c r="EY505" s="1411" t="e">
        <f>VLOOKUP(CP505,'Space Table'!$B$3:$L$160,7,FALSE)</f>
        <v>#N/A</v>
      </c>
      <c r="EZ505" s="1413"/>
      <c r="FB505" s="1365" t="str">
        <f>CONCATENATE(CN503," - ",AF505)</f>
        <v xml:space="preserve"> - </v>
      </c>
      <c r="FD505" s="1354"/>
      <c r="FE505" s="1354"/>
      <c r="FF505" s="138"/>
      <c r="FI505" s="1356" t="str">
        <f>IF(CN503="Exterior","Not Daylighted",G506)</f>
        <v>Not Daylighted</v>
      </c>
      <c r="FJ505" s="1356">
        <f>VLOOKUP(FI505,_Daylight_Table_Codes,2,FALSE)</f>
        <v>0</v>
      </c>
      <c r="FK505" s="1365">
        <f>AF505</f>
        <v>0</v>
      </c>
      <c r="FL505" s="1365" t="e">
        <f>VLOOKUP(FK505,_Control_Table,2,FALSE)</f>
        <v>#N/A</v>
      </c>
      <c r="FM505" s="1365" t="e">
        <f>IF(AND(FP505&gt;0,FK505="Occupancy Sensor"),"Daylight + Occupancy",IF(AND(FP505&gt;0,FL505&lt;4),"Interior Daylight Dimming",FK505))</f>
        <v>#N/A</v>
      </c>
      <c r="FO505" s="1364">
        <f>IF(CN503="Interior",VLOOKUP(CP503,Control_Savings_Interior,5,FALSE),0)</f>
        <v>0</v>
      </c>
      <c r="FP505" s="1361">
        <f>IF(CN505="Exterior",0,IF(FJ505=2,0.5,IF(OR(FJ505=1,FJ505=3),1,0)))</f>
        <v>0</v>
      </c>
      <c r="FQ505" s="1366">
        <f>IF(R504&gt;FO$37,(FO505*(FO$37/R504)),FO505)*FP505</f>
        <v>0</v>
      </c>
      <c r="FR505" s="1364">
        <f>DF505</f>
        <v>0</v>
      </c>
      <c r="FS505" s="1364">
        <f>ROUND(FR505+((1-FR505)*FQ505),2)</f>
        <v>0</v>
      </c>
      <c r="FT505" s="1364">
        <f>IF(__Retrofit_TI_NC=2,FS505,FR505)</f>
        <v>0</v>
      </c>
      <c r="FU505" s="1360">
        <f>IF(CO505="Interior",VLOOKUP(CP505,Control_Savings_Interior,4,FALSE),0)</f>
        <v>0</v>
      </c>
      <c r="FW505" s="1352"/>
      <c r="FX505" s="1352"/>
      <c r="FY505" s="1352"/>
      <c r="FZ505" s="1352"/>
      <c r="GA505" s="1352"/>
      <c r="GB505" s="1352"/>
      <c r="GC505" s="1352"/>
      <c r="GD505" s="1352"/>
      <c r="GE505" s="759" t="b">
        <f>IF(ISNUMBER(SEARCH("TLED",U505)),TRUE,FALSE)</f>
        <v>0</v>
      </c>
      <c r="GF505" s="1035" t="str">
        <f>IFERROR(VLOOKUP(U505,Fixtures!DM$93:DR$142,6,FALSE),"")</f>
        <v/>
      </c>
      <c r="GG505" s="1385"/>
      <c r="GI505" s="1383"/>
      <c r="GJ505" s="1379"/>
      <c r="GL505" s="1379"/>
      <c r="GM505" s="1379"/>
      <c r="HC505" s="1379"/>
      <c r="HD505" s="1379"/>
      <c r="HE505" s="1379"/>
      <c r="HF505" s="1379"/>
      <c r="HG505" s="1379"/>
      <c r="HH505" s="1379"/>
      <c r="HI505" s="1383"/>
      <c r="HJ505" s="1383"/>
      <c r="HK505" s="1383"/>
      <c r="HL505" s="1379"/>
      <c r="HM505" s="1379"/>
      <c r="HN505" s="1379"/>
      <c r="HO505" s="1379"/>
      <c r="HP505" s="1379"/>
      <c r="HQ505" s="1379"/>
      <c r="HR505" s="1379"/>
      <c r="HS505" s="1379"/>
      <c r="HT505" s="1379"/>
      <c r="HU505" s="1379"/>
      <c r="HW505" s="1383"/>
      <c r="HX505" s="1384" t="b">
        <f>HW503</f>
        <v>0</v>
      </c>
      <c r="HY505" s="1378"/>
      <c r="HZ505" s="436"/>
      <c r="IA505" s="1386"/>
      <c r="IB505" s="1380">
        <f>IF(IA503=TRUE,AC506,0)</f>
        <v>0</v>
      </c>
      <c r="IC505" s="1379"/>
      <c r="IF505" s="1380" t="e">
        <f>ROUND(T505*AB506*N504*R504/1000,0)</f>
        <v>#VALUE!</v>
      </c>
      <c r="IG505" s="1382"/>
      <c r="IH505" s="1384" t="e">
        <f>ROUND(T505*AB506*N504*R504/1000,0)</f>
        <v>#VALUE!</v>
      </c>
      <c r="II505" s="1382"/>
      <c r="IK505" s="1351" t="e">
        <f>IF($CO505="interior",IL505/2,VLOOKUP($CP505,Control_Savings_Exterior,IK$30,FALSE))</f>
        <v>#N/A</v>
      </c>
      <c r="IL505" s="1351" t="e">
        <f>IF($CO505="interior",VLOOKUP($CP505,Control_Savings_Interior,IL$30,FALSE),VLOOKUP($CP505,Control_Savings_Exterior,IL$30,FALSE))</f>
        <v>#N/A</v>
      </c>
      <c r="IM505" s="1351" t="e">
        <f>IF($CO505="interior",IF(R504&gt;FO$37,(IM$28*(FO$37/R504)),IM$28)*FP505,VLOOKUP($CP505,Control_Savings_Exterior,IM$30,FALSE))</f>
        <v>#N/A</v>
      </c>
      <c r="IN505" s="1351" t="e">
        <f>IF($CO505="interior",ROUND(((1-IL505)*IM505)+IL505,2),VLOOKUP($CP505,Control_Savings_Exterior,IN$30,FALSE))</f>
        <v>#N/A</v>
      </c>
      <c r="IO505" s="1351" t="e">
        <f>IF($CO505="interior", ROUND(((1-IL505)*(IM505*(1-IP$28)))+IP505,2), VLOOKUP($CP505,Control_Savings_Exterior,IO$30,FALSE))</f>
        <v>#N/A</v>
      </c>
      <c r="IP505" s="1351">
        <f>IF($CO505="interior",ROUND(((1-IL505)*IP$28)+IL505,2),0)</f>
        <v>0</v>
      </c>
    </row>
    <row r="506" spans="1:250" s="82" customFormat="1" ht="14.95" customHeight="1" thickTop="1" thickBot="1">
      <c r="B506" s="1421"/>
      <c r="C506" s="1422"/>
      <c r="D506" s="1423"/>
      <c r="E506" s="1462" t="s">
        <v>357</v>
      </c>
      <c r="F506" s="1463"/>
      <c r="G506" s="1464" t="s">
        <v>362</v>
      </c>
      <c r="H506" s="1465"/>
      <c r="I506" s="1465"/>
      <c r="J506" s="1465"/>
      <c r="K506" s="1465"/>
      <c r="L506" s="1466"/>
      <c r="M506" s="669">
        <f>IFERROR(VLOOKUP(G506,_Daylight_Table[],2,FALSE),0)</f>
        <v>0</v>
      </c>
      <c r="N506" s="670"/>
      <c r="O506" s="669" t="e">
        <f>VLOOKUP(G505,'Space Table'!$B$3:$L$160,11,FALSE)</f>
        <v>#N/A</v>
      </c>
      <c r="P506" s="1408"/>
      <c r="Q506" s="1409"/>
      <c r="R506" s="1409"/>
      <c r="S506" s="1402"/>
      <c r="T506" s="671" t="s">
        <v>281</v>
      </c>
      <c r="U506" s="1467" t="str">
        <f>IFERROR(VLOOKUP(U505,Fixtures!DM$93:DP$142,4,FALSE),"")</f>
        <v/>
      </c>
      <c r="V506" s="1468"/>
      <c r="W506" s="1468"/>
      <c r="X506" s="1468"/>
      <c r="Y506" s="1468"/>
      <c r="Z506" s="1468"/>
      <c r="AA506" s="1468"/>
      <c r="AB506" s="1046" t="str">
        <f>IFERROR(VLOOKUP(U505,Fixtures_Proposed_List,2,FALSE),"")</f>
        <v/>
      </c>
      <c r="AC506" s="1036" t="str">
        <f>IFERROR(ROUND(T505*AB506*N504*R504/1000,0),"")</f>
        <v/>
      </c>
      <c r="AD506" s="1037" t="str">
        <f>IFERROR(ROUND(T505*AB506/1000,2),"")</f>
        <v/>
      </c>
      <c r="AE506" s="1045" t="s">
        <v>281</v>
      </c>
      <c r="AF506" s="1469"/>
      <c r="AG506" s="1469"/>
      <c r="AH506" s="1469"/>
      <c r="AI506" s="1469"/>
      <c r="AJ506" s="1476"/>
      <c r="AK506" s="1471"/>
      <c r="AL506" s="1473"/>
      <c r="AM506" s="1443"/>
      <c r="AN506" s="1444"/>
      <c r="AO506" s="1449"/>
      <c r="AP506" s="1449"/>
      <c r="AQ506" s="1450"/>
      <c r="AR506" s="1453"/>
      <c r="AS506" s="1456"/>
      <c r="AT506" s="1459"/>
      <c r="AU506" s="517"/>
      <c r="AV506" s="1480"/>
      <c r="AW506" s="1480"/>
      <c r="BC506" s="38"/>
      <c r="BD506" s="38"/>
      <c r="BE506" s="38"/>
      <c r="BF506" s="38"/>
      <c r="BG506" s="38"/>
      <c r="BH506" s="38"/>
      <c r="BI506" s="38"/>
      <c r="BJ506" s="38"/>
      <c r="BK506" s="38"/>
      <c r="BL506" s="38"/>
      <c r="BM506" s="38"/>
      <c r="BN506" s="38"/>
      <c r="BO506" s="38"/>
      <c r="BP506" s="38"/>
      <c r="BQ506" s="38"/>
      <c r="BR506" s="38"/>
      <c r="BS506" s="38"/>
      <c r="BT506" s="38"/>
      <c r="BU506" s="38"/>
      <c r="BV506" s="38"/>
      <c r="BW506" s="38"/>
      <c r="BX506" s="38"/>
      <c r="BY506" s="38"/>
      <c r="BZ506" s="38"/>
      <c r="CA506" s="38"/>
      <c r="CB506" s="38"/>
      <c r="CC506" s="38"/>
      <c r="CD506" s="38"/>
      <c r="CE506" s="38"/>
      <c r="CF506" s="38"/>
      <c r="CG506" s="38"/>
      <c r="CH506" s="38"/>
      <c r="CI506" s="38"/>
      <c r="CM506" s="1352"/>
      <c r="CN506" s="1352"/>
      <c r="CO506" s="1416"/>
      <c r="CP506" s="1418"/>
      <c r="CR506" s="1386"/>
      <c r="CS506" s="1355"/>
      <c r="CT506" s="1355"/>
      <c r="CU506" s="1375"/>
      <c r="CV506" s="1372"/>
      <c r="CW506" s="1372"/>
      <c r="CX506" s="1372"/>
      <c r="CY506" s="1487"/>
      <c r="CZ506" s="1487"/>
      <c r="DA506" s="1487"/>
      <c r="DC506" s="1355"/>
      <c r="DD506" s="1355"/>
      <c r="DE506" s="1375"/>
      <c r="DF506" s="1407"/>
      <c r="DG506" s="1372"/>
      <c r="DH506" s="1369"/>
      <c r="DK506" s="1484"/>
      <c r="DL506" s="1420"/>
      <c r="DN506" s="1403"/>
      <c r="DO506" s="1405"/>
      <c r="DP506" s="1355"/>
      <c r="DQ506" s="1405"/>
      <c r="DR506" s="1403"/>
      <c r="DS506" s="1489"/>
      <c r="DU506" s="1403"/>
      <c r="DV506" s="1405"/>
      <c r="DW506" s="1403"/>
      <c r="DX506" s="1403"/>
      <c r="DZ506" s="1481"/>
      <c r="EA506" s="1481"/>
      <c r="EC506" s="1482"/>
      <c r="ED506" s="1369"/>
      <c r="EE506" s="1372"/>
      <c r="EF506" s="1369"/>
      <c r="EG506" s="1369"/>
      <c r="EH506" s="1375"/>
      <c r="EI506" s="1375"/>
      <c r="EJ506" s="1363"/>
      <c r="EK506" s="1376"/>
      <c r="EL506" s="1376"/>
      <c r="EM506" s="1362"/>
      <c r="EN506" s="1362"/>
      <c r="EO506" s="1363"/>
      <c r="EP506" s="1363"/>
      <c r="EQ506" s="1363"/>
      <c r="ES506" s="1403"/>
      <c r="EU506" s="1488"/>
      <c r="EV506" s="1488"/>
      <c r="EW506" s="1488"/>
      <c r="EX506" s="1488"/>
      <c r="EY506" s="1488"/>
      <c r="EZ506" s="1414"/>
      <c r="FB506" s="1365"/>
      <c r="FD506" s="1355"/>
      <c r="FE506" s="1355"/>
      <c r="FF506" s="138"/>
      <c r="FI506" s="1357"/>
      <c r="FJ506" s="1357"/>
      <c r="FK506" s="1365"/>
      <c r="FL506" s="1365"/>
      <c r="FM506" s="1365"/>
      <c r="FO506" s="1361"/>
      <c r="FP506" s="1361"/>
      <c r="FQ506" s="1366"/>
      <c r="FR506" s="1361"/>
      <c r="FS506" s="1361"/>
      <c r="FT506" s="1361"/>
      <c r="FU506" s="1360"/>
      <c r="FW506" s="1352"/>
      <c r="FX506" s="1352"/>
      <c r="FY506" s="1352"/>
      <c r="FZ506" s="1352"/>
      <c r="GA506" s="1352"/>
      <c r="GB506" s="1352"/>
      <c r="GC506" s="1352"/>
      <c r="GD506" s="1352"/>
      <c r="GE506" s="759"/>
      <c r="GF506" s="1035"/>
      <c r="GG506" s="1385"/>
      <c r="GJ506" s="1034">
        <f>IF(GJ504=TRUE,0,GJ$16)</f>
        <v>0</v>
      </c>
      <c r="GL506" s="1034">
        <f>IF(GL504=TRUE,0,GL$16)</f>
        <v>36</v>
      </c>
      <c r="GM506" s="1034">
        <f>IF(GM504=TRUE,0,GM$16)</f>
        <v>35</v>
      </c>
      <c r="GN506" s="436"/>
      <c r="GO506" s="436"/>
      <c r="GP506" s="436"/>
      <c r="GQ506" s="436"/>
      <c r="GR506" s="436"/>
      <c r="HC506" s="1034">
        <f t="shared" ref="HC506:HH506" si="370">IF(HC504=TRUE,0,HC$16)</f>
        <v>19</v>
      </c>
      <c r="HD506" s="1034">
        <f t="shared" si="370"/>
        <v>18</v>
      </c>
      <c r="HE506" s="1034">
        <f t="shared" si="370"/>
        <v>17</v>
      </c>
      <c r="HF506" s="1034">
        <f t="shared" si="370"/>
        <v>16</v>
      </c>
      <c r="HG506" s="1034">
        <f t="shared" si="370"/>
        <v>0</v>
      </c>
      <c r="HH506" s="1034">
        <f t="shared" si="370"/>
        <v>0</v>
      </c>
      <c r="HI506" s="1034">
        <f>IF(HI504=TRUE,0,HI$16)</f>
        <v>13</v>
      </c>
      <c r="HJ506" s="1034">
        <f t="shared" ref="HJ506:HL506" si="371">IF(HJ504=TRUE,0,HJ$16)</f>
        <v>12</v>
      </c>
      <c r="HK506" s="1034">
        <f t="shared" si="371"/>
        <v>11</v>
      </c>
      <c r="HL506" s="1034">
        <f t="shared" si="371"/>
        <v>10</v>
      </c>
      <c r="HM506" s="1034">
        <f>IF(HM504=TRUE,0,HM$16)</f>
        <v>9</v>
      </c>
      <c r="HN506" s="1034">
        <f t="shared" ref="HN506:HR506" si="372">IF(HN504=TRUE,0,HN$16)</f>
        <v>0</v>
      </c>
      <c r="HO506" s="1034">
        <f t="shared" si="372"/>
        <v>0</v>
      </c>
      <c r="HP506" s="1034">
        <f t="shared" si="372"/>
        <v>0</v>
      </c>
      <c r="HQ506" s="1034">
        <f t="shared" si="372"/>
        <v>0</v>
      </c>
      <c r="HR506" s="1034">
        <f t="shared" si="372"/>
        <v>0</v>
      </c>
      <c r="HS506" s="1034">
        <f>IF(HS504=TRUE,0,HS$16)</f>
        <v>0</v>
      </c>
      <c r="HT506" s="1034">
        <f t="shared" ref="HT506" si="373">IF(HT504=TRUE,0,HT$16)</f>
        <v>0</v>
      </c>
      <c r="HU506" s="1034">
        <f>IF(HU504=TRUE,0,HU$16)</f>
        <v>1</v>
      </c>
      <c r="HW506" s="1034">
        <f>IF(GL504=FALSE,GL506,IF(GM504=FALSE,GM506,MAX(GJ506:HU506)))</f>
        <v>36</v>
      </c>
      <c r="HX506" s="1383"/>
      <c r="HY506" s="241" t="str">
        <f>VLOOKUP(HW506,_Error_Table,3,FALSE)</f>
        <v xml:space="preserve"> </v>
      </c>
      <c r="HZ506" s="241"/>
      <c r="IA506" s="1386"/>
      <c r="IB506" s="1380"/>
      <c r="IC506" s="1379"/>
      <c r="IF506" s="1380"/>
      <c r="IG506" s="1383"/>
      <c r="IH506" s="1383"/>
      <c r="II506" s="1383"/>
      <c r="IK506" s="1351"/>
      <c r="IL506" s="1351"/>
      <c r="IM506" s="1351"/>
      <c r="IN506" s="1351"/>
      <c r="IO506" s="1351"/>
      <c r="IP506" s="1351"/>
    </row>
    <row r="507" spans="1:250" s="82" customFormat="1" ht="5.0999999999999996" customHeight="1" thickBot="1">
      <c r="B507" s="763"/>
      <c r="C507" s="1038"/>
      <c r="D507" s="1038"/>
      <c r="E507" s="1490"/>
      <c r="F507" s="1490"/>
      <c r="G507" s="1490"/>
      <c r="H507" s="1490"/>
      <c r="I507" s="1490"/>
      <c r="J507" s="1490"/>
      <c r="K507" s="1490"/>
      <c r="L507" s="1490"/>
      <c r="M507" s="1490"/>
      <c r="N507" s="1490"/>
      <c r="O507" s="1490"/>
      <c r="P507" s="1490"/>
      <c r="Q507" s="1490"/>
      <c r="R507" s="1490"/>
      <c r="S507" s="1490"/>
      <c r="T507" s="1490"/>
      <c r="U507" s="1490"/>
      <c r="V507" s="1490"/>
      <c r="W507" s="1490"/>
      <c r="X507" s="1490"/>
      <c r="Y507" s="1490"/>
      <c r="Z507" s="1490"/>
      <c r="AA507" s="1490"/>
      <c r="AB507" s="1490"/>
      <c r="AC507" s="1490"/>
      <c r="AD507" s="1490"/>
      <c r="AE507" s="1490"/>
      <c r="AF507" s="1490"/>
      <c r="AG507" s="1490"/>
      <c r="AH507" s="1490"/>
      <c r="AI507" s="1490"/>
      <c r="AJ507" s="1490"/>
      <c r="AK507" s="1490"/>
      <c r="AL507" s="1490"/>
      <c r="AM507" s="1490"/>
      <c r="AN507" s="1490"/>
      <c r="AO507" s="1490"/>
      <c r="AP507" s="1490"/>
      <c r="AQ507" s="1490"/>
      <c r="AR507" s="1490"/>
      <c r="AS507" s="1490"/>
      <c r="AT507" s="1490"/>
      <c r="AU507" s="1041"/>
      <c r="BC507" s="38"/>
      <c r="BD507" s="38"/>
      <c r="BE507" s="38"/>
      <c r="BF507" s="38"/>
      <c r="BG507" s="38"/>
      <c r="BH507" s="38"/>
      <c r="BI507" s="38"/>
      <c r="BJ507" s="38"/>
      <c r="BK507" s="38"/>
      <c r="BL507" s="38"/>
      <c r="BM507" s="38"/>
      <c r="BN507" s="38"/>
      <c r="BO507" s="38"/>
      <c r="BP507" s="38"/>
      <c r="BQ507" s="38"/>
      <c r="BR507" s="38"/>
      <c r="BS507" s="38"/>
      <c r="BT507" s="38"/>
      <c r="BU507" s="38"/>
      <c r="BV507" s="38"/>
      <c r="BW507" s="38"/>
      <c r="BX507" s="38"/>
      <c r="BY507" s="38"/>
      <c r="BZ507" s="38"/>
      <c r="CA507" s="38"/>
      <c r="CB507" s="38"/>
      <c r="CC507" s="38"/>
      <c r="CD507" s="38"/>
      <c r="CE507" s="38"/>
      <c r="CF507" s="38"/>
      <c r="CG507" s="38"/>
      <c r="CH507" s="38"/>
      <c r="CI507" s="38"/>
      <c r="CM507" s="749"/>
      <c r="CN507" s="749"/>
      <c r="CO507" s="1043"/>
      <c r="CP507" s="749"/>
      <c r="CS507" s="436"/>
      <c r="CT507" s="436"/>
      <c r="CU507" s="243"/>
      <c r="CV507" s="244"/>
      <c r="CW507" s="244"/>
      <c r="CX507" s="244"/>
      <c r="CY507" s="245"/>
      <c r="CZ507" s="245"/>
      <c r="DA507" s="245"/>
      <c r="DC507" s="750"/>
      <c r="DD507" s="751"/>
      <c r="DE507" s="752"/>
      <c r="DF507" s="753"/>
      <c r="DG507" s="754"/>
      <c r="DH507" s="754"/>
      <c r="DK507" s="244"/>
      <c r="DL507" s="750"/>
      <c r="DN507" s="750"/>
      <c r="DO507" s="755"/>
      <c r="DP507" s="436"/>
      <c r="DQ507" s="750"/>
      <c r="DR507" s="750"/>
      <c r="DS507" s="750"/>
      <c r="DU507" s="750"/>
      <c r="DV507" s="750"/>
      <c r="DW507" s="750"/>
      <c r="DX507" s="750"/>
      <c r="DZ507" s="756"/>
      <c r="EA507" s="756"/>
      <c r="EC507" s="754"/>
      <c r="ED507" s="754"/>
      <c r="EE507" s="244"/>
      <c r="EF507" s="754"/>
      <c r="EG507" s="754"/>
      <c r="EH507" s="243"/>
      <c r="EI507" s="243"/>
      <c r="EJ507" s="752"/>
      <c r="EK507" s="757"/>
      <c r="EL507" s="757"/>
      <c r="EM507" s="758"/>
      <c r="EN507" s="758"/>
      <c r="EO507" s="752"/>
      <c r="EP507" s="752"/>
      <c r="EQ507" s="752"/>
      <c r="ES507" s="750"/>
      <c r="EU507" s="436"/>
      <c r="EV507" s="436"/>
      <c r="EW507" s="436"/>
      <c r="EX507" s="436"/>
      <c r="EY507" s="436"/>
      <c r="EZ507" s="436"/>
      <c r="FB507" s="643"/>
      <c r="FD507" s="436"/>
      <c r="FE507" s="436"/>
      <c r="FF507" s="436"/>
      <c r="FO507" s="750"/>
      <c r="FP507" s="436"/>
      <c r="FQ507" s="436"/>
      <c r="FR507" s="750"/>
      <c r="FS507" s="750"/>
      <c r="FW507" s="749"/>
      <c r="FX507" s="749"/>
      <c r="FY507" s="749"/>
      <c r="FZ507" s="749"/>
      <c r="GA507" s="749"/>
      <c r="GB507" s="749"/>
      <c r="GC507" s="749"/>
      <c r="GD507" s="749"/>
      <c r="GE507" s="751"/>
      <c r="GF507" s="750"/>
      <c r="GG507" s="750"/>
    </row>
    <row r="508" spans="1:250" s="82" customFormat="1" ht="14.95" customHeight="1" thickTop="1" thickBot="1">
      <c r="B508" s="1421" t="str">
        <f>HY511</f>
        <v xml:space="preserve"> </v>
      </c>
      <c r="C508" s="1422">
        <f>C503+1</f>
        <v>91</v>
      </c>
      <c r="D508" s="1423"/>
      <c r="E508" s="1424" t="s">
        <v>242</v>
      </c>
      <c r="F508" s="1425"/>
      <c r="G508" s="1426"/>
      <c r="H508" s="1427"/>
      <c r="I508" s="1427"/>
      <c r="J508" s="1427"/>
      <c r="K508" s="1427"/>
      <c r="L508" s="1427"/>
      <c r="M508" s="1427"/>
      <c r="N508" s="1427"/>
      <c r="O508" s="1427"/>
      <c r="P508" s="1427"/>
      <c r="Q508" s="1427"/>
      <c r="R508" s="1427"/>
      <c r="S508" s="1428" t="s">
        <v>283</v>
      </c>
      <c r="T508" s="668" t="s">
        <v>190</v>
      </c>
      <c r="U508" s="1430" t="s">
        <v>186</v>
      </c>
      <c r="V508" s="1431"/>
      <c r="W508" s="1431"/>
      <c r="X508" s="1431"/>
      <c r="Y508" s="1431"/>
      <c r="Z508" s="1431"/>
      <c r="AA508" s="1431"/>
      <c r="AB508" s="1088" t="str">
        <f>IFERROR(IF(__Retrofit_TI_NC=0,VLOOKUP(U509,Fixtures_Existing_List,2,FALSE),ROUND(N510*R510/T510,10)),"")</f>
        <v/>
      </c>
      <c r="AC508" s="1039" t="str">
        <f>IFERROR(IF(__Retrofit_TI_NC=0,ROUND(T509*AB508*N509*R509/1000,0),IF(CN508="Interior",N510*R510*R509*N509*_C406_reduction/1000,N510*R510*R509*N509/1000)),"")</f>
        <v/>
      </c>
      <c r="AD508" s="1040" t="str">
        <f>IFERROR(IF(C$36=0,ROUND(T509*AB508/1000,2),N510*R510/1000),"")</f>
        <v/>
      </c>
      <c r="AE508" s="1044" t="s">
        <v>190</v>
      </c>
      <c r="AF508" s="1432" t="str">
        <f>IF(__Retrofit_TI_NC=2,CONCATENATE("Code min = ",DD508),IF(__Retrofit_TI_NC=1,"Emter what you think the existing control was"," Control"))</f>
        <v xml:space="preserve"> Control</v>
      </c>
      <c r="AG508" s="1432"/>
      <c r="AH508" s="1432"/>
      <c r="AI508" s="1432"/>
      <c r="AJ508" s="1433">
        <f>DF508</f>
        <v>0</v>
      </c>
      <c r="AK508" s="1435" t="str">
        <f>IFERROR(ROUND(AJ508*AC508,0),"")</f>
        <v/>
      </c>
      <c r="AL508" s="1437">
        <f>IFERROR(IF(HW508=FALSE,0,AC508-AK508),0)</f>
        <v>0</v>
      </c>
      <c r="AM508" s="1439">
        <f>AL508-AL510</f>
        <v>0</v>
      </c>
      <c r="AN508" s="1440"/>
      <c r="AO508" s="1445">
        <f>IFERROR(IF(HW508=FALSE,0,(T510*U511)+(AE510*AF511)),0)</f>
        <v>0</v>
      </c>
      <c r="AP508" s="1445"/>
      <c r="AQ508" s="1446"/>
      <c r="AR508" s="1451" t="s">
        <v>157</v>
      </c>
      <c r="AS508" s="1454">
        <f>IF(AR508="Yes",1,0)</f>
        <v>1</v>
      </c>
      <c r="AT508" s="1457" t="str">
        <f>IF(OR(DN508=4,DN508=5,DN508=6,DN508=12),CONCATENATE("$",IF(GD508=TRUE,Lookup!$B$11,Lookup!$B$2)," /lamp"),CONCATENATE(EA508,"/ kWh"))</f>
        <v>0/ kWh</v>
      </c>
      <c r="AU508" s="516"/>
      <c r="AV508" s="1478">
        <f>IFERROR(IF(GI509=TRUE,(AB511*T510)/R510,0),"NA")</f>
        <v>0</v>
      </c>
      <c r="AW508" s="1478" t="str">
        <f>IFERROR(N510*_C406_reduction,"NA")</f>
        <v>NA</v>
      </c>
      <c r="BC508" s="38"/>
      <c r="BD508" s="38"/>
      <c r="BE508" s="38"/>
      <c r="BF508" s="38"/>
      <c r="BG508" s="38"/>
      <c r="BH508" s="38"/>
      <c r="BI508" s="38"/>
      <c r="BJ508" s="38"/>
      <c r="BK508" s="38"/>
      <c r="BL508" s="38"/>
      <c r="BM508" s="38"/>
      <c r="BN508" s="38"/>
      <c r="BO508" s="38"/>
      <c r="BP508" s="38"/>
      <c r="BQ508" s="38"/>
      <c r="BR508" s="38"/>
      <c r="BS508" s="38"/>
      <c r="BT508" s="38"/>
      <c r="BU508" s="38"/>
      <c r="BV508" s="38"/>
      <c r="BW508" s="38"/>
      <c r="BX508" s="38"/>
      <c r="BY508" s="38"/>
      <c r="BZ508" s="38"/>
      <c r="CA508" s="38"/>
      <c r="CB508" s="38"/>
      <c r="CC508" s="38"/>
      <c r="CD508" s="38"/>
      <c r="CE508" s="38"/>
      <c r="CF508" s="38"/>
      <c r="CG508" s="38"/>
      <c r="CH508" s="38"/>
      <c r="CI508" s="38"/>
      <c r="CM508" s="1352" t="str">
        <f>N509</f>
        <v/>
      </c>
      <c r="CN508" s="1352" t="str">
        <f>IFERROR(VLOOKUP(G509,_Lookup_Heat_Type_Table_New,3,FALSE),"")</f>
        <v/>
      </c>
      <c r="CO508" s="1415" t="str">
        <f>CN508</f>
        <v/>
      </c>
      <c r="CP508" s="1417" t="e">
        <f>VLOOKUP(G510,'Space Table'!$B$3:$L$160,9,FALSE)</f>
        <v>#N/A</v>
      </c>
      <c r="CR508" s="1386" t="s">
        <v>283</v>
      </c>
      <c r="CS508" s="1353">
        <f>IF(HW508=TRUE,T509,0)</f>
        <v>0</v>
      </c>
      <c r="CT508" s="1353" t="str">
        <f>IF(HW508=TRUE,U509,"")</f>
        <v/>
      </c>
      <c r="CU508" s="1353"/>
      <c r="CV508" s="1370">
        <f>IF(HW508=TRUE,AB508,0)</f>
        <v>0</v>
      </c>
      <c r="CW508" s="1370">
        <f>IF(HW508=TRUE,AC508,0)</f>
        <v>0</v>
      </c>
      <c r="CX508" s="1370">
        <f>IFERROR(IF(HW508=TRUE,CW508-CW510,0),0)</f>
        <v>0</v>
      </c>
      <c r="CY508" s="1485">
        <f>IF(HW508=TRUE,AD508,0)</f>
        <v>0</v>
      </c>
      <c r="CZ508" s="1485">
        <f>IF(HW508=TRUE,AD511,0)</f>
        <v>0</v>
      </c>
      <c r="DA508" s="1485">
        <f>IFERROR(CY508-CZ508,0)</f>
        <v>0</v>
      </c>
      <c r="DC508" s="1353">
        <f>IF(HW508=TRUE,AE509,0)</f>
        <v>0</v>
      </c>
      <c r="DD508" s="1460">
        <f>IF(__Retrofit_TI_NC=2,IF(CN508="Exterior",O511,FM508),FK508)</f>
        <v>0</v>
      </c>
      <c r="DE508" s="1353"/>
      <c r="DF508" s="1406">
        <f>IFERROR(IF(FL508=3,IK508,IF(FL508=4,IL508,IF(FL508=5,IM508,IF(FL508=6,IN508,IF(FL508=7,IO508,IF(FL508=8,IP508,0)))))),0)</f>
        <v>0</v>
      </c>
      <c r="DG508" s="1370">
        <f>IF(HW508=TRUE,AK508,0)</f>
        <v>0</v>
      </c>
      <c r="DH508" s="1369">
        <f>IFERROR(IF(HW508=TRUE,DG510-DG508,0),0)</f>
        <v>0</v>
      </c>
      <c r="DJ508" s="1483">
        <f>IFERROR(CW508-DG508,0)</f>
        <v>0</v>
      </c>
      <c r="DL508" s="1419">
        <f>DJ508-DK510</f>
        <v>0</v>
      </c>
      <c r="DN508" s="1403" t="str">
        <f>IFERROR(IF(AND(OR(FY508=4,FY508=5,FY508=6),OR(GB508=4,GB508=5,GB508=6)),FY508+8,VLOOKUP(CT510,Fixtures!R$31:Y$78,8,FALSE)),"")</f>
        <v/>
      </c>
      <c r="DO508" s="1404" t="str">
        <f>DN508</f>
        <v/>
      </c>
      <c r="DP508" s="1353" t="str">
        <f>IFERROR(VLOOKUP(DD510,Lookup!AU$3:AV$15,2,FALSE),"")</f>
        <v/>
      </c>
      <c r="DQ508" s="1404" t="str">
        <f>IF(DP508=7,"LLLC","")</f>
        <v/>
      </c>
      <c r="DR508" s="1403">
        <f>IFERROR(IF(OR(DN508=4,DN508=5,DN508=6,DN508=12,DN508=13,DN508=14),VLOOKUP(CT510,Fixtures!DN$27:EG$77,19,FALSE),1)*CS510,0)</f>
        <v>0</v>
      </c>
      <c r="DS508" s="1489">
        <f>IF(DP508=7,IF(DD508=DD510,0,DC510),0)</f>
        <v>0</v>
      </c>
      <c r="DU508" s="1403" t="str">
        <f>IFERROR(IF(EW508&lt;EW510,"Yes","No"),"")</f>
        <v/>
      </c>
      <c r="DV508" s="1404" t="str">
        <f>DU508</f>
        <v/>
      </c>
      <c r="DW508" s="1403">
        <f>IF(DU508="Yes",DC510,0)</f>
        <v>0</v>
      </c>
      <c r="DX508" s="1403">
        <f>DW508-DS508</f>
        <v>0</v>
      </c>
      <c r="DZ508" s="1481">
        <f>IFERROR(VLOOKUP(DN508,Lookup!AN$3:AO$16,2,FALSE),0)</f>
        <v>0</v>
      </c>
      <c r="EA508" s="1481">
        <f>IF(HW508=FALSE,0,IF(DU508="Yes",DZ508+Lookup!B$6,DZ508))</f>
        <v>0</v>
      </c>
      <c r="EC508" s="1482">
        <f>IF(HW508=TRUE,DJ508,0)</f>
        <v>0</v>
      </c>
      <c r="ED508" s="1369">
        <f>IF(HW508=TRUE,CW510,0)</f>
        <v>0</v>
      </c>
      <c r="EE508" s="1370">
        <f>IFERROR(EC508-ED508,0)</f>
        <v>0</v>
      </c>
      <c r="EF508" s="1369">
        <f>IF(HW508=TRUE,DG510,0)</f>
        <v>0</v>
      </c>
      <c r="EG508" s="1369">
        <f>IFERROR(EC508-ED508+EF508,0)</f>
        <v>0</v>
      </c>
      <c r="EH508" s="1373">
        <f>IF(HW508=TRUE,CS510*CU510,0)</f>
        <v>0</v>
      </c>
      <c r="EI508" s="1373">
        <f>IF(HW508=TRUE,DC510*DE510,0)</f>
        <v>0</v>
      </c>
      <c r="EJ508" s="1363">
        <f>AO508</f>
        <v>0</v>
      </c>
      <c r="EK508" s="1376" t="str">
        <f>IFERROR(IF(HW508=TRUE,VLOOKUP(DN508,Lookup!AN$3:AP$16,3,FALSE)*DR508,""),0)</f>
        <v/>
      </c>
      <c r="EL508" s="1376">
        <f>IF(HW508=TRUE,DW508*Lookup!AP$12,0)</f>
        <v>0</v>
      </c>
      <c r="EM508" s="1362">
        <f>IFERROR(IF(HW508=TRUE,EK508/EM$33,0),0)</f>
        <v>0</v>
      </c>
      <c r="EN508" s="1362">
        <f>IF(HW508=TRUE,EL508/EN$33,0)</f>
        <v>0</v>
      </c>
      <c r="EO508" s="1363">
        <f>IF(HW508=TRUE,EQ$33*EM508,0)</f>
        <v>0</v>
      </c>
      <c r="EP508" s="1363">
        <f>IF(HW508=TRUE,EQ$33*EN508,0)</f>
        <v>0</v>
      </c>
      <c r="EQ508" s="1363">
        <f>EO508+EP508</f>
        <v>0</v>
      </c>
      <c r="ES508" s="1403">
        <f>IF(G508="",0,1)</f>
        <v>0</v>
      </c>
      <c r="EU508" s="1410" t="e">
        <f>VLOOKUP(CP510,'Space Table'!$B$3:$L$160,8,FALSE)</f>
        <v>#N/A</v>
      </c>
      <c r="EV508" s="1410" t="e">
        <f>IF(EY508="Yes",VLOOKUP(DD508,Lookup_Control_Type_Table2,4,FALSE),VLOOKUP(DD508,Lookup_Control_Type_Table2,3,FALSE))</f>
        <v>#N/A</v>
      </c>
      <c r="EW508" s="1410" t="e">
        <f>VLOOKUP(DD508,Lookup!AU$3:AV$15,2,FALSE)</f>
        <v>#N/A</v>
      </c>
      <c r="EX508" s="1410" t="e">
        <f>VLOOKUP(EU508,Lookup_Control_Type_Table,2,FALSE)</f>
        <v>#N/A</v>
      </c>
      <c r="EY508" s="1410" t="e">
        <f>VLOOKUP(CP510,'Space Table'!$B$3:$L$160,7,FALSE)</f>
        <v>#N/A</v>
      </c>
      <c r="EZ508" s="1412" t="b">
        <f>ISNUMBER(SEARCH("TLED",U510))</f>
        <v>0</v>
      </c>
      <c r="FB508" s="1365" t="str">
        <f>CONCATENATE(CN508," - ",DD508)</f>
        <v xml:space="preserve"> - 0</v>
      </c>
      <c r="FD508" s="1353" t="str">
        <f>VLOOKUP(CT510,Fixtures!DN$27:EZ$77,38,FALSE)</f>
        <v/>
      </c>
      <c r="FE508" s="1353">
        <f>IFERROR(FD508*EE508,0)</f>
        <v>0</v>
      </c>
      <c r="FF508" s="138"/>
      <c r="FI508" s="1356" t="str">
        <f>IF(CN508="Exterior","Not Daylighted",G511)</f>
        <v>Not Daylighted</v>
      </c>
      <c r="FJ508" s="1356">
        <f>VLOOKUP(FI508,_Daylight_Table_Codes,2,FALSE)</f>
        <v>0</v>
      </c>
      <c r="FK508" s="1365">
        <f>IF(__Retrofit_TI_NC=2,VLOOKUP(G510,'Space Table'!$B$3:$L$160,11,FALSE),AF509)</f>
        <v>0</v>
      </c>
      <c r="FL508" s="1365" t="e">
        <f>VLOOKUP(FK508,_Control_Table,2,FALSE)</f>
        <v>#N/A</v>
      </c>
      <c r="FM508" s="1365" t="e">
        <f>IF(AND(FP508&gt;0,FK508="Occupancy Sensor"),"Daylight + Occupancy",IF(AND(FP508&gt;0,FL508&lt;4),"Interior Daylight Dimming",FK508))</f>
        <v>#N/A</v>
      </c>
      <c r="FO508" s="1364">
        <f>IF(CO508="Interior",VLOOKUP(CP508,Control_Savings_Interior,5,FALSE),0)</f>
        <v>0</v>
      </c>
      <c r="FP508" s="1361">
        <f>IF(CN508="Exterior",0,IF(FJ508=2,0.5,IF(OR(FJ508=1,FJ508=3),1,0)))</f>
        <v>0</v>
      </c>
      <c r="FQ508" s="1366"/>
      <c r="FR508" s="1367"/>
      <c r="FS508" s="1364"/>
      <c r="FT508" s="1367"/>
      <c r="FU508" s="1360"/>
      <c r="FW508" s="1352" t="str">
        <f>IFERROR(VLOOKUP(U509,_Exist_Fixture_Table,3,FALSE),"")</f>
        <v/>
      </c>
      <c r="FX508" s="1352" t="str">
        <f>VLOOKUP(CT508,_Exist_Fixture_Table,4,FALSE)</f>
        <v/>
      </c>
      <c r="FY508" s="1352">
        <f>IFERROR(VLOOKUP(FX508,Lookup!AM$6:AN$8,2,FALSE),0)</f>
        <v>0</v>
      </c>
      <c r="FZ508" s="1352" t="b">
        <f>IFERROR(IF(OR(GB508=4,GB508=5,GB508=6),TRUE,FALSE),"")</f>
        <v>0</v>
      </c>
      <c r="GA508" s="1352" t="str">
        <f>IFERROR(VLOOKUP(GB508,FY$6:FZ$10,2,FALSE),"")</f>
        <v/>
      </c>
      <c r="GB508" s="1352" t="str">
        <f>VLOOKUP(CT510,Fixtures!R$31:Y$78,8,FALSE)</f>
        <v/>
      </c>
      <c r="GC508" s="1352">
        <f>IF(AND(FW508=TRUE,FZ508=TRUE,OR(DN508=12,DN508=13,DN508=14)),FY508+8,0)</f>
        <v>0</v>
      </c>
      <c r="GD508" s="1352" t="b">
        <f>IF(OR(GC508=12,GC508=13,GC508=14),TRUE,FALSE)</f>
        <v>0</v>
      </c>
      <c r="GE508" s="759" t="b">
        <f>IF(ISNUMBER(SEARCH("TLED",U509)),TRUE,FALSE)</f>
        <v>0</v>
      </c>
      <c r="GF508" s="1035" t="str">
        <f>IFERROR(VLOOKUP(U509,Fixtures!BM$93:BR$142,6,FALSE),"")</f>
        <v/>
      </c>
      <c r="GG508" s="1385" t="b">
        <f>IF(OR(GE508=FALSE,GE510=FALSE),TRUE,IF(GF508-GF510&lt;5,FALSE,TRUE))</f>
        <v>1</v>
      </c>
      <c r="GK508" s="1034">
        <f>GL508</f>
        <v>0</v>
      </c>
      <c r="GL508" s="1034">
        <f>IF(G508="",0,1)</f>
        <v>0</v>
      </c>
      <c r="GM508" s="1034">
        <f>SUM(GN508:HB508)</f>
        <v>2</v>
      </c>
      <c r="GN508" s="1034">
        <f>IF(G509="",0,1)</f>
        <v>0</v>
      </c>
      <c r="GO508" s="1034">
        <f>IF(G510="",0,1)</f>
        <v>0</v>
      </c>
      <c r="GP508" s="1034">
        <f>IF(R509="",0,1)</f>
        <v>0</v>
      </c>
      <c r="GQ508" s="1034">
        <f>IF(__Retrofit_TI_NC=0,1,IF(R510="",0,1))</f>
        <v>1</v>
      </c>
      <c r="GR508" s="1034">
        <f>IF(CN508="Exterior",1,IF(G511="",0,1))</f>
        <v>1</v>
      </c>
      <c r="GS508" s="1034">
        <f>IF(__Retrofit_TI_NC&lt;&gt;0,1,IF(T509="",0,1))</f>
        <v>0</v>
      </c>
      <c r="GT508" s="1034">
        <f>IF(__Retrofit_TI_NC&lt;&gt;0,1,IF(U509="",0,1))</f>
        <v>0</v>
      </c>
      <c r="GU508" s="1034">
        <f>IF(T510="",0,1)</f>
        <v>0</v>
      </c>
      <c r="GV508" s="1034">
        <f>IF(U510="",0,1)</f>
        <v>0</v>
      </c>
      <c r="GW508" s="1034">
        <f>IF(__Retrofit_TI_NC=2,1,IF(U511="",0,1))</f>
        <v>0</v>
      </c>
      <c r="GX508" s="1034">
        <f>IF(__Retrofit_TI_NC&lt;&gt;0,1,IF(AE509="",0,1))</f>
        <v>0</v>
      </c>
      <c r="GY508" s="1034">
        <f>IF(__Retrofit_TI_NC&lt;&gt;0,1,IF(AF509="",0,1))</f>
        <v>0</v>
      </c>
      <c r="GZ508" s="1034">
        <f>IF(AE510="",0,1)</f>
        <v>0</v>
      </c>
      <c r="HA508" s="1034">
        <f>IF(AF510="",0,1)</f>
        <v>0</v>
      </c>
      <c r="HB508" s="1034">
        <f>IF(__Retrofit_TI_NC=2,1,IF(AF511="",0,1))</f>
        <v>0</v>
      </c>
      <c r="HV508" s="436"/>
      <c r="HW508" s="1384" t="b">
        <f>IF(OR(HW511=0,HW511=HT$16,HW511=HS$16,HW511=HU$16),TRUE,FALSE)</f>
        <v>0</v>
      </c>
      <c r="HX508" s="1377" t="b">
        <f>HW508</f>
        <v>0</v>
      </c>
      <c r="HY508" s="436"/>
      <c r="HZ508" s="436"/>
      <c r="IA508" s="1386" t="b">
        <f>IF(MAX(GJ511:HP511)&gt;5,FALSE,TRUE)</f>
        <v>0</v>
      </c>
      <c r="IB508" s="1380">
        <f>IF(IA508=TRUE,AC508,0)</f>
        <v>0</v>
      </c>
      <c r="IC508" s="1380">
        <f>IB508-IB510</f>
        <v>0</v>
      </c>
      <c r="IF508" s="1380" t="e">
        <f>ROUND(T509*VLOOKUP(U509,Fixtures_Existing_List,2,FALSE)*N509*R509/1000,0)</f>
        <v>#N/A</v>
      </c>
      <c r="IG508" s="1381" t="e">
        <f>IF508-IF510</f>
        <v>#N/A</v>
      </c>
      <c r="IH508" s="1384" t="e">
        <f>ROUND(IF(CN508="Interior",N510*R510*R509*N509*_C406_reduction/1000,N510*R510*R509*N509/1000),0)</f>
        <v>#N/A</v>
      </c>
      <c r="II508" s="1384" t="e">
        <f>IH508-IH510</f>
        <v>#N/A</v>
      </c>
      <c r="IK508" s="1351" t="e">
        <f>IF($CO508="interior",IL508/2,VLOOKUP($CP508,Control_Savings_Exterior,IK$30,FALSE))</f>
        <v>#N/A</v>
      </c>
      <c r="IL508" s="1351" t="e">
        <f>IF($CO508="interior",VLOOKUP($CP508,Control_Savings_Interior,IL$30,FALSE),VLOOKUP($CP508,Control_Savings_Exterior,IL$30,FALSE))</f>
        <v>#N/A</v>
      </c>
      <c r="IM508" s="1351" t="e">
        <f>IF($CO508="interior",IF(R509&gt;FO$37,(IM$28*(FO$37/R509)),IM$28)*FP508,VLOOKUP($CP508,Control_Savings_Exterior,IM$30,FALSE))</f>
        <v>#N/A</v>
      </c>
      <c r="IN508" s="1351" t="e">
        <f>IF($CO508="interior",ROUND(((1-IL508)*IM508)+IL508,2),VLOOKUP($CP508,Control_Savings_Exterior,IN$30,FALSE))</f>
        <v>#N/A</v>
      </c>
      <c r="IO508" s="1351" t="e">
        <f>IF($CO508="interior", ROUND(((1-IL508)*(IM508*(1-IP$28)))+IP508,2), VLOOKUP($CP508,Control_Savings_Exterior,IO$30,FALSE))</f>
        <v>#N/A</v>
      </c>
      <c r="IP508" s="1351">
        <f>IF($CO508="interior",ROUND(((1-IL508)*IP$28)+IL508,2),0)</f>
        <v>0</v>
      </c>
    </row>
    <row r="509" spans="1:250" s="82" customFormat="1" ht="14.95" customHeight="1" thickTop="1" thickBot="1">
      <c r="B509" s="1421"/>
      <c r="C509" s="1422"/>
      <c r="D509" s="1423"/>
      <c r="E509" s="1393" t="s">
        <v>244</v>
      </c>
      <c r="F509" s="1394"/>
      <c r="G509" s="1395"/>
      <c r="H509" s="1395"/>
      <c r="I509" s="1395"/>
      <c r="J509" s="1395"/>
      <c r="K509" s="1395"/>
      <c r="L509" s="1395"/>
      <c r="M509" s="509" t="e">
        <f>IF(__Retrofit_TI_NC&lt;&gt;0,IF(VLOOKUP(G510,'Space Table'!$B$3:$L$160,3,FALSE)&gt;0,1,0),IF(__Retrofit_TI_NC=VLOOKUP(G510,'Space Table'!$B$3:$L$160,3,FALSE),1,0))</f>
        <v>#N/A</v>
      </c>
      <c r="N509" s="509" t="str">
        <f>IFERROR(VLOOKUP(G509,_Lookup_Heat_Type_Table_New,2,FALSE),"")</f>
        <v/>
      </c>
      <c r="O509" s="509">
        <f>IF(__Retrofit_TI_NC=1,CONCATENATE("TI ",G509),IF(__Retrofit_TI_NC=2,CONCATENATE("NC ",G509),G509))</f>
        <v>0</v>
      </c>
      <c r="P509" s="1396" t="s">
        <v>352</v>
      </c>
      <c r="Q509" s="1396"/>
      <c r="R509" s="673"/>
      <c r="S509" s="1429"/>
      <c r="T509" s="675"/>
      <c r="U509" s="1496"/>
      <c r="V509" s="1497"/>
      <c r="W509" s="1497"/>
      <c r="X509" s="1497"/>
      <c r="Y509" s="1497"/>
      <c r="Z509" s="1497"/>
      <c r="AA509" s="1497"/>
      <c r="AB509" s="1497"/>
      <c r="AC509" s="1497"/>
      <c r="AD509" s="1498"/>
      <c r="AE509" s="675"/>
      <c r="AF509" s="1397"/>
      <c r="AG509" s="1397"/>
      <c r="AH509" s="1397"/>
      <c r="AI509" s="1397"/>
      <c r="AJ509" s="1434"/>
      <c r="AK509" s="1436"/>
      <c r="AL509" s="1438"/>
      <c r="AM509" s="1441"/>
      <c r="AN509" s="1442"/>
      <c r="AO509" s="1447"/>
      <c r="AP509" s="1447"/>
      <c r="AQ509" s="1448"/>
      <c r="AR509" s="1452"/>
      <c r="AS509" s="1455"/>
      <c r="AT509" s="1458"/>
      <c r="AU509" s="516"/>
      <c r="AV509" s="1479"/>
      <c r="AW509" s="1479"/>
      <c r="BC509" s="38"/>
      <c r="BD509" s="38"/>
      <c r="BE509" s="38"/>
      <c r="BF509" s="38"/>
      <c r="BG509" s="38"/>
      <c r="BH509" s="38"/>
      <c r="BI509" s="38"/>
      <c r="BJ509" s="38"/>
      <c r="BK509" s="38"/>
      <c r="BL509" s="38"/>
      <c r="BM509" s="38"/>
      <c r="BN509" s="38"/>
      <c r="BO509" s="38"/>
      <c r="BP509" s="38"/>
      <c r="BQ509" s="38"/>
      <c r="BR509" s="38"/>
      <c r="BS509" s="38"/>
      <c r="BT509" s="38"/>
      <c r="BU509" s="38"/>
      <c r="BV509" s="38"/>
      <c r="BW509" s="38"/>
      <c r="BX509" s="38"/>
      <c r="BY509" s="38"/>
      <c r="BZ509" s="38"/>
      <c r="CA509" s="38"/>
      <c r="CB509" s="38"/>
      <c r="CC509" s="38"/>
      <c r="CD509" s="38"/>
      <c r="CE509" s="38"/>
      <c r="CF509" s="38"/>
      <c r="CG509" s="38"/>
      <c r="CH509" s="38"/>
      <c r="CI509" s="38"/>
      <c r="CM509" s="1352"/>
      <c r="CN509" s="1352"/>
      <c r="CO509" s="1416"/>
      <c r="CP509" s="1418"/>
      <c r="CR509" s="1386"/>
      <c r="CS509" s="1355"/>
      <c r="CT509" s="1355"/>
      <c r="CU509" s="1355"/>
      <c r="CV509" s="1372"/>
      <c r="CW509" s="1372"/>
      <c r="CX509" s="1371"/>
      <c r="CY509" s="1486"/>
      <c r="CZ509" s="1486"/>
      <c r="DA509" s="1486"/>
      <c r="DC509" s="1355"/>
      <c r="DD509" s="1461"/>
      <c r="DE509" s="1355"/>
      <c r="DF509" s="1407"/>
      <c r="DG509" s="1372"/>
      <c r="DH509" s="1369"/>
      <c r="DJ509" s="1484"/>
      <c r="DL509" s="1419"/>
      <c r="DN509" s="1403"/>
      <c r="DO509" s="1405"/>
      <c r="DP509" s="1354"/>
      <c r="DQ509" s="1405"/>
      <c r="DR509" s="1403"/>
      <c r="DS509" s="1489"/>
      <c r="DU509" s="1403"/>
      <c r="DV509" s="1405"/>
      <c r="DW509" s="1403"/>
      <c r="DX509" s="1403"/>
      <c r="DZ509" s="1481"/>
      <c r="EA509" s="1481"/>
      <c r="EC509" s="1482"/>
      <c r="ED509" s="1369"/>
      <c r="EE509" s="1371"/>
      <c r="EF509" s="1369"/>
      <c r="EG509" s="1369"/>
      <c r="EH509" s="1374"/>
      <c r="EI509" s="1374"/>
      <c r="EJ509" s="1363"/>
      <c r="EK509" s="1376"/>
      <c r="EL509" s="1376"/>
      <c r="EM509" s="1362"/>
      <c r="EN509" s="1362"/>
      <c r="EO509" s="1363"/>
      <c r="EP509" s="1363"/>
      <c r="EQ509" s="1363"/>
      <c r="ES509" s="1403"/>
      <c r="EU509" s="1411"/>
      <c r="EV509" s="1411"/>
      <c r="EW509" s="1411"/>
      <c r="EX509" s="1411"/>
      <c r="EY509" s="1411"/>
      <c r="EZ509" s="1413"/>
      <c r="FB509" s="1365"/>
      <c r="FD509" s="1354"/>
      <c r="FE509" s="1354"/>
      <c r="FF509" s="138"/>
      <c r="FI509" s="1357"/>
      <c r="FJ509" s="1357"/>
      <c r="FK509" s="1365"/>
      <c r="FL509" s="1365"/>
      <c r="FM509" s="1365"/>
      <c r="FO509" s="1361"/>
      <c r="FP509" s="1361"/>
      <c r="FQ509" s="1366"/>
      <c r="FR509" s="1368"/>
      <c r="FS509" s="1361"/>
      <c r="FT509" s="1368"/>
      <c r="FU509" s="1360"/>
      <c r="FW509" s="1352"/>
      <c r="FX509" s="1352"/>
      <c r="FY509" s="1352"/>
      <c r="FZ509" s="1352"/>
      <c r="GA509" s="1352"/>
      <c r="GB509" s="1352"/>
      <c r="GC509" s="1352"/>
      <c r="GD509" s="1352"/>
      <c r="GE509" s="759"/>
      <c r="GF509" s="1035"/>
      <c r="GG509" s="1385"/>
      <c r="GI509" s="1384" t="b">
        <f>IF(AND(GL509=TRUE,GM509=TRUE),TRUE,FALSE)</f>
        <v>0</v>
      </c>
      <c r="GJ509" s="1379" t="b">
        <f>IFERROR(IF(__Retrofit_TI_NC=2,TRUE,IF(AR508="Yes",TRUE,FALSE)),FALSE)</f>
        <v>1</v>
      </c>
      <c r="GL509" s="1379" t="b">
        <f>IFERROR(IF(GL508=1,TRUE,FALSE),FALSE)</f>
        <v>0</v>
      </c>
      <c r="GM509" s="1379" t="b">
        <f>IFERROR(IF(GM508=GM$14,TRUE,FALSE),FALSE)</f>
        <v>0</v>
      </c>
      <c r="HC509" s="1379" t="b">
        <f>IFERROR(IF(M509=1,TRUE,FALSE),FALSE)</f>
        <v>0</v>
      </c>
      <c r="HD509" s="1379" t="b">
        <f>IFERROR(IF(M510=1,TRUE,FALSE),FALSE)</f>
        <v>0</v>
      </c>
      <c r="HE509" s="1379" t="b">
        <f>IFERROR(IF(__Retrofit_TI_NC&lt;&gt;0,TRUE,IFERROR(IF(VLOOKUP(U509,Fixtures_Existing_List,2,FALSE)&lt;&gt;"",TRUE,FALSE),FALSE)),FALSE)</f>
        <v>0</v>
      </c>
      <c r="HF509" s="1379" t="b">
        <f>IFERROR(IF(VLOOKUP(U510,Fixtures_Proposed_List,2,FALSE)&lt;&gt;"",TRUE,FALSE),FALSE)</f>
        <v>0</v>
      </c>
      <c r="HG509" s="1379" t="b">
        <f>IF(AND(__Retrofit_TI_NC=2,EZ508=TRUE),FALSE,TRUE)</f>
        <v>1</v>
      </c>
      <c r="HH509" s="1379" t="b">
        <f>GG508</f>
        <v>1</v>
      </c>
      <c r="HI509" s="1384" t="b">
        <f>IF(ISERROR(MATCH(FB508,_Control_Match[],0))=TRUE,FALSE,TRUE)</f>
        <v>0</v>
      </c>
      <c r="HJ509" s="1384" t="b">
        <f>IFERROR(IF(EU508&lt;&gt;EV508,FALSE,TRUE),FALSE)</f>
        <v>0</v>
      </c>
      <c r="HK509" s="1384" t="b">
        <f>IFERROR(IF(EU510&lt;&gt;EV510,FALSE,TRUE),FALSE)</f>
        <v>0</v>
      </c>
      <c r="HL509" s="1379" t="b">
        <f>IFERROR(IF(CN508="Exterior",TRUE,IF(OR(AND(FJ508=0,EW510&gt;4),AND(FJ508=4,EW510&gt;4,EW510&lt;7)),FALSE,TRUE)),FALSE)</f>
        <v>0</v>
      </c>
      <c r="HM509" s="1379" t="b">
        <f>IFERROR(IF(AND(FL510=7,EZ508=TRUE),FALSE,TRUE),FALSE)</f>
        <v>0</v>
      </c>
      <c r="HN509" s="1379" t="b">
        <f>IFERROR(IF(AND(T510&lt;&gt;AE510,AF510="Interior LLLC")=TRUE,FALSE,TRUE),FALSE)</f>
        <v>1</v>
      </c>
      <c r="HO509" s="1379" t="b">
        <f>IFERROR(IF(OR(AF510=Lookup!AU$13,AF510=Lookup!AU$14)=TRUE,IF(AE510&gt;T510,FALSE,TRUE),TRUE),FALSE)</f>
        <v>1</v>
      </c>
      <c r="HP509" s="1379" t="b">
        <f>IFERROR(IF(__Retrofit_TI_NC=2,IF(EW510&lt;EW508,FALSE,TRUE),TRUE),FALSE)</f>
        <v>1</v>
      </c>
      <c r="HQ509" s="1379" t="b">
        <f>IF(CN508="Interior",IG$6,TRUE)</f>
        <v>1</v>
      </c>
      <c r="HR509" s="1379" t="b">
        <f>IF(CN508="Exterior",IG$8,TRUE)</f>
        <v>1</v>
      </c>
      <c r="HS509" s="1379" t="b">
        <f>IFERROR(IF(__Retrofit_TI_NC&lt;&gt;0,IF(AW508&lt;AV508,FALSE,TRUE),TRUE),FALSE)</f>
        <v>1</v>
      </c>
      <c r="HT509" s="1379" t="b">
        <f>IFERROR(IF(AND(G509="Exterior",R509&gt;4200),FALSE,TRUE),FALSE)</f>
        <v>1</v>
      </c>
      <c r="HU509" s="1379" t="b">
        <f>IFERROR(IF(AB511/AB508&lt;HU$18,FALSE,TRUE),FALSE)</f>
        <v>0</v>
      </c>
      <c r="HW509" s="1382"/>
      <c r="HX509" s="1378"/>
      <c r="HY509" s="1377" t="str">
        <f>VLOOKUP(HW511,_Error_Table,4,FALSE)</f>
        <v>White</v>
      </c>
      <c r="HZ509" s="436"/>
      <c r="IA509" s="1386"/>
      <c r="IB509" s="1380"/>
      <c r="IC509" s="1379"/>
      <c r="IF509" s="1380"/>
      <c r="IG509" s="1382"/>
      <c r="IH509" s="1382"/>
      <c r="II509" s="1382"/>
      <c r="IK509" s="1351"/>
      <c r="IL509" s="1351"/>
      <c r="IM509" s="1351"/>
      <c r="IN509" s="1351"/>
      <c r="IO509" s="1351"/>
      <c r="IP509" s="1351"/>
    </row>
    <row r="510" spans="1:250" s="82" customFormat="1" ht="14.95" customHeight="1" thickTop="1" thickBot="1">
      <c r="A510" s="82">
        <f>ROW()</f>
        <v>510</v>
      </c>
      <c r="B510" s="1421"/>
      <c r="C510" s="1422"/>
      <c r="D510" s="1423"/>
      <c r="E510" s="1393" t="s">
        <v>245</v>
      </c>
      <c r="F510" s="1394"/>
      <c r="G510" s="1398"/>
      <c r="H510" s="1399"/>
      <c r="I510" s="1399"/>
      <c r="J510" s="1399"/>
      <c r="K510" s="1399"/>
      <c r="L510" s="1400"/>
      <c r="M510" s="509">
        <f>IFERROR(IF(IF(__Retrofit_TI_NC&lt;&gt;0,IF(CN508="Interior",MATCH(G510,Lookup_Interior_New,0),MATCH(G510,Lookup_Exterior_New,0)),IF(CN508="Interior",MATCH(G510,Lookup_Interior,0),MATCH(G510,Lookup_Exterior_Areas,0)))&gt;0,1,0),0)</f>
        <v>0</v>
      </c>
      <c r="N510" s="509" t="e">
        <f>IF(__Retrofit_TI_NC=1,
VLOOKUP(G510,'Space Table'!$B$3:$L$160,4,FALSE),
IF(__Retrofit_TI_NC=2,VLOOKUP(G510,'Space Table'!$B$3:$L$160,5,FALSE),VLOOKUP(G510,'Space Table'!$B$3:$L$160,5,FALSE)))</f>
        <v>#N/A</v>
      </c>
      <c r="O510" s="509">
        <f>G510</f>
        <v>0</v>
      </c>
      <c r="P510" s="1394" t="s">
        <v>355</v>
      </c>
      <c r="Q510" s="1394"/>
      <c r="R510" s="674"/>
      <c r="S510" s="1401" t="s">
        <v>284</v>
      </c>
      <c r="T510" s="672"/>
      <c r="U510" s="1499"/>
      <c r="V510" s="1500"/>
      <c r="W510" s="1500"/>
      <c r="X510" s="1500"/>
      <c r="Y510" s="1500"/>
      <c r="Z510" s="1500"/>
      <c r="AA510" s="1500"/>
      <c r="AB510" s="1501"/>
      <c r="AC510" s="1501"/>
      <c r="AD510" s="1502"/>
      <c r="AE510" s="672"/>
      <c r="AF510" s="1474"/>
      <c r="AG510" s="1474"/>
      <c r="AH510" s="1474"/>
      <c r="AI510" s="1474"/>
      <c r="AJ510" s="1475">
        <f>DF510</f>
        <v>0</v>
      </c>
      <c r="AK510" s="1470" t="str">
        <f>IFERROR(ROUND(AJ510*AC511,0),"")</f>
        <v/>
      </c>
      <c r="AL510" s="1472">
        <f>IFERROR(IF(HW508=FALSE,0,AC511-AK510),0)</f>
        <v>0</v>
      </c>
      <c r="AM510" s="1441"/>
      <c r="AN510" s="1442"/>
      <c r="AO510" s="1447"/>
      <c r="AP510" s="1447"/>
      <c r="AQ510" s="1448"/>
      <c r="AR510" s="1452"/>
      <c r="AS510" s="1455"/>
      <c r="AT510" s="1458"/>
      <c r="AU510" s="516"/>
      <c r="AV510" s="1479"/>
      <c r="AW510" s="1479"/>
      <c r="BC510" s="38"/>
      <c r="BD510" s="38"/>
      <c r="BE510" s="38"/>
      <c r="BF510" s="38"/>
      <c r="BG510" s="38"/>
      <c r="BH510" s="38"/>
      <c r="BI510" s="38"/>
      <c r="BJ510" s="38"/>
      <c r="BK510" s="38"/>
      <c r="BL510" s="38"/>
      <c r="BM510" s="38"/>
      <c r="BN510" s="38"/>
      <c r="BO510" s="38"/>
      <c r="BP510" s="38"/>
      <c r="BQ510" s="38"/>
      <c r="BR510" s="38"/>
      <c r="BS510" s="38"/>
      <c r="BT510" s="38"/>
      <c r="BU510" s="38"/>
      <c r="BV510" s="38"/>
      <c r="BW510" s="38"/>
      <c r="BX510" s="38"/>
      <c r="BY510" s="38"/>
      <c r="BZ510" s="38"/>
      <c r="CA510" s="38"/>
      <c r="CB510" s="38"/>
      <c r="CC510" s="38"/>
      <c r="CD510" s="38"/>
      <c r="CE510" s="38"/>
      <c r="CF510" s="38"/>
      <c r="CG510" s="38"/>
      <c r="CH510" s="38"/>
      <c r="CI510" s="38"/>
      <c r="CM510" s="1352"/>
      <c r="CN510" s="1352"/>
      <c r="CO510" s="1415" t="str">
        <f>CN508</f>
        <v/>
      </c>
      <c r="CP510" s="1417" t="e">
        <f>CP508</f>
        <v>#N/A</v>
      </c>
      <c r="CR510" s="1386" t="s">
        <v>284</v>
      </c>
      <c r="CS510" s="1353">
        <f>IF(HW508=TRUE,T510,0)</f>
        <v>0</v>
      </c>
      <c r="CT510" s="1353" t="str">
        <f>IF(HW508=TRUE,U510,"")</f>
        <v/>
      </c>
      <c r="CU510" s="1373">
        <f>IF(HW508=TRUE,U511,0)</f>
        <v>0</v>
      </c>
      <c r="CV510" s="1370">
        <f>IF(HW508=TRUE,AB511,0)</f>
        <v>0</v>
      </c>
      <c r="CW510" s="1370">
        <f>IF(HW508=TRUE,AC511,0)</f>
        <v>0</v>
      </c>
      <c r="CX510" s="1371"/>
      <c r="CY510" s="1486"/>
      <c r="CZ510" s="1486"/>
      <c r="DA510" s="1486"/>
      <c r="DC510" s="1353">
        <f>IF(HW508=TRUE,AE510,0)</f>
        <v>0</v>
      </c>
      <c r="DD510" s="1353" t="str">
        <f>IF(HW508=TRUE,AF510,"")</f>
        <v/>
      </c>
      <c r="DE510" s="1373">
        <f>AF511</f>
        <v>0</v>
      </c>
      <c r="DF510" s="1406">
        <f>IFERROR(IF(FL510=3,IK510,IF(FL510=4,IL510,IF(FL510=5,IM510,IF(FL510=6,IN510,IF(FL510=7,IO510,IF(FL510=8,IP510,0)))))),0)</f>
        <v>0</v>
      </c>
      <c r="DG510" s="1370">
        <f>IF(HW508=TRUE,AK510,0)</f>
        <v>0</v>
      </c>
      <c r="DH510" s="1369"/>
      <c r="DK510" s="1483">
        <f>IFERROR(CW510-DG510,0)</f>
        <v>0</v>
      </c>
      <c r="DL510" s="1420"/>
      <c r="DN510" s="1403"/>
      <c r="DO510" s="1477" t="str">
        <f>DN508</f>
        <v/>
      </c>
      <c r="DP510" s="1354"/>
      <c r="DQ510" s="1477" t="str">
        <f>IF(DP508=7,"LLLC","")</f>
        <v/>
      </c>
      <c r="DR510" s="1403"/>
      <c r="DS510" s="1489"/>
      <c r="DU510" s="1403"/>
      <c r="DV510" s="1404" t="str">
        <f>DU508</f>
        <v/>
      </c>
      <c r="DW510" s="1403"/>
      <c r="DX510" s="1403"/>
      <c r="DZ510" s="1481"/>
      <c r="EA510" s="1481"/>
      <c r="EC510" s="1482"/>
      <c r="ED510" s="1369"/>
      <c r="EE510" s="1371"/>
      <c r="EF510" s="1369"/>
      <c r="EG510" s="1369"/>
      <c r="EH510" s="1374"/>
      <c r="EI510" s="1374"/>
      <c r="EJ510" s="1363"/>
      <c r="EK510" s="1376"/>
      <c r="EL510" s="1376"/>
      <c r="EM510" s="1362"/>
      <c r="EN510" s="1362"/>
      <c r="EO510" s="1363"/>
      <c r="EP510" s="1363"/>
      <c r="EQ510" s="1363"/>
      <c r="ES510" s="1403"/>
      <c r="EU510" s="1411" t="e">
        <f>VLOOKUP(CP510,'Space Table'!$B$3:$L$160,8,FALSE)</f>
        <v>#N/A</v>
      </c>
      <c r="EV510" s="1411" t="e">
        <f>IF(EY510="Yes",VLOOKUP(AF510,Lookup_Control_Type_Table2,4,FALSE),VLOOKUP(AF510,Lookup_Control_Type_Table2,3,FALSE))</f>
        <v>#N/A</v>
      </c>
      <c r="EW510" s="1411" t="e">
        <f>VLOOKUP(AF510,Lookup!AU$3:AV$15,2,FALSE)</f>
        <v>#N/A</v>
      </c>
      <c r="EX510" s="1411" t="e">
        <f>VLOOKUP(EU508,Lookup_Control_Type_Table,2,FALSE)</f>
        <v>#N/A</v>
      </c>
      <c r="EY510" s="1411" t="e">
        <f>VLOOKUP(CP510,'Space Table'!$B$3:$L$160,7,FALSE)</f>
        <v>#N/A</v>
      </c>
      <c r="EZ510" s="1413"/>
      <c r="FB510" s="1365" t="str">
        <f>CONCATENATE(CN508," - ",AF510)</f>
        <v xml:space="preserve"> - </v>
      </c>
      <c r="FD510" s="1354"/>
      <c r="FE510" s="1354"/>
      <c r="FF510" s="138"/>
      <c r="FI510" s="1356" t="str">
        <f>IF(CN508="Exterior","Not Daylighted",G511)</f>
        <v>Not Daylighted</v>
      </c>
      <c r="FJ510" s="1356">
        <f>VLOOKUP(FI510,_Daylight_Table_Codes,2,FALSE)</f>
        <v>0</v>
      </c>
      <c r="FK510" s="1365">
        <f>AF510</f>
        <v>0</v>
      </c>
      <c r="FL510" s="1365" t="e">
        <f>VLOOKUP(FK510,_Control_Table,2,FALSE)</f>
        <v>#N/A</v>
      </c>
      <c r="FM510" s="1365" t="e">
        <f>IF(AND(FP510&gt;0,FK510="Occupancy Sensor"),"Daylight + Occupancy",IF(AND(FP510&gt;0,FL510&lt;4),"Interior Daylight Dimming",FK510))</f>
        <v>#N/A</v>
      </c>
      <c r="FO510" s="1364">
        <f>IF(CN508="Interior",VLOOKUP(CP508,Control_Savings_Interior,5,FALSE),0)</f>
        <v>0</v>
      </c>
      <c r="FP510" s="1361">
        <f>IF(CN510="Exterior",0,IF(FJ510=2,0.5,IF(OR(FJ510=1,FJ510=3),1,0)))</f>
        <v>0</v>
      </c>
      <c r="FQ510" s="1366">
        <f>IF(R509&gt;FO$37,(FO510*(FO$37/R509)),FO510)*FP510</f>
        <v>0</v>
      </c>
      <c r="FR510" s="1364">
        <f>DF510</f>
        <v>0</v>
      </c>
      <c r="FS510" s="1364">
        <f>ROUND(FR510+((1-FR510)*FQ510),2)</f>
        <v>0</v>
      </c>
      <c r="FT510" s="1364">
        <f>IF(__Retrofit_TI_NC=2,FS510,FR510)</f>
        <v>0</v>
      </c>
      <c r="FU510" s="1360">
        <f>IF(CO510="Interior",VLOOKUP(CP510,Control_Savings_Interior,4,FALSE),0)</f>
        <v>0</v>
      </c>
      <c r="FW510" s="1352"/>
      <c r="FX510" s="1352"/>
      <c r="FY510" s="1352"/>
      <c r="FZ510" s="1352"/>
      <c r="GA510" s="1352"/>
      <c r="GB510" s="1352"/>
      <c r="GC510" s="1352"/>
      <c r="GD510" s="1352"/>
      <c r="GE510" s="759" t="b">
        <f>IF(ISNUMBER(SEARCH("TLED",U510)),TRUE,FALSE)</f>
        <v>0</v>
      </c>
      <c r="GF510" s="1035" t="str">
        <f>IFERROR(VLOOKUP(U510,Fixtures!DM$93:DR$142,6,FALSE),"")</f>
        <v/>
      </c>
      <c r="GG510" s="1385"/>
      <c r="GI510" s="1383"/>
      <c r="GJ510" s="1379"/>
      <c r="GL510" s="1379"/>
      <c r="GM510" s="1379"/>
      <c r="HC510" s="1379"/>
      <c r="HD510" s="1379"/>
      <c r="HE510" s="1379"/>
      <c r="HF510" s="1379"/>
      <c r="HG510" s="1379"/>
      <c r="HH510" s="1379"/>
      <c r="HI510" s="1383"/>
      <c r="HJ510" s="1383"/>
      <c r="HK510" s="1383"/>
      <c r="HL510" s="1379"/>
      <c r="HM510" s="1379"/>
      <c r="HN510" s="1379"/>
      <c r="HO510" s="1379"/>
      <c r="HP510" s="1379"/>
      <c r="HQ510" s="1379"/>
      <c r="HR510" s="1379"/>
      <c r="HS510" s="1379"/>
      <c r="HT510" s="1379"/>
      <c r="HU510" s="1379"/>
      <c r="HW510" s="1383"/>
      <c r="HX510" s="1384" t="b">
        <f>HW508</f>
        <v>0</v>
      </c>
      <c r="HY510" s="1378"/>
      <c r="HZ510" s="436"/>
      <c r="IA510" s="1386"/>
      <c r="IB510" s="1380">
        <f>IF(IA508=TRUE,AC511,0)</f>
        <v>0</v>
      </c>
      <c r="IC510" s="1379"/>
      <c r="IF510" s="1380" t="e">
        <f>ROUND(T510*AB511*N509*R509/1000,0)</f>
        <v>#VALUE!</v>
      </c>
      <c r="IG510" s="1382"/>
      <c r="IH510" s="1384" t="e">
        <f>ROUND(T510*AB511*N509*R509/1000,0)</f>
        <v>#VALUE!</v>
      </c>
      <c r="II510" s="1382"/>
      <c r="IK510" s="1351" t="e">
        <f>IF($CO510="interior",IL510/2,VLOOKUP($CP510,Control_Savings_Exterior,IK$30,FALSE))</f>
        <v>#N/A</v>
      </c>
      <c r="IL510" s="1351" t="e">
        <f>IF($CO510="interior",VLOOKUP($CP510,Control_Savings_Interior,IL$30,FALSE),VLOOKUP($CP510,Control_Savings_Exterior,IL$30,FALSE))</f>
        <v>#N/A</v>
      </c>
      <c r="IM510" s="1351" t="e">
        <f>IF($CO510="interior",IF(R509&gt;FO$37,(IM$28*(FO$37/R509)),IM$28)*FP510,VLOOKUP($CP510,Control_Savings_Exterior,IM$30,FALSE))</f>
        <v>#N/A</v>
      </c>
      <c r="IN510" s="1351" t="e">
        <f>IF($CO510="interior",ROUND(((1-IL510)*IM510)+IL510,2),VLOOKUP($CP510,Control_Savings_Exterior,IN$30,FALSE))</f>
        <v>#N/A</v>
      </c>
      <c r="IO510" s="1351" t="e">
        <f>IF($CO510="interior", ROUND(((1-IL510)*(IM510*(1-IP$28)))+IP510,2), VLOOKUP($CP510,Control_Savings_Exterior,IO$30,FALSE))</f>
        <v>#N/A</v>
      </c>
      <c r="IP510" s="1351">
        <f>IF($CO510="interior",ROUND(((1-IL510)*IP$28)+IL510,2),0)</f>
        <v>0</v>
      </c>
    </row>
    <row r="511" spans="1:250" s="82" customFormat="1" ht="14.95" customHeight="1" thickTop="1" thickBot="1">
      <c r="B511" s="1421"/>
      <c r="C511" s="1422"/>
      <c r="D511" s="1423"/>
      <c r="E511" s="1462" t="s">
        <v>357</v>
      </c>
      <c r="F511" s="1463"/>
      <c r="G511" s="1464" t="s">
        <v>362</v>
      </c>
      <c r="H511" s="1465"/>
      <c r="I511" s="1465"/>
      <c r="J511" s="1465"/>
      <c r="K511" s="1465"/>
      <c r="L511" s="1466"/>
      <c r="M511" s="669">
        <f>IFERROR(VLOOKUP(G511,_Daylight_Table[],2,FALSE),0)</f>
        <v>0</v>
      </c>
      <c r="N511" s="670"/>
      <c r="O511" s="669" t="e">
        <f>VLOOKUP(G510,'Space Table'!$B$3:$L$160,11,FALSE)</f>
        <v>#N/A</v>
      </c>
      <c r="P511" s="1408"/>
      <c r="Q511" s="1409"/>
      <c r="R511" s="1409"/>
      <c r="S511" s="1402"/>
      <c r="T511" s="671" t="s">
        <v>281</v>
      </c>
      <c r="U511" s="1467" t="str">
        <f>IFERROR(VLOOKUP(U510,Fixtures!DM$93:DP$142,4,FALSE),"")</f>
        <v/>
      </c>
      <c r="V511" s="1468"/>
      <c r="W511" s="1468"/>
      <c r="X511" s="1468"/>
      <c r="Y511" s="1468"/>
      <c r="Z511" s="1468"/>
      <c r="AA511" s="1468"/>
      <c r="AB511" s="1046" t="str">
        <f>IFERROR(VLOOKUP(U510,Fixtures_Proposed_List,2,FALSE),"")</f>
        <v/>
      </c>
      <c r="AC511" s="1036" t="str">
        <f>IFERROR(ROUND(T510*AB511*N509*R509/1000,0),"")</f>
        <v/>
      </c>
      <c r="AD511" s="1037" t="str">
        <f>IFERROR(ROUND(T510*AB511/1000,2),"")</f>
        <v/>
      </c>
      <c r="AE511" s="1045" t="s">
        <v>281</v>
      </c>
      <c r="AF511" s="1469"/>
      <c r="AG511" s="1469"/>
      <c r="AH511" s="1469"/>
      <c r="AI511" s="1469"/>
      <c r="AJ511" s="1476"/>
      <c r="AK511" s="1471"/>
      <c r="AL511" s="1473"/>
      <c r="AM511" s="1443"/>
      <c r="AN511" s="1444"/>
      <c r="AO511" s="1449"/>
      <c r="AP511" s="1449"/>
      <c r="AQ511" s="1450"/>
      <c r="AR511" s="1453"/>
      <c r="AS511" s="1456"/>
      <c r="AT511" s="1459"/>
      <c r="AU511" s="517"/>
      <c r="AV511" s="1480"/>
      <c r="AW511" s="1480"/>
      <c r="BC511" s="38"/>
      <c r="BD511" s="38"/>
      <c r="BE511" s="38"/>
      <c r="BF511" s="38"/>
      <c r="BG511" s="38"/>
      <c r="BH511" s="38"/>
      <c r="BI511" s="38"/>
      <c r="BJ511" s="38"/>
      <c r="BK511" s="38"/>
      <c r="BL511" s="38"/>
      <c r="BM511" s="38"/>
      <c r="BN511" s="38"/>
      <c r="BO511" s="38"/>
      <c r="BP511" s="38"/>
      <c r="BQ511" s="38"/>
      <c r="BR511" s="38"/>
      <c r="BS511" s="38"/>
      <c r="BT511" s="38"/>
      <c r="BU511" s="38"/>
      <c r="BV511" s="38"/>
      <c r="BW511" s="38"/>
      <c r="BX511" s="38"/>
      <c r="BY511" s="38"/>
      <c r="BZ511" s="38"/>
      <c r="CA511" s="38"/>
      <c r="CB511" s="38"/>
      <c r="CC511" s="38"/>
      <c r="CD511" s="38"/>
      <c r="CE511" s="38"/>
      <c r="CF511" s="38"/>
      <c r="CG511" s="38"/>
      <c r="CH511" s="38"/>
      <c r="CI511" s="38"/>
      <c r="CM511" s="1352"/>
      <c r="CN511" s="1352"/>
      <c r="CO511" s="1416"/>
      <c r="CP511" s="1418"/>
      <c r="CR511" s="1386"/>
      <c r="CS511" s="1355"/>
      <c r="CT511" s="1355"/>
      <c r="CU511" s="1375"/>
      <c r="CV511" s="1372"/>
      <c r="CW511" s="1372"/>
      <c r="CX511" s="1372"/>
      <c r="CY511" s="1487"/>
      <c r="CZ511" s="1487"/>
      <c r="DA511" s="1487"/>
      <c r="DC511" s="1355"/>
      <c r="DD511" s="1355"/>
      <c r="DE511" s="1375"/>
      <c r="DF511" s="1407"/>
      <c r="DG511" s="1372"/>
      <c r="DH511" s="1369"/>
      <c r="DK511" s="1484"/>
      <c r="DL511" s="1420"/>
      <c r="DN511" s="1403"/>
      <c r="DO511" s="1405"/>
      <c r="DP511" s="1355"/>
      <c r="DQ511" s="1405"/>
      <c r="DR511" s="1403"/>
      <c r="DS511" s="1489"/>
      <c r="DU511" s="1403"/>
      <c r="DV511" s="1405"/>
      <c r="DW511" s="1403"/>
      <c r="DX511" s="1403"/>
      <c r="DZ511" s="1481"/>
      <c r="EA511" s="1481"/>
      <c r="EC511" s="1482"/>
      <c r="ED511" s="1369"/>
      <c r="EE511" s="1372"/>
      <c r="EF511" s="1369"/>
      <c r="EG511" s="1369"/>
      <c r="EH511" s="1375"/>
      <c r="EI511" s="1375"/>
      <c r="EJ511" s="1363"/>
      <c r="EK511" s="1376"/>
      <c r="EL511" s="1376"/>
      <c r="EM511" s="1362"/>
      <c r="EN511" s="1362"/>
      <c r="EO511" s="1363"/>
      <c r="EP511" s="1363"/>
      <c r="EQ511" s="1363"/>
      <c r="ES511" s="1403"/>
      <c r="EU511" s="1488"/>
      <c r="EV511" s="1488"/>
      <c r="EW511" s="1488"/>
      <c r="EX511" s="1488"/>
      <c r="EY511" s="1488"/>
      <c r="EZ511" s="1414"/>
      <c r="FB511" s="1365"/>
      <c r="FD511" s="1355"/>
      <c r="FE511" s="1355"/>
      <c r="FF511" s="138"/>
      <c r="FI511" s="1357"/>
      <c r="FJ511" s="1357"/>
      <c r="FK511" s="1365"/>
      <c r="FL511" s="1365"/>
      <c r="FM511" s="1365"/>
      <c r="FO511" s="1361"/>
      <c r="FP511" s="1361"/>
      <c r="FQ511" s="1366"/>
      <c r="FR511" s="1361"/>
      <c r="FS511" s="1361"/>
      <c r="FT511" s="1361"/>
      <c r="FU511" s="1360"/>
      <c r="FW511" s="1352"/>
      <c r="FX511" s="1352"/>
      <c r="FY511" s="1352"/>
      <c r="FZ511" s="1352"/>
      <c r="GA511" s="1352"/>
      <c r="GB511" s="1352"/>
      <c r="GC511" s="1352"/>
      <c r="GD511" s="1352"/>
      <c r="GE511" s="759"/>
      <c r="GF511" s="1035"/>
      <c r="GG511" s="1385"/>
      <c r="GJ511" s="1034">
        <f>IF(GJ509=TRUE,0,GJ$16)</f>
        <v>0</v>
      </c>
      <c r="GL511" s="1034">
        <f>IF(GL509=TRUE,0,GL$16)</f>
        <v>36</v>
      </c>
      <c r="GM511" s="1034">
        <f>IF(GM509=TRUE,0,GM$16)</f>
        <v>35</v>
      </c>
      <c r="GN511" s="436"/>
      <c r="GO511" s="436"/>
      <c r="GP511" s="436"/>
      <c r="GQ511" s="436"/>
      <c r="GR511" s="436"/>
      <c r="HC511" s="1034">
        <f t="shared" ref="HC511:HH511" si="374">IF(HC509=TRUE,0,HC$16)</f>
        <v>19</v>
      </c>
      <c r="HD511" s="1034">
        <f t="shared" si="374"/>
        <v>18</v>
      </c>
      <c r="HE511" s="1034">
        <f t="shared" si="374"/>
        <v>17</v>
      </c>
      <c r="HF511" s="1034">
        <f t="shared" si="374"/>
        <v>16</v>
      </c>
      <c r="HG511" s="1034">
        <f t="shared" si="374"/>
        <v>0</v>
      </c>
      <c r="HH511" s="1034">
        <f t="shared" si="374"/>
        <v>0</v>
      </c>
      <c r="HI511" s="1034">
        <f>IF(HI509=TRUE,0,HI$16)</f>
        <v>13</v>
      </c>
      <c r="HJ511" s="1034">
        <f t="shared" ref="HJ511:HL511" si="375">IF(HJ509=TRUE,0,HJ$16)</f>
        <v>12</v>
      </c>
      <c r="HK511" s="1034">
        <f t="shared" si="375"/>
        <v>11</v>
      </c>
      <c r="HL511" s="1034">
        <f t="shared" si="375"/>
        <v>10</v>
      </c>
      <c r="HM511" s="1034">
        <f>IF(HM509=TRUE,0,HM$16)</f>
        <v>9</v>
      </c>
      <c r="HN511" s="1034">
        <f t="shared" ref="HN511:HR511" si="376">IF(HN509=TRUE,0,HN$16)</f>
        <v>0</v>
      </c>
      <c r="HO511" s="1034">
        <f t="shared" si="376"/>
        <v>0</v>
      </c>
      <c r="HP511" s="1034">
        <f t="shared" si="376"/>
        <v>0</v>
      </c>
      <c r="HQ511" s="1034">
        <f t="shared" si="376"/>
        <v>0</v>
      </c>
      <c r="HR511" s="1034">
        <f t="shared" si="376"/>
        <v>0</v>
      </c>
      <c r="HS511" s="1034">
        <f>IF(HS509=TRUE,0,HS$16)</f>
        <v>0</v>
      </c>
      <c r="HT511" s="1034">
        <f t="shared" ref="HT511" si="377">IF(HT509=TRUE,0,HT$16)</f>
        <v>0</v>
      </c>
      <c r="HU511" s="1034">
        <f>IF(HU509=TRUE,0,HU$16)</f>
        <v>1</v>
      </c>
      <c r="HW511" s="1034">
        <f>IF(GL509=FALSE,GL511,IF(GM509=FALSE,GM511,MAX(GJ511:HU511)))</f>
        <v>36</v>
      </c>
      <c r="HX511" s="1383"/>
      <c r="HY511" s="241" t="str">
        <f>VLOOKUP(HW511,_Error_Table,3,FALSE)</f>
        <v xml:space="preserve"> </v>
      </c>
      <c r="HZ511" s="241"/>
      <c r="IA511" s="1386"/>
      <c r="IB511" s="1380"/>
      <c r="IC511" s="1379"/>
      <c r="IF511" s="1380"/>
      <c r="IG511" s="1383"/>
      <c r="IH511" s="1383"/>
      <c r="II511" s="1383"/>
      <c r="IK511" s="1351"/>
      <c r="IL511" s="1351"/>
      <c r="IM511" s="1351"/>
      <c r="IN511" s="1351"/>
      <c r="IO511" s="1351"/>
      <c r="IP511" s="1351"/>
    </row>
    <row r="512" spans="1:250" s="82" customFormat="1" ht="5.0999999999999996" customHeight="1" thickBot="1">
      <c r="B512" s="763"/>
      <c r="C512" s="1038"/>
      <c r="D512" s="1038"/>
      <c r="E512" s="1490"/>
      <c r="F512" s="1490"/>
      <c r="G512" s="1490"/>
      <c r="H512" s="1490"/>
      <c r="I512" s="1490"/>
      <c r="J512" s="1490"/>
      <c r="K512" s="1490"/>
      <c r="L512" s="1490"/>
      <c r="M512" s="1490"/>
      <c r="N512" s="1490"/>
      <c r="O512" s="1490"/>
      <c r="P512" s="1490"/>
      <c r="Q512" s="1490"/>
      <c r="R512" s="1490"/>
      <c r="S512" s="1490"/>
      <c r="T512" s="1490"/>
      <c r="U512" s="1490"/>
      <c r="V512" s="1490"/>
      <c r="W512" s="1490"/>
      <c r="X512" s="1490"/>
      <c r="Y512" s="1490"/>
      <c r="Z512" s="1490"/>
      <c r="AA512" s="1490"/>
      <c r="AB512" s="1490"/>
      <c r="AC512" s="1490"/>
      <c r="AD512" s="1490"/>
      <c r="AE512" s="1490"/>
      <c r="AF512" s="1490"/>
      <c r="AG512" s="1490"/>
      <c r="AH512" s="1490"/>
      <c r="AI512" s="1490"/>
      <c r="AJ512" s="1490"/>
      <c r="AK512" s="1490"/>
      <c r="AL512" s="1490"/>
      <c r="AM512" s="1490"/>
      <c r="AN512" s="1490"/>
      <c r="AO512" s="1490"/>
      <c r="AP512" s="1490"/>
      <c r="AQ512" s="1490"/>
      <c r="AR512" s="1490"/>
      <c r="AS512" s="1490"/>
      <c r="AT512" s="1490"/>
      <c r="AU512" s="1041"/>
      <c r="BC512" s="38"/>
      <c r="BD512" s="38"/>
      <c r="BE512" s="38"/>
      <c r="BF512" s="38"/>
      <c r="BG512" s="38"/>
      <c r="BH512" s="38"/>
      <c r="BI512" s="38"/>
      <c r="BJ512" s="38"/>
      <c r="BK512" s="38"/>
      <c r="BL512" s="38"/>
      <c r="BM512" s="38"/>
      <c r="BN512" s="38"/>
      <c r="BO512" s="38"/>
      <c r="BP512" s="38"/>
      <c r="BQ512" s="38"/>
      <c r="BR512" s="38"/>
      <c r="BS512" s="38"/>
      <c r="BT512" s="38"/>
      <c r="BU512" s="38"/>
      <c r="BV512" s="38"/>
      <c r="BW512" s="38"/>
      <c r="BX512" s="38"/>
      <c r="BY512" s="38"/>
      <c r="BZ512" s="38"/>
      <c r="CA512" s="38"/>
      <c r="CB512" s="38"/>
      <c r="CC512" s="38"/>
      <c r="CD512" s="38"/>
      <c r="CE512" s="38"/>
      <c r="CF512" s="38"/>
      <c r="CG512" s="38"/>
      <c r="CH512" s="38"/>
      <c r="CI512" s="38"/>
      <c r="CM512" s="749"/>
      <c r="CN512" s="749"/>
      <c r="CO512" s="1043"/>
      <c r="CP512" s="749"/>
      <c r="CS512" s="436"/>
      <c r="CT512" s="436"/>
      <c r="CU512" s="243"/>
      <c r="CV512" s="244"/>
      <c r="CW512" s="244"/>
      <c r="CX512" s="244"/>
      <c r="CY512" s="245"/>
      <c r="CZ512" s="245"/>
      <c r="DA512" s="245"/>
      <c r="DC512" s="750"/>
      <c r="DD512" s="751"/>
      <c r="DE512" s="752"/>
      <c r="DF512" s="753"/>
      <c r="DG512" s="754"/>
      <c r="DH512" s="754"/>
      <c r="DK512" s="244"/>
      <c r="DL512" s="750"/>
      <c r="DN512" s="750"/>
      <c r="DO512" s="755"/>
      <c r="DP512" s="436"/>
      <c r="DQ512" s="750"/>
      <c r="DR512" s="750"/>
      <c r="DS512" s="750"/>
      <c r="DU512" s="750"/>
      <c r="DV512" s="750"/>
      <c r="DW512" s="750"/>
      <c r="DX512" s="750"/>
      <c r="DZ512" s="756"/>
      <c r="EA512" s="756"/>
      <c r="EC512" s="754"/>
      <c r="ED512" s="754"/>
      <c r="EE512" s="244"/>
      <c r="EF512" s="754"/>
      <c r="EG512" s="754"/>
      <c r="EH512" s="243"/>
      <c r="EI512" s="243"/>
      <c r="EJ512" s="752"/>
      <c r="EK512" s="757"/>
      <c r="EL512" s="757"/>
      <c r="EM512" s="758"/>
      <c r="EN512" s="758"/>
      <c r="EO512" s="752"/>
      <c r="EP512" s="752"/>
      <c r="EQ512" s="752"/>
      <c r="ES512" s="750"/>
      <c r="EU512" s="436"/>
      <c r="EV512" s="436"/>
      <c r="EW512" s="436"/>
      <c r="EX512" s="436"/>
      <c r="EY512" s="436"/>
      <c r="EZ512" s="436"/>
      <c r="FB512" s="643"/>
      <c r="FD512" s="436"/>
      <c r="FE512" s="436"/>
      <c r="FF512" s="436"/>
      <c r="FO512" s="750"/>
      <c r="FP512" s="436"/>
      <c r="FQ512" s="436"/>
      <c r="FR512" s="750"/>
      <c r="FS512" s="750"/>
      <c r="FW512" s="749"/>
      <c r="FX512" s="749"/>
      <c r="FY512" s="749"/>
      <c r="FZ512" s="749"/>
      <c r="GA512" s="749"/>
      <c r="GB512" s="749"/>
      <c r="GC512" s="749"/>
      <c r="GD512" s="749"/>
      <c r="GE512" s="751"/>
      <c r="GF512" s="750"/>
      <c r="GG512" s="750"/>
    </row>
    <row r="513" spans="1:250" s="82" customFormat="1" ht="14.95" customHeight="1" thickTop="1" thickBot="1">
      <c r="B513" s="1421" t="str">
        <f>HY516</f>
        <v xml:space="preserve"> </v>
      </c>
      <c r="C513" s="1422">
        <f>C508+1</f>
        <v>92</v>
      </c>
      <c r="D513" s="1423"/>
      <c r="E513" s="1424" t="s">
        <v>242</v>
      </c>
      <c r="F513" s="1425"/>
      <c r="G513" s="1426"/>
      <c r="H513" s="1427"/>
      <c r="I513" s="1427"/>
      <c r="J513" s="1427"/>
      <c r="K513" s="1427"/>
      <c r="L513" s="1427"/>
      <c r="M513" s="1427"/>
      <c r="N513" s="1427"/>
      <c r="O513" s="1427"/>
      <c r="P513" s="1427"/>
      <c r="Q513" s="1427"/>
      <c r="R513" s="1427"/>
      <c r="S513" s="1428" t="s">
        <v>283</v>
      </c>
      <c r="T513" s="668" t="s">
        <v>190</v>
      </c>
      <c r="U513" s="1430" t="s">
        <v>186</v>
      </c>
      <c r="V513" s="1431"/>
      <c r="W513" s="1431"/>
      <c r="X513" s="1431"/>
      <c r="Y513" s="1431"/>
      <c r="Z513" s="1431"/>
      <c r="AA513" s="1431"/>
      <c r="AB513" s="1088" t="str">
        <f>IFERROR(IF(__Retrofit_TI_NC=0,VLOOKUP(U514,Fixtures_Existing_List,2,FALSE),ROUND(N515*R515/T515,10)),"")</f>
        <v/>
      </c>
      <c r="AC513" s="1039" t="str">
        <f>IFERROR(IF(__Retrofit_TI_NC=0,ROUND(T514*AB513*N514*R514/1000,0),IF(CN513="Interior",N515*R515*R514*N514*_C406_reduction/1000,N515*R515*R514*N514/1000)),"")</f>
        <v/>
      </c>
      <c r="AD513" s="1040" t="str">
        <f>IFERROR(IF(C$36=0,ROUND(T514*AB513/1000,2),N515*R515/1000),"")</f>
        <v/>
      </c>
      <c r="AE513" s="1044" t="s">
        <v>190</v>
      </c>
      <c r="AF513" s="1432" t="str">
        <f>IF(__Retrofit_TI_NC=2,CONCATENATE("Code min = ",DD513),IF(__Retrofit_TI_NC=1,"Emter what you think the existing control was"," Control"))</f>
        <v xml:space="preserve"> Control</v>
      </c>
      <c r="AG513" s="1432"/>
      <c r="AH513" s="1432"/>
      <c r="AI513" s="1432"/>
      <c r="AJ513" s="1433">
        <f>DF513</f>
        <v>0</v>
      </c>
      <c r="AK513" s="1435" t="str">
        <f>IFERROR(ROUND(AJ513*AC513,0),"")</f>
        <v/>
      </c>
      <c r="AL513" s="1437">
        <f>IFERROR(IF(HW513=FALSE,0,AC513-AK513),0)</f>
        <v>0</v>
      </c>
      <c r="AM513" s="1439">
        <f>AL513-AL515</f>
        <v>0</v>
      </c>
      <c r="AN513" s="1440"/>
      <c r="AO513" s="1445">
        <f>IFERROR(IF(HW513=FALSE,0,(T515*U516)+(AE515*AF516)),0)</f>
        <v>0</v>
      </c>
      <c r="AP513" s="1445"/>
      <c r="AQ513" s="1446"/>
      <c r="AR513" s="1451" t="s">
        <v>157</v>
      </c>
      <c r="AS513" s="1454">
        <f>IF(AR513="Yes",1,0)</f>
        <v>1</v>
      </c>
      <c r="AT513" s="1457" t="str">
        <f>IF(OR(DN513=4,DN513=5,DN513=6,DN513=12),CONCATENATE("$",IF(GD513=TRUE,Lookup!$B$11,Lookup!$B$2)," /lamp"),CONCATENATE(EA513,"/ kWh"))</f>
        <v>0/ kWh</v>
      </c>
      <c r="AU513" s="516"/>
      <c r="AV513" s="1478">
        <f>IFERROR(IF(GI514=TRUE,(AB516*T515)/R515,0),"NA")</f>
        <v>0</v>
      </c>
      <c r="AW513" s="1478" t="str">
        <f>IFERROR(N515*_C406_reduction,"NA")</f>
        <v>NA</v>
      </c>
      <c r="BC513" s="38"/>
      <c r="BD513" s="38"/>
      <c r="BE513" s="38"/>
      <c r="BF513" s="38"/>
      <c r="BG513" s="38"/>
      <c r="BH513" s="38"/>
      <c r="BI513" s="38"/>
      <c r="BJ513" s="38"/>
      <c r="BK513" s="38"/>
      <c r="BL513" s="38"/>
      <c r="BM513" s="38"/>
      <c r="BN513" s="38"/>
      <c r="BO513" s="38"/>
      <c r="BP513" s="38"/>
      <c r="BQ513" s="38"/>
      <c r="BR513" s="38"/>
      <c r="BS513" s="38"/>
      <c r="BT513" s="38"/>
      <c r="BU513" s="38"/>
      <c r="BV513" s="38"/>
      <c r="BW513" s="38"/>
      <c r="BX513" s="38"/>
      <c r="BY513" s="38"/>
      <c r="BZ513" s="38"/>
      <c r="CA513" s="38"/>
      <c r="CB513" s="38"/>
      <c r="CC513" s="38"/>
      <c r="CD513" s="38"/>
      <c r="CE513" s="38"/>
      <c r="CF513" s="38"/>
      <c r="CG513" s="38"/>
      <c r="CH513" s="38"/>
      <c r="CI513" s="38"/>
      <c r="CM513" s="1352" t="str">
        <f>N514</f>
        <v/>
      </c>
      <c r="CN513" s="1352" t="str">
        <f>IFERROR(VLOOKUP(G514,_Lookup_Heat_Type_Table_New,3,FALSE),"")</f>
        <v/>
      </c>
      <c r="CO513" s="1415" t="str">
        <f>CN513</f>
        <v/>
      </c>
      <c r="CP513" s="1417" t="e">
        <f>VLOOKUP(G515,'Space Table'!$B$3:$L$160,9,FALSE)</f>
        <v>#N/A</v>
      </c>
      <c r="CR513" s="1386" t="s">
        <v>283</v>
      </c>
      <c r="CS513" s="1353">
        <f>IF(HW513=TRUE,T514,0)</f>
        <v>0</v>
      </c>
      <c r="CT513" s="1353" t="str">
        <f>IF(HW513=TRUE,U514,"")</f>
        <v/>
      </c>
      <c r="CU513" s="1353"/>
      <c r="CV513" s="1370">
        <f>IF(HW513=TRUE,AB513,0)</f>
        <v>0</v>
      </c>
      <c r="CW513" s="1370">
        <f>IF(HW513=TRUE,AC513,0)</f>
        <v>0</v>
      </c>
      <c r="CX513" s="1370">
        <f>IFERROR(IF(HW513=TRUE,CW513-CW515,0),0)</f>
        <v>0</v>
      </c>
      <c r="CY513" s="1485">
        <f>IF(HW513=TRUE,AD513,0)</f>
        <v>0</v>
      </c>
      <c r="CZ513" s="1485">
        <f>IF(HW513=TRUE,AD516,0)</f>
        <v>0</v>
      </c>
      <c r="DA513" s="1485">
        <f>IFERROR(CY513-CZ513,0)</f>
        <v>0</v>
      </c>
      <c r="DC513" s="1353">
        <f>IF(HW513=TRUE,AE514,0)</f>
        <v>0</v>
      </c>
      <c r="DD513" s="1460">
        <f>IF(__Retrofit_TI_NC=2,IF(CN513="Exterior",O516,FM513),FK513)</f>
        <v>0</v>
      </c>
      <c r="DE513" s="1353"/>
      <c r="DF513" s="1406">
        <f>IFERROR(IF(FL513=3,IK513,IF(FL513=4,IL513,IF(FL513=5,IM513,IF(FL513=6,IN513,IF(FL513=7,IO513,IF(FL513=8,IP513,0)))))),0)</f>
        <v>0</v>
      </c>
      <c r="DG513" s="1370">
        <f>IF(HW513=TRUE,AK513,0)</f>
        <v>0</v>
      </c>
      <c r="DH513" s="1369">
        <f>IFERROR(IF(HW513=TRUE,DG515-DG513,0),0)</f>
        <v>0</v>
      </c>
      <c r="DJ513" s="1483">
        <f>IFERROR(CW513-DG513,0)</f>
        <v>0</v>
      </c>
      <c r="DL513" s="1419">
        <f>DJ513-DK515</f>
        <v>0</v>
      </c>
      <c r="DN513" s="1403" t="str">
        <f>IFERROR(IF(AND(OR(FY513=4,FY513=5,FY513=6),OR(GB513=4,GB513=5,GB513=6)),FY513+8,VLOOKUP(CT515,Fixtures!R$31:Y$78,8,FALSE)),"")</f>
        <v/>
      </c>
      <c r="DO513" s="1404" t="str">
        <f>DN513</f>
        <v/>
      </c>
      <c r="DP513" s="1353" t="str">
        <f>IFERROR(VLOOKUP(DD515,Lookup!AU$3:AV$15,2,FALSE),"")</f>
        <v/>
      </c>
      <c r="DQ513" s="1404" t="str">
        <f>IF(DP513=7,"LLLC","")</f>
        <v/>
      </c>
      <c r="DR513" s="1403">
        <f>IFERROR(IF(OR(DN513=4,DN513=5,DN513=6,DN513=12,DN513=13,DN513=14),VLOOKUP(CT515,Fixtures!DN$27:EG$77,19,FALSE),1)*CS515,0)</f>
        <v>0</v>
      </c>
      <c r="DS513" s="1489">
        <f>IF(DP513=7,IF(DD513=DD515,0,DC515),0)</f>
        <v>0</v>
      </c>
      <c r="DU513" s="1403" t="str">
        <f>IFERROR(IF(EW513&lt;EW515,"Yes","No"),"")</f>
        <v/>
      </c>
      <c r="DV513" s="1404" t="str">
        <f>DU513</f>
        <v/>
      </c>
      <c r="DW513" s="1403">
        <f>IF(DU513="Yes",DC515,0)</f>
        <v>0</v>
      </c>
      <c r="DX513" s="1403">
        <f>DW513-DS513</f>
        <v>0</v>
      </c>
      <c r="DZ513" s="1481">
        <f>IFERROR(VLOOKUP(DN513,Lookup!AN$3:AO$16,2,FALSE),0)</f>
        <v>0</v>
      </c>
      <c r="EA513" s="1481">
        <f>IF(HW513=FALSE,0,IF(DU513="Yes",DZ513+Lookup!B$6,DZ513))</f>
        <v>0</v>
      </c>
      <c r="EC513" s="1482">
        <f>IF(HW513=TRUE,DJ513,0)</f>
        <v>0</v>
      </c>
      <c r="ED513" s="1369">
        <f>IF(HW513=TRUE,CW515,0)</f>
        <v>0</v>
      </c>
      <c r="EE513" s="1370">
        <f>IFERROR(EC513-ED513,0)</f>
        <v>0</v>
      </c>
      <c r="EF513" s="1369">
        <f>IF(HW513=TRUE,DG515,0)</f>
        <v>0</v>
      </c>
      <c r="EG513" s="1369">
        <f>IFERROR(EC513-ED513+EF513,0)</f>
        <v>0</v>
      </c>
      <c r="EH513" s="1373">
        <f>IF(HW513=TRUE,CS515*CU515,0)</f>
        <v>0</v>
      </c>
      <c r="EI513" s="1373">
        <f>IF(HW513=TRUE,DC515*DE515,0)</f>
        <v>0</v>
      </c>
      <c r="EJ513" s="1363">
        <f>AO513</f>
        <v>0</v>
      </c>
      <c r="EK513" s="1376" t="str">
        <f>IFERROR(IF(HW513=TRUE,VLOOKUP(DN513,Lookup!AN$3:AP$16,3,FALSE)*DR513,""),0)</f>
        <v/>
      </c>
      <c r="EL513" s="1376">
        <f>IF(HW513=TRUE,DW513*Lookup!AP$12,0)</f>
        <v>0</v>
      </c>
      <c r="EM513" s="1362">
        <f>IFERROR(IF(HW513=TRUE,EK513/EM$33,0),0)</f>
        <v>0</v>
      </c>
      <c r="EN513" s="1362">
        <f>IF(HW513=TRUE,EL513/EN$33,0)</f>
        <v>0</v>
      </c>
      <c r="EO513" s="1363">
        <f>IF(HW513=TRUE,EQ$33*EM513,0)</f>
        <v>0</v>
      </c>
      <c r="EP513" s="1363">
        <f>IF(HW513=TRUE,EQ$33*EN513,0)</f>
        <v>0</v>
      </c>
      <c r="EQ513" s="1363">
        <f>EO513+EP513</f>
        <v>0</v>
      </c>
      <c r="ES513" s="1403">
        <f>IF(G513="",0,1)</f>
        <v>0</v>
      </c>
      <c r="EU513" s="1410" t="e">
        <f>VLOOKUP(CP515,'Space Table'!$B$3:$L$160,8,FALSE)</f>
        <v>#N/A</v>
      </c>
      <c r="EV513" s="1410" t="e">
        <f>IF(EY513="Yes",VLOOKUP(DD513,Lookup_Control_Type_Table2,4,FALSE),VLOOKUP(DD513,Lookup_Control_Type_Table2,3,FALSE))</f>
        <v>#N/A</v>
      </c>
      <c r="EW513" s="1410" t="e">
        <f>VLOOKUP(DD513,Lookup!AU$3:AV$15,2,FALSE)</f>
        <v>#N/A</v>
      </c>
      <c r="EX513" s="1410" t="e">
        <f>VLOOKUP(EU513,Lookup_Control_Type_Table,2,FALSE)</f>
        <v>#N/A</v>
      </c>
      <c r="EY513" s="1410" t="e">
        <f>VLOOKUP(CP515,'Space Table'!$B$3:$L$160,7,FALSE)</f>
        <v>#N/A</v>
      </c>
      <c r="EZ513" s="1412" t="b">
        <f>ISNUMBER(SEARCH("TLED",U515))</f>
        <v>0</v>
      </c>
      <c r="FB513" s="1365" t="str">
        <f>CONCATENATE(CN513," - ",DD513)</f>
        <v xml:space="preserve"> - 0</v>
      </c>
      <c r="FD513" s="1353" t="str">
        <f>VLOOKUP(CT515,Fixtures!DN$27:EZ$77,38,FALSE)</f>
        <v/>
      </c>
      <c r="FE513" s="1353">
        <f>IFERROR(FD513*EE513,0)</f>
        <v>0</v>
      </c>
      <c r="FF513" s="138"/>
      <c r="FI513" s="1356" t="str">
        <f>IF(CN513="Exterior","Not Daylighted",G516)</f>
        <v>Not Daylighted</v>
      </c>
      <c r="FJ513" s="1356">
        <f>VLOOKUP(FI513,_Daylight_Table_Codes,2,FALSE)</f>
        <v>0</v>
      </c>
      <c r="FK513" s="1365">
        <f>IF(__Retrofit_TI_NC=2,VLOOKUP(G515,'Space Table'!$B$3:$L$160,11,FALSE),AF514)</f>
        <v>0</v>
      </c>
      <c r="FL513" s="1365" t="e">
        <f>VLOOKUP(FK513,_Control_Table,2,FALSE)</f>
        <v>#N/A</v>
      </c>
      <c r="FM513" s="1365" t="e">
        <f>IF(AND(FP513&gt;0,FK513="Occupancy Sensor"),"Daylight + Occupancy",IF(AND(FP513&gt;0,FL513&lt;4),"Interior Daylight Dimming",FK513))</f>
        <v>#N/A</v>
      </c>
      <c r="FO513" s="1364">
        <f>IF(CO513="Interior",VLOOKUP(CP513,Control_Savings_Interior,5,FALSE),0)</f>
        <v>0</v>
      </c>
      <c r="FP513" s="1361">
        <f>IF(CN513="Exterior",0,IF(FJ513=2,0.5,IF(OR(FJ513=1,FJ513=3),1,0)))</f>
        <v>0</v>
      </c>
      <c r="FQ513" s="1366"/>
      <c r="FR513" s="1367"/>
      <c r="FS513" s="1364"/>
      <c r="FT513" s="1367"/>
      <c r="FU513" s="1360"/>
      <c r="FW513" s="1352" t="str">
        <f>IFERROR(VLOOKUP(U514,_Exist_Fixture_Table,3,FALSE),"")</f>
        <v/>
      </c>
      <c r="FX513" s="1352" t="str">
        <f>VLOOKUP(CT513,_Exist_Fixture_Table,4,FALSE)</f>
        <v/>
      </c>
      <c r="FY513" s="1352">
        <f>IFERROR(VLOOKUP(FX513,Lookup!AM$6:AN$8,2,FALSE),0)</f>
        <v>0</v>
      </c>
      <c r="FZ513" s="1352" t="b">
        <f>IFERROR(IF(OR(GB513=4,GB513=5,GB513=6),TRUE,FALSE),"")</f>
        <v>0</v>
      </c>
      <c r="GA513" s="1352" t="str">
        <f>IFERROR(VLOOKUP(GB513,FY$6:FZ$10,2,FALSE),"")</f>
        <v/>
      </c>
      <c r="GB513" s="1352" t="str">
        <f>VLOOKUP(CT515,Fixtures!R$31:Y$78,8,FALSE)</f>
        <v/>
      </c>
      <c r="GC513" s="1352">
        <f>IF(AND(FW513=TRUE,FZ513=TRUE,OR(DN513=12,DN513=13,DN513=14)),FY513+8,0)</f>
        <v>0</v>
      </c>
      <c r="GD513" s="1352" t="b">
        <f>IF(OR(GC513=12,GC513=13,GC513=14),TRUE,FALSE)</f>
        <v>0</v>
      </c>
      <c r="GE513" s="759" t="b">
        <f>IF(ISNUMBER(SEARCH("TLED",U514)),TRUE,FALSE)</f>
        <v>0</v>
      </c>
      <c r="GF513" s="1035" t="str">
        <f>IFERROR(VLOOKUP(U514,Fixtures!BM$93:BR$142,6,FALSE),"")</f>
        <v/>
      </c>
      <c r="GG513" s="1385" t="b">
        <f>IF(OR(GE513=FALSE,GE515=FALSE),TRUE,IF(GF513-GF515&lt;5,FALSE,TRUE))</f>
        <v>1</v>
      </c>
      <c r="GK513" s="1034">
        <f>GL513</f>
        <v>0</v>
      </c>
      <c r="GL513" s="1034">
        <f>IF(G513="",0,1)</f>
        <v>0</v>
      </c>
      <c r="GM513" s="1034">
        <f>SUM(GN513:HB513)</f>
        <v>2</v>
      </c>
      <c r="GN513" s="1034">
        <f>IF(G514="",0,1)</f>
        <v>0</v>
      </c>
      <c r="GO513" s="1034">
        <f>IF(G515="",0,1)</f>
        <v>0</v>
      </c>
      <c r="GP513" s="1034">
        <f>IF(R514="",0,1)</f>
        <v>0</v>
      </c>
      <c r="GQ513" s="1034">
        <f>IF(__Retrofit_TI_NC=0,1,IF(R515="",0,1))</f>
        <v>1</v>
      </c>
      <c r="GR513" s="1034">
        <f>IF(CN513="Exterior",1,IF(G516="",0,1))</f>
        <v>1</v>
      </c>
      <c r="GS513" s="1034">
        <f>IF(__Retrofit_TI_NC&lt;&gt;0,1,IF(T514="",0,1))</f>
        <v>0</v>
      </c>
      <c r="GT513" s="1034">
        <f>IF(__Retrofit_TI_NC&lt;&gt;0,1,IF(U514="",0,1))</f>
        <v>0</v>
      </c>
      <c r="GU513" s="1034">
        <f>IF(T515="",0,1)</f>
        <v>0</v>
      </c>
      <c r="GV513" s="1034">
        <f>IF(U515="",0,1)</f>
        <v>0</v>
      </c>
      <c r="GW513" s="1034">
        <f>IF(__Retrofit_TI_NC=2,1,IF(U516="",0,1))</f>
        <v>0</v>
      </c>
      <c r="GX513" s="1034">
        <f>IF(__Retrofit_TI_NC&lt;&gt;0,1,IF(AE514="",0,1))</f>
        <v>0</v>
      </c>
      <c r="GY513" s="1034">
        <f>IF(__Retrofit_TI_NC&lt;&gt;0,1,IF(AF514="",0,1))</f>
        <v>0</v>
      </c>
      <c r="GZ513" s="1034">
        <f>IF(AE515="",0,1)</f>
        <v>0</v>
      </c>
      <c r="HA513" s="1034">
        <f>IF(AF515="",0,1)</f>
        <v>0</v>
      </c>
      <c r="HB513" s="1034">
        <f>IF(__Retrofit_TI_NC=2,1,IF(AF516="",0,1))</f>
        <v>0</v>
      </c>
      <c r="HV513" s="436"/>
      <c r="HW513" s="1384" t="b">
        <f>IF(OR(HW516=0,HW516=HT$16,HW516=HS$16,HW516=HU$16),TRUE,FALSE)</f>
        <v>0</v>
      </c>
      <c r="HX513" s="1377" t="b">
        <f>HW513</f>
        <v>0</v>
      </c>
      <c r="HY513" s="436"/>
      <c r="HZ513" s="436"/>
      <c r="IA513" s="1386" t="b">
        <f>IF(MAX(GJ516:HP516)&gt;5,FALSE,TRUE)</f>
        <v>0</v>
      </c>
      <c r="IB513" s="1380">
        <f>IF(IA513=TRUE,AC513,0)</f>
        <v>0</v>
      </c>
      <c r="IC513" s="1380">
        <f>IB513-IB515</f>
        <v>0</v>
      </c>
      <c r="IF513" s="1380" t="e">
        <f>ROUND(T514*VLOOKUP(U514,Fixtures_Existing_List,2,FALSE)*N514*R514/1000,0)</f>
        <v>#N/A</v>
      </c>
      <c r="IG513" s="1381" t="e">
        <f>IF513-IF515</f>
        <v>#N/A</v>
      </c>
      <c r="IH513" s="1384" t="e">
        <f>ROUND(IF(CN513="Interior",N515*R515*R514*N514*_C406_reduction/1000,N515*R515*R514*N514/1000),0)</f>
        <v>#N/A</v>
      </c>
      <c r="II513" s="1384" t="e">
        <f>IH513-IH515</f>
        <v>#N/A</v>
      </c>
      <c r="IK513" s="1351" t="e">
        <f>IF($CO513="interior",IL513/2,VLOOKUP($CP513,Control_Savings_Exterior,IK$30,FALSE))</f>
        <v>#N/A</v>
      </c>
      <c r="IL513" s="1351" t="e">
        <f>IF($CO513="interior",VLOOKUP($CP513,Control_Savings_Interior,IL$30,FALSE),VLOOKUP($CP513,Control_Savings_Exterior,IL$30,FALSE))</f>
        <v>#N/A</v>
      </c>
      <c r="IM513" s="1351" t="e">
        <f>IF($CO513="interior",IF(R514&gt;FO$37,(IM$28*(FO$37/R514)),IM$28)*FP513,VLOOKUP($CP513,Control_Savings_Exterior,IM$30,FALSE))</f>
        <v>#N/A</v>
      </c>
      <c r="IN513" s="1351" t="e">
        <f>IF($CO513="interior",ROUND(((1-IL513)*IM513)+IL513,2),VLOOKUP($CP513,Control_Savings_Exterior,IN$30,FALSE))</f>
        <v>#N/A</v>
      </c>
      <c r="IO513" s="1351" t="e">
        <f>IF($CO513="interior", ROUND(((1-IL513)*(IM513*(1-IP$28)))+IP513,2), VLOOKUP($CP513,Control_Savings_Exterior,IO$30,FALSE))</f>
        <v>#N/A</v>
      </c>
      <c r="IP513" s="1351">
        <f>IF($CO513="interior",ROUND(((1-IL513)*IP$28)+IL513,2),0)</f>
        <v>0</v>
      </c>
    </row>
    <row r="514" spans="1:250" s="82" customFormat="1" ht="14.95" customHeight="1" thickTop="1" thickBot="1">
      <c r="B514" s="1421"/>
      <c r="C514" s="1422"/>
      <c r="D514" s="1423"/>
      <c r="E514" s="1393" t="s">
        <v>244</v>
      </c>
      <c r="F514" s="1394"/>
      <c r="G514" s="1395"/>
      <c r="H514" s="1395"/>
      <c r="I514" s="1395"/>
      <c r="J514" s="1395"/>
      <c r="K514" s="1395"/>
      <c r="L514" s="1395"/>
      <c r="M514" s="509" t="e">
        <f>IF(__Retrofit_TI_NC&lt;&gt;0,IF(VLOOKUP(G515,'Space Table'!$B$3:$L$160,3,FALSE)&gt;0,1,0),IF(__Retrofit_TI_NC=VLOOKUP(G515,'Space Table'!$B$3:$L$160,3,FALSE),1,0))</f>
        <v>#N/A</v>
      </c>
      <c r="N514" s="509" t="str">
        <f>IFERROR(VLOOKUP(G514,_Lookup_Heat_Type_Table_New,2,FALSE),"")</f>
        <v/>
      </c>
      <c r="O514" s="509">
        <f>IF(__Retrofit_TI_NC=1,CONCATENATE("TI ",G514),IF(__Retrofit_TI_NC=2,CONCATENATE("NC ",G514),G514))</f>
        <v>0</v>
      </c>
      <c r="P514" s="1396" t="s">
        <v>352</v>
      </c>
      <c r="Q514" s="1396"/>
      <c r="R514" s="673"/>
      <c r="S514" s="1429"/>
      <c r="T514" s="675"/>
      <c r="U514" s="1496"/>
      <c r="V514" s="1497"/>
      <c r="W514" s="1497"/>
      <c r="X514" s="1497"/>
      <c r="Y514" s="1497"/>
      <c r="Z514" s="1497"/>
      <c r="AA514" s="1497"/>
      <c r="AB514" s="1497"/>
      <c r="AC514" s="1497"/>
      <c r="AD514" s="1498"/>
      <c r="AE514" s="675"/>
      <c r="AF514" s="1397"/>
      <c r="AG514" s="1397"/>
      <c r="AH514" s="1397"/>
      <c r="AI514" s="1397"/>
      <c r="AJ514" s="1434"/>
      <c r="AK514" s="1436"/>
      <c r="AL514" s="1438"/>
      <c r="AM514" s="1441"/>
      <c r="AN514" s="1442"/>
      <c r="AO514" s="1447"/>
      <c r="AP514" s="1447"/>
      <c r="AQ514" s="1448"/>
      <c r="AR514" s="1452"/>
      <c r="AS514" s="1455"/>
      <c r="AT514" s="1458"/>
      <c r="AU514" s="516"/>
      <c r="AV514" s="1479"/>
      <c r="AW514" s="1479"/>
      <c r="BC514" s="38"/>
      <c r="BD514" s="38"/>
      <c r="BE514" s="38"/>
      <c r="BF514" s="38"/>
      <c r="BG514" s="38"/>
      <c r="BH514" s="38"/>
      <c r="BI514" s="38"/>
      <c r="BJ514" s="38"/>
      <c r="BK514" s="38"/>
      <c r="BL514" s="38"/>
      <c r="BM514" s="38"/>
      <c r="BN514" s="38"/>
      <c r="BO514" s="38"/>
      <c r="BP514" s="38"/>
      <c r="BQ514" s="38"/>
      <c r="BR514" s="38"/>
      <c r="BS514" s="38"/>
      <c r="BT514" s="38"/>
      <c r="BU514" s="38"/>
      <c r="BV514" s="38"/>
      <c r="BW514" s="38"/>
      <c r="BX514" s="38"/>
      <c r="BY514" s="38"/>
      <c r="BZ514" s="38"/>
      <c r="CA514" s="38"/>
      <c r="CB514" s="38"/>
      <c r="CC514" s="38"/>
      <c r="CD514" s="38"/>
      <c r="CE514" s="38"/>
      <c r="CF514" s="38"/>
      <c r="CG514" s="38"/>
      <c r="CH514" s="38"/>
      <c r="CI514" s="38"/>
      <c r="CM514" s="1352"/>
      <c r="CN514" s="1352"/>
      <c r="CO514" s="1416"/>
      <c r="CP514" s="1418"/>
      <c r="CR514" s="1386"/>
      <c r="CS514" s="1355"/>
      <c r="CT514" s="1355"/>
      <c r="CU514" s="1355"/>
      <c r="CV514" s="1372"/>
      <c r="CW514" s="1372"/>
      <c r="CX514" s="1371"/>
      <c r="CY514" s="1486"/>
      <c r="CZ514" s="1486"/>
      <c r="DA514" s="1486"/>
      <c r="DC514" s="1355"/>
      <c r="DD514" s="1461"/>
      <c r="DE514" s="1355"/>
      <c r="DF514" s="1407"/>
      <c r="DG514" s="1372"/>
      <c r="DH514" s="1369"/>
      <c r="DJ514" s="1484"/>
      <c r="DL514" s="1419"/>
      <c r="DN514" s="1403"/>
      <c r="DO514" s="1405"/>
      <c r="DP514" s="1354"/>
      <c r="DQ514" s="1405"/>
      <c r="DR514" s="1403"/>
      <c r="DS514" s="1489"/>
      <c r="DU514" s="1403"/>
      <c r="DV514" s="1405"/>
      <c r="DW514" s="1403"/>
      <c r="DX514" s="1403"/>
      <c r="DZ514" s="1481"/>
      <c r="EA514" s="1481"/>
      <c r="EC514" s="1482"/>
      <c r="ED514" s="1369"/>
      <c r="EE514" s="1371"/>
      <c r="EF514" s="1369"/>
      <c r="EG514" s="1369"/>
      <c r="EH514" s="1374"/>
      <c r="EI514" s="1374"/>
      <c r="EJ514" s="1363"/>
      <c r="EK514" s="1376"/>
      <c r="EL514" s="1376"/>
      <c r="EM514" s="1362"/>
      <c r="EN514" s="1362"/>
      <c r="EO514" s="1363"/>
      <c r="EP514" s="1363"/>
      <c r="EQ514" s="1363"/>
      <c r="ES514" s="1403"/>
      <c r="EU514" s="1411"/>
      <c r="EV514" s="1411"/>
      <c r="EW514" s="1411"/>
      <c r="EX514" s="1411"/>
      <c r="EY514" s="1411"/>
      <c r="EZ514" s="1413"/>
      <c r="FB514" s="1365"/>
      <c r="FD514" s="1354"/>
      <c r="FE514" s="1354"/>
      <c r="FF514" s="138"/>
      <c r="FI514" s="1357"/>
      <c r="FJ514" s="1357"/>
      <c r="FK514" s="1365"/>
      <c r="FL514" s="1365"/>
      <c r="FM514" s="1365"/>
      <c r="FO514" s="1361"/>
      <c r="FP514" s="1361"/>
      <c r="FQ514" s="1366"/>
      <c r="FR514" s="1368"/>
      <c r="FS514" s="1361"/>
      <c r="FT514" s="1368"/>
      <c r="FU514" s="1360"/>
      <c r="FW514" s="1352"/>
      <c r="FX514" s="1352"/>
      <c r="FY514" s="1352"/>
      <c r="FZ514" s="1352"/>
      <c r="GA514" s="1352"/>
      <c r="GB514" s="1352"/>
      <c r="GC514" s="1352"/>
      <c r="GD514" s="1352"/>
      <c r="GE514" s="759"/>
      <c r="GF514" s="1035"/>
      <c r="GG514" s="1385"/>
      <c r="GI514" s="1384" t="b">
        <f>IF(AND(GL514=TRUE,GM514=TRUE),TRUE,FALSE)</f>
        <v>0</v>
      </c>
      <c r="GJ514" s="1379" t="b">
        <f>IFERROR(IF(__Retrofit_TI_NC=2,TRUE,IF(AR513="Yes",TRUE,FALSE)),FALSE)</f>
        <v>1</v>
      </c>
      <c r="GL514" s="1379" t="b">
        <f>IFERROR(IF(GL513=1,TRUE,FALSE),FALSE)</f>
        <v>0</v>
      </c>
      <c r="GM514" s="1379" t="b">
        <f>IFERROR(IF(GM513=GM$14,TRUE,FALSE),FALSE)</f>
        <v>0</v>
      </c>
      <c r="HC514" s="1379" t="b">
        <f>IFERROR(IF(M514=1,TRUE,FALSE),FALSE)</f>
        <v>0</v>
      </c>
      <c r="HD514" s="1379" t="b">
        <f>IFERROR(IF(M515=1,TRUE,FALSE),FALSE)</f>
        <v>0</v>
      </c>
      <c r="HE514" s="1379" t="b">
        <f>IFERROR(IF(__Retrofit_TI_NC&lt;&gt;0,TRUE,IFERROR(IF(VLOOKUP(U514,Fixtures_Existing_List,2,FALSE)&lt;&gt;"",TRUE,FALSE),FALSE)),FALSE)</f>
        <v>0</v>
      </c>
      <c r="HF514" s="1379" t="b">
        <f>IFERROR(IF(VLOOKUP(U515,Fixtures_Proposed_List,2,FALSE)&lt;&gt;"",TRUE,FALSE),FALSE)</f>
        <v>0</v>
      </c>
      <c r="HG514" s="1379" t="b">
        <f>IF(AND(__Retrofit_TI_NC=2,EZ513=TRUE),FALSE,TRUE)</f>
        <v>1</v>
      </c>
      <c r="HH514" s="1379" t="b">
        <f>GG513</f>
        <v>1</v>
      </c>
      <c r="HI514" s="1384" t="b">
        <f>IF(ISERROR(MATCH(FB513,_Control_Match[],0))=TRUE,FALSE,TRUE)</f>
        <v>0</v>
      </c>
      <c r="HJ514" s="1384" t="b">
        <f>IFERROR(IF(EU513&lt;&gt;EV513,FALSE,TRUE),FALSE)</f>
        <v>0</v>
      </c>
      <c r="HK514" s="1384" t="b">
        <f>IFERROR(IF(EU515&lt;&gt;EV515,FALSE,TRUE),FALSE)</f>
        <v>0</v>
      </c>
      <c r="HL514" s="1379" t="b">
        <f>IFERROR(IF(CN513="Exterior",TRUE,IF(OR(AND(FJ513=0,EW515&gt;4),AND(FJ513=4,EW515&gt;4,EW515&lt;7)),FALSE,TRUE)),FALSE)</f>
        <v>0</v>
      </c>
      <c r="HM514" s="1379" t="b">
        <f>IFERROR(IF(AND(FL515=7,EZ513=TRUE),FALSE,TRUE),FALSE)</f>
        <v>0</v>
      </c>
      <c r="HN514" s="1379" t="b">
        <f>IFERROR(IF(AND(T515&lt;&gt;AE515,AF515="Interior LLLC")=TRUE,FALSE,TRUE),FALSE)</f>
        <v>1</v>
      </c>
      <c r="HO514" s="1379" t="b">
        <f>IFERROR(IF(OR(AF515=Lookup!AU$13,AF515=Lookup!AU$14)=TRUE,IF(AE515&gt;T515,FALSE,TRUE),TRUE),FALSE)</f>
        <v>1</v>
      </c>
      <c r="HP514" s="1379" t="b">
        <f>IFERROR(IF(__Retrofit_TI_NC=2,IF(EW515&lt;EW513,FALSE,TRUE),TRUE),FALSE)</f>
        <v>1</v>
      </c>
      <c r="HQ514" s="1379" t="b">
        <f>IF(CN513="Interior",IG$6,TRUE)</f>
        <v>1</v>
      </c>
      <c r="HR514" s="1379" t="b">
        <f>IF(CN513="Exterior",IG$8,TRUE)</f>
        <v>1</v>
      </c>
      <c r="HS514" s="1379" t="b">
        <f>IFERROR(IF(__Retrofit_TI_NC&lt;&gt;0,IF(AW513&lt;AV513,FALSE,TRUE),TRUE),FALSE)</f>
        <v>1</v>
      </c>
      <c r="HT514" s="1379" t="b">
        <f>IFERROR(IF(AND(G514="Exterior",R514&gt;4200),FALSE,TRUE),FALSE)</f>
        <v>1</v>
      </c>
      <c r="HU514" s="1379" t="b">
        <f>IFERROR(IF(AB516/AB513&lt;HU$18,FALSE,TRUE),FALSE)</f>
        <v>0</v>
      </c>
      <c r="HW514" s="1382"/>
      <c r="HX514" s="1378"/>
      <c r="HY514" s="1377" t="str">
        <f>VLOOKUP(HW516,_Error_Table,4,FALSE)</f>
        <v>White</v>
      </c>
      <c r="HZ514" s="436"/>
      <c r="IA514" s="1386"/>
      <c r="IB514" s="1380"/>
      <c r="IC514" s="1379"/>
      <c r="IF514" s="1380"/>
      <c r="IG514" s="1382"/>
      <c r="IH514" s="1382"/>
      <c r="II514" s="1382"/>
      <c r="IK514" s="1351"/>
      <c r="IL514" s="1351"/>
      <c r="IM514" s="1351"/>
      <c r="IN514" s="1351"/>
      <c r="IO514" s="1351"/>
      <c r="IP514" s="1351"/>
    </row>
    <row r="515" spans="1:250" s="82" customFormat="1" ht="14.95" customHeight="1" thickTop="1" thickBot="1">
      <c r="A515" s="82">
        <f>ROW()</f>
        <v>515</v>
      </c>
      <c r="B515" s="1421"/>
      <c r="C515" s="1422"/>
      <c r="D515" s="1423"/>
      <c r="E515" s="1393" t="s">
        <v>245</v>
      </c>
      <c r="F515" s="1394"/>
      <c r="G515" s="1398"/>
      <c r="H515" s="1399"/>
      <c r="I515" s="1399"/>
      <c r="J515" s="1399"/>
      <c r="K515" s="1399"/>
      <c r="L515" s="1400"/>
      <c r="M515" s="509">
        <f>IFERROR(IF(IF(__Retrofit_TI_NC&lt;&gt;0,IF(CN513="Interior",MATCH(G515,Lookup_Interior_New,0),MATCH(G515,Lookup_Exterior_New,0)),IF(CN513="Interior",MATCH(G515,Lookup_Interior,0),MATCH(G515,Lookup_Exterior_Areas,0)))&gt;0,1,0),0)</f>
        <v>0</v>
      </c>
      <c r="N515" s="509" t="e">
        <f>IF(__Retrofit_TI_NC=1,
VLOOKUP(G515,'Space Table'!$B$3:$L$160,4,FALSE),
IF(__Retrofit_TI_NC=2,VLOOKUP(G515,'Space Table'!$B$3:$L$160,5,FALSE),VLOOKUP(G515,'Space Table'!$B$3:$L$160,5,FALSE)))</f>
        <v>#N/A</v>
      </c>
      <c r="O515" s="509">
        <f>G515</f>
        <v>0</v>
      </c>
      <c r="P515" s="1394" t="s">
        <v>355</v>
      </c>
      <c r="Q515" s="1394"/>
      <c r="R515" s="674"/>
      <c r="S515" s="1401" t="s">
        <v>284</v>
      </c>
      <c r="T515" s="672"/>
      <c r="U515" s="1499"/>
      <c r="V515" s="1500"/>
      <c r="W515" s="1500"/>
      <c r="X515" s="1500"/>
      <c r="Y515" s="1500"/>
      <c r="Z515" s="1500"/>
      <c r="AA515" s="1500"/>
      <c r="AB515" s="1501"/>
      <c r="AC515" s="1501"/>
      <c r="AD515" s="1502"/>
      <c r="AE515" s="672"/>
      <c r="AF515" s="1474"/>
      <c r="AG515" s="1474"/>
      <c r="AH515" s="1474"/>
      <c r="AI515" s="1474"/>
      <c r="AJ515" s="1475">
        <f>DF515</f>
        <v>0</v>
      </c>
      <c r="AK515" s="1470" t="str">
        <f>IFERROR(ROUND(AJ515*AC516,0),"")</f>
        <v/>
      </c>
      <c r="AL515" s="1472">
        <f>IFERROR(IF(HW513=FALSE,0,AC516-AK515),0)</f>
        <v>0</v>
      </c>
      <c r="AM515" s="1441"/>
      <c r="AN515" s="1442"/>
      <c r="AO515" s="1447"/>
      <c r="AP515" s="1447"/>
      <c r="AQ515" s="1448"/>
      <c r="AR515" s="1452"/>
      <c r="AS515" s="1455"/>
      <c r="AT515" s="1458"/>
      <c r="AU515" s="516"/>
      <c r="AV515" s="1479"/>
      <c r="AW515" s="1479"/>
      <c r="BC515" s="38"/>
      <c r="BD515" s="38"/>
      <c r="BE515" s="38"/>
      <c r="BF515" s="38"/>
      <c r="BG515" s="38"/>
      <c r="BH515" s="38"/>
      <c r="BI515" s="38"/>
      <c r="BJ515" s="38"/>
      <c r="BK515" s="38"/>
      <c r="BL515" s="38"/>
      <c r="BM515" s="38"/>
      <c r="BN515" s="38"/>
      <c r="BO515" s="38"/>
      <c r="BP515" s="38"/>
      <c r="BQ515" s="38"/>
      <c r="BR515" s="38"/>
      <c r="BS515" s="38"/>
      <c r="BT515" s="38"/>
      <c r="BU515" s="38"/>
      <c r="BV515" s="38"/>
      <c r="BW515" s="38"/>
      <c r="BX515" s="38"/>
      <c r="BY515" s="38"/>
      <c r="BZ515" s="38"/>
      <c r="CA515" s="38"/>
      <c r="CB515" s="38"/>
      <c r="CC515" s="38"/>
      <c r="CD515" s="38"/>
      <c r="CE515" s="38"/>
      <c r="CF515" s="38"/>
      <c r="CG515" s="38"/>
      <c r="CH515" s="38"/>
      <c r="CI515" s="38"/>
      <c r="CM515" s="1352"/>
      <c r="CN515" s="1352"/>
      <c r="CO515" s="1415" t="str">
        <f>CN513</f>
        <v/>
      </c>
      <c r="CP515" s="1417" t="e">
        <f>CP513</f>
        <v>#N/A</v>
      </c>
      <c r="CR515" s="1386" t="s">
        <v>284</v>
      </c>
      <c r="CS515" s="1353">
        <f>IF(HW513=TRUE,T515,0)</f>
        <v>0</v>
      </c>
      <c r="CT515" s="1353" t="str">
        <f>IF(HW513=TRUE,U515,"")</f>
        <v/>
      </c>
      <c r="CU515" s="1373">
        <f>IF(HW513=TRUE,U516,0)</f>
        <v>0</v>
      </c>
      <c r="CV515" s="1370">
        <f>IF(HW513=TRUE,AB516,0)</f>
        <v>0</v>
      </c>
      <c r="CW515" s="1370">
        <f>IF(HW513=TRUE,AC516,0)</f>
        <v>0</v>
      </c>
      <c r="CX515" s="1371"/>
      <c r="CY515" s="1486"/>
      <c r="CZ515" s="1486"/>
      <c r="DA515" s="1486"/>
      <c r="DC515" s="1353">
        <f>IF(HW513=TRUE,AE515,0)</f>
        <v>0</v>
      </c>
      <c r="DD515" s="1353" t="str">
        <f>IF(HW513=TRUE,AF515,"")</f>
        <v/>
      </c>
      <c r="DE515" s="1373">
        <f>AF516</f>
        <v>0</v>
      </c>
      <c r="DF515" s="1406">
        <f>IFERROR(IF(FL515=3,IK515,IF(FL515=4,IL515,IF(FL515=5,IM515,IF(FL515=6,IN515,IF(FL515=7,IO515,IF(FL515=8,IP515,0)))))),0)</f>
        <v>0</v>
      </c>
      <c r="DG515" s="1370">
        <f>IF(HW513=TRUE,AK515,0)</f>
        <v>0</v>
      </c>
      <c r="DH515" s="1369"/>
      <c r="DK515" s="1483">
        <f>IFERROR(CW515-DG515,0)</f>
        <v>0</v>
      </c>
      <c r="DL515" s="1420"/>
      <c r="DN515" s="1403"/>
      <c r="DO515" s="1477" t="str">
        <f>DN513</f>
        <v/>
      </c>
      <c r="DP515" s="1354"/>
      <c r="DQ515" s="1477" t="str">
        <f>IF(DP513=7,"LLLC","")</f>
        <v/>
      </c>
      <c r="DR515" s="1403"/>
      <c r="DS515" s="1489"/>
      <c r="DU515" s="1403"/>
      <c r="DV515" s="1404" t="str">
        <f>DU513</f>
        <v/>
      </c>
      <c r="DW515" s="1403"/>
      <c r="DX515" s="1403"/>
      <c r="DZ515" s="1481"/>
      <c r="EA515" s="1481"/>
      <c r="EC515" s="1482"/>
      <c r="ED515" s="1369"/>
      <c r="EE515" s="1371"/>
      <c r="EF515" s="1369"/>
      <c r="EG515" s="1369"/>
      <c r="EH515" s="1374"/>
      <c r="EI515" s="1374"/>
      <c r="EJ515" s="1363"/>
      <c r="EK515" s="1376"/>
      <c r="EL515" s="1376"/>
      <c r="EM515" s="1362"/>
      <c r="EN515" s="1362"/>
      <c r="EO515" s="1363"/>
      <c r="EP515" s="1363"/>
      <c r="EQ515" s="1363"/>
      <c r="ES515" s="1403"/>
      <c r="EU515" s="1411" t="e">
        <f>VLOOKUP(CP515,'Space Table'!$B$3:$L$160,8,FALSE)</f>
        <v>#N/A</v>
      </c>
      <c r="EV515" s="1411" t="e">
        <f>IF(EY515="Yes",VLOOKUP(AF515,Lookup_Control_Type_Table2,4,FALSE),VLOOKUP(AF515,Lookup_Control_Type_Table2,3,FALSE))</f>
        <v>#N/A</v>
      </c>
      <c r="EW515" s="1411" t="e">
        <f>VLOOKUP(AF515,Lookup!AU$3:AV$15,2,FALSE)</f>
        <v>#N/A</v>
      </c>
      <c r="EX515" s="1411" t="e">
        <f>VLOOKUP(EU513,Lookup_Control_Type_Table,2,FALSE)</f>
        <v>#N/A</v>
      </c>
      <c r="EY515" s="1411" t="e">
        <f>VLOOKUP(CP515,'Space Table'!$B$3:$L$160,7,FALSE)</f>
        <v>#N/A</v>
      </c>
      <c r="EZ515" s="1413"/>
      <c r="FB515" s="1365" t="str">
        <f>CONCATENATE(CN513," - ",AF515)</f>
        <v xml:space="preserve"> - </v>
      </c>
      <c r="FD515" s="1354"/>
      <c r="FE515" s="1354"/>
      <c r="FF515" s="138"/>
      <c r="FI515" s="1356" t="str">
        <f>IF(CN513="Exterior","Not Daylighted",G516)</f>
        <v>Not Daylighted</v>
      </c>
      <c r="FJ515" s="1356">
        <f>VLOOKUP(FI515,_Daylight_Table_Codes,2,FALSE)</f>
        <v>0</v>
      </c>
      <c r="FK515" s="1365">
        <f>AF515</f>
        <v>0</v>
      </c>
      <c r="FL515" s="1365" t="e">
        <f>VLOOKUP(FK515,_Control_Table,2,FALSE)</f>
        <v>#N/A</v>
      </c>
      <c r="FM515" s="1365" t="e">
        <f>IF(AND(FP515&gt;0,FK515="Occupancy Sensor"),"Daylight + Occupancy",IF(AND(FP515&gt;0,FL515&lt;4),"Interior Daylight Dimming",FK515))</f>
        <v>#N/A</v>
      </c>
      <c r="FO515" s="1364">
        <f>IF(CN513="Interior",VLOOKUP(CP513,Control_Savings_Interior,5,FALSE),0)</f>
        <v>0</v>
      </c>
      <c r="FP515" s="1361">
        <f>IF(CN515="Exterior",0,IF(FJ515=2,0.5,IF(OR(FJ515=1,FJ515=3),1,0)))</f>
        <v>0</v>
      </c>
      <c r="FQ515" s="1366">
        <f>IF(R514&gt;FO$37,(FO515*(FO$37/R514)),FO515)*FP515</f>
        <v>0</v>
      </c>
      <c r="FR515" s="1364">
        <f>DF515</f>
        <v>0</v>
      </c>
      <c r="FS515" s="1364">
        <f>ROUND(FR515+((1-FR515)*FQ515),2)</f>
        <v>0</v>
      </c>
      <c r="FT515" s="1364">
        <f>IF(__Retrofit_TI_NC=2,FS515,FR515)</f>
        <v>0</v>
      </c>
      <c r="FU515" s="1360">
        <f>IF(CO515="Interior",VLOOKUP(CP515,Control_Savings_Interior,4,FALSE),0)</f>
        <v>0</v>
      </c>
      <c r="FW515" s="1352"/>
      <c r="FX515" s="1352"/>
      <c r="FY515" s="1352"/>
      <c r="FZ515" s="1352"/>
      <c r="GA515" s="1352"/>
      <c r="GB515" s="1352"/>
      <c r="GC515" s="1352"/>
      <c r="GD515" s="1352"/>
      <c r="GE515" s="759" t="b">
        <f>IF(ISNUMBER(SEARCH("TLED",U515)),TRUE,FALSE)</f>
        <v>0</v>
      </c>
      <c r="GF515" s="1035" t="str">
        <f>IFERROR(VLOOKUP(U515,Fixtures!DM$93:DR$142,6,FALSE),"")</f>
        <v/>
      </c>
      <c r="GG515" s="1385"/>
      <c r="GI515" s="1383"/>
      <c r="GJ515" s="1379"/>
      <c r="GL515" s="1379"/>
      <c r="GM515" s="1379"/>
      <c r="HC515" s="1379"/>
      <c r="HD515" s="1379"/>
      <c r="HE515" s="1379"/>
      <c r="HF515" s="1379"/>
      <c r="HG515" s="1379"/>
      <c r="HH515" s="1379"/>
      <c r="HI515" s="1383"/>
      <c r="HJ515" s="1383"/>
      <c r="HK515" s="1383"/>
      <c r="HL515" s="1379"/>
      <c r="HM515" s="1379"/>
      <c r="HN515" s="1379"/>
      <c r="HO515" s="1379"/>
      <c r="HP515" s="1379"/>
      <c r="HQ515" s="1379"/>
      <c r="HR515" s="1379"/>
      <c r="HS515" s="1379"/>
      <c r="HT515" s="1379"/>
      <c r="HU515" s="1379"/>
      <c r="HW515" s="1383"/>
      <c r="HX515" s="1384" t="b">
        <f>HW513</f>
        <v>0</v>
      </c>
      <c r="HY515" s="1378"/>
      <c r="HZ515" s="436"/>
      <c r="IA515" s="1386"/>
      <c r="IB515" s="1380">
        <f>IF(IA513=TRUE,AC516,0)</f>
        <v>0</v>
      </c>
      <c r="IC515" s="1379"/>
      <c r="IF515" s="1380" t="e">
        <f>ROUND(T515*AB516*N514*R514/1000,0)</f>
        <v>#VALUE!</v>
      </c>
      <c r="IG515" s="1382"/>
      <c r="IH515" s="1384" t="e">
        <f>ROUND(T515*AB516*N514*R514/1000,0)</f>
        <v>#VALUE!</v>
      </c>
      <c r="II515" s="1382"/>
      <c r="IK515" s="1351" t="e">
        <f>IF($CO515="interior",IL515/2,VLOOKUP($CP515,Control_Savings_Exterior,IK$30,FALSE))</f>
        <v>#N/A</v>
      </c>
      <c r="IL515" s="1351" t="e">
        <f>IF($CO515="interior",VLOOKUP($CP515,Control_Savings_Interior,IL$30,FALSE),VLOOKUP($CP515,Control_Savings_Exterior,IL$30,FALSE))</f>
        <v>#N/A</v>
      </c>
      <c r="IM515" s="1351" t="e">
        <f>IF($CO515="interior",IF(R514&gt;FO$37,(IM$28*(FO$37/R514)),IM$28)*FP515,VLOOKUP($CP515,Control_Savings_Exterior,IM$30,FALSE))</f>
        <v>#N/A</v>
      </c>
      <c r="IN515" s="1351" t="e">
        <f>IF($CO515="interior",ROUND(((1-IL515)*IM515)+IL515,2),VLOOKUP($CP515,Control_Savings_Exterior,IN$30,FALSE))</f>
        <v>#N/A</v>
      </c>
      <c r="IO515" s="1351" t="e">
        <f>IF($CO515="interior", ROUND(((1-IL515)*(IM515*(1-IP$28)))+IP515,2), VLOOKUP($CP515,Control_Savings_Exterior,IO$30,FALSE))</f>
        <v>#N/A</v>
      </c>
      <c r="IP515" s="1351">
        <f>IF($CO515="interior",ROUND(((1-IL515)*IP$28)+IL515,2),0)</f>
        <v>0</v>
      </c>
    </row>
    <row r="516" spans="1:250" s="82" customFormat="1" ht="14.95" customHeight="1" thickTop="1" thickBot="1">
      <c r="B516" s="1421"/>
      <c r="C516" s="1422"/>
      <c r="D516" s="1423"/>
      <c r="E516" s="1462" t="s">
        <v>357</v>
      </c>
      <c r="F516" s="1463"/>
      <c r="G516" s="1464" t="s">
        <v>362</v>
      </c>
      <c r="H516" s="1465"/>
      <c r="I516" s="1465"/>
      <c r="J516" s="1465"/>
      <c r="K516" s="1465"/>
      <c r="L516" s="1466"/>
      <c r="M516" s="669">
        <f>IFERROR(VLOOKUP(G516,_Daylight_Table[],2,FALSE),0)</f>
        <v>0</v>
      </c>
      <c r="N516" s="670"/>
      <c r="O516" s="669" t="e">
        <f>VLOOKUP(G515,'Space Table'!$B$3:$L$160,11,FALSE)</f>
        <v>#N/A</v>
      </c>
      <c r="P516" s="1408"/>
      <c r="Q516" s="1409"/>
      <c r="R516" s="1409"/>
      <c r="S516" s="1402"/>
      <c r="T516" s="671" t="s">
        <v>281</v>
      </c>
      <c r="U516" s="1467" t="str">
        <f>IFERROR(VLOOKUP(U515,Fixtures!DM$93:DP$142,4,FALSE),"")</f>
        <v/>
      </c>
      <c r="V516" s="1468"/>
      <c r="W516" s="1468"/>
      <c r="X516" s="1468"/>
      <c r="Y516" s="1468"/>
      <c r="Z516" s="1468"/>
      <c r="AA516" s="1468"/>
      <c r="AB516" s="1046" t="str">
        <f>IFERROR(VLOOKUP(U515,Fixtures_Proposed_List,2,FALSE),"")</f>
        <v/>
      </c>
      <c r="AC516" s="1036" t="str">
        <f>IFERROR(ROUND(T515*AB516*N514*R514/1000,0),"")</f>
        <v/>
      </c>
      <c r="AD516" s="1037" t="str">
        <f>IFERROR(ROUND(T515*AB516/1000,2),"")</f>
        <v/>
      </c>
      <c r="AE516" s="1045" t="s">
        <v>281</v>
      </c>
      <c r="AF516" s="1469"/>
      <c r="AG516" s="1469"/>
      <c r="AH516" s="1469"/>
      <c r="AI516" s="1469"/>
      <c r="AJ516" s="1476"/>
      <c r="AK516" s="1471"/>
      <c r="AL516" s="1473"/>
      <c r="AM516" s="1443"/>
      <c r="AN516" s="1444"/>
      <c r="AO516" s="1449"/>
      <c r="AP516" s="1449"/>
      <c r="AQ516" s="1450"/>
      <c r="AR516" s="1453"/>
      <c r="AS516" s="1456"/>
      <c r="AT516" s="1459"/>
      <c r="AU516" s="517"/>
      <c r="AV516" s="1480"/>
      <c r="AW516" s="1480"/>
      <c r="BC516" s="38"/>
      <c r="BD516" s="38"/>
      <c r="BE516" s="38"/>
      <c r="BF516" s="38"/>
      <c r="BG516" s="38"/>
      <c r="BH516" s="38"/>
      <c r="BI516" s="38"/>
      <c r="BJ516" s="38"/>
      <c r="BK516" s="38"/>
      <c r="BL516" s="38"/>
      <c r="BM516" s="38"/>
      <c r="BN516" s="38"/>
      <c r="BO516" s="38"/>
      <c r="BP516" s="38"/>
      <c r="BQ516" s="38"/>
      <c r="BR516" s="38"/>
      <c r="BS516" s="38"/>
      <c r="BT516" s="38"/>
      <c r="BU516" s="38"/>
      <c r="BV516" s="38"/>
      <c r="BW516" s="38"/>
      <c r="BX516" s="38"/>
      <c r="BY516" s="38"/>
      <c r="BZ516" s="38"/>
      <c r="CA516" s="38"/>
      <c r="CB516" s="38"/>
      <c r="CC516" s="38"/>
      <c r="CD516" s="38"/>
      <c r="CE516" s="38"/>
      <c r="CF516" s="38"/>
      <c r="CG516" s="38"/>
      <c r="CH516" s="38"/>
      <c r="CI516" s="38"/>
      <c r="CM516" s="1352"/>
      <c r="CN516" s="1352"/>
      <c r="CO516" s="1416"/>
      <c r="CP516" s="1418"/>
      <c r="CR516" s="1386"/>
      <c r="CS516" s="1355"/>
      <c r="CT516" s="1355"/>
      <c r="CU516" s="1375"/>
      <c r="CV516" s="1372"/>
      <c r="CW516" s="1372"/>
      <c r="CX516" s="1372"/>
      <c r="CY516" s="1487"/>
      <c r="CZ516" s="1487"/>
      <c r="DA516" s="1487"/>
      <c r="DC516" s="1355"/>
      <c r="DD516" s="1355"/>
      <c r="DE516" s="1375"/>
      <c r="DF516" s="1407"/>
      <c r="DG516" s="1372"/>
      <c r="DH516" s="1369"/>
      <c r="DK516" s="1484"/>
      <c r="DL516" s="1420"/>
      <c r="DN516" s="1403"/>
      <c r="DO516" s="1405"/>
      <c r="DP516" s="1355"/>
      <c r="DQ516" s="1405"/>
      <c r="DR516" s="1403"/>
      <c r="DS516" s="1489"/>
      <c r="DU516" s="1403"/>
      <c r="DV516" s="1405"/>
      <c r="DW516" s="1403"/>
      <c r="DX516" s="1403"/>
      <c r="DZ516" s="1481"/>
      <c r="EA516" s="1481"/>
      <c r="EC516" s="1482"/>
      <c r="ED516" s="1369"/>
      <c r="EE516" s="1372"/>
      <c r="EF516" s="1369"/>
      <c r="EG516" s="1369"/>
      <c r="EH516" s="1375"/>
      <c r="EI516" s="1375"/>
      <c r="EJ516" s="1363"/>
      <c r="EK516" s="1376"/>
      <c r="EL516" s="1376"/>
      <c r="EM516" s="1362"/>
      <c r="EN516" s="1362"/>
      <c r="EO516" s="1363"/>
      <c r="EP516" s="1363"/>
      <c r="EQ516" s="1363"/>
      <c r="ES516" s="1403"/>
      <c r="EU516" s="1488"/>
      <c r="EV516" s="1488"/>
      <c r="EW516" s="1488"/>
      <c r="EX516" s="1488"/>
      <c r="EY516" s="1488"/>
      <c r="EZ516" s="1414"/>
      <c r="FB516" s="1365"/>
      <c r="FD516" s="1355"/>
      <c r="FE516" s="1355"/>
      <c r="FF516" s="138"/>
      <c r="FI516" s="1357"/>
      <c r="FJ516" s="1357"/>
      <c r="FK516" s="1365"/>
      <c r="FL516" s="1365"/>
      <c r="FM516" s="1365"/>
      <c r="FO516" s="1361"/>
      <c r="FP516" s="1361"/>
      <c r="FQ516" s="1366"/>
      <c r="FR516" s="1361"/>
      <c r="FS516" s="1361"/>
      <c r="FT516" s="1361"/>
      <c r="FU516" s="1360"/>
      <c r="FW516" s="1352"/>
      <c r="FX516" s="1352"/>
      <c r="FY516" s="1352"/>
      <c r="FZ516" s="1352"/>
      <c r="GA516" s="1352"/>
      <c r="GB516" s="1352"/>
      <c r="GC516" s="1352"/>
      <c r="GD516" s="1352"/>
      <c r="GE516" s="759"/>
      <c r="GF516" s="1035"/>
      <c r="GG516" s="1385"/>
      <c r="GJ516" s="1034">
        <f>IF(GJ514=TRUE,0,GJ$16)</f>
        <v>0</v>
      </c>
      <c r="GL516" s="1034">
        <f>IF(GL514=TRUE,0,GL$16)</f>
        <v>36</v>
      </c>
      <c r="GM516" s="1034">
        <f>IF(GM514=TRUE,0,GM$16)</f>
        <v>35</v>
      </c>
      <c r="GN516" s="436"/>
      <c r="GO516" s="436"/>
      <c r="GP516" s="436"/>
      <c r="GQ516" s="436"/>
      <c r="GR516" s="436"/>
      <c r="HC516" s="1034">
        <f t="shared" ref="HC516:HH516" si="378">IF(HC514=TRUE,0,HC$16)</f>
        <v>19</v>
      </c>
      <c r="HD516" s="1034">
        <f t="shared" si="378"/>
        <v>18</v>
      </c>
      <c r="HE516" s="1034">
        <f t="shared" si="378"/>
        <v>17</v>
      </c>
      <c r="HF516" s="1034">
        <f t="shared" si="378"/>
        <v>16</v>
      </c>
      <c r="HG516" s="1034">
        <f t="shared" si="378"/>
        <v>0</v>
      </c>
      <c r="HH516" s="1034">
        <f t="shared" si="378"/>
        <v>0</v>
      </c>
      <c r="HI516" s="1034">
        <f>IF(HI514=TRUE,0,HI$16)</f>
        <v>13</v>
      </c>
      <c r="HJ516" s="1034">
        <f t="shared" ref="HJ516:HL516" si="379">IF(HJ514=TRUE,0,HJ$16)</f>
        <v>12</v>
      </c>
      <c r="HK516" s="1034">
        <f t="shared" si="379"/>
        <v>11</v>
      </c>
      <c r="HL516" s="1034">
        <f t="shared" si="379"/>
        <v>10</v>
      </c>
      <c r="HM516" s="1034">
        <f>IF(HM514=TRUE,0,HM$16)</f>
        <v>9</v>
      </c>
      <c r="HN516" s="1034">
        <f t="shared" ref="HN516:HR516" si="380">IF(HN514=TRUE,0,HN$16)</f>
        <v>0</v>
      </c>
      <c r="HO516" s="1034">
        <f t="shared" si="380"/>
        <v>0</v>
      </c>
      <c r="HP516" s="1034">
        <f t="shared" si="380"/>
        <v>0</v>
      </c>
      <c r="HQ516" s="1034">
        <f t="shared" si="380"/>
        <v>0</v>
      </c>
      <c r="HR516" s="1034">
        <f t="shared" si="380"/>
        <v>0</v>
      </c>
      <c r="HS516" s="1034">
        <f>IF(HS514=TRUE,0,HS$16)</f>
        <v>0</v>
      </c>
      <c r="HT516" s="1034">
        <f t="shared" ref="HT516" si="381">IF(HT514=TRUE,0,HT$16)</f>
        <v>0</v>
      </c>
      <c r="HU516" s="1034">
        <f>IF(HU514=TRUE,0,HU$16)</f>
        <v>1</v>
      </c>
      <c r="HW516" s="1034">
        <f>IF(GL514=FALSE,GL516,IF(GM514=FALSE,GM516,MAX(GJ516:HU516)))</f>
        <v>36</v>
      </c>
      <c r="HX516" s="1383"/>
      <c r="HY516" s="241" t="str">
        <f>VLOOKUP(HW516,_Error_Table,3,FALSE)</f>
        <v xml:space="preserve"> </v>
      </c>
      <c r="HZ516" s="241"/>
      <c r="IA516" s="1386"/>
      <c r="IB516" s="1380"/>
      <c r="IC516" s="1379"/>
      <c r="IF516" s="1380"/>
      <c r="IG516" s="1383"/>
      <c r="IH516" s="1383"/>
      <c r="II516" s="1383"/>
      <c r="IK516" s="1351"/>
      <c r="IL516" s="1351"/>
      <c r="IM516" s="1351"/>
      <c r="IN516" s="1351"/>
      <c r="IO516" s="1351"/>
      <c r="IP516" s="1351"/>
    </row>
    <row r="517" spans="1:250" s="82" customFormat="1" ht="5.0999999999999996" customHeight="1" thickBot="1">
      <c r="B517" s="763"/>
      <c r="C517" s="1038"/>
      <c r="D517" s="1038"/>
      <c r="E517" s="1490"/>
      <c r="F517" s="1490"/>
      <c r="G517" s="1490"/>
      <c r="H517" s="1490"/>
      <c r="I517" s="1490"/>
      <c r="J517" s="1490"/>
      <c r="K517" s="1490"/>
      <c r="L517" s="1490"/>
      <c r="M517" s="1490"/>
      <c r="N517" s="1490"/>
      <c r="O517" s="1490"/>
      <c r="P517" s="1490"/>
      <c r="Q517" s="1490"/>
      <c r="R517" s="1490"/>
      <c r="S517" s="1490"/>
      <c r="T517" s="1490"/>
      <c r="U517" s="1490"/>
      <c r="V517" s="1490"/>
      <c r="W517" s="1490"/>
      <c r="X517" s="1490"/>
      <c r="Y517" s="1490"/>
      <c r="Z517" s="1490"/>
      <c r="AA517" s="1490"/>
      <c r="AB517" s="1490"/>
      <c r="AC517" s="1490"/>
      <c r="AD517" s="1490"/>
      <c r="AE517" s="1490"/>
      <c r="AF517" s="1490"/>
      <c r="AG517" s="1490"/>
      <c r="AH517" s="1490"/>
      <c r="AI517" s="1490"/>
      <c r="AJ517" s="1490"/>
      <c r="AK517" s="1490"/>
      <c r="AL517" s="1490"/>
      <c r="AM517" s="1490"/>
      <c r="AN517" s="1490"/>
      <c r="AO517" s="1490"/>
      <c r="AP517" s="1490"/>
      <c r="AQ517" s="1490"/>
      <c r="AR517" s="1490"/>
      <c r="AS517" s="1490"/>
      <c r="AT517" s="1490"/>
      <c r="AU517" s="1041"/>
      <c r="BC517" s="38"/>
      <c r="BD517" s="38"/>
      <c r="BE517" s="38"/>
      <c r="BF517" s="38"/>
      <c r="BG517" s="38"/>
      <c r="BH517" s="38"/>
      <c r="BI517" s="38"/>
      <c r="BJ517" s="38"/>
      <c r="BK517" s="38"/>
      <c r="BL517" s="38"/>
      <c r="BM517" s="38"/>
      <c r="BN517" s="38"/>
      <c r="BO517" s="38"/>
      <c r="BP517" s="38"/>
      <c r="BQ517" s="38"/>
      <c r="BR517" s="38"/>
      <c r="BS517" s="38"/>
      <c r="BT517" s="38"/>
      <c r="BU517" s="38"/>
      <c r="BV517" s="38"/>
      <c r="BW517" s="38"/>
      <c r="BX517" s="38"/>
      <c r="BY517" s="38"/>
      <c r="BZ517" s="38"/>
      <c r="CA517" s="38"/>
      <c r="CB517" s="38"/>
      <c r="CC517" s="38"/>
      <c r="CD517" s="38"/>
      <c r="CE517" s="38"/>
      <c r="CF517" s="38"/>
      <c r="CG517" s="38"/>
      <c r="CH517" s="38"/>
      <c r="CI517" s="38"/>
      <c r="CM517" s="749"/>
      <c r="CN517" s="749"/>
      <c r="CO517" s="1043"/>
      <c r="CP517" s="749"/>
      <c r="CS517" s="436"/>
      <c r="CT517" s="436"/>
      <c r="CU517" s="243"/>
      <c r="CV517" s="244"/>
      <c r="CW517" s="244"/>
      <c r="CX517" s="244"/>
      <c r="CY517" s="245"/>
      <c r="CZ517" s="245"/>
      <c r="DA517" s="245"/>
      <c r="DC517" s="750"/>
      <c r="DD517" s="751"/>
      <c r="DE517" s="752"/>
      <c r="DF517" s="753"/>
      <c r="DG517" s="754"/>
      <c r="DH517" s="754"/>
      <c r="DK517" s="244"/>
      <c r="DL517" s="750"/>
      <c r="DN517" s="750"/>
      <c r="DO517" s="755"/>
      <c r="DP517" s="436"/>
      <c r="DQ517" s="750"/>
      <c r="DR517" s="750"/>
      <c r="DS517" s="750"/>
      <c r="DU517" s="750"/>
      <c r="DV517" s="750"/>
      <c r="DW517" s="750"/>
      <c r="DX517" s="750"/>
      <c r="DZ517" s="756"/>
      <c r="EA517" s="756"/>
      <c r="EC517" s="754"/>
      <c r="ED517" s="754"/>
      <c r="EE517" s="244"/>
      <c r="EF517" s="754"/>
      <c r="EG517" s="754"/>
      <c r="EH517" s="243"/>
      <c r="EI517" s="243"/>
      <c r="EJ517" s="752"/>
      <c r="EK517" s="757"/>
      <c r="EL517" s="757"/>
      <c r="EM517" s="758"/>
      <c r="EN517" s="758"/>
      <c r="EO517" s="752"/>
      <c r="EP517" s="752"/>
      <c r="EQ517" s="752"/>
      <c r="ES517" s="750"/>
      <c r="EU517" s="436"/>
      <c r="EV517" s="436"/>
      <c r="EW517" s="436"/>
      <c r="EX517" s="436"/>
      <c r="EY517" s="436"/>
      <c r="EZ517" s="436"/>
      <c r="FB517" s="643"/>
      <c r="FD517" s="436"/>
      <c r="FE517" s="436"/>
      <c r="FF517" s="436"/>
      <c r="FO517" s="750"/>
      <c r="FP517" s="436"/>
      <c r="FQ517" s="436"/>
      <c r="FR517" s="750"/>
      <c r="FS517" s="750"/>
      <c r="FW517" s="749"/>
      <c r="FX517" s="749"/>
      <c r="FY517" s="749"/>
      <c r="FZ517" s="749"/>
      <c r="GA517" s="749"/>
      <c r="GB517" s="749"/>
      <c r="GC517" s="749"/>
      <c r="GD517" s="749"/>
      <c r="GE517" s="751"/>
      <c r="GF517" s="750"/>
      <c r="GG517" s="750"/>
    </row>
    <row r="518" spans="1:250" s="82" customFormat="1" ht="14.95" customHeight="1" thickTop="1" thickBot="1">
      <c r="B518" s="1421" t="str">
        <f>HY521</f>
        <v xml:space="preserve"> </v>
      </c>
      <c r="C518" s="1422">
        <f>C513+1</f>
        <v>93</v>
      </c>
      <c r="D518" s="1423"/>
      <c r="E518" s="1424" t="s">
        <v>242</v>
      </c>
      <c r="F518" s="1425"/>
      <c r="G518" s="1426"/>
      <c r="H518" s="1427"/>
      <c r="I518" s="1427"/>
      <c r="J518" s="1427"/>
      <c r="K518" s="1427"/>
      <c r="L518" s="1427"/>
      <c r="M518" s="1427"/>
      <c r="N518" s="1427"/>
      <c r="O518" s="1427"/>
      <c r="P518" s="1427"/>
      <c r="Q518" s="1427"/>
      <c r="R518" s="1427"/>
      <c r="S518" s="1428" t="s">
        <v>283</v>
      </c>
      <c r="T518" s="668" t="s">
        <v>190</v>
      </c>
      <c r="U518" s="1430" t="s">
        <v>186</v>
      </c>
      <c r="V518" s="1431"/>
      <c r="W518" s="1431"/>
      <c r="X518" s="1431"/>
      <c r="Y518" s="1431"/>
      <c r="Z518" s="1431"/>
      <c r="AA518" s="1431"/>
      <c r="AB518" s="1088" t="str">
        <f>IFERROR(IF(__Retrofit_TI_NC=0,VLOOKUP(U519,Fixtures_Existing_List,2,FALSE),ROUND(N520*R520/T520,10)),"")</f>
        <v/>
      </c>
      <c r="AC518" s="1039" t="str">
        <f>IFERROR(IF(__Retrofit_TI_NC=0,ROUND(T519*AB518*N519*R519/1000,0),IF(CN518="Interior",N520*R520*R519*N519*_C406_reduction/1000,N520*R520*R519*N519/1000)),"")</f>
        <v/>
      </c>
      <c r="AD518" s="1040" t="str">
        <f>IFERROR(IF(C$36=0,ROUND(T519*AB518/1000,2),N520*R520/1000),"")</f>
        <v/>
      </c>
      <c r="AE518" s="1044" t="s">
        <v>190</v>
      </c>
      <c r="AF518" s="1432" t="str">
        <f>IF(__Retrofit_TI_NC=2,CONCATENATE("Code min = ",DD518),IF(__Retrofit_TI_NC=1,"Emter what you think the existing control was"," Control"))</f>
        <v xml:space="preserve"> Control</v>
      </c>
      <c r="AG518" s="1432"/>
      <c r="AH518" s="1432"/>
      <c r="AI518" s="1432"/>
      <c r="AJ518" s="1433">
        <f>DF518</f>
        <v>0</v>
      </c>
      <c r="AK518" s="1435" t="str">
        <f>IFERROR(ROUND(AJ518*AC518,0),"")</f>
        <v/>
      </c>
      <c r="AL518" s="1437">
        <f>IFERROR(IF(HW518=FALSE,0,AC518-AK518),0)</f>
        <v>0</v>
      </c>
      <c r="AM518" s="1439">
        <f>AL518-AL520</f>
        <v>0</v>
      </c>
      <c r="AN518" s="1440"/>
      <c r="AO518" s="1445">
        <f>IFERROR(IF(HW518=FALSE,0,(T520*U521)+(AE520*AF521)),0)</f>
        <v>0</v>
      </c>
      <c r="AP518" s="1445"/>
      <c r="AQ518" s="1446"/>
      <c r="AR518" s="1451" t="s">
        <v>157</v>
      </c>
      <c r="AS518" s="1454">
        <f>IF(AR518="Yes",1,0)</f>
        <v>1</v>
      </c>
      <c r="AT518" s="1457" t="str">
        <f>IF(OR(DN518=4,DN518=5,DN518=6,DN518=12),CONCATENATE("$",IF(GD518=TRUE,Lookup!$B$11,Lookup!$B$2)," /lamp"),CONCATENATE(EA518,"/ kWh"))</f>
        <v>0/ kWh</v>
      </c>
      <c r="AU518" s="516"/>
      <c r="AV518" s="1478">
        <f>IFERROR(IF(GI519=TRUE,(AB521*T520)/R520,0),"NA")</f>
        <v>0</v>
      </c>
      <c r="AW518" s="1478" t="str">
        <f>IFERROR(N520*_C406_reduction,"NA")</f>
        <v>NA</v>
      </c>
      <c r="BC518" s="38"/>
      <c r="BD518" s="38"/>
      <c r="BE518" s="38"/>
      <c r="BF518" s="38"/>
      <c r="BG518" s="38"/>
      <c r="BH518" s="38"/>
      <c r="BI518" s="38"/>
      <c r="BJ518" s="38"/>
      <c r="BK518" s="38"/>
      <c r="BL518" s="38"/>
      <c r="BM518" s="38"/>
      <c r="BN518" s="38"/>
      <c r="BO518" s="38"/>
      <c r="BP518" s="38"/>
      <c r="BQ518" s="38"/>
      <c r="BR518" s="38"/>
      <c r="BS518" s="38"/>
      <c r="BT518" s="38"/>
      <c r="BU518" s="38"/>
      <c r="BV518" s="38"/>
      <c r="BW518" s="38"/>
      <c r="BX518" s="38"/>
      <c r="BY518" s="38"/>
      <c r="BZ518" s="38"/>
      <c r="CA518" s="38"/>
      <c r="CB518" s="38"/>
      <c r="CC518" s="38"/>
      <c r="CD518" s="38"/>
      <c r="CE518" s="38"/>
      <c r="CF518" s="38"/>
      <c r="CG518" s="38"/>
      <c r="CH518" s="38"/>
      <c r="CI518" s="38"/>
      <c r="CM518" s="1352" t="str">
        <f>N519</f>
        <v/>
      </c>
      <c r="CN518" s="1352" t="str">
        <f>IFERROR(VLOOKUP(G519,_Lookup_Heat_Type_Table_New,3,FALSE),"")</f>
        <v/>
      </c>
      <c r="CO518" s="1415" t="str">
        <f>CN518</f>
        <v/>
      </c>
      <c r="CP518" s="1417" t="e">
        <f>VLOOKUP(G520,'Space Table'!$B$3:$L$160,9,FALSE)</f>
        <v>#N/A</v>
      </c>
      <c r="CR518" s="1386" t="s">
        <v>283</v>
      </c>
      <c r="CS518" s="1353">
        <f>IF(HW518=TRUE,T519,0)</f>
        <v>0</v>
      </c>
      <c r="CT518" s="1353" t="str">
        <f>IF(HW518=TRUE,U519,"")</f>
        <v/>
      </c>
      <c r="CU518" s="1353"/>
      <c r="CV518" s="1370">
        <f>IF(HW518=TRUE,AB518,0)</f>
        <v>0</v>
      </c>
      <c r="CW518" s="1370">
        <f>IF(HW518=TRUE,AC518,0)</f>
        <v>0</v>
      </c>
      <c r="CX518" s="1370">
        <f>IFERROR(IF(HW518=TRUE,CW518-CW520,0),0)</f>
        <v>0</v>
      </c>
      <c r="CY518" s="1485">
        <f>IF(HW518=TRUE,AD518,0)</f>
        <v>0</v>
      </c>
      <c r="CZ518" s="1485">
        <f>IF(HW518=TRUE,AD521,0)</f>
        <v>0</v>
      </c>
      <c r="DA518" s="1485">
        <f>IFERROR(CY518-CZ518,0)</f>
        <v>0</v>
      </c>
      <c r="DC518" s="1353">
        <f>IF(HW518=TRUE,AE519,0)</f>
        <v>0</v>
      </c>
      <c r="DD518" s="1460">
        <f>IF(__Retrofit_TI_NC=2,IF(CN518="Exterior",O521,FM518),FK518)</f>
        <v>0</v>
      </c>
      <c r="DE518" s="1353"/>
      <c r="DF518" s="1406">
        <f>IFERROR(IF(FL518=3,IK518,IF(FL518=4,IL518,IF(FL518=5,IM518,IF(FL518=6,IN518,IF(FL518=7,IO518,IF(FL518=8,IP518,0)))))),0)</f>
        <v>0</v>
      </c>
      <c r="DG518" s="1370">
        <f>IF(HW518=TRUE,AK518,0)</f>
        <v>0</v>
      </c>
      <c r="DH518" s="1369">
        <f>IFERROR(IF(HW518=TRUE,DG520-DG518,0),0)</f>
        <v>0</v>
      </c>
      <c r="DJ518" s="1483">
        <f>IFERROR(CW518-DG518,0)</f>
        <v>0</v>
      </c>
      <c r="DL518" s="1419">
        <f>DJ518-DK520</f>
        <v>0</v>
      </c>
      <c r="DN518" s="1403" t="str">
        <f>IFERROR(IF(AND(OR(FY518=4,FY518=5,FY518=6),OR(GB518=4,GB518=5,GB518=6)),FY518+8,VLOOKUP(CT520,Fixtures!R$31:Y$78,8,FALSE)),"")</f>
        <v/>
      </c>
      <c r="DO518" s="1404" t="str">
        <f>DN518</f>
        <v/>
      </c>
      <c r="DP518" s="1353" t="str">
        <f>IFERROR(VLOOKUP(DD520,Lookup!AU$3:AV$15,2,FALSE),"")</f>
        <v/>
      </c>
      <c r="DQ518" s="1404" t="str">
        <f>IF(DP518=7,"LLLC","")</f>
        <v/>
      </c>
      <c r="DR518" s="1403">
        <f>IFERROR(IF(OR(DN518=4,DN518=5,DN518=6,DN518=12,DN518=13,DN518=14),VLOOKUP(CT520,Fixtures!DN$27:EG$77,19,FALSE),1)*CS520,0)</f>
        <v>0</v>
      </c>
      <c r="DS518" s="1489">
        <f>IF(DP518=7,IF(DD518=DD520,0,DC520),0)</f>
        <v>0</v>
      </c>
      <c r="DU518" s="1403" t="str">
        <f>IFERROR(IF(EW518&lt;EW520,"Yes","No"),"")</f>
        <v/>
      </c>
      <c r="DV518" s="1404" t="str">
        <f>DU518</f>
        <v/>
      </c>
      <c r="DW518" s="1403">
        <f>IF(DU518="Yes",DC520,0)</f>
        <v>0</v>
      </c>
      <c r="DX518" s="1403">
        <f>DW518-DS518</f>
        <v>0</v>
      </c>
      <c r="DZ518" s="1481">
        <f>IFERROR(VLOOKUP(DN518,Lookup!AN$3:AO$16,2,FALSE),0)</f>
        <v>0</v>
      </c>
      <c r="EA518" s="1481">
        <f>IF(HW518=FALSE,0,IF(DU518="Yes",DZ518+Lookup!B$6,DZ518))</f>
        <v>0</v>
      </c>
      <c r="EC518" s="1482">
        <f>IF(HW518=TRUE,DJ518,0)</f>
        <v>0</v>
      </c>
      <c r="ED518" s="1369">
        <f>IF(HW518=TRUE,CW520,0)</f>
        <v>0</v>
      </c>
      <c r="EE518" s="1370">
        <f>IFERROR(EC518-ED518,0)</f>
        <v>0</v>
      </c>
      <c r="EF518" s="1369">
        <f>IF(HW518=TRUE,DG520,0)</f>
        <v>0</v>
      </c>
      <c r="EG518" s="1369">
        <f>IFERROR(EC518-ED518+EF518,0)</f>
        <v>0</v>
      </c>
      <c r="EH518" s="1373">
        <f>IF(HW518=TRUE,CS520*CU520,0)</f>
        <v>0</v>
      </c>
      <c r="EI518" s="1373">
        <f>IF(HW518=TRUE,DC520*DE520,0)</f>
        <v>0</v>
      </c>
      <c r="EJ518" s="1363">
        <f>AO518</f>
        <v>0</v>
      </c>
      <c r="EK518" s="1376" t="str">
        <f>IFERROR(IF(HW518=TRUE,VLOOKUP(DN518,Lookup!AN$3:AP$16,3,FALSE)*DR518,""),0)</f>
        <v/>
      </c>
      <c r="EL518" s="1376">
        <f>IF(HW518=TRUE,DW518*Lookup!AP$12,0)</f>
        <v>0</v>
      </c>
      <c r="EM518" s="1362">
        <f>IFERROR(IF(HW518=TRUE,EK518/EM$33,0),0)</f>
        <v>0</v>
      </c>
      <c r="EN518" s="1362">
        <f>IF(HW518=TRUE,EL518/EN$33,0)</f>
        <v>0</v>
      </c>
      <c r="EO518" s="1363">
        <f>IF(HW518=TRUE,EQ$33*EM518,0)</f>
        <v>0</v>
      </c>
      <c r="EP518" s="1363">
        <f>IF(HW518=TRUE,EQ$33*EN518,0)</f>
        <v>0</v>
      </c>
      <c r="EQ518" s="1363">
        <f>EO518+EP518</f>
        <v>0</v>
      </c>
      <c r="ES518" s="1403">
        <f>IF(G518="",0,1)</f>
        <v>0</v>
      </c>
      <c r="EU518" s="1410" t="e">
        <f>VLOOKUP(CP520,'Space Table'!$B$3:$L$160,8,FALSE)</f>
        <v>#N/A</v>
      </c>
      <c r="EV518" s="1410" t="e">
        <f>IF(EY518="Yes",VLOOKUP(DD518,Lookup_Control_Type_Table2,4,FALSE),VLOOKUP(DD518,Lookup_Control_Type_Table2,3,FALSE))</f>
        <v>#N/A</v>
      </c>
      <c r="EW518" s="1410" t="e">
        <f>VLOOKUP(DD518,Lookup!AU$3:AV$15,2,FALSE)</f>
        <v>#N/A</v>
      </c>
      <c r="EX518" s="1410" t="e">
        <f>VLOOKUP(EU518,Lookup_Control_Type_Table,2,FALSE)</f>
        <v>#N/A</v>
      </c>
      <c r="EY518" s="1410" t="e">
        <f>VLOOKUP(CP520,'Space Table'!$B$3:$L$160,7,FALSE)</f>
        <v>#N/A</v>
      </c>
      <c r="EZ518" s="1412" t="b">
        <f>ISNUMBER(SEARCH("TLED",U520))</f>
        <v>0</v>
      </c>
      <c r="FB518" s="1365" t="str">
        <f>CONCATENATE(CN518," - ",DD518)</f>
        <v xml:space="preserve"> - 0</v>
      </c>
      <c r="FD518" s="1353" t="str">
        <f>VLOOKUP(CT520,Fixtures!DN$27:EZ$77,38,FALSE)</f>
        <v/>
      </c>
      <c r="FE518" s="1353">
        <f>IFERROR(FD518*EE518,0)</f>
        <v>0</v>
      </c>
      <c r="FF518" s="138"/>
      <c r="FI518" s="1356" t="str">
        <f>IF(CN518="Exterior","Not Daylighted",G521)</f>
        <v>Not Daylighted</v>
      </c>
      <c r="FJ518" s="1356">
        <f>VLOOKUP(FI518,_Daylight_Table_Codes,2,FALSE)</f>
        <v>0</v>
      </c>
      <c r="FK518" s="1365">
        <f>IF(__Retrofit_TI_NC=2,VLOOKUP(G520,'Space Table'!$B$3:$L$160,11,FALSE),AF519)</f>
        <v>0</v>
      </c>
      <c r="FL518" s="1365" t="e">
        <f>VLOOKUP(FK518,_Control_Table,2,FALSE)</f>
        <v>#N/A</v>
      </c>
      <c r="FM518" s="1365" t="e">
        <f>IF(AND(FP518&gt;0,FK518="Occupancy Sensor"),"Daylight + Occupancy",IF(AND(FP518&gt;0,FL518&lt;4),"Interior Daylight Dimming",FK518))</f>
        <v>#N/A</v>
      </c>
      <c r="FO518" s="1364">
        <f>IF(CO518="Interior",VLOOKUP(CP518,Control_Savings_Interior,5,FALSE),0)</f>
        <v>0</v>
      </c>
      <c r="FP518" s="1361">
        <f>IF(CN518="Exterior",0,IF(FJ518=2,0.5,IF(OR(FJ518=1,FJ518=3),1,0)))</f>
        <v>0</v>
      </c>
      <c r="FQ518" s="1366"/>
      <c r="FR518" s="1367"/>
      <c r="FS518" s="1364"/>
      <c r="FT518" s="1367"/>
      <c r="FU518" s="1360"/>
      <c r="FW518" s="1352" t="str">
        <f>IFERROR(VLOOKUP(U519,_Exist_Fixture_Table,3,FALSE),"")</f>
        <v/>
      </c>
      <c r="FX518" s="1352" t="str">
        <f>VLOOKUP(CT518,_Exist_Fixture_Table,4,FALSE)</f>
        <v/>
      </c>
      <c r="FY518" s="1352">
        <f>IFERROR(VLOOKUP(FX518,Lookup!AM$6:AN$8,2,FALSE),0)</f>
        <v>0</v>
      </c>
      <c r="FZ518" s="1352" t="b">
        <f>IFERROR(IF(OR(GB518=4,GB518=5,GB518=6),TRUE,FALSE),"")</f>
        <v>0</v>
      </c>
      <c r="GA518" s="1352" t="str">
        <f>IFERROR(VLOOKUP(GB518,FY$6:FZ$10,2,FALSE),"")</f>
        <v/>
      </c>
      <c r="GB518" s="1352" t="str">
        <f>VLOOKUP(CT520,Fixtures!R$31:Y$78,8,FALSE)</f>
        <v/>
      </c>
      <c r="GC518" s="1352">
        <f>IF(AND(FW518=TRUE,FZ518=TRUE,OR(DN518=12,DN518=13,DN518=14)),FY518+8,0)</f>
        <v>0</v>
      </c>
      <c r="GD518" s="1352" t="b">
        <f>IF(OR(GC518=12,GC518=13,GC518=14),TRUE,FALSE)</f>
        <v>0</v>
      </c>
      <c r="GE518" s="759" t="b">
        <f>IF(ISNUMBER(SEARCH("TLED",U519)),TRUE,FALSE)</f>
        <v>0</v>
      </c>
      <c r="GF518" s="1035" t="str">
        <f>IFERROR(VLOOKUP(U519,Fixtures!BM$93:BR$142,6,FALSE),"")</f>
        <v/>
      </c>
      <c r="GG518" s="1385" t="b">
        <f>IF(OR(GE518=FALSE,GE520=FALSE),TRUE,IF(GF518-GF520&lt;5,FALSE,TRUE))</f>
        <v>1</v>
      </c>
      <c r="GK518" s="1034">
        <f>GL518</f>
        <v>0</v>
      </c>
      <c r="GL518" s="1034">
        <f>IF(G518="",0,1)</f>
        <v>0</v>
      </c>
      <c r="GM518" s="1034">
        <f>SUM(GN518:HB518)</f>
        <v>2</v>
      </c>
      <c r="GN518" s="1034">
        <f>IF(G519="",0,1)</f>
        <v>0</v>
      </c>
      <c r="GO518" s="1034">
        <f>IF(G520="",0,1)</f>
        <v>0</v>
      </c>
      <c r="GP518" s="1034">
        <f>IF(R519="",0,1)</f>
        <v>0</v>
      </c>
      <c r="GQ518" s="1034">
        <f>IF(__Retrofit_TI_NC=0,1,IF(R520="",0,1))</f>
        <v>1</v>
      </c>
      <c r="GR518" s="1034">
        <f>IF(CN518="Exterior",1,IF(G521="",0,1))</f>
        <v>1</v>
      </c>
      <c r="GS518" s="1034">
        <f>IF(__Retrofit_TI_NC&lt;&gt;0,1,IF(T519="",0,1))</f>
        <v>0</v>
      </c>
      <c r="GT518" s="1034">
        <f>IF(__Retrofit_TI_NC&lt;&gt;0,1,IF(U519="",0,1))</f>
        <v>0</v>
      </c>
      <c r="GU518" s="1034">
        <f>IF(T520="",0,1)</f>
        <v>0</v>
      </c>
      <c r="GV518" s="1034">
        <f>IF(U520="",0,1)</f>
        <v>0</v>
      </c>
      <c r="GW518" s="1034">
        <f>IF(__Retrofit_TI_NC=2,1,IF(U521="",0,1))</f>
        <v>0</v>
      </c>
      <c r="GX518" s="1034">
        <f>IF(__Retrofit_TI_NC&lt;&gt;0,1,IF(AE519="",0,1))</f>
        <v>0</v>
      </c>
      <c r="GY518" s="1034">
        <f>IF(__Retrofit_TI_NC&lt;&gt;0,1,IF(AF519="",0,1))</f>
        <v>0</v>
      </c>
      <c r="GZ518" s="1034">
        <f>IF(AE520="",0,1)</f>
        <v>0</v>
      </c>
      <c r="HA518" s="1034">
        <f>IF(AF520="",0,1)</f>
        <v>0</v>
      </c>
      <c r="HB518" s="1034">
        <f>IF(__Retrofit_TI_NC=2,1,IF(AF521="",0,1))</f>
        <v>0</v>
      </c>
      <c r="HV518" s="436"/>
      <c r="HW518" s="1384" t="b">
        <f>IF(OR(HW521=0,HW521=HT$16,HW521=HS$16,HW521=HU$16),TRUE,FALSE)</f>
        <v>0</v>
      </c>
      <c r="HX518" s="1377" t="b">
        <f>HW518</f>
        <v>0</v>
      </c>
      <c r="HY518" s="436"/>
      <c r="HZ518" s="436"/>
      <c r="IA518" s="1386" t="b">
        <f>IF(MAX(GJ521:HP521)&gt;5,FALSE,TRUE)</f>
        <v>0</v>
      </c>
      <c r="IB518" s="1380">
        <f>IF(IA518=TRUE,AC518,0)</f>
        <v>0</v>
      </c>
      <c r="IC518" s="1380">
        <f>IB518-IB520</f>
        <v>0</v>
      </c>
      <c r="IF518" s="1380" t="e">
        <f>ROUND(T519*VLOOKUP(U519,Fixtures_Existing_List,2,FALSE)*N519*R519/1000,0)</f>
        <v>#N/A</v>
      </c>
      <c r="IG518" s="1381" t="e">
        <f>IF518-IF520</f>
        <v>#N/A</v>
      </c>
      <c r="IH518" s="1384" t="e">
        <f>ROUND(IF(CN518="Interior",N520*R520*R519*N519*_C406_reduction/1000,N520*R520*R519*N519/1000),0)</f>
        <v>#N/A</v>
      </c>
      <c r="II518" s="1384" t="e">
        <f>IH518-IH520</f>
        <v>#N/A</v>
      </c>
      <c r="IK518" s="1351" t="e">
        <f>IF($CO518="interior",IL518/2,VLOOKUP($CP518,Control_Savings_Exterior,IK$30,FALSE))</f>
        <v>#N/A</v>
      </c>
      <c r="IL518" s="1351" t="e">
        <f>IF($CO518="interior",VLOOKUP($CP518,Control_Savings_Interior,IL$30,FALSE),VLOOKUP($CP518,Control_Savings_Exterior,IL$30,FALSE))</f>
        <v>#N/A</v>
      </c>
      <c r="IM518" s="1351" t="e">
        <f>IF($CO518="interior",IF(R519&gt;FO$37,(IM$28*(FO$37/R519)),IM$28)*FP518,VLOOKUP($CP518,Control_Savings_Exterior,IM$30,FALSE))</f>
        <v>#N/A</v>
      </c>
      <c r="IN518" s="1351" t="e">
        <f>IF($CO518="interior",ROUND(((1-IL518)*IM518)+IL518,2),VLOOKUP($CP518,Control_Savings_Exterior,IN$30,FALSE))</f>
        <v>#N/A</v>
      </c>
      <c r="IO518" s="1351" t="e">
        <f>IF($CO518="interior", ROUND(((1-IL518)*(IM518*(1-IP$28)))+IP518,2), VLOOKUP($CP518,Control_Savings_Exterior,IO$30,FALSE))</f>
        <v>#N/A</v>
      </c>
      <c r="IP518" s="1351">
        <f>IF($CO518="interior",ROUND(((1-IL518)*IP$28)+IL518,2),0)</f>
        <v>0</v>
      </c>
    </row>
    <row r="519" spans="1:250" s="82" customFormat="1" ht="14.95" customHeight="1" thickTop="1" thickBot="1">
      <c r="B519" s="1421"/>
      <c r="C519" s="1422"/>
      <c r="D519" s="1423"/>
      <c r="E519" s="1393" t="s">
        <v>244</v>
      </c>
      <c r="F519" s="1394"/>
      <c r="G519" s="1395"/>
      <c r="H519" s="1395"/>
      <c r="I519" s="1395"/>
      <c r="J519" s="1395"/>
      <c r="K519" s="1395"/>
      <c r="L519" s="1395"/>
      <c r="M519" s="509" t="e">
        <f>IF(__Retrofit_TI_NC&lt;&gt;0,IF(VLOOKUP(G520,'Space Table'!$B$3:$L$160,3,FALSE)&gt;0,1,0),IF(__Retrofit_TI_NC=VLOOKUP(G520,'Space Table'!$B$3:$L$160,3,FALSE),1,0))</f>
        <v>#N/A</v>
      </c>
      <c r="N519" s="509" t="str">
        <f>IFERROR(VLOOKUP(G519,_Lookup_Heat_Type_Table_New,2,FALSE),"")</f>
        <v/>
      </c>
      <c r="O519" s="509">
        <f>IF(__Retrofit_TI_NC=1,CONCATENATE("TI ",G519),IF(__Retrofit_TI_NC=2,CONCATENATE("NC ",G519),G519))</f>
        <v>0</v>
      </c>
      <c r="P519" s="1396" t="s">
        <v>352</v>
      </c>
      <c r="Q519" s="1396"/>
      <c r="R519" s="673"/>
      <c r="S519" s="1429"/>
      <c r="T519" s="675"/>
      <c r="U519" s="1496"/>
      <c r="V519" s="1497"/>
      <c r="W519" s="1497"/>
      <c r="X519" s="1497"/>
      <c r="Y519" s="1497"/>
      <c r="Z519" s="1497"/>
      <c r="AA519" s="1497"/>
      <c r="AB519" s="1497"/>
      <c r="AC519" s="1497"/>
      <c r="AD519" s="1498"/>
      <c r="AE519" s="675"/>
      <c r="AF519" s="1397"/>
      <c r="AG519" s="1397"/>
      <c r="AH519" s="1397"/>
      <c r="AI519" s="1397"/>
      <c r="AJ519" s="1434"/>
      <c r="AK519" s="1436"/>
      <c r="AL519" s="1438"/>
      <c r="AM519" s="1441"/>
      <c r="AN519" s="1442"/>
      <c r="AO519" s="1447"/>
      <c r="AP519" s="1447"/>
      <c r="AQ519" s="1448"/>
      <c r="AR519" s="1452"/>
      <c r="AS519" s="1455"/>
      <c r="AT519" s="1458"/>
      <c r="AU519" s="516"/>
      <c r="AV519" s="1479"/>
      <c r="AW519" s="1479"/>
      <c r="BC519" s="38"/>
      <c r="BD519" s="38"/>
      <c r="BE519" s="38"/>
      <c r="BF519" s="38"/>
      <c r="BG519" s="38"/>
      <c r="BH519" s="38"/>
      <c r="BI519" s="38"/>
      <c r="BJ519" s="38"/>
      <c r="BK519" s="38"/>
      <c r="BL519" s="38"/>
      <c r="BM519" s="38"/>
      <c r="BN519" s="38"/>
      <c r="BO519" s="38"/>
      <c r="BP519" s="38"/>
      <c r="BQ519" s="38"/>
      <c r="BR519" s="38"/>
      <c r="BS519" s="38"/>
      <c r="BT519" s="38"/>
      <c r="BU519" s="38"/>
      <c r="BV519" s="38"/>
      <c r="BW519" s="38"/>
      <c r="BX519" s="38"/>
      <c r="BY519" s="38"/>
      <c r="BZ519" s="38"/>
      <c r="CA519" s="38"/>
      <c r="CB519" s="38"/>
      <c r="CC519" s="38"/>
      <c r="CD519" s="38"/>
      <c r="CE519" s="38"/>
      <c r="CF519" s="38"/>
      <c r="CG519" s="38"/>
      <c r="CH519" s="38"/>
      <c r="CI519" s="38"/>
      <c r="CM519" s="1352"/>
      <c r="CN519" s="1352"/>
      <c r="CO519" s="1416"/>
      <c r="CP519" s="1418"/>
      <c r="CR519" s="1386"/>
      <c r="CS519" s="1355"/>
      <c r="CT519" s="1355"/>
      <c r="CU519" s="1355"/>
      <c r="CV519" s="1372"/>
      <c r="CW519" s="1372"/>
      <c r="CX519" s="1371"/>
      <c r="CY519" s="1486"/>
      <c r="CZ519" s="1486"/>
      <c r="DA519" s="1486"/>
      <c r="DC519" s="1355"/>
      <c r="DD519" s="1461"/>
      <c r="DE519" s="1355"/>
      <c r="DF519" s="1407"/>
      <c r="DG519" s="1372"/>
      <c r="DH519" s="1369"/>
      <c r="DJ519" s="1484"/>
      <c r="DL519" s="1419"/>
      <c r="DN519" s="1403"/>
      <c r="DO519" s="1405"/>
      <c r="DP519" s="1354"/>
      <c r="DQ519" s="1405"/>
      <c r="DR519" s="1403"/>
      <c r="DS519" s="1489"/>
      <c r="DU519" s="1403"/>
      <c r="DV519" s="1405"/>
      <c r="DW519" s="1403"/>
      <c r="DX519" s="1403"/>
      <c r="DZ519" s="1481"/>
      <c r="EA519" s="1481"/>
      <c r="EC519" s="1482"/>
      <c r="ED519" s="1369"/>
      <c r="EE519" s="1371"/>
      <c r="EF519" s="1369"/>
      <c r="EG519" s="1369"/>
      <c r="EH519" s="1374"/>
      <c r="EI519" s="1374"/>
      <c r="EJ519" s="1363"/>
      <c r="EK519" s="1376"/>
      <c r="EL519" s="1376"/>
      <c r="EM519" s="1362"/>
      <c r="EN519" s="1362"/>
      <c r="EO519" s="1363"/>
      <c r="EP519" s="1363"/>
      <c r="EQ519" s="1363"/>
      <c r="ES519" s="1403"/>
      <c r="EU519" s="1411"/>
      <c r="EV519" s="1411"/>
      <c r="EW519" s="1411"/>
      <c r="EX519" s="1411"/>
      <c r="EY519" s="1411"/>
      <c r="EZ519" s="1413"/>
      <c r="FB519" s="1365"/>
      <c r="FD519" s="1354"/>
      <c r="FE519" s="1354"/>
      <c r="FF519" s="138"/>
      <c r="FI519" s="1357"/>
      <c r="FJ519" s="1357"/>
      <c r="FK519" s="1365"/>
      <c r="FL519" s="1365"/>
      <c r="FM519" s="1365"/>
      <c r="FO519" s="1361"/>
      <c r="FP519" s="1361"/>
      <c r="FQ519" s="1366"/>
      <c r="FR519" s="1368"/>
      <c r="FS519" s="1361"/>
      <c r="FT519" s="1368"/>
      <c r="FU519" s="1360"/>
      <c r="FW519" s="1352"/>
      <c r="FX519" s="1352"/>
      <c r="FY519" s="1352"/>
      <c r="FZ519" s="1352"/>
      <c r="GA519" s="1352"/>
      <c r="GB519" s="1352"/>
      <c r="GC519" s="1352"/>
      <c r="GD519" s="1352"/>
      <c r="GE519" s="759"/>
      <c r="GF519" s="1035"/>
      <c r="GG519" s="1385"/>
      <c r="GI519" s="1384" t="b">
        <f>IF(AND(GL519=TRUE,GM519=TRUE),TRUE,FALSE)</f>
        <v>0</v>
      </c>
      <c r="GJ519" s="1379" t="b">
        <f>IFERROR(IF(__Retrofit_TI_NC=2,TRUE,IF(AR518="Yes",TRUE,FALSE)),FALSE)</f>
        <v>1</v>
      </c>
      <c r="GL519" s="1379" t="b">
        <f>IFERROR(IF(GL518=1,TRUE,FALSE),FALSE)</f>
        <v>0</v>
      </c>
      <c r="GM519" s="1379" t="b">
        <f>IFERROR(IF(GM518=GM$14,TRUE,FALSE),FALSE)</f>
        <v>0</v>
      </c>
      <c r="HC519" s="1379" t="b">
        <f>IFERROR(IF(M519=1,TRUE,FALSE),FALSE)</f>
        <v>0</v>
      </c>
      <c r="HD519" s="1379" t="b">
        <f>IFERROR(IF(M520=1,TRUE,FALSE),FALSE)</f>
        <v>0</v>
      </c>
      <c r="HE519" s="1379" t="b">
        <f>IFERROR(IF(__Retrofit_TI_NC&lt;&gt;0,TRUE,IFERROR(IF(VLOOKUP(U519,Fixtures_Existing_List,2,FALSE)&lt;&gt;"",TRUE,FALSE),FALSE)),FALSE)</f>
        <v>0</v>
      </c>
      <c r="HF519" s="1379" t="b">
        <f>IFERROR(IF(VLOOKUP(U520,Fixtures_Proposed_List,2,FALSE)&lt;&gt;"",TRUE,FALSE),FALSE)</f>
        <v>0</v>
      </c>
      <c r="HG519" s="1379" t="b">
        <f>IF(AND(__Retrofit_TI_NC=2,EZ518=TRUE),FALSE,TRUE)</f>
        <v>1</v>
      </c>
      <c r="HH519" s="1379" t="b">
        <f>GG518</f>
        <v>1</v>
      </c>
      <c r="HI519" s="1384" t="b">
        <f>IF(ISERROR(MATCH(FB518,_Control_Match[],0))=TRUE,FALSE,TRUE)</f>
        <v>0</v>
      </c>
      <c r="HJ519" s="1384" t="b">
        <f>IFERROR(IF(EU518&lt;&gt;EV518,FALSE,TRUE),FALSE)</f>
        <v>0</v>
      </c>
      <c r="HK519" s="1384" t="b">
        <f>IFERROR(IF(EU520&lt;&gt;EV520,FALSE,TRUE),FALSE)</f>
        <v>0</v>
      </c>
      <c r="HL519" s="1379" t="b">
        <f>IFERROR(IF(CN518="Exterior",TRUE,IF(OR(AND(FJ518=0,EW520&gt;4),AND(FJ518=4,EW520&gt;4,EW520&lt;7)),FALSE,TRUE)),FALSE)</f>
        <v>0</v>
      </c>
      <c r="HM519" s="1379" t="b">
        <f>IFERROR(IF(AND(FL520=7,EZ518=TRUE),FALSE,TRUE),FALSE)</f>
        <v>0</v>
      </c>
      <c r="HN519" s="1379" t="b">
        <f>IFERROR(IF(AND(T520&lt;&gt;AE520,AF520="Interior LLLC")=TRUE,FALSE,TRUE),FALSE)</f>
        <v>1</v>
      </c>
      <c r="HO519" s="1379" t="b">
        <f>IFERROR(IF(OR(AF520=Lookup!AU$13,AF520=Lookup!AU$14)=TRUE,IF(AE520&gt;T520,FALSE,TRUE),TRUE),FALSE)</f>
        <v>1</v>
      </c>
      <c r="HP519" s="1379" t="b">
        <f>IFERROR(IF(__Retrofit_TI_NC=2,IF(EW520&lt;EW518,FALSE,TRUE),TRUE),FALSE)</f>
        <v>1</v>
      </c>
      <c r="HQ519" s="1379" t="b">
        <f>IF(CN518="Interior",IG$6,TRUE)</f>
        <v>1</v>
      </c>
      <c r="HR519" s="1379" t="b">
        <f>IF(CN518="Exterior",IG$8,TRUE)</f>
        <v>1</v>
      </c>
      <c r="HS519" s="1379" t="b">
        <f>IFERROR(IF(__Retrofit_TI_NC&lt;&gt;0,IF(AW518&lt;AV518,FALSE,TRUE),TRUE),FALSE)</f>
        <v>1</v>
      </c>
      <c r="HT519" s="1379" t="b">
        <f>IFERROR(IF(AND(G519="Exterior",R519&gt;4200),FALSE,TRUE),FALSE)</f>
        <v>1</v>
      </c>
      <c r="HU519" s="1379" t="b">
        <f>IFERROR(IF(AB521/AB518&lt;HU$18,FALSE,TRUE),FALSE)</f>
        <v>0</v>
      </c>
      <c r="HW519" s="1382"/>
      <c r="HX519" s="1378"/>
      <c r="HY519" s="1377" t="str">
        <f>VLOOKUP(HW521,_Error_Table,4,FALSE)</f>
        <v>White</v>
      </c>
      <c r="HZ519" s="436"/>
      <c r="IA519" s="1386"/>
      <c r="IB519" s="1380"/>
      <c r="IC519" s="1379"/>
      <c r="IF519" s="1380"/>
      <c r="IG519" s="1382"/>
      <c r="IH519" s="1382"/>
      <c r="II519" s="1382"/>
      <c r="IK519" s="1351"/>
      <c r="IL519" s="1351"/>
      <c r="IM519" s="1351"/>
      <c r="IN519" s="1351"/>
      <c r="IO519" s="1351"/>
      <c r="IP519" s="1351"/>
    </row>
    <row r="520" spans="1:250" s="82" customFormat="1" ht="14.95" customHeight="1" thickTop="1" thickBot="1">
      <c r="A520" s="82">
        <f>ROW()</f>
        <v>520</v>
      </c>
      <c r="B520" s="1421"/>
      <c r="C520" s="1422"/>
      <c r="D520" s="1423"/>
      <c r="E520" s="1393" t="s">
        <v>245</v>
      </c>
      <c r="F520" s="1394"/>
      <c r="G520" s="1398"/>
      <c r="H520" s="1399"/>
      <c r="I520" s="1399"/>
      <c r="J520" s="1399"/>
      <c r="K520" s="1399"/>
      <c r="L520" s="1400"/>
      <c r="M520" s="509">
        <f>IFERROR(IF(IF(__Retrofit_TI_NC&lt;&gt;0,IF(CN518="Interior",MATCH(G520,Lookup_Interior_New,0),MATCH(G520,Lookup_Exterior_New,0)),IF(CN518="Interior",MATCH(G520,Lookup_Interior,0),MATCH(G520,Lookup_Exterior_Areas,0)))&gt;0,1,0),0)</f>
        <v>0</v>
      </c>
      <c r="N520" s="509" t="e">
        <f>IF(__Retrofit_TI_NC=1,
VLOOKUP(G520,'Space Table'!$B$3:$L$160,4,FALSE),
IF(__Retrofit_TI_NC=2,VLOOKUP(G520,'Space Table'!$B$3:$L$160,5,FALSE),VLOOKUP(G520,'Space Table'!$B$3:$L$160,5,FALSE)))</f>
        <v>#N/A</v>
      </c>
      <c r="O520" s="509">
        <f>G520</f>
        <v>0</v>
      </c>
      <c r="P520" s="1394" t="s">
        <v>355</v>
      </c>
      <c r="Q520" s="1394"/>
      <c r="R520" s="674"/>
      <c r="S520" s="1401" t="s">
        <v>284</v>
      </c>
      <c r="T520" s="672"/>
      <c r="U520" s="1499"/>
      <c r="V520" s="1500"/>
      <c r="W520" s="1500"/>
      <c r="X520" s="1500"/>
      <c r="Y520" s="1500"/>
      <c r="Z520" s="1500"/>
      <c r="AA520" s="1500"/>
      <c r="AB520" s="1501"/>
      <c r="AC520" s="1501"/>
      <c r="AD520" s="1502"/>
      <c r="AE520" s="672"/>
      <c r="AF520" s="1474"/>
      <c r="AG520" s="1474"/>
      <c r="AH520" s="1474"/>
      <c r="AI520" s="1474"/>
      <c r="AJ520" s="1475">
        <f>DF520</f>
        <v>0</v>
      </c>
      <c r="AK520" s="1470" t="str">
        <f>IFERROR(ROUND(AJ520*AC521,0),"")</f>
        <v/>
      </c>
      <c r="AL520" s="1472">
        <f>IFERROR(IF(HW518=FALSE,0,AC521-AK520),0)</f>
        <v>0</v>
      </c>
      <c r="AM520" s="1441"/>
      <c r="AN520" s="1442"/>
      <c r="AO520" s="1447"/>
      <c r="AP520" s="1447"/>
      <c r="AQ520" s="1448"/>
      <c r="AR520" s="1452"/>
      <c r="AS520" s="1455"/>
      <c r="AT520" s="1458"/>
      <c r="AU520" s="516"/>
      <c r="AV520" s="1479"/>
      <c r="AW520" s="1479"/>
      <c r="BC520" s="38"/>
      <c r="BD520" s="38"/>
      <c r="BE520" s="38"/>
      <c r="BF520" s="38"/>
      <c r="BG520" s="38"/>
      <c r="BH520" s="38"/>
      <c r="BI520" s="38"/>
      <c r="BJ520" s="38"/>
      <c r="BK520" s="38"/>
      <c r="BL520" s="38"/>
      <c r="BM520" s="38"/>
      <c r="BN520" s="38"/>
      <c r="BO520" s="38"/>
      <c r="BP520" s="38"/>
      <c r="BQ520" s="38"/>
      <c r="BR520" s="38"/>
      <c r="BS520" s="38"/>
      <c r="BT520" s="38"/>
      <c r="BU520" s="38"/>
      <c r="BV520" s="38"/>
      <c r="BW520" s="38"/>
      <c r="BX520" s="38"/>
      <c r="BY520" s="38"/>
      <c r="BZ520" s="38"/>
      <c r="CA520" s="38"/>
      <c r="CB520" s="38"/>
      <c r="CC520" s="38"/>
      <c r="CD520" s="38"/>
      <c r="CE520" s="38"/>
      <c r="CF520" s="38"/>
      <c r="CG520" s="38"/>
      <c r="CH520" s="38"/>
      <c r="CI520" s="38"/>
      <c r="CM520" s="1352"/>
      <c r="CN520" s="1352"/>
      <c r="CO520" s="1415" t="str">
        <f>CN518</f>
        <v/>
      </c>
      <c r="CP520" s="1417" t="e">
        <f>CP518</f>
        <v>#N/A</v>
      </c>
      <c r="CR520" s="1386" t="s">
        <v>284</v>
      </c>
      <c r="CS520" s="1353">
        <f>IF(HW518=TRUE,T520,0)</f>
        <v>0</v>
      </c>
      <c r="CT520" s="1353" t="str">
        <f>IF(HW518=TRUE,U520,"")</f>
        <v/>
      </c>
      <c r="CU520" s="1373">
        <f>IF(HW518=TRUE,U521,0)</f>
        <v>0</v>
      </c>
      <c r="CV520" s="1370">
        <f>IF(HW518=TRUE,AB521,0)</f>
        <v>0</v>
      </c>
      <c r="CW520" s="1370">
        <f>IF(HW518=TRUE,AC521,0)</f>
        <v>0</v>
      </c>
      <c r="CX520" s="1371"/>
      <c r="CY520" s="1486"/>
      <c r="CZ520" s="1486"/>
      <c r="DA520" s="1486"/>
      <c r="DC520" s="1353">
        <f>IF(HW518=TRUE,AE520,0)</f>
        <v>0</v>
      </c>
      <c r="DD520" s="1353" t="str">
        <f>IF(HW518=TRUE,AF520,"")</f>
        <v/>
      </c>
      <c r="DE520" s="1373">
        <f>AF521</f>
        <v>0</v>
      </c>
      <c r="DF520" s="1406">
        <f>IFERROR(IF(FL520=3,IK520,IF(FL520=4,IL520,IF(FL520=5,IM520,IF(FL520=6,IN520,IF(FL520=7,IO520,IF(FL520=8,IP520,0)))))),0)</f>
        <v>0</v>
      </c>
      <c r="DG520" s="1370">
        <f>IF(HW518=TRUE,AK520,0)</f>
        <v>0</v>
      </c>
      <c r="DH520" s="1369"/>
      <c r="DK520" s="1483">
        <f>IFERROR(CW520-DG520,0)</f>
        <v>0</v>
      </c>
      <c r="DL520" s="1420"/>
      <c r="DN520" s="1403"/>
      <c r="DO520" s="1477" t="str">
        <f>DN518</f>
        <v/>
      </c>
      <c r="DP520" s="1354"/>
      <c r="DQ520" s="1477" t="str">
        <f>IF(DP518=7,"LLLC","")</f>
        <v/>
      </c>
      <c r="DR520" s="1403"/>
      <c r="DS520" s="1489"/>
      <c r="DU520" s="1403"/>
      <c r="DV520" s="1404" t="str">
        <f>DU518</f>
        <v/>
      </c>
      <c r="DW520" s="1403"/>
      <c r="DX520" s="1403"/>
      <c r="DZ520" s="1481"/>
      <c r="EA520" s="1481"/>
      <c r="EC520" s="1482"/>
      <c r="ED520" s="1369"/>
      <c r="EE520" s="1371"/>
      <c r="EF520" s="1369"/>
      <c r="EG520" s="1369"/>
      <c r="EH520" s="1374"/>
      <c r="EI520" s="1374"/>
      <c r="EJ520" s="1363"/>
      <c r="EK520" s="1376"/>
      <c r="EL520" s="1376"/>
      <c r="EM520" s="1362"/>
      <c r="EN520" s="1362"/>
      <c r="EO520" s="1363"/>
      <c r="EP520" s="1363"/>
      <c r="EQ520" s="1363"/>
      <c r="ES520" s="1403"/>
      <c r="EU520" s="1411" t="e">
        <f>VLOOKUP(CP520,'Space Table'!$B$3:$L$160,8,FALSE)</f>
        <v>#N/A</v>
      </c>
      <c r="EV520" s="1411" t="e">
        <f>IF(EY520="Yes",VLOOKUP(AF520,Lookup_Control_Type_Table2,4,FALSE),VLOOKUP(AF520,Lookup_Control_Type_Table2,3,FALSE))</f>
        <v>#N/A</v>
      </c>
      <c r="EW520" s="1411" t="e">
        <f>VLOOKUP(AF520,Lookup!AU$3:AV$15,2,FALSE)</f>
        <v>#N/A</v>
      </c>
      <c r="EX520" s="1411" t="e">
        <f>VLOOKUP(EU518,Lookup_Control_Type_Table,2,FALSE)</f>
        <v>#N/A</v>
      </c>
      <c r="EY520" s="1411" t="e">
        <f>VLOOKUP(CP520,'Space Table'!$B$3:$L$160,7,FALSE)</f>
        <v>#N/A</v>
      </c>
      <c r="EZ520" s="1413"/>
      <c r="FB520" s="1365" t="str">
        <f>CONCATENATE(CN518," - ",AF520)</f>
        <v xml:space="preserve"> - </v>
      </c>
      <c r="FD520" s="1354"/>
      <c r="FE520" s="1354"/>
      <c r="FF520" s="138"/>
      <c r="FI520" s="1356" t="str">
        <f>IF(CN518="Exterior","Not Daylighted",G521)</f>
        <v>Not Daylighted</v>
      </c>
      <c r="FJ520" s="1356">
        <f>VLOOKUP(FI520,_Daylight_Table_Codes,2,FALSE)</f>
        <v>0</v>
      </c>
      <c r="FK520" s="1365">
        <f>AF520</f>
        <v>0</v>
      </c>
      <c r="FL520" s="1365" t="e">
        <f>VLOOKUP(FK520,_Control_Table,2,FALSE)</f>
        <v>#N/A</v>
      </c>
      <c r="FM520" s="1365" t="e">
        <f>IF(AND(FP520&gt;0,FK520="Occupancy Sensor"),"Daylight + Occupancy",IF(AND(FP520&gt;0,FL520&lt;4),"Interior Daylight Dimming",FK520))</f>
        <v>#N/A</v>
      </c>
      <c r="FO520" s="1364">
        <f>IF(CN518="Interior",VLOOKUP(CP518,Control_Savings_Interior,5,FALSE),0)</f>
        <v>0</v>
      </c>
      <c r="FP520" s="1361">
        <f>IF(CN520="Exterior",0,IF(FJ520=2,0.5,IF(OR(FJ520=1,FJ520=3),1,0)))</f>
        <v>0</v>
      </c>
      <c r="FQ520" s="1366">
        <f>IF(R519&gt;FO$37,(FO520*(FO$37/R519)),FO520)*FP520</f>
        <v>0</v>
      </c>
      <c r="FR520" s="1364">
        <f>DF520</f>
        <v>0</v>
      </c>
      <c r="FS520" s="1364">
        <f>ROUND(FR520+((1-FR520)*FQ520),2)</f>
        <v>0</v>
      </c>
      <c r="FT520" s="1364">
        <f>IF(__Retrofit_TI_NC=2,FS520,FR520)</f>
        <v>0</v>
      </c>
      <c r="FU520" s="1360">
        <f>IF(CO520="Interior",VLOOKUP(CP520,Control_Savings_Interior,4,FALSE),0)</f>
        <v>0</v>
      </c>
      <c r="FW520" s="1352"/>
      <c r="FX520" s="1352"/>
      <c r="FY520" s="1352"/>
      <c r="FZ520" s="1352"/>
      <c r="GA520" s="1352"/>
      <c r="GB520" s="1352"/>
      <c r="GC520" s="1352"/>
      <c r="GD520" s="1352"/>
      <c r="GE520" s="759" t="b">
        <f>IF(ISNUMBER(SEARCH("TLED",U520)),TRUE,FALSE)</f>
        <v>0</v>
      </c>
      <c r="GF520" s="1035" t="str">
        <f>IFERROR(VLOOKUP(U520,Fixtures!DM$93:DR$142,6,FALSE),"")</f>
        <v/>
      </c>
      <c r="GG520" s="1385"/>
      <c r="GI520" s="1383"/>
      <c r="GJ520" s="1379"/>
      <c r="GL520" s="1379"/>
      <c r="GM520" s="1379"/>
      <c r="HC520" s="1379"/>
      <c r="HD520" s="1379"/>
      <c r="HE520" s="1379"/>
      <c r="HF520" s="1379"/>
      <c r="HG520" s="1379"/>
      <c r="HH520" s="1379"/>
      <c r="HI520" s="1383"/>
      <c r="HJ520" s="1383"/>
      <c r="HK520" s="1383"/>
      <c r="HL520" s="1379"/>
      <c r="HM520" s="1379"/>
      <c r="HN520" s="1379"/>
      <c r="HO520" s="1379"/>
      <c r="HP520" s="1379"/>
      <c r="HQ520" s="1379"/>
      <c r="HR520" s="1379"/>
      <c r="HS520" s="1379"/>
      <c r="HT520" s="1379"/>
      <c r="HU520" s="1379"/>
      <c r="HW520" s="1383"/>
      <c r="HX520" s="1384" t="b">
        <f>HW518</f>
        <v>0</v>
      </c>
      <c r="HY520" s="1378"/>
      <c r="HZ520" s="436"/>
      <c r="IA520" s="1386"/>
      <c r="IB520" s="1380">
        <f>IF(IA518=TRUE,AC521,0)</f>
        <v>0</v>
      </c>
      <c r="IC520" s="1379"/>
      <c r="IF520" s="1380" t="e">
        <f>ROUND(T520*AB521*N519*R519/1000,0)</f>
        <v>#VALUE!</v>
      </c>
      <c r="IG520" s="1382"/>
      <c r="IH520" s="1384" t="e">
        <f>ROUND(T520*AB521*N519*R519/1000,0)</f>
        <v>#VALUE!</v>
      </c>
      <c r="II520" s="1382"/>
      <c r="IK520" s="1351" t="e">
        <f>IF($CO520="interior",IL520/2,VLOOKUP($CP520,Control_Savings_Exterior,IK$30,FALSE))</f>
        <v>#N/A</v>
      </c>
      <c r="IL520" s="1351" t="e">
        <f>IF($CO520="interior",VLOOKUP($CP520,Control_Savings_Interior,IL$30,FALSE),VLOOKUP($CP520,Control_Savings_Exterior,IL$30,FALSE))</f>
        <v>#N/A</v>
      </c>
      <c r="IM520" s="1351" t="e">
        <f>IF($CO520="interior",IF(R519&gt;FO$37,(IM$28*(FO$37/R519)),IM$28)*FP520,VLOOKUP($CP520,Control_Savings_Exterior,IM$30,FALSE))</f>
        <v>#N/A</v>
      </c>
      <c r="IN520" s="1351" t="e">
        <f>IF($CO520="interior",ROUND(((1-IL520)*IM520)+IL520,2),VLOOKUP($CP520,Control_Savings_Exterior,IN$30,FALSE))</f>
        <v>#N/A</v>
      </c>
      <c r="IO520" s="1351" t="e">
        <f>IF($CO520="interior", ROUND(((1-IL520)*(IM520*(1-IP$28)))+IP520,2), VLOOKUP($CP520,Control_Savings_Exterior,IO$30,FALSE))</f>
        <v>#N/A</v>
      </c>
      <c r="IP520" s="1351">
        <f>IF($CO520="interior",ROUND(((1-IL520)*IP$28)+IL520,2),0)</f>
        <v>0</v>
      </c>
    </row>
    <row r="521" spans="1:250" s="82" customFormat="1" ht="14.95" customHeight="1" thickTop="1" thickBot="1">
      <c r="B521" s="1421"/>
      <c r="C521" s="1422"/>
      <c r="D521" s="1423"/>
      <c r="E521" s="1462" t="s">
        <v>357</v>
      </c>
      <c r="F521" s="1463"/>
      <c r="G521" s="1464" t="s">
        <v>362</v>
      </c>
      <c r="H521" s="1465"/>
      <c r="I521" s="1465"/>
      <c r="J521" s="1465"/>
      <c r="K521" s="1465"/>
      <c r="L521" s="1466"/>
      <c r="M521" s="669">
        <f>IFERROR(VLOOKUP(G521,_Daylight_Table[],2,FALSE),0)</f>
        <v>0</v>
      </c>
      <c r="N521" s="670"/>
      <c r="O521" s="669" t="e">
        <f>VLOOKUP(G520,'Space Table'!$B$3:$L$160,11,FALSE)</f>
        <v>#N/A</v>
      </c>
      <c r="P521" s="1408"/>
      <c r="Q521" s="1409"/>
      <c r="R521" s="1409"/>
      <c r="S521" s="1402"/>
      <c r="T521" s="671" t="s">
        <v>281</v>
      </c>
      <c r="U521" s="1467" t="str">
        <f>IFERROR(VLOOKUP(U520,Fixtures!DM$93:DP$142,4,FALSE),"")</f>
        <v/>
      </c>
      <c r="V521" s="1468"/>
      <c r="W521" s="1468"/>
      <c r="X521" s="1468"/>
      <c r="Y521" s="1468"/>
      <c r="Z521" s="1468"/>
      <c r="AA521" s="1468"/>
      <c r="AB521" s="1046" t="str">
        <f>IFERROR(VLOOKUP(U520,Fixtures_Proposed_List,2,FALSE),"")</f>
        <v/>
      </c>
      <c r="AC521" s="1036" t="str">
        <f>IFERROR(ROUND(T520*AB521*N519*R519/1000,0),"")</f>
        <v/>
      </c>
      <c r="AD521" s="1037" t="str">
        <f>IFERROR(ROUND(T520*AB521/1000,2),"")</f>
        <v/>
      </c>
      <c r="AE521" s="1045" t="s">
        <v>281</v>
      </c>
      <c r="AF521" s="1469"/>
      <c r="AG521" s="1469"/>
      <c r="AH521" s="1469"/>
      <c r="AI521" s="1469"/>
      <c r="AJ521" s="1476"/>
      <c r="AK521" s="1471"/>
      <c r="AL521" s="1473"/>
      <c r="AM521" s="1443"/>
      <c r="AN521" s="1444"/>
      <c r="AO521" s="1449"/>
      <c r="AP521" s="1449"/>
      <c r="AQ521" s="1450"/>
      <c r="AR521" s="1453"/>
      <c r="AS521" s="1456"/>
      <c r="AT521" s="1459"/>
      <c r="AU521" s="517"/>
      <c r="AV521" s="1480"/>
      <c r="AW521" s="1480"/>
      <c r="BC521" s="38"/>
      <c r="BD521" s="38"/>
      <c r="BE521" s="38"/>
      <c r="BF521" s="38"/>
      <c r="BG521" s="38"/>
      <c r="BH521" s="38"/>
      <c r="BI521" s="38"/>
      <c r="BJ521" s="38"/>
      <c r="BK521" s="38"/>
      <c r="BL521" s="38"/>
      <c r="BM521" s="38"/>
      <c r="BN521" s="38"/>
      <c r="BO521" s="38"/>
      <c r="BP521" s="38"/>
      <c r="BQ521" s="38"/>
      <c r="BR521" s="38"/>
      <c r="BS521" s="38"/>
      <c r="BT521" s="38"/>
      <c r="BU521" s="38"/>
      <c r="BV521" s="38"/>
      <c r="BW521" s="38"/>
      <c r="BX521" s="38"/>
      <c r="BY521" s="38"/>
      <c r="BZ521" s="38"/>
      <c r="CA521" s="38"/>
      <c r="CB521" s="38"/>
      <c r="CC521" s="38"/>
      <c r="CD521" s="38"/>
      <c r="CE521" s="38"/>
      <c r="CF521" s="38"/>
      <c r="CG521" s="38"/>
      <c r="CH521" s="38"/>
      <c r="CI521" s="38"/>
      <c r="CM521" s="1352"/>
      <c r="CN521" s="1352"/>
      <c r="CO521" s="1416"/>
      <c r="CP521" s="1418"/>
      <c r="CR521" s="1386"/>
      <c r="CS521" s="1355"/>
      <c r="CT521" s="1355"/>
      <c r="CU521" s="1375"/>
      <c r="CV521" s="1372"/>
      <c r="CW521" s="1372"/>
      <c r="CX521" s="1372"/>
      <c r="CY521" s="1487"/>
      <c r="CZ521" s="1487"/>
      <c r="DA521" s="1487"/>
      <c r="DC521" s="1355"/>
      <c r="DD521" s="1355"/>
      <c r="DE521" s="1375"/>
      <c r="DF521" s="1407"/>
      <c r="DG521" s="1372"/>
      <c r="DH521" s="1369"/>
      <c r="DK521" s="1484"/>
      <c r="DL521" s="1420"/>
      <c r="DN521" s="1403"/>
      <c r="DO521" s="1405"/>
      <c r="DP521" s="1355"/>
      <c r="DQ521" s="1405"/>
      <c r="DR521" s="1403"/>
      <c r="DS521" s="1489"/>
      <c r="DU521" s="1403"/>
      <c r="DV521" s="1405"/>
      <c r="DW521" s="1403"/>
      <c r="DX521" s="1403"/>
      <c r="DZ521" s="1481"/>
      <c r="EA521" s="1481"/>
      <c r="EC521" s="1482"/>
      <c r="ED521" s="1369"/>
      <c r="EE521" s="1372"/>
      <c r="EF521" s="1369"/>
      <c r="EG521" s="1369"/>
      <c r="EH521" s="1375"/>
      <c r="EI521" s="1375"/>
      <c r="EJ521" s="1363"/>
      <c r="EK521" s="1376"/>
      <c r="EL521" s="1376"/>
      <c r="EM521" s="1362"/>
      <c r="EN521" s="1362"/>
      <c r="EO521" s="1363"/>
      <c r="EP521" s="1363"/>
      <c r="EQ521" s="1363"/>
      <c r="ES521" s="1403"/>
      <c r="EU521" s="1488"/>
      <c r="EV521" s="1488"/>
      <c r="EW521" s="1488"/>
      <c r="EX521" s="1488"/>
      <c r="EY521" s="1488"/>
      <c r="EZ521" s="1414"/>
      <c r="FB521" s="1365"/>
      <c r="FD521" s="1355"/>
      <c r="FE521" s="1355"/>
      <c r="FF521" s="138"/>
      <c r="FI521" s="1357"/>
      <c r="FJ521" s="1357"/>
      <c r="FK521" s="1365"/>
      <c r="FL521" s="1365"/>
      <c r="FM521" s="1365"/>
      <c r="FO521" s="1361"/>
      <c r="FP521" s="1361"/>
      <c r="FQ521" s="1366"/>
      <c r="FR521" s="1361"/>
      <c r="FS521" s="1361"/>
      <c r="FT521" s="1361"/>
      <c r="FU521" s="1360"/>
      <c r="FW521" s="1352"/>
      <c r="FX521" s="1352"/>
      <c r="FY521" s="1352"/>
      <c r="FZ521" s="1352"/>
      <c r="GA521" s="1352"/>
      <c r="GB521" s="1352"/>
      <c r="GC521" s="1352"/>
      <c r="GD521" s="1352"/>
      <c r="GE521" s="759"/>
      <c r="GF521" s="1035"/>
      <c r="GG521" s="1385"/>
      <c r="GJ521" s="1034">
        <f>IF(GJ519=TRUE,0,GJ$16)</f>
        <v>0</v>
      </c>
      <c r="GL521" s="1034">
        <f>IF(GL519=TRUE,0,GL$16)</f>
        <v>36</v>
      </c>
      <c r="GM521" s="1034">
        <f>IF(GM519=TRUE,0,GM$16)</f>
        <v>35</v>
      </c>
      <c r="GN521" s="436"/>
      <c r="GO521" s="436"/>
      <c r="GP521" s="436"/>
      <c r="GQ521" s="436"/>
      <c r="GR521" s="436"/>
      <c r="HC521" s="1034">
        <f t="shared" ref="HC521:HH521" si="382">IF(HC519=TRUE,0,HC$16)</f>
        <v>19</v>
      </c>
      <c r="HD521" s="1034">
        <f t="shared" si="382"/>
        <v>18</v>
      </c>
      <c r="HE521" s="1034">
        <f t="shared" si="382"/>
        <v>17</v>
      </c>
      <c r="HF521" s="1034">
        <f t="shared" si="382"/>
        <v>16</v>
      </c>
      <c r="HG521" s="1034">
        <f t="shared" si="382"/>
        <v>0</v>
      </c>
      <c r="HH521" s="1034">
        <f t="shared" si="382"/>
        <v>0</v>
      </c>
      <c r="HI521" s="1034">
        <f>IF(HI519=TRUE,0,HI$16)</f>
        <v>13</v>
      </c>
      <c r="HJ521" s="1034">
        <f t="shared" ref="HJ521:HL521" si="383">IF(HJ519=TRUE,0,HJ$16)</f>
        <v>12</v>
      </c>
      <c r="HK521" s="1034">
        <f t="shared" si="383"/>
        <v>11</v>
      </c>
      <c r="HL521" s="1034">
        <f t="shared" si="383"/>
        <v>10</v>
      </c>
      <c r="HM521" s="1034">
        <f>IF(HM519=TRUE,0,HM$16)</f>
        <v>9</v>
      </c>
      <c r="HN521" s="1034">
        <f t="shared" ref="HN521:HR521" si="384">IF(HN519=TRUE,0,HN$16)</f>
        <v>0</v>
      </c>
      <c r="HO521" s="1034">
        <f t="shared" si="384"/>
        <v>0</v>
      </c>
      <c r="HP521" s="1034">
        <f t="shared" si="384"/>
        <v>0</v>
      </c>
      <c r="HQ521" s="1034">
        <f t="shared" si="384"/>
        <v>0</v>
      </c>
      <c r="HR521" s="1034">
        <f t="shared" si="384"/>
        <v>0</v>
      </c>
      <c r="HS521" s="1034">
        <f>IF(HS519=TRUE,0,HS$16)</f>
        <v>0</v>
      </c>
      <c r="HT521" s="1034">
        <f t="shared" ref="HT521" si="385">IF(HT519=TRUE,0,HT$16)</f>
        <v>0</v>
      </c>
      <c r="HU521" s="1034">
        <f>IF(HU519=TRUE,0,HU$16)</f>
        <v>1</v>
      </c>
      <c r="HW521" s="1034">
        <f>IF(GL519=FALSE,GL521,IF(GM519=FALSE,GM521,MAX(GJ521:HU521)))</f>
        <v>36</v>
      </c>
      <c r="HX521" s="1383"/>
      <c r="HY521" s="241" t="str">
        <f>VLOOKUP(HW521,_Error_Table,3,FALSE)</f>
        <v xml:space="preserve"> </v>
      </c>
      <c r="HZ521" s="241"/>
      <c r="IA521" s="1386"/>
      <c r="IB521" s="1380"/>
      <c r="IC521" s="1379"/>
      <c r="IF521" s="1380"/>
      <c r="IG521" s="1383"/>
      <c r="IH521" s="1383"/>
      <c r="II521" s="1383"/>
      <c r="IK521" s="1351"/>
      <c r="IL521" s="1351"/>
      <c r="IM521" s="1351"/>
      <c r="IN521" s="1351"/>
      <c r="IO521" s="1351"/>
      <c r="IP521" s="1351"/>
    </row>
    <row r="522" spans="1:250" s="82" customFormat="1" ht="5.0999999999999996" customHeight="1" thickBot="1">
      <c r="B522" s="763"/>
      <c r="C522" s="1038"/>
      <c r="D522" s="1038"/>
      <c r="E522" s="1490"/>
      <c r="F522" s="1490"/>
      <c r="G522" s="1490"/>
      <c r="H522" s="1490"/>
      <c r="I522" s="1490"/>
      <c r="J522" s="1490"/>
      <c r="K522" s="1490"/>
      <c r="L522" s="1490"/>
      <c r="M522" s="1490"/>
      <c r="N522" s="1490"/>
      <c r="O522" s="1490"/>
      <c r="P522" s="1490"/>
      <c r="Q522" s="1490"/>
      <c r="R522" s="1490"/>
      <c r="S522" s="1490"/>
      <c r="T522" s="1490"/>
      <c r="U522" s="1490"/>
      <c r="V522" s="1490"/>
      <c r="W522" s="1490"/>
      <c r="X522" s="1490"/>
      <c r="Y522" s="1490"/>
      <c r="Z522" s="1490"/>
      <c r="AA522" s="1490"/>
      <c r="AB522" s="1490"/>
      <c r="AC522" s="1490"/>
      <c r="AD522" s="1490"/>
      <c r="AE522" s="1490"/>
      <c r="AF522" s="1490"/>
      <c r="AG522" s="1490"/>
      <c r="AH522" s="1490"/>
      <c r="AI522" s="1490"/>
      <c r="AJ522" s="1490"/>
      <c r="AK522" s="1490"/>
      <c r="AL522" s="1490"/>
      <c r="AM522" s="1490"/>
      <c r="AN522" s="1490"/>
      <c r="AO522" s="1490"/>
      <c r="AP522" s="1490"/>
      <c r="AQ522" s="1490"/>
      <c r="AR522" s="1490"/>
      <c r="AS522" s="1490"/>
      <c r="AT522" s="1490"/>
      <c r="AU522" s="1041"/>
      <c r="BC522" s="38"/>
      <c r="BD522" s="38"/>
      <c r="BE522" s="38"/>
      <c r="BF522" s="38"/>
      <c r="BG522" s="38"/>
      <c r="BH522" s="38"/>
      <c r="BI522" s="38"/>
      <c r="BJ522" s="38"/>
      <c r="BK522" s="38"/>
      <c r="BL522" s="38"/>
      <c r="BM522" s="38"/>
      <c r="BN522" s="38"/>
      <c r="BO522" s="38"/>
      <c r="BP522" s="38"/>
      <c r="BQ522" s="38"/>
      <c r="BR522" s="38"/>
      <c r="BS522" s="38"/>
      <c r="BT522" s="38"/>
      <c r="BU522" s="38"/>
      <c r="BV522" s="38"/>
      <c r="BW522" s="38"/>
      <c r="BX522" s="38"/>
      <c r="BY522" s="38"/>
      <c r="BZ522" s="38"/>
      <c r="CA522" s="38"/>
      <c r="CB522" s="38"/>
      <c r="CC522" s="38"/>
      <c r="CD522" s="38"/>
      <c r="CE522" s="38"/>
      <c r="CF522" s="38"/>
      <c r="CG522" s="38"/>
      <c r="CH522" s="38"/>
      <c r="CI522" s="38"/>
      <c r="CM522" s="749"/>
      <c r="CN522" s="749"/>
      <c r="CO522" s="1043"/>
      <c r="CP522" s="749"/>
      <c r="CS522" s="436"/>
      <c r="CT522" s="436"/>
      <c r="CU522" s="243"/>
      <c r="CV522" s="244"/>
      <c r="CW522" s="244"/>
      <c r="CX522" s="244"/>
      <c r="CY522" s="245"/>
      <c r="CZ522" s="245"/>
      <c r="DA522" s="245"/>
      <c r="DC522" s="750"/>
      <c r="DD522" s="751"/>
      <c r="DE522" s="752"/>
      <c r="DF522" s="753"/>
      <c r="DG522" s="754"/>
      <c r="DH522" s="754"/>
      <c r="DK522" s="244"/>
      <c r="DL522" s="750"/>
      <c r="DN522" s="750"/>
      <c r="DO522" s="755"/>
      <c r="DP522" s="436"/>
      <c r="DQ522" s="750"/>
      <c r="DR522" s="750"/>
      <c r="DS522" s="750"/>
      <c r="DU522" s="750"/>
      <c r="DV522" s="750"/>
      <c r="DW522" s="750"/>
      <c r="DX522" s="750"/>
      <c r="DZ522" s="756"/>
      <c r="EA522" s="756"/>
      <c r="EC522" s="754"/>
      <c r="ED522" s="754"/>
      <c r="EE522" s="244"/>
      <c r="EF522" s="754"/>
      <c r="EG522" s="754"/>
      <c r="EH522" s="243"/>
      <c r="EI522" s="243"/>
      <c r="EJ522" s="752"/>
      <c r="EK522" s="757"/>
      <c r="EL522" s="757"/>
      <c r="EM522" s="758"/>
      <c r="EN522" s="758"/>
      <c r="EO522" s="752"/>
      <c r="EP522" s="752"/>
      <c r="EQ522" s="752"/>
      <c r="ES522" s="750"/>
      <c r="EU522" s="436"/>
      <c r="EV522" s="436"/>
      <c r="EW522" s="436"/>
      <c r="EX522" s="436"/>
      <c r="EY522" s="436"/>
      <c r="EZ522" s="436"/>
      <c r="FB522" s="643"/>
      <c r="FD522" s="436"/>
      <c r="FE522" s="436"/>
      <c r="FF522" s="436"/>
      <c r="FO522" s="750"/>
      <c r="FP522" s="436"/>
      <c r="FQ522" s="436"/>
      <c r="FR522" s="750"/>
      <c r="FS522" s="750"/>
      <c r="FW522" s="749"/>
      <c r="FX522" s="749"/>
      <c r="FY522" s="749"/>
      <c r="FZ522" s="749"/>
      <c r="GA522" s="749"/>
      <c r="GB522" s="749"/>
      <c r="GC522" s="749"/>
      <c r="GD522" s="749"/>
      <c r="GE522" s="751"/>
      <c r="GF522" s="750"/>
      <c r="GG522" s="750"/>
    </row>
    <row r="523" spans="1:250" s="82" customFormat="1" ht="14.95" customHeight="1" thickTop="1" thickBot="1">
      <c r="B523" s="1421" t="str">
        <f>HY526</f>
        <v xml:space="preserve"> </v>
      </c>
      <c r="C523" s="1422">
        <f>C518+1</f>
        <v>94</v>
      </c>
      <c r="D523" s="1423"/>
      <c r="E523" s="1424" t="s">
        <v>242</v>
      </c>
      <c r="F523" s="1425"/>
      <c r="G523" s="1426"/>
      <c r="H523" s="1427"/>
      <c r="I523" s="1427"/>
      <c r="J523" s="1427"/>
      <c r="K523" s="1427"/>
      <c r="L523" s="1427"/>
      <c r="M523" s="1427"/>
      <c r="N523" s="1427"/>
      <c r="O523" s="1427"/>
      <c r="P523" s="1427"/>
      <c r="Q523" s="1427"/>
      <c r="R523" s="1427"/>
      <c r="S523" s="1428" t="s">
        <v>283</v>
      </c>
      <c r="T523" s="668" t="s">
        <v>190</v>
      </c>
      <c r="U523" s="1430" t="s">
        <v>186</v>
      </c>
      <c r="V523" s="1431"/>
      <c r="W523" s="1431"/>
      <c r="X523" s="1431"/>
      <c r="Y523" s="1431"/>
      <c r="Z523" s="1431"/>
      <c r="AA523" s="1431"/>
      <c r="AB523" s="1088" t="str">
        <f>IFERROR(IF(__Retrofit_TI_NC=0,VLOOKUP(U524,Fixtures_Existing_List,2,FALSE),ROUND(N525*R525/T525,10)),"")</f>
        <v/>
      </c>
      <c r="AC523" s="1039" t="str">
        <f>IFERROR(IF(__Retrofit_TI_NC=0,ROUND(T524*AB523*N524*R524/1000,0),IF(CN523="Interior",N525*R525*R524*N524*_C406_reduction/1000,N525*R525*R524*N524/1000)),"")</f>
        <v/>
      </c>
      <c r="AD523" s="1040" t="str">
        <f>IFERROR(IF(C$36=0,ROUND(T524*AB523/1000,2),N525*R525/1000),"")</f>
        <v/>
      </c>
      <c r="AE523" s="1044" t="s">
        <v>190</v>
      </c>
      <c r="AF523" s="1432" t="str">
        <f>IF(__Retrofit_TI_NC=2,CONCATENATE("Code min = ",DD523),IF(__Retrofit_TI_NC=1,"Emter what you think the existing control was"," Control"))</f>
        <v xml:space="preserve"> Control</v>
      </c>
      <c r="AG523" s="1432"/>
      <c r="AH523" s="1432"/>
      <c r="AI523" s="1432"/>
      <c r="AJ523" s="1433">
        <f>DF523</f>
        <v>0</v>
      </c>
      <c r="AK523" s="1435" t="str">
        <f>IFERROR(ROUND(AJ523*AC523,0),"")</f>
        <v/>
      </c>
      <c r="AL523" s="1437">
        <f>IFERROR(IF(HW523=FALSE,0,AC523-AK523),0)</f>
        <v>0</v>
      </c>
      <c r="AM523" s="1439">
        <f>AL523-AL525</f>
        <v>0</v>
      </c>
      <c r="AN523" s="1440"/>
      <c r="AO523" s="1445">
        <f>IFERROR(IF(HW523=FALSE,0,(T525*U526)+(AE525*AF526)),0)</f>
        <v>0</v>
      </c>
      <c r="AP523" s="1445"/>
      <c r="AQ523" s="1446"/>
      <c r="AR523" s="1451" t="s">
        <v>157</v>
      </c>
      <c r="AS523" s="1454">
        <f>IF(AR523="Yes",1,0)</f>
        <v>1</v>
      </c>
      <c r="AT523" s="1457" t="str">
        <f>IF(OR(DN523=4,DN523=5,DN523=6,DN523=12),CONCATENATE("$",IF(GD523=TRUE,Lookup!$B$11,Lookup!$B$2)," /lamp"),CONCATENATE(EA523,"/ kWh"))</f>
        <v>0/ kWh</v>
      </c>
      <c r="AU523" s="516"/>
      <c r="AV523" s="1478">
        <f>IFERROR(IF(GI524=TRUE,(AB526*T525)/R525,0),"NA")</f>
        <v>0</v>
      </c>
      <c r="AW523" s="1478" t="str">
        <f>IFERROR(N525*_C406_reduction,"NA")</f>
        <v>NA</v>
      </c>
      <c r="BC523" s="38"/>
      <c r="BD523" s="38"/>
      <c r="BE523" s="38"/>
      <c r="BF523" s="38"/>
      <c r="BG523" s="38"/>
      <c r="BH523" s="38"/>
      <c r="BI523" s="38"/>
      <c r="BJ523" s="38"/>
      <c r="BK523" s="38"/>
      <c r="BL523" s="38"/>
      <c r="BM523" s="38"/>
      <c r="BN523" s="38"/>
      <c r="BO523" s="38"/>
      <c r="BP523" s="38"/>
      <c r="BQ523" s="38"/>
      <c r="BR523" s="38"/>
      <c r="BS523" s="38"/>
      <c r="BT523" s="38"/>
      <c r="BU523" s="38"/>
      <c r="BV523" s="38"/>
      <c r="BW523" s="38"/>
      <c r="BX523" s="38"/>
      <c r="BY523" s="38"/>
      <c r="BZ523" s="38"/>
      <c r="CA523" s="38"/>
      <c r="CB523" s="38"/>
      <c r="CC523" s="38"/>
      <c r="CD523" s="38"/>
      <c r="CE523" s="38"/>
      <c r="CF523" s="38"/>
      <c r="CG523" s="38"/>
      <c r="CH523" s="38"/>
      <c r="CI523" s="38"/>
      <c r="CM523" s="1352" t="str">
        <f>N524</f>
        <v/>
      </c>
      <c r="CN523" s="1352" t="str">
        <f>IFERROR(VLOOKUP(G524,_Lookup_Heat_Type_Table_New,3,FALSE),"")</f>
        <v/>
      </c>
      <c r="CO523" s="1415" t="str">
        <f>CN523</f>
        <v/>
      </c>
      <c r="CP523" s="1417" t="e">
        <f>VLOOKUP(G525,'Space Table'!$B$3:$L$160,9,FALSE)</f>
        <v>#N/A</v>
      </c>
      <c r="CR523" s="1386" t="s">
        <v>283</v>
      </c>
      <c r="CS523" s="1353">
        <f>IF(HW523=TRUE,T524,0)</f>
        <v>0</v>
      </c>
      <c r="CT523" s="1353" t="str">
        <f>IF(HW523=TRUE,U524,"")</f>
        <v/>
      </c>
      <c r="CU523" s="1353"/>
      <c r="CV523" s="1370">
        <f>IF(HW523=TRUE,AB523,0)</f>
        <v>0</v>
      </c>
      <c r="CW523" s="1370">
        <f>IF(HW523=TRUE,AC523,0)</f>
        <v>0</v>
      </c>
      <c r="CX523" s="1370">
        <f>IFERROR(IF(HW523=TRUE,CW523-CW525,0),0)</f>
        <v>0</v>
      </c>
      <c r="CY523" s="1485">
        <f>IF(HW523=TRUE,AD523,0)</f>
        <v>0</v>
      </c>
      <c r="CZ523" s="1485">
        <f>IF(HW523=TRUE,AD526,0)</f>
        <v>0</v>
      </c>
      <c r="DA523" s="1485">
        <f>IFERROR(CY523-CZ523,0)</f>
        <v>0</v>
      </c>
      <c r="DC523" s="1353">
        <f>IF(HW523=TRUE,AE524,0)</f>
        <v>0</v>
      </c>
      <c r="DD523" s="1460">
        <f>IF(__Retrofit_TI_NC=2,IF(CN523="Exterior",O526,FM523),FK523)</f>
        <v>0</v>
      </c>
      <c r="DE523" s="1353"/>
      <c r="DF523" s="1406">
        <f>IFERROR(IF(FL523=3,IK523,IF(FL523=4,IL523,IF(FL523=5,IM523,IF(FL523=6,IN523,IF(FL523=7,IO523,IF(FL523=8,IP523,0)))))),0)</f>
        <v>0</v>
      </c>
      <c r="DG523" s="1370">
        <f>IF(HW523=TRUE,AK523,0)</f>
        <v>0</v>
      </c>
      <c r="DH523" s="1369">
        <f>IFERROR(IF(HW523=TRUE,DG525-DG523,0),0)</f>
        <v>0</v>
      </c>
      <c r="DJ523" s="1483">
        <f>IFERROR(CW523-DG523,0)</f>
        <v>0</v>
      </c>
      <c r="DL523" s="1419">
        <f>DJ523-DK525</f>
        <v>0</v>
      </c>
      <c r="DN523" s="1403" t="str">
        <f>IFERROR(IF(AND(OR(FY523=4,FY523=5,FY523=6),OR(GB523=4,GB523=5,GB523=6)),FY523+8,VLOOKUP(CT525,Fixtures!R$31:Y$78,8,FALSE)),"")</f>
        <v/>
      </c>
      <c r="DO523" s="1404" t="str">
        <f>DN523</f>
        <v/>
      </c>
      <c r="DP523" s="1353" t="str">
        <f>IFERROR(VLOOKUP(DD525,Lookup!AU$3:AV$15,2,FALSE),"")</f>
        <v/>
      </c>
      <c r="DQ523" s="1404" t="str">
        <f>IF(DP523=7,"LLLC","")</f>
        <v/>
      </c>
      <c r="DR523" s="1403">
        <f>IFERROR(IF(OR(DN523=4,DN523=5,DN523=6,DN523=12,DN523=13,DN523=14),VLOOKUP(CT525,Fixtures!DN$27:EG$77,19,FALSE),1)*CS525,0)</f>
        <v>0</v>
      </c>
      <c r="DS523" s="1489">
        <f>IF(DP523=7,IF(DD523=DD525,0,DC525),0)</f>
        <v>0</v>
      </c>
      <c r="DU523" s="1403" t="str">
        <f>IFERROR(IF(EW523&lt;EW525,"Yes","No"),"")</f>
        <v/>
      </c>
      <c r="DV523" s="1404" t="str">
        <f>DU523</f>
        <v/>
      </c>
      <c r="DW523" s="1403">
        <f>IF(DU523="Yes",DC525,0)</f>
        <v>0</v>
      </c>
      <c r="DX523" s="1403">
        <f>DW523-DS523</f>
        <v>0</v>
      </c>
      <c r="DZ523" s="1481">
        <f>IFERROR(VLOOKUP(DN523,Lookup!AN$3:AO$16,2,FALSE),0)</f>
        <v>0</v>
      </c>
      <c r="EA523" s="1481">
        <f>IF(HW523=FALSE,0,IF(DU523="Yes",DZ523+Lookup!B$6,DZ523))</f>
        <v>0</v>
      </c>
      <c r="EC523" s="1482">
        <f>IF(HW523=TRUE,DJ523,0)</f>
        <v>0</v>
      </c>
      <c r="ED523" s="1369">
        <f>IF(HW523=TRUE,CW525,0)</f>
        <v>0</v>
      </c>
      <c r="EE523" s="1370">
        <f>IFERROR(EC523-ED523,0)</f>
        <v>0</v>
      </c>
      <c r="EF523" s="1369">
        <f>IF(HW523=TRUE,DG525,0)</f>
        <v>0</v>
      </c>
      <c r="EG523" s="1369">
        <f>IFERROR(EC523-ED523+EF523,0)</f>
        <v>0</v>
      </c>
      <c r="EH523" s="1373">
        <f>IF(HW523=TRUE,CS525*CU525,0)</f>
        <v>0</v>
      </c>
      <c r="EI523" s="1373">
        <f>IF(HW523=TRUE,DC525*DE525,0)</f>
        <v>0</v>
      </c>
      <c r="EJ523" s="1363">
        <f>AO523</f>
        <v>0</v>
      </c>
      <c r="EK523" s="1376" t="str">
        <f>IFERROR(IF(HW523=TRUE,VLOOKUP(DN523,Lookup!AN$3:AP$16,3,FALSE)*DR523,""),0)</f>
        <v/>
      </c>
      <c r="EL523" s="1376">
        <f>IF(HW523=TRUE,DW523*Lookup!AP$12,0)</f>
        <v>0</v>
      </c>
      <c r="EM523" s="1362">
        <f>IFERROR(IF(HW523=TRUE,EK523/EM$33,0),0)</f>
        <v>0</v>
      </c>
      <c r="EN523" s="1362">
        <f>IF(HW523=TRUE,EL523/EN$33,0)</f>
        <v>0</v>
      </c>
      <c r="EO523" s="1363">
        <f>IF(HW523=TRUE,EQ$33*EM523,0)</f>
        <v>0</v>
      </c>
      <c r="EP523" s="1363">
        <f>IF(HW523=TRUE,EQ$33*EN523,0)</f>
        <v>0</v>
      </c>
      <c r="EQ523" s="1363">
        <f>EO523+EP523</f>
        <v>0</v>
      </c>
      <c r="ES523" s="1403">
        <f>IF(G523="",0,1)</f>
        <v>0</v>
      </c>
      <c r="EU523" s="1410" t="e">
        <f>VLOOKUP(CP525,'Space Table'!$B$3:$L$160,8,FALSE)</f>
        <v>#N/A</v>
      </c>
      <c r="EV523" s="1410" t="e">
        <f>IF(EY523="Yes",VLOOKUP(DD523,Lookup_Control_Type_Table2,4,FALSE),VLOOKUP(DD523,Lookup_Control_Type_Table2,3,FALSE))</f>
        <v>#N/A</v>
      </c>
      <c r="EW523" s="1410" t="e">
        <f>VLOOKUP(DD523,Lookup!AU$3:AV$15,2,FALSE)</f>
        <v>#N/A</v>
      </c>
      <c r="EX523" s="1410" t="e">
        <f>VLOOKUP(EU523,Lookup_Control_Type_Table,2,FALSE)</f>
        <v>#N/A</v>
      </c>
      <c r="EY523" s="1410" t="e">
        <f>VLOOKUP(CP525,'Space Table'!$B$3:$L$160,7,FALSE)</f>
        <v>#N/A</v>
      </c>
      <c r="EZ523" s="1412" t="b">
        <f>ISNUMBER(SEARCH("TLED",U525))</f>
        <v>0</v>
      </c>
      <c r="FB523" s="1365" t="str">
        <f>CONCATENATE(CN523," - ",DD523)</f>
        <v xml:space="preserve"> - 0</v>
      </c>
      <c r="FD523" s="1353" t="str">
        <f>VLOOKUP(CT525,Fixtures!DN$27:EZ$77,38,FALSE)</f>
        <v/>
      </c>
      <c r="FE523" s="1353">
        <f>IFERROR(FD523*EE523,0)</f>
        <v>0</v>
      </c>
      <c r="FF523" s="138"/>
      <c r="FI523" s="1356" t="str">
        <f>IF(CN523="Exterior","Not Daylighted",G526)</f>
        <v>Not Daylighted</v>
      </c>
      <c r="FJ523" s="1356">
        <f>VLOOKUP(FI523,_Daylight_Table_Codes,2,FALSE)</f>
        <v>0</v>
      </c>
      <c r="FK523" s="1365">
        <f>IF(__Retrofit_TI_NC=2,VLOOKUP(G525,'Space Table'!$B$3:$L$160,11,FALSE),AF524)</f>
        <v>0</v>
      </c>
      <c r="FL523" s="1365" t="e">
        <f>VLOOKUP(FK523,_Control_Table,2,FALSE)</f>
        <v>#N/A</v>
      </c>
      <c r="FM523" s="1365" t="e">
        <f>IF(AND(FP523&gt;0,FK523="Occupancy Sensor"),"Daylight + Occupancy",IF(AND(FP523&gt;0,FL523&lt;4),"Interior Daylight Dimming",FK523))</f>
        <v>#N/A</v>
      </c>
      <c r="FO523" s="1364">
        <f>IF(CO523="Interior",VLOOKUP(CP523,Control_Savings_Interior,5,FALSE),0)</f>
        <v>0</v>
      </c>
      <c r="FP523" s="1361">
        <f>IF(CN523="Exterior",0,IF(FJ523=2,0.5,IF(OR(FJ523=1,FJ523=3),1,0)))</f>
        <v>0</v>
      </c>
      <c r="FQ523" s="1366"/>
      <c r="FR523" s="1367"/>
      <c r="FS523" s="1364"/>
      <c r="FT523" s="1367"/>
      <c r="FU523" s="1360"/>
      <c r="FW523" s="1352" t="str">
        <f>IFERROR(VLOOKUP(U524,_Exist_Fixture_Table,3,FALSE),"")</f>
        <v/>
      </c>
      <c r="FX523" s="1352" t="str">
        <f>VLOOKUP(CT523,_Exist_Fixture_Table,4,FALSE)</f>
        <v/>
      </c>
      <c r="FY523" s="1352">
        <f>IFERROR(VLOOKUP(FX523,Lookup!AM$6:AN$8,2,FALSE),0)</f>
        <v>0</v>
      </c>
      <c r="FZ523" s="1352" t="b">
        <f>IFERROR(IF(OR(GB523=4,GB523=5,GB523=6),TRUE,FALSE),"")</f>
        <v>0</v>
      </c>
      <c r="GA523" s="1352" t="str">
        <f>IFERROR(VLOOKUP(GB523,FY$6:FZ$10,2,FALSE),"")</f>
        <v/>
      </c>
      <c r="GB523" s="1352" t="str">
        <f>VLOOKUP(CT525,Fixtures!R$31:Y$78,8,FALSE)</f>
        <v/>
      </c>
      <c r="GC523" s="1352">
        <f>IF(AND(FW523=TRUE,FZ523=TRUE,OR(DN523=12,DN523=13,DN523=14)),FY523+8,0)</f>
        <v>0</v>
      </c>
      <c r="GD523" s="1352" t="b">
        <f>IF(OR(GC523=12,GC523=13,GC523=14),TRUE,FALSE)</f>
        <v>0</v>
      </c>
      <c r="GE523" s="759" t="b">
        <f>IF(ISNUMBER(SEARCH("TLED",U524)),TRUE,FALSE)</f>
        <v>0</v>
      </c>
      <c r="GF523" s="1035" t="str">
        <f>IFERROR(VLOOKUP(U524,Fixtures!BM$93:BR$142,6,FALSE),"")</f>
        <v/>
      </c>
      <c r="GG523" s="1385" t="b">
        <f>IF(OR(GE523=FALSE,GE525=FALSE),TRUE,IF(GF523-GF525&lt;5,FALSE,TRUE))</f>
        <v>1</v>
      </c>
      <c r="GK523" s="1034">
        <f>GL523</f>
        <v>0</v>
      </c>
      <c r="GL523" s="1034">
        <f>IF(G523="",0,1)</f>
        <v>0</v>
      </c>
      <c r="GM523" s="1034">
        <f>SUM(GN523:HB523)</f>
        <v>2</v>
      </c>
      <c r="GN523" s="1034">
        <f>IF(G524="",0,1)</f>
        <v>0</v>
      </c>
      <c r="GO523" s="1034">
        <f>IF(G525="",0,1)</f>
        <v>0</v>
      </c>
      <c r="GP523" s="1034">
        <f>IF(R524="",0,1)</f>
        <v>0</v>
      </c>
      <c r="GQ523" s="1034">
        <f>IF(__Retrofit_TI_NC=0,1,IF(R525="",0,1))</f>
        <v>1</v>
      </c>
      <c r="GR523" s="1034">
        <f>IF(CN523="Exterior",1,IF(G526="",0,1))</f>
        <v>1</v>
      </c>
      <c r="GS523" s="1034">
        <f>IF(__Retrofit_TI_NC&lt;&gt;0,1,IF(T524="",0,1))</f>
        <v>0</v>
      </c>
      <c r="GT523" s="1034">
        <f>IF(__Retrofit_TI_NC&lt;&gt;0,1,IF(U524="",0,1))</f>
        <v>0</v>
      </c>
      <c r="GU523" s="1034">
        <f>IF(T525="",0,1)</f>
        <v>0</v>
      </c>
      <c r="GV523" s="1034">
        <f>IF(U525="",0,1)</f>
        <v>0</v>
      </c>
      <c r="GW523" s="1034">
        <f>IF(__Retrofit_TI_NC=2,1,IF(U526="",0,1))</f>
        <v>0</v>
      </c>
      <c r="GX523" s="1034">
        <f>IF(__Retrofit_TI_NC&lt;&gt;0,1,IF(AE524="",0,1))</f>
        <v>0</v>
      </c>
      <c r="GY523" s="1034">
        <f>IF(__Retrofit_TI_NC&lt;&gt;0,1,IF(AF524="",0,1))</f>
        <v>0</v>
      </c>
      <c r="GZ523" s="1034">
        <f>IF(AE525="",0,1)</f>
        <v>0</v>
      </c>
      <c r="HA523" s="1034">
        <f>IF(AF525="",0,1)</f>
        <v>0</v>
      </c>
      <c r="HB523" s="1034">
        <f>IF(__Retrofit_TI_NC=2,1,IF(AF526="",0,1))</f>
        <v>0</v>
      </c>
      <c r="HV523" s="436"/>
      <c r="HW523" s="1384" t="b">
        <f>IF(OR(HW526=0,HW526=HT$16,HW526=HS$16,HW526=HU$16),TRUE,FALSE)</f>
        <v>0</v>
      </c>
      <c r="HX523" s="1377" t="b">
        <f>HW523</f>
        <v>0</v>
      </c>
      <c r="HY523" s="436"/>
      <c r="HZ523" s="436"/>
      <c r="IA523" s="1386" t="b">
        <f>IF(MAX(GJ526:HP526)&gt;5,FALSE,TRUE)</f>
        <v>0</v>
      </c>
      <c r="IB523" s="1380">
        <f>IF(IA523=TRUE,AC523,0)</f>
        <v>0</v>
      </c>
      <c r="IC523" s="1380">
        <f>IB523-IB525</f>
        <v>0</v>
      </c>
      <c r="IF523" s="1380" t="e">
        <f>ROUND(T524*VLOOKUP(U524,Fixtures_Existing_List,2,FALSE)*N524*R524/1000,0)</f>
        <v>#N/A</v>
      </c>
      <c r="IG523" s="1381" t="e">
        <f>IF523-IF525</f>
        <v>#N/A</v>
      </c>
      <c r="IH523" s="1384" t="e">
        <f>ROUND(IF(CN523="Interior",N525*R525*R524*N524*_C406_reduction/1000,N525*R525*R524*N524/1000),0)</f>
        <v>#N/A</v>
      </c>
      <c r="II523" s="1384" t="e">
        <f>IH523-IH525</f>
        <v>#N/A</v>
      </c>
      <c r="IK523" s="1351" t="e">
        <f>IF($CO523="interior",IL523/2,VLOOKUP($CP523,Control_Savings_Exterior,IK$30,FALSE))</f>
        <v>#N/A</v>
      </c>
      <c r="IL523" s="1351" t="e">
        <f>IF($CO523="interior",VLOOKUP($CP523,Control_Savings_Interior,IL$30,FALSE),VLOOKUP($CP523,Control_Savings_Exterior,IL$30,FALSE))</f>
        <v>#N/A</v>
      </c>
      <c r="IM523" s="1351" t="e">
        <f>IF($CO523="interior",IF(R524&gt;FO$37,(IM$28*(FO$37/R524)),IM$28)*FP523,VLOOKUP($CP523,Control_Savings_Exterior,IM$30,FALSE))</f>
        <v>#N/A</v>
      </c>
      <c r="IN523" s="1351" t="e">
        <f>IF($CO523="interior",ROUND(((1-IL523)*IM523)+IL523,2),VLOOKUP($CP523,Control_Savings_Exterior,IN$30,FALSE))</f>
        <v>#N/A</v>
      </c>
      <c r="IO523" s="1351" t="e">
        <f>IF($CO523="interior", ROUND(((1-IL523)*(IM523*(1-IP$28)))+IP523,2), VLOOKUP($CP523,Control_Savings_Exterior,IO$30,FALSE))</f>
        <v>#N/A</v>
      </c>
      <c r="IP523" s="1351">
        <f>IF($CO523="interior",ROUND(((1-IL523)*IP$28)+IL523,2),0)</f>
        <v>0</v>
      </c>
    </row>
    <row r="524" spans="1:250" s="82" customFormat="1" ht="14.95" customHeight="1" thickTop="1" thickBot="1">
      <c r="B524" s="1421"/>
      <c r="C524" s="1422"/>
      <c r="D524" s="1423"/>
      <c r="E524" s="1393" t="s">
        <v>244</v>
      </c>
      <c r="F524" s="1394"/>
      <c r="G524" s="1395"/>
      <c r="H524" s="1395"/>
      <c r="I524" s="1395"/>
      <c r="J524" s="1395"/>
      <c r="K524" s="1395"/>
      <c r="L524" s="1395"/>
      <c r="M524" s="509" t="e">
        <f>IF(__Retrofit_TI_NC&lt;&gt;0,IF(VLOOKUP(G525,'Space Table'!$B$3:$L$160,3,FALSE)&gt;0,1,0),IF(__Retrofit_TI_NC=VLOOKUP(G525,'Space Table'!$B$3:$L$160,3,FALSE),1,0))</f>
        <v>#N/A</v>
      </c>
      <c r="N524" s="509" t="str">
        <f>IFERROR(VLOOKUP(G524,_Lookup_Heat_Type_Table_New,2,FALSE),"")</f>
        <v/>
      </c>
      <c r="O524" s="509">
        <f>IF(__Retrofit_TI_NC=1,CONCATENATE("TI ",G524),IF(__Retrofit_TI_NC=2,CONCATENATE("NC ",G524),G524))</f>
        <v>0</v>
      </c>
      <c r="P524" s="1396" t="s">
        <v>352</v>
      </c>
      <c r="Q524" s="1396"/>
      <c r="R524" s="673"/>
      <c r="S524" s="1429"/>
      <c r="T524" s="675"/>
      <c r="U524" s="1496"/>
      <c r="V524" s="1497"/>
      <c r="W524" s="1497"/>
      <c r="X524" s="1497"/>
      <c r="Y524" s="1497"/>
      <c r="Z524" s="1497"/>
      <c r="AA524" s="1497"/>
      <c r="AB524" s="1497"/>
      <c r="AC524" s="1497"/>
      <c r="AD524" s="1498"/>
      <c r="AE524" s="675"/>
      <c r="AF524" s="1397"/>
      <c r="AG524" s="1397"/>
      <c r="AH524" s="1397"/>
      <c r="AI524" s="1397"/>
      <c r="AJ524" s="1434"/>
      <c r="AK524" s="1436"/>
      <c r="AL524" s="1438"/>
      <c r="AM524" s="1441"/>
      <c r="AN524" s="1442"/>
      <c r="AO524" s="1447"/>
      <c r="AP524" s="1447"/>
      <c r="AQ524" s="1448"/>
      <c r="AR524" s="1452"/>
      <c r="AS524" s="1455"/>
      <c r="AT524" s="1458"/>
      <c r="AU524" s="516"/>
      <c r="AV524" s="1479"/>
      <c r="AW524" s="1479"/>
      <c r="BC524" s="38"/>
      <c r="BD524" s="38"/>
      <c r="BE524" s="38"/>
      <c r="BF524" s="38"/>
      <c r="BG524" s="38"/>
      <c r="BH524" s="38"/>
      <c r="BI524" s="38"/>
      <c r="BJ524" s="38"/>
      <c r="BK524" s="38"/>
      <c r="BL524" s="38"/>
      <c r="BM524" s="38"/>
      <c r="BN524" s="38"/>
      <c r="BO524" s="38"/>
      <c r="BP524" s="38"/>
      <c r="BQ524" s="38"/>
      <c r="BR524" s="38"/>
      <c r="BS524" s="38"/>
      <c r="BT524" s="38"/>
      <c r="BU524" s="38"/>
      <c r="BV524" s="38"/>
      <c r="BW524" s="38"/>
      <c r="BX524" s="38"/>
      <c r="BY524" s="38"/>
      <c r="BZ524" s="38"/>
      <c r="CA524" s="38"/>
      <c r="CB524" s="38"/>
      <c r="CC524" s="38"/>
      <c r="CD524" s="38"/>
      <c r="CE524" s="38"/>
      <c r="CF524" s="38"/>
      <c r="CG524" s="38"/>
      <c r="CH524" s="38"/>
      <c r="CI524" s="38"/>
      <c r="CM524" s="1352"/>
      <c r="CN524" s="1352"/>
      <c r="CO524" s="1416"/>
      <c r="CP524" s="1418"/>
      <c r="CR524" s="1386"/>
      <c r="CS524" s="1355"/>
      <c r="CT524" s="1355"/>
      <c r="CU524" s="1355"/>
      <c r="CV524" s="1372"/>
      <c r="CW524" s="1372"/>
      <c r="CX524" s="1371"/>
      <c r="CY524" s="1486"/>
      <c r="CZ524" s="1486"/>
      <c r="DA524" s="1486"/>
      <c r="DC524" s="1355"/>
      <c r="DD524" s="1461"/>
      <c r="DE524" s="1355"/>
      <c r="DF524" s="1407"/>
      <c r="DG524" s="1372"/>
      <c r="DH524" s="1369"/>
      <c r="DJ524" s="1484"/>
      <c r="DL524" s="1419"/>
      <c r="DN524" s="1403"/>
      <c r="DO524" s="1405"/>
      <c r="DP524" s="1354"/>
      <c r="DQ524" s="1405"/>
      <c r="DR524" s="1403"/>
      <c r="DS524" s="1489"/>
      <c r="DU524" s="1403"/>
      <c r="DV524" s="1405"/>
      <c r="DW524" s="1403"/>
      <c r="DX524" s="1403"/>
      <c r="DZ524" s="1481"/>
      <c r="EA524" s="1481"/>
      <c r="EC524" s="1482"/>
      <c r="ED524" s="1369"/>
      <c r="EE524" s="1371"/>
      <c r="EF524" s="1369"/>
      <c r="EG524" s="1369"/>
      <c r="EH524" s="1374"/>
      <c r="EI524" s="1374"/>
      <c r="EJ524" s="1363"/>
      <c r="EK524" s="1376"/>
      <c r="EL524" s="1376"/>
      <c r="EM524" s="1362"/>
      <c r="EN524" s="1362"/>
      <c r="EO524" s="1363"/>
      <c r="EP524" s="1363"/>
      <c r="EQ524" s="1363"/>
      <c r="ES524" s="1403"/>
      <c r="EU524" s="1411"/>
      <c r="EV524" s="1411"/>
      <c r="EW524" s="1411"/>
      <c r="EX524" s="1411"/>
      <c r="EY524" s="1411"/>
      <c r="EZ524" s="1413"/>
      <c r="FB524" s="1365"/>
      <c r="FD524" s="1354"/>
      <c r="FE524" s="1354"/>
      <c r="FF524" s="138"/>
      <c r="FI524" s="1357"/>
      <c r="FJ524" s="1357"/>
      <c r="FK524" s="1365"/>
      <c r="FL524" s="1365"/>
      <c r="FM524" s="1365"/>
      <c r="FO524" s="1361"/>
      <c r="FP524" s="1361"/>
      <c r="FQ524" s="1366"/>
      <c r="FR524" s="1368"/>
      <c r="FS524" s="1361"/>
      <c r="FT524" s="1368"/>
      <c r="FU524" s="1360"/>
      <c r="FW524" s="1352"/>
      <c r="FX524" s="1352"/>
      <c r="FY524" s="1352"/>
      <c r="FZ524" s="1352"/>
      <c r="GA524" s="1352"/>
      <c r="GB524" s="1352"/>
      <c r="GC524" s="1352"/>
      <c r="GD524" s="1352"/>
      <c r="GE524" s="759"/>
      <c r="GF524" s="1035"/>
      <c r="GG524" s="1385"/>
      <c r="GI524" s="1384" t="b">
        <f>IF(AND(GL524=TRUE,GM524=TRUE),TRUE,FALSE)</f>
        <v>0</v>
      </c>
      <c r="GJ524" s="1379" t="b">
        <f>IFERROR(IF(__Retrofit_TI_NC=2,TRUE,IF(AR523="Yes",TRUE,FALSE)),FALSE)</f>
        <v>1</v>
      </c>
      <c r="GL524" s="1379" t="b">
        <f>IFERROR(IF(GL523=1,TRUE,FALSE),FALSE)</f>
        <v>0</v>
      </c>
      <c r="GM524" s="1379" t="b">
        <f>IFERROR(IF(GM523=GM$14,TRUE,FALSE),FALSE)</f>
        <v>0</v>
      </c>
      <c r="HC524" s="1379" t="b">
        <f>IFERROR(IF(M524=1,TRUE,FALSE),FALSE)</f>
        <v>0</v>
      </c>
      <c r="HD524" s="1379" t="b">
        <f>IFERROR(IF(M525=1,TRUE,FALSE),FALSE)</f>
        <v>0</v>
      </c>
      <c r="HE524" s="1379" t="b">
        <f>IFERROR(IF(__Retrofit_TI_NC&lt;&gt;0,TRUE,IFERROR(IF(VLOOKUP(U524,Fixtures_Existing_List,2,FALSE)&lt;&gt;"",TRUE,FALSE),FALSE)),FALSE)</f>
        <v>0</v>
      </c>
      <c r="HF524" s="1379" t="b">
        <f>IFERROR(IF(VLOOKUP(U525,Fixtures_Proposed_List,2,FALSE)&lt;&gt;"",TRUE,FALSE),FALSE)</f>
        <v>0</v>
      </c>
      <c r="HG524" s="1379" t="b">
        <f>IF(AND(__Retrofit_TI_NC=2,EZ523=TRUE),FALSE,TRUE)</f>
        <v>1</v>
      </c>
      <c r="HH524" s="1379" t="b">
        <f>GG523</f>
        <v>1</v>
      </c>
      <c r="HI524" s="1384" t="b">
        <f>IF(ISERROR(MATCH(FB523,_Control_Match[],0))=TRUE,FALSE,TRUE)</f>
        <v>0</v>
      </c>
      <c r="HJ524" s="1384" t="b">
        <f>IFERROR(IF(EU523&lt;&gt;EV523,FALSE,TRUE),FALSE)</f>
        <v>0</v>
      </c>
      <c r="HK524" s="1384" t="b">
        <f>IFERROR(IF(EU525&lt;&gt;EV525,FALSE,TRUE),FALSE)</f>
        <v>0</v>
      </c>
      <c r="HL524" s="1379" t="b">
        <f>IFERROR(IF(CN523="Exterior",TRUE,IF(OR(AND(FJ523=0,EW525&gt;4),AND(FJ523=4,EW525&gt;4,EW525&lt;7)),FALSE,TRUE)),FALSE)</f>
        <v>0</v>
      </c>
      <c r="HM524" s="1379" t="b">
        <f>IFERROR(IF(AND(FL525=7,EZ523=TRUE),FALSE,TRUE),FALSE)</f>
        <v>0</v>
      </c>
      <c r="HN524" s="1379" t="b">
        <f>IFERROR(IF(AND(T525&lt;&gt;AE525,AF525="Interior LLLC")=TRUE,FALSE,TRUE),FALSE)</f>
        <v>1</v>
      </c>
      <c r="HO524" s="1379" t="b">
        <f>IFERROR(IF(OR(AF525=Lookup!AU$13,AF525=Lookup!AU$14)=TRUE,IF(AE525&gt;T525,FALSE,TRUE),TRUE),FALSE)</f>
        <v>1</v>
      </c>
      <c r="HP524" s="1379" t="b">
        <f>IFERROR(IF(__Retrofit_TI_NC=2,IF(EW525&lt;EW523,FALSE,TRUE),TRUE),FALSE)</f>
        <v>1</v>
      </c>
      <c r="HQ524" s="1379" t="b">
        <f>IF(CN523="Interior",IG$6,TRUE)</f>
        <v>1</v>
      </c>
      <c r="HR524" s="1379" t="b">
        <f>IF(CN523="Exterior",IG$8,TRUE)</f>
        <v>1</v>
      </c>
      <c r="HS524" s="1379" t="b">
        <f>IFERROR(IF(__Retrofit_TI_NC&lt;&gt;0,IF(AW523&lt;AV523,FALSE,TRUE),TRUE),FALSE)</f>
        <v>1</v>
      </c>
      <c r="HT524" s="1379" t="b">
        <f>IFERROR(IF(AND(G524="Exterior",R524&gt;4200),FALSE,TRUE),FALSE)</f>
        <v>1</v>
      </c>
      <c r="HU524" s="1379" t="b">
        <f>IFERROR(IF(AB526/AB523&lt;HU$18,FALSE,TRUE),FALSE)</f>
        <v>0</v>
      </c>
      <c r="HW524" s="1382"/>
      <c r="HX524" s="1378"/>
      <c r="HY524" s="1377" t="str">
        <f>VLOOKUP(HW526,_Error_Table,4,FALSE)</f>
        <v>White</v>
      </c>
      <c r="HZ524" s="436"/>
      <c r="IA524" s="1386"/>
      <c r="IB524" s="1380"/>
      <c r="IC524" s="1379"/>
      <c r="IF524" s="1380"/>
      <c r="IG524" s="1382"/>
      <c r="IH524" s="1382"/>
      <c r="II524" s="1382"/>
      <c r="IK524" s="1351"/>
      <c r="IL524" s="1351"/>
      <c r="IM524" s="1351"/>
      <c r="IN524" s="1351"/>
      <c r="IO524" s="1351"/>
      <c r="IP524" s="1351"/>
    </row>
    <row r="525" spans="1:250" s="82" customFormat="1" ht="14.95" customHeight="1" thickTop="1" thickBot="1">
      <c r="A525" s="82">
        <f>ROW()</f>
        <v>525</v>
      </c>
      <c r="B525" s="1421"/>
      <c r="C525" s="1422"/>
      <c r="D525" s="1423"/>
      <c r="E525" s="1393" t="s">
        <v>245</v>
      </c>
      <c r="F525" s="1394"/>
      <c r="G525" s="1398"/>
      <c r="H525" s="1399"/>
      <c r="I525" s="1399"/>
      <c r="J525" s="1399"/>
      <c r="K525" s="1399"/>
      <c r="L525" s="1400"/>
      <c r="M525" s="509">
        <f>IFERROR(IF(IF(__Retrofit_TI_NC&lt;&gt;0,IF(CN523="Interior",MATCH(G525,Lookup_Interior_New,0),MATCH(G525,Lookup_Exterior_New,0)),IF(CN523="Interior",MATCH(G525,Lookup_Interior,0),MATCH(G525,Lookup_Exterior_Areas,0)))&gt;0,1,0),0)</f>
        <v>0</v>
      </c>
      <c r="N525" s="509" t="e">
        <f>IF(__Retrofit_TI_NC=1,
VLOOKUP(G525,'Space Table'!$B$3:$L$160,4,FALSE),
IF(__Retrofit_TI_NC=2,VLOOKUP(G525,'Space Table'!$B$3:$L$160,5,FALSE),VLOOKUP(G525,'Space Table'!$B$3:$L$160,5,FALSE)))</f>
        <v>#N/A</v>
      </c>
      <c r="O525" s="509">
        <f>G525</f>
        <v>0</v>
      </c>
      <c r="P525" s="1394" t="s">
        <v>355</v>
      </c>
      <c r="Q525" s="1394"/>
      <c r="R525" s="674"/>
      <c r="S525" s="1401" t="s">
        <v>284</v>
      </c>
      <c r="T525" s="672"/>
      <c r="U525" s="1499"/>
      <c r="V525" s="1500"/>
      <c r="W525" s="1500"/>
      <c r="X525" s="1500"/>
      <c r="Y525" s="1500"/>
      <c r="Z525" s="1500"/>
      <c r="AA525" s="1500"/>
      <c r="AB525" s="1501"/>
      <c r="AC525" s="1501"/>
      <c r="AD525" s="1502"/>
      <c r="AE525" s="672"/>
      <c r="AF525" s="1474"/>
      <c r="AG525" s="1474"/>
      <c r="AH525" s="1474"/>
      <c r="AI525" s="1474"/>
      <c r="AJ525" s="1475">
        <f>DF525</f>
        <v>0</v>
      </c>
      <c r="AK525" s="1470" t="str">
        <f>IFERROR(ROUND(AJ525*AC526,0),"")</f>
        <v/>
      </c>
      <c r="AL525" s="1472">
        <f>IFERROR(IF(HW523=FALSE,0,AC526-AK525),0)</f>
        <v>0</v>
      </c>
      <c r="AM525" s="1441"/>
      <c r="AN525" s="1442"/>
      <c r="AO525" s="1447"/>
      <c r="AP525" s="1447"/>
      <c r="AQ525" s="1448"/>
      <c r="AR525" s="1452"/>
      <c r="AS525" s="1455"/>
      <c r="AT525" s="1458"/>
      <c r="AU525" s="516"/>
      <c r="AV525" s="1479"/>
      <c r="AW525" s="1479"/>
      <c r="BC525" s="38"/>
      <c r="BD525" s="38"/>
      <c r="BE525" s="38"/>
      <c r="BF525" s="38"/>
      <c r="BG525" s="38"/>
      <c r="BH525" s="38"/>
      <c r="BI525" s="38"/>
      <c r="BJ525" s="38"/>
      <c r="BK525" s="38"/>
      <c r="BL525" s="38"/>
      <c r="BM525" s="38"/>
      <c r="BN525" s="38"/>
      <c r="BO525" s="38"/>
      <c r="BP525" s="38"/>
      <c r="BQ525" s="38"/>
      <c r="BR525" s="38"/>
      <c r="BS525" s="38"/>
      <c r="BT525" s="38"/>
      <c r="BU525" s="38"/>
      <c r="BV525" s="38"/>
      <c r="BW525" s="38"/>
      <c r="BX525" s="38"/>
      <c r="BY525" s="38"/>
      <c r="BZ525" s="38"/>
      <c r="CA525" s="38"/>
      <c r="CB525" s="38"/>
      <c r="CC525" s="38"/>
      <c r="CD525" s="38"/>
      <c r="CE525" s="38"/>
      <c r="CF525" s="38"/>
      <c r="CG525" s="38"/>
      <c r="CH525" s="38"/>
      <c r="CI525" s="38"/>
      <c r="CM525" s="1352"/>
      <c r="CN525" s="1352"/>
      <c r="CO525" s="1415" t="str">
        <f>CN523</f>
        <v/>
      </c>
      <c r="CP525" s="1417" t="e">
        <f>CP523</f>
        <v>#N/A</v>
      </c>
      <c r="CR525" s="1386" t="s">
        <v>284</v>
      </c>
      <c r="CS525" s="1353">
        <f>IF(HW523=TRUE,T525,0)</f>
        <v>0</v>
      </c>
      <c r="CT525" s="1353" t="str">
        <f>IF(HW523=TRUE,U525,"")</f>
        <v/>
      </c>
      <c r="CU525" s="1373">
        <f>IF(HW523=TRUE,U526,0)</f>
        <v>0</v>
      </c>
      <c r="CV525" s="1370">
        <f>IF(HW523=TRUE,AB526,0)</f>
        <v>0</v>
      </c>
      <c r="CW525" s="1370">
        <f>IF(HW523=TRUE,AC526,0)</f>
        <v>0</v>
      </c>
      <c r="CX525" s="1371"/>
      <c r="CY525" s="1486"/>
      <c r="CZ525" s="1486"/>
      <c r="DA525" s="1486"/>
      <c r="DC525" s="1353">
        <f>IF(HW523=TRUE,AE525,0)</f>
        <v>0</v>
      </c>
      <c r="DD525" s="1353" t="str">
        <f>IF(HW523=TRUE,AF525,"")</f>
        <v/>
      </c>
      <c r="DE525" s="1373">
        <f>AF526</f>
        <v>0</v>
      </c>
      <c r="DF525" s="1406">
        <f>IFERROR(IF(FL525=3,IK525,IF(FL525=4,IL525,IF(FL525=5,IM525,IF(FL525=6,IN525,IF(FL525=7,IO525,IF(FL525=8,IP525,0)))))),0)</f>
        <v>0</v>
      </c>
      <c r="DG525" s="1370">
        <f>IF(HW523=TRUE,AK525,0)</f>
        <v>0</v>
      </c>
      <c r="DH525" s="1369"/>
      <c r="DK525" s="1483">
        <f>IFERROR(CW525-DG525,0)</f>
        <v>0</v>
      </c>
      <c r="DL525" s="1420"/>
      <c r="DN525" s="1403"/>
      <c r="DO525" s="1477" t="str">
        <f>DN523</f>
        <v/>
      </c>
      <c r="DP525" s="1354"/>
      <c r="DQ525" s="1477" t="str">
        <f>IF(DP523=7,"LLLC","")</f>
        <v/>
      </c>
      <c r="DR525" s="1403"/>
      <c r="DS525" s="1489"/>
      <c r="DU525" s="1403"/>
      <c r="DV525" s="1404" t="str">
        <f>DU523</f>
        <v/>
      </c>
      <c r="DW525" s="1403"/>
      <c r="DX525" s="1403"/>
      <c r="DZ525" s="1481"/>
      <c r="EA525" s="1481"/>
      <c r="EC525" s="1482"/>
      <c r="ED525" s="1369"/>
      <c r="EE525" s="1371"/>
      <c r="EF525" s="1369"/>
      <c r="EG525" s="1369"/>
      <c r="EH525" s="1374"/>
      <c r="EI525" s="1374"/>
      <c r="EJ525" s="1363"/>
      <c r="EK525" s="1376"/>
      <c r="EL525" s="1376"/>
      <c r="EM525" s="1362"/>
      <c r="EN525" s="1362"/>
      <c r="EO525" s="1363"/>
      <c r="EP525" s="1363"/>
      <c r="EQ525" s="1363"/>
      <c r="ES525" s="1403"/>
      <c r="EU525" s="1411" t="e">
        <f>VLOOKUP(CP525,'Space Table'!$B$3:$L$160,8,FALSE)</f>
        <v>#N/A</v>
      </c>
      <c r="EV525" s="1411" t="e">
        <f>IF(EY525="Yes",VLOOKUP(AF525,Lookup_Control_Type_Table2,4,FALSE),VLOOKUP(AF525,Lookup_Control_Type_Table2,3,FALSE))</f>
        <v>#N/A</v>
      </c>
      <c r="EW525" s="1411" t="e">
        <f>VLOOKUP(AF525,Lookup!AU$3:AV$15,2,FALSE)</f>
        <v>#N/A</v>
      </c>
      <c r="EX525" s="1411" t="e">
        <f>VLOOKUP(EU523,Lookup_Control_Type_Table,2,FALSE)</f>
        <v>#N/A</v>
      </c>
      <c r="EY525" s="1411" t="e">
        <f>VLOOKUP(CP525,'Space Table'!$B$3:$L$160,7,FALSE)</f>
        <v>#N/A</v>
      </c>
      <c r="EZ525" s="1413"/>
      <c r="FB525" s="1365" t="str">
        <f>CONCATENATE(CN523," - ",AF525)</f>
        <v xml:space="preserve"> - </v>
      </c>
      <c r="FD525" s="1354"/>
      <c r="FE525" s="1354"/>
      <c r="FF525" s="138"/>
      <c r="FI525" s="1356" t="str">
        <f>IF(CN523="Exterior","Not Daylighted",G526)</f>
        <v>Not Daylighted</v>
      </c>
      <c r="FJ525" s="1356">
        <f>VLOOKUP(FI525,_Daylight_Table_Codes,2,FALSE)</f>
        <v>0</v>
      </c>
      <c r="FK525" s="1365">
        <f>AF525</f>
        <v>0</v>
      </c>
      <c r="FL525" s="1365" t="e">
        <f>VLOOKUP(FK525,_Control_Table,2,FALSE)</f>
        <v>#N/A</v>
      </c>
      <c r="FM525" s="1365" t="e">
        <f>IF(AND(FP525&gt;0,FK525="Occupancy Sensor"),"Daylight + Occupancy",IF(AND(FP525&gt;0,FL525&lt;4),"Interior Daylight Dimming",FK525))</f>
        <v>#N/A</v>
      </c>
      <c r="FO525" s="1364">
        <f>IF(CN523="Interior",VLOOKUP(CP523,Control_Savings_Interior,5,FALSE),0)</f>
        <v>0</v>
      </c>
      <c r="FP525" s="1361">
        <f>IF(CN525="Exterior",0,IF(FJ525=2,0.5,IF(OR(FJ525=1,FJ525=3),1,0)))</f>
        <v>0</v>
      </c>
      <c r="FQ525" s="1366">
        <f>IF(R524&gt;FO$37,(FO525*(FO$37/R524)),FO525)*FP525</f>
        <v>0</v>
      </c>
      <c r="FR525" s="1364">
        <f>DF525</f>
        <v>0</v>
      </c>
      <c r="FS525" s="1364">
        <f>ROUND(FR525+((1-FR525)*FQ525),2)</f>
        <v>0</v>
      </c>
      <c r="FT525" s="1364">
        <f>IF(__Retrofit_TI_NC=2,FS525,FR525)</f>
        <v>0</v>
      </c>
      <c r="FU525" s="1360">
        <f>IF(CO525="Interior",VLOOKUP(CP525,Control_Savings_Interior,4,FALSE),0)</f>
        <v>0</v>
      </c>
      <c r="FW525" s="1352"/>
      <c r="FX525" s="1352"/>
      <c r="FY525" s="1352"/>
      <c r="FZ525" s="1352"/>
      <c r="GA525" s="1352"/>
      <c r="GB525" s="1352"/>
      <c r="GC525" s="1352"/>
      <c r="GD525" s="1352"/>
      <c r="GE525" s="759" t="b">
        <f>IF(ISNUMBER(SEARCH("TLED",U525)),TRUE,FALSE)</f>
        <v>0</v>
      </c>
      <c r="GF525" s="1035" t="str">
        <f>IFERROR(VLOOKUP(U525,Fixtures!DM$93:DR$142,6,FALSE),"")</f>
        <v/>
      </c>
      <c r="GG525" s="1385"/>
      <c r="GI525" s="1383"/>
      <c r="GJ525" s="1379"/>
      <c r="GL525" s="1379"/>
      <c r="GM525" s="1379"/>
      <c r="HC525" s="1379"/>
      <c r="HD525" s="1379"/>
      <c r="HE525" s="1379"/>
      <c r="HF525" s="1379"/>
      <c r="HG525" s="1379"/>
      <c r="HH525" s="1379"/>
      <c r="HI525" s="1383"/>
      <c r="HJ525" s="1383"/>
      <c r="HK525" s="1383"/>
      <c r="HL525" s="1379"/>
      <c r="HM525" s="1379"/>
      <c r="HN525" s="1379"/>
      <c r="HO525" s="1379"/>
      <c r="HP525" s="1379"/>
      <c r="HQ525" s="1379"/>
      <c r="HR525" s="1379"/>
      <c r="HS525" s="1379"/>
      <c r="HT525" s="1379"/>
      <c r="HU525" s="1379"/>
      <c r="HW525" s="1383"/>
      <c r="HX525" s="1384" t="b">
        <f>HW523</f>
        <v>0</v>
      </c>
      <c r="HY525" s="1378"/>
      <c r="HZ525" s="436"/>
      <c r="IA525" s="1386"/>
      <c r="IB525" s="1380">
        <f>IF(IA523=TRUE,AC526,0)</f>
        <v>0</v>
      </c>
      <c r="IC525" s="1379"/>
      <c r="IF525" s="1380" t="e">
        <f>ROUND(T525*AB526*N524*R524/1000,0)</f>
        <v>#VALUE!</v>
      </c>
      <c r="IG525" s="1382"/>
      <c r="IH525" s="1384" t="e">
        <f>ROUND(T525*AB526*N524*R524/1000,0)</f>
        <v>#VALUE!</v>
      </c>
      <c r="II525" s="1382"/>
      <c r="IK525" s="1351" t="e">
        <f>IF($CO525="interior",IL525/2,VLOOKUP($CP525,Control_Savings_Exterior,IK$30,FALSE))</f>
        <v>#N/A</v>
      </c>
      <c r="IL525" s="1351" t="e">
        <f>IF($CO525="interior",VLOOKUP($CP525,Control_Savings_Interior,IL$30,FALSE),VLOOKUP($CP525,Control_Savings_Exterior,IL$30,FALSE))</f>
        <v>#N/A</v>
      </c>
      <c r="IM525" s="1351" t="e">
        <f>IF($CO525="interior",IF(R524&gt;FO$37,(IM$28*(FO$37/R524)),IM$28)*FP525,VLOOKUP($CP525,Control_Savings_Exterior,IM$30,FALSE))</f>
        <v>#N/A</v>
      </c>
      <c r="IN525" s="1351" t="e">
        <f>IF($CO525="interior",ROUND(((1-IL525)*IM525)+IL525,2),VLOOKUP($CP525,Control_Savings_Exterior,IN$30,FALSE))</f>
        <v>#N/A</v>
      </c>
      <c r="IO525" s="1351" t="e">
        <f>IF($CO525="interior", ROUND(((1-IL525)*(IM525*(1-IP$28)))+IP525,2), VLOOKUP($CP525,Control_Savings_Exterior,IO$30,FALSE))</f>
        <v>#N/A</v>
      </c>
      <c r="IP525" s="1351">
        <f>IF($CO525="interior",ROUND(((1-IL525)*IP$28)+IL525,2),0)</f>
        <v>0</v>
      </c>
    </row>
    <row r="526" spans="1:250" s="82" customFormat="1" ht="14.95" customHeight="1" thickTop="1" thickBot="1">
      <c r="B526" s="1421"/>
      <c r="C526" s="1422"/>
      <c r="D526" s="1423"/>
      <c r="E526" s="1462" t="s">
        <v>357</v>
      </c>
      <c r="F526" s="1463"/>
      <c r="G526" s="1464" t="s">
        <v>362</v>
      </c>
      <c r="H526" s="1465"/>
      <c r="I526" s="1465"/>
      <c r="J526" s="1465"/>
      <c r="K526" s="1465"/>
      <c r="L526" s="1466"/>
      <c r="M526" s="669">
        <f>IFERROR(VLOOKUP(G526,_Daylight_Table[],2,FALSE),0)</f>
        <v>0</v>
      </c>
      <c r="N526" s="670"/>
      <c r="O526" s="669" t="e">
        <f>VLOOKUP(G525,'Space Table'!$B$3:$L$160,11,FALSE)</f>
        <v>#N/A</v>
      </c>
      <c r="P526" s="1408"/>
      <c r="Q526" s="1409"/>
      <c r="R526" s="1409"/>
      <c r="S526" s="1402"/>
      <c r="T526" s="671" t="s">
        <v>281</v>
      </c>
      <c r="U526" s="1467" t="str">
        <f>IFERROR(VLOOKUP(U525,Fixtures!DM$93:DP$142,4,FALSE),"")</f>
        <v/>
      </c>
      <c r="V526" s="1468"/>
      <c r="W526" s="1468"/>
      <c r="X526" s="1468"/>
      <c r="Y526" s="1468"/>
      <c r="Z526" s="1468"/>
      <c r="AA526" s="1468"/>
      <c r="AB526" s="1046" t="str">
        <f>IFERROR(VLOOKUP(U525,Fixtures_Proposed_List,2,FALSE),"")</f>
        <v/>
      </c>
      <c r="AC526" s="1036" t="str">
        <f>IFERROR(ROUND(T525*AB526*N524*R524/1000,0),"")</f>
        <v/>
      </c>
      <c r="AD526" s="1037" t="str">
        <f>IFERROR(ROUND(T525*AB526/1000,2),"")</f>
        <v/>
      </c>
      <c r="AE526" s="1045" t="s">
        <v>281</v>
      </c>
      <c r="AF526" s="1469"/>
      <c r="AG526" s="1469"/>
      <c r="AH526" s="1469"/>
      <c r="AI526" s="1469"/>
      <c r="AJ526" s="1476"/>
      <c r="AK526" s="1471"/>
      <c r="AL526" s="1473"/>
      <c r="AM526" s="1443"/>
      <c r="AN526" s="1444"/>
      <c r="AO526" s="1449"/>
      <c r="AP526" s="1449"/>
      <c r="AQ526" s="1450"/>
      <c r="AR526" s="1453"/>
      <c r="AS526" s="1456"/>
      <c r="AT526" s="1459"/>
      <c r="AU526" s="517"/>
      <c r="AV526" s="1480"/>
      <c r="AW526" s="1480"/>
      <c r="BC526" s="38"/>
      <c r="BD526" s="38"/>
      <c r="BE526" s="38"/>
      <c r="BF526" s="38"/>
      <c r="BG526" s="38"/>
      <c r="BH526" s="38"/>
      <c r="BI526" s="38"/>
      <c r="BJ526" s="38"/>
      <c r="BK526" s="38"/>
      <c r="BL526" s="38"/>
      <c r="BM526" s="38"/>
      <c r="BN526" s="38"/>
      <c r="BO526" s="38"/>
      <c r="BP526" s="38"/>
      <c r="BQ526" s="38"/>
      <c r="BR526" s="38"/>
      <c r="BS526" s="38"/>
      <c r="BT526" s="38"/>
      <c r="BU526" s="38"/>
      <c r="BV526" s="38"/>
      <c r="BW526" s="38"/>
      <c r="BX526" s="38"/>
      <c r="BY526" s="38"/>
      <c r="BZ526" s="38"/>
      <c r="CA526" s="38"/>
      <c r="CB526" s="38"/>
      <c r="CC526" s="38"/>
      <c r="CD526" s="38"/>
      <c r="CE526" s="38"/>
      <c r="CF526" s="38"/>
      <c r="CG526" s="38"/>
      <c r="CH526" s="38"/>
      <c r="CI526" s="38"/>
      <c r="CM526" s="1352"/>
      <c r="CN526" s="1352"/>
      <c r="CO526" s="1416"/>
      <c r="CP526" s="1418"/>
      <c r="CR526" s="1386"/>
      <c r="CS526" s="1355"/>
      <c r="CT526" s="1355"/>
      <c r="CU526" s="1375"/>
      <c r="CV526" s="1372"/>
      <c r="CW526" s="1372"/>
      <c r="CX526" s="1372"/>
      <c r="CY526" s="1487"/>
      <c r="CZ526" s="1487"/>
      <c r="DA526" s="1487"/>
      <c r="DC526" s="1355"/>
      <c r="DD526" s="1355"/>
      <c r="DE526" s="1375"/>
      <c r="DF526" s="1407"/>
      <c r="DG526" s="1372"/>
      <c r="DH526" s="1369"/>
      <c r="DK526" s="1484"/>
      <c r="DL526" s="1420"/>
      <c r="DN526" s="1403"/>
      <c r="DO526" s="1405"/>
      <c r="DP526" s="1355"/>
      <c r="DQ526" s="1405"/>
      <c r="DR526" s="1403"/>
      <c r="DS526" s="1489"/>
      <c r="DU526" s="1403"/>
      <c r="DV526" s="1405"/>
      <c r="DW526" s="1403"/>
      <c r="DX526" s="1403"/>
      <c r="DZ526" s="1481"/>
      <c r="EA526" s="1481"/>
      <c r="EC526" s="1482"/>
      <c r="ED526" s="1369"/>
      <c r="EE526" s="1372"/>
      <c r="EF526" s="1369"/>
      <c r="EG526" s="1369"/>
      <c r="EH526" s="1375"/>
      <c r="EI526" s="1375"/>
      <c r="EJ526" s="1363"/>
      <c r="EK526" s="1376"/>
      <c r="EL526" s="1376"/>
      <c r="EM526" s="1362"/>
      <c r="EN526" s="1362"/>
      <c r="EO526" s="1363"/>
      <c r="EP526" s="1363"/>
      <c r="EQ526" s="1363"/>
      <c r="ES526" s="1403"/>
      <c r="EU526" s="1488"/>
      <c r="EV526" s="1488"/>
      <c r="EW526" s="1488"/>
      <c r="EX526" s="1488"/>
      <c r="EY526" s="1488"/>
      <c r="EZ526" s="1414"/>
      <c r="FB526" s="1365"/>
      <c r="FD526" s="1355"/>
      <c r="FE526" s="1355"/>
      <c r="FF526" s="138"/>
      <c r="FI526" s="1357"/>
      <c r="FJ526" s="1357"/>
      <c r="FK526" s="1365"/>
      <c r="FL526" s="1365"/>
      <c r="FM526" s="1365"/>
      <c r="FO526" s="1361"/>
      <c r="FP526" s="1361"/>
      <c r="FQ526" s="1366"/>
      <c r="FR526" s="1361"/>
      <c r="FS526" s="1361"/>
      <c r="FT526" s="1361"/>
      <c r="FU526" s="1360"/>
      <c r="FW526" s="1352"/>
      <c r="FX526" s="1352"/>
      <c r="FY526" s="1352"/>
      <c r="FZ526" s="1352"/>
      <c r="GA526" s="1352"/>
      <c r="GB526" s="1352"/>
      <c r="GC526" s="1352"/>
      <c r="GD526" s="1352"/>
      <c r="GE526" s="759"/>
      <c r="GF526" s="1035"/>
      <c r="GG526" s="1385"/>
      <c r="GJ526" s="1034">
        <f>IF(GJ524=TRUE,0,GJ$16)</f>
        <v>0</v>
      </c>
      <c r="GL526" s="1034">
        <f>IF(GL524=TRUE,0,GL$16)</f>
        <v>36</v>
      </c>
      <c r="GM526" s="1034">
        <f>IF(GM524=TRUE,0,GM$16)</f>
        <v>35</v>
      </c>
      <c r="GN526" s="436"/>
      <c r="GO526" s="436"/>
      <c r="GP526" s="436"/>
      <c r="GQ526" s="436"/>
      <c r="GR526" s="436"/>
      <c r="HC526" s="1034">
        <f t="shared" ref="HC526:HH526" si="386">IF(HC524=TRUE,0,HC$16)</f>
        <v>19</v>
      </c>
      <c r="HD526" s="1034">
        <f t="shared" si="386"/>
        <v>18</v>
      </c>
      <c r="HE526" s="1034">
        <f t="shared" si="386"/>
        <v>17</v>
      </c>
      <c r="HF526" s="1034">
        <f t="shared" si="386"/>
        <v>16</v>
      </c>
      <c r="HG526" s="1034">
        <f t="shared" si="386"/>
        <v>0</v>
      </c>
      <c r="HH526" s="1034">
        <f t="shared" si="386"/>
        <v>0</v>
      </c>
      <c r="HI526" s="1034">
        <f>IF(HI524=TRUE,0,HI$16)</f>
        <v>13</v>
      </c>
      <c r="HJ526" s="1034">
        <f t="shared" ref="HJ526:HL526" si="387">IF(HJ524=TRUE,0,HJ$16)</f>
        <v>12</v>
      </c>
      <c r="HK526" s="1034">
        <f t="shared" si="387"/>
        <v>11</v>
      </c>
      <c r="HL526" s="1034">
        <f t="shared" si="387"/>
        <v>10</v>
      </c>
      <c r="HM526" s="1034">
        <f>IF(HM524=TRUE,0,HM$16)</f>
        <v>9</v>
      </c>
      <c r="HN526" s="1034">
        <f t="shared" ref="HN526:HR526" si="388">IF(HN524=TRUE,0,HN$16)</f>
        <v>0</v>
      </c>
      <c r="HO526" s="1034">
        <f t="shared" si="388"/>
        <v>0</v>
      </c>
      <c r="HP526" s="1034">
        <f t="shared" si="388"/>
        <v>0</v>
      </c>
      <c r="HQ526" s="1034">
        <f t="shared" si="388"/>
        <v>0</v>
      </c>
      <c r="HR526" s="1034">
        <f t="shared" si="388"/>
        <v>0</v>
      </c>
      <c r="HS526" s="1034">
        <f>IF(HS524=TRUE,0,HS$16)</f>
        <v>0</v>
      </c>
      <c r="HT526" s="1034">
        <f t="shared" ref="HT526" si="389">IF(HT524=TRUE,0,HT$16)</f>
        <v>0</v>
      </c>
      <c r="HU526" s="1034">
        <f>IF(HU524=TRUE,0,HU$16)</f>
        <v>1</v>
      </c>
      <c r="HW526" s="1034">
        <f>IF(GL524=FALSE,GL526,IF(GM524=FALSE,GM526,MAX(GJ526:HU526)))</f>
        <v>36</v>
      </c>
      <c r="HX526" s="1383"/>
      <c r="HY526" s="241" t="str">
        <f>VLOOKUP(HW526,_Error_Table,3,FALSE)</f>
        <v xml:space="preserve"> </v>
      </c>
      <c r="HZ526" s="241"/>
      <c r="IA526" s="1386"/>
      <c r="IB526" s="1380"/>
      <c r="IC526" s="1379"/>
      <c r="IF526" s="1380"/>
      <c r="IG526" s="1383"/>
      <c r="IH526" s="1383"/>
      <c r="II526" s="1383"/>
      <c r="IK526" s="1351"/>
      <c r="IL526" s="1351"/>
      <c r="IM526" s="1351"/>
      <c r="IN526" s="1351"/>
      <c r="IO526" s="1351"/>
      <c r="IP526" s="1351"/>
    </row>
    <row r="527" spans="1:250" s="82" customFormat="1" ht="5.0999999999999996" customHeight="1" thickBot="1">
      <c r="B527" s="763"/>
      <c r="C527" s="1038"/>
      <c r="D527" s="1038"/>
      <c r="E527" s="1490"/>
      <c r="F527" s="1490"/>
      <c r="G527" s="1490"/>
      <c r="H527" s="1490"/>
      <c r="I527" s="1490"/>
      <c r="J527" s="1490"/>
      <c r="K527" s="1490"/>
      <c r="L527" s="1490"/>
      <c r="M527" s="1490"/>
      <c r="N527" s="1490"/>
      <c r="O527" s="1490"/>
      <c r="P527" s="1490"/>
      <c r="Q527" s="1490"/>
      <c r="R527" s="1490"/>
      <c r="S527" s="1490"/>
      <c r="T527" s="1490"/>
      <c r="U527" s="1490"/>
      <c r="V527" s="1490"/>
      <c r="W527" s="1490"/>
      <c r="X527" s="1490"/>
      <c r="Y527" s="1490"/>
      <c r="Z527" s="1490"/>
      <c r="AA527" s="1490"/>
      <c r="AB527" s="1490"/>
      <c r="AC527" s="1490"/>
      <c r="AD527" s="1490"/>
      <c r="AE527" s="1490"/>
      <c r="AF527" s="1490"/>
      <c r="AG527" s="1490"/>
      <c r="AH527" s="1490"/>
      <c r="AI527" s="1490"/>
      <c r="AJ527" s="1490"/>
      <c r="AK527" s="1490"/>
      <c r="AL527" s="1490"/>
      <c r="AM527" s="1490"/>
      <c r="AN527" s="1490"/>
      <c r="AO527" s="1490"/>
      <c r="AP527" s="1490"/>
      <c r="AQ527" s="1490"/>
      <c r="AR527" s="1490"/>
      <c r="AS527" s="1490"/>
      <c r="AT527" s="1490"/>
      <c r="AU527" s="1041"/>
      <c r="BC527" s="38"/>
      <c r="BD527" s="38"/>
      <c r="BE527" s="38"/>
      <c r="BF527" s="38"/>
      <c r="BG527" s="38"/>
      <c r="BH527" s="38"/>
      <c r="BI527" s="38"/>
      <c r="BJ527" s="38"/>
      <c r="BK527" s="38"/>
      <c r="BL527" s="38"/>
      <c r="BM527" s="38"/>
      <c r="BN527" s="38"/>
      <c r="BO527" s="38"/>
      <c r="BP527" s="38"/>
      <c r="BQ527" s="38"/>
      <c r="BR527" s="38"/>
      <c r="BS527" s="38"/>
      <c r="BT527" s="38"/>
      <c r="BU527" s="38"/>
      <c r="BV527" s="38"/>
      <c r="BW527" s="38"/>
      <c r="BX527" s="38"/>
      <c r="BY527" s="38"/>
      <c r="BZ527" s="38"/>
      <c r="CA527" s="38"/>
      <c r="CB527" s="38"/>
      <c r="CC527" s="38"/>
      <c r="CD527" s="38"/>
      <c r="CE527" s="38"/>
      <c r="CF527" s="38"/>
      <c r="CG527" s="38"/>
      <c r="CH527" s="38"/>
      <c r="CI527" s="38"/>
      <c r="CM527" s="749"/>
      <c r="CN527" s="749"/>
      <c r="CO527" s="1043"/>
      <c r="CP527" s="749"/>
      <c r="CS527" s="436"/>
      <c r="CT527" s="436"/>
      <c r="CU527" s="243"/>
      <c r="CV527" s="244"/>
      <c r="CW527" s="244"/>
      <c r="CX527" s="244"/>
      <c r="CY527" s="245"/>
      <c r="CZ527" s="245"/>
      <c r="DA527" s="245"/>
      <c r="DC527" s="750"/>
      <c r="DD527" s="751"/>
      <c r="DE527" s="752"/>
      <c r="DF527" s="753"/>
      <c r="DG527" s="754"/>
      <c r="DH527" s="754"/>
      <c r="DK527" s="244"/>
      <c r="DL527" s="750"/>
      <c r="DN527" s="750"/>
      <c r="DO527" s="755"/>
      <c r="DP527" s="436"/>
      <c r="DQ527" s="750"/>
      <c r="DR527" s="750"/>
      <c r="DS527" s="750"/>
      <c r="DU527" s="750"/>
      <c r="DV527" s="750"/>
      <c r="DW527" s="750"/>
      <c r="DX527" s="750"/>
      <c r="DZ527" s="756"/>
      <c r="EA527" s="756"/>
      <c r="EC527" s="754"/>
      <c r="ED527" s="754"/>
      <c r="EE527" s="244"/>
      <c r="EF527" s="754"/>
      <c r="EG527" s="754"/>
      <c r="EH527" s="243"/>
      <c r="EI527" s="243"/>
      <c r="EJ527" s="752"/>
      <c r="EK527" s="757"/>
      <c r="EL527" s="757"/>
      <c r="EM527" s="758"/>
      <c r="EN527" s="758"/>
      <c r="EO527" s="752"/>
      <c r="EP527" s="752"/>
      <c r="EQ527" s="752"/>
      <c r="ES527" s="750"/>
      <c r="EU527" s="436"/>
      <c r="EV527" s="436"/>
      <c r="EW527" s="436"/>
      <c r="EX527" s="436"/>
      <c r="EY527" s="436"/>
      <c r="EZ527" s="436"/>
      <c r="FB527" s="643"/>
      <c r="FD527" s="436"/>
      <c r="FE527" s="436"/>
      <c r="FF527" s="436"/>
      <c r="FO527" s="750"/>
      <c r="FP527" s="436"/>
      <c r="FQ527" s="436"/>
      <c r="FR527" s="750"/>
      <c r="FS527" s="750"/>
      <c r="FW527" s="749"/>
      <c r="FX527" s="749"/>
      <c r="FY527" s="749"/>
      <c r="FZ527" s="749"/>
      <c r="GA527" s="749"/>
      <c r="GB527" s="749"/>
      <c r="GC527" s="749"/>
      <c r="GD527" s="749"/>
      <c r="GE527" s="751"/>
      <c r="GF527" s="750"/>
      <c r="GG527" s="750"/>
    </row>
    <row r="528" spans="1:250" s="82" customFormat="1" ht="14.95" customHeight="1" thickTop="1" thickBot="1">
      <c r="B528" s="1421" t="str">
        <f>HY531</f>
        <v xml:space="preserve"> </v>
      </c>
      <c r="C528" s="1422">
        <f>C523+1</f>
        <v>95</v>
      </c>
      <c r="D528" s="1423"/>
      <c r="E528" s="1424" t="s">
        <v>242</v>
      </c>
      <c r="F528" s="1425"/>
      <c r="G528" s="1426"/>
      <c r="H528" s="1427"/>
      <c r="I528" s="1427"/>
      <c r="J528" s="1427"/>
      <c r="K528" s="1427"/>
      <c r="L528" s="1427"/>
      <c r="M528" s="1427"/>
      <c r="N528" s="1427"/>
      <c r="O528" s="1427"/>
      <c r="P528" s="1427"/>
      <c r="Q528" s="1427"/>
      <c r="R528" s="1427"/>
      <c r="S528" s="1428" t="s">
        <v>283</v>
      </c>
      <c r="T528" s="668" t="s">
        <v>190</v>
      </c>
      <c r="U528" s="1430" t="s">
        <v>186</v>
      </c>
      <c r="V528" s="1431"/>
      <c r="W528" s="1431"/>
      <c r="X528" s="1431"/>
      <c r="Y528" s="1431"/>
      <c r="Z528" s="1431"/>
      <c r="AA528" s="1431"/>
      <c r="AB528" s="1088" t="str">
        <f>IFERROR(IF(__Retrofit_TI_NC=0,VLOOKUP(U529,Fixtures_Existing_List,2,FALSE),ROUND(N530*R530/T530,10)),"")</f>
        <v/>
      </c>
      <c r="AC528" s="1039" t="str">
        <f>IFERROR(IF(__Retrofit_TI_NC=0,ROUND(T529*AB528*N529*R529/1000,0),IF(CN528="Interior",N530*R530*R529*N529*_C406_reduction/1000,N530*R530*R529*N529/1000)),"")</f>
        <v/>
      </c>
      <c r="AD528" s="1040" t="str">
        <f>IFERROR(IF(C$36=0,ROUND(T529*AB528/1000,2),N530*R530/1000),"")</f>
        <v/>
      </c>
      <c r="AE528" s="1044" t="s">
        <v>190</v>
      </c>
      <c r="AF528" s="1432" t="str">
        <f>IF(__Retrofit_TI_NC=2,CONCATENATE("Code min = ",DD528),IF(__Retrofit_TI_NC=1,"Emter what you think the existing control was"," Control"))</f>
        <v xml:space="preserve"> Control</v>
      </c>
      <c r="AG528" s="1432"/>
      <c r="AH528" s="1432"/>
      <c r="AI528" s="1432"/>
      <c r="AJ528" s="1433">
        <f>DF528</f>
        <v>0</v>
      </c>
      <c r="AK528" s="1435" t="str">
        <f>IFERROR(ROUND(AJ528*AC528,0),"")</f>
        <v/>
      </c>
      <c r="AL528" s="1437">
        <f>IFERROR(IF(HW528=FALSE,0,AC528-AK528),0)</f>
        <v>0</v>
      </c>
      <c r="AM528" s="1439">
        <f>AL528-AL530</f>
        <v>0</v>
      </c>
      <c r="AN528" s="1440"/>
      <c r="AO528" s="1445">
        <f>IFERROR(IF(HW528=FALSE,0,(T530*U531)+(AE530*AF531)),0)</f>
        <v>0</v>
      </c>
      <c r="AP528" s="1445"/>
      <c r="AQ528" s="1446"/>
      <c r="AR528" s="1451" t="s">
        <v>157</v>
      </c>
      <c r="AS528" s="1454">
        <f>IF(AR528="Yes",1,0)</f>
        <v>1</v>
      </c>
      <c r="AT528" s="1457" t="str">
        <f>IF(OR(DN528=4,DN528=5,DN528=6,DN528=12),CONCATENATE("$",IF(GD528=TRUE,Lookup!$B$11,Lookup!$B$2)," /lamp"),CONCATENATE(EA528,"/ kWh"))</f>
        <v>0/ kWh</v>
      </c>
      <c r="AU528" s="516"/>
      <c r="AV528" s="1478">
        <f>IFERROR(IF(GI529=TRUE,(AB531*T530)/R530,0),"NA")</f>
        <v>0</v>
      </c>
      <c r="AW528" s="1478" t="str">
        <f>IFERROR(N530*_C406_reduction,"NA")</f>
        <v>NA</v>
      </c>
      <c r="BC528" s="38"/>
      <c r="BD528" s="38"/>
      <c r="BE528" s="38"/>
      <c r="BF528" s="38"/>
      <c r="BG528" s="38"/>
      <c r="BH528" s="38"/>
      <c r="BI528" s="38"/>
      <c r="BJ528" s="38"/>
      <c r="BK528" s="38"/>
      <c r="BL528" s="38"/>
      <c r="BM528" s="38"/>
      <c r="BN528" s="38"/>
      <c r="BO528" s="38"/>
      <c r="BP528" s="38"/>
      <c r="BQ528" s="38"/>
      <c r="BR528" s="38"/>
      <c r="BS528" s="38"/>
      <c r="BT528" s="38"/>
      <c r="BU528" s="38"/>
      <c r="BV528" s="38"/>
      <c r="BW528" s="38"/>
      <c r="BX528" s="38"/>
      <c r="BY528" s="38"/>
      <c r="BZ528" s="38"/>
      <c r="CA528" s="38"/>
      <c r="CB528" s="38"/>
      <c r="CC528" s="38"/>
      <c r="CD528" s="38"/>
      <c r="CE528" s="38"/>
      <c r="CF528" s="38"/>
      <c r="CG528" s="38"/>
      <c r="CH528" s="38"/>
      <c r="CI528" s="38"/>
      <c r="CM528" s="1352" t="str">
        <f>N529</f>
        <v/>
      </c>
      <c r="CN528" s="1352" t="str">
        <f>IFERROR(VLOOKUP(G529,_Lookup_Heat_Type_Table_New,3,FALSE),"")</f>
        <v/>
      </c>
      <c r="CO528" s="1415" t="str">
        <f>CN528</f>
        <v/>
      </c>
      <c r="CP528" s="1417" t="e">
        <f>VLOOKUP(G530,'Space Table'!$B$3:$L$160,9,FALSE)</f>
        <v>#N/A</v>
      </c>
      <c r="CR528" s="1386" t="s">
        <v>283</v>
      </c>
      <c r="CS528" s="1353">
        <f>IF(HW528=TRUE,T529,0)</f>
        <v>0</v>
      </c>
      <c r="CT528" s="1353" t="str">
        <f>IF(HW528=TRUE,U529,"")</f>
        <v/>
      </c>
      <c r="CU528" s="1353"/>
      <c r="CV528" s="1370">
        <f>IF(HW528=TRUE,AB528,0)</f>
        <v>0</v>
      </c>
      <c r="CW528" s="1370">
        <f>IF(HW528=TRUE,AC528,0)</f>
        <v>0</v>
      </c>
      <c r="CX528" s="1370">
        <f>IFERROR(IF(HW528=TRUE,CW528-CW530,0),0)</f>
        <v>0</v>
      </c>
      <c r="CY528" s="1485">
        <f>IF(HW528=TRUE,AD528,0)</f>
        <v>0</v>
      </c>
      <c r="CZ528" s="1485">
        <f>IF(HW528=TRUE,AD531,0)</f>
        <v>0</v>
      </c>
      <c r="DA528" s="1485">
        <f>IFERROR(CY528-CZ528,0)</f>
        <v>0</v>
      </c>
      <c r="DC528" s="1353">
        <f>IF(HW528=TRUE,AE529,0)</f>
        <v>0</v>
      </c>
      <c r="DD528" s="1460">
        <f>IF(__Retrofit_TI_NC=2,IF(CN528="Exterior",O531,FM528),FK528)</f>
        <v>0</v>
      </c>
      <c r="DE528" s="1353"/>
      <c r="DF528" s="1406">
        <f>IFERROR(IF(FL528=3,IK528,IF(FL528=4,IL528,IF(FL528=5,IM528,IF(FL528=6,IN528,IF(FL528=7,IO528,IF(FL528=8,IP528,0)))))),0)</f>
        <v>0</v>
      </c>
      <c r="DG528" s="1370">
        <f>IF(HW528=TRUE,AK528,0)</f>
        <v>0</v>
      </c>
      <c r="DH528" s="1369">
        <f>IFERROR(IF(HW528=TRUE,DG530-DG528,0),0)</f>
        <v>0</v>
      </c>
      <c r="DJ528" s="1483">
        <f>IFERROR(CW528-DG528,0)</f>
        <v>0</v>
      </c>
      <c r="DL528" s="1419">
        <f>DJ528-DK530</f>
        <v>0</v>
      </c>
      <c r="DN528" s="1403" t="str">
        <f>IFERROR(IF(AND(OR(FY528=4,FY528=5,FY528=6),OR(GB528=4,GB528=5,GB528=6)),FY528+8,VLOOKUP(CT530,Fixtures!R$31:Y$78,8,FALSE)),"")</f>
        <v/>
      </c>
      <c r="DO528" s="1404" t="str">
        <f>DN528</f>
        <v/>
      </c>
      <c r="DP528" s="1353" t="str">
        <f>IFERROR(VLOOKUP(DD530,Lookup!AU$3:AV$15,2,FALSE),"")</f>
        <v/>
      </c>
      <c r="DQ528" s="1404" t="str">
        <f>IF(DP528=7,"LLLC","")</f>
        <v/>
      </c>
      <c r="DR528" s="1403">
        <f>IFERROR(IF(OR(DN528=4,DN528=5,DN528=6,DN528=12,DN528=13,DN528=14),VLOOKUP(CT530,Fixtures!DN$27:EG$77,19,FALSE),1)*CS530,0)</f>
        <v>0</v>
      </c>
      <c r="DS528" s="1489">
        <f>IF(DP528=7,IF(DD528=DD530,0,DC530),0)</f>
        <v>0</v>
      </c>
      <c r="DU528" s="1403" t="str">
        <f>IFERROR(IF(EW528&lt;EW530,"Yes","No"),"")</f>
        <v/>
      </c>
      <c r="DV528" s="1404" t="str">
        <f>DU528</f>
        <v/>
      </c>
      <c r="DW528" s="1403">
        <f>IF(DU528="Yes",DC530,0)</f>
        <v>0</v>
      </c>
      <c r="DX528" s="1403">
        <f>DW528-DS528</f>
        <v>0</v>
      </c>
      <c r="DZ528" s="1481">
        <f>IFERROR(VLOOKUP(DN528,Lookup!AN$3:AO$16,2,FALSE),0)</f>
        <v>0</v>
      </c>
      <c r="EA528" s="1481">
        <f>IF(HW528=FALSE,0,IF(DU528="Yes",DZ528+Lookup!B$6,DZ528))</f>
        <v>0</v>
      </c>
      <c r="EC528" s="1482">
        <f>IF(HW528=TRUE,DJ528,0)</f>
        <v>0</v>
      </c>
      <c r="ED528" s="1369">
        <f>IF(HW528=TRUE,CW530,0)</f>
        <v>0</v>
      </c>
      <c r="EE528" s="1370">
        <f>IFERROR(EC528-ED528,0)</f>
        <v>0</v>
      </c>
      <c r="EF528" s="1369">
        <f>IF(HW528=TRUE,DG530,0)</f>
        <v>0</v>
      </c>
      <c r="EG528" s="1369">
        <f>IFERROR(EC528-ED528+EF528,0)</f>
        <v>0</v>
      </c>
      <c r="EH528" s="1373">
        <f>IF(HW528=TRUE,CS530*CU530,0)</f>
        <v>0</v>
      </c>
      <c r="EI528" s="1373">
        <f>IF(HW528=TRUE,DC530*DE530,0)</f>
        <v>0</v>
      </c>
      <c r="EJ528" s="1363">
        <f>AO528</f>
        <v>0</v>
      </c>
      <c r="EK528" s="1376" t="str">
        <f>IFERROR(IF(HW528=TRUE,VLOOKUP(DN528,Lookup!AN$3:AP$16,3,FALSE)*DR528,""),0)</f>
        <v/>
      </c>
      <c r="EL528" s="1376">
        <f>IF(HW528=TRUE,DW528*Lookup!AP$12,0)</f>
        <v>0</v>
      </c>
      <c r="EM528" s="1362">
        <f>IFERROR(IF(HW528=TRUE,EK528/EM$33,0),0)</f>
        <v>0</v>
      </c>
      <c r="EN528" s="1362">
        <f>IF(HW528=TRUE,EL528/EN$33,0)</f>
        <v>0</v>
      </c>
      <c r="EO528" s="1363">
        <f>IF(HW528=TRUE,EQ$33*EM528,0)</f>
        <v>0</v>
      </c>
      <c r="EP528" s="1363">
        <f>IF(HW528=TRUE,EQ$33*EN528,0)</f>
        <v>0</v>
      </c>
      <c r="EQ528" s="1363">
        <f>EO528+EP528</f>
        <v>0</v>
      </c>
      <c r="ES528" s="1403">
        <f>IF(G528="",0,1)</f>
        <v>0</v>
      </c>
      <c r="EU528" s="1410" t="e">
        <f>VLOOKUP(CP530,'Space Table'!$B$3:$L$160,8,FALSE)</f>
        <v>#N/A</v>
      </c>
      <c r="EV528" s="1410" t="e">
        <f>IF(EY528="Yes",VLOOKUP(DD528,Lookup_Control_Type_Table2,4,FALSE),VLOOKUP(DD528,Lookup_Control_Type_Table2,3,FALSE))</f>
        <v>#N/A</v>
      </c>
      <c r="EW528" s="1410" t="e">
        <f>VLOOKUP(DD528,Lookup!AU$3:AV$15,2,FALSE)</f>
        <v>#N/A</v>
      </c>
      <c r="EX528" s="1410" t="e">
        <f>VLOOKUP(EU528,Lookup_Control_Type_Table,2,FALSE)</f>
        <v>#N/A</v>
      </c>
      <c r="EY528" s="1410" t="e">
        <f>VLOOKUP(CP530,'Space Table'!$B$3:$L$160,7,FALSE)</f>
        <v>#N/A</v>
      </c>
      <c r="EZ528" s="1412" t="b">
        <f>ISNUMBER(SEARCH("TLED",U530))</f>
        <v>0</v>
      </c>
      <c r="FB528" s="1365" t="str">
        <f>CONCATENATE(CN528," - ",DD528)</f>
        <v xml:space="preserve"> - 0</v>
      </c>
      <c r="FD528" s="1353" t="str">
        <f>VLOOKUP(CT530,Fixtures!DN$27:EZ$77,38,FALSE)</f>
        <v/>
      </c>
      <c r="FE528" s="1353">
        <f>IFERROR(FD528*EE528,0)</f>
        <v>0</v>
      </c>
      <c r="FF528" s="138"/>
      <c r="FI528" s="1356" t="str">
        <f>IF(CN528="Exterior","Not Daylighted",G531)</f>
        <v>Not Daylighted</v>
      </c>
      <c r="FJ528" s="1356">
        <f>VLOOKUP(FI528,_Daylight_Table_Codes,2,FALSE)</f>
        <v>0</v>
      </c>
      <c r="FK528" s="1365">
        <f>IF(__Retrofit_TI_NC=2,VLOOKUP(G530,'Space Table'!$B$3:$L$160,11,FALSE),AF529)</f>
        <v>0</v>
      </c>
      <c r="FL528" s="1365" t="e">
        <f>VLOOKUP(FK528,_Control_Table,2,FALSE)</f>
        <v>#N/A</v>
      </c>
      <c r="FM528" s="1365" t="e">
        <f>IF(AND(FP528&gt;0,FK528="Occupancy Sensor"),"Daylight + Occupancy",IF(AND(FP528&gt;0,FL528&lt;4),"Interior Daylight Dimming",FK528))</f>
        <v>#N/A</v>
      </c>
      <c r="FO528" s="1364">
        <f>IF(CO528="Interior",VLOOKUP(CP528,Control_Savings_Interior,5,FALSE),0)</f>
        <v>0</v>
      </c>
      <c r="FP528" s="1361">
        <f>IF(CN528="Exterior",0,IF(FJ528=2,0.5,IF(OR(FJ528=1,FJ528=3),1,0)))</f>
        <v>0</v>
      </c>
      <c r="FQ528" s="1366"/>
      <c r="FR528" s="1367"/>
      <c r="FS528" s="1364"/>
      <c r="FT528" s="1367"/>
      <c r="FU528" s="1360"/>
      <c r="FW528" s="1352" t="str">
        <f>IFERROR(VLOOKUP(U529,_Exist_Fixture_Table,3,FALSE),"")</f>
        <v/>
      </c>
      <c r="FX528" s="1352" t="str">
        <f>VLOOKUP(CT528,_Exist_Fixture_Table,4,FALSE)</f>
        <v/>
      </c>
      <c r="FY528" s="1352">
        <f>IFERROR(VLOOKUP(FX528,Lookup!AM$6:AN$8,2,FALSE),0)</f>
        <v>0</v>
      </c>
      <c r="FZ528" s="1352" t="b">
        <f>IFERROR(IF(OR(GB528=4,GB528=5,GB528=6),TRUE,FALSE),"")</f>
        <v>0</v>
      </c>
      <c r="GA528" s="1352" t="str">
        <f>IFERROR(VLOOKUP(GB528,FY$6:FZ$10,2,FALSE),"")</f>
        <v/>
      </c>
      <c r="GB528" s="1352" t="str">
        <f>VLOOKUP(CT530,Fixtures!R$31:Y$78,8,FALSE)</f>
        <v/>
      </c>
      <c r="GC528" s="1352">
        <f>IF(AND(FW528=TRUE,FZ528=TRUE,OR(DN528=12,DN528=13,DN528=14)),FY528+8,0)</f>
        <v>0</v>
      </c>
      <c r="GD528" s="1352" t="b">
        <f>IF(OR(GC528=12,GC528=13,GC528=14),TRUE,FALSE)</f>
        <v>0</v>
      </c>
      <c r="GE528" s="759" t="b">
        <f>IF(ISNUMBER(SEARCH("TLED",U529)),TRUE,FALSE)</f>
        <v>0</v>
      </c>
      <c r="GF528" s="1035" t="str">
        <f>IFERROR(VLOOKUP(U529,Fixtures!BM$93:BR$142,6,FALSE),"")</f>
        <v/>
      </c>
      <c r="GG528" s="1385" t="b">
        <f>IF(OR(GE528=FALSE,GE530=FALSE),TRUE,IF(GF528-GF530&lt;5,FALSE,TRUE))</f>
        <v>1</v>
      </c>
      <c r="GK528" s="1034">
        <f>GL528</f>
        <v>0</v>
      </c>
      <c r="GL528" s="1034">
        <f>IF(G528="",0,1)</f>
        <v>0</v>
      </c>
      <c r="GM528" s="1034">
        <f>SUM(GN528:HB528)</f>
        <v>2</v>
      </c>
      <c r="GN528" s="1034">
        <f>IF(G529="",0,1)</f>
        <v>0</v>
      </c>
      <c r="GO528" s="1034">
        <f>IF(G530="",0,1)</f>
        <v>0</v>
      </c>
      <c r="GP528" s="1034">
        <f>IF(R529="",0,1)</f>
        <v>0</v>
      </c>
      <c r="GQ528" s="1034">
        <f>IF(__Retrofit_TI_NC=0,1,IF(R530="",0,1))</f>
        <v>1</v>
      </c>
      <c r="GR528" s="1034">
        <f>IF(CN528="Exterior",1,IF(G531="",0,1))</f>
        <v>1</v>
      </c>
      <c r="GS528" s="1034">
        <f>IF(__Retrofit_TI_NC&lt;&gt;0,1,IF(T529="",0,1))</f>
        <v>0</v>
      </c>
      <c r="GT528" s="1034">
        <f>IF(__Retrofit_TI_NC&lt;&gt;0,1,IF(U529="",0,1))</f>
        <v>0</v>
      </c>
      <c r="GU528" s="1034">
        <f>IF(T530="",0,1)</f>
        <v>0</v>
      </c>
      <c r="GV528" s="1034">
        <f>IF(U530="",0,1)</f>
        <v>0</v>
      </c>
      <c r="GW528" s="1034">
        <f>IF(__Retrofit_TI_NC=2,1,IF(U531="",0,1))</f>
        <v>0</v>
      </c>
      <c r="GX528" s="1034">
        <f>IF(__Retrofit_TI_NC&lt;&gt;0,1,IF(AE529="",0,1))</f>
        <v>0</v>
      </c>
      <c r="GY528" s="1034">
        <f>IF(__Retrofit_TI_NC&lt;&gt;0,1,IF(AF529="",0,1))</f>
        <v>0</v>
      </c>
      <c r="GZ528" s="1034">
        <f>IF(AE530="",0,1)</f>
        <v>0</v>
      </c>
      <c r="HA528" s="1034">
        <f>IF(AF530="",0,1)</f>
        <v>0</v>
      </c>
      <c r="HB528" s="1034">
        <f>IF(__Retrofit_TI_NC=2,1,IF(AF531="",0,1))</f>
        <v>0</v>
      </c>
      <c r="HV528" s="436"/>
      <c r="HW528" s="1384" t="b">
        <f>IF(OR(HW531=0,HW531=HT$16,HW531=HS$16,HW531=HU$16),TRUE,FALSE)</f>
        <v>0</v>
      </c>
      <c r="HX528" s="1377" t="b">
        <f>HW528</f>
        <v>0</v>
      </c>
      <c r="HY528" s="436"/>
      <c r="HZ528" s="436"/>
      <c r="IA528" s="1386" t="b">
        <f>IF(MAX(GJ531:HP531)&gt;5,FALSE,TRUE)</f>
        <v>0</v>
      </c>
      <c r="IB528" s="1380">
        <f>IF(IA528=TRUE,AC528,0)</f>
        <v>0</v>
      </c>
      <c r="IC528" s="1380">
        <f>IB528-IB530</f>
        <v>0</v>
      </c>
      <c r="IF528" s="1380" t="e">
        <f>ROUND(T529*VLOOKUP(U529,Fixtures_Existing_List,2,FALSE)*N529*R529/1000,0)</f>
        <v>#N/A</v>
      </c>
      <c r="IG528" s="1381" t="e">
        <f>IF528-IF530</f>
        <v>#N/A</v>
      </c>
      <c r="IH528" s="1384" t="e">
        <f>ROUND(IF(CN528="Interior",N530*R530*R529*N529*_C406_reduction/1000,N530*R530*R529*N529/1000),0)</f>
        <v>#N/A</v>
      </c>
      <c r="II528" s="1384" t="e">
        <f>IH528-IH530</f>
        <v>#N/A</v>
      </c>
      <c r="IK528" s="1351" t="e">
        <f>IF($CO528="interior",IL528/2,VLOOKUP($CP528,Control_Savings_Exterior,IK$30,FALSE))</f>
        <v>#N/A</v>
      </c>
      <c r="IL528" s="1351" t="e">
        <f>IF($CO528="interior",VLOOKUP($CP528,Control_Savings_Interior,IL$30,FALSE),VLOOKUP($CP528,Control_Savings_Exterior,IL$30,FALSE))</f>
        <v>#N/A</v>
      </c>
      <c r="IM528" s="1351" t="e">
        <f>IF($CO528="interior",IF(R529&gt;FO$37,(IM$28*(FO$37/R529)),IM$28)*FP528,VLOOKUP($CP528,Control_Savings_Exterior,IM$30,FALSE))</f>
        <v>#N/A</v>
      </c>
      <c r="IN528" s="1351" t="e">
        <f>IF($CO528="interior",ROUND(((1-IL528)*IM528)+IL528,2),VLOOKUP($CP528,Control_Savings_Exterior,IN$30,FALSE))</f>
        <v>#N/A</v>
      </c>
      <c r="IO528" s="1351" t="e">
        <f>IF($CO528="interior", ROUND(((1-IL528)*(IM528*(1-IP$28)))+IP528,2), VLOOKUP($CP528,Control_Savings_Exterior,IO$30,FALSE))</f>
        <v>#N/A</v>
      </c>
      <c r="IP528" s="1351">
        <f>IF($CO528="interior",ROUND(((1-IL528)*IP$28)+IL528,2),0)</f>
        <v>0</v>
      </c>
    </row>
    <row r="529" spans="1:250" s="82" customFormat="1" ht="14.95" customHeight="1" thickTop="1" thickBot="1">
      <c r="B529" s="1421"/>
      <c r="C529" s="1422"/>
      <c r="D529" s="1423"/>
      <c r="E529" s="1393" t="s">
        <v>244</v>
      </c>
      <c r="F529" s="1394"/>
      <c r="G529" s="1395"/>
      <c r="H529" s="1395"/>
      <c r="I529" s="1395"/>
      <c r="J529" s="1395"/>
      <c r="K529" s="1395"/>
      <c r="L529" s="1395"/>
      <c r="M529" s="509" t="e">
        <f>IF(__Retrofit_TI_NC&lt;&gt;0,IF(VLOOKUP(G530,'Space Table'!$B$3:$L$160,3,FALSE)&gt;0,1,0),IF(__Retrofit_TI_NC=VLOOKUP(G530,'Space Table'!$B$3:$L$160,3,FALSE),1,0))</f>
        <v>#N/A</v>
      </c>
      <c r="N529" s="509" t="str">
        <f>IFERROR(VLOOKUP(G529,_Lookup_Heat_Type_Table_New,2,FALSE),"")</f>
        <v/>
      </c>
      <c r="O529" s="509">
        <f>IF(__Retrofit_TI_NC=1,CONCATENATE("TI ",G529),IF(__Retrofit_TI_NC=2,CONCATENATE("NC ",G529),G529))</f>
        <v>0</v>
      </c>
      <c r="P529" s="1396" t="s">
        <v>352</v>
      </c>
      <c r="Q529" s="1396"/>
      <c r="R529" s="673"/>
      <c r="S529" s="1429"/>
      <c r="T529" s="675"/>
      <c r="U529" s="1496"/>
      <c r="V529" s="1497"/>
      <c r="W529" s="1497"/>
      <c r="X529" s="1497"/>
      <c r="Y529" s="1497"/>
      <c r="Z529" s="1497"/>
      <c r="AA529" s="1497"/>
      <c r="AB529" s="1497"/>
      <c r="AC529" s="1497"/>
      <c r="AD529" s="1498"/>
      <c r="AE529" s="675"/>
      <c r="AF529" s="1397"/>
      <c r="AG529" s="1397"/>
      <c r="AH529" s="1397"/>
      <c r="AI529" s="1397"/>
      <c r="AJ529" s="1434"/>
      <c r="AK529" s="1436"/>
      <c r="AL529" s="1438"/>
      <c r="AM529" s="1441"/>
      <c r="AN529" s="1442"/>
      <c r="AO529" s="1447"/>
      <c r="AP529" s="1447"/>
      <c r="AQ529" s="1448"/>
      <c r="AR529" s="1452"/>
      <c r="AS529" s="1455"/>
      <c r="AT529" s="1458"/>
      <c r="AU529" s="516"/>
      <c r="AV529" s="1479"/>
      <c r="AW529" s="1479"/>
      <c r="BC529" s="38"/>
      <c r="BD529" s="38"/>
      <c r="BE529" s="38"/>
      <c r="BF529" s="38"/>
      <c r="BG529" s="38"/>
      <c r="BH529" s="38"/>
      <c r="BI529" s="38"/>
      <c r="BJ529" s="38"/>
      <c r="BK529" s="38"/>
      <c r="BL529" s="38"/>
      <c r="BM529" s="38"/>
      <c r="BN529" s="38"/>
      <c r="BO529" s="38"/>
      <c r="BP529" s="38"/>
      <c r="BQ529" s="38"/>
      <c r="BR529" s="38"/>
      <c r="BS529" s="38"/>
      <c r="BT529" s="38"/>
      <c r="BU529" s="38"/>
      <c r="BV529" s="38"/>
      <c r="BW529" s="38"/>
      <c r="BX529" s="38"/>
      <c r="BY529" s="38"/>
      <c r="BZ529" s="38"/>
      <c r="CA529" s="38"/>
      <c r="CB529" s="38"/>
      <c r="CC529" s="38"/>
      <c r="CD529" s="38"/>
      <c r="CE529" s="38"/>
      <c r="CF529" s="38"/>
      <c r="CG529" s="38"/>
      <c r="CH529" s="38"/>
      <c r="CI529" s="38"/>
      <c r="CM529" s="1352"/>
      <c r="CN529" s="1352"/>
      <c r="CO529" s="1416"/>
      <c r="CP529" s="1418"/>
      <c r="CR529" s="1386"/>
      <c r="CS529" s="1355"/>
      <c r="CT529" s="1355"/>
      <c r="CU529" s="1355"/>
      <c r="CV529" s="1372"/>
      <c r="CW529" s="1372"/>
      <c r="CX529" s="1371"/>
      <c r="CY529" s="1486"/>
      <c r="CZ529" s="1486"/>
      <c r="DA529" s="1486"/>
      <c r="DC529" s="1355"/>
      <c r="DD529" s="1461"/>
      <c r="DE529" s="1355"/>
      <c r="DF529" s="1407"/>
      <c r="DG529" s="1372"/>
      <c r="DH529" s="1369"/>
      <c r="DJ529" s="1484"/>
      <c r="DL529" s="1419"/>
      <c r="DN529" s="1403"/>
      <c r="DO529" s="1405"/>
      <c r="DP529" s="1354"/>
      <c r="DQ529" s="1405"/>
      <c r="DR529" s="1403"/>
      <c r="DS529" s="1489"/>
      <c r="DU529" s="1403"/>
      <c r="DV529" s="1405"/>
      <c r="DW529" s="1403"/>
      <c r="DX529" s="1403"/>
      <c r="DZ529" s="1481"/>
      <c r="EA529" s="1481"/>
      <c r="EC529" s="1482"/>
      <c r="ED529" s="1369"/>
      <c r="EE529" s="1371"/>
      <c r="EF529" s="1369"/>
      <c r="EG529" s="1369"/>
      <c r="EH529" s="1374"/>
      <c r="EI529" s="1374"/>
      <c r="EJ529" s="1363"/>
      <c r="EK529" s="1376"/>
      <c r="EL529" s="1376"/>
      <c r="EM529" s="1362"/>
      <c r="EN529" s="1362"/>
      <c r="EO529" s="1363"/>
      <c r="EP529" s="1363"/>
      <c r="EQ529" s="1363"/>
      <c r="ES529" s="1403"/>
      <c r="EU529" s="1411"/>
      <c r="EV529" s="1411"/>
      <c r="EW529" s="1411"/>
      <c r="EX529" s="1411"/>
      <c r="EY529" s="1411"/>
      <c r="EZ529" s="1413"/>
      <c r="FB529" s="1365"/>
      <c r="FD529" s="1354"/>
      <c r="FE529" s="1354"/>
      <c r="FF529" s="138"/>
      <c r="FI529" s="1357"/>
      <c r="FJ529" s="1357"/>
      <c r="FK529" s="1365"/>
      <c r="FL529" s="1365"/>
      <c r="FM529" s="1365"/>
      <c r="FO529" s="1361"/>
      <c r="FP529" s="1361"/>
      <c r="FQ529" s="1366"/>
      <c r="FR529" s="1368"/>
      <c r="FS529" s="1361"/>
      <c r="FT529" s="1368"/>
      <c r="FU529" s="1360"/>
      <c r="FW529" s="1352"/>
      <c r="FX529" s="1352"/>
      <c r="FY529" s="1352"/>
      <c r="FZ529" s="1352"/>
      <c r="GA529" s="1352"/>
      <c r="GB529" s="1352"/>
      <c r="GC529" s="1352"/>
      <c r="GD529" s="1352"/>
      <c r="GE529" s="759"/>
      <c r="GF529" s="1035"/>
      <c r="GG529" s="1385"/>
      <c r="GI529" s="1384" t="b">
        <f>IF(AND(GL529=TRUE,GM529=TRUE),TRUE,FALSE)</f>
        <v>0</v>
      </c>
      <c r="GJ529" s="1379" t="b">
        <f>IFERROR(IF(__Retrofit_TI_NC=2,TRUE,IF(AR528="Yes",TRUE,FALSE)),FALSE)</f>
        <v>1</v>
      </c>
      <c r="GL529" s="1379" t="b">
        <f>IFERROR(IF(GL528=1,TRUE,FALSE),FALSE)</f>
        <v>0</v>
      </c>
      <c r="GM529" s="1379" t="b">
        <f>IFERROR(IF(GM528=GM$14,TRUE,FALSE),FALSE)</f>
        <v>0</v>
      </c>
      <c r="HC529" s="1379" t="b">
        <f>IFERROR(IF(M529=1,TRUE,FALSE),FALSE)</f>
        <v>0</v>
      </c>
      <c r="HD529" s="1379" t="b">
        <f>IFERROR(IF(M530=1,TRUE,FALSE),FALSE)</f>
        <v>0</v>
      </c>
      <c r="HE529" s="1379" t="b">
        <f>IFERROR(IF(__Retrofit_TI_NC&lt;&gt;0,TRUE,IFERROR(IF(VLOOKUP(U529,Fixtures_Existing_List,2,FALSE)&lt;&gt;"",TRUE,FALSE),FALSE)),FALSE)</f>
        <v>0</v>
      </c>
      <c r="HF529" s="1379" t="b">
        <f>IFERROR(IF(VLOOKUP(U530,Fixtures_Proposed_List,2,FALSE)&lt;&gt;"",TRUE,FALSE),FALSE)</f>
        <v>0</v>
      </c>
      <c r="HG529" s="1379" t="b">
        <f>IF(AND(__Retrofit_TI_NC=2,EZ528=TRUE),FALSE,TRUE)</f>
        <v>1</v>
      </c>
      <c r="HH529" s="1379" t="b">
        <f>GG528</f>
        <v>1</v>
      </c>
      <c r="HI529" s="1384" t="b">
        <f>IF(ISERROR(MATCH(FB528,_Control_Match[],0))=TRUE,FALSE,TRUE)</f>
        <v>0</v>
      </c>
      <c r="HJ529" s="1384" t="b">
        <f>IFERROR(IF(EU528&lt;&gt;EV528,FALSE,TRUE),FALSE)</f>
        <v>0</v>
      </c>
      <c r="HK529" s="1384" t="b">
        <f>IFERROR(IF(EU530&lt;&gt;EV530,FALSE,TRUE),FALSE)</f>
        <v>0</v>
      </c>
      <c r="HL529" s="1379" t="b">
        <f>IFERROR(IF(CN528="Exterior",TRUE,IF(OR(AND(FJ528=0,EW530&gt;4),AND(FJ528=4,EW530&gt;4,EW530&lt;7)),FALSE,TRUE)),FALSE)</f>
        <v>0</v>
      </c>
      <c r="HM529" s="1379" t="b">
        <f>IFERROR(IF(AND(FL530=7,EZ528=TRUE),FALSE,TRUE),FALSE)</f>
        <v>0</v>
      </c>
      <c r="HN529" s="1379" t="b">
        <f>IFERROR(IF(AND(T530&lt;&gt;AE530,AF530="Interior LLLC")=TRUE,FALSE,TRUE),FALSE)</f>
        <v>1</v>
      </c>
      <c r="HO529" s="1379" t="b">
        <f>IFERROR(IF(OR(AF530=Lookup!AU$13,AF530=Lookup!AU$14)=TRUE,IF(AE530&gt;T530,FALSE,TRUE),TRUE),FALSE)</f>
        <v>1</v>
      </c>
      <c r="HP529" s="1379" t="b">
        <f>IFERROR(IF(__Retrofit_TI_NC=2,IF(EW530&lt;EW528,FALSE,TRUE),TRUE),FALSE)</f>
        <v>1</v>
      </c>
      <c r="HQ529" s="1379" t="b">
        <f>IF(CN528="Interior",IG$6,TRUE)</f>
        <v>1</v>
      </c>
      <c r="HR529" s="1379" t="b">
        <f>IF(CN528="Exterior",IG$8,TRUE)</f>
        <v>1</v>
      </c>
      <c r="HS529" s="1379" t="b">
        <f>IFERROR(IF(__Retrofit_TI_NC&lt;&gt;0,IF(AW528&lt;AV528,FALSE,TRUE),TRUE),FALSE)</f>
        <v>1</v>
      </c>
      <c r="HT529" s="1379" t="b">
        <f>IFERROR(IF(AND(G529="Exterior",R529&gt;4200),FALSE,TRUE),FALSE)</f>
        <v>1</v>
      </c>
      <c r="HU529" s="1379" t="b">
        <f>IFERROR(IF(AB531/AB528&lt;HU$18,FALSE,TRUE),FALSE)</f>
        <v>0</v>
      </c>
      <c r="HW529" s="1382"/>
      <c r="HX529" s="1378"/>
      <c r="HY529" s="1377" t="str">
        <f>VLOOKUP(HW531,_Error_Table,4,FALSE)</f>
        <v>White</v>
      </c>
      <c r="HZ529" s="436"/>
      <c r="IA529" s="1386"/>
      <c r="IB529" s="1380"/>
      <c r="IC529" s="1379"/>
      <c r="IF529" s="1380"/>
      <c r="IG529" s="1382"/>
      <c r="IH529" s="1382"/>
      <c r="II529" s="1382"/>
      <c r="IK529" s="1351"/>
      <c r="IL529" s="1351"/>
      <c r="IM529" s="1351"/>
      <c r="IN529" s="1351"/>
      <c r="IO529" s="1351"/>
      <c r="IP529" s="1351"/>
    </row>
    <row r="530" spans="1:250" s="82" customFormat="1" ht="14.95" customHeight="1" thickTop="1" thickBot="1">
      <c r="A530" s="82">
        <f>ROW()</f>
        <v>530</v>
      </c>
      <c r="B530" s="1421"/>
      <c r="C530" s="1422"/>
      <c r="D530" s="1423"/>
      <c r="E530" s="1393" t="s">
        <v>245</v>
      </c>
      <c r="F530" s="1394"/>
      <c r="G530" s="1398"/>
      <c r="H530" s="1399"/>
      <c r="I530" s="1399"/>
      <c r="J530" s="1399"/>
      <c r="K530" s="1399"/>
      <c r="L530" s="1400"/>
      <c r="M530" s="509">
        <f>IFERROR(IF(IF(__Retrofit_TI_NC&lt;&gt;0,IF(CN528="Interior",MATCH(G530,Lookup_Interior_New,0),MATCH(G530,Lookup_Exterior_New,0)),IF(CN528="Interior",MATCH(G530,Lookup_Interior,0),MATCH(G530,Lookup_Exterior_Areas,0)))&gt;0,1,0),0)</f>
        <v>0</v>
      </c>
      <c r="N530" s="509" t="e">
        <f>IF(__Retrofit_TI_NC=1,
VLOOKUP(G530,'Space Table'!$B$3:$L$160,4,FALSE),
IF(__Retrofit_TI_NC=2,VLOOKUP(G530,'Space Table'!$B$3:$L$160,5,FALSE),VLOOKUP(G530,'Space Table'!$B$3:$L$160,5,FALSE)))</f>
        <v>#N/A</v>
      </c>
      <c r="O530" s="509">
        <f>G530</f>
        <v>0</v>
      </c>
      <c r="P530" s="1394" t="s">
        <v>355</v>
      </c>
      <c r="Q530" s="1394"/>
      <c r="R530" s="674"/>
      <c r="S530" s="1401" t="s">
        <v>284</v>
      </c>
      <c r="T530" s="672"/>
      <c r="U530" s="1499"/>
      <c r="V530" s="1500"/>
      <c r="W530" s="1500"/>
      <c r="X530" s="1500"/>
      <c r="Y530" s="1500"/>
      <c r="Z530" s="1500"/>
      <c r="AA530" s="1500"/>
      <c r="AB530" s="1501"/>
      <c r="AC530" s="1501"/>
      <c r="AD530" s="1502"/>
      <c r="AE530" s="672"/>
      <c r="AF530" s="1474"/>
      <c r="AG530" s="1474"/>
      <c r="AH530" s="1474"/>
      <c r="AI530" s="1474"/>
      <c r="AJ530" s="1475">
        <f>DF530</f>
        <v>0</v>
      </c>
      <c r="AK530" s="1470" t="str">
        <f>IFERROR(ROUND(AJ530*AC531,0),"")</f>
        <v/>
      </c>
      <c r="AL530" s="1472">
        <f>IFERROR(IF(HW528=FALSE,0,AC531-AK530),0)</f>
        <v>0</v>
      </c>
      <c r="AM530" s="1441"/>
      <c r="AN530" s="1442"/>
      <c r="AO530" s="1447"/>
      <c r="AP530" s="1447"/>
      <c r="AQ530" s="1448"/>
      <c r="AR530" s="1452"/>
      <c r="AS530" s="1455"/>
      <c r="AT530" s="1458"/>
      <c r="AU530" s="516"/>
      <c r="AV530" s="1479"/>
      <c r="AW530" s="1479"/>
      <c r="BC530" s="38"/>
      <c r="BD530" s="38"/>
      <c r="BE530" s="38"/>
      <c r="BF530" s="38"/>
      <c r="BG530" s="38"/>
      <c r="BH530" s="38"/>
      <c r="BI530" s="38"/>
      <c r="BJ530" s="38"/>
      <c r="BK530" s="38"/>
      <c r="BL530" s="38"/>
      <c r="BM530" s="38"/>
      <c r="BN530" s="38"/>
      <c r="BO530" s="38"/>
      <c r="BP530" s="38"/>
      <c r="BQ530" s="38"/>
      <c r="BR530" s="38"/>
      <c r="BS530" s="38"/>
      <c r="BT530" s="38"/>
      <c r="BU530" s="38"/>
      <c r="BV530" s="38"/>
      <c r="BW530" s="38"/>
      <c r="BX530" s="38"/>
      <c r="BY530" s="38"/>
      <c r="BZ530" s="38"/>
      <c r="CA530" s="38"/>
      <c r="CB530" s="38"/>
      <c r="CC530" s="38"/>
      <c r="CD530" s="38"/>
      <c r="CE530" s="38"/>
      <c r="CF530" s="38"/>
      <c r="CG530" s="38"/>
      <c r="CH530" s="38"/>
      <c r="CI530" s="38"/>
      <c r="CM530" s="1352"/>
      <c r="CN530" s="1352"/>
      <c r="CO530" s="1415" t="str">
        <f>CN528</f>
        <v/>
      </c>
      <c r="CP530" s="1417" t="e">
        <f>CP528</f>
        <v>#N/A</v>
      </c>
      <c r="CR530" s="1386" t="s">
        <v>284</v>
      </c>
      <c r="CS530" s="1353">
        <f>IF(HW528=TRUE,T530,0)</f>
        <v>0</v>
      </c>
      <c r="CT530" s="1353" t="str">
        <f>IF(HW528=TRUE,U530,"")</f>
        <v/>
      </c>
      <c r="CU530" s="1373">
        <f>IF(HW528=TRUE,U531,0)</f>
        <v>0</v>
      </c>
      <c r="CV530" s="1370">
        <f>IF(HW528=TRUE,AB531,0)</f>
        <v>0</v>
      </c>
      <c r="CW530" s="1370">
        <f>IF(HW528=TRUE,AC531,0)</f>
        <v>0</v>
      </c>
      <c r="CX530" s="1371"/>
      <c r="CY530" s="1486"/>
      <c r="CZ530" s="1486"/>
      <c r="DA530" s="1486"/>
      <c r="DC530" s="1353">
        <f>IF(HW528=TRUE,AE530,0)</f>
        <v>0</v>
      </c>
      <c r="DD530" s="1353" t="str">
        <f>IF(HW528=TRUE,AF530,"")</f>
        <v/>
      </c>
      <c r="DE530" s="1373">
        <f>AF531</f>
        <v>0</v>
      </c>
      <c r="DF530" s="1406">
        <f>IFERROR(IF(FL530=3,IK530,IF(FL530=4,IL530,IF(FL530=5,IM530,IF(FL530=6,IN530,IF(FL530=7,IO530,IF(FL530=8,IP530,0)))))),0)</f>
        <v>0</v>
      </c>
      <c r="DG530" s="1370">
        <f>IF(HW528=TRUE,AK530,0)</f>
        <v>0</v>
      </c>
      <c r="DH530" s="1369"/>
      <c r="DK530" s="1483">
        <f>IFERROR(CW530-DG530,0)</f>
        <v>0</v>
      </c>
      <c r="DL530" s="1420"/>
      <c r="DN530" s="1403"/>
      <c r="DO530" s="1477" t="str">
        <f>DN528</f>
        <v/>
      </c>
      <c r="DP530" s="1354"/>
      <c r="DQ530" s="1477" t="str">
        <f>IF(DP528=7,"LLLC","")</f>
        <v/>
      </c>
      <c r="DR530" s="1403"/>
      <c r="DS530" s="1489"/>
      <c r="DU530" s="1403"/>
      <c r="DV530" s="1404" t="str">
        <f>DU528</f>
        <v/>
      </c>
      <c r="DW530" s="1403"/>
      <c r="DX530" s="1403"/>
      <c r="DZ530" s="1481"/>
      <c r="EA530" s="1481"/>
      <c r="EC530" s="1482"/>
      <c r="ED530" s="1369"/>
      <c r="EE530" s="1371"/>
      <c r="EF530" s="1369"/>
      <c r="EG530" s="1369"/>
      <c r="EH530" s="1374"/>
      <c r="EI530" s="1374"/>
      <c r="EJ530" s="1363"/>
      <c r="EK530" s="1376"/>
      <c r="EL530" s="1376"/>
      <c r="EM530" s="1362"/>
      <c r="EN530" s="1362"/>
      <c r="EO530" s="1363"/>
      <c r="EP530" s="1363"/>
      <c r="EQ530" s="1363"/>
      <c r="ES530" s="1403"/>
      <c r="EU530" s="1411" t="e">
        <f>VLOOKUP(CP530,'Space Table'!$B$3:$L$160,8,FALSE)</f>
        <v>#N/A</v>
      </c>
      <c r="EV530" s="1411" t="e">
        <f>IF(EY530="Yes",VLOOKUP(AF530,Lookup_Control_Type_Table2,4,FALSE),VLOOKUP(AF530,Lookup_Control_Type_Table2,3,FALSE))</f>
        <v>#N/A</v>
      </c>
      <c r="EW530" s="1411" t="e">
        <f>VLOOKUP(AF530,Lookup!AU$3:AV$15,2,FALSE)</f>
        <v>#N/A</v>
      </c>
      <c r="EX530" s="1411" t="e">
        <f>VLOOKUP(EU528,Lookup_Control_Type_Table,2,FALSE)</f>
        <v>#N/A</v>
      </c>
      <c r="EY530" s="1411" t="e">
        <f>VLOOKUP(CP530,'Space Table'!$B$3:$L$160,7,FALSE)</f>
        <v>#N/A</v>
      </c>
      <c r="EZ530" s="1413"/>
      <c r="FB530" s="1365" t="str">
        <f>CONCATENATE(CN528," - ",AF530)</f>
        <v xml:space="preserve"> - </v>
      </c>
      <c r="FD530" s="1354"/>
      <c r="FE530" s="1354"/>
      <c r="FF530" s="138"/>
      <c r="FI530" s="1356" t="str">
        <f>IF(CN528="Exterior","Not Daylighted",G531)</f>
        <v>Not Daylighted</v>
      </c>
      <c r="FJ530" s="1356">
        <f>VLOOKUP(FI530,_Daylight_Table_Codes,2,FALSE)</f>
        <v>0</v>
      </c>
      <c r="FK530" s="1365">
        <f>AF530</f>
        <v>0</v>
      </c>
      <c r="FL530" s="1365" t="e">
        <f>VLOOKUP(FK530,_Control_Table,2,FALSE)</f>
        <v>#N/A</v>
      </c>
      <c r="FM530" s="1365" t="e">
        <f>IF(AND(FP530&gt;0,FK530="Occupancy Sensor"),"Daylight + Occupancy",IF(AND(FP530&gt;0,FL530&lt;4),"Interior Daylight Dimming",FK530))</f>
        <v>#N/A</v>
      </c>
      <c r="FO530" s="1364">
        <f>IF(CN528="Interior",VLOOKUP(CP528,Control_Savings_Interior,5,FALSE),0)</f>
        <v>0</v>
      </c>
      <c r="FP530" s="1361">
        <f>IF(CN530="Exterior",0,IF(FJ530=2,0.5,IF(OR(FJ530=1,FJ530=3),1,0)))</f>
        <v>0</v>
      </c>
      <c r="FQ530" s="1366">
        <f>IF(R529&gt;FO$37,(FO530*(FO$37/R529)),FO530)*FP530</f>
        <v>0</v>
      </c>
      <c r="FR530" s="1364">
        <f>DF530</f>
        <v>0</v>
      </c>
      <c r="FS530" s="1364">
        <f>ROUND(FR530+((1-FR530)*FQ530),2)</f>
        <v>0</v>
      </c>
      <c r="FT530" s="1364">
        <f>IF(__Retrofit_TI_NC=2,FS530,FR530)</f>
        <v>0</v>
      </c>
      <c r="FU530" s="1360">
        <f>IF(CO530="Interior",VLOOKUP(CP530,Control_Savings_Interior,4,FALSE),0)</f>
        <v>0</v>
      </c>
      <c r="FW530" s="1352"/>
      <c r="FX530" s="1352"/>
      <c r="FY530" s="1352"/>
      <c r="FZ530" s="1352"/>
      <c r="GA530" s="1352"/>
      <c r="GB530" s="1352"/>
      <c r="GC530" s="1352"/>
      <c r="GD530" s="1352"/>
      <c r="GE530" s="759" t="b">
        <f>IF(ISNUMBER(SEARCH("TLED",U530)),TRUE,FALSE)</f>
        <v>0</v>
      </c>
      <c r="GF530" s="1035" t="str">
        <f>IFERROR(VLOOKUP(U530,Fixtures!DM$93:DR$142,6,FALSE),"")</f>
        <v/>
      </c>
      <c r="GG530" s="1385"/>
      <c r="GI530" s="1383"/>
      <c r="GJ530" s="1379"/>
      <c r="GL530" s="1379"/>
      <c r="GM530" s="1379"/>
      <c r="HC530" s="1379"/>
      <c r="HD530" s="1379"/>
      <c r="HE530" s="1379"/>
      <c r="HF530" s="1379"/>
      <c r="HG530" s="1379"/>
      <c r="HH530" s="1379"/>
      <c r="HI530" s="1383"/>
      <c r="HJ530" s="1383"/>
      <c r="HK530" s="1383"/>
      <c r="HL530" s="1379"/>
      <c r="HM530" s="1379"/>
      <c r="HN530" s="1379"/>
      <c r="HO530" s="1379"/>
      <c r="HP530" s="1379"/>
      <c r="HQ530" s="1379"/>
      <c r="HR530" s="1379"/>
      <c r="HS530" s="1379"/>
      <c r="HT530" s="1379"/>
      <c r="HU530" s="1379"/>
      <c r="HW530" s="1383"/>
      <c r="HX530" s="1384" t="b">
        <f>HW528</f>
        <v>0</v>
      </c>
      <c r="HY530" s="1378"/>
      <c r="HZ530" s="436"/>
      <c r="IA530" s="1386"/>
      <c r="IB530" s="1380">
        <f>IF(IA528=TRUE,AC531,0)</f>
        <v>0</v>
      </c>
      <c r="IC530" s="1379"/>
      <c r="IF530" s="1380" t="e">
        <f>ROUND(T530*AB531*N529*R529/1000,0)</f>
        <v>#VALUE!</v>
      </c>
      <c r="IG530" s="1382"/>
      <c r="IH530" s="1384" t="e">
        <f>ROUND(T530*AB531*N529*R529/1000,0)</f>
        <v>#VALUE!</v>
      </c>
      <c r="II530" s="1382"/>
      <c r="IK530" s="1351" t="e">
        <f>IF($CO530="interior",IL530/2,VLOOKUP($CP530,Control_Savings_Exterior,IK$30,FALSE))</f>
        <v>#N/A</v>
      </c>
      <c r="IL530" s="1351" t="e">
        <f>IF($CO530="interior",VLOOKUP($CP530,Control_Savings_Interior,IL$30,FALSE),VLOOKUP($CP530,Control_Savings_Exterior,IL$30,FALSE))</f>
        <v>#N/A</v>
      </c>
      <c r="IM530" s="1351" t="e">
        <f>IF($CO530="interior",IF(R529&gt;FO$37,(IM$28*(FO$37/R529)),IM$28)*FP530,VLOOKUP($CP530,Control_Savings_Exterior,IM$30,FALSE))</f>
        <v>#N/A</v>
      </c>
      <c r="IN530" s="1351" t="e">
        <f>IF($CO530="interior",ROUND(((1-IL530)*IM530)+IL530,2),VLOOKUP($CP530,Control_Savings_Exterior,IN$30,FALSE))</f>
        <v>#N/A</v>
      </c>
      <c r="IO530" s="1351" t="e">
        <f>IF($CO530="interior", ROUND(((1-IL530)*(IM530*(1-IP$28)))+IP530,2), VLOOKUP($CP530,Control_Savings_Exterior,IO$30,FALSE))</f>
        <v>#N/A</v>
      </c>
      <c r="IP530" s="1351">
        <f>IF($CO530="interior",ROUND(((1-IL530)*IP$28)+IL530,2),0)</f>
        <v>0</v>
      </c>
    </row>
    <row r="531" spans="1:250" s="82" customFormat="1" ht="14.95" customHeight="1" thickTop="1" thickBot="1">
      <c r="B531" s="1421"/>
      <c r="C531" s="1422"/>
      <c r="D531" s="1423"/>
      <c r="E531" s="1462" t="s">
        <v>357</v>
      </c>
      <c r="F531" s="1463"/>
      <c r="G531" s="1464" t="s">
        <v>362</v>
      </c>
      <c r="H531" s="1465"/>
      <c r="I531" s="1465"/>
      <c r="J531" s="1465"/>
      <c r="K531" s="1465"/>
      <c r="L531" s="1466"/>
      <c r="M531" s="669">
        <f>IFERROR(VLOOKUP(G531,_Daylight_Table[],2,FALSE),0)</f>
        <v>0</v>
      </c>
      <c r="N531" s="670"/>
      <c r="O531" s="669" t="e">
        <f>VLOOKUP(G530,'Space Table'!$B$3:$L$160,11,FALSE)</f>
        <v>#N/A</v>
      </c>
      <c r="P531" s="1408"/>
      <c r="Q531" s="1409"/>
      <c r="R531" s="1409"/>
      <c r="S531" s="1402"/>
      <c r="T531" s="671" t="s">
        <v>281</v>
      </c>
      <c r="U531" s="1467" t="str">
        <f>IFERROR(VLOOKUP(U530,Fixtures!DM$93:DP$142,4,FALSE),"")</f>
        <v/>
      </c>
      <c r="V531" s="1468"/>
      <c r="W531" s="1468"/>
      <c r="X531" s="1468"/>
      <c r="Y531" s="1468"/>
      <c r="Z531" s="1468"/>
      <c r="AA531" s="1468"/>
      <c r="AB531" s="1046" t="str">
        <f>IFERROR(VLOOKUP(U530,Fixtures_Proposed_List,2,FALSE),"")</f>
        <v/>
      </c>
      <c r="AC531" s="1036" t="str">
        <f>IFERROR(ROUND(T530*AB531*N529*R529/1000,0),"")</f>
        <v/>
      </c>
      <c r="AD531" s="1037" t="str">
        <f>IFERROR(ROUND(T530*AB531/1000,2),"")</f>
        <v/>
      </c>
      <c r="AE531" s="1045" t="s">
        <v>281</v>
      </c>
      <c r="AF531" s="1469"/>
      <c r="AG531" s="1469"/>
      <c r="AH531" s="1469"/>
      <c r="AI531" s="1469"/>
      <c r="AJ531" s="1476"/>
      <c r="AK531" s="1471"/>
      <c r="AL531" s="1473"/>
      <c r="AM531" s="1443"/>
      <c r="AN531" s="1444"/>
      <c r="AO531" s="1449"/>
      <c r="AP531" s="1449"/>
      <c r="AQ531" s="1450"/>
      <c r="AR531" s="1453"/>
      <c r="AS531" s="1456"/>
      <c r="AT531" s="1459"/>
      <c r="AU531" s="517"/>
      <c r="AV531" s="1480"/>
      <c r="AW531" s="1480"/>
      <c r="BC531" s="38"/>
      <c r="BD531" s="38"/>
      <c r="BE531" s="38"/>
      <c r="BF531" s="38"/>
      <c r="BG531" s="38"/>
      <c r="BH531" s="38"/>
      <c r="BI531" s="38"/>
      <c r="BJ531" s="38"/>
      <c r="BK531" s="38"/>
      <c r="BL531" s="38"/>
      <c r="BM531" s="38"/>
      <c r="BN531" s="38"/>
      <c r="BO531" s="38"/>
      <c r="BP531" s="38"/>
      <c r="BQ531" s="38"/>
      <c r="BR531" s="38"/>
      <c r="BS531" s="38"/>
      <c r="BT531" s="38"/>
      <c r="BU531" s="38"/>
      <c r="BV531" s="38"/>
      <c r="BW531" s="38"/>
      <c r="BX531" s="38"/>
      <c r="BY531" s="38"/>
      <c r="BZ531" s="38"/>
      <c r="CA531" s="38"/>
      <c r="CB531" s="38"/>
      <c r="CC531" s="38"/>
      <c r="CD531" s="38"/>
      <c r="CE531" s="38"/>
      <c r="CF531" s="38"/>
      <c r="CG531" s="38"/>
      <c r="CH531" s="38"/>
      <c r="CI531" s="38"/>
      <c r="CM531" s="1352"/>
      <c r="CN531" s="1352"/>
      <c r="CO531" s="1416"/>
      <c r="CP531" s="1418"/>
      <c r="CR531" s="1386"/>
      <c r="CS531" s="1355"/>
      <c r="CT531" s="1355"/>
      <c r="CU531" s="1375"/>
      <c r="CV531" s="1372"/>
      <c r="CW531" s="1372"/>
      <c r="CX531" s="1372"/>
      <c r="CY531" s="1487"/>
      <c r="CZ531" s="1487"/>
      <c r="DA531" s="1487"/>
      <c r="DC531" s="1355"/>
      <c r="DD531" s="1355"/>
      <c r="DE531" s="1375"/>
      <c r="DF531" s="1407"/>
      <c r="DG531" s="1372"/>
      <c r="DH531" s="1369"/>
      <c r="DK531" s="1484"/>
      <c r="DL531" s="1420"/>
      <c r="DN531" s="1403"/>
      <c r="DO531" s="1405"/>
      <c r="DP531" s="1355"/>
      <c r="DQ531" s="1405"/>
      <c r="DR531" s="1403"/>
      <c r="DS531" s="1489"/>
      <c r="DU531" s="1403"/>
      <c r="DV531" s="1405"/>
      <c r="DW531" s="1403"/>
      <c r="DX531" s="1403"/>
      <c r="DZ531" s="1481"/>
      <c r="EA531" s="1481"/>
      <c r="EC531" s="1482"/>
      <c r="ED531" s="1369"/>
      <c r="EE531" s="1372"/>
      <c r="EF531" s="1369"/>
      <c r="EG531" s="1369"/>
      <c r="EH531" s="1375"/>
      <c r="EI531" s="1375"/>
      <c r="EJ531" s="1363"/>
      <c r="EK531" s="1376"/>
      <c r="EL531" s="1376"/>
      <c r="EM531" s="1362"/>
      <c r="EN531" s="1362"/>
      <c r="EO531" s="1363"/>
      <c r="EP531" s="1363"/>
      <c r="EQ531" s="1363"/>
      <c r="ES531" s="1403"/>
      <c r="EU531" s="1488"/>
      <c r="EV531" s="1488"/>
      <c r="EW531" s="1488"/>
      <c r="EX531" s="1488"/>
      <c r="EY531" s="1488"/>
      <c r="EZ531" s="1414"/>
      <c r="FB531" s="1365"/>
      <c r="FD531" s="1355"/>
      <c r="FE531" s="1355"/>
      <c r="FF531" s="138"/>
      <c r="FI531" s="1357"/>
      <c r="FJ531" s="1357"/>
      <c r="FK531" s="1365"/>
      <c r="FL531" s="1365"/>
      <c r="FM531" s="1365"/>
      <c r="FO531" s="1361"/>
      <c r="FP531" s="1361"/>
      <c r="FQ531" s="1366"/>
      <c r="FR531" s="1361"/>
      <c r="FS531" s="1361"/>
      <c r="FT531" s="1361"/>
      <c r="FU531" s="1360"/>
      <c r="FW531" s="1352"/>
      <c r="FX531" s="1352"/>
      <c r="FY531" s="1352"/>
      <c r="FZ531" s="1352"/>
      <c r="GA531" s="1352"/>
      <c r="GB531" s="1352"/>
      <c r="GC531" s="1352"/>
      <c r="GD531" s="1352"/>
      <c r="GE531" s="759"/>
      <c r="GF531" s="1035"/>
      <c r="GG531" s="1385"/>
      <c r="GJ531" s="1034">
        <f>IF(GJ529=TRUE,0,GJ$16)</f>
        <v>0</v>
      </c>
      <c r="GL531" s="1034">
        <f>IF(GL529=TRUE,0,GL$16)</f>
        <v>36</v>
      </c>
      <c r="GM531" s="1034">
        <f>IF(GM529=TRUE,0,GM$16)</f>
        <v>35</v>
      </c>
      <c r="GN531" s="436"/>
      <c r="GO531" s="436"/>
      <c r="GP531" s="436"/>
      <c r="GQ531" s="436"/>
      <c r="GR531" s="436"/>
      <c r="HC531" s="1034">
        <f t="shared" ref="HC531:HH531" si="390">IF(HC529=TRUE,0,HC$16)</f>
        <v>19</v>
      </c>
      <c r="HD531" s="1034">
        <f t="shared" si="390"/>
        <v>18</v>
      </c>
      <c r="HE531" s="1034">
        <f t="shared" si="390"/>
        <v>17</v>
      </c>
      <c r="HF531" s="1034">
        <f t="shared" si="390"/>
        <v>16</v>
      </c>
      <c r="HG531" s="1034">
        <f t="shared" si="390"/>
        <v>0</v>
      </c>
      <c r="HH531" s="1034">
        <f t="shared" si="390"/>
        <v>0</v>
      </c>
      <c r="HI531" s="1034">
        <f>IF(HI529=TRUE,0,HI$16)</f>
        <v>13</v>
      </c>
      <c r="HJ531" s="1034">
        <f t="shared" ref="HJ531:HL531" si="391">IF(HJ529=TRUE,0,HJ$16)</f>
        <v>12</v>
      </c>
      <c r="HK531" s="1034">
        <f t="shared" si="391"/>
        <v>11</v>
      </c>
      <c r="HL531" s="1034">
        <f t="shared" si="391"/>
        <v>10</v>
      </c>
      <c r="HM531" s="1034">
        <f>IF(HM529=TRUE,0,HM$16)</f>
        <v>9</v>
      </c>
      <c r="HN531" s="1034">
        <f t="shared" ref="HN531:HR531" si="392">IF(HN529=TRUE,0,HN$16)</f>
        <v>0</v>
      </c>
      <c r="HO531" s="1034">
        <f t="shared" si="392"/>
        <v>0</v>
      </c>
      <c r="HP531" s="1034">
        <f t="shared" si="392"/>
        <v>0</v>
      </c>
      <c r="HQ531" s="1034">
        <f t="shared" si="392"/>
        <v>0</v>
      </c>
      <c r="HR531" s="1034">
        <f t="shared" si="392"/>
        <v>0</v>
      </c>
      <c r="HS531" s="1034">
        <f>IF(HS529=TRUE,0,HS$16)</f>
        <v>0</v>
      </c>
      <c r="HT531" s="1034">
        <f t="shared" ref="HT531" si="393">IF(HT529=TRUE,0,HT$16)</f>
        <v>0</v>
      </c>
      <c r="HU531" s="1034">
        <f>IF(HU529=TRUE,0,HU$16)</f>
        <v>1</v>
      </c>
      <c r="HW531" s="1034">
        <f>IF(GL529=FALSE,GL531,IF(GM529=FALSE,GM531,MAX(GJ531:HU531)))</f>
        <v>36</v>
      </c>
      <c r="HX531" s="1383"/>
      <c r="HY531" s="241" t="str">
        <f>VLOOKUP(HW531,_Error_Table,3,FALSE)</f>
        <v xml:space="preserve"> </v>
      </c>
      <c r="HZ531" s="241"/>
      <c r="IA531" s="1386"/>
      <c r="IB531" s="1380"/>
      <c r="IC531" s="1379"/>
      <c r="IF531" s="1380"/>
      <c r="IG531" s="1383"/>
      <c r="IH531" s="1383"/>
      <c r="II531" s="1383"/>
      <c r="IK531" s="1351"/>
      <c r="IL531" s="1351"/>
      <c r="IM531" s="1351"/>
      <c r="IN531" s="1351"/>
      <c r="IO531" s="1351"/>
      <c r="IP531" s="1351"/>
    </row>
    <row r="532" spans="1:250" s="82" customFormat="1" ht="5.0999999999999996" customHeight="1" thickBot="1">
      <c r="B532" s="763"/>
      <c r="C532" s="1038"/>
      <c r="D532" s="1038"/>
      <c r="E532" s="1490"/>
      <c r="F532" s="1490"/>
      <c r="G532" s="1490"/>
      <c r="H532" s="1490"/>
      <c r="I532" s="1490"/>
      <c r="J532" s="1490"/>
      <c r="K532" s="1490"/>
      <c r="L532" s="1490"/>
      <c r="M532" s="1490"/>
      <c r="N532" s="1490"/>
      <c r="O532" s="1490"/>
      <c r="P532" s="1490"/>
      <c r="Q532" s="1490"/>
      <c r="R532" s="1490"/>
      <c r="S532" s="1490"/>
      <c r="T532" s="1490"/>
      <c r="U532" s="1490"/>
      <c r="V532" s="1490"/>
      <c r="W532" s="1490"/>
      <c r="X532" s="1490"/>
      <c r="Y532" s="1490"/>
      <c r="Z532" s="1490"/>
      <c r="AA532" s="1490"/>
      <c r="AB532" s="1490"/>
      <c r="AC532" s="1490"/>
      <c r="AD532" s="1490"/>
      <c r="AE532" s="1490"/>
      <c r="AF532" s="1490"/>
      <c r="AG532" s="1490"/>
      <c r="AH532" s="1490"/>
      <c r="AI532" s="1490"/>
      <c r="AJ532" s="1490"/>
      <c r="AK532" s="1490"/>
      <c r="AL532" s="1490"/>
      <c r="AM532" s="1490"/>
      <c r="AN532" s="1490"/>
      <c r="AO532" s="1490"/>
      <c r="AP532" s="1490"/>
      <c r="AQ532" s="1490"/>
      <c r="AR532" s="1490"/>
      <c r="AS532" s="1490"/>
      <c r="AT532" s="1490"/>
      <c r="AU532" s="1041"/>
      <c r="BC532" s="38"/>
      <c r="BD532" s="38"/>
      <c r="BE532" s="38"/>
      <c r="BF532" s="38"/>
      <c r="BG532" s="38"/>
      <c r="BH532" s="38"/>
      <c r="BI532" s="38"/>
      <c r="BJ532" s="38"/>
      <c r="BK532" s="38"/>
      <c r="BL532" s="38"/>
      <c r="BM532" s="38"/>
      <c r="BN532" s="38"/>
      <c r="BO532" s="38"/>
      <c r="BP532" s="38"/>
      <c r="BQ532" s="38"/>
      <c r="BR532" s="38"/>
      <c r="BS532" s="38"/>
      <c r="BT532" s="38"/>
      <c r="BU532" s="38"/>
      <c r="BV532" s="38"/>
      <c r="BW532" s="38"/>
      <c r="BX532" s="38"/>
      <c r="BY532" s="38"/>
      <c r="BZ532" s="38"/>
      <c r="CA532" s="38"/>
      <c r="CB532" s="38"/>
      <c r="CC532" s="38"/>
      <c r="CD532" s="38"/>
      <c r="CE532" s="38"/>
      <c r="CF532" s="38"/>
      <c r="CG532" s="38"/>
      <c r="CH532" s="38"/>
      <c r="CI532" s="38"/>
      <c r="CM532" s="749"/>
      <c r="CN532" s="749"/>
      <c r="CO532" s="1043"/>
      <c r="CP532" s="749"/>
      <c r="CS532" s="436"/>
      <c r="CT532" s="436"/>
      <c r="CU532" s="243"/>
      <c r="CV532" s="244"/>
      <c r="CW532" s="244"/>
      <c r="CX532" s="244"/>
      <c r="CY532" s="245"/>
      <c r="CZ532" s="245"/>
      <c r="DA532" s="245"/>
      <c r="DC532" s="750"/>
      <c r="DD532" s="751"/>
      <c r="DE532" s="752"/>
      <c r="DF532" s="753"/>
      <c r="DG532" s="754"/>
      <c r="DH532" s="754"/>
      <c r="DK532" s="244"/>
      <c r="DL532" s="750"/>
      <c r="DN532" s="750"/>
      <c r="DO532" s="755"/>
      <c r="DP532" s="436"/>
      <c r="DQ532" s="750"/>
      <c r="DR532" s="750"/>
      <c r="DS532" s="750"/>
      <c r="DU532" s="750"/>
      <c r="DV532" s="750"/>
      <c r="DW532" s="750"/>
      <c r="DX532" s="750"/>
      <c r="DZ532" s="756"/>
      <c r="EA532" s="756"/>
      <c r="EC532" s="754"/>
      <c r="ED532" s="754"/>
      <c r="EE532" s="244"/>
      <c r="EF532" s="754"/>
      <c r="EG532" s="754"/>
      <c r="EH532" s="243"/>
      <c r="EI532" s="243"/>
      <c r="EJ532" s="752"/>
      <c r="EK532" s="757"/>
      <c r="EL532" s="757"/>
      <c r="EM532" s="758"/>
      <c r="EN532" s="758"/>
      <c r="EO532" s="752"/>
      <c r="EP532" s="752"/>
      <c r="EQ532" s="752"/>
      <c r="ES532" s="750"/>
      <c r="EU532" s="436"/>
      <c r="EV532" s="436"/>
      <c r="EW532" s="436"/>
      <c r="EX532" s="436"/>
      <c r="EY532" s="436"/>
      <c r="EZ532" s="436"/>
      <c r="FB532" s="643"/>
      <c r="FD532" s="436"/>
      <c r="FE532" s="436"/>
      <c r="FF532" s="436"/>
      <c r="FO532" s="750"/>
      <c r="FP532" s="436"/>
      <c r="FQ532" s="436"/>
      <c r="FR532" s="750"/>
      <c r="FS532" s="750"/>
      <c r="FW532" s="749"/>
      <c r="FX532" s="749"/>
      <c r="FY532" s="749"/>
      <c r="FZ532" s="749"/>
      <c r="GA532" s="749"/>
      <c r="GB532" s="749"/>
      <c r="GC532" s="749"/>
      <c r="GD532" s="749"/>
      <c r="GE532" s="751"/>
      <c r="GF532" s="750"/>
      <c r="GG532" s="750"/>
    </row>
    <row r="533" spans="1:250" s="82" customFormat="1" ht="14.95" customHeight="1" thickTop="1" thickBot="1">
      <c r="B533" s="1421" t="str">
        <f>HY536</f>
        <v xml:space="preserve"> </v>
      </c>
      <c r="C533" s="1422">
        <f>C528+1</f>
        <v>96</v>
      </c>
      <c r="D533" s="1423"/>
      <c r="E533" s="1424" t="s">
        <v>242</v>
      </c>
      <c r="F533" s="1425"/>
      <c r="G533" s="1426"/>
      <c r="H533" s="1427"/>
      <c r="I533" s="1427"/>
      <c r="J533" s="1427"/>
      <c r="K533" s="1427"/>
      <c r="L533" s="1427"/>
      <c r="M533" s="1427"/>
      <c r="N533" s="1427"/>
      <c r="O533" s="1427"/>
      <c r="P533" s="1427"/>
      <c r="Q533" s="1427"/>
      <c r="R533" s="1427"/>
      <c r="S533" s="1428" t="s">
        <v>283</v>
      </c>
      <c r="T533" s="668" t="s">
        <v>190</v>
      </c>
      <c r="U533" s="1430" t="s">
        <v>186</v>
      </c>
      <c r="V533" s="1431"/>
      <c r="W533" s="1431"/>
      <c r="X533" s="1431"/>
      <c r="Y533" s="1431"/>
      <c r="Z533" s="1431"/>
      <c r="AA533" s="1431"/>
      <c r="AB533" s="1088" t="str">
        <f>IFERROR(IF(__Retrofit_TI_NC=0,VLOOKUP(U534,Fixtures_Existing_List,2,FALSE),ROUND(N535*R535/T535,10)),"")</f>
        <v/>
      </c>
      <c r="AC533" s="1039" t="str">
        <f>IFERROR(IF(__Retrofit_TI_NC=0,ROUND(T534*AB533*N534*R534/1000,0),IF(CN533="Interior",N535*R535*R534*N534*_C406_reduction/1000,N535*R535*R534*N534/1000)),"")</f>
        <v/>
      </c>
      <c r="AD533" s="1040" t="str">
        <f>IFERROR(IF(C$36=0,ROUND(T534*AB533/1000,2),N535*R535/1000),"")</f>
        <v/>
      </c>
      <c r="AE533" s="1044" t="s">
        <v>190</v>
      </c>
      <c r="AF533" s="1432" t="str">
        <f>IF(__Retrofit_TI_NC=2,CONCATENATE("Code min = ",DD533),IF(__Retrofit_TI_NC=1,"Emter what you think the existing control was"," Control"))</f>
        <v xml:space="preserve"> Control</v>
      </c>
      <c r="AG533" s="1432"/>
      <c r="AH533" s="1432"/>
      <c r="AI533" s="1432"/>
      <c r="AJ533" s="1433">
        <f>DF533</f>
        <v>0</v>
      </c>
      <c r="AK533" s="1435" t="str">
        <f>IFERROR(ROUND(AJ533*AC533,0),"")</f>
        <v/>
      </c>
      <c r="AL533" s="1437">
        <f>IFERROR(IF(HW533=FALSE,0,AC533-AK533),0)</f>
        <v>0</v>
      </c>
      <c r="AM533" s="1439">
        <f>AL533-AL535</f>
        <v>0</v>
      </c>
      <c r="AN533" s="1440"/>
      <c r="AO533" s="1445">
        <f>IFERROR(IF(HW533=FALSE,0,(T535*U536)+(AE535*AF536)),0)</f>
        <v>0</v>
      </c>
      <c r="AP533" s="1445"/>
      <c r="AQ533" s="1446"/>
      <c r="AR533" s="1451" t="s">
        <v>157</v>
      </c>
      <c r="AS533" s="1454">
        <f>IF(AR533="Yes",1,0)</f>
        <v>1</v>
      </c>
      <c r="AT533" s="1457" t="str">
        <f>IF(OR(DN533=4,DN533=5,DN533=6,DN533=12),CONCATENATE("$",IF(GD533=TRUE,Lookup!$B$11,Lookup!$B$2)," /lamp"),CONCATENATE(EA533,"/ kWh"))</f>
        <v>0/ kWh</v>
      </c>
      <c r="AU533" s="516"/>
      <c r="AV533" s="1478">
        <f>IFERROR(IF(GI534=TRUE,(AB536*T535)/R535,0),"NA")</f>
        <v>0</v>
      </c>
      <c r="AW533" s="1478" t="str">
        <f>IFERROR(N535*_C406_reduction,"NA")</f>
        <v>NA</v>
      </c>
      <c r="BC533" s="38"/>
      <c r="BD533" s="38"/>
      <c r="BE533" s="38"/>
      <c r="BF533" s="38"/>
      <c r="BG533" s="38"/>
      <c r="BH533" s="38"/>
      <c r="BI533" s="38"/>
      <c r="BJ533" s="38"/>
      <c r="BK533" s="38"/>
      <c r="BL533" s="38"/>
      <c r="BM533" s="38"/>
      <c r="BN533" s="38"/>
      <c r="BO533" s="38"/>
      <c r="BP533" s="38"/>
      <c r="BQ533" s="38"/>
      <c r="BR533" s="38"/>
      <c r="BS533" s="38"/>
      <c r="BT533" s="38"/>
      <c r="BU533" s="38"/>
      <c r="BV533" s="38"/>
      <c r="BW533" s="38"/>
      <c r="BX533" s="38"/>
      <c r="BY533" s="38"/>
      <c r="BZ533" s="38"/>
      <c r="CA533" s="38"/>
      <c r="CB533" s="38"/>
      <c r="CC533" s="38"/>
      <c r="CD533" s="38"/>
      <c r="CE533" s="38"/>
      <c r="CF533" s="38"/>
      <c r="CG533" s="38"/>
      <c r="CH533" s="38"/>
      <c r="CI533" s="38"/>
      <c r="CM533" s="1352" t="str">
        <f>N534</f>
        <v/>
      </c>
      <c r="CN533" s="1352" t="str">
        <f>IFERROR(VLOOKUP(G534,_Lookup_Heat_Type_Table_New,3,FALSE),"")</f>
        <v/>
      </c>
      <c r="CO533" s="1415" t="str">
        <f>CN533</f>
        <v/>
      </c>
      <c r="CP533" s="1417" t="e">
        <f>VLOOKUP(G535,'Space Table'!$B$3:$L$160,9,FALSE)</f>
        <v>#N/A</v>
      </c>
      <c r="CR533" s="1386" t="s">
        <v>283</v>
      </c>
      <c r="CS533" s="1353">
        <f>IF(HW533=TRUE,T534,0)</f>
        <v>0</v>
      </c>
      <c r="CT533" s="1353" t="str">
        <f>IF(HW533=TRUE,U534,"")</f>
        <v/>
      </c>
      <c r="CU533" s="1353"/>
      <c r="CV533" s="1370">
        <f>IF(HW533=TRUE,AB533,0)</f>
        <v>0</v>
      </c>
      <c r="CW533" s="1370">
        <f>IF(HW533=TRUE,AC533,0)</f>
        <v>0</v>
      </c>
      <c r="CX533" s="1370">
        <f>IFERROR(IF(HW533=TRUE,CW533-CW535,0),0)</f>
        <v>0</v>
      </c>
      <c r="CY533" s="1485">
        <f>IF(HW533=TRUE,AD533,0)</f>
        <v>0</v>
      </c>
      <c r="CZ533" s="1485">
        <f>IF(HW533=TRUE,AD536,0)</f>
        <v>0</v>
      </c>
      <c r="DA533" s="1485">
        <f>IFERROR(CY533-CZ533,0)</f>
        <v>0</v>
      </c>
      <c r="DC533" s="1353">
        <f>IF(HW533=TRUE,AE534,0)</f>
        <v>0</v>
      </c>
      <c r="DD533" s="1460">
        <f>IF(__Retrofit_TI_NC=2,IF(CN533="Exterior",O536,FM533),FK533)</f>
        <v>0</v>
      </c>
      <c r="DE533" s="1353"/>
      <c r="DF533" s="1406">
        <f>IFERROR(IF(FL533=3,IK533,IF(FL533=4,IL533,IF(FL533=5,IM533,IF(FL533=6,IN533,IF(FL533=7,IO533,IF(FL533=8,IP533,0)))))),0)</f>
        <v>0</v>
      </c>
      <c r="DG533" s="1370">
        <f>IF(HW533=TRUE,AK533,0)</f>
        <v>0</v>
      </c>
      <c r="DH533" s="1369">
        <f>IFERROR(IF(HW533=TRUE,DG535-DG533,0),0)</f>
        <v>0</v>
      </c>
      <c r="DJ533" s="1483">
        <f>IFERROR(CW533-DG533,0)</f>
        <v>0</v>
      </c>
      <c r="DL533" s="1419">
        <f>DJ533-DK535</f>
        <v>0</v>
      </c>
      <c r="DN533" s="1403" t="str">
        <f>IFERROR(IF(AND(OR(FY533=4,FY533=5,FY533=6),OR(GB533=4,GB533=5,GB533=6)),FY533+8,VLOOKUP(CT535,Fixtures!R$31:Y$78,8,FALSE)),"")</f>
        <v/>
      </c>
      <c r="DO533" s="1404" t="str">
        <f>DN533</f>
        <v/>
      </c>
      <c r="DP533" s="1353" t="str">
        <f>IFERROR(VLOOKUP(DD535,Lookup!AU$3:AV$15,2,FALSE),"")</f>
        <v/>
      </c>
      <c r="DQ533" s="1404" t="str">
        <f>IF(DP533=7,"LLLC","")</f>
        <v/>
      </c>
      <c r="DR533" s="1403">
        <f>IFERROR(IF(OR(DN533=4,DN533=5,DN533=6,DN533=12,DN533=13,DN533=14),VLOOKUP(CT535,Fixtures!DN$27:EG$77,19,FALSE),1)*CS535,0)</f>
        <v>0</v>
      </c>
      <c r="DS533" s="1489">
        <f>IF(DP533=7,IF(DD533=DD535,0,DC535),0)</f>
        <v>0</v>
      </c>
      <c r="DU533" s="1403" t="str">
        <f>IFERROR(IF(EW533&lt;EW535,"Yes","No"),"")</f>
        <v/>
      </c>
      <c r="DV533" s="1404" t="str">
        <f>DU533</f>
        <v/>
      </c>
      <c r="DW533" s="1403">
        <f>IF(DU533="Yes",DC535,0)</f>
        <v>0</v>
      </c>
      <c r="DX533" s="1403">
        <f>DW533-DS533</f>
        <v>0</v>
      </c>
      <c r="DZ533" s="1481">
        <f>IFERROR(VLOOKUP(DN533,Lookup!AN$3:AO$16,2,FALSE),0)</f>
        <v>0</v>
      </c>
      <c r="EA533" s="1481">
        <f>IF(HW533=FALSE,0,IF(DU533="Yes",DZ533+Lookup!B$6,DZ533))</f>
        <v>0</v>
      </c>
      <c r="EC533" s="1482">
        <f>IF(HW533=TRUE,DJ533,0)</f>
        <v>0</v>
      </c>
      <c r="ED533" s="1369">
        <f>IF(HW533=TRUE,CW535,0)</f>
        <v>0</v>
      </c>
      <c r="EE533" s="1370">
        <f>IFERROR(EC533-ED533,0)</f>
        <v>0</v>
      </c>
      <c r="EF533" s="1369">
        <f>IF(HW533=TRUE,DG535,0)</f>
        <v>0</v>
      </c>
      <c r="EG533" s="1369">
        <f>IFERROR(EC533-ED533+EF533,0)</f>
        <v>0</v>
      </c>
      <c r="EH533" s="1373">
        <f>IF(HW533=TRUE,CS535*CU535,0)</f>
        <v>0</v>
      </c>
      <c r="EI533" s="1373">
        <f>IF(HW533=TRUE,DC535*DE535,0)</f>
        <v>0</v>
      </c>
      <c r="EJ533" s="1363">
        <f>AO533</f>
        <v>0</v>
      </c>
      <c r="EK533" s="1376" t="str">
        <f>IFERROR(IF(HW533=TRUE,VLOOKUP(DN533,Lookup!AN$3:AP$16,3,FALSE)*DR533,""),0)</f>
        <v/>
      </c>
      <c r="EL533" s="1376">
        <f>IF(HW533=TRUE,DW533*Lookup!AP$12,0)</f>
        <v>0</v>
      </c>
      <c r="EM533" s="1362">
        <f>IFERROR(IF(HW533=TRUE,EK533/EM$33,0),0)</f>
        <v>0</v>
      </c>
      <c r="EN533" s="1362">
        <f>IF(HW533=TRUE,EL533/EN$33,0)</f>
        <v>0</v>
      </c>
      <c r="EO533" s="1363">
        <f>IF(HW533=TRUE,EQ$33*EM533,0)</f>
        <v>0</v>
      </c>
      <c r="EP533" s="1363">
        <f>IF(HW533=TRUE,EQ$33*EN533,0)</f>
        <v>0</v>
      </c>
      <c r="EQ533" s="1363">
        <f>EO533+EP533</f>
        <v>0</v>
      </c>
      <c r="ES533" s="1403">
        <f>IF(G533="",0,1)</f>
        <v>0</v>
      </c>
      <c r="EU533" s="1410" t="e">
        <f>VLOOKUP(CP535,'Space Table'!$B$3:$L$160,8,FALSE)</f>
        <v>#N/A</v>
      </c>
      <c r="EV533" s="1410" t="e">
        <f>IF(EY533="Yes",VLOOKUP(DD533,Lookup_Control_Type_Table2,4,FALSE),VLOOKUP(DD533,Lookup_Control_Type_Table2,3,FALSE))</f>
        <v>#N/A</v>
      </c>
      <c r="EW533" s="1410" t="e">
        <f>VLOOKUP(DD533,Lookup!AU$3:AV$15,2,FALSE)</f>
        <v>#N/A</v>
      </c>
      <c r="EX533" s="1410" t="e">
        <f>VLOOKUP(EU533,Lookup_Control_Type_Table,2,FALSE)</f>
        <v>#N/A</v>
      </c>
      <c r="EY533" s="1410" t="e">
        <f>VLOOKUP(CP535,'Space Table'!$B$3:$L$160,7,FALSE)</f>
        <v>#N/A</v>
      </c>
      <c r="EZ533" s="1412" t="b">
        <f>ISNUMBER(SEARCH("TLED",U535))</f>
        <v>0</v>
      </c>
      <c r="FB533" s="1365" t="str">
        <f>CONCATENATE(CN533," - ",DD533)</f>
        <v xml:space="preserve"> - 0</v>
      </c>
      <c r="FD533" s="1353" t="str">
        <f>VLOOKUP(CT535,Fixtures!DN$27:EZ$77,38,FALSE)</f>
        <v/>
      </c>
      <c r="FE533" s="1353">
        <f>IFERROR(FD533*EE533,0)</f>
        <v>0</v>
      </c>
      <c r="FF533" s="138"/>
      <c r="FI533" s="1356" t="str">
        <f>IF(CN533="Exterior","Not Daylighted",G536)</f>
        <v>Not Daylighted</v>
      </c>
      <c r="FJ533" s="1356">
        <f>VLOOKUP(FI533,_Daylight_Table_Codes,2,FALSE)</f>
        <v>0</v>
      </c>
      <c r="FK533" s="1365">
        <f>IF(__Retrofit_TI_NC=2,VLOOKUP(G535,'Space Table'!$B$3:$L$160,11,FALSE),AF534)</f>
        <v>0</v>
      </c>
      <c r="FL533" s="1365" t="e">
        <f>VLOOKUP(FK533,_Control_Table,2,FALSE)</f>
        <v>#N/A</v>
      </c>
      <c r="FM533" s="1365" t="e">
        <f>IF(AND(FP533&gt;0,FK533="Occupancy Sensor"),"Daylight + Occupancy",IF(AND(FP533&gt;0,FL533&lt;4),"Interior Daylight Dimming",FK533))</f>
        <v>#N/A</v>
      </c>
      <c r="FO533" s="1364">
        <f>IF(CO533="Interior",VLOOKUP(CP533,Control_Savings_Interior,5,FALSE),0)</f>
        <v>0</v>
      </c>
      <c r="FP533" s="1361">
        <f>IF(CN533="Exterior",0,IF(FJ533=2,0.5,IF(OR(FJ533=1,FJ533=3),1,0)))</f>
        <v>0</v>
      </c>
      <c r="FQ533" s="1366"/>
      <c r="FR533" s="1367"/>
      <c r="FS533" s="1364"/>
      <c r="FT533" s="1367"/>
      <c r="FU533" s="1360"/>
      <c r="FW533" s="1352" t="str">
        <f>IFERROR(VLOOKUP(U534,_Exist_Fixture_Table,3,FALSE),"")</f>
        <v/>
      </c>
      <c r="FX533" s="1352" t="str">
        <f>VLOOKUP(CT533,_Exist_Fixture_Table,4,FALSE)</f>
        <v/>
      </c>
      <c r="FY533" s="1352">
        <f>IFERROR(VLOOKUP(FX533,Lookup!AM$6:AN$8,2,FALSE),0)</f>
        <v>0</v>
      </c>
      <c r="FZ533" s="1352" t="b">
        <f>IFERROR(IF(OR(GB533=4,GB533=5,GB533=6),TRUE,FALSE),"")</f>
        <v>0</v>
      </c>
      <c r="GA533" s="1352" t="str">
        <f>IFERROR(VLOOKUP(GB533,FY$6:FZ$10,2,FALSE),"")</f>
        <v/>
      </c>
      <c r="GB533" s="1352" t="str">
        <f>VLOOKUP(CT535,Fixtures!R$31:Y$78,8,FALSE)</f>
        <v/>
      </c>
      <c r="GC533" s="1352">
        <f>IF(AND(FW533=TRUE,FZ533=TRUE,OR(DN533=12,DN533=13,DN533=14)),FY533+8,0)</f>
        <v>0</v>
      </c>
      <c r="GD533" s="1352" t="b">
        <f>IF(OR(GC533=12,GC533=13,GC533=14),TRUE,FALSE)</f>
        <v>0</v>
      </c>
      <c r="GE533" s="759" t="b">
        <f>IF(ISNUMBER(SEARCH("TLED",U534)),TRUE,FALSE)</f>
        <v>0</v>
      </c>
      <c r="GF533" s="1035" t="str">
        <f>IFERROR(VLOOKUP(U534,Fixtures!BM$93:BR$142,6,FALSE),"")</f>
        <v/>
      </c>
      <c r="GG533" s="1385" t="b">
        <f>IF(OR(GE533=FALSE,GE535=FALSE),TRUE,IF(GF533-GF535&lt;5,FALSE,TRUE))</f>
        <v>1</v>
      </c>
      <c r="GK533" s="1034">
        <f>GL533</f>
        <v>0</v>
      </c>
      <c r="GL533" s="1034">
        <f>IF(G533="",0,1)</f>
        <v>0</v>
      </c>
      <c r="GM533" s="1034">
        <f>SUM(GN533:HB533)</f>
        <v>2</v>
      </c>
      <c r="GN533" s="1034">
        <f>IF(G534="",0,1)</f>
        <v>0</v>
      </c>
      <c r="GO533" s="1034">
        <f>IF(G535="",0,1)</f>
        <v>0</v>
      </c>
      <c r="GP533" s="1034">
        <f>IF(R534="",0,1)</f>
        <v>0</v>
      </c>
      <c r="GQ533" s="1034">
        <f>IF(__Retrofit_TI_NC=0,1,IF(R535="",0,1))</f>
        <v>1</v>
      </c>
      <c r="GR533" s="1034">
        <f>IF(CN533="Exterior",1,IF(G536="",0,1))</f>
        <v>1</v>
      </c>
      <c r="GS533" s="1034">
        <f>IF(__Retrofit_TI_NC&lt;&gt;0,1,IF(T534="",0,1))</f>
        <v>0</v>
      </c>
      <c r="GT533" s="1034">
        <f>IF(__Retrofit_TI_NC&lt;&gt;0,1,IF(U534="",0,1))</f>
        <v>0</v>
      </c>
      <c r="GU533" s="1034">
        <f>IF(T535="",0,1)</f>
        <v>0</v>
      </c>
      <c r="GV533" s="1034">
        <f>IF(U535="",0,1)</f>
        <v>0</v>
      </c>
      <c r="GW533" s="1034">
        <f>IF(__Retrofit_TI_NC=2,1,IF(U536="",0,1))</f>
        <v>0</v>
      </c>
      <c r="GX533" s="1034">
        <f>IF(__Retrofit_TI_NC&lt;&gt;0,1,IF(AE534="",0,1))</f>
        <v>0</v>
      </c>
      <c r="GY533" s="1034">
        <f>IF(__Retrofit_TI_NC&lt;&gt;0,1,IF(AF534="",0,1))</f>
        <v>0</v>
      </c>
      <c r="GZ533" s="1034">
        <f>IF(AE535="",0,1)</f>
        <v>0</v>
      </c>
      <c r="HA533" s="1034">
        <f>IF(AF535="",0,1)</f>
        <v>0</v>
      </c>
      <c r="HB533" s="1034">
        <f>IF(__Retrofit_TI_NC=2,1,IF(AF536="",0,1))</f>
        <v>0</v>
      </c>
      <c r="HV533" s="436"/>
      <c r="HW533" s="1384" t="b">
        <f>IF(OR(HW536=0,HW536=HT$16,HW536=HS$16,HW536=HU$16),TRUE,FALSE)</f>
        <v>0</v>
      </c>
      <c r="HX533" s="1377" t="b">
        <f>HW533</f>
        <v>0</v>
      </c>
      <c r="HY533" s="436"/>
      <c r="HZ533" s="436"/>
      <c r="IA533" s="1386" t="b">
        <f>IF(MAX(GJ536:HP536)&gt;5,FALSE,TRUE)</f>
        <v>0</v>
      </c>
      <c r="IB533" s="1380">
        <f>IF(IA533=TRUE,AC533,0)</f>
        <v>0</v>
      </c>
      <c r="IC533" s="1380">
        <f>IB533-IB535</f>
        <v>0</v>
      </c>
      <c r="IF533" s="1380" t="e">
        <f>ROUND(T534*VLOOKUP(U534,Fixtures_Existing_List,2,FALSE)*N534*R534/1000,0)</f>
        <v>#N/A</v>
      </c>
      <c r="IG533" s="1381" t="e">
        <f>IF533-IF535</f>
        <v>#N/A</v>
      </c>
      <c r="IH533" s="1384" t="e">
        <f>ROUND(IF(CN533="Interior",N535*R535*R534*N534*_C406_reduction/1000,N535*R535*R534*N534/1000),0)</f>
        <v>#N/A</v>
      </c>
      <c r="II533" s="1384" t="e">
        <f>IH533-IH535</f>
        <v>#N/A</v>
      </c>
      <c r="IK533" s="1351" t="e">
        <f>IF($CO533="interior",IL533/2,VLOOKUP($CP533,Control_Savings_Exterior,IK$30,FALSE))</f>
        <v>#N/A</v>
      </c>
      <c r="IL533" s="1351" t="e">
        <f>IF($CO533="interior",VLOOKUP($CP533,Control_Savings_Interior,IL$30,FALSE),VLOOKUP($CP533,Control_Savings_Exterior,IL$30,FALSE))</f>
        <v>#N/A</v>
      </c>
      <c r="IM533" s="1351" t="e">
        <f>IF($CO533="interior",IF(R534&gt;FO$37,(IM$28*(FO$37/R534)),IM$28)*FP533,VLOOKUP($CP533,Control_Savings_Exterior,IM$30,FALSE))</f>
        <v>#N/A</v>
      </c>
      <c r="IN533" s="1351" t="e">
        <f>IF($CO533="interior",ROUND(((1-IL533)*IM533)+IL533,2),VLOOKUP($CP533,Control_Savings_Exterior,IN$30,FALSE))</f>
        <v>#N/A</v>
      </c>
      <c r="IO533" s="1351" t="e">
        <f>IF($CO533="interior", ROUND(((1-IL533)*(IM533*(1-IP$28)))+IP533,2), VLOOKUP($CP533,Control_Savings_Exterior,IO$30,FALSE))</f>
        <v>#N/A</v>
      </c>
      <c r="IP533" s="1351">
        <f>IF($CO533="interior",ROUND(((1-IL533)*IP$28)+IL533,2),0)</f>
        <v>0</v>
      </c>
    </row>
    <row r="534" spans="1:250" s="82" customFormat="1" ht="14.95" customHeight="1" thickTop="1" thickBot="1">
      <c r="B534" s="1421"/>
      <c r="C534" s="1422"/>
      <c r="D534" s="1423"/>
      <c r="E534" s="1393" t="s">
        <v>244</v>
      </c>
      <c r="F534" s="1394"/>
      <c r="G534" s="1395"/>
      <c r="H534" s="1395"/>
      <c r="I534" s="1395"/>
      <c r="J534" s="1395"/>
      <c r="K534" s="1395"/>
      <c r="L534" s="1395"/>
      <c r="M534" s="509" t="e">
        <f>IF(__Retrofit_TI_NC&lt;&gt;0,IF(VLOOKUP(G535,'Space Table'!$B$3:$L$160,3,FALSE)&gt;0,1,0),IF(__Retrofit_TI_NC=VLOOKUP(G535,'Space Table'!$B$3:$L$160,3,FALSE),1,0))</f>
        <v>#N/A</v>
      </c>
      <c r="N534" s="509" t="str">
        <f>IFERROR(VLOOKUP(G534,_Lookup_Heat_Type_Table_New,2,FALSE),"")</f>
        <v/>
      </c>
      <c r="O534" s="509">
        <f>IF(__Retrofit_TI_NC=1,CONCATENATE("TI ",G534),IF(__Retrofit_TI_NC=2,CONCATENATE("NC ",G534),G534))</f>
        <v>0</v>
      </c>
      <c r="P534" s="1396" t="s">
        <v>352</v>
      </c>
      <c r="Q534" s="1396"/>
      <c r="R534" s="673"/>
      <c r="S534" s="1429"/>
      <c r="T534" s="675"/>
      <c r="U534" s="1496"/>
      <c r="V534" s="1497"/>
      <c r="W534" s="1497"/>
      <c r="X534" s="1497"/>
      <c r="Y534" s="1497"/>
      <c r="Z534" s="1497"/>
      <c r="AA534" s="1497"/>
      <c r="AB534" s="1497"/>
      <c r="AC534" s="1497"/>
      <c r="AD534" s="1498"/>
      <c r="AE534" s="675"/>
      <c r="AF534" s="1397"/>
      <c r="AG534" s="1397"/>
      <c r="AH534" s="1397"/>
      <c r="AI534" s="1397"/>
      <c r="AJ534" s="1434"/>
      <c r="AK534" s="1436"/>
      <c r="AL534" s="1438"/>
      <c r="AM534" s="1441"/>
      <c r="AN534" s="1442"/>
      <c r="AO534" s="1447"/>
      <c r="AP534" s="1447"/>
      <c r="AQ534" s="1448"/>
      <c r="AR534" s="1452"/>
      <c r="AS534" s="1455"/>
      <c r="AT534" s="1458"/>
      <c r="AU534" s="516"/>
      <c r="AV534" s="1479"/>
      <c r="AW534" s="1479"/>
      <c r="BC534" s="38"/>
      <c r="BD534" s="38"/>
      <c r="BE534" s="38"/>
      <c r="BF534" s="38"/>
      <c r="BG534" s="38"/>
      <c r="BH534" s="38"/>
      <c r="BI534" s="38"/>
      <c r="BJ534" s="38"/>
      <c r="BK534" s="38"/>
      <c r="BL534" s="38"/>
      <c r="BM534" s="38"/>
      <c r="BN534" s="38"/>
      <c r="BO534" s="38"/>
      <c r="BP534" s="38"/>
      <c r="BQ534" s="38"/>
      <c r="BR534" s="38"/>
      <c r="BS534" s="38"/>
      <c r="BT534" s="38"/>
      <c r="BU534" s="38"/>
      <c r="BV534" s="38"/>
      <c r="BW534" s="38"/>
      <c r="BX534" s="38"/>
      <c r="BY534" s="38"/>
      <c r="BZ534" s="38"/>
      <c r="CA534" s="38"/>
      <c r="CB534" s="38"/>
      <c r="CC534" s="38"/>
      <c r="CD534" s="38"/>
      <c r="CE534" s="38"/>
      <c r="CF534" s="38"/>
      <c r="CG534" s="38"/>
      <c r="CH534" s="38"/>
      <c r="CI534" s="38"/>
      <c r="CM534" s="1352"/>
      <c r="CN534" s="1352"/>
      <c r="CO534" s="1416"/>
      <c r="CP534" s="1418"/>
      <c r="CR534" s="1386"/>
      <c r="CS534" s="1355"/>
      <c r="CT534" s="1355"/>
      <c r="CU534" s="1355"/>
      <c r="CV534" s="1372"/>
      <c r="CW534" s="1372"/>
      <c r="CX534" s="1371"/>
      <c r="CY534" s="1486"/>
      <c r="CZ534" s="1486"/>
      <c r="DA534" s="1486"/>
      <c r="DC534" s="1355"/>
      <c r="DD534" s="1461"/>
      <c r="DE534" s="1355"/>
      <c r="DF534" s="1407"/>
      <c r="DG534" s="1372"/>
      <c r="DH534" s="1369"/>
      <c r="DJ534" s="1484"/>
      <c r="DL534" s="1419"/>
      <c r="DN534" s="1403"/>
      <c r="DO534" s="1405"/>
      <c r="DP534" s="1354"/>
      <c r="DQ534" s="1405"/>
      <c r="DR534" s="1403"/>
      <c r="DS534" s="1489"/>
      <c r="DU534" s="1403"/>
      <c r="DV534" s="1405"/>
      <c r="DW534" s="1403"/>
      <c r="DX534" s="1403"/>
      <c r="DZ534" s="1481"/>
      <c r="EA534" s="1481"/>
      <c r="EC534" s="1482"/>
      <c r="ED534" s="1369"/>
      <c r="EE534" s="1371"/>
      <c r="EF534" s="1369"/>
      <c r="EG534" s="1369"/>
      <c r="EH534" s="1374"/>
      <c r="EI534" s="1374"/>
      <c r="EJ534" s="1363"/>
      <c r="EK534" s="1376"/>
      <c r="EL534" s="1376"/>
      <c r="EM534" s="1362"/>
      <c r="EN534" s="1362"/>
      <c r="EO534" s="1363"/>
      <c r="EP534" s="1363"/>
      <c r="EQ534" s="1363"/>
      <c r="ES534" s="1403"/>
      <c r="EU534" s="1411"/>
      <c r="EV534" s="1411"/>
      <c r="EW534" s="1411"/>
      <c r="EX534" s="1411"/>
      <c r="EY534" s="1411"/>
      <c r="EZ534" s="1413"/>
      <c r="FB534" s="1365"/>
      <c r="FD534" s="1354"/>
      <c r="FE534" s="1354"/>
      <c r="FF534" s="138"/>
      <c r="FI534" s="1357"/>
      <c r="FJ534" s="1357"/>
      <c r="FK534" s="1365"/>
      <c r="FL534" s="1365"/>
      <c r="FM534" s="1365"/>
      <c r="FO534" s="1361"/>
      <c r="FP534" s="1361"/>
      <c r="FQ534" s="1366"/>
      <c r="FR534" s="1368"/>
      <c r="FS534" s="1361"/>
      <c r="FT534" s="1368"/>
      <c r="FU534" s="1360"/>
      <c r="FW534" s="1352"/>
      <c r="FX534" s="1352"/>
      <c r="FY534" s="1352"/>
      <c r="FZ534" s="1352"/>
      <c r="GA534" s="1352"/>
      <c r="GB534" s="1352"/>
      <c r="GC534" s="1352"/>
      <c r="GD534" s="1352"/>
      <c r="GE534" s="759"/>
      <c r="GF534" s="1035"/>
      <c r="GG534" s="1385"/>
      <c r="GI534" s="1384" t="b">
        <f>IF(AND(GL534=TRUE,GM534=TRUE),TRUE,FALSE)</f>
        <v>0</v>
      </c>
      <c r="GJ534" s="1379" t="b">
        <f>IFERROR(IF(__Retrofit_TI_NC=2,TRUE,IF(AR533="Yes",TRUE,FALSE)),FALSE)</f>
        <v>1</v>
      </c>
      <c r="GL534" s="1379" t="b">
        <f>IFERROR(IF(GL533=1,TRUE,FALSE),FALSE)</f>
        <v>0</v>
      </c>
      <c r="GM534" s="1379" t="b">
        <f>IFERROR(IF(GM533=GM$14,TRUE,FALSE),FALSE)</f>
        <v>0</v>
      </c>
      <c r="HC534" s="1379" t="b">
        <f>IFERROR(IF(M534=1,TRUE,FALSE),FALSE)</f>
        <v>0</v>
      </c>
      <c r="HD534" s="1379" t="b">
        <f>IFERROR(IF(M535=1,TRUE,FALSE),FALSE)</f>
        <v>0</v>
      </c>
      <c r="HE534" s="1379" t="b">
        <f>IFERROR(IF(__Retrofit_TI_NC&lt;&gt;0,TRUE,IFERROR(IF(VLOOKUP(U534,Fixtures_Existing_List,2,FALSE)&lt;&gt;"",TRUE,FALSE),FALSE)),FALSE)</f>
        <v>0</v>
      </c>
      <c r="HF534" s="1379" t="b">
        <f>IFERROR(IF(VLOOKUP(U535,Fixtures_Proposed_List,2,FALSE)&lt;&gt;"",TRUE,FALSE),FALSE)</f>
        <v>0</v>
      </c>
      <c r="HG534" s="1379" t="b">
        <f>IF(AND(__Retrofit_TI_NC=2,EZ533=TRUE),FALSE,TRUE)</f>
        <v>1</v>
      </c>
      <c r="HH534" s="1379" t="b">
        <f>GG533</f>
        <v>1</v>
      </c>
      <c r="HI534" s="1384" t="b">
        <f>IF(ISERROR(MATCH(FB533,_Control_Match[],0))=TRUE,FALSE,TRUE)</f>
        <v>0</v>
      </c>
      <c r="HJ534" s="1384" t="b">
        <f>IFERROR(IF(EU533&lt;&gt;EV533,FALSE,TRUE),FALSE)</f>
        <v>0</v>
      </c>
      <c r="HK534" s="1384" t="b">
        <f>IFERROR(IF(EU535&lt;&gt;EV535,FALSE,TRUE),FALSE)</f>
        <v>0</v>
      </c>
      <c r="HL534" s="1379" t="b">
        <f>IFERROR(IF(CN533="Exterior",TRUE,IF(OR(AND(FJ533=0,EW535&gt;4),AND(FJ533=4,EW535&gt;4,EW535&lt;7)),FALSE,TRUE)),FALSE)</f>
        <v>0</v>
      </c>
      <c r="HM534" s="1379" t="b">
        <f>IFERROR(IF(AND(FL535=7,EZ533=TRUE),FALSE,TRUE),FALSE)</f>
        <v>0</v>
      </c>
      <c r="HN534" s="1379" t="b">
        <f>IFERROR(IF(AND(T535&lt;&gt;AE535,AF535="Interior LLLC")=TRUE,FALSE,TRUE),FALSE)</f>
        <v>1</v>
      </c>
      <c r="HO534" s="1379" t="b">
        <f>IFERROR(IF(OR(AF535=Lookup!AU$13,AF535=Lookup!AU$14)=TRUE,IF(AE535&gt;T535,FALSE,TRUE),TRUE),FALSE)</f>
        <v>1</v>
      </c>
      <c r="HP534" s="1379" t="b">
        <f>IFERROR(IF(__Retrofit_TI_NC=2,IF(EW535&lt;EW533,FALSE,TRUE),TRUE),FALSE)</f>
        <v>1</v>
      </c>
      <c r="HQ534" s="1379" t="b">
        <f>IF(CN533="Interior",IG$6,TRUE)</f>
        <v>1</v>
      </c>
      <c r="HR534" s="1379" t="b">
        <f>IF(CN533="Exterior",IG$8,TRUE)</f>
        <v>1</v>
      </c>
      <c r="HS534" s="1379" t="b">
        <f>IFERROR(IF(__Retrofit_TI_NC&lt;&gt;0,IF(AW533&lt;AV533,FALSE,TRUE),TRUE),FALSE)</f>
        <v>1</v>
      </c>
      <c r="HT534" s="1379" t="b">
        <f>IFERROR(IF(AND(G534="Exterior",R534&gt;4200),FALSE,TRUE),FALSE)</f>
        <v>1</v>
      </c>
      <c r="HU534" s="1379" t="b">
        <f>IFERROR(IF(AB536/AB533&lt;HU$18,FALSE,TRUE),FALSE)</f>
        <v>0</v>
      </c>
      <c r="HW534" s="1382"/>
      <c r="HX534" s="1378"/>
      <c r="HY534" s="1377" t="str">
        <f>VLOOKUP(HW536,_Error_Table,4,FALSE)</f>
        <v>White</v>
      </c>
      <c r="HZ534" s="436"/>
      <c r="IA534" s="1386"/>
      <c r="IB534" s="1380"/>
      <c r="IC534" s="1379"/>
      <c r="IF534" s="1380"/>
      <c r="IG534" s="1382"/>
      <c r="IH534" s="1382"/>
      <c r="II534" s="1382"/>
      <c r="IK534" s="1351"/>
      <c r="IL534" s="1351"/>
      <c r="IM534" s="1351"/>
      <c r="IN534" s="1351"/>
      <c r="IO534" s="1351"/>
      <c r="IP534" s="1351"/>
    </row>
    <row r="535" spans="1:250" s="82" customFormat="1" ht="14.95" customHeight="1" thickTop="1" thickBot="1">
      <c r="A535" s="82">
        <f>ROW()</f>
        <v>535</v>
      </c>
      <c r="B535" s="1421"/>
      <c r="C535" s="1422"/>
      <c r="D535" s="1423"/>
      <c r="E535" s="1393" t="s">
        <v>245</v>
      </c>
      <c r="F535" s="1394"/>
      <c r="G535" s="1398"/>
      <c r="H535" s="1399"/>
      <c r="I535" s="1399"/>
      <c r="J535" s="1399"/>
      <c r="K535" s="1399"/>
      <c r="L535" s="1400"/>
      <c r="M535" s="509">
        <f>IFERROR(IF(IF(__Retrofit_TI_NC&lt;&gt;0,IF(CN533="Interior",MATCH(G535,Lookup_Interior_New,0),MATCH(G535,Lookup_Exterior_New,0)),IF(CN533="Interior",MATCH(G535,Lookup_Interior,0),MATCH(G535,Lookup_Exterior_Areas,0)))&gt;0,1,0),0)</f>
        <v>0</v>
      </c>
      <c r="N535" s="509" t="e">
        <f>IF(__Retrofit_TI_NC=1,
VLOOKUP(G535,'Space Table'!$B$3:$L$160,4,FALSE),
IF(__Retrofit_TI_NC=2,VLOOKUP(G535,'Space Table'!$B$3:$L$160,5,FALSE),VLOOKUP(G535,'Space Table'!$B$3:$L$160,5,FALSE)))</f>
        <v>#N/A</v>
      </c>
      <c r="O535" s="509">
        <f>G535</f>
        <v>0</v>
      </c>
      <c r="P535" s="1394" t="s">
        <v>355</v>
      </c>
      <c r="Q535" s="1394"/>
      <c r="R535" s="674"/>
      <c r="S535" s="1401" t="s">
        <v>284</v>
      </c>
      <c r="T535" s="672"/>
      <c r="U535" s="1499"/>
      <c r="V535" s="1500"/>
      <c r="W535" s="1500"/>
      <c r="X535" s="1500"/>
      <c r="Y535" s="1500"/>
      <c r="Z535" s="1500"/>
      <c r="AA535" s="1500"/>
      <c r="AB535" s="1501"/>
      <c r="AC535" s="1501"/>
      <c r="AD535" s="1502"/>
      <c r="AE535" s="672"/>
      <c r="AF535" s="1474"/>
      <c r="AG535" s="1474"/>
      <c r="AH535" s="1474"/>
      <c r="AI535" s="1474"/>
      <c r="AJ535" s="1475">
        <f>DF535</f>
        <v>0</v>
      </c>
      <c r="AK535" s="1470" t="str">
        <f>IFERROR(ROUND(AJ535*AC536,0),"")</f>
        <v/>
      </c>
      <c r="AL535" s="1472">
        <f>IFERROR(IF(HW533=FALSE,0,AC536-AK535),0)</f>
        <v>0</v>
      </c>
      <c r="AM535" s="1441"/>
      <c r="AN535" s="1442"/>
      <c r="AO535" s="1447"/>
      <c r="AP535" s="1447"/>
      <c r="AQ535" s="1448"/>
      <c r="AR535" s="1452"/>
      <c r="AS535" s="1455"/>
      <c r="AT535" s="1458"/>
      <c r="AU535" s="516"/>
      <c r="AV535" s="1479"/>
      <c r="AW535" s="1479"/>
      <c r="BC535" s="38"/>
      <c r="BD535" s="38"/>
      <c r="BE535" s="38"/>
      <c r="BF535" s="38"/>
      <c r="BG535" s="38"/>
      <c r="BH535" s="38"/>
      <c r="BI535" s="38"/>
      <c r="BJ535" s="38"/>
      <c r="BK535" s="38"/>
      <c r="BL535" s="38"/>
      <c r="BM535" s="38"/>
      <c r="BN535" s="38"/>
      <c r="BO535" s="38"/>
      <c r="BP535" s="38"/>
      <c r="BQ535" s="38"/>
      <c r="BR535" s="38"/>
      <c r="BS535" s="38"/>
      <c r="BT535" s="38"/>
      <c r="BU535" s="38"/>
      <c r="BV535" s="38"/>
      <c r="BW535" s="38"/>
      <c r="BX535" s="38"/>
      <c r="BY535" s="38"/>
      <c r="BZ535" s="38"/>
      <c r="CA535" s="38"/>
      <c r="CB535" s="38"/>
      <c r="CC535" s="38"/>
      <c r="CD535" s="38"/>
      <c r="CE535" s="38"/>
      <c r="CF535" s="38"/>
      <c r="CG535" s="38"/>
      <c r="CH535" s="38"/>
      <c r="CI535" s="38"/>
      <c r="CM535" s="1352"/>
      <c r="CN535" s="1352"/>
      <c r="CO535" s="1415" t="str">
        <f>CN533</f>
        <v/>
      </c>
      <c r="CP535" s="1417" t="e">
        <f>CP533</f>
        <v>#N/A</v>
      </c>
      <c r="CR535" s="1386" t="s">
        <v>284</v>
      </c>
      <c r="CS535" s="1353">
        <f>IF(HW533=TRUE,T535,0)</f>
        <v>0</v>
      </c>
      <c r="CT535" s="1353" t="str">
        <f>IF(HW533=TRUE,U535,"")</f>
        <v/>
      </c>
      <c r="CU535" s="1373">
        <f>IF(HW533=TRUE,U536,0)</f>
        <v>0</v>
      </c>
      <c r="CV535" s="1370">
        <f>IF(HW533=TRUE,AB536,0)</f>
        <v>0</v>
      </c>
      <c r="CW535" s="1370">
        <f>IF(HW533=TRUE,AC536,0)</f>
        <v>0</v>
      </c>
      <c r="CX535" s="1371"/>
      <c r="CY535" s="1486"/>
      <c r="CZ535" s="1486"/>
      <c r="DA535" s="1486"/>
      <c r="DC535" s="1353">
        <f>IF(HW533=TRUE,AE535,0)</f>
        <v>0</v>
      </c>
      <c r="DD535" s="1353" t="str">
        <f>IF(HW533=TRUE,AF535,"")</f>
        <v/>
      </c>
      <c r="DE535" s="1373">
        <f>AF536</f>
        <v>0</v>
      </c>
      <c r="DF535" s="1406">
        <f>IFERROR(IF(FL535=3,IK535,IF(FL535=4,IL535,IF(FL535=5,IM535,IF(FL535=6,IN535,IF(FL535=7,IO535,IF(FL535=8,IP535,0)))))),0)</f>
        <v>0</v>
      </c>
      <c r="DG535" s="1370">
        <f>IF(HW533=TRUE,AK535,0)</f>
        <v>0</v>
      </c>
      <c r="DH535" s="1369"/>
      <c r="DK535" s="1483">
        <f>IFERROR(CW535-DG535,0)</f>
        <v>0</v>
      </c>
      <c r="DL535" s="1420"/>
      <c r="DN535" s="1403"/>
      <c r="DO535" s="1477" t="str">
        <f>DN533</f>
        <v/>
      </c>
      <c r="DP535" s="1354"/>
      <c r="DQ535" s="1477" t="str">
        <f>IF(DP533=7,"LLLC","")</f>
        <v/>
      </c>
      <c r="DR535" s="1403"/>
      <c r="DS535" s="1489"/>
      <c r="DU535" s="1403"/>
      <c r="DV535" s="1404" t="str">
        <f>DU533</f>
        <v/>
      </c>
      <c r="DW535" s="1403"/>
      <c r="DX535" s="1403"/>
      <c r="DZ535" s="1481"/>
      <c r="EA535" s="1481"/>
      <c r="EC535" s="1482"/>
      <c r="ED535" s="1369"/>
      <c r="EE535" s="1371"/>
      <c r="EF535" s="1369"/>
      <c r="EG535" s="1369"/>
      <c r="EH535" s="1374"/>
      <c r="EI535" s="1374"/>
      <c r="EJ535" s="1363"/>
      <c r="EK535" s="1376"/>
      <c r="EL535" s="1376"/>
      <c r="EM535" s="1362"/>
      <c r="EN535" s="1362"/>
      <c r="EO535" s="1363"/>
      <c r="EP535" s="1363"/>
      <c r="EQ535" s="1363"/>
      <c r="ES535" s="1403"/>
      <c r="EU535" s="1411" t="e">
        <f>VLOOKUP(CP535,'Space Table'!$B$3:$L$160,8,FALSE)</f>
        <v>#N/A</v>
      </c>
      <c r="EV535" s="1411" t="e">
        <f>IF(EY535="Yes",VLOOKUP(AF535,Lookup_Control_Type_Table2,4,FALSE),VLOOKUP(AF535,Lookup_Control_Type_Table2,3,FALSE))</f>
        <v>#N/A</v>
      </c>
      <c r="EW535" s="1411" t="e">
        <f>VLOOKUP(AF535,Lookup!AU$3:AV$15,2,FALSE)</f>
        <v>#N/A</v>
      </c>
      <c r="EX535" s="1411" t="e">
        <f>VLOOKUP(EU533,Lookup_Control_Type_Table,2,FALSE)</f>
        <v>#N/A</v>
      </c>
      <c r="EY535" s="1411" t="e">
        <f>VLOOKUP(CP535,'Space Table'!$B$3:$L$160,7,FALSE)</f>
        <v>#N/A</v>
      </c>
      <c r="EZ535" s="1413"/>
      <c r="FB535" s="1365" t="str">
        <f>CONCATENATE(CN533," - ",AF535)</f>
        <v xml:space="preserve"> - </v>
      </c>
      <c r="FD535" s="1354"/>
      <c r="FE535" s="1354"/>
      <c r="FF535" s="138"/>
      <c r="FI535" s="1356" t="str">
        <f>IF(CN533="Exterior","Not Daylighted",G536)</f>
        <v>Not Daylighted</v>
      </c>
      <c r="FJ535" s="1356">
        <f>VLOOKUP(FI535,_Daylight_Table_Codes,2,FALSE)</f>
        <v>0</v>
      </c>
      <c r="FK535" s="1365">
        <f>AF535</f>
        <v>0</v>
      </c>
      <c r="FL535" s="1365" t="e">
        <f>VLOOKUP(FK535,_Control_Table,2,FALSE)</f>
        <v>#N/A</v>
      </c>
      <c r="FM535" s="1365" t="e">
        <f>IF(AND(FP535&gt;0,FK535="Occupancy Sensor"),"Daylight + Occupancy",IF(AND(FP535&gt;0,FL535&lt;4),"Interior Daylight Dimming",FK535))</f>
        <v>#N/A</v>
      </c>
      <c r="FO535" s="1364">
        <f>IF(CN533="Interior",VLOOKUP(CP533,Control_Savings_Interior,5,FALSE),0)</f>
        <v>0</v>
      </c>
      <c r="FP535" s="1361">
        <f>IF(CN535="Exterior",0,IF(FJ535=2,0.5,IF(OR(FJ535=1,FJ535=3),1,0)))</f>
        <v>0</v>
      </c>
      <c r="FQ535" s="1366">
        <f>IF(R534&gt;FO$37,(FO535*(FO$37/R534)),FO535)*FP535</f>
        <v>0</v>
      </c>
      <c r="FR535" s="1364">
        <f>DF535</f>
        <v>0</v>
      </c>
      <c r="FS535" s="1364">
        <f>ROUND(FR535+((1-FR535)*FQ535),2)</f>
        <v>0</v>
      </c>
      <c r="FT535" s="1364">
        <f>IF(__Retrofit_TI_NC=2,FS535,FR535)</f>
        <v>0</v>
      </c>
      <c r="FU535" s="1360">
        <f>IF(CO535="Interior",VLOOKUP(CP535,Control_Savings_Interior,4,FALSE),0)</f>
        <v>0</v>
      </c>
      <c r="FW535" s="1352"/>
      <c r="FX535" s="1352"/>
      <c r="FY535" s="1352"/>
      <c r="FZ535" s="1352"/>
      <c r="GA535" s="1352"/>
      <c r="GB535" s="1352"/>
      <c r="GC535" s="1352"/>
      <c r="GD535" s="1352"/>
      <c r="GE535" s="759" t="b">
        <f>IF(ISNUMBER(SEARCH("TLED",U535)),TRUE,FALSE)</f>
        <v>0</v>
      </c>
      <c r="GF535" s="1035" t="str">
        <f>IFERROR(VLOOKUP(U535,Fixtures!DM$93:DR$142,6,FALSE),"")</f>
        <v/>
      </c>
      <c r="GG535" s="1385"/>
      <c r="GI535" s="1383"/>
      <c r="GJ535" s="1379"/>
      <c r="GL535" s="1379"/>
      <c r="GM535" s="1379"/>
      <c r="HC535" s="1379"/>
      <c r="HD535" s="1379"/>
      <c r="HE535" s="1379"/>
      <c r="HF535" s="1379"/>
      <c r="HG535" s="1379"/>
      <c r="HH535" s="1379"/>
      <c r="HI535" s="1383"/>
      <c r="HJ535" s="1383"/>
      <c r="HK535" s="1383"/>
      <c r="HL535" s="1379"/>
      <c r="HM535" s="1379"/>
      <c r="HN535" s="1379"/>
      <c r="HO535" s="1379"/>
      <c r="HP535" s="1379"/>
      <c r="HQ535" s="1379"/>
      <c r="HR535" s="1379"/>
      <c r="HS535" s="1379"/>
      <c r="HT535" s="1379"/>
      <c r="HU535" s="1379"/>
      <c r="HW535" s="1383"/>
      <c r="HX535" s="1384" t="b">
        <f>HW533</f>
        <v>0</v>
      </c>
      <c r="HY535" s="1378"/>
      <c r="HZ535" s="436"/>
      <c r="IA535" s="1386"/>
      <c r="IB535" s="1380">
        <f>IF(IA533=TRUE,AC536,0)</f>
        <v>0</v>
      </c>
      <c r="IC535" s="1379"/>
      <c r="IF535" s="1380" t="e">
        <f>ROUND(T535*AB536*N534*R534/1000,0)</f>
        <v>#VALUE!</v>
      </c>
      <c r="IG535" s="1382"/>
      <c r="IH535" s="1384" t="e">
        <f>ROUND(T535*AB536*N534*R534/1000,0)</f>
        <v>#VALUE!</v>
      </c>
      <c r="II535" s="1382"/>
      <c r="IK535" s="1351" t="e">
        <f>IF($CO535="interior",IL535/2,VLOOKUP($CP535,Control_Savings_Exterior,IK$30,FALSE))</f>
        <v>#N/A</v>
      </c>
      <c r="IL535" s="1351" t="e">
        <f>IF($CO535="interior",VLOOKUP($CP535,Control_Savings_Interior,IL$30,FALSE),VLOOKUP($CP535,Control_Savings_Exterior,IL$30,FALSE))</f>
        <v>#N/A</v>
      </c>
      <c r="IM535" s="1351" t="e">
        <f>IF($CO535="interior",IF(R534&gt;FO$37,(IM$28*(FO$37/R534)),IM$28)*FP535,VLOOKUP($CP535,Control_Savings_Exterior,IM$30,FALSE))</f>
        <v>#N/A</v>
      </c>
      <c r="IN535" s="1351" t="e">
        <f>IF($CO535="interior",ROUND(((1-IL535)*IM535)+IL535,2),VLOOKUP($CP535,Control_Savings_Exterior,IN$30,FALSE))</f>
        <v>#N/A</v>
      </c>
      <c r="IO535" s="1351" t="e">
        <f>IF($CO535="interior", ROUND(((1-IL535)*(IM535*(1-IP$28)))+IP535,2), VLOOKUP($CP535,Control_Savings_Exterior,IO$30,FALSE))</f>
        <v>#N/A</v>
      </c>
      <c r="IP535" s="1351">
        <f>IF($CO535="interior",ROUND(((1-IL535)*IP$28)+IL535,2),0)</f>
        <v>0</v>
      </c>
    </row>
    <row r="536" spans="1:250" s="82" customFormat="1" ht="14.95" customHeight="1" thickTop="1" thickBot="1">
      <c r="B536" s="1421"/>
      <c r="C536" s="1422"/>
      <c r="D536" s="1423"/>
      <c r="E536" s="1462" t="s">
        <v>357</v>
      </c>
      <c r="F536" s="1463"/>
      <c r="G536" s="1464" t="s">
        <v>362</v>
      </c>
      <c r="H536" s="1465"/>
      <c r="I536" s="1465"/>
      <c r="J536" s="1465"/>
      <c r="K536" s="1465"/>
      <c r="L536" s="1466"/>
      <c r="M536" s="669">
        <f>IFERROR(VLOOKUP(G536,_Daylight_Table[],2,FALSE),0)</f>
        <v>0</v>
      </c>
      <c r="N536" s="670"/>
      <c r="O536" s="669" t="e">
        <f>VLOOKUP(G535,'Space Table'!$B$3:$L$160,11,FALSE)</f>
        <v>#N/A</v>
      </c>
      <c r="P536" s="1408"/>
      <c r="Q536" s="1409"/>
      <c r="R536" s="1409"/>
      <c r="S536" s="1402"/>
      <c r="T536" s="671" t="s">
        <v>281</v>
      </c>
      <c r="U536" s="1467" t="str">
        <f>IFERROR(VLOOKUP(U535,Fixtures!DM$93:DP$142,4,FALSE),"")</f>
        <v/>
      </c>
      <c r="V536" s="1468"/>
      <c r="W536" s="1468"/>
      <c r="X536" s="1468"/>
      <c r="Y536" s="1468"/>
      <c r="Z536" s="1468"/>
      <c r="AA536" s="1468"/>
      <c r="AB536" s="1046" t="str">
        <f>IFERROR(VLOOKUP(U535,Fixtures_Proposed_List,2,FALSE),"")</f>
        <v/>
      </c>
      <c r="AC536" s="1036" t="str">
        <f>IFERROR(ROUND(T535*AB536*N534*R534/1000,0),"")</f>
        <v/>
      </c>
      <c r="AD536" s="1037" t="str">
        <f>IFERROR(ROUND(T535*AB536/1000,2),"")</f>
        <v/>
      </c>
      <c r="AE536" s="1045" t="s">
        <v>281</v>
      </c>
      <c r="AF536" s="1469"/>
      <c r="AG536" s="1469"/>
      <c r="AH536" s="1469"/>
      <c r="AI536" s="1469"/>
      <c r="AJ536" s="1476"/>
      <c r="AK536" s="1471"/>
      <c r="AL536" s="1473"/>
      <c r="AM536" s="1443"/>
      <c r="AN536" s="1444"/>
      <c r="AO536" s="1449"/>
      <c r="AP536" s="1449"/>
      <c r="AQ536" s="1450"/>
      <c r="AR536" s="1453"/>
      <c r="AS536" s="1456"/>
      <c r="AT536" s="1459"/>
      <c r="AU536" s="517"/>
      <c r="AV536" s="1480"/>
      <c r="AW536" s="1480"/>
      <c r="BC536" s="38"/>
      <c r="BD536" s="38"/>
      <c r="BE536" s="38"/>
      <c r="BF536" s="38"/>
      <c r="BG536" s="38"/>
      <c r="BH536" s="38"/>
      <c r="BI536" s="38"/>
      <c r="BJ536" s="38"/>
      <c r="BK536" s="38"/>
      <c r="BL536" s="38"/>
      <c r="BM536" s="38"/>
      <c r="BN536" s="38"/>
      <c r="BO536" s="38"/>
      <c r="BP536" s="38"/>
      <c r="BQ536" s="38"/>
      <c r="BR536" s="38"/>
      <c r="BS536" s="38"/>
      <c r="BT536" s="38"/>
      <c r="BU536" s="38"/>
      <c r="BV536" s="38"/>
      <c r="BW536" s="38"/>
      <c r="BX536" s="38"/>
      <c r="BY536" s="38"/>
      <c r="BZ536" s="38"/>
      <c r="CA536" s="38"/>
      <c r="CB536" s="38"/>
      <c r="CC536" s="38"/>
      <c r="CD536" s="38"/>
      <c r="CE536" s="38"/>
      <c r="CF536" s="38"/>
      <c r="CG536" s="38"/>
      <c r="CH536" s="38"/>
      <c r="CI536" s="38"/>
      <c r="CM536" s="1352"/>
      <c r="CN536" s="1352"/>
      <c r="CO536" s="1416"/>
      <c r="CP536" s="1418"/>
      <c r="CR536" s="1386"/>
      <c r="CS536" s="1355"/>
      <c r="CT536" s="1355"/>
      <c r="CU536" s="1375"/>
      <c r="CV536" s="1372"/>
      <c r="CW536" s="1372"/>
      <c r="CX536" s="1372"/>
      <c r="CY536" s="1487"/>
      <c r="CZ536" s="1487"/>
      <c r="DA536" s="1487"/>
      <c r="DC536" s="1355"/>
      <c r="DD536" s="1355"/>
      <c r="DE536" s="1375"/>
      <c r="DF536" s="1407"/>
      <c r="DG536" s="1372"/>
      <c r="DH536" s="1369"/>
      <c r="DK536" s="1484"/>
      <c r="DL536" s="1420"/>
      <c r="DN536" s="1403"/>
      <c r="DO536" s="1405"/>
      <c r="DP536" s="1355"/>
      <c r="DQ536" s="1405"/>
      <c r="DR536" s="1403"/>
      <c r="DS536" s="1489"/>
      <c r="DU536" s="1403"/>
      <c r="DV536" s="1405"/>
      <c r="DW536" s="1403"/>
      <c r="DX536" s="1403"/>
      <c r="DZ536" s="1481"/>
      <c r="EA536" s="1481"/>
      <c r="EC536" s="1482"/>
      <c r="ED536" s="1369"/>
      <c r="EE536" s="1372"/>
      <c r="EF536" s="1369"/>
      <c r="EG536" s="1369"/>
      <c r="EH536" s="1375"/>
      <c r="EI536" s="1375"/>
      <c r="EJ536" s="1363"/>
      <c r="EK536" s="1376"/>
      <c r="EL536" s="1376"/>
      <c r="EM536" s="1362"/>
      <c r="EN536" s="1362"/>
      <c r="EO536" s="1363"/>
      <c r="EP536" s="1363"/>
      <c r="EQ536" s="1363"/>
      <c r="ES536" s="1403"/>
      <c r="EU536" s="1488"/>
      <c r="EV536" s="1488"/>
      <c r="EW536" s="1488"/>
      <c r="EX536" s="1488"/>
      <c r="EY536" s="1488"/>
      <c r="EZ536" s="1414"/>
      <c r="FB536" s="1365"/>
      <c r="FD536" s="1355"/>
      <c r="FE536" s="1355"/>
      <c r="FF536" s="138"/>
      <c r="FI536" s="1357"/>
      <c r="FJ536" s="1357"/>
      <c r="FK536" s="1365"/>
      <c r="FL536" s="1365"/>
      <c r="FM536" s="1365"/>
      <c r="FO536" s="1361"/>
      <c r="FP536" s="1361"/>
      <c r="FQ536" s="1366"/>
      <c r="FR536" s="1361"/>
      <c r="FS536" s="1361"/>
      <c r="FT536" s="1361"/>
      <c r="FU536" s="1360"/>
      <c r="FW536" s="1352"/>
      <c r="FX536" s="1352"/>
      <c r="FY536" s="1352"/>
      <c r="FZ536" s="1352"/>
      <c r="GA536" s="1352"/>
      <c r="GB536" s="1352"/>
      <c r="GC536" s="1352"/>
      <c r="GD536" s="1352"/>
      <c r="GE536" s="759"/>
      <c r="GF536" s="1035"/>
      <c r="GG536" s="1385"/>
      <c r="GJ536" s="1034">
        <f>IF(GJ534=TRUE,0,GJ$16)</f>
        <v>0</v>
      </c>
      <c r="GL536" s="1034">
        <f>IF(GL534=TRUE,0,GL$16)</f>
        <v>36</v>
      </c>
      <c r="GM536" s="1034">
        <f>IF(GM534=TRUE,0,GM$16)</f>
        <v>35</v>
      </c>
      <c r="GN536" s="436"/>
      <c r="GO536" s="436"/>
      <c r="GP536" s="436"/>
      <c r="GQ536" s="436"/>
      <c r="GR536" s="436"/>
      <c r="HC536" s="1034">
        <f t="shared" ref="HC536:HH536" si="394">IF(HC534=TRUE,0,HC$16)</f>
        <v>19</v>
      </c>
      <c r="HD536" s="1034">
        <f t="shared" si="394"/>
        <v>18</v>
      </c>
      <c r="HE536" s="1034">
        <f t="shared" si="394"/>
        <v>17</v>
      </c>
      <c r="HF536" s="1034">
        <f t="shared" si="394"/>
        <v>16</v>
      </c>
      <c r="HG536" s="1034">
        <f t="shared" si="394"/>
        <v>0</v>
      </c>
      <c r="HH536" s="1034">
        <f t="shared" si="394"/>
        <v>0</v>
      </c>
      <c r="HI536" s="1034">
        <f>IF(HI534=TRUE,0,HI$16)</f>
        <v>13</v>
      </c>
      <c r="HJ536" s="1034">
        <f t="shared" ref="HJ536:HL536" si="395">IF(HJ534=TRUE,0,HJ$16)</f>
        <v>12</v>
      </c>
      <c r="HK536" s="1034">
        <f t="shared" si="395"/>
        <v>11</v>
      </c>
      <c r="HL536" s="1034">
        <f t="shared" si="395"/>
        <v>10</v>
      </c>
      <c r="HM536" s="1034">
        <f>IF(HM534=TRUE,0,HM$16)</f>
        <v>9</v>
      </c>
      <c r="HN536" s="1034">
        <f t="shared" ref="HN536:HR536" si="396">IF(HN534=TRUE,0,HN$16)</f>
        <v>0</v>
      </c>
      <c r="HO536" s="1034">
        <f t="shared" si="396"/>
        <v>0</v>
      </c>
      <c r="HP536" s="1034">
        <f t="shared" si="396"/>
        <v>0</v>
      </c>
      <c r="HQ536" s="1034">
        <f t="shared" si="396"/>
        <v>0</v>
      </c>
      <c r="HR536" s="1034">
        <f t="shared" si="396"/>
        <v>0</v>
      </c>
      <c r="HS536" s="1034">
        <f>IF(HS534=TRUE,0,HS$16)</f>
        <v>0</v>
      </c>
      <c r="HT536" s="1034">
        <f t="shared" ref="HT536" si="397">IF(HT534=TRUE,0,HT$16)</f>
        <v>0</v>
      </c>
      <c r="HU536" s="1034">
        <f>IF(HU534=TRUE,0,HU$16)</f>
        <v>1</v>
      </c>
      <c r="HW536" s="1034">
        <f>IF(GL534=FALSE,GL536,IF(GM534=FALSE,GM536,MAX(GJ536:HU536)))</f>
        <v>36</v>
      </c>
      <c r="HX536" s="1383"/>
      <c r="HY536" s="241" t="str">
        <f>VLOOKUP(HW536,_Error_Table,3,FALSE)</f>
        <v xml:space="preserve"> </v>
      </c>
      <c r="HZ536" s="241"/>
      <c r="IA536" s="1386"/>
      <c r="IB536" s="1380"/>
      <c r="IC536" s="1379"/>
      <c r="IF536" s="1380"/>
      <c r="IG536" s="1383"/>
      <c r="IH536" s="1383"/>
      <c r="II536" s="1383"/>
      <c r="IK536" s="1351"/>
      <c r="IL536" s="1351"/>
      <c r="IM536" s="1351"/>
      <c r="IN536" s="1351"/>
      <c r="IO536" s="1351"/>
      <c r="IP536" s="1351"/>
    </row>
    <row r="537" spans="1:250" s="82" customFormat="1" ht="5.0999999999999996" customHeight="1" thickBot="1">
      <c r="B537" s="763"/>
      <c r="C537" s="1038"/>
      <c r="D537" s="1038"/>
      <c r="E537" s="1490"/>
      <c r="F537" s="1490"/>
      <c r="G537" s="1490"/>
      <c r="H537" s="1490"/>
      <c r="I537" s="1490"/>
      <c r="J537" s="1490"/>
      <c r="K537" s="1490"/>
      <c r="L537" s="1490"/>
      <c r="M537" s="1490"/>
      <c r="N537" s="1490"/>
      <c r="O537" s="1490"/>
      <c r="P537" s="1490"/>
      <c r="Q537" s="1490"/>
      <c r="R537" s="1490"/>
      <c r="S537" s="1490"/>
      <c r="T537" s="1490"/>
      <c r="U537" s="1490"/>
      <c r="V537" s="1490"/>
      <c r="W537" s="1490"/>
      <c r="X537" s="1490"/>
      <c r="Y537" s="1490"/>
      <c r="Z537" s="1490"/>
      <c r="AA537" s="1490"/>
      <c r="AB537" s="1490"/>
      <c r="AC537" s="1490"/>
      <c r="AD537" s="1490"/>
      <c r="AE537" s="1490"/>
      <c r="AF537" s="1490"/>
      <c r="AG537" s="1490"/>
      <c r="AH537" s="1490"/>
      <c r="AI537" s="1490"/>
      <c r="AJ537" s="1490"/>
      <c r="AK537" s="1490"/>
      <c r="AL537" s="1490"/>
      <c r="AM537" s="1490"/>
      <c r="AN537" s="1490"/>
      <c r="AO537" s="1490"/>
      <c r="AP537" s="1490"/>
      <c r="AQ537" s="1490"/>
      <c r="AR537" s="1490"/>
      <c r="AS537" s="1490"/>
      <c r="AT537" s="1490"/>
      <c r="AU537" s="1041"/>
      <c r="BC537" s="38"/>
      <c r="BD537" s="38"/>
      <c r="BE537" s="38"/>
      <c r="BF537" s="38"/>
      <c r="BG537" s="38"/>
      <c r="BH537" s="38"/>
      <c r="BI537" s="38"/>
      <c r="BJ537" s="38"/>
      <c r="BK537" s="38"/>
      <c r="BL537" s="38"/>
      <c r="BM537" s="38"/>
      <c r="BN537" s="38"/>
      <c r="BO537" s="38"/>
      <c r="BP537" s="38"/>
      <c r="BQ537" s="38"/>
      <c r="BR537" s="38"/>
      <c r="BS537" s="38"/>
      <c r="BT537" s="38"/>
      <c r="BU537" s="38"/>
      <c r="BV537" s="38"/>
      <c r="BW537" s="38"/>
      <c r="BX537" s="38"/>
      <c r="BY537" s="38"/>
      <c r="BZ537" s="38"/>
      <c r="CA537" s="38"/>
      <c r="CB537" s="38"/>
      <c r="CC537" s="38"/>
      <c r="CD537" s="38"/>
      <c r="CE537" s="38"/>
      <c r="CF537" s="38"/>
      <c r="CG537" s="38"/>
      <c r="CH537" s="38"/>
      <c r="CI537" s="38"/>
      <c r="CM537" s="749"/>
      <c r="CN537" s="749"/>
      <c r="CO537" s="1043"/>
      <c r="CP537" s="749"/>
      <c r="CS537" s="436"/>
      <c r="CT537" s="436"/>
      <c r="CU537" s="243"/>
      <c r="CV537" s="244"/>
      <c r="CW537" s="244"/>
      <c r="CX537" s="244"/>
      <c r="CY537" s="245"/>
      <c r="CZ537" s="245"/>
      <c r="DA537" s="245"/>
      <c r="DC537" s="750"/>
      <c r="DD537" s="751"/>
      <c r="DE537" s="752"/>
      <c r="DF537" s="753"/>
      <c r="DG537" s="754"/>
      <c r="DH537" s="754"/>
      <c r="DK537" s="244"/>
      <c r="DL537" s="750"/>
      <c r="DN537" s="750"/>
      <c r="DO537" s="755"/>
      <c r="DP537" s="436"/>
      <c r="DQ537" s="750"/>
      <c r="DR537" s="750"/>
      <c r="DS537" s="750"/>
      <c r="DU537" s="750"/>
      <c r="DV537" s="750"/>
      <c r="DW537" s="750"/>
      <c r="DX537" s="750"/>
      <c r="DZ537" s="756"/>
      <c r="EA537" s="756"/>
      <c r="EC537" s="754"/>
      <c r="ED537" s="754"/>
      <c r="EE537" s="244"/>
      <c r="EF537" s="754"/>
      <c r="EG537" s="754"/>
      <c r="EH537" s="243"/>
      <c r="EI537" s="243"/>
      <c r="EJ537" s="752"/>
      <c r="EK537" s="757"/>
      <c r="EL537" s="757"/>
      <c r="EM537" s="758"/>
      <c r="EN537" s="758"/>
      <c r="EO537" s="752"/>
      <c r="EP537" s="752"/>
      <c r="EQ537" s="752"/>
      <c r="ES537" s="750"/>
      <c r="EU537" s="436"/>
      <c r="EV537" s="436"/>
      <c r="EW537" s="436"/>
      <c r="EX537" s="436"/>
      <c r="EY537" s="436"/>
      <c r="EZ537" s="436"/>
      <c r="FB537" s="643"/>
      <c r="FD537" s="436"/>
      <c r="FE537" s="436"/>
      <c r="FF537" s="436"/>
      <c r="FO537" s="750"/>
      <c r="FP537" s="436"/>
      <c r="FQ537" s="436"/>
      <c r="FR537" s="750"/>
      <c r="FS537" s="750"/>
      <c r="FW537" s="749"/>
      <c r="FX537" s="749"/>
      <c r="FY537" s="749"/>
      <c r="FZ537" s="749"/>
      <c r="GA537" s="749"/>
      <c r="GB537" s="749"/>
      <c r="GC537" s="749"/>
      <c r="GD537" s="749"/>
      <c r="GE537" s="751"/>
      <c r="GF537" s="750"/>
      <c r="GG537" s="750"/>
    </row>
    <row r="538" spans="1:250" s="82" customFormat="1" ht="14.95" customHeight="1" thickTop="1" thickBot="1">
      <c r="B538" s="1421" t="str">
        <f>HY541</f>
        <v xml:space="preserve"> </v>
      </c>
      <c r="C538" s="1422">
        <f>C533+1</f>
        <v>97</v>
      </c>
      <c r="D538" s="1423"/>
      <c r="E538" s="1424" t="s">
        <v>242</v>
      </c>
      <c r="F538" s="1425"/>
      <c r="G538" s="1426"/>
      <c r="H538" s="1427"/>
      <c r="I538" s="1427"/>
      <c r="J538" s="1427"/>
      <c r="K538" s="1427"/>
      <c r="L538" s="1427"/>
      <c r="M538" s="1427"/>
      <c r="N538" s="1427"/>
      <c r="O538" s="1427"/>
      <c r="P538" s="1427"/>
      <c r="Q538" s="1427"/>
      <c r="R538" s="1427"/>
      <c r="S538" s="1428" t="s">
        <v>283</v>
      </c>
      <c r="T538" s="668" t="s">
        <v>190</v>
      </c>
      <c r="U538" s="1430" t="s">
        <v>186</v>
      </c>
      <c r="V538" s="1431"/>
      <c r="W538" s="1431"/>
      <c r="X538" s="1431"/>
      <c r="Y538" s="1431"/>
      <c r="Z538" s="1431"/>
      <c r="AA538" s="1431"/>
      <c r="AB538" s="1088" t="str">
        <f>IFERROR(IF(__Retrofit_TI_NC=0,VLOOKUP(U539,Fixtures_Existing_List,2,FALSE),ROUND(N540*R540/T540,10)),"")</f>
        <v/>
      </c>
      <c r="AC538" s="1039" t="str">
        <f>IFERROR(IF(__Retrofit_TI_NC=0,ROUND(T539*AB538*N539*R539/1000,0),IF(CN538="Interior",N540*R540*R539*N539*_C406_reduction/1000,N540*R540*R539*N539/1000)),"")</f>
        <v/>
      </c>
      <c r="AD538" s="1040" t="str">
        <f>IFERROR(IF(C$36=0,ROUND(T539*AB538/1000,2),N540*R540/1000),"")</f>
        <v/>
      </c>
      <c r="AE538" s="1044" t="s">
        <v>190</v>
      </c>
      <c r="AF538" s="1432" t="str">
        <f>IF(__Retrofit_TI_NC=2,CONCATENATE("Code min = ",DD538),IF(__Retrofit_TI_NC=1,"Emter what you think the existing control was"," Control"))</f>
        <v xml:space="preserve"> Control</v>
      </c>
      <c r="AG538" s="1432"/>
      <c r="AH538" s="1432"/>
      <c r="AI538" s="1432"/>
      <c r="AJ538" s="1433">
        <f>DF538</f>
        <v>0</v>
      </c>
      <c r="AK538" s="1435" t="str">
        <f>IFERROR(ROUND(AJ538*AC538,0),"")</f>
        <v/>
      </c>
      <c r="AL538" s="1437">
        <f>IFERROR(IF(HW538=FALSE,0,AC538-AK538),0)</f>
        <v>0</v>
      </c>
      <c r="AM538" s="1439">
        <f>AL538-AL540</f>
        <v>0</v>
      </c>
      <c r="AN538" s="1440"/>
      <c r="AO538" s="1445">
        <f>IFERROR(IF(HW538=FALSE,0,(T540*U541)+(AE540*AF541)),0)</f>
        <v>0</v>
      </c>
      <c r="AP538" s="1445"/>
      <c r="AQ538" s="1446"/>
      <c r="AR538" s="1451" t="s">
        <v>157</v>
      </c>
      <c r="AS538" s="1454">
        <f>IF(AR538="Yes",1,0)</f>
        <v>1</v>
      </c>
      <c r="AT538" s="1457" t="str">
        <f>IF(OR(DN538=4,DN538=5,DN538=6,DN538=12),CONCATENATE("$",IF(GD538=TRUE,Lookup!$B$11,Lookup!$B$2)," /lamp"),CONCATENATE(EA538,"/ kWh"))</f>
        <v>0/ kWh</v>
      </c>
      <c r="AU538" s="516"/>
      <c r="AV538" s="1478">
        <f>IFERROR(IF(GI539=TRUE,(AB541*T540)/R540,0),"NA")</f>
        <v>0</v>
      </c>
      <c r="AW538" s="1478" t="str">
        <f>IFERROR(N540*_C406_reduction,"NA")</f>
        <v>NA</v>
      </c>
      <c r="BC538" s="38"/>
      <c r="BD538" s="38"/>
      <c r="BE538" s="38"/>
      <c r="BF538" s="38"/>
      <c r="BG538" s="38"/>
      <c r="BH538" s="38"/>
      <c r="BI538" s="38"/>
      <c r="BJ538" s="38"/>
      <c r="BK538" s="38"/>
      <c r="BL538" s="38"/>
      <c r="BM538" s="38"/>
      <c r="BN538" s="38"/>
      <c r="BO538" s="38"/>
      <c r="BP538" s="38"/>
      <c r="BQ538" s="38"/>
      <c r="BR538" s="38"/>
      <c r="BS538" s="38"/>
      <c r="BT538" s="38"/>
      <c r="BU538" s="38"/>
      <c r="BV538" s="38"/>
      <c r="BW538" s="38"/>
      <c r="BX538" s="38"/>
      <c r="BY538" s="38"/>
      <c r="BZ538" s="38"/>
      <c r="CA538" s="38"/>
      <c r="CB538" s="38"/>
      <c r="CC538" s="38"/>
      <c r="CD538" s="38"/>
      <c r="CE538" s="38"/>
      <c r="CF538" s="38"/>
      <c r="CG538" s="38"/>
      <c r="CH538" s="38"/>
      <c r="CI538" s="38"/>
      <c r="CM538" s="1352" t="str">
        <f>N539</f>
        <v/>
      </c>
      <c r="CN538" s="1352" t="str">
        <f>IFERROR(VLOOKUP(G539,_Lookup_Heat_Type_Table_New,3,FALSE),"")</f>
        <v/>
      </c>
      <c r="CO538" s="1415" t="str">
        <f>CN538</f>
        <v/>
      </c>
      <c r="CP538" s="1417" t="e">
        <f>VLOOKUP(G540,'Space Table'!$B$3:$L$160,9,FALSE)</f>
        <v>#N/A</v>
      </c>
      <c r="CR538" s="1386" t="s">
        <v>283</v>
      </c>
      <c r="CS538" s="1353">
        <f>IF(HW538=TRUE,T539,0)</f>
        <v>0</v>
      </c>
      <c r="CT538" s="1353" t="str">
        <f>IF(HW538=TRUE,U539,"")</f>
        <v/>
      </c>
      <c r="CU538" s="1353"/>
      <c r="CV538" s="1370">
        <f>IF(HW538=TRUE,AB538,0)</f>
        <v>0</v>
      </c>
      <c r="CW538" s="1370">
        <f>IF(HW538=TRUE,AC538,0)</f>
        <v>0</v>
      </c>
      <c r="CX538" s="1370">
        <f>IFERROR(IF(HW538=TRUE,CW538-CW540,0),0)</f>
        <v>0</v>
      </c>
      <c r="CY538" s="1485">
        <f>IF(HW538=TRUE,AD538,0)</f>
        <v>0</v>
      </c>
      <c r="CZ538" s="1485">
        <f>IF(HW538=TRUE,AD541,0)</f>
        <v>0</v>
      </c>
      <c r="DA538" s="1485">
        <f>IFERROR(CY538-CZ538,0)</f>
        <v>0</v>
      </c>
      <c r="DC538" s="1353">
        <f>IF(HW538=TRUE,AE539,0)</f>
        <v>0</v>
      </c>
      <c r="DD538" s="1460">
        <f>IF(__Retrofit_TI_NC=2,IF(CN538="Exterior",O541,FM538),FK538)</f>
        <v>0</v>
      </c>
      <c r="DE538" s="1353"/>
      <c r="DF538" s="1406">
        <f>IFERROR(IF(FL538=3,IK538,IF(FL538=4,IL538,IF(FL538=5,IM538,IF(FL538=6,IN538,IF(FL538=7,IO538,IF(FL538=8,IP538,0)))))),0)</f>
        <v>0</v>
      </c>
      <c r="DG538" s="1370">
        <f>IF(HW538=TRUE,AK538,0)</f>
        <v>0</v>
      </c>
      <c r="DH538" s="1369">
        <f>IFERROR(IF(HW538=TRUE,DG540-DG538,0),0)</f>
        <v>0</v>
      </c>
      <c r="DJ538" s="1483">
        <f>IFERROR(CW538-DG538,0)</f>
        <v>0</v>
      </c>
      <c r="DL538" s="1419">
        <f>DJ538-DK540</f>
        <v>0</v>
      </c>
      <c r="DN538" s="1403" t="str">
        <f>IFERROR(IF(AND(OR(FY538=4,FY538=5,FY538=6),OR(GB538=4,GB538=5,GB538=6)),FY538+8,VLOOKUP(CT540,Fixtures!R$31:Y$78,8,FALSE)),"")</f>
        <v/>
      </c>
      <c r="DO538" s="1404" t="str">
        <f>DN538</f>
        <v/>
      </c>
      <c r="DP538" s="1353" t="str">
        <f>IFERROR(VLOOKUP(DD540,Lookup!AU$3:AV$15,2,FALSE),"")</f>
        <v/>
      </c>
      <c r="DQ538" s="1404" t="str">
        <f>IF(DP538=7,"LLLC","")</f>
        <v/>
      </c>
      <c r="DR538" s="1403">
        <f>IFERROR(IF(OR(DN538=4,DN538=5,DN538=6,DN538=12,DN538=13,DN538=14),VLOOKUP(CT540,Fixtures!DN$27:EG$77,19,FALSE),1)*CS540,0)</f>
        <v>0</v>
      </c>
      <c r="DS538" s="1489">
        <f>IF(DP538=7,IF(DD538=DD540,0,DC540),0)</f>
        <v>0</v>
      </c>
      <c r="DU538" s="1403" t="str">
        <f>IFERROR(IF(EW538&lt;EW540,"Yes","No"),"")</f>
        <v/>
      </c>
      <c r="DV538" s="1404" t="str">
        <f>DU538</f>
        <v/>
      </c>
      <c r="DW538" s="1403">
        <f>IF(DU538="Yes",DC540,0)</f>
        <v>0</v>
      </c>
      <c r="DX538" s="1403">
        <f>DW538-DS538</f>
        <v>0</v>
      </c>
      <c r="DZ538" s="1481">
        <f>IFERROR(VLOOKUP(DN538,Lookup!AN$3:AO$16,2,FALSE),0)</f>
        <v>0</v>
      </c>
      <c r="EA538" s="1481">
        <f>IF(HW538=FALSE,0,IF(DU538="Yes",DZ538+Lookup!B$6,DZ538))</f>
        <v>0</v>
      </c>
      <c r="EC538" s="1482">
        <f>IF(HW538=TRUE,DJ538,0)</f>
        <v>0</v>
      </c>
      <c r="ED538" s="1369">
        <f>IF(HW538=TRUE,CW540,0)</f>
        <v>0</v>
      </c>
      <c r="EE538" s="1370">
        <f>IFERROR(EC538-ED538,0)</f>
        <v>0</v>
      </c>
      <c r="EF538" s="1369">
        <f>IF(HW538=TRUE,DG540,0)</f>
        <v>0</v>
      </c>
      <c r="EG538" s="1369">
        <f>IFERROR(EC538-ED538+EF538,0)</f>
        <v>0</v>
      </c>
      <c r="EH538" s="1373">
        <f>IF(HW538=TRUE,CS540*CU540,0)</f>
        <v>0</v>
      </c>
      <c r="EI538" s="1373">
        <f>IF(HW538=TRUE,DC540*DE540,0)</f>
        <v>0</v>
      </c>
      <c r="EJ538" s="1363">
        <f>AO538</f>
        <v>0</v>
      </c>
      <c r="EK538" s="1376" t="str">
        <f>IFERROR(IF(HW538=TRUE,VLOOKUP(DN538,Lookup!AN$3:AP$16,3,FALSE)*DR538,""),0)</f>
        <v/>
      </c>
      <c r="EL538" s="1376">
        <f>IF(HW538=TRUE,DW538*Lookup!AP$12,0)</f>
        <v>0</v>
      </c>
      <c r="EM538" s="1362">
        <f>IFERROR(IF(HW538=TRUE,EK538/EM$33,0),0)</f>
        <v>0</v>
      </c>
      <c r="EN538" s="1362">
        <f>IF(HW538=TRUE,EL538/EN$33,0)</f>
        <v>0</v>
      </c>
      <c r="EO538" s="1363">
        <f>IF(HW538=TRUE,EQ$33*EM538,0)</f>
        <v>0</v>
      </c>
      <c r="EP538" s="1363">
        <f>IF(HW538=TRUE,EQ$33*EN538,0)</f>
        <v>0</v>
      </c>
      <c r="EQ538" s="1363">
        <f>EO538+EP538</f>
        <v>0</v>
      </c>
      <c r="ES538" s="1403">
        <f>IF(G538="",0,1)</f>
        <v>0</v>
      </c>
      <c r="EU538" s="1410" t="e">
        <f>VLOOKUP(CP540,'Space Table'!$B$3:$L$160,8,FALSE)</f>
        <v>#N/A</v>
      </c>
      <c r="EV538" s="1410" t="e">
        <f>IF(EY538="Yes",VLOOKUP(DD538,Lookup_Control_Type_Table2,4,FALSE),VLOOKUP(DD538,Lookup_Control_Type_Table2,3,FALSE))</f>
        <v>#N/A</v>
      </c>
      <c r="EW538" s="1410" t="e">
        <f>VLOOKUP(DD538,Lookup!AU$3:AV$15,2,FALSE)</f>
        <v>#N/A</v>
      </c>
      <c r="EX538" s="1410" t="e">
        <f>VLOOKUP(EU538,Lookup_Control_Type_Table,2,FALSE)</f>
        <v>#N/A</v>
      </c>
      <c r="EY538" s="1410" t="e">
        <f>VLOOKUP(CP540,'Space Table'!$B$3:$L$160,7,FALSE)</f>
        <v>#N/A</v>
      </c>
      <c r="EZ538" s="1412" t="b">
        <f>ISNUMBER(SEARCH("TLED",U540))</f>
        <v>0</v>
      </c>
      <c r="FB538" s="1365" t="str">
        <f>CONCATENATE(CN538," - ",DD538)</f>
        <v xml:space="preserve"> - 0</v>
      </c>
      <c r="FD538" s="1353" t="str">
        <f>VLOOKUP(CT540,Fixtures!DN$27:EZ$77,38,FALSE)</f>
        <v/>
      </c>
      <c r="FE538" s="1353">
        <f>IFERROR(FD538*EE538,0)</f>
        <v>0</v>
      </c>
      <c r="FF538" s="138"/>
      <c r="FI538" s="1356" t="str">
        <f>IF(CN538="Exterior","Not Daylighted",G541)</f>
        <v>Not Daylighted</v>
      </c>
      <c r="FJ538" s="1356">
        <f>VLOOKUP(FI538,_Daylight_Table_Codes,2,FALSE)</f>
        <v>0</v>
      </c>
      <c r="FK538" s="1365">
        <f>IF(__Retrofit_TI_NC=2,VLOOKUP(G540,'Space Table'!$B$3:$L$160,11,FALSE),AF539)</f>
        <v>0</v>
      </c>
      <c r="FL538" s="1365" t="e">
        <f>VLOOKUP(FK538,_Control_Table,2,FALSE)</f>
        <v>#N/A</v>
      </c>
      <c r="FM538" s="1365" t="e">
        <f>IF(AND(FP538&gt;0,FK538="Occupancy Sensor"),"Daylight + Occupancy",IF(AND(FP538&gt;0,FL538&lt;4),"Interior Daylight Dimming",FK538))</f>
        <v>#N/A</v>
      </c>
      <c r="FO538" s="1364">
        <f>IF(CO538="Interior",VLOOKUP(CP538,Control_Savings_Interior,5,FALSE),0)</f>
        <v>0</v>
      </c>
      <c r="FP538" s="1361">
        <f>IF(CN538="Exterior",0,IF(FJ538=2,0.5,IF(OR(FJ538=1,FJ538=3),1,0)))</f>
        <v>0</v>
      </c>
      <c r="FQ538" s="1366"/>
      <c r="FR538" s="1367"/>
      <c r="FS538" s="1364"/>
      <c r="FT538" s="1367"/>
      <c r="FU538" s="1360"/>
      <c r="FW538" s="1352" t="str">
        <f>IFERROR(VLOOKUP(U539,_Exist_Fixture_Table,3,FALSE),"")</f>
        <v/>
      </c>
      <c r="FX538" s="1352" t="str">
        <f>VLOOKUP(CT538,_Exist_Fixture_Table,4,FALSE)</f>
        <v/>
      </c>
      <c r="FY538" s="1352">
        <f>IFERROR(VLOOKUP(FX538,Lookup!AM$6:AN$8,2,FALSE),0)</f>
        <v>0</v>
      </c>
      <c r="FZ538" s="1352" t="b">
        <f>IFERROR(IF(OR(GB538=4,GB538=5,GB538=6),TRUE,FALSE),"")</f>
        <v>0</v>
      </c>
      <c r="GA538" s="1352" t="str">
        <f>IFERROR(VLOOKUP(GB538,FY$6:FZ$10,2,FALSE),"")</f>
        <v/>
      </c>
      <c r="GB538" s="1352" t="str">
        <f>VLOOKUP(CT540,Fixtures!R$31:Y$78,8,FALSE)</f>
        <v/>
      </c>
      <c r="GC538" s="1352">
        <f>IF(AND(FW538=TRUE,FZ538=TRUE,OR(DN538=12,DN538=13,DN538=14)),FY538+8,0)</f>
        <v>0</v>
      </c>
      <c r="GD538" s="1352" t="b">
        <f>IF(OR(GC538=12,GC538=13,GC538=14),TRUE,FALSE)</f>
        <v>0</v>
      </c>
      <c r="GE538" s="759" t="b">
        <f>IF(ISNUMBER(SEARCH("TLED",U539)),TRUE,FALSE)</f>
        <v>0</v>
      </c>
      <c r="GF538" s="1035" t="str">
        <f>IFERROR(VLOOKUP(U539,Fixtures!BM$93:BR$142,6,FALSE),"")</f>
        <v/>
      </c>
      <c r="GG538" s="1385" t="b">
        <f>IF(OR(GE538=FALSE,GE540=FALSE),TRUE,IF(GF538-GF540&lt;5,FALSE,TRUE))</f>
        <v>1</v>
      </c>
      <c r="GK538" s="1034">
        <f>GL538</f>
        <v>0</v>
      </c>
      <c r="GL538" s="1034">
        <f>IF(G538="",0,1)</f>
        <v>0</v>
      </c>
      <c r="GM538" s="1034">
        <f>SUM(GN538:HB538)</f>
        <v>2</v>
      </c>
      <c r="GN538" s="1034">
        <f>IF(G539="",0,1)</f>
        <v>0</v>
      </c>
      <c r="GO538" s="1034">
        <f>IF(G540="",0,1)</f>
        <v>0</v>
      </c>
      <c r="GP538" s="1034">
        <f>IF(R539="",0,1)</f>
        <v>0</v>
      </c>
      <c r="GQ538" s="1034">
        <f>IF(__Retrofit_TI_NC=0,1,IF(R540="",0,1))</f>
        <v>1</v>
      </c>
      <c r="GR538" s="1034">
        <f>IF(CN538="Exterior",1,IF(G541="",0,1))</f>
        <v>1</v>
      </c>
      <c r="GS538" s="1034">
        <f>IF(__Retrofit_TI_NC&lt;&gt;0,1,IF(T539="",0,1))</f>
        <v>0</v>
      </c>
      <c r="GT538" s="1034">
        <f>IF(__Retrofit_TI_NC&lt;&gt;0,1,IF(U539="",0,1))</f>
        <v>0</v>
      </c>
      <c r="GU538" s="1034">
        <f>IF(T540="",0,1)</f>
        <v>0</v>
      </c>
      <c r="GV538" s="1034">
        <f>IF(U540="",0,1)</f>
        <v>0</v>
      </c>
      <c r="GW538" s="1034">
        <f>IF(__Retrofit_TI_NC=2,1,IF(U541="",0,1))</f>
        <v>0</v>
      </c>
      <c r="GX538" s="1034">
        <f>IF(__Retrofit_TI_NC&lt;&gt;0,1,IF(AE539="",0,1))</f>
        <v>0</v>
      </c>
      <c r="GY538" s="1034">
        <f>IF(__Retrofit_TI_NC&lt;&gt;0,1,IF(AF539="",0,1))</f>
        <v>0</v>
      </c>
      <c r="GZ538" s="1034">
        <f>IF(AE540="",0,1)</f>
        <v>0</v>
      </c>
      <c r="HA538" s="1034">
        <f>IF(AF540="",0,1)</f>
        <v>0</v>
      </c>
      <c r="HB538" s="1034">
        <f>IF(__Retrofit_TI_NC=2,1,IF(AF541="",0,1))</f>
        <v>0</v>
      </c>
      <c r="HV538" s="436"/>
      <c r="HW538" s="1384" t="b">
        <f>IF(OR(HW541=0,HW541=HT$16,HW541=HS$16,HW541=HU$16),TRUE,FALSE)</f>
        <v>0</v>
      </c>
      <c r="HX538" s="1377" t="b">
        <f>HW538</f>
        <v>0</v>
      </c>
      <c r="HY538" s="436"/>
      <c r="HZ538" s="436"/>
      <c r="IA538" s="1386" t="b">
        <f>IF(MAX(GJ541:HP541)&gt;5,FALSE,TRUE)</f>
        <v>0</v>
      </c>
      <c r="IB538" s="1380">
        <f>IF(IA538=TRUE,AC538,0)</f>
        <v>0</v>
      </c>
      <c r="IC538" s="1380">
        <f>IB538-IB540</f>
        <v>0</v>
      </c>
      <c r="IF538" s="1380" t="e">
        <f>ROUND(T539*VLOOKUP(U539,Fixtures_Existing_List,2,FALSE)*N539*R539/1000,0)</f>
        <v>#N/A</v>
      </c>
      <c r="IG538" s="1381" t="e">
        <f>IF538-IF540</f>
        <v>#N/A</v>
      </c>
      <c r="IH538" s="1384" t="e">
        <f>ROUND(IF(CN538="Interior",N540*R540*R539*N539*_C406_reduction/1000,N540*R540*R539*N539/1000),0)</f>
        <v>#N/A</v>
      </c>
      <c r="II538" s="1384" t="e">
        <f>IH538-IH540</f>
        <v>#N/A</v>
      </c>
      <c r="IK538" s="1351" t="e">
        <f>IF($CO538="interior",IL538/2,VLOOKUP($CP538,Control_Savings_Exterior,IK$30,FALSE))</f>
        <v>#N/A</v>
      </c>
      <c r="IL538" s="1351" t="e">
        <f>IF($CO538="interior",VLOOKUP($CP538,Control_Savings_Interior,IL$30,FALSE),VLOOKUP($CP538,Control_Savings_Exterior,IL$30,FALSE))</f>
        <v>#N/A</v>
      </c>
      <c r="IM538" s="1351" t="e">
        <f>IF($CO538="interior",IF(R539&gt;FO$37,(IM$28*(FO$37/R539)),IM$28)*FP538,VLOOKUP($CP538,Control_Savings_Exterior,IM$30,FALSE))</f>
        <v>#N/A</v>
      </c>
      <c r="IN538" s="1351" t="e">
        <f>IF($CO538="interior",ROUND(((1-IL538)*IM538)+IL538,2),VLOOKUP($CP538,Control_Savings_Exterior,IN$30,FALSE))</f>
        <v>#N/A</v>
      </c>
      <c r="IO538" s="1351" t="e">
        <f>IF($CO538="interior", ROUND(((1-IL538)*(IM538*(1-IP$28)))+IP538,2), VLOOKUP($CP538,Control_Savings_Exterior,IO$30,FALSE))</f>
        <v>#N/A</v>
      </c>
      <c r="IP538" s="1351">
        <f>IF($CO538="interior",ROUND(((1-IL538)*IP$28)+IL538,2),0)</f>
        <v>0</v>
      </c>
    </row>
    <row r="539" spans="1:250" s="82" customFormat="1" ht="14.95" customHeight="1" thickTop="1" thickBot="1">
      <c r="B539" s="1421"/>
      <c r="C539" s="1422"/>
      <c r="D539" s="1423"/>
      <c r="E539" s="1393" t="s">
        <v>244</v>
      </c>
      <c r="F539" s="1394"/>
      <c r="G539" s="1395"/>
      <c r="H539" s="1395"/>
      <c r="I539" s="1395"/>
      <c r="J539" s="1395"/>
      <c r="K539" s="1395"/>
      <c r="L539" s="1395"/>
      <c r="M539" s="509" t="e">
        <f>IF(__Retrofit_TI_NC&lt;&gt;0,IF(VLOOKUP(G540,'Space Table'!$B$3:$L$160,3,FALSE)&gt;0,1,0),IF(__Retrofit_TI_NC=VLOOKUP(G540,'Space Table'!$B$3:$L$160,3,FALSE),1,0))</f>
        <v>#N/A</v>
      </c>
      <c r="N539" s="509" t="str">
        <f>IFERROR(VLOOKUP(G539,_Lookup_Heat_Type_Table_New,2,FALSE),"")</f>
        <v/>
      </c>
      <c r="O539" s="509">
        <f>IF(__Retrofit_TI_NC=1,CONCATENATE("TI ",G539),IF(__Retrofit_TI_NC=2,CONCATENATE("NC ",G539),G539))</f>
        <v>0</v>
      </c>
      <c r="P539" s="1396" t="s">
        <v>352</v>
      </c>
      <c r="Q539" s="1396"/>
      <c r="R539" s="673"/>
      <c r="S539" s="1429"/>
      <c r="T539" s="675"/>
      <c r="U539" s="1496"/>
      <c r="V539" s="1497"/>
      <c r="W539" s="1497"/>
      <c r="X539" s="1497"/>
      <c r="Y539" s="1497"/>
      <c r="Z539" s="1497"/>
      <c r="AA539" s="1497"/>
      <c r="AB539" s="1497"/>
      <c r="AC539" s="1497"/>
      <c r="AD539" s="1498"/>
      <c r="AE539" s="675"/>
      <c r="AF539" s="1397"/>
      <c r="AG539" s="1397"/>
      <c r="AH539" s="1397"/>
      <c r="AI539" s="1397"/>
      <c r="AJ539" s="1434"/>
      <c r="AK539" s="1436"/>
      <c r="AL539" s="1438"/>
      <c r="AM539" s="1441"/>
      <c r="AN539" s="1442"/>
      <c r="AO539" s="1447"/>
      <c r="AP539" s="1447"/>
      <c r="AQ539" s="1448"/>
      <c r="AR539" s="1452"/>
      <c r="AS539" s="1455"/>
      <c r="AT539" s="1458"/>
      <c r="AU539" s="516"/>
      <c r="AV539" s="1479"/>
      <c r="AW539" s="1479"/>
      <c r="BC539" s="38"/>
      <c r="BD539" s="38"/>
      <c r="BE539" s="38"/>
      <c r="BF539" s="38"/>
      <c r="BG539" s="38"/>
      <c r="BH539" s="38"/>
      <c r="BI539" s="38"/>
      <c r="BJ539" s="38"/>
      <c r="BK539" s="38"/>
      <c r="BL539" s="38"/>
      <c r="BM539" s="38"/>
      <c r="BN539" s="38"/>
      <c r="BO539" s="38"/>
      <c r="BP539" s="38"/>
      <c r="BQ539" s="38"/>
      <c r="BR539" s="38"/>
      <c r="BS539" s="38"/>
      <c r="BT539" s="38"/>
      <c r="BU539" s="38"/>
      <c r="BV539" s="38"/>
      <c r="BW539" s="38"/>
      <c r="BX539" s="38"/>
      <c r="BY539" s="38"/>
      <c r="BZ539" s="38"/>
      <c r="CA539" s="38"/>
      <c r="CB539" s="38"/>
      <c r="CC539" s="38"/>
      <c r="CD539" s="38"/>
      <c r="CE539" s="38"/>
      <c r="CF539" s="38"/>
      <c r="CG539" s="38"/>
      <c r="CH539" s="38"/>
      <c r="CI539" s="38"/>
      <c r="CM539" s="1352"/>
      <c r="CN539" s="1352"/>
      <c r="CO539" s="1416"/>
      <c r="CP539" s="1418"/>
      <c r="CR539" s="1386"/>
      <c r="CS539" s="1355"/>
      <c r="CT539" s="1355"/>
      <c r="CU539" s="1355"/>
      <c r="CV539" s="1372"/>
      <c r="CW539" s="1372"/>
      <c r="CX539" s="1371"/>
      <c r="CY539" s="1486"/>
      <c r="CZ539" s="1486"/>
      <c r="DA539" s="1486"/>
      <c r="DC539" s="1355"/>
      <c r="DD539" s="1461"/>
      <c r="DE539" s="1355"/>
      <c r="DF539" s="1407"/>
      <c r="DG539" s="1372"/>
      <c r="DH539" s="1369"/>
      <c r="DJ539" s="1484"/>
      <c r="DL539" s="1419"/>
      <c r="DN539" s="1403"/>
      <c r="DO539" s="1405"/>
      <c r="DP539" s="1354"/>
      <c r="DQ539" s="1405"/>
      <c r="DR539" s="1403"/>
      <c r="DS539" s="1489"/>
      <c r="DU539" s="1403"/>
      <c r="DV539" s="1405"/>
      <c r="DW539" s="1403"/>
      <c r="DX539" s="1403"/>
      <c r="DZ539" s="1481"/>
      <c r="EA539" s="1481"/>
      <c r="EC539" s="1482"/>
      <c r="ED539" s="1369"/>
      <c r="EE539" s="1371"/>
      <c r="EF539" s="1369"/>
      <c r="EG539" s="1369"/>
      <c r="EH539" s="1374"/>
      <c r="EI539" s="1374"/>
      <c r="EJ539" s="1363"/>
      <c r="EK539" s="1376"/>
      <c r="EL539" s="1376"/>
      <c r="EM539" s="1362"/>
      <c r="EN539" s="1362"/>
      <c r="EO539" s="1363"/>
      <c r="EP539" s="1363"/>
      <c r="EQ539" s="1363"/>
      <c r="ES539" s="1403"/>
      <c r="EU539" s="1411"/>
      <c r="EV539" s="1411"/>
      <c r="EW539" s="1411"/>
      <c r="EX539" s="1411"/>
      <c r="EY539" s="1411"/>
      <c r="EZ539" s="1413"/>
      <c r="FB539" s="1365"/>
      <c r="FD539" s="1354"/>
      <c r="FE539" s="1354"/>
      <c r="FF539" s="138"/>
      <c r="FI539" s="1357"/>
      <c r="FJ539" s="1357"/>
      <c r="FK539" s="1365"/>
      <c r="FL539" s="1365"/>
      <c r="FM539" s="1365"/>
      <c r="FO539" s="1361"/>
      <c r="FP539" s="1361"/>
      <c r="FQ539" s="1366"/>
      <c r="FR539" s="1368"/>
      <c r="FS539" s="1361"/>
      <c r="FT539" s="1368"/>
      <c r="FU539" s="1360"/>
      <c r="FW539" s="1352"/>
      <c r="FX539" s="1352"/>
      <c r="FY539" s="1352"/>
      <c r="FZ539" s="1352"/>
      <c r="GA539" s="1352"/>
      <c r="GB539" s="1352"/>
      <c r="GC539" s="1352"/>
      <c r="GD539" s="1352"/>
      <c r="GE539" s="759"/>
      <c r="GF539" s="1035"/>
      <c r="GG539" s="1385"/>
      <c r="GI539" s="1384" t="b">
        <f>IF(AND(GL539=TRUE,GM539=TRUE),TRUE,FALSE)</f>
        <v>0</v>
      </c>
      <c r="GJ539" s="1379" t="b">
        <f>IFERROR(IF(__Retrofit_TI_NC=2,TRUE,IF(AR538="Yes",TRUE,FALSE)),FALSE)</f>
        <v>1</v>
      </c>
      <c r="GL539" s="1379" t="b">
        <f>IFERROR(IF(GL538=1,TRUE,FALSE),FALSE)</f>
        <v>0</v>
      </c>
      <c r="GM539" s="1379" t="b">
        <f>IFERROR(IF(GM538=GM$14,TRUE,FALSE),FALSE)</f>
        <v>0</v>
      </c>
      <c r="HC539" s="1379" t="b">
        <f>IFERROR(IF(M539=1,TRUE,FALSE),FALSE)</f>
        <v>0</v>
      </c>
      <c r="HD539" s="1379" t="b">
        <f>IFERROR(IF(M540=1,TRUE,FALSE),FALSE)</f>
        <v>0</v>
      </c>
      <c r="HE539" s="1379" t="b">
        <f>IFERROR(IF(__Retrofit_TI_NC&lt;&gt;0,TRUE,IFERROR(IF(VLOOKUP(U539,Fixtures_Existing_List,2,FALSE)&lt;&gt;"",TRUE,FALSE),FALSE)),FALSE)</f>
        <v>0</v>
      </c>
      <c r="HF539" s="1379" t="b">
        <f>IFERROR(IF(VLOOKUP(U540,Fixtures_Proposed_List,2,FALSE)&lt;&gt;"",TRUE,FALSE),FALSE)</f>
        <v>0</v>
      </c>
      <c r="HG539" s="1379" t="b">
        <f>IF(AND(__Retrofit_TI_NC=2,EZ538=TRUE),FALSE,TRUE)</f>
        <v>1</v>
      </c>
      <c r="HH539" s="1379" t="b">
        <f>GG538</f>
        <v>1</v>
      </c>
      <c r="HI539" s="1384" t="b">
        <f>IF(ISERROR(MATCH(FB538,_Control_Match[],0))=TRUE,FALSE,TRUE)</f>
        <v>0</v>
      </c>
      <c r="HJ539" s="1384" t="b">
        <f>IFERROR(IF(EU538&lt;&gt;EV538,FALSE,TRUE),FALSE)</f>
        <v>0</v>
      </c>
      <c r="HK539" s="1384" t="b">
        <f>IFERROR(IF(EU540&lt;&gt;EV540,FALSE,TRUE),FALSE)</f>
        <v>0</v>
      </c>
      <c r="HL539" s="1379" t="b">
        <f>IFERROR(IF(CN538="Exterior",TRUE,IF(OR(AND(FJ538=0,EW540&gt;4),AND(FJ538=4,EW540&gt;4,EW540&lt;7)),FALSE,TRUE)),FALSE)</f>
        <v>0</v>
      </c>
      <c r="HM539" s="1379" t="b">
        <f>IFERROR(IF(AND(FL540=7,EZ538=TRUE),FALSE,TRUE),FALSE)</f>
        <v>0</v>
      </c>
      <c r="HN539" s="1379" t="b">
        <f>IFERROR(IF(AND(T540&lt;&gt;AE540,AF540="Interior LLLC")=TRUE,FALSE,TRUE),FALSE)</f>
        <v>1</v>
      </c>
      <c r="HO539" s="1379" t="b">
        <f>IFERROR(IF(OR(AF540=Lookup!AU$13,AF540=Lookup!AU$14)=TRUE,IF(AE540&gt;T540,FALSE,TRUE),TRUE),FALSE)</f>
        <v>1</v>
      </c>
      <c r="HP539" s="1379" t="b">
        <f>IFERROR(IF(__Retrofit_TI_NC=2,IF(EW540&lt;EW538,FALSE,TRUE),TRUE),FALSE)</f>
        <v>1</v>
      </c>
      <c r="HQ539" s="1379" t="b">
        <f>IF(CN538="Interior",IG$6,TRUE)</f>
        <v>1</v>
      </c>
      <c r="HR539" s="1379" t="b">
        <f>IF(CN538="Exterior",IG$8,TRUE)</f>
        <v>1</v>
      </c>
      <c r="HS539" s="1379" t="b">
        <f>IFERROR(IF(__Retrofit_TI_NC&lt;&gt;0,IF(AW538&lt;AV538,FALSE,TRUE),TRUE),FALSE)</f>
        <v>1</v>
      </c>
      <c r="HT539" s="1379" t="b">
        <f>IFERROR(IF(AND(G539="Exterior",R539&gt;4200),FALSE,TRUE),FALSE)</f>
        <v>1</v>
      </c>
      <c r="HU539" s="1379" t="b">
        <f>IFERROR(IF(AB541/AB538&lt;HU$18,FALSE,TRUE),FALSE)</f>
        <v>0</v>
      </c>
      <c r="HW539" s="1382"/>
      <c r="HX539" s="1378"/>
      <c r="HY539" s="1377" t="str">
        <f>VLOOKUP(HW541,_Error_Table,4,FALSE)</f>
        <v>White</v>
      </c>
      <c r="HZ539" s="436"/>
      <c r="IA539" s="1386"/>
      <c r="IB539" s="1380"/>
      <c r="IC539" s="1379"/>
      <c r="IF539" s="1380"/>
      <c r="IG539" s="1382"/>
      <c r="IH539" s="1382"/>
      <c r="II539" s="1382"/>
      <c r="IK539" s="1351"/>
      <c r="IL539" s="1351"/>
      <c r="IM539" s="1351"/>
      <c r="IN539" s="1351"/>
      <c r="IO539" s="1351"/>
      <c r="IP539" s="1351"/>
    </row>
    <row r="540" spans="1:250" s="82" customFormat="1" ht="14.95" customHeight="1" thickTop="1" thickBot="1">
      <c r="A540" s="82">
        <f>ROW()</f>
        <v>540</v>
      </c>
      <c r="B540" s="1421"/>
      <c r="C540" s="1422"/>
      <c r="D540" s="1423"/>
      <c r="E540" s="1393" t="s">
        <v>245</v>
      </c>
      <c r="F540" s="1394"/>
      <c r="G540" s="1398"/>
      <c r="H540" s="1399"/>
      <c r="I540" s="1399"/>
      <c r="J540" s="1399"/>
      <c r="K540" s="1399"/>
      <c r="L540" s="1400"/>
      <c r="M540" s="509">
        <f>IFERROR(IF(IF(__Retrofit_TI_NC&lt;&gt;0,IF(CN538="Interior",MATCH(G540,Lookup_Interior_New,0),MATCH(G540,Lookup_Exterior_New,0)),IF(CN538="Interior",MATCH(G540,Lookup_Interior,0),MATCH(G540,Lookup_Exterior_Areas,0)))&gt;0,1,0),0)</f>
        <v>0</v>
      </c>
      <c r="N540" s="509" t="e">
        <f>IF(__Retrofit_TI_NC=1,
VLOOKUP(G540,'Space Table'!$B$3:$L$160,4,FALSE),
IF(__Retrofit_TI_NC=2,VLOOKUP(G540,'Space Table'!$B$3:$L$160,5,FALSE),VLOOKUP(G540,'Space Table'!$B$3:$L$160,5,FALSE)))</f>
        <v>#N/A</v>
      </c>
      <c r="O540" s="509">
        <f>G540</f>
        <v>0</v>
      </c>
      <c r="P540" s="1394" t="s">
        <v>355</v>
      </c>
      <c r="Q540" s="1394"/>
      <c r="R540" s="674"/>
      <c r="S540" s="1401" t="s">
        <v>284</v>
      </c>
      <c r="T540" s="672"/>
      <c r="U540" s="1499"/>
      <c r="V540" s="1500"/>
      <c r="W540" s="1500"/>
      <c r="X540" s="1500"/>
      <c r="Y540" s="1500"/>
      <c r="Z540" s="1500"/>
      <c r="AA540" s="1500"/>
      <c r="AB540" s="1501"/>
      <c r="AC540" s="1501"/>
      <c r="AD540" s="1502"/>
      <c r="AE540" s="672"/>
      <c r="AF540" s="1474"/>
      <c r="AG540" s="1474"/>
      <c r="AH540" s="1474"/>
      <c r="AI540" s="1474"/>
      <c r="AJ540" s="1475">
        <f>DF540</f>
        <v>0</v>
      </c>
      <c r="AK540" s="1470" t="str">
        <f>IFERROR(ROUND(AJ540*AC541,0),"")</f>
        <v/>
      </c>
      <c r="AL540" s="1472">
        <f>IFERROR(IF(HW538=FALSE,0,AC541-AK540),0)</f>
        <v>0</v>
      </c>
      <c r="AM540" s="1441"/>
      <c r="AN540" s="1442"/>
      <c r="AO540" s="1447"/>
      <c r="AP540" s="1447"/>
      <c r="AQ540" s="1448"/>
      <c r="AR540" s="1452"/>
      <c r="AS540" s="1455"/>
      <c r="AT540" s="1458"/>
      <c r="AU540" s="516"/>
      <c r="AV540" s="1479"/>
      <c r="AW540" s="1479"/>
      <c r="BC540" s="38"/>
      <c r="BD540" s="38"/>
      <c r="BE540" s="38"/>
      <c r="BF540" s="38"/>
      <c r="BG540" s="38"/>
      <c r="BH540" s="38"/>
      <c r="BI540" s="38"/>
      <c r="BJ540" s="38"/>
      <c r="BK540" s="38"/>
      <c r="BL540" s="38"/>
      <c r="BM540" s="38"/>
      <c r="BN540" s="38"/>
      <c r="BO540" s="38"/>
      <c r="BP540" s="38"/>
      <c r="BQ540" s="38"/>
      <c r="BR540" s="38"/>
      <c r="BS540" s="38"/>
      <c r="BT540" s="38"/>
      <c r="BU540" s="38"/>
      <c r="BV540" s="38"/>
      <c r="BW540" s="38"/>
      <c r="BX540" s="38"/>
      <c r="BY540" s="38"/>
      <c r="BZ540" s="38"/>
      <c r="CA540" s="38"/>
      <c r="CB540" s="38"/>
      <c r="CC540" s="38"/>
      <c r="CD540" s="38"/>
      <c r="CE540" s="38"/>
      <c r="CF540" s="38"/>
      <c r="CG540" s="38"/>
      <c r="CH540" s="38"/>
      <c r="CI540" s="38"/>
      <c r="CM540" s="1352"/>
      <c r="CN540" s="1352"/>
      <c r="CO540" s="1415" t="str">
        <f>CN538</f>
        <v/>
      </c>
      <c r="CP540" s="1417" t="e">
        <f>CP538</f>
        <v>#N/A</v>
      </c>
      <c r="CR540" s="1386" t="s">
        <v>284</v>
      </c>
      <c r="CS540" s="1353">
        <f>IF(HW538=TRUE,T540,0)</f>
        <v>0</v>
      </c>
      <c r="CT540" s="1353" t="str">
        <f>IF(HW538=TRUE,U540,"")</f>
        <v/>
      </c>
      <c r="CU540" s="1373">
        <f>IF(HW538=TRUE,U541,0)</f>
        <v>0</v>
      </c>
      <c r="CV540" s="1370">
        <f>IF(HW538=TRUE,AB541,0)</f>
        <v>0</v>
      </c>
      <c r="CW540" s="1370">
        <f>IF(HW538=TRUE,AC541,0)</f>
        <v>0</v>
      </c>
      <c r="CX540" s="1371"/>
      <c r="CY540" s="1486"/>
      <c r="CZ540" s="1486"/>
      <c r="DA540" s="1486"/>
      <c r="DC540" s="1353">
        <f>IF(HW538=TRUE,AE540,0)</f>
        <v>0</v>
      </c>
      <c r="DD540" s="1353" t="str">
        <f>IF(HW538=TRUE,AF540,"")</f>
        <v/>
      </c>
      <c r="DE540" s="1373">
        <f>AF541</f>
        <v>0</v>
      </c>
      <c r="DF540" s="1406">
        <f>IFERROR(IF(FL540=3,IK540,IF(FL540=4,IL540,IF(FL540=5,IM540,IF(FL540=6,IN540,IF(FL540=7,IO540,IF(FL540=8,IP540,0)))))),0)</f>
        <v>0</v>
      </c>
      <c r="DG540" s="1370">
        <f>IF(HW538=TRUE,AK540,0)</f>
        <v>0</v>
      </c>
      <c r="DH540" s="1369"/>
      <c r="DK540" s="1483">
        <f>IFERROR(CW540-DG540,0)</f>
        <v>0</v>
      </c>
      <c r="DL540" s="1420"/>
      <c r="DN540" s="1403"/>
      <c r="DO540" s="1477" t="str">
        <f>DN538</f>
        <v/>
      </c>
      <c r="DP540" s="1354"/>
      <c r="DQ540" s="1477" t="str">
        <f>IF(DP538=7,"LLLC","")</f>
        <v/>
      </c>
      <c r="DR540" s="1403"/>
      <c r="DS540" s="1489"/>
      <c r="DU540" s="1403"/>
      <c r="DV540" s="1404" t="str">
        <f>DU538</f>
        <v/>
      </c>
      <c r="DW540" s="1403"/>
      <c r="DX540" s="1403"/>
      <c r="DZ540" s="1481"/>
      <c r="EA540" s="1481"/>
      <c r="EC540" s="1482"/>
      <c r="ED540" s="1369"/>
      <c r="EE540" s="1371"/>
      <c r="EF540" s="1369"/>
      <c r="EG540" s="1369"/>
      <c r="EH540" s="1374"/>
      <c r="EI540" s="1374"/>
      <c r="EJ540" s="1363"/>
      <c r="EK540" s="1376"/>
      <c r="EL540" s="1376"/>
      <c r="EM540" s="1362"/>
      <c r="EN540" s="1362"/>
      <c r="EO540" s="1363"/>
      <c r="EP540" s="1363"/>
      <c r="EQ540" s="1363"/>
      <c r="ES540" s="1403"/>
      <c r="EU540" s="1411" t="e">
        <f>VLOOKUP(CP540,'Space Table'!$B$3:$L$160,8,FALSE)</f>
        <v>#N/A</v>
      </c>
      <c r="EV540" s="1411" t="e">
        <f>IF(EY540="Yes",VLOOKUP(AF540,Lookup_Control_Type_Table2,4,FALSE),VLOOKUP(AF540,Lookup_Control_Type_Table2,3,FALSE))</f>
        <v>#N/A</v>
      </c>
      <c r="EW540" s="1411" t="e">
        <f>VLOOKUP(AF540,Lookup!AU$3:AV$15,2,FALSE)</f>
        <v>#N/A</v>
      </c>
      <c r="EX540" s="1411" t="e">
        <f>VLOOKUP(EU538,Lookup_Control_Type_Table,2,FALSE)</f>
        <v>#N/A</v>
      </c>
      <c r="EY540" s="1411" t="e">
        <f>VLOOKUP(CP540,'Space Table'!$B$3:$L$160,7,FALSE)</f>
        <v>#N/A</v>
      </c>
      <c r="EZ540" s="1413"/>
      <c r="FB540" s="1365" t="str">
        <f>CONCATENATE(CN538," - ",AF540)</f>
        <v xml:space="preserve"> - </v>
      </c>
      <c r="FD540" s="1354"/>
      <c r="FE540" s="1354"/>
      <c r="FF540" s="138"/>
      <c r="FI540" s="1356" t="str">
        <f>IF(CN538="Exterior","Not Daylighted",G541)</f>
        <v>Not Daylighted</v>
      </c>
      <c r="FJ540" s="1356">
        <f>VLOOKUP(FI540,_Daylight_Table_Codes,2,FALSE)</f>
        <v>0</v>
      </c>
      <c r="FK540" s="1365">
        <f>AF540</f>
        <v>0</v>
      </c>
      <c r="FL540" s="1365" t="e">
        <f>VLOOKUP(FK540,_Control_Table,2,FALSE)</f>
        <v>#N/A</v>
      </c>
      <c r="FM540" s="1365" t="e">
        <f>IF(AND(FP540&gt;0,FK540="Occupancy Sensor"),"Daylight + Occupancy",IF(AND(FP540&gt;0,FL540&lt;4),"Interior Daylight Dimming",FK540))</f>
        <v>#N/A</v>
      </c>
      <c r="FO540" s="1364">
        <f>IF(CN538="Interior",VLOOKUP(CP538,Control_Savings_Interior,5,FALSE),0)</f>
        <v>0</v>
      </c>
      <c r="FP540" s="1361">
        <f>IF(CN540="Exterior",0,IF(FJ540=2,0.5,IF(OR(FJ540=1,FJ540=3),1,0)))</f>
        <v>0</v>
      </c>
      <c r="FQ540" s="1366">
        <f>IF(R539&gt;FO$37,(FO540*(FO$37/R539)),FO540)*FP540</f>
        <v>0</v>
      </c>
      <c r="FR540" s="1364">
        <f>DF540</f>
        <v>0</v>
      </c>
      <c r="FS540" s="1364">
        <f>ROUND(FR540+((1-FR540)*FQ540),2)</f>
        <v>0</v>
      </c>
      <c r="FT540" s="1364">
        <f>IF(__Retrofit_TI_NC=2,FS540,FR540)</f>
        <v>0</v>
      </c>
      <c r="FU540" s="1360">
        <f>IF(CO540="Interior",VLOOKUP(CP540,Control_Savings_Interior,4,FALSE),0)</f>
        <v>0</v>
      </c>
      <c r="FW540" s="1352"/>
      <c r="FX540" s="1352"/>
      <c r="FY540" s="1352"/>
      <c r="FZ540" s="1352"/>
      <c r="GA540" s="1352"/>
      <c r="GB540" s="1352"/>
      <c r="GC540" s="1352"/>
      <c r="GD540" s="1352"/>
      <c r="GE540" s="759" t="b">
        <f>IF(ISNUMBER(SEARCH("TLED",U540)),TRUE,FALSE)</f>
        <v>0</v>
      </c>
      <c r="GF540" s="1035" t="str">
        <f>IFERROR(VLOOKUP(U540,Fixtures!DM$93:DR$142,6,FALSE),"")</f>
        <v/>
      </c>
      <c r="GG540" s="1385"/>
      <c r="GI540" s="1383"/>
      <c r="GJ540" s="1379"/>
      <c r="GL540" s="1379"/>
      <c r="GM540" s="1379"/>
      <c r="HC540" s="1379"/>
      <c r="HD540" s="1379"/>
      <c r="HE540" s="1379"/>
      <c r="HF540" s="1379"/>
      <c r="HG540" s="1379"/>
      <c r="HH540" s="1379"/>
      <c r="HI540" s="1383"/>
      <c r="HJ540" s="1383"/>
      <c r="HK540" s="1383"/>
      <c r="HL540" s="1379"/>
      <c r="HM540" s="1379"/>
      <c r="HN540" s="1379"/>
      <c r="HO540" s="1379"/>
      <c r="HP540" s="1379"/>
      <c r="HQ540" s="1379"/>
      <c r="HR540" s="1379"/>
      <c r="HS540" s="1379"/>
      <c r="HT540" s="1379"/>
      <c r="HU540" s="1379"/>
      <c r="HW540" s="1383"/>
      <c r="HX540" s="1384" t="b">
        <f>HW538</f>
        <v>0</v>
      </c>
      <c r="HY540" s="1378"/>
      <c r="HZ540" s="436"/>
      <c r="IA540" s="1386"/>
      <c r="IB540" s="1380">
        <f>IF(IA538=TRUE,AC541,0)</f>
        <v>0</v>
      </c>
      <c r="IC540" s="1379"/>
      <c r="IF540" s="1380" t="e">
        <f>ROUND(T540*AB541*N539*R539/1000,0)</f>
        <v>#VALUE!</v>
      </c>
      <c r="IG540" s="1382"/>
      <c r="IH540" s="1384" t="e">
        <f>ROUND(T540*AB541*N539*R539/1000,0)</f>
        <v>#VALUE!</v>
      </c>
      <c r="II540" s="1382"/>
      <c r="IK540" s="1351" t="e">
        <f>IF($CO540="interior",IL540/2,VLOOKUP($CP540,Control_Savings_Exterior,IK$30,FALSE))</f>
        <v>#N/A</v>
      </c>
      <c r="IL540" s="1351" t="e">
        <f>IF($CO540="interior",VLOOKUP($CP540,Control_Savings_Interior,IL$30,FALSE),VLOOKUP($CP540,Control_Savings_Exterior,IL$30,FALSE))</f>
        <v>#N/A</v>
      </c>
      <c r="IM540" s="1351" t="e">
        <f>IF($CO540="interior",IF(R539&gt;FO$37,(IM$28*(FO$37/R539)),IM$28)*FP540,VLOOKUP($CP540,Control_Savings_Exterior,IM$30,FALSE))</f>
        <v>#N/A</v>
      </c>
      <c r="IN540" s="1351" t="e">
        <f>IF($CO540="interior",ROUND(((1-IL540)*IM540)+IL540,2),VLOOKUP($CP540,Control_Savings_Exterior,IN$30,FALSE))</f>
        <v>#N/A</v>
      </c>
      <c r="IO540" s="1351" t="e">
        <f>IF($CO540="interior", ROUND(((1-IL540)*(IM540*(1-IP$28)))+IP540,2), VLOOKUP($CP540,Control_Savings_Exterior,IO$30,FALSE))</f>
        <v>#N/A</v>
      </c>
      <c r="IP540" s="1351">
        <f>IF($CO540="interior",ROUND(((1-IL540)*IP$28)+IL540,2),0)</f>
        <v>0</v>
      </c>
    </row>
    <row r="541" spans="1:250" s="82" customFormat="1" ht="14.95" customHeight="1" thickTop="1" thickBot="1">
      <c r="B541" s="1421"/>
      <c r="C541" s="1422"/>
      <c r="D541" s="1423"/>
      <c r="E541" s="1462" t="s">
        <v>357</v>
      </c>
      <c r="F541" s="1463"/>
      <c r="G541" s="1464" t="s">
        <v>362</v>
      </c>
      <c r="H541" s="1465"/>
      <c r="I541" s="1465"/>
      <c r="J541" s="1465"/>
      <c r="K541" s="1465"/>
      <c r="L541" s="1466"/>
      <c r="M541" s="669">
        <f>IFERROR(VLOOKUP(G541,_Daylight_Table[],2,FALSE),0)</f>
        <v>0</v>
      </c>
      <c r="N541" s="670"/>
      <c r="O541" s="669" t="e">
        <f>VLOOKUP(G540,'Space Table'!$B$3:$L$160,11,FALSE)</f>
        <v>#N/A</v>
      </c>
      <c r="P541" s="1408"/>
      <c r="Q541" s="1409"/>
      <c r="R541" s="1409"/>
      <c r="S541" s="1402"/>
      <c r="T541" s="671" t="s">
        <v>281</v>
      </c>
      <c r="U541" s="1467" t="str">
        <f>IFERROR(VLOOKUP(U540,Fixtures!DM$93:DP$142,4,FALSE),"")</f>
        <v/>
      </c>
      <c r="V541" s="1468"/>
      <c r="W541" s="1468"/>
      <c r="X541" s="1468"/>
      <c r="Y541" s="1468"/>
      <c r="Z541" s="1468"/>
      <c r="AA541" s="1468"/>
      <c r="AB541" s="1046" t="str">
        <f>IFERROR(VLOOKUP(U540,Fixtures_Proposed_List,2,FALSE),"")</f>
        <v/>
      </c>
      <c r="AC541" s="1036" t="str">
        <f>IFERROR(ROUND(T540*AB541*N539*R539/1000,0),"")</f>
        <v/>
      </c>
      <c r="AD541" s="1037" t="str">
        <f>IFERROR(ROUND(T540*AB541/1000,2),"")</f>
        <v/>
      </c>
      <c r="AE541" s="1045" t="s">
        <v>281</v>
      </c>
      <c r="AF541" s="1469"/>
      <c r="AG541" s="1469"/>
      <c r="AH541" s="1469"/>
      <c r="AI541" s="1469"/>
      <c r="AJ541" s="1476"/>
      <c r="AK541" s="1471"/>
      <c r="AL541" s="1473"/>
      <c r="AM541" s="1443"/>
      <c r="AN541" s="1444"/>
      <c r="AO541" s="1449"/>
      <c r="AP541" s="1449"/>
      <c r="AQ541" s="1450"/>
      <c r="AR541" s="1453"/>
      <c r="AS541" s="1456"/>
      <c r="AT541" s="1459"/>
      <c r="AU541" s="517"/>
      <c r="AV541" s="1480"/>
      <c r="AW541" s="1480"/>
      <c r="BC541" s="38"/>
      <c r="BD541" s="38"/>
      <c r="BE541" s="38"/>
      <c r="BF541" s="38"/>
      <c r="BG541" s="38"/>
      <c r="BH541" s="38"/>
      <c r="BI541" s="38"/>
      <c r="BJ541" s="38"/>
      <c r="BK541" s="38"/>
      <c r="BL541" s="38"/>
      <c r="BM541" s="38"/>
      <c r="BN541" s="38"/>
      <c r="BO541" s="38"/>
      <c r="BP541" s="38"/>
      <c r="BQ541" s="38"/>
      <c r="BR541" s="38"/>
      <c r="BS541" s="38"/>
      <c r="BT541" s="38"/>
      <c r="BU541" s="38"/>
      <c r="BV541" s="38"/>
      <c r="BW541" s="38"/>
      <c r="BX541" s="38"/>
      <c r="BY541" s="38"/>
      <c r="BZ541" s="38"/>
      <c r="CA541" s="38"/>
      <c r="CB541" s="38"/>
      <c r="CC541" s="38"/>
      <c r="CD541" s="38"/>
      <c r="CE541" s="38"/>
      <c r="CF541" s="38"/>
      <c r="CG541" s="38"/>
      <c r="CH541" s="38"/>
      <c r="CI541" s="38"/>
      <c r="CM541" s="1352"/>
      <c r="CN541" s="1352"/>
      <c r="CO541" s="1416"/>
      <c r="CP541" s="1418"/>
      <c r="CR541" s="1386"/>
      <c r="CS541" s="1355"/>
      <c r="CT541" s="1355"/>
      <c r="CU541" s="1375"/>
      <c r="CV541" s="1372"/>
      <c r="CW541" s="1372"/>
      <c r="CX541" s="1372"/>
      <c r="CY541" s="1487"/>
      <c r="CZ541" s="1487"/>
      <c r="DA541" s="1487"/>
      <c r="DC541" s="1355"/>
      <c r="DD541" s="1355"/>
      <c r="DE541" s="1375"/>
      <c r="DF541" s="1407"/>
      <c r="DG541" s="1372"/>
      <c r="DH541" s="1369"/>
      <c r="DK541" s="1484"/>
      <c r="DL541" s="1420"/>
      <c r="DN541" s="1403"/>
      <c r="DO541" s="1405"/>
      <c r="DP541" s="1355"/>
      <c r="DQ541" s="1405"/>
      <c r="DR541" s="1403"/>
      <c r="DS541" s="1489"/>
      <c r="DU541" s="1403"/>
      <c r="DV541" s="1405"/>
      <c r="DW541" s="1403"/>
      <c r="DX541" s="1403"/>
      <c r="DZ541" s="1481"/>
      <c r="EA541" s="1481"/>
      <c r="EC541" s="1482"/>
      <c r="ED541" s="1369"/>
      <c r="EE541" s="1372"/>
      <c r="EF541" s="1369"/>
      <c r="EG541" s="1369"/>
      <c r="EH541" s="1375"/>
      <c r="EI541" s="1375"/>
      <c r="EJ541" s="1363"/>
      <c r="EK541" s="1376"/>
      <c r="EL541" s="1376"/>
      <c r="EM541" s="1362"/>
      <c r="EN541" s="1362"/>
      <c r="EO541" s="1363"/>
      <c r="EP541" s="1363"/>
      <c r="EQ541" s="1363"/>
      <c r="ES541" s="1403"/>
      <c r="EU541" s="1488"/>
      <c r="EV541" s="1488"/>
      <c r="EW541" s="1488"/>
      <c r="EX541" s="1488"/>
      <c r="EY541" s="1488"/>
      <c r="EZ541" s="1414"/>
      <c r="FB541" s="1365"/>
      <c r="FD541" s="1355"/>
      <c r="FE541" s="1355"/>
      <c r="FF541" s="138"/>
      <c r="FI541" s="1357"/>
      <c r="FJ541" s="1357"/>
      <c r="FK541" s="1365"/>
      <c r="FL541" s="1365"/>
      <c r="FM541" s="1365"/>
      <c r="FO541" s="1361"/>
      <c r="FP541" s="1361"/>
      <c r="FQ541" s="1366"/>
      <c r="FR541" s="1361"/>
      <c r="FS541" s="1361"/>
      <c r="FT541" s="1361"/>
      <c r="FU541" s="1360"/>
      <c r="FW541" s="1352"/>
      <c r="FX541" s="1352"/>
      <c r="FY541" s="1352"/>
      <c r="FZ541" s="1352"/>
      <c r="GA541" s="1352"/>
      <c r="GB541" s="1352"/>
      <c r="GC541" s="1352"/>
      <c r="GD541" s="1352"/>
      <c r="GE541" s="759"/>
      <c r="GF541" s="1035"/>
      <c r="GG541" s="1385"/>
      <c r="GJ541" s="1034">
        <f>IF(GJ539=TRUE,0,GJ$16)</f>
        <v>0</v>
      </c>
      <c r="GL541" s="1034">
        <f>IF(GL539=TRUE,0,GL$16)</f>
        <v>36</v>
      </c>
      <c r="GM541" s="1034">
        <f>IF(GM539=TRUE,0,GM$16)</f>
        <v>35</v>
      </c>
      <c r="GN541" s="436"/>
      <c r="GO541" s="436"/>
      <c r="GP541" s="436"/>
      <c r="GQ541" s="436"/>
      <c r="GR541" s="436"/>
      <c r="HC541" s="1034">
        <f t="shared" ref="HC541:HH541" si="398">IF(HC539=TRUE,0,HC$16)</f>
        <v>19</v>
      </c>
      <c r="HD541" s="1034">
        <f t="shared" si="398"/>
        <v>18</v>
      </c>
      <c r="HE541" s="1034">
        <f t="shared" si="398"/>
        <v>17</v>
      </c>
      <c r="HF541" s="1034">
        <f t="shared" si="398"/>
        <v>16</v>
      </c>
      <c r="HG541" s="1034">
        <f t="shared" si="398"/>
        <v>0</v>
      </c>
      <c r="HH541" s="1034">
        <f t="shared" si="398"/>
        <v>0</v>
      </c>
      <c r="HI541" s="1034">
        <f>IF(HI539=TRUE,0,HI$16)</f>
        <v>13</v>
      </c>
      <c r="HJ541" s="1034">
        <f t="shared" ref="HJ541:HL541" si="399">IF(HJ539=TRUE,0,HJ$16)</f>
        <v>12</v>
      </c>
      <c r="HK541" s="1034">
        <f t="shared" si="399"/>
        <v>11</v>
      </c>
      <c r="HL541" s="1034">
        <f t="shared" si="399"/>
        <v>10</v>
      </c>
      <c r="HM541" s="1034">
        <f>IF(HM539=TRUE,0,HM$16)</f>
        <v>9</v>
      </c>
      <c r="HN541" s="1034">
        <f t="shared" ref="HN541:HR541" si="400">IF(HN539=TRUE,0,HN$16)</f>
        <v>0</v>
      </c>
      <c r="HO541" s="1034">
        <f t="shared" si="400"/>
        <v>0</v>
      </c>
      <c r="HP541" s="1034">
        <f t="shared" si="400"/>
        <v>0</v>
      </c>
      <c r="HQ541" s="1034">
        <f t="shared" si="400"/>
        <v>0</v>
      </c>
      <c r="HR541" s="1034">
        <f t="shared" si="400"/>
        <v>0</v>
      </c>
      <c r="HS541" s="1034">
        <f>IF(HS539=TRUE,0,HS$16)</f>
        <v>0</v>
      </c>
      <c r="HT541" s="1034">
        <f t="shared" ref="HT541" si="401">IF(HT539=TRUE,0,HT$16)</f>
        <v>0</v>
      </c>
      <c r="HU541" s="1034">
        <f>IF(HU539=TRUE,0,HU$16)</f>
        <v>1</v>
      </c>
      <c r="HW541" s="1034">
        <f>IF(GL539=FALSE,GL541,IF(GM539=FALSE,GM541,MAX(GJ541:HU541)))</f>
        <v>36</v>
      </c>
      <c r="HX541" s="1383"/>
      <c r="HY541" s="241" t="str">
        <f>VLOOKUP(HW541,_Error_Table,3,FALSE)</f>
        <v xml:space="preserve"> </v>
      </c>
      <c r="HZ541" s="241"/>
      <c r="IA541" s="1386"/>
      <c r="IB541" s="1380"/>
      <c r="IC541" s="1379"/>
      <c r="IF541" s="1380"/>
      <c r="IG541" s="1383"/>
      <c r="IH541" s="1383"/>
      <c r="II541" s="1383"/>
      <c r="IK541" s="1351"/>
      <c r="IL541" s="1351"/>
      <c r="IM541" s="1351"/>
      <c r="IN541" s="1351"/>
      <c r="IO541" s="1351"/>
      <c r="IP541" s="1351"/>
    </row>
    <row r="542" spans="1:250" s="82" customFormat="1" ht="5.0999999999999996" customHeight="1" thickBot="1">
      <c r="B542" s="763"/>
      <c r="C542" s="1038"/>
      <c r="D542" s="1038"/>
      <c r="E542" s="1490"/>
      <c r="F542" s="1490"/>
      <c r="G542" s="1490"/>
      <c r="H542" s="1490"/>
      <c r="I542" s="1490"/>
      <c r="J542" s="1490"/>
      <c r="K542" s="1490"/>
      <c r="L542" s="1490"/>
      <c r="M542" s="1490"/>
      <c r="N542" s="1490"/>
      <c r="O542" s="1490"/>
      <c r="P542" s="1490"/>
      <c r="Q542" s="1490"/>
      <c r="R542" s="1490"/>
      <c r="S542" s="1490"/>
      <c r="T542" s="1490"/>
      <c r="U542" s="1490"/>
      <c r="V542" s="1490"/>
      <c r="W542" s="1490"/>
      <c r="X542" s="1490"/>
      <c r="Y542" s="1490"/>
      <c r="Z542" s="1490"/>
      <c r="AA542" s="1490"/>
      <c r="AB542" s="1490"/>
      <c r="AC542" s="1490"/>
      <c r="AD542" s="1490"/>
      <c r="AE542" s="1490"/>
      <c r="AF542" s="1490"/>
      <c r="AG542" s="1490"/>
      <c r="AH542" s="1490"/>
      <c r="AI542" s="1490"/>
      <c r="AJ542" s="1490"/>
      <c r="AK542" s="1490"/>
      <c r="AL542" s="1490"/>
      <c r="AM542" s="1490"/>
      <c r="AN542" s="1490"/>
      <c r="AO542" s="1490"/>
      <c r="AP542" s="1490"/>
      <c r="AQ542" s="1490"/>
      <c r="AR542" s="1490"/>
      <c r="AS542" s="1490"/>
      <c r="AT542" s="1490"/>
      <c r="AU542" s="1041"/>
      <c r="BC542" s="38"/>
      <c r="BD542" s="38"/>
      <c r="BE542" s="38"/>
      <c r="BF542" s="38"/>
      <c r="BG542" s="38"/>
      <c r="BH542" s="38"/>
      <c r="BI542" s="38"/>
      <c r="BJ542" s="38"/>
      <c r="BK542" s="38"/>
      <c r="BL542" s="38"/>
      <c r="BM542" s="38"/>
      <c r="BN542" s="38"/>
      <c r="BO542" s="38"/>
      <c r="BP542" s="38"/>
      <c r="BQ542" s="38"/>
      <c r="BR542" s="38"/>
      <c r="BS542" s="38"/>
      <c r="BT542" s="38"/>
      <c r="BU542" s="38"/>
      <c r="BV542" s="38"/>
      <c r="BW542" s="38"/>
      <c r="BX542" s="38"/>
      <c r="BY542" s="38"/>
      <c r="BZ542" s="38"/>
      <c r="CA542" s="38"/>
      <c r="CB542" s="38"/>
      <c r="CC542" s="38"/>
      <c r="CD542" s="38"/>
      <c r="CE542" s="38"/>
      <c r="CF542" s="38"/>
      <c r="CG542" s="38"/>
      <c r="CH542" s="38"/>
      <c r="CI542" s="38"/>
      <c r="CM542" s="749"/>
      <c r="CN542" s="749"/>
      <c r="CO542" s="1043"/>
      <c r="CP542" s="749"/>
      <c r="CS542" s="436"/>
      <c r="CT542" s="436"/>
      <c r="CU542" s="243"/>
      <c r="CV542" s="244"/>
      <c r="CW542" s="244"/>
      <c r="CX542" s="244"/>
      <c r="CY542" s="245"/>
      <c r="CZ542" s="245"/>
      <c r="DA542" s="245"/>
      <c r="DC542" s="750"/>
      <c r="DD542" s="751"/>
      <c r="DE542" s="752"/>
      <c r="DF542" s="753"/>
      <c r="DG542" s="754"/>
      <c r="DH542" s="754"/>
      <c r="DK542" s="244"/>
      <c r="DL542" s="750"/>
      <c r="DN542" s="750"/>
      <c r="DO542" s="755"/>
      <c r="DP542" s="436"/>
      <c r="DQ542" s="750"/>
      <c r="DR542" s="750"/>
      <c r="DS542" s="750"/>
      <c r="DU542" s="750"/>
      <c r="DV542" s="750"/>
      <c r="DW542" s="750"/>
      <c r="DX542" s="750"/>
      <c r="DZ542" s="756"/>
      <c r="EA542" s="756"/>
      <c r="EC542" s="754"/>
      <c r="ED542" s="754"/>
      <c r="EE542" s="244"/>
      <c r="EF542" s="754"/>
      <c r="EG542" s="754"/>
      <c r="EH542" s="243"/>
      <c r="EI542" s="243"/>
      <c r="EJ542" s="752"/>
      <c r="EK542" s="757"/>
      <c r="EL542" s="757"/>
      <c r="EM542" s="758"/>
      <c r="EN542" s="758"/>
      <c r="EO542" s="752"/>
      <c r="EP542" s="752"/>
      <c r="EQ542" s="752"/>
      <c r="ES542" s="750"/>
      <c r="EU542" s="436"/>
      <c r="EV542" s="436"/>
      <c r="EW542" s="436"/>
      <c r="EX542" s="436"/>
      <c r="EY542" s="436"/>
      <c r="EZ542" s="436"/>
      <c r="FB542" s="643"/>
      <c r="FD542" s="436"/>
      <c r="FE542" s="436"/>
      <c r="FF542" s="436"/>
      <c r="FO542" s="750"/>
      <c r="FP542" s="436"/>
      <c r="FQ542" s="436"/>
      <c r="FR542" s="750"/>
      <c r="FS542" s="750"/>
      <c r="FW542" s="749"/>
      <c r="FX542" s="749"/>
      <c r="FY542" s="749"/>
      <c r="FZ542" s="749"/>
      <c r="GA542" s="749"/>
      <c r="GB542" s="749"/>
      <c r="GC542" s="749"/>
      <c r="GD542" s="749"/>
      <c r="GE542" s="751"/>
      <c r="GF542" s="750"/>
      <c r="GG542" s="750"/>
    </row>
    <row r="543" spans="1:250" s="82" customFormat="1" ht="14.95" customHeight="1" thickTop="1" thickBot="1">
      <c r="B543" s="1421" t="str">
        <f>HY546</f>
        <v xml:space="preserve"> </v>
      </c>
      <c r="C543" s="1422">
        <f>C538+1</f>
        <v>98</v>
      </c>
      <c r="D543" s="1423"/>
      <c r="E543" s="1424" t="s">
        <v>242</v>
      </c>
      <c r="F543" s="1425"/>
      <c r="G543" s="1426"/>
      <c r="H543" s="1427"/>
      <c r="I543" s="1427"/>
      <c r="J543" s="1427"/>
      <c r="K543" s="1427"/>
      <c r="L543" s="1427"/>
      <c r="M543" s="1427"/>
      <c r="N543" s="1427"/>
      <c r="O543" s="1427"/>
      <c r="P543" s="1427"/>
      <c r="Q543" s="1427"/>
      <c r="R543" s="1427"/>
      <c r="S543" s="1428" t="s">
        <v>283</v>
      </c>
      <c r="T543" s="668" t="s">
        <v>190</v>
      </c>
      <c r="U543" s="1430" t="s">
        <v>186</v>
      </c>
      <c r="V543" s="1431"/>
      <c r="W543" s="1431"/>
      <c r="X543" s="1431"/>
      <c r="Y543" s="1431"/>
      <c r="Z543" s="1431"/>
      <c r="AA543" s="1431"/>
      <c r="AB543" s="1088" t="str">
        <f>IFERROR(IF(__Retrofit_TI_NC=0,VLOOKUP(U544,Fixtures_Existing_List,2,FALSE),ROUND(N545*R545/T545,10)),"")</f>
        <v/>
      </c>
      <c r="AC543" s="1039" t="str">
        <f>IFERROR(IF(__Retrofit_TI_NC=0,ROUND(T544*AB543*N544*R544/1000,0),IF(CN543="Interior",N545*R545*R544*N544*_C406_reduction/1000,N545*R545*R544*N544/1000)),"")</f>
        <v/>
      </c>
      <c r="AD543" s="1040" t="str">
        <f>IFERROR(IF(C$36=0,ROUND(T544*AB543/1000,2),N545*R545/1000),"")</f>
        <v/>
      </c>
      <c r="AE543" s="1044" t="s">
        <v>190</v>
      </c>
      <c r="AF543" s="1432" t="str">
        <f>IF(__Retrofit_TI_NC=2,CONCATENATE("Code min = ",DD543),IF(__Retrofit_TI_NC=1,"Emter what you think the existing control was"," Control"))</f>
        <v xml:space="preserve"> Control</v>
      </c>
      <c r="AG543" s="1432"/>
      <c r="AH543" s="1432"/>
      <c r="AI543" s="1432"/>
      <c r="AJ543" s="1433">
        <f>DF543</f>
        <v>0</v>
      </c>
      <c r="AK543" s="1435" t="str">
        <f>IFERROR(ROUND(AJ543*AC543,0),"")</f>
        <v/>
      </c>
      <c r="AL543" s="1437">
        <f>IFERROR(IF(HW543=FALSE,0,AC543-AK543),0)</f>
        <v>0</v>
      </c>
      <c r="AM543" s="1439">
        <f>AL543-AL545</f>
        <v>0</v>
      </c>
      <c r="AN543" s="1440"/>
      <c r="AO543" s="1445">
        <f>IFERROR(IF(HW543=FALSE,0,(T545*U546)+(AE545*AF546)),0)</f>
        <v>0</v>
      </c>
      <c r="AP543" s="1445"/>
      <c r="AQ543" s="1446"/>
      <c r="AR543" s="1451" t="s">
        <v>157</v>
      </c>
      <c r="AS543" s="1454">
        <f>IF(AR543="Yes",1,0)</f>
        <v>1</v>
      </c>
      <c r="AT543" s="1457" t="str">
        <f>IF(OR(DN543=4,DN543=5,DN543=6,DN543=12),CONCATENATE("$",IF(GD543=TRUE,Lookup!$B$11,Lookup!$B$2)," /lamp"),CONCATENATE(EA543,"/ kWh"))</f>
        <v>0/ kWh</v>
      </c>
      <c r="AU543" s="516"/>
      <c r="AV543" s="1478">
        <f>IFERROR(IF(GI544=TRUE,(AB546*T545)/R545,0),"NA")</f>
        <v>0</v>
      </c>
      <c r="AW543" s="1478" t="str">
        <f>IFERROR(N545*_C406_reduction,"NA")</f>
        <v>NA</v>
      </c>
      <c r="BC543" s="38"/>
      <c r="BD543" s="38"/>
      <c r="BE543" s="38"/>
      <c r="BF543" s="38"/>
      <c r="BG543" s="38"/>
      <c r="BH543" s="38"/>
      <c r="BI543" s="38"/>
      <c r="BJ543" s="38"/>
      <c r="BK543" s="38"/>
      <c r="BL543" s="38"/>
      <c r="BM543" s="38"/>
      <c r="BN543" s="38"/>
      <c r="BO543" s="38"/>
      <c r="BP543" s="38"/>
      <c r="BQ543" s="38"/>
      <c r="BR543" s="38"/>
      <c r="BS543" s="38"/>
      <c r="BT543" s="38"/>
      <c r="BU543" s="38"/>
      <c r="BV543" s="38"/>
      <c r="BW543" s="38"/>
      <c r="BX543" s="38"/>
      <c r="BY543" s="38"/>
      <c r="BZ543" s="38"/>
      <c r="CA543" s="38"/>
      <c r="CB543" s="38"/>
      <c r="CC543" s="38"/>
      <c r="CD543" s="38"/>
      <c r="CE543" s="38"/>
      <c r="CF543" s="38"/>
      <c r="CG543" s="38"/>
      <c r="CH543" s="38"/>
      <c r="CI543" s="38"/>
      <c r="CM543" s="1352" t="str">
        <f>N544</f>
        <v/>
      </c>
      <c r="CN543" s="1352" t="str">
        <f>IFERROR(VLOOKUP(G544,_Lookup_Heat_Type_Table_New,3,FALSE),"")</f>
        <v/>
      </c>
      <c r="CO543" s="1415" t="str">
        <f>CN543</f>
        <v/>
      </c>
      <c r="CP543" s="1417" t="e">
        <f>VLOOKUP(G545,'Space Table'!$B$3:$L$160,9,FALSE)</f>
        <v>#N/A</v>
      </c>
      <c r="CR543" s="1386" t="s">
        <v>283</v>
      </c>
      <c r="CS543" s="1353">
        <f>IF(HW543=TRUE,T544,0)</f>
        <v>0</v>
      </c>
      <c r="CT543" s="1353" t="str">
        <f>IF(HW543=TRUE,U544,"")</f>
        <v/>
      </c>
      <c r="CU543" s="1353"/>
      <c r="CV543" s="1370">
        <f>IF(HW543=TRUE,AB543,0)</f>
        <v>0</v>
      </c>
      <c r="CW543" s="1370">
        <f>IF(HW543=TRUE,AC543,0)</f>
        <v>0</v>
      </c>
      <c r="CX543" s="1370">
        <f>IFERROR(IF(HW543=TRUE,CW543-CW545,0),0)</f>
        <v>0</v>
      </c>
      <c r="CY543" s="1485">
        <f>IF(HW543=TRUE,AD543,0)</f>
        <v>0</v>
      </c>
      <c r="CZ543" s="1485">
        <f>IF(HW543=TRUE,AD546,0)</f>
        <v>0</v>
      </c>
      <c r="DA543" s="1485">
        <f>IFERROR(CY543-CZ543,0)</f>
        <v>0</v>
      </c>
      <c r="DC543" s="1353">
        <f>IF(HW543=TRUE,AE544,0)</f>
        <v>0</v>
      </c>
      <c r="DD543" s="1460">
        <f>IF(__Retrofit_TI_NC=2,IF(CN543="Exterior",O546,FM543),FK543)</f>
        <v>0</v>
      </c>
      <c r="DE543" s="1353"/>
      <c r="DF543" s="1406">
        <f>IFERROR(IF(FL543=3,IK543,IF(FL543=4,IL543,IF(FL543=5,IM543,IF(FL543=6,IN543,IF(FL543=7,IO543,IF(FL543=8,IP543,0)))))),0)</f>
        <v>0</v>
      </c>
      <c r="DG543" s="1370">
        <f>IF(HW543=TRUE,AK543,0)</f>
        <v>0</v>
      </c>
      <c r="DH543" s="1369">
        <f>IFERROR(IF(HW543=TRUE,DG545-DG543,0),0)</f>
        <v>0</v>
      </c>
      <c r="DJ543" s="1483">
        <f>IFERROR(CW543-DG543,0)</f>
        <v>0</v>
      </c>
      <c r="DL543" s="1419">
        <f>DJ543-DK545</f>
        <v>0</v>
      </c>
      <c r="DN543" s="1403" t="str">
        <f>IFERROR(IF(AND(OR(FY543=4,FY543=5,FY543=6),OR(GB543=4,GB543=5,GB543=6)),FY543+8,VLOOKUP(CT545,Fixtures!R$31:Y$78,8,FALSE)),"")</f>
        <v/>
      </c>
      <c r="DO543" s="1404" t="str">
        <f>DN543</f>
        <v/>
      </c>
      <c r="DP543" s="1353" t="str">
        <f>IFERROR(VLOOKUP(DD545,Lookup!AU$3:AV$15,2,FALSE),"")</f>
        <v/>
      </c>
      <c r="DQ543" s="1404" t="str">
        <f>IF(DP543=7,"LLLC","")</f>
        <v/>
      </c>
      <c r="DR543" s="1403">
        <f>IFERROR(IF(OR(DN543=4,DN543=5,DN543=6,DN543=12,DN543=13,DN543=14),VLOOKUP(CT545,Fixtures!DN$27:EG$77,19,FALSE),1)*CS545,0)</f>
        <v>0</v>
      </c>
      <c r="DS543" s="1489">
        <f>IF(DP543=7,IF(DD543=DD545,0,DC545),0)</f>
        <v>0</v>
      </c>
      <c r="DU543" s="1403" t="str">
        <f>IFERROR(IF(EW543&lt;EW545,"Yes","No"),"")</f>
        <v/>
      </c>
      <c r="DV543" s="1404" t="str">
        <f>DU543</f>
        <v/>
      </c>
      <c r="DW543" s="1403">
        <f>IF(DU543="Yes",DC545,0)</f>
        <v>0</v>
      </c>
      <c r="DX543" s="1403">
        <f>DW543-DS543</f>
        <v>0</v>
      </c>
      <c r="DZ543" s="1481">
        <f>IFERROR(VLOOKUP(DN543,Lookup!AN$3:AO$16,2,FALSE),0)</f>
        <v>0</v>
      </c>
      <c r="EA543" s="1481">
        <f>IF(HW543=FALSE,0,IF(DU543="Yes",DZ543+Lookup!B$6,DZ543))</f>
        <v>0</v>
      </c>
      <c r="EC543" s="1482">
        <f>IF(HW543=TRUE,DJ543,0)</f>
        <v>0</v>
      </c>
      <c r="ED543" s="1369">
        <f>IF(HW543=TRUE,CW545,0)</f>
        <v>0</v>
      </c>
      <c r="EE543" s="1370">
        <f>IFERROR(EC543-ED543,0)</f>
        <v>0</v>
      </c>
      <c r="EF543" s="1369">
        <f>IF(HW543=TRUE,DG545,0)</f>
        <v>0</v>
      </c>
      <c r="EG543" s="1369">
        <f>IFERROR(EC543-ED543+EF543,0)</f>
        <v>0</v>
      </c>
      <c r="EH543" s="1373">
        <f>IF(HW543=TRUE,CS545*CU545,0)</f>
        <v>0</v>
      </c>
      <c r="EI543" s="1373">
        <f>IF(HW543=TRUE,DC545*DE545,0)</f>
        <v>0</v>
      </c>
      <c r="EJ543" s="1363">
        <f>AO543</f>
        <v>0</v>
      </c>
      <c r="EK543" s="1376" t="str">
        <f>IFERROR(IF(HW543=TRUE,VLOOKUP(DN543,Lookup!AN$3:AP$16,3,FALSE)*DR543,""),0)</f>
        <v/>
      </c>
      <c r="EL543" s="1376">
        <f>IF(HW543=TRUE,DW543*Lookup!AP$12,0)</f>
        <v>0</v>
      </c>
      <c r="EM543" s="1362">
        <f>IFERROR(IF(HW543=TRUE,EK543/EM$33,0),0)</f>
        <v>0</v>
      </c>
      <c r="EN543" s="1362">
        <f>IF(HW543=TRUE,EL543/EN$33,0)</f>
        <v>0</v>
      </c>
      <c r="EO543" s="1363">
        <f>IF(HW543=TRUE,EQ$33*EM543,0)</f>
        <v>0</v>
      </c>
      <c r="EP543" s="1363">
        <f>IF(HW543=TRUE,EQ$33*EN543,0)</f>
        <v>0</v>
      </c>
      <c r="EQ543" s="1363">
        <f>EO543+EP543</f>
        <v>0</v>
      </c>
      <c r="ES543" s="1403">
        <f>IF(G543="",0,1)</f>
        <v>0</v>
      </c>
      <c r="EU543" s="1410" t="e">
        <f>VLOOKUP(CP545,'Space Table'!$B$3:$L$160,8,FALSE)</f>
        <v>#N/A</v>
      </c>
      <c r="EV543" s="1410" t="e">
        <f>IF(EY543="Yes",VLOOKUP(DD543,Lookup_Control_Type_Table2,4,FALSE),VLOOKUP(DD543,Lookup_Control_Type_Table2,3,FALSE))</f>
        <v>#N/A</v>
      </c>
      <c r="EW543" s="1410" t="e">
        <f>VLOOKUP(DD543,Lookup!AU$3:AV$15,2,FALSE)</f>
        <v>#N/A</v>
      </c>
      <c r="EX543" s="1410" t="e">
        <f>VLOOKUP(EU543,Lookup_Control_Type_Table,2,FALSE)</f>
        <v>#N/A</v>
      </c>
      <c r="EY543" s="1410" t="e">
        <f>VLOOKUP(CP545,'Space Table'!$B$3:$L$160,7,FALSE)</f>
        <v>#N/A</v>
      </c>
      <c r="EZ543" s="1412" t="b">
        <f>ISNUMBER(SEARCH("TLED",U545))</f>
        <v>0</v>
      </c>
      <c r="FB543" s="1365" t="str">
        <f>CONCATENATE(CN543," - ",DD543)</f>
        <v xml:space="preserve"> - 0</v>
      </c>
      <c r="FD543" s="1353" t="str">
        <f>VLOOKUP(CT545,Fixtures!DN$27:EZ$77,38,FALSE)</f>
        <v/>
      </c>
      <c r="FE543" s="1353">
        <f>IFERROR(FD543*EE543,0)</f>
        <v>0</v>
      </c>
      <c r="FF543" s="138"/>
      <c r="FI543" s="1356" t="str">
        <f>IF(CN543="Exterior","Not Daylighted",G546)</f>
        <v>Not Daylighted</v>
      </c>
      <c r="FJ543" s="1356">
        <f>VLOOKUP(FI543,_Daylight_Table_Codes,2,FALSE)</f>
        <v>0</v>
      </c>
      <c r="FK543" s="1365">
        <f>IF(__Retrofit_TI_NC=2,VLOOKUP(G545,'Space Table'!$B$3:$L$160,11,FALSE),AF544)</f>
        <v>0</v>
      </c>
      <c r="FL543" s="1365" t="e">
        <f>VLOOKUP(FK543,_Control_Table,2,FALSE)</f>
        <v>#N/A</v>
      </c>
      <c r="FM543" s="1365" t="e">
        <f>IF(AND(FP543&gt;0,FK543="Occupancy Sensor"),"Daylight + Occupancy",IF(AND(FP543&gt;0,FL543&lt;4),"Interior Daylight Dimming",FK543))</f>
        <v>#N/A</v>
      </c>
      <c r="FO543" s="1364">
        <f>IF(CO543="Interior",VLOOKUP(CP543,Control_Savings_Interior,5,FALSE),0)</f>
        <v>0</v>
      </c>
      <c r="FP543" s="1361">
        <f>IF(CN543="Exterior",0,IF(FJ543=2,0.5,IF(OR(FJ543=1,FJ543=3),1,0)))</f>
        <v>0</v>
      </c>
      <c r="FQ543" s="1366"/>
      <c r="FR543" s="1367"/>
      <c r="FS543" s="1364"/>
      <c r="FT543" s="1367"/>
      <c r="FU543" s="1360"/>
      <c r="FW543" s="1352" t="str">
        <f>IFERROR(VLOOKUP(U544,_Exist_Fixture_Table,3,FALSE),"")</f>
        <v/>
      </c>
      <c r="FX543" s="1352" t="str">
        <f>VLOOKUP(CT543,_Exist_Fixture_Table,4,FALSE)</f>
        <v/>
      </c>
      <c r="FY543" s="1352">
        <f>IFERROR(VLOOKUP(FX543,Lookup!AM$6:AN$8,2,FALSE),0)</f>
        <v>0</v>
      </c>
      <c r="FZ543" s="1352" t="b">
        <f>IFERROR(IF(OR(GB543=4,GB543=5,GB543=6),TRUE,FALSE),"")</f>
        <v>0</v>
      </c>
      <c r="GA543" s="1352" t="str">
        <f>IFERROR(VLOOKUP(GB543,FY$6:FZ$10,2,FALSE),"")</f>
        <v/>
      </c>
      <c r="GB543" s="1352" t="str">
        <f>VLOOKUP(CT545,Fixtures!R$31:Y$78,8,FALSE)</f>
        <v/>
      </c>
      <c r="GC543" s="1352">
        <f>IF(AND(FW543=TRUE,FZ543=TRUE,OR(DN543=12,DN543=13,DN543=14)),FY543+8,0)</f>
        <v>0</v>
      </c>
      <c r="GD543" s="1352" t="b">
        <f>IF(OR(GC543=12,GC543=13,GC543=14),TRUE,FALSE)</f>
        <v>0</v>
      </c>
      <c r="GE543" s="759" t="b">
        <f>IF(ISNUMBER(SEARCH("TLED",U544)),TRUE,FALSE)</f>
        <v>0</v>
      </c>
      <c r="GF543" s="1035" t="str">
        <f>IFERROR(VLOOKUP(U544,Fixtures!BM$93:BR$142,6,FALSE),"")</f>
        <v/>
      </c>
      <c r="GG543" s="1385" t="b">
        <f>IF(OR(GE543=FALSE,GE545=FALSE),TRUE,IF(GF543-GF545&lt;5,FALSE,TRUE))</f>
        <v>1</v>
      </c>
      <c r="GK543" s="1034">
        <f>GL543</f>
        <v>0</v>
      </c>
      <c r="GL543" s="1034">
        <f>IF(G543="",0,1)</f>
        <v>0</v>
      </c>
      <c r="GM543" s="1034">
        <f>SUM(GN543:HB543)</f>
        <v>2</v>
      </c>
      <c r="GN543" s="1034">
        <f>IF(G544="",0,1)</f>
        <v>0</v>
      </c>
      <c r="GO543" s="1034">
        <f>IF(G545="",0,1)</f>
        <v>0</v>
      </c>
      <c r="GP543" s="1034">
        <f>IF(R544="",0,1)</f>
        <v>0</v>
      </c>
      <c r="GQ543" s="1034">
        <f>IF(__Retrofit_TI_NC=0,1,IF(R545="",0,1))</f>
        <v>1</v>
      </c>
      <c r="GR543" s="1034">
        <f>IF(CN543="Exterior",1,IF(G546="",0,1))</f>
        <v>1</v>
      </c>
      <c r="GS543" s="1034">
        <f>IF(__Retrofit_TI_NC&lt;&gt;0,1,IF(T544="",0,1))</f>
        <v>0</v>
      </c>
      <c r="GT543" s="1034">
        <f>IF(__Retrofit_TI_NC&lt;&gt;0,1,IF(U544="",0,1))</f>
        <v>0</v>
      </c>
      <c r="GU543" s="1034">
        <f>IF(T545="",0,1)</f>
        <v>0</v>
      </c>
      <c r="GV543" s="1034">
        <f>IF(U545="",0,1)</f>
        <v>0</v>
      </c>
      <c r="GW543" s="1034">
        <f>IF(__Retrofit_TI_NC=2,1,IF(U546="",0,1))</f>
        <v>0</v>
      </c>
      <c r="GX543" s="1034">
        <f>IF(__Retrofit_TI_NC&lt;&gt;0,1,IF(AE544="",0,1))</f>
        <v>0</v>
      </c>
      <c r="GY543" s="1034">
        <f>IF(__Retrofit_TI_NC&lt;&gt;0,1,IF(AF544="",0,1))</f>
        <v>0</v>
      </c>
      <c r="GZ543" s="1034">
        <f>IF(AE545="",0,1)</f>
        <v>0</v>
      </c>
      <c r="HA543" s="1034">
        <f>IF(AF545="",0,1)</f>
        <v>0</v>
      </c>
      <c r="HB543" s="1034">
        <f>IF(__Retrofit_TI_NC=2,1,IF(AF546="",0,1))</f>
        <v>0</v>
      </c>
      <c r="HV543" s="436"/>
      <c r="HW543" s="1384" t="b">
        <f>IF(OR(HW546=0,HW546=HT$16,HW546=HS$16,HW546=HU$16),TRUE,FALSE)</f>
        <v>0</v>
      </c>
      <c r="HX543" s="1377" t="b">
        <f>HW543</f>
        <v>0</v>
      </c>
      <c r="HY543" s="436"/>
      <c r="HZ543" s="436"/>
      <c r="IA543" s="1386" t="b">
        <f>IF(MAX(GJ546:HP546)&gt;5,FALSE,TRUE)</f>
        <v>0</v>
      </c>
      <c r="IB543" s="1380">
        <f>IF(IA543=TRUE,AC543,0)</f>
        <v>0</v>
      </c>
      <c r="IC543" s="1380">
        <f>IB543-IB545</f>
        <v>0</v>
      </c>
      <c r="IF543" s="1380" t="e">
        <f>ROUND(T544*VLOOKUP(U544,Fixtures_Existing_List,2,FALSE)*N544*R544/1000,0)</f>
        <v>#N/A</v>
      </c>
      <c r="IG543" s="1381" t="e">
        <f>IF543-IF545</f>
        <v>#N/A</v>
      </c>
      <c r="IH543" s="1384" t="e">
        <f>ROUND(IF(CN543="Interior",N545*R545*R544*N544*_C406_reduction/1000,N545*R545*R544*N544/1000),0)</f>
        <v>#N/A</v>
      </c>
      <c r="II543" s="1384" t="e">
        <f>IH543-IH545</f>
        <v>#N/A</v>
      </c>
      <c r="IK543" s="1351" t="e">
        <f>IF($CO543="interior",IL543/2,VLOOKUP($CP543,Control_Savings_Exterior,IK$30,FALSE))</f>
        <v>#N/A</v>
      </c>
      <c r="IL543" s="1351" t="e">
        <f>IF($CO543="interior",VLOOKUP($CP543,Control_Savings_Interior,IL$30,FALSE),VLOOKUP($CP543,Control_Savings_Exterior,IL$30,FALSE))</f>
        <v>#N/A</v>
      </c>
      <c r="IM543" s="1351" t="e">
        <f>IF($CO543="interior",IF(R544&gt;FO$37,(IM$28*(FO$37/R544)),IM$28)*FP543,VLOOKUP($CP543,Control_Savings_Exterior,IM$30,FALSE))</f>
        <v>#N/A</v>
      </c>
      <c r="IN543" s="1351" t="e">
        <f>IF($CO543="interior",ROUND(((1-IL543)*IM543)+IL543,2),VLOOKUP($CP543,Control_Savings_Exterior,IN$30,FALSE))</f>
        <v>#N/A</v>
      </c>
      <c r="IO543" s="1351" t="e">
        <f>IF($CO543="interior", ROUND(((1-IL543)*(IM543*(1-IP$28)))+IP543,2), VLOOKUP($CP543,Control_Savings_Exterior,IO$30,FALSE))</f>
        <v>#N/A</v>
      </c>
      <c r="IP543" s="1351">
        <f>IF($CO543="interior",ROUND(((1-IL543)*IP$28)+IL543,2),0)</f>
        <v>0</v>
      </c>
    </row>
    <row r="544" spans="1:250" s="82" customFormat="1" ht="14.95" customHeight="1" thickTop="1" thickBot="1">
      <c r="B544" s="1421"/>
      <c r="C544" s="1422"/>
      <c r="D544" s="1423"/>
      <c r="E544" s="1393" t="s">
        <v>244</v>
      </c>
      <c r="F544" s="1394"/>
      <c r="G544" s="1395"/>
      <c r="H544" s="1395"/>
      <c r="I544" s="1395"/>
      <c r="J544" s="1395"/>
      <c r="K544" s="1395"/>
      <c r="L544" s="1395"/>
      <c r="M544" s="509" t="e">
        <f>IF(__Retrofit_TI_NC&lt;&gt;0,IF(VLOOKUP(G545,'Space Table'!$B$3:$L$160,3,FALSE)&gt;0,1,0),IF(__Retrofit_TI_NC=VLOOKUP(G545,'Space Table'!$B$3:$L$160,3,FALSE),1,0))</f>
        <v>#N/A</v>
      </c>
      <c r="N544" s="509" t="str">
        <f>IFERROR(VLOOKUP(G544,_Lookup_Heat_Type_Table_New,2,FALSE),"")</f>
        <v/>
      </c>
      <c r="O544" s="509">
        <f>IF(__Retrofit_TI_NC=1,CONCATENATE("TI ",G544),IF(__Retrofit_TI_NC=2,CONCATENATE("NC ",G544),G544))</f>
        <v>0</v>
      </c>
      <c r="P544" s="1396" t="s">
        <v>352</v>
      </c>
      <c r="Q544" s="1396"/>
      <c r="R544" s="673"/>
      <c r="S544" s="1429"/>
      <c r="T544" s="675"/>
      <c r="U544" s="1496"/>
      <c r="V544" s="1497"/>
      <c r="W544" s="1497"/>
      <c r="X544" s="1497"/>
      <c r="Y544" s="1497"/>
      <c r="Z544" s="1497"/>
      <c r="AA544" s="1497"/>
      <c r="AB544" s="1497"/>
      <c r="AC544" s="1497"/>
      <c r="AD544" s="1498"/>
      <c r="AE544" s="675"/>
      <c r="AF544" s="1397"/>
      <c r="AG544" s="1397"/>
      <c r="AH544" s="1397"/>
      <c r="AI544" s="1397"/>
      <c r="AJ544" s="1434"/>
      <c r="AK544" s="1436"/>
      <c r="AL544" s="1438"/>
      <c r="AM544" s="1441"/>
      <c r="AN544" s="1442"/>
      <c r="AO544" s="1447"/>
      <c r="AP544" s="1447"/>
      <c r="AQ544" s="1448"/>
      <c r="AR544" s="1452"/>
      <c r="AS544" s="1455"/>
      <c r="AT544" s="1458"/>
      <c r="AU544" s="516"/>
      <c r="AV544" s="1479"/>
      <c r="AW544" s="1479"/>
      <c r="BC544" s="38"/>
      <c r="BD544" s="38"/>
      <c r="BE544" s="38"/>
      <c r="BF544" s="38"/>
      <c r="BG544" s="38"/>
      <c r="BH544" s="38"/>
      <c r="BI544" s="38"/>
      <c r="BJ544" s="38"/>
      <c r="BK544" s="38"/>
      <c r="BL544" s="38"/>
      <c r="BM544" s="38"/>
      <c r="BN544" s="38"/>
      <c r="BO544" s="38"/>
      <c r="BP544" s="38"/>
      <c r="BQ544" s="38"/>
      <c r="BR544" s="38"/>
      <c r="BS544" s="38"/>
      <c r="BT544" s="38"/>
      <c r="BU544" s="38"/>
      <c r="BV544" s="38"/>
      <c r="BW544" s="38"/>
      <c r="BX544" s="38"/>
      <c r="BY544" s="38"/>
      <c r="BZ544" s="38"/>
      <c r="CA544" s="38"/>
      <c r="CB544" s="38"/>
      <c r="CC544" s="38"/>
      <c r="CD544" s="38"/>
      <c r="CE544" s="38"/>
      <c r="CF544" s="38"/>
      <c r="CG544" s="38"/>
      <c r="CH544" s="38"/>
      <c r="CI544" s="38"/>
      <c r="CM544" s="1352"/>
      <c r="CN544" s="1352"/>
      <c r="CO544" s="1416"/>
      <c r="CP544" s="1418"/>
      <c r="CR544" s="1386"/>
      <c r="CS544" s="1355"/>
      <c r="CT544" s="1355"/>
      <c r="CU544" s="1355"/>
      <c r="CV544" s="1372"/>
      <c r="CW544" s="1372"/>
      <c r="CX544" s="1371"/>
      <c r="CY544" s="1486"/>
      <c r="CZ544" s="1486"/>
      <c r="DA544" s="1486"/>
      <c r="DC544" s="1355"/>
      <c r="DD544" s="1461"/>
      <c r="DE544" s="1355"/>
      <c r="DF544" s="1407"/>
      <c r="DG544" s="1372"/>
      <c r="DH544" s="1369"/>
      <c r="DJ544" s="1484"/>
      <c r="DL544" s="1419"/>
      <c r="DN544" s="1403"/>
      <c r="DO544" s="1405"/>
      <c r="DP544" s="1354"/>
      <c r="DQ544" s="1405"/>
      <c r="DR544" s="1403"/>
      <c r="DS544" s="1489"/>
      <c r="DU544" s="1403"/>
      <c r="DV544" s="1405"/>
      <c r="DW544" s="1403"/>
      <c r="DX544" s="1403"/>
      <c r="DZ544" s="1481"/>
      <c r="EA544" s="1481"/>
      <c r="EC544" s="1482"/>
      <c r="ED544" s="1369"/>
      <c r="EE544" s="1371"/>
      <c r="EF544" s="1369"/>
      <c r="EG544" s="1369"/>
      <c r="EH544" s="1374"/>
      <c r="EI544" s="1374"/>
      <c r="EJ544" s="1363"/>
      <c r="EK544" s="1376"/>
      <c r="EL544" s="1376"/>
      <c r="EM544" s="1362"/>
      <c r="EN544" s="1362"/>
      <c r="EO544" s="1363"/>
      <c r="EP544" s="1363"/>
      <c r="EQ544" s="1363"/>
      <c r="ES544" s="1403"/>
      <c r="EU544" s="1411"/>
      <c r="EV544" s="1411"/>
      <c r="EW544" s="1411"/>
      <c r="EX544" s="1411"/>
      <c r="EY544" s="1411"/>
      <c r="EZ544" s="1413"/>
      <c r="FB544" s="1365"/>
      <c r="FD544" s="1354"/>
      <c r="FE544" s="1354"/>
      <c r="FF544" s="138"/>
      <c r="FI544" s="1357"/>
      <c r="FJ544" s="1357"/>
      <c r="FK544" s="1365"/>
      <c r="FL544" s="1365"/>
      <c r="FM544" s="1365"/>
      <c r="FO544" s="1361"/>
      <c r="FP544" s="1361"/>
      <c r="FQ544" s="1366"/>
      <c r="FR544" s="1368"/>
      <c r="FS544" s="1361"/>
      <c r="FT544" s="1368"/>
      <c r="FU544" s="1360"/>
      <c r="FW544" s="1352"/>
      <c r="FX544" s="1352"/>
      <c r="FY544" s="1352"/>
      <c r="FZ544" s="1352"/>
      <c r="GA544" s="1352"/>
      <c r="GB544" s="1352"/>
      <c r="GC544" s="1352"/>
      <c r="GD544" s="1352"/>
      <c r="GE544" s="759"/>
      <c r="GF544" s="1035"/>
      <c r="GG544" s="1385"/>
      <c r="GI544" s="1384" t="b">
        <f>IF(AND(GL544=TRUE,GM544=TRUE),TRUE,FALSE)</f>
        <v>0</v>
      </c>
      <c r="GJ544" s="1379" t="b">
        <f>IFERROR(IF(__Retrofit_TI_NC=2,TRUE,IF(AR543="Yes",TRUE,FALSE)),FALSE)</f>
        <v>1</v>
      </c>
      <c r="GL544" s="1379" t="b">
        <f>IFERROR(IF(GL543=1,TRUE,FALSE),FALSE)</f>
        <v>0</v>
      </c>
      <c r="GM544" s="1379" t="b">
        <f>IFERROR(IF(GM543=GM$14,TRUE,FALSE),FALSE)</f>
        <v>0</v>
      </c>
      <c r="HC544" s="1379" t="b">
        <f>IFERROR(IF(M544=1,TRUE,FALSE),FALSE)</f>
        <v>0</v>
      </c>
      <c r="HD544" s="1379" t="b">
        <f>IFERROR(IF(M545=1,TRUE,FALSE),FALSE)</f>
        <v>0</v>
      </c>
      <c r="HE544" s="1379" t="b">
        <f>IFERROR(IF(__Retrofit_TI_NC&lt;&gt;0,TRUE,IFERROR(IF(VLOOKUP(U544,Fixtures_Existing_List,2,FALSE)&lt;&gt;"",TRUE,FALSE),FALSE)),FALSE)</f>
        <v>0</v>
      </c>
      <c r="HF544" s="1379" t="b">
        <f>IFERROR(IF(VLOOKUP(U545,Fixtures_Proposed_List,2,FALSE)&lt;&gt;"",TRUE,FALSE),FALSE)</f>
        <v>0</v>
      </c>
      <c r="HG544" s="1379" t="b">
        <f>IF(AND(__Retrofit_TI_NC=2,EZ543=TRUE),FALSE,TRUE)</f>
        <v>1</v>
      </c>
      <c r="HH544" s="1379" t="b">
        <f>GG543</f>
        <v>1</v>
      </c>
      <c r="HI544" s="1384" t="b">
        <f>IF(ISERROR(MATCH(FB543,_Control_Match[],0))=TRUE,FALSE,TRUE)</f>
        <v>0</v>
      </c>
      <c r="HJ544" s="1384" t="b">
        <f>IFERROR(IF(EU543&lt;&gt;EV543,FALSE,TRUE),FALSE)</f>
        <v>0</v>
      </c>
      <c r="HK544" s="1384" t="b">
        <f>IFERROR(IF(EU545&lt;&gt;EV545,FALSE,TRUE),FALSE)</f>
        <v>0</v>
      </c>
      <c r="HL544" s="1379" t="b">
        <f>IFERROR(IF(CN543="Exterior",TRUE,IF(OR(AND(FJ543=0,EW545&gt;4),AND(FJ543=4,EW545&gt;4,EW545&lt;7)),FALSE,TRUE)),FALSE)</f>
        <v>0</v>
      </c>
      <c r="HM544" s="1379" t="b">
        <f>IFERROR(IF(AND(FL545=7,EZ543=TRUE),FALSE,TRUE),FALSE)</f>
        <v>0</v>
      </c>
      <c r="HN544" s="1379" t="b">
        <f>IFERROR(IF(AND(T545&lt;&gt;AE545,AF545="Interior LLLC")=TRUE,FALSE,TRUE),FALSE)</f>
        <v>1</v>
      </c>
      <c r="HO544" s="1379" t="b">
        <f>IFERROR(IF(OR(AF545=Lookup!AU$13,AF545=Lookup!AU$14)=TRUE,IF(AE545&gt;T545,FALSE,TRUE),TRUE),FALSE)</f>
        <v>1</v>
      </c>
      <c r="HP544" s="1379" t="b">
        <f>IFERROR(IF(__Retrofit_TI_NC=2,IF(EW545&lt;EW543,FALSE,TRUE),TRUE),FALSE)</f>
        <v>1</v>
      </c>
      <c r="HQ544" s="1379" t="b">
        <f>IF(CN543="Interior",IG$6,TRUE)</f>
        <v>1</v>
      </c>
      <c r="HR544" s="1379" t="b">
        <f>IF(CN543="Exterior",IG$8,TRUE)</f>
        <v>1</v>
      </c>
      <c r="HS544" s="1379" t="b">
        <f>IFERROR(IF(__Retrofit_TI_NC&lt;&gt;0,IF(AW543&lt;AV543,FALSE,TRUE),TRUE),FALSE)</f>
        <v>1</v>
      </c>
      <c r="HT544" s="1379" t="b">
        <f>IFERROR(IF(AND(G544="Exterior",R544&gt;4200),FALSE,TRUE),FALSE)</f>
        <v>1</v>
      </c>
      <c r="HU544" s="1379" t="b">
        <f>IFERROR(IF(AB546/AB543&lt;HU$18,FALSE,TRUE),FALSE)</f>
        <v>0</v>
      </c>
      <c r="HW544" s="1382"/>
      <c r="HX544" s="1378"/>
      <c r="HY544" s="1377" t="str">
        <f>VLOOKUP(HW546,_Error_Table,4,FALSE)</f>
        <v>White</v>
      </c>
      <c r="HZ544" s="436"/>
      <c r="IA544" s="1386"/>
      <c r="IB544" s="1380"/>
      <c r="IC544" s="1379"/>
      <c r="IF544" s="1380"/>
      <c r="IG544" s="1382"/>
      <c r="IH544" s="1382"/>
      <c r="II544" s="1382"/>
      <c r="IK544" s="1351"/>
      <c r="IL544" s="1351"/>
      <c r="IM544" s="1351"/>
      <c r="IN544" s="1351"/>
      <c r="IO544" s="1351"/>
      <c r="IP544" s="1351"/>
    </row>
    <row r="545" spans="1:250" s="82" customFormat="1" ht="14.95" customHeight="1" thickTop="1" thickBot="1">
      <c r="A545" s="82">
        <f>ROW()</f>
        <v>545</v>
      </c>
      <c r="B545" s="1421"/>
      <c r="C545" s="1422"/>
      <c r="D545" s="1423"/>
      <c r="E545" s="1393" t="s">
        <v>245</v>
      </c>
      <c r="F545" s="1394"/>
      <c r="G545" s="1398"/>
      <c r="H545" s="1399"/>
      <c r="I545" s="1399"/>
      <c r="J545" s="1399"/>
      <c r="K545" s="1399"/>
      <c r="L545" s="1400"/>
      <c r="M545" s="509">
        <f>IFERROR(IF(IF(__Retrofit_TI_NC&lt;&gt;0,IF(CN543="Interior",MATCH(G545,Lookup_Interior_New,0),MATCH(G545,Lookup_Exterior_New,0)),IF(CN543="Interior",MATCH(G545,Lookup_Interior,0),MATCH(G545,Lookup_Exterior_Areas,0)))&gt;0,1,0),0)</f>
        <v>0</v>
      </c>
      <c r="N545" s="509" t="e">
        <f>IF(__Retrofit_TI_NC=1,
VLOOKUP(G545,'Space Table'!$B$3:$L$160,4,FALSE),
IF(__Retrofit_TI_NC=2,VLOOKUP(G545,'Space Table'!$B$3:$L$160,5,FALSE),VLOOKUP(G545,'Space Table'!$B$3:$L$160,5,FALSE)))</f>
        <v>#N/A</v>
      </c>
      <c r="O545" s="509">
        <f>G545</f>
        <v>0</v>
      </c>
      <c r="P545" s="1394" t="s">
        <v>355</v>
      </c>
      <c r="Q545" s="1394"/>
      <c r="R545" s="674"/>
      <c r="S545" s="1401" t="s">
        <v>284</v>
      </c>
      <c r="T545" s="672"/>
      <c r="U545" s="1499"/>
      <c r="V545" s="1500"/>
      <c r="W545" s="1500"/>
      <c r="X545" s="1500"/>
      <c r="Y545" s="1500"/>
      <c r="Z545" s="1500"/>
      <c r="AA545" s="1500"/>
      <c r="AB545" s="1501"/>
      <c r="AC545" s="1501"/>
      <c r="AD545" s="1502"/>
      <c r="AE545" s="672"/>
      <c r="AF545" s="1474"/>
      <c r="AG545" s="1474"/>
      <c r="AH545" s="1474"/>
      <c r="AI545" s="1474"/>
      <c r="AJ545" s="1475">
        <f>DF545</f>
        <v>0</v>
      </c>
      <c r="AK545" s="1470" t="str">
        <f>IFERROR(ROUND(AJ545*AC546,0),"")</f>
        <v/>
      </c>
      <c r="AL545" s="1472">
        <f>IFERROR(IF(HW543=FALSE,0,AC546-AK545),0)</f>
        <v>0</v>
      </c>
      <c r="AM545" s="1441"/>
      <c r="AN545" s="1442"/>
      <c r="AO545" s="1447"/>
      <c r="AP545" s="1447"/>
      <c r="AQ545" s="1448"/>
      <c r="AR545" s="1452"/>
      <c r="AS545" s="1455"/>
      <c r="AT545" s="1458"/>
      <c r="AU545" s="516"/>
      <c r="AV545" s="1479"/>
      <c r="AW545" s="1479"/>
      <c r="BC545" s="38"/>
      <c r="BD545" s="38"/>
      <c r="BE545" s="38"/>
      <c r="BF545" s="38"/>
      <c r="BG545" s="38"/>
      <c r="BH545" s="38"/>
      <c r="BI545" s="38"/>
      <c r="BJ545" s="38"/>
      <c r="BK545" s="38"/>
      <c r="BL545" s="38"/>
      <c r="BM545" s="38"/>
      <c r="BN545" s="38"/>
      <c r="BO545" s="38"/>
      <c r="BP545" s="38"/>
      <c r="BQ545" s="38"/>
      <c r="BR545" s="38"/>
      <c r="BS545" s="38"/>
      <c r="BT545" s="38"/>
      <c r="BU545" s="38"/>
      <c r="BV545" s="38"/>
      <c r="BW545" s="38"/>
      <c r="BX545" s="38"/>
      <c r="BY545" s="38"/>
      <c r="BZ545" s="38"/>
      <c r="CA545" s="38"/>
      <c r="CB545" s="38"/>
      <c r="CC545" s="38"/>
      <c r="CD545" s="38"/>
      <c r="CE545" s="38"/>
      <c r="CF545" s="38"/>
      <c r="CG545" s="38"/>
      <c r="CH545" s="38"/>
      <c r="CI545" s="38"/>
      <c r="CM545" s="1352"/>
      <c r="CN545" s="1352"/>
      <c r="CO545" s="1415" t="str">
        <f>CN543</f>
        <v/>
      </c>
      <c r="CP545" s="1417" t="e">
        <f>CP543</f>
        <v>#N/A</v>
      </c>
      <c r="CR545" s="1386" t="s">
        <v>284</v>
      </c>
      <c r="CS545" s="1353">
        <f>IF(HW543=TRUE,T545,0)</f>
        <v>0</v>
      </c>
      <c r="CT545" s="1353" t="str">
        <f>IF(HW543=TRUE,U545,"")</f>
        <v/>
      </c>
      <c r="CU545" s="1373">
        <f>IF(HW543=TRUE,U546,0)</f>
        <v>0</v>
      </c>
      <c r="CV545" s="1370">
        <f>IF(HW543=TRUE,AB546,0)</f>
        <v>0</v>
      </c>
      <c r="CW545" s="1370">
        <f>IF(HW543=TRUE,AC546,0)</f>
        <v>0</v>
      </c>
      <c r="CX545" s="1371"/>
      <c r="CY545" s="1486"/>
      <c r="CZ545" s="1486"/>
      <c r="DA545" s="1486"/>
      <c r="DC545" s="1353">
        <f>IF(HW543=TRUE,AE545,0)</f>
        <v>0</v>
      </c>
      <c r="DD545" s="1353" t="str">
        <f>IF(HW543=TRUE,AF545,"")</f>
        <v/>
      </c>
      <c r="DE545" s="1373">
        <f>AF546</f>
        <v>0</v>
      </c>
      <c r="DF545" s="1406">
        <f>IFERROR(IF(FL545=3,IK545,IF(FL545=4,IL545,IF(FL545=5,IM545,IF(FL545=6,IN545,IF(FL545=7,IO545,IF(FL545=8,IP545,0)))))),0)</f>
        <v>0</v>
      </c>
      <c r="DG545" s="1370">
        <f>IF(HW543=TRUE,AK545,0)</f>
        <v>0</v>
      </c>
      <c r="DH545" s="1369"/>
      <c r="DK545" s="1483">
        <f>IFERROR(CW545-DG545,0)</f>
        <v>0</v>
      </c>
      <c r="DL545" s="1420"/>
      <c r="DN545" s="1403"/>
      <c r="DO545" s="1477" t="str">
        <f>DN543</f>
        <v/>
      </c>
      <c r="DP545" s="1354"/>
      <c r="DQ545" s="1477" t="str">
        <f>IF(DP543=7,"LLLC","")</f>
        <v/>
      </c>
      <c r="DR545" s="1403"/>
      <c r="DS545" s="1489"/>
      <c r="DU545" s="1403"/>
      <c r="DV545" s="1404" t="str">
        <f>DU543</f>
        <v/>
      </c>
      <c r="DW545" s="1403"/>
      <c r="DX545" s="1403"/>
      <c r="DZ545" s="1481"/>
      <c r="EA545" s="1481"/>
      <c r="EC545" s="1482"/>
      <c r="ED545" s="1369"/>
      <c r="EE545" s="1371"/>
      <c r="EF545" s="1369"/>
      <c r="EG545" s="1369"/>
      <c r="EH545" s="1374"/>
      <c r="EI545" s="1374"/>
      <c r="EJ545" s="1363"/>
      <c r="EK545" s="1376"/>
      <c r="EL545" s="1376"/>
      <c r="EM545" s="1362"/>
      <c r="EN545" s="1362"/>
      <c r="EO545" s="1363"/>
      <c r="EP545" s="1363"/>
      <c r="EQ545" s="1363"/>
      <c r="ES545" s="1403"/>
      <c r="EU545" s="1411" t="e">
        <f>VLOOKUP(CP545,'Space Table'!$B$3:$L$160,8,FALSE)</f>
        <v>#N/A</v>
      </c>
      <c r="EV545" s="1411" t="e">
        <f>IF(EY545="Yes",VLOOKUP(AF545,Lookup_Control_Type_Table2,4,FALSE),VLOOKUP(AF545,Lookup_Control_Type_Table2,3,FALSE))</f>
        <v>#N/A</v>
      </c>
      <c r="EW545" s="1411" t="e">
        <f>VLOOKUP(AF545,Lookup!AU$3:AV$15,2,FALSE)</f>
        <v>#N/A</v>
      </c>
      <c r="EX545" s="1411" t="e">
        <f>VLOOKUP(EU543,Lookup_Control_Type_Table,2,FALSE)</f>
        <v>#N/A</v>
      </c>
      <c r="EY545" s="1411" t="e">
        <f>VLOOKUP(CP545,'Space Table'!$B$3:$L$160,7,FALSE)</f>
        <v>#N/A</v>
      </c>
      <c r="EZ545" s="1413"/>
      <c r="FB545" s="1365" t="str">
        <f>CONCATENATE(CN543," - ",AF545)</f>
        <v xml:space="preserve"> - </v>
      </c>
      <c r="FD545" s="1354"/>
      <c r="FE545" s="1354"/>
      <c r="FF545" s="138"/>
      <c r="FI545" s="1356" t="str">
        <f>IF(CN543="Exterior","Not Daylighted",G546)</f>
        <v>Not Daylighted</v>
      </c>
      <c r="FJ545" s="1356">
        <f>VLOOKUP(FI545,_Daylight_Table_Codes,2,FALSE)</f>
        <v>0</v>
      </c>
      <c r="FK545" s="1365">
        <f>AF545</f>
        <v>0</v>
      </c>
      <c r="FL545" s="1365" t="e">
        <f>VLOOKUP(FK545,_Control_Table,2,FALSE)</f>
        <v>#N/A</v>
      </c>
      <c r="FM545" s="1365" t="e">
        <f>IF(AND(FP545&gt;0,FK545="Occupancy Sensor"),"Daylight + Occupancy",IF(AND(FP545&gt;0,FL545&lt;4),"Interior Daylight Dimming",FK545))</f>
        <v>#N/A</v>
      </c>
      <c r="FO545" s="1364">
        <f>IF(CN543="Interior",VLOOKUP(CP543,Control_Savings_Interior,5,FALSE),0)</f>
        <v>0</v>
      </c>
      <c r="FP545" s="1361">
        <f>IF(CN545="Exterior",0,IF(FJ545=2,0.5,IF(OR(FJ545=1,FJ545=3),1,0)))</f>
        <v>0</v>
      </c>
      <c r="FQ545" s="1366">
        <f>IF(R544&gt;FO$37,(FO545*(FO$37/R544)),FO545)*FP545</f>
        <v>0</v>
      </c>
      <c r="FR545" s="1364">
        <f>DF545</f>
        <v>0</v>
      </c>
      <c r="FS545" s="1364">
        <f>ROUND(FR545+((1-FR545)*FQ545),2)</f>
        <v>0</v>
      </c>
      <c r="FT545" s="1364">
        <f>IF(__Retrofit_TI_NC=2,FS545,FR545)</f>
        <v>0</v>
      </c>
      <c r="FU545" s="1360">
        <f>IF(CO545="Interior",VLOOKUP(CP545,Control_Savings_Interior,4,FALSE),0)</f>
        <v>0</v>
      </c>
      <c r="FW545" s="1352"/>
      <c r="FX545" s="1352"/>
      <c r="FY545" s="1352"/>
      <c r="FZ545" s="1352"/>
      <c r="GA545" s="1352"/>
      <c r="GB545" s="1352"/>
      <c r="GC545" s="1352"/>
      <c r="GD545" s="1352"/>
      <c r="GE545" s="759" t="b">
        <f>IF(ISNUMBER(SEARCH("TLED",U545)),TRUE,FALSE)</f>
        <v>0</v>
      </c>
      <c r="GF545" s="1035" t="str">
        <f>IFERROR(VLOOKUP(U545,Fixtures!DM$93:DR$142,6,FALSE),"")</f>
        <v/>
      </c>
      <c r="GG545" s="1385"/>
      <c r="GI545" s="1383"/>
      <c r="GJ545" s="1379"/>
      <c r="GL545" s="1379"/>
      <c r="GM545" s="1379"/>
      <c r="HC545" s="1379"/>
      <c r="HD545" s="1379"/>
      <c r="HE545" s="1379"/>
      <c r="HF545" s="1379"/>
      <c r="HG545" s="1379"/>
      <c r="HH545" s="1379"/>
      <c r="HI545" s="1383"/>
      <c r="HJ545" s="1383"/>
      <c r="HK545" s="1383"/>
      <c r="HL545" s="1379"/>
      <c r="HM545" s="1379"/>
      <c r="HN545" s="1379"/>
      <c r="HO545" s="1379"/>
      <c r="HP545" s="1379"/>
      <c r="HQ545" s="1379"/>
      <c r="HR545" s="1379"/>
      <c r="HS545" s="1379"/>
      <c r="HT545" s="1379"/>
      <c r="HU545" s="1379"/>
      <c r="HW545" s="1383"/>
      <c r="HX545" s="1384" t="b">
        <f>HW543</f>
        <v>0</v>
      </c>
      <c r="HY545" s="1378"/>
      <c r="HZ545" s="436"/>
      <c r="IA545" s="1386"/>
      <c r="IB545" s="1380">
        <f>IF(IA543=TRUE,AC546,0)</f>
        <v>0</v>
      </c>
      <c r="IC545" s="1379"/>
      <c r="IF545" s="1380" t="e">
        <f>ROUND(T545*AB546*N544*R544/1000,0)</f>
        <v>#VALUE!</v>
      </c>
      <c r="IG545" s="1382"/>
      <c r="IH545" s="1384" t="e">
        <f>ROUND(T545*AB546*N544*R544/1000,0)</f>
        <v>#VALUE!</v>
      </c>
      <c r="II545" s="1382"/>
      <c r="IK545" s="1351" t="e">
        <f>IF($CO545="interior",IL545/2,VLOOKUP($CP545,Control_Savings_Exterior,IK$30,FALSE))</f>
        <v>#N/A</v>
      </c>
      <c r="IL545" s="1351" t="e">
        <f>IF($CO545="interior",VLOOKUP($CP545,Control_Savings_Interior,IL$30,FALSE),VLOOKUP($CP545,Control_Savings_Exterior,IL$30,FALSE))</f>
        <v>#N/A</v>
      </c>
      <c r="IM545" s="1351" t="e">
        <f>IF($CO545="interior",IF(R544&gt;FO$37,(IM$28*(FO$37/R544)),IM$28)*FP545,VLOOKUP($CP545,Control_Savings_Exterior,IM$30,FALSE))</f>
        <v>#N/A</v>
      </c>
      <c r="IN545" s="1351" t="e">
        <f>IF($CO545="interior",ROUND(((1-IL545)*IM545)+IL545,2),VLOOKUP($CP545,Control_Savings_Exterior,IN$30,FALSE))</f>
        <v>#N/A</v>
      </c>
      <c r="IO545" s="1351" t="e">
        <f>IF($CO545="interior", ROUND(((1-IL545)*(IM545*(1-IP$28)))+IP545,2), VLOOKUP($CP545,Control_Savings_Exterior,IO$30,FALSE))</f>
        <v>#N/A</v>
      </c>
      <c r="IP545" s="1351">
        <f>IF($CO545="interior",ROUND(((1-IL545)*IP$28)+IL545,2),0)</f>
        <v>0</v>
      </c>
    </row>
    <row r="546" spans="1:250" s="82" customFormat="1" ht="14.95" customHeight="1" thickTop="1" thickBot="1">
      <c r="B546" s="1421"/>
      <c r="C546" s="1422"/>
      <c r="D546" s="1423"/>
      <c r="E546" s="1462" t="s">
        <v>357</v>
      </c>
      <c r="F546" s="1463"/>
      <c r="G546" s="1464" t="s">
        <v>362</v>
      </c>
      <c r="H546" s="1465"/>
      <c r="I546" s="1465"/>
      <c r="J546" s="1465"/>
      <c r="K546" s="1465"/>
      <c r="L546" s="1466"/>
      <c r="M546" s="669">
        <f>IFERROR(VLOOKUP(G546,_Daylight_Table[],2,FALSE),0)</f>
        <v>0</v>
      </c>
      <c r="N546" s="670"/>
      <c r="O546" s="669" t="e">
        <f>VLOOKUP(G545,'Space Table'!$B$3:$L$160,11,FALSE)</f>
        <v>#N/A</v>
      </c>
      <c r="P546" s="1408"/>
      <c r="Q546" s="1409"/>
      <c r="R546" s="1409"/>
      <c r="S546" s="1402"/>
      <c r="T546" s="671" t="s">
        <v>281</v>
      </c>
      <c r="U546" s="1467" t="str">
        <f>IFERROR(VLOOKUP(U545,Fixtures!DM$93:DP$142,4,FALSE),"")</f>
        <v/>
      </c>
      <c r="V546" s="1468"/>
      <c r="W546" s="1468"/>
      <c r="X546" s="1468"/>
      <c r="Y546" s="1468"/>
      <c r="Z546" s="1468"/>
      <c r="AA546" s="1468"/>
      <c r="AB546" s="1046" t="str">
        <f>IFERROR(VLOOKUP(U545,Fixtures_Proposed_List,2,FALSE),"")</f>
        <v/>
      </c>
      <c r="AC546" s="1036" t="str">
        <f>IFERROR(ROUND(T545*AB546*N544*R544/1000,0),"")</f>
        <v/>
      </c>
      <c r="AD546" s="1037" t="str">
        <f>IFERROR(ROUND(T545*AB546/1000,2),"")</f>
        <v/>
      </c>
      <c r="AE546" s="1045" t="s">
        <v>281</v>
      </c>
      <c r="AF546" s="1469"/>
      <c r="AG546" s="1469"/>
      <c r="AH546" s="1469"/>
      <c r="AI546" s="1469"/>
      <c r="AJ546" s="1476"/>
      <c r="AK546" s="1471"/>
      <c r="AL546" s="1473"/>
      <c r="AM546" s="1443"/>
      <c r="AN546" s="1444"/>
      <c r="AO546" s="1449"/>
      <c r="AP546" s="1449"/>
      <c r="AQ546" s="1450"/>
      <c r="AR546" s="1453"/>
      <c r="AS546" s="1456"/>
      <c r="AT546" s="1459"/>
      <c r="AU546" s="517"/>
      <c r="AV546" s="1480"/>
      <c r="AW546" s="1480"/>
      <c r="BC546" s="38"/>
      <c r="BD546" s="38"/>
      <c r="BE546" s="38"/>
      <c r="BF546" s="38"/>
      <c r="BG546" s="38"/>
      <c r="BH546" s="38"/>
      <c r="BI546" s="38"/>
      <c r="BJ546" s="38"/>
      <c r="BK546" s="38"/>
      <c r="BL546" s="38"/>
      <c r="BM546" s="38"/>
      <c r="BN546" s="38"/>
      <c r="BO546" s="38"/>
      <c r="BP546" s="38"/>
      <c r="BQ546" s="38"/>
      <c r="BR546" s="38"/>
      <c r="BS546" s="38"/>
      <c r="BT546" s="38"/>
      <c r="BU546" s="38"/>
      <c r="BV546" s="38"/>
      <c r="BW546" s="38"/>
      <c r="BX546" s="38"/>
      <c r="BY546" s="38"/>
      <c r="BZ546" s="38"/>
      <c r="CA546" s="38"/>
      <c r="CB546" s="38"/>
      <c r="CC546" s="38"/>
      <c r="CD546" s="38"/>
      <c r="CE546" s="38"/>
      <c r="CF546" s="38"/>
      <c r="CG546" s="38"/>
      <c r="CH546" s="38"/>
      <c r="CI546" s="38"/>
      <c r="CM546" s="1352"/>
      <c r="CN546" s="1352"/>
      <c r="CO546" s="1416"/>
      <c r="CP546" s="1418"/>
      <c r="CR546" s="1386"/>
      <c r="CS546" s="1355"/>
      <c r="CT546" s="1355"/>
      <c r="CU546" s="1375"/>
      <c r="CV546" s="1372"/>
      <c r="CW546" s="1372"/>
      <c r="CX546" s="1372"/>
      <c r="CY546" s="1487"/>
      <c r="CZ546" s="1487"/>
      <c r="DA546" s="1487"/>
      <c r="DC546" s="1355"/>
      <c r="DD546" s="1355"/>
      <c r="DE546" s="1375"/>
      <c r="DF546" s="1407"/>
      <c r="DG546" s="1372"/>
      <c r="DH546" s="1369"/>
      <c r="DK546" s="1484"/>
      <c r="DL546" s="1420"/>
      <c r="DN546" s="1403"/>
      <c r="DO546" s="1405"/>
      <c r="DP546" s="1355"/>
      <c r="DQ546" s="1405"/>
      <c r="DR546" s="1403"/>
      <c r="DS546" s="1489"/>
      <c r="DU546" s="1403"/>
      <c r="DV546" s="1405"/>
      <c r="DW546" s="1403"/>
      <c r="DX546" s="1403"/>
      <c r="DZ546" s="1481"/>
      <c r="EA546" s="1481"/>
      <c r="EC546" s="1482"/>
      <c r="ED546" s="1369"/>
      <c r="EE546" s="1372"/>
      <c r="EF546" s="1369"/>
      <c r="EG546" s="1369"/>
      <c r="EH546" s="1375"/>
      <c r="EI546" s="1375"/>
      <c r="EJ546" s="1363"/>
      <c r="EK546" s="1376"/>
      <c r="EL546" s="1376"/>
      <c r="EM546" s="1362"/>
      <c r="EN546" s="1362"/>
      <c r="EO546" s="1363"/>
      <c r="EP546" s="1363"/>
      <c r="EQ546" s="1363"/>
      <c r="ES546" s="1403"/>
      <c r="EU546" s="1488"/>
      <c r="EV546" s="1488"/>
      <c r="EW546" s="1488"/>
      <c r="EX546" s="1488"/>
      <c r="EY546" s="1488"/>
      <c r="EZ546" s="1414"/>
      <c r="FB546" s="1365"/>
      <c r="FD546" s="1355"/>
      <c r="FE546" s="1355"/>
      <c r="FF546" s="138"/>
      <c r="FI546" s="1357"/>
      <c r="FJ546" s="1357"/>
      <c r="FK546" s="1365"/>
      <c r="FL546" s="1365"/>
      <c r="FM546" s="1365"/>
      <c r="FO546" s="1361"/>
      <c r="FP546" s="1361"/>
      <c r="FQ546" s="1366"/>
      <c r="FR546" s="1361"/>
      <c r="FS546" s="1361"/>
      <c r="FT546" s="1361"/>
      <c r="FU546" s="1360"/>
      <c r="FW546" s="1352"/>
      <c r="FX546" s="1352"/>
      <c r="FY546" s="1352"/>
      <c r="FZ546" s="1352"/>
      <c r="GA546" s="1352"/>
      <c r="GB546" s="1352"/>
      <c r="GC546" s="1352"/>
      <c r="GD546" s="1352"/>
      <c r="GE546" s="759"/>
      <c r="GF546" s="1035"/>
      <c r="GG546" s="1385"/>
      <c r="GJ546" s="1034">
        <f>IF(GJ544=TRUE,0,GJ$16)</f>
        <v>0</v>
      </c>
      <c r="GL546" s="1034">
        <f>IF(GL544=TRUE,0,GL$16)</f>
        <v>36</v>
      </c>
      <c r="GM546" s="1034">
        <f>IF(GM544=TRUE,0,GM$16)</f>
        <v>35</v>
      </c>
      <c r="GN546" s="436"/>
      <c r="GO546" s="436"/>
      <c r="GP546" s="436"/>
      <c r="GQ546" s="436"/>
      <c r="GR546" s="436"/>
      <c r="HC546" s="1034">
        <f t="shared" ref="HC546:HH546" si="402">IF(HC544=TRUE,0,HC$16)</f>
        <v>19</v>
      </c>
      <c r="HD546" s="1034">
        <f t="shared" si="402"/>
        <v>18</v>
      </c>
      <c r="HE546" s="1034">
        <f t="shared" si="402"/>
        <v>17</v>
      </c>
      <c r="HF546" s="1034">
        <f t="shared" si="402"/>
        <v>16</v>
      </c>
      <c r="HG546" s="1034">
        <f t="shared" si="402"/>
        <v>0</v>
      </c>
      <c r="HH546" s="1034">
        <f t="shared" si="402"/>
        <v>0</v>
      </c>
      <c r="HI546" s="1034">
        <f>IF(HI544=TRUE,0,HI$16)</f>
        <v>13</v>
      </c>
      <c r="HJ546" s="1034">
        <f t="shared" ref="HJ546:HL546" si="403">IF(HJ544=TRUE,0,HJ$16)</f>
        <v>12</v>
      </c>
      <c r="HK546" s="1034">
        <f t="shared" si="403"/>
        <v>11</v>
      </c>
      <c r="HL546" s="1034">
        <f t="shared" si="403"/>
        <v>10</v>
      </c>
      <c r="HM546" s="1034">
        <f>IF(HM544=TRUE,0,HM$16)</f>
        <v>9</v>
      </c>
      <c r="HN546" s="1034">
        <f t="shared" ref="HN546:HR546" si="404">IF(HN544=TRUE,0,HN$16)</f>
        <v>0</v>
      </c>
      <c r="HO546" s="1034">
        <f t="shared" si="404"/>
        <v>0</v>
      </c>
      <c r="HP546" s="1034">
        <f t="shared" si="404"/>
        <v>0</v>
      </c>
      <c r="HQ546" s="1034">
        <f t="shared" si="404"/>
        <v>0</v>
      </c>
      <c r="HR546" s="1034">
        <f t="shared" si="404"/>
        <v>0</v>
      </c>
      <c r="HS546" s="1034">
        <f>IF(HS544=TRUE,0,HS$16)</f>
        <v>0</v>
      </c>
      <c r="HT546" s="1034">
        <f t="shared" ref="HT546" si="405">IF(HT544=TRUE,0,HT$16)</f>
        <v>0</v>
      </c>
      <c r="HU546" s="1034">
        <f>IF(HU544=TRUE,0,HU$16)</f>
        <v>1</v>
      </c>
      <c r="HW546" s="1034">
        <f>IF(GL544=FALSE,GL546,IF(GM544=FALSE,GM546,MAX(GJ546:HU546)))</f>
        <v>36</v>
      </c>
      <c r="HX546" s="1383"/>
      <c r="HY546" s="241" t="str">
        <f>VLOOKUP(HW546,_Error_Table,3,FALSE)</f>
        <v xml:space="preserve"> </v>
      </c>
      <c r="HZ546" s="241"/>
      <c r="IA546" s="1386"/>
      <c r="IB546" s="1380"/>
      <c r="IC546" s="1379"/>
      <c r="IF546" s="1380"/>
      <c r="IG546" s="1383"/>
      <c r="IH546" s="1383"/>
      <c r="II546" s="1383"/>
      <c r="IK546" s="1351"/>
      <c r="IL546" s="1351"/>
      <c r="IM546" s="1351"/>
      <c r="IN546" s="1351"/>
      <c r="IO546" s="1351"/>
      <c r="IP546" s="1351"/>
    </row>
    <row r="547" spans="1:250" s="82" customFormat="1" ht="5.0999999999999996" customHeight="1" thickTop="1" thickBot="1">
      <c r="B547" s="763"/>
      <c r="C547" s="1038"/>
      <c r="D547" s="1038"/>
      <c r="E547" s="1562"/>
      <c r="F547" s="1563"/>
      <c r="G547" s="1563"/>
      <c r="H547" s="1563"/>
      <c r="I547" s="1563"/>
      <c r="J547" s="1563"/>
      <c r="K547" s="1563"/>
      <c r="L547" s="1563"/>
      <c r="M547" s="1563"/>
      <c r="N547" s="1563"/>
      <c r="O547" s="1563"/>
      <c r="P547" s="1563"/>
      <c r="Q547" s="1563"/>
      <c r="R547" s="1563"/>
      <c r="S547" s="1563"/>
      <c r="T547" s="1563"/>
      <c r="U547" s="1563"/>
      <c r="V547" s="1563"/>
      <c r="W547" s="1563"/>
      <c r="X547" s="1563"/>
      <c r="Y547" s="1563"/>
      <c r="Z547" s="1563"/>
      <c r="AA547" s="1563"/>
      <c r="AB547" s="1563"/>
      <c r="AC547" s="1563"/>
      <c r="AD547" s="1563"/>
      <c r="AE547" s="1563"/>
      <c r="AF547" s="1563"/>
      <c r="AG547" s="1563"/>
      <c r="AH547" s="1563"/>
      <c r="AI547" s="1563"/>
      <c r="AJ547" s="1563"/>
      <c r="AK547" s="1563"/>
      <c r="AL547" s="1563"/>
      <c r="AM547" s="1563"/>
      <c r="AN547" s="1563"/>
      <c r="AO547" s="1563"/>
      <c r="AP547" s="1563"/>
      <c r="AQ547" s="1563"/>
      <c r="AR547" s="1563"/>
      <c r="AS547" s="1563"/>
      <c r="AT547" s="1564"/>
      <c r="AU547" s="1041"/>
      <c r="BC547" s="38"/>
      <c r="BD547" s="38"/>
      <c r="BE547" s="38"/>
      <c r="BF547" s="38"/>
      <c r="BG547" s="38"/>
      <c r="BH547" s="38"/>
      <c r="BI547" s="38"/>
      <c r="BJ547" s="38"/>
      <c r="BK547" s="38"/>
      <c r="BL547" s="38"/>
      <c r="BM547" s="38"/>
      <c r="BN547" s="38"/>
      <c r="BO547" s="38"/>
      <c r="BP547" s="38"/>
      <c r="BQ547" s="38"/>
      <c r="BR547" s="38"/>
      <c r="BS547" s="38"/>
      <c r="BT547" s="38"/>
      <c r="BU547" s="38"/>
      <c r="BV547" s="38"/>
      <c r="BW547" s="38"/>
      <c r="BX547" s="38"/>
      <c r="BY547" s="38"/>
      <c r="BZ547" s="38"/>
      <c r="CA547" s="38"/>
      <c r="CB547" s="38"/>
      <c r="CC547" s="38"/>
      <c r="CD547" s="38"/>
      <c r="CE547" s="38"/>
      <c r="CF547" s="38"/>
      <c r="CG547" s="38"/>
      <c r="CH547" s="38"/>
      <c r="CI547" s="38"/>
      <c r="CM547" s="749"/>
      <c r="CN547" s="749"/>
      <c r="CO547" s="1043"/>
      <c r="CP547" s="749"/>
      <c r="CS547" s="436"/>
      <c r="CT547" s="436"/>
      <c r="CU547" s="243"/>
      <c r="CV547" s="244"/>
      <c r="CW547" s="244"/>
      <c r="CX547" s="244"/>
      <c r="CY547" s="245"/>
      <c r="CZ547" s="245"/>
      <c r="DA547" s="245"/>
      <c r="DC547" s="750"/>
      <c r="DD547" s="751"/>
      <c r="DE547" s="752"/>
      <c r="DF547" s="753"/>
      <c r="DG547" s="754"/>
      <c r="DH547" s="754"/>
      <c r="DK547" s="244"/>
      <c r="DL547" s="750"/>
      <c r="DN547" s="750"/>
      <c r="DO547" s="755"/>
      <c r="DP547" s="436"/>
      <c r="DQ547" s="750"/>
      <c r="DR547" s="750"/>
      <c r="DS547" s="750"/>
      <c r="DU547" s="750"/>
      <c r="DV547" s="750"/>
      <c r="DW547" s="750"/>
      <c r="DX547" s="750"/>
      <c r="DZ547" s="756"/>
      <c r="EA547" s="756"/>
      <c r="EC547" s="754"/>
      <c r="ED547" s="754"/>
      <c r="EE547" s="244"/>
      <c r="EF547" s="754"/>
      <c r="EG547" s="754"/>
      <c r="EH547" s="243"/>
      <c r="EI547" s="243"/>
      <c r="EJ547" s="752"/>
      <c r="EK547" s="757"/>
      <c r="EL547" s="757"/>
      <c r="EM547" s="758"/>
      <c r="EN547" s="758"/>
      <c r="EO547" s="752"/>
      <c r="EP547" s="752"/>
      <c r="EQ547" s="752"/>
      <c r="ES547" s="750"/>
      <c r="EU547" s="436"/>
      <c r="EV547" s="436"/>
      <c r="EW547" s="436"/>
      <c r="EX547" s="436"/>
      <c r="EY547" s="436"/>
      <c r="EZ547" s="436"/>
      <c r="FB547" s="643"/>
      <c r="FD547" s="436"/>
      <c r="FE547" s="436"/>
      <c r="FF547" s="436"/>
      <c r="FO547" s="750"/>
      <c r="FP547" s="436"/>
      <c r="FQ547" s="436"/>
      <c r="FR547" s="750"/>
      <c r="FS547" s="750"/>
      <c r="FW547" s="749"/>
      <c r="FX547" s="749"/>
      <c r="FY547" s="749"/>
      <c r="FZ547" s="749"/>
      <c r="GA547" s="749"/>
      <c r="GB547" s="749"/>
      <c r="GC547" s="749"/>
      <c r="GD547" s="749"/>
      <c r="GE547" s="751"/>
      <c r="GF547" s="750"/>
      <c r="GG547" s="750"/>
    </row>
    <row r="548" spans="1:250" s="82" customFormat="1" ht="14.95" customHeight="1" thickTop="1" thickBot="1">
      <c r="B548" s="1421" t="str">
        <f>HY551</f>
        <v xml:space="preserve"> </v>
      </c>
      <c r="C548" s="1422">
        <f>C543+1</f>
        <v>99</v>
      </c>
      <c r="D548" s="1423"/>
      <c r="E548" s="1424" t="s">
        <v>242</v>
      </c>
      <c r="F548" s="1425"/>
      <c r="G548" s="1426"/>
      <c r="H548" s="1427"/>
      <c r="I548" s="1427"/>
      <c r="J548" s="1427"/>
      <c r="K548" s="1427"/>
      <c r="L548" s="1427"/>
      <c r="M548" s="1427"/>
      <c r="N548" s="1427"/>
      <c r="O548" s="1427"/>
      <c r="P548" s="1427"/>
      <c r="Q548" s="1427"/>
      <c r="R548" s="1427"/>
      <c r="S548" s="1428" t="s">
        <v>283</v>
      </c>
      <c r="T548" s="668" t="s">
        <v>190</v>
      </c>
      <c r="U548" s="1430" t="s">
        <v>186</v>
      </c>
      <c r="V548" s="1431"/>
      <c r="W548" s="1431"/>
      <c r="X548" s="1431"/>
      <c r="Y548" s="1431"/>
      <c r="Z548" s="1431"/>
      <c r="AA548" s="1431"/>
      <c r="AB548" s="1088" t="str">
        <f>IFERROR(IF(__Retrofit_TI_NC=0,VLOOKUP(U549,Fixtures_Existing_List,2,FALSE),ROUND(N550*R550/T550,10)),"")</f>
        <v/>
      </c>
      <c r="AC548" s="1039" t="str">
        <f>IFERROR(IF(__Retrofit_TI_NC=0,ROUND(T549*AB548*N549*R549/1000,0),IF(CN548="Interior",N550*R550*R549*N549*_C406_reduction/1000,N550*R550*R549*N549/1000)),"")</f>
        <v/>
      </c>
      <c r="AD548" s="1040" t="str">
        <f>IFERROR(IF(C$36=0,ROUND(T549*AB548/1000,2),N550*R550/1000),"")</f>
        <v/>
      </c>
      <c r="AE548" s="1044" t="s">
        <v>190</v>
      </c>
      <c r="AF548" s="1432" t="str">
        <f>IF(__Retrofit_TI_NC=2,CONCATENATE("Code min = ",DD548),IF(__Retrofit_TI_NC=1,"Emter what you think the existing control was"," Control"))</f>
        <v xml:space="preserve"> Control</v>
      </c>
      <c r="AG548" s="1432"/>
      <c r="AH548" s="1432"/>
      <c r="AI548" s="1432"/>
      <c r="AJ548" s="1433">
        <f>DF548</f>
        <v>0</v>
      </c>
      <c r="AK548" s="1435" t="str">
        <f>IFERROR(ROUND(AJ548*AC548,0),"")</f>
        <v/>
      </c>
      <c r="AL548" s="1437">
        <f>IFERROR(IF(HW548=FALSE,0,AC548-AK548),0)</f>
        <v>0</v>
      </c>
      <c r="AM548" s="1439">
        <f>AL548-AL550</f>
        <v>0</v>
      </c>
      <c r="AN548" s="1440"/>
      <c r="AO548" s="1445">
        <f>IFERROR(IF(HW548=FALSE,0,(T550*U551)+(AE550*AF551)),0)</f>
        <v>0</v>
      </c>
      <c r="AP548" s="1445"/>
      <c r="AQ548" s="1446"/>
      <c r="AR548" s="1451" t="s">
        <v>157</v>
      </c>
      <c r="AS548" s="1454">
        <f>IF(AR548="Yes",1,0)</f>
        <v>1</v>
      </c>
      <c r="AT548" s="1457" t="str">
        <f>IF(OR(DN548=4,DN548=5,DN548=6,DN548=12),CONCATENATE("$",IF(GD548=TRUE,Lookup!$B$11,Lookup!$B$2)," /lamp"),CONCATENATE(EA548,"/ kWh"))</f>
        <v>0/ kWh</v>
      </c>
      <c r="AU548" s="516"/>
      <c r="AV548" s="1478">
        <f>IFERROR(IF(GI549=TRUE,(AB551*T550)/R550,0),"NA")</f>
        <v>0</v>
      </c>
      <c r="AW548" s="1478" t="str">
        <f>IFERROR(N550*_C406_reduction,"NA")</f>
        <v>NA</v>
      </c>
      <c r="BC548" s="38"/>
      <c r="BD548" s="38"/>
      <c r="BE548" s="38"/>
      <c r="BF548" s="38"/>
      <c r="BG548" s="38"/>
      <c r="BH548" s="38"/>
      <c r="BI548" s="38"/>
      <c r="BJ548" s="38"/>
      <c r="BK548" s="38"/>
      <c r="BL548" s="38"/>
      <c r="BM548" s="38"/>
      <c r="BN548" s="38"/>
      <c r="BO548" s="38"/>
      <c r="BP548" s="38"/>
      <c r="BQ548" s="38"/>
      <c r="BR548" s="38"/>
      <c r="BS548" s="38"/>
      <c r="BT548" s="38"/>
      <c r="BU548" s="38"/>
      <c r="BV548" s="38"/>
      <c r="BW548" s="38"/>
      <c r="BX548" s="38"/>
      <c r="BY548" s="38"/>
      <c r="BZ548" s="38"/>
      <c r="CA548" s="38"/>
      <c r="CB548" s="38"/>
      <c r="CC548" s="38"/>
      <c r="CD548" s="38"/>
      <c r="CE548" s="38"/>
      <c r="CF548" s="38"/>
      <c r="CG548" s="38"/>
      <c r="CH548" s="38"/>
      <c r="CI548" s="38"/>
      <c r="CM548" s="1352" t="str">
        <f>N549</f>
        <v/>
      </c>
      <c r="CN548" s="1352" t="str">
        <f>IFERROR(VLOOKUP(G549,_Lookup_Heat_Type_Table_New,3,FALSE),"")</f>
        <v/>
      </c>
      <c r="CO548" s="1415" t="str">
        <f>CN548</f>
        <v/>
      </c>
      <c r="CP548" s="1417" t="e">
        <f>VLOOKUP(G550,'Space Table'!$B$3:$L$160,9,FALSE)</f>
        <v>#N/A</v>
      </c>
      <c r="CR548" s="1386" t="s">
        <v>283</v>
      </c>
      <c r="CS548" s="1353">
        <f>IF(HW548=TRUE,T549,0)</f>
        <v>0</v>
      </c>
      <c r="CT548" s="1353" t="str">
        <f>IF(HW548=TRUE,U549,"")</f>
        <v/>
      </c>
      <c r="CU548" s="1353"/>
      <c r="CV548" s="1370">
        <f>IF(HW548=TRUE,AB548,0)</f>
        <v>0</v>
      </c>
      <c r="CW548" s="1370">
        <f>IF(HW548=TRUE,AC548,0)</f>
        <v>0</v>
      </c>
      <c r="CX548" s="1370">
        <f>IFERROR(IF(HW548=TRUE,CW548-CW550,0),0)</f>
        <v>0</v>
      </c>
      <c r="CY548" s="1485">
        <f>IF(HW548=TRUE,AD548,0)</f>
        <v>0</v>
      </c>
      <c r="CZ548" s="1485">
        <f>IF(HW548=TRUE,AD551,0)</f>
        <v>0</v>
      </c>
      <c r="DA548" s="1485">
        <f>IFERROR(CY548-CZ548,0)</f>
        <v>0</v>
      </c>
      <c r="DC548" s="1353">
        <f>IF(HW548=TRUE,AE549,0)</f>
        <v>0</v>
      </c>
      <c r="DD548" s="1460">
        <f>IF(__Retrofit_TI_NC=2,IF(CN548="Exterior",O551,FM548),FK548)</f>
        <v>0</v>
      </c>
      <c r="DE548" s="1353"/>
      <c r="DF548" s="1406">
        <f>IFERROR(IF(FL548=3,IK548,IF(FL548=4,IL548,IF(FL548=5,IM548,IF(FL548=6,IN548,IF(FL548=7,IO548,IF(FL548=8,IP548,0)))))),0)</f>
        <v>0</v>
      </c>
      <c r="DG548" s="1370">
        <f>IF(HW548=TRUE,AK548,0)</f>
        <v>0</v>
      </c>
      <c r="DH548" s="1369">
        <f>IFERROR(IF(HW548=TRUE,DG550-DG548,0),0)</f>
        <v>0</v>
      </c>
      <c r="DJ548" s="1483">
        <f>IFERROR(CW548-DG548,0)</f>
        <v>0</v>
      </c>
      <c r="DL548" s="1419">
        <f>DJ548-DK550</f>
        <v>0</v>
      </c>
      <c r="DN548" s="1403" t="str">
        <f>IFERROR(IF(AND(OR(FY548=4,FY548=5,FY548=6),OR(GB548=4,GB548=5,GB548=6)),FY548+8,VLOOKUP(CT550,Fixtures!R$31:Y$78,8,FALSE)),"")</f>
        <v/>
      </c>
      <c r="DO548" s="1404" t="str">
        <f>DN548</f>
        <v/>
      </c>
      <c r="DP548" s="1353" t="str">
        <f>IFERROR(VLOOKUP(DD550,Lookup!AU$3:AV$15,2,FALSE),"")</f>
        <v/>
      </c>
      <c r="DQ548" s="1404" t="str">
        <f>IF(DP548=7,"LLLC","")</f>
        <v/>
      </c>
      <c r="DR548" s="1403">
        <f>IFERROR(IF(OR(DN548=4,DN548=5,DN548=6,DN548=12,DN548=13,DN548=14),VLOOKUP(CT550,Fixtures!DN$27:EG$77,19,FALSE),1)*CS550,0)</f>
        <v>0</v>
      </c>
      <c r="DS548" s="1489">
        <f>IF(DP548=7,IF(DD548=DD550,0,DC550),0)</f>
        <v>0</v>
      </c>
      <c r="DU548" s="1403" t="str">
        <f>IFERROR(IF(EW548&lt;EW550,"Yes","No"),"")</f>
        <v/>
      </c>
      <c r="DV548" s="1404" t="str">
        <f>DU548</f>
        <v/>
      </c>
      <c r="DW548" s="1403">
        <f>IF(DU548="Yes",DC550,0)</f>
        <v>0</v>
      </c>
      <c r="DX548" s="1403">
        <f>DW548-DS548</f>
        <v>0</v>
      </c>
      <c r="DZ548" s="1481">
        <f>IFERROR(VLOOKUP(DN548,Lookup!AN$3:AO$16,2,FALSE),0)</f>
        <v>0</v>
      </c>
      <c r="EA548" s="1481">
        <f>IF(HW548=FALSE,0,IF(DU548="Yes",DZ548+Lookup!B$6,DZ548))</f>
        <v>0</v>
      </c>
      <c r="EC548" s="1482">
        <f>IF(HW548=TRUE,DJ548,0)</f>
        <v>0</v>
      </c>
      <c r="ED548" s="1369">
        <f>IF(HW548=TRUE,CW550,0)</f>
        <v>0</v>
      </c>
      <c r="EE548" s="1370">
        <f>IFERROR(EC548-ED548,0)</f>
        <v>0</v>
      </c>
      <c r="EF548" s="1369">
        <f>IF(HW548=TRUE,DG550,0)</f>
        <v>0</v>
      </c>
      <c r="EG548" s="1369">
        <f>IFERROR(EC548-ED548+EF548,0)</f>
        <v>0</v>
      </c>
      <c r="EH548" s="1373">
        <f>IF(HW548=TRUE,CS550*CU550,0)</f>
        <v>0</v>
      </c>
      <c r="EI548" s="1373">
        <f>IF(HW548=TRUE,DC550*DE550,0)</f>
        <v>0</v>
      </c>
      <c r="EJ548" s="1363">
        <f>AO548</f>
        <v>0</v>
      </c>
      <c r="EK548" s="1376" t="str">
        <f>IFERROR(IF(HW548=TRUE,VLOOKUP(DN548,Lookup!AN$3:AP$16,3,FALSE)*DR548,""),0)</f>
        <v/>
      </c>
      <c r="EL548" s="1376">
        <f>IF(HW548=TRUE,DW548*Lookup!AP$12,0)</f>
        <v>0</v>
      </c>
      <c r="EM548" s="1362">
        <f>IFERROR(IF(HW548=TRUE,EK548/EM$33,0),0)</f>
        <v>0</v>
      </c>
      <c r="EN548" s="1362">
        <f>IF(HW548=TRUE,EL548/EN$33,0)</f>
        <v>0</v>
      </c>
      <c r="EO548" s="1363">
        <f>IF(HW548=TRUE,EQ$33*EM548,0)</f>
        <v>0</v>
      </c>
      <c r="EP548" s="1363">
        <f>IF(HW548=TRUE,EQ$33*EN548,0)</f>
        <v>0</v>
      </c>
      <c r="EQ548" s="1363">
        <f>EO548+EP548</f>
        <v>0</v>
      </c>
      <c r="ES548" s="1403">
        <f>IF(G548="",0,1)</f>
        <v>0</v>
      </c>
      <c r="EU548" s="1410" t="e">
        <f>VLOOKUP(CP550,'Space Table'!$B$3:$L$160,8,FALSE)</f>
        <v>#N/A</v>
      </c>
      <c r="EV548" s="1410" t="e">
        <f>IF(EY548="Yes",VLOOKUP(DD548,Lookup_Control_Type_Table2,4,FALSE),VLOOKUP(DD548,Lookup_Control_Type_Table2,3,FALSE))</f>
        <v>#N/A</v>
      </c>
      <c r="EW548" s="1410" t="e">
        <f>VLOOKUP(DD548,Lookup!AU$3:AV$15,2,FALSE)</f>
        <v>#N/A</v>
      </c>
      <c r="EX548" s="1410" t="e">
        <f>VLOOKUP(EU548,Lookup_Control_Type_Table,2,FALSE)</f>
        <v>#N/A</v>
      </c>
      <c r="EY548" s="1410" t="e">
        <f>VLOOKUP(CP550,'Space Table'!$B$3:$L$160,7,FALSE)</f>
        <v>#N/A</v>
      </c>
      <c r="EZ548" s="1412" t="b">
        <f>ISNUMBER(SEARCH("TLED",U550))</f>
        <v>0</v>
      </c>
      <c r="FB548" s="1365" t="str">
        <f>CONCATENATE(CN548," - ",DD548)</f>
        <v xml:space="preserve"> - 0</v>
      </c>
      <c r="FD548" s="1353" t="str">
        <f>VLOOKUP(CT550,Fixtures!DN$27:EZ$77,38,FALSE)</f>
        <v/>
      </c>
      <c r="FE548" s="1353">
        <f>IFERROR(FD548*EE548,0)</f>
        <v>0</v>
      </c>
      <c r="FF548" s="138"/>
      <c r="FI548" s="1356" t="str">
        <f>IF(CN548="Exterior","Not Daylighted",G551)</f>
        <v>Not Daylighted</v>
      </c>
      <c r="FJ548" s="1356">
        <f>VLOOKUP(FI548,_Daylight_Table_Codes,2,FALSE)</f>
        <v>0</v>
      </c>
      <c r="FK548" s="1365">
        <f>IF(__Retrofit_TI_NC=2,VLOOKUP(G550,'Space Table'!$B$3:$L$160,11,FALSE),AF549)</f>
        <v>0</v>
      </c>
      <c r="FL548" s="1365" t="e">
        <f>VLOOKUP(FK548,_Control_Table,2,FALSE)</f>
        <v>#N/A</v>
      </c>
      <c r="FM548" s="1365" t="e">
        <f>IF(AND(FP548&gt;0,FK548="Occupancy Sensor"),"Daylight + Occupancy",IF(AND(FP548&gt;0,FL548&lt;4),"Interior Daylight Dimming",FK548))</f>
        <v>#N/A</v>
      </c>
      <c r="FO548" s="1364">
        <f>IF(CO548="Interior",VLOOKUP(CP548,Control_Savings_Interior,5,FALSE),0)</f>
        <v>0</v>
      </c>
      <c r="FP548" s="1361">
        <f>IF(CN548="Exterior",0,IF(FJ548=2,0.5,IF(OR(FJ548=1,FJ548=3),1,0)))</f>
        <v>0</v>
      </c>
      <c r="FQ548" s="1366"/>
      <c r="FR548" s="1367"/>
      <c r="FS548" s="1364"/>
      <c r="FT548" s="1367"/>
      <c r="FU548" s="1360"/>
      <c r="FW548" s="1352" t="str">
        <f>IFERROR(VLOOKUP(U549,_Exist_Fixture_Table,3,FALSE),"")</f>
        <v/>
      </c>
      <c r="FX548" s="1352" t="str">
        <f>VLOOKUP(CT548,_Exist_Fixture_Table,4,FALSE)</f>
        <v/>
      </c>
      <c r="FY548" s="1352">
        <f>IFERROR(VLOOKUP(FX548,Lookup!AM$6:AN$8,2,FALSE),0)</f>
        <v>0</v>
      </c>
      <c r="FZ548" s="1352" t="b">
        <f>IFERROR(IF(OR(GB548=4,GB548=5,GB548=6),TRUE,FALSE),"")</f>
        <v>0</v>
      </c>
      <c r="GA548" s="1352" t="str">
        <f>IFERROR(VLOOKUP(GB548,FY$6:FZ$10,2,FALSE),"")</f>
        <v/>
      </c>
      <c r="GB548" s="1352" t="str">
        <f>VLOOKUP(CT550,Fixtures!R$31:Y$78,8,FALSE)</f>
        <v/>
      </c>
      <c r="GC548" s="1352">
        <f>IF(AND(FW548=TRUE,FZ548=TRUE,OR(DN548=12,DN548=13,DN548=14)),FY548+8,0)</f>
        <v>0</v>
      </c>
      <c r="GD548" s="1352" t="b">
        <f>IF(OR(GC548=12,GC548=13,GC548=14),TRUE,FALSE)</f>
        <v>0</v>
      </c>
      <c r="GE548" s="759" t="b">
        <f>IF(ISNUMBER(SEARCH("TLED",U549)),TRUE,FALSE)</f>
        <v>0</v>
      </c>
      <c r="GF548" s="1035" t="str">
        <f>IFERROR(VLOOKUP(U549,Fixtures!BM$93:BR$142,6,FALSE),"")</f>
        <v/>
      </c>
      <c r="GG548" s="1385" t="b">
        <f>IF(OR(GE548=FALSE,GE550=FALSE),TRUE,IF(GF548-GF550&lt;5,FALSE,TRUE))</f>
        <v>1</v>
      </c>
      <c r="GK548" s="1034">
        <f>GL548</f>
        <v>0</v>
      </c>
      <c r="GL548" s="1034">
        <f>IF(G548="",0,1)</f>
        <v>0</v>
      </c>
      <c r="GM548" s="1034">
        <f>SUM(GN548:HB548)</f>
        <v>2</v>
      </c>
      <c r="GN548" s="1034">
        <f>IF(G549="",0,1)</f>
        <v>0</v>
      </c>
      <c r="GO548" s="1034">
        <f>IF(G550="",0,1)</f>
        <v>0</v>
      </c>
      <c r="GP548" s="1034">
        <f>IF(R549="",0,1)</f>
        <v>0</v>
      </c>
      <c r="GQ548" s="1034">
        <f>IF(__Retrofit_TI_NC=0,1,IF(R550="",0,1))</f>
        <v>1</v>
      </c>
      <c r="GR548" s="1034">
        <f>IF(CN548="Exterior",1,IF(G551="",0,1))</f>
        <v>1</v>
      </c>
      <c r="GS548" s="1034">
        <f>IF(__Retrofit_TI_NC&lt;&gt;0,1,IF(T549="",0,1))</f>
        <v>0</v>
      </c>
      <c r="GT548" s="1034">
        <f>IF(__Retrofit_TI_NC&lt;&gt;0,1,IF(U549="",0,1))</f>
        <v>0</v>
      </c>
      <c r="GU548" s="1034">
        <f>IF(T550="",0,1)</f>
        <v>0</v>
      </c>
      <c r="GV548" s="1034">
        <f>IF(U550="",0,1)</f>
        <v>0</v>
      </c>
      <c r="GW548" s="1034">
        <f>IF(__Retrofit_TI_NC=2,1,IF(U551="",0,1))</f>
        <v>0</v>
      </c>
      <c r="GX548" s="1034">
        <f>IF(__Retrofit_TI_NC&lt;&gt;0,1,IF(AE549="",0,1))</f>
        <v>0</v>
      </c>
      <c r="GY548" s="1034">
        <f>IF(__Retrofit_TI_NC&lt;&gt;0,1,IF(AF549="",0,1))</f>
        <v>0</v>
      </c>
      <c r="GZ548" s="1034">
        <f>IF(AE550="",0,1)</f>
        <v>0</v>
      </c>
      <c r="HA548" s="1034">
        <f>IF(AF550="",0,1)</f>
        <v>0</v>
      </c>
      <c r="HB548" s="1034">
        <f>IF(__Retrofit_TI_NC=2,1,IF(AF551="",0,1))</f>
        <v>0</v>
      </c>
      <c r="HV548" s="436"/>
      <c r="HW548" s="1384" t="b">
        <f>IF(OR(HW551=0,HW551=HT$16,HW551=HS$16,HW551=HU$16),TRUE,FALSE)</f>
        <v>0</v>
      </c>
      <c r="HX548" s="1377" t="b">
        <f>HW548</f>
        <v>0</v>
      </c>
      <c r="HY548" s="436"/>
      <c r="HZ548" s="436"/>
      <c r="IA548" s="1386" t="b">
        <f>IF(MAX(GJ551:HP551)&gt;5,FALSE,TRUE)</f>
        <v>0</v>
      </c>
      <c r="IB548" s="1380">
        <f>IF(IA548=TRUE,AC548,0)</f>
        <v>0</v>
      </c>
      <c r="IC548" s="1380">
        <f>IB548-IB550</f>
        <v>0</v>
      </c>
      <c r="IF548" s="1380" t="e">
        <f>ROUND(T549*VLOOKUP(U549,Fixtures_Existing_List,2,FALSE)*N549*R549/1000,0)</f>
        <v>#N/A</v>
      </c>
      <c r="IG548" s="1381" t="e">
        <f>IF548-IF550</f>
        <v>#N/A</v>
      </c>
      <c r="IH548" s="1384" t="e">
        <f>ROUND(IF(CN548="Interior",N550*R550*R549*N549*_C406_reduction/1000,N550*R550*R549*N549/1000),0)</f>
        <v>#N/A</v>
      </c>
      <c r="II548" s="1384" t="e">
        <f>IH548-IH550</f>
        <v>#N/A</v>
      </c>
      <c r="IK548" s="1351" t="e">
        <f>IF($CO548="interior",IL548/2,VLOOKUP($CP548,Control_Savings_Exterior,IK$30,FALSE))</f>
        <v>#N/A</v>
      </c>
      <c r="IL548" s="1351" t="e">
        <f>IF($CO548="interior",VLOOKUP($CP548,Control_Savings_Interior,IL$30,FALSE),VLOOKUP($CP548,Control_Savings_Exterior,IL$30,FALSE))</f>
        <v>#N/A</v>
      </c>
      <c r="IM548" s="1351" t="e">
        <f>IF($CO548="interior",IF(R549&gt;FO$37,(IM$28*(FO$37/R549)),IM$28)*FP548,VLOOKUP($CP548,Control_Savings_Exterior,IM$30,FALSE))</f>
        <v>#N/A</v>
      </c>
      <c r="IN548" s="1351" t="e">
        <f>IF($CO548="interior",ROUND(((1-IL548)*IM548)+IL548,2),VLOOKUP($CP548,Control_Savings_Exterior,IN$30,FALSE))</f>
        <v>#N/A</v>
      </c>
      <c r="IO548" s="1351" t="e">
        <f>IF($CO548="interior", ROUND(((1-IL548)*(IM548*(1-IP$28)))+IP548,2), VLOOKUP($CP548,Control_Savings_Exterior,IO$30,FALSE))</f>
        <v>#N/A</v>
      </c>
      <c r="IP548" s="1351">
        <f>IF($CO548="interior",ROUND(((1-IL548)*IP$28)+IL548,2),0)</f>
        <v>0</v>
      </c>
    </row>
    <row r="549" spans="1:250" s="82" customFormat="1" ht="14.95" customHeight="1" thickTop="1" thickBot="1">
      <c r="B549" s="1421"/>
      <c r="C549" s="1422"/>
      <c r="D549" s="1423"/>
      <c r="E549" s="1393" t="s">
        <v>244</v>
      </c>
      <c r="F549" s="1394"/>
      <c r="G549" s="1395"/>
      <c r="H549" s="1395"/>
      <c r="I549" s="1395"/>
      <c r="J549" s="1395"/>
      <c r="K549" s="1395"/>
      <c r="L549" s="1395"/>
      <c r="M549" s="509" t="e">
        <f>IF(__Retrofit_TI_NC&lt;&gt;0,IF(VLOOKUP(G550,'Space Table'!$B$3:$L$160,3,FALSE)&gt;0,1,0),IF(__Retrofit_TI_NC=VLOOKUP(G550,'Space Table'!$B$3:$L$160,3,FALSE),1,0))</f>
        <v>#N/A</v>
      </c>
      <c r="N549" s="509" t="str">
        <f>IFERROR(VLOOKUP(G549,_Lookup_Heat_Type_Table_New,2,FALSE),"")</f>
        <v/>
      </c>
      <c r="O549" s="509">
        <f>IF(__Retrofit_TI_NC=1,CONCATENATE("TI ",G549),IF(__Retrofit_TI_NC=2,CONCATENATE("NC ",G549),G549))</f>
        <v>0</v>
      </c>
      <c r="P549" s="1396" t="s">
        <v>352</v>
      </c>
      <c r="Q549" s="1396"/>
      <c r="R549" s="673"/>
      <c r="S549" s="1429"/>
      <c r="T549" s="675"/>
      <c r="U549" s="1496"/>
      <c r="V549" s="1497"/>
      <c r="W549" s="1497"/>
      <c r="X549" s="1497"/>
      <c r="Y549" s="1497"/>
      <c r="Z549" s="1497"/>
      <c r="AA549" s="1497"/>
      <c r="AB549" s="1497"/>
      <c r="AC549" s="1497"/>
      <c r="AD549" s="1498"/>
      <c r="AE549" s="675"/>
      <c r="AF549" s="1397"/>
      <c r="AG549" s="1397"/>
      <c r="AH549" s="1397"/>
      <c r="AI549" s="1397"/>
      <c r="AJ549" s="1434"/>
      <c r="AK549" s="1436"/>
      <c r="AL549" s="1438"/>
      <c r="AM549" s="1441"/>
      <c r="AN549" s="1442"/>
      <c r="AO549" s="1447"/>
      <c r="AP549" s="1447"/>
      <c r="AQ549" s="1448"/>
      <c r="AR549" s="1452"/>
      <c r="AS549" s="1455"/>
      <c r="AT549" s="1458"/>
      <c r="AU549" s="516"/>
      <c r="AV549" s="1479"/>
      <c r="AW549" s="1479"/>
      <c r="BC549" s="38"/>
      <c r="BD549" s="38"/>
      <c r="BE549" s="38"/>
      <c r="BF549" s="38"/>
      <c r="BG549" s="38"/>
      <c r="BH549" s="38"/>
      <c r="BI549" s="38"/>
      <c r="BJ549" s="38"/>
      <c r="BK549" s="38"/>
      <c r="BL549" s="38"/>
      <c r="BM549" s="38"/>
      <c r="BN549" s="38"/>
      <c r="BO549" s="38"/>
      <c r="BP549" s="38"/>
      <c r="BQ549" s="38"/>
      <c r="BR549" s="38"/>
      <c r="BS549" s="38"/>
      <c r="BT549" s="38"/>
      <c r="BU549" s="38"/>
      <c r="BV549" s="38"/>
      <c r="BW549" s="38"/>
      <c r="BX549" s="38"/>
      <c r="BY549" s="38"/>
      <c r="BZ549" s="38"/>
      <c r="CA549" s="38"/>
      <c r="CB549" s="38"/>
      <c r="CC549" s="38"/>
      <c r="CD549" s="38"/>
      <c r="CE549" s="38"/>
      <c r="CF549" s="38"/>
      <c r="CG549" s="38"/>
      <c r="CH549" s="38"/>
      <c r="CI549" s="38"/>
      <c r="CM549" s="1352"/>
      <c r="CN549" s="1352"/>
      <c r="CO549" s="1416"/>
      <c r="CP549" s="1418"/>
      <c r="CR549" s="1386"/>
      <c r="CS549" s="1355"/>
      <c r="CT549" s="1355"/>
      <c r="CU549" s="1355"/>
      <c r="CV549" s="1372"/>
      <c r="CW549" s="1372"/>
      <c r="CX549" s="1371"/>
      <c r="CY549" s="1486"/>
      <c r="CZ549" s="1486"/>
      <c r="DA549" s="1486"/>
      <c r="DC549" s="1355"/>
      <c r="DD549" s="1461"/>
      <c r="DE549" s="1355"/>
      <c r="DF549" s="1407"/>
      <c r="DG549" s="1372"/>
      <c r="DH549" s="1369"/>
      <c r="DJ549" s="1484"/>
      <c r="DL549" s="1419"/>
      <c r="DN549" s="1403"/>
      <c r="DO549" s="1405"/>
      <c r="DP549" s="1354"/>
      <c r="DQ549" s="1405"/>
      <c r="DR549" s="1403"/>
      <c r="DS549" s="1489"/>
      <c r="DU549" s="1403"/>
      <c r="DV549" s="1405"/>
      <c r="DW549" s="1403"/>
      <c r="DX549" s="1403"/>
      <c r="DZ549" s="1481"/>
      <c r="EA549" s="1481"/>
      <c r="EC549" s="1482"/>
      <c r="ED549" s="1369"/>
      <c r="EE549" s="1371"/>
      <c r="EF549" s="1369"/>
      <c r="EG549" s="1369"/>
      <c r="EH549" s="1374"/>
      <c r="EI549" s="1374"/>
      <c r="EJ549" s="1363"/>
      <c r="EK549" s="1376"/>
      <c r="EL549" s="1376"/>
      <c r="EM549" s="1362"/>
      <c r="EN549" s="1362"/>
      <c r="EO549" s="1363"/>
      <c r="EP549" s="1363"/>
      <c r="EQ549" s="1363"/>
      <c r="ES549" s="1403"/>
      <c r="EU549" s="1411"/>
      <c r="EV549" s="1411"/>
      <c r="EW549" s="1411"/>
      <c r="EX549" s="1411"/>
      <c r="EY549" s="1411"/>
      <c r="EZ549" s="1413"/>
      <c r="FB549" s="1365"/>
      <c r="FD549" s="1354"/>
      <c r="FE549" s="1354"/>
      <c r="FF549" s="138"/>
      <c r="FI549" s="1357"/>
      <c r="FJ549" s="1357"/>
      <c r="FK549" s="1365"/>
      <c r="FL549" s="1365"/>
      <c r="FM549" s="1365"/>
      <c r="FO549" s="1361"/>
      <c r="FP549" s="1361"/>
      <c r="FQ549" s="1366"/>
      <c r="FR549" s="1368"/>
      <c r="FS549" s="1361"/>
      <c r="FT549" s="1368"/>
      <c r="FU549" s="1360"/>
      <c r="FW549" s="1352"/>
      <c r="FX549" s="1352"/>
      <c r="FY549" s="1352"/>
      <c r="FZ549" s="1352"/>
      <c r="GA549" s="1352"/>
      <c r="GB549" s="1352"/>
      <c r="GC549" s="1352"/>
      <c r="GD549" s="1352"/>
      <c r="GE549" s="759"/>
      <c r="GF549" s="1035"/>
      <c r="GG549" s="1385"/>
      <c r="GI549" s="1384" t="b">
        <f>IF(AND(GL549=TRUE,GM549=TRUE),TRUE,FALSE)</f>
        <v>0</v>
      </c>
      <c r="GJ549" s="1379" t="b">
        <f>IFERROR(IF(__Retrofit_TI_NC=2,TRUE,IF(AR548="Yes",TRUE,FALSE)),FALSE)</f>
        <v>1</v>
      </c>
      <c r="GL549" s="1379" t="b">
        <f>IFERROR(IF(GL548=1,TRUE,FALSE),FALSE)</f>
        <v>0</v>
      </c>
      <c r="GM549" s="1379" t="b">
        <f>IFERROR(IF(GM548=GM$14,TRUE,FALSE),FALSE)</f>
        <v>0</v>
      </c>
      <c r="HC549" s="1379" t="b">
        <f>IFERROR(IF(M549=1,TRUE,FALSE),FALSE)</f>
        <v>0</v>
      </c>
      <c r="HD549" s="1379" t="b">
        <f>IFERROR(IF(M550=1,TRUE,FALSE),FALSE)</f>
        <v>0</v>
      </c>
      <c r="HE549" s="1379" t="b">
        <f>IFERROR(IF(__Retrofit_TI_NC&lt;&gt;0,TRUE,IFERROR(IF(VLOOKUP(U549,Fixtures_Existing_List,2,FALSE)&lt;&gt;"",TRUE,FALSE),FALSE)),FALSE)</f>
        <v>0</v>
      </c>
      <c r="HF549" s="1379" t="b">
        <f>IFERROR(IF(VLOOKUP(U550,Fixtures_Proposed_List,2,FALSE)&lt;&gt;"",TRUE,FALSE),FALSE)</f>
        <v>0</v>
      </c>
      <c r="HG549" s="1379" t="b">
        <f>IF(AND(__Retrofit_TI_NC=2,EZ548=TRUE),FALSE,TRUE)</f>
        <v>1</v>
      </c>
      <c r="HH549" s="1379" t="b">
        <f>GG548</f>
        <v>1</v>
      </c>
      <c r="HI549" s="1384" t="b">
        <f>IF(ISERROR(MATCH(FB548,_Control_Match[],0))=TRUE,FALSE,TRUE)</f>
        <v>0</v>
      </c>
      <c r="HJ549" s="1384" t="b">
        <f>IFERROR(IF(EU548&lt;&gt;EV548,FALSE,TRUE),FALSE)</f>
        <v>0</v>
      </c>
      <c r="HK549" s="1384" t="b">
        <f>IFERROR(IF(EU550&lt;&gt;EV550,FALSE,TRUE),FALSE)</f>
        <v>0</v>
      </c>
      <c r="HL549" s="1379" t="b">
        <f>IFERROR(IF(CN548="Exterior",TRUE,IF(OR(AND(FJ548=0,EW550&gt;4),AND(FJ548=4,EW550&gt;4,EW550&lt;7)),FALSE,TRUE)),FALSE)</f>
        <v>0</v>
      </c>
      <c r="HM549" s="1379" t="b">
        <f>IFERROR(IF(AND(FL550=7,EZ548=TRUE),FALSE,TRUE),FALSE)</f>
        <v>0</v>
      </c>
      <c r="HN549" s="1379" t="b">
        <f>IFERROR(IF(AND(T550&lt;&gt;AE550,AF550="Interior LLLC")=TRUE,FALSE,TRUE),FALSE)</f>
        <v>1</v>
      </c>
      <c r="HO549" s="1379" t="b">
        <f>IFERROR(IF(OR(AF550=Lookup!AU$13,AF550=Lookup!AU$14)=TRUE,IF(AE550&gt;T550,FALSE,TRUE),TRUE),FALSE)</f>
        <v>1</v>
      </c>
      <c r="HP549" s="1379" t="b">
        <f>IFERROR(IF(__Retrofit_TI_NC=2,IF(EW550&lt;EW548,FALSE,TRUE),TRUE),FALSE)</f>
        <v>1</v>
      </c>
      <c r="HQ549" s="1379" t="b">
        <f>IF(CN548="Interior",IG$6,TRUE)</f>
        <v>1</v>
      </c>
      <c r="HR549" s="1379" t="b">
        <f>IF(CN548="Exterior",IG$8,TRUE)</f>
        <v>1</v>
      </c>
      <c r="HS549" s="1379" t="b">
        <f>IFERROR(IF(__Retrofit_TI_NC&lt;&gt;0,IF(AW548&lt;AV548,FALSE,TRUE),TRUE),FALSE)</f>
        <v>1</v>
      </c>
      <c r="HT549" s="1379" t="b">
        <f>IFERROR(IF(AND(G549="Exterior",R549&gt;4200),FALSE,TRUE),FALSE)</f>
        <v>1</v>
      </c>
      <c r="HU549" s="1379" t="b">
        <f>IFERROR(IF(AB551/AB548&lt;HU$18,FALSE,TRUE),FALSE)</f>
        <v>0</v>
      </c>
      <c r="HW549" s="1382"/>
      <c r="HX549" s="1378"/>
      <c r="HY549" s="1377" t="str">
        <f>VLOOKUP(HW551,_Error_Table,4,FALSE)</f>
        <v>White</v>
      </c>
      <c r="HZ549" s="436"/>
      <c r="IA549" s="1386"/>
      <c r="IB549" s="1380"/>
      <c r="IC549" s="1379"/>
      <c r="IF549" s="1380"/>
      <c r="IG549" s="1382"/>
      <c r="IH549" s="1382"/>
      <c r="II549" s="1382"/>
      <c r="IK549" s="1351"/>
      <c r="IL549" s="1351"/>
      <c r="IM549" s="1351"/>
      <c r="IN549" s="1351"/>
      <c r="IO549" s="1351"/>
      <c r="IP549" s="1351"/>
    </row>
    <row r="550" spans="1:250" s="82" customFormat="1" ht="14.95" customHeight="1" thickTop="1" thickBot="1">
      <c r="A550" s="82">
        <f>ROW()</f>
        <v>550</v>
      </c>
      <c r="B550" s="1421"/>
      <c r="C550" s="1422"/>
      <c r="D550" s="1423"/>
      <c r="E550" s="1393" t="s">
        <v>245</v>
      </c>
      <c r="F550" s="1394"/>
      <c r="G550" s="1398"/>
      <c r="H550" s="1399"/>
      <c r="I550" s="1399"/>
      <c r="J550" s="1399"/>
      <c r="K550" s="1399"/>
      <c r="L550" s="1400"/>
      <c r="M550" s="509">
        <f>IFERROR(IF(IF(__Retrofit_TI_NC&lt;&gt;0,IF(CN548="Interior",MATCH(G550,Lookup_Interior_New,0),MATCH(G550,Lookup_Exterior_New,0)),IF(CN548="Interior",MATCH(G550,Lookup_Interior,0),MATCH(G550,Lookup_Exterior_Areas,0)))&gt;0,1,0),0)</f>
        <v>0</v>
      </c>
      <c r="N550" s="509" t="e">
        <f>IF(__Retrofit_TI_NC=1,
VLOOKUP(G550,'Space Table'!$B$3:$L$160,4,FALSE),
IF(__Retrofit_TI_NC=2,VLOOKUP(G550,'Space Table'!$B$3:$L$160,5,FALSE),VLOOKUP(G550,'Space Table'!$B$3:$L$160,5,FALSE)))</f>
        <v>#N/A</v>
      </c>
      <c r="O550" s="509">
        <f>G550</f>
        <v>0</v>
      </c>
      <c r="P550" s="1394" t="s">
        <v>355</v>
      </c>
      <c r="Q550" s="1394"/>
      <c r="R550" s="674"/>
      <c r="S550" s="1401" t="s">
        <v>284</v>
      </c>
      <c r="T550" s="672"/>
      <c r="U550" s="1499"/>
      <c r="V550" s="1500"/>
      <c r="W550" s="1500"/>
      <c r="X550" s="1500"/>
      <c r="Y550" s="1500"/>
      <c r="Z550" s="1500"/>
      <c r="AA550" s="1500"/>
      <c r="AB550" s="1501"/>
      <c r="AC550" s="1501"/>
      <c r="AD550" s="1502"/>
      <c r="AE550" s="672"/>
      <c r="AF550" s="1474"/>
      <c r="AG550" s="1474"/>
      <c r="AH550" s="1474"/>
      <c r="AI550" s="1474"/>
      <c r="AJ550" s="1475">
        <f>DF550</f>
        <v>0</v>
      </c>
      <c r="AK550" s="1470" t="str">
        <f>IFERROR(ROUND(AJ550*AC551,0),"")</f>
        <v/>
      </c>
      <c r="AL550" s="1472">
        <f>IFERROR(IF(HW548=FALSE,0,AC551-AK550),0)</f>
        <v>0</v>
      </c>
      <c r="AM550" s="1441"/>
      <c r="AN550" s="1442"/>
      <c r="AO550" s="1447"/>
      <c r="AP550" s="1447"/>
      <c r="AQ550" s="1448"/>
      <c r="AR550" s="1452"/>
      <c r="AS550" s="1455"/>
      <c r="AT550" s="1458"/>
      <c r="AU550" s="516"/>
      <c r="AV550" s="1479"/>
      <c r="AW550" s="1479"/>
      <c r="BC550" s="38"/>
      <c r="BD550" s="38"/>
      <c r="BE550" s="38"/>
      <c r="BF550" s="38"/>
      <c r="BG550" s="38"/>
      <c r="BH550" s="38"/>
      <c r="BI550" s="38"/>
      <c r="BJ550" s="38"/>
      <c r="BK550" s="38"/>
      <c r="BL550" s="38"/>
      <c r="BM550" s="38"/>
      <c r="BN550" s="38"/>
      <c r="BO550" s="38"/>
      <c r="BP550" s="38"/>
      <c r="BQ550" s="38"/>
      <c r="BR550" s="38"/>
      <c r="BS550" s="38"/>
      <c r="BT550" s="38"/>
      <c r="BU550" s="38"/>
      <c r="BV550" s="38"/>
      <c r="BW550" s="38"/>
      <c r="BX550" s="38"/>
      <c r="BY550" s="38"/>
      <c r="BZ550" s="38"/>
      <c r="CA550" s="38"/>
      <c r="CB550" s="38"/>
      <c r="CC550" s="38"/>
      <c r="CD550" s="38"/>
      <c r="CE550" s="38"/>
      <c r="CF550" s="38"/>
      <c r="CG550" s="38"/>
      <c r="CH550" s="38"/>
      <c r="CI550" s="38"/>
      <c r="CM550" s="1352"/>
      <c r="CN550" s="1352"/>
      <c r="CO550" s="1415" t="str">
        <f>CN548</f>
        <v/>
      </c>
      <c r="CP550" s="1417" t="e">
        <f>CP548</f>
        <v>#N/A</v>
      </c>
      <c r="CR550" s="1386" t="s">
        <v>284</v>
      </c>
      <c r="CS550" s="1353">
        <f>IF(HW548=TRUE,T550,0)</f>
        <v>0</v>
      </c>
      <c r="CT550" s="1353" t="str">
        <f>IF(HW548=TRUE,U550,"")</f>
        <v/>
      </c>
      <c r="CU550" s="1373">
        <f>IF(HW548=TRUE,U551,0)</f>
        <v>0</v>
      </c>
      <c r="CV550" s="1370">
        <f>IF(HW548=TRUE,AB551,0)</f>
        <v>0</v>
      </c>
      <c r="CW550" s="1370">
        <f>IF(HW548=TRUE,AC551,0)</f>
        <v>0</v>
      </c>
      <c r="CX550" s="1371"/>
      <c r="CY550" s="1486"/>
      <c r="CZ550" s="1486"/>
      <c r="DA550" s="1486"/>
      <c r="DC550" s="1353">
        <f>IF(HW548=TRUE,AE550,0)</f>
        <v>0</v>
      </c>
      <c r="DD550" s="1353" t="str">
        <f>IF(HW548=TRUE,AF550,"")</f>
        <v/>
      </c>
      <c r="DE550" s="1373">
        <f>AF551</f>
        <v>0</v>
      </c>
      <c r="DF550" s="1406">
        <f>IFERROR(IF(FL550=3,IK550,IF(FL550=4,IL550,IF(FL550=5,IM550,IF(FL550=6,IN550,IF(FL550=7,IO550,IF(FL550=8,IP550,0)))))),0)</f>
        <v>0</v>
      </c>
      <c r="DG550" s="1370">
        <f>IF(HW548=TRUE,AK550,0)</f>
        <v>0</v>
      </c>
      <c r="DH550" s="1369"/>
      <c r="DK550" s="1483">
        <f>IFERROR(CW550-DG550,0)</f>
        <v>0</v>
      </c>
      <c r="DL550" s="1420"/>
      <c r="DN550" s="1403"/>
      <c r="DO550" s="1477" t="str">
        <f>DN548</f>
        <v/>
      </c>
      <c r="DP550" s="1354"/>
      <c r="DQ550" s="1477" t="str">
        <f>IF(DP548=7,"LLLC","")</f>
        <v/>
      </c>
      <c r="DR550" s="1403"/>
      <c r="DS550" s="1489"/>
      <c r="DU550" s="1403"/>
      <c r="DV550" s="1404" t="str">
        <f>DU548</f>
        <v/>
      </c>
      <c r="DW550" s="1403"/>
      <c r="DX550" s="1403"/>
      <c r="DZ550" s="1481"/>
      <c r="EA550" s="1481"/>
      <c r="EC550" s="1482"/>
      <c r="ED550" s="1369"/>
      <c r="EE550" s="1371"/>
      <c r="EF550" s="1369"/>
      <c r="EG550" s="1369"/>
      <c r="EH550" s="1374"/>
      <c r="EI550" s="1374"/>
      <c r="EJ550" s="1363"/>
      <c r="EK550" s="1376"/>
      <c r="EL550" s="1376"/>
      <c r="EM550" s="1362"/>
      <c r="EN550" s="1362"/>
      <c r="EO550" s="1363"/>
      <c r="EP550" s="1363"/>
      <c r="EQ550" s="1363"/>
      <c r="ES550" s="1403"/>
      <c r="EU550" s="1411" t="e">
        <f>VLOOKUP(CP550,'Space Table'!$B$3:$L$160,8,FALSE)</f>
        <v>#N/A</v>
      </c>
      <c r="EV550" s="1411" t="e">
        <f>IF(EY550="Yes",VLOOKUP(AF550,Lookup_Control_Type_Table2,4,FALSE),VLOOKUP(AF550,Lookup_Control_Type_Table2,3,FALSE))</f>
        <v>#N/A</v>
      </c>
      <c r="EW550" s="1411" t="e">
        <f>VLOOKUP(AF550,Lookup!AU$3:AV$15,2,FALSE)</f>
        <v>#N/A</v>
      </c>
      <c r="EX550" s="1411" t="e">
        <f>VLOOKUP(EU548,Lookup_Control_Type_Table,2,FALSE)</f>
        <v>#N/A</v>
      </c>
      <c r="EY550" s="1411" t="e">
        <f>VLOOKUP(CP550,'Space Table'!$B$3:$L$160,7,FALSE)</f>
        <v>#N/A</v>
      </c>
      <c r="EZ550" s="1413"/>
      <c r="FB550" s="1365" t="str">
        <f>CONCATENATE(CN548," - ",AF550)</f>
        <v xml:space="preserve"> - </v>
      </c>
      <c r="FD550" s="1354"/>
      <c r="FE550" s="1354"/>
      <c r="FF550" s="138"/>
      <c r="FI550" s="1356" t="str">
        <f>IF(CN548="Exterior","Not Daylighted",G551)</f>
        <v>Not Daylighted</v>
      </c>
      <c r="FJ550" s="1356">
        <f>VLOOKUP(FI550,_Daylight_Table_Codes,2,FALSE)</f>
        <v>0</v>
      </c>
      <c r="FK550" s="1365">
        <f>AF550</f>
        <v>0</v>
      </c>
      <c r="FL550" s="1365" t="e">
        <f>VLOOKUP(FK550,_Control_Table,2,FALSE)</f>
        <v>#N/A</v>
      </c>
      <c r="FM550" s="1365" t="e">
        <f>IF(AND(FP550&gt;0,FK550="Occupancy Sensor"),"Daylight + Occupancy",IF(AND(FP550&gt;0,FL550&lt;4),"Interior Daylight Dimming",FK550))</f>
        <v>#N/A</v>
      </c>
      <c r="FO550" s="1364">
        <f>IF(CN548="Interior",VLOOKUP(CP548,Control_Savings_Interior,5,FALSE),0)</f>
        <v>0</v>
      </c>
      <c r="FP550" s="1361">
        <f>IF(CN550="Exterior",0,IF(FJ550=2,0.5,IF(OR(FJ550=1,FJ550=3),1,0)))</f>
        <v>0</v>
      </c>
      <c r="FQ550" s="1366">
        <f>IF(R549&gt;FO$37,(FO550*(FO$37/R549)),FO550)*FP550</f>
        <v>0</v>
      </c>
      <c r="FR550" s="1364">
        <f>DF550</f>
        <v>0</v>
      </c>
      <c r="FS550" s="1364">
        <f>ROUND(FR550+((1-FR550)*FQ550),2)</f>
        <v>0</v>
      </c>
      <c r="FT550" s="1364">
        <f>IF(__Retrofit_TI_NC=2,FS550,FR550)</f>
        <v>0</v>
      </c>
      <c r="FU550" s="1360">
        <f>IF(CO550="Interior",VLOOKUP(CP550,Control_Savings_Interior,4,FALSE),0)</f>
        <v>0</v>
      </c>
      <c r="FW550" s="1352"/>
      <c r="FX550" s="1352"/>
      <c r="FY550" s="1352"/>
      <c r="FZ550" s="1352"/>
      <c r="GA550" s="1352"/>
      <c r="GB550" s="1352"/>
      <c r="GC550" s="1352"/>
      <c r="GD550" s="1352"/>
      <c r="GE550" s="759" t="b">
        <f>IF(ISNUMBER(SEARCH("TLED",U550)),TRUE,FALSE)</f>
        <v>0</v>
      </c>
      <c r="GF550" s="1035" t="str">
        <f>IFERROR(VLOOKUP(U550,Fixtures!DM$93:DR$142,6,FALSE),"")</f>
        <v/>
      </c>
      <c r="GG550" s="1385"/>
      <c r="GI550" s="1383"/>
      <c r="GJ550" s="1379"/>
      <c r="GL550" s="1379"/>
      <c r="GM550" s="1379"/>
      <c r="HC550" s="1379"/>
      <c r="HD550" s="1379"/>
      <c r="HE550" s="1379"/>
      <c r="HF550" s="1379"/>
      <c r="HG550" s="1379"/>
      <c r="HH550" s="1379"/>
      <c r="HI550" s="1383"/>
      <c r="HJ550" s="1383"/>
      <c r="HK550" s="1383"/>
      <c r="HL550" s="1379"/>
      <c r="HM550" s="1379"/>
      <c r="HN550" s="1379"/>
      <c r="HO550" s="1379"/>
      <c r="HP550" s="1379"/>
      <c r="HQ550" s="1379"/>
      <c r="HR550" s="1379"/>
      <c r="HS550" s="1379"/>
      <c r="HT550" s="1379"/>
      <c r="HU550" s="1379"/>
      <c r="HW550" s="1383"/>
      <c r="HX550" s="1384" t="b">
        <f>HW548</f>
        <v>0</v>
      </c>
      <c r="HY550" s="1378"/>
      <c r="HZ550" s="436"/>
      <c r="IA550" s="1386"/>
      <c r="IB550" s="1380">
        <f>IF(IA548=TRUE,AC551,0)</f>
        <v>0</v>
      </c>
      <c r="IC550" s="1379"/>
      <c r="IF550" s="1380" t="e">
        <f>ROUND(T550*AB551*N549*R549/1000,0)</f>
        <v>#VALUE!</v>
      </c>
      <c r="IG550" s="1382"/>
      <c r="IH550" s="1384" t="e">
        <f>ROUND(T550*AB551*N549*R549/1000,0)</f>
        <v>#VALUE!</v>
      </c>
      <c r="II550" s="1382"/>
      <c r="IK550" s="1351" t="e">
        <f>IF($CO550="interior",IL550/2,VLOOKUP($CP550,Control_Savings_Exterior,IK$30,FALSE))</f>
        <v>#N/A</v>
      </c>
      <c r="IL550" s="1351" t="e">
        <f>IF($CO550="interior",VLOOKUP($CP550,Control_Savings_Interior,IL$30,FALSE),VLOOKUP($CP550,Control_Savings_Exterior,IL$30,FALSE))</f>
        <v>#N/A</v>
      </c>
      <c r="IM550" s="1351" t="e">
        <f>IF($CO550="interior",IF(R549&gt;FO$37,(IM$28*(FO$37/R549)),IM$28)*FP550,VLOOKUP($CP550,Control_Savings_Exterior,IM$30,FALSE))</f>
        <v>#N/A</v>
      </c>
      <c r="IN550" s="1351" t="e">
        <f>IF($CO550="interior",ROUND(((1-IL550)*IM550)+IL550,2),VLOOKUP($CP550,Control_Savings_Exterior,IN$30,FALSE))</f>
        <v>#N/A</v>
      </c>
      <c r="IO550" s="1351" t="e">
        <f>IF($CO550="interior", ROUND(((1-IL550)*(IM550*(1-IP$28)))+IP550,2), VLOOKUP($CP550,Control_Savings_Exterior,IO$30,FALSE))</f>
        <v>#N/A</v>
      </c>
      <c r="IP550" s="1351">
        <f>IF($CO550="interior",ROUND(((1-IL550)*IP$28)+IL550,2),0)</f>
        <v>0</v>
      </c>
    </row>
    <row r="551" spans="1:250" s="82" customFormat="1" ht="14.95" customHeight="1" thickTop="1" thickBot="1">
      <c r="B551" s="1421"/>
      <c r="C551" s="1422"/>
      <c r="D551" s="1423"/>
      <c r="E551" s="1462" t="s">
        <v>357</v>
      </c>
      <c r="F551" s="1463"/>
      <c r="G551" s="1464" t="s">
        <v>362</v>
      </c>
      <c r="H551" s="1465"/>
      <c r="I551" s="1465"/>
      <c r="J551" s="1465"/>
      <c r="K551" s="1465"/>
      <c r="L551" s="1466"/>
      <c r="M551" s="669">
        <f>IFERROR(VLOOKUP(G551,_Daylight_Table[],2,FALSE),0)</f>
        <v>0</v>
      </c>
      <c r="N551" s="670"/>
      <c r="O551" s="669" t="e">
        <f>VLOOKUP(G550,'Space Table'!$B$3:$L$160,11,FALSE)</f>
        <v>#N/A</v>
      </c>
      <c r="P551" s="1408"/>
      <c r="Q551" s="1409"/>
      <c r="R551" s="1409"/>
      <c r="S551" s="1402"/>
      <c r="T551" s="671" t="s">
        <v>281</v>
      </c>
      <c r="U551" s="1467" t="str">
        <f>IFERROR(VLOOKUP(U550,Fixtures!DM$93:DP$142,4,FALSE),"")</f>
        <v/>
      </c>
      <c r="V551" s="1468"/>
      <c r="W551" s="1468"/>
      <c r="X551" s="1468"/>
      <c r="Y551" s="1468"/>
      <c r="Z551" s="1468"/>
      <c r="AA551" s="1468"/>
      <c r="AB551" s="1046" t="str">
        <f>IFERROR(VLOOKUP(U550,Fixtures_Proposed_List,2,FALSE),"")</f>
        <v/>
      </c>
      <c r="AC551" s="1036" t="str">
        <f>IFERROR(ROUND(T550*AB551*N549*R549/1000,0),"")</f>
        <v/>
      </c>
      <c r="AD551" s="1037" t="str">
        <f>IFERROR(ROUND(T550*AB551/1000,2),"")</f>
        <v/>
      </c>
      <c r="AE551" s="1045" t="s">
        <v>281</v>
      </c>
      <c r="AF551" s="1469"/>
      <c r="AG551" s="1469"/>
      <c r="AH551" s="1469"/>
      <c r="AI551" s="1469"/>
      <c r="AJ551" s="1476"/>
      <c r="AK551" s="1471"/>
      <c r="AL551" s="1473"/>
      <c r="AM551" s="1443"/>
      <c r="AN551" s="1444"/>
      <c r="AO551" s="1449"/>
      <c r="AP551" s="1449"/>
      <c r="AQ551" s="1450"/>
      <c r="AR551" s="1453"/>
      <c r="AS551" s="1456"/>
      <c r="AT551" s="1459"/>
      <c r="AU551" s="517"/>
      <c r="AV551" s="1480"/>
      <c r="AW551" s="1480"/>
      <c r="BC551" s="38"/>
      <c r="BD551" s="38"/>
      <c r="BE551" s="38"/>
      <c r="BF551" s="38"/>
      <c r="BG551" s="38"/>
      <c r="BH551" s="38"/>
      <c r="BI551" s="38"/>
      <c r="BJ551" s="38"/>
      <c r="BK551" s="38"/>
      <c r="BL551" s="38"/>
      <c r="BM551" s="38"/>
      <c r="BN551" s="38"/>
      <c r="BO551" s="38"/>
      <c r="BP551" s="38"/>
      <c r="BQ551" s="38"/>
      <c r="BR551" s="38"/>
      <c r="BS551" s="38"/>
      <c r="BT551" s="38"/>
      <c r="BU551" s="38"/>
      <c r="BV551" s="38"/>
      <c r="BW551" s="38"/>
      <c r="BX551" s="38"/>
      <c r="BY551" s="38"/>
      <c r="BZ551" s="38"/>
      <c r="CA551" s="38"/>
      <c r="CB551" s="38"/>
      <c r="CC551" s="38"/>
      <c r="CD551" s="38"/>
      <c r="CE551" s="38"/>
      <c r="CF551" s="38"/>
      <c r="CG551" s="38"/>
      <c r="CH551" s="38"/>
      <c r="CI551" s="38"/>
      <c r="CM551" s="1352"/>
      <c r="CN551" s="1352"/>
      <c r="CO551" s="1416"/>
      <c r="CP551" s="1418"/>
      <c r="CR551" s="1386"/>
      <c r="CS551" s="1355"/>
      <c r="CT551" s="1355"/>
      <c r="CU551" s="1375"/>
      <c r="CV551" s="1372"/>
      <c r="CW551" s="1372"/>
      <c r="CX551" s="1372"/>
      <c r="CY551" s="1487"/>
      <c r="CZ551" s="1487"/>
      <c r="DA551" s="1487"/>
      <c r="DC551" s="1355"/>
      <c r="DD551" s="1355"/>
      <c r="DE551" s="1375"/>
      <c r="DF551" s="1407"/>
      <c r="DG551" s="1372"/>
      <c r="DH551" s="1369"/>
      <c r="DK551" s="1484"/>
      <c r="DL551" s="1420"/>
      <c r="DN551" s="1403"/>
      <c r="DO551" s="1405"/>
      <c r="DP551" s="1355"/>
      <c r="DQ551" s="1405"/>
      <c r="DR551" s="1403"/>
      <c r="DS551" s="1489"/>
      <c r="DU551" s="1403"/>
      <c r="DV551" s="1405"/>
      <c r="DW551" s="1403"/>
      <c r="DX551" s="1403"/>
      <c r="DZ551" s="1481"/>
      <c r="EA551" s="1481"/>
      <c r="EC551" s="1482"/>
      <c r="ED551" s="1369"/>
      <c r="EE551" s="1372"/>
      <c r="EF551" s="1369"/>
      <c r="EG551" s="1369"/>
      <c r="EH551" s="1375"/>
      <c r="EI551" s="1375"/>
      <c r="EJ551" s="1363"/>
      <c r="EK551" s="1376"/>
      <c r="EL551" s="1376"/>
      <c r="EM551" s="1362"/>
      <c r="EN551" s="1362"/>
      <c r="EO551" s="1363"/>
      <c r="EP551" s="1363"/>
      <c r="EQ551" s="1363"/>
      <c r="ES551" s="1403"/>
      <c r="EU551" s="1488"/>
      <c r="EV551" s="1488"/>
      <c r="EW551" s="1488"/>
      <c r="EX551" s="1488"/>
      <c r="EY551" s="1488"/>
      <c r="EZ551" s="1414"/>
      <c r="FB551" s="1365"/>
      <c r="FD551" s="1355"/>
      <c r="FE551" s="1355"/>
      <c r="FF551" s="138"/>
      <c r="FI551" s="1357"/>
      <c r="FJ551" s="1357"/>
      <c r="FK551" s="1365"/>
      <c r="FL551" s="1365"/>
      <c r="FM551" s="1365"/>
      <c r="FO551" s="1361"/>
      <c r="FP551" s="1361"/>
      <c r="FQ551" s="1366"/>
      <c r="FR551" s="1361"/>
      <c r="FS551" s="1361"/>
      <c r="FT551" s="1361"/>
      <c r="FU551" s="1360"/>
      <c r="FW551" s="1352"/>
      <c r="FX551" s="1352"/>
      <c r="FY551" s="1352"/>
      <c r="FZ551" s="1352"/>
      <c r="GA551" s="1352"/>
      <c r="GB551" s="1352"/>
      <c r="GC551" s="1352"/>
      <c r="GD551" s="1352"/>
      <c r="GE551" s="759"/>
      <c r="GF551" s="1035"/>
      <c r="GG551" s="1385"/>
      <c r="GJ551" s="1034">
        <f>IF(GJ549=TRUE,0,GJ$16)</f>
        <v>0</v>
      </c>
      <c r="GL551" s="1034">
        <f>IF(GL549=TRUE,0,GL$16)</f>
        <v>36</v>
      </c>
      <c r="GM551" s="1034">
        <f>IF(GM549=TRUE,0,GM$16)</f>
        <v>35</v>
      </c>
      <c r="GN551" s="436"/>
      <c r="GO551" s="436"/>
      <c r="GP551" s="436"/>
      <c r="GQ551" s="436"/>
      <c r="GR551" s="436"/>
      <c r="HC551" s="1034">
        <f t="shared" ref="HC551:HH551" si="406">IF(HC549=TRUE,0,HC$16)</f>
        <v>19</v>
      </c>
      <c r="HD551" s="1034">
        <f t="shared" si="406"/>
        <v>18</v>
      </c>
      <c r="HE551" s="1034">
        <f t="shared" si="406"/>
        <v>17</v>
      </c>
      <c r="HF551" s="1034">
        <f t="shared" si="406"/>
        <v>16</v>
      </c>
      <c r="HG551" s="1034">
        <f t="shared" si="406"/>
        <v>0</v>
      </c>
      <c r="HH551" s="1034">
        <f t="shared" si="406"/>
        <v>0</v>
      </c>
      <c r="HI551" s="1034">
        <f>IF(HI549=TRUE,0,HI$16)</f>
        <v>13</v>
      </c>
      <c r="HJ551" s="1034">
        <f t="shared" ref="HJ551:HL551" si="407">IF(HJ549=TRUE,0,HJ$16)</f>
        <v>12</v>
      </c>
      <c r="HK551" s="1034">
        <f t="shared" si="407"/>
        <v>11</v>
      </c>
      <c r="HL551" s="1034">
        <f t="shared" si="407"/>
        <v>10</v>
      </c>
      <c r="HM551" s="1034">
        <f>IF(HM549=TRUE,0,HM$16)</f>
        <v>9</v>
      </c>
      <c r="HN551" s="1034">
        <f t="shared" ref="HN551:HR551" si="408">IF(HN549=TRUE,0,HN$16)</f>
        <v>0</v>
      </c>
      <c r="HO551" s="1034">
        <f t="shared" si="408"/>
        <v>0</v>
      </c>
      <c r="HP551" s="1034">
        <f t="shared" si="408"/>
        <v>0</v>
      </c>
      <c r="HQ551" s="1034">
        <f t="shared" si="408"/>
        <v>0</v>
      </c>
      <c r="HR551" s="1034">
        <f t="shared" si="408"/>
        <v>0</v>
      </c>
      <c r="HS551" s="1034">
        <f>IF(HS549=TRUE,0,HS$16)</f>
        <v>0</v>
      </c>
      <c r="HT551" s="1034">
        <f t="shared" ref="HT551" si="409">IF(HT549=TRUE,0,HT$16)</f>
        <v>0</v>
      </c>
      <c r="HU551" s="1034">
        <f>IF(HU549=TRUE,0,HU$16)</f>
        <v>1</v>
      </c>
      <c r="HW551" s="1034">
        <f>IF(GL549=FALSE,GL551,IF(GM549=FALSE,GM551,MAX(GJ551:HU551)))</f>
        <v>36</v>
      </c>
      <c r="HX551" s="1383"/>
      <c r="HY551" s="241" t="str">
        <f>VLOOKUP(HW551,_Error_Table,3,FALSE)</f>
        <v xml:space="preserve"> </v>
      </c>
      <c r="HZ551" s="241"/>
      <c r="IA551" s="1386"/>
      <c r="IB551" s="1380"/>
      <c r="IC551" s="1379"/>
      <c r="IF551" s="1380"/>
      <c r="IG551" s="1383"/>
      <c r="IH551" s="1383"/>
      <c r="II551" s="1383"/>
      <c r="IK551" s="1351"/>
      <c r="IL551" s="1351"/>
      <c r="IM551" s="1351"/>
      <c r="IN551" s="1351"/>
      <c r="IO551" s="1351"/>
      <c r="IP551" s="1351"/>
    </row>
    <row r="552" spans="1:250" s="82" customFormat="1" ht="5.0999999999999996" customHeight="1" thickBot="1">
      <c r="B552" s="763"/>
      <c r="C552" s="1038"/>
      <c r="D552" s="1038"/>
      <c r="E552" s="1490"/>
      <c r="F552" s="1490"/>
      <c r="G552" s="1490"/>
      <c r="H552" s="1490"/>
      <c r="I552" s="1490"/>
      <c r="J552" s="1490"/>
      <c r="K552" s="1490"/>
      <c r="L552" s="1490"/>
      <c r="M552" s="1490"/>
      <c r="N552" s="1490"/>
      <c r="O552" s="1490"/>
      <c r="P552" s="1490"/>
      <c r="Q552" s="1490"/>
      <c r="R552" s="1490"/>
      <c r="S552" s="1490"/>
      <c r="T552" s="1490"/>
      <c r="U552" s="1490"/>
      <c r="V552" s="1490"/>
      <c r="W552" s="1490"/>
      <c r="X552" s="1490"/>
      <c r="Y552" s="1490"/>
      <c r="Z552" s="1490"/>
      <c r="AA552" s="1490"/>
      <c r="AB552" s="1490"/>
      <c r="AC552" s="1490"/>
      <c r="AD552" s="1490"/>
      <c r="AE552" s="1490"/>
      <c r="AF552" s="1490"/>
      <c r="AG552" s="1490"/>
      <c r="AH552" s="1490"/>
      <c r="AI552" s="1490"/>
      <c r="AJ552" s="1490"/>
      <c r="AK552" s="1490"/>
      <c r="AL552" s="1490"/>
      <c r="AM552" s="1490"/>
      <c r="AN552" s="1490"/>
      <c r="AO552" s="1490"/>
      <c r="AP552" s="1490"/>
      <c r="AQ552" s="1490"/>
      <c r="AR552" s="1490"/>
      <c r="AS552" s="1490"/>
      <c r="AT552" s="1490"/>
      <c r="AU552" s="1041"/>
      <c r="BC552" s="38"/>
      <c r="BD552" s="38"/>
      <c r="BE552" s="38"/>
      <c r="BF552" s="38"/>
      <c r="BG552" s="38"/>
      <c r="BH552" s="38"/>
      <c r="BI552" s="38"/>
      <c r="BJ552" s="38"/>
      <c r="BK552" s="38"/>
      <c r="BL552" s="38"/>
      <c r="BM552" s="38"/>
      <c r="BN552" s="38"/>
      <c r="BO552" s="38"/>
      <c r="BP552" s="38"/>
      <c r="BQ552" s="38"/>
      <c r="BR552" s="38"/>
      <c r="BS552" s="38"/>
      <c r="BT552" s="38"/>
      <c r="BU552" s="38"/>
      <c r="BV552" s="38"/>
      <c r="BW552" s="38"/>
      <c r="BX552" s="38"/>
      <c r="BY552" s="38"/>
      <c r="BZ552" s="38"/>
      <c r="CA552" s="38"/>
      <c r="CB552" s="38"/>
      <c r="CC552" s="38"/>
      <c r="CD552" s="38"/>
      <c r="CE552" s="38"/>
      <c r="CF552" s="38"/>
      <c r="CG552" s="38"/>
      <c r="CH552" s="38"/>
      <c r="CI552" s="38"/>
      <c r="CM552" s="749"/>
      <c r="CN552" s="749"/>
      <c r="CO552" s="1043"/>
      <c r="CP552" s="749"/>
      <c r="CS552" s="436"/>
      <c r="CT552" s="436"/>
      <c r="CU552" s="243"/>
      <c r="CV552" s="244"/>
      <c r="CW552" s="244"/>
      <c r="CX552" s="244"/>
      <c r="CY552" s="245"/>
      <c r="CZ552" s="245"/>
      <c r="DA552" s="245"/>
      <c r="DC552" s="750"/>
      <c r="DD552" s="751"/>
      <c r="DE552" s="752"/>
      <c r="DF552" s="753"/>
      <c r="DG552" s="754"/>
      <c r="DH552" s="754"/>
      <c r="DK552" s="244"/>
      <c r="DL552" s="750"/>
      <c r="DN552" s="750"/>
      <c r="DO552" s="755"/>
      <c r="DP552" s="436"/>
      <c r="DQ552" s="750"/>
      <c r="DR552" s="750"/>
      <c r="DS552" s="750"/>
      <c r="DU552" s="750"/>
      <c r="DV552" s="750"/>
      <c r="DW552" s="750"/>
      <c r="DX552" s="750"/>
      <c r="DZ552" s="756"/>
      <c r="EA552" s="756"/>
      <c r="EC552" s="754"/>
      <c r="ED552" s="754"/>
      <c r="EE552" s="244"/>
      <c r="EF552" s="754"/>
      <c r="EG552" s="754"/>
      <c r="EH552" s="243"/>
      <c r="EI552" s="243"/>
      <c r="EJ552" s="752"/>
      <c r="EK552" s="757"/>
      <c r="EL552" s="757"/>
      <c r="EM552" s="758"/>
      <c r="EN552" s="758"/>
      <c r="EO552" s="752"/>
      <c r="EP552" s="752"/>
      <c r="EQ552" s="752"/>
      <c r="ES552" s="750"/>
      <c r="EU552" s="436"/>
      <c r="EV552" s="436"/>
      <c r="EW552" s="436"/>
      <c r="EX552" s="436"/>
      <c r="EY552" s="436"/>
      <c r="EZ552" s="436"/>
      <c r="FB552" s="643"/>
      <c r="FD552" s="436"/>
      <c r="FE552" s="436"/>
      <c r="FF552" s="436"/>
      <c r="FO552" s="750"/>
      <c r="FP552" s="436"/>
      <c r="FQ552" s="436"/>
      <c r="FR552" s="750"/>
      <c r="FS552" s="750"/>
      <c r="FW552" s="749"/>
      <c r="FX552" s="749"/>
      <c r="FY552" s="749"/>
      <c r="FZ552" s="749"/>
      <c r="GA552" s="749"/>
      <c r="GB552" s="749"/>
      <c r="GC552" s="749"/>
      <c r="GD552" s="749"/>
      <c r="GE552" s="751"/>
      <c r="GF552" s="750"/>
      <c r="GG552" s="750"/>
    </row>
    <row r="553" spans="1:250" s="82" customFormat="1" ht="14.95" customHeight="1" thickTop="1" thickBot="1">
      <c r="B553" s="1421" t="str">
        <f>HY556</f>
        <v xml:space="preserve"> </v>
      </c>
      <c r="C553" s="1422">
        <f>C548+1</f>
        <v>100</v>
      </c>
      <c r="D553" s="1423"/>
      <c r="E553" s="1424" t="s">
        <v>242</v>
      </c>
      <c r="F553" s="1425"/>
      <c r="G553" s="1426"/>
      <c r="H553" s="1427"/>
      <c r="I553" s="1427"/>
      <c r="J553" s="1427"/>
      <c r="K553" s="1427"/>
      <c r="L553" s="1427"/>
      <c r="M553" s="1427"/>
      <c r="N553" s="1427"/>
      <c r="O553" s="1427"/>
      <c r="P553" s="1427"/>
      <c r="Q553" s="1427"/>
      <c r="R553" s="1427"/>
      <c r="S553" s="1428" t="s">
        <v>283</v>
      </c>
      <c r="T553" s="668" t="s">
        <v>190</v>
      </c>
      <c r="U553" s="1430" t="s">
        <v>186</v>
      </c>
      <c r="V553" s="1431"/>
      <c r="W553" s="1431"/>
      <c r="X553" s="1431"/>
      <c r="Y553" s="1431"/>
      <c r="Z553" s="1431"/>
      <c r="AA553" s="1431"/>
      <c r="AB553" s="1088" t="str">
        <f>IFERROR(IF(__Retrofit_TI_NC=0,VLOOKUP(U554,Fixtures_Existing_List,2,FALSE),ROUND(N555*R555/T555,10)),"")</f>
        <v/>
      </c>
      <c r="AC553" s="1039" t="str">
        <f>IFERROR(IF(__Retrofit_TI_NC=0,ROUND(T554*AB553*N554*R554/1000,0),IF(CN553="Interior",N555*R555*R554*N554*_C406_reduction/1000,N555*R555*R554*N554/1000)),"")</f>
        <v/>
      </c>
      <c r="AD553" s="1040" t="str">
        <f>IFERROR(IF(C$36=0,ROUND(T554*AB553/1000,2),N555*R555/1000),"")</f>
        <v/>
      </c>
      <c r="AE553" s="1044" t="s">
        <v>190</v>
      </c>
      <c r="AF553" s="1432" t="str">
        <f>IF(__Retrofit_TI_NC=2,CONCATENATE("Code min = ",DD553),IF(__Retrofit_TI_NC=1,"Emter what you think the existing control was"," Control"))</f>
        <v xml:space="preserve"> Control</v>
      </c>
      <c r="AG553" s="1432"/>
      <c r="AH553" s="1432"/>
      <c r="AI553" s="1432"/>
      <c r="AJ553" s="1433">
        <f>DF553</f>
        <v>0</v>
      </c>
      <c r="AK553" s="1435" t="str">
        <f>IFERROR(ROUND(AJ553*AC553,0),"")</f>
        <v/>
      </c>
      <c r="AL553" s="1437">
        <f>IFERROR(IF(HW553=FALSE,0,AC553-AK553),0)</f>
        <v>0</v>
      </c>
      <c r="AM553" s="1439">
        <f>AL553-AL555</f>
        <v>0</v>
      </c>
      <c r="AN553" s="1440"/>
      <c r="AO553" s="1445">
        <f>IFERROR(IF(HW553=FALSE,0,(T555*U556)+(AE555*AF556)),0)</f>
        <v>0</v>
      </c>
      <c r="AP553" s="1445"/>
      <c r="AQ553" s="1446"/>
      <c r="AR553" s="1451" t="s">
        <v>157</v>
      </c>
      <c r="AS553" s="1454">
        <f>IF(AR553="Yes",1,0)</f>
        <v>1</v>
      </c>
      <c r="AT553" s="1457" t="str">
        <f>IF(OR(DN553=4,DN553=5,DN553=6,DN553=12),CONCATENATE("$",IF(GD553=TRUE,Lookup!$B$11,Lookup!$B$2)," /lamp"),CONCATENATE(EA553,"/ kWh"))</f>
        <v>0/ kWh</v>
      </c>
      <c r="AU553" s="516"/>
      <c r="AV553" s="1478">
        <f>IFERROR(IF(GI554=TRUE,(AB556*T555)/R555,0),"NA")</f>
        <v>0</v>
      </c>
      <c r="AW553" s="1478" t="str">
        <f>IFERROR(N555*_C406_reduction,"NA")</f>
        <v>NA</v>
      </c>
      <c r="BC553" s="38"/>
      <c r="BD553" s="38"/>
      <c r="BE553" s="38"/>
      <c r="BF553" s="38"/>
      <c r="BG553" s="38"/>
      <c r="BH553" s="38"/>
      <c r="BI553" s="38"/>
      <c r="BJ553" s="38"/>
      <c r="BK553" s="38"/>
      <c r="BL553" s="38"/>
      <c r="BM553" s="38"/>
      <c r="BN553" s="38"/>
      <c r="BO553" s="38"/>
      <c r="BP553" s="38"/>
      <c r="BQ553" s="38"/>
      <c r="BR553" s="38"/>
      <c r="BS553" s="38"/>
      <c r="BT553" s="38"/>
      <c r="BU553" s="38"/>
      <c r="BV553" s="38"/>
      <c r="BW553" s="38"/>
      <c r="BX553" s="38"/>
      <c r="BY553" s="38"/>
      <c r="BZ553" s="38"/>
      <c r="CA553" s="38"/>
      <c r="CB553" s="38"/>
      <c r="CC553" s="38"/>
      <c r="CD553" s="38"/>
      <c r="CE553" s="38"/>
      <c r="CF553" s="38"/>
      <c r="CG553" s="38"/>
      <c r="CH553" s="38"/>
      <c r="CI553" s="38"/>
      <c r="CM553" s="1352" t="str">
        <f>N554</f>
        <v/>
      </c>
      <c r="CN553" s="1352" t="str">
        <f>IFERROR(VLOOKUP(G554,_Lookup_Heat_Type_Table_New,3,FALSE),"")</f>
        <v/>
      </c>
      <c r="CO553" s="1415" t="str">
        <f>CN553</f>
        <v/>
      </c>
      <c r="CP553" s="1417" t="e">
        <f>VLOOKUP(G555,'Space Table'!$B$3:$L$160,9,FALSE)</f>
        <v>#N/A</v>
      </c>
      <c r="CR553" s="1386" t="s">
        <v>283</v>
      </c>
      <c r="CS553" s="1353">
        <f>IF(HW553=TRUE,T554,0)</f>
        <v>0</v>
      </c>
      <c r="CT553" s="1353" t="str">
        <f>IF(HW553=TRUE,U554,"")</f>
        <v/>
      </c>
      <c r="CU553" s="1353"/>
      <c r="CV553" s="1370">
        <f>IF(HW553=TRUE,AB553,0)</f>
        <v>0</v>
      </c>
      <c r="CW553" s="1370">
        <f>IF(HW553=TRUE,AC553,0)</f>
        <v>0</v>
      </c>
      <c r="CX553" s="1370">
        <f>IFERROR(IF(HW553=TRUE,CW553-CW555,0),0)</f>
        <v>0</v>
      </c>
      <c r="CY553" s="1485">
        <f>IF(HW553=TRUE,AD553,0)</f>
        <v>0</v>
      </c>
      <c r="CZ553" s="1485">
        <f>IF(HW553=TRUE,AD556,0)</f>
        <v>0</v>
      </c>
      <c r="DA553" s="1485">
        <f>IFERROR(CY553-CZ553,0)</f>
        <v>0</v>
      </c>
      <c r="DC553" s="1353">
        <f>IF(HW553=TRUE,AE554,0)</f>
        <v>0</v>
      </c>
      <c r="DD553" s="1460">
        <f>IF(__Retrofit_TI_NC=2,IF(CN553="Exterior",O556,FM553),FK553)</f>
        <v>0</v>
      </c>
      <c r="DE553" s="1353"/>
      <c r="DF553" s="1406">
        <f>IFERROR(IF(FL553=3,IK553,IF(FL553=4,IL553,IF(FL553=5,IM553,IF(FL553=6,IN553,IF(FL553=7,IO553,IF(FL553=8,IP553,0)))))),0)</f>
        <v>0</v>
      </c>
      <c r="DG553" s="1370">
        <f>IF(HW553=TRUE,AK553,0)</f>
        <v>0</v>
      </c>
      <c r="DH553" s="1369">
        <f>IFERROR(IF(HW553=TRUE,DG555-DG553,0),0)</f>
        <v>0</v>
      </c>
      <c r="DJ553" s="1483">
        <f>IFERROR(CW553-DG553,0)</f>
        <v>0</v>
      </c>
      <c r="DL553" s="1419">
        <f>DJ553-DK555</f>
        <v>0</v>
      </c>
      <c r="DN553" s="1403" t="str">
        <f>IFERROR(IF(AND(OR(FY553=4,FY553=5,FY553=6),OR(GB553=4,GB553=5,GB553=6)),FY553+8,VLOOKUP(CT555,Fixtures!R$31:Y$78,8,FALSE)),"")</f>
        <v/>
      </c>
      <c r="DO553" s="1404" t="str">
        <f>DN553</f>
        <v/>
      </c>
      <c r="DP553" s="1353" t="str">
        <f>IFERROR(VLOOKUP(DD555,Lookup!AU$3:AV$15,2,FALSE),"")</f>
        <v/>
      </c>
      <c r="DQ553" s="1404" t="str">
        <f>IF(DP553=7,"LLLC","")</f>
        <v/>
      </c>
      <c r="DR553" s="1403">
        <f>IFERROR(IF(OR(DN553=4,DN553=5,DN553=6,DN553=12,DN553=13,DN553=14),VLOOKUP(CT555,Fixtures!DN$27:EG$77,19,FALSE),1)*CS555,0)</f>
        <v>0</v>
      </c>
      <c r="DS553" s="1489">
        <f>IF(DP553=7,IF(DD553=DD555,0,DC555),0)</f>
        <v>0</v>
      </c>
      <c r="DU553" s="1403" t="str">
        <f>IFERROR(IF(EW553&lt;EW555,"Yes","No"),"")</f>
        <v/>
      </c>
      <c r="DV553" s="1404" t="str">
        <f>DU553</f>
        <v/>
      </c>
      <c r="DW553" s="1403">
        <f>IF(DU553="Yes",DC555,0)</f>
        <v>0</v>
      </c>
      <c r="DX553" s="1403">
        <f>DW553-DS553</f>
        <v>0</v>
      </c>
      <c r="DZ553" s="1481">
        <f>IFERROR(VLOOKUP(DN553,Lookup!AN$3:AO$16,2,FALSE),0)</f>
        <v>0</v>
      </c>
      <c r="EA553" s="1481">
        <f>IF(HW553=FALSE,0,IF(DU553="Yes",DZ553+Lookup!B$6,DZ553))</f>
        <v>0</v>
      </c>
      <c r="EC553" s="1482">
        <f>IF(HW553=TRUE,DJ553,0)</f>
        <v>0</v>
      </c>
      <c r="ED553" s="1369">
        <f>IF(HW553=TRUE,CW555,0)</f>
        <v>0</v>
      </c>
      <c r="EE553" s="1370">
        <f>IFERROR(EC553-ED553,0)</f>
        <v>0</v>
      </c>
      <c r="EF553" s="1369">
        <f>IF(HW553=TRUE,DG555,0)</f>
        <v>0</v>
      </c>
      <c r="EG553" s="1369">
        <f>IFERROR(EC553-ED553+EF553,0)</f>
        <v>0</v>
      </c>
      <c r="EH553" s="1373">
        <f>IF(HW553=TRUE,CS555*CU555,0)</f>
        <v>0</v>
      </c>
      <c r="EI553" s="1373">
        <f>IF(HW553=TRUE,DC555*DE555,0)</f>
        <v>0</v>
      </c>
      <c r="EJ553" s="1363">
        <f>AO553</f>
        <v>0</v>
      </c>
      <c r="EK553" s="1376" t="str">
        <f>IFERROR(IF(HW553=TRUE,VLOOKUP(DN553,Lookup!AN$3:AP$16,3,FALSE)*DR553,""),0)</f>
        <v/>
      </c>
      <c r="EL553" s="1376">
        <f>IF(HW553=TRUE,DW553*Lookup!AP$12,0)</f>
        <v>0</v>
      </c>
      <c r="EM553" s="1362">
        <f>IFERROR(IF(HW553=TRUE,EK553/EM$33,0),0)</f>
        <v>0</v>
      </c>
      <c r="EN553" s="1362">
        <f>IF(HW553=TRUE,EL553/EN$33,0)</f>
        <v>0</v>
      </c>
      <c r="EO553" s="1363">
        <f>IF(HW553=TRUE,EQ$33*EM553,0)</f>
        <v>0</v>
      </c>
      <c r="EP553" s="1363">
        <f>IF(HW553=TRUE,EQ$33*EN553,0)</f>
        <v>0</v>
      </c>
      <c r="EQ553" s="1363">
        <f>EO553+EP553</f>
        <v>0</v>
      </c>
      <c r="ES553" s="1403">
        <f>IF(G553="",0,1)</f>
        <v>0</v>
      </c>
      <c r="EU553" s="1410" t="e">
        <f>VLOOKUP(CP555,'Space Table'!$B$3:$L$160,8,FALSE)</f>
        <v>#N/A</v>
      </c>
      <c r="EV553" s="1410" t="e">
        <f>IF(EY553="Yes",VLOOKUP(DD553,Lookup_Control_Type_Table2,4,FALSE),VLOOKUP(DD553,Lookup_Control_Type_Table2,3,FALSE))</f>
        <v>#N/A</v>
      </c>
      <c r="EW553" s="1410" t="e">
        <f>VLOOKUP(DD553,Lookup!AU$3:AV$15,2,FALSE)</f>
        <v>#N/A</v>
      </c>
      <c r="EX553" s="1410" t="e">
        <f>VLOOKUP(EU553,Lookup_Control_Type_Table,2,FALSE)</f>
        <v>#N/A</v>
      </c>
      <c r="EY553" s="1410" t="e">
        <f>VLOOKUP(CP555,'Space Table'!$B$3:$L$160,7,FALSE)</f>
        <v>#N/A</v>
      </c>
      <c r="EZ553" s="1412" t="b">
        <f>ISNUMBER(SEARCH("TLED",U555))</f>
        <v>0</v>
      </c>
      <c r="FB553" s="1365" t="str">
        <f>CONCATENATE(CN553," - ",DD553)</f>
        <v xml:space="preserve"> - 0</v>
      </c>
      <c r="FD553" s="1353" t="str">
        <f>VLOOKUP(CT555,Fixtures!DN$27:EZ$77,38,FALSE)</f>
        <v/>
      </c>
      <c r="FE553" s="1353">
        <f>IFERROR(FD553*EE553,0)</f>
        <v>0</v>
      </c>
      <c r="FF553" s="138"/>
      <c r="FI553" s="1356" t="str">
        <f>IF(CN553="Exterior","Not Daylighted",G556)</f>
        <v>Not Daylighted</v>
      </c>
      <c r="FJ553" s="1356">
        <f>VLOOKUP(FI553,_Daylight_Table_Codes,2,FALSE)</f>
        <v>0</v>
      </c>
      <c r="FK553" s="1365">
        <f>IF(__Retrofit_TI_NC=2,VLOOKUP(G555,'Space Table'!$B$3:$L$160,11,FALSE),AF554)</f>
        <v>0</v>
      </c>
      <c r="FL553" s="1365" t="e">
        <f>VLOOKUP(FK553,_Control_Table,2,FALSE)</f>
        <v>#N/A</v>
      </c>
      <c r="FM553" s="1365" t="e">
        <f>IF(AND(FP553&gt;0,FK553="Occupancy Sensor"),"Daylight + Occupancy",IF(AND(FP553&gt;0,FL553&lt;4),"Interior Daylight Dimming",FK553))</f>
        <v>#N/A</v>
      </c>
      <c r="FO553" s="1364">
        <f>IF(CO553="Interior",VLOOKUP(CP553,Control_Savings_Interior,5,FALSE),0)</f>
        <v>0</v>
      </c>
      <c r="FP553" s="1361">
        <f>IF(CN553="Exterior",0,IF(FJ553=2,0.5,IF(OR(FJ553=1,FJ553=3),1,0)))</f>
        <v>0</v>
      </c>
      <c r="FQ553" s="1366"/>
      <c r="FR553" s="1367"/>
      <c r="FS553" s="1364"/>
      <c r="FT553" s="1367"/>
      <c r="FU553" s="1360"/>
      <c r="FW553" s="1352" t="str">
        <f>IFERROR(VLOOKUP(U554,_Exist_Fixture_Table,3,FALSE),"")</f>
        <v/>
      </c>
      <c r="FX553" s="1352" t="str">
        <f>VLOOKUP(CT553,_Exist_Fixture_Table,4,FALSE)</f>
        <v/>
      </c>
      <c r="FY553" s="1352">
        <f>IFERROR(VLOOKUP(FX553,Lookup!AM$6:AN$8,2,FALSE),0)</f>
        <v>0</v>
      </c>
      <c r="FZ553" s="1352" t="b">
        <f>IFERROR(IF(OR(GB553=4,GB553=5,GB553=6),TRUE,FALSE),"")</f>
        <v>0</v>
      </c>
      <c r="GA553" s="1352" t="str">
        <f>IFERROR(VLOOKUP(GB553,FY$6:FZ$10,2,FALSE),"")</f>
        <v/>
      </c>
      <c r="GB553" s="1352" t="str">
        <f>VLOOKUP(CT555,Fixtures!R$31:Y$78,8,FALSE)</f>
        <v/>
      </c>
      <c r="GC553" s="1352">
        <f>IF(AND(FW553=TRUE,FZ553=TRUE,OR(DN553=12,DN553=13,DN553=14)),FY553+8,0)</f>
        <v>0</v>
      </c>
      <c r="GD553" s="1352" t="b">
        <f>IF(OR(GC553=12,GC553=13,GC553=14),TRUE,FALSE)</f>
        <v>0</v>
      </c>
      <c r="GE553" s="759" t="b">
        <f>IF(ISNUMBER(SEARCH("TLED",U554)),TRUE,FALSE)</f>
        <v>0</v>
      </c>
      <c r="GF553" s="1035" t="str">
        <f>IFERROR(VLOOKUP(U554,Fixtures!BM$93:BR$142,6,FALSE),"")</f>
        <v/>
      </c>
      <c r="GG553" s="1385" t="b">
        <f>IF(OR(GE553=FALSE,GE555=FALSE),TRUE,IF(GF553-GF555&lt;5,FALSE,TRUE))</f>
        <v>1</v>
      </c>
      <c r="GK553" s="1034">
        <f>GL553</f>
        <v>0</v>
      </c>
      <c r="GL553" s="1034">
        <f>IF(G553="",0,1)</f>
        <v>0</v>
      </c>
      <c r="GM553" s="1034">
        <f>SUM(GN553:HB553)</f>
        <v>2</v>
      </c>
      <c r="GN553" s="1034">
        <f>IF(G554="",0,1)</f>
        <v>0</v>
      </c>
      <c r="GO553" s="1034">
        <f>IF(G555="",0,1)</f>
        <v>0</v>
      </c>
      <c r="GP553" s="1034">
        <f>IF(R554="",0,1)</f>
        <v>0</v>
      </c>
      <c r="GQ553" s="1034">
        <f>IF(__Retrofit_TI_NC=0,1,IF(R555="",0,1))</f>
        <v>1</v>
      </c>
      <c r="GR553" s="1034">
        <f>IF(CN553="Exterior",1,IF(G556="",0,1))</f>
        <v>1</v>
      </c>
      <c r="GS553" s="1034">
        <f>IF(__Retrofit_TI_NC&lt;&gt;0,1,IF(T554="",0,1))</f>
        <v>0</v>
      </c>
      <c r="GT553" s="1034">
        <f>IF(__Retrofit_TI_NC&lt;&gt;0,1,IF(U554="",0,1))</f>
        <v>0</v>
      </c>
      <c r="GU553" s="1034">
        <f>IF(T555="",0,1)</f>
        <v>0</v>
      </c>
      <c r="GV553" s="1034">
        <f>IF(U555="",0,1)</f>
        <v>0</v>
      </c>
      <c r="GW553" s="1034">
        <f>IF(__Retrofit_TI_NC=2,1,IF(U556="",0,1))</f>
        <v>0</v>
      </c>
      <c r="GX553" s="1034">
        <f>IF(__Retrofit_TI_NC&lt;&gt;0,1,IF(AE554="",0,1))</f>
        <v>0</v>
      </c>
      <c r="GY553" s="1034">
        <f>IF(__Retrofit_TI_NC&lt;&gt;0,1,IF(AF554="",0,1))</f>
        <v>0</v>
      </c>
      <c r="GZ553" s="1034">
        <f>IF(AE555="",0,1)</f>
        <v>0</v>
      </c>
      <c r="HA553" s="1034">
        <f>IF(AF555="",0,1)</f>
        <v>0</v>
      </c>
      <c r="HB553" s="1034">
        <f>IF(__Retrofit_TI_NC=2,1,IF(AF556="",0,1))</f>
        <v>0</v>
      </c>
      <c r="HV553" s="436"/>
      <c r="HW553" s="1384" t="b">
        <f>IF(OR(HW556=0,HW556=HT$16,HW556=HS$16,HW556=HU$16),TRUE,FALSE)</f>
        <v>0</v>
      </c>
      <c r="HX553" s="1377" t="b">
        <f>HW553</f>
        <v>0</v>
      </c>
      <c r="HY553" s="436"/>
      <c r="HZ553" s="436"/>
      <c r="IA553" s="1386" t="b">
        <f>IF(MAX(GJ556:HP556)&gt;5,FALSE,TRUE)</f>
        <v>0</v>
      </c>
      <c r="IB553" s="1380">
        <f>IF(IA553=TRUE,AC553,0)</f>
        <v>0</v>
      </c>
      <c r="IC553" s="1380">
        <f>IB553-IB555</f>
        <v>0</v>
      </c>
      <c r="IF553" s="1380" t="e">
        <f>ROUND(T554*VLOOKUP(U554,Fixtures_Existing_List,2,FALSE)*N554*R554/1000,0)</f>
        <v>#N/A</v>
      </c>
      <c r="IG553" s="1381" t="e">
        <f>IF553-IF555</f>
        <v>#N/A</v>
      </c>
      <c r="IH553" s="1384" t="e">
        <f>ROUND(IF(CN553="Interior",N555*R555*R554*N554*_C406_reduction/1000,N555*R555*R554*N554/1000),0)</f>
        <v>#N/A</v>
      </c>
      <c r="II553" s="1384" t="e">
        <f>IH553-IH555</f>
        <v>#N/A</v>
      </c>
      <c r="IK553" s="1351" t="e">
        <f>IF($CO553="interior",IL553/2,VLOOKUP($CP553,Control_Savings_Exterior,IK$30,FALSE))</f>
        <v>#N/A</v>
      </c>
      <c r="IL553" s="1351" t="e">
        <f>IF($CO553="interior",VLOOKUP($CP553,Control_Savings_Interior,IL$30,FALSE),VLOOKUP($CP553,Control_Savings_Exterior,IL$30,FALSE))</f>
        <v>#N/A</v>
      </c>
      <c r="IM553" s="1351" t="e">
        <f>IF($CO553="interior",IF(R554&gt;FO$37,(IM$28*(FO$37/R554)),IM$28)*FP553,VLOOKUP($CP553,Control_Savings_Exterior,IM$30,FALSE))</f>
        <v>#N/A</v>
      </c>
      <c r="IN553" s="1351" t="e">
        <f>IF($CO553="interior",ROUND(((1-IL553)*IM553)+IL553,2),VLOOKUP($CP553,Control_Savings_Exterior,IN$30,FALSE))</f>
        <v>#N/A</v>
      </c>
      <c r="IO553" s="1351" t="e">
        <f>IF($CO553="interior", ROUND(((1-IL553)*(IM553*(1-IP$28)))+IP553,2), VLOOKUP($CP553,Control_Savings_Exterior,IO$30,FALSE))</f>
        <v>#N/A</v>
      </c>
      <c r="IP553" s="1351">
        <f>IF($CO553="interior",ROUND(((1-IL553)*IP$28)+IL553,2),0)</f>
        <v>0</v>
      </c>
    </row>
    <row r="554" spans="1:250" s="82" customFormat="1" ht="14.95" customHeight="1" thickTop="1" thickBot="1">
      <c r="B554" s="1421"/>
      <c r="C554" s="1422"/>
      <c r="D554" s="1423"/>
      <c r="E554" s="1393" t="s">
        <v>244</v>
      </c>
      <c r="F554" s="1394"/>
      <c r="G554" s="1395"/>
      <c r="H554" s="1395"/>
      <c r="I554" s="1395"/>
      <c r="J554" s="1395"/>
      <c r="K554" s="1395"/>
      <c r="L554" s="1395"/>
      <c r="M554" s="509" t="e">
        <f>IF(__Retrofit_TI_NC&lt;&gt;0,IF(VLOOKUP(G555,'Space Table'!$B$3:$L$160,3,FALSE)&gt;0,1,0),IF(__Retrofit_TI_NC=VLOOKUP(G555,'Space Table'!$B$3:$L$160,3,FALSE),1,0))</f>
        <v>#N/A</v>
      </c>
      <c r="N554" s="509" t="str">
        <f>IFERROR(VLOOKUP(G554,_Lookup_Heat_Type_Table_New,2,FALSE),"")</f>
        <v/>
      </c>
      <c r="O554" s="509">
        <f>IF(__Retrofit_TI_NC=1,CONCATENATE("TI ",G554),IF(__Retrofit_TI_NC=2,CONCATENATE("NC ",G554),G554))</f>
        <v>0</v>
      </c>
      <c r="P554" s="1396" t="s">
        <v>352</v>
      </c>
      <c r="Q554" s="1396"/>
      <c r="R554" s="673"/>
      <c r="S554" s="1429"/>
      <c r="T554" s="675"/>
      <c r="U554" s="1496"/>
      <c r="V554" s="1497"/>
      <c r="W554" s="1497"/>
      <c r="X554" s="1497"/>
      <c r="Y554" s="1497"/>
      <c r="Z554" s="1497"/>
      <c r="AA554" s="1497"/>
      <c r="AB554" s="1497"/>
      <c r="AC554" s="1497"/>
      <c r="AD554" s="1498"/>
      <c r="AE554" s="675"/>
      <c r="AF554" s="1397"/>
      <c r="AG554" s="1397"/>
      <c r="AH554" s="1397"/>
      <c r="AI554" s="1397"/>
      <c r="AJ554" s="1434"/>
      <c r="AK554" s="1436"/>
      <c r="AL554" s="1438"/>
      <c r="AM554" s="1441"/>
      <c r="AN554" s="1442"/>
      <c r="AO554" s="1447"/>
      <c r="AP554" s="1447"/>
      <c r="AQ554" s="1448"/>
      <c r="AR554" s="1452"/>
      <c r="AS554" s="1455"/>
      <c r="AT554" s="1458"/>
      <c r="AU554" s="516"/>
      <c r="AV554" s="1479"/>
      <c r="AW554" s="1479"/>
      <c r="BC554" s="38"/>
      <c r="BD554" s="38"/>
      <c r="BE554" s="38"/>
      <c r="BF554" s="38"/>
      <c r="BG554" s="38"/>
      <c r="BH554" s="38"/>
      <c r="BI554" s="38"/>
      <c r="BJ554" s="38"/>
      <c r="BK554" s="38"/>
      <c r="BL554" s="38"/>
      <c r="BM554" s="38"/>
      <c r="BN554" s="38"/>
      <c r="BO554" s="38"/>
      <c r="BP554" s="38"/>
      <c r="BQ554" s="38"/>
      <c r="BR554" s="38"/>
      <c r="BS554" s="38"/>
      <c r="BT554" s="38"/>
      <c r="BU554" s="38"/>
      <c r="BV554" s="38"/>
      <c r="BW554" s="38"/>
      <c r="BX554" s="38"/>
      <c r="BY554" s="38"/>
      <c r="BZ554" s="38"/>
      <c r="CA554" s="38"/>
      <c r="CB554" s="38"/>
      <c r="CC554" s="38"/>
      <c r="CD554" s="38"/>
      <c r="CE554" s="38"/>
      <c r="CF554" s="38"/>
      <c r="CG554" s="38"/>
      <c r="CH554" s="38"/>
      <c r="CI554" s="38"/>
      <c r="CM554" s="1352"/>
      <c r="CN554" s="1352"/>
      <c r="CO554" s="1416"/>
      <c r="CP554" s="1418"/>
      <c r="CR554" s="1386"/>
      <c r="CS554" s="1355"/>
      <c r="CT554" s="1355"/>
      <c r="CU554" s="1355"/>
      <c r="CV554" s="1372"/>
      <c r="CW554" s="1372"/>
      <c r="CX554" s="1371"/>
      <c r="CY554" s="1486"/>
      <c r="CZ554" s="1486"/>
      <c r="DA554" s="1486"/>
      <c r="DC554" s="1355"/>
      <c r="DD554" s="1461"/>
      <c r="DE554" s="1355"/>
      <c r="DF554" s="1407"/>
      <c r="DG554" s="1372"/>
      <c r="DH554" s="1369"/>
      <c r="DJ554" s="1484"/>
      <c r="DL554" s="1419"/>
      <c r="DN554" s="1403"/>
      <c r="DO554" s="1405"/>
      <c r="DP554" s="1354"/>
      <c r="DQ554" s="1405"/>
      <c r="DR554" s="1403"/>
      <c r="DS554" s="1489"/>
      <c r="DU554" s="1403"/>
      <c r="DV554" s="1405"/>
      <c r="DW554" s="1403"/>
      <c r="DX554" s="1403"/>
      <c r="DZ554" s="1481"/>
      <c r="EA554" s="1481"/>
      <c r="EC554" s="1482"/>
      <c r="ED554" s="1369"/>
      <c r="EE554" s="1371"/>
      <c r="EF554" s="1369"/>
      <c r="EG554" s="1369"/>
      <c r="EH554" s="1374"/>
      <c r="EI554" s="1374"/>
      <c r="EJ554" s="1363"/>
      <c r="EK554" s="1376"/>
      <c r="EL554" s="1376"/>
      <c r="EM554" s="1362"/>
      <c r="EN554" s="1362"/>
      <c r="EO554" s="1363"/>
      <c r="EP554" s="1363"/>
      <c r="EQ554" s="1363"/>
      <c r="ES554" s="1403"/>
      <c r="EU554" s="1411"/>
      <c r="EV554" s="1411"/>
      <c r="EW554" s="1411"/>
      <c r="EX554" s="1411"/>
      <c r="EY554" s="1411"/>
      <c r="EZ554" s="1413"/>
      <c r="FB554" s="1365"/>
      <c r="FD554" s="1354"/>
      <c r="FE554" s="1354"/>
      <c r="FF554" s="138"/>
      <c r="FI554" s="1357"/>
      <c r="FJ554" s="1357"/>
      <c r="FK554" s="1365"/>
      <c r="FL554" s="1365"/>
      <c r="FM554" s="1365"/>
      <c r="FO554" s="1361"/>
      <c r="FP554" s="1361"/>
      <c r="FQ554" s="1366"/>
      <c r="FR554" s="1368"/>
      <c r="FS554" s="1361"/>
      <c r="FT554" s="1368"/>
      <c r="FU554" s="1360"/>
      <c r="FW554" s="1352"/>
      <c r="FX554" s="1352"/>
      <c r="FY554" s="1352"/>
      <c r="FZ554" s="1352"/>
      <c r="GA554" s="1352"/>
      <c r="GB554" s="1352"/>
      <c r="GC554" s="1352"/>
      <c r="GD554" s="1352"/>
      <c r="GE554" s="759"/>
      <c r="GF554" s="1035"/>
      <c r="GG554" s="1385"/>
      <c r="GI554" s="1384" t="b">
        <f>IF(AND(GL554=TRUE,GM554=TRUE),TRUE,FALSE)</f>
        <v>0</v>
      </c>
      <c r="GJ554" s="1379" t="b">
        <f>IFERROR(IF(__Retrofit_TI_NC=2,TRUE,IF(AR553="Yes",TRUE,FALSE)),FALSE)</f>
        <v>1</v>
      </c>
      <c r="GL554" s="1379" t="b">
        <f>IFERROR(IF(GL553=1,TRUE,FALSE),FALSE)</f>
        <v>0</v>
      </c>
      <c r="GM554" s="1379" t="b">
        <f>IFERROR(IF(GM553=GM$14,TRUE,FALSE),FALSE)</f>
        <v>0</v>
      </c>
      <c r="HC554" s="1379" t="b">
        <f>IFERROR(IF(M554=1,TRUE,FALSE),FALSE)</f>
        <v>0</v>
      </c>
      <c r="HD554" s="1379" t="b">
        <f>IFERROR(IF(M555=1,TRUE,FALSE),FALSE)</f>
        <v>0</v>
      </c>
      <c r="HE554" s="1379" t="b">
        <f>IFERROR(IF(__Retrofit_TI_NC&lt;&gt;0,TRUE,IFERROR(IF(VLOOKUP(U554,Fixtures_Existing_List,2,FALSE)&lt;&gt;"",TRUE,FALSE),FALSE)),FALSE)</f>
        <v>0</v>
      </c>
      <c r="HF554" s="1379" t="b">
        <f>IFERROR(IF(VLOOKUP(U555,Fixtures_Proposed_List,2,FALSE)&lt;&gt;"",TRUE,FALSE),FALSE)</f>
        <v>0</v>
      </c>
      <c r="HG554" s="1379" t="b">
        <f>IF(AND(__Retrofit_TI_NC=2,EZ553=TRUE),FALSE,TRUE)</f>
        <v>1</v>
      </c>
      <c r="HH554" s="1379" t="b">
        <f>GG553</f>
        <v>1</v>
      </c>
      <c r="HI554" s="1384" t="b">
        <f>IF(ISERROR(MATCH(FB553,_Control_Match[],0))=TRUE,FALSE,TRUE)</f>
        <v>0</v>
      </c>
      <c r="HJ554" s="1384" t="b">
        <f>IFERROR(IF(EU553&lt;&gt;EV553,FALSE,TRUE),FALSE)</f>
        <v>0</v>
      </c>
      <c r="HK554" s="1384" t="b">
        <f>IFERROR(IF(EU555&lt;&gt;EV555,FALSE,TRUE),FALSE)</f>
        <v>0</v>
      </c>
      <c r="HL554" s="1379" t="b">
        <f>IFERROR(IF(CN553="Exterior",TRUE,IF(OR(AND(FJ553=0,EW555&gt;4),AND(FJ553=4,EW555&gt;4,EW555&lt;7)),FALSE,TRUE)),FALSE)</f>
        <v>0</v>
      </c>
      <c r="HM554" s="1379" t="b">
        <f>IFERROR(IF(AND(FL555=7,EZ553=TRUE),FALSE,TRUE),FALSE)</f>
        <v>0</v>
      </c>
      <c r="HN554" s="1379" t="b">
        <f>IFERROR(IF(AND(T555&lt;&gt;AE555,AF555="Interior LLLC")=TRUE,FALSE,TRUE),FALSE)</f>
        <v>1</v>
      </c>
      <c r="HO554" s="1379" t="b">
        <f>IFERROR(IF(OR(AF555=Lookup!AU$13,AF555=Lookup!AU$14)=TRUE,IF(AE555&gt;T555,FALSE,TRUE),TRUE),FALSE)</f>
        <v>1</v>
      </c>
      <c r="HP554" s="1379" t="b">
        <f>IFERROR(IF(__Retrofit_TI_NC=2,IF(EW555&lt;EW553,FALSE,TRUE),TRUE),FALSE)</f>
        <v>1</v>
      </c>
      <c r="HQ554" s="1379" t="b">
        <f>IF(CN553="Interior",IG$6,TRUE)</f>
        <v>1</v>
      </c>
      <c r="HR554" s="1379" t="b">
        <f>IF(CN553="Exterior",IG$8,TRUE)</f>
        <v>1</v>
      </c>
      <c r="HS554" s="1379" t="b">
        <f>IFERROR(IF(__Retrofit_TI_NC&lt;&gt;0,IF(AW553&lt;AV553,FALSE,TRUE),TRUE),FALSE)</f>
        <v>1</v>
      </c>
      <c r="HT554" s="1379" t="b">
        <f>IFERROR(IF(AND(G554="Exterior",R554&gt;4200),FALSE,TRUE),FALSE)</f>
        <v>1</v>
      </c>
      <c r="HU554" s="1379" t="b">
        <f>IFERROR(IF(AB556/AB553&lt;HU$18,FALSE,TRUE),FALSE)</f>
        <v>0</v>
      </c>
      <c r="HW554" s="1382"/>
      <c r="HX554" s="1378"/>
      <c r="HY554" s="1377" t="str">
        <f>VLOOKUP(HW556,_Error_Table,4,FALSE)</f>
        <v>White</v>
      </c>
      <c r="HZ554" s="436"/>
      <c r="IA554" s="1386"/>
      <c r="IB554" s="1380"/>
      <c r="IC554" s="1379"/>
      <c r="IF554" s="1380"/>
      <c r="IG554" s="1382"/>
      <c r="IH554" s="1382"/>
      <c r="II554" s="1382"/>
      <c r="IK554" s="1351"/>
      <c r="IL554" s="1351"/>
      <c r="IM554" s="1351"/>
      <c r="IN554" s="1351"/>
      <c r="IO554" s="1351"/>
      <c r="IP554" s="1351"/>
    </row>
    <row r="555" spans="1:250" s="82" customFormat="1" ht="14.95" customHeight="1" thickTop="1" thickBot="1">
      <c r="A555" s="82">
        <f>ROW()</f>
        <v>555</v>
      </c>
      <c r="B555" s="1421"/>
      <c r="C555" s="1422"/>
      <c r="D555" s="1423"/>
      <c r="E555" s="1393" t="s">
        <v>245</v>
      </c>
      <c r="F555" s="1394"/>
      <c r="G555" s="1398"/>
      <c r="H555" s="1399"/>
      <c r="I555" s="1399"/>
      <c r="J555" s="1399"/>
      <c r="K555" s="1399"/>
      <c r="L555" s="1400"/>
      <c r="M555" s="509">
        <f>IFERROR(IF(IF(__Retrofit_TI_NC&lt;&gt;0,IF(CN553="Interior",MATCH(G555,Lookup_Interior_New,0),MATCH(G555,Lookup_Exterior_New,0)),IF(CN553="Interior",MATCH(G555,Lookup_Interior,0),MATCH(G555,Lookup_Exterior_Areas,0)))&gt;0,1,0),0)</f>
        <v>0</v>
      </c>
      <c r="N555" s="509" t="e">
        <f>IF(__Retrofit_TI_NC=1,
VLOOKUP(G555,'Space Table'!$B$3:$L$160,4,FALSE),
IF(__Retrofit_TI_NC=2,VLOOKUP(G555,'Space Table'!$B$3:$L$160,5,FALSE),VLOOKUP(G555,'Space Table'!$B$3:$L$160,5,FALSE)))</f>
        <v>#N/A</v>
      </c>
      <c r="O555" s="509">
        <f>G555</f>
        <v>0</v>
      </c>
      <c r="P555" s="1394" t="s">
        <v>355</v>
      </c>
      <c r="Q555" s="1394"/>
      <c r="R555" s="674"/>
      <c r="S555" s="1401" t="s">
        <v>284</v>
      </c>
      <c r="T555" s="672"/>
      <c r="U555" s="1499"/>
      <c r="V555" s="1500"/>
      <c r="W555" s="1500"/>
      <c r="X555" s="1500"/>
      <c r="Y555" s="1500"/>
      <c r="Z555" s="1500"/>
      <c r="AA555" s="1500"/>
      <c r="AB555" s="1501"/>
      <c r="AC555" s="1501"/>
      <c r="AD555" s="1502"/>
      <c r="AE555" s="672"/>
      <c r="AF555" s="1474"/>
      <c r="AG555" s="1474"/>
      <c r="AH555" s="1474"/>
      <c r="AI555" s="1474"/>
      <c r="AJ555" s="1475">
        <f>DF555</f>
        <v>0</v>
      </c>
      <c r="AK555" s="1470" t="str">
        <f>IFERROR(ROUND(AJ555*AC556,0),"")</f>
        <v/>
      </c>
      <c r="AL555" s="1472">
        <f>IFERROR(IF(HW553=FALSE,0,AC556-AK555),0)</f>
        <v>0</v>
      </c>
      <c r="AM555" s="1441"/>
      <c r="AN555" s="1442"/>
      <c r="AO555" s="1447"/>
      <c r="AP555" s="1447"/>
      <c r="AQ555" s="1448"/>
      <c r="AR555" s="1452"/>
      <c r="AS555" s="1455"/>
      <c r="AT555" s="1458"/>
      <c r="AU555" s="516"/>
      <c r="AV555" s="1479"/>
      <c r="AW555" s="1479"/>
      <c r="BC555" s="38"/>
      <c r="BD555" s="38"/>
      <c r="BE555" s="38"/>
      <c r="BF555" s="38"/>
      <c r="BG555" s="38"/>
      <c r="BH555" s="38"/>
      <c r="BI555" s="38"/>
      <c r="BJ555" s="38"/>
      <c r="BK555" s="38"/>
      <c r="BL555" s="38"/>
      <c r="BM555" s="38"/>
      <c r="BN555" s="38"/>
      <c r="BO555" s="38"/>
      <c r="BP555" s="38"/>
      <c r="BQ555" s="38"/>
      <c r="BR555" s="38"/>
      <c r="BS555" s="38"/>
      <c r="BT555" s="38"/>
      <c r="BU555" s="38"/>
      <c r="BV555" s="38"/>
      <c r="BW555" s="38"/>
      <c r="BX555" s="38"/>
      <c r="BY555" s="38"/>
      <c r="BZ555" s="38"/>
      <c r="CA555" s="38"/>
      <c r="CB555" s="38"/>
      <c r="CC555" s="38"/>
      <c r="CD555" s="38"/>
      <c r="CE555" s="38"/>
      <c r="CF555" s="38"/>
      <c r="CG555" s="38"/>
      <c r="CH555" s="38"/>
      <c r="CI555" s="38"/>
      <c r="CM555" s="1352"/>
      <c r="CN555" s="1352"/>
      <c r="CO555" s="1415" t="str">
        <f>CN553</f>
        <v/>
      </c>
      <c r="CP555" s="1417" t="e">
        <f>CP553</f>
        <v>#N/A</v>
      </c>
      <c r="CR555" s="1386" t="s">
        <v>284</v>
      </c>
      <c r="CS555" s="1353">
        <f>IF(HW553=TRUE,T555,0)</f>
        <v>0</v>
      </c>
      <c r="CT555" s="1353" t="str">
        <f>IF(HW553=TRUE,U555,"")</f>
        <v/>
      </c>
      <c r="CU555" s="1373">
        <f>IF(HW553=TRUE,U556,0)</f>
        <v>0</v>
      </c>
      <c r="CV555" s="1370">
        <f>IF(HW553=TRUE,AB556,0)</f>
        <v>0</v>
      </c>
      <c r="CW555" s="1370">
        <f>IF(HW553=TRUE,AC556,0)</f>
        <v>0</v>
      </c>
      <c r="CX555" s="1371"/>
      <c r="CY555" s="1486"/>
      <c r="CZ555" s="1486"/>
      <c r="DA555" s="1486"/>
      <c r="DC555" s="1353">
        <f>IF(HW553=TRUE,AE555,0)</f>
        <v>0</v>
      </c>
      <c r="DD555" s="1353" t="str">
        <f>IF(HW553=TRUE,AF555,"")</f>
        <v/>
      </c>
      <c r="DE555" s="1373">
        <f>AF556</f>
        <v>0</v>
      </c>
      <c r="DF555" s="1406">
        <f>IFERROR(IF(FL555=3,IK555,IF(FL555=4,IL555,IF(FL555=5,IM555,IF(FL555=6,IN555,IF(FL555=7,IO555,IF(FL555=8,IP555,0)))))),0)</f>
        <v>0</v>
      </c>
      <c r="DG555" s="1370">
        <f>IF(HW553=TRUE,AK555,0)</f>
        <v>0</v>
      </c>
      <c r="DH555" s="1369"/>
      <c r="DK555" s="1483">
        <f>IFERROR(CW555-DG555,0)</f>
        <v>0</v>
      </c>
      <c r="DL555" s="1420"/>
      <c r="DN555" s="1403"/>
      <c r="DO555" s="1477" t="str">
        <f>DN553</f>
        <v/>
      </c>
      <c r="DP555" s="1354"/>
      <c r="DQ555" s="1477" t="str">
        <f>IF(DP553=7,"LLLC","")</f>
        <v/>
      </c>
      <c r="DR555" s="1403"/>
      <c r="DS555" s="1489"/>
      <c r="DU555" s="1403"/>
      <c r="DV555" s="1404" t="str">
        <f>DU553</f>
        <v/>
      </c>
      <c r="DW555" s="1403"/>
      <c r="DX555" s="1403"/>
      <c r="DZ555" s="1481"/>
      <c r="EA555" s="1481"/>
      <c r="EC555" s="1482"/>
      <c r="ED555" s="1369"/>
      <c r="EE555" s="1371"/>
      <c r="EF555" s="1369"/>
      <c r="EG555" s="1369"/>
      <c r="EH555" s="1374"/>
      <c r="EI555" s="1374"/>
      <c r="EJ555" s="1363"/>
      <c r="EK555" s="1376"/>
      <c r="EL555" s="1376"/>
      <c r="EM555" s="1362"/>
      <c r="EN555" s="1362"/>
      <c r="EO555" s="1363"/>
      <c r="EP555" s="1363"/>
      <c r="EQ555" s="1363"/>
      <c r="ES555" s="1403"/>
      <c r="EU555" s="1411" t="e">
        <f>VLOOKUP(CP555,'Space Table'!$B$3:$L$160,8,FALSE)</f>
        <v>#N/A</v>
      </c>
      <c r="EV555" s="1411" t="e">
        <f>IF(EY555="Yes",VLOOKUP(AF555,Lookup_Control_Type_Table2,4,FALSE),VLOOKUP(AF555,Lookup_Control_Type_Table2,3,FALSE))</f>
        <v>#N/A</v>
      </c>
      <c r="EW555" s="1411" t="e">
        <f>VLOOKUP(AF555,Lookup!AU$3:AV$15,2,FALSE)</f>
        <v>#N/A</v>
      </c>
      <c r="EX555" s="1411" t="e">
        <f>VLOOKUP(EU553,Lookup_Control_Type_Table,2,FALSE)</f>
        <v>#N/A</v>
      </c>
      <c r="EY555" s="1411" t="e">
        <f>VLOOKUP(CP555,'Space Table'!$B$3:$L$160,7,FALSE)</f>
        <v>#N/A</v>
      </c>
      <c r="EZ555" s="1413"/>
      <c r="FB555" s="1365" t="str">
        <f>CONCATENATE(CN553," - ",AF555)</f>
        <v xml:space="preserve"> - </v>
      </c>
      <c r="FD555" s="1354"/>
      <c r="FE555" s="1354"/>
      <c r="FF555" s="138"/>
      <c r="FI555" s="1356" t="str">
        <f>IF(CN553="Exterior","Not Daylighted",G556)</f>
        <v>Not Daylighted</v>
      </c>
      <c r="FJ555" s="1356">
        <f>VLOOKUP(FI555,_Daylight_Table_Codes,2,FALSE)</f>
        <v>0</v>
      </c>
      <c r="FK555" s="1365">
        <f>AF555</f>
        <v>0</v>
      </c>
      <c r="FL555" s="1365" t="e">
        <f>VLOOKUP(FK555,_Control_Table,2,FALSE)</f>
        <v>#N/A</v>
      </c>
      <c r="FM555" s="1365" t="e">
        <f>IF(AND(FP555&gt;0,FK555="Occupancy Sensor"),"Daylight + Occupancy",IF(AND(FP555&gt;0,FL555&lt;4),"Interior Daylight Dimming",FK555))</f>
        <v>#N/A</v>
      </c>
      <c r="FO555" s="1364">
        <f>IF(CN553="Interior",VLOOKUP(CP553,Control_Savings_Interior,5,FALSE),0)</f>
        <v>0</v>
      </c>
      <c r="FP555" s="1361">
        <f>IF(CN555="Exterior",0,IF(FJ555=2,0.5,IF(OR(FJ555=1,FJ555=3),1,0)))</f>
        <v>0</v>
      </c>
      <c r="FQ555" s="1366">
        <f>IF(R554&gt;FO$37,(FO555*(FO$37/R554)),FO555)*FP555</f>
        <v>0</v>
      </c>
      <c r="FR555" s="1364">
        <f>DF555</f>
        <v>0</v>
      </c>
      <c r="FS555" s="1364">
        <f>ROUND(FR555+((1-FR555)*FQ555),2)</f>
        <v>0</v>
      </c>
      <c r="FT555" s="1364">
        <f>IF(__Retrofit_TI_NC=2,FS555,FR555)</f>
        <v>0</v>
      </c>
      <c r="FU555" s="1360">
        <f>IF(CO555="Interior",VLOOKUP(CP555,Control_Savings_Interior,4,FALSE),0)</f>
        <v>0</v>
      </c>
      <c r="FW555" s="1352"/>
      <c r="FX555" s="1352"/>
      <c r="FY555" s="1352"/>
      <c r="FZ555" s="1352"/>
      <c r="GA555" s="1352"/>
      <c r="GB555" s="1352"/>
      <c r="GC555" s="1352"/>
      <c r="GD555" s="1352"/>
      <c r="GE555" s="759" t="b">
        <f>IF(ISNUMBER(SEARCH("TLED",U555)),TRUE,FALSE)</f>
        <v>0</v>
      </c>
      <c r="GF555" s="1035" t="str">
        <f>IFERROR(VLOOKUP(U555,Fixtures!DM$93:DR$142,6,FALSE),"")</f>
        <v/>
      </c>
      <c r="GG555" s="1385"/>
      <c r="GI555" s="1383"/>
      <c r="GJ555" s="1379"/>
      <c r="GL555" s="1379"/>
      <c r="GM555" s="1379"/>
      <c r="HC555" s="1379"/>
      <c r="HD555" s="1379"/>
      <c r="HE555" s="1379"/>
      <c r="HF555" s="1379"/>
      <c r="HG555" s="1379"/>
      <c r="HH555" s="1379"/>
      <c r="HI555" s="1383"/>
      <c r="HJ555" s="1383"/>
      <c r="HK555" s="1383"/>
      <c r="HL555" s="1379"/>
      <c r="HM555" s="1379"/>
      <c r="HN555" s="1379"/>
      <c r="HO555" s="1379"/>
      <c r="HP555" s="1379"/>
      <c r="HQ555" s="1379"/>
      <c r="HR555" s="1379"/>
      <c r="HS555" s="1379"/>
      <c r="HT555" s="1379"/>
      <c r="HU555" s="1379"/>
      <c r="HW555" s="1383"/>
      <c r="HX555" s="1384" t="b">
        <f>HW553</f>
        <v>0</v>
      </c>
      <c r="HY555" s="1378"/>
      <c r="HZ555" s="436"/>
      <c r="IA555" s="1386"/>
      <c r="IB555" s="1380">
        <f>IF(IA553=TRUE,AC556,0)</f>
        <v>0</v>
      </c>
      <c r="IC555" s="1379"/>
      <c r="IF555" s="1380" t="e">
        <f>ROUND(T555*AB556*N554*R554/1000,0)</f>
        <v>#VALUE!</v>
      </c>
      <c r="IG555" s="1382"/>
      <c r="IH555" s="1384" t="e">
        <f>ROUND(T555*AB556*N554*R554/1000,0)</f>
        <v>#VALUE!</v>
      </c>
      <c r="II555" s="1382"/>
      <c r="IK555" s="1351" t="e">
        <f>IF($CO555="interior",IL555/2,VLOOKUP($CP555,Control_Savings_Exterior,IK$30,FALSE))</f>
        <v>#N/A</v>
      </c>
      <c r="IL555" s="1351" t="e">
        <f>IF($CO555="interior",VLOOKUP($CP555,Control_Savings_Interior,IL$30,FALSE),VLOOKUP($CP555,Control_Savings_Exterior,IL$30,FALSE))</f>
        <v>#N/A</v>
      </c>
      <c r="IM555" s="1351" t="e">
        <f>IF($CO555="interior",IF(R554&gt;FO$37,(IM$28*(FO$37/R554)),IM$28)*FP555,VLOOKUP($CP555,Control_Savings_Exterior,IM$30,FALSE))</f>
        <v>#N/A</v>
      </c>
      <c r="IN555" s="1351" t="e">
        <f>IF($CO555="interior",ROUND(((1-IL555)*IM555)+IL555,2),VLOOKUP($CP555,Control_Savings_Exterior,IN$30,FALSE))</f>
        <v>#N/A</v>
      </c>
      <c r="IO555" s="1351" t="e">
        <f>IF($CO555="interior", ROUND(((1-IL555)*(IM555*(1-IP$28)))+IP555,2), VLOOKUP($CP555,Control_Savings_Exterior,IO$30,FALSE))</f>
        <v>#N/A</v>
      </c>
      <c r="IP555" s="1351">
        <f>IF($CO555="interior",ROUND(((1-IL555)*IP$28)+IL555,2),0)</f>
        <v>0</v>
      </c>
    </row>
    <row r="556" spans="1:250" s="82" customFormat="1" ht="14.95" customHeight="1" thickTop="1" thickBot="1">
      <c r="B556" s="1421"/>
      <c r="C556" s="1422"/>
      <c r="D556" s="1423"/>
      <c r="E556" s="1462" t="s">
        <v>357</v>
      </c>
      <c r="F556" s="1463"/>
      <c r="G556" s="1464" t="s">
        <v>362</v>
      </c>
      <c r="H556" s="1465"/>
      <c r="I556" s="1465"/>
      <c r="J556" s="1465"/>
      <c r="K556" s="1465"/>
      <c r="L556" s="1466"/>
      <c r="M556" s="669">
        <f>IFERROR(VLOOKUP(G556,_Daylight_Table[],2,FALSE),0)</f>
        <v>0</v>
      </c>
      <c r="N556" s="670"/>
      <c r="O556" s="669" t="e">
        <f>VLOOKUP(G555,'Space Table'!$B$3:$L$160,11,FALSE)</f>
        <v>#N/A</v>
      </c>
      <c r="P556" s="1408"/>
      <c r="Q556" s="1409"/>
      <c r="R556" s="1409"/>
      <c r="S556" s="1402"/>
      <c r="T556" s="671" t="s">
        <v>281</v>
      </c>
      <c r="U556" s="1467" t="str">
        <f>IFERROR(VLOOKUP(U555,Fixtures!DM$93:DP$142,4,FALSE),"")</f>
        <v/>
      </c>
      <c r="V556" s="1468"/>
      <c r="W556" s="1468"/>
      <c r="X556" s="1468"/>
      <c r="Y556" s="1468"/>
      <c r="Z556" s="1468"/>
      <c r="AA556" s="1468"/>
      <c r="AB556" s="1046" t="str">
        <f>IFERROR(VLOOKUP(U555,Fixtures_Proposed_List,2,FALSE),"")</f>
        <v/>
      </c>
      <c r="AC556" s="1036" t="str">
        <f>IFERROR(ROUND(T555*AB556*N554*R554/1000,0),"")</f>
        <v/>
      </c>
      <c r="AD556" s="1037" t="str">
        <f>IFERROR(ROUND(T555*AB556/1000,2),"")</f>
        <v/>
      </c>
      <c r="AE556" s="1045" t="s">
        <v>281</v>
      </c>
      <c r="AF556" s="1469"/>
      <c r="AG556" s="1469"/>
      <c r="AH556" s="1469"/>
      <c r="AI556" s="1469"/>
      <c r="AJ556" s="1476"/>
      <c r="AK556" s="1471"/>
      <c r="AL556" s="1473"/>
      <c r="AM556" s="1443"/>
      <c r="AN556" s="1444"/>
      <c r="AO556" s="1449"/>
      <c r="AP556" s="1449"/>
      <c r="AQ556" s="1450"/>
      <c r="AR556" s="1453"/>
      <c r="AS556" s="1456"/>
      <c r="AT556" s="1459"/>
      <c r="AU556" s="517"/>
      <c r="AV556" s="1480"/>
      <c r="AW556" s="1480"/>
      <c r="BC556" s="38"/>
      <c r="BD556" s="38"/>
      <c r="BE556" s="38"/>
      <c r="BF556" s="38"/>
      <c r="BG556" s="38"/>
      <c r="BH556" s="38"/>
      <c r="BI556" s="38"/>
      <c r="BJ556" s="38"/>
      <c r="BK556" s="38"/>
      <c r="BL556" s="38"/>
      <c r="BM556" s="38"/>
      <c r="BN556" s="38"/>
      <c r="BO556" s="38"/>
      <c r="BP556" s="38"/>
      <c r="BQ556" s="38"/>
      <c r="BR556" s="38"/>
      <c r="BS556" s="38"/>
      <c r="BT556" s="38"/>
      <c r="BU556" s="38"/>
      <c r="BV556" s="38"/>
      <c r="BW556" s="38"/>
      <c r="BX556" s="38"/>
      <c r="BY556" s="38"/>
      <c r="BZ556" s="38"/>
      <c r="CA556" s="38"/>
      <c r="CB556" s="38"/>
      <c r="CC556" s="38"/>
      <c r="CD556" s="38"/>
      <c r="CE556" s="38"/>
      <c r="CF556" s="38"/>
      <c r="CG556" s="38"/>
      <c r="CH556" s="38"/>
      <c r="CI556" s="38"/>
      <c r="CM556" s="1352"/>
      <c r="CN556" s="1352"/>
      <c r="CO556" s="1416"/>
      <c r="CP556" s="1418"/>
      <c r="CR556" s="1386"/>
      <c r="CS556" s="1355"/>
      <c r="CT556" s="1355"/>
      <c r="CU556" s="1375"/>
      <c r="CV556" s="1372"/>
      <c r="CW556" s="1372"/>
      <c r="CX556" s="1372"/>
      <c r="CY556" s="1487"/>
      <c r="CZ556" s="1487"/>
      <c r="DA556" s="1487"/>
      <c r="DC556" s="1355"/>
      <c r="DD556" s="1355"/>
      <c r="DE556" s="1375"/>
      <c r="DF556" s="1407"/>
      <c r="DG556" s="1372"/>
      <c r="DH556" s="1369"/>
      <c r="DK556" s="1484"/>
      <c r="DL556" s="1420"/>
      <c r="DN556" s="1403"/>
      <c r="DO556" s="1405"/>
      <c r="DP556" s="1355"/>
      <c r="DQ556" s="1405"/>
      <c r="DR556" s="1403"/>
      <c r="DS556" s="1489"/>
      <c r="DU556" s="1403"/>
      <c r="DV556" s="1405"/>
      <c r="DW556" s="1403"/>
      <c r="DX556" s="1403"/>
      <c r="DZ556" s="1481"/>
      <c r="EA556" s="1481"/>
      <c r="EC556" s="1482"/>
      <c r="ED556" s="1369"/>
      <c r="EE556" s="1372"/>
      <c r="EF556" s="1369"/>
      <c r="EG556" s="1369"/>
      <c r="EH556" s="1375"/>
      <c r="EI556" s="1375"/>
      <c r="EJ556" s="1363"/>
      <c r="EK556" s="1376"/>
      <c r="EL556" s="1376"/>
      <c r="EM556" s="1362"/>
      <c r="EN556" s="1362"/>
      <c r="EO556" s="1363"/>
      <c r="EP556" s="1363"/>
      <c r="EQ556" s="1363"/>
      <c r="ES556" s="1403"/>
      <c r="EU556" s="1488"/>
      <c r="EV556" s="1488"/>
      <c r="EW556" s="1488"/>
      <c r="EX556" s="1488"/>
      <c r="EY556" s="1488"/>
      <c r="EZ556" s="1414"/>
      <c r="FB556" s="1365"/>
      <c r="FD556" s="1355"/>
      <c r="FE556" s="1355"/>
      <c r="FF556" s="138"/>
      <c r="FI556" s="1357"/>
      <c r="FJ556" s="1357"/>
      <c r="FK556" s="1365"/>
      <c r="FL556" s="1365"/>
      <c r="FM556" s="1365"/>
      <c r="FO556" s="1361"/>
      <c r="FP556" s="1361"/>
      <c r="FQ556" s="1366"/>
      <c r="FR556" s="1361"/>
      <c r="FS556" s="1361"/>
      <c r="FT556" s="1361"/>
      <c r="FU556" s="1360"/>
      <c r="FW556" s="1352"/>
      <c r="FX556" s="1352"/>
      <c r="FY556" s="1352"/>
      <c r="FZ556" s="1352"/>
      <c r="GA556" s="1352"/>
      <c r="GB556" s="1352"/>
      <c r="GC556" s="1352"/>
      <c r="GD556" s="1352"/>
      <c r="GE556" s="759"/>
      <c r="GF556" s="1035"/>
      <c r="GG556" s="1385"/>
      <c r="GJ556" s="1034">
        <f>IF(GJ554=TRUE,0,GJ$16)</f>
        <v>0</v>
      </c>
      <c r="GL556" s="1034">
        <f>IF(GL554=TRUE,0,GL$16)</f>
        <v>36</v>
      </c>
      <c r="GM556" s="1034">
        <f>IF(GM554=TRUE,0,GM$16)</f>
        <v>35</v>
      </c>
      <c r="GN556" s="436"/>
      <c r="GO556" s="436"/>
      <c r="GP556" s="436"/>
      <c r="GQ556" s="436"/>
      <c r="GR556" s="436"/>
      <c r="HC556" s="1034">
        <f t="shared" ref="HC556:HH556" si="410">IF(HC554=TRUE,0,HC$16)</f>
        <v>19</v>
      </c>
      <c r="HD556" s="1034">
        <f t="shared" si="410"/>
        <v>18</v>
      </c>
      <c r="HE556" s="1034">
        <f t="shared" si="410"/>
        <v>17</v>
      </c>
      <c r="HF556" s="1034">
        <f t="shared" si="410"/>
        <v>16</v>
      </c>
      <c r="HG556" s="1034">
        <f t="shared" si="410"/>
        <v>0</v>
      </c>
      <c r="HH556" s="1034">
        <f t="shared" si="410"/>
        <v>0</v>
      </c>
      <c r="HI556" s="1034">
        <f>IF(HI554=TRUE,0,HI$16)</f>
        <v>13</v>
      </c>
      <c r="HJ556" s="1034">
        <f t="shared" ref="HJ556:HL556" si="411">IF(HJ554=TRUE,0,HJ$16)</f>
        <v>12</v>
      </c>
      <c r="HK556" s="1034">
        <f t="shared" si="411"/>
        <v>11</v>
      </c>
      <c r="HL556" s="1034">
        <f t="shared" si="411"/>
        <v>10</v>
      </c>
      <c r="HM556" s="1034">
        <f>IF(HM554=TRUE,0,HM$16)</f>
        <v>9</v>
      </c>
      <c r="HN556" s="1034">
        <f t="shared" ref="HN556:HR556" si="412">IF(HN554=TRUE,0,HN$16)</f>
        <v>0</v>
      </c>
      <c r="HO556" s="1034">
        <f t="shared" si="412"/>
        <v>0</v>
      </c>
      <c r="HP556" s="1034">
        <f t="shared" si="412"/>
        <v>0</v>
      </c>
      <c r="HQ556" s="1034">
        <f t="shared" si="412"/>
        <v>0</v>
      </c>
      <c r="HR556" s="1034">
        <f t="shared" si="412"/>
        <v>0</v>
      </c>
      <c r="HS556" s="1034">
        <f>IF(HS554=TRUE,0,HS$16)</f>
        <v>0</v>
      </c>
      <c r="HT556" s="1034">
        <f t="shared" ref="HT556" si="413">IF(HT554=TRUE,0,HT$16)</f>
        <v>0</v>
      </c>
      <c r="HU556" s="1034">
        <f>IF(HU554=TRUE,0,HU$16)</f>
        <v>1</v>
      </c>
      <c r="HW556" s="1034">
        <f>IF(GL554=FALSE,GL556,IF(GM554=FALSE,GM556,MAX(GJ556:HU556)))</f>
        <v>36</v>
      </c>
      <c r="HX556" s="1383"/>
      <c r="HY556" s="241" t="str">
        <f>VLOOKUP(HW556,_Error_Table,3,FALSE)</f>
        <v xml:space="preserve"> </v>
      </c>
      <c r="HZ556" s="241"/>
      <c r="IA556" s="1386"/>
      <c r="IB556" s="1380"/>
      <c r="IC556" s="1379"/>
      <c r="IF556" s="1380"/>
      <c r="IG556" s="1383"/>
      <c r="IH556" s="1383"/>
      <c r="II556" s="1383"/>
      <c r="IK556" s="1351"/>
      <c r="IL556" s="1351"/>
      <c r="IM556" s="1351"/>
      <c r="IN556" s="1351"/>
      <c r="IO556" s="1351"/>
      <c r="IP556" s="1351"/>
    </row>
    <row r="557" spans="1:250" s="82" customFormat="1">
      <c r="B557" s="763"/>
      <c r="C557" s="437"/>
      <c r="D557" s="437"/>
      <c r="E557" s="1490"/>
      <c r="F557" s="1490"/>
      <c r="G557" s="1490"/>
      <c r="H557" s="1490"/>
      <c r="I557" s="1490"/>
      <c r="J557" s="1490"/>
      <c r="K557" s="1490"/>
      <c r="L557" s="1490"/>
      <c r="M557" s="1490"/>
      <c r="N557" s="1490"/>
      <c r="O557" s="1490"/>
      <c r="P557" s="1490"/>
      <c r="Q557" s="1490"/>
      <c r="R557" s="1490"/>
      <c r="S557" s="1490"/>
      <c r="T557" s="1490"/>
      <c r="U557" s="1490"/>
      <c r="V557" s="1490"/>
      <c r="W557" s="1490"/>
      <c r="X557" s="1490"/>
      <c r="Y557" s="1490"/>
      <c r="Z557" s="1490"/>
      <c r="AA557" s="1490"/>
      <c r="AB557" s="1490"/>
      <c r="AC557" s="1490"/>
      <c r="AD557" s="1490"/>
      <c r="AE557" s="1490"/>
      <c r="AF557" s="1490"/>
      <c r="AG557" s="1490"/>
      <c r="AH557" s="1490"/>
      <c r="AI557" s="1490"/>
      <c r="AJ557" s="1490"/>
      <c r="AK557" s="1490"/>
      <c r="AL557" s="1490"/>
      <c r="AM557" s="1490"/>
      <c r="AN557" s="1490"/>
      <c r="AO557" s="1490"/>
      <c r="AP557" s="1490"/>
      <c r="AQ557" s="1490"/>
      <c r="AR557" s="1490"/>
      <c r="AS557" s="1490"/>
      <c r="AT557" s="1490"/>
      <c r="AU557" s="518"/>
      <c r="BC557" s="38"/>
      <c r="BD557" s="38"/>
      <c r="BE557" s="38"/>
      <c r="BF557" s="38"/>
      <c r="BG557" s="38"/>
      <c r="BH557" s="38"/>
      <c r="BI557" s="38"/>
      <c r="BJ557" s="38"/>
      <c r="BK557" s="38"/>
      <c r="BL557" s="38"/>
      <c r="BM557" s="38"/>
      <c r="BN557" s="38"/>
      <c r="BO557" s="38"/>
      <c r="BP557" s="38"/>
      <c r="BQ557" s="38"/>
      <c r="BR557" s="38"/>
      <c r="BS557" s="38"/>
      <c r="BT557" s="38"/>
      <c r="BU557" s="38"/>
      <c r="BV557" s="38"/>
      <c r="BW557" s="38"/>
      <c r="BX557" s="38"/>
      <c r="BY557" s="38"/>
      <c r="BZ557" s="38"/>
      <c r="CA557" s="38"/>
      <c r="CB557" s="38"/>
      <c r="CC557" s="38"/>
      <c r="CD557" s="38"/>
      <c r="CE557" s="38"/>
      <c r="CF557" s="38"/>
      <c r="CG557" s="38"/>
      <c r="CH557" s="38"/>
      <c r="CI557" s="38"/>
      <c r="CM557" s="749"/>
      <c r="CN557" s="749"/>
      <c r="CO557" s="485"/>
      <c r="CP557" s="749"/>
      <c r="CS557" s="436"/>
      <c r="CT557" s="436"/>
      <c r="CU557" s="243"/>
      <c r="CV557" s="244"/>
      <c r="CW557" s="244"/>
      <c r="CX557" s="244"/>
      <c r="CY557" s="245"/>
      <c r="CZ557" s="245"/>
      <c r="DA557" s="245"/>
      <c r="DC557" s="750"/>
      <c r="DD557" s="751"/>
      <c r="DE557" s="752"/>
      <c r="DF557" s="753"/>
      <c r="DG557" s="754"/>
      <c r="DH557" s="754"/>
      <c r="DK557" s="244"/>
      <c r="DL557" s="750"/>
      <c r="DN557" s="750"/>
      <c r="DO557" s="755"/>
      <c r="DP557" s="436"/>
      <c r="DQ557" s="750"/>
      <c r="DR557" s="750"/>
      <c r="DS557" s="750"/>
      <c r="DU557" s="750"/>
      <c r="DV557" s="750"/>
      <c r="DW557" s="750"/>
      <c r="DX557" s="750"/>
      <c r="DZ557" s="756"/>
      <c r="EA557" s="756"/>
      <c r="EC557" s="754"/>
      <c r="ED557" s="754"/>
      <c r="EE557" s="244"/>
      <c r="EF557" s="754"/>
      <c r="EG557" s="754"/>
      <c r="EH557" s="243"/>
      <c r="EI557" s="243"/>
      <c r="EJ557" s="752"/>
      <c r="EK557" s="757"/>
      <c r="EL557" s="757"/>
      <c r="EM557" s="758"/>
      <c r="EN557" s="758"/>
      <c r="EO557" s="752"/>
      <c r="EP557" s="752"/>
      <c r="EQ557" s="752"/>
      <c r="ES557" s="750"/>
      <c r="EU557" s="436"/>
      <c r="EV557" s="436"/>
      <c r="EW557" s="436"/>
      <c r="EX557" s="436"/>
      <c r="EY557" s="436"/>
      <c r="EZ557" s="436"/>
      <c r="FB557" s="643"/>
      <c r="FD557" s="436"/>
      <c r="FE557" s="436"/>
      <c r="FF557" s="436"/>
      <c r="FO557" s="750"/>
      <c r="FP557" s="436"/>
      <c r="FQ557" s="436"/>
      <c r="FR557" s="750"/>
      <c r="FS557" s="750"/>
      <c r="FW557" s="749"/>
      <c r="FX557" s="749"/>
      <c r="FY557" s="749"/>
      <c r="FZ557" s="749"/>
      <c r="GA557" s="749"/>
      <c r="GB557" s="749"/>
      <c r="GC557" s="749"/>
      <c r="GD557" s="749"/>
      <c r="GE557" s="751"/>
      <c r="GF557" s="750"/>
      <c r="GG557" s="750"/>
    </row>
    <row r="558" spans="1:250">
      <c r="DU558" s="755"/>
      <c r="DV558" s="755"/>
      <c r="DW558" s="755"/>
      <c r="DX558" s="755"/>
      <c r="DY558" s="755"/>
      <c r="DZ558" s="755"/>
      <c r="EA558" s="755"/>
      <c r="EB558" s="755"/>
      <c r="EC558" s="764" t="s">
        <v>283</v>
      </c>
      <c r="ED558" s="764" t="s">
        <v>284</v>
      </c>
      <c r="EE558" s="764" t="s">
        <v>186</v>
      </c>
      <c r="EF558" s="764" t="s">
        <v>286</v>
      </c>
      <c r="EG558" s="764" t="s">
        <v>287</v>
      </c>
      <c r="EH558" s="764"/>
      <c r="EI558" s="764"/>
      <c r="EJ558" s="764" t="s">
        <v>288</v>
      </c>
      <c r="EK558" s="764" t="s">
        <v>186</v>
      </c>
      <c r="EL558" s="764" t="s">
        <v>286</v>
      </c>
      <c r="EM558" s="764" t="s">
        <v>186</v>
      </c>
      <c r="EN558" s="764" t="s">
        <v>286</v>
      </c>
      <c r="EO558" s="764" t="s">
        <v>186</v>
      </c>
      <c r="EP558" s="764" t="s">
        <v>286</v>
      </c>
      <c r="EQ558" s="764"/>
      <c r="ES558" s="38">
        <f>ROW()</f>
        <v>558</v>
      </c>
    </row>
    <row r="559" spans="1:250" s="82" customFormat="1" ht="20.25" customHeight="1">
      <c r="B559" s="247"/>
      <c r="C559" s="437"/>
      <c r="D559" s="437"/>
      <c r="E559" s="247"/>
      <c r="F559" s="247"/>
      <c r="G559" s="247"/>
      <c r="H559" s="247"/>
      <c r="I559" s="485"/>
      <c r="J559" s="485"/>
      <c r="K559" s="485"/>
      <c r="L559" s="485"/>
      <c r="M559" s="485"/>
      <c r="N559" s="485"/>
      <c r="O559" s="485"/>
      <c r="P559" s="485"/>
      <c r="Q559" s="485"/>
      <c r="R559" s="436"/>
      <c r="S559" s="242"/>
      <c r="T559" s="436"/>
      <c r="U559" s="241"/>
      <c r="V559" s="241"/>
      <c r="W559" s="241"/>
      <c r="X559" s="241"/>
      <c r="Y559" s="241"/>
      <c r="Z559" s="241"/>
      <c r="AA559" s="243"/>
      <c r="AB559" s="436"/>
      <c r="AC559" s="244"/>
      <c r="AD559" s="245"/>
      <c r="AE559" s="436"/>
      <c r="AF559" s="241"/>
      <c r="AG559" s="241"/>
      <c r="AH559" s="241"/>
      <c r="AI559" s="243"/>
      <c r="AJ559" s="246"/>
      <c r="AK559" s="244"/>
      <c r="AL559" s="244"/>
      <c r="AM559" s="1540" t="s">
        <v>332</v>
      </c>
      <c r="AN559" s="1541"/>
      <c r="AO559" s="1529" t="s">
        <v>350</v>
      </c>
      <c r="AP559" s="1529"/>
      <c r="AQ559" s="1529" t="s">
        <v>205</v>
      </c>
      <c r="AR559" s="1529"/>
      <c r="AS559" s="1529"/>
      <c r="AT559" s="1529"/>
      <c r="AU559" s="485"/>
      <c r="BC559" s="38"/>
      <c r="BD559" s="38"/>
      <c r="BE559" s="38"/>
      <c r="BF559" s="38"/>
      <c r="BG559" s="38"/>
      <c r="BH559" s="38"/>
      <c r="BI559" s="38"/>
      <c r="BJ559" s="38"/>
      <c r="BK559" s="38"/>
      <c r="BL559" s="38"/>
      <c r="BM559" s="38"/>
      <c r="BN559" s="38"/>
      <c r="BO559" s="38"/>
      <c r="BP559" s="38"/>
      <c r="BQ559" s="38"/>
      <c r="BR559" s="38"/>
      <c r="BS559" s="38"/>
      <c r="BT559" s="38"/>
      <c r="BU559" s="38"/>
      <c r="BV559" s="38"/>
      <c r="BW559" s="38"/>
      <c r="BX559" s="38"/>
      <c r="BY559" s="38"/>
      <c r="BZ559" s="38"/>
      <c r="CA559" s="38"/>
      <c r="CB559" s="38"/>
      <c r="CC559" s="38"/>
      <c r="CD559" s="38"/>
      <c r="CE559" s="38"/>
      <c r="CF559" s="38"/>
      <c r="CG559" s="38"/>
      <c r="CH559" s="38"/>
      <c r="CI559" s="38"/>
      <c r="CM559" s="105" t="s">
        <v>290</v>
      </c>
      <c r="CN559" s="105" t="s">
        <v>291</v>
      </c>
      <c r="CO559" s="105"/>
      <c r="CP559" s="105" t="s">
        <v>292</v>
      </c>
      <c r="CQ559" s="38"/>
      <c r="CR559" s="38"/>
      <c r="CS559" s="37" t="s">
        <v>280</v>
      </c>
      <c r="CT559" s="38"/>
      <c r="CU559" s="105" t="s">
        <v>281</v>
      </c>
      <c r="CV559" s="38"/>
      <c r="CW559" s="38"/>
      <c r="CX559" s="105" t="s">
        <v>282</v>
      </c>
      <c r="CY559" s="105" t="s">
        <v>283</v>
      </c>
      <c r="CZ559" s="105" t="s">
        <v>284</v>
      </c>
      <c r="DA559" s="105" t="s">
        <v>285</v>
      </c>
      <c r="DB559" s="436"/>
      <c r="DC559" s="37" t="s">
        <v>293</v>
      </c>
      <c r="DD559" s="38"/>
      <c r="DE559" s="105" t="s">
        <v>281</v>
      </c>
      <c r="DF559" s="37"/>
      <c r="DG559" s="105" t="s">
        <v>282</v>
      </c>
      <c r="DH559" s="105" t="s">
        <v>282</v>
      </c>
      <c r="DI559" s="38"/>
      <c r="DJ559" s="105" t="s">
        <v>348</v>
      </c>
      <c r="DK559" s="105" t="s">
        <v>348</v>
      </c>
      <c r="DL559" s="105" t="s">
        <v>233</v>
      </c>
      <c r="DM559" s="38"/>
      <c r="DN559" s="1358" t="s">
        <v>186</v>
      </c>
      <c r="DO559" s="1358"/>
      <c r="DP559" s="105" t="s">
        <v>286</v>
      </c>
      <c r="DQ559" s="105"/>
      <c r="DR559" s="105" t="s">
        <v>294</v>
      </c>
      <c r="DS559" s="105" t="s">
        <v>294</v>
      </c>
      <c r="DT559" s="38"/>
      <c r="DU559" s="1358" t="s">
        <v>286</v>
      </c>
      <c r="DV559" s="1358"/>
      <c r="DW559" s="105" t="s">
        <v>294</v>
      </c>
      <c r="DX559" s="105" t="s">
        <v>295</v>
      </c>
      <c r="DY559" s="38"/>
      <c r="DZ559" s="105" t="s">
        <v>296</v>
      </c>
      <c r="EA559" s="105" t="s">
        <v>297</v>
      </c>
      <c r="EB559" s="436"/>
      <c r="EC559" s="689" t="s">
        <v>186</v>
      </c>
      <c r="ED559" s="689" t="s">
        <v>186</v>
      </c>
      <c r="EE559" s="689" t="s">
        <v>298</v>
      </c>
      <c r="EF559" s="689" t="s">
        <v>298</v>
      </c>
      <c r="EG559" s="689" t="s">
        <v>298</v>
      </c>
      <c r="EH559" s="689" t="s">
        <v>186</v>
      </c>
      <c r="EI559" s="689" t="s">
        <v>286</v>
      </c>
      <c r="EJ559" s="689" t="s">
        <v>286</v>
      </c>
      <c r="EK559" s="689" t="s">
        <v>299</v>
      </c>
      <c r="EL559" s="689" t="s">
        <v>299</v>
      </c>
      <c r="EM559" s="689" t="s">
        <v>299</v>
      </c>
      <c r="EN559" s="689" t="s">
        <v>299</v>
      </c>
      <c r="EO559" s="689" t="s">
        <v>299</v>
      </c>
      <c r="EP559" s="689" t="s">
        <v>299</v>
      </c>
      <c r="EQ559" s="689" t="s">
        <v>299</v>
      </c>
      <c r="ER559" s="436"/>
      <c r="ES559" s="436"/>
      <c r="EU559" s="436"/>
      <c r="EV559" s="436"/>
      <c r="EW559" s="436"/>
      <c r="EX559" s="436"/>
      <c r="EY559" s="436"/>
      <c r="EZ559" s="436"/>
      <c r="FD559" s="436"/>
      <c r="FE559" s="436"/>
      <c r="FF559" s="436"/>
      <c r="FI559" s="105" t="s">
        <v>300</v>
      </c>
      <c r="FJ559" s="105" t="s">
        <v>301</v>
      </c>
      <c r="FK559" s="105" t="s">
        <v>302</v>
      </c>
      <c r="FL559" s="105" t="s">
        <v>303</v>
      </c>
      <c r="FM559" s="38"/>
      <c r="FN559" s="38" t="s">
        <v>304</v>
      </c>
      <c r="FO559" s="105">
        <v>3200</v>
      </c>
      <c r="FP559" s="105" t="s">
        <v>305</v>
      </c>
      <c r="FQ559" s="105" t="s">
        <v>306</v>
      </c>
      <c r="FR559" s="105" t="s">
        <v>307</v>
      </c>
      <c r="FS559" s="105" t="s">
        <v>306</v>
      </c>
      <c r="FT559" s="38"/>
      <c r="FU559" s="38"/>
    </row>
    <row r="560" spans="1:250" s="82" customFormat="1" ht="20.25" customHeight="1" thickBot="1">
      <c r="B560" s="247"/>
      <c r="C560" s="660">
        <f>1+C482</f>
        <v>8</v>
      </c>
      <c r="D560" s="437"/>
      <c r="E560" s="241" t="str">
        <f>CONCATENATE(AF$20," - page ",C560)</f>
        <v xml:space="preserve"> - page 8</v>
      </c>
      <c r="F560" s="247"/>
      <c r="G560" s="247"/>
      <c r="H560" s="247"/>
      <c r="I560" s="485"/>
      <c r="J560" s="485"/>
      <c r="K560" s="485"/>
      <c r="L560" s="485"/>
      <c r="M560" s="485"/>
      <c r="N560" s="485"/>
      <c r="O560" s="485"/>
      <c r="P560" s="485"/>
      <c r="Q560" s="485"/>
      <c r="R560" s="436"/>
      <c r="S560" s="242"/>
      <c r="T560" s="436"/>
      <c r="U560" s="241"/>
      <c r="V560" s="241"/>
      <c r="W560" s="241"/>
      <c r="X560" s="241"/>
      <c r="Y560" s="241"/>
      <c r="Z560" s="241"/>
      <c r="AA560" s="243"/>
      <c r="AB560" s="677" t="s">
        <v>132</v>
      </c>
      <c r="AC560" s="677" t="s">
        <v>282</v>
      </c>
      <c r="AD560" s="677" t="s">
        <v>312</v>
      </c>
      <c r="AE560" s="436"/>
      <c r="AF560" s="241"/>
      <c r="AG560" s="241"/>
      <c r="AH560" s="241"/>
      <c r="AI560" s="243"/>
      <c r="AJ560" s="678" t="s">
        <v>233</v>
      </c>
      <c r="AK560" s="678" t="s">
        <v>332</v>
      </c>
      <c r="AL560" s="679" t="s">
        <v>349</v>
      </c>
      <c r="AM560" s="1565">
        <f>AX$4</f>
        <v>0</v>
      </c>
      <c r="AN560" s="1566"/>
      <c r="AO560" s="1567">
        <f>AX$6</f>
        <v>0</v>
      </c>
      <c r="AP560" s="1568"/>
      <c r="AQ560" s="1569"/>
      <c r="AR560" s="1561">
        <f>AX$2</f>
        <v>0</v>
      </c>
      <c r="AS560" s="1561"/>
      <c r="AT560" s="1379"/>
      <c r="AU560" s="436"/>
      <c r="BC560" s="38"/>
      <c r="BD560" s="38"/>
      <c r="BE560" s="38"/>
      <c r="BF560" s="38"/>
      <c r="BG560" s="38"/>
      <c r="BH560" s="38"/>
      <c r="BI560" s="38"/>
      <c r="BJ560" s="38"/>
      <c r="BK560" s="38"/>
      <c r="BL560" s="38"/>
      <c r="BM560" s="38"/>
      <c r="BN560" s="38"/>
      <c r="BO560" s="38"/>
      <c r="BP560" s="38"/>
      <c r="BQ560" s="38"/>
      <c r="BR560" s="38"/>
      <c r="BS560" s="38"/>
      <c r="BT560" s="38"/>
      <c r="BU560" s="38"/>
      <c r="BV560" s="38"/>
      <c r="BW560" s="38"/>
      <c r="BX560" s="38"/>
      <c r="BY560" s="38"/>
      <c r="BZ560" s="38"/>
      <c r="CA560" s="38"/>
      <c r="CB560" s="38"/>
      <c r="CC560" s="38"/>
      <c r="CD560" s="38"/>
      <c r="CE560" s="38"/>
      <c r="CF560" s="38"/>
      <c r="CG560" s="38"/>
      <c r="CH560" s="38"/>
      <c r="CI560" s="38"/>
      <c r="CM560" s="105" t="s">
        <v>310</v>
      </c>
      <c r="CN560" s="105" t="s">
        <v>277</v>
      </c>
      <c r="CO560" s="105"/>
      <c r="CP560" s="105" t="s">
        <v>172</v>
      </c>
      <c r="CQ560" s="38"/>
      <c r="CR560" s="38"/>
      <c r="CS560" s="105" t="s">
        <v>190</v>
      </c>
      <c r="CT560" s="105" t="s">
        <v>186</v>
      </c>
      <c r="CU560" s="105" t="s">
        <v>311</v>
      </c>
      <c r="CV560" s="105" t="s">
        <v>132</v>
      </c>
      <c r="CW560" s="105" t="s">
        <v>282</v>
      </c>
      <c r="CX560" s="105" t="s">
        <v>285</v>
      </c>
      <c r="CY560" s="105" t="s">
        <v>312</v>
      </c>
      <c r="CZ560" s="105" t="s">
        <v>312</v>
      </c>
      <c r="DA560" s="105" t="s">
        <v>312</v>
      </c>
      <c r="DB560" s="436"/>
      <c r="DC560" s="105" t="s">
        <v>190</v>
      </c>
      <c r="DD560" s="37" t="s">
        <v>286</v>
      </c>
      <c r="DE560" s="105" t="s">
        <v>311</v>
      </c>
      <c r="DF560" s="105" t="s">
        <v>313</v>
      </c>
      <c r="DG560" s="105" t="s">
        <v>285</v>
      </c>
      <c r="DH560" s="105" t="s">
        <v>285</v>
      </c>
      <c r="DI560" s="38"/>
      <c r="DJ560" s="105" t="s">
        <v>349</v>
      </c>
      <c r="DK560" s="105" t="s">
        <v>284</v>
      </c>
      <c r="DL560" s="38"/>
      <c r="DM560" s="38"/>
      <c r="DN560" s="1359" t="s">
        <v>172</v>
      </c>
      <c r="DO560" s="1359"/>
      <c r="DP560" s="105" t="s">
        <v>172</v>
      </c>
      <c r="DQ560" s="105"/>
      <c r="DR560" s="105" t="s">
        <v>186</v>
      </c>
      <c r="DS560" s="105" t="s">
        <v>314</v>
      </c>
      <c r="DT560" s="38"/>
      <c r="DU560" s="1359" t="s">
        <v>315</v>
      </c>
      <c r="DV560" s="1359"/>
      <c r="DW560" s="105" t="s">
        <v>316</v>
      </c>
      <c r="DX560" s="105" t="s">
        <v>314</v>
      </c>
      <c r="DY560" s="38"/>
      <c r="DZ560" s="105" t="s">
        <v>205</v>
      </c>
      <c r="EA560" s="105" t="s">
        <v>205</v>
      </c>
      <c r="EB560" s="436"/>
      <c r="EC560" s="689" t="s">
        <v>282</v>
      </c>
      <c r="ED560" s="689" t="s">
        <v>282</v>
      </c>
      <c r="EE560" s="689" t="s">
        <v>282</v>
      </c>
      <c r="EF560" s="689" t="s">
        <v>282</v>
      </c>
      <c r="EG560" s="689" t="s">
        <v>282</v>
      </c>
      <c r="EH560" s="689" t="s">
        <v>281</v>
      </c>
      <c r="EI560" s="689" t="s">
        <v>281</v>
      </c>
      <c r="EJ560" s="689" t="s">
        <v>281</v>
      </c>
      <c r="EK560" s="689" t="s">
        <v>317</v>
      </c>
      <c r="EL560" s="689" t="s">
        <v>317</v>
      </c>
      <c r="EM560" s="689" t="s">
        <v>318</v>
      </c>
      <c r="EN560" s="689" t="s">
        <v>318</v>
      </c>
      <c r="EO560" s="689" t="s">
        <v>281</v>
      </c>
      <c r="EP560" s="689" t="s">
        <v>281</v>
      </c>
      <c r="EQ560" s="689" t="s">
        <v>281</v>
      </c>
      <c r="ER560" s="436"/>
      <c r="ES560" s="436">
        <f>SUM(ES561:ES634)</f>
        <v>0</v>
      </c>
      <c r="EU560" s="436"/>
      <c r="EV560" s="436"/>
      <c r="EW560" s="436"/>
      <c r="EX560" s="436"/>
      <c r="EY560" s="89" t="s">
        <v>314</v>
      </c>
      <c r="EZ560" s="89" t="s">
        <v>170</v>
      </c>
      <c r="FD560" s="436"/>
      <c r="FE560" s="436"/>
      <c r="FF560" s="436"/>
      <c r="FI560" s="38"/>
      <c r="FJ560" s="105" t="s">
        <v>273</v>
      </c>
      <c r="FK560" s="38"/>
      <c r="FL560" s="38"/>
      <c r="FM560" s="38"/>
      <c r="FN560" s="38" t="s">
        <v>233</v>
      </c>
      <c r="FO560" s="105" t="s">
        <v>305</v>
      </c>
      <c r="FP560" s="105" t="s">
        <v>320</v>
      </c>
      <c r="FQ560" s="105" t="s">
        <v>305</v>
      </c>
      <c r="FR560" s="105" t="s">
        <v>286</v>
      </c>
      <c r="FS560" s="37" t="s">
        <v>321</v>
      </c>
      <c r="FT560" s="38"/>
      <c r="FU560" s="105" t="s">
        <v>322</v>
      </c>
    </row>
    <row r="561" spans="1:250" s="82" customFormat="1" ht="14.95" customHeight="1" thickTop="1" thickBot="1">
      <c r="B561" s="1421" t="str">
        <f>HY564</f>
        <v xml:space="preserve"> </v>
      </c>
      <c r="C561" s="1422">
        <f>C553+1</f>
        <v>101</v>
      </c>
      <c r="D561" s="1423"/>
      <c r="E561" s="1424" t="s">
        <v>242</v>
      </c>
      <c r="F561" s="1425"/>
      <c r="G561" s="1426"/>
      <c r="H561" s="1427"/>
      <c r="I561" s="1427"/>
      <c r="J561" s="1427"/>
      <c r="K561" s="1427"/>
      <c r="L561" s="1427"/>
      <c r="M561" s="1427"/>
      <c r="N561" s="1427"/>
      <c r="O561" s="1427"/>
      <c r="P561" s="1427"/>
      <c r="Q561" s="1427"/>
      <c r="R561" s="1427"/>
      <c r="S561" s="1428" t="s">
        <v>283</v>
      </c>
      <c r="T561" s="668" t="s">
        <v>190</v>
      </c>
      <c r="U561" s="1430" t="s">
        <v>186</v>
      </c>
      <c r="V561" s="1431"/>
      <c r="W561" s="1431"/>
      <c r="X561" s="1431"/>
      <c r="Y561" s="1431"/>
      <c r="Z561" s="1431"/>
      <c r="AA561" s="1431"/>
      <c r="AB561" s="1088" t="str">
        <f>IFERROR(IF(__Retrofit_TI_NC=0,VLOOKUP(U562,Fixtures_Existing_List,2,FALSE),ROUND(N563*R563/T563,10)),"")</f>
        <v/>
      </c>
      <c r="AC561" s="1039" t="str">
        <f>IFERROR(IF(__Retrofit_TI_NC=0,ROUND(T562*AB561*N562*R562/1000,0),IF(CN561="Interior",N563*R563*R562*N562*_C406_reduction/1000,N563*R563*R562*N562/1000)),"")</f>
        <v/>
      </c>
      <c r="AD561" s="1040" t="str">
        <f>IFERROR(IF(C$36=0,ROUND(T562*AB561/1000,2),N563*R563/1000),"")</f>
        <v/>
      </c>
      <c r="AE561" s="1044" t="s">
        <v>190</v>
      </c>
      <c r="AF561" s="1432" t="str">
        <f>IF(__Retrofit_TI_NC=2,CONCATENATE("Code min = ",DD561),IF(__Retrofit_TI_NC=1,"Emter what you think the existing control was"," Control"))</f>
        <v xml:space="preserve"> Control</v>
      </c>
      <c r="AG561" s="1432"/>
      <c r="AH561" s="1432"/>
      <c r="AI561" s="1432"/>
      <c r="AJ561" s="1433">
        <f>DF561</f>
        <v>0</v>
      </c>
      <c r="AK561" s="1435" t="str">
        <f>IFERROR(ROUND(AJ561*AC561,0),"")</f>
        <v/>
      </c>
      <c r="AL561" s="1437">
        <f>IFERROR(IF(HW561=FALSE,0,AC561-AK561),0)</f>
        <v>0</v>
      </c>
      <c r="AM561" s="1439">
        <f>AL561-AL563</f>
        <v>0</v>
      </c>
      <c r="AN561" s="1440"/>
      <c r="AO561" s="1445">
        <f>IFERROR(IF(HW561=FALSE,0,(T563*U564)+(AE563*AF564)),0)</f>
        <v>0</v>
      </c>
      <c r="AP561" s="1445"/>
      <c r="AQ561" s="1446"/>
      <c r="AR561" s="1451" t="s">
        <v>157</v>
      </c>
      <c r="AS561" s="1454">
        <f>IF(AR561="Yes",1,0)</f>
        <v>1</v>
      </c>
      <c r="AT561" s="1457" t="str">
        <f>IF(OR(DN561=4,DN561=5,DN561=6,DN561=12),CONCATENATE("$",IF(GD561=TRUE,Lookup!$B$11,Lookup!$B$2)," /lamp"),CONCATENATE(EA561,"/ kWh"))</f>
        <v>0/ kWh</v>
      </c>
      <c r="AU561" s="516"/>
      <c r="AV561" s="1478">
        <f>IFERROR(IF(GI562=TRUE,(AB564*T563)/R563,0),"NA")</f>
        <v>0</v>
      </c>
      <c r="AW561" s="1478" t="str">
        <f>IFERROR(N563*_C406_reduction,"NA")</f>
        <v>NA</v>
      </c>
      <c r="BC561" s="38"/>
      <c r="BD561" s="38"/>
      <c r="BE561" s="38"/>
      <c r="BF561" s="38"/>
      <c r="BG561" s="38"/>
      <c r="BH561" s="38"/>
      <c r="BI561" s="38"/>
      <c r="BJ561" s="38"/>
      <c r="BK561" s="38"/>
      <c r="BL561" s="38"/>
      <c r="BM561" s="38"/>
      <c r="BN561" s="38"/>
      <c r="BO561" s="38"/>
      <c r="BP561" s="38"/>
      <c r="BQ561" s="38"/>
      <c r="BR561" s="38"/>
      <c r="BS561" s="38"/>
      <c r="BT561" s="38"/>
      <c r="BU561" s="38"/>
      <c r="BV561" s="38"/>
      <c r="BW561" s="38"/>
      <c r="BX561" s="38"/>
      <c r="BY561" s="38"/>
      <c r="BZ561" s="38"/>
      <c r="CA561" s="38"/>
      <c r="CB561" s="38"/>
      <c r="CC561" s="38"/>
      <c r="CD561" s="38"/>
      <c r="CE561" s="38"/>
      <c r="CF561" s="38"/>
      <c r="CG561" s="38"/>
      <c r="CH561" s="38"/>
      <c r="CI561" s="38"/>
      <c r="CM561" s="1352" t="str">
        <f>N562</f>
        <v/>
      </c>
      <c r="CN561" s="1352" t="str">
        <f>IFERROR(VLOOKUP(G562,_Lookup_Heat_Type_Table_New,3,FALSE),"")</f>
        <v/>
      </c>
      <c r="CO561" s="1415" t="str">
        <f>CN561</f>
        <v/>
      </c>
      <c r="CP561" s="1417" t="e">
        <f>VLOOKUP(G563,'Space Table'!$B$3:$L$160,9,FALSE)</f>
        <v>#N/A</v>
      </c>
      <c r="CR561" s="1386" t="s">
        <v>283</v>
      </c>
      <c r="CS561" s="1353">
        <f>IF(HW561=TRUE,T562,0)</f>
        <v>0</v>
      </c>
      <c r="CT561" s="1353" t="str">
        <f>IF(HW561=TRUE,U562,"")</f>
        <v/>
      </c>
      <c r="CU561" s="1353"/>
      <c r="CV561" s="1370">
        <f>IF(HW561=TRUE,AB561,0)</f>
        <v>0</v>
      </c>
      <c r="CW561" s="1370">
        <f>IF(HW561=TRUE,AC561,0)</f>
        <v>0</v>
      </c>
      <c r="CX561" s="1370">
        <f>IFERROR(IF(HW561=TRUE,CW561-CW563,0),0)</f>
        <v>0</v>
      </c>
      <c r="CY561" s="1485">
        <f>IF(HW561=TRUE,AD561,0)</f>
        <v>0</v>
      </c>
      <c r="CZ561" s="1485">
        <f>IF(HW561=TRUE,AD564,0)</f>
        <v>0</v>
      </c>
      <c r="DA561" s="1485">
        <f>IFERROR(CY561-CZ561,0)</f>
        <v>0</v>
      </c>
      <c r="DC561" s="1353">
        <f>IF(HW561=TRUE,AE562,0)</f>
        <v>0</v>
      </c>
      <c r="DD561" s="1460">
        <f>IF(__Retrofit_TI_NC=2,IF(CN561="Exterior",O564,FM561),FK561)</f>
        <v>0</v>
      </c>
      <c r="DE561" s="1353"/>
      <c r="DF561" s="1406">
        <f>IFERROR(IF(FL561=3,IK561,IF(FL561=4,IL561,IF(FL561=5,IM561,IF(FL561=6,IN561,IF(FL561=7,IO561,IF(FL561=8,IP561,0)))))),0)</f>
        <v>0</v>
      </c>
      <c r="DG561" s="1370">
        <f>IF(HW561=TRUE,AK561,0)</f>
        <v>0</v>
      </c>
      <c r="DH561" s="1369">
        <f>IFERROR(IF(HW561=TRUE,DG563-DG561,0),0)</f>
        <v>0</v>
      </c>
      <c r="DJ561" s="1483">
        <f>IFERROR(CW561-DG561,0)</f>
        <v>0</v>
      </c>
      <c r="DL561" s="1419">
        <f>DJ561-DK563</f>
        <v>0</v>
      </c>
      <c r="DN561" s="1403" t="str">
        <f>IFERROR(IF(AND(OR(FY561=4,FY561=5,FY561=6),OR(GB561=4,GB561=5,GB561=6)),FY561+8,VLOOKUP(CT563,Fixtures!R$31:Y$78,8,FALSE)),"")</f>
        <v/>
      </c>
      <c r="DO561" s="1404" t="str">
        <f>DN561</f>
        <v/>
      </c>
      <c r="DP561" s="1353" t="str">
        <f>IFERROR(VLOOKUP(DD563,Lookup!AU$3:AV$15,2,FALSE),"")</f>
        <v/>
      </c>
      <c r="DQ561" s="1404" t="str">
        <f>IF(DP561=7,"LLLC","")</f>
        <v/>
      </c>
      <c r="DR561" s="1403">
        <f>IFERROR(IF(OR(DN561=4,DN561=5,DN561=6,DN561=12,DN561=13,DN561=14),VLOOKUP(CT563,Fixtures!DN$27:EG$77,19,FALSE),1)*CS563,0)</f>
        <v>0</v>
      </c>
      <c r="DS561" s="1489">
        <f>IF(DP561=7,IF(DD561=DD563,0,DC563),0)</f>
        <v>0</v>
      </c>
      <c r="DU561" s="1403" t="str">
        <f>IFERROR(IF(EW561&lt;EW563,"Yes","No"),"")</f>
        <v/>
      </c>
      <c r="DV561" s="1404" t="str">
        <f>DU561</f>
        <v/>
      </c>
      <c r="DW561" s="1403">
        <f>IF(DU561="Yes",DC563,0)</f>
        <v>0</v>
      </c>
      <c r="DX561" s="1403">
        <f>DW561-DS561</f>
        <v>0</v>
      </c>
      <c r="DZ561" s="1481">
        <f>IFERROR(VLOOKUP(DN561,Lookup!AN$3:AO$16,2,FALSE),0)</f>
        <v>0</v>
      </c>
      <c r="EA561" s="1481">
        <f>IF(HW561=FALSE,0,IF(DU561="Yes",DZ561+Lookup!B$6,DZ561))</f>
        <v>0</v>
      </c>
      <c r="EC561" s="1482">
        <f>IF(HW561=TRUE,DJ561,0)</f>
        <v>0</v>
      </c>
      <c r="ED561" s="1369">
        <f>IF(HW561=TRUE,CW563,0)</f>
        <v>0</v>
      </c>
      <c r="EE561" s="1370">
        <f>IFERROR(EC561-ED561,0)</f>
        <v>0</v>
      </c>
      <c r="EF561" s="1369">
        <f>IF(HW561=TRUE,DG563,0)</f>
        <v>0</v>
      </c>
      <c r="EG561" s="1369">
        <f>IFERROR(EC561-ED561+EF561,0)</f>
        <v>0</v>
      </c>
      <c r="EH561" s="1373">
        <f>IF(HW561=TRUE,CS563*CU563,0)</f>
        <v>0</v>
      </c>
      <c r="EI561" s="1373">
        <f>IF(HW561=TRUE,DC563*DE563,0)</f>
        <v>0</v>
      </c>
      <c r="EJ561" s="1363">
        <f>AO561</f>
        <v>0</v>
      </c>
      <c r="EK561" s="1376" t="str">
        <f>IFERROR(IF(HW561=TRUE,VLOOKUP(DN561,Lookup!AN$3:AP$16,3,FALSE)*DR561,""),0)</f>
        <v/>
      </c>
      <c r="EL561" s="1376">
        <f>IF(HW561=TRUE,DW561*Lookup!AP$12,0)</f>
        <v>0</v>
      </c>
      <c r="EM561" s="1362">
        <f>IFERROR(IF(HW561=TRUE,EK561/EM$33,0),0)</f>
        <v>0</v>
      </c>
      <c r="EN561" s="1362">
        <f>IF(HW561=TRUE,EL561/EN$33,0)</f>
        <v>0</v>
      </c>
      <c r="EO561" s="1363">
        <f>IF(HW561=TRUE,EQ$33*EM561,0)</f>
        <v>0</v>
      </c>
      <c r="EP561" s="1363">
        <f>IF(HW561=TRUE,EQ$33*EN561,0)</f>
        <v>0</v>
      </c>
      <c r="EQ561" s="1363">
        <f>EO561+EP561</f>
        <v>0</v>
      </c>
      <c r="ES561" s="1403">
        <f>IF(G561="",0,1)</f>
        <v>0</v>
      </c>
      <c r="EU561" s="1410" t="e">
        <f>VLOOKUP(CP563,'Space Table'!$B$3:$L$160,8,FALSE)</f>
        <v>#N/A</v>
      </c>
      <c r="EV561" s="1410" t="e">
        <f>IF(EY561="Yes",VLOOKUP(DD561,Lookup_Control_Type_Table2,4,FALSE),VLOOKUP(DD561,Lookup_Control_Type_Table2,3,FALSE))</f>
        <v>#N/A</v>
      </c>
      <c r="EW561" s="1410" t="e">
        <f>VLOOKUP(DD561,Lookup!AU$3:AV$15,2,FALSE)</f>
        <v>#N/A</v>
      </c>
      <c r="EX561" s="1410" t="e">
        <f>VLOOKUP(EU561,Lookup_Control_Type_Table,2,FALSE)</f>
        <v>#N/A</v>
      </c>
      <c r="EY561" s="1410" t="e">
        <f>VLOOKUP(CP563,'Space Table'!$B$3:$L$160,7,FALSE)</f>
        <v>#N/A</v>
      </c>
      <c r="EZ561" s="1412" t="b">
        <f>ISNUMBER(SEARCH("TLED",U563))</f>
        <v>0</v>
      </c>
      <c r="FB561" s="1365" t="str">
        <f>CONCATENATE(CN561," - ",DD561)</f>
        <v xml:space="preserve"> - 0</v>
      </c>
      <c r="FD561" s="1353" t="str">
        <f>VLOOKUP(CT563,Fixtures!DN$27:EZ$77,38,FALSE)</f>
        <v/>
      </c>
      <c r="FE561" s="1353">
        <f>IFERROR(FD561*EE561,0)</f>
        <v>0</v>
      </c>
      <c r="FF561" s="138"/>
      <c r="FI561" s="1356" t="str">
        <f>IF(CN561="Exterior","Not Daylighted",G564)</f>
        <v>Not Daylighted</v>
      </c>
      <c r="FJ561" s="1356">
        <f>VLOOKUP(FI561,_Daylight_Table_Codes,2,FALSE)</f>
        <v>0</v>
      </c>
      <c r="FK561" s="1365">
        <f>IF(__Retrofit_TI_NC=2,VLOOKUP(G563,'Space Table'!$B$3:$L$160,11,FALSE),AF562)</f>
        <v>0</v>
      </c>
      <c r="FL561" s="1365" t="e">
        <f>VLOOKUP(FK561,_Control_Table,2,FALSE)</f>
        <v>#N/A</v>
      </c>
      <c r="FM561" s="1365" t="e">
        <f>IF(AND(FP561&gt;0,FK561="Occupancy Sensor"),"Daylight + Occupancy",IF(AND(FP561&gt;0,FL561&lt;4),"Interior Daylight Dimming",FK561))</f>
        <v>#N/A</v>
      </c>
      <c r="FO561" s="1364">
        <f>IF(CO561="Interior",VLOOKUP(CP561,Control_Savings_Interior,5,FALSE),0)</f>
        <v>0</v>
      </c>
      <c r="FP561" s="1361">
        <f>IF(CN561="Exterior",0,IF(FJ561=2,0.5,IF(OR(FJ561=1,FJ561=3),1,0)))</f>
        <v>0</v>
      </c>
      <c r="FQ561" s="1366"/>
      <c r="FR561" s="1367"/>
      <c r="FS561" s="1364"/>
      <c r="FT561" s="1367"/>
      <c r="FU561" s="1360"/>
      <c r="FW561" s="1352" t="str">
        <f>IFERROR(VLOOKUP(U562,_Exist_Fixture_Table,3,FALSE),"")</f>
        <v/>
      </c>
      <c r="FX561" s="1352" t="str">
        <f>VLOOKUP(CT561,_Exist_Fixture_Table,4,FALSE)</f>
        <v/>
      </c>
      <c r="FY561" s="1352">
        <f>IFERROR(VLOOKUP(FX561,Lookup!AM$6:AN$8,2,FALSE),0)</f>
        <v>0</v>
      </c>
      <c r="FZ561" s="1352" t="b">
        <f>IFERROR(IF(OR(GB561=4,GB561=5,GB561=6),TRUE,FALSE),"")</f>
        <v>0</v>
      </c>
      <c r="GA561" s="1352" t="str">
        <f>IFERROR(VLOOKUP(GB561,FY$6:FZ$10,2,FALSE),"")</f>
        <v/>
      </c>
      <c r="GB561" s="1352" t="str">
        <f>VLOOKUP(CT563,Fixtures!R$31:Y$78,8,FALSE)</f>
        <v/>
      </c>
      <c r="GC561" s="1352">
        <f>IF(AND(FW561=TRUE,FZ561=TRUE,OR(DN561=12,DN561=13,DN561=14)),FY561+8,0)</f>
        <v>0</v>
      </c>
      <c r="GD561" s="1352" t="b">
        <f>IF(OR(GC561=12,GC561=13,GC561=14),TRUE,FALSE)</f>
        <v>0</v>
      </c>
      <c r="GE561" s="759" t="b">
        <f>IF(ISNUMBER(SEARCH("TLED",U562)),TRUE,FALSE)</f>
        <v>0</v>
      </c>
      <c r="GF561" s="1035" t="str">
        <f>IFERROR(VLOOKUP(U562,Fixtures!BM$93:BR$142,6,FALSE),"")</f>
        <v/>
      </c>
      <c r="GG561" s="1385" t="b">
        <f>IF(OR(GE561=FALSE,GE563=FALSE),TRUE,IF(GF561-GF563&lt;5,FALSE,TRUE))</f>
        <v>1</v>
      </c>
      <c r="GK561" s="1034">
        <f>GL561</f>
        <v>0</v>
      </c>
      <c r="GL561" s="1034">
        <f>IF(G561="",0,1)</f>
        <v>0</v>
      </c>
      <c r="GM561" s="1034">
        <f>SUM(GN561:HB561)</f>
        <v>2</v>
      </c>
      <c r="GN561" s="1034">
        <f>IF(G562="",0,1)</f>
        <v>0</v>
      </c>
      <c r="GO561" s="1034">
        <f>IF(G563="",0,1)</f>
        <v>0</v>
      </c>
      <c r="GP561" s="1034">
        <f>IF(R562="",0,1)</f>
        <v>0</v>
      </c>
      <c r="GQ561" s="1034">
        <f>IF(__Retrofit_TI_NC=0,1,IF(R563="",0,1))</f>
        <v>1</v>
      </c>
      <c r="GR561" s="1034">
        <f>IF(CN561="Exterior",1,IF(G564="",0,1))</f>
        <v>1</v>
      </c>
      <c r="GS561" s="1034">
        <f>IF(__Retrofit_TI_NC&lt;&gt;0,1,IF(T562="",0,1))</f>
        <v>0</v>
      </c>
      <c r="GT561" s="1034">
        <f>IF(__Retrofit_TI_NC&lt;&gt;0,1,IF(U562="",0,1))</f>
        <v>0</v>
      </c>
      <c r="GU561" s="1034">
        <f>IF(T563="",0,1)</f>
        <v>0</v>
      </c>
      <c r="GV561" s="1034">
        <f>IF(U563="",0,1)</f>
        <v>0</v>
      </c>
      <c r="GW561" s="1034">
        <f>IF(__Retrofit_TI_NC=2,1,IF(U564="",0,1))</f>
        <v>0</v>
      </c>
      <c r="GX561" s="1034">
        <f>IF(__Retrofit_TI_NC&lt;&gt;0,1,IF(AE562="",0,1))</f>
        <v>0</v>
      </c>
      <c r="GY561" s="1034">
        <f>IF(__Retrofit_TI_NC&lt;&gt;0,1,IF(AF562="",0,1))</f>
        <v>0</v>
      </c>
      <c r="GZ561" s="1034">
        <f>IF(AE563="",0,1)</f>
        <v>0</v>
      </c>
      <c r="HA561" s="1034">
        <f>IF(AF563="",0,1)</f>
        <v>0</v>
      </c>
      <c r="HB561" s="1034">
        <f>IF(__Retrofit_TI_NC=2,1,IF(AF564="",0,1))</f>
        <v>0</v>
      </c>
      <c r="HV561" s="436"/>
      <c r="HW561" s="1384" t="b">
        <f>IF(OR(HW564=0,HW564=HT$16,HW564=HS$16,HW564=HU$16),TRUE,FALSE)</f>
        <v>0</v>
      </c>
      <c r="HX561" s="1377" t="b">
        <f>HW561</f>
        <v>0</v>
      </c>
      <c r="HY561" s="436"/>
      <c r="HZ561" s="436"/>
      <c r="IA561" s="1386" t="b">
        <f>IF(MAX(GJ564:HP564)&gt;5,FALSE,TRUE)</f>
        <v>0</v>
      </c>
      <c r="IB561" s="1380">
        <f>IF(IA561=TRUE,AC561,0)</f>
        <v>0</v>
      </c>
      <c r="IC561" s="1380">
        <f>IB561-IB563</f>
        <v>0</v>
      </c>
      <c r="IF561" s="1380" t="e">
        <f>ROUND(T562*VLOOKUP(U562,Fixtures_Existing_List,2,FALSE)*N562*R562/1000,0)</f>
        <v>#N/A</v>
      </c>
      <c r="IG561" s="1381" t="e">
        <f>IF561-IF563</f>
        <v>#N/A</v>
      </c>
      <c r="IH561" s="1384" t="e">
        <f>ROUND(IF(CN561="Interior",N563*R563*R562*N562*_C406_reduction/1000,N563*R563*R562*N562/1000),0)</f>
        <v>#N/A</v>
      </c>
      <c r="II561" s="1384" t="e">
        <f>IH561-IH563</f>
        <v>#N/A</v>
      </c>
      <c r="IK561" s="1351" t="e">
        <f>IF($CO561="interior",IL561/2,VLOOKUP($CP561,Control_Savings_Exterior,IK$30,FALSE))</f>
        <v>#N/A</v>
      </c>
      <c r="IL561" s="1351" t="e">
        <f>IF($CO561="interior",VLOOKUP($CP561,Control_Savings_Interior,IL$30,FALSE),VLOOKUP($CP561,Control_Savings_Exterior,IL$30,FALSE))</f>
        <v>#N/A</v>
      </c>
      <c r="IM561" s="1351" t="e">
        <f>IF($CO561="interior",IF(R562&gt;FO$37,(IM$28*(FO$37/R562)),IM$28)*FP561,VLOOKUP($CP561,Control_Savings_Exterior,IM$30,FALSE))</f>
        <v>#N/A</v>
      </c>
      <c r="IN561" s="1351" t="e">
        <f>IF($CO561="interior",ROUND(((1-IL561)*IM561)+IL561,2),VLOOKUP($CP561,Control_Savings_Exterior,IN$30,FALSE))</f>
        <v>#N/A</v>
      </c>
      <c r="IO561" s="1351" t="e">
        <f>IF($CO561="interior", ROUND(((1-IL561)*(IM561*(1-IP$28)))+IP561,2), VLOOKUP($CP561,Control_Savings_Exterior,IO$30,FALSE))</f>
        <v>#N/A</v>
      </c>
      <c r="IP561" s="1351">
        <f>IF($CO561="interior",ROUND(((1-IL561)*IP$28)+IL561,2),0)</f>
        <v>0</v>
      </c>
    </row>
    <row r="562" spans="1:250" s="82" customFormat="1" ht="14.95" customHeight="1" thickTop="1" thickBot="1">
      <c r="B562" s="1421"/>
      <c r="C562" s="1422"/>
      <c r="D562" s="1423"/>
      <c r="E562" s="1393" t="s">
        <v>244</v>
      </c>
      <c r="F562" s="1394"/>
      <c r="G562" s="1395"/>
      <c r="H562" s="1395"/>
      <c r="I562" s="1395"/>
      <c r="J562" s="1395"/>
      <c r="K562" s="1395"/>
      <c r="L562" s="1395"/>
      <c r="M562" s="509" t="e">
        <f>IF(__Retrofit_TI_NC&lt;&gt;0,IF(VLOOKUP(G563,'Space Table'!$B$3:$L$160,3,FALSE)&gt;0,1,0),IF(__Retrofit_TI_NC=VLOOKUP(G563,'Space Table'!$B$3:$L$160,3,FALSE),1,0))</f>
        <v>#N/A</v>
      </c>
      <c r="N562" s="509" t="str">
        <f>IFERROR(VLOOKUP(G562,_Lookup_Heat_Type_Table_New,2,FALSE),"")</f>
        <v/>
      </c>
      <c r="O562" s="509">
        <f>IF(__Retrofit_TI_NC=1,CONCATENATE("TI ",G562),IF(__Retrofit_TI_NC=2,CONCATENATE("NC ",G562),G562))</f>
        <v>0</v>
      </c>
      <c r="P562" s="1396" t="s">
        <v>352</v>
      </c>
      <c r="Q562" s="1396"/>
      <c r="R562" s="673"/>
      <c r="S562" s="1429"/>
      <c r="T562" s="675"/>
      <c r="U562" s="1496"/>
      <c r="V562" s="1497"/>
      <c r="W562" s="1497"/>
      <c r="X562" s="1497"/>
      <c r="Y562" s="1497"/>
      <c r="Z562" s="1497"/>
      <c r="AA562" s="1497"/>
      <c r="AB562" s="1497"/>
      <c r="AC562" s="1497"/>
      <c r="AD562" s="1498"/>
      <c r="AE562" s="675"/>
      <c r="AF562" s="1397"/>
      <c r="AG562" s="1397"/>
      <c r="AH562" s="1397"/>
      <c r="AI562" s="1397"/>
      <c r="AJ562" s="1434"/>
      <c r="AK562" s="1436"/>
      <c r="AL562" s="1438"/>
      <c r="AM562" s="1441"/>
      <c r="AN562" s="1442"/>
      <c r="AO562" s="1447"/>
      <c r="AP562" s="1447"/>
      <c r="AQ562" s="1448"/>
      <c r="AR562" s="1452"/>
      <c r="AS562" s="1455"/>
      <c r="AT562" s="1458"/>
      <c r="AU562" s="516"/>
      <c r="AV562" s="1479"/>
      <c r="AW562" s="1479"/>
      <c r="BC562" s="38"/>
      <c r="BD562" s="38"/>
      <c r="BE562" s="38"/>
      <c r="BF562" s="38"/>
      <c r="BG562" s="38"/>
      <c r="BH562" s="38"/>
      <c r="BI562" s="38"/>
      <c r="BJ562" s="38"/>
      <c r="BK562" s="38"/>
      <c r="BL562" s="38"/>
      <c r="BM562" s="38"/>
      <c r="BN562" s="38"/>
      <c r="BO562" s="38"/>
      <c r="BP562" s="38"/>
      <c r="BQ562" s="38"/>
      <c r="BR562" s="38"/>
      <c r="BS562" s="38"/>
      <c r="BT562" s="38"/>
      <c r="BU562" s="38"/>
      <c r="BV562" s="38"/>
      <c r="BW562" s="38"/>
      <c r="BX562" s="38"/>
      <c r="BY562" s="38"/>
      <c r="BZ562" s="38"/>
      <c r="CA562" s="38"/>
      <c r="CB562" s="38"/>
      <c r="CC562" s="38"/>
      <c r="CD562" s="38"/>
      <c r="CE562" s="38"/>
      <c r="CF562" s="38"/>
      <c r="CG562" s="38"/>
      <c r="CH562" s="38"/>
      <c r="CI562" s="38"/>
      <c r="CM562" s="1352"/>
      <c r="CN562" s="1352"/>
      <c r="CO562" s="1416"/>
      <c r="CP562" s="1418"/>
      <c r="CR562" s="1386"/>
      <c r="CS562" s="1355"/>
      <c r="CT562" s="1355"/>
      <c r="CU562" s="1355"/>
      <c r="CV562" s="1372"/>
      <c r="CW562" s="1372"/>
      <c r="CX562" s="1371"/>
      <c r="CY562" s="1486"/>
      <c r="CZ562" s="1486"/>
      <c r="DA562" s="1486"/>
      <c r="DC562" s="1355"/>
      <c r="DD562" s="1461"/>
      <c r="DE562" s="1355"/>
      <c r="DF562" s="1407"/>
      <c r="DG562" s="1372"/>
      <c r="DH562" s="1369"/>
      <c r="DJ562" s="1484"/>
      <c r="DL562" s="1419"/>
      <c r="DN562" s="1403"/>
      <c r="DO562" s="1405"/>
      <c r="DP562" s="1354"/>
      <c r="DQ562" s="1405"/>
      <c r="DR562" s="1403"/>
      <c r="DS562" s="1489"/>
      <c r="DU562" s="1403"/>
      <c r="DV562" s="1405"/>
      <c r="DW562" s="1403"/>
      <c r="DX562" s="1403"/>
      <c r="DZ562" s="1481"/>
      <c r="EA562" s="1481"/>
      <c r="EC562" s="1482"/>
      <c r="ED562" s="1369"/>
      <c r="EE562" s="1371"/>
      <c r="EF562" s="1369"/>
      <c r="EG562" s="1369"/>
      <c r="EH562" s="1374"/>
      <c r="EI562" s="1374"/>
      <c r="EJ562" s="1363"/>
      <c r="EK562" s="1376"/>
      <c r="EL562" s="1376"/>
      <c r="EM562" s="1362"/>
      <c r="EN562" s="1362"/>
      <c r="EO562" s="1363"/>
      <c r="EP562" s="1363"/>
      <c r="EQ562" s="1363"/>
      <c r="ES562" s="1403"/>
      <c r="EU562" s="1411"/>
      <c r="EV562" s="1411"/>
      <c r="EW562" s="1411"/>
      <c r="EX562" s="1411"/>
      <c r="EY562" s="1411"/>
      <c r="EZ562" s="1413"/>
      <c r="FB562" s="1365"/>
      <c r="FD562" s="1354"/>
      <c r="FE562" s="1354"/>
      <c r="FF562" s="138"/>
      <c r="FI562" s="1357"/>
      <c r="FJ562" s="1357"/>
      <c r="FK562" s="1365"/>
      <c r="FL562" s="1365"/>
      <c r="FM562" s="1365"/>
      <c r="FO562" s="1361"/>
      <c r="FP562" s="1361"/>
      <c r="FQ562" s="1366"/>
      <c r="FR562" s="1368"/>
      <c r="FS562" s="1361"/>
      <c r="FT562" s="1368"/>
      <c r="FU562" s="1360"/>
      <c r="FW562" s="1352"/>
      <c r="FX562" s="1352"/>
      <c r="FY562" s="1352"/>
      <c r="FZ562" s="1352"/>
      <c r="GA562" s="1352"/>
      <c r="GB562" s="1352"/>
      <c r="GC562" s="1352"/>
      <c r="GD562" s="1352"/>
      <c r="GE562" s="759"/>
      <c r="GF562" s="1035"/>
      <c r="GG562" s="1385"/>
      <c r="GI562" s="1384" t="b">
        <f>IF(AND(GL562=TRUE,GM562=TRUE),TRUE,FALSE)</f>
        <v>0</v>
      </c>
      <c r="GJ562" s="1379" t="b">
        <f>IFERROR(IF(__Retrofit_TI_NC=2,TRUE,IF(AR561="Yes",TRUE,FALSE)),FALSE)</f>
        <v>1</v>
      </c>
      <c r="GL562" s="1379" t="b">
        <f>IFERROR(IF(GL561=1,TRUE,FALSE),FALSE)</f>
        <v>0</v>
      </c>
      <c r="GM562" s="1379" t="b">
        <f>IFERROR(IF(GM561=GM$14,TRUE,FALSE),FALSE)</f>
        <v>0</v>
      </c>
      <c r="HC562" s="1379" t="b">
        <f>IFERROR(IF(M562=1,TRUE,FALSE),FALSE)</f>
        <v>0</v>
      </c>
      <c r="HD562" s="1379" t="b">
        <f>IFERROR(IF(M563=1,TRUE,FALSE),FALSE)</f>
        <v>0</v>
      </c>
      <c r="HE562" s="1379" t="b">
        <f>IFERROR(IF(__Retrofit_TI_NC&lt;&gt;0,TRUE,IFERROR(IF(VLOOKUP(U562,Fixtures_Existing_List,2,FALSE)&lt;&gt;"",TRUE,FALSE),FALSE)),FALSE)</f>
        <v>0</v>
      </c>
      <c r="HF562" s="1379" t="b">
        <f>IFERROR(IF(VLOOKUP(U563,Fixtures_Proposed_List,2,FALSE)&lt;&gt;"",TRUE,FALSE),FALSE)</f>
        <v>0</v>
      </c>
      <c r="HG562" s="1379" t="b">
        <f>IF(AND(__Retrofit_TI_NC=2,EZ561=TRUE),FALSE,TRUE)</f>
        <v>1</v>
      </c>
      <c r="HH562" s="1379" t="b">
        <f>GG561</f>
        <v>1</v>
      </c>
      <c r="HI562" s="1384" t="b">
        <f>IF(ISERROR(MATCH(FB561,_Control_Match[],0))=TRUE,FALSE,TRUE)</f>
        <v>0</v>
      </c>
      <c r="HJ562" s="1384" t="b">
        <f>IFERROR(IF(EU561&lt;&gt;EV561,FALSE,TRUE),FALSE)</f>
        <v>0</v>
      </c>
      <c r="HK562" s="1384" t="b">
        <f>IFERROR(IF(EU563&lt;&gt;EV563,FALSE,TRUE),FALSE)</f>
        <v>0</v>
      </c>
      <c r="HL562" s="1379" t="b">
        <f>IFERROR(IF(CN561="Exterior",TRUE,IF(OR(AND(FJ561=0,EW563&gt;4),AND(FJ561=4,EW563&gt;4,EW563&lt;7)),FALSE,TRUE)),FALSE)</f>
        <v>0</v>
      </c>
      <c r="HM562" s="1379" t="b">
        <f>IFERROR(IF(AND(FL563=7,EZ561=TRUE),FALSE,TRUE),FALSE)</f>
        <v>0</v>
      </c>
      <c r="HN562" s="1379" t="b">
        <f>IFERROR(IF(AND(T563&lt;&gt;AE563,AF563="Interior LLLC")=TRUE,FALSE,TRUE),FALSE)</f>
        <v>1</v>
      </c>
      <c r="HO562" s="1379" t="b">
        <f>IFERROR(IF(OR(AF563=Lookup!AU$13,AF563=Lookup!AU$14)=TRUE,IF(AE563&gt;T563,FALSE,TRUE),TRUE),FALSE)</f>
        <v>1</v>
      </c>
      <c r="HP562" s="1379" t="b">
        <f>IFERROR(IF(__Retrofit_TI_NC=2,IF(EW563&lt;EW561,FALSE,TRUE),TRUE),FALSE)</f>
        <v>1</v>
      </c>
      <c r="HQ562" s="1379" t="b">
        <f>IF(CN561="Interior",IG$6,TRUE)</f>
        <v>1</v>
      </c>
      <c r="HR562" s="1379" t="b">
        <f>IF(CN561="Exterior",IG$8,TRUE)</f>
        <v>1</v>
      </c>
      <c r="HS562" s="1379" t="b">
        <f>IFERROR(IF(__Retrofit_TI_NC&lt;&gt;0,IF(AW561&lt;AV561,FALSE,TRUE),TRUE),FALSE)</f>
        <v>1</v>
      </c>
      <c r="HT562" s="1379" t="b">
        <f>IFERROR(IF(AND(G562="Exterior",R562&gt;4200),FALSE,TRUE),FALSE)</f>
        <v>1</v>
      </c>
      <c r="HU562" s="1379" t="b">
        <f>IFERROR(IF(AB564/AB561&lt;HU$18,FALSE,TRUE),FALSE)</f>
        <v>0</v>
      </c>
      <c r="HW562" s="1382"/>
      <c r="HX562" s="1378"/>
      <c r="HY562" s="1377" t="str">
        <f>VLOOKUP(HW564,_Error_Table,4,FALSE)</f>
        <v>White</v>
      </c>
      <c r="HZ562" s="436"/>
      <c r="IA562" s="1386"/>
      <c r="IB562" s="1380"/>
      <c r="IC562" s="1379"/>
      <c r="IF562" s="1380"/>
      <c r="IG562" s="1382"/>
      <c r="IH562" s="1382"/>
      <c r="II562" s="1382"/>
      <c r="IK562" s="1351"/>
      <c r="IL562" s="1351"/>
      <c r="IM562" s="1351"/>
      <c r="IN562" s="1351"/>
      <c r="IO562" s="1351"/>
      <c r="IP562" s="1351"/>
    </row>
    <row r="563" spans="1:250" s="82" customFormat="1" ht="14.95" customHeight="1" thickTop="1" thickBot="1">
      <c r="A563" s="82">
        <f>ROW()</f>
        <v>563</v>
      </c>
      <c r="B563" s="1421"/>
      <c r="C563" s="1422"/>
      <c r="D563" s="1423"/>
      <c r="E563" s="1393" t="s">
        <v>245</v>
      </c>
      <c r="F563" s="1394"/>
      <c r="G563" s="1398"/>
      <c r="H563" s="1399"/>
      <c r="I563" s="1399"/>
      <c r="J563" s="1399"/>
      <c r="K563" s="1399"/>
      <c r="L563" s="1400"/>
      <c r="M563" s="509">
        <f>IFERROR(IF(IF(__Retrofit_TI_NC&lt;&gt;0,IF(CN561="Interior",MATCH(G563,Lookup_Interior_New,0),MATCH(G563,Lookup_Exterior_New,0)),IF(CN561="Interior",MATCH(G563,Lookup_Interior,0),MATCH(G563,Lookup_Exterior_Areas,0)))&gt;0,1,0),0)</f>
        <v>0</v>
      </c>
      <c r="N563" s="509" t="e">
        <f>IF(__Retrofit_TI_NC=1,
VLOOKUP(G563,'Space Table'!$B$3:$L$160,4,FALSE),
IF(__Retrofit_TI_NC=2,VLOOKUP(G563,'Space Table'!$B$3:$L$160,5,FALSE),VLOOKUP(G563,'Space Table'!$B$3:$L$160,5,FALSE)))</f>
        <v>#N/A</v>
      </c>
      <c r="O563" s="509">
        <f>G563</f>
        <v>0</v>
      </c>
      <c r="P563" s="1394" t="s">
        <v>355</v>
      </c>
      <c r="Q563" s="1394"/>
      <c r="R563" s="674"/>
      <c r="S563" s="1401" t="s">
        <v>284</v>
      </c>
      <c r="T563" s="672"/>
      <c r="U563" s="1499"/>
      <c r="V563" s="1500"/>
      <c r="W563" s="1500"/>
      <c r="X563" s="1500"/>
      <c r="Y563" s="1500"/>
      <c r="Z563" s="1500"/>
      <c r="AA563" s="1500"/>
      <c r="AB563" s="1501"/>
      <c r="AC563" s="1501"/>
      <c r="AD563" s="1502"/>
      <c r="AE563" s="672"/>
      <c r="AF563" s="1474"/>
      <c r="AG563" s="1474"/>
      <c r="AH563" s="1474"/>
      <c r="AI563" s="1474"/>
      <c r="AJ563" s="1475">
        <f>DF563</f>
        <v>0</v>
      </c>
      <c r="AK563" s="1470" t="str">
        <f>IFERROR(ROUND(AJ563*AC564,0),"")</f>
        <v/>
      </c>
      <c r="AL563" s="1472">
        <f>IFERROR(IF(HW561=FALSE,0,AC564-AK563),0)</f>
        <v>0</v>
      </c>
      <c r="AM563" s="1441"/>
      <c r="AN563" s="1442"/>
      <c r="AO563" s="1447"/>
      <c r="AP563" s="1447"/>
      <c r="AQ563" s="1448"/>
      <c r="AR563" s="1452"/>
      <c r="AS563" s="1455"/>
      <c r="AT563" s="1458"/>
      <c r="AU563" s="516"/>
      <c r="AV563" s="1479"/>
      <c r="AW563" s="1479"/>
      <c r="BC563" s="38"/>
      <c r="BD563" s="38"/>
      <c r="BE563" s="38"/>
      <c r="BF563" s="38"/>
      <c r="BG563" s="38"/>
      <c r="BH563" s="38"/>
      <c r="BI563" s="38"/>
      <c r="BJ563" s="38"/>
      <c r="BK563" s="38"/>
      <c r="BL563" s="38"/>
      <c r="BM563" s="38"/>
      <c r="BN563" s="38"/>
      <c r="BO563" s="38"/>
      <c r="BP563" s="38"/>
      <c r="BQ563" s="38"/>
      <c r="BR563" s="38"/>
      <c r="BS563" s="38"/>
      <c r="BT563" s="38"/>
      <c r="BU563" s="38"/>
      <c r="BV563" s="38"/>
      <c r="BW563" s="38"/>
      <c r="BX563" s="38"/>
      <c r="BY563" s="38"/>
      <c r="BZ563" s="38"/>
      <c r="CA563" s="38"/>
      <c r="CB563" s="38"/>
      <c r="CC563" s="38"/>
      <c r="CD563" s="38"/>
      <c r="CE563" s="38"/>
      <c r="CF563" s="38"/>
      <c r="CG563" s="38"/>
      <c r="CH563" s="38"/>
      <c r="CI563" s="38"/>
      <c r="CM563" s="1352"/>
      <c r="CN563" s="1352"/>
      <c r="CO563" s="1415" t="str">
        <f>CN561</f>
        <v/>
      </c>
      <c r="CP563" s="1417" t="e">
        <f>CP561</f>
        <v>#N/A</v>
      </c>
      <c r="CR563" s="1386" t="s">
        <v>284</v>
      </c>
      <c r="CS563" s="1353">
        <f>IF(HW561=TRUE,T563,0)</f>
        <v>0</v>
      </c>
      <c r="CT563" s="1353" t="str">
        <f>IF(HW561=TRUE,U563,"")</f>
        <v/>
      </c>
      <c r="CU563" s="1373">
        <f>IF(HW561=TRUE,U564,0)</f>
        <v>0</v>
      </c>
      <c r="CV563" s="1370">
        <f>IF(HW561=TRUE,AB564,0)</f>
        <v>0</v>
      </c>
      <c r="CW563" s="1370">
        <f>IF(HW561=TRUE,AC564,0)</f>
        <v>0</v>
      </c>
      <c r="CX563" s="1371"/>
      <c r="CY563" s="1486"/>
      <c r="CZ563" s="1486"/>
      <c r="DA563" s="1486"/>
      <c r="DC563" s="1353">
        <f>IF(HW561=TRUE,AE563,0)</f>
        <v>0</v>
      </c>
      <c r="DD563" s="1353" t="str">
        <f>IF(HW561=TRUE,AF563,"")</f>
        <v/>
      </c>
      <c r="DE563" s="1373">
        <f>AF564</f>
        <v>0</v>
      </c>
      <c r="DF563" s="1406">
        <f>IFERROR(IF(FL563=3,IK563,IF(FL563=4,IL563,IF(FL563=5,IM563,IF(FL563=6,IN563,IF(FL563=7,IO563,IF(FL563=8,IP563,0)))))),0)</f>
        <v>0</v>
      </c>
      <c r="DG563" s="1370">
        <f>IF(HW561=TRUE,AK563,0)</f>
        <v>0</v>
      </c>
      <c r="DH563" s="1369"/>
      <c r="DK563" s="1483">
        <f>IFERROR(CW563-DG563,0)</f>
        <v>0</v>
      </c>
      <c r="DL563" s="1420"/>
      <c r="DN563" s="1403"/>
      <c r="DO563" s="1477" t="str">
        <f>DN561</f>
        <v/>
      </c>
      <c r="DP563" s="1354"/>
      <c r="DQ563" s="1477" t="str">
        <f>IF(DP561=7,"LLLC","")</f>
        <v/>
      </c>
      <c r="DR563" s="1403"/>
      <c r="DS563" s="1489"/>
      <c r="DU563" s="1403"/>
      <c r="DV563" s="1404" t="str">
        <f>DU561</f>
        <v/>
      </c>
      <c r="DW563" s="1403"/>
      <c r="DX563" s="1403"/>
      <c r="DZ563" s="1481"/>
      <c r="EA563" s="1481"/>
      <c r="EC563" s="1482"/>
      <c r="ED563" s="1369"/>
      <c r="EE563" s="1371"/>
      <c r="EF563" s="1369"/>
      <c r="EG563" s="1369"/>
      <c r="EH563" s="1374"/>
      <c r="EI563" s="1374"/>
      <c r="EJ563" s="1363"/>
      <c r="EK563" s="1376"/>
      <c r="EL563" s="1376"/>
      <c r="EM563" s="1362"/>
      <c r="EN563" s="1362"/>
      <c r="EO563" s="1363"/>
      <c r="EP563" s="1363"/>
      <c r="EQ563" s="1363"/>
      <c r="ES563" s="1403"/>
      <c r="EU563" s="1411" t="e">
        <f>VLOOKUP(CP563,'Space Table'!$B$3:$L$160,8,FALSE)</f>
        <v>#N/A</v>
      </c>
      <c r="EV563" s="1411" t="e">
        <f>IF(EY563="Yes",VLOOKUP(AF563,Lookup_Control_Type_Table2,4,FALSE),VLOOKUP(AF563,Lookup_Control_Type_Table2,3,FALSE))</f>
        <v>#N/A</v>
      </c>
      <c r="EW563" s="1411" t="e">
        <f>VLOOKUP(AF563,Lookup!AU$3:AV$15,2,FALSE)</f>
        <v>#N/A</v>
      </c>
      <c r="EX563" s="1411" t="e">
        <f>VLOOKUP(EU561,Lookup_Control_Type_Table,2,FALSE)</f>
        <v>#N/A</v>
      </c>
      <c r="EY563" s="1411" t="e">
        <f>VLOOKUP(CP563,'Space Table'!$B$3:$L$160,7,FALSE)</f>
        <v>#N/A</v>
      </c>
      <c r="EZ563" s="1413"/>
      <c r="FB563" s="1365" t="str">
        <f>CONCATENATE(CN561," - ",AF563)</f>
        <v xml:space="preserve"> - </v>
      </c>
      <c r="FD563" s="1354"/>
      <c r="FE563" s="1354"/>
      <c r="FF563" s="138"/>
      <c r="FI563" s="1356" t="str">
        <f>IF(CN561="Exterior","Not Daylighted",G564)</f>
        <v>Not Daylighted</v>
      </c>
      <c r="FJ563" s="1356">
        <f>VLOOKUP(FI563,_Daylight_Table_Codes,2,FALSE)</f>
        <v>0</v>
      </c>
      <c r="FK563" s="1365">
        <f>AF563</f>
        <v>0</v>
      </c>
      <c r="FL563" s="1365" t="e">
        <f>VLOOKUP(FK563,_Control_Table,2,FALSE)</f>
        <v>#N/A</v>
      </c>
      <c r="FM563" s="1365" t="e">
        <f>IF(AND(FP563&gt;0,FK563="Occupancy Sensor"),"Daylight + Occupancy",IF(AND(FP563&gt;0,FL563&lt;4),"Interior Daylight Dimming",FK563))</f>
        <v>#N/A</v>
      </c>
      <c r="FO563" s="1364">
        <f>IF(CN561="Interior",VLOOKUP(CP561,Control_Savings_Interior,5,FALSE),0)</f>
        <v>0</v>
      </c>
      <c r="FP563" s="1361">
        <f>IF(CN563="Exterior",0,IF(FJ563=2,0.5,IF(OR(FJ563=1,FJ563=3),1,0)))</f>
        <v>0</v>
      </c>
      <c r="FQ563" s="1366">
        <f>IF(R562&gt;FO$37,(FO563*(FO$37/R562)),FO563)*FP563</f>
        <v>0</v>
      </c>
      <c r="FR563" s="1364">
        <f>DF563</f>
        <v>0</v>
      </c>
      <c r="FS563" s="1364">
        <f>ROUND(FR563+((1-FR563)*FQ563),2)</f>
        <v>0</v>
      </c>
      <c r="FT563" s="1364">
        <f>IF(__Retrofit_TI_NC=2,FS563,FR563)</f>
        <v>0</v>
      </c>
      <c r="FU563" s="1360">
        <f>IF(CO563="Interior",VLOOKUP(CP563,Control_Savings_Interior,4,FALSE),0)</f>
        <v>0</v>
      </c>
      <c r="FW563" s="1352"/>
      <c r="FX563" s="1352"/>
      <c r="FY563" s="1352"/>
      <c r="FZ563" s="1352"/>
      <c r="GA563" s="1352"/>
      <c r="GB563" s="1352"/>
      <c r="GC563" s="1352"/>
      <c r="GD563" s="1352"/>
      <c r="GE563" s="759" t="b">
        <f>IF(ISNUMBER(SEARCH("TLED",U563)),TRUE,FALSE)</f>
        <v>0</v>
      </c>
      <c r="GF563" s="1035" t="str">
        <f>IFERROR(VLOOKUP(U563,Fixtures!DM$93:DR$142,6,FALSE),"")</f>
        <v/>
      </c>
      <c r="GG563" s="1385"/>
      <c r="GI563" s="1383"/>
      <c r="GJ563" s="1379"/>
      <c r="GL563" s="1379"/>
      <c r="GM563" s="1379"/>
      <c r="HC563" s="1379"/>
      <c r="HD563" s="1379"/>
      <c r="HE563" s="1379"/>
      <c r="HF563" s="1379"/>
      <c r="HG563" s="1379"/>
      <c r="HH563" s="1379"/>
      <c r="HI563" s="1383"/>
      <c r="HJ563" s="1383"/>
      <c r="HK563" s="1383"/>
      <c r="HL563" s="1379"/>
      <c r="HM563" s="1379"/>
      <c r="HN563" s="1379"/>
      <c r="HO563" s="1379"/>
      <c r="HP563" s="1379"/>
      <c r="HQ563" s="1379"/>
      <c r="HR563" s="1379"/>
      <c r="HS563" s="1379"/>
      <c r="HT563" s="1379"/>
      <c r="HU563" s="1379"/>
      <c r="HW563" s="1383"/>
      <c r="HX563" s="1384" t="b">
        <f>HW561</f>
        <v>0</v>
      </c>
      <c r="HY563" s="1378"/>
      <c r="HZ563" s="436"/>
      <c r="IA563" s="1386"/>
      <c r="IB563" s="1380">
        <f>IF(IA561=TRUE,AC564,0)</f>
        <v>0</v>
      </c>
      <c r="IC563" s="1379"/>
      <c r="IF563" s="1380" t="e">
        <f>ROUND(T563*AB564*N562*R562/1000,0)</f>
        <v>#VALUE!</v>
      </c>
      <c r="IG563" s="1382"/>
      <c r="IH563" s="1384" t="e">
        <f>ROUND(T563*AB564*N562*R562/1000,0)</f>
        <v>#VALUE!</v>
      </c>
      <c r="II563" s="1382"/>
      <c r="IK563" s="1351" t="e">
        <f>IF($CO563="interior",IL563/2,VLOOKUP($CP563,Control_Savings_Exterior,IK$30,FALSE))</f>
        <v>#N/A</v>
      </c>
      <c r="IL563" s="1351" t="e">
        <f>IF($CO563="interior",VLOOKUP($CP563,Control_Savings_Interior,IL$30,FALSE),VLOOKUP($CP563,Control_Savings_Exterior,IL$30,FALSE))</f>
        <v>#N/A</v>
      </c>
      <c r="IM563" s="1351" t="e">
        <f>IF($CO563="interior",IF(R562&gt;FO$37,(IM$28*(FO$37/R562)),IM$28)*FP563,VLOOKUP($CP563,Control_Savings_Exterior,IM$30,FALSE))</f>
        <v>#N/A</v>
      </c>
      <c r="IN563" s="1351" t="e">
        <f>IF($CO563="interior",ROUND(((1-IL563)*IM563)+IL563,2),VLOOKUP($CP563,Control_Savings_Exterior,IN$30,FALSE))</f>
        <v>#N/A</v>
      </c>
      <c r="IO563" s="1351" t="e">
        <f>IF($CO563="interior", ROUND(((1-IL563)*(IM563*(1-IP$28)))+IP563,2), VLOOKUP($CP563,Control_Savings_Exterior,IO$30,FALSE))</f>
        <v>#N/A</v>
      </c>
      <c r="IP563" s="1351">
        <f>IF($CO563="interior",ROUND(((1-IL563)*IP$28)+IL563,2),0)</f>
        <v>0</v>
      </c>
    </row>
    <row r="564" spans="1:250" s="82" customFormat="1" ht="14.95" customHeight="1" thickTop="1" thickBot="1">
      <c r="B564" s="1421"/>
      <c r="C564" s="1422"/>
      <c r="D564" s="1423"/>
      <c r="E564" s="1462" t="s">
        <v>357</v>
      </c>
      <c r="F564" s="1463"/>
      <c r="G564" s="1464" t="s">
        <v>362</v>
      </c>
      <c r="H564" s="1465"/>
      <c r="I564" s="1465"/>
      <c r="J564" s="1465"/>
      <c r="K564" s="1465"/>
      <c r="L564" s="1466"/>
      <c r="M564" s="669">
        <f>IFERROR(VLOOKUP(G564,_Daylight_Table[],2,FALSE),0)</f>
        <v>0</v>
      </c>
      <c r="N564" s="670"/>
      <c r="O564" s="669" t="e">
        <f>VLOOKUP(G563,'Space Table'!$B$3:$L$160,11,FALSE)</f>
        <v>#N/A</v>
      </c>
      <c r="P564" s="1408"/>
      <c r="Q564" s="1409"/>
      <c r="R564" s="1409"/>
      <c r="S564" s="1402"/>
      <c r="T564" s="671" t="s">
        <v>281</v>
      </c>
      <c r="U564" s="1467" t="str">
        <f>IFERROR(VLOOKUP(U563,Fixtures!DM$93:DP$142,4,FALSE),"")</f>
        <v/>
      </c>
      <c r="V564" s="1468"/>
      <c r="W564" s="1468"/>
      <c r="X564" s="1468"/>
      <c r="Y564" s="1468"/>
      <c r="Z564" s="1468"/>
      <c r="AA564" s="1468"/>
      <c r="AB564" s="1046" t="str">
        <f>IFERROR(VLOOKUP(U563,Fixtures_Proposed_List,2,FALSE),"")</f>
        <v/>
      </c>
      <c r="AC564" s="1036" t="str">
        <f>IFERROR(ROUND(T563*AB564*N562*R562/1000,0),"")</f>
        <v/>
      </c>
      <c r="AD564" s="1037" t="str">
        <f>IFERROR(ROUND(T563*AB564/1000,2),"")</f>
        <v/>
      </c>
      <c r="AE564" s="1045" t="s">
        <v>281</v>
      </c>
      <c r="AF564" s="1469"/>
      <c r="AG564" s="1469"/>
      <c r="AH564" s="1469"/>
      <c r="AI564" s="1469"/>
      <c r="AJ564" s="1476"/>
      <c r="AK564" s="1471"/>
      <c r="AL564" s="1473"/>
      <c r="AM564" s="1443"/>
      <c r="AN564" s="1444"/>
      <c r="AO564" s="1449"/>
      <c r="AP564" s="1449"/>
      <c r="AQ564" s="1450"/>
      <c r="AR564" s="1453"/>
      <c r="AS564" s="1456"/>
      <c r="AT564" s="1459"/>
      <c r="AU564" s="517"/>
      <c r="AV564" s="1480"/>
      <c r="AW564" s="1480"/>
      <c r="BC564" s="38"/>
      <c r="BD564" s="38"/>
      <c r="BE564" s="38"/>
      <c r="BF564" s="38"/>
      <c r="BG564" s="38"/>
      <c r="BH564" s="38"/>
      <c r="BI564" s="38"/>
      <c r="BJ564" s="38"/>
      <c r="BK564" s="38"/>
      <c r="BL564" s="38"/>
      <c r="BM564" s="38"/>
      <c r="BN564" s="38"/>
      <c r="BO564" s="38"/>
      <c r="BP564" s="38"/>
      <c r="BQ564" s="38"/>
      <c r="BR564" s="38"/>
      <c r="BS564" s="38"/>
      <c r="BT564" s="38"/>
      <c r="BU564" s="38"/>
      <c r="BV564" s="38"/>
      <c r="BW564" s="38"/>
      <c r="BX564" s="38"/>
      <c r="BY564" s="38"/>
      <c r="BZ564" s="38"/>
      <c r="CA564" s="38"/>
      <c r="CB564" s="38"/>
      <c r="CC564" s="38"/>
      <c r="CD564" s="38"/>
      <c r="CE564" s="38"/>
      <c r="CF564" s="38"/>
      <c r="CG564" s="38"/>
      <c r="CH564" s="38"/>
      <c r="CI564" s="38"/>
      <c r="CM564" s="1352"/>
      <c r="CN564" s="1352"/>
      <c r="CO564" s="1416"/>
      <c r="CP564" s="1418"/>
      <c r="CR564" s="1386"/>
      <c r="CS564" s="1355"/>
      <c r="CT564" s="1355"/>
      <c r="CU564" s="1375"/>
      <c r="CV564" s="1372"/>
      <c r="CW564" s="1372"/>
      <c r="CX564" s="1372"/>
      <c r="CY564" s="1487"/>
      <c r="CZ564" s="1487"/>
      <c r="DA564" s="1487"/>
      <c r="DC564" s="1355"/>
      <c r="DD564" s="1355"/>
      <c r="DE564" s="1375"/>
      <c r="DF564" s="1407"/>
      <c r="DG564" s="1372"/>
      <c r="DH564" s="1369"/>
      <c r="DK564" s="1484"/>
      <c r="DL564" s="1420"/>
      <c r="DN564" s="1403"/>
      <c r="DO564" s="1405"/>
      <c r="DP564" s="1355"/>
      <c r="DQ564" s="1405"/>
      <c r="DR564" s="1403"/>
      <c r="DS564" s="1489"/>
      <c r="DU564" s="1403"/>
      <c r="DV564" s="1405"/>
      <c r="DW564" s="1403"/>
      <c r="DX564" s="1403"/>
      <c r="DZ564" s="1481"/>
      <c r="EA564" s="1481"/>
      <c r="EC564" s="1482"/>
      <c r="ED564" s="1369"/>
      <c r="EE564" s="1372"/>
      <c r="EF564" s="1369"/>
      <c r="EG564" s="1369"/>
      <c r="EH564" s="1375"/>
      <c r="EI564" s="1375"/>
      <c r="EJ564" s="1363"/>
      <c r="EK564" s="1376"/>
      <c r="EL564" s="1376"/>
      <c r="EM564" s="1362"/>
      <c r="EN564" s="1362"/>
      <c r="EO564" s="1363"/>
      <c r="EP564" s="1363"/>
      <c r="EQ564" s="1363"/>
      <c r="ES564" s="1403"/>
      <c r="EU564" s="1488"/>
      <c r="EV564" s="1488"/>
      <c r="EW564" s="1488"/>
      <c r="EX564" s="1488"/>
      <c r="EY564" s="1488"/>
      <c r="EZ564" s="1414"/>
      <c r="FB564" s="1365"/>
      <c r="FD564" s="1355"/>
      <c r="FE564" s="1355"/>
      <c r="FF564" s="138"/>
      <c r="FI564" s="1357"/>
      <c r="FJ564" s="1357"/>
      <c r="FK564" s="1365"/>
      <c r="FL564" s="1365"/>
      <c r="FM564" s="1365"/>
      <c r="FO564" s="1361"/>
      <c r="FP564" s="1361"/>
      <c r="FQ564" s="1366"/>
      <c r="FR564" s="1361"/>
      <c r="FS564" s="1361"/>
      <c r="FT564" s="1361"/>
      <c r="FU564" s="1360"/>
      <c r="FW564" s="1352"/>
      <c r="FX564" s="1352"/>
      <c r="FY564" s="1352"/>
      <c r="FZ564" s="1352"/>
      <c r="GA564" s="1352"/>
      <c r="GB564" s="1352"/>
      <c r="GC564" s="1352"/>
      <c r="GD564" s="1352"/>
      <c r="GE564" s="759"/>
      <c r="GF564" s="1035"/>
      <c r="GG564" s="1385"/>
      <c r="GJ564" s="1034">
        <f>IF(GJ562=TRUE,0,GJ$16)</f>
        <v>0</v>
      </c>
      <c r="GL564" s="1034">
        <f>IF(GL562=TRUE,0,GL$16)</f>
        <v>36</v>
      </c>
      <c r="GM564" s="1034">
        <f>IF(GM562=TRUE,0,GM$16)</f>
        <v>35</v>
      </c>
      <c r="GN564" s="436"/>
      <c r="GO564" s="436"/>
      <c r="GP564" s="436"/>
      <c r="GQ564" s="436"/>
      <c r="GR564" s="436"/>
      <c r="HC564" s="1034">
        <f t="shared" ref="HC564:HH564" si="414">IF(HC562=TRUE,0,HC$16)</f>
        <v>19</v>
      </c>
      <c r="HD564" s="1034">
        <f t="shared" si="414"/>
        <v>18</v>
      </c>
      <c r="HE564" s="1034">
        <f t="shared" si="414"/>
        <v>17</v>
      </c>
      <c r="HF564" s="1034">
        <f t="shared" si="414"/>
        <v>16</v>
      </c>
      <c r="HG564" s="1034">
        <f t="shared" si="414"/>
        <v>0</v>
      </c>
      <c r="HH564" s="1034">
        <f t="shared" si="414"/>
        <v>0</v>
      </c>
      <c r="HI564" s="1034">
        <f>IF(HI562=TRUE,0,HI$16)</f>
        <v>13</v>
      </c>
      <c r="HJ564" s="1034">
        <f t="shared" ref="HJ564:HL564" si="415">IF(HJ562=TRUE,0,HJ$16)</f>
        <v>12</v>
      </c>
      <c r="HK564" s="1034">
        <f t="shared" si="415"/>
        <v>11</v>
      </c>
      <c r="HL564" s="1034">
        <f t="shared" si="415"/>
        <v>10</v>
      </c>
      <c r="HM564" s="1034">
        <f>IF(HM562=TRUE,0,HM$16)</f>
        <v>9</v>
      </c>
      <c r="HN564" s="1034">
        <f t="shared" ref="HN564:HR564" si="416">IF(HN562=TRUE,0,HN$16)</f>
        <v>0</v>
      </c>
      <c r="HO564" s="1034">
        <f t="shared" si="416"/>
        <v>0</v>
      </c>
      <c r="HP564" s="1034">
        <f t="shared" si="416"/>
        <v>0</v>
      </c>
      <c r="HQ564" s="1034">
        <f t="shared" si="416"/>
        <v>0</v>
      </c>
      <c r="HR564" s="1034">
        <f t="shared" si="416"/>
        <v>0</v>
      </c>
      <c r="HS564" s="1034">
        <f>IF(HS562=TRUE,0,HS$16)</f>
        <v>0</v>
      </c>
      <c r="HT564" s="1034">
        <f t="shared" ref="HT564" si="417">IF(HT562=TRUE,0,HT$16)</f>
        <v>0</v>
      </c>
      <c r="HU564" s="1034">
        <f>IF(HU562=TRUE,0,HU$16)</f>
        <v>1</v>
      </c>
      <c r="HW564" s="1034">
        <f>IF(GL562=FALSE,GL564,IF(GM562=FALSE,GM564,MAX(GJ564:HU564)))</f>
        <v>36</v>
      </c>
      <c r="HX564" s="1383"/>
      <c r="HY564" s="241" t="str">
        <f>VLOOKUP(HW564,_Error_Table,3,FALSE)</f>
        <v xml:space="preserve"> </v>
      </c>
      <c r="HZ564" s="241"/>
      <c r="IA564" s="1386"/>
      <c r="IB564" s="1380"/>
      <c r="IC564" s="1379"/>
      <c r="IF564" s="1380"/>
      <c r="IG564" s="1383"/>
      <c r="IH564" s="1383"/>
      <c r="II564" s="1383"/>
      <c r="IK564" s="1351"/>
      <c r="IL564" s="1351"/>
      <c r="IM564" s="1351"/>
      <c r="IN564" s="1351"/>
      <c r="IO564" s="1351"/>
      <c r="IP564" s="1351"/>
    </row>
    <row r="565" spans="1:250" s="82" customFormat="1" ht="5.0999999999999996" customHeight="1" thickBot="1">
      <c r="B565" s="763"/>
      <c r="C565" s="1038"/>
      <c r="D565" s="1038"/>
      <c r="E565" s="1490"/>
      <c r="F565" s="1490"/>
      <c r="G565" s="1490"/>
      <c r="H565" s="1490"/>
      <c r="I565" s="1490"/>
      <c r="J565" s="1490"/>
      <c r="K565" s="1490"/>
      <c r="L565" s="1490"/>
      <c r="M565" s="1490"/>
      <c r="N565" s="1490"/>
      <c r="O565" s="1490"/>
      <c r="P565" s="1490"/>
      <c r="Q565" s="1490"/>
      <c r="R565" s="1490"/>
      <c r="S565" s="1490"/>
      <c r="T565" s="1490"/>
      <c r="U565" s="1490"/>
      <c r="V565" s="1490"/>
      <c r="W565" s="1490"/>
      <c r="X565" s="1490"/>
      <c r="Y565" s="1490"/>
      <c r="Z565" s="1490"/>
      <c r="AA565" s="1490"/>
      <c r="AB565" s="1490"/>
      <c r="AC565" s="1490"/>
      <c r="AD565" s="1490"/>
      <c r="AE565" s="1490"/>
      <c r="AF565" s="1490"/>
      <c r="AG565" s="1490"/>
      <c r="AH565" s="1490"/>
      <c r="AI565" s="1490"/>
      <c r="AJ565" s="1490"/>
      <c r="AK565" s="1490"/>
      <c r="AL565" s="1490"/>
      <c r="AM565" s="1490"/>
      <c r="AN565" s="1490"/>
      <c r="AO565" s="1490"/>
      <c r="AP565" s="1490"/>
      <c r="AQ565" s="1490"/>
      <c r="AR565" s="1490"/>
      <c r="AS565" s="1490"/>
      <c r="AT565" s="1490"/>
      <c r="AU565" s="1041"/>
      <c r="BC565" s="38"/>
      <c r="BD565" s="38"/>
      <c r="BE565" s="38"/>
      <c r="BF565" s="38"/>
      <c r="BG565" s="38"/>
      <c r="BH565" s="38"/>
      <c r="BI565" s="38"/>
      <c r="BJ565" s="38"/>
      <c r="BK565" s="38"/>
      <c r="BL565" s="38"/>
      <c r="BM565" s="38"/>
      <c r="BN565" s="38"/>
      <c r="BO565" s="38"/>
      <c r="BP565" s="38"/>
      <c r="BQ565" s="38"/>
      <c r="BR565" s="38"/>
      <c r="BS565" s="38"/>
      <c r="BT565" s="38"/>
      <c r="BU565" s="38"/>
      <c r="BV565" s="38"/>
      <c r="BW565" s="38"/>
      <c r="BX565" s="38"/>
      <c r="BY565" s="38"/>
      <c r="BZ565" s="38"/>
      <c r="CA565" s="38"/>
      <c r="CB565" s="38"/>
      <c r="CC565" s="38"/>
      <c r="CD565" s="38"/>
      <c r="CE565" s="38"/>
      <c r="CF565" s="38"/>
      <c r="CG565" s="38"/>
      <c r="CH565" s="38"/>
      <c r="CI565" s="38"/>
      <c r="CM565" s="749"/>
      <c r="CN565" s="749"/>
      <c r="CO565" s="1043"/>
      <c r="CP565" s="749"/>
      <c r="CS565" s="436"/>
      <c r="CT565" s="436"/>
      <c r="CU565" s="243"/>
      <c r="CV565" s="244"/>
      <c r="CW565" s="244"/>
      <c r="CX565" s="244"/>
      <c r="CY565" s="245"/>
      <c r="CZ565" s="245"/>
      <c r="DA565" s="245"/>
      <c r="DC565" s="750"/>
      <c r="DD565" s="751"/>
      <c r="DE565" s="752"/>
      <c r="DF565" s="753"/>
      <c r="DG565" s="754"/>
      <c r="DH565" s="754"/>
      <c r="DK565" s="244"/>
      <c r="DL565" s="750"/>
      <c r="DN565" s="750"/>
      <c r="DO565" s="755"/>
      <c r="DP565" s="436"/>
      <c r="DQ565" s="750"/>
      <c r="DR565" s="750"/>
      <c r="DS565" s="750"/>
      <c r="DU565" s="750"/>
      <c r="DV565" s="750"/>
      <c r="DW565" s="750"/>
      <c r="DX565" s="750"/>
      <c r="DZ565" s="756"/>
      <c r="EA565" s="756"/>
      <c r="EC565" s="754"/>
      <c r="ED565" s="754"/>
      <c r="EE565" s="244"/>
      <c r="EF565" s="754"/>
      <c r="EG565" s="754"/>
      <c r="EH565" s="243"/>
      <c r="EI565" s="243"/>
      <c r="EJ565" s="752"/>
      <c r="EK565" s="757"/>
      <c r="EL565" s="757"/>
      <c r="EM565" s="758"/>
      <c r="EN565" s="758"/>
      <c r="EO565" s="752"/>
      <c r="EP565" s="752"/>
      <c r="EQ565" s="752"/>
      <c r="ES565" s="750"/>
      <c r="EU565" s="436"/>
      <c r="EV565" s="436"/>
      <c r="EW565" s="436"/>
      <c r="EX565" s="436"/>
      <c r="EY565" s="436"/>
      <c r="EZ565" s="436"/>
      <c r="FB565" s="643"/>
      <c r="FD565" s="436"/>
      <c r="FE565" s="436"/>
      <c r="FF565" s="436"/>
      <c r="FO565" s="750"/>
      <c r="FP565" s="436"/>
      <c r="FQ565" s="436"/>
      <c r="FR565" s="750"/>
      <c r="FS565" s="750"/>
      <c r="FW565" s="749"/>
      <c r="FX565" s="749"/>
      <c r="FY565" s="749"/>
      <c r="FZ565" s="749"/>
      <c r="GA565" s="749"/>
      <c r="GB565" s="749"/>
      <c r="GC565" s="749"/>
      <c r="GD565" s="749"/>
      <c r="GE565" s="751"/>
      <c r="GF565" s="750"/>
      <c r="GG565" s="750"/>
    </row>
    <row r="566" spans="1:250" s="82" customFormat="1" ht="14.95" customHeight="1" thickTop="1" thickBot="1">
      <c r="B566" s="1421" t="str">
        <f>HY569</f>
        <v xml:space="preserve"> </v>
      </c>
      <c r="C566" s="1422">
        <f>C561+1</f>
        <v>102</v>
      </c>
      <c r="D566" s="1423"/>
      <c r="E566" s="1424" t="s">
        <v>242</v>
      </c>
      <c r="F566" s="1425"/>
      <c r="G566" s="1426"/>
      <c r="H566" s="1427"/>
      <c r="I566" s="1427"/>
      <c r="J566" s="1427"/>
      <c r="K566" s="1427"/>
      <c r="L566" s="1427"/>
      <c r="M566" s="1427"/>
      <c r="N566" s="1427"/>
      <c r="O566" s="1427"/>
      <c r="P566" s="1427"/>
      <c r="Q566" s="1427"/>
      <c r="R566" s="1427"/>
      <c r="S566" s="1428" t="s">
        <v>283</v>
      </c>
      <c r="T566" s="668" t="s">
        <v>190</v>
      </c>
      <c r="U566" s="1430" t="s">
        <v>186</v>
      </c>
      <c r="V566" s="1431"/>
      <c r="W566" s="1431"/>
      <c r="X566" s="1431"/>
      <c r="Y566" s="1431"/>
      <c r="Z566" s="1431"/>
      <c r="AA566" s="1431"/>
      <c r="AB566" s="1088" t="str">
        <f>IFERROR(IF(__Retrofit_TI_NC=0,VLOOKUP(U567,Fixtures_Existing_List,2,FALSE),ROUND(N568*R568/T568,10)),"")</f>
        <v/>
      </c>
      <c r="AC566" s="1039" t="str">
        <f>IFERROR(IF(__Retrofit_TI_NC=0,ROUND(T567*AB566*N567*R567/1000,0),IF(CN566="Interior",N568*R568*R567*N567*_C406_reduction/1000,N568*R568*R567*N567/1000)),"")</f>
        <v/>
      </c>
      <c r="AD566" s="1040" t="str">
        <f>IFERROR(IF(C$36=0,ROUND(T567*AB566/1000,2),N568*R568/1000),"")</f>
        <v/>
      </c>
      <c r="AE566" s="1044" t="s">
        <v>190</v>
      </c>
      <c r="AF566" s="1432" t="str">
        <f>IF(__Retrofit_TI_NC=2,CONCATENATE("Code min = ",DD566),IF(__Retrofit_TI_NC=1,"Emter what you think the existing control was"," Control"))</f>
        <v xml:space="preserve"> Control</v>
      </c>
      <c r="AG566" s="1432"/>
      <c r="AH566" s="1432"/>
      <c r="AI566" s="1432"/>
      <c r="AJ566" s="1433">
        <f>DF566</f>
        <v>0</v>
      </c>
      <c r="AK566" s="1435" t="str">
        <f>IFERROR(ROUND(AJ566*AC566,0),"")</f>
        <v/>
      </c>
      <c r="AL566" s="1437">
        <f>IFERROR(IF(HW566=FALSE,0,AC566-AK566),0)</f>
        <v>0</v>
      </c>
      <c r="AM566" s="1439">
        <f>AL566-AL568</f>
        <v>0</v>
      </c>
      <c r="AN566" s="1440"/>
      <c r="AO566" s="1445">
        <f>IFERROR(IF(HW566=FALSE,0,(T568*U569)+(AE568*AF569)),0)</f>
        <v>0</v>
      </c>
      <c r="AP566" s="1445"/>
      <c r="AQ566" s="1446"/>
      <c r="AR566" s="1451" t="s">
        <v>157</v>
      </c>
      <c r="AS566" s="1454">
        <f>IF(AR566="Yes",1,0)</f>
        <v>1</v>
      </c>
      <c r="AT566" s="1457" t="str">
        <f>IF(OR(DN566=4,DN566=5,DN566=6,DN566=12),CONCATENATE("$",IF(GD566=TRUE,Lookup!$B$11,Lookup!$B$2)," /lamp"),CONCATENATE(EA566,"/ kWh"))</f>
        <v>0/ kWh</v>
      </c>
      <c r="AU566" s="516"/>
      <c r="AV566" s="1478">
        <f>IFERROR(IF(GI567=TRUE,(AB569*T568)/R568,0),"NA")</f>
        <v>0</v>
      </c>
      <c r="AW566" s="1478" t="str">
        <f>IFERROR(N568*_C406_reduction,"NA")</f>
        <v>NA</v>
      </c>
      <c r="BC566" s="38"/>
      <c r="BD566" s="38"/>
      <c r="BE566" s="38"/>
      <c r="BF566" s="38"/>
      <c r="BG566" s="38"/>
      <c r="BH566" s="38"/>
      <c r="BI566" s="38"/>
      <c r="BJ566" s="38"/>
      <c r="BK566" s="38"/>
      <c r="BL566" s="38"/>
      <c r="BM566" s="38"/>
      <c r="BN566" s="38"/>
      <c r="BO566" s="38"/>
      <c r="BP566" s="38"/>
      <c r="BQ566" s="38"/>
      <c r="BR566" s="38"/>
      <c r="BS566" s="38"/>
      <c r="BT566" s="38"/>
      <c r="BU566" s="38"/>
      <c r="BV566" s="38"/>
      <c r="BW566" s="38"/>
      <c r="BX566" s="38"/>
      <c r="BY566" s="38"/>
      <c r="BZ566" s="38"/>
      <c r="CA566" s="38"/>
      <c r="CB566" s="38"/>
      <c r="CC566" s="38"/>
      <c r="CD566" s="38"/>
      <c r="CE566" s="38"/>
      <c r="CF566" s="38"/>
      <c r="CG566" s="38"/>
      <c r="CH566" s="38"/>
      <c r="CI566" s="38"/>
      <c r="CM566" s="1352" t="str">
        <f>N567</f>
        <v/>
      </c>
      <c r="CN566" s="1352" t="str">
        <f>IFERROR(VLOOKUP(G567,_Lookup_Heat_Type_Table_New,3,FALSE),"")</f>
        <v/>
      </c>
      <c r="CO566" s="1415" t="str">
        <f>CN566</f>
        <v/>
      </c>
      <c r="CP566" s="1417" t="e">
        <f>VLOOKUP(G568,'Space Table'!$B$3:$L$160,9,FALSE)</f>
        <v>#N/A</v>
      </c>
      <c r="CR566" s="1386" t="s">
        <v>283</v>
      </c>
      <c r="CS566" s="1353">
        <f>IF(HW566=TRUE,T567,0)</f>
        <v>0</v>
      </c>
      <c r="CT566" s="1353" t="str">
        <f>IF(HW566=TRUE,U567,"")</f>
        <v/>
      </c>
      <c r="CU566" s="1353"/>
      <c r="CV566" s="1370">
        <f>IF(HW566=TRUE,AB566,0)</f>
        <v>0</v>
      </c>
      <c r="CW566" s="1370">
        <f>IF(HW566=TRUE,AC566,0)</f>
        <v>0</v>
      </c>
      <c r="CX566" s="1370">
        <f>IFERROR(IF(HW566=TRUE,CW566-CW568,0),0)</f>
        <v>0</v>
      </c>
      <c r="CY566" s="1485">
        <f>IF(HW566=TRUE,AD566,0)</f>
        <v>0</v>
      </c>
      <c r="CZ566" s="1485">
        <f>IF(HW566=TRUE,AD569,0)</f>
        <v>0</v>
      </c>
      <c r="DA566" s="1485">
        <f>IFERROR(CY566-CZ566,0)</f>
        <v>0</v>
      </c>
      <c r="DC566" s="1353">
        <f>IF(HW566=TRUE,AE567,0)</f>
        <v>0</v>
      </c>
      <c r="DD566" s="1460">
        <f>IF(__Retrofit_TI_NC=2,IF(CN566="Exterior",O569,FM566),FK566)</f>
        <v>0</v>
      </c>
      <c r="DE566" s="1353"/>
      <c r="DF566" s="1406">
        <f>IFERROR(IF(FL566=3,IK566,IF(FL566=4,IL566,IF(FL566=5,IM566,IF(FL566=6,IN566,IF(FL566=7,IO566,IF(FL566=8,IP566,0)))))),0)</f>
        <v>0</v>
      </c>
      <c r="DG566" s="1370">
        <f>IF(HW566=TRUE,AK566,0)</f>
        <v>0</v>
      </c>
      <c r="DH566" s="1369">
        <f>IFERROR(IF(HW566=TRUE,DG568-DG566,0),0)</f>
        <v>0</v>
      </c>
      <c r="DJ566" s="1483">
        <f>IFERROR(CW566-DG566,0)</f>
        <v>0</v>
      </c>
      <c r="DL566" s="1419">
        <f>DJ566-DK568</f>
        <v>0</v>
      </c>
      <c r="DN566" s="1403" t="str">
        <f>IFERROR(IF(AND(OR(FY566=4,FY566=5,FY566=6),OR(GB566=4,GB566=5,GB566=6)),FY566+8,VLOOKUP(CT568,Fixtures!R$31:Y$78,8,FALSE)),"")</f>
        <v/>
      </c>
      <c r="DO566" s="1404" t="str">
        <f>DN566</f>
        <v/>
      </c>
      <c r="DP566" s="1353" t="str">
        <f>IFERROR(VLOOKUP(DD568,Lookup!AU$3:AV$15,2,FALSE),"")</f>
        <v/>
      </c>
      <c r="DQ566" s="1404" t="str">
        <f>IF(DP566=7,"LLLC","")</f>
        <v/>
      </c>
      <c r="DR566" s="1403">
        <f>IFERROR(IF(OR(DN566=4,DN566=5,DN566=6,DN566=12,DN566=13,DN566=14),VLOOKUP(CT568,Fixtures!DN$27:EG$77,19,FALSE),1)*CS568,0)</f>
        <v>0</v>
      </c>
      <c r="DS566" s="1489">
        <f>IF(DP566=7,IF(DD566=DD568,0,DC568),0)</f>
        <v>0</v>
      </c>
      <c r="DU566" s="1403" t="str">
        <f>IFERROR(IF(EW566&lt;EW568,"Yes","No"),"")</f>
        <v/>
      </c>
      <c r="DV566" s="1404" t="str">
        <f>DU566</f>
        <v/>
      </c>
      <c r="DW566" s="1403">
        <f>IF(DU566="Yes",DC568,0)</f>
        <v>0</v>
      </c>
      <c r="DX566" s="1403">
        <f>DW566-DS566</f>
        <v>0</v>
      </c>
      <c r="DZ566" s="1481">
        <f>IFERROR(VLOOKUP(DN566,Lookup!AN$3:AO$16,2,FALSE),0)</f>
        <v>0</v>
      </c>
      <c r="EA566" s="1481">
        <f>IF(HW566=FALSE,0,IF(DU566="Yes",DZ566+Lookup!B$6,DZ566))</f>
        <v>0</v>
      </c>
      <c r="EC566" s="1482">
        <f>IF(HW566=TRUE,DJ566,0)</f>
        <v>0</v>
      </c>
      <c r="ED566" s="1369">
        <f>IF(HW566=TRUE,CW568,0)</f>
        <v>0</v>
      </c>
      <c r="EE566" s="1370">
        <f>IFERROR(EC566-ED566,0)</f>
        <v>0</v>
      </c>
      <c r="EF566" s="1369">
        <f>IF(HW566=TRUE,DG568,0)</f>
        <v>0</v>
      </c>
      <c r="EG566" s="1369">
        <f>IFERROR(EC566-ED566+EF566,0)</f>
        <v>0</v>
      </c>
      <c r="EH566" s="1373">
        <f>IF(HW566=TRUE,CS568*CU568,0)</f>
        <v>0</v>
      </c>
      <c r="EI566" s="1373">
        <f>IF(HW566=TRUE,DC568*DE568,0)</f>
        <v>0</v>
      </c>
      <c r="EJ566" s="1363">
        <f>AO566</f>
        <v>0</v>
      </c>
      <c r="EK566" s="1376" t="str">
        <f>IFERROR(IF(HW566=TRUE,VLOOKUP(DN566,Lookup!AN$3:AP$16,3,FALSE)*DR566,""),0)</f>
        <v/>
      </c>
      <c r="EL566" s="1376">
        <f>IF(HW566=TRUE,DW566*Lookup!AP$12,0)</f>
        <v>0</v>
      </c>
      <c r="EM566" s="1362">
        <f>IFERROR(IF(HW566=TRUE,EK566/EM$33,0),0)</f>
        <v>0</v>
      </c>
      <c r="EN566" s="1362">
        <f>IF(HW566=TRUE,EL566/EN$33,0)</f>
        <v>0</v>
      </c>
      <c r="EO566" s="1363">
        <f>IF(HW566=TRUE,EQ$33*EM566,0)</f>
        <v>0</v>
      </c>
      <c r="EP566" s="1363">
        <f>IF(HW566=TRUE,EQ$33*EN566,0)</f>
        <v>0</v>
      </c>
      <c r="EQ566" s="1363">
        <f>EO566+EP566</f>
        <v>0</v>
      </c>
      <c r="ES566" s="1403">
        <f>IF(G566="",0,1)</f>
        <v>0</v>
      </c>
      <c r="EU566" s="1410" t="e">
        <f>VLOOKUP(CP568,'Space Table'!$B$3:$L$160,8,FALSE)</f>
        <v>#N/A</v>
      </c>
      <c r="EV566" s="1410" t="e">
        <f>IF(EY566="Yes",VLOOKUP(DD566,Lookup_Control_Type_Table2,4,FALSE),VLOOKUP(DD566,Lookup_Control_Type_Table2,3,FALSE))</f>
        <v>#N/A</v>
      </c>
      <c r="EW566" s="1410" t="e">
        <f>VLOOKUP(DD566,Lookup!AU$3:AV$15,2,FALSE)</f>
        <v>#N/A</v>
      </c>
      <c r="EX566" s="1410" t="e">
        <f>VLOOKUP(EU566,Lookup_Control_Type_Table,2,FALSE)</f>
        <v>#N/A</v>
      </c>
      <c r="EY566" s="1410" t="e">
        <f>VLOOKUP(CP568,'Space Table'!$B$3:$L$160,7,FALSE)</f>
        <v>#N/A</v>
      </c>
      <c r="EZ566" s="1412" t="b">
        <f>ISNUMBER(SEARCH("TLED",U568))</f>
        <v>0</v>
      </c>
      <c r="FB566" s="1365" t="str">
        <f>CONCATENATE(CN566," - ",DD566)</f>
        <v xml:space="preserve"> - 0</v>
      </c>
      <c r="FD566" s="1353" t="str">
        <f>VLOOKUP(CT568,Fixtures!DN$27:EZ$77,38,FALSE)</f>
        <v/>
      </c>
      <c r="FE566" s="1353">
        <f>IFERROR(FD566*EE566,0)</f>
        <v>0</v>
      </c>
      <c r="FF566" s="138"/>
      <c r="FI566" s="1356" t="str">
        <f>IF(CN566="Exterior","Not Daylighted",G569)</f>
        <v>Not Daylighted</v>
      </c>
      <c r="FJ566" s="1356">
        <f>VLOOKUP(FI566,_Daylight_Table_Codes,2,FALSE)</f>
        <v>0</v>
      </c>
      <c r="FK566" s="1365">
        <f>IF(__Retrofit_TI_NC=2,VLOOKUP(G568,'Space Table'!$B$3:$L$160,11,FALSE),AF567)</f>
        <v>0</v>
      </c>
      <c r="FL566" s="1365" t="e">
        <f>VLOOKUP(FK566,_Control_Table,2,FALSE)</f>
        <v>#N/A</v>
      </c>
      <c r="FM566" s="1365" t="e">
        <f>IF(AND(FP566&gt;0,FK566="Occupancy Sensor"),"Daylight + Occupancy",IF(AND(FP566&gt;0,FL566&lt;4),"Interior Daylight Dimming",FK566))</f>
        <v>#N/A</v>
      </c>
      <c r="FO566" s="1364">
        <f>IF(CO566="Interior",VLOOKUP(CP566,Control_Savings_Interior,5,FALSE),0)</f>
        <v>0</v>
      </c>
      <c r="FP566" s="1361">
        <f>IF(CN566="Exterior",0,IF(FJ566=2,0.5,IF(OR(FJ566=1,FJ566=3),1,0)))</f>
        <v>0</v>
      </c>
      <c r="FQ566" s="1366"/>
      <c r="FR566" s="1367"/>
      <c r="FS566" s="1364"/>
      <c r="FT566" s="1367"/>
      <c r="FU566" s="1360"/>
      <c r="FW566" s="1352" t="str">
        <f>IFERROR(VLOOKUP(U567,_Exist_Fixture_Table,3,FALSE),"")</f>
        <v/>
      </c>
      <c r="FX566" s="1352" t="str">
        <f>VLOOKUP(CT566,_Exist_Fixture_Table,4,FALSE)</f>
        <v/>
      </c>
      <c r="FY566" s="1352">
        <f>IFERROR(VLOOKUP(FX566,Lookup!AM$6:AN$8,2,FALSE),0)</f>
        <v>0</v>
      </c>
      <c r="FZ566" s="1352" t="b">
        <f>IFERROR(IF(OR(GB566=4,GB566=5,GB566=6),TRUE,FALSE),"")</f>
        <v>0</v>
      </c>
      <c r="GA566" s="1352" t="str">
        <f>IFERROR(VLOOKUP(GB566,FY$6:FZ$10,2,FALSE),"")</f>
        <v/>
      </c>
      <c r="GB566" s="1352" t="str">
        <f>VLOOKUP(CT568,Fixtures!R$31:Y$78,8,FALSE)</f>
        <v/>
      </c>
      <c r="GC566" s="1352">
        <f>IF(AND(FW566=TRUE,FZ566=TRUE,OR(DN566=12,DN566=13,DN566=14)),FY566+8,0)</f>
        <v>0</v>
      </c>
      <c r="GD566" s="1352" t="b">
        <f>IF(OR(GC566=12,GC566=13,GC566=14),TRUE,FALSE)</f>
        <v>0</v>
      </c>
      <c r="GE566" s="759" t="b">
        <f>IF(ISNUMBER(SEARCH("TLED",U567)),TRUE,FALSE)</f>
        <v>0</v>
      </c>
      <c r="GF566" s="1035" t="str">
        <f>IFERROR(VLOOKUP(U567,Fixtures!BM$93:BR$142,6,FALSE),"")</f>
        <v/>
      </c>
      <c r="GG566" s="1385" t="b">
        <f>IF(OR(GE566=FALSE,GE568=FALSE),TRUE,IF(GF566-GF568&lt;5,FALSE,TRUE))</f>
        <v>1</v>
      </c>
      <c r="GK566" s="1034">
        <f>GL566</f>
        <v>0</v>
      </c>
      <c r="GL566" s="1034">
        <f>IF(G566="",0,1)</f>
        <v>0</v>
      </c>
      <c r="GM566" s="1034">
        <f>SUM(GN566:HB566)</f>
        <v>2</v>
      </c>
      <c r="GN566" s="1034">
        <f>IF(G567="",0,1)</f>
        <v>0</v>
      </c>
      <c r="GO566" s="1034">
        <f>IF(G568="",0,1)</f>
        <v>0</v>
      </c>
      <c r="GP566" s="1034">
        <f>IF(R567="",0,1)</f>
        <v>0</v>
      </c>
      <c r="GQ566" s="1034">
        <f>IF(__Retrofit_TI_NC=0,1,IF(R568="",0,1))</f>
        <v>1</v>
      </c>
      <c r="GR566" s="1034">
        <f>IF(CN566="Exterior",1,IF(G569="",0,1))</f>
        <v>1</v>
      </c>
      <c r="GS566" s="1034">
        <f>IF(__Retrofit_TI_NC&lt;&gt;0,1,IF(T567="",0,1))</f>
        <v>0</v>
      </c>
      <c r="GT566" s="1034">
        <f>IF(__Retrofit_TI_NC&lt;&gt;0,1,IF(U567="",0,1))</f>
        <v>0</v>
      </c>
      <c r="GU566" s="1034">
        <f>IF(T568="",0,1)</f>
        <v>0</v>
      </c>
      <c r="GV566" s="1034">
        <f>IF(U568="",0,1)</f>
        <v>0</v>
      </c>
      <c r="GW566" s="1034">
        <f>IF(__Retrofit_TI_NC=2,1,IF(U569="",0,1))</f>
        <v>0</v>
      </c>
      <c r="GX566" s="1034">
        <f>IF(__Retrofit_TI_NC&lt;&gt;0,1,IF(AE567="",0,1))</f>
        <v>0</v>
      </c>
      <c r="GY566" s="1034">
        <f>IF(__Retrofit_TI_NC&lt;&gt;0,1,IF(AF567="",0,1))</f>
        <v>0</v>
      </c>
      <c r="GZ566" s="1034">
        <f>IF(AE568="",0,1)</f>
        <v>0</v>
      </c>
      <c r="HA566" s="1034">
        <f>IF(AF568="",0,1)</f>
        <v>0</v>
      </c>
      <c r="HB566" s="1034">
        <f>IF(__Retrofit_TI_NC=2,1,IF(AF569="",0,1))</f>
        <v>0</v>
      </c>
      <c r="HV566" s="436"/>
      <c r="HW566" s="1384" t="b">
        <f>IF(OR(HW569=0,HW569=HT$16,HW569=HS$16,HW569=HU$16),TRUE,FALSE)</f>
        <v>0</v>
      </c>
      <c r="HX566" s="1377" t="b">
        <f>HW566</f>
        <v>0</v>
      </c>
      <c r="HY566" s="436"/>
      <c r="HZ566" s="436"/>
      <c r="IA566" s="1386" t="b">
        <f>IF(MAX(GJ569:HP569)&gt;5,FALSE,TRUE)</f>
        <v>0</v>
      </c>
      <c r="IB566" s="1380">
        <f>IF(IA566=TRUE,AC566,0)</f>
        <v>0</v>
      </c>
      <c r="IC566" s="1380">
        <f>IB566-IB568</f>
        <v>0</v>
      </c>
      <c r="IF566" s="1380" t="e">
        <f>ROUND(T567*VLOOKUP(U567,Fixtures_Existing_List,2,FALSE)*N567*R567/1000,0)</f>
        <v>#N/A</v>
      </c>
      <c r="IG566" s="1381" t="e">
        <f>IF566-IF568</f>
        <v>#N/A</v>
      </c>
      <c r="IH566" s="1384" t="e">
        <f>ROUND(IF(CN566="Interior",N568*R568*R567*N567*_C406_reduction/1000,N568*R568*R567*N567/1000),0)</f>
        <v>#N/A</v>
      </c>
      <c r="II566" s="1384" t="e">
        <f>IH566-IH568</f>
        <v>#N/A</v>
      </c>
      <c r="IK566" s="1351" t="e">
        <f>IF($CO566="interior",IL566/2,VLOOKUP($CP566,Control_Savings_Exterior,IK$30,FALSE))</f>
        <v>#N/A</v>
      </c>
      <c r="IL566" s="1351" t="e">
        <f>IF($CO566="interior",VLOOKUP($CP566,Control_Savings_Interior,IL$30,FALSE),VLOOKUP($CP566,Control_Savings_Exterior,IL$30,FALSE))</f>
        <v>#N/A</v>
      </c>
      <c r="IM566" s="1351" t="e">
        <f>IF($CO566="interior",IF(R567&gt;FO$37,(IM$28*(FO$37/R567)),IM$28)*FP566,VLOOKUP($CP566,Control_Savings_Exterior,IM$30,FALSE))</f>
        <v>#N/A</v>
      </c>
      <c r="IN566" s="1351" t="e">
        <f>IF($CO566="interior",ROUND(((1-IL566)*IM566)+IL566,2),VLOOKUP($CP566,Control_Savings_Exterior,IN$30,FALSE))</f>
        <v>#N/A</v>
      </c>
      <c r="IO566" s="1351" t="e">
        <f>IF($CO566="interior", ROUND(((1-IL566)*(IM566*(1-IP$28)))+IP566,2), VLOOKUP($CP566,Control_Savings_Exterior,IO$30,FALSE))</f>
        <v>#N/A</v>
      </c>
      <c r="IP566" s="1351">
        <f>IF($CO566="interior",ROUND(((1-IL566)*IP$28)+IL566,2),0)</f>
        <v>0</v>
      </c>
    </row>
    <row r="567" spans="1:250" s="82" customFormat="1" ht="14.95" customHeight="1" thickTop="1" thickBot="1">
      <c r="B567" s="1421"/>
      <c r="C567" s="1422"/>
      <c r="D567" s="1423"/>
      <c r="E567" s="1393" t="s">
        <v>244</v>
      </c>
      <c r="F567" s="1394"/>
      <c r="G567" s="1395"/>
      <c r="H567" s="1395"/>
      <c r="I567" s="1395"/>
      <c r="J567" s="1395"/>
      <c r="K567" s="1395"/>
      <c r="L567" s="1395"/>
      <c r="M567" s="509" t="e">
        <f>IF(__Retrofit_TI_NC&lt;&gt;0,IF(VLOOKUP(G568,'Space Table'!$B$3:$L$160,3,FALSE)&gt;0,1,0),IF(__Retrofit_TI_NC=VLOOKUP(G568,'Space Table'!$B$3:$L$160,3,FALSE),1,0))</f>
        <v>#N/A</v>
      </c>
      <c r="N567" s="509" t="str">
        <f>IFERROR(VLOOKUP(G567,_Lookup_Heat_Type_Table_New,2,FALSE),"")</f>
        <v/>
      </c>
      <c r="O567" s="509">
        <f>IF(__Retrofit_TI_NC=1,CONCATENATE("TI ",G567),IF(__Retrofit_TI_NC=2,CONCATENATE("NC ",G567),G567))</f>
        <v>0</v>
      </c>
      <c r="P567" s="1396" t="s">
        <v>352</v>
      </c>
      <c r="Q567" s="1396"/>
      <c r="R567" s="673"/>
      <c r="S567" s="1429"/>
      <c r="T567" s="675"/>
      <c r="U567" s="1496"/>
      <c r="V567" s="1497"/>
      <c r="W567" s="1497"/>
      <c r="X567" s="1497"/>
      <c r="Y567" s="1497"/>
      <c r="Z567" s="1497"/>
      <c r="AA567" s="1497"/>
      <c r="AB567" s="1497"/>
      <c r="AC567" s="1497"/>
      <c r="AD567" s="1498"/>
      <c r="AE567" s="675"/>
      <c r="AF567" s="1397"/>
      <c r="AG567" s="1397"/>
      <c r="AH567" s="1397"/>
      <c r="AI567" s="1397"/>
      <c r="AJ567" s="1434"/>
      <c r="AK567" s="1436"/>
      <c r="AL567" s="1438"/>
      <c r="AM567" s="1441"/>
      <c r="AN567" s="1442"/>
      <c r="AO567" s="1447"/>
      <c r="AP567" s="1447"/>
      <c r="AQ567" s="1448"/>
      <c r="AR567" s="1452"/>
      <c r="AS567" s="1455"/>
      <c r="AT567" s="1458"/>
      <c r="AU567" s="516"/>
      <c r="AV567" s="1479"/>
      <c r="AW567" s="1479"/>
      <c r="BC567" s="38"/>
      <c r="BD567" s="38"/>
      <c r="BE567" s="38"/>
      <c r="BF567" s="38"/>
      <c r="BG567" s="38"/>
      <c r="BH567" s="38"/>
      <c r="BI567" s="38"/>
      <c r="BJ567" s="38"/>
      <c r="BK567" s="38"/>
      <c r="BL567" s="38"/>
      <c r="BM567" s="38"/>
      <c r="BN567" s="38"/>
      <c r="BO567" s="38"/>
      <c r="BP567" s="38"/>
      <c r="BQ567" s="38"/>
      <c r="BR567" s="38"/>
      <c r="BS567" s="38"/>
      <c r="BT567" s="38"/>
      <c r="BU567" s="38"/>
      <c r="BV567" s="38"/>
      <c r="BW567" s="38"/>
      <c r="BX567" s="38"/>
      <c r="BY567" s="38"/>
      <c r="BZ567" s="38"/>
      <c r="CA567" s="38"/>
      <c r="CB567" s="38"/>
      <c r="CC567" s="38"/>
      <c r="CD567" s="38"/>
      <c r="CE567" s="38"/>
      <c r="CF567" s="38"/>
      <c r="CG567" s="38"/>
      <c r="CH567" s="38"/>
      <c r="CI567" s="38"/>
      <c r="CM567" s="1352"/>
      <c r="CN567" s="1352"/>
      <c r="CO567" s="1416"/>
      <c r="CP567" s="1418"/>
      <c r="CR567" s="1386"/>
      <c r="CS567" s="1355"/>
      <c r="CT567" s="1355"/>
      <c r="CU567" s="1355"/>
      <c r="CV567" s="1372"/>
      <c r="CW567" s="1372"/>
      <c r="CX567" s="1371"/>
      <c r="CY567" s="1486"/>
      <c r="CZ567" s="1486"/>
      <c r="DA567" s="1486"/>
      <c r="DC567" s="1355"/>
      <c r="DD567" s="1461"/>
      <c r="DE567" s="1355"/>
      <c r="DF567" s="1407"/>
      <c r="DG567" s="1372"/>
      <c r="DH567" s="1369"/>
      <c r="DJ567" s="1484"/>
      <c r="DL567" s="1419"/>
      <c r="DN567" s="1403"/>
      <c r="DO567" s="1405"/>
      <c r="DP567" s="1354"/>
      <c r="DQ567" s="1405"/>
      <c r="DR567" s="1403"/>
      <c r="DS567" s="1489"/>
      <c r="DU567" s="1403"/>
      <c r="DV567" s="1405"/>
      <c r="DW567" s="1403"/>
      <c r="DX567" s="1403"/>
      <c r="DZ567" s="1481"/>
      <c r="EA567" s="1481"/>
      <c r="EC567" s="1482"/>
      <c r="ED567" s="1369"/>
      <c r="EE567" s="1371"/>
      <c r="EF567" s="1369"/>
      <c r="EG567" s="1369"/>
      <c r="EH567" s="1374"/>
      <c r="EI567" s="1374"/>
      <c r="EJ567" s="1363"/>
      <c r="EK567" s="1376"/>
      <c r="EL567" s="1376"/>
      <c r="EM567" s="1362"/>
      <c r="EN567" s="1362"/>
      <c r="EO567" s="1363"/>
      <c r="EP567" s="1363"/>
      <c r="EQ567" s="1363"/>
      <c r="ES567" s="1403"/>
      <c r="EU567" s="1411"/>
      <c r="EV567" s="1411"/>
      <c r="EW567" s="1411"/>
      <c r="EX567" s="1411"/>
      <c r="EY567" s="1411"/>
      <c r="EZ567" s="1413"/>
      <c r="FB567" s="1365"/>
      <c r="FD567" s="1354"/>
      <c r="FE567" s="1354"/>
      <c r="FF567" s="138"/>
      <c r="FI567" s="1357"/>
      <c r="FJ567" s="1357"/>
      <c r="FK567" s="1365"/>
      <c r="FL567" s="1365"/>
      <c r="FM567" s="1365"/>
      <c r="FO567" s="1361"/>
      <c r="FP567" s="1361"/>
      <c r="FQ567" s="1366"/>
      <c r="FR567" s="1368"/>
      <c r="FS567" s="1361"/>
      <c r="FT567" s="1368"/>
      <c r="FU567" s="1360"/>
      <c r="FW567" s="1352"/>
      <c r="FX567" s="1352"/>
      <c r="FY567" s="1352"/>
      <c r="FZ567" s="1352"/>
      <c r="GA567" s="1352"/>
      <c r="GB567" s="1352"/>
      <c r="GC567" s="1352"/>
      <c r="GD567" s="1352"/>
      <c r="GE567" s="759"/>
      <c r="GF567" s="1035"/>
      <c r="GG567" s="1385"/>
      <c r="GI567" s="1384" t="b">
        <f>IF(AND(GL567=TRUE,GM567=TRUE),TRUE,FALSE)</f>
        <v>0</v>
      </c>
      <c r="GJ567" s="1379" t="b">
        <f>IFERROR(IF(__Retrofit_TI_NC=2,TRUE,IF(AR566="Yes",TRUE,FALSE)),FALSE)</f>
        <v>1</v>
      </c>
      <c r="GL567" s="1379" t="b">
        <f>IFERROR(IF(GL566=1,TRUE,FALSE),FALSE)</f>
        <v>0</v>
      </c>
      <c r="GM567" s="1379" t="b">
        <f>IFERROR(IF(GM566=GM$14,TRUE,FALSE),FALSE)</f>
        <v>0</v>
      </c>
      <c r="HC567" s="1379" t="b">
        <f>IFERROR(IF(M567=1,TRUE,FALSE),FALSE)</f>
        <v>0</v>
      </c>
      <c r="HD567" s="1379" t="b">
        <f>IFERROR(IF(M568=1,TRUE,FALSE),FALSE)</f>
        <v>0</v>
      </c>
      <c r="HE567" s="1379" t="b">
        <f>IFERROR(IF(__Retrofit_TI_NC&lt;&gt;0,TRUE,IFERROR(IF(VLOOKUP(U567,Fixtures_Existing_List,2,FALSE)&lt;&gt;"",TRUE,FALSE),FALSE)),FALSE)</f>
        <v>0</v>
      </c>
      <c r="HF567" s="1379" t="b">
        <f>IFERROR(IF(VLOOKUP(U568,Fixtures_Proposed_List,2,FALSE)&lt;&gt;"",TRUE,FALSE),FALSE)</f>
        <v>0</v>
      </c>
      <c r="HG567" s="1379" t="b">
        <f>IF(AND(__Retrofit_TI_NC=2,EZ566=TRUE),FALSE,TRUE)</f>
        <v>1</v>
      </c>
      <c r="HH567" s="1379" t="b">
        <f>GG566</f>
        <v>1</v>
      </c>
      <c r="HI567" s="1384" t="b">
        <f>IF(ISERROR(MATCH(FB566,_Control_Match[],0))=TRUE,FALSE,TRUE)</f>
        <v>0</v>
      </c>
      <c r="HJ567" s="1384" t="b">
        <f>IFERROR(IF(EU566&lt;&gt;EV566,FALSE,TRUE),FALSE)</f>
        <v>0</v>
      </c>
      <c r="HK567" s="1384" t="b">
        <f>IFERROR(IF(EU568&lt;&gt;EV568,FALSE,TRUE),FALSE)</f>
        <v>0</v>
      </c>
      <c r="HL567" s="1379" t="b">
        <f>IFERROR(IF(CN566="Exterior",TRUE,IF(OR(AND(FJ566=0,EW568&gt;4),AND(FJ566=4,EW568&gt;4,EW568&lt;7)),FALSE,TRUE)),FALSE)</f>
        <v>0</v>
      </c>
      <c r="HM567" s="1379" t="b">
        <f>IFERROR(IF(AND(FL568=7,EZ566=TRUE),FALSE,TRUE),FALSE)</f>
        <v>0</v>
      </c>
      <c r="HN567" s="1379" t="b">
        <f>IFERROR(IF(AND(T568&lt;&gt;AE568,AF568="Interior LLLC")=TRUE,FALSE,TRUE),FALSE)</f>
        <v>1</v>
      </c>
      <c r="HO567" s="1379" t="b">
        <f>IFERROR(IF(OR(AF568=Lookup!AU$13,AF568=Lookup!AU$14)=TRUE,IF(AE568&gt;T568,FALSE,TRUE),TRUE),FALSE)</f>
        <v>1</v>
      </c>
      <c r="HP567" s="1379" t="b">
        <f>IFERROR(IF(__Retrofit_TI_NC=2,IF(EW568&lt;EW566,FALSE,TRUE),TRUE),FALSE)</f>
        <v>1</v>
      </c>
      <c r="HQ567" s="1379" t="b">
        <f>IF(CN566="Interior",IG$6,TRUE)</f>
        <v>1</v>
      </c>
      <c r="HR567" s="1379" t="b">
        <f>IF(CN566="Exterior",IG$8,TRUE)</f>
        <v>1</v>
      </c>
      <c r="HS567" s="1379" t="b">
        <f>IFERROR(IF(__Retrofit_TI_NC&lt;&gt;0,IF(AW566&lt;AV566,FALSE,TRUE),TRUE),FALSE)</f>
        <v>1</v>
      </c>
      <c r="HT567" s="1379" t="b">
        <f>IFERROR(IF(AND(G567="Exterior",R567&gt;4200),FALSE,TRUE),FALSE)</f>
        <v>1</v>
      </c>
      <c r="HU567" s="1379" t="b">
        <f>IFERROR(IF(AB569/AB566&lt;HU$18,FALSE,TRUE),FALSE)</f>
        <v>0</v>
      </c>
      <c r="HW567" s="1382"/>
      <c r="HX567" s="1378"/>
      <c r="HY567" s="1377" t="str">
        <f>VLOOKUP(HW569,_Error_Table,4,FALSE)</f>
        <v>White</v>
      </c>
      <c r="HZ567" s="436"/>
      <c r="IA567" s="1386"/>
      <c r="IB567" s="1380"/>
      <c r="IC567" s="1379"/>
      <c r="IF567" s="1380"/>
      <c r="IG567" s="1382"/>
      <c r="IH567" s="1382"/>
      <c r="II567" s="1382"/>
      <c r="IK567" s="1351"/>
      <c r="IL567" s="1351"/>
      <c r="IM567" s="1351"/>
      <c r="IN567" s="1351"/>
      <c r="IO567" s="1351"/>
      <c r="IP567" s="1351"/>
    </row>
    <row r="568" spans="1:250" s="82" customFormat="1" ht="14.95" customHeight="1" thickTop="1" thickBot="1">
      <c r="A568" s="82">
        <f>ROW()</f>
        <v>568</v>
      </c>
      <c r="B568" s="1421"/>
      <c r="C568" s="1422"/>
      <c r="D568" s="1423"/>
      <c r="E568" s="1393" t="s">
        <v>245</v>
      </c>
      <c r="F568" s="1394"/>
      <c r="G568" s="1398"/>
      <c r="H568" s="1399"/>
      <c r="I568" s="1399"/>
      <c r="J568" s="1399"/>
      <c r="K568" s="1399"/>
      <c r="L568" s="1400"/>
      <c r="M568" s="509">
        <f>IFERROR(IF(IF(__Retrofit_TI_NC&lt;&gt;0,IF(CN566="Interior",MATCH(G568,Lookup_Interior_New,0),MATCH(G568,Lookup_Exterior_New,0)),IF(CN566="Interior",MATCH(G568,Lookup_Interior,0),MATCH(G568,Lookup_Exterior_Areas,0)))&gt;0,1,0),0)</f>
        <v>0</v>
      </c>
      <c r="N568" s="509" t="e">
        <f>IF(__Retrofit_TI_NC=1,
VLOOKUP(G568,'Space Table'!$B$3:$L$160,4,FALSE),
IF(__Retrofit_TI_NC=2,VLOOKUP(G568,'Space Table'!$B$3:$L$160,5,FALSE),VLOOKUP(G568,'Space Table'!$B$3:$L$160,5,FALSE)))</f>
        <v>#N/A</v>
      </c>
      <c r="O568" s="509">
        <f>G568</f>
        <v>0</v>
      </c>
      <c r="P568" s="1394" t="s">
        <v>355</v>
      </c>
      <c r="Q568" s="1394"/>
      <c r="R568" s="674"/>
      <c r="S568" s="1401" t="s">
        <v>284</v>
      </c>
      <c r="T568" s="672"/>
      <c r="U568" s="1499"/>
      <c r="V568" s="1500"/>
      <c r="W568" s="1500"/>
      <c r="X568" s="1500"/>
      <c r="Y568" s="1500"/>
      <c r="Z568" s="1500"/>
      <c r="AA568" s="1500"/>
      <c r="AB568" s="1501"/>
      <c r="AC568" s="1501"/>
      <c r="AD568" s="1502"/>
      <c r="AE568" s="672"/>
      <c r="AF568" s="1474"/>
      <c r="AG568" s="1474"/>
      <c r="AH568" s="1474"/>
      <c r="AI568" s="1474"/>
      <c r="AJ568" s="1475">
        <f>DF568</f>
        <v>0</v>
      </c>
      <c r="AK568" s="1470" t="str">
        <f>IFERROR(ROUND(AJ568*AC569,0),"")</f>
        <v/>
      </c>
      <c r="AL568" s="1472">
        <f>IFERROR(IF(HW566=FALSE,0,AC569-AK568),0)</f>
        <v>0</v>
      </c>
      <c r="AM568" s="1441"/>
      <c r="AN568" s="1442"/>
      <c r="AO568" s="1447"/>
      <c r="AP568" s="1447"/>
      <c r="AQ568" s="1448"/>
      <c r="AR568" s="1452"/>
      <c r="AS568" s="1455"/>
      <c r="AT568" s="1458"/>
      <c r="AU568" s="516"/>
      <c r="AV568" s="1479"/>
      <c r="AW568" s="1479"/>
      <c r="BC568" s="38"/>
      <c r="BD568" s="38"/>
      <c r="BE568" s="38"/>
      <c r="BF568" s="38"/>
      <c r="BG568" s="38"/>
      <c r="BH568" s="38"/>
      <c r="BI568" s="38"/>
      <c r="BJ568" s="38"/>
      <c r="BK568" s="38"/>
      <c r="BL568" s="38"/>
      <c r="BM568" s="38"/>
      <c r="BN568" s="38"/>
      <c r="BO568" s="38"/>
      <c r="BP568" s="38"/>
      <c r="BQ568" s="38"/>
      <c r="BR568" s="38"/>
      <c r="BS568" s="38"/>
      <c r="BT568" s="38"/>
      <c r="BU568" s="38"/>
      <c r="BV568" s="38"/>
      <c r="BW568" s="38"/>
      <c r="BX568" s="38"/>
      <c r="BY568" s="38"/>
      <c r="BZ568" s="38"/>
      <c r="CA568" s="38"/>
      <c r="CB568" s="38"/>
      <c r="CC568" s="38"/>
      <c r="CD568" s="38"/>
      <c r="CE568" s="38"/>
      <c r="CF568" s="38"/>
      <c r="CG568" s="38"/>
      <c r="CH568" s="38"/>
      <c r="CI568" s="38"/>
      <c r="CM568" s="1352"/>
      <c r="CN568" s="1352"/>
      <c r="CO568" s="1415" t="str">
        <f>CN566</f>
        <v/>
      </c>
      <c r="CP568" s="1417" t="e">
        <f>CP566</f>
        <v>#N/A</v>
      </c>
      <c r="CR568" s="1386" t="s">
        <v>284</v>
      </c>
      <c r="CS568" s="1353">
        <f>IF(HW566=TRUE,T568,0)</f>
        <v>0</v>
      </c>
      <c r="CT568" s="1353" t="str">
        <f>IF(HW566=TRUE,U568,"")</f>
        <v/>
      </c>
      <c r="CU568" s="1373">
        <f>IF(HW566=TRUE,U569,0)</f>
        <v>0</v>
      </c>
      <c r="CV568" s="1370">
        <f>IF(HW566=TRUE,AB569,0)</f>
        <v>0</v>
      </c>
      <c r="CW568" s="1370">
        <f>IF(HW566=TRUE,AC569,0)</f>
        <v>0</v>
      </c>
      <c r="CX568" s="1371"/>
      <c r="CY568" s="1486"/>
      <c r="CZ568" s="1486"/>
      <c r="DA568" s="1486"/>
      <c r="DC568" s="1353">
        <f>IF(HW566=TRUE,AE568,0)</f>
        <v>0</v>
      </c>
      <c r="DD568" s="1353" t="str">
        <f>IF(HW566=TRUE,AF568,"")</f>
        <v/>
      </c>
      <c r="DE568" s="1373">
        <f>AF569</f>
        <v>0</v>
      </c>
      <c r="DF568" s="1406">
        <f>IFERROR(IF(FL568=3,IK568,IF(FL568=4,IL568,IF(FL568=5,IM568,IF(FL568=6,IN568,IF(FL568=7,IO568,IF(FL568=8,IP568,0)))))),0)</f>
        <v>0</v>
      </c>
      <c r="DG568" s="1370">
        <f>IF(HW566=TRUE,AK568,0)</f>
        <v>0</v>
      </c>
      <c r="DH568" s="1369"/>
      <c r="DK568" s="1483">
        <f>IFERROR(CW568-DG568,0)</f>
        <v>0</v>
      </c>
      <c r="DL568" s="1420"/>
      <c r="DN568" s="1403"/>
      <c r="DO568" s="1477" t="str">
        <f>DN566</f>
        <v/>
      </c>
      <c r="DP568" s="1354"/>
      <c r="DQ568" s="1477" t="str">
        <f>IF(DP566=7,"LLLC","")</f>
        <v/>
      </c>
      <c r="DR568" s="1403"/>
      <c r="DS568" s="1489"/>
      <c r="DU568" s="1403"/>
      <c r="DV568" s="1404" t="str">
        <f>DU566</f>
        <v/>
      </c>
      <c r="DW568" s="1403"/>
      <c r="DX568" s="1403"/>
      <c r="DZ568" s="1481"/>
      <c r="EA568" s="1481"/>
      <c r="EC568" s="1482"/>
      <c r="ED568" s="1369"/>
      <c r="EE568" s="1371"/>
      <c r="EF568" s="1369"/>
      <c r="EG568" s="1369"/>
      <c r="EH568" s="1374"/>
      <c r="EI568" s="1374"/>
      <c r="EJ568" s="1363"/>
      <c r="EK568" s="1376"/>
      <c r="EL568" s="1376"/>
      <c r="EM568" s="1362"/>
      <c r="EN568" s="1362"/>
      <c r="EO568" s="1363"/>
      <c r="EP568" s="1363"/>
      <c r="EQ568" s="1363"/>
      <c r="ES568" s="1403"/>
      <c r="EU568" s="1411" t="e">
        <f>VLOOKUP(CP568,'Space Table'!$B$3:$L$160,8,FALSE)</f>
        <v>#N/A</v>
      </c>
      <c r="EV568" s="1411" t="e">
        <f>IF(EY568="Yes",VLOOKUP(AF568,Lookup_Control_Type_Table2,4,FALSE),VLOOKUP(AF568,Lookup_Control_Type_Table2,3,FALSE))</f>
        <v>#N/A</v>
      </c>
      <c r="EW568" s="1411" t="e">
        <f>VLOOKUP(AF568,Lookup!AU$3:AV$15,2,FALSE)</f>
        <v>#N/A</v>
      </c>
      <c r="EX568" s="1411" t="e">
        <f>VLOOKUP(EU566,Lookup_Control_Type_Table,2,FALSE)</f>
        <v>#N/A</v>
      </c>
      <c r="EY568" s="1411" t="e">
        <f>VLOOKUP(CP568,'Space Table'!$B$3:$L$160,7,FALSE)</f>
        <v>#N/A</v>
      </c>
      <c r="EZ568" s="1413"/>
      <c r="FB568" s="1365" t="str">
        <f>CONCATENATE(CN566," - ",AF568)</f>
        <v xml:space="preserve"> - </v>
      </c>
      <c r="FD568" s="1354"/>
      <c r="FE568" s="1354"/>
      <c r="FF568" s="138"/>
      <c r="FI568" s="1356" t="str">
        <f>IF(CN566="Exterior","Not Daylighted",G569)</f>
        <v>Not Daylighted</v>
      </c>
      <c r="FJ568" s="1356">
        <f>VLOOKUP(FI568,_Daylight_Table_Codes,2,FALSE)</f>
        <v>0</v>
      </c>
      <c r="FK568" s="1365">
        <f>AF568</f>
        <v>0</v>
      </c>
      <c r="FL568" s="1365" t="e">
        <f>VLOOKUP(FK568,_Control_Table,2,FALSE)</f>
        <v>#N/A</v>
      </c>
      <c r="FM568" s="1365" t="e">
        <f>IF(AND(FP568&gt;0,FK568="Occupancy Sensor"),"Daylight + Occupancy",IF(AND(FP568&gt;0,FL568&lt;4),"Interior Daylight Dimming",FK568))</f>
        <v>#N/A</v>
      </c>
      <c r="FO568" s="1364">
        <f>IF(CN566="Interior",VLOOKUP(CP566,Control_Savings_Interior,5,FALSE),0)</f>
        <v>0</v>
      </c>
      <c r="FP568" s="1361">
        <f>IF(CN568="Exterior",0,IF(FJ568=2,0.5,IF(OR(FJ568=1,FJ568=3),1,0)))</f>
        <v>0</v>
      </c>
      <c r="FQ568" s="1366">
        <f>IF(R567&gt;FO$37,(FO568*(FO$37/R567)),FO568)*FP568</f>
        <v>0</v>
      </c>
      <c r="FR568" s="1364">
        <f>DF568</f>
        <v>0</v>
      </c>
      <c r="FS568" s="1364">
        <f>ROUND(FR568+((1-FR568)*FQ568),2)</f>
        <v>0</v>
      </c>
      <c r="FT568" s="1364">
        <f>IF(__Retrofit_TI_NC=2,FS568,FR568)</f>
        <v>0</v>
      </c>
      <c r="FU568" s="1360">
        <f>IF(CO568="Interior",VLOOKUP(CP568,Control_Savings_Interior,4,FALSE),0)</f>
        <v>0</v>
      </c>
      <c r="FW568" s="1352"/>
      <c r="FX568" s="1352"/>
      <c r="FY568" s="1352"/>
      <c r="FZ568" s="1352"/>
      <c r="GA568" s="1352"/>
      <c r="GB568" s="1352"/>
      <c r="GC568" s="1352"/>
      <c r="GD568" s="1352"/>
      <c r="GE568" s="759" t="b">
        <f>IF(ISNUMBER(SEARCH("TLED",U568)),TRUE,FALSE)</f>
        <v>0</v>
      </c>
      <c r="GF568" s="1035" t="str">
        <f>IFERROR(VLOOKUP(U568,Fixtures!DM$93:DR$142,6,FALSE),"")</f>
        <v/>
      </c>
      <c r="GG568" s="1385"/>
      <c r="GI568" s="1383"/>
      <c r="GJ568" s="1379"/>
      <c r="GL568" s="1379"/>
      <c r="GM568" s="1379"/>
      <c r="HC568" s="1379"/>
      <c r="HD568" s="1379"/>
      <c r="HE568" s="1379"/>
      <c r="HF568" s="1379"/>
      <c r="HG568" s="1379"/>
      <c r="HH568" s="1379"/>
      <c r="HI568" s="1383"/>
      <c r="HJ568" s="1383"/>
      <c r="HK568" s="1383"/>
      <c r="HL568" s="1379"/>
      <c r="HM568" s="1379"/>
      <c r="HN568" s="1379"/>
      <c r="HO568" s="1379"/>
      <c r="HP568" s="1379"/>
      <c r="HQ568" s="1379"/>
      <c r="HR568" s="1379"/>
      <c r="HS568" s="1379"/>
      <c r="HT568" s="1379"/>
      <c r="HU568" s="1379"/>
      <c r="HW568" s="1383"/>
      <c r="HX568" s="1384" t="b">
        <f>HW566</f>
        <v>0</v>
      </c>
      <c r="HY568" s="1378"/>
      <c r="HZ568" s="436"/>
      <c r="IA568" s="1386"/>
      <c r="IB568" s="1380">
        <f>IF(IA566=TRUE,AC569,0)</f>
        <v>0</v>
      </c>
      <c r="IC568" s="1379"/>
      <c r="IF568" s="1380" t="e">
        <f>ROUND(T568*AB569*N567*R567/1000,0)</f>
        <v>#VALUE!</v>
      </c>
      <c r="IG568" s="1382"/>
      <c r="IH568" s="1384" t="e">
        <f>ROUND(T568*AB569*N567*R567/1000,0)</f>
        <v>#VALUE!</v>
      </c>
      <c r="II568" s="1382"/>
      <c r="IK568" s="1351" t="e">
        <f>IF($CO568="interior",IL568/2,VLOOKUP($CP568,Control_Savings_Exterior,IK$30,FALSE))</f>
        <v>#N/A</v>
      </c>
      <c r="IL568" s="1351" t="e">
        <f>IF($CO568="interior",VLOOKUP($CP568,Control_Savings_Interior,IL$30,FALSE),VLOOKUP($CP568,Control_Savings_Exterior,IL$30,FALSE))</f>
        <v>#N/A</v>
      </c>
      <c r="IM568" s="1351" t="e">
        <f>IF($CO568="interior",IF(R567&gt;FO$37,(IM$28*(FO$37/R567)),IM$28)*FP568,VLOOKUP($CP568,Control_Savings_Exterior,IM$30,FALSE))</f>
        <v>#N/A</v>
      </c>
      <c r="IN568" s="1351" t="e">
        <f>IF($CO568="interior",ROUND(((1-IL568)*IM568)+IL568,2),VLOOKUP($CP568,Control_Savings_Exterior,IN$30,FALSE))</f>
        <v>#N/A</v>
      </c>
      <c r="IO568" s="1351" t="e">
        <f>IF($CO568="interior", ROUND(((1-IL568)*(IM568*(1-IP$28)))+IP568,2), VLOOKUP($CP568,Control_Savings_Exterior,IO$30,FALSE))</f>
        <v>#N/A</v>
      </c>
      <c r="IP568" s="1351">
        <f>IF($CO568="interior",ROUND(((1-IL568)*IP$28)+IL568,2),0)</f>
        <v>0</v>
      </c>
    </row>
    <row r="569" spans="1:250" s="82" customFormat="1" ht="14.95" customHeight="1" thickTop="1" thickBot="1">
      <c r="B569" s="1421"/>
      <c r="C569" s="1422"/>
      <c r="D569" s="1423"/>
      <c r="E569" s="1462" t="s">
        <v>357</v>
      </c>
      <c r="F569" s="1463"/>
      <c r="G569" s="1464" t="s">
        <v>362</v>
      </c>
      <c r="H569" s="1465"/>
      <c r="I569" s="1465"/>
      <c r="J569" s="1465"/>
      <c r="K569" s="1465"/>
      <c r="L569" s="1466"/>
      <c r="M569" s="669">
        <f>IFERROR(VLOOKUP(G569,_Daylight_Table[],2,FALSE),0)</f>
        <v>0</v>
      </c>
      <c r="N569" s="670"/>
      <c r="O569" s="669" t="e">
        <f>VLOOKUP(G568,'Space Table'!$B$3:$L$160,11,FALSE)</f>
        <v>#N/A</v>
      </c>
      <c r="P569" s="1408"/>
      <c r="Q569" s="1409"/>
      <c r="R569" s="1409"/>
      <c r="S569" s="1402"/>
      <c r="T569" s="671" t="s">
        <v>281</v>
      </c>
      <c r="U569" s="1467" t="str">
        <f>IFERROR(VLOOKUP(U568,Fixtures!DM$93:DP$142,4,FALSE),"")</f>
        <v/>
      </c>
      <c r="V569" s="1468"/>
      <c r="W569" s="1468"/>
      <c r="X569" s="1468"/>
      <c r="Y569" s="1468"/>
      <c r="Z569" s="1468"/>
      <c r="AA569" s="1468"/>
      <c r="AB569" s="1046" t="str">
        <f>IFERROR(VLOOKUP(U568,Fixtures_Proposed_List,2,FALSE),"")</f>
        <v/>
      </c>
      <c r="AC569" s="1036" t="str">
        <f>IFERROR(ROUND(T568*AB569*N567*R567/1000,0),"")</f>
        <v/>
      </c>
      <c r="AD569" s="1037" t="str">
        <f>IFERROR(ROUND(T568*AB569/1000,2),"")</f>
        <v/>
      </c>
      <c r="AE569" s="1045" t="s">
        <v>281</v>
      </c>
      <c r="AF569" s="1469"/>
      <c r="AG569" s="1469"/>
      <c r="AH569" s="1469"/>
      <c r="AI569" s="1469"/>
      <c r="AJ569" s="1476"/>
      <c r="AK569" s="1471"/>
      <c r="AL569" s="1473"/>
      <c r="AM569" s="1443"/>
      <c r="AN569" s="1444"/>
      <c r="AO569" s="1449"/>
      <c r="AP569" s="1449"/>
      <c r="AQ569" s="1450"/>
      <c r="AR569" s="1453"/>
      <c r="AS569" s="1456"/>
      <c r="AT569" s="1459"/>
      <c r="AU569" s="517"/>
      <c r="AV569" s="1480"/>
      <c r="AW569" s="1480"/>
      <c r="BC569" s="38"/>
      <c r="BD569" s="38"/>
      <c r="BE569" s="38"/>
      <c r="BF569" s="38"/>
      <c r="BG569" s="38"/>
      <c r="BH569" s="38"/>
      <c r="BI569" s="38"/>
      <c r="BJ569" s="38"/>
      <c r="BK569" s="38"/>
      <c r="BL569" s="38"/>
      <c r="BM569" s="38"/>
      <c r="BN569" s="38"/>
      <c r="BO569" s="38"/>
      <c r="BP569" s="38"/>
      <c r="BQ569" s="38"/>
      <c r="BR569" s="38"/>
      <c r="BS569" s="38"/>
      <c r="BT569" s="38"/>
      <c r="BU569" s="38"/>
      <c r="BV569" s="38"/>
      <c r="BW569" s="38"/>
      <c r="BX569" s="38"/>
      <c r="BY569" s="38"/>
      <c r="BZ569" s="38"/>
      <c r="CA569" s="38"/>
      <c r="CB569" s="38"/>
      <c r="CC569" s="38"/>
      <c r="CD569" s="38"/>
      <c r="CE569" s="38"/>
      <c r="CF569" s="38"/>
      <c r="CG569" s="38"/>
      <c r="CH569" s="38"/>
      <c r="CI569" s="38"/>
      <c r="CM569" s="1352"/>
      <c r="CN569" s="1352"/>
      <c r="CO569" s="1416"/>
      <c r="CP569" s="1418"/>
      <c r="CR569" s="1386"/>
      <c r="CS569" s="1355"/>
      <c r="CT569" s="1355"/>
      <c r="CU569" s="1375"/>
      <c r="CV569" s="1372"/>
      <c r="CW569" s="1372"/>
      <c r="CX569" s="1372"/>
      <c r="CY569" s="1487"/>
      <c r="CZ569" s="1487"/>
      <c r="DA569" s="1487"/>
      <c r="DC569" s="1355"/>
      <c r="DD569" s="1355"/>
      <c r="DE569" s="1375"/>
      <c r="DF569" s="1407"/>
      <c r="DG569" s="1372"/>
      <c r="DH569" s="1369"/>
      <c r="DK569" s="1484"/>
      <c r="DL569" s="1420"/>
      <c r="DN569" s="1403"/>
      <c r="DO569" s="1405"/>
      <c r="DP569" s="1355"/>
      <c r="DQ569" s="1405"/>
      <c r="DR569" s="1403"/>
      <c r="DS569" s="1489"/>
      <c r="DU569" s="1403"/>
      <c r="DV569" s="1405"/>
      <c r="DW569" s="1403"/>
      <c r="DX569" s="1403"/>
      <c r="DZ569" s="1481"/>
      <c r="EA569" s="1481"/>
      <c r="EC569" s="1482"/>
      <c r="ED569" s="1369"/>
      <c r="EE569" s="1372"/>
      <c r="EF569" s="1369"/>
      <c r="EG569" s="1369"/>
      <c r="EH569" s="1375"/>
      <c r="EI569" s="1375"/>
      <c r="EJ569" s="1363"/>
      <c r="EK569" s="1376"/>
      <c r="EL569" s="1376"/>
      <c r="EM569" s="1362"/>
      <c r="EN569" s="1362"/>
      <c r="EO569" s="1363"/>
      <c r="EP569" s="1363"/>
      <c r="EQ569" s="1363"/>
      <c r="ES569" s="1403"/>
      <c r="EU569" s="1488"/>
      <c r="EV569" s="1488"/>
      <c r="EW569" s="1488"/>
      <c r="EX569" s="1488"/>
      <c r="EY569" s="1488"/>
      <c r="EZ569" s="1414"/>
      <c r="FB569" s="1365"/>
      <c r="FD569" s="1355"/>
      <c r="FE569" s="1355"/>
      <c r="FF569" s="138"/>
      <c r="FI569" s="1357"/>
      <c r="FJ569" s="1357"/>
      <c r="FK569" s="1365"/>
      <c r="FL569" s="1365"/>
      <c r="FM569" s="1365"/>
      <c r="FO569" s="1361"/>
      <c r="FP569" s="1361"/>
      <c r="FQ569" s="1366"/>
      <c r="FR569" s="1361"/>
      <c r="FS569" s="1361"/>
      <c r="FT569" s="1361"/>
      <c r="FU569" s="1360"/>
      <c r="FW569" s="1352"/>
      <c r="FX569" s="1352"/>
      <c r="FY569" s="1352"/>
      <c r="FZ569" s="1352"/>
      <c r="GA569" s="1352"/>
      <c r="GB569" s="1352"/>
      <c r="GC569" s="1352"/>
      <c r="GD569" s="1352"/>
      <c r="GE569" s="759"/>
      <c r="GF569" s="1035"/>
      <c r="GG569" s="1385"/>
      <c r="GJ569" s="1034">
        <f>IF(GJ567=TRUE,0,GJ$16)</f>
        <v>0</v>
      </c>
      <c r="GL569" s="1034">
        <f>IF(GL567=TRUE,0,GL$16)</f>
        <v>36</v>
      </c>
      <c r="GM569" s="1034">
        <f>IF(GM567=TRUE,0,GM$16)</f>
        <v>35</v>
      </c>
      <c r="GN569" s="436"/>
      <c r="GO569" s="436"/>
      <c r="GP569" s="436"/>
      <c r="GQ569" s="436"/>
      <c r="GR569" s="436"/>
      <c r="HC569" s="1034">
        <f t="shared" ref="HC569:HH569" si="418">IF(HC567=TRUE,0,HC$16)</f>
        <v>19</v>
      </c>
      <c r="HD569" s="1034">
        <f t="shared" si="418"/>
        <v>18</v>
      </c>
      <c r="HE569" s="1034">
        <f t="shared" si="418"/>
        <v>17</v>
      </c>
      <c r="HF569" s="1034">
        <f t="shared" si="418"/>
        <v>16</v>
      </c>
      <c r="HG569" s="1034">
        <f t="shared" si="418"/>
        <v>0</v>
      </c>
      <c r="HH569" s="1034">
        <f t="shared" si="418"/>
        <v>0</v>
      </c>
      <c r="HI569" s="1034">
        <f>IF(HI567=TRUE,0,HI$16)</f>
        <v>13</v>
      </c>
      <c r="HJ569" s="1034">
        <f t="shared" ref="HJ569:HL569" si="419">IF(HJ567=TRUE,0,HJ$16)</f>
        <v>12</v>
      </c>
      <c r="HK569" s="1034">
        <f t="shared" si="419"/>
        <v>11</v>
      </c>
      <c r="HL569" s="1034">
        <f t="shared" si="419"/>
        <v>10</v>
      </c>
      <c r="HM569" s="1034">
        <f>IF(HM567=TRUE,0,HM$16)</f>
        <v>9</v>
      </c>
      <c r="HN569" s="1034">
        <f t="shared" ref="HN569:HR569" si="420">IF(HN567=TRUE,0,HN$16)</f>
        <v>0</v>
      </c>
      <c r="HO569" s="1034">
        <f t="shared" si="420"/>
        <v>0</v>
      </c>
      <c r="HP569" s="1034">
        <f t="shared" si="420"/>
        <v>0</v>
      </c>
      <c r="HQ569" s="1034">
        <f t="shared" si="420"/>
        <v>0</v>
      </c>
      <c r="HR569" s="1034">
        <f t="shared" si="420"/>
        <v>0</v>
      </c>
      <c r="HS569" s="1034">
        <f>IF(HS567=TRUE,0,HS$16)</f>
        <v>0</v>
      </c>
      <c r="HT569" s="1034">
        <f t="shared" ref="HT569" si="421">IF(HT567=TRUE,0,HT$16)</f>
        <v>0</v>
      </c>
      <c r="HU569" s="1034">
        <f>IF(HU567=TRUE,0,HU$16)</f>
        <v>1</v>
      </c>
      <c r="HW569" s="1034">
        <f>IF(GL567=FALSE,GL569,IF(GM567=FALSE,GM569,MAX(GJ569:HU569)))</f>
        <v>36</v>
      </c>
      <c r="HX569" s="1383"/>
      <c r="HY569" s="241" t="str">
        <f>VLOOKUP(HW569,_Error_Table,3,FALSE)</f>
        <v xml:space="preserve"> </v>
      </c>
      <c r="HZ569" s="241"/>
      <c r="IA569" s="1386"/>
      <c r="IB569" s="1380"/>
      <c r="IC569" s="1379"/>
      <c r="IF569" s="1380"/>
      <c r="IG569" s="1383"/>
      <c r="IH569" s="1383"/>
      <c r="II569" s="1383"/>
      <c r="IK569" s="1351"/>
      <c r="IL569" s="1351"/>
      <c r="IM569" s="1351"/>
      <c r="IN569" s="1351"/>
      <c r="IO569" s="1351"/>
      <c r="IP569" s="1351"/>
    </row>
    <row r="570" spans="1:250" s="82" customFormat="1" ht="5.0999999999999996" customHeight="1" thickBot="1">
      <c r="B570" s="763"/>
      <c r="C570" s="1038"/>
      <c r="D570" s="1038"/>
      <c r="E570" s="1490"/>
      <c r="F570" s="1490"/>
      <c r="G570" s="1490"/>
      <c r="H570" s="1490"/>
      <c r="I570" s="1490"/>
      <c r="J570" s="1490"/>
      <c r="K570" s="1490"/>
      <c r="L570" s="1490"/>
      <c r="M570" s="1490"/>
      <c r="N570" s="1490"/>
      <c r="O570" s="1490"/>
      <c r="P570" s="1490"/>
      <c r="Q570" s="1490"/>
      <c r="R570" s="1490"/>
      <c r="S570" s="1490"/>
      <c r="T570" s="1490"/>
      <c r="U570" s="1490"/>
      <c r="V570" s="1490"/>
      <c r="W570" s="1490"/>
      <c r="X570" s="1490"/>
      <c r="Y570" s="1490"/>
      <c r="Z570" s="1490"/>
      <c r="AA570" s="1490"/>
      <c r="AB570" s="1490"/>
      <c r="AC570" s="1490"/>
      <c r="AD570" s="1490"/>
      <c r="AE570" s="1490"/>
      <c r="AF570" s="1490"/>
      <c r="AG570" s="1490"/>
      <c r="AH570" s="1490"/>
      <c r="AI570" s="1490"/>
      <c r="AJ570" s="1490"/>
      <c r="AK570" s="1490"/>
      <c r="AL570" s="1490"/>
      <c r="AM570" s="1490"/>
      <c r="AN570" s="1490"/>
      <c r="AO570" s="1490"/>
      <c r="AP570" s="1490"/>
      <c r="AQ570" s="1490"/>
      <c r="AR570" s="1490"/>
      <c r="AS570" s="1490"/>
      <c r="AT570" s="1490"/>
      <c r="AU570" s="1041"/>
      <c r="BC570" s="38"/>
      <c r="BD570" s="38"/>
      <c r="BE570" s="38"/>
      <c r="BF570" s="38"/>
      <c r="BG570" s="38"/>
      <c r="BH570" s="38"/>
      <c r="BI570" s="38"/>
      <c r="BJ570" s="38"/>
      <c r="BK570" s="38"/>
      <c r="BL570" s="38"/>
      <c r="BM570" s="38"/>
      <c r="BN570" s="38"/>
      <c r="BO570" s="38"/>
      <c r="BP570" s="38"/>
      <c r="BQ570" s="38"/>
      <c r="BR570" s="38"/>
      <c r="BS570" s="38"/>
      <c r="BT570" s="38"/>
      <c r="BU570" s="38"/>
      <c r="BV570" s="38"/>
      <c r="BW570" s="38"/>
      <c r="BX570" s="38"/>
      <c r="BY570" s="38"/>
      <c r="BZ570" s="38"/>
      <c r="CA570" s="38"/>
      <c r="CB570" s="38"/>
      <c r="CC570" s="38"/>
      <c r="CD570" s="38"/>
      <c r="CE570" s="38"/>
      <c r="CF570" s="38"/>
      <c r="CG570" s="38"/>
      <c r="CH570" s="38"/>
      <c r="CI570" s="38"/>
      <c r="CM570" s="749"/>
      <c r="CN570" s="749"/>
      <c r="CO570" s="1043"/>
      <c r="CP570" s="749"/>
      <c r="CS570" s="436"/>
      <c r="CT570" s="436"/>
      <c r="CU570" s="243"/>
      <c r="CV570" s="244"/>
      <c r="CW570" s="244"/>
      <c r="CX570" s="244"/>
      <c r="CY570" s="245"/>
      <c r="CZ570" s="245"/>
      <c r="DA570" s="245"/>
      <c r="DC570" s="750"/>
      <c r="DD570" s="751"/>
      <c r="DE570" s="752"/>
      <c r="DF570" s="753"/>
      <c r="DG570" s="754"/>
      <c r="DH570" s="754"/>
      <c r="DK570" s="244"/>
      <c r="DL570" s="750"/>
      <c r="DN570" s="750"/>
      <c r="DO570" s="755"/>
      <c r="DP570" s="436"/>
      <c r="DQ570" s="750"/>
      <c r="DR570" s="750"/>
      <c r="DS570" s="750"/>
      <c r="DU570" s="750"/>
      <c r="DV570" s="750"/>
      <c r="DW570" s="750"/>
      <c r="DX570" s="750"/>
      <c r="DZ570" s="756"/>
      <c r="EA570" s="756"/>
      <c r="EC570" s="754"/>
      <c r="ED570" s="754"/>
      <c r="EE570" s="244"/>
      <c r="EF570" s="754"/>
      <c r="EG570" s="754"/>
      <c r="EH570" s="243"/>
      <c r="EI570" s="243"/>
      <c r="EJ570" s="752"/>
      <c r="EK570" s="757"/>
      <c r="EL570" s="757"/>
      <c r="EM570" s="758"/>
      <c r="EN570" s="758"/>
      <c r="EO570" s="752"/>
      <c r="EP570" s="752"/>
      <c r="EQ570" s="752"/>
      <c r="ES570" s="750"/>
      <c r="EU570" s="436"/>
      <c r="EV570" s="436"/>
      <c r="EW570" s="436"/>
      <c r="EX570" s="436"/>
      <c r="EY570" s="436"/>
      <c r="EZ570" s="436"/>
      <c r="FB570" s="643"/>
      <c r="FD570" s="436"/>
      <c r="FE570" s="436"/>
      <c r="FF570" s="436"/>
      <c r="FO570" s="750"/>
      <c r="FP570" s="436"/>
      <c r="FQ570" s="436"/>
      <c r="FR570" s="750"/>
      <c r="FS570" s="750"/>
      <c r="FW570" s="749"/>
      <c r="FX570" s="749"/>
      <c r="FY570" s="749"/>
      <c r="FZ570" s="749"/>
      <c r="GA570" s="749"/>
      <c r="GB570" s="749"/>
      <c r="GC570" s="749"/>
      <c r="GD570" s="749"/>
      <c r="GE570" s="751"/>
      <c r="GF570" s="750"/>
      <c r="GG570" s="750"/>
    </row>
    <row r="571" spans="1:250" s="82" customFormat="1" ht="14.95" customHeight="1" thickTop="1" thickBot="1">
      <c r="B571" s="1421" t="str">
        <f>HY574</f>
        <v xml:space="preserve"> </v>
      </c>
      <c r="C571" s="1422">
        <f>C566+1</f>
        <v>103</v>
      </c>
      <c r="D571" s="1423"/>
      <c r="E571" s="1424" t="s">
        <v>242</v>
      </c>
      <c r="F571" s="1425"/>
      <c r="G571" s="1426"/>
      <c r="H571" s="1427"/>
      <c r="I571" s="1427"/>
      <c r="J571" s="1427"/>
      <c r="K571" s="1427"/>
      <c r="L571" s="1427"/>
      <c r="M571" s="1427"/>
      <c r="N571" s="1427"/>
      <c r="O571" s="1427"/>
      <c r="P571" s="1427"/>
      <c r="Q571" s="1427"/>
      <c r="R571" s="1427"/>
      <c r="S571" s="1428" t="s">
        <v>283</v>
      </c>
      <c r="T571" s="668" t="s">
        <v>190</v>
      </c>
      <c r="U571" s="1430" t="s">
        <v>186</v>
      </c>
      <c r="V571" s="1431"/>
      <c r="W571" s="1431"/>
      <c r="X571" s="1431"/>
      <c r="Y571" s="1431"/>
      <c r="Z571" s="1431"/>
      <c r="AA571" s="1431"/>
      <c r="AB571" s="1088" t="str">
        <f>IFERROR(IF(__Retrofit_TI_NC=0,VLOOKUP(U572,Fixtures_Existing_List,2,FALSE),ROUND(N573*R573/T573,10)),"")</f>
        <v/>
      </c>
      <c r="AC571" s="1039" t="str">
        <f>IFERROR(IF(__Retrofit_TI_NC=0,ROUND(T572*AB571*N572*R572/1000,0),IF(CN571="Interior",N573*R573*R572*N572*_C406_reduction/1000,N573*R573*R572*N572/1000)),"")</f>
        <v/>
      </c>
      <c r="AD571" s="1040" t="str">
        <f>IFERROR(IF(C$36=0,ROUND(T572*AB571/1000,2),N573*R573/1000),"")</f>
        <v/>
      </c>
      <c r="AE571" s="1044" t="s">
        <v>190</v>
      </c>
      <c r="AF571" s="1432" t="str">
        <f>IF(__Retrofit_TI_NC=2,CONCATENATE("Code min = ",DD571),IF(__Retrofit_TI_NC=1,"Emter what you think the existing control was"," Control"))</f>
        <v xml:space="preserve"> Control</v>
      </c>
      <c r="AG571" s="1432"/>
      <c r="AH571" s="1432"/>
      <c r="AI571" s="1432"/>
      <c r="AJ571" s="1433">
        <f>DF571</f>
        <v>0</v>
      </c>
      <c r="AK571" s="1435" t="str">
        <f>IFERROR(ROUND(AJ571*AC571,0),"")</f>
        <v/>
      </c>
      <c r="AL571" s="1437">
        <f>IFERROR(IF(HW571=FALSE,0,AC571-AK571),0)</f>
        <v>0</v>
      </c>
      <c r="AM571" s="1439">
        <f>AL571-AL573</f>
        <v>0</v>
      </c>
      <c r="AN571" s="1440"/>
      <c r="AO571" s="1445">
        <f>IFERROR(IF(HW571=FALSE,0,(T573*U574)+(AE573*AF574)),0)</f>
        <v>0</v>
      </c>
      <c r="AP571" s="1445"/>
      <c r="AQ571" s="1446"/>
      <c r="AR571" s="1451" t="s">
        <v>157</v>
      </c>
      <c r="AS571" s="1454">
        <f>IF(AR571="Yes",1,0)</f>
        <v>1</v>
      </c>
      <c r="AT571" s="1457" t="str">
        <f>IF(OR(DN571=4,DN571=5,DN571=6,DN571=12),CONCATENATE("$",IF(GD571=TRUE,Lookup!$B$11,Lookup!$B$2)," /lamp"),CONCATENATE(EA571,"/ kWh"))</f>
        <v>0/ kWh</v>
      </c>
      <c r="AU571" s="516"/>
      <c r="AV571" s="1478">
        <f>IFERROR(IF(GI572=TRUE,(AB574*T573)/R573,0),"NA")</f>
        <v>0</v>
      </c>
      <c r="AW571" s="1478" t="str">
        <f>IFERROR(N573*_C406_reduction,"NA")</f>
        <v>NA</v>
      </c>
      <c r="BC571" s="38"/>
      <c r="BD571" s="38"/>
      <c r="BE571" s="38"/>
      <c r="BF571" s="38"/>
      <c r="BG571" s="38"/>
      <c r="BH571" s="38"/>
      <c r="BI571" s="38"/>
      <c r="BJ571" s="38"/>
      <c r="BK571" s="38"/>
      <c r="BL571" s="38"/>
      <c r="BM571" s="38"/>
      <c r="BN571" s="38"/>
      <c r="BO571" s="38"/>
      <c r="BP571" s="38"/>
      <c r="BQ571" s="38"/>
      <c r="BR571" s="38"/>
      <c r="BS571" s="38"/>
      <c r="BT571" s="38"/>
      <c r="BU571" s="38"/>
      <c r="BV571" s="38"/>
      <c r="BW571" s="38"/>
      <c r="BX571" s="38"/>
      <c r="BY571" s="38"/>
      <c r="BZ571" s="38"/>
      <c r="CA571" s="38"/>
      <c r="CB571" s="38"/>
      <c r="CC571" s="38"/>
      <c r="CD571" s="38"/>
      <c r="CE571" s="38"/>
      <c r="CF571" s="38"/>
      <c r="CG571" s="38"/>
      <c r="CH571" s="38"/>
      <c r="CI571" s="38"/>
      <c r="CM571" s="1352" t="str">
        <f>N572</f>
        <v/>
      </c>
      <c r="CN571" s="1352" t="str">
        <f>IFERROR(VLOOKUP(G572,_Lookup_Heat_Type_Table_New,3,FALSE),"")</f>
        <v/>
      </c>
      <c r="CO571" s="1415" t="str">
        <f>CN571</f>
        <v/>
      </c>
      <c r="CP571" s="1417" t="e">
        <f>VLOOKUP(G573,'Space Table'!$B$3:$L$160,9,FALSE)</f>
        <v>#N/A</v>
      </c>
      <c r="CR571" s="1386" t="s">
        <v>283</v>
      </c>
      <c r="CS571" s="1353">
        <f>IF(HW571=TRUE,T572,0)</f>
        <v>0</v>
      </c>
      <c r="CT571" s="1353" t="str">
        <f>IF(HW571=TRUE,U572,"")</f>
        <v/>
      </c>
      <c r="CU571" s="1353"/>
      <c r="CV571" s="1370">
        <f>IF(HW571=TRUE,AB571,0)</f>
        <v>0</v>
      </c>
      <c r="CW571" s="1370">
        <f>IF(HW571=TRUE,AC571,0)</f>
        <v>0</v>
      </c>
      <c r="CX571" s="1370">
        <f>IFERROR(IF(HW571=TRUE,CW571-CW573,0),0)</f>
        <v>0</v>
      </c>
      <c r="CY571" s="1485">
        <f>IF(HW571=TRUE,AD571,0)</f>
        <v>0</v>
      </c>
      <c r="CZ571" s="1485">
        <f>IF(HW571=TRUE,AD574,0)</f>
        <v>0</v>
      </c>
      <c r="DA571" s="1485">
        <f>IFERROR(CY571-CZ571,0)</f>
        <v>0</v>
      </c>
      <c r="DC571" s="1353">
        <f>IF(HW571=TRUE,AE572,0)</f>
        <v>0</v>
      </c>
      <c r="DD571" s="1460">
        <f>IF(__Retrofit_TI_NC=2,IF(CN571="Exterior",O574,FM571),FK571)</f>
        <v>0</v>
      </c>
      <c r="DE571" s="1353"/>
      <c r="DF571" s="1406">
        <f>IFERROR(IF(FL571=3,IK571,IF(FL571=4,IL571,IF(FL571=5,IM571,IF(FL571=6,IN571,IF(FL571=7,IO571,IF(FL571=8,IP571,0)))))),0)</f>
        <v>0</v>
      </c>
      <c r="DG571" s="1370">
        <f>IF(HW571=TRUE,AK571,0)</f>
        <v>0</v>
      </c>
      <c r="DH571" s="1369">
        <f>IFERROR(IF(HW571=TRUE,DG573-DG571,0),0)</f>
        <v>0</v>
      </c>
      <c r="DJ571" s="1483">
        <f>IFERROR(CW571-DG571,0)</f>
        <v>0</v>
      </c>
      <c r="DL571" s="1419">
        <f>DJ571-DK573</f>
        <v>0</v>
      </c>
      <c r="DN571" s="1403" t="str">
        <f>IFERROR(IF(AND(OR(FY571=4,FY571=5,FY571=6),OR(GB571=4,GB571=5,GB571=6)),FY571+8,VLOOKUP(CT573,Fixtures!R$31:Y$78,8,FALSE)),"")</f>
        <v/>
      </c>
      <c r="DO571" s="1404" t="str">
        <f>DN571</f>
        <v/>
      </c>
      <c r="DP571" s="1353" t="str">
        <f>IFERROR(VLOOKUP(DD573,Lookup!AU$3:AV$15,2,FALSE),"")</f>
        <v/>
      </c>
      <c r="DQ571" s="1404" t="str">
        <f>IF(DP571=7,"LLLC","")</f>
        <v/>
      </c>
      <c r="DR571" s="1403">
        <f>IFERROR(IF(OR(DN571=4,DN571=5,DN571=6,DN571=12,DN571=13,DN571=14),VLOOKUP(CT573,Fixtures!DN$27:EG$77,19,FALSE),1)*CS573,0)</f>
        <v>0</v>
      </c>
      <c r="DS571" s="1489">
        <f>IF(DP571=7,IF(DD571=DD573,0,DC573),0)</f>
        <v>0</v>
      </c>
      <c r="DU571" s="1403" t="str">
        <f>IFERROR(IF(EW571&lt;EW573,"Yes","No"),"")</f>
        <v/>
      </c>
      <c r="DV571" s="1404" t="str">
        <f>DU571</f>
        <v/>
      </c>
      <c r="DW571" s="1403">
        <f>IF(DU571="Yes",DC573,0)</f>
        <v>0</v>
      </c>
      <c r="DX571" s="1403">
        <f>DW571-DS571</f>
        <v>0</v>
      </c>
      <c r="DZ571" s="1481">
        <f>IFERROR(VLOOKUP(DN571,Lookup!AN$3:AO$16,2,FALSE),0)</f>
        <v>0</v>
      </c>
      <c r="EA571" s="1481">
        <f>IF(HW571=FALSE,0,IF(DU571="Yes",DZ571+Lookup!B$6,DZ571))</f>
        <v>0</v>
      </c>
      <c r="EC571" s="1482">
        <f>IF(HW571=TRUE,DJ571,0)</f>
        <v>0</v>
      </c>
      <c r="ED571" s="1369">
        <f>IF(HW571=TRUE,CW573,0)</f>
        <v>0</v>
      </c>
      <c r="EE571" s="1370">
        <f>IFERROR(EC571-ED571,0)</f>
        <v>0</v>
      </c>
      <c r="EF571" s="1369">
        <f>IF(HW571=TRUE,DG573,0)</f>
        <v>0</v>
      </c>
      <c r="EG571" s="1369">
        <f>IFERROR(EC571-ED571+EF571,0)</f>
        <v>0</v>
      </c>
      <c r="EH571" s="1373">
        <f>IF(HW571=TRUE,CS573*CU573,0)</f>
        <v>0</v>
      </c>
      <c r="EI571" s="1373">
        <f>IF(HW571=TRUE,DC573*DE573,0)</f>
        <v>0</v>
      </c>
      <c r="EJ571" s="1363">
        <f>AO571</f>
        <v>0</v>
      </c>
      <c r="EK571" s="1376" t="str">
        <f>IFERROR(IF(HW571=TRUE,VLOOKUP(DN571,Lookup!AN$3:AP$16,3,FALSE)*DR571,""),0)</f>
        <v/>
      </c>
      <c r="EL571" s="1376">
        <f>IF(HW571=TRUE,DW571*Lookup!AP$12,0)</f>
        <v>0</v>
      </c>
      <c r="EM571" s="1362">
        <f>IFERROR(IF(HW571=TRUE,EK571/EM$33,0),0)</f>
        <v>0</v>
      </c>
      <c r="EN571" s="1362">
        <f>IF(HW571=TRUE,EL571/EN$33,0)</f>
        <v>0</v>
      </c>
      <c r="EO571" s="1363">
        <f>IF(HW571=TRUE,EQ$33*EM571,0)</f>
        <v>0</v>
      </c>
      <c r="EP571" s="1363">
        <f>IF(HW571=TRUE,EQ$33*EN571,0)</f>
        <v>0</v>
      </c>
      <c r="EQ571" s="1363">
        <f>EO571+EP571</f>
        <v>0</v>
      </c>
      <c r="ES571" s="1403">
        <f>IF(G571="",0,1)</f>
        <v>0</v>
      </c>
      <c r="EU571" s="1410" t="e">
        <f>VLOOKUP(CP573,'Space Table'!$B$3:$L$160,8,FALSE)</f>
        <v>#N/A</v>
      </c>
      <c r="EV571" s="1410" t="e">
        <f>IF(EY571="Yes",VLOOKUP(DD571,Lookup_Control_Type_Table2,4,FALSE),VLOOKUP(DD571,Lookup_Control_Type_Table2,3,FALSE))</f>
        <v>#N/A</v>
      </c>
      <c r="EW571" s="1410" t="e">
        <f>VLOOKUP(DD571,Lookup!AU$3:AV$15,2,FALSE)</f>
        <v>#N/A</v>
      </c>
      <c r="EX571" s="1410" t="e">
        <f>VLOOKUP(EU571,Lookup_Control_Type_Table,2,FALSE)</f>
        <v>#N/A</v>
      </c>
      <c r="EY571" s="1410" t="e">
        <f>VLOOKUP(CP573,'Space Table'!$B$3:$L$160,7,FALSE)</f>
        <v>#N/A</v>
      </c>
      <c r="EZ571" s="1412" t="b">
        <f>ISNUMBER(SEARCH("TLED",U573))</f>
        <v>0</v>
      </c>
      <c r="FB571" s="1365" t="str">
        <f>CONCATENATE(CN571," - ",DD571)</f>
        <v xml:space="preserve"> - 0</v>
      </c>
      <c r="FD571" s="1353" t="str">
        <f>VLOOKUP(CT573,Fixtures!DN$27:EZ$77,38,FALSE)</f>
        <v/>
      </c>
      <c r="FE571" s="1353">
        <f>IFERROR(FD571*EE571,0)</f>
        <v>0</v>
      </c>
      <c r="FF571" s="138"/>
      <c r="FI571" s="1356" t="str">
        <f>IF(CN571="Exterior","Not Daylighted",G574)</f>
        <v>Not Daylighted</v>
      </c>
      <c r="FJ571" s="1356">
        <f>VLOOKUP(FI571,_Daylight_Table_Codes,2,FALSE)</f>
        <v>0</v>
      </c>
      <c r="FK571" s="1365">
        <f>IF(__Retrofit_TI_NC=2,VLOOKUP(G573,'Space Table'!$B$3:$L$160,11,FALSE),AF572)</f>
        <v>0</v>
      </c>
      <c r="FL571" s="1365" t="e">
        <f>VLOOKUP(FK571,_Control_Table,2,FALSE)</f>
        <v>#N/A</v>
      </c>
      <c r="FM571" s="1365" t="e">
        <f>IF(AND(FP571&gt;0,FK571="Occupancy Sensor"),"Daylight + Occupancy",IF(AND(FP571&gt;0,FL571&lt;4),"Interior Daylight Dimming",FK571))</f>
        <v>#N/A</v>
      </c>
      <c r="FO571" s="1364">
        <f>IF(CO571="Interior",VLOOKUP(CP571,Control_Savings_Interior,5,FALSE),0)</f>
        <v>0</v>
      </c>
      <c r="FP571" s="1361">
        <f>IF(CN571="Exterior",0,IF(FJ571=2,0.5,IF(OR(FJ571=1,FJ571=3),1,0)))</f>
        <v>0</v>
      </c>
      <c r="FQ571" s="1366"/>
      <c r="FR571" s="1367"/>
      <c r="FS571" s="1364"/>
      <c r="FT571" s="1367"/>
      <c r="FU571" s="1360"/>
      <c r="FW571" s="1352" t="str">
        <f>IFERROR(VLOOKUP(U572,_Exist_Fixture_Table,3,FALSE),"")</f>
        <v/>
      </c>
      <c r="FX571" s="1352" t="str">
        <f>VLOOKUP(CT571,_Exist_Fixture_Table,4,FALSE)</f>
        <v/>
      </c>
      <c r="FY571" s="1352">
        <f>IFERROR(VLOOKUP(FX571,Lookup!AM$6:AN$8,2,FALSE),0)</f>
        <v>0</v>
      </c>
      <c r="FZ571" s="1352" t="b">
        <f>IFERROR(IF(OR(GB571=4,GB571=5,GB571=6),TRUE,FALSE),"")</f>
        <v>0</v>
      </c>
      <c r="GA571" s="1352" t="str">
        <f>IFERROR(VLOOKUP(GB571,FY$6:FZ$10,2,FALSE),"")</f>
        <v/>
      </c>
      <c r="GB571" s="1352" t="str">
        <f>VLOOKUP(CT573,Fixtures!R$31:Y$78,8,FALSE)</f>
        <v/>
      </c>
      <c r="GC571" s="1352">
        <f>IF(AND(FW571=TRUE,FZ571=TRUE,OR(DN571=12,DN571=13,DN571=14)),FY571+8,0)</f>
        <v>0</v>
      </c>
      <c r="GD571" s="1352" t="b">
        <f>IF(OR(GC571=12,GC571=13,GC571=14),TRUE,FALSE)</f>
        <v>0</v>
      </c>
      <c r="GE571" s="759" t="b">
        <f>IF(ISNUMBER(SEARCH("TLED",U572)),TRUE,FALSE)</f>
        <v>0</v>
      </c>
      <c r="GF571" s="1035" t="str">
        <f>IFERROR(VLOOKUP(U572,Fixtures!BM$93:BR$142,6,FALSE),"")</f>
        <v/>
      </c>
      <c r="GG571" s="1385" t="b">
        <f>IF(OR(GE571=FALSE,GE573=FALSE),TRUE,IF(GF571-GF573&lt;5,FALSE,TRUE))</f>
        <v>1</v>
      </c>
      <c r="GK571" s="1034">
        <f>GL571</f>
        <v>0</v>
      </c>
      <c r="GL571" s="1034">
        <f>IF(G571="",0,1)</f>
        <v>0</v>
      </c>
      <c r="GM571" s="1034">
        <f>SUM(GN571:HB571)</f>
        <v>2</v>
      </c>
      <c r="GN571" s="1034">
        <f>IF(G572="",0,1)</f>
        <v>0</v>
      </c>
      <c r="GO571" s="1034">
        <f>IF(G573="",0,1)</f>
        <v>0</v>
      </c>
      <c r="GP571" s="1034">
        <f>IF(R572="",0,1)</f>
        <v>0</v>
      </c>
      <c r="GQ571" s="1034">
        <f>IF(__Retrofit_TI_NC=0,1,IF(R573="",0,1))</f>
        <v>1</v>
      </c>
      <c r="GR571" s="1034">
        <f>IF(CN571="Exterior",1,IF(G574="",0,1))</f>
        <v>1</v>
      </c>
      <c r="GS571" s="1034">
        <f>IF(__Retrofit_TI_NC&lt;&gt;0,1,IF(T572="",0,1))</f>
        <v>0</v>
      </c>
      <c r="GT571" s="1034">
        <f>IF(__Retrofit_TI_NC&lt;&gt;0,1,IF(U572="",0,1))</f>
        <v>0</v>
      </c>
      <c r="GU571" s="1034">
        <f>IF(T573="",0,1)</f>
        <v>0</v>
      </c>
      <c r="GV571" s="1034">
        <f>IF(U573="",0,1)</f>
        <v>0</v>
      </c>
      <c r="GW571" s="1034">
        <f>IF(__Retrofit_TI_NC=2,1,IF(U574="",0,1))</f>
        <v>0</v>
      </c>
      <c r="GX571" s="1034">
        <f>IF(__Retrofit_TI_NC&lt;&gt;0,1,IF(AE572="",0,1))</f>
        <v>0</v>
      </c>
      <c r="GY571" s="1034">
        <f>IF(__Retrofit_TI_NC&lt;&gt;0,1,IF(AF572="",0,1))</f>
        <v>0</v>
      </c>
      <c r="GZ571" s="1034">
        <f>IF(AE573="",0,1)</f>
        <v>0</v>
      </c>
      <c r="HA571" s="1034">
        <f>IF(AF573="",0,1)</f>
        <v>0</v>
      </c>
      <c r="HB571" s="1034">
        <f>IF(__Retrofit_TI_NC=2,1,IF(AF574="",0,1))</f>
        <v>0</v>
      </c>
      <c r="HV571" s="436"/>
      <c r="HW571" s="1384" t="b">
        <f>IF(OR(HW574=0,HW574=HT$16,HW574=HS$16,HW574=HU$16),TRUE,FALSE)</f>
        <v>0</v>
      </c>
      <c r="HX571" s="1377" t="b">
        <f>HW571</f>
        <v>0</v>
      </c>
      <c r="HY571" s="436"/>
      <c r="HZ571" s="436"/>
      <c r="IA571" s="1386" t="b">
        <f>IF(MAX(GJ574:HP574)&gt;5,FALSE,TRUE)</f>
        <v>0</v>
      </c>
      <c r="IB571" s="1380">
        <f>IF(IA571=TRUE,AC571,0)</f>
        <v>0</v>
      </c>
      <c r="IC571" s="1380">
        <f>IB571-IB573</f>
        <v>0</v>
      </c>
      <c r="IF571" s="1380" t="e">
        <f>ROUND(T572*VLOOKUP(U572,Fixtures_Existing_List,2,FALSE)*N572*R572/1000,0)</f>
        <v>#N/A</v>
      </c>
      <c r="IG571" s="1381" t="e">
        <f>IF571-IF573</f>
        <v>#N/A</v>
      </c>
      <c r="IH571" s="1384" t="e">
        <f>ROUND(IF(CN571="Interior",N573*R573*R572*N572*_C406_reduction/1000,N573*R573*R572*N572/1000),0)</f>
        <v>#N/A</v>
      </c>
      <c r="II571" s="1384" t="e">
        <f>IH571-IH573</f>
        <v>#N/A</v>
      </c>
      <c r="IK571" s="1351" t="e">
        <f>IF($CO571="interior",IL571/2,VLOOKUP($CP571,Control_Savings_Exterior,IK$30,FALSE))</f>
        <v>#N/A</v>
      </c>
      <c r="IL571" s="1351" t="e">
        <f>IF($CO571="interior",VLOOKUP($CP571,Control_Savings_Interior,IL$30,FALSE),VLOOKUP($CP571,Control_Savings_Exterior,IL$30,FALSE))</f>
        <v>#N/A</v>
      </c>
      <c r="IM571" s="1351" t="e">
        <f>IF($CO571="interior",IF(R572&gt;FO$37,(IM$28*(FO$37/R572)),IM$28)*FP571,VLOOKUP($CP571,Control_Savings_Exterior,IM$30,FALSE))</f>
        <v>#N/A</v>
      </c>
      <c r="IN571" s="1351" t="e">
        <f>IF($CO571="interior",ROUND(((1-IL571)*IM571)+IL571,2),VLOOKUP($CP571,Control_Savings_Exterior,IN$30,FALSE))</f>
        <v>#N/A</v>
      </c>
      <c r="IO571" s="1351" t="e">
        <f>IF($CO571="interior", ROUND(((1-IL571)*(IM571*(1-IP$28)))+IP571,2), VLOOKUP($CP571,Control_Savings_Exterior,IO$30,FALSE))</f>
        <v>#N/A</v>
      </c>
      <c r="IP571" s="1351">
        <f>IF($CO571="interior",ROUND(((1-IL571)*IP$28)+IL571,2),0)</f>
        <v>0</v>
      </c>
    </row>
    <row r="572" spans="1:250" s="82" customFormat="1" ht="14.95" customHeight="1" thickTop="1" thickBot="1">
      <c r="B572" s="1421"/>
      <c r="C572" s="1422"/>
      <c r="D572" s="1423"/>
      <c r="E572" s="1393" t="s">
        <v>244</v>
      </c>
      <c r="F572" s="1394"/>
      <c r="G572" s="1395"/>
      <c r="H572" s="1395"/>
      <c r="I572" s="1395"/>
      <c r="J572" s="1395"/>
      <c r="K572" s="1395"/>
      <c r="L572" s="1395"/>
      <c r="M572" s="509" t="e">
        <f>IF(__Retrofit_TI_NC&lt;&gt;0,IF(VLOOKUP(G573,'Space Table'!$B$3:$L$160,3,FALSE)&gt;0,1,0),IF(__Retrofit_TI_NC=VLOOKUP(G573,'Space Table'!$B$3:$L$160,3,FALSE),1,0))</f>
        <v>#N/A</v>
      </c>
      <c r="N572" s="509" t="str">
        <f>IFERROR(VLOOKUP(G572,_Lookup_Heat_Type_Table_New,2,FALSE),"")</f>
        <v/>
      </c>
      <c r="O572" s="509">
        <f>IF(__Retrofit_TI_NC=1,CONCATENATE("TI ",G572),IF(__Retrofit_TI_NC=2,CONCATENATE("NC ",G572),G572))</f>
        <v>0</v>
      </c>
      <c r="P572" s="1396" t="s">
        <v>352</v>
      </c>
      <c r="Q572" s="1396"/>
      <c r="R572" s="673"/>
      <c r="S572" s="1429"/>
      <c r="T572" s="675"/>
      <c r="U572" s="1496"/>
      <c r="V572" s="1497"/>
      <c r="W572" s="1497"/>
      <c r="X572" s="1497"/>
      <c r="Y572" s="1497"/>
      <c r="Z572" s="1497"/>
      <c r="AA572" s="1497"/>
      <c r="AB572" s="1497"/>
      <c r="AC572" s="1497"/>
      <c r="AD572" s="1498"/>
      <c r="AE572" s="675"/>
      <c r="AF572" s="1397"/>
      <c r="AG572" s="1397"/>
      <c r="AH572" s="1397"/>
      <c r="AI572" s="1397"/>
      <c r="AJ572" s="1434"/>
      <c r="AK572" s="1436"/>
      <c r="AL572" s="1438"/>
      <c r="AM572" s="1441"/>
      <c r="AN572" s="1442"/>
      <c r="AO572" s="1447"/>
      <c r="AP572" s="1447"/>
      <c r="AQ572" s="1448"/>
      <c r="AR572" s="1452"/>
      <c r="AS572" s="1455"/>
      <c r="AT572" s="1458"/>
      <c r="AU572" s="516"/>
      <c r="AV572" s="1479"/>
      <c r="AW572" s="1479"/>
      <c r="BC572" s="38"/>
      <c r="BD572" s="38"/>
      <c r="BE572" s="38"/>
      <c r="BF572" s="38"/>
      <c r="BG572" s="38"/>
      <c r="BH572" s="38"/>
      <c r="BI572" s="38"/>
      <c r="BJ572" s="38"/>
      <c r="BK572" s="38"/>
      <c r="BL572" s="38"/>
      <c r="BM572" s="38"/>
      <c r="BN572" s="38"/>
      <c r="BO572" s="38"/>
      <c r="BP572" s="38"/>
      <c r="BQ572" s="38"/>
      <c r="BR572" s="38"/>
      <c r="BS572" s="38"/>
      <c r="BT572" s="38"/>
      <c r="BU572" s="38"/>
      <c r="BV572" s="38"/>
      <c r="BW572" s="38"/>
      <c r="BX572" s="38"/>
      <c r="BY572" s="38"/>
      <c r="BZ572" s="38"/>
      <c r="CA572" s="38"/>
      <c r="CB572" s="38"/>
      <c r="CC572" s="38"/>
      <c r="CD572" s="38"/>
      <c r="CE572" s="38"/>
      <c r="CF572" s="38"/>
      <c r="CG572" s="38"/>
      <c r="CH572" s="38"/>
      <c r="CI572" s="38"/>
      <c r="CM572" s="1352"/>
      <c r="CN572" s="1352"/>
      <c r="CO572" s="1416"/>
      <c r="CP572" s="1418"/>
      <c r="CR572" s="1386"/>
      <c r="CS572" s="1355"/>
      <c r="CT572" s="1355"/>
      <c r="CU572" s="1355"/>
      <c r="CV572" s="1372"/>
      <c r="CW572" s="1372"/>
      <c r="CX572" s="1371"/>
      <c r="CY572" s="1486"/>
      <c r="CZ572" s="1486"/>
      <c r="DA572" s="1486"/>
      <c r="DC572" s="1355"/>
      <c r="DD572" s="1461"/>
      <c r="DE572" s="1355"/>
      <c r="DF572" s="1407"/>
      <c r="DG572" s="1372"/>
      <c r="DH572" s="1369"/>
      <c r="DJ572" s="1484"/>
      <c r="DL572" s="1419"/>
      <c r="DN572" s="1403"/>
      <c r="DO572" s="1405"/>
      <c r="DP572" s="1354"/>
      <c r="DQ572" s="1405"/>
      <c r="DR572" s="1403"/>
      <c r="DS572" s="1489"/>
      <c r="DU572" s="1403"/>
      <c r="DV572" s="1405"/>
      <c r="DW572" s="1403"/>
      <c r="DX572" s="1403"/>
      <c r="DZ572" s="1481"/>
      <c r="EA572" s="1481"/>
      <c r="EC572" s="1482"/>
      <c r="ED572" s="1369"/>
      <c r="EE572" s="1371"/>
      <c r="EF572" s="1369"/>
      <c r="EG572" s="1369"/>
      <c r="EH572" s="1374"/>
      <c r="EI572" s="1374"/>
      <c r="EJ572" s="1363"/>
      <c r="EK572" s="1376"/>
      <c r="EL572" s="1376"/>
      <c r="EM572" s="1362"/>
      <c r="EN572" s="1362"/>
      <c r="EO572" s="1363"/>
      <c r="EP572" s="1363"/>
      <c r="EQ572" s="1363"/>
      <c r="ES572" s="1403"/>
      <c r="EU572" s="1411"/>
      <c r="EV572" s="1411"/>
      <c r="EW572" s="1411"/>
      <c r="EX572" s="1411"/>
      <c r="EY572" s="1411"/>
      <c r="EZ572" s="1413"/>
      <c r="FB572" s="1365"/>
      <c r="FD572" s="1354"/>
      <c r="FE572" s="1354"/>
      <c r="FF572" s="138"/>
      <c r="FI572" s="1357"/>
      <c r="FJ572" s="1357"/>
      <c r="FK572" s="1365"/>
      <c r="FL572" s="1365"/>
      <c r="FM572" s="1365"/>
      <c r="FO572" s="1361"/>
      <c r="FP572" s="1361"/>
      <c r="FQ572" s="1366"/>
      <c r="FR572" s="1368"/>
      <c r="FS572" s="1361"/>
      <c r="FT572" s="1368"/>
      <c r="FU572" s="1360"/>
      <c r="FW572" s="1352"/>
      <c r="FX572" s="1352"/>
      <c r="FY572" s="1352"/>
      <c r="FZ572" s="1352"/>
      <c r="GA572" s="1352"/>
      <c r="GB572" s="1352"/>
      <c r="GC572" s="1352"/>
      <c r="GD572" s="1352"/>
      <c r="GE572" s="759"/>
      <c r="GF572" s="1035"/>
      <c r="GG572" s="1385"/>
      <c r="GI572" s="1384" t="b">
        <f>IF(AND(GL572=TRUE,GM572=TRUE),TRUE,FALSE)</f>
        <v>0</v>
      </c>
      <c r="GJ572" s="1379" t="b">
        <f>IFERROR(IF(__Retrofit_TI_NC=2,TRUE,IF(AR571="Yes",TRUE,FALSE)),FALSE)</f>
        <v>1</v>
      </c>
      <c r="GL572" s="1379" t="b">
        <f>IFERROR(IF(GL571=1,TRUE,FALSE),FALSE)</f>
        <v>0</v>
      </c>
      <c r="GM572" s="1379" t="b">
        <f>IFERROR(IF(GM571=GM$14,TRUE,FALSE),FALSE)</f>
        <v>0</v>
      </c>
      <c r="HC572" s="1379" t="b">
        <f>IFERROR(IF(M572=1,TRUE,FALSE),FALSE)</f>
        <v>0</v>
      </c>
      <c r="HD572" s="1379" t="b">
        <f>IFERROR(IF(M573=1,TRUE,FALSE),FALSE)</f>
        <v>0</v>
      </c>
      <c r="HE572" s="1379" t="b">
        <f>IFERROR(IF(__Retrofit_TI_NC&lt;&gt;0,TRUE,IFERROR(IF(VLOOKUP(U572,Fixtures_Existing_List,2,FALSE)&lt;&gt;"",TRUE,FALSE),FALSE)),FALSE)</f>
        <v>0</v>
      </c>
      <c r="HF572" s="1379" t="b">
        <f>IFERROR(IF(VLOOKUP(U573,Fixtures_Proposed_List,2,FALSE)&lt;&gt;"",TRUE,FALSE),FALSE)</f>
        <v>0</v>
      </c>
      <c r="HG572" s="1379" t="b">
        <f>IF(AND(__Retrofit_TI_NC=2,EZ571=TRUE),FALSE,TRUE)</f>
        <v>1</v>
      </c>
      <c r="HH572" s="1379" t="b">
        <f>GG571</f>
        <v>1</v>
      </c>
      <c r="HI572" s="1384" t="b">
        <f>IF(ISERROR(MATCH(FB571,_Control_Match[],0))=TRUE,FALSE,TRUE)</f>
        <v>0</v>
      </c>
      <c r="HJ572" s="1384" t="b">
        <f>IFERROR(IF(EU571&lt;&gt;EV571,FALSE,TRUE),FALSE)</f>
        <v>0</v>
      </c>
      <c r="HK572" s="1384" t="b">
        <f>IFERROR(IF(EU573&lt;&gt;EV573,FALSE,TRUE),FALSE)</f>
        <v>0</v>
      </c>
      <c r="HL572" s="1379" t="b">
        <f>IFERROR(IF(CN571="Exterior",TRUE,IF(OR(AND(FJ571=0,EW573&gt;4),AND(FJ571=4,EW573&gt;4,EW573&lt;7)),FALSE,TRUE)),FALSE)</f>
        <v>0</v>
      </c>
      <c r="HM572" s="1379" t="b">
        <f>IFERROR(IF(AND(FL573=7,EZ571=TRUE),FALSE,TRUE),FALSE)</f>
        <v>0</v>
      </c>
      <c r="HN572" s="1379" t="b">
        <f>IFERROR(IF(AND(T573&lt;&gt;AE573,AF573="Interior LLLC")=TRUE,FALSE,TRUE),FALSE)</f>
        <v>1</v>
      </c>
      <c r="HO572" s="1379" t="b">
        <f>IFERROR(IF(OR(AF573=Lookup!AU$13,AF573=Lookup!AU$14)=TRUE,IF(AE573&gt;T573,FALSE,TRUE),TRUE),FALSE)</f>
        <v>1</v>
      </c>
      <c r="HP572" s="1379" t="b">
        <f>IFERROR(IF(__Retrofit_TI_NC=2,IF(EW573&lt;EW571,FALSE,TRUE),TRUE),FALSE)</f>
        <v>1</v>
      </c>
      <c r="HQ572" s="1379" t="b">
        <f>IF(CN571="Interior",IG$6,TRUE)</f>
        <v>1</v>
      </c>
      <c r="HR572" s="1379" t="b">
        <f>IF(CN571="Exterior",IG$8,TRUE)</f>
        <v>1</v>
      </c>
      <c r="HS572" s="1379" t="b">
        <f>IFERROR(IF(__Retrofit_TI_NC&lt;&gt;0,IF(AW571&lt;AV571,FALSE,TRUE),TRUE),FALSE)</f>
        <v>1</v>
      </c>
      <c r="HT572" s="1379" t="b">
        <f>IFERROR(IF(AND(G572="Exterior",R572&gt;4200),FALSE,TRUE),FALSE)</f>
        <v>1</v>
      </c>
      <c r="HU572" s="1379" t="b">
        <f>IFERROR(IF(AB574/AB571&lt;HU$18,FALSE,TRUE),FALSE)</f>
        <v>0</v>
      </c>
      <c r="HW572" s="1382"/>
      <c r="HX572" s="1378"/>
      <c r="HY572" s="1377" t="str">
        <f>VLOOKUP(HW574,_Error_Table,4,FALSE)</f>
        <v>White</v>
      </c>
      <c r="HZ572" s="436"/>
      <c r="IA572" s="1386"/>
      <c r="IB572" s="1380"/>
      <c r="IC572" s="1379"/>
      <c r="IF572" s="1380"/>
      <c r="IG572" s="1382"/>
      <c r="IH572" s="1382"/>
      <c r="II572" s="1382"/>
      <c r="IK572" s="1351"/>
      <c r="IL572" s="1351"/>
      <c r="IM572" s="1351"/>
      <c r="IN572" s="1351"/>
      <c r="IO572" s="1351"/>
      <c r="IP572" s="1351"/>
    </row>
    <row r="573" spans="1:250" s="82" customFormat="1" ht="14.95" customHeight="1" thickTop="1" thickBot="1">
      <c r="A573" s="82">
        <f>ROW()</f>
        <v>573</v>
      </c>
      <c r="B573" s="1421"/>
      <c r="C573" s="1422"/>
      <c r="D573" s="1423"/>
      <c r="E573" s="1393" t="s">
        <v>245</v>
      </c>
      <c r="F573" s="1394"/>
      <c r="G573" s="1398"/>
      <c r="H573" s="1399"/>
      <c r="I573" s="1399"/>
      <c r="J573" s="1399"/>
      <c r="K573" s="1399"/>
      <c r="L573" s="1400"/>
      <c r="M573" s="509">
        <f>IFERROR(IF(IF(__Retrofit_TI_NC&lt;&gt;0,IF(CN571="Interior",MATCH(G573,Lookup_Interior_New,0),MATCH(G573,Lookup_Exterior_New,0)),IF(CN571="Interior",MATCH(G573,Lookup_Interior,0),MATCH(G573,Lookup_Exterior_Areas,0)))&gt;0,1,0),0)</f>
        <v>0</v>
      </c>
      <c r="N573" s="509" t="e">
        <f>IF(__Retrofit_TI_NC=1,
VLOOKUP(G573,'Space Table'!$B$3:$L$160,4,FALSE),
IF(__Retrofit_TI_NC=2,VLOOKUP(G573,'Space Table'!$B$3:$L$160,5,FALSE),VLOOKUP(G573,'Space Table'!$B$3:$L$160,5,FALSE)))</f>
        <v>#N/A</v>
      </c>
      <c r="O573" s="509">
        <f>G573</f>
        <v>0</v>
      </c>
      <c r="P573" s="1394" t="s">
        <v>355</v>
      </c>
      <c r="Q573" s="1394"/>
      <c r="R573" s="674"/>
      <c r="S573" s="1401" t="s">
        <v>284</v>
      </c>
      <c r="T573" s="672"/>
      <c r="U573" s="1499"/>
      <c r="V573" s="1500"/>
      <c r="W573" s="1500"/>
      <c r="X573" s="1500"/>
      <c r="Y573" s="1500"/>
      <c r="Z573" s="1500"/>
      <c r="AA573" s="1500"/>
      <c r="AB573" s="1501"/>
      <c r="AC573" s="1501"/>
      <c r="AD573" s="1502"/>
      <c r="AE573" s="672"/>
      <c r="AF573" s="1474"/>
      <c r="AG573" s="1474"/>
      <c r="AH573" s="1474"/>
      <c r="AI573" s="1474"/>
      <c r="AJ573" s="1475">
        <f>DF573</f>
        <v>0</v>
      </c>
      <c r="AK573" s="1470" t="str">
        <f>IFERROR(ROUND(AJ573*AC574,0),"")</f>
        <v/>
      </c>
      <c r="AL573" s="1472">
        <f>IFERROR(IF(HW571=FALSE,0,AC574-AK573),0)</f>
        <v>0</v>
      </c>
      <c r="AM573" s="1441"/>
      <c r="AN573" s="1442"/>
      <c r="AO573" s="1447"/>
      <c r="AP573" s="1447"/>
      <c r="AQ573" s="1448"/>
      <c r="AR573" s="1452"/>
      <c r="AS573" s="1455"/>
      <c r="AT573" s="1458"/>
      <c r="AU573" s="516"/>
      <c r="AV573" s="1479"/>
      <c r="AW573" s="1479"/>
      <c r="BC573" s="38"/>
      <c r="BD573" s="38"/>
      <c r="BE573" s="38"/>
      <c r="BF573" s="38"/>
      <c r="BG573" s="38"/>
      <c r="BH573" s="38"/>
      <c r="BI573" s="38"/>
      <c r="BJ573" s="38"/>
      <c r="BK573" s="38"/>
      <c r="BL573" s="38"/>
      <c r="BM573" s="38"/>
      <c r="BN573" s="38"/>
      <c r="BO573" s="38"/>
      <c r="BP573" s="38"/>
      <c r="BQ573" s="38"/>
      <c r="BR573" s="38"/>
      <c r="BS573" s="38"/>
      <c r="BT573" s="38"/>
      <c r="BU573" s="38"/>
      <c r="BV573" s="38"/>
      <c r="BW573" s="38"/>
      <c r="BX573" s="38"/>
      <c r="BY573" s="38"/>
      <c r="BZ573" s="38"/>
      <c r="CA573" s="38"/>
      <c r="CB573" s="38"/>
      <c r="CC573" s="38"/>
      <c r="CD573" s="38"/>
      <c r="CE573" s="38"/>
      <c r="CF573" s="38"/>
      <c r="CG573" s="38"/>
      <c r="CH573" s="38"/>
      <c r="CI573" s="38"/>
      <c r="CM573" s="1352"/>
      <c r="CN573" s="1352"/>
      <c r="CO573" s="1415" t="str">
        <f>CN571</f>
        <v/>
      </c>
      <c r="CP573" s="1417" t="e">
        <f>CP571</f>
        <v>#N/A</v>
      </c>
      <c r="CR573" s="1386" t="s">
        <v>284</v>
      </c>
      <c r="CS573" s="1353">
        <f>IF(HW571=TRUE,T573,0)</f>
        <v>0</v>
      </c>
      <c r="CT573" s="1353" t="str">
        <f>IF(HW571=TRUE,U573,"")</f>
        <v/>
      </c>
      <c r="CU573" s="1373">
        <f>IF(HW571=TRUE,U574,0)</f>
        <v>0</v>
      </c>
      <c r="CV573" s="1370">
        <f>IF(HW571=TRUE,AB574,0)</f>
        <v>0</v>
      </c>
      <c r="CW573" s="1370">
        <f>IF(HW571=TRUE,AC574,0)</f>
        <v>0</v>
      </c>
      <c r="CX573" s="1371"/>
      <c r="CY573" s="1486"/>
      <c r="CZ573" s="1486"/>
      <c r="DA573" s="1486"/>
      <c r="DC573" s="1353">
        <f>IF(HW571=TRUE,AE573,0)</f>
        <v>0</v>
      </c>
      <c r="DD573" s="1353" t="str">
        <f>IF(HW571=TRUE,AF573,"")</f>
        <v/>
      </c>
      <c r="DE573" s="1373">
        <f>AF574</f>
        <v>0</v>
      </c>
      <c r="DF573" s="1406">
        <f>IFERROR(IF(FL573=3,IK573,IF(FL573=4,IL573,IF(FL573=5,IM573,IF(FL573=6,IN573,IF(FL573=7,IO573,IF(FL573=8,IP573,0)))))),0)</f>
        <v>0</v>
      </c>
      <c r="DG573" s="1370">
        <f>IF(HW571=TRUE,AK573,0)</f>
        <v>0</v>
      </c>
      <c r="DH573" s="1369"/>
      <c r="DK573" s="1483">
        <f>IFERROR(CW573-DG573,0)</f>
        <v>0</v>
      </c>
      <c r="DL573" s="1420"/>
      <c r="DN573" s="1403"/>
      <c r="DO573" s="1477" t="str">
        <f>DN571</f>
        <v/>
      </c>
      <c r="DP573" s="1354"/>
      <c r="DQ573" s="1477" t="str">
        <f>IF(DP571=7,"LLLC","")</f>
        <v/>
      </c>
      <c r="DR573" s="1403"/>
      <c r="DS573" s="1489"/>
      <c r="DU573" s="1403"/>
      <c r="DV573" s="1404" t="str">
        <f>DU571</f>
        <v/>
      </c>
      <c r="DW573" s="1403"/>
      <c r="DX573" s="1403"/>
      <c r="DZ573" s="1481"/>
      <c r="EA573" s="1481"/>
      <c r="EC573" s="1482"/>
      <c r="ED573" s="1369"/>
      <c r="EE573" s="1371"/>
      <c r="EF573" s="1369"/>
      <c r="EG573" s="1369"/>
      <c r="EH573" s="1374"/>
      <c r="EI573" s="1374"/>
      <c r="EJ573" s="1363"/>
      <c r="EK573" s="1376"/>
      <c r="EL573" s="1376"/>
      <c r="EM573" s="1362"/>
      <c r="EN573" s="1362"/>
      <c r="EO573" s="1363"/>
      <c r="EP573" s="1363"/>
      <c r="EQ573" s="1363"/>
      <c r="ES573" s="1403"/>
      <c r="EU573" s="1411" t="e">
        <f>VLOOKUP(CP573,'Space Table'!$B$3:$L$160,8,FALSE)</f>
        <v>#N/A</v>
      </c>
      <c r="EV573" s="1411" t="e">
        <f>IF(EY573="Yes",VLOOKUP(AF573,Lookup_Control_Type_Table2,4,FALSE),VLOOKUP(AF573,Lookup_Control_Type_Table2,3,FALSE))</f>
        <v>#N/A</v>
      </c>
      <c r="EW573" s="1411" t="e">
        <f>VLOOKUP(AF573,Lookup!AU$3:AV$15,2,FALSE)</f>
        <v>#N/A</v>
      </c>
      <c r="EX573" s="1411" t="e">
        <f>VLOOKUP(EU571,Lookup_Control_Type_Table,2,FALSE)</f>
        <v>#N/A</v>
      </c>
      <c r="EY573" s="1411" t="e">
        <f>VLOOKUP(CP573,'Space Table'!$B$3:$L$160,7,FALSE)</f>
        <v>#N/A</v>
      </c>
      <c r="EZ573" s="1413"/>
      <c r="FB573" s="1365" t="str">
        <f>CONCATENATE(CN571," - ",AF573)</f>
        <v xml:space="preserve"> - </v>
      </c>
      <c r="FD573" s="1354"/>
      <c r="FE573" s="1354"/>
      <c r="FF573" s="138"/>
      <c r="FI573" s="1356" t="str">
        <f>IF(CN571="Exterior","Not Daylighted",G574)</f>
        <v>Not Daylighted</v>
      </c>
      <c r="FJ573" s="1356">
        <f>VLOOKUP(FI573,_Daylight_Table_Codes,2,FALSE)</f>
        <v>0</v>
      </c>
      <c r="FK573" s="1365">
        <f>AF573</f>
        <v>0</v>
      </c>
      <c r="FL573" s="1365" t="e">
        <f>VLOOKUP(FK573,_Control_Table,2,FALSE)</f>
        <v>#N/A</v>
      </c>
      <c r="FM573" s="1365" t="e">
        <f>IF(AND(FP573&gt;0,FK573="Occupancy Sensor"),"Daylight + Occupancy",IF(AND(FP573&gt;0,FL573&lt;4),"Interior Daylight Dimming",FK573))</f>
        <v>#N/A</v>
      </c>
      <c r="FO573" s="1364">
        <f>IF(CN571="Interior",VLOOKUP(CP571,Control_Savings_Interior,5,FALSE),0)</f>
        <v>0</v>
      </c>
      <c r="FP573" s="1361">
        <f>IF(CN573="Exterior",0,IF(FJ573=2,0.5,IF(OR(FJ573=1,FJ573=3),1,0)))</f>
        <v>0</v>
      </c>
      <c r="FQ573" s="1366">
        <f>IF(R572&gt;FO$37,(FO573*(FO$37/R572)),FO573)*FP573</f>
        <v>0</v>
      </c>
      <c r="FR573" s="1364">
        <f>DF573</f>
        <v>0</v>
      </c>
      <c r="FS573" s="1364">
        <f>ROUND(FR573+((1-FR573)*FQ573),2)</f>
        <v>0</v>
      </c>
      <c r="FT573" s="1364">
        <f>IF(__Retrofit_TI_NC=2,FS573,FR573)</f>
        <v>0</v>
      </c>
      <c r="FU573" s="1360">
        <f>IF(CO573="Interior",VLOOKUP(CP573,Control_Savings_Interior,4,FALSE),0)</f>
        <v>0</v>
      </c>
      <c r="FW573" s="1352"/>
      <c r="FX573" s="1352"/>
      <c r="FY573" s="1352"/>
      <c r="FZ573" s="1352"/>
      <c r="GA573" s="1352"/>
      <c r="GB573" s="1352"/>
      <c r="GC573" s="1352"/>
      <c r="GD573" s="1352"/>
      <c r="GE573" s="759" t="b">
        <f>IF(ISNUMBER(SEARCH("TLED",U573)),TRUE,FALSE)</f>
        <v>0</v>
      </c>
      <c r="GF573" s="1035" t="str">
        <f>IFERROR(VLOOKUP(U573,Fixtures!DM$93:DR$142,6,FALSE),"")</f>
        <v/>
      </c>
      <c r="GG573" s="1385"/>
      <c r="GI573" s="1383"/>
      <c r="GJ573" s="1379"/>
      <c r="GL573" s="1379"/>
      <c r="GM573" s="1379"/>
      <c r="HC573" s="1379"/>
      <c r="HD573" s="1379"/>
      <c r="HE573" s="1379"/>
      <c r="HF573" s="1379"/>
      <c r="HG573" s="1379"/>
      <c r="HH573" s="1379"/>
      <c r="HI573" s="1383"/>
      <c r="HJ573" s="1383"/>
      <c r="HK573" s="1383"/>
      <c r="HL573" s="1379"/>
      <c r="HM573" s="1379"/>
      <c r="HN573" s="1379"/>
      <c r="HO573" s="1379"/>
      <c r="HP573" s="1379"/>
      <c r="HQ573" s="1379"/>
      <c r="HR573" s="1379"/>
      <c r="HS573" s="1379"/>
      <c r="HT573" s="1379"/>
      <c r="HU573" s="1379"/>
      <c r="HW573" s="1383"/>
      <c r="HX573" s="1384" t="b">
        <f>HW571</f>
        <v>0</v>
      </c>
      <c r="HY573" s="1378"/>
      <c r="HZ573" s="436"/>
      <c r="IA573" s="1386"/>
      <c r="IB573" s="1380">
        <f>IF(IA571=TRUE,AC574,0)</f>
        <v>0</v>
      </c>
      <c r="IC573" s="1379"/>
      <c r="IF573" s="1380" t="e">
        <f>ROUND(T573*AB574*N572*R572/1000,0)</f>
        <v>#VALUE!</v>
      </c>
      <c r="IG573" s="1382"/>
      <c r="IH573" s="1384" t="e">
        <f>ROUND(T573*AB574*N572*R572/1000,0)</f>
        <v>#VALUE!</v>
      </c>
      <c r="II573" s="1382"/>
      <c r="IK573" s="1351" t="e">
        <f>IF($CO573="interior",IL573/2,VLOOKUP($CP573,Control_Savings_Exterior,IK$30,FALSE))</f>
        <v>#N/A</v>
      </c>
      <c r="IL573" s="1351" t="e">
        <f>IF($CO573="interior",VLOOKUP($CP573,Control_Savings_Interior,IL$30,FALSE),VLOOKUP($CP573,Control_Savings_Exterior,IL$30,FALSE))</f>
        <v>#N/A</v>
      </c>
      <c r="IM573" s="1351" t="e">
        <f>IF($CO573="interior",IF(R572&gt;FO$37,(IM$28*(FO$37/R572)),IM$28)*FP573,VLOOKUP($CP573,Control_Savings_Exterior,IM$30,FALSE))</f>
        <v>#N/A</v>
      </c>
      <c r="IN573" s="1351" t="e">
        <f>IF($CO573="interior",ROUND(((1-IL573)*IM573)+IL573,2),VLOOKUP($CP573,Control_Savings_Exterior,IN$30,FALSE))</f>
        <v>#N/A</v>
      </c>
      <c r="IO573" s="1351" t="e">
        <f>IF($CO573="interior", ROUND(((1-IL573)*(IM573*(1-IP$28)))+IP573,2), VLOOKUP($CP573,Control_Savings_Exterior,IO$30,FALSE))</f>
        <v>#N/A</v>
      </c>
      <c r="IP573" s="1351">
        <f>IF($CO573="interior",ROUND(((1-IL573)*IP$28)+IL573,2),0)</f>
        <v>0</v>
      </c>
    </row>
    <row r="574" spans="1:250" s="82" customFormat="1" ht="14.95" customHeight="1" thickTop="1" thickBot="1">
      <c r="B574" s="1421"/>
      <c r="C574" s="1422"/>
      <c r="D574" s="1423"/>
      <c r="E574" s="1462" t="s">
        <v>357</v>
      </c>
      <c r="F574" s="1463"/>
      <c r="G574" s="1464" t="s">
        <v>362</v>
      </c>
      <c r="H574" s="1465"/>
      <c r="I574" s="1465"/>
      <c r="J574" s="1465"/>
      <c r="K574" s="1465"/>
      <c r="L574" s="1466"/>
      <c r="M574" s="669">
        <f>IFERROR(VLOOKUP(G574,_Daylight_Table[],2,FALSE),0)</f>
        <v>0</v>
      </c>
      <c r="N574" s="670"/>
      <c r="O574" s="669" t="e">
        <f>VLOOKUP(G573,'Space Table'!$B$3:$L$160,11,FALSE)</f>
        <v>#N/A</v>
      </c>
      <c r="P574" s="1408"/>
      <c r="Q574" s="1409"/>
      <c r="R574" s="1409"/>
      <c r="S574" s="1402"/>
      <c r="T574" s="671" t="s">
        <v>281</v>
      </c>
      <c r="U574" s="1467" t="str">
        <f>IFERROR(VLOOKUP(U573,Fixtures!DM$93:DP$142,4,FALSE),"")</f>
        <v/>
      </c>
      <c r="V574" s="1468"/>
      <c r="W574" s="1468"/>
      <c r="X574" s="1468"/>
      <c r="Y574" s="1468"/>
      <c r="Z574" s="1468"/>
      <c r="AA574" s="1468"/>
      <c r="AB574" s="1046" t="str">
        <f>IFERROR(VLOOKUP(U573,Fixtures_Proposed_List,2,FALSE),"")</f>
        <v/>
      </c>
      <c r="AC574" s="1036" t="str">
        <f>IFERROR(ROUND(T573*AB574*N572*R572/1000,0),"")</f>
        <v/>
      </c>
      <c r="AD574" s="1037" t="str">
        <f>IFERROR(ROUND(T573*AB574/1000,2),"")</f>
        <v/>
      </c>
      <c r="AE574" s="1045" t="s">
        <v>281</v>
      </c>
      <c r="AF574" s="1469"/>
      <c r="AG574" s="1469"/>
      <c r="AH574" s="1469"/>
      <c r="AI574" s="1469"/>
      <c r="AJ574" s="1476"/>
      <c r="AK574" s="1471"/>
      <c r="AL574" s="1473"/>
      <c r="AM574" s="1443"/>
      <c r="AN574" s="1444"/>
      <c r="AO574" s="1449"/>
      <c r="AP574" s="1449"/>
      <c r="AQ574" s="1450"/>
      <c r="AR574" s="1453"/>
      <c r="AS574" s="1456"/>
      <c r="AT574" s="1459"/>
      <c r="AU574" s="517"/>
      <c r="AV574" s="1480"/>
      <c r="AW574" s="1480"/>
      <c r="BC574" s="38"/>
      <c r="BD574" s="38"/>
      <c r="BE574" s="38"/>
      <c r="BF574" s="38"/>
      <c r="BG574" s="38"/>
      <c r="BH574" s="38"/>
      <c r="BI574" s="38"/>
      <c r="BJ574" s="38"/>
      <c r="BK574" s="38"/>
      <c r="BL574" s="38"/>
      <c r="BM574" s="38"/>
      <c r="BN574" s="38"/>
      <c r="BO574" s="38"/>
      <c r="BP574" s="38"/>
      <c r="BQ574" s="38"/>
      <c r="BR574" s="38"/>
      <c r="BS574" s="38"/>
      <c r="BT574" s="38"/>
      <c r="BU574" s="38"/>
      <c r="BV574" s="38"/>
      <c r="BW574" s="38"/>
      <c r="BX574" s="38"/>
      <c r="BY574" s="38"/>
      <c r="BZ574" s="38"/>
      <c r="CA574" s="38"/>
      <c r="CB574" s="38"/>
      <c r="CC574" s="38"/>
      <c r="CD574" s="38"/>
      <c r="CE574" s="38"/>
      <c r="CF574" s="38"/>
      <c r="CG574" s="38"/>
      <c r="CH574" s="38"/>
      <c r="CI574" s="38"/>
      <c r="CM574" s="1352"/>
      <c r="CN574" s="1352"/>
      <c r="CO574" s="1416"/>
      <c r="CP574" s="1418"/>
      <c r="CR574" s="1386"/>
      <c r="CS574" s="1355"/>
      <c r="CT574" s="1355"/>
      <c r="CU574" s="1375"/>
      <c r="CV574" s="1372"/>
      <c r="CW574" s="1372"/>
      <c r="CX574" s="1372"/>
      <c r="CY574" s="1487"/>
      <c r="CZ574" s="1487"/>
      <c r="DA574" s="1487"/>
      <c r="DC574" s="1355"/>
      <c r="DD574" s="1355"/>
      <c r="DE574" s="1375"/>
      <c r="DF574" s="1407"/>
      <c r="DG574" s="1372"/>
      <c r="DH574" s="1369"/>
      <c r="DK574" s="1484"/>
      <c r="DL574" s="1420"/>
      <c r="DN574" s="1403"/>
      <c r="DO574" s="1405"/>
      <c r="DP574" s="1355"/>
      <c r="DQ574" s="1405"/>
      <c r="DR574" s="1403"/>
      <c r="DS574" s="1489"/>
      <c r="DU574" s="1403"/>
      <c r="DV574" s="1405"/>
      <c r="DW574" s="1403"/>
      <c r="DX574" s="1403"/>
      <c r="DZ574" s="1481"/>
      <c r="EA574" s="1481"/>
      <c r="EC574" s="1482"/>
      <c r="ED574" s="1369"/>
      <c r="EE574" s="1372"/>
      <c r="EF574" s="1369"/>
      <c r="EG574" s="1369"/>
      <c r="EH574" s="1375"/>
      <c r="EI574" s="1375"/>
      <c r="EJ574" s="1363"/>
      <c r="EK574" s="1376"/>
      <c r="EL574" s="1376"/>
      <c r="EM574" s="1362"/>
      <c r="EN574" s="1362"/>
      <c r="EO574" s="1363"/>
      <c r="EP574" s="1363"/>
      <c r="EQ574" s="1363"/>
      <c r="ES574" s="1403"/>
      <c r="EU574" s="1488"/>
      <c r="EV574" s="1488"/>
      <c r="EW574" s="1488"/>
      <c r="EX574" s="1488"/>
      <c r="EY574" s="1488"/>
      <c r="EZ574" s="1414"/>
      <c r="FB574" s="1365"/>
      <c r="FD574" s="1355"/>
      <c r="FE574" s="1355"/>
      <c r="FF574" s="138"/>
      <c r="FI574" s="1357"/>
      <c r="FJ574" s="1357"/>
      <c r="FK574" s="1365"/>
      <c r="FL574" s="1365"/>
      <c r="FM574" s="1365"/>
      <c r="FO574" s="1361"/>
      <c r="FP574" s="1361"/>
      <c r="FQ574" s="1366"/>
      <c r="FR574" s="1361"/>
      <c r="FS574" s="1361"/>
      <c r="FT574" s="1361"/>
      <c r="FU574" s="1360"/>
      <c r="FW574" s="1352"/>
      <c r="FX574" s="1352"/>
      <c r="FY574" s="1352"/>
      <c r="FZ574" s="1352"/>
      <c r="GA574" s="1352"/>
      <c r="GB574" s="1352"/>
      <c r="GC574" s="1352"/>
      <c r="GD574" s="1352"/>
      <c r="GE574" s="759"/>
      <c r="GF574" s="1035"/>
      <c r="GG574" s="1385"/>
      <c r="GJ574" s="1034">
        <f>IF(GJ572=TRUE,0,GJ$16)</f>
        <v>0</v>
      </c>
      <c r="GL574" s="1034">
        <f>IF(GL572=TRUE,0,GL$16)</f>
        <v>36</v>
      </c>
      <c r="GM574" s="1034">
        <f>IF(GM572=TRUE,0,GM$16)</f>
        <v>35</v>
      </c>
      <c r="GN574" s="436"/>
      <c r="GO574" s="436"/>
      <c r="GP574" s="436"/>
      <c r="GQ574" s="436"/>
      <c r="GR574" s="436"/>
      <c r="HC574" s="1034">
        <f t="shared" ref="HC574:HH574" si="422">IF(HC572=TRUE,0,HC$16)</f>
        <v>19</v>
      </c>
      <c r="HD574" s="1034">
        <f t="shared" si="422"/>
        <v>18</v>
      </c>
      <c r="HE574" s="1034">
        <f t="shared" si="422"/>
        <v>17</v>
      </c>
      <c r="HF574" s="1034">
        <f t="shared" si="422"/>
        <v>16</v>
      </c>
      <c r="HG574" s="1034">
        <f t="shared" si="422"/>
        <v>0</v>
      </c>
      <c r="HH574" s="1034">
        <f t="shared" si="422"/>
        <v>0</v>
      </c>
      <c r="HI574" s="1034">
        <f>IF(HI572=TRUE,0,HI$16)</f>
        <v>13</v>
      </c>
      <c r="HJ574" s="1034">
        <f t="shared" ref="HJ574:HL574" si="423">IF(HJ572=TRUE,0,HJ$16)</f>
        <v>12</v>
      </c>
      <c r="HK574" s="1034">
        <f t="shared" si="423"/>
        <v>11</v>
      </c>
      <c r="HL574" s="1034">
        <f t="shared" si="423"/>
        <v>10</v>
      </c>
      <c r="HM574" s="1034">
        <f>IF(HM572=TRUE,0,HM$16)</f>
        <v>9</v>
      </c>
      <c r="HN574" s="1034">
        <f t="shared" ref="HN574:HR574" si="424">IF(HN572=TRUE,0,HN$16)</f>
        <v>0</v>
      </c>
      <c r="HO574" s="1034">
        <f t="shared" si="424"/>
        <v>0</v>
      </c>
      <c r="HP574" s="1034">
        <f t="shared" si="424"/>
        <v>0</v>
      </c>
      <c r="HQ574" s="1034">
        <f t="shared" si="424"/>
        <v>0</v>
      </c>
      <c r="HR574" s="1034">
        <f t="shared" si="424"/>
        <v>0</v>
      </c>
      <c r="HS574" s="1034">
        <f>IF(HS572=TRUE,0,HS$16)</f>
        <v>0</v>
      </c>
      <c r="HT574" s="1034">
        <f t="shared" ref="HT574" si="425">IF(HT572=TRUE,0,HT$16)</f>
        <v>0</v>
      </c>
      <c r="HU574" s="1034">
        <f>IF(HU572=TRUE,0,HU$16)</f>
        <v>1</v>
      </c>
      <c r="HW574" s="1034">
        <f>IF(GL572=FALSE,GL574,IF(GM572=FALSE,GM574,MAX(GJ574:HU574)))</f>
        <v>36</v>
      </c>
      <c r="HX574" s="1383"/>
      <c r="HY574" s="241" t="str">
        <f>VLOOKUP(HW574,_Error_Table,3,FALSE)</f>
        <v xml:space="preserve"> </v>
      </c>
      <c r="HZ574" s="241"/>
      <c r="IA574" s="1386"/>
      <c r="IB574" s="1380"/>
      <c r="IC574" s="1379"/>
      <c r="IF574" s="1380"/>
      <c r="IG574" s="1383"/>
      <c r="IH574" s="1383"/>
      <c r="II574" s="1383"/>
      <c r="IK574" s="1351"/>
      <c r="IL574" s="1351"/>
      <c r="IM574" s="1351"/>
      <c r="IN574" s="1351"/>
      <c r="IO574" s="1351"/>
      <c r="IP574" s="1351"/>
    </row>
    <row r="575" spans="1:250" s="82" customFormat="1" ht="5.0999999999999996" customHeight="1" thickBot="1">
      <c r="B575" s="763"/>
      <c r="C575" s="1038"/>
      <c r="D575" s="1038"/>
      <c r="E575" s="1490"/>
      <c r="F575" s="1490"/>
      <c r="G575" s="1490"/>
      <c r="H575" s="1490"/>
      <c r="I575" s="1490"/>
      <c r="J575" s="1490"/>
      <c r="K575" s="1490"/>
      <c r="L575" s="1490"/>
      <c r="M575" s="1490"/>
      <c r="N575" s="1490"/>
      <c r="O575" s="1490"/>
      <c r="P575" s="1490"/>
      <c r="Q575" s="1490"/>
      <c r="R575" s="1490"/>
      <c r="S575" s="1490"/>
      <c r="T575" s="1490"/>
      <c r="U575" s="1490"/>
      <c r="V575" s="1490"/>
      <c r="W575" s="1490"/>
      <c r="X575" s="1490"/>
      <c r="Y575" s="1490"/>
      <c r="Z575" s="1490"/>
      <c r="AA575" s="1490"/>
      <c r="AB575" s="1490"/>
      <c r="AC575" s="1490"/>
      <c r="AD575" s="1490"/>
      <c r="AE575" s="1490"/>
      <c r="AF575" s="1490"/>
      <c r="AG575" s="1490"/>
      <c r="AH575" s="1490"/>
      <c r="AI575" s="1490"/>
      <c r="AJ575" s="1490"/>
      <c r="AK575" s="1490"/>
      <c r="AL575" s="1490"/>
      <c r="AM575" s="1490"/>
      <c r="AN575" s="1490"/>
      <c r="AO575" s="1490"/>
      <c r="AP575" s="1490"/>
      <c r="AQ575" s="1490"/>
      <c r="AR575" s="1490"/>
      <c r="AS575" s="1490"/>
      <c r="AT575" s="1490"/>
      <c r="AU575" s="1041"/>
      <c r="BC575" s="38"/>
      <c r="BD575" s="38"/>
      <c r="BE575" s="38"/>
      <c r="BF575" s="38"/>
      <c r="BG575" s="38"/>
      <c r="BH575" s="38"/>
      <c r="BI575" s="38"/>
      <c r="BJ575" s="38"/>
      <c r="BK575" s="38"/>
      <c r="BL575" s="38"/>
      <c r="BM575" s="38"/>
      <c r="BN575" s="38"/>
      <c r="BO575" s="38"/>
      <c r="BP575" s="38"/>
      <c r="BQ575" s="38"/>
      <c r="BR575" s="38"/>
      <c r="BS575" s="38"/>
      <c r="BT575" s="38"/>
      <c r="BU575" s="38"/>
      <c r="BV575" s="38"/>
      <c r="BW575" s="38"/>
      <c r="BX575" s="38"/>
      <c r="BY575" s="38"/>
      <c r="BZ575" s="38"/>
      <c r="CA575" s="38"/>
      <c r="CB575" s="38"/>
      <c r="CC575" s="38"/>
      <c r="CD575" s="38"/>
      <c r="CE575" s="38"/>
      <c r="CF575" s="38"/>
      <c r="CG575" s="38"/>
      <c r="CH575" s="38"/>
      <c r="CI575" s="38"/>
      <c r="CM575" s="749"/>
      <c r="CN575" s="749"/>
      <c r="CO575" s="1043"/>
      <c r="CP575" s="749"/>
      <c r="CS575" s="436"/>
      <c r="CT575" s="436"/>
      <c r="CU575" s="243"/>
      <c r="CV575" s="244"/>
      <c r="CW575" s="244"/>
      <c r="CX575" s="244"/>
      <c r="CY575" s="245"/>
      <c r="CZ575" s="245"/>
      <c r="DA575" s="245"/>
      <c r="DC575" s="750"/>
      <c r="DD575" s="751"/>
      <c r="DE575" s="752"/>
      <c r="DF575" s="753"/>
      <c r="DG575" s="754"/>
      <c r="DH575" s="754"/>
      <c r="DK575" s="244"/>
      <c r="DL575" s="750"/>
      <c r="DN575" s="750"/>
      <c r="DO575" s="755"/>
      <c r="DP575" s="436"/>
      <c r="DQ575" s="750"/>
      <c r="DR575" s="750"/>
      <c r="DS575" s="750"/>
      <c r="DU575" s="750"/>
      <c r="DV575" s="750"/>
      <c r="DW575" s="750"/>
      <c r="DX575" s="750"/>
      <c r="DZ575" s="756"/>
      <c r="EA575" s="756"/>
      <c r="EC575" s="754"/>
      <c r="ED575" s="754"/>
      <c r="EE575" s="244"/>
      <c r="EF575" s="754"/>
      <c r="EG575" s="754"/>
      <c r="EH575" s="243"/>
      <c r="EI575" s="243"/>
      <c r="EJ575" s="752"/>
      <c r="EK575" s="757"/>
      <c r="EL575" s="757"/>
      <c r="EM575" s="758"/>
      <c r="EN575" s="758"/>
      <c r="EO575" s="752"/>
      <c r="EP575" s="752"/>
      <c r="EQ575" s="752"/>
      <c r="ES575" s="750"/>
      <c r="EU575" s="436"/>
      <c r="EV575" s="436"/>
      <c r="EW575" s="436"/>
      <c r="EX575" s="436"/>
      <c r="EY575" s="436"/>
      <c r="EZ575" s="436"/>
      <c r="FB575" s="643"/>
      <c r="FD575" s="436"/>
      <c r="FE575" s="436"/>
      <c r="FF575" s="436"/>
      <c r="FO575" s="750"/>
      <c r="FP575" s="436"/>
      <c r="FQ575" s="436"/>
      <c r="FR575" s="750"/>
      <c r="FS575" s="750"/>
      <c r="FW575" s="749"/>
      <c r="FX575" s="749"/>
      <c r="FY575" s="749"/>
      <c r="FZ575" s="749"/>
      <c r="GA575" s="749"/>
      <c r="GB575" s="749"/>
      <c r="GC575" s="749"/>
      <c r="GD575" s="749"/>
      <c r="GE575" s="751"/>
      <c r="GF575" s="750"/>
      <c r="GG575" s="750"/>
    </row>
    <row r="576" spans="1:250" s="82" customFormat="1" ht="14.95" customHeight="1" thickTop="1" thickBot="1">
      <c r="B576" s="1421" t="str">
        <f>HY579</f>
        <v xml:space="preserve"> </v>
      </c>
      <c r="C576" s="1422">
        <f>C571+1</f>
        <v>104</v>
      </c>
      <c r="D576" s="1423"/>
      <c r="E576" s="1424" t="s">
        <v>242</v>
      </c>
      <c r="F576" s="1425"/>
      <c r="G576" s="1426"/>
      <c r="H576" s="1427"/>
      <c r="I576" s="1427"/>
      <c r="J576" s="1427"/>
      <c r="K576" s="1427"/>
      <c r="L576" s="1427"/>
      <c r="M576" s="1427"/>
      <c r="N576" s="1427"/>
      <c r="O576" s="1427"/>
      <c r="P576" s="1427"/>
      <c r="Q576" s="1427"/>
      <c r="R576" s="1427"/>
      <c r="S576" s="1428" t="s">
        <v>283</v>
      </c>
      <c r="T576" s="668" t="s">
        <v>190</v>
      </c>
      <c r="U576" s="1430" t="s">
        <v>186</v>
      </c>
      <c r="V576" s="1431"/>
      <c r="W576" s="1431"/>
      <c r="X576" s="1431"/>
      <c r="Y576" s="1431"/>
      <c r="Z576" s="1431"/>
      <c r="AA576" s="1431"/>
      <c r="AB576" s="1088" t="str">
        <f>IFERROR(IF(__Retrofit_TI_NC=0,VLOOKUP(U577,Fixtures_Existing_List,2,FALSE),ROUND(N578*R578/T578,10)),"")</f>
        <v/>
      </c>
      <c r="AC576" s="1039" t="str">
        <f>IFERROR(IF(__Retrofit_TI_NC=0,ROUND(T577*AB576*N577*R577/1000,0),IF(CN576="Interior",N578*R578*R577*N577*_C406_reduction/1000,N578*R578*R577*N577/1000)),"")</f>
        <v/>
      </c>
      <c r="AD576" s="1040" t="str">
        <f>IFERROR(IF(C$36=0,ROUND(T577*AB576/1000,2),N578*R578/1000),"")</f>
        <v/>
      </c>
      <c r="AE576" s="1044" t="s">
        <v>190</v>
      </c>
      <c r="AF576" s="1432" t="str">
        <f>IF(__Retrofit_TI_NC=2,CONCATENATE("Code min = ",DD576),IF(__Retrofit_TI_NC=1,"Emter what you think the existing control was"," Control"))</f>
        <v xml:space="preserve"> Control</v>
      </c>
      <c r="AG576" s="1432"/>
      <c r="AH576" s="1432"/>
      <c r="AI576" s="1432"/>
      <c r="AJ576" s="1433">
        <f>DF576</f>
        <v>0</v>
      </c>
      <c r="AK576" s="1435" t="str">
        <f>IFERROR(ROUND(AJ576*AC576,0),"")</f>
        <v/>
      </c>
      <c r="AL576" s="1437">
        <f>IFERROR(IF(HW576=FALSE,0,AC576-AK576),0)</f>
        <v>0</v>
      </c>
      <c r="AM576" s="1439">
        <f>AL576-AL578</f>
        <v>0</v>
      </c>
      <c r="AN576" s="1440"/>
      <c r="AO576" s="1445">
        <f>IFERROR(IF(HW576=FALSE,0,(T578*U579)+(AE578*AF579)),0)</f>
        <v>0</v>
      </c>
      <c r="AP576" s="1445"/>
      <c r="AQ576" s="1446"/>
      <c r="AR576" s="1451" t="s">
        <v>157</v>
      </c>
      <c r="AS576" s="1454">
        <f>IF(AR576="Yes",1,0)</f>
        <v>1</v>
      </c>
      <c r="AT576" s="1457" t="str">
        <f>IF(OR(DN576=4,DN576=5,DN576=6,DN576=12),CONCATENATE("$",IF(GD576=TRUE,Lookup!$B$11,Lookup!$B$2)," /lamp"),CONCATENATE(EA576,"/ kWh"))</f>
        <v>0/ kWh</v>
      </c>
      <c r="AU576" s="516"/>
      <c r="AV576" s="1478">
        <f>IFERROR(IF(GI577=TRUE,(AB579*T578)/R578,0),"NA")</f>
        <v>0</v>
      </c>
      <c r="AW576" s="1478" t="str">
        <f>IFERROR(N578*_C406_reduction,"NA")</f>
        <v>NA</v>
      </c>
      <c r="BC576" s="38"/>
      <c r="BD576" s="38"/>
      <c r="BE576" s="38"/>
      <c r="BF576" s="38"/>
      <c r="BG576" s="38"/>
      <c r="BH576" s="38"/>
      <c r="BI576" s="38"/>
      <c r="BJ576" s="38"/>
      <c r="BK576" s="38"/>
      <c r="BL576" s="38"/>
      <c r="BM576" s="38"/>
      <c r="BN576" s="38"/>
      <c r="BO576" s="38"/>
      <c r="BP576" s="38"/>
      <c r="BQ576" s="38"/>
      <c r="BR576" s="38"/>
      <c r="BS576" s="38"/>
      <c r="BT576" s="38"/>
      <c r="BU576" s="38"/>
      <c r="BV576" s="38"/>
      <c r="BW576" s="38"/>
      <c r="BX576" s="38"/>
      <c r="BY576" s="38"/>
      <c r="BZ576" s="38"/>
      <c r="CA576" s="38"/>
      <c r="CB576" s="38"/>
      <c r="CC576" s="38"/>
      <c r="CD576" s="38"/>
      <c r="CE576" s="38"/>
      <c r="CF576" s="38"/>
      <c r="CG576" s="38"/>
      <c r="CH576" s="38"/>
      <c r="CI576" s="38"/>
      <c r="CM576" s="1352" t="str">
        <f>N577</f>
        <v/>
      </c>
      <c r="CN576" s="1352" t="str">
        <f>IFERROR(VLOOKUP(G577,_Lookup_Heat_Type_Table_New,3,FALSE),"")</f>
        <v/>
      </c>
      <c r="CO576" s="1415" t="str">
        <f>CN576</f>
        <v/>
      </c>
      <c r="CP576" s="1417" t="e">
        <f>VLOOKUP(G578,'Space Table'!$B$3:$L$160,9,FALSE)</f>
        <v>#N/A</v>
      </c>
      <c r="CR576" s="1386" t="s">
        <v>283</v>
      </c>
      <c r="CS576" s="1353">
        <f>IF(HW576=TRUE,T577,0)</f>
        <v>0</v>
      </c>
      <c r="CT576" s="1353" t="str">
        <f>IF(HW576=TRUE,U577,"")</f>
        <v/>
      </c>
      <c r="CU576" s="1353"/>
      <c r="CV576" s="1370">
        <f>IF(HW576=TRUE,AB576,0)</f>
        <v>0</v>
      </c>
      <c r="CW576" s="1370">
        <f>IF(HW576=TRUE,AC576,0)</f>
        <v>0</v>
      </c>
      <c r="CX576" s="1370">
        <f>IFERROR(IF(HW576=TRUE,CW576-CW578,0),0)</f>
        <v>0</v>
      </c>
      <c r="CY576" s="1485">
        <f>IF(HW576=TRUE,AD576,0)</f>
        <v>0</v>
      </c>
      <c r="CZ576" s="1485">
        <f>IF(HW576=TRUE,AD579,0)</f>
        <v>0</v>
      </c>
      <c r="DA576" s="1485">
        <f>IFERROR(CY576-CZ576,0)</f>
        <v>0</v>
      </c>
      <c r="DC576" s="1353">
        <f>IF(HW576=TRUE,AE577,0)</f>
        <v>0</v>
      </c>
      <c r="DD576" s="1460">
        <f>IF(__Retrofit_TI_NC=2,IF(CN576="Exterior",O579,FM576),FK576)</f>
        <v>0</v>
      </c>
      <c r="DE576" s="1353"/>
      <c r="DF576" s="1406">
        <f>IFERROR(IF(FL576=3,IK576,IF(FL576=4,IL576,IF(FL576=5,IM576,IF(FL576=6,IN576,IF(FL576=7,IO576,IF(FL576=8,IP576,0)))))),0)</f>
        <v>0</v>
      </c>
      <c r="DG576" s="1370">
        <f>IF(HW576=TRUE,AK576,0)</f>
        <v>0</v>
      </c>
      <c r="DH576" s="1369">
        <f>IFERROR(IF(HW576=TRUE,DG578-DG576,0),0)</f>
        <v>0</v>
      </c>
      <c r="DJ576" s="1483">
        <f>IFERROR(CW576-DG576,0)</f>
        <v>0</v>
      </c>
      <c r="DL576" s="1419">
        <f>DJ576-DK578</f>
        <v>0</v>
      </c>
      <c r="DN576" s="1403" t="str">
        <f>IFERROR(IF(AND(OR(FY576=4,FY576=5,FY576=6),OR(GB576=4,GB576=5,GB576=6)),FY576+8,VLOOKUP(CT578,Fixtures!R$31:Y$78,8,FALSE)),"")</f>
        <v/>
      </c>
      <c r="DO576" s="1404" t="str">
        <f>DN576</f>
        <v/>
      </c>
      <c r="DP576" s="1353" t="str">
        <f>IFERROR(VLOOKUP(DD578,Lookup!AU$3:AV$15,2,FALSE),"")</f>
        <v/>
      </c>
      <c r="DQ576" s="1404" t="str">
        <f>IF(DP576=7,"LLLC","")</f>
        <v/>
      </c>
      <c r="DR576" s="1403">
        <f>IFERROR(IF(OR(DN576=4,DN576=5,DN576=6,DN576=12,DN576=13,DN576=14),VLOOKUP(CT578,Fixtures!DN$27:EG$77,19,FALSE),1)*CS578,0)</f>
        <v>0</v>
      </c>
      <c r="DS576" s="1489">
        <f>IF(DP576=7,IF(DD576=DD578,0,DC578),0)</f>
        <v>0</v>
      </c>
      <c r="DU576" s="1403" t="str">
        <f>IFERROR(IF(EW576&lt;EW578,"Yes","No"),"")</f>
        <v/>
      </c>
      <c r="DV576" s="1404" t="str">
        <f>DU576</f>
        <v/>
      </c>
      <c r="DW576" s="1403">
        <f>IF(DU576="Yes",DC578,0)</f>
        <v>0</v>
      </c>
      <c r="DX576" s="1403">
        <f>DW576-DS576</f>
        <v>0</v>
      </c>
      <c r="DZ576" s="1481">
        <f>IFERROR(VLOOKUP(DN576,Lookup!AN$3:AO$16,2,FALSE),0)</f>
        <v>0</v>
      </c>
      <c r="EA576" s="1481">
        <f>IF(HW576=FALSE,0,IF(DU576="Yes",DZ576+Lookup!B$6,DZ576))</f>
        <v>0</v>
      </c>
      <c r="EC576" s="1482">
        <f>IF(HW576=TRUE,DJ576,0)</f>
        <v>0</v>
      </c>
      <c r="ED576" s="1369">
        <f>IF(HW576=TRUE,CW578,0)</f>
        <v>0</v>
      </c>
      <c r="EE576" s="1370">
        <f>IFERROR(EC576-ED576,0)</f>
        <v>0</v>
      </c>
      <c r="EF576" s="1369">
        <f>IF(HW576=TRUE,DG578,0)</f>
        <v>0</v>
      </c>
      <c r="EG576" s="1369">
        <f>IFERROR(EC576-ED576+EF576,0)</f>
        <v>0</v>
      </c>
      <c r="EH576" s="1373">
        <f>IF(HW576=TRUE,CS578*CU578,0)</f>
        <v>0</v>
      </c>
      <c r="EI576" s="1373">
        <f>IF(HW576=TRUE,DC578*DE578,0)</f>
        <v>0</v>
      </c>
      <c r="EJ576" s="1363">
        <f>AO576</f>
        <v>0</v>
      </c>
      <c r="EK576" s="1376" t="str">
        <f>IFERROR(IF(HW576=TRUE,VLOOKUP(DN576,Lookup!AN$3:AP$16,3,FALSE)*DR576,""),0)</f>
        <v/>
      </c>
      <c r="EL576" s="1376">
        <f>IF(HW576=TRUE,DW576*Lookup!AP$12,0)</f>
        <v>0</v>
      </c>
      <c r="EM576" s="1362">
        <f>IFERROR(IF(HW576=TRUE,EK576/EM$33,0),0)</f>
        <v>0</v>
      </c>
      <c r="EN576" s="1362">
        <f>IF(HW576=TRUE,EL576/EN$33,0)</f>
        <v>0</v>
      </c>
      <c r="EO576" s="1363">
        <f>IF(HW576=TRUE,EQ$33*EM576,0)</f>
        <v>0</v>
      </c>
      <c r="EP576" s="1363">
        <f>IF(HW576=TRUE,EQ$33*EN576,0)</f>
        <v>0</v>
      </c>
      <c r="EQ576" s="1363">
        <f>EO576+EP576</f>
        <v>0</v>
      </c>
      <c r="ES576" s="1403">
        <f>IF(G576="",0,1)</f>
        <v>0</v>
      </c>
      <c r="EU576" s="1410" t="e">
        <f>VLOOKUP(CP578,'Space Table'!$B$3:$L$160,8,FALSE)</f>
        <v>#N/A</v>
      </c>
      <c r="EV576" s="1410" t="e">
        <f>IF(EY576="Yes",VLOOKUP(DD576,Lookup_Control_Type_Table2,4,FALSE),VLOOKUP(DD576,Lookup_Control_Type_Table2,3,FALSE))</f>
        <v>#N/A</v>
      </c>
      <c r="EW576" s="1410" t="e">
        <f>VLOOKUP(DD576,Lookup!AU$3:AV$15,2,FALSE)</f>
        <v>#N/A</v>
      </c>
      <c r="EX576" s="1410" t="e">
        <f>VLOOKUP(EU576,Lookup_Control_Type_Table,2,FALSE)</f>
        <v>#N/A</v>
      </c>
      <c r="EY576" s="1410" t="e">
        <f>VLOOKUP(CP578,'Space Table'!$B$3:$L$160,7,FALSE)</f>
        <v>#N/A</v>
      </c>
      <c r="EZ576" s="1412" t="b">
        <f>ISNUMBER(SEARCH("TLED",U578))</f>
        <v>0</v>
      </c>
      <c r="FB576" s="1365" t="str">
        <f>CONCATENATE(CN576," - ",DD576)</f>
        <v xml:space="preserve"> - 0</v>
      </c>
      <c r="FD576" s="1353" t="str">
        <f>VLOOKUP(CT578,Fixtures!DN$27:EZ$77,38,FALSE)</f>
        <v/>
      </c>
      <c r="FE576" s="1353">
        <f>IFERROR(FD576*EE576,0)</f>
        <v>0</v>
      </c>
      <c r="FF576" s="138"/>
      <c r="FI576" s="1356" t="str">
        <f>IF(CN576="Exterior","Not Daylighted",G579)</f>
        <v>Not Daylighted</v>
      </c>
      <c r="FJ576" s="1356">
        <f>VLOOKUP(FI576,_Daylight_Table_Codes,2,FALSE)</f>
        <v>0</v>
      </c>
      <c r="FK576" s="1365">
        <f>IF(__Retrofit_TI_NC=2,VLOOKUP(G578,'Space Table'!$B$3:$L$160,11,FALSE),AF577)</f>
        <v>0</v>
      </c>
      <c r="FL576" s="1365" t="e">
        <f>VLOOKUP(FK576,_Control_Table,2,FALSE)</f>
        <v>#N/A</v>
      </c>
      <c r="FM576" s="1365" t="e">
        <f>IF(AND(FP576&gt;0,FK576="Occupancy Sensor"),"Daylight + Occupancy",IF(AND(FP576&gt;0,FL576&lt;4),"Interior Daylight Dimming",FK576))</f>
        <v>#N/A</v>
      </c>
      <c r="FO576" s="1364">
        <f>IF(CO576="Interior",VLOOKUP(CP576,Control_Savings_Interior,5,FALSE),0)</f>
        <v>0</v>
      </c>
      <c r="FP576" s="1361">
        <f>IF(CN576="Exterior",0,IF(FJ576=2,0.5,IF(OR(FJ576=1,FJ576=3),1,0)))</f>
        <v>0</v>
      </c>
      <c r="FQ576" s="1366"/>
      <c r="FR576" s="1367"/>
      <c r="FS576" s="1364"/>
      <c r="FT576" s="1367"/>
      <c r="FU576" s="1360"/>
      <c r="FW576" s="1352" t="str">
        <f>IFERROR(VLOOKUP(U577,_Exist_Fixture_Table,3,FALSE),"")</f>
        <v/>
      </c>
      <c r="FX576" s="1352" t="str">
        <f>VLOOKUP(CT576,_Exist_Fixture_Table,4,FALSE)</f>
        <v/>
      </c>
      <c r="FY576" s="1352">
        <f>IFERROR(VLOOKUP(FX576,Lookup!AM$6:AN$8,2,FALSE),0)</f>
        <v>0</v>
      </c>
      <c r="FZ576" s="1352" t="b">
        <f>IFERROR(IF(OR(GB576=4,GB576=5,GB576=6),TRUE,FALSE),"")</f>
        <v>0</v>
      </c>
      <c r="GA576" s="1352" t="str">
        <f>IFERROR(VLOOKUP(GB576,FY$6:FZ$10,2,FALSE),"")</f>
        <v/>
      </c>
      <c r="GB576" s="1352" t="str">
        <f>VLOOKUP(CT578,Fixtures!R$31:Y$78,8,FALSE)</f>
        <v/>
      </c>
      <c r="GC576" s="1352">
        <f>IF(AND(FW576=TRUE,FZ576=TRUE,OR(DN576=12,DN576=13,DN576=14)),FY576+8,0)</f>
        <v>0</v>
      </c>
      <c r="GD576" s="1352" t="b">
        <f>IF(OR(GC576=12,GC576=13,GC576=14),TRUE,FALSE)</f>
        <v>0</v>
      </c>
      <c r="GE576" s="759" t="b">
        <f>IF(ISNUMBER(SEARCH("TLED",U577)),TRUE,FALSE)</f>
        <v>0</v>
      </c>
      <c r="GF576" s="1035" t="str">
        <f>IFERROR(VLOOKUP(U577,Fixtures!BM$93:BR$142,6,FALSE),"")</f>
        <v/>
      </c>
      <c r="GG576" s="1385" t="b">
        <f>IF(OR(GE576=FALSE,GE578=FALSE),TRUE,IF(GF576-GF578&lt;5,FALSE,TRUE))</f>
        <v>1</v>
      </c>
      <c r="GK576" s="1034">
        <f>GL576</f>
        <v>0</v>
      </c>
      <c r="GL576" s="1034">
        <f>IF(G576="",0,1)</f>
        <v>0</v>
      </c>
      <c r="GM576" s="1034">
        <f>SUM(GN576:HB576)</f>
        <v>2</v>
      </c>
      <c r="GN576" s="1034">
        <f>IF(G577="",0,1)</f>
        <v>0</v>
      </c>
      <c r="GO576" s="1034">
        <f>IF(G578="",0,1)</f>
        <v>0</v>
      </c>
      <c r="GP576" s="1034">
        <f>IF(R577="",0,1)</f>
        <v>0</v>
      </c>
      <c r="GQ576" s="1034">
        <f>IF(__Retrofit_TI_NC=0,1,IF(R578="",0,1))</f>
        <v>1</v>
      </c>
      <c r="GR576" s="1034">
        <f>IF(CN576="Exterior",1,IF(G579="",0,1))</f>
        <v>1</v>
      </c>
      <c r="GS576" s="1034">
        <f>IF(__Retrofit_TI_NC&lt;&gt;0,1,IF(T577="",0,1))</f>
        <v>0</v>
      </c>
      <c r="GT576" s="1034">
        <f>IF(__Retrofit_TI_NC&lt;&gt;0,1,IF(U577="",0,1))</f>
        <v>0</v>
      </c>
      <c r="GU576" s="1034">
        <f>IF(T578="",0,1)</f>
        <v>0</v>
      </c>
      <c r="GV576" s="1034">
        <f>IF(U578="",0,1)</f>
        <v>0</v>
      </c>
      <c r="GW576" s="1034">
        <f>IF(__Retrofit_TI_NC=2,1,IF(U579="",0,1))</f>
        <v>0</v>
      </c>
      <c r="GX576" s="1034">
        <f>IF(__Retrofit_TI_NC&lt;&gt;0,1,IF(AE577="",0,1))</f>
        <v>0</v>
      </c>
      <c r="GY576" s="1034">
        <f>IF(__Retrofit_TI_NC&lt;&gt;0,1,IF(AF577="",0,1))</f>
        <v>0</v>
      </c>
      <c r="GZ576" s="1034">
        <f>IF(AE578="",0,1)</f>
        <v>0</v>
      </c>
      <c r="HA576" s="1034">
        <f>IF(AF578="",0,1)</f>
        <v>0</v>
      </c>
      <c r="HB576" s="1034">
        <f>IF(__Retrofit_TI_NC=2,1,IF(AF579="",0,1))</f>
        <v>0</v>
      </c>
      <c r="HV576" s="436"/>
      <c r="HW576" s="1384" t="b">
        <f>IF(OR(HW579=0,HW579=HT$16,HW579=HS$16,HW579=HU$16),TRUE,FALSE)</f>
        <v>0</v>
      </c>
      <c r="HX576" s="1377" t="b">
        <f>HW576</f>
        <v>0</v>
      </c>
      <c r="HY576" s="436"/>
      <c r="HZ576" s="436"/>
      <c r="IA576" s="1386" t="b">
        <f>IF(MAX(GJ579:HP579)&gt;5,FALSE,TRUE)</f>
        <v>0</v>
      </c>
      <c r="IB576" s="1380">
        <f>IF(IA576=TRUE,AC576,0)</f>
        <v>0</v>
      </c>
      <c r="IC576" s="1380">
        <f>IB576-IB578</f>
        <v>0</v>
      </c>
      <c r="IF576" s="1380" t="e">
        <f>ROUND(T577*VLOOKUP(U577,Fixtures_Existing_List,2,FALSE)*N577*R577/1000,0)</f>
        <v>#N/A</v>
      </c>
      <c r="IG576" s="1381" t="e">
        <f>IF576-IF578</f>
        <v>#N/A</v>
      </c>
      <c r="IH576" s="1384" t="e">
        <f>ROUND(IF(CN576="Interior",N578*R578*R577*N577*_C406_reduction/1000,N578*R578*R577*N577/1000),0)</f>
        <v>#N/A</v>
      </c>
      <c r="II576" s="1384" t="e">
        <f>IH576-IH578</f>
        <v>#N/A</v>
      </c>
      <c r="IK576" s="1351" t="e">
        <f>IF($CO576="interior",IL576/2,VLOOKUP($CP576,Control_Savings_Exterior,IK$30,FALSE))</f>
        <v>#N/A</v>
      </c>
      <c r="IL576" s="1351" t="e">
        <f>IF($CO576="interior",VLOOKUP($CP576,Control_Savings_Interior,IL$30,FALSE),VLOOKUP($CP576,Control_Savings_Exterior,IL$30,FALSE))</f>
        <v>#N/A</v>
      </c>
      <c r="IM576" s="1351" t="e">
        <f>IF($CO576="interior",IF(R577&gt;FO$37,(IM$28*(FO$37/R577)),IM$28)*FP576,VLOOKUP($CP576,Control_Savings_Exterior,IM$30,FALSE))</f>
        <v>#N/A</v>
      </c>
      <c r="IN576" s="1351" t="e">
        <f>IF($CO576="interior",ROUND(((1-IL576)*IM576)+IL576,2),VLOOKUP($CP576,Control_Savings_Exterior,IN$30,FALSE))</f>
        <v>#N/A</v>
      </c>
      <c r="IO576" s="1351" t="e">
        <f>IF($CO576="interior", ROUND(((1-IL576)*(IM576*(1-IP$28)))+IP576,2), VLOOKUP($CP576,Control_Savings_Exterior,IO$30,FALSE))</f>
        <v>#N/A</v>
      </c>
      <c r="IP576" s="1351">
        <f>IF($CO576="interior",ROUND(((1-IL576)*IP$28)+IL576,2),0)</f>
        <v>0</v>
      </c>
    </row>
    <row r="577" spans="1:250" s="82" customFormat="1" ht="14.95" customHeight="1" thickTop="1" thickBot="1">
      <c r="B577" s="1421"/>
      <c r="C577" s="1422"/>
      <c r="D577" s="1423"/>
      <c r="E577" s="1393" t="s">
        <v>244</v>
      </c>
      <c r="F577" s="1394"/>
      <c r="G577" s="1395"/>
      <c r="H577" s="1395"/>
      <c r="I577" s="1395"/>
      <c r="J577" s="1395"/>
      <c r="K577" s="1395"/>
      <c r="L577" s="1395"/>
      <c r="M577" s="509" t="e">
        <f>IF(__Retrofit_TI_NC&lt;&gt;0,IF(VLOOKUP(G578,'Space Table'!$B$3:$L$160,3,FALSE)&gt;0,1,0),IF(__Retrofit_TI_NC=VLOOKUP(G578,'Space Table'!$B$3:$L$160,3,FALSE),1,0))</f>
        <v>#N/A</v>
      </c>
      <c r="N577" s="509" t="str">
        <f>IFERROR(VLOOKUP(G577,_Lookup_Heat_Type_Table_New,2,FALSE),"")</f>
        <v/>
      </c>
      <c r="O577" s="509">
        <f>IF(__Retrofit_TI_NC=1,CONCATENATE("TI ",G577),IF(__Retrofit_TI_NC=2,CONCATENATE("NC ",G577),G577))</f>
        <v>0</v>
      </c>
      <c r="P577" s="1396" t="s">
        <v>352</v>
      </c>
      <c r="Q577" s="1396"/>
      <c r="R577" s="673"/>
      <c r="S577" s="1429"/>
      <c r="T577" s="675"/>
      <c r="U577" s="1496"/>
      <c r="V577" s="1497"/>
      <c r="W577" s="1497"/>
      <c r="X577" s="1497"/>
      <c r="Y577" s="1497"/>
      <c r="Z577" s="1497"/>
      <c r="AA577" s="1497"/>
      <c r="AB577" s="1497"/>
      <c r="AC577" s="1497"/>
      <c r="AD577" s="1498"/>
      <c r="AE577" s="675"/>
      <c r="AF577" s="1397"/>
      <c r="AG577" s="1397"/>
      <c r="AH577" s="1397"/>
      <c r="AI577" s="1397"/>
      <c r="AJ577" s="1434"/>
      <c r="AK577" s="1436"/>
      <c r="AL577" s="1438"/>
      <c r="AM577" s="1441"/>
      <c r="AN577" s="1442"/>
      <c r="AO577" s="1447"/>
      <c r="AP577" s="1447"/>
      <c r="AQ577" s="1448"/>
      <c r="AR577" s="1452"/>
      <c r="AS577" s="1455"/>
      <c r="AT577" s="1458"/>
      <c r="AU577" s="516"/>
      <c r="AV577" s="1479"/>
      <c r="AW577" s="1479"/>
      <c r="BC577" s="38"/>
      <c r="BD577" s="38"/>
      <c r="BE577" s="38"/>
      <c r="BF577" s="38"/>
      <c r="BG577" s="38"/>
      <c r="BH577" s="38"/>
      <c r="BI577" s="38"/>
      <c r="BJ577" s="38"/>
      <c r="BK577" s="38"/>
      <c r="BL577" s="38"/>
      <c r="BM577" s="38"/>
      <c r="BN577" s="38"/>
      <c r="BO577" s="38"/>
      <c r="BP577" s="38"/>
      <c r="BQ577" s="38"/>
      <c r="BR577" s="38"/>
      <c r="BS577" s="38"/>
      <c r="BT577" s="38"/>
      <c r="BU577" s="38"/>
      <c r="BV577" s="38"/>
      <c r="BW577" s="38"/>
      <c r="BX577" s="38"/>
      <c r="BY577" s="38"/>
      <c r="BZ577" s="38"/>
      <c r="CA577" s="38"/>
      <c r="CB577" s="38"/>
      <c r="CC577" s="38"/>
      <c r="CD577" s="38"/>
      <c r="CE577" s="38"/>
      <c r="CF577" s="38"/>
      <c r="CG577" s="38"/>
      <c r="CH577" s="38"/>
      <c r="CI577" s="38"/>
      <c r="CM577" s="1352"/>
      <c r="CN577" s="1352"/>
      <c r="CO577" s="1416"/>
      <c r="CP577" s="1418"/>
      <c r="CR577" s="1386"/>
      <c r="CS577" s="1355"/>
      <c r="CT577" s="1355"/>
      <c r="CU577" s="1355"/>
      <c r="CV577" s="1372"/>
      <c r="CW577" s="1372"/>
      <c r="CX577" s="1371"/>
      <c r="CY577" s="1486"/>
      <c r="CZ577" s="1486"/>
      <c r="DA577" s="1486"/>
      <c r="DC577" s="1355"/>
      <c r="DD577" s="1461"/>
      <c r="DE577" s="1355"/>
      <c r="DF577" s="1407"/>
      <c r="DG577" s="1372"/>
      <c r="DH577" s="1369"/>
      <c r="DJ577" s="1484"/>
      <c r="DL577" s="1419"/>
      <c r="DN577" s="1403"/>
      <c r="DO577" s="1405"/>
      <c r="DP577" s="1354"/>
      <c r="DQ577" s="1405"/>
      <c r="DR577" s="1403"/>
      <c r="DS577" s="1489"/>
      <c r="DU577" s="1403"/>
      <c r="DV577" s="1405"/>
      <c r="DW577" s="1403"/>
      <c r="DX577" s="1403"/>
      <c r="DZ577" s="1481"/>
      <c r="EA577" s="1481"/>
      <c r="EC577" s="1482"/>
      <c r="ED577" s="1369"/>
      <c r="EE577" s="1371"/>
      <c r="EF577" s="1369"/>
      <c r="EG577" s="1369"/>
      <c r="EH577" s="1374"/>
      <c r="EI577" s="1374"/>
      <c r="EJ577" s="1363"/>
      <c r="EK577" s="1376"/>
      <c r="EL577" s="1376"/>
      <c r="EM577" s="1362"/>
      <c r="EN577" s="1362"/>
      <c r="EO577" s="1363"/>
      <c r="EP577" s="1363"/>
      <c r="EQ577" s="1363"/>
      <c r="ES577" s="1403"/>
      <c r="EU577" s="1411"/>
      <c r="EV577" s="1411"/>
      <c r="EW577" s="1411"/>
      <c r="EX577" s="1411"/>
      <c r="EY577" s="1411"/>
      <c r="EZ577" s="1413"/>
      <c r="FB577" s="1365"/>
      <c r="FD577" s="1354"/>
      <c r="FE577" s="1354"/>
      <c r="FF577" s="138"/>
      <c r="FI577" s="1357"/>
      <c r="FJ577" s="1357"/>
      <c r="FK577" s="1365"/>
      <c r="FL577" s="1365"/>
      <c r="FM577" s="1365"/>
      <c r="FO577" s="1361"/>
      <c r="FP577" s="1361"/>
      <c r="FQ577" s="1366"/>
      <c r="FR577" s="1368"/>
      <c r="FS577" s="1361"/>
      <c r="FT577" s="1368"/>
      <c r="FU577" s="1360"/>
      <c r="FW577" s="1352"/>
      <c r="FX577" s="1352"/>
      <c r="FY577" s="1352"/>
      <c r="FZ577" s="1352"/>
      <c r="GA577" s="1352"/>
      <c r="GB577" s="1352"/>
      <c r="GC577" s="1352"/>
      <c r="GD577" s="1352"/>
      <c r="GE577" s="759"/>
      <c r="GF577" s="1035"/>
      <c r="GG577" s="1385"/>
      <c r="GI577" s="1384" t="b">
        <f>IF(AND(GL577=TRUE,GM577=TRUE),TRUE,FALSE)</f>
        <v>0</v>
      </c>
      <c r="GJ577" s="1379" t="b">
        <f>IFERROR(IF(__Retrofit_TI_NC=2,TRUE,IF(AR576="Yes",TRUE,FALSE)),FALSE)</f>
        <v>1</v>
      </c>
      <c r="GL577" s="1379" t="b">
        <f>IFERROR(IF(GL576=1,TRUE,FALSE),FALSE)</f>
        <v>0</v>
      </c>
      <c r="GM577" s="1379" t="b">
        <f>IFERROR(IF(GM576=GM$14,TRUE,FALSE),FALSE)</f>
        <v>0</v>
      </c>
      <c r="HC577" s="1379" t="b">
        <f>IFERROR(IF(M577=1,TRUE,FALSE),FALSE)</f>
        <v>0</v>
      </c>
      <c r="HD577" s="1379" t="b">
        <f>IFERROR(IF(M578=1,TRUE,FALSE),FALSE)</f>
        <v>0</v>
      </c>
      <c r="HE577" s="1379" t="b">
        <f>IFERROR(IF(__Retrofit_TI_NC&lt;&gt;0,TRUE,IFERROR(IF(VLOOKUP(U577,Fixtures_Existing_List,2,FALSE)&lt;&gt;"",TRUE,FALSE),FALSE)),FALSE)</f>
        <v>0</v>
      </c>
      <c r="HF577" s="1379" t="b">
        <f>IFERROR(IF(VLOOKUP(U578,Fixtures_Proposed_List,2,FALSE)&lt;&gt;"",TRUE,FALSE),FALSE)</f>
        <v>0</v>
      </c>
      <c r="HG577" s="1379" t="b">
        <f>IF(AND(__Retrofit_TI_NC=2,EZ576=TRUE),FALSE,TRUE)</f>
        <v>1</v>
      </c>
      <c r="HH577" s="1379" t="b">
        <f>GG576</f>
        <v>1</v>
      </c>
      <c r="HI577" s="1384" t="b">
        <f>IF(ISERROR(MATCH(FB576,_Control_Match[],0))=TRUE,FALSE,TRUE)</f>
        <v>0</v>
      </c>
      <c r="HJ577" s="1384" t="b">
        <f>IFERROR(IF(EU576&lt;&gt;EV576,FALSE,TRUE),FALSE)</f>
        <v>0</v>
      </c>
      <c r="HK577" s="1384" t="b">
        <f>IFERROR(IF(EU578&lt;&gt;EV578,FALSE,TRUE),FALSE)</f>
        <v>0</v>
      </c>
      <c r="HL577" s="1379" t="b">
        <f>IFERROR(IF(CN576="Exterior",TRUE,IF(OR(AND(FJ576=0,EW578&gt;4),AND(FJ576=4,EW578&gt;4,EW578&lt;7)),FALSE,TRUE)),FALSE)</f>
        <v>0</v>
      </c>
      <c r="HM577" s="1379" t="b">
        <f>IFERROR(IF(AND(FL578=7,EZ576=TRUE),FALSE,TRUE),FALSE)</f>
        <v>0</v>
      </c>
      <c r="HN577" s="1379" t="b">
        <f>IFERROR(IF(AND(T578&lt;&gt;AE578,AF578="Interior LLLC")=TRUE,FALSE,TRUE),FALSE)</f>
        <v>1</v>
      </c>
      <c r="HO577" s="1379" t="b">
        <f>IFERROR(IF(OR(AF578=Lookup!AU$13,AF578=Lookup!AU$14)=TRUE,IF(AE578&gt;T578,FALSE,TRUE),TRUE),FALSE)</f>
        <v>1</v>
      </c>
      <c r="HP577" s="1379" t="b">
        <f>IFERROR(IF(__Retrofit_TI_NC=2,IF(EW578&lt;EW576,FALSE,TRUE),TRUE),FALSE)</f>
        <v>1</v>
      </c>
      <c r="HQ577" s="1379" t="b">
        <f>IF(CN576="Interior",IG$6,TRUE)</f>
        <v>1</v>
      </c>
      <c r="HR577" s="1379" t="b">
        <f>IF(CN576="Exterior",IG$8,TRUE)</f>
        <v>1</v>
      </c>
      <c r="HS577" s="1379" t="b">
        <f>IFERROR(IF(__Retrofit_TI_NC&lt;&gt;0,IF(AW576&lt;AV576,FALSE,TRUE),TRUE),FALSE)</f>
        <v>1</v>
      </c>
      <c r="HT577" s="1379" t="b">
        <f>IFERROR(IF(AND(G577="Exterior",R577&gt;4200),FALSE,TRUE),FALSE)</f>
        <v>1</v>
      </c>
      <c r="HU577" s="1379" t="b">
        <f>IFERROR(IF(AB579/AB576&lt;HU$18,FALSE,TRUE),FALSE)</f>
        <v>0</v>
      </c>
      <c r="HW577" s="1382"/>
      <c r="HX577" s="1378"/>
      <c r="HY577" s="1377" t="str">
        <f>VLOOKUP(HW579,_Error_Table,4,FALSE)</f>
        <v>White</v>
      </c>
      <c r="HZ577" s="436"/>
      <c r="IA577" s="1386"/>
      <c r="IB577" s="1380"/>
      <c r="IC577" s="1379"/>
      <c r="IF577" s="1380"/>
      <c r="IG577" s="1382"/>
      <c r="IH577" s="1382"/>
      <c r="II577" s="1382"/>
      <c r="IK577" s="1351"/>
      <c r="IL577" s="1351"/>
      <c r="IM577" s="1351"/>
      <c r="IN577" s="1351"/>
      <c r="IO577" s="1351"/>
      <c r="IP577" s="1351"/>
    </row>
    <row r="578" spans="1:250" s="82" customFormat="1" ht="14.95" customHeight="1" thickTop="1" thickBot="1">
      <c r="A578" s="82">
        <f>ROW()</f>
        <v>578</v>
      </c>
      <c r="B578" s="1421"/>
      <c r="C578" s="1422"/>
      <c r="D578" s="1423"/>
      <c r="E578" s="1393" t="s">
        <v>245</v>
      </c>
      <c r="F578" s="1394"/>
      <c r="G578" s="1398"/>
      <c r="H578" s="1399"/>
      <c r="I578" s="1399"/>
      <c r="J578" s="1399"/>
      <c r="K578" s="1399"/>
      <c r="L578" s="1400"/>
      <c r="M578" s="509">
        <f>IFERROR(IF(IF(__Retrofit_TI_NC&lt;&gt;0,IF(CN576="Interior",MATCH(G578,Lookup_Interior_New,0),MATCH(G578,Lookup_Exterior_New,0)),IF(CN576="Interior",MATCH(G578,Lookup_Interior,0),MATCH(G578,Lookup_Exterior_Areas,0)))&gt;0,1,0),0)</f>
        <v>0</v>
      </c>
      <c r="N578" s="509" t="e">
        <f>IF(__Retrofit_TI_NC=1,
VLOOKUP(G578,'Space Table'!$B$3:$L$160,4,FALSE),
IF(__Retrofit_TI_NC=2,VLOOKUP(G578,'Space Table'!$B$3:$L$160,5,FALSE),VLOOKUP(G578,'Space Table'!$B$3:$L$160,5,FALSE)))</f>
        <v>#N/A</v>
      </c>
      <c r="O578" s="509">
        <f>G578</f>
        <v>0</v>
      </c>
      <c r="P578" s="1394" t="s">
        <v>355</v>
      </c>
      <c r="Q578" s="1394"/>
      <c r="R578" s="674"/>
      <c r="S578" s="1401" t="s">
        <v>284</v>
      </c>
      <c r="T578" s="672"/>
      <c r="U578" s="1499"/>
      <c r="V578" s="1500"/>
      <c r="W578" s="1500"/>
      <c r="X578" s="1500"/>
      <c r="Y578" s="1500"/>
      <c r="Z578" s="1500"/>
      <c r="AA578" s="1500"/>
      <c r="AB578" s="1501"/>
      <c r="AC578" s="1501"/>
      <c r="AD578" s="1502"/>
      <c r="AE578" s="672"/>
      <c r="AF578" s="1474"/>
      <c r="AG578" s="1474"/>
      <c r="AH578" s="1474"/>
      <c r="AI578" s="1474"/>
      <c r="AJ578" s="1475">
        <f>DF578</f>
        <v>0</v>
      </c>
      <c r="AK578" s="1470" t="str">
        <f>IFERROR(ROUND(AJ578*AC579,0),"")</f>
        <v/>
      </c>
      <c r="AL578" s="1472">
        <f>IFERROR(IF(HW576=FALSE,0,AC579-AK578),0)</f>
        <v>0</v>
      </c>
      <c r="AM578" s="1441"/>
      <c r="AN578" s="1442"/>
      <c r="AO578" s="1447"/>
      <c r="AP578" s="1447"/>
      <c r="AQ578" s="1448"/>
      <c r="AR578" s="1452"/>
      <c r="AS578" s="1455"/>
      <c r="AT578" s="1458"/>
      <c r="AU578" s="516"/>
      <c r="AV578" s="1479"/>
      <c r="AW578" s="1479"/>
      <c r="BC578" s="38"/>
      <c r="BD578" s="38"/>
      <c r="BE578" s="38"/>
      <c r="BF578" s="38"/>
      <c r="BG578" s="38"/>
      <c r="BH578" s="38"/>
      <c r="BI578" s="38"/>
      <c r="BJ578" s="38"/>
      <c r="BK578" s="38"/>
      <c r="BL578" s="38"/>
      <c r="BM578" s="38"/>
      <c r="BN578" s="38"/>
      <c r="BO578" s="38"/>
      <c r="BP578" s="38"/>
      <c r="BQ578" s="38"/>
      <c r="BR578" s="38"/>
      <c r="BS578" s="38"/>
      <c r="BT578" s="38"/>
      <c r="BU578" s="38"/>
      <c r="BV578" s="38"/>
      <c r="BW578" s="38"/>
      <c r="BX578" s="38"/>
      <c r="BY578" s="38"/>
      <c r="BZ578" s="38"/>
      <c r="CA578" s="38"/>
      <c r="CB578" s="38"/>
      <c r="CC578" s="38"/>
      <c r="CD578" s="38"/>
      <c r="CE578" s="38"/>
      <c r="CF578" s="38"/>
      <c r="CG578" s="38"/>
      <c r="CH578" s="38"/>
      <c r="CI578" s="38"/>
      <c r="CM578" s="1352"/>
      <c r="CN578" s="1352"/>
      <c r="CO578" s="1415" t="str">
        <f>CN576</f>
        <v/>
      </c>
      <c r="CP578" s="1417" t="e">
        <f>CP576</f>
        <v>#N/A</v>
      </c>
      <c r="CR578" s="1386" t="s">
        <v>284</v>
      </c>
      <c r="CS578" s="1353">
        <f>IF(HW576=TRUE,T578,0)</f>
        <v>0</v>
      </c>
      <c r="CT578" s="1353" t="str">
        <f>IF(HW576=TRUE,U578,"")</f>
        <v/>
      </c>
      <c r="CU578" s="1373">
        <f>IF(HW576=TRUE,U579,0)</f>
        <v>0</v>
      </c>
      <c r="CV578" s="1370">
        <f>IF(HW576=TRUE,AB579,0)</f>
        <v>0</v>
      </c>
      <c r="CW578" s="1370">
        <f>IF(HW576=TRUE,AC579,0)</f>
        <v>0</v>
      </c>
      <c r="CX578" s="1371"/>
      <c r="CY578" s="1486"/>
      <c r="CZ578" s="1486"/>
      <c r="DA578" s="1486"/>
      <c r="DC578" s="1353">
        <f>IF(HW576=TRUE,AE578,0)</f>
        <v>0</v>
      </c>
      <c r="DD578" s="1353" t="str">
        <f>IF(HW576=TRUE,AF578,"")</f>
        <v/>
      </c>
      <c r="DE578" s="1373">
        <f>AF579</f>
        <v>0</v>
      </c>
      <c r="DF578" s="1406">
        <f>IFERROR(IF(FL578=3,IK578,IF(FL578=4,IL578,IF(FL578=5,IM578,IF(FL578=6,IN578,IF(FL578=7,IO578,IF(FL578=8,IP578,0)))))),0)</f>
        <v>0</v>
      </c>
      <c r="DG578" s="1370">
        <f>IF(HW576=TRUE,AK578,0)</f>
        <v>0</v>
      </c>
      <c r="DH578" s="1369"/>
      <c r="DK578" s="1483">
        <f>IFERROR(CW578-DG578,0)</f>
        <v>0</v>
      </c>
      <c r="DL578" s="1420"/>
      <c r="DN578" s="1403"/>
      <c r="DO578" s="1477" t="str">
        <f>DN576</f>
        <v/>
      </c>
      <c r="DP578" s="1354"/>
      <c r="DQ578" s="1477" t="str">
        <f>IF(DP576=7,"LLLC","")</f>
        <v/>
      </c>
      <c r="DR578" s="1403"/>
      <c r="DS578" s="1489"/>
      <c r="DU578" s="1403"/>
      <c r="DV578" s="1404" t="str">
        <f>DU576</f>
        <v/>
      </c>
      <c r="DW578" s="1403"/>
      <c r="DX578" s="1403"/>
      <c r="DZ578" s="1481"/>
      <c r="EA578" s="1481"/>
      <c r="EC578" s="1482"/>
      <c r="ED578" s="1369"/>
      <c r="EE578" s="1371"/>
      <c r="EF578" s="1369"/>
      <c r="EG578" s="1369"/>
      <c r="EH578" s="1374"/>
      <c r="EI578" s="1374"/>
      <c r="EJ578" s="1363"/>
      <c r="EK578" s="1376"/>
      <c r="EL578" s="1376"/>
      <c r="EM578" s="1362"/>
      <c r="EN578" s="1362"/>
      <c r="EO578" s="1363"/>
      <c r="EP578" s="1363"/>
      <c r="EQ578" s="1363"/>
      <c r="ES578" s="1403"/>
      <c r="EU578" s="1411" t="e">
        <f>VLOOKUP(CP578,'Space Table'!$B$3:$L$160,8,FALSE)</f>
        <v>#N/A</v>
      </c>
      <c r="EV578" s="1411" t="e">
        <f>IF(EY578="Yes",VLOOKUP(AF578,Lookup_Control_Type_Table2,4,FALSE),VLOOKUP(AF578,Lookup_Control_Type_Table2,3,FALSE))</f>
        <v>#N/A</v>
      </c>
      <c r="EW578" s="1411" t="e">
        <f>VLOOKUP(AF578,Lookup!AU$3:AV$15,2,FALSE)</f>
        <v>#N/A</v>
      </c>
      <c r="EX578" s="1411" t="e">
        <f>VLOOKUP(EU576,Lookup_Control_Type_Table,2,FALSE)</f>
        <v>#N/A</v>
      </c>
      <c r="EY578" s="1411" t="e">
        <f>VLOOKUP(CP578,'Space Table'!$B$3:$L$160,7,FALSE)</f>
        <v>#N/A</v>
      </c>
      <c r="EZ578" s="1413"/>
      <c r="FB578" s="1365" t="str">
        <f>CONCATENATE(CN576," - ",AF578)</f>
        <v xml:space="preserve"> - </v>
      </c>
      <c r="FD578" s="1354"/>
      <c r="FE578" s="1354"/>
      <c r="FF578" s="138"/>
      <c r="FI578" s="1356" t="str">
        <f>IF(CN576="Exterior","Not Daylighted",G579)</f>
        <v>Not Daylighted</v>
      </c>
      <c r="FJ578" s="1356">
        <f>VLOOKUP(FI578,_Daylight_Table_Codes,2,FALSE)</f>
        <v>0</v>
      </c>
      <c r="FK578" s="1365">
        <f>AF578</f>
        <v>0</v>
      </c>
      <c r="FL578" s="1365" t="e">
        <f>VLOOKUP(FK578,_Control_Table,2,FALSE)</f>
        <v>#N/A</v>
      </c>
      <c r="FM578" s="1365" t="e">
        <f>IF(AND(FP578&gt;0,FK578="Occupancy Sensor"),"Daylight + Occupancy",IF(AND(FP578&gt;0,FL578&lt;4),"Interior Daylight Dimming",FK578))</f>
        <v>#N/A</v>
      </c>
      <c r="FO578" s="1364">
        <f>IF(CN576="Interior",VLOOKUP(CP576,Control_Savings_Interior,5,FALSE),0)</f>
        <v>0</v>
      </c>
      <c r="FP578" s="1361">
        <f>IF(CN578="Exterior",0,IF(FJ578=2,0.5,IF(OR(FJ578=1,FJ578=3),1,0)))</f>
        <v>0</v>
      </c>
      <c r="FQ578" s="1366">
        <f>IF(R577&gt;FO$37,(FO578*(FO$37/R577)),FO578)*FP578</f>
        <v>0</v>
      </c>
      <c r="FR578" s="1364">
        <f>DF578</f>
        <v>0</v>
      </c>
      <c r="FS578" s="1364">
        <f>ROUND(FR578+((1-FR578)*FQ578),2)</f>
        <v>0</v>
      </c>
      <c r="FT578" s="1364">
        <f>IF(__Retrofit_TI_NC=2,FS578,FR578)</f>
        <v>0</v>
      </c>
      <c r="FU578" s="1360">
        <f>IF(CO578="Interior",VLOOKUP(CP578,Control_Savings_Interior,4,FALSE),0)</f>
        <v>0</v>
      </c>
      <c r="FW578" s="1352"/>
      <c r="FX578" s="1352"/>
      <c r="FY578" s="1352"/>
      <c r="FZ578" s="1352"/>
      <c r="GA578" s="1352"/>
      <c r="GB578" s="1352"/>
      <c r="GC578" s="1352"/>
      <c r="GD578" s="1352"/>
      <c r="GE578" s="759" t="b">
        <f>IF(ISNUMBER(SEARCH("TLED",U578)),TRUE,FALSE)</f>
        <v>0</v>
      </c>
      <c r="GF578" s="1035" t="str">
        <f>IFERROR(VLOOKUP(U578,Fixtures!DM$93:DR$142,6,FALSE),"")</f>
        <v/>
      </c>
      <c r="GG578" s="1385"/>
      <c r="GI578" s="1383"/>
      <c r="GJ578" s="1379"/>
      <c r="GL578" s="1379"/>
      <c r="GM578" s="1379"/>
      <c r="HC578" s="1379"/>
      <c r="HD578" s="1379"/>
      <c r="HE578" s="1379"/>
      <c r="HF578" s="1379"/>
      <c r="HG578" s="1379"/>
      <c r="HH578" s="1379"/>
      <c r="HI578" s="1383"/>
      <c r="HJ578" s="1383"/>
      <c r="HK578" s="1383"/>
      <c r="HL578" s="1379"/>
      <c r="HM578" s="1379"/>
      <c r="HN578" s="1379"/>
      <c r="HO578" s="1379"/>
      <c r="HP578" s="1379"/>
      <c r="HQ578" s="1379"/>
      <c r="HR578" s="1379"/>
      <c r="HS578" s="1379"/>
      <c r="HT578" s="1379"/>
      <c r="HU578" s="1379"/>
      <c r="HW578" s="1383"/>
      <c r="HX578" s="1384" t="b">
        <f>HW576</f>
        <v>0</v>
      </c>
      <c r="HY578" s="1378"/>
      <c r="HZ578" s="436"/>
      <c r="IA578" s="1386"/>
      <c r="IB578" s="1380">
        <f>IF(IA576=TRUE,AC579,0)</f>
        <v>0</v>
      </c>
      <c r="IC578" s="1379"/>
      <c r="IF578" s="1380" t="e">
        <f>ROUND(T578*AB579*N577*R577/1000,0)</f>
        <v>#VALUE!</v>
      </c>
      <c r="IG578" s="1382"/>
      <c r="IH578" s="1384" t="e">
        <f>ROUND(T578*AB579*N577*R577/1000,0)</f>
        <v>#VALUE!</v>
      </c>
      <c r="II578" s="1382"/>
      <c r="IK578" s="1351" t="e">
        <f>IF($CO578="interior",IL578/2,VLOOKUP($CP578,Control_Savings_Exterior,IK$30,FALSE))</f>
        <v>#N/A</v>
      </c>
      <c r="IL578" s="1351" t="e">
        <f>IF($CO578="interior",VLOOKUP($CP578,Control_Savings_Interior,IL$30,FALSE),VLOOKUP($CP578,Control_Savings_Exterior,IL$30,FALSE))</f>
        <v>#N/A</v>
      </c>
      <c r="IM578" s="1351" t="e">
        <f>IF($CO578="interior",IF(R577&gt;FO$37,(IM$28*(FO$37/R577)),IM$28)*FP578,VLOOKUP($CP578,Control_Savings_Exterior,IM$30,FALSE))</f>
        <v>#N/A</v>
      </c>
      <c r="IN578" s="1351" t="e">
        <f>IF($CO578="interior",ROUND(((1-IL578)*IM578)+IL578,2),VLOOKUP($CP578,Control_Savings_Exterior,IN$30,FALSE))</f>
        <v>#N/A</v>
      </c>
      <c r="IO578" s="1351" t="e">
        <f>IF($CO578="interior", ROUND(((1-IL578)*(IM578*(1-IP$28)))+IP578,2), VLOOKUP($CP578,Control_Savings_Exterior,IO$30,FALSE))</f>
        <v>#N/A</v>
      </c>
      <c r="IP578" s="1351">
        <f>IF($CO578="interior",ROUND(((1-IL578)*IP$28)+IL578,2),0)</f>
        <v>0</v>
      </c>
    </row>
    <row r="579" spans="1:250" s="82" customFormat="1" ht="14.95" customHeight="1" thickTop="1" thickBot="1">
      <c r="B579" s="1421"/>
      <c r="C579" s="1422"/>
      <c r="D579" s="1423"/>
      <c r="E579" s="1462" t="s">
        <v>357</v>
      </c>
      <c r="F579" s="1463"/>
      <c r="G579" s="1464" t="s">
        <v>362</v>
      </c>
      <c r="H579" s="1465"/>
      <c r="I579" s="1465"/>
      <c r="J579" s="1465"/>
      <c r="K579" s="1465"/>
      <c r="L579" s="1466"/>
      <c r="M579" s="669">
        <f>IFERROR(VLOOKUP(G579,_Daylight_Table[],2,FALSE),0)</f>
        <v>0</v>
      </c>
      <c r="N579" s="670"/>
      <c r="O579" s="669" t="e">
        <f>VLOOKUP(G578,'Space Table'!$B$3:$L$160,11,FALSE)</f>
        <v>#N/A</v>
      </c>
      <c r="P579" s="1408"/>
      <c r="Q579" s="1409"/>
      <c r="R579" s="1409"/>
      <c r="S579" s="1402"/>
      <c r="T579" s="671" t="s">
        <v>281</v>
      </c>
      <c r="U579" s="1467" t="str">
        <f>IFERROR(VLOOKUP(U578,Fixtures!DM$93:DP$142,4,FALSE),"")</f>
        <v/>
      </c>
      <c r="V579" s="1468"/>
      <c r="W579" s="1468"/>
      <c r="X579" s="1468"/>
      <c r="Y579" s="1468"/>
      <c r="Z579" s="1468"/>
      <c r="AA579" s="1468"/>
      <c r="AB579" s="1046" t="str">
        <f>IFERROR(VLOOKUP(U578,Fixtures_Proposed_List,2,FALSE),"")</f>
        <v/>
      </c>
      <c r="AC579" s="1036" t="str">
        <f>IFERROR(ROUND(T578*AB579*N577*R577/1000,0),"")</f>
        <v/>
      </c>
      <c r="AD579" s="1037" t="str">
        <f>IFERROR(ROUND(T578*AB579/1000,2),"")</f>
        <v/>
      </c>
      <c r="AE579" s="1045" t="s">
        <v>281</v>
      </c>
      <c r="AF579" s="1469"/>
      <c r="AG579" s="1469"/>
      <c r="AH579" s="1469"/>
      <c r="AI579" s="1469"/>
      <c r="AJ579" s="1476"/>
      <c r="AK579" s="1471"/>
      <c r="AL579" s="1473"/>
      <c r="AM579" s="1443"/>
      <c r="AN579" s="1444"/>
      <c r="AO579" s="1449"/>
      <c r="AP579" s="1449"/>
      <c r="AQ579" s="1450"/>
      <c r="AR579" s="1453"/>
      <c r="AS579" s="1456"/>
      <c r="AT579" s="1459"/>
      <c r="AU579" s="517"/>
      <c r="AV579" s="1480"/>
      <c r="AW579" s="1480"/>
      <c r="BC579" s="38"/>
      <c r="BD579" s="38"/>
      <c r="BE579" s="38"/>
      <c r="BF579" s="38"/>
      <c r="BG579" s="38"/>
      <c r="BH579" s="38"/>
      <c r="BI579" s="38"/>
      <c r="BJ579" s="38"/>
      <c r="BK579" s="38"/>
      <c r="BL579" s="38"/>
      <c r="BM579" s="38"/>
      <c r="BN579" s="38"/>
      <c r="BO579" s="38"/>
      <c r="BP579" s="38"/>
      <c r="BQ579" s="38"/>
      <c r="BR579" s="38"/>
      <c r="BS579" s="38"/>
      <c r="BT579" s="38"/>
      <c r="BU579" s="38"/>
      <c r="BV579" s="38"/>
      <c r="BW579" s="38"/>
      <c r="BX579" s="38"/>
      <c r="BY579" s="38"/>
      <c r="BZ579" s="38"/>
      <c r="CA579" s="38"/>
      <c r="CB579" s="38"/>
      <c r="CC579" s="38"/>
      <c r="CD579" s="38"/>
      <c r="CE579" s="38"/>
      <c r="CF579" s="38"/>
      <c r="CG579" s="38"/>
      <c r="CH579" s="38"/>
      <c r="CI579" s="38"/>
      <c r="CM579" s="1352"/>
      <c r="CN579" s="1352"/>
      <c r="CO579" s="1416"/>
      <c r="CP579" s="1418"/>
      <c r="CR579" s="1386"/>
      <c r="CS579" s="1355"/>
      <c r="CT579" s="1355"/>
      <c r="CU579" s="1375"/>
      <c r="CV579" s="1372"/>
      <c r="CW579" s="1372"/>
      <c r="CX579" s="1372"/>
      <c r="CY579" s="1487"/>
      <c r="CZ579" s="1487"/>
      <c r="DA579" s="1487"/>
      <c r="DC579" s="1355"/>
      <c r="DD579" s="1355"/>
      <c r="DE579" s="1375"/>
      <c r="DF579" s="1407"/>
      <c r="DG579" s="1372"/>
      <c r="DH579" s="1369"/>
      <c r="DK579" s="1484"/>
      <c r="DL579" s="1420"/>
      <c r="DN579" s="1403"/>
      <c r="DO579" s="1405"/>
      <c r="DP579" s="1355"/>
      <c r="DQ579" s="1405"/>
      <c r="DR579" s="1403"/>
      <c r="DS579" s="1489"/>
      <c r="DU579" s="1403"/>
      <c r="DV579" s="1405"/>
      <c r="DW579" s="1403"/>
      <c r="DX579" s="1403"/>
      <c r="DZ579" s="1481"/>
      <c r="EA579" s="1481"/>
      <c r="EC579" s="1482"/>
      <c r="ED579" s="1369"/>
      <c r="EE579" s="1372"/>
      <c r="EF579" s="1369"/>
      <c r="EG579" s="1369"/>
      <c r="EH579" s="1375"/>
      <c r="EI579" s="1375"/>
      <c r="EJ579" s="1363"/>
      <c r="EK579" s="1376"/>
      <c r="EL579" s="1376"/>
      <c r="EM579" s="1362"/>
      <c r="EN579" s="1362"/>
      <c r="EO579" s="1363"/>
      <c r="EP579" s="1363"/>
      <c r="EQ579" s="1363"/>
      <c r="ES579" s="1403"/>
      <c r="EU579" s="1488"/>
      <c r="EV579" s="1488"/>
      <c r="EW579" s="1488"/>
      <c r="EX579" s="1488"/>
      <c r="EY579" s="1488"/>
      <c r="EZ579" s="1414"/>
      <c r="FB579" s="1365"/>
      <c r="FD579" s="1355"/>
      <c r="FE579" s="1355"/>
      <c r="FF579" s="138"/>
      <c r="FI579" s="1357"/>
      <c r="FJ579" s="1357"/>
      <c r="FK579" s="1365"/>
      <c r="FL579" s="1365"/>
      <c r="FM579" s="1365"/>
      <c r="FO579" s="1361"/>
      <c r="FP579" s="1361"/>
      <c r="FQ579" s="1366"/>
      <c r="FR579" s="1361"/>
      <c r="FS579" s="1361"/>
      <c r="FT579" s="1361"/>
      <c r="FU579" s="1360"/>
      <c r="FW579" s="1352"/>
      <c r="FX579" s="1352"/>
      <c r="FY579" s="1352"/>
      <c r="FZ579" s="1352"/>
      <c r="GA579" s="1352"/>
      <c r="GB579" s="1352"/>
      <c r="GC579" s="1352"/>
      <c r="GD579" s="1352"/>
      <c r="GE579" s="759"/>
      <c r="GF579" s="1035"/>
      <c r="GG579" s="1385"/>
      <c r="GJ579" s="1034">
        <f>IF(GJ577=TRUE,0,GJ$16)</f>
        <v>0</v>
      </c>
      <c r="GL579" s="1034">
        <f>IF(GL577=TRUE,0,GL$16)</f>
        <v>36</v>
      </c>
      <c r="GM579" s="1034">
        <f>IF(GM577=TRUE,0,GM$16)</f>
        <v>35</v>
      </c>
      <c r="GN579" s="436"/>
      <c r="GO579" s="436"/>
      <c r="GP579" s="436"/>
      <c r="GQ579" s="436"/>
      <c r="GR579" s="436"/>
      <c r="HC579" s="1034">
        <f t="shared" ref="HC579:HH579" si="426">IF(HC577=TRUE,0,HC$16)</f>
        <v>19</v>
      </c>
      <c r="HD579" s="1034">
        <f t="shared" si="426"/>
        <v>18</v>
      </c>
      <c r="HE579" s="1034">
        <f t="shared" si="426"/>
        <v>17</v>
      </c>
      <c r="HF579" s="1034">
        <f t="shared" si="426"/>
        <v>16</v>
      </c>
      <c r="HG579" s="1034">
        <f t="shared" si="426"/>
        <v>0</v>
      </c>
      <c r="HH579" s="1034">
        <f t="shared" si="426"/>
        <v>0</v>
      </c>
      <c r="HI579" s="1034">
        <f>IF(HI577=TRUE,0,HI$16)</f>
        <v>13</v>
      </c>
      <c r="HJ579" s="1034">
        <f t="shared" ref="HJ579:HL579" si="427">IF(HJ577=TRUE,0,HJ$16)</f>
        <v>12</v>
      </c>
      <c r="HK579" s="1034">
        <f t="shared" si="427"/>
        <v>11</v>
      </c>
      <c r="HL579" s="1034">
        <f t="shared" si="427"/>
        <v>10</v>
      </c>
      <c r="HM579" s="1034">
        <f>IF(HM577=TRUE,0,HM$16)</f>
        <v>9</v>
      </c>
      <c r="HN579" s="1034">
        <f t="shared" ref="HN579:HR579" si="428">IF(HN577=TRUE,0,HN$16)</f>
        <v>0</v>
      </c>
      <c r="HO579" s="1034">
        <f t="shared" si="428"/>
        <v>0</v>
      </c>
      <c r="HP579" s="1034">
        <f t="shared" si="428"/>
        <v>0</v>
      </c>
      <c r="HQ579" s="1034">
        <f t="shared" si="428"/>
        <v>0</v>
      </c>
      <c r="HR579" s="1034">
        <f t="shared" si="428"/>
        <v>0</v>
      </c>
      <c r="HS579" s="1034">
        <f>IF(HS577=TRUE,0,HS$16)</f>
        <v>0</v>
      </c>
      <c r="HT579" s="1034">
        <f t="shared" ref="HT579" si="429">IF(HT577=TRUE,0,HT$16)</f>
        <v>0</v>
      </c>
      <c r="HU579" s="1034">
        <f>IF(HU577=TRUE,0,HU$16)</f>
        <v>1</v>
      </c>
      <c r="HW579" s="1034">
        <f>IF(GL577=FALSE,GL579,IF(GM577=FALSE,GM579,MAX(GJ579:HU579)))</f>
        <v>36</v>
      </c>
      <c r="HX579" s="1383"/>
      <c r="HY579" s="241" t="str">
        <f>VLOOKUP(HW579,_Error_Table,3,FALSE)</f>
        <v xml:space="preserve"> </v>
      </c>
      <c r="HZ579" s="241"/>
      <c r="IA579" s="1386"/>
      <c r="IB579" s="1380"/>
      <c r="IC579" s="1379"/>
      <c r="IF579" s="1380"/>
      <c r="IG579" s="1383"/>
      <c r="IH579" s="1383"/>
      <c r="II579" s="1383"/>
      <c r="IK579" s="1351"/>
      <c r="IL579" s="1351"/>
      <c r="IM579" s="1351"/>
      <c r="IN579" s="1351"/>
      <c r="IO579" s="1351"/>
      <c r="IP579" s="1351"/>
    </row>
    <row r="580" spans="1:250" s="82" customFormat="1" ht="5.0999999999999996" customHeight="1" thickBot="1">
      <c r="B580" s="763"/>
      <c r="C580" s="1038"/>
      <c r="D580" s="1038"/>
      <c r="E580" s="1490"/>
      <c r="F580" s="1490"/>
      <c r="G580" s="1490"/>
      <c r="H580" s="1490"/>
      <c r="I580" s="1490"/>
      <c r="J580" s="1490"/>
      <c r="K580" s="1490"/>
      <c r="L580" s="1490"/>
      <c r="M580" s="1490"/>
      <c r="N580" s="1490"/>
      <c r="O580" s="1490"/>
      <c r="P580" s="1490"/>
      <c r="Q580" s="1490"/>
      <c r="R580" s="1490"/>
      <c r="S580" s="1490"/>
      <c r="T580" s="1490"/>
      <c r="U580" s="1490"/>
      <c r="V580" s="1490"/>
      <c r="W580" s="1490"/>
      <c r="X580" s="1490"/>
      <c r="Y580" s="1490"/>
      <c r="Z580" s="1490"/>
      <c r="AA580" s="1490"/>
      <c r="AB580" s="1490"/>
      <c r="AC580" s="1490"/>
      <c r="AD580" s="1490"/>
      <c r="AE580" s="1490"/>
      <c r="AF580" s="1490"/>
      <c r="AG580" s="1490"/>
      <c r="AH580" s="1490"/>
      <c r="AI580" s="1490"/>
      <c r="AJ580" s="1490"/>
      <c r="AK580" s="1490"/>
      <c r="AL580" s="1490"/>
      <c r="AM580" s="1490"/>
      <c r="AN580" s="1490"/>
      <c r="AO580" s="1490"/>
      <c r="AP580" s="1490"/>
      <c r="AQ580" s="1490"/>
      <c r="AR580" s="1490"/>
      <c r="AS580" s="1490"/>
      <c r="AT580" s="1490"/>
      <c r="AU580" s="1041"/>
      <c r="BC580" s="38"/>
      <c r="BD580" s="38"/>
      <c r="BE580" s="38"/>
      <c r="BF580" s="38"/>
      <c r="BG580" s="38"/>
      <c r="BH580" s="38"/>
      <c r="BI580" s="38"/>
      <c r="BJ580" s="38"/>
      <c r="BK580" s="38"/>
      <c r="BL580" s="38"/>
      <c r="BM580" s="38"/>
      <c r="BN580" s="38"/>
      <c r="BO580" s="38"/>
      <c r="BP580" s="38"/>
      <c r="BQ580" s="38"/>
      <c r="BR580" s="38"/>
      <c r="BS580" s="38"/>
      <c r="BT580" s="38"/>
      <c r="BU580" s="38"/>
      <c r="BV580" s="38"/>
      <c r="BW580" s="38"/>
      <c r="BX580" s="38"/>
      <c r="BY580" s="38"/>
      <c r="BZ580" s="38"/>
      <c r="CA580" s="38"/>
      <c r="CB580" s="38"/>
      <c r="CC580" s="38"/>
      <c r="CD580" s="38"/>
      <c r="CE580" s="38"/>
      <c r="CF580" s="38"/>
      <c r="CG580" s="38"/>
      <c r="CH580" s="38"/>
      <c r="CI580" s="38"/>
      <c r="CM580" s="749"/>
      <c r="CN580" s="749"/>
      <c r="CO580" s="1043"/>
      <c r="CP580" s="749"/>
      <c r="CS580" s="436"/>
      <c r="CT580" s="436"/>
      <c r="CU580" s="243"/>
      <c r="CV580" s="244"/>
      <c r="CW580" s="244"/>
      <c r="CX580" s="244"/>
      <c r="CY580" s="245"/>
      <c r="CZ580" s="245"/>
      <c r="DA580" s="245"/>
      <c r="DC580" s="750"/>
      <c r="DD580" s="751"/>
      <c r="DE580" s="752"/>
      <c r="DF580" s="753"/>
      <c r="DG580" s="754"/>
      <c r="DH580" s="754"/>
      <c r="DK580" s="244"/>
      <c r="DL580" s="750"/>
      <c r="DN580" s="750"/>
      <c r="DO580" s="755"/>
      <c r="DP580" s="436"/>
      <c r="DQ580" s="750"/>
      <c r="DR580" s="750"/>
      <c r="DS580" s="750"/>
      <c r="DU580" s="750"/>
      <c r="DV580" s="750"/>
      <c r="DW580" s="750"/>
      <c r="DX580" s="750"/>
      <c r="DZ580" s="756"/>
      <c r="EA580" s="756"/>
      <c r="EC580" s="754"/>
      <c r="ED580" s="754"/>
      <c r="EE580" s="244"/>
      <c r="EF580" s="754"/>
      <c r="EG580" s="754"/>
      <c r="EH580" s="243"/>
      <c r="EI580" s="243"/>
      <c r="EJ580" s="752"/>
      <c r="EK580" s="757"/>
      <c r="EL580" s="757"/>
      <c r="EM580" s="758"/>
      <c r="EN580" s="758"/>
      <c r="EO580" s="752"/>
      <c r="EP580" s="752"/>
      <c r="EQ580" s="752"/>
      <c r="ES580" s="750"/>
      <c r="EU580" s="436"/>
      <c r="EV580" s="436"/>
      <c r="EW580" s="436"/>
      <c r="EX580" s="436"/>
      <c r="EY580" s="436"/>
      <c r="EZ580" s="436"/>
      <c r="FB580" s="643"/>
      <c r="FD580" s="436"/>
      <c r="FE580" s="436"/>
      <c r="FF580" s="436"/>
      <c r="FO580" s="750"/>
      <c r="FP580" s="436"/>
      <c r="FQ580" s="436"/>
      <c r="FR580" s="750"/>
      <c r="FS580" s="750"/>
      <c r="FW580" s="749"/>
      <c r="FX580" s="749"/>
      <c r="FY580" s="749"/>
      <c r="FZ580" s="749"/>
      <c r="GA580" s="749"/>
      <c r="GB580" s="749"/>
      <c r="GC580" s="749"/>
      <c r="GD580" s="749"/>
      <c r="GE580" s="751"/>
      <c r="GF580" s="750"/>
      <c r="GG580" s="750"/>
    </row>
    <row r="581" spans="1:250" s="82" customFormat="1" ht="14.95" customHeight="1" thickTop="1" thickBot="1">
      <c r="B581" s="1421" t="str">
        <f>HY584</f>
        <v xml:space="preserve"> </v>
      </c>
      <c r="C581" s="1422">
        <f>C576+1</f>
        <v>105</v>
      </c>
      <c r="D581" s="1423"/>
      <c r="E581" s="1424" t="s">
        <v>242</v>
      </c>
      <c r="F581" s="1425"/>
      <c r="G581" s="1426"/>
      <c r="H581" s="1427"/>
      <c r="I581" s="1427"/>
      <c r="J581" s="1427"/>
      <c r="K581" s="1427"/>
      <c r="L581" s="1427"/>
      <c r="M581" s="1427"/>
      <c r="N581" s="1427"/>
      <c r="O581" s="1427"/>
      <c r="P581" s="1427"/>
      <c r="Q581" s="1427"/>
      <c r="R581" s="1427"/>
      <c r="S581" s="1428" t="s">
        <v>283</v>
      </c>
      <c r="T581" s="668" t="s">
        <v>190</v>
      </c>
      <c r="U581" s="1430" t="s">
        <v>186</v>
      </c>
      <c r="V581" s="1431"/>
      <c r="W581" s="1431"/>
      <c r="X581" s="1431"/>
      <c r="Y581" s="1431"/>
      <c r="Z581" s="1431"/>
      <c r="AA581" s="1431"/>
      <c r="AB581" s="1088" t="str">
        <f>IFERROR(IF(__Retrofit_TI_NC=0,VLOOKUP(U582,Fixtures_Existing_List,2,FALSE),ROUND(N583*R583/T583,10)),"")</f>
        <v/>
      </c>
      <c r="AC581" s="1039" t="str">
        <f>IFERROR(IF(__Retrofit_TI_NC=0,ROUND(T582*AB581*N582*R582/1000,0),IF(CN581="Interior",N583*R583*R582*N582*_C406_reduction/1000,N583*R583*R582*N582/1000)),"")</f>
        <v/>
      </c>
      <c r="AD581" s="1040" t="str">
        <f>IFERROR(IF(C$36=0,ROUND(T582*AB581/1000,2),N583*R583/1000),"")</f>
        <v/>
      </c>
      <c r="AE581" s="1044" t="s">
        <v>190</v>
      </c>
      <c r="AF581" s="1432" t="str">
        <f>IF(__Retrofit_TI_NC=2,CONCATENATE("Code min = ",DD581),IF(__Retrofit_TI_NC=1,"Emter what you think the existing control was"," Control"))</f>
        <v xml:space="preserve"> Control</v>
      </c>
      <c r="AG581" s="1432"/>
      <c r="AH581" s="1432"/>
      <c r="AI581" s="1432"/>
      <c r="AJ581" s="1433">
        <f>DF581</f>
        <v>0</v>
      </c>
      <c r="AK581" s="1435" t="str">
        <f>IFERROR(ROUND(AJ581*AC581,0),"")</f>
        <v/>
      </c>
      <c r="AL581" s="1437">
        <f>IFERROR(IF(HW581=FALSE,0,AC581-AK581),0)</f>
        <v>0</v>
      </c>
      <c r="AM581" s="1439">
        <f>AL581-AL583</f>
        <v>0</v>
      </c>
      <c r="AN581" s="1440"/>
      <c r="AO581" s="1445">
        <f>IFERROR(IF(HW581=FALSE,0,(T583*U584)+(AE583*AF584)),0)</f>
        <v>0</v>
      </c>
      <c r="AP581" s="1445"/>
      <c r="AQ581" s="1446"/>
      <c r="AR581" s="1451" t="s">
        <v>157</v>
      </c>
      <c r="AS581" s="1454">
        <f>IF(AR581="Yes",1,0)</f>
        <v>1</v>
      </c>
      <c r="AT581" s="1457" t="str">
        <f>IF(OR(DN581=4,DN581=5,DN581=6,DN581=12),CONCATENATE("$",IF(GD581=TRUE,Lookup!$B$11,Lookup!$B$2)," /lamp"),CONCATENATE(EA581,"/ kWh"))</f>
        <v>0/ kWh</v>
      </c>
      <c r="AU581" s="516"/>
      <c r="AV581" s="1478">
        <f>IFERROR(IF(GI582=TRUE,(AB584*T583)/R583,0),"NA")</f>
        <v>0</v>
      </c>
      <c r="AW581" s="1478" t="str">
        <f>IFERROR(N583*_C406_reduction,"NA")</f>
        <v>NA</v>
      </c>
      <c r="BC581" s="38"/>
      <c r="BD581" s="38"/>
      <c r="BE581" s="38"/>
      <c r="BF581" s="38"/>
      <c r="BG581" s="38"/>
      <c r="BH581" s="38"/>
      <c r="BI581" s="38"/>
      <c r="BJ581" s="38"/>
      <c r="BK581" s="38"/>
      <c r="BL581" s="38"/>
      <c r="BM581" s="38"/>
      <c r="BN581" s="38"/>
      <c r="BO581" s="38"/>
      <c r="BP581" s="38"/>
      <c r="BQ581" s="38"/>
      <c r="BR581" s="38"/>
      <c r="BS581" s="38"/>
      <c r="BT581" s="38"/>
      <c r="BU581" s="38"/>
      <c r="BV581" s="38"/>
      <c r="BW581" s="38"/>
      <c r="BX581" s="38"/>
      <c r="BY581" s="38"/>
      <c r="BZ581" s="38"/>
      <c r="CA581" s="38"/>
      <c r="CB581" s="38"/>
      <c r="CC581" s="38"/>
      <c r="CD581" s="38"/>
      <c r="CE581" s="38"/>
      <c r="CF581" s="38"/>
      <c r="CG581" s="38"/>
      <c r="CH581" s="38"/>
      <c r="CI581" s="38"/>
      <c r="CM581" s="1352" t="str">
        <f>N582</f>
        <v/>
      </c>
      <c r="CN581" s="1352" t="str">
        <f>IFERROR(VLOOKUP(G582,_Lookup_Heat_Type_Table_New,3,FALSE),"")</f>
        <v/>
      </c>
      <c r="CO581" s="1415" t="str">
        <f>CN581</f>
        <v/>
      </c>
      <c r="CP581" s="1417" t="e">
        <f>VLOOKUP(G583,'Space Table'!$B$3:$L$160,9,FALSE)</f>
        <v>#N/A</v>
      </c>
      <c r="CR581" s="1386" t="s">
        <v>283</v>
      </c>
      <c r="CS581" s="1353">
        <f>IF(HW581=TRUE,T582,0)</f>
        <v>0</v>
      </c>
      <c r="CT581" s="1353" t="str">
        <f>IF(HW581=TRUE,U582,"")</f>
        <v/>
      </c>
      <c r="CU581" s="1353"/>
      <c r="CV581" s="1370">
        <f>IF(HW581=TRUE,AB581,0)</f>
        <v>0</v>
      </c>
      <c r="CW581" s="1370">
        <f>IF(HW581=TRUE,AC581,0)</f>
        <v>0</v>
      </c>
      <c r="CX581" s="1370">
        <f>IFERROR(IF(HW581=TRUE,CW581-CW583,0),0)</f>
        <v>0</v>
      </c>
      <c r="CY581" s="1485">
        <f>IF(HW581=TRUE,AD581,0)</f>
        <v>0</v>
      </c>
      <c r="CZ581" s="1485">
        <f>IF(HW581=TRUE,AD584,0)</f>
        <v>0</v>
      </c>
      <c r="DA581" s="1485">
        <f>IFERROR(CY581-CZ581,0)</f>
        <v>0</v>
      </c>
      <c r="DC581" s="1353">
        <f>IF(HW581=TRUE,AE582,0)</f>
        <v>0</v>
      </c>
      <c r="DD581" s="1460">
        <f>IF(__Retrofit_TI_NC=2,IF(CN581="Exterior",O584,FM581),FK581)</f>
        <v>0</v>
      </c>
      <c r="DE581" s="1353"/>
      <c r="DF581" s="1406">
        <f>IFERROR(IF(FL581=3,IK581,IF(FL581=4,IL581,IF(FL581=5,IM581,IF(FL581=6,IN581,IF(FL581=7,IO581,IF(FL581=8,IP581,0)))))),0)</f>
        <v>0</v>
      </c>
      <c r="DG581" s="1370">
        <f>IF(HW581=TRUE,AK581,0)</f>
        <v>0</v>
      </c>
      <c r="DH581" s="1369">
        <f>IFERROR(IF(HW581=TRUE,DG583-DG581,0),0)</f>
        <v>0</v>
      </c>
      <c r="DJ581" s="1483">
        <f>IFERROR(CW581-DG581,0)</f>
        <v>0</v>
      </c>
      <c r="DL581" s="1419">
        <f>DJ581-DK583</f>
        <v>0</v>
      </c>
      <c r="DN581" s="1403" t="str">
        <f>IFERROR(IF(AND(OR(FY581=4,FY581=5,FY581=6),OR(GB581=4,GB581=5,GB581=6)),FY581+8,VLOOKUP(CT583,Fixtures!R$31:Y$78,8,FALSE)),"")</f>
        <v/>
      </c>
      <c r="DO581" s="1404" t="str">
        <f>DN581</f>
        <v/>
      </c>
      <c r="DP581" s="1353" t="str">
        <f>IFERROR(VLOOKUP(DD583,Lookup!AU$3:AV$15,2,FALSE),"")</f>
        <v/>
      </c>
      <c r="DQ581" s="1404" t="str">
        <f>IF(DP581=7,"LLLC","")</f>
        <v/>
      </c>
      <c r="DR581" s="1403">
        <f>IFERROR(IF(OR(DN581=4,DN581=5,DN581=6,DN581=12,DN581=13,DN581=14),VLOOKUP(CT583,Fixtures!DN$27:EG$77,19,FALSE),1)*CS583,0)</f>
        <v>0</v>
      </c>
      <c r="DS581" s="1489">
        <f>IF(DP581=7,IF(DD581=DD583,0,DC583),0)</f>
        <v>0</v>
      </c>
      <c r="DU581" s="1403" t="str">
        <f>IFERROR(IF(EW581&lt;EW583,"Yes","No"),"")</f>
        <v/>
      </c>
      <c r="DV581" s="1404" t="str">
        <f>DU581</f>
        <v/>
      </c>
      <c r="DW581" s="1403">
        <f>IF(DU581="Yes",DC583,0)</f>
        <v>0</v>
      </c>
      <c r="DX581" s="1403">
        <f>DW581-DS581</f>
        <v>0</v>
      </c>
      <c r="DZ581" s="1481">
        <f>IFERROR(VLOOKUP(DN581,Lookup!AN$3:AO$16,2,FALSE),0)</f>
        <v>0</v>
      </c>
      <c r="EA581" s="1481">
        <f>IF(HW581=FALSE,0,IF(DU581="Yes",DZ581+Lookup!B$6,DZ581))</f>
        <v>0</v>
      </c>
      <c r="EC581" s="1482">
        <f>IF(HW581=TRUE,DJ581,0)</f>
        <v>0</v>
      </c>
      <c r="ED581" s="1369">
        <f>IF(HW581=TRUE,CW583,0)</f>
        <v>0</v>
      </c>
      <c r="EE581" s="1370">
        <f>IFERROR(EC581-ED581,0)</f>
        <v>0</v>
      </c>
      <c r="EF581" s="1369">
        <f>IF(HW581=TRUE,DG583,0)</f>
        <v>0</v>
      </c>
      <c r="EG581" s="1369">
        <f>IFERROR(EC581-ED581+EF581,0)</f>
        <v>0</v>
      </c>
      <c r="EH581" s="1373">
        <f>IF(HW581=TRUE,CS583*CU583,0)</f>
        <v>0</v>
      </c>
      <c r="EI581" s="1373">
        <f>IF(HW581=TRUE,DC583*DE583,0)</f>
        <v>0</v>
      </c>
      <c r="EJ581" s="1363">
        <f>AO581</f>
        <v>0</v>
      </c>
      <c r="EK581" s="1376" t="str">
        <f>IFERROR(IF(HW581=TRUE,VLOOKUP(DN581,Lookup!AN$3:AP$16,3,FALSE)*DR581,""),0)</f>
        <v/>
      </c>
      <c r="EL581" s="1376">
        <f>IF(HW581=TRUE,DW581*Lookup!AP$12,0)</f>
        <v>0</v>
      </c>
      <c r="EM581" s="1362">
        <f>IFERROR(IF(HW581=TRUE,EK581/EM$33,0),0)</f>
        <v>0</v>
      </c>
      <c r="EN581" s="1362">
        <f>IF(HW581=TRUE,EL581/EN$33,0)</f>
        <v>0</v>
      </c>
      <c r="EO581" s="1363">
        <f>IF(HW581=TRUE,EQ$33*EM581,0)</f>
        <v>0</v>
      </c>
      <c r="EP581" s="1363">
        <f>IF(HW581=TRUE,EQ$33*EN581,0)</f>
        <v>0</v>
      </c>
      <c r="EQ581" s="1363">
        <f>EO581+EP581</f>
        <v>0</v>
      </c>
      <c r="ES581" s="1403">
        <f>IF(G581="",0,1)</f>
        <v>0</v>
      </c>
      <c r="EU581" s="1410" t="e">
        <f>VLOOKUP(CP583,'Space Table'!$B$3:$L$160,8,FALSE)</f>
        <v>#N/A</v>
      </c>
      <c r="EV581" s="1410" t="e">
        <f>IF(EY581="Yes",VLOOKUP(DD581,Lookup_Control_Type_Table2,4,FALSE),VLOOKUP(DD581,Lookup_Control_Type_Table2,3,FALSE))</f>
        <v>#N/A</v>
      </c>
      <c r="EW581" s="1410" t="e">
        <f>VLOOKUP(DD581,Lookup!AU$3:AV$15,2,FALSE)</f>
        <v>#N/A</v>
      </c>
      <c r="EX581" s="1410" t="e">
        <f>VLOOKUP(EU581,Lookup_Control_Type_Table,2,FALSE)</f>
        <v>#N/A</v>
      </c>
      <c r="EY581" s="1410" t="e">
        <f>VLOOKUP(CP583,'Space Table'!$B$3:$L$160,7,FALSE)</f>
        <v>#N/A</v>
      </c>
      <c r="EZ581" s="1412" t="b">
        <f>ISNUMBER(SEARCH("TLED",U583))</f>
        <v>0</v>
      </c>
      <c r="FB581" s="1365" t="str">
        <f>CONCATENATE(CN581," - ",DD581)</f>
        <v xml:space="preserve"> - 0</v>
      </c>
      <c r="FD581" s="1353" t="str">
        <f>VLOOKUP(CT583,Fixtures!DN$27:EZ$77,38,FALSE)</f>
        <v/>
      </c>
      <c r="FE581" s="1353">
        <f>IFERROR(FD581*EE581,0)</f>
        <v>0</v>
      </c>
      <c r="FF581" s="138"/>
      <c r="FI581" s="1356" t="str">
        <f>IF(CN581="Exterior","Not Daylighted",G584)</f>
        <v>Not Daylighted</v>
      </c>
      <c r="FJ581" s="1356">
        <f>VLOOKUP(FI581,_Daylight_Table_Codes,2,FALSE)</f>
        <v>0</v>
      </c>
      <c r="FK581" s="1365">
        <f>IF(__Retrofit_TI_NC=2,VLOOKUP(G583,'Space Table'!$B$3:$L$160,11,FALSE),AF582)</f>
        <v>0</v>
      </c>
      <c r="FL581" s="1365" t="e">
        <f>VLOOKUP(FK581,_Control_Table,2,FALSE)</f>
        <v>#N/A</v>
      </c>
      <c r="FM581" s="1365" t="e">
        <f>IF(AND(FP581&gt;0,FK581="Occupancy Sensor"),"Daylight + Occupancy",IF(AND(FP581&gt;0,FL581&lt;4),"Interior Daylight Dimming",FK581))</f>
        <v>#N/A</v>
      </c>
      <c r="FO581" s="1364">
        <f>IF(CO581="Interior",VLOOKUP(CP581,Control_Savings_Interior,5,FALSE),0)</f>
        <v>0</v>
      </c>
      <c r="FP581" s="1361">
        <f>IF(CN581="Exterior",0,IF(FJ581=2,0.5,IF(OR(FJ581=1,FJ581=3),1,0)))</f>
        <v>0</v>
      </c>
      <c r="FQ581" s="1366"/>
      <c r="FR581" s="1367"/>
      <c r="FS581" s="1364"/>
      <c r="FT581" s="1367"/>
      <c r="FU581" s="1360"/>
      <c r="FW581" s="1352" t="str">
        <f>IFERROR(VLOOKUP(U582,_Exist_Fixture_Table,3,FALSE),"")</f>
        <v/>
      </c>
      <c r="FX581" s="1352" t="str">
        <f>VLOOKUP(CT581,_Exist_Fixture_Table,4,FALSE)</f>
        <v/>
      </c>
      <c r="FY581" s="1352">
        <f>IFERROR(VLOOKUP(FX581,Lookup!AM$6:AN$8,2,FALSE),0)</f>
        <v>0</v>
      </c>
      <c r="FZ581" s="1352" t="b">
        <f>IFERROR(IF(OR(GB581=4,GB581=5,GB581=6),TRUE,FALSE),"")</f>
        <v>0</v>
      </c>
      <c r="GA581" s="1352" t="str">
        <f>IFERROR(VLOOKUP(GB581,FY$6:FZ$10,2,FALSE),"")</f>
        <v/>
      </c>
      <c r="GB581" s="1352" t="str">
        <f>VLOOKUP(CT583,Fixtures!R$31:Y$78,8,FALSE)</f>
        <v/>
      </c>
      <c r="GC581" s="1352">
        <f>IF(AND(FW581=TRUE,FZ581=TRUE,OR(DN581=12,DN581=13,DN581=14)),FY581+8,0)</f>
        <v>0</v>
      </c>
      <c r="GD581" s="1352" t="b">
        <f>IF(OR(GC581=12,GC581=13,GC581=14),TRUE,FALSE)</f>
        <v>0</v>
      </c>
      <c r="GE581" s="759" t="b">
        <f>IF(ISNUMBER(SEARCH("TLED",U582)),TRUE,FALSE)</f>
        <v>0</v>
      </c>
      <c r="GF581" s="1035" t="str">
        <f>IFERROR(VLOOKUP(U582,Fixtures!BM$93:BR$142,6,FALSE),"")</f>
        <v/>
      </c>
      <c r="GG581" s="1385" t="b">
        <f>IF(OR(GE581=FALSE,GE583=FALSE),TRUE,IF(GF581-GF583&lt;5,FALSE,TRUE))</f>
        <v>1</v>
      </c>
      <c r="GK581" s="1034">
        <f>GL581</f>
        <v>0</v>
      </c>
      <c r="GL581" s="1034">
        <f>IF(G581="",0,1)</f>
        <v>0</v>
      </c>
      <c r="GM581" s="1034">
        <f>SUM(GN581:HB581)</f>
        <v>2</v>
      </c>
      <c r="GN581" s="1034">
        <f>IF(G582="",0,1)</f>
        <v>0</v>
      </c>
      <c r="GO581" s="1034">
        <f>IF(G583="",0,1)</f>
        <v>0</v>
      </c>
      <c r="GP581" s="1034">
        <f>IF(R582="",0,1)</f>
        <v>0</v>
      </c>
      <c r="GQ581" s="1034">
        <f>IF(__Retrofit_TI_NC=0,1,IF(R583="",0,1))</f>
        <v>1</v>
      </c>
      <c r="GR581" s="1034">
        <f>IF(CN581="Exterior",1,IF(G584="",0,1))</f>
        <v>1</v>
      </c>
      <c r="GS581" s="1034">
        <f>IF(__Retrofit_TI_NC&lt;&gt;0,1,IF(T582="",0,1))</f>
        <v>0</v>
      </c>
      <c r="GT581" s="1034">
        <f>IF(__Retrofit_TI_NC&lt;&gt;0,1,IF(U582="",0,1))</f>
        <v>0</v>
      </c>
      <c r="GU581" s="1034">
        <f>IF(T583="",0,1)</f>
        <v>0</v>
      </c>
      <c r="GV581" s="1034">
        <f>IF(U583="",0,1)</f>
        <v>0</v>
      </c>
      <c r="GW581" s="1034">
        <f>IF(__Retrofit_TI_NC=2,1,IF(U584="",0,1))</f>
        <v>0</v>
      </c>
      <c r="GX581" s="1034">
        <f>IF(__Retrofit_TI_NC&lt;&gt;0,1,IF(AE582="",0,1))</f>
        <v>0</v>
      </c>
      <c r="GY581" s="1034">
        <f>IF(__Retrofit_TI_NC&lt;&gt;0,1,IF(AF582="",0,1))</f>
        <v>0</v>
      </c>
      <c r="GZ581" s="1034">
        <f>IF(AE583="",0,1)</f>
        <v>0</v>
      </c>
      <c r="HA581" s="1034">
        <f>IF(AF583="",0,1)</f>
        <v>0</v>
      </c>
      <c r="HB581" s="1034">
        <f>IF(__Retrofit_TI_NC=2,1,IF(AF584="",0,1))</f>
        <v>0</v>
      </c>
      <c r="HV581" s="436"/>
      <c r="HW581" s="1384" t="b">
        <f>IF(OR(HW584=0,HW584=HT$16,HW584=HS$16,HW584=HU$16),TRUE,FALSE)</f>
        <v>0</v>
      </c>
      <c r="HX581" s="1377" t="b">
        <f>HW581</f>
        <v>0</v>
      </c>
      <c r="HY581" s="436"/>
      <c r="HZ581" s="436"/>
      <c r="IA581" s="1386" t="b">
        <f>IF(MAX(GJ584:HP584)&gt;5,FALSE,TRUE)</f>
        <v>0</v>
      </c>
      <c r="IB581" s="1380">
        <f>IF(IA581=TRUE,AC581,0)</f>
        <v>0</v>
      </c>
      <c r="IC581" s="1380">
        <f>IB581-IB583</f>
        <v>0</v>
      </c>
      <c r="IF581" s="1380" t="e">
        <f>ROUND(T582*VLOOKUP(U582,Fixtures_Existing_List,2,FALSE)*N582*R582/1000,0)</f>
        <v>#N/A</v>
      </c>
      <c r="IG581" s="1381" t="e">
        <f>IF581-IF583</f>
        <v>#N/A</v>
      </c>
      <c r="IH581" s="1384" t="e">
        <f>ROUND(IF(CN581="Interior",N583*R583*R582*N582*_C406_reduction/1000,N583*R583*R582*N582/1000),0)</f>
        <v>#N/A</v>
      </c>
      <c r="II581" s="1384" t="e">
        <f>IH581-IH583</f>
        <v>#N/A</v>
      </c>
      <c r="IK581" s="1351" t="e">
        <f>IF($CO581="interior",IL581/2,VLOOKUP($CP581,Control_Savings_Exterior,IK$30,FALSE))</f>
        <v>#N/A</v>
      </c>
      <c r="IL581" s="1351" t="e">
        <f>IF($CO581="interior",VLOOKUP($CP581,Control_Savings_Interior,IL$30,FALSE),VLOOKUP($CP581,Control_Savings_Exterior,IL$30,FALSE))</f>
        <v>#N/A</v>
      </c>
      <c r="IM581" s="1351" t="e">
        <f>IF($CO581="interior",IF(R582&gt;FO$37,(IM$28*(FO$37/R582)),IM$28)*FP581,VLOOKUP($CP581,Control_Savings_Exterior,IM$30,FALSE))</f>
        <v>#N/A</v>
      </c>
      <c r="IN581" s="1351" t="e">
        <f>IF($CO581="interior",ROUND(((1-IL581)*IM581)+IL581,2),VLOOKUP($CP581,Control_Savings_Exterior,IN$30,FALSE))</f>
        <v>#N/A</v>
      </c>
      <c r="IO581" s="1351" t="e">
        <f>IF($CO581="interior", ROUND(((1-IL581)*(IM581*(1-IP$28)))+IP581,2), VLOOKUP($CP581,Control_Savings_Exterior,IO$30,FALSE))</f>
        <v>#N/A</v>
      </c>
      <c r="IP581" s="1351">
        <f>IF($CO581="interior",ROUND(((1-IL581)*IP$28)+IL581,2),0)</f>
        <v>0</v>
      </c>
    </row>
    <row r="582" spans="1:250" s="82" customFormat="1" ht="14.95" customHeight="1" thickTop="1" thickBot="1">
      <c r="B582" s="1421"/>
      <c r="C582" s="1422"/>
      <c r="D582" s="1423"/>
      <c r="E582" s="1393" t="s">
        <v>244</v>
      </c>
      <c r="F582" s="1394"/>
      <c r="G582" s="1395"/>
      <c r="H582" s="1395"/>
      <c r="I582" s="1395"/>
      <c r="J582" s="1395"/>
      <c r="K582" s="1395"/>
      <c r="L582" s="1395"/>
      <c r="M582" s="509" t="e">
        <f>IF(__Retrofit_TI_NC&lt;&gt;0,IF(VLOOKUP(G583,'Space Table'!$B$3:$L$160,3,FALSE)&gt;0,1,0),IF(__Retrofit_TI_NC=VLOOKUP(G583,'Space Table'!$B$3:$L$160,3,FALSE),1,0))</f>
        <v>#N/A</v>
      </c>
      <c r="N582" s="509" t="str">
        <f>IFERROR(VLOOKUP(G582,_Lookup_Heat_Type_Table_New,2,FALSE),"")</f>
        <v/>
      </c>
      <c r="O582" s="509">
        <f>IF(__Retrofit_TI_NC=1,CONCATENATE("TI ",G582),IF(__Retrofit_TI_NC=2,CONCATENATE("NC ",G582),G582))</f>
        <v>0</v>
      </c>
      <c r="P582" s="1396" t="s">
        <v>352</v>
      </c>
      <c r="Q582" s="1396"/>
      <c r="R582" s="673"/>
      <c r="S582" s="1429"/>
      <c r="T582" s="675"/>
      <c r="U582" s="1496"/>
      <c r="V582" s="1497"/>
      <c r="W582" s="1497"/>
      <c r="X582" s="1497"/>
      <c r="Y582" s="1497"/>
      <c r="Z582" s="1497"/>
      <c r="AA582" s="1497"/>
      <c r="AB582" s="1497"/>
      <c r="AC582" s="1497"/>
      <c r="AD582" s="1498"/>
      <c r="AE582" s="675"/>
      <c r="AF582" s="1397"/>
      <c r="AG582" s="1397"/>
      <c r="AH582" s="1397"/>
      <c r="AI582" s="1397"/>
      <c r="AJ582" s="1434"/>
      <c r="AK582" s="1436"/>
      <c r="AL582" s="1438"/>
      <c r="AM582" s="1441"/>
      <c r="AN582" s="1442"/>
      <c r="AO582" s="1447"/>
      <c r="AP582" s="1447"/>
      <c r="AQ582" s="1448"/>
      <c r="AR582" s="1452"/>
      <c r="AS582" s="1455"/>
      <c r="AT582" s="1458"/>
      <c r="AU582" s="516"/>
      <c r="AV582" s="1479"/>
      <c r="AW582" s="1479"/>
      <c r="BC582" s="38"/>
      <c r="BD582" s="38"/>
      <c r="BE582" s="38"/>
      <c r="BF582" s="38"/>
      <c r="BG582" s="38"/>
      <c r="BH582" s="38"/>
      <c r="BI582" s="38"/>
      <c r="BJ582" s="38"/>
      <c r="BK582" s="38"/>
      <c r="BL582" s="38"/>
      <c r="BM582" s="38"/>
      <c r="BN582" s="38"/>
      <c r="BO582" s="38"/>
      <c r="BP582" s="38"/>
      <c r="BQ582" s="38"/>
      <c r="BR582" s="38"/>
      <c r="BS582" s="38"/>
      <c r="BT582" s="38"/>
      <c r="BU582" s="38"/>
      <c r="BV582" s="38"/>
      <c r="BW582" s="38"/>
      <c r="BX582" s="38"/>
      <c r="BY582" s="38"/>
      <c r="BZ582" s="38"/>
      <c r="CA582" s="38"/>
      <c r="CB582" s="38"/>
      <c r="CC582" s="38"/>
      <c r="CD582" s="38"/>
      <c r="CE582" s="38"/>
      <c r="CF582" s="38"/>
      <c r="CG582" s="38"/>
      <c r="CH582" s="38"/>
      <c r="CI582" s="38"/>
      <c r="CM582" s="1352"/>
      <c r="CN582" s="1352"/>
      <c r="CO582" s="1416"/>
      <c r="CP582" s="1418"/>
      <c r="CR582" s="1386"/>
      <c r="CS582" s="1355"/>
      <c r="CT582" s="1355"/>
      <c r="CU582" s="1355"/>
      <c r="CV582" s="1372"/>
      <c r="CW582" s="1372"/>
      <c r="CX582" s="1371"/>
      <c r="CY582" s="1486"/>
      <c r="CZ582" s="1486"/>
      <c r="DA582" s="1486"/>
      <c r="DC582" s="1355"/>
      <c r="DD582" s="1461"/>
      <c r="DE582" s="1355"/>
      <c r="DF582" s="1407"/>
      <c r="DG582" s="1372"/>
      <c r="DH582" s="1369"/>
      <c r="DJ582" s="1484"/>
      <c r="DL582" s="1419"/>
      <c r="DN582" s="1403"/>
      <c r="DO582" s="1405"/>
      <c r="DP582" s="1354"/>
      <c r="DQ582" s="1405"/>
      <c r="DR582" s="1403"/>
      <c r="DS582" s="1489"/>
      <c r="DU582" s="1403"/>
      <c r="DV582" s="1405"/>
      <c r="DW582" s="1403"/>
      <c r="DX582" s="1403"/>
      <c r="DZ582" s="1481"/>
      <c r="EA582" s="1481"/>
      <c r="EC582" s="1482"/>
      <c r="ED582" s="1369"/>
      <c r="EE582" s="1371"/>
      <c r="EF582" s="1369"/>
      <c r="EG582" s="1369"/>
      <c r="EH582" s="1374"/>
      <c r="EI582" s="1374"/>
      <c r="EJ582" s="1363"/>
      <c r="EK582" s="1376"/>
      <c r="EL582" s="1376"/>
      <c r="EM582" s="1362"/>
      <c r="EN582" s="1362"/>
      <c r="EO582" s="1363"/>
      <c r="EP582" s="1363"/>
      <c r="EQ582" s="1363"/>
      <c r="ES582" s="1403"/>
      <c r="EU582" s="1411"/>
      <c r="EV582" s="1411"/>
      <c r="EW582" s="1411"/>
      <c r="EX582" s="1411"/>
      <c r="EY582" s="1411"/>
      <c r="EZ582" s="1413"/>
      <c r="FB582" s="1365"/>
      <c r="FD582" s="1354"/>
      <c r="FE582" s="1354"/>
      <c r="FF582" s="138"/>
      <c r="FI582" s="1357"/>
      <c r="FJ582" s="1357"/>
      <c r="FK582" s="1365"/>
      <c r="FL582" s="1365"/>
      <c r="FM582" s="1365"/>
      <c r="FO582" s="1361"/>
      <c r="FP582" s="1361"/>
      <c r="FQ582" s="1366"/>
      <c r="FR582" s="1368"/>
      <c r="FS582" s="1361"/>
      <c r="FT582" s="1368"/>
      <c r="FU582" s="1360"/>
      <c r="FW582" s="1352"/>
      <c r="FX582" s="1352"/>
      <c r="FY582" s="1352"/>
      <c r="FZ582" s="1352"/>
      <c r="GA582" s="1352"/>
      <c r="GB582" s="1352"/>
      <c r="GC582" s="1352"/>
      <c r="GD582" s="1352"/>
      <c r="GE582" s="759"/>
      <c r="GF582" s="1035"/>
      <c r="GG582" s="1385"/>
      <c r="GI582" s="1384" t="b">
        <f>IF(AND(GL582=TRUE,GM582=TRUE),TRUE,FALSE)</f>
        <v>0</v>
      </c>
      <c r="GJ582" s="1379" t="b">
        <f>IFERROR(IF(__Retrofit_TI_NC=2,TRUE,IF(AR581="Yes",TRUE,FALSE)),FALSE)</f>
        <v>1</v>
      </c>
      <c r="GL582" s="1379" t="b">
        <f>IFERROR(IF(GL581=1,TRUE,FALSE),FALSE)</f>
        <v>0</v>
      </c>
      <c r="GM582" s="1379" t="b">
        <f>IFERROR(IF(GM581=GM$14,TRUE,FALSE),FALSE)</f>
        <v>0</v>
      </c>
      <c r="HC582" s="1379" t="b">
        <f>IFERROR(IF(M582=1,TRUE,FALSE),FALSE)</f>
        <v>0</v>
      </c>
      <c r="HD582" s="1379" t="b">
        <f>IFERROR(IF(M583=1,TRUE,FALSE),FALSE)</f>
        <v>0</v>
      </c>
      <c r="HE582" s="1379" t="b">
        <f>IFERROR(IF(__Retrofit_TI_NC&lt;&gt;0,TRUE,IFERROR(IF(VLOOKUP(U582,Fixtures_Existing_List,2,FALSE)&lt;&gt;"",TRUE,FALSE),FALSE)),FALSE)</f>
        <v>0</v>
      </c>
      <c r="HF582" s="1379" t="b">
        <f>IFERROR(IF(VLOOKUP(U583,Fixtures_Proposed_List,2,FALSE)&lt;&gt;"",TRUE,FALSE),FALSE)</f>
        <v>0</v>
      </c>
      <c r="HG582" s="1379" t="b">
        <f>IF(AND(__Retrofit_TI_NC=2,EZ581=TRUE),FALSE,TRUE)</f>
        <v>1</v>
      </c>
      <c r="HH582" s="1379" t="b">
        <f>GG581</f>
        <v>1</v>
      </c>
      <c r="HI582" s="1384" t="b">
        <f>IF(ISERROR(MATCH(FB581,_Control_Match[],0))=TRUE,FALSE,TRUE)</f>
        <v>0</v>
      </c>
      <c r="HJ582" s="1384" t="b">
        <f>IFERROR(IF(EU581&lt;&gt;EV581,FALSE,TRUE),FALSE)</f>
        <v>0</v>
      </c>
      <c r="HK582" s="1384" t="b">
        <f>IFERROR(IF(EU583&lt;&gt;EV583,FALSE,TRUE),FALSE)</f>
        <v>0</v>
      </c>
      <c r="HL582" s="1379" t="b">
        <f>IFERROR(IF(CN581="Exterior",TRUE,IF(OR(AND(FJ581=0,EW583&gt;4),AND(FJ581=4,EW583&gt;4,EW583&lt;7)),FALSE,TRUE)),FALSE)</f>
        <v>0</v>
      </c>
      <c r="HM582" s="1379" t="b">
        <f>IFERROR(IF(AND(FL583=7,EZ581=TRUE),FALSE,TRUE),FALSE)</f>
        <v>0</v>
      </c>
      <c r="HN582" s="1379" t="b">
        <f>IFERROR(IF(AND(T583&lt;&gt;AE583,AF583="Interior LLLC")=TRUE,FALSE,TRUE),FALSE)</f>
        <v>1</v>
      </c>
      <c r="HO582" s="1379" t="b">
        <f>IFERROR(IF(OR(AF583=Lookup!AU$13,AF583=Lookup!AU$14)=TRUE,IF(AE583&gt;T583,FALSE,TRUE),TRUE),FALSE)</f>
        <v>1</v>
      </c>
      <c r="HP582" s="1379" t="b">
        <f>IFERROR(IF(__Retrofit_TI_NC=2,IF(EW583&lt;EW581,FALSE,TRUE),TRUE),FALSE)</f>
        <v>1</v>
      </c>
      <c r="HQ582" s="1379" t="b">
        <f>IF(CN581="Interior",IG$6,TRUE)</f>
        <v>1</v>
      </c>
      <c r="HR582" s="1379" t="b">
        <f>IF(CN581="Exterior",IG$8,TRUE)</f>
        <v>1</v>
      </c>
      <c r="HS582" s="1379" t="b">
        <f>IFERROR(IF(__Retrofit_TI_NC&lt;&gt;0,IF(AW581&lt;AV581,FALSE,TRUE),TRUE),FALSE)</f>
        <v>1</v>
      </c>
      <c r="HT582" s="1379" t="b">
        <f>IFERROR(IF(AND(G582="Exterior",R582&gt;4200),FALSE,TRUE),FALSE)</f>
        <v>1</v>
      </c>
      <c r="HU582" s="1379" t="b">
        <f>IFERROR(IF(AB584/AB581&lt;HU$18,FALSE,TRUE),FALSE)</f>
        <v>0</v>
      </c>
      <c r="HW582" s="1382"/>
      <c r="HX582" s="1378"/>
      <c r="HY582" s="1377" t="str">
        <f>VLOOKUP(HW584,_Error_Table,4,FALSE)</f>
        <v>White</v>
      </c>
      <c r="HZ582" s="436"/>
      <c r="IA582" s="1386"/>
      <c r="IB582" s="1380"/>
      <c r="IC582" s="1379"/>
      <c r="IF582" s="1380"/>
      <c r="IG582" s="1382"/>
      <c r="IH582" s="1382"/>
      <c r="II582" s="1382"/>
      <c r="IK582" s="1351"/>
      <c r="IL582" s="1351"/>
      <c r="IM582" s="1351"/>
      <c r="IN582" s="1351"/>
      <c r="IO582" s="1351"/>
      <c r="IP582" s="1351"/>
    </row>
    <row r="583" spans="1:250" s="82" customFormat="1" ht="14.95" customHeight="1" thickTop="1" thickBot="1">
      <c r="A583" s="82">
        <f>ROW()</f>
        <v>583</v>
      </c>
      <c r="B583" s="1421"/>
      <c r="C583" s="1422"/>
      <c r="D583" s="1423"/>
      <c r="E583" s="1393" t="s">
        <v>245</v>
      </c>
      <c r="F583" s="1394"/>
      <c r="G583" s="1398"/>
      <c r="H583" s="1399"/>
      <c r="I583" s="1399"/>
      <c r="J583" s="1399"/>
      <c r="K583" s="1399"/>
      <c r="L583" s="1400"/>
      <c r="M583" s="509">
        <f>IFERROR(IF(IF(__Retrofit_TI_NC&lt;&gt;0,IF(CN581="Interior",MATCH(G583,Lookup_Interior_New,0),MATCH(G583,Lookup_Exterior_New,0)),IF(CN581="Interior",MATCH(G583,Lookup_Interior,0),MATCH(G583,Lookup_Exterior_Areas,0)))&gt;0,1,0),0)</f>
        <v>0</v>
      </c>
      <c r="N583" s="509" t="e">
        <f>IF(__Retrofit_TI_NC=1,
VLOOKUP(G583,'Space Table'!$B$3:$L$160,4,FALSE),
IF(__Retrofit_TI_NC=2,VLOOKUP(G583,'Space Table'!$B$3:$L$160,5,FALSE),VLOOKUP(G583,'Space Table'!$B$3:$L$160,5,FALSE)))</f>
        <v>#N/A</v>
      </c>
      <c r="O583" s="509">
        <f>G583</f>
        <v>0</v>
      </c>
      <c r="P583" s="1394" t="s">
        <v>355</v>
      </c>
      <c r="Q583" s="1394"/>
      <c r="R583" s="674"/>
      <c r="S583" s="1401" t="s">
        <v>284</v>
      </c>
      <c r="T583" s="672"/>
      <c r="U583" s="1499"/>
      <c r="V583" s="1500"/>
      <c r="W583" s="1500"/>
      <c r="X583" s="1500"/>
      <c r="Y583" s="1500"/>
      <c r="Z583" s="1500"/>
      <c r="AA583" s="1500"/>
      <c r="AB583" s="1501"/>
      <c r="AC583" s="1501"/>
      <c r="AD583" s="1502"/>
      <c r="AE583" s="672"/>
      <c r="AF583" s="1474"/>
      <c r="AG583" s="1474"/>
      <c r="AH583" s="1474"/>
      <c r="AI583" s="1474"/>
      <c r="AJ583" s="1475">
        <f>DF583</f>
        <v>0</v>
      </c>
      <c r="AK583" s="1470" t="str">
        <f>IFERROR(ROUND(AJ583*AC584,0),"")</f>
        <v/>
      </c>
      <c r="AL583" s="1472">
        <f>IFERROR(IF(HW581=FALSE,0,AC584-AK583),0)</f>
        <v>0</v>
      </c>
      <c r="AM583" s="1441"/>
      <c r="AN583" s="1442"/>
      <c r="AO583" s="1447"/>
      <c r="AP583" s="1447"/>
      <c r="AQ583" s="1448"/>
      <c r="AR583" s="1452"/>
      <c r="AS583" s="1455"/>
      <c r="AT583" s="1458"/>
      <c r="AU583" s="516"/>
      <c r="AV583" s="1479"/>
      <c r="AW583" s="1479"/>
      <c r="BC583" s="38"/>
      <c r="BD583" s="38"/>
      <c r="BE583" s="38"/>
      <c r="BF583" s="38"/>
      <c r="BG583" s="38"/>
      <c r="BH583" s="38"/>
      <c r="BI583" s="38"/>
      <c r="BJ583" s="38"/>
      <c r="BK583" s="38"/>
      <c r="BL583" s="38"/>
      <c r="BM583" s="38"/>
      <c r="BN583" s="38"/>
      <c r="BO583" s="38"/>
      <c r="BP583" s="38"/>
      <c r="BQ583" s="38"/>
      <c r="BR583" s="38"/>
      <c r="BS583" s="38"/>
      <c r="BT583" s="38"/>
      <c r="BU583" s="38"/>
      <c r="BV583" s="38"/>
      <c r="BW583" s="38"/>
      <c r="BX583" s="38"/>
      <c r="BY583" s="38"/>
      <c r="BZ583" s="38"/>
      <c r="CA583" s="38"/>
      <c r="CB583" s="38"/>
      <c r="CC583" s="38"/>
      <c r="CD583" s="38"/>
      <c r="CE583" s="38"/>
      <c r="CF583" s="38"/>
      <c r="CG583" s="38"/>
      <c r="CH583" s="38"/>
      <c r="CI583" s="38"/>
      <c r="CM583" s="1352"/>
      <c r="CN583" s="1352"/>
      <c r="CO583" s="1415" t="str">
        <f>CN581</f>
        <v/>
      </c>
      <c r="CP583" s="1417" t="e">
        <f>CP581</f>
        <v>#N/A</v>
      </c>
      <c r="CR583" s="1386" t="s">
        <v>284</v>
      </c>
      <c r="CS583" s="1353">
        <f>IF(HW581=TRUE,T583,0)</f>
        <v>0</v>
      </c>
      <c r="CT583" s="1353" t="str">
        <f>IF(HW581=TRUE,U583,"")</f>
        <v/>
      </c>
      <c r="CU583" s="1373">
        <f>IF(HW581=TRUE,U584,0)</f>
        <v>0</v>
      </c>
      <c r="CV583" s="1370">
        <f>IF(HW581=TRUE,AB584,0)</f>
        <v>0</v>
      </c>
      <c r="CW583" s="1370">
        <f>IF(HW581=TRUE,AC584,0)</f>
        <v>0</v>
      </c>
      <c r="CX583" s="1371"/>
      <c r="CY583" s="1486"/>
      <c r="CZ583" s="1486"/>
      <c r="DA583" s="1486"/>
      <c r="DC583" s="1353">
        <f>IF(HW581=TRUE,AE583,0)</f>
        <v>0</v>
      </c>
      <c r="DD583" s="1353" t="str">
        <f>IF(HW581=TRUE,AF583,"")</f>
        <v/>
      </c>
      <c r="DE583" s="1373">
        <f>AF584</f>
        <v>0</v>
      </c>
      <c r="DF583" s="1406">
        <f>IFERROR(IF(FL583=3,IK583,IF(FL583=4,IL583,IF(FL583=5,IM583,IF(FL583=6,IN583,IF(FL583=7,IO583,IF(FL583=8,IP583,0)))))),0)</f>
        <v>0</v>
      </c>
      <c r="DG583" s="1370">
        <f>IF(HW581=TRUE,AK583,0)</f>
        <v>0</v>
      </c>
      <c r="DH583" s="1369"/>
      <c r="DK583" s="1483">
        <f>IFERROR(CW583-DG583,0)</f>
        <v>0</v>
      </c>
      <c r="DL583" s="1420"/>
      <c r="DN583" s="1403"/>
      <c r="DO583" s="1477" t="str">
        <f>DN581</f>
        <v/>
      </c>
      <c r="DP583" s="1354"/>
      <c r="DQ583" s="1477" t="str">
        <f>IF(DP581=7,"LLLC","")</f>
        <v/>
      </c>
      <c r="DR583" s="1403"/>
      <c r="DS583" s="1489"/>
      <c r="DU583" s="1403"/>
      <c r="DV583" s="1404" t="str">
        <f>DU581</f>
        <v/>
      </c>
      <c r="DW583" s="1403"/>
      <c r="DX583" s="1403"/>
      <c r="DZ583" s="1481"/>
      <c r="EA583" s="1481"/>
      <c r="EC583" s="1482"/>
      <c r="ED583" s="1369"/>
      <c r="EE583" s="1371"/>
      <c r="EF583" s="1369"/>
      <c r="EG583" s="1369"/>
      <c r="EH583" s="1374"/>
      <c r="EI583" s="1374"/>
      <c r="EJ583" s="1363"/>
      <c r="EK583" s="1376"/>
      <c r="EL583" s="1376"/>
      <c r="EM583" s="1362"/>
      <c r="EN583" s="1362"/>
      <c r="EO583" s="1363"/>
      <c r="EP583" s="1363"/>
      <c r="EQ583" s="1363"/>
      <c r="ES583" s="1403"/>
      <c r="EU583" s="1411" t="e">
        <f>VLOOKUP(CP583,'Space Table'!$B$3:$L$160,8,FALSE)</f>
        <v>#N/A</v>
      </c>
      <c r="EV583" s="1411" t="e">
        <f>IF(EY583="Yes",VLOOKUP(AF583,Lookup_Control_Type_Table2,4,FALSE),VLOOKUP(AF583,Lookup_Control_Type_Table2,3,FALSE))</f>
        <v>#N/A</v>
      </c>
      <c r="EW583" s="1411" t="e">
        <f>VLOOKUP(AF583,Lookup!AU$3:AV$15,2,FALSE)</f>
        <v>#N/A</v>
      </c>
      <c r="EX583" s="1411" t="e">
        <f>VLOOKUP(EU581,Lookup_Control_Type_Table,2,FALSE)</f>
        <v>#N/A</v>
      </c>
      <c r="EY583" s="1411" t="e">
        <f>VLOOKUP(CP583,'Space Table'!$B$3:$L$160,7,FALSE)</f>
        <v>#N/A</v>
      </c>
      <c r="EZ583" s="1413"/>
      <c r="FB583" s="1365" t="str">
        <f>CONCATENATE(CN581," - ",AF583)</f>
        <v xml:space="preserve"> - </v>
      </c>
      <c r="FD583" s="1354"/>
      <c r="FE583" s="1354"/>
      <c r="FF583" s="138"/>
      <c r="FI583" s="1356" t="str">
        <f>IF(CN581="Exterior","Not Daylighted",G584)</f>
        <v>Not Daylighted</v>
      </c>
      <c r="FJ583" s="1356">
        <f>VLOOKUP(FI583,_Daylight_Table_Codes,2,FALSE)</f>
        <v>0</v>
      </c>
      <c r="FK583" s="1365">
        <f>AF583</f>
        <v>0</v>
      </c>
      <c r="FL583" s="1365" t="e">
        <f>VLOOKUP(FK583,_Control_Table,2,FALSE)</f>
        <v>#N/A</v>
      </c>
      <c r="FM583" s="1365" t="e">
        <f>IF(AND(FP583&gt;0,FK583="Occupancy Sensor"),"Daylight + Occupancy",IF(AND(FP583&gt;0,FL583&lt;4),"Interior Daylight Dimming",FK583))</f>
        <v>#N/A</v>
      </c>
      <c r="FO583" s="1364">
        <f>IF(CN581="Interior",VLOOKUP(CP581,Control_Savings_Interior,5,FALSE),0)</f>
        <v>0</v>
      </c>
      <c r="FP583" s="1361">
        <f>IF(CN583="Exterior",0,IF(FJ583=2,0.5,IF(OR(FJ583=1,FJ583=3),1,0)))</f>
        <v>0</v>
      </c>
      <c r="FQ583" s="1366">
        <f>IF(R582&gt;FO$37,(FO583*(FO$37/R582)),FO583)*FP583</f>
        <v>0</v>
      </c>
      <c r="FR583" s="1364">
        <f>DF583</f>
        <v>0</v>
      </c>
      <c r="FS583" s="1364">
        <f>ROUND(FR583+((1-FR583)*FQ583),2)</f>
        <v>0</v>
      </c>
      <c r="FT583" s="1364">
        <f>IF(__Retrofit_TI_NC=2,FS583,FR583)</f>
        <v>0</v>
      </c>
      <c r="FU583" s="1360">
        <f>IF(CO583="Interior",VLOOKUP(CP583,Control_Savings_Interior,4,FALSE),0)</f>
        <v>0</v>
      </c>
      <c r="FW583" s="1352"/>
      <c r="FX583" s="1352"/>
      <c r="FY583" s="1352"/>
      <c r="FZ583" s="1352"/>
      <c r="GA583" s="1352"/>
      <c r="GB583" s="1352"/>
      <c r="GC583" s="1352"/>
      <c r="GD583" s="1352"/>
      <c r="GE583" s="759" t="b">
        <f>IF(ISNUMBER(SEARCH("TLED",U583)),TRUE,FALSE)</f>
        <v>0</v>
      </c>
      <c r="GF583" s="1035" t="str">
        <f>IFERROR(VLOOKUP(U583,Fixtures!DM$93:DR$142,6,FALSE),"")</f>
        <v/>
      </c>
      <c r="GG583" s="1385"/>
      <c r="GI583" s="1383"/>
      <c r="GJ583" s="1379"/>
      <c r="GL583" s="1379"/>
      <c r="GM583" s="1379"/>
      <c r="HC583" s="1379"/>
      <c r="HD583" s="1379"/>
      <c r="HE583" s="1379"/>
      <c r="HF583" s="1379"/>
      <c r="HG583" s="1379"/>
      <c r="HH583" s="1379"/>
      <c r="HI583" s="1383"/>
      <c r="HJ583" s="1383"/>
      <c r="HK583" s="1383"/>
      <c r="HL583" s="1379"/>
      <c r="HM583" s="1379"/>
      <c r="HN583" s="1379"/>
      <c r="HO583" s="1379"/>
      <c r="HP583" s="1379"/>
      <c r="HQ583" s="1379"/>
      <c r="HR583" s="1379"/>
      <c r="HS583" s="1379"/>
      <c r="HT583" s="1379"/>
      <c r="HU583" s="1379"/>
      <c r="HW583" s="1383"/>
      <c r="HX583" s="1384" t="b">
        <f>HW581</f>
        <v>0</v>
      </c>
      <c r="HY583" s="1378"/>
      <c r="HZ583" s="436"/>
      <c r="IA583" s="1386"/>
      <c r="IB583" s="1380">
        <f>IF(IA581=TRUE,AC584,0)</f>
        <v>0</v>
      </c>
      <c r="IC583" s="1379"/>
      <c r="IF583" s="1380" t="e">
        <f>ROUND(T583*AB584*N582*R582/1000,0)</f>
        <v>#VALUE!</v>
      </c>
      <c r="IG583" s="1382"/>
      <c r="IH583" s="1384" t="e">
        <f>ROUND(T583*AB584*N582*R582/1000,0)</f>
        <v>#VALUE!</v>
      </c>
      <c r="II583" s="1382"/>
      <c r="IK583" s="1351" t="e">
        <f>IF($CO583="interior",IL583/2,VLOOKUP($CP583,Control_Savings_Exterior,IK$30,FALSE))</f>
        <v>#N/A</v>
      </c>
      <c r="IL583" s="1351" t="e">
        <f>IF($CO583="interior",VLOOKUP($CP583,Control_Savings_Interior,IL$30,FALSE),VLOOKUP($CP583,Control_Savings_Exterior,IL$30,FALSE))</f>
        <v>#N/A</v>
      </c>
      <c r="IM583" s="1351" t="e">
        <f>IF($CO583="interior",IF(R582&gt;FO$37,(IM$28*(FO$37/R582)),IM$28)*FP583,VLOOKUP($CP583,Control_Savings_Exterior,IM$30,FALSE))</f>
        <v>#N/A</v>
      </c>
      <c r="IN583" s="1351" t="e">
        <f>IF($CO583="interior",ROUND(((1-IL583)*IM583)+IL583,2),VLOOKUP($CP583,Control_Savings_Exterior,IN$30,FALSE))</f>
        <v>#N/A</v>
      </c>
      <c r="IO583" s="1351" t="e">
        <f>IF($CO583="interior", ROUND(((1-IL583)*(IM583*(1-IP$28)))+IP583,2), VLOOKUP($CP583,Control_Savings_Exterior,IO$30,FALSE))</f>
        <v>#N/A</v>
      </c>
      <c r="IP583" s="1351">
        <f>IF($CO583="interior",ROUND(((1-IL583)*IP$28)+IL583,2),0)</f>
        <v>0</v>
      </c>
    </row>
    <row r="584" spans="1:250" s="82" customFormat="1" ht="14.95" customHeight="1" thickTop="1" thickBot="1">
      <c r="B584" s="1421"/>
      <c r="C584" s="1422"/>
      <c r="D584" s="1423"/>
      <c r="E584" s="1462" t="s">
        <v>357</v>
      </c>
      <c r="F584" s="1463"/>
      <c r="G584" s="1464" t="s">
        <v>362</v>
      </c>
      <c r="H584" s="1465"/>
      <c r="I584" s="1465"/>
      <c r="J584" s="1465"/>
      <c r="K584" s="1465"/>
      <c r="L584" s="1466"/>
      <c r="M584" s="669">
        <f>IFERROR(VLOOKUP(G584,_Daylight_Table[],2,FALSE),0)</f>
        <v>0</v>
      </c>
      <c r="N584" s="670"/>
      <c r="O584" s="669" t="e">
        <f>VLOOKUP(G583,'Space Table'!$B$3:$L$160,11,FALSE)</f>
        <v>#N/A</v>
      </c>
      <c r="P584" s="1408"/>
      <c r="Q584" s="1409"/>
      <c r="R584" s="1409"/>
      <c r="S584" s="1402"/>
      <c r="T584" s="671" t="s">
        <v>281</v>
      </c>
      <c r="U584" s="1467" t="str">
        <f>IFERROR(VLOOKUP(U583,Fixtures!DM$93:DP$142,4,FALSE),"")</f>
        <v/>
      </c>
      <c r="V584" s="1468"/>
      <c r="W584" s="1468"/>
      <c r="X584" s="1468"/>
      <c r="Y584" s="1468"/>
      <c r="Z584" s="1468"/>
      <c r="AA584" s="1468"/>
      <c r="AB584" s="1046" t="str">
        <f>IFERROR(VLOOKUP(U583,Fixtures_Proposed_List,2,FALSE),"")</f>
        <v/>
      </c>
      <c r="AC584" s="1036" t="str">
        <f>IFERROR(ROUND(T583*AB584*N582*R582/1000,0),"")</f>
        <v/>
      </c>
      <c r="AD584" s="1037" t="str">
        <f>IFERROR(ROUND(T583*AB584/1000,2),"")</f>
        <v/>
      </c>
      <c r="AE584" s="1045" t="s">
        <v>281</v>
      </c>
      <c r="AF584" s="1469"/>
      <c r="AG584" s="1469"/>
      <c r="AH584" s="1469"/>
      <c r="AI584" s="1469"/>
      <c r="AJ584" s="1476"/>
      <c r="AK584" s="1471"/>
      <c r="AL584" s="1473"/>
      <c r="AM584" s="1443"/>
      <c r="AN584" s="1444"/>
      <c r="AO584" s="1449"/>
      <c r="AP584" s="1449"/>
      <c r="AQ584" s="1450"/>
      <c r="AR584" s="1453"/>
      <c r="AS584" s="1456"/>
      <c r="AT584" s="1459"/>
      <c r="AU584" s="517"/>
      <c r="AV584" s="1480"/>
      <c r="AW584" s="1480"/>
      <c r="BC584" s="38"/>
      <c r="BD584" s="38"/>
      <c r="BE584" s="38"/>
      <c r="BF584" s="38"/>
      <c r="BG584" s="38"/>
      <c r="BH584" s="38"/>
      <c r="BI584" s="38"/>
      <c r="BJ584" s="38"/>
      <c r="BK584" s="38"/>
      <c r="BL584" s="38"/>
      <c r="BM584" s="38"/>
      <c r="BN584" s="38"/>
      <c r="BO584" s="38"/>
      <c r="BP584" s="38"/>
      <c r="BQ584" s="38"/>
      <c r="BR584" s="38"/>
      <c r="BS584" s="38"/>
      <c r="BT584" s="38"/>
      <c r="BU584" s="38"/>
      <c r="BV584" s="38"/>
      <c r="BW584" s="38"/>
      <c r="BX584" s="38"/>
      <c r="BY584" s="38"/>
      <c r="BZ584" s="38"/>
      <c r="CA584" s="38"/>
      <c r="CB584" s="38"/>
      <c r="CC584" s="38"/>
      <c r="CD584" s="38"/>
      <c r="CE584" s="38"/>
      <c r="CF584" s="38"/>
      <c r="CG584" s="38"/>
      <c r="CH584" s="38"/>
      <c r="CI584" s="38"/>
      <c r="CM584" s="1352"/>
      <c r="CN584" s="1352"/>
      <c r="CO584" s="1416"/>
      <c r="CP584" s="1418"/>
      <c r="CR584" s="1386"/>
      <c r="CS584" s="1355"/>
      <c r="CT584" s="1355"/>
      <c r="CU584" s="1375"/>
      <c r="CV584" s="1372"/>
      <c r="CW584" s="1372"/>
      <c r="CX584" s="1372"/>
      <c r="CY584" s="1487"/>
      <c r="CZ584" s="1487"/>
      <c r="DA584" s="1487"/>
      <c r="DC584" s="1355"/>
      <c r="DD584" s="1355"/>
      <c r="DE584" s="1375"/>
      <c r="DF584" s="1407"/>
      <c r="DG584" s="1372"/>
      <c r="DH584" s="1369"/>
      <c r="DK584" s="1484"/>
      <c r="DL584" s="1420"/>
      <c r="DN584" s="1403"/>
      <c r="DO584" s="1405"/>
      <c r="DP584" s="1355"/>
      <c r="DQ584" s="1405"/>
      <c r="DR584" s="1403"/>
      <c r="DS584" s="1489"/>
      <c r="DU584" s="1403"/>
      <c r="DV584" s="1405"/>
      <c r="DW584" s="1403"/>
      <c r="DX584" s="1403"/>
      <c r="DZ584" s="1481"/>
      <c r="EA584" s="1481"/>
      <c r="EC584" s="1482"/>
      <c r="ED584" s="1369"/>
      <c r="EE584" s="1372"/>
      <c r="EF584" s="1369"/>
      <c r="EG584" s="1369"/>
      <c r="EH584" s="1375"/>
      <c r="EI584" s="1375"/>
      <c r="EJ584" s="1363"/>
      <c r="EK584" s="1376"/>
      <c r="EL584" s="1376"/>
      <c r="EM584" s="1362"/>
      <c r="EN584" s="1362"/>
      <c r="EO584" s="1363"/>
      <c r="EP584" s="1363"/>
      <c r="EQ584" s="1363"/>
      <c r="ES584" s="1403"/>
      <c r="EU584" s="1488"/>
      <c r="EV584" s="1488"/>
      <c r="EW584" s="1488"/>
      <c r="EX584" s="1488"/>
      <c r="EY584" s="1488"/>
      <c r="EZ584" s="1414"/>
      <c r="FB584" s="1365"/>
      <c r="FD584" s="1355"/>
      <c r="FE584" s="1355"/>
      <c r="FF584" s="138"/>
      <c r="FI584" s="1357"/>
      <c r="FJ584" s="1357"/>
      <c r="FK584" s="1365"/>
      <c r="FL584" s="1365"/>
      <c r="FM584" s="1365"/>
      <c r="FO584" s="1361"/>
      <c r="FP584" s="1361"/>
      <c r="FQ584" s="1366"/>
      <c r="FR584" s="1361"/>
      <c r="FS584" s="1361"/>
      <c r="FT584" s="1361"/>
      <c r="FU584" s="1360"/>
      <c r="FW584" s="1352"/>
      <c r="FX584" s="1352"/>
      <c r="FY584" s="1352"/>
      <c r="FZ584" s="1352"/>
      <c r="GA584" s="1352"/>
      <c r="GB584" s="1352"/>
      <c r="GC584" s="1352"/>
      <c r="GD584" s="1352"/>
      <c r="GE584" s="759"/>
      <c r="GF584" s="1035"/>
      <c r="GG584" s="1385"/>
      <c r="GJ584" s="1034">
        <f>IF(GJ582=TRUE,0,GJ$16)</f>
        <v>0</v>
      </c>
      <c r="GL584" s="1034">
        <f>IF(GL582=TRUE,0,GL$16)</f>
        <v>36</v>
      </c>
      <c r="GM584" s="1034">
        <f>IF(GM582=TRUE,0,GM$16)</f>
        <v>35</v>
      </c>
      <c r="GN584" s="436"/>
      <c r="GO584" s="436"/>
      <c r="GP584" s="436"/>
      <c r="GQ584" s="436"/>
      <c r="GR584" s="436"/>
      <c r="HC584" s="1034">
        <f t="shared" ref="HC584:HH584" si="430">IF(HC582=TRUE,0,HC$16)</f>
        <v>19</v>
      </c>
      <c r="HD584" s="1034">
        <f t="shared" si="430"/>
        <v>18</v>
      </c>
      <c r="HE584" s="1034">
        <f t="shared" si="430"/>
        <v>17</v>
      </c>
      <c r="HF584" s="1034">
        <f t="shared" si="430"/>
        <v>16</v>
      </c>
      <c r="HG584" s="1034">
        <f t="shared" si="430"/>
        <v>0</v>
      </c>
      <c r="HH584" s="1034">
        <f t="shared" si="430"/>
        <v>0</v>
      </c>
      <c r="HI584" s="1034">
        <f>IF(HI582=TRUE,0,HI$16)</f>
        <v>13</v>
      </c>
      <c r="HJ584" s="1034">
        <f t="shared" ref="HJ584:HL584" si="431">IF(HJ582=TRUE,0,HJ$16)</f>
        <v>12</v>
      </c>
      <c r="HK584" s="1034">
        <f t="shared" si="431"/>
        <v>11</v>
      </c>
      <c r="HL584" s="1034">
        <f t="shared" si="431"/>
        <v>10</v>
      </c>
      <c r="HM584" s="1034">
        <f>IF(HM582=TRUE,0,HM$16)</f>
        <v>9</v>
      </c>
      <c r="HN584" s="1034">
        <f t="shared" ref="HN584:HR584" si="432">IF(HN582=TRUE,0,HN$16)</f>
        <v>0</v>
      </c>
      <c r="HO584" s="1034">
        <f t="shared" si="432"/>
        <v>0</v>
      </c>
      <c r="HP584" s="1034">
        <f t="shared" si="432"/>
        <v>0</v>
      </c>
      <c r="HQ584" s="1034">
        <f t="shared" si="432"/>
        <v>0</v>
      </c>
      <c r="HR584" s="1034">
        <f t="shared" si="432"/>
        <v>0</v>
      </c>
      <c r="HS584" s="1034">
        <f>IF(HS582=TRUE,0,HS$16)</f>
        <v>0</v>
      </c>
      <c r="HT584" s="1034">
        <f t="shared" ref="HT584" si="433">IF(HT582=TRUE,0,HT$16)</f>
        <v>0</v>
      </c>
      <c r="HU584" s="1034">
        <f>IF(HU582=TRUE,0,HU$16)</f>
        <v>1</v>
      </c>
      <c r="HW584" s="1034">
        <f>IF(GL582=FALSE,GL584,IF(GM582=FALSE,GM584,MAX(GJ584:HU584)))</f>
        <v>36</v>
      </c>
      <c r="HX584" s="1383"/>
      <c r="HY584" s="241" t="str">
        <f>VLOOKUP(HW584,_Error_Table,3,FALSE)</f>
        <v xml:space="preserve"> </v>
      </c>
      <c r="HZ584" s="241"/>
      <c r="IA584" s="1386"/>
      <c r="IB584" s="1380"/>
      <c r="IC584" s="1379"/>
      <c r="IF584" s="1380"/>
      <c r="IG584" s="1383"/>
      <c r="IH584" s="1383"/>
      <c r="II584" s="1383"/>
      <c r="IK584" s="1351"/>
      <c r="IL584" s="1351"/>
      <c r="IM584" s="1351"/>
      <c r="IN584" s="1351"/>
      <c r="IO584" s="1351"/>
      <c r="IP584" s="1351"/>
    </row>
    <row r="585" spans="1:250" s="82" customFormat="1" ht="5.0999999999999996" customHeight="1" thickBot="1">
      <c r="B585" s="763"/>
      <c r="C585" s="1038"/>
      <c r="D585" s="1038"/>
      <c r="E585" s="1490"/>
      <c r="F585" s="1490"/>
      <c r="G585" s="1490"/>
      <c r="H585" s="1490"/>
      <c r="I585" s="1490"/>
      <c r="J585" s="1490"/>
      <c r="K585" s="1490"/>
      <c r="L585" s="1490"/>
      <c r="M585" s="1490"/>
      <c r="N585" s="1490"/>
      <c r="O585" s="1490"/>
      <c r="P585" s="1490"/>
      <c r="Q585" s="1490"/>
      <c r="R585" s="1490"/>
      <c r="S585" s="1490"/>
      <c r="T585" s="1490"/>
      <c r="U585" s="1490"/>
      <c r="V585" s="1490"/>
      <c r="W585" s="1490"/>
      <c r="X585" s="1490"/>
      <c r="Y585" s="1490"/>
      <c r="Z585" s="1490"/>
      <c r="AA585" s="1490"/>
      <c r="AB585" s="1490"/>
      <c r="AC585" s="1490"/>
      <c r="AD585" s="1490"/>
      <c r="AE585" s="1490"/>
      <c r="AF585" s="1490"/>
      <c r="AG585" s="1490"/>
      <c r="AH585" s="1490"/>
      <c r="AI585" s="1490"/>
      <c r="AJ585" s="1490"/>
      <c r="AK585" s="1490"/>
      <c r="AL585" s="1490"/>
      <c r="AM585" s="1490"/>
      <c r="AN585" s="1490"/>
      <c r="AO585" s="1490"/>
      <c r="AP585" s="1490"/>
      <c r="AQ585" s="1490"/>
      <c r="AR585" s="1490"/>
      <c r="AS585" s="1490"/>
      <c r="AT585" s="1490"/>
      <c r="AU585" s="1041"/>
      <c r="BC585" s="38"/>
      <c r="BD585" s="38"/>
      <c r="BE585" s="38"/>
      <c r="BF585" s="38"/>
      <c r="BG585" s="38"/>
      <c r="BH585" s="38"/>
      <c r="BI585" s="38"/>
      <c r="BJ585" s="38"/>
      <c r="BK585" s="38"/>
      <c r="BL585" s="38"/>
      <c r="BM585" s="38"/>
      <c r="BN585" s="38"/>
      <c r="BO585" s="38"/>
      <c r="BP585" s="38"/>
      <c r="BQ585" s="38"/>
      <c r="BR585" s="38"/>
      <c r="BS585" s="38"/>
      <c r="BT585" s="38"/>
      <c r="BU585" s="38"/>
      <c r="BV585" s="38"/>
      <c r="BW585" s="38"/>
      <c r="BX585" s="38"/>
      <c r="BY585" s="38"/>
      <c r="BZ585" s="38"/>
      <c r="CA585" s="38"/>
      <c r="CB585" s="38"/>
      <c r="CC585" s="38"/>
      <c r="CD585" s="38"/>
      <c r="CE585" s="38"/>
      <c r="CF585" s="38"/>
      <c r="CG585" s="38"/>
      <c r="CH585" s="38"/>
      <c r="CI585" s="38"/>
      <c r="CM585" s="749"/>
      <c r="CN585" s="749"/>
      <c r="CO585" s="1043"/>
      <c r="CP585" s="749"/>
      <c r="CS585" s="436"/>
      <c r="CT585" s="436"/>
      <c r="CU585" s="243"/>
      <c r="CV585" s="244"/>
      <c r="CW585" s="244"/>
      <c r="CX585" s="244"/>
      <c r="CY585" s="245"/>
      <c r="CZ585" s="245"/>
      <c r="DA585" s="245"/>
      <c r="DC585" s="750"/>
      <c r="DD585" s="751"/>
      <c r="DE585" s="752"/>
      <c r="DF585" s="753"/>
      <c r="DG585" s="754"/>
      <c r="DH585" s="754"/>
      <c r="DK585" s="244"/>
      <c r="DL585" s="750"/>
      <c r="DN585" s="750"/>
      <c r="DO585" s="755"/>
      <c r="DP585" s="436"/>
      <c r="DQ585" s="750"/>
      <c r="DR585" s="750"/>
      <c r="DS585" s="750"/>
      <c r="DU585" s="750"/>
      <c r="DV585" s="750"/>
      <c r="DW585" s="750"/>
      <c r="DX585" s="750"/>
      <c r="DZ585" s="756"/>
      <c r="EA585" s="756"/>
      <c r="EC585" s="754"/>
      <c r="ED585" s="754"/>
      <c r="EE585" s="244"/>
      <c r="EF585" s="754"/>
      <c r="EG585" s="754"/>
      <c r="EH585" s="243"/>
      <c r="EI585" s="243"/>
      <c r="EJ585" s="752"/>
      <c r="EK585" s="757"/>
      <c r="EL585" s="757"/>
      <c r="EM585" s="758"/>
      <c r="EN585" s="758"/>
      <c r="EO585" s="752"/>
      <c r="EP585" s="752"/>
      <c r="EQ585" s="752"/>
      <c r="ES585" s="750"/>
      <c r="EU585" s="436"/>
      <c r="EV585" s="436"/>
      <c r="EW585" s="436"/>
      <c r="EX585" s="436"/>
      <c r="EY585" s="436"/>
      <c r="EZ585" s="436"/>
      <c r="FB585" s="643"/>
      <c r="FD585" s="436"/>
      <c r="FE585" s="436"/>
      <c r="FF585" s="436"/>
      <c r="FO585" s="750"/>
      <c r="FP585" s="436"/>
      <c r="FQ585" s="436"/>
      <c r="FR585" s="750"/>
      <c r="FS585" s="750"/>
      <c r="FW585" s="749"/>
      <c r="FX585" s="749"/>
      <c r="FY585" s="749"/>
      <c r="FZ585" s="749"/>
      <c r="GA585" s="749"/>
      <c r="GB585" s="749"/>
      <c r="GC585" s="749"/>
      <c r="GD585" s="749"/>
      <c r="GE585" s="751"/>
      <c r="GF585" s="750"/>
      <c r="GG585" s="750"/>
    </row>
    <row r="586" spans="1:250" s="82" customFormat="1" ht="14.95" customHeight="1" thickTop="1" thickBot="1">
      <c r="B586" s="1421" t="str">
        <f>HY589</f>
        <v xml:space="preserve"> </v>
      </c>
      <c r="C586" s="1422">
        <f>C581+1</f>
        <v>106</v>
      </c>
      <c r="D586" s="1423"/>
      <c r="E586" s="1424" t="s">
        <v>242</v>
      </c>
      <c r="F586" s="1425"/>
      <c r="G586" s="1426"/>
      <c r="H586" s="1427"/>
      <c r="I586" s="1427"/>
      <c r="J586" s="1427"/>
      <c r="K586" s="1427"/>
      <c r="L586" s="1427"/>
      <c r="M586" s="1427"/>
      <c r="N586" s="1427"/>
      <c r="O586" s="1427"/>
      <c r="P586" s="1427"/>
      <c r="Q586" s="1427"/>
      <c r="R586" s="1427"/>
      <c r="S586" s="1428" t="s">
        <v>283</v>
      </c>
      <c r="T586" s="668" t="s">
        <v>190</v>
      </c>
      <c r="U586" s="1430" t="s">
        <v>186</v>
      </c>
      <c r="V586" s="1431"/>
      <c r="W586" s="1431"/>
      <c r="X586" s="1431"/>
      <c r="Y586" s="1431"/>
      <c r="Z586" s="1431"/>
      <c r="AA586" s="1431"/>
      <c r="AB586" s="1088" t="str">
        <f>IFERROR(IF(__Retrofit_TI_NC=0,VLOOKUP(U587,Fixtures_Existing_List,2,FALSE),ROUND(N588*R588/T588,10)),"")</f>
        <v/>
      </c>
      <c r="AC586" s="1039" t="str">
        <f>IFERROR(IF(__Retrofit_TI_NC=0,ROUND(T587*AB586*N587*R587/1000,0),IF(CN586="Interior",N588*R588*R587*N587*_C406_reduction/1000,N588*R588*R587*N587/1000)),"")</f>
        <v/>
      </c>
      <c r="AD586" s="1040" t="str">
        <f>IFERROR(IF(C$36=0,ROUND(T587*AB586/1000,2),N588*R588/1000),"")</f>
        <v/>
      </c>
      <c r="AE586" s="1044" t="s">
        <v>190</v>
      </c>
      <c r="AF586" s="1432" t="str">
        <f>IF(__Retrofit_TI_NC=2,CONCATENATE("Code min = ",DD586),IF(__Retrofit_TI_NC=1,"Emter what you think the existing control was"," Control"))</f>
        <v xml:space="preserve"> Control</v>
      </c>
      <c r="AG586" s="1432"/>
      <c r="AH586" s="1432"/>
      <c r="AI586" s="1432"/>
      <c r="AJ586" s="1433">
        <f>DF586</f>
        <v>0</v>
      </c>
      <c r="AK586" s="1435" t="str">
        <f>IFERROR(ROUND(AJ586*AC586,0),"")</f>
        <v/>
      </c>
      <c r="AL586" s="1437">
        <f>IFERROR(IF(HW586=FALSE,0,AC586-AK586),0)</f>
        <v>0</v>
      </c>
      <c r="AM586" s="1439">
        <f>AL586-AL588</f>
        <v>0</v>
      </c>
      <c r="AN586" s="1440"/>
      <c r="AO586" s="1445">
        <f>IFERROR(IF(HW586=FALSE,0,(T588*U589)+(AE588*AF589)),0)</f>
        <v>0</v>
      </c>
      <c r="AP586" s="1445"/>
      <c r="AQ586" s="1446"/>
      <c r="AR586" s="1451" t="s">
        <v>157</v>
      </c>
      <c r="AS586" s="1454">
        <f>IF(AR586="Yes",1,0)</f>
        <v>1</v>
      </c>
      <c r="AT586" s="1457" t="str">
        <f>IF(OR(DN586=4,DN586=5,DN586=6,DN586=12),CONCATENATE("$",IF(GD586=TRUE,Lookup!$B$11,Lookup!$B$2)," /lamp"),CONCATENATE(EA586,"/ kWh"))</f>
        <v>0/ kWh</v>
      </c>
      <c r="AU586" s="516"/>
      <c r="AV586" s="1478">
        <f>IFERROR(IF(GI587=TRUE,(AB589*T588)/R588,0),"NA")</f>
        <v>0</v>
      </c>
      <c r="AW586" s="1478" t="str">
        <f>IFERROR(N588*_C406_reduction,"NA")</f>
        <v>NA</v>
      </c>
      <c r="BC586" s="38"/>
      <c r="BD586" s="38"/>
      <c r="BE586" s="38"/>
      <c r="BF586" s="38"/>
      <c r="BG586" s="38"/>
      <c r="BH586" s="38"/>
      <c r="BI586" s="38"/>
      <c r="BJ586" s="38"/>
      <c r="BK586" s="38"/>
      <c r="BL586" s="38"/>
      <c r="BM586" s="38"/>
      <c r="BN586" s="38"/>
      <c r="BO586" s="38"/>
      <c r="BP586" s="38"/>
      <c r="BQ586" s="38"/>
      <c r="BR586" s="38"/>
      <c r="BS586" s="38"/>
      <c r="BT586" s="38"/>
      <c r="BU586" s="38"/>
      <c r="BV586" s="38"/>
      <c r="BW586" s="38"/>
      <c r="BX586" s="38"/>
      <c r="BY586" s="38"/>
      <c r="BZ586" s="38"/>
      <c r="CA586" s="38"/>
      <c r="CB586" s="38"/>
      <c r="CC586" s="38"/>
      <c r="CD586" s="38"/>
      <c r="CE586" s="38"/>
      <c r="CF586" s="38"/>
      <c r="CG586" s="38"/>
      <c r="CH586" s="38"/>
      <c r="CI586" s="38"/>
      <c r="CM586" s="1352" t="str">
        <f>N587</f>
        <v/>
      </c>
      <c r="CN586" s="1352" t="str">
        <f>IFERROR(VLOOKUP(G587,_Lookup_Heat_Type_Table_New,3,FALSE),"")</f>
        <v/>
      </c>
      <c r="CO586" s="1415" t="str">
        <f>CN586</f>
        <v/>
      </c>
      <c r="CP586" s="1417" t="e">
        <f>VLOOKUP(G588,'Space Table'!$B$3:$L$160,9,FALSE)</f>
        <v>#N/A</v>
      </c>
      <c r="CR586" s="1386" t="s">
        <v>283</v>
      </c>
      <c r="CS586" s="1353">
        <f>IF(HW586=TRUE,T587,0)</f>
        <v>0</v>
      </c>
      <c r="CT586" s="1353" t="str">
        <f>IF(HW586=TRUE,U587,"")</f>
        <v/>
      </c>
      <c r="CU586" s="1353"/>
      <c r="CV586" s="1370">
        <f>IF(HW586=TRUE,AB586,0)</f>
        <v>0</v>
      </c>
      <c r="CW586" s="1370">
        <f>IF(HW586=TRUE,AC586,0)</f>
        <v>0</v>
      </c>
      <c r="CX586" s="1370">
        <f>IFERROR(IF(HW586=TRUE,CW586-CW588,0),0)</f>
        <v>0</v>
      </c>
      <c r="CY586" s="1485">
        <f>IF(HW586=TRUE,AD586,0)</f>
        <v>0</v>
      </c>
      <c r="CZ586" s="1485">
        <f>IF(HW586=TRUE,AD589,0)</f>
        <v>0</v>
      </c>
      <c r="DA586" s="1485">
        <f>IFERROR(CY586-CZ586,0)</f>
        <v>0</v>
      </c>
      <c r="DC586" s="1353">
        <f>IF(HW586=TRUE,AE587,0)</f>
        <v>0</v>
      </c>
      <c r="DD586" s="1460">
        <f>IF(__Retrofit_TI_NC=2,IF(CN586="Exterior",O589,FM586),FK586)</f>
        <v>0</v>
      </c>
      <c r="DE586" s="1353"/>
      <c r="DF586" s="1406">
        <f>IFERROR(IF(FL586=3,IK586,IF(FL586=4,IL586,IF(FL586=5,IM586,IF(FL586=6,IN586,IF(FL586=7,IO586,IF(FL586=8,IP586,0)))))),0)</f>
        <v>0</v>
      </c>
      <c r="DG586" s="1370">
        <f>IF(HW586=TRUE,AK586,0)</f>
        <v>0</v>
      </c>
      <c r="DH586" s="1369">
        <f>IFERROR(IF(HW586=TRUE,DG588-DG586,0),0)</f>
        <v>0</v>
      </c>
      <c r="DJ586" s="1483">
        <f>IFERROR(CW586-DG586,0)</f>
        <v>0</v>
      </c>
      <c r="DL586" s="1419">
        <f>DJ586-DK588</f>
        <v>0</v>
      </c>
      <c r="DN586" s="1403" t="str">
        <f>IFERROR(IF(AND(OR(FY586=4,FY586=5,FY586=6),OR(GB586=4,GB586=5,GB586=6)),FY586+8,VLOOKUP(CT588,Fixtures!R$31:Y$78,8,FALSE)),"")</f>
        <v/>
      </c>
      <c r="DO586" s="1404" t="str">
        <f>DN586</f>
        <v/>
      </c>
      <c r="DP586" s="1353" t="str">
        <f>IFERROR(VLOOKUP(DD588,Lookup!AU$3:AV$15,2,FALSE),"")</f>
        <v/>
      </c>
      <c r="DQ586" s="1404" t="str">
        <f>IF(DP586=7,"LLLC","")</f>
        <v/>
      </c>
      <c r="DR586" s="1403">
        <f>IFERROR(IF(OR(DN586=4,DN586=5,DN586=6,DN586=12,DN586=13,DN586=14),VLOOKUP(CT588,Fixtures!DN$27:EG$77,19,FALSE),1)*CS588,0)</f>
        <v>0</v>
      </c>
      <c r="DS586" s="1489">
        <f>IF(DP586=7,IF(DD586=DD588,0,DC588),0)</f>
        <v>0</v>
      </c>
      <c r="DU586" s="1403" t="str">
        <f>IFERROR(IF(EW586&lt;EW588,"Yes","No"),"")</f>
        <v/>
      </c>
      <c r="DV586" s="1404" t="str">
        <f>DU586</f>
        <v/>
      </c>
      <c r="DW586" s="1403">
        <f>IF(DU586="Yes",DC588,0)</f>
        <v>0</v>
      </c>
      <c r="DX586" s="1403">
        <f>DW586-DS586</f>
        <v>0</v>
      </c>
      <c r="DZ586" s="1481">
        <f>IFERROR(VLOOKUP(DN586,Lookup!AN$3:AO$16,2,FALSE),0)</f>
        <v>0</v>
      </c>
      <c r="EA586" s="1481">
        <f>IF(HW586=FALSE,0,IF(DU586="Yes",DZ586+Lookup!B$6,DZ586))</f>
        <v>0</v>
      </c>
      <c r="EC586" s="1482">
        <f>IF(HW586=TRUE,DJ586,0)</f>
        <v>0</v>
      </c>
      <c r="ED586" s="1369">
        <f>IF(HW586=TRUE,CW588,0)</f>
        <v>0</v>
      </c>
      <c r="EE586" s="1370">
        <f>IFERROR(EC586-ED586,0)</f>
        <v>0</v>
      </c>
      <c r="EF586" s="1369">
        <f>IF(HW586=TRUE,DG588,0)</f>
        <v>0</v>
      </c>
      <c r="EG586" s="1369">
        <f>IFERROR(EC586-ED586+EF586,0)</f>
        <v>0</v>
      </c>
      <c r="EH586" s="1373">
        <f>IF(HW586=TRUE,CS588*CU588,0)</f>
        <v>0</v>
      </c>
      <c r="EI586" s="1373">
        <f>IF(HW586=TRUE,DC588*DE588,0)</f>
        <v>0</v>
      </c>
      <c r="EJ586" s="1363">
        <f>AO586</f>
        <v>0</v>
      </c>
      <c r="EK586" s="1376" t="str">
        <f>IFERROR(IF(HW586=TRUE,VLOOKUP(DN586,Lookup!AN$3:AP$16,3,FALSE)*DR586,""),0)</f>
        <v/>
      </c>
      <c r="EL586" s="1376">
        <f>IF(HW586=TRUE,DW586*Lookup!AP$12,0)</f>
        <v>0</v>
      </c>
      <c r="EM586" s="1362">
        <f>IFERROR(IF(HW586=TRUE,EK586/EM$33,0),0)</f>
        <v>0</v>
      </c>
      <c r="EN586" s="1362">
        <f>IF(HW586=TRUE,EL586/EN$33,0)</f>
        <v>0</v>
      </c>
      <c r="EO586" s="1363">
        <f>IF(HW586=TRUE,EQ$33*EM586,0)</f>
        <v>0</v>
      </c>
      <c r="EP586" s="1363">
        <f>IF(HW586=TRUE,EQ$33*EN586,0)</f>
        <v>0</v>
      </c>
      <c r="EQ586" s="1363">
        <f>EO586+EP586</f>
        <v>0</v>
      </c>
      <c r="ES586" s="1403">
        <f>IF(G586="",0,1)</f>
        <v>0</v>
      </c>
      <c r="EU586" s="1410" t="e">
        <f>VLOOKUP(CP588,'Space Table'!$B$3:$L$160,8,FALSE)</f>
        <v>#N/A</v>
      </c>
      <c r="EV586" s="1410" t="e">
        <f>IF(EY586="Yes",VLOOKUP(DD586,Lookup_Control_Type_Table2,4,FALSE),VLOOKUP(DD586,Lookup_Control_Type_Table2,3,FALSE))</f>
        <v>#N/A</v>
      </c>
      <c r="EW586" s="1410" t="e">
        <f>VLOOKUP(DD586,Lookup!AU$3:AV$15,2,FALSE)</f>
        <v>#N/A</v>
      </c>
      <c r="EX586" s="1410" t="e">
        <f>VLOOKUP(EU586,Lookup_Control_Type_Table,2,FALSE)</f>
        <v>#N/A</v>
      </c>
      <c r="EY586" s="1410" t="e">
        <f>VLOOKUP(CP588,'Space Table'!$B$3:$L$160,7,FALSE)</f>
        <v>#N/A</v>
      </c>
      <c r="EZ586" s="1412" t="b">
        <f>ISNUMBER(SEARCH("TLED",U588))</f>
        <v>0</v>
      </c>
      <c r="FB586" s="1365" t="str">
        <f>CONCATENATE(CN586," - ",DD586)</f>
        <v xml:space="preserve"> - 0</v>
      </c>
      <c r="FD586" s="1353" t="str">
        <f>VLOOKUP(CT588,Fixtures!DN$27:EZ$77,38,FALSE)</f>
        <v/>
      </c>
      <c r="FE586" s="1353">
        <f>IFERROR(FD586*EE586,0)</f>
        <v>0</v>
      </c>
      <c r="FF586" s="138"/>
      <c r="FI586" s="1356" t="str">
        <f>IF(CN586="Exterior","Not Daylighted",G589)</f>
        <v>Not Daylighted</v>
      </c>
      <c r="FJ586" s="1356">
        <f>VLOOKUP(FI586,_Daylight_Table_Codes,2,FALSE)</f>
        <v>0</v>
      </c>
      <c r="FK586" s="1365">
        <f>IF(__Retrofit_TI_NC=2,VLOOKUP(G588,'Space Table'!$B$3:$L$160,11,FALSE),AF587)</f>
        <v>0</v>
      </c>
      <c r="FL586" s="1365" t="e">
        <f>VLOOKUP(FK586,_Control_Table,2,FALSE)</f>
        <v>#N/A</v>
      </c>
      <c r="FM586" s="1365" t="e">
        <f>IF(AND(FP586&gt;0,FK586="Occupancy Sensor"),"Daylight + Occupancy",IF(AND(FP586&gt;0,FL586&lt;4),"Interior Daylight Dimming",FK586))</f>
        <v>#N/A</v>
      </c>
      <c r="FO586" s="1364">
        <f>IF(CO586="Interior",VLOOKUP(CP586,Control_Savings_Interior,5,FALSE),0)</f>
        <v>0</v>
      </c>
      <c r="FP586" s="1361">
        <f>IF(CN586="Exterior",0,IF(FJ586=2,0.5,IF(OR(FJ586=1,FJ586=3),1,0)))</f>
        <v>0</v>
      </c>
      <c r="FQ586" s="1366"/>
      <c r="FR586" s="1367"/>
      <c r="FS586" s="1364"/>
      <c r="FT586" s="1367"/>
      <c r="FU586" s="1360"/>
      <c r="FW586" s="1352" t="str">
        <f>IFERROR(VLOOKUP(U587,_Exist_Fixture_Table,3,FALSE),"")</f>
        <v/>
      </c>
      <c r="FX586" s="1352" t="str">
        <f>VLOOKUP(CT586,_Exist_Fixture_Table,4,FALSE)</f>
        <v/>
      </c>
      <c r="FY586" s="1352">
        <f>IFERROR(VLOOKUP(FX586,Lookup!AM$6:AN$8,2,FALSE),0)</f>
        <v>0</v>
      </c>
      <c r="FZ586" s="1352" t="b">
        <f>IFERROR(IF(OR(GB586=4,GB586=5,GB586=6),TRUE,FALSE),"")</f>
        <v>0</v>
      </c>
      <c r="GA586" s="1352" t="str">
        <f>IFERROR(VLOOKUP(GB586,FY$6:FZ$10,2,FALSE),"")</f>
        <v/>
      </c>
      <c r="GB586" s="1352" t="str">
        <f>VLOOKUP(CT588,Fixtures!R$31:Y$78,8,FALSE)</f>
        <v/>
      </c>
      <c r="GC586" s="1352">
        <f>IF(AND(FW586=TRUE,FZ586=TRUE,OR(DN586=12,DN586=13,DN586=14)),FY586+8,0)</f>
        <v>0</v>
      </c>
      <c r="GD586" s="1352" t="b">
        <f>IF(OR(GC586=12,GC586=13,GC586=14),TRUE,FALSE)</f>
        <v>0</v>
      </c>
      <c r="GE586" s="759" t="b">
        <f>IF(ISNUMBER(SEARCH("TLED",U587)),TRUE,FALSE)</f>
        <v>0</v>
      </c>
      <c r="GF586" s="1035" t="str">
        <f>IFERROR(VLOOKUP(U587,Fixtures!BM$93:BR$142,6,FALSE),"")</f>
        <v/>
      </c>
      <c r="GG586" s="1385" t="b">
        <f>IF(OR(GE586=FALSE,GE588=FALSE),TRUE,IF(GF586-GF588&lt;5,FALSE,TRUE))</f>
        <v>1</v>
      </c>
      <c r="GK586" s="1034">
        <f>GL586</f>
        <v>0</v>
      </c>
      <c r="GL586" s="1034">
        <f>IF(G586="",0,1)</f>
        <v>0</v>
      </c>
      <c r="GM586" s="1034">
        <f>SUM(GN586:HB586)</f>
        <v>2</v>
      </c>
      <c r="GN586" s="1034">
        <f>IF(G587="",0,1)</f>
        <v>0</v>
      </c>
      <c r="GO586" s="1034">
        <f>IF(G588="",0,1)</f>
        <v>0</v>
      </c>
      <c r="GP586" s="1034">
        <f>IF(R587="",0,1)</f>
        <v>0</v>
      </c>
      <c r="GQ586" s="1034">
        <f>IF(__Retrofit_TI_NC=0,1,IF(R588="",0,1))</f>
        <v>1</v>
      </c>
      <c r="GR586" s="1034">
        <f>IF(CN586="Exterior",1,IF(G589="",0,1))</f>
        <v>1</v>
      </c>
      <c r="GS586" s="1034">
        <f>IF(__Retrofit_TI_NC&lt;&gt;0,1,IF(T587="",0,1))</f>
        <v>0</v>
      </c>
      <c r="GT586" s="1034">
        <f>IF(__Retrofit_TI_NC&lt;&gt;0,1,IF(U587="",0,1))</f>
        <v>0</v>
      </c>
      <c r="GU586" s="1034">
        <f>IF(T588="",0,1)</f>
        <v>0</v>
      </c>
      <c r="GV586" s="1034">
        <f>IF(U588="",0,1)</f>
        <v>0</v>
      </c>
      <c r="GW586" s="1034">
        <f>IF(__Retrofit_TI_NC=2,1,IF(U589="",0,1))</f>
        <v>0</v>
      </c>
      <c r="GX586" s="1034">
        <f>IF(__Retrofit_TI_NC&lt;&gt;0,1,IF(AE587="",0,1))</f>
        <v>0</v>
      </c>
      <c r="GY586" s="1034">
        <f>IF(__Retrofit_TI_NC&lt;&gt;0,1,IF(AF587="",0,1))</f>
        <v>0</v>
      </c>
      <c r="GZ586" s="1034">
        <f>IF(AE588="",0,1)</f>
        <v>0</v>
      </c>
      <c r="HA586" s="1034">
        <f>IF(AF588="",0,1)</f>
        <v>0</v>
      </c>
      <c r="HB586" s="1034">
        <f>IF(__Retrofit_TI_NC=2,1,IF(AF589="",0,1))</f>
        <v>0</v>
      </c>
      <c r="HV586" s="436"/>
      <c r="HW586" s="1384" t="b">
        <f>IF(OR(HW589=0,HW589=HT$16,HW589=HS$16,HW589=HU$16),TRUE,FALSE)</f>
        <v>0</v>
      </c>
      <c r="HX586" s="1377" t="b">
        <f>HW586</f>
        <v>0</v>
      </c>
      <c r="HY586" s="436"/>
      <c r="HZ586" s="436"/>
      <c r="IA586" s="1386" t="b">
        <f>IF(MAX(GJ589:HP589)&gt;5,FALSE,TRUE)</f>
        <v>0</v>
      </c>
      <c r="IB586" s="1380">
        <f>IF(IA586=TRUE,AC586,0)</f>
        <v>0</v>
      </c>
      <c r="IC586" s="1380">
        <f>IB586-IB588</f>
        <v>0</v>
      </c>
      <c r="IF586" s="1380" t="e">
        <f>ROUND(T587*VLOOKUP(U587,Fixtures_Existing_List,2,FALSE)*N587*R587/1000,0)</f>
        <v>#N/A</v>
      </c>
      <c r="IG586" s="1381" t="e">
        <f>IF586-IF588</f>
        <v>#N/A</v>
      </c>
      <c r="IH586" s="1384" t="e">
        <f>ROUND(IF(CN586="Interior",N588*R588*R587*N587*_C406_reduction/1000,N588*R588*R587*N587/1000),0)</f>
        <v>#N/A</v>
      </c>
      <c r="II586" s="1384" t="e">
        <f>IH586-IH588</f>
        <v>#N/A</v>
      </c>
      <c r="IK586" s="1351" t="e">
        <f>IF($CO586="interior",IL586/2,VLOOKUP($CP586,Control_Savings_Exterior,IK$30,FALSE))</f>
        <v>#N/A</v>
      </c>
      <c r="IL586" s="1351" t="e">
        <f>IF($CO586="interior",VLOOKUP($CP586,Control_Savings_Interior,IL$30,FALSE),VLOOKUP($CP586,Control_Savings_Exterior,IL$30,FALSE))</f>
        <v>#N/A</v>
      </c>
      <c r="IM586" s="1351" t="e">
        <f>IF($CO586="interior",IF(R587&gt;FO$37,(IM$28*(FO$37/R587)),IM$28)*FP586,VLOOKUP($CP586,Control_Savings_Exterior,IM$30,FALSE))</f>
        <v>#N/A</v>
      </c>
      <c r="IN586" s="1351" t="e">
        <f>IF($CO586="interior",ROUND(((1-IL586)*IM586)+IL586,2),VLOOKUP($CP586,Control_Savings_Exterior,IN$30,FALSE))</f>
        <v>#N/A</v>
      </c>
      <c r="IO586" s="1351" t="e">
        <f>IF($CO586="interior", ROUND(((1-IL586)*(IM586*(1-IP$28)))+IP586,2), VLOOKUP($CP586,Control_Savings_Exterior,IO$30,FALSE))</f>
        <v>#N/A</v>
      </c>
      <c r="IP586" s="1351">
        <f>IF($CO586="interior",ROUND(((1-IL586)*IP$28)+IL586,2),0)</f>
        <v>0</v>
      </c>
    </row>
    <row r="587" spans="1:250" s="82" customFormat="1" ht="14.95" customHeight="1" thickTop="1" thickBot="1">
      <c r="B587" s="1421"/>
      <c r="C587" s="1422"/>
      <c r="D587" s="1423"/>
      <c r="E587" s="1393" t="s">
        <v>244</v>
      </c>
      <c r="F587" s="1394"/>
      <c r="G587" s="1395"/>
      <c r="H587" s="1395"/>
      <c r="I587" s="1395"/>
      <c r="J587" s="1395"/>
      <c r="K587" s="1395"/>
      <c r="L587" s="1395"/>
      <c r="M587" s="509" t="e">
        <f>IF(__Retrofit_TI_NC&lt;&gt;0,IF(VLOOKUP(G588,'Space Table'!$B$3:$L$160,3,FALSE)&gt;0,1,0),IF(__Retrofit_TI_NC=VLOOKUP(G588,'Space Table'!$B$3:$L$160,3,FALSE),1,0))</f>
        <v>#N/A</v>
      </c>
      <c r="N587" s="509" t="str">
        <f>IFERROR(VLOOKUP(G587,_Lookup_Heat_Type_Table_New,2,FALSE),"")</f>
        <v/>
      </c>
      <c r="O587" s="509">
        <f>IF(__Retrofit_TI_NC=1,CONCATENATE("TI ",G587),IF(__Retrofit_TI_NC=2,CONCATENATE("NC ",G587),G587))</f>
        <v>0</v>
      </c>
      <c r="P587" s="1396" t="s">
        <v>352</v>
      </c>
      <c r="Q587" s="1396"/>
      <c r="R587" s="673"/>
      <c r="S587" s="1429"/>
      <c r="T587" s="675"/>
      <c r="U587" s="1496"/>
      <c r="V587" s="1497"/>
      <c r="W587" s="1497"/>
      <c r="X587" s="1497"/>
      <c r="Y587" s="1497"/>
      <c r="Z587" s="1497"/>
      <c r="AA587" s="1497"/>
      <c r="AB587" s="1497"/>
      <c r="AC587" s="1497"/>
      <c r="AD587" s="1498"/>
      <c r="AE587" s="675"/>
      <c r="AF587" s="1397"/>
      <c r="AG587" s="1397"/>
      <c r="AH587" s="1397"/>
      <c r="AI587" s="1397"/>
      <c r="AJ587" s="1434"/>
      <c r="AK587" s="1436"/>
      <c r="AL587" s="1438"/>
      <c r="AM587" s="1441"/>
      <c r="AN587" s="1442"/>
      <c r="AO587" s="1447"/>
      <c r="AP587" s="1447"/>
      <c r="AQ587" s="1448"/>
      <c r="AR587" s="1452"/>
      <c r="AS587" s="1455"/>
      <c r="AT587" s="1458"/>
      <c r="AU587" s="516"/>
      <c r="AV587" s="1479"/>
      <c r="AW587" s="1479"/>
      <c r="BC587" s="38"/>
      <c r="BD587" s="38"/>
      <c r="BE587" s="38"/>
      <c r="BF587" s="38"/>
      <c r="BG587" s="38"/>
      <c r="BH587" s="38"/>
      <c r="BI587" s="38"/>
      <c r="BJ587" s="38"/>
      <c r="BK587" s="38"/>
      <c r="BL587" s="38"/>
      <c r="BM587" s="38"/>
      <c r="BN587" s="38"/>
      <c r="BO587" s="38"/>
      <c r="BP587" s="38"/>
      <c r="BQ587" s="38"/>
      <c r="BR587" s="38"/>
      <c r="BS587" s="38"/>
      <c r="BT587" s="38"/>
      <c r="BU587" s="38"/>
      <c r="BV587" s="38"/>
      <c r="BW587" s="38"/>
      <c r="BX587" s="38"/>
      <c r="BY587" s="38"/>
      <c r="BZ587" s="38"/>
      <c r="CA587" s="38"/>
      <c r="CB587" s="38"/>
      <c r="CC587" s="38"/>
      <c r="CD587" s="38"/>
      <c r="CE587" s="38"/>
      <c r="CF587" s="38"/>
      <c r="CG587" s="38"/>
      <c r="CH587" s="38"/>
      <c r="CI587" s="38"/>
      <c r="CM587" s="1352"/>
      <c r="CN587" s="1352"/>
      <c r="CO587" s="1416"/>
      <c r="CP587" s="1418"/>
      <c r="CR587" s="1386"/>
      <c r="CS587" s="1355"/>
      <c r="CT587" s="1355"/>
      <c r="CU587" s="1355"/>
      <c r="CV587" s="1372"/>
      <c r="CW587" s="1372"/>
      <c r="CX587" s="1371"/>
      <c r="CY587" s="1486"/>
      <c r="CZ587" s="1486"/>
      <c r="DA587" s="1486"/>
      <c r="DC587" s="1355"/>
      <c r="DD587" s="1461"/>
      <c r="DE587" s="1355"/>
      <c r="DF587" s="1407"/>
      <c r="DG587" s="1372"/>
      <c r="DH587" s="1369"/>
      <c r="DJ587" s="1484"/>
      <c r="DL587" s="1419"/>
      <c r="DN587" s="1403"/>
      <c r="DO587" s="1405"/>
      <c r="DP587" s="1354"/>
      <c r="DQ587" s="1405"/>
      <c r="DR587" s="1403"/>
      <c r="DS587" s="1489"/>
      <c r="DU587" s="1403"/>
      <c r="DV587" s="1405"/>
      <c r="DW587" s="1403"/>
      <c r="DX587" s="1403"/>
      <c r="DZ587" s="1481"/>
      <c r="EA587" s="1481"/>
      <c r="EC587" s="1482"/>
      <c r="ED587" s="1369"/>
      <c r="EE587" s="1371"/>
      <c r="EF587" s="1369"/>
      <c r="EG587" s="1369"/>
      <c r="EH587" s="1374"/>
      <c r="EI587" s="1374"/>
      <c r="EJ587" s="1363"/>
      <c r="EK587" s="1376"/>
      <c r="EL587" s="1376"/>
      <c r="EM587" s="1362"/>
      <c r="EN587" s="1362"/>
      <c r="EO587" s="1363"/>
      <c r="EP587" s="1363"/>
      <c r="EQ587" s="1363"/>
      <c r="ES587" s="1403"/>
      <c r="EU587" s="1411"/>
      <c r="EV587" s="1411"/>
      <c r="EW587" s="1411"/>
      <c r="EX587" s="1411"/>
      <c r="EY587" s="1411"/>
      <c r="EZ587" s="1413"/>
      <c r="FB587" s="1365"/>
      <c r="FD587" s="1354"/>
      <c r="FE587" s="1354"/>
      <c r="FF587" s="138"/>
      <c r="FI587" s="1357"/>
      <c r="FJ587" s="1357"/>
      <c r="FK587" s="1365"/>
      <c r="FL587" s="1365"/>
      <c r="FM587" s="1365"/>
      <c r="FO587" s="1361"/>
      <c r="FP587" s="1361"/>
      <c r="FQ587" s="1366"/>
      <c r="FR587" s="1368"/>
      <c r="FS587" s="1361"/>
      <c r="FT587" s="1368"/>
      <c r="FU587" s="1360"/>
      <c r="FW587" s="1352"/>
      <c r="FX587" s="1352"/>
      <c r="FY587" s="1352"/>
      <c r="FZ587" s="1352"/>
      <c r="GA587" s="1352"/>
      <c r="GB587" s="1352"/>
      <c r="GC587" s="1352"/>
      <c r="GD587" s="1352"/>
      <c r="GE587" s="759"/>
      <c r="GF587" s="1035"/>
      <c r="GG587" s="1385"/>
      <c r="GI587" s="1384" t="b">
        <f>IF(AND(GL587=TRUE,GM587=TRUE),TRUE,FALSE)</f>
        <v>0</v>
      </c>
      <c r="GJ587" s="1379" t="b">
        <f>IFERROR(IF(__Retrofit_TI_NC=2,TRUE,IF(AR586="Yes",TRUE,FALSE)),FALSE)</f>
        <v>1</v>
      </c>
      <c r="GL587" s="1379" t="b">
        <f>IFERROR(IF(GL586=1,TRUE,FALSE),FALSE)</f>
        <v>0</v>
      </c>
      <c r="GM587" s="1379" t="b">
        <f>IFERROR(IF(GM586=GM$14,TRUE,FALSE),FALSE)</f>
        <v>0</v>
      </c>
      <c r="HC587" s="1379" t="b">
        <f>IFERROR(IF(M587=1,TRUE,FALSE),FALSE)</f>
        <v>0</v>
      </c>
      <c r="HD587" s="1379" t="b">
        <f>IFERROR(IF(M588=1,TRUE,FALSE),FALSE)</f>
        <v>0</v>
      </c>
      <c r="HE587" s="1379" t="b">
        <f>IFERROR(IF(__Retrofit_TI_NC&lt;&gt;0,TRUE,IFERROR(IF(VLOOKUP(U587,Fixtures_Existing_List,2,FALSE)&lt;&gt;"",TRUE,FALSE),FALSE)),FALSE)</f>
        <v>0</v>
      </c>
      <c r="HF587" s="1379" t="b">
        <f>IFERROR(IF(VLOOKUP(U588,Fixtures_Proposed_List,2,FALSE)&lt;&gt;"",TRUE,FALSE),FALSE)</f>
        <v>0</v>
      </c>
      <c r="HG587" s="1379" t="b">
        <f>IF(AND(__Retrofit_TI_NC=2,EZ586=TRUE),FALSE,TRUE)</f>
        <v>1</v>
      </c>
      <c r="HH587" s="1379" t="b">
        <f>GG586</f>
        <v>1</v>
      </c>
      <c r="HI587" s="1384" t="b">
        <f>IF(ISERROR(MATCH(FB586,_Control_Match[],0))=TRUE,FALSE,TRUE)</f>
        <v>0</v>
      </c>
      <c r="HJ587" s="1384" t="b">
        <f>IFERROR(IF(EU586&lt;&gt;EV586,FALSE,TRUE),FALSE)</f>
        <v>0</v>
      </c>
      <c r="HK587" s="1384" t="b">
        <f>IFERROR(IF(EU588&lt;&gt;EV588,FALSE,TRUE),FALSE)</f>
        <v>0</v>
      </c>
      <c r="HL587" s="1379" t="b">
        <f>IFERROR(IF(CN586="Exterior",TRUE,IF(OR(AND(FJ586=0,EW588&gt;4),AND(FJ586=4,EW588&gt;4,EW588&lt;7)),FALSE,TRUE)),FALSE)</f>
        <v>0</v>
      </c>
      <c r="HM587" s="1379" t="b">
        <f>IFERROR(IF(AND(FL588=7,EZ586=TRUE),FALSE,TRUE),FALSE)</f>
        <v>0</v>
      </c>
      <c r="HN587" s="1379" t="b">
        <f>IFERROR(IF(AND(T588&lt;&gt;AE588,AF588="Interior LLLC")=TRUE,FALSE,TRUE),FALSE)</f>
        <v>1</v>
      </c>
      <c r="HO587" s="1379" t="b">
        <f>IFERROR(IF(OR(AF588=Lookup!AU$13,AF588=Lookup!AU$14)=TRUE,IF(AE588&gt;T588,FALSE,TRUE),TRUE),FALSE)</f>
        <v>1</v>
      </c>
      <c r="HP587" s="1379" t="b">
        <f>IFERROR(IF(__Retrofit_TI_NC=2,IF(EW588&lt;EW586,FALSE,TRUE),TRUE),FALSE)</f>
        <v>1</v>
      </c>
      <c r="HQ587" s="1379" t="b">
        <f>IF(CN586="Interior",IG$6,TRUE)</f>
        <v>1</v>
      </c>
      <c r="HR587" s="1379" t="b">
        <f>IF(CN586="Exterior",IG$8,TRUE)</f>
        <v>1</v>
      </c>
      <c r="HS587" s="1379" t="b">
        <f>IFERROR(IF(__Retrofit_TI_NC&lt;&gt;0,IF(AW586&lt;AV586,FALSE,TRUE),TRUE),FALSE)</f>
        <v>1</v>
      </c>
      <c r="HT587" s="1379" t="b">
        <f>IFERROR(IF(AND(G587="Exterior",R587&gt;4200),FALSE,TRUE),FALSE)</f>
        <v>1</v>
      </c>
      <c r="HU587" s="1379" t="b">
        <f>IFERROR(IF(AB589/AB586&lt;HU$18,FALSE,TRUE),FALSE)</f>
        <v>0</v>
      </c>
      <c r="HW587" s="1382"/>
      <c r="HX587" s="1378"/>
      <c r="HY587" s="1377" t="str">
        <f>VLOOKUP(HW589,_Error_Table,4,FALSE)</f>
        <v>White</v>
      </c>
      <c r="HZ587" s="436"/>
      <c r="IA587" s="1386"/>
      <c r="IB587" s="1380"/>
      <c r="IC587" s="1379"/>
      <c r="IF587" s="1380"/>
      <c r="IG587" s="1382"/>
      <c r="IH587" s="1382"/>
      <c r="II587" s="1382"/>
      <c r="IK587" s="1351"/>
      <c r="IL587" s="1351"/>
      <c r="IM587" s="1351"/>
      <c r="IN587" s="1351"/>
      <c r="IO587" s="1351"/>
      <c r="IP587" s="1351"/>
    </row>
    <row r="588" spans="1:250" s="82" customFormat="1" ht="14.95" customHeight="1" thickTop="1" thickBot="1">
      <c r="A588" s="82">
        <f>ROW()</f>
        <v>588</v>
      </c>
      <c r="B588" s="1421"/>
      <c r="C588" s="1422"/>
      <c r="D588" s="1423"/>
      <c r="E588" s="1393" t="s">
        <v>245</v>
      </c>
      <c r="F588" s="1394"/>
      <c r="G588" s="1398"/>
      <c r="H588" s="1399"/>
      <c r="I588" s="1399"/>
      <c r="J588" s="1399"/>
      <c r="K588" s="1399"/>
      <c r="L588" s="1400"/>
      <c r="M588" s="509">
        <f>IFERROR(IF(IF(__Retrofit_TI_NC&lt;&gt;0,IF(CN586="Interior",MATCH(G588,Lookup_Interior_New,0),MATCH(G588,Lookup_Exterior_New,0)),IF(CN586="Interior",MATCH(G588,Lookup_Interior,0),MATCH(G588,Lookup_Exterior_Areas,0)))&gt;0,1,0),0)</f>
        <v>0</v>
      </c>
      <c r="N588" s="509" t="e">
        <f>IF(__Retrofit_TI_NC=1,
VLOOKUP(G588,'Space Table'!$B$3:$L$160,4,FALSE),
IF(__Retrofit_TI_NC=2,VLOOKUP(G588,'Space Table'!$B$3:$L$160,5,FALSE),VLOOKUP(G588,'Space Table'!$B$3:$L$160,5,FALSE)))</f>
        <v>#N/A</v>
      </c>
      <c r="O588" s="509">
        <f>G588</f>
        <v>0</v>
      </c>
      <c r="P588" s="1394" t="s">
        <v>355</v>
      </c>
      <c r="Q588" s="1394"/>
      <c r="R588" s="674"/>
      <c r="S588" s="1401" t="s">
        <v>284</v>
      </c>
      <c r="T588" s="672"/>
      <c r="U588" s="1499"/>
      <c r="V588" s="1500"/>
      <c r="W588" s="1500"/>
      <c r="X588" s="1500"/>
      <c r="Y588" s="1500"/>
      <c r="Z588" s="1500"/>
      <c r="AA588" s="1500"/>
      <c r="AB588" s="1501"/>
      <c r="AC588" s="1501"/>
      <c r="AD588" s="1502"/>
      <c r="AE588" s="672"/>
      <c r="AF588" s="1474"/>
      <c r="AG588" s="1474"/>
      <c r="AH588" s="1474"/>
      <c r="AI588" s="1474"/>
      <c r="AJ588" s="1475">
        <f>DF588</f>
        <v>0</v>
      </c>
      <c r="AK588" s="1470" t="str">
        <f>IFERROR(ROUND(AJ588*AC589,0),"")</f>
        <v/>
      </c>
      <c r="AL588" s="1472">
        <f>IFERROR(IF(HW586=FALSE,0,AC589-AK588),0)</f>
        <v>0</v>
      </c>
      <c r="AM588" s="1441"/>
      <c r="AN588" s="1442"/>
      <c r="AO588" s="1447"/>
      <c r="AP588" s="1447"/>
      <c r="AQ588" s="1448"/>
      <c r="AR588" s="1452"/>
      <c r="AS588" s="1455"/>
      <c r="AT588" s="1458"/>
      <c r="AU588" s="516"/>
      <c r="AV588" s="1479"/>
      <c r="AW588" s="1479"/>
      <c r="BC588" s="38"/>
      <c r="BD588" s="38"/>
      <c r="BE588" s="38"/>
      <c r="BF588" s="38"/>
      <c r="BG588" s="38"/>
      <c r="BH588" s="38"/>
      <c r="BI588" s="38"/>
      <c r="BJ588" s="38"/>
      <c r="BK588" s="38"/>
      <c r="BL588" s="38"/>
      <c r="BM588" s="38"/>
      <c r="BN588" s="38"/>
      <c r="BO588" s="38"/>
      <c r="BP588" s="38"/>
      <c r="BQ588" s="38"/>
      <c r="BR588" s="38"/>
      <c r="BS588" s="38"/>
      <c r="BT588" s="38"/>
      <c r="BU588" s="38"/>
      <c r="BV588" s="38"/>
      <c r="BW588" s="38"/>
      <c r="BX588" s="38"/>
      <c r="BY588" s="38"/>
      <c r="BZ588" s="38"/>
      <c r="CA588" s="38"/>
      <c r="CB588" s="38"/>
      <c r="CC588" s="38"/>
      <c r="CD588" s="38"/>
      <c r="CE588" s="38"/>
      <c r="CF588" s="38"/>
      <c r="CG588" s="38"/>
      <c r="CH588" s="38"/>
      <c r="CI588" s="38"/>
      <c r="CM588" s="1352"/>
      <c r="CN588" s="1352"/>
      <c r="CO588" s="1415" t="str">
        <f>CN586</f>
        <v/>
      </c>
      <c r="CP588" s="1417" t="e">
        <f>CP586</f>
        <v>#N/A</v>
      </c>
      <c r="CR588" s="1386" t="s">
        <v>284</v>
      </c>
      <c r="CS588" s="1353">
        <f>IF(HW586=TRUE,T588,0)</f>
        <v>0</v>
      </c>
      <c r="CT588" s="1353" t="str">
        <f>IF(HW586=TRUE,U588,"")</f>
        <v/>
      </c>
      <c r="CU588" s="1373">
        <f>IF(HW586=TRUE,U589,0)</f>
        <v>0</v>
      </c>
      <c r="CV588" s="1370">
        <f>IF(HW586=TRUE,AB589,0)</f>
        <v>0</v>
      </c>
      <c r="CW588" s="1370">
        <f>IF(HW586=TRUE,AC589,0)</f>
        <v>0</v>
      </c>
      <c r="CX588" s="1371"/>
      <c r="CY588" s="1486"/>
      <c r="CZ588" s="1486"/>
      <c r="DA588" s="1486"/>
      <c r="DC588" s="1353">
        <f>IF(HW586=TRUE,AE588,0)</f>
        <v>0</v>
      </c>
      <c r="DD588" s="1353" t="str">
        <f>IF(HW586=TRUE,AF588,"")</f>
        <v/>
      </c>
      <c r="DE588" s="1373">
        <f>AF589</f>
        <v>0</v>
      </c>
      <c r="DF588" s="1406">
        <f>IFERROR(IF(FL588=3,IK588,IF(FL588=4,IL588,IF(FL588=5,IM588,IF(FL588=6,IN588,IF(FL588=7,IO588,IF(FL588=8,IP588,0)))))),0)</f>
        <v>0</v>
      </c>
      <c r="DG588" s="1370">
        <f>IF(HW586=TRUE,AK588,0)</f>
        <v>0</v>
      </c>
      <c r="DH588" s="1369"/>
      <c r="DK588" s="1483">
        <f>IFERROR(CW588-DG588,0)</f>
        <v>0</v>
      </c>
      <c r="DL588" s="1420"/>
      <c r="DN588" s="1403"/>
      <c r="DO588" s="1477" t="str">
        <f>DN586</f>
        <v/>
      </c>
      <c r="DP588" s="1354"/>
      <c r="DQ588" s="1477" t="str">
        <f>IF(DP586=7,"LLLC","")</f>
        <v/>
      </c>
      <c r="DR588" s="1403"/>
      <c r="DS588" s="1489"/>
      <c r="DU588" s="1403"/>
      <c r="DV588" s="1404" t="str">
        <f>DU586</f>
        <v/>
      </c>
      <c r="DW588" s="1403"/>
      <c r="DX588" s="1403"/>
      <c r="DZ588" s="1481"/>
      <c r="EA588" s="1481"/>
      <c r="EC588" s="1482"/>
      <c r="ED588" s="1369"/>
      <c r="EE588" s="1371"/>
      <c r="EF588" s="1369"/>
      <c r="EG588" s="1369"/>
      <c r="EH588" s="1374"/>
      <c r="EI588" s="1374"/>
      <c r="EJ588" s="1363"/>
      <c r="EK588" s="1376"/>
      <c r="EL588" s="1376"/>
      <c r="EM588" s="1362"/>
      <c r="EN588" s="1362"/>
      <c r="EO588" s="1363"/>
      <c r="EP588" s="1363"/>
      <c r="EQ588" s="1363"/>
      <c r="ES588" s="1403"/>
      <c r="EU588" s="1411" t="e">
        <f>VLOOKUP(CP588,'Space Table'!$B$3:$L$160,8,FALSE)</f>
        <v>#N/A</v>
      </c>
      <c r="EV588" s="1411" t="e">
        <f>IF(EY588="Yes",VLOOKUP(AF588,Lookup_Control_Type_Table2,4,FALSE),VLOOKUP(AF588,Lookup_Control_Type_Table2,3,FALSE))</f>
        <v>#N/A</v>
      </c>
      <c r="EW588" s="1411" t="e">
        <f>VLOOKUP(AF588,Lookup!AU$3:AV$15,2,FALSE)</f>
        <v>#N/A</v>
      </c>
      <c r="EX588" s="1411" t="e">
        <f>VLOOKUP(EU586,Lookup_Control_Type_Table,2,FALSE)</f>
        <v>#N/A</v>
      </c>
      <c r="EY588" s="1411" t="e">
        <f>VLOOKUP(CP588,'Space Table'!$B$3:$L$160,7,FALSE)</f>
        <v>#N/A</v>
      </c>
      <c r="EZ588" s="1413"/>
      <c r="FB588" s="1365" t="str">
        <f>CONCATENATE(CN586," - ",AF588)</f>
        <v xml:space="preserve"> - </v>
      </c>
      <c r="FD588" s="1354"/>
      <c r="FE588" s="1354"/>
      <c r="FF588" s="138"/>
      <c r="FI588" s="1356" t="str">
        <f>IF(CN586="Exterior","Not Daylighted",G589)</f>
        <v>Not Daylighted</v>
      </c>
      <c r="FJ588" s="1356">
        <f>VLOOKUP(FI588,_Daylight_Table_Codes,2,FALSE)</f>
        <v>0</v>
      </c>
      <c r="FK588" s="1365">
        <f>AF588</f>
        <v>0</v>
      </c>
      <c r="FL588" s="1365" t="e">
        <f>VLOOKUP(FK588,_Control_Table,2,FALSE)</f>
        <v>#N/A</v>
      </c>
      <c r="FM588" s="1365" t="e">
        <f>IF(AND(FP588&gt;0,FK588="Occupancy Sensor"),"Daylight + Occupancy",IF(AND(FP588&gt;0,FL588&lt;4),"Interior Daylight Dimming",FK588))</f>
        <v>#N/A</v>
      </c>
      <c r="FO588" s="1364">
        <f>IF(CN586="Interior",VLOOKUP(CP586,Control_Savings_Interior,5,FALSE),0)</f>
        <v>0</v>
      </c>
      <c r="FP588" s="1361">
        <f>IF(CN588="Exterior",0,IF(FJ588=2,0.5,IF(OR(FJ588=1,FJ588=3),1,0)))</f>
        <v>0</v>
      </c>
      <c r="FQ588" s="1366">
        <f>IF(R587&gt;FO$37,(FO588*(FO$37/R587)),FO588)*FP588</f>
        <v>0</v>
      </c>
      <c r="FR588" s="1364">
        <f>DF588</f>
        <v>0</v>
      </c>
      <c r="FS588" s="1364">
        <f>ROUND(FR588+((1-FR588)*FQ588),2)</f>
        <v>0</v>
      </c>
      <c r="FT588" s="1364">
        <f>IF(__Retrofit_TI_NC=2,FS588,FR588)</f>
        <v>0</v>
      </c>
      <c r="FU588" s="1360">
        <f>IF(CO588="Interior",VLOOKUP(CP588,Control_Savings_Interior,4,FALSE),0)</f>
        <v>0</v>
      </c>
      <c r="FW588" s="1352"/>
      <c r="FX588" s="1352"/>
      <c r="FY588" s="1352"/>
      <c r="FZ588" s="1352"/>
      <c r="GA588" s="1352"/>
      <c r="GB588" s="1352"/>
      <c r="GC588" s="1352"/>
      <c r="GD588" s="1352"/>
      <c r="GE588" s="759" t="b">
        <f>IF(ISNUMBER(SEARCH("TLED",U588)),TRUE,FALSE)</f>
        <v>0</v>
      </c>
      <c r="GF588" s="1035" t="str">
        <f>IFERROR(VLOOKUP(U588,Fixtures!DM$93:DR$142,6,FALSE),"")</f>
        <v/>
      </c>
      <c r="GG588" s="1385"/>
      <c r="GI588" s="1383"/>
      <c r="GJ588" s="1379"/>
      <c r="GL588" s="1379"/>
      <c r="GM588" s="1379"/>
      <c r="HC588" s="1379"/>
      <c r="HD588" s="1379"/>
      <c r="HE588" s="1379"/>
      <c r="HF588" s="1379"/>
      <c r="HG588" s="1379"/>
      <c r="HH588" s="1379"/>
      <c r="HI588" s="1383"/>
      <c r="HJ588" s="1383"/>
      <c r="HK588" s="1383"/>
      <c r="HL588" s="1379"/>
      <c r="HM588" s="1379"/>
      <c r="HN588" s="1379"/>
      <c r="HO588" s="1379"/>
      <c r="HP588" s="1379"/>
      <c r="HQ588" s="1379"/>
      <c r="HR588" s="1379"/>
      <c r="HS588" s="1379"/>
      <c r="HT588" s="1379"/>
      <c r="HU588" s="1379"/>
      <c r="HW588" s="1383"/>
      <c r="HX588" s="1384" t="b">
        <f>HW586</f>
        <v>0</v>
      </c>
      <c r="HY588" s="1378"/>
      <c r="HZ588" s="436"/>
      <c r="IA588" s="1386"/>
      <c r="IB588" s="1380">
        <f>IF(IA586=TRUE,AC589,0)</f>
        <v>0</v>
      </c>
      <c r="IC588" s="1379"/>
      <c r="IF588" s="1380" t="e">
        <f>ROUND(T588*AB589*N587*R587/1000,0)</f>
        <v>#VALUE!</v>
      </c>
      <c r="IG588" s="1382"/>
      <c r="IH588" s="1384" t="e">
        <f>ROUND(T588*AB589*N587*R587/1000,0)</f>
        <v>#VALUE!</v>
      </c>
      <c r="II588" s="1382"/>
      <c r="IK588" s="1351" t="e">
        <f>IF($CO588="interior",IL588/2,VLOOKUP($CP588,Control_Savings_Exterior,IK$30,FALSE))</f>
        <v>#N/A</v>
      </c>
      <c r="IL588" s="1351" t="e">
        <f>IF($CO588="interior",VLOOKUP($CP588,Control_Savings_Interior,IL$30,FALSE),VLOOKUP($CP588,Control_Savings_Exterior,IL$30,FALSE))</f>
        <v>#N/A</v>
      </c>
      <c r="IM588" s="1351" t="e">
        <f>IF($CO588="interior",IF(R587&gt;FO$37,(IM$28*(FO$37/R587)),IM$28)*FP588,VLOOKUP($CP588,Control_Savings_Exterior,IM$30,FALSE))</f>
        <v>#N/A</v>
      </c>
      <c r="IN588" s="1351" t="e">
        <f>IF($CO588="interior",ROUND(((1-IL588)*IM588)+IL588,2),VLOOKUP($CP588,Control_Savings_Exterior,IN$30,FALSE))</f>
        <v>#N/A</v>
      </c>
      <c r="IO588" s="1351" t="e">
        <f>IF($CO588="interior", ROUND(((1-IL588)*(IM588*(1-IP$28)))+IP588,2), VLOOKUP($CP588,Control_Savings_Exterior,IO$30,FALSE))</f>
        <v>#N/A</v>
      </c>
      <c r="IP588" s="1351">
        <f>IF($CO588="interior",ROUND(((1-IL588)*IP$28)+IL588,2),0)</f>
        <v>0</v>
      </c>
    </row>
    <row r="589" spans="1:250" s="82" customFormat="1" ht="14.95" customHeight="1" thickTop="1" thickBot="1">
      <c r="B589" s="1421"/>
      <c r="C589" s="1422"/>
      <c r="D589" s="1423"/>
      <c r="E589" s="1462" t="s">
        <v>357</v>
      </c>
      <c r="F589" s="1463"/>
      <c r="G589" s="1464" t="s">
        <v>362</v>
      </c>
      <c r="H589" s="1465"/>
      <c r="I589" s="1465"/>
      <c r="J589" s="1465"/>
      <c r="K589" s="1465"/>
      <c r="L589" s="1466"/>
      <c r="M589" s="669">
        <f>IFERROR(VLOOKUP(G589,_Daylight_Table[],2,FALSE),0)</f>
        <v>0</v>
      </c>
      <c r="N589" s="670"/>
      <c r="O589" s="669" t="e">
        <f>VLOOKUP(G588,'Space Table'!$B$3:$L$160,11,FALSE)</f>
        <v>#N/A</v>
      </c>
      <c r="P589" s="1408"/>
      <c r="Q589" s="1409"/>
      <c r="R589" s="1409"/>
      <c r="S589" s="1402"/>
      <c r="T589" s="671" t="s">
        <v>281</v>
      </c>
      <c r="U589" s="1467" t="str">
        <f>IFERROR(VLOOKUP(U588,Fixtures!DM$93:DP$142,4,FALSE),"")</f>
        <v/>
      </c>
      <c r="V589" s="1468"/>
      <c r="W589" s="1468"/>
      <c r="X589" s="1468"/>
      <c r="Y589" s="1468"/>
      <c r="Z589" s="1468"/>
      <c r="AA589" s="1468"/>
      <c r="AB589" s="1046" t="str">
        <f>IFERROR(VLOOKUP(U588,Fixtures_Proposed_List,2,FALSE),"")</f>
        <v/>
      </c>
      <c r="AC589" s="1036" t="str">
        <f>IFERROR(ROUND(T588*AB589*N587*R587/1000,0),"")</f>
        <v/>
      </c>
      <c r="AD589" s="1037" t="str">
        <f>IFERROR(ROUND(T588*AB589/1000,2),"")</f>
        <v/>
      </c>
      <c r="AE589" s="1045" t="s">
        <v>281</v>
      </c>
      <c r="AF589" s="1469"/>
      <c r="AG589" s="1469"/>
      <c r="AH589" s="1469"/>
      <c r="AI589" s="1469"/>
      <c r="AJ589" s="1476"/>
      <c r="AK589" s="1471"/>
      <c r="AL589" s="1473"/>
      <c r="AM589" s="1443"/>
      <c r="AN589" s="1444"/>
      <c r="AO589" s="1449"/>
      <c r="AP589" s="1449"/>
      <c r="AQ589" s="1450"/>
      <c r="AR589" s="1453"/>
      <c r="AS589" s="1456"/>
      <c r="AT589" s="1459"/>
      <c r="AU589" s="517"/>
      <c r="AV589" s="1480"/>
      <c r="AW589" s="1480"/>
      <c r="BC589" s="38"/>
      <c r="BD589" s="38"/>
      <c r="BE589" s="38"/>
      <c r="BF589" s="38"/>
      <c r="BG589" s="38"/>
      <c r="BH589" s="38"/>
      <c r="BI589" s="38"/>
      <c r="BJ589" s="38"/>
      <c r="BK589" s="38"/>
      <c r="BL589" s="38"/>
      <c r="BM589" s="38"/>
      <c r="BN589" s="38"/>
      <c r="BO589" s="38"/>
      <c r="BP589" s="38"/>
      <c r="BQ589" s="38"/>
      <c r="BR589" s="38"/>
      <c r="BS589" s="38"/>
      <c r="BT589" s="38"/>
      <c r="BU589" s="38"/>
      <c r="BV589" s="38"/>
      <c r="BW589" s="38"/>
      <c r="BX589" s="38"/>
      <c r="BY589" s="38"/>
      <c r="BZ589" s="38"/>
      <c r="CA589" s="38"/>
      <c r="CB589" s="38"/>
      <c r="CC589" s="38"/>
      <c r="CD589" s="38"/>
      <c r="CE589" s="38"/>
      <c r="CF589" s="38"/>
      <c r="CG589" s="38"/>
      <c r="CH589" s="38"/>
      <c r="CI589" s="38"/>
      <c r="CM589" s="1352"/>
      <c r="CN589" s="1352"/>
      <c r="CO589" s="1416"/>
      <c r="CP589" s="1418"/>
      <c r="CR589" s="1386"/>
      <c r="CS589" s="1355"/>
      <c r="CT589" s="1355"/>
      <c r="CU589" s="1375"/>
      <c r="CV589" s="1372"/>
      <c r="CW589" s="1372"/>
      <c r="CX589" s="1372"/>
      <c r="CY589" s="1487"/>
      <c r="CZ589" s="1487"/>
      <c r="DA589" s="1487"/>
      <c r="DC589" s="1355"/>
      <c r="DD589" s="1355"/>
      <c r="DE589" s="1375"/>
      <c r="DF589" s="1407"/>
      <c r="DG589" s="1372"/>
      <c r="DH589" s="1369"/>
      <c r="DK589" s="1484"/>
      <c r="DL589" s="1420"/>
      <c r="DN589" s="1403"/>
      <c r="DO589" s="1405"/>
      <c r="DP589" s="1355"/>
      <c r="DQ589" s="1405"/>
      <c r="DR589" s="1403"/>
      <c r="DS589" s="1489"/>
      <c r="DU589" s="1403"/>
      <c r="DV589" s="1405"/>
      <c r="DW589" s="1403"/>
      <c r="DX589" s="1403"/>
      <c r="DZ589" s="1481"/>
      <c r="EA589" s="1481"/>
      <c r="EC589" s="1482"/>
      <c r="ED589" s="1369"/>
      <c r="EE589" s="1372"/>
      <c r="EF589" s="1369"/>
      <c r="EG589" s="1369"/>
      <c r="EH589" s="1375"/>
      <c r="EI589" s="1375"/>
      <c r="EJ589" s="1363"/>
      <c r="EK589" s="1376"/>
      <c r="EL589" s="1376"/>
      <c r="EM589" s="1362"/>
      <c r="EN589" s="1362"/>
      <c r="EO589" s="1363"/>
      <c r="EP589" s="1363"/>
      <c r="EQ589" s="1363"/>
      <c r="ES589" s="1403"/>
      <c r="EU589" s="1488"/>
      <c r="EV589" s="1488"/>
      <c r="EW589" s="1488"/>
      <c r="EX589" s="1488"/>
      <c r="EY589" s="1488"/>
      <c r="EZ589" s="1414"/>
      <c r="FB589" s="1365"/>
      <c r="FD589" s="1355"/>
      <c r="FE589" s="1355"/>
      <c r="FF589" s="138"/>
      <c r="FI589" s="1357"/>
      <c r="FJ589" s="1357"/>
      <c r="FK589" s="1365"/>
      <c r="FL589" s="1365"/>
      <c r="FM589" s="1365"/>
      <c r="FO589" s="1361"/>
      <c r="FP589" s="1361"/>
      <c r="FQ589" s="1366"/>
      <c r="FR589" s="1361"/>
      <c r="FS589" s="1361"/>
      <c r="FT589" s="1361"/>
      <c r="FU589" s="1360"/>
      <c r="FW589" s="1352"/>
      <c r="FX589" s="1352"/>
      <c r="FY589" s="1352"/>
      <c r="FZ589" s="1352"/>
      <c r="GA589" s="1352"/>
      <c r="GB589" s="1352"/>
      <c r="GC589" s="1352"/>
      <c r="GD589" s="1352"/>
      <c r="GE589" s="759"/>
      <c r="GF589" s="1035"/>
      <c r="GG589" s="1385"/>
      <c r="GJ589" s="1034">
        <f>IF(GJ587=TRUE,0,GJ$16)</f>
        <v>0</v>
      </c>
      <c r="GL589" s="1034">
        <f>IF(GL587=TRUE,0,GL$16)</f>
        <v>36</v>
      </c>
      <c r="GM589" s="1034">
        <f>IF(GM587=TRUE,0,GM$16)</f>
        <v>35</v>
      </c>
      <c r="GN589" s="436"/>
      <c r="GO589" s="436"/>
      <c r="GP589" s="436"/>
      <c r="GQ589" s="436"/>
      <c r="GR589" s="436"/>
      <c r="HC589" s="1034">
        <f t="shared" ref="HC589:HH589" si="434">IF(HC587=TRUE,0,HC$16)</f>
        <v>19</v>
      </c>
      <c r="HD589" s="1034">
        <f t="shared" si="434"/>
        <v>18</v>
      </c>
      <c r="HE589" s="1034">
        <f t="shared" si="434"/>
        <v>17</v>
      </c>
      <c r="HF589" s="1034">
        <f t="shared" si="434"/>
        <v>16</v>
      </c>
      <c r="HG589" s="1034">
        <f t="shared" si="434"/>
        <v>0</v>
      </c>
      <c r="HH589" s="1034">
        <f t="shared" si="434"/>
        <v>0</v>
      </c>
      <c r="HI589" s="1034">
        <f>IF(HI587=TRUE,0,HI$16)</f>
        <v>13</v>
      </c>
      <c r="HJ589" s="1034">
        <f t="shared" ref="HJ589:HL589" si="435">IF(HJ587=TRUE,0,HJ$16)</f>
        <v>12</v>
      </c>
      <c r="HK589" s="1034">
        <f t="shared" si="435"/>
        <v>11</v>
      </c>
      <c r="HL589" s="1034">
        <f t="shared" si="435"/>
        <v>10</v>
      </c>
      <c r="HM589" s="1034">
        <f>IF(HM587=TRUE,0,HM$16)</f>
        <v>9</v>
      </c>
      <c r="HN589" s="1034">
        <f t="shared" ref="HN589:HR589" si="436">IF(HN587=TRUE,0,HN$16)</f>
        <v>0</v>
      </c>
      <c r="HO589" s="1034">
        <f t="shared" si="436"/>
        <v>0</v>
      </c>
      <c r="HP589" s="1034">
        <f t="shared" si="436"/>
        <v>0</v>
      </c>
      <c r="HQ589" s="1034">
        <f t="shared" si="436"/>
        <v>0</v>
      </c>
      <c r="HR589" s="1034">
        <f t="shared" si="436"/>
        <v>0</v>
      </c>
      <c r="HS589" s="1034">
        <f>IF(HS587=TRUE,0,HS$16)</f>
        <v>0</v>
      </c>
      <c r="HT589" s="1034">
        <f t="shared" ref="HT589" si="437">IF(HT587=TRUE,0,HT$16)</f>
        <v>0</v>
      </c>
      <c r="HU589" s="1034">
        <f>IF(HU587=TRUE,0,HU$16)</f>
        <v>1</v>
      </c>
      <c r="HW589" s="1034">
        <f>IF(GL587=FALSE,GL589,IF(GM587=FALSE,GM589,MAX(GJ589:HU589)))</f>
        <v>36</v>
      </c>
      <c r="HX589" s="1383"/>
      <c r="HY589" s="241" t="str">
        <f>VLOOKUP(HW589,_Error_Table,3,FALSE)</f>
        <v xml:space="preserve"> </v>
      </c>
      <c r="HZ589" s="241"/>
      <c r="IA589" s="1386"/>
      <c r="IB589" s="1380"/>
      <c r="IC589" s="1379"/>
      <c r="IF589" s="1380"/>
      <c r="IG589" s="1383"/>
      <c r="IH589" s="1383"/>
      <c r="II589" s="1383"/>
      <c r="IK589" s="1351"/>
      <c r="IL589" s="1351"/>
      <c r="IM589" s="1351"/>
      <c r="IN589" s="1351"/>
      <c r="IO589" s="1351"/>
      <c r="IP589" s="1351"/>
    </row>
    <row r="590" spans="1:250" s="82" customFormat="1" ht="5.0999999999999996" customHeight="1" thickBot="1">
      <c r="B590" s="763"/>
      <c r="C590" s="1038"/>
      <c r="D590" s="1038"/>
      <c r="E590" s="1490"/>
      <c r="F590" s="1490"/>
      <c r="G590" s="1490"/>
      <c r="H590" s="1490"/>
      <c r="I590" s="1490"/>
      <c r="J590" s="1490"/>
      <c r="K590" s="1490"/>
      <c r="L590" s="1490"/>
      <c r="M590" s="1490"/>
      <c r="N590" s="1490"/>
      <c r="O590" s="1490"/>
      <c r="P590" s="1490"/>
      <c r="Q590" s="1490"/>
      <c r="R590" s="1490"/>
      <c r="S590" s="1490"/>
      <c r="T590" s="1490"/>
      <c r="U590" s="1490"/>
      <c r="V590" s="1490"/>
      <c r="W590" s="1490"/>
      <c r="X590" s="1490"/>
      <c r="Y590" s="1490"/>
      <c r="Z590" s="1490"/>
      <c r="AA590" s="1490"/>
      <c r="AB590" s="1490"/>
      <c r="AC590" s="1490"/>
      <c r="AD590" s="1490"/>
      <c r="AE590" s="1490"/>
      <c r="AF590" s="1490"/>
      <c r="AG590" s="1490"/>
      <c r="AH590" s="1490"/>
      <c r="AI590" s="1490"/>
      <c r="AJ590" s="1490"/>
      <c r="AK590" s="1490"/>
      <c r="AL590" s="1490"/>
      <c r="AM590" s="1490"/>
      <c r="AN590" s="1490"/>
      <c r="AO590" s="1490"/>
      <c r="AP590" s="1490"/>
      <c r="AQ590" s="1490"/>
      <c r="AR590" s="1490"/>
      <c r="AS590" s="1490"/>
      <c r="AT590" s="1490"/>
      <c r="AU590" s="1041"/>
      <c r="BC590" s="38"/>
      <c r="BD590" s="38"/>
      <c r="BE590" s="38"/>
      <c r="BF590" s="38"/>
      <c r="BG590" s="38"/>
      <c r="BH590" s="38"/>
      <c r="BI590" s="38"/>
      <c r="BJ590" s="38"/>
      <c r="BK590" s="38"/>
      <c r="BL590" s="38"/>
      <c r="BM590" s="38"/>
      <c r="BN590" s="38"/>
      <c r="BO590" s="38"/>
      <c r="BP590" s="38"/>
      <c r="BQ590" s="38"/>
      <c r="BR590" s="38"/>
      <c r="BS590" s="38"/>
      <c r="BT590" s="38"/>
      <c r="BU590" s="38"/>
      <c r="BV590" s="38"/>
      <c r="BW590" s="38"/>
      <c r="BX590" s="38"/>
      <c r="BY590" s="38"/>
      <c r="BZ590" s="38"/>
      <c r="CA590" s="38"/>
      <c r="CB590" s="38"/>
      <c r="CC590" s="38"/>
      <c r="CD590" s="38"/>
      <c r="CE590" s="38"/>
      <c r="CF590" s="38"/>
      <c r="CG590" s="38"/>
      <c r="CH590" s="38"/>
      <c r="CI590" s="38"/>
      <c r="CM590" s="749"/>
      <c r="CN590" s="749"/>
      <c r="CO590" s="1043"/>
      <c r="CP590" s="749"/>
      <c r="CS590" s="436"/>
      <c r="CT590" s="436"/>
      <c r="CU590" s="243"/>
      <c r="CV590" s="244"/>
      <c r="CW590" s="244"/>
      <c r="CX590" s="244"/>
      <c r="CY590" s="245"/>
      <c r="CZ590" s="245"/>
      <c r="DA590" s="245"/>
      <c r="DC590" s="750"/>
      <c r="DD590" s="751"/>
      <c r="DE590" s="752"/>
      <c r="DF590" s="753"/>
      <c r="DG590" s="754"/>
      <c r="DH590" s="754"/>
      <c r="DK590" s="244"/>
      <c r="DL590" s="750"/>
      <c r="DN590" s="750"/>
      <c r="DO590" s="755"/>
      <c r="DP590" s="436"/>
      <c r="DQ590" s="750"/>
      <c r="DR590" s="750"/>
      <c r="DS590" s="750"/>
      <c r="DU590" s="750"/>
      <c r="DV590" s="750"/>
      <c r="DW590" s="750"/>
      <c r="DX590" s="750"/>
      <c r="DZ590" s="756"/>
      <c r="EA590" s="756"/>
      <c r="EC590" s="754"/>
      <c r="ED590" s="754"/>
      <c r="EE590" s="244"/>
      <c r="EF590" s="754"/>
      <c r="EG590" s="754"/>
      <c r="EH590" s="243"/>
      <c r="EI590" s="243"/>
      <c r="EJ590" s="752"/>
      <c r="EK590" s="757"/>
      <c r="EL590" s="757"/>
      <c r="EM590" s="758"/>
      <c r="EN590" s="758"/>
      <c r="EO590" s="752"/>
      <c r="EP590" s="752"/>
      <c r="EQ590" s="752"/>
      <c r="ES590" s="750"/>
      <c r="EU590" s="436"/>
      <c r="EV590" s="436"/>
      <c r="EW590" s="436"/>
      <c r="EX590" s="436"/>
      <c r="EY590" s="436"/>
      <c r="EZ590" s="436"/>
      <c r="FB590" s="643"/>
      <c r="FD590" s="436"/>
      <c r="FE590" s="436"/>
      <c r="FF590" s="436"/>
      <c r="FO590" s="750"/>
      <c r="FP590" s="436"/>
      <c r="FQ590" s="436"/>
      <c r="FR590" s="750"/>
      <c r="FS590" s="750"/>
      <c r="FW590" s="749"/>
      <c r="FX590" s="749"/>
      <c r="FY590" s="749"/>
      <c r="FZ590" s="749"/>
      <c r="GA590" s="749"/>
      <c r="GB590" s="749"/>
      <c r="GC590" s="749"/>
      <c r="GD590" s="749"/>
      <c r="GE590" s="751"/>
      <c r="GF590" s="750"/>
      <c r="GG590" s="750"/>
    </row>
    <row r="591" spans="1:250" s="82" customFormat="1" ht="14.95" customHeight="1" thickTop="1" thickBot="1">
      <c r="B591" s="1421" t="str">
        <f>HY594</f>
        <v xml:space="preserve"> </v>
      </c>
      <c r="C591" s="1422">
        <f>C586+1</f>
        <v>107</v>
      </c>
      <c r="D591" s="1423"/>
      <c r="E591" s="1424" t="s">
        <v>242</v>
      </c>
      <c r="F591" s="1425"/>
      <c r="G591" s="1426"/>
      <c r="H591" s="1427"/>
      <c r="I591" s="1427"/>
      <c r="J591" s="1427"/>
      <c r="K591" s="1427"/>
      <c r="L591" s="1427"/>
      <c r="M591" s="1427"/>
      <c r="N591" s="1427"/>
      <c r="O591" s="1427"/>
      <c r="P591" s="1427"/>
      <c r="Q591" s="1427"/>
      <c r="R591" s="1427"/>
      <c r="S591" s="1428" t="s">
        <v>283</v>
      </c>
      <c r="T591" s="668" t="s">
        <v>190</v>
      </c>
      <c r="U591" s="1430" t="s">
        <v>186</v>
      </c>
      <c r="V591" s="1431"/>
      <c r="W591" s="1431"/>
      <c r="X591" s="1431"/>
      <c r="Y591" s="1431"/>
      <c r="Z591" s="1431"/>
      <c r="AA591" s="1431"/>
      <c r="AB591" s="1088" t="str">
        <f>IFERROR(IF(__Retrofit_TI_NC=0,VLOOKUP(U592,Fixtures_Existing_List,2,FALSE),ROUND(N593*R593/T593,10)),"")</f>
        <v/>
      </c>
      <c r="AC591" s="1039" t="str">
        <f>IFERROR(IF(__Retrofit_TI_NC=0,ROUND(T592*AB591*N592*R592/1000,0),IF(CN591="Interior",N593*R593*R592*N592*_C406_reduction/1000,N593*R593*R592*N592/1000)),"")</f>
        <v/>
      </c>
      <c r="AD591" s="1040" t="str">
        <f>IFERROR(IF(C$36=0,ROUND(T592*AB591/1000,2),N593*R593/1000),"")</f>
        <v/>
      </c>
      <c r="AE591" s="1044" t="s">
        <v>190</v>
      </c>
      <c r="AF591" s="1432" t="str">
        <f>IF(__Retrofit_TI_NC=2,CONCATENATE("Code min = ",DD591),IF(__Retrofit_TI_NC=1,"Emter what you think the existing control was"," Control"))</f>
        <v xml:space="preserve"> Control</v>
      </c>
      <c r="AG591" s="1432"/>
      <c r="AH591" s="1432"/>
      <c r="AI591" s="1432"/>
      <c r="AJ591" s="1433">
        <f>DF591</f>
        <v>0</v>
      </c>
      <c r="AK591" s="1435" t="str">
        <f>IFERROR(ROUND(AJ591*AC591,0),"")</f>
        <v/>
      </c>
      <c r="AL591" s="1437">
        <f>IFERROR(IF(HW591=FALSE,0,AC591-AK591),0)</f>
        <v>0</v>
      </c>
      <c r="AM591" s="1439">
        <f>AL591-AL593</f>
        <v>0</v>
      </c>
      <c r="AN591" s="1440"/>
      <c r="AO591" s="1445">
        <f>IFERROR(IF(HW591=FALSE,0,(T593*U594)+(AE593*AF594)),0)</f>
        <v>0</v>
      </c>
      <c r="AP591" s="1445"/>
      <c r="AQ591" s="1446"/>
      <c r="AR591" s="1451" t="s">
        <v>157</v>
      </c>
      <c r="AS591" s="1454">
        <f>IF(AR591="Yes",1,0)</f>
        <v>1</v>
      </c>
      <c r="AT591" s="1457" t="str">
        <f>IF(OR(DN591=4,DN591=5,DN591=6,DN591=12),CONCATENATE("$",IF(GD591=TRUE,Lookup!$B$11,Lookup!$B$2)," /lamp"),CONCATENATE(EA591,"/ kWh"))</f>
        <v>0/ kWh</v>
      </c>
      <c r="AU591" s="516"/>
      <c r="AV591" s="1478">
        <f>IFERROR(IF(GI592=TRUE,(AB594*T593)/R593,0),"NA")</f>
        <v>0</v>
      </c>
      <c r="AW591" s="1478" t="str">
        <f>IFERROR(N593*_C406_reduction,"NA")</f>
        <v>NA</v>
      </c>
      <c r="BC591" s="38"/>
      <c r="BD591" s="38"/>
      <c r="BE591" s="38"/>
      <c r="BF591" s="38"/>
      <c r="BG591" s="38"/>
      <c r="BH591" s="38"/>
      <c r="BI591" s="38"/>
      <c r="BJ591" s="38"/>
      <c r="BK591" s="38"/>
      <c r="BL591" s="38"/>
      <c r="BM591" s="38"/>
      <c r="BN591" s="38"/>
      <c r="BO591" s="38"/>
      <c r="BP591" s="38"/>
      <c r="BQ591" s="38"/>
      <c r="BR591" s="38"/>
      <c r="BS591" s="38"/>
      <c r="BT591" s="38"/>
      <c r="BU591" s="38"/>
      <c r="BV591" s="38"/>
      <c r="BW591" s="38"/>
      <c r="BX591" s="38"/>
      <c r="BY591" s="38"/>
      <c r="BZ591" s="38"/>
      <c r="CA591" s="38"/>
      <c r="CB591" s="38"/>
      <c r="CC591" s="38"/>
      <c r="CD591" s="38"/>
      <c r="CE591" s="38"/>
      <c r="CF591" s="38"/>
      <c r="CG591" s="38"/>
      <c r="CH591" s="38"/>
      <c r="CI591" s="38"/>
      <c r="CM591" s="1352" t="str">
        <f>N592</f>
        <v/>
      </c>
      <c r="CN591" s="1352" t="str">
        <f>IFERROR(VLOOKUP(G592,_Lookup_Heat_Type_Table_New,3,FALSE),"")</f>
        <v/>
      </c>
      <c r="CO591" s="1415" t="str">
        <f>CN591</f>
        <v/>
      </c>
      <c r="CP591" s="1417" t="e">
        <f>VLOOKUP(G593,'Space Table'!$B$3:$L$160,9,FALSE)</f>
        <v>#N/A</v>
      </c>
      <c r="CR591" s="1386" t="s">
        <v>283</v>
      </c>
      <c r="CS591" s="1353">
        <f>IF(HW591=TRUE,T592,0)</f>
        <v>0</v>
      </c>
      <c r="CT591" s="1353" t="str">
        <f>IF(HW591=TRUE,U592,"")</f>
        <v/>
      </c>
      <c r="CU591" s="1353"/>
      <c r="CV591" s="1370">
        <f>IF(HW591=TRUE,AB591,0)</f>
        <v>0</v>
      </c>
      <c r="CW591" s="1370">
        <f>IF(HW591=TRUE,AC591,0)</f>
        <v>0</v>
      </c>
      <c r="CX591" s="1370">
        <f>IFERROR(IF(HW591=TRUE,CW591-CW593,0),0)</f>
        <v>0</v>
      </c>
      <c r="CY591" s="1485">
        <f>IF(HW591=TRUE,AD591,0)</f>
        <v>0</v>
      </c>
      <c r="CZ591" s="1485">
        <f>IF(HW591=TRUE,AD594,0)</f>
        <v>0</v>
      </c>
      <c r="DA591" s="1485">
        <f>IFERROR(CY591-CZ591,0)</f>
        <v>0</v>
      </c>
      <c r="DC591" s="1353">
        <f>IF(HW591=TRUE,AE592,0)</f>
        <v>0</v>
      </c>
      <c r="DD591" s="1460">
        <f>IF(__Retrofit_TI_NC=2,IF(CN591="Exterior",O594,FM591),FK591)</f>
        <v>0</v>
      </c>
      <c r="DE591" s="1353"/>
      <c r="DF591" s="1406">
        <f>IFERROR(IF(FL591=3,IK591,IF(FL591=4,IL591,IF(FL591=5,IM591,IF(FL591=6,IN591,IF(FL591=7,IO591,IF(FL591=8,IP591,0)))))),0)</f>
        <v>0</v>
      </c>
      <c r="DG591" s="1370">
        <f>IF(HW591=TRUE,AK591,0)</f>
        <v>0</v>
      </c>
      <c r="DH591" s="1369">
        <f>IFERROR(IF(HW591=TRUE,DG593-DG591,0),0)</f>
        <v>0</v>
      </c>
      <c r="DJ591" s="1483">
        <f>IFERROR(CW591-DG591,0)</f>
        <v>0</v>
      </c>
      <c r="DL591" s="1419">
        <f>DJ591-DK593</f>
        <v>0</v>
      </c>
      <c r="DN591" s="1403" t="str">
        <f>IFERROR(IF(AND(OR(FY591=4,FY591=5,FY591=6),OR(GB591=4,GB591=5,GB591=6)),FY591+8,VLOOKUP(CT593,Fixtures!R$31:Y$78,8,FALSE)),"")</f>
        <v/>
      </c>
      <c r="DO591" s="1404" t="str">
        <f>DN591</f>
        <v/>
      </c>
      <c r="DP591" s="1353" t="str">
        <f>IFERROR(VLOOKUP(DD593,Lookup!AU$3:AV$15,2,FALSE),"")</f>
        <v/>
      </c>
      <c r="DQ591" s="1404" t="str">
        <f>IF(DP591=7,"LLLC","")</f>
        <v/>
      </c>
      <c r="DR591" s="1403">
        <f>IFERROR(IF(OR(DN591=4,DN591=5,DN591=6,DN591=12,DN591=13,DN591=14),VLOOKUP(CT593,Fixtures!DN$27:EG$77,19,FALSE),1)*CS593,0)</f>
        <v>0</v>
      </c>
      <c r="DS591" s="1489">
        <f>IF(DP591=7,IF(DD591=DD593,0,DC593),0)</f>
        <v>0</v>
      </c>
      <c r="DU591" s="1403" t="str">
        <f>IFERROR(IF(EW591&lt;EW593,"Yes","No"),"")</f>
        <v/>
      </c>
      <c r="DV591" s="1404" t="str">
        <f>DU591</f>
        <v/>
      </c>
      <c r="DW591" s="1403">
        <f>IF(DU591="Yes",DC593,0)</f>
        <v>0</v>
      </c>
      <c r="DX591" s="1403">
        <f>DW591-DS591</f>
        <v>0</v>
      </c>
      <c r="DZ591" s="1481">
        <f>IFERROR(VLOOKUP(DN591,Lookup!AN$3:AO$16,2,FALSE),0)</f>
        <v>0</v>
      </c>
      <c r="EA591" s="1481">
        <f>IF(HW591=FALSE,0,IF(DU591="Yes",DZ591+Lookup!B$6,DZ591))</f>
        <v>0</v>
      </c>
      <c r="EC591" s="1482">
        <f>IF(HW591=TRUE,DJ591,0)</f>
        <v>0</v>
      </c>
      <c r="ED591" s="1369">
        <f>IF(HW591=TRUE,CW593,0)</f>
        <v>0</v>
      </c>
      <c r="EE591" s="1370">
        <f>IFERROR(EC591-ED591,0)</f>
        <v>0</v>
      </c>
      <c r="EF591" s="1369">
        <f>IF(HW591=TRUE,DG593,0)</f>
        <v>0</v>
      </c>
      <c r="EG591" s="1369">
        <f>IFERROR(EC591-ED591+EF591,0)</f>
        <v>0</v>
      </c>
      <c r="EH591" s="1373">
        <f>IF(HW591=TRUE,CS593*CU593,0)</f>
        <v>0</v>
      </c>
      <c r="EI591" s="1373">
        <f>IF(HW591=TRUE,DC593*DE593,0)</f>
        <v>0</v>
      </c>
      <c r="EJ591" s="1363">
        <f>AO591</f>
        <v>0</v>
      </c>
      <c r="EK591" s="1376" t="str">
        <f>IFERROR(IF(HW591=TRUE,VLOOKUP(DN591,Lookup!AN$3:AP$16,3,FALSE)*DR591,""),0)</f>
        <v/>
      </c>
      <c r="EL591" s="1376">
        <f>IF(HW591=TRUE,DW591*Lookup!AP$12,0)</f>
        <v>0</v>
      </c>
      <c r="EM591" s="1362">
        <f>IFERROR(IF(HW591=TRUE,EK591/EM$33,0),0)</f>
        <v>0</v>
      </c>
      <c r="EN591" s="1362">
        <f>IF(HW591=TRUE,EL591/EN$33,0)</f>
        <v>0</v>
      </c>
      <c r="EO591" s="1363">
        <f>IF(HW591=TRUE,EQ$33*EM591,0)</f>
        <v>0</v>
      </c>
      <c r="EP591" s="1363">
        <f>IF(HW591=TRUE,EQ$33*EN591,0)</f>
        <v>0</v>
      </c>
      <c r="EQ591" s="1363">
        <f>EO591+EP591</f>
        <v>0</v>
      </c>
      <c r="ES591" s="1403">
        <f>IF(G591="",0,1)</f>
        <v>0</v>
      </c>
      <c r="EU591" s="1410" t="e">
        <f>VLOOKUP(CP593,'Space Table'!$B$3:$L$160,8,FALSE)</f>
        <v>#N/A</v>
      </c>
      <c r="EV591" s="1410" t="e">
        <f>IF(EY591="Yes",VLOOKUP(DD591,Lookup_Control_Type_Table2,4,FALSE),VLOOKUP(DD591,Lookup_Control_Type_Table2,3,FALSE))</f>
        <v>#N/A</v>
      </c>
      <c r="EW591" s="1410" t="e">
        <f>VLOOKUP(DD591,Lookup!AU$3:AV$15,2,FALSE)</f>
        <v>#N/A</v>
      </c>
      <c r="EX591" s="1410" t="e">
        <f>VLOOKUP(EU591,Lookup_Control_Type_Table,2,FALSE)</f>
        <v>#N/A</v>
      </c>
      <c r="EY591" s="1410" t="e">
        <f>VLOOKUP(CP593,'Space Table'!$B$3:$L$160,7,FALSE)</f>
        <v>#N/A</v>
      </c>
      <c r="EZ591" s="1412" t="b">
        <f>ISNUMBER(SEARCH("TLED",U593))</f>
        <v>0</v>
      </c>
      <c r="FB591" s="1365" t="str">
        <f>CONCATENATE(CN591," - ",DD591)</f>
        <v xml:space="preserve"> - 0</v>
      </c>
      <c r="FD591" s="1353" t="str">
        <f>VLOOKUP(CT593,Fixtures!DN$27:EZ$77,38,FALSE)</f>
        <v/>
      </c>
      <c r="FE591" s="1353">
        <f>IFERROR(FD591*EE591,0)</f>
        <v>0</v>
      </c>
      <c r="FF591" s="138"/>
      <c r="FI591" s="1356" t="str">
        <f>IF(CN591="Exterior","Not Daylighted",G594)</f>
        <v>Not Daylighted</v>
      </c>
      <c r="FJ591" s="1356">
        <f>VLOOKUP(FI591,_Daylight_Table_Codes,2,FALSE)</f>
        <v>0</v>
      </c>
      <c r="FK591" s="1365">
        <f>IF(__Retrofit_TI_NC=2,VLOOKUP(G593,'Space Table'!$B$3:$L$160,11,FALSE),AF592)</f>
        <v>0</v>
      </c>
      <c r="FL591" s="1365" t="e">
        <f>VLOOKUP(FK591,_Control_Table,2,FALSE)</f>
        <v>#N/A</v>
      </c>
      <c r="FM591" s="1365" t="e">
        <f>IF(AND(FP591&gt;0,FK591="Occupancy Sensor"),"Daylight + Occupancy",IF(AND(FP591&gt;0,FL591&lt;4),"Interior Daylight Dimming",FK591))</f>
        <v>#N/A</v>
      </c>
      <c r="FO591" s="1364">
        <f>IF(CO591="Interior",VLOOKUP(CP591,Control_Savings_Interior,5,FALSE),0)</f>
        <v>0</v>
      </c>
      <c r="FP591" s="1361">
        <f>IF(CN591="Exterior",0,IF(FJ591=2,0.5,IF(OR(FJ591=1,FJ591=3),1,0)))</f>
        <v>0</v>
      </c>
      <c r="FQ591" s="1366"/>
      <c r="FR591" s="1367"/>
      <c r="FS591" s="1364"/>
      <c r="FT591" s="1367"/>
      <c r="FU591" s="1360"/>
      <c r="FW591" s="1352" t="str">
        <f>IFERROR(VLOOKUP(U592,_Exist_Fixture_Table,3,FALSE),"")</f>
        <v/>
      </c>
      <c r="FX591" s="1352" t="str">
        <f>VLOOKUP(CT591,_Exist_Fixture_Table,4,FALSE)</f>
        <v/>
      </c>
      <c r="FY591" s="1352">
        <f>IFERROR(VLOOKUP(FX591,Lookup!AM$6:AN$8,2,FALSE),0)</f>
        <v>0</v>
      </c>
      <c r="FZ591" s="1352" t="b">
        <f>IFERROR(IF(OR(GB591=4,GB591=5,GB591=6),TRUE,FALSE),"")</f>
        <v>0</v>
      </c>
      <c r="GA591" s="1352" t="str">
        <f>IFERROR(VLOOKUP(GB591,FY$6:FZ$10,2,FALSE),"")</f>
        <v/>
      </c>
      <c r="GB591" s="1352" t="str">
        <f>VLOOKUP(CT593,Fixtures!R$31:Y$78,8,FALSE)</f>
        <v/>
      </c>
      <c r="GC591" s="1352">
        <f>IF(AND(FW591=TRUE,FZ591=TRUE,OR(DN591=12,DN591=13,DN591=14)),FY591+8,0)</f>
        <v>0</v>
      </c>
      <c r="GD591" s="1352" t="b">
        <f>IF(OR(GC591=12,GC591=13,GC591=14),TRUE,FALSE)</f>
        <v>0</v>
      </c>
      <c r="GE591" s="759" t="b">
        <f>IF(ISNUMBER(SEARCH("TLED",U592)),TRUE,FALSE)</f>
        <v>0</v>
      </c>
      <c r="GF591" s="1035" t="str">
        <f>IFERROR(VLOOKUP(U592,Fixtures!BM$93:BR$142,6,FALSE),"")</f>
        <v/>
      </c>
      <c r="GG591" s="1385" t="b">
        <f>IF(OR(GE591=FALSE,GE593=FALSE),TRUE,IF(GF591-GF593&lt;5,FALSE,TRUE))</f>
        <v>1</v>
      </c>
      <c r="GK591" s="1034">
        <f>GL591</f>
        <v>0</v>
      </c>
      <c r="GL591" s="1034">
        <f>IF(G591="",0,1)</f>
        <v>0</v>
      </c>
      <c r="GM591" s="1034">
        <f>SUM(GN591:HB591)</f>
        <v>2</v>
      </c>
      <c r="GN591" s="1034">
        <f>IF(G592="",0,1)</f>
        <v>0</v>
      </c>
      <c r="GO591" s="1034">
        <f>IF(G593="",0,1)</f>
        <v>0</v>
      </c>
      <c r="GP591" s="1034">
        <f>IF(R592="",0,1)</f>
        <v>0</v>
      </c>
      <c r="GQ591" s="1034">
        <f>IF(__Retrofit_TI_NC=0,1,IF(R593="",0,1))</f>
        <v>1</v>
      </c>
      <c r="GR591" s="1034">
        <f>IF(CN591="Exterior",1,IF(G594="",0,1))</f>
        <v>1</v>
      </c>
      <c r="GS591" s="1034">
        <f>IF(__Retrofit_TI_NC&lt;&gt;0,1,IF(T592="",0,1))</f>
        <v>0</v>
      </c>
      <c r="GT591" s="1034">
        <f>IF(__Retrofit_TI_NC&lt;&gt;0,1,IF(U592="",0,1))</f>
        <v>0</v>
      </c>
      <c r="GU591" s="1034">
        <f>IF(T593="",0,1)</f>
        <v>0</v>
      </c>
      <c r="GV591" s="1034">
        <f>IF(U593="",0,1)</f>
        <v>0</v>
      </c>
      <c r="GW591" s="1034">
        <f>IF(__Retrofit_TI_NC=2,1,IF(U594="",0,1))</f>
        <v>0</v>
      </c>
      <c r="GX591" s="1034">
        <f>IF(__Retrofit_TI_NC&lt;&gt;0,1,IF(AE592="",0,1))</f>
        <v>0</v>
      </c>
      <c r="GY591" s="1034">
        <f>IF(__Retrofit_TI_NC&lt;&gt;0,1,IF(AF592="",0,1))</f>
        <v>0</v>
      </c>
      <c r="GZ591" s="1034">
        <f>IF(AE593="",0,1)</f>
        <v>0</v>
      </c>
      <c r="HA591" s="1034">
        <f>IF(AF593="",0,1)</f>
        <v>0</v>
      </c>
      <c r="HB591" s="1034">
        <f>IF(__Retrofit_TI_NC=2,1,IF(AF594="",0,1))</f>
        <v>0</v>
      </c>
      <c r="HV591" s="436"/>
      <c r="HW591" s="1384" t="b">
        <f>IF(OR(HW594=0,HW594=HT$16,HW594=HS$16,HW594=HU$16),TRUE,FALSE)</f>
        <v>0</v>
      </c>
      <c r="HX591" s="1377" t="b">
        <f>HW591</f>
        <v>0</v>
      </c>
      <c r="HY591" s="436"/>
      <c r="HZ591" s="436"/>
      <c r="IA591" s="1386" t="b">
        <f>IF(MAX(GJ594:HP594)&gt;5,FALSE,TRUE)</f>
        <v>0</v>
      </c>
      <c r="IB591" s="1380">
        <f>IF(IA591=TRUE,AC591,0)</f>
        <v>0</v>
      </c>
      <c r="IC591" s="1380">
        <f>IB591-IB593</f>
        <v>0</v>
      </c>
      <c r="IF591" s="1380" t="e">
        <f>ROUND(T592*VLOOKUP(U592,Fixtures_Existing_List,2,FALSE)*N592*R592/1000,0)</f>
        <v>#N/A</v>
      </c>
      <c r="IG591" s="1381" t="e">
        <f>IF591-IF593</f>
        <v>#N/A</v>
      </c>
      <c r="IH591" s="1384" t="e">
        <f>ROUND(IF(CN591="Interior",N593*R593*R592*N592*_C406_reduction/1000,N593*R593*R592*N592/1000),0)</f>
        <v>#N/A</v>
      </c>
      <c r="II591" s="1384" t="e">
        <f>IH591-IH593</f>
        <v>#N/A</v>
      </c>
      <c r="IK591" s="1351" t="e">
        <f>IF($CO591="interior",IL591/2,VLOOKUP($CP591,Control_Savings_Exterior,IK$30,FALSE))</f>
        <v>#N/A</v>
      </c>
      <c r="IL591" s="1351" t="e">
        <f>IF($CO591="interior",VLOOKUP($CP591,Control_Savings_Interior,IL$30,FALSE),VLOOKUP($CP591,Control_Savings_Exterior,IL$30,FALSE))</f>
        <v>#N/A</v>
      </c>
      <c r="IM591" s="1351" t="e">
        <f>IF($CO591="interior",IF(R592&gt;FO$37,(IM$28*(FO$37/R592)),IM$28)*FP591,VLOOKUP($CP591,Control_Savings_Exterior,IM$30,FALSE))</f>
        <v>#N/A</v>
      </c>
      <c r="IN591" s="1351" t="e">
        <f>IF($CO591="interior",ROUND(((1-IL591)*IM591)+IL591,2),VLOOKUP($CP591,Control_Savings_Exterior,IN$30,FALSE))</f>
        <v>#N/A</v>
      </c>
      <c r="IO591" s="1351" t="e">
        <f>IF($CO591="interior", ROUND(((1-IL591)*(IM591*(1-IP$28)))+IP591,2), VLOOKUP($CP591,Control_Savings_Exterior,IO$30,FALSE))</f>
        <v>#N/A</v>
      </c>
      <c r="IP591" s="1351">
        <f>IF($CO591="interior",ROUND(((1-IL591)*IP$28)+IL591,2),0)</f>
        <v>0</v>
      </c>
    </row>
    <row r="592" spans="1:250" s="82" customFormat="1" ht="14.95" customHeight="1" thickTop="1" thickBot="1">
      <c r="B592" s="1421"/>
      <c r="C592" s="1422"/>
      <c r="D592" s="1423"/>
      <c r="E592" s="1393" t="s">
        <v>244</v>
      </c>
      <c r="F592" s="1394"/>
      <c r="G592" s="1395"/>
      <c r="H592" s="1395"/>
      <c r="I592" s="1395"/>
      <c r="J592" s="1395"/>
      <c r="K592" s="1395"/>
      <c r="L592" s="1395"/>
      <c r="M592" s="509" t="e">
        <f>IF(__Retrofit_TI_NC&lt;&gt;0,IF(VLOOKUP(G593,'Space Table'!$B$3:$L$160,3,FALSE)&gt;0,1,0),IF(__Retrofit_TI_NC=VLOOKUP(G593,'Space Table'!$B$3:$L$160,3,FALSE),1,0))</f>
        <v>#N/A</v>
      </c>
      <c r="N592" s="509" t="str">
        <f>IFERROR(VLOOKUP(G592,_Lookup_Heat_Type_Table_New,2,FALSE),"")</f>
        <v/>
      </c>
      <c r="O592" s="509">
        <f>IF(__Retrofit_TI_NC=1,CONCATENATE("TI ",G592),IF(__Retrofit_TI_NC=2,CONCATENATE("NC ",G592),G592))</f>
        <v>0</v>
      </c>
      <c r="P592" s="1396" t="s">
        <v>352</v>
      </c>
      <c r="Q592" s="1396"/>
      <c r="R592" s="673"/>
      <c r="S592" s="1429"/>
      <c r="T592" s="675"/>
      <c r="U592" s="1496"/>
      <c r="V592" s="1497"/>
      <c r="W592" s="1497"/>
      <c r="X592" s="1497"/>
      <c r="Y592" s="1497"/>
      <c r="Z592" s="1497"/>
      <c r="AA592" s="1497"/>
      <c r="AB592" s="1497"/>
      <c r="AC592" s="1497"/>
      <c r="AD592" s="1498"/>
      <c r="AE592" s="675"/>
      <c r="AF592" s="1397"/>
      <c r="AG592" s="1397"/>
      <c r="AH592" s="1397"/>
      <c r="AI592" s="1397"/>
      <c r="AJ592" s="1434"/>
      <c r="AK592" s="1436"/>
      <c r="AL592" s="1438"/>
      <c r="AM592" s="1441"/>
      <c r="AN592" s="1442"/>
      <c r="AO592" s="1447"/>
      <c r="AP592" s="1447"/>
      <c r="AQ592" s="1448"/>
      <c r="AR592" s="1452"/>
      <c r="AS592" s="1455"/>
      <c r="AT592" s="1458"/>
      <c r="AU592" s="516"/>
      <c r="AV592" s="1479"/>
      <c r="AW592" s="1479"/>
      <c r="BC592" s="38"/>
      <c r="BD592" s="38"/>
      <c r="BE592" s="38"/>
      <c r="BF592" s="38"/>
      <c r="BG592" s="38"/>
      <c r="BH592" s="38"/>
      <c r="BI592" s="38"/>
      <c r="BJ592" s="38"/>
      <c r="BK592" s="38"/>
      <c r="BL592" s="38"/>
      <c r="BM592" s="38"/>
      <c r="BN592" s="38"/>
      <c r="BO592" s="38"/>
      <c r="BP592" s="38"/>
      <c r="BQ592" s="38"/>
      <c r="BR592" s="38"/>
      <c r="BS592" s="38"/>
      <c r="BT592" s="38"/>
      <c r="BU592" s="38"/>
      <c r="BV592" s="38"/>
      <c r="BW592" s="38"/>
      <c r="BX592" s="38"/>
      <c r="BY592" s="38"/>
      <c r="BZ592" s="38"/>
      <c r="CA592" s="38"/>
      <c r="CB592" s="38"/>
      <c r="CC592" s="38"/>
      <c r="CD592" s="38"/>
      <c r="CE592" s="38"/>
      <c r="CF592" s="38"/>
      <c r="CG592" s="38"/>
      <c r="CH592" s="38"/>
      <c r="CI592" s="38"/>
      <c r="CM592" s="1352"/>
      <c r="CN592" s="1352"/>
      <c r="CO592" s="1416"/>
      <c r="CP592" s="1418"/>
      <c r="CR592" s="1386"/>
      <c r="CS592" s="1355"/>
      <c r="CT592" s="1355"/>
      <c r="CU592" s="1355"/>
      <c r="CV592" s="1372"/>
      <c r="CW592" s="1372"/>
      <c r="CX592" s="1371"/>
      <c r="CY592" s="1486"/>
      <c r="CZ592" s="1486"/>
      <c r="DA592" s="1486"/>
      <c r="DC592" s="1355"/>
      <c r="DD592" s="1461"/>
      <c r="DE592" s="1355"/>
      <c r="DF592" s="1407"/>
      <c r="DG592" s="1372"/>
      <c r="DH592" s="1369"/>
      <c r="DJ592" s="1484"/>
      <c r="DL592" s="1419"/>
      <c r="DN592" s="1403"/>
      <c r="DO592" s="1405"/>
      <c r="DP592" s="1354"/>
      <c r="DQ592" s="1405"/>
      <c r="DR592" s="1403"/>
      <c r="DS592" s="1489"/>
      <c r="DU592" s="1403"/>
      <c r="DV592" s="1405"/>
      <c r="DW592" s="1403"/>
      <c r="DX592" s="1403"/>
      <c r="DZ592" s="1481"/>
      <c r="EA592" s="1481"/>
      <c r="EC592" s="1482"/>
      <c r="ED592" s="1369"/>
      <c r="EE592" s="1371"/>
      <c r="EF592" s="1369"/>
      <c r="EG592" s="1369"/>
      <c r="EH592" s="1374"/>
      <c r="EI592" s="1374"/>
      <c r="EJ592" s="1363"/>
      <c r="EK592" s="1376"/>
      <c r="EL592" s="1376"/>
      <c r="EM592" s="1362"/>
      <c r="EN592" s="1362"/>
      <c r="EO592" s="1363"/>
      <c r="EP592" s="1363"/>
      <c r="EQ592" s="1363"/>
      <c r="ES592" s="1403"/>
      <c r="EU592" s="1411"/>
      <c r="EV592" s="1411"/>
      <c r="EW592" s="1411"/>
      <c r="EX592" s="1411"/>
      <c r="EY592" s="1411"/>
      <c r="EZ592" s="1413"/>
      <c r="FB592" s="1365"/>
      <c r="FD592" s="1354"/>
      <c r="FE592" s="1354"/>
      <c r="FF592" s="138"/>
      <c r="FI592" s="1357"/>
      <c r="FJ592" s="1357"/>
      <c r="FK592" s="1365"/>
      <c r="FL592" s="1365"/>
      <c r="FM592" s="1365"/>
      <c r="FO592" s="1361"/>
      <c r="FP592" s="1361"/>
      <c r="FQ592" s="1366"/>
      <c r="FR592" s="1368"/>
      <c r="FS592" s="1361"/>
      <c r="FT592" s="1368"/>
      <c r="FU592" s="1360"/>
      <c r="FW592" s="1352"/>
      <c r="FX592" s="1352"/>
      <c r="FY592" s="1352"/>
      <c r="FZ592" s="1352"/>
      <c r="GA592" s="1352"/>
      <c r="GB592" s="1352"/>
      <c r="GC592" s="1352"/>
      <c r="GD592" s="1352"/>
      <c r="GE592" s="759"/>
      <c r="GF592" s="1035"/>
      <c r="GG592" s="1385"/>
      <c r="GI592" s="1384" t="b">
        <f>IF(AND(GL592=TRUE,GM592=TRUE),TRUE,FALSE)</f>
        <v>0</v>
      </c>
      <c r="GJ592" s="1379" t="b">
        <f>IFERROR(IF(__Retrofit_TI_NC=2,TRUE,IF(AR591="Yes",TRUE,FALSE)),FALSE)</f>
        <v>1</v>
      </c>
      <c r="GL592" s="1379" t="b">
        <f>IFERROR(IF(GL591=1,TRUE,FALSE),FALSE)</f>
        <v>0</v>
      </c>
      <c r="GM592" s="1379" t="b">
        <f>IFERROR(IF(GM591=GM$14,TRUE,FALSE),FALSE)</f>
        <v>0</v>
      </c>
      <c r="HC592" s="1379" t="b">
        <f>IFERROR(IF(M592=1,TRUE,FALSE),FALSE)</f>
        <v>0</v>
      </c>
      <c r="HD592" s="1379" t="b">
        <f>IFERROR(IF(M593=1,TRUE,FALSE),FALSE)</f>
        <v>0</v>
      </c>
      <c r="HE592" s="1379" t="b">
        <f>IFERROR(IF(__Retrofit_TI_NC&lt;&gt;0,TRUE,IFERROR(IF(VLOOKUP(U592,Fixtures_Existing_List,2,FALSE)&lt;&gt;"",TRUE,FALSE),FALSE)),FALSE)</f>
        <v>0</v>
      </c>
      <c r="HF592" s="1379" t="b">
        <f>IFERROR(IF(VLOOKUP(U593,Fixtures_Proposed_List,2,FALSE)&lt;&gt;"",TRUE,FALSE),FALSE)</f>
        <v>0</v>
      </c>
      <c r="HG592" s="1379" t="b">
        <f>IF(AND(__Retrofit_TI_NC=2,EZ591=TRUE),FALSE,TRUE)</f>
        <v>1</v>
      </c>
      <c r="HH592" s="1379" t="b">
        <f>GG591</f>
        <v>1</v>
      </c>
      <c r="HI592" s="1384" t="b">
        <f>IF(ISERROR(MATCH(FB591,_Control_Match[],0))=TRUE,FALSE,TRUE)</f>
        <v>0</v>
      </c>
      <c r="HJ592" s="1384" t="b">
        <f>IFERROR(IF(EU591&lt;&gt;EV591,FALSE,TRUE),FALSE)</f>
        <v>0</v>
      </c>
      <c r="HK592" s="1384" t="b">
        <f>IFERROR(IF(EU593&lt;&gt;EV593,FALSE,TRUE),FALSE)</f>
        <v>0</v>
      </c>
      <c r="HL592" s="1379" t="b">
        <f>IFERROR(IF(CN591="Exterior",TRUE,IF(OR(AND(FJ591=0,EW593&gt;4),AND(FJ591=4,EW593&gt;4,EW593&lt;7)),FALSE,TRUE)),FALSE)</f>
        <v>0</v>
      </c>
      <c r="HM592" s="1379" t="b">
        <f>IFERROR(IF(AND(FL593=7,EZ591=TRUE),FALSE,TRUE),FALSE)</f>
        <v>0</v>
      </c>
      <c r="HN592" s="1379" t="b">
        <f>IFERROR(IF(AND(T593&lt;&gt;AE593,AF593="Interior LLLC")=TRUE,FALSE,TRUE),FALSE)</f>
        <v>1</v>
      </c>
      <c r="HO592" s="1379" t="b">
        <f>IFERROR(IF(OR(AF593=Lookup!AU$13,AF593=Lookup!AU$14)=TRUE,IF(AE593&gt;T593,FALSE,TRUE),TRUE),FALSE)</f>
        <v>1</v>
      </c>
      <c r="HP592" s="1379" t="b">
        <f>IFERROR(IF(__Retrofit_TI_NC=2,IF(EW593&lt;EW591,FALSE,TRUE),TRUE),FALSE)</f>
        <v>1</v>
      </c>
      <c r="HQ592" s="1379" t="b">
        <f>IF(CN591="Interior",IG$6,TRUE)</f>
        <v>1</v>
      </c>
      <c r="HR592" s="1379" t="b">
        <f>IF(CN591="Exterior",IG$8,TRUE)</f>
        <v>1</v>
      </c>
      <c r="HS592" s="1379" t="b">
        <f>IFERROR(IF(__Retrofit_TI_NC&lt;&gt;0,IF(AW591&lt;AV591,FALSE,TRUE),TRUE),FALSE)</f>
        <v>1</v>
      </c>
      <c r="HT592" s="1379" t="b">
        <f>IFERROR(IF(AND(G592="Exterior",R592&gt;4200),FALSE,TRUE),FALSE)</f>
        <v>1</v>
      </c>
      <c r="HU592" s="1379" t="b">
        <f>IFERROR(IF(AB594/AB591&lt;HU$18,FALSE,TRUE),FALSE)</f>
        <v>0</v>
      </c>
      <c r="HW592" s="1382"/>
      <c r="HX592" s="1378"/>
      <c r="HY592" s="1377" t="str">
        <f>VLOOKUP(HW594,_Error_Table,4,FALSE)</f>
        <v>White</v>
      </c>
      <c r="HZ592" s="436"/>
      <c r="IA592" s="1386"/>
      <c r="IB592" s="1380"/>
      <c r="IC592" s="1379"/>
      <c r="IF592" s="1380"/>
      <c r="IG592" s="1382"/>
      <c r="IH592" s="1382"/>
      <c r="II592" s="1382"/>
      <c r="IK592" s="1351"/>
      <c r="IL592" s="1351"/>
      <c r="IM592" s="1351"/>
      <c r="IN592" s="1351"/>
      <c r="IO592" s="1351"/>
      <c r="IP592" s="1351"/>
    </row>
    <row r="593" spans="1:250" s="82" customFormat="1" ht="14.95" customHeight="1" thickTop="1" thickBot="1">
      <c r="A593" s="82">
        <f>ROW()</f>
        <v>593</v>
      </c>
      <c r="B593" s="1421"/>
      <c r="C593" s="1422"/>
      <c r="D593" s="1423"/>
      <c r="E593" s="1393" t="s">
        <v>245</v>
      </c>
      <c r="F593" s="1394"/>
      <c r="G593" s="1398"/>
      <c r="H593" s="1399"/>
      <c r="I593" s="1399"/>
      <c r="J593" s="1399"/>
      <c r="K593" s="1399"/>
      <c r="L593" s="1400"/>
      <c r="M593" s="509">
        <f>IFERROR(IF(IF(__Retrofit_TI_NC&lt;&gt;0,IF(CN591="Interior",MATCH(G593,Lookup_Interior_New,0),MATCH(G593,Lookup_Exterior_New,0)),IF(CN591="Interior",MATCH(G593,Lookup_Interior,0),MATCH(G593,Lookup_Exterior_Areas,0)))&gt;0,1,0),0)</f>
        <v>0</v>
      </c>
      <c r="N593" s="509" t="e">
        <f>IF(__Retrofit_TI_NC=1,
VLOOKUP(G593,'Space Table'!$B$3:$L$160,4,FALSE),
IF(__Retrofit_TI_NC=2,VLOOKUP(G593,'Space Table'!$B$3:$L$160,5,FALSE),VLOOKUP(G593,'Space Table'!$B$3:$L$160,5,FALSE)))</f>
        <v>#N/A</v>
      </c>
      <c r="O593" s="509">
        <f>G593</f>
        <v>0</v>
      </c>
      <c r="P593" s="1394" t="s">
        <v>355</v>
      </c>
      <c r="Q593" s="1394"/>
      <c r="R593" s="674"/>
      <c r="S593" s="1401" t="s">
        <v>284</v>
      </c>
      <c r="T593" s="672"/>
      <c r="U593" s="1499"/>
      <c r="V593" s="1500"/>
      <c r="W593" s="1500"/>
      <c r="X593" s="1500"/>
      <c r="Y593" s="1500"/>
      <c r="Z593" s="1500"/>
      <c r="AA593" s="1500"/>
      <c r="AB593" s="1501"/>
      <c r="AC593" s="1501"/>
      <c r="AD593" s="1502"/>
      <c r="AE593" s="672"/>
      <c r="AF593" s="1474"/>
      <c r="AG593" s="1474"/>
      <c r="AH593" s="1474"/>
      <c r="AI593" s="1474"/>
      <c r="AJ593" s="1475">
        <f>DF593</f>
        <v>0</v>
      </c>
      <c r="AK593" s="1470" t="str">
        <f>IFERROR(ROUND(AJ593*AC594,0),"")</f>
        <v/>
      </c>
      <c r="AL593" s="1472">
        <f>IFERROR(IF(HW591=FALSE,0,AC594-AK593),0)</f>
        <v>0</v>
      </c>
      <c r="AM593" s="1441"/>
      <c r="AN593" s="1442"/>
      <c r="AO593" s="1447"/>
      <c r="AP593" s="1447"/>
      <c r="AQ593" s="1448"/>
      <c r="AR593" s="1452"/>
      <c r="AS593" s="1455"/>
      <c r="AT593" s="1458"/>
      <c r="AU593" s="516"/>
      <c r="AV593" s="1479"/>
      <c r="AW593" s="1479"/>
      <c r="BC593" s="38"/>
      <c r="BD593" s="38"/>
      <c r="BE593" s="38"/>
      <c r="BF593" s="38"/>
      <c r="BG593" s="38"/>
      <c r="BH593" s="38"/>
      <c r="BI593" s="38"/>
      <c r="BJ593" s="38"/>
      <c r="BK593" s="38"/>
      <c r="BL593" s="38"/>
      <c r="BM593" s="38"/>
      <c r="BN593" s="38"/>
      <c r="BO593" s="38"/>
      <c r="BP593" s="38"/>
      <c r="BQ593" s="38"/>
      <c r="BR593" s="38"/>
      <c r="BS593" s="38"/>
      <c r="BT593" s="38"/>
      <c r="BU593" s="38"/>
      <c r="BV593" s="38"/>
      <c r="BW593" s="38"/>
      <c r="BX593" s="38"/>
      <c r="BY593" s="38"/>
      <c r="BZ593" s="38"/>
      <c r="CA593" s="38"/>
      <c r="CB593" s="38"/>
      <c r="CC593" s="38"/>
      <c r="CD593" s="38"/>
      <c r="CE593" s="38"/>
      <c r="CF593" s="38"/>
      <c r="CG593" s="38"/>
      <c r="CH593" s="38"/>
      <c r="CI593" s="38"/>
      <c r="CM593" s="1352"/>
      <c r="CN593" s="1352"/>
      <c r="CO593" s="1415" t="str">
        <f>CN591</f>
        <v/>
      </c>
      <c r="CP593" s="1417" t="e">
        <f>CP591</f>
        <v>#N/A</v>
      </c>
      <c r="CR593" s="1386" t="s">
        <v>284</v>
      </c>
      <c r="CS593" s="1353">
        <f>IF(HW591=TRUE,T593,0)</f>
        <v>0</v>
      </c>
      <c r="CT593" s="1353" t="str">
        <f>IF(HW591=TRUE,U593,"")</f>
        <v/>
      </c>
      <c r="CU593" s="1373">
        <f>IF(HW591=TRUE,U594,0)</f>
        <v>0</v>
      </c>
      <c r="CV593" s="1370">
        <f>IF(HW591=TRUE,AB594,0)</f>
        <v>0</v>
      </c>
      <c r="CW593" s="1370">
        <f>IF(HW591=TRUE,AC594,0)</f>
        <v>0</v>
      </c>
      <c r="CX593" s="1371"/>
      <c r="CY593" s="1486"/>
      <c r="CZ593" s="1486"/>
      <c r="DA593" s="1486"/>
      <c r="DC593" s="1353">
        <f>IF(HW591=TRUE,AE593,0)</f>
        <v>0</v>
      </c>
      <c r="DD593" s="1353" t="str">
        <f>IF(HW591=TRUE,AF593,"")</f>
        <v/>
      </c>
      <c r="DE593" s="1373">
        <f>AF594</f>
        <v>0</v>
      </c>
      <c r="DF593" s="1406">
        <f>IFERROR(IF(FL593=3,IK593,IF(FL593=4,IL593,IF(FL593=5,IM593,IF(FL593=6,IN593,IF(FL593=7,IO593,IF(FL593=8,IP593,0)))))),0)</f>
        <v>0</v>
      </c>
      <c r="DG593" s="1370">
        <f>IF(HW591=TRUE,AK593,0)</f>
        <v>0</v>
      </c>
      <c r="DH593" s="1369"/>
      <c r="DK593" s="1483">
        <f>IFERROR(CW593-DG593,0)</f>
        <v>0</v>
      </c>
      <c r="DL593" s="1420"/>
      <c r="DN593" s="1403"/>
      <c r="DO593" s="1477" t="str">
        <f>DN591</f>
        <v/>
      </c>
      <c r="DP593" s="1354"/>
      <c r="DQ593" s="1477" t="str">
        <f>IF(DP591=7,"LLLC","")</f>
        <v/>
      </c>
      <c r="DR593" s="1403"/>
      <c r="DS593" s="1489"/>
      <c r="DU593" s="1403"/>
      <c r="DV593" s="1404" t="str">
        <f>DU591</f>
        <v/>
      </c>
      <c r="DW593" s="1403"/>
      <c r="DX593" s="1403"/>
      <c r="DZ593" s="1481"/>
      <c r="EA593" s="1481"/>
      <c r="EC593" s="1482"/>
      <c r="ED593" s="1369"/>
      <c r="EE593" s="1371"/>
      <c r="EF593" s="1369"/>
      <c r="EG593" s="1369"/>
      <c r="EH593" s="1374"/>
      <c r="EI593" s="1374"/>
      <c r="EJ593" s="1363"/>
      <c r="EK593" s="1376"/>
      <c r="EL593" s="1376"/>
      <c r="EM593" s="1362"/>
      <c r="EN593" s="1362"/>
      <c r="EO593" s="1363"/>
      <c r="EP593" s="1363"/>
      <c r="EQ593" s="1363"/>
      <c r="ES593" s="1403"/>
      <c r="EU593" s="1411" t="e">
        <f>VLOOKUP(CP593,'Space Table'!$B$3:$L$160,8,FALSE)</f>
        <v>#N/A</v>
      </c>
      <c r="EV593" s="1411" t="e">
        <f>IF(EY593="Yes",VLOOKUP(AF593,Lookup_Control_Type_Table2,4,FALSE),VLOOKUP(AF593,Lookup_Control_Type_Table2,3,FALSE))</f>
        <v>#N/A</v>
      </c>
      <c r="EW593" s="1411" t="e">
        <f>VLOOKUP(AF593,Lookup!AU$3:AV$15,2,FALSE)</f>
        <v>#N/A</v>
      </c>
      <c r="EX593" s="1411" t="e">
        <f>VLOOKUP(EU591,Lookup_Control_Type_Table,2,FALSE)</f>
        <v>#N/A</v>
      </c>
      <c r="EY593" s="1411" t="e">
        <f>VLOOKUP(CP593,'Space Table'!$B$3:$L$160,7,FALSE)</f>
        <v>#N/A</v>
      </c>
      <c r="EZ593" s="1413"/>
      <c r="FB593" s="1365" t="str">
        <f>CONCATENATE(CN591," - ",AF593)</f>
        <v xml:space="preserve"> - </v>
      </c>
      <c r="FD593" s="1354"/>
      <c r="FE593" s="1354"/>
      <c r="FF593" s="138"/>
      <c r="FI593" s="1356" t="str">
        <f>IF(CN591="Exterior","Not Daylighted",G594)</f>
        <v>Not Daylighted</v>
      </c>
      <c r="FJ593" s="1356">
        <f>VLOOKUP(FI593,_Daylight_Table_Codes,2,FALSE)</f>
        <v>0</v>
      </c>
      <c r="FK593" s="1365">
        <f>AF593</f>
        <v>0</v>
      </c>
      <c r="FL593" s="1365" t="e">
        <f>VLOOKUP(FK593,_Control_Table,2,FALSE)</f>
        <v>#N/A</v>
      </c>
      <c r="FM593" s="1365" t="e">
        <f>IF(AND(FP593&gt;0,FK593="Occupancy Sensor"),"Daylight + Occupancy",IF(AND(FP593&gt;0,FL593&lt;4),"Interior Daylight Dimming",FK593))</f>
        <v>#N/A</v>
      </c>
      <c r="FO593" s="1364">
        <f>IF(CN591="Interior",VLOOKUP(CP591,Control_Savings_Interior,5,FALSE),0)</f>
        <v>0</v>
      </c>
      <c r="FP593" s="1361">
        <f>IF(CN593="Exterior",0,IF(FJ593=2,0.5,IF(OR(FJ593=1,FJ593=3),1,0)))</f>
        <v>0</v>
      </c>
      <c r="FQ593" s="1366">
        <f>IF(R592&gt;FO$37,(FO593*(FO$37/R592)),FO593)*FP593</f>
        <v>0</v>
      </c>
      <c r="FR593" s="1364">
        <f>DF593</f>
        <v>0</v>
      </c>
      <c r="FS593" s="1364">
        <f>ROUND(FR593+((1-FR593)*FQ593),2)</f>
        <v>0</v>
      </c>
      <c r="FT593" s="1364">
        <f>IF(__Retrofit_TI_NC=2,FS593,FR593)</f>
        <v>0</v>
      </c>
      <c r="FU593" s="1360">
        <f>IF(CO593="Interior",VLOOKUP(CP593,Control_Savings_Interior,4,FALSE),0)</f>
        <v>0</v>
      </c>
      <c r="FW593" s="1352"/>
      <c r="FX593" s="1352"/>
      <c r="FY593" s="1352"/>
      <c r="FZ593" s="1352"/>
      <c r="GA593" s="1352"/>
      <c r="GB593" s="1352"/>
      <c r="GC593" s="1352"/>
      <c r="GD593" s="1352"/>
      <c r="GE593" s="759" t="b">
        <f>IF(ISNUMBER(SEARCH("TLED",U593)),TRUE,FALSE)</f>
        <v>0</v>
      </c>
      <c r="GF593" s="1035" t="str">
        <f>IFERROR(VLOOKUP(U593,Fixtures!DM$93:DR$142,6,FALSE),"")</f>
        <v/>
      </c>
      <c r="GG593" s="1385"/>
      <c r="GI593" s="1383"/>
      <c r="GJ593" s="1379"/>
      <c r="GL593" s="1379"/>
      <c r="GM593" s="1379"/>
      <c r="HC593" s="1379"/>
      <c r="HD593" s="1379"/>
      <c r="HE593" s="1379"/>
      <c r="HF593" s="1379"/>
      <c r="HG593" s="1379"/>
      <c r="HH593" s="1379"/>
      <c r="HI593" s="1383"/>
      <c r="HJ593" s="1383"/>
      <c r="HK593" s="1383"/>
      <c r="HL593" s="1379"/>
      <c r="HM593" s="1379"/>
      <c r="HN593" s="1379"/>
      <c r="HO593" s="1379"/>
      <c r="HP593" s="1379"/>
      <c r="HQ593" s="1379"/>
      <c r="HR593" s="1379"/>
      <c r="HS593" s="1379"/>
      <c r="HT593" s="1379"/>
      <c r="HU593" s="1379"/>
      <c r="HW593" s="1383"/>
      <c r="HX593" s="1384" t="b">
        <f>HW591</f>
        <v>0</v>
      </c>
      <c r="HY593" s="1378"/>
      <c r="HZ593" s="436"/>
      <c r="IA593" s="1386"/>
      <c r="IB593" s="1380">
        <f>IF(IA591=TRUE,AC594,0)</f>
        <v>0</v>
      </c>
      <c r="IC593" s="1379"/>
      <c r="IF593" s="1380" t="e">
        <f>ROUND(T593*AB594*N592*R592/1000,0)</f>
        <v>#VALUE!</v>
      </c>
      <c r="IG593" s="1382"/>
      <c r="IH593" s="1384" t="e">
        <f>ROUND(T593*AB594*N592*R592/1000,0)</f>
        <v>#VALUE!</v>
      </c>
      <c r="II593" s="1382"/>
      <c r="IK593" s="1351" t="e">
        <f>IF($CO593="interior",IL593/2,VLOOKUP($CP593,Control_Savings_Exterior,IK$30,FALSE))</f>
        <v>#N/A</v>
      </c>
      <c r="IL593" s="1351" t="e">
        <f>IF($CO593="interior",VLOOKUP($CP593,Control_Savings_Interior,IL$30,FALSE),VLOOKUP($CP593,Control_Savings_Exterior,IL$30,FALSE))</f>
        <v>#N/A</v>
      </c>
      <c r="IM593" s="1351" t="e">
        <f>IF($CO593="interior",IF(R592&gt;FO$37,(IM$28*(FO$37/R592)),IM$28)*FP593,VLOOKUP($CP593,Control_Savings_Exterior,IM$30,FALSE))</f>
        <v>#N/A</v>
      </c>
      <c r="IN593" s="1351" t="e">
        <f>IF($CO593="interior",ROUND(((1-IL593)*IM593)+IL593,2),VLOOKUP($CP593,Control_Savings_Exterior,IN$30,FALSE))</f>
        <v>#N/A</v>
      </c>
      <c r="IO593" s="1351" t="e">
        <f>IF($CO593="interior", ROUND(((1-IL593)*(IM593*(1-IP$28)))+IP593,2), VLOOKUP($CP593,Control_Savings_Exterior,IO$30,FALSE))</f>
        <v>#N/A</v>
      </c>
      <c r="IP593" s="1351">
        <f>IF($CO593="interior",ROUND(((1-IL593)*IP$28)+IL593,2),0)</f>
        <v>0</v>
      </c>
    </row>
    <row r="594" spans="1:250" s="82" customFormat="1" ht="14.95" customHeight="1" thickTop="1" thickBot="1">
      <c r="B594" s="1421"/>
      <c r="C594" s="1422"/>
      <c r="D594" s="1423"/>
      <c r="E594" s="1462" t="s">
        <v>357</v>
      </c>
      <c r="F594" s="1463"/>
      <c r="G594" s="1464" t="s">
        <v>362</v>
      </c>
      <c r="H594" s="1465"/>
      <c r="I594" s="1465"/>
      <c r="J594" s="1465"/>
      <c r="K594" s="1465"/>
      <c r="L594" s="1466"/>
      <c r="M594" s="669">
        <f>IFERROR(VLOOKUP(G594,_Daylight_Table[],2,FALSE),0)</f>
        <v>0</v>
      </c>
      <c r="N594" s="670"/>
      <c r="O594" s="669" t="e">
        <f>VLOOKUP(G593,'Space Table'!$B$3:$L$160,11,FALSE)</f>
        <v>#N/A</v>
      </c>
      <c r="P594" s="1408"/>
      <c r="Q594" s="1409"/>
      <c r="R594" s="1409"/>
      <c r="S594" s="1402"/>
      <c r="T594" s="671" t="s">
        <v>281</v>
      </c>
      <c r="U594" s="1467" t="str">
        <f>IFERROR(VLOOKUP(U593,Fixtures!DM$93:DP$142,4,FALSE),"")</f>
        <v/>
      </c>
      <c r="V594" s="1468"/>
      <c r="W594" s="1468"/>
      <c r="X594" s="1468"/>
      <c r="Y594" s="1468"/>
      <c r="Z594" s="1468"/>
      <c r="AA594" s="1468"/>
      <c r="AB594" s="1046" t="str">
        <f>IFERROR(VLOOKUP(U593,Fixtures_Proposed_List,2,FALSE),"")</f>
        <v/>
      </c>
      <c r="AC594" s="1036" t="str">
        <f>IFERROR(ROUND(T593*AB594*N592*R592/1000,0),"")</f>
        <v/>
      </c>
      <c r="AD594" s="1037" t="str">
        <f>IFERROR(ROUND(T593*AB594/1000,2),"")</f>
        <v/>
      </c>
      <c r="AE594" s="1045" t="s">
        <v>281</v>
      </c>
      <c r="AF594" s="1469"/>
      <c r="AG594" s="1469"/>
      <c r="AH594" s="1469"/>
      <c r="AI594" s="1469"/>
      <c r="AJ594" s="1476"/>
      <c r="AK594" s="1471"/>
      <c r="AL594" s="1473"/>
      <c r="AM594" s="1443"/>
      <c r="AN594" s="1444"/>
      <c r="AO594" s="1449"/>
      <c r="AP594" s="1449"/>
      <c r="AQ594" s="1450"/>
      <c r="AR594" s="1453"/>
      <c r="AS594" s="1456"/>
      <c r="AT594" s="1459"/>
      <c r="AU594" s="517"/>
      <c r="AV594" s="1480"/>
      <c r="AW594" s="1480"/>
      <c r="BC594" s="38"/>
      <c r="BD594" s="38"/>
      <c r="BE594" s="38"/>
      <c r="BF594" s="38"/>
      <c r="BG594" s="38"/>
      <c r="BH594" s="38"/>
      <c r="BI594" s="38"/>
      <c r="BJ594" s="38"/>
      <c r="BK594" s="38"/>
      <c r="BL594" s="38"/>
      <c r="BM594" s="38"/>
      <c r="BN594" s="38"/>
      <c r="BO594" s="38"/>
      <c r="BP594" s="38"/>
      <c r="BQ594" s="38"/>
      <c r="BR594" s="38"/>
      <c r="BS594" s="38"/>
      <c r="BT594" s="38"/>
      <c r="BU594" s="38"/>
      <c r="BV594" s="38"/>
      <c r="BW594" s="38"/>
      <c r="BX594" s="38"/>
      <c r="BY594" s="38"/>
      <c r="BZ594" s="38"/>
      <c r="CA594" s="38"/>
      <c r="CB594" s="38"/>
      <c r="CC594" s="38"/>
      <c r="CD594" s="38"/>
      <c r="CE594" s="38"/>
      <c r="CF594" s="38"/>
      <c r="CG594" s="38"/>
      <c r="CH594" s="38"/>
      <c r="CI594" s="38"/>
      <c r="CM594" s="1352"/>
      <c r="CN594" s="1352"/>
      <c r="CO594" s="1416"/>
      <c r="CP594" s="1418"/>
      <c r="CR594" s="1386"/>
      <c r="CS594" s="1355"/>
      <c r="CT594" s="1355"/>
      <c r="CU594" s="1375"/>
      <c r="CV594" s="1372"/>
      <c r="CW594" s="1372"/>
      <c r="CX594" s="1372"/>
      <c r="CY594" s="1487"/>
      <c r="CZ594" s="1487"/>
      <c r="DA594" s="1487"/>
      <c r="DC594" s="1355"/>
      <c r="DD594" s="1355"/>
      <c r="DE594" s="1375"/>
      <c r="DF594" s="1407"/>
      <c r="DG594" s="1372"/>
      <c r="DH594" s="1369"/>
      <c r="DK594" s="1484"/>
      <c r="DL594" s="1420"/>
      <c r="DN594" s="1403"/>
      <c r="DO594" s="1405"/>
      <c r="DP594" s="1355"/>
      <c r="DQ594" s="1405"/>
      <c r="DR594" s="1403"/>
      <c r="DS594" s="1489"/>
      <c r="DU594" s="1403"/>
      <c r="DV594" s="1405"/>
      <c r="DW594" s="1403"/>
      <c r="DX594" s="1403"/>
      <c r="DZ594" s="1481"/>
      <c r="EA594" s="1481"/>
      <c r="EC594" s="1482"/>
      <c r="ED594" s="1369"/>
      <c r="EE594" s="1372"/>
      <c r="EF594" s="1369"/>
      <c r="EG594" s="1369"/>
      <c r="EH594" s="1375"/>
      <c r="EI594" s="1375"/>
      <c r="EJ594" s="1363"/>
      <c r="EK594" s="1376"/>
      <c r="EL594" s="1376"/>
      <c r="EM594" s="1362"/>
      <c r="EN594" s="1362"/>
      <c r="EO594" s="1363"/>
      <c r="EP594" s="1363"/>
      <c r="EQ594" s="1363"/>
      <c r="ES594" s="1403"/>
      <c r="EU594" s="1488"/>
      <c r="EV594" s="1488"/>
      <c r="EW594" s="1488"/>
      <c r="EX594" s="1488"/>
      <c r="EY594" s="1488"/>
      <c r="EZ594" s="1414"/>
      <c r="FB594" s="1365"/>
      <c r="FD594" s="1355"/>
      <c r="FE594" s="1355"/>
      <c r="FF594" s="138"/>
      <c r="FI594" s="1357"/>
      <c r="FJ594" s="1357"/>
      <c r="FK594" s="1365"/>
      <c r="FL594" s="1365"/>
      <c r="FM594" s="1365"/>
      <c r="FO594" s="1361"/>
      <c r="FP594" s="1361"/>
      <c r="FQ594" s="1366"/>
      <c r="FR594" s="1361"/>
      <c r="FS594" s="1361"/>
      <c r="FT594" s="1361"/>
      <c r="FU594" s="1360"/>
      <c r="FW594" s="1352"/>
      <c r="FX594" s="1352"/>
      <c r="FY594" s="1352"/>
      <c r="FZ594" s="1352"/>
      <c r="GA594" s="1352"/>
      <c r="GB594" s="1352"/>
      <c r="GC594" s="1352"/>
      <c r="GD594" s="1352"/>
      <c r="GE594" s="759"/>
      <c r="GF594" s="1035"/>
      <c r="GG594" s="1385"/>
      <c r="GJ594" s="1034">
        <f>IF(GJ592=TRUE,0,GJ$16)</f>
        <v>0</v>
      </c>
      <c r="GL594" s="1034">
        <f>IF(GL592=TRUE,0,GL$16)</f>
        <v>36</v>
      </c>
      <c r="GM594" s="1034">
        <f>IF(GM592=TRUE,0,GM$16)</f>
        <v>35</v>
      </c>
      <c r="GN594" s="436"/>
      <c r="GO594" s="436"/>
      <c r="GP594" s="436"/>
      <c r="GQ594" s="436"/>
      <c r="GR594" s="436"/>
      <c r="HC594" s="1034">
        <f t="shared" ref="HC594:HH594" si="438">IF(HC592=TRUE,0,HC$16)</f>
        <v>19</v>
      </c>
      <c r="HD594" s="1034">
        <f t="shared" si="438"/>
        <v>18</v>
      </c>
      <c r="HE594" s="1034">
        <f t="shared" si="438"/>
        <v>17</v>
      </c>
      <c r="HF594" s="1034">
        <f t="shared" si="438"/>
        <v>16</v>
      </c>
      <c r="HG594" s="1034">
        <f t="shared" si="438"/>
        <v>0</v>
      </c>
      <c r="HH594" s="1034">
        <f t="shared" si="438"/>
        <v>0</v>
      </c>
      <c r="HI594" s="1034">
        <f>IF(HI592=TRUE,0,HI$16)</f>
        <v>13</v>
      </c>
      <c r="HJ594" s="1034">
        <f t="shared" ref="HJ594:HL594" si="439">IF(HJ592=TRUE,0,HJ$16)</f>
        <v>12</v>
      </c>
      <c r="HK594" s="1034">
        <f t="shared" si="439"/>
        <v>11</v>
      </c>
      <c r="HL594" s="1034">
        <f t="shared" si="439"/>
        <v>10</v>
      </c>
      <c r="HM594" s="1034">
        <f>IF(HM592=TRUE,0,HM$16)</f>
        <v>9</v>
      </c>
      <c r="HN594" s="1034">
        <f t="shared" ref="HN594:HR594" si="440">IF(HN592=TRUE,0,HN$16)</f>
        <v>0</v>
      </c>
      <c r="HO594" s="1034">
        <f t="shared" si="440"/>
        <v>0</v>
      </c>
      <c r="HP594" s="1034">
        <f t="shared" si="440"/>
        <v>0</v>
      </c>
      <c r="HQ594" s="1034">
        <f t="shared" si="440"/>
        <v>0</v>
      </c>
      <c r="HR594" s="1034">
        <f t="shared" si="440"/>
        <v>0</v>
      </c>
      <c r="HS594" s="1034">
        <f>IF(HS592=TRUE,0,HS$16)</f>
        <v>0</v>
      </c>
      <c r="HT594" s="1034">
        <f t="shared" ref="HT594" si="441">IF(HT592=TRUE,0,HT$16)</f>
        <v>0</v>
      </c>
      <c r="HU594" s="1034">
        <f>IF(HU592=TRUE,0,HU$16)</f>
        <v>1</v>
      </c>
      <c r="HW594" s="1034">
        <f>IF(GL592=FALSE,GL594,IF(GM592=FALSE,GM594,MAX(GJ594:HU594)))</f>
        <v>36</v>
      </c>
      <c r="HX594" s="1383"/>
      <c r="HY594" s="241" t="str">
        <f>VLOOKUP(HW594,_Error_Table,3,FALSE)</f>
        <v xml:space="preserve"> </v>
      </c>
      <c r="HZ594" s="241"/>
      <c r="IA594" s="1386"/>
      <c r="IB594" s="1380"/>
      <c r="IC594" s="1379"/>
      <c r="IF594" s="1380"/>
      <c r="IG594" s="1383"/>
      <c r="IH594" s="1383"/>
      <c r="II594" s="1383"/>
      <c r="IK594" s="1351"/>
      <c r="IL594" s="1351"/>
      <c r="IM594" s="1351"/>
      <c r="IN594" s="1351"/>
      <c r="IO594" s="1351"/>
      <c r="IP594" s="1351"/>
    </row>
    <row r="595" spans="1:250" s="82" customFormat="1" ht="5.0999999999999996" customHeight="1" thickBot="1">
      <c r="B595" s="763"/>
      <c r="C595" s="1038"/>
      <c r="D595" s="1038"/>
      <c r="E595" s="1490"/>
      <c r="F595" s="1490"/>
      <c r="G595" s="1490"/>
      <c r="H595" s="1490"/>
      <c r="I595" s="1490"/>
      <c r="J595" s="1490"/>
      <c r="K595" s="1490"/>
      <c r="L595" s="1490"/>
      <c r="M595" s="1490"/>
      <c r="N595" s="1490"/>
      <c r="O595" s="1490"/>
      <c r="P595" s="1490"/>
      <c r="Q595" s="1490"/>
      <c r="R595" s="1490"/>
      <c r="S595" s="1490"/>
      <c r="T595" s="1490"/>
      <c r="U595" s="1490"/>
      <c r="V595" s="1490"/>
      <c r="W595" s="1490"/>
      <c r="X595" s="1490"/>
      <c r="Y595" s="1490"/>
      <c r="Z595" s="1490"/>
      <c r="AA595" s="1490"/>
      <c r="AB595" s="1490"/>
      <c r="AC595" s="1490"/>
      <c r="AD595" s="1490"/>
      <c r="AE595" s="1490"/>
      <c r="AF595" s="1490"/>
      <c r="AG595" s="1490"/>
      <c r="AH595" s="1490"/>
      <c r="AI595" s="1490"/>
      <c r="AJ595" s="1490"/>
      <c r="AK595" s="1490"/>
      <c r="AL595" s="1490"/>
      <c r="AM595" s="1490"/>
      <c r="AN595" s="1490"/>
      <c r="AO595" s="1490"/>
      <c r="AP595" s="1490"/>
      <c r="AQ595" s="1490"/>
      <c r="AR595" s="1490"/>
      <c r="AS595" s="1490"/>
      <c r="AT595" s="1490"/>
      <c r="AU595" s="1041"/>
      <c r="BC595" s="38"/>
      <c r="BD595" s="38"/>
      <c r="BE595" s="38"/>
      <c r="BF595" s="38"/>
      <c r="BG595" s="38"/>
      <c r="BH595" s="38"/>
      <c r="BI595" s="38"/>
      <c r="BJ595" s="38"/>
      <c r="BK595" s="38"/>
      <c r="BL595" s="38"/>
      <c r="BM595" s="38"/>
      <c r="BN595" s="38"/>
      <c r="BO595" s="38"/>
      <c r="BP595" s="38"/>
      <c r="BQ595" s="38"/>
      <c r="BR595" s="38"/>
      <c r="BS595" s="38"/>
      <c r="BT595" s="38"/>
      <c r="BU595" s="38"/>
      <c r="BV595" s="38"/>
      <c r="BW595" s="38"/>
      <c r="BX595" s="38"/>
      <c r="BY595" s="38"/>
      <c r="BZ595" s="38"/>
      <c r="CA595" s="38"/>
      <c r="CB595" s="38"/>
      <c r="CC595" s="38"/>
      <c r="CD595" s="38"/>
      <c r="CE595" s="38"/>
      <c r="CF595" s="38"/>
      <c r="CG595" s="38"/>
      <c r="CH595" s="38"/>
      <c r="CI595" s="38"/>
      <c r="CM595" s="749"/>
      <c r="CN595" s="749"/>
      <c r="CO595" s="1043"/>
      <c r="CP595" s="749"/>
      <c r="CS595" s="436"/>
      <c r="CT595" s="436"/>
      <c r="CU595" s="243"/>
      <c r="CV595" s="244"/>
      <c r="CW595" s="244"/>
      <c r="CX595" s="244"/>
      <c r="CY595" s="245"/>
      <c r="CZ595" s="245"/>
      <c r="DA595" s="245"/>
      <c r="DC595" s="750"/>
      <c r="DD595" s="751"/>
      <c r="DE595" s="752"/>
      <c r="DF595" s="753"/>
      <c r="DG595" s="754"/>
      <c r="DH595" s="754"/>
      <c r="DK595" s="244"/>
      <c r="DL595" s="750"/>
      <c r="DN595" s="750"/>
      <c r="DO595" s="755"/>
      <c r="DP595" s="436"/>
      <c r="DQ595" s="750"/>
      <c r="DR595" s="750"/>
      <c r="DS595" s="750"/>
      <c r="DU595" s="750"/>
      <c r="DV595" s="750"/>
      <c r="DW595" s="750"/>
      <c r="DX595" s="750"/>
      <c r="DZ595" s="756"/>
      <c r="EA595" s="756"/>
      <c r="EC595" s="754"/>
      <c r="ED595" s="754"/>
      <c r="EE595" s="244"/>
      <c r="EF595" s="754"/>
      <c r="EG595" s="754"/>
      <c r="EH595" s="243"/>
      <c r="EI595" s="243"/>
      <c r="EJ595" s="752"/>
      <c r="EK595" s="757"/>
      <c r="EL595" s="757"/>
      <c r="EM595" s="758"/>
      <c r="EN595" s="758"/>
      <c r="EO595" s="752"/>
      <c r="EP595" s="752"/>
      <c r="EQ595" s="752"/>
      <c r="ES595" s="750"/>
      <c r="EU595" s="436"/>
      <c r="EV595" s="436"/>
      <c r="EW595" s="436"/>
      <c r="EX595" s="436"/>
      <c r="EY595" s="436"/>
      <c r="EZ595" s="436"/>
      <c r="FB595" s="643"/>
      <c r="FD595" s="436"/>
      <c r="FE595" s="436"/>
      <c r="FF595" s="436"/>
      <c r="FO595" s="750"/>
      <c r="FP595" s="436"/>
      <c r="FQ595" s="436"/>
      <c r="FR595" s="750"/>
      <c r="FS595" s="750"/>
      <c r="FW595" s="749"/>
      <c r="FX595" s="749"/>
      <c r="FY595" s="749"/>
      <c r="FZ595" s="749"/>
      <c r="GA595" s="749"/>
      <c r="GB595" s="749"/>
      <c r="GC595" s="749"/>
      <c r="GD595" s="749"/>
      <c r="GE595" s="751"/>
      <c r="GF595" s="750"/>
      <c r="GG595" s="750"/>
    </row>
    <row r="596" spans="1:250" s="82" customFormat="1" ht="14.95" customHeight="1" thickTop="1" thickBot="1">
      <c r="B596" s="1421" t="str">
        <f>HY599</f>
        <v xml:space="preserve"> </v>
      </c>
      <c r="C596" s="1422">
        <f>C591+1</f>
        <v>108</v>
      </c>
      <c r="D596" s="1423"/>
      <c r="E596" s="1424" t="s">
        <v>242</v>
      </c>
      <c r="F596" s="1425"/>
      <c r="G596" s="1426"/>
      <c r="H596" s="1427"/>
      <c r="I596" s="1427"/>
      <c r="J596" s="1427"/>
      <c r="K596" s="1427"/>
      <c r="L596" s="1427"/>
      <c r="M596" s="1427"/>
      <c r="N596" s="1427"/>
      <c r="O596" s="1427"/>
      <c r="P596" s="1427"/>
      <c r="Q596" s="1427"/>
      <c r="R596" s="1427"/>
      <c r="S596" s="1428" t="s">
        <v>283</v>
      </c>
      <c r="T596" s="668" t="s">
        <v>190</v>
      </c>
      <c r="U596" s="1430" t="s">
        <v>186</v>
      </c>
      <c r="V596" s="1431"/>
      <c r="W596" s="1431"/>
      <c r="X596" s="1431"/>
      <c r="Y596" s="1431"/>
      <c r="Z596" s="1431"/>
      <c r="AA596" s="1431"/>
      <c r="AB596" s="1088" t="str">
        <f>IFERROR(IF(__Retrofit_TI_NC=0,VLOOKUP(U597,Fixtures_Existing_List,2,FALSE),ROUND(N598*R598/T598,10)),"")</f>
        <v/>
      </c>
      <c r="AC596" s="1039" t="str">
        <f>IFERROR(IF(__Retrofit_TI_NC=0,ROUND(T597*AB596*N597*R597/1000,0),IF(CN596="Interior",N598*R598*R597*N597*_C406_reduction/1000,N598*R598*R597*N597/1000)),"")</f>
        <v/>
      </c>
      <c r="AD596" s="1040" t="str">
        <f>IFERROR(IF(C$36=0,ROUND(T597*AB596/1000,2),N598*R598/1000),"")</f>
        <v/>
      </c>
      <c r="AE596" s="1044" t="s">
        <v>190</v>
      </c>
      <c r="AF596" s="1432" t="str">
        <f>IF(__Retrofit_TI_NC=2,CONCATENATE("Code min = ",DD596),IF(__Retrofit_TI_NC=1,"Emter what you think the existing control was"," Control"))</f>
        <v xml:space="preserve"> Control</v>
      </c>
      <c r="AG596" s="1432"/>
      <c r="AH596" s="1432"/>
      <c r="AI596" s="1432"/>
      <c r="AJ596" s="1433">
        <f>DF596</f>
        <v>0</v>
      </c>
      <c r="AK596" s="1435" t="str">
        <f>IFERROR(ROUND(AJ596*AC596,0),"")</f>
        <v/>
      </c>
      <c r="AL596" s="1437">
        <f>IFERROR(IF(HW596=FALSE,0,AC596-AK596),0)</f>
        <v>0</v>
      </c>
      <c r="AM596" s="1439">
        <f>AL596-AL598</f>
        <v>0</v>
      </c>
      <c r="AN596" s="1440"/>
      <c r="AO596" s="1445">
        <f>IFERROR(IF(HW596=FALSE,0,(T598*U599)+(AE598*AF599)),0)</f>
        <v>0</v>
      </c>
      <c r="AP596" s="1445"/>
      <c r="AQ596" s="1446"/>
      <c r="AR596" s="1451" t="s">
        <v>157</v>
      </c>
      <c r="AS596" s="1454">
        <f>IF(AR596="Yes",1,0)</f>
        <v>1</v>
      </c>
      <c r="AT596" s="1457" t="str">
        <f>IF(OR(DN596=4,DN596=5,DN596=6,DN596=12),CONCATENATE("$",IF(GD596=TRUE,Lookup!$B$11,Lookup!$B$2)," /lamp"),CONCATENATE(EA596,"/ kWh"))</f>
        <v>0/ kWh</v>
      </c>
      <c r="AU596" s="516"/>
      <c r="AV596" s="1478">
        <f>IFERROR(IF(GI597=TRUE,(AB599*T598)/R598,0),"NA")</f>
        <v>0</v>
      </c>
      <c r="AW596" s="1478" t="str">
        <f>IFERROR(N598*_C406_reduction,"NA")</f>
        <v>NA</v>
      </c>
      <c r="BC596" s="38"/>
      <c r="BD596" s="38"/>
      <c r="BE596" s="38"/>
      <c r="BF596" s="38"/>
      <c r="BG596" s="38"/>
      <c r="BH596" s="38"/>
      <c r="BI596" s="38"/>
      <c r="BJ596" s="38"/>
      <c r="BK596" s="38"/>
      <c r="BL596" s="38"/>
      <c r="BM596" s="38"/>
      <c r="BN596" s="38"/>
      <c r="BO596" s="38"/>
      <c r="BP596" s="38"/>
      <c r="BQ596" s="38"/>
      <c r="BR596" s="38"/>
      <c r="BS596" s="38"/>
      <c r="BT596" s="38"/>
      <c r="BU596" s="38"/>
      <c r="BV596" s="38"/>
      <c r="BW596" s="38"/>
      <c r="BX596" s="38"/>
      <c r="BY596" s="38"/>
      <c r="BZ596" s="38"/>
      <c r="CA596" s="38"/>
      <c r="CB596" s="38"/>
      <c r="CC596" s="38"/>
      <c r="CD596" s="38"/>
      <c r="CE596" s="38"/>
      <c r="CF596" s="38"/>
      <c r="CG596" s="38"/>
      <c r="CH596" s="38"/>
      <c r="CI596" s="38"/>
      <c r="CM596" s="1352" t="str">
        <f>N597</f>
        <v/>
      </c>
      <c r="CN596" s="1352" t="str">
        <f>IFERROR(VLOOKUP(G597,_Lookup_Heat_Type_Table_New,3,FALSE),"")</f>
        <v/>
      </c>
      <c r="CO596" s="1415" t="str">
        <f>CN596</f>
        <v/>
      </c>
      <c r="CP596" s="1417" t="e">
        <f>VLOOKUP(G598,'Space Table'!$B$3:$L$160,9,FALSE)</f>
        <v>#N/A</v>
      </c>
      <c r="CR596" s="1386" t="s">
        <v>283</v>
      </c>
      <c r="CS596" s="1353">
        <f>IF(HW596=TRUE,T597,0)</f>
        <v>0</v>
      </c>
      <c r="CT596" s="1353" t="str">
        <f>IF(HW596=TRUE,U597,"")</f>
        <v/>
      </c>
      <c r="CU596" s="1353"/>
      <c r="CV596" s="1370">
        <f>IF(HW596=TRUE,AB596,0)</f>
        <v>0</v>
      </c>
      <c r="CW596" s="1370">
        <f>IF(HW596=TRUE,AC596,0)</f>
        <v>0</v>
      </c>
      <c r="CX596" s="1370">
        <f>IFERROR(IF(HW596=TRUE,CW596-CW598,0),0)</f>
        <v>0</v>
      </c>
      <c r="CY596" s="1485">
        <f>IF(HW596=TRUE,AD596,0)</f>
        <v>0</v>
      </c>
      <c r="CZ596" s="1485">
        <f>IF(HW596=TRUE,AD599,0)</f>
        <v>0</v>
      </c>
      <c r="DA596" s="1485">
        <f>IFERROR(CY596-CZ596,0)</f>
        <v>0</v>
      </c>
      <c r="DC596" s="1353">
        <f>IF(HW596=TRUE,AE597,0)</f>
        <v>0</v>
      </c>
      <c r="DD596" s="1460">
        <f>IF(__Retrofit_TI_NC=2,IF(CN596="Exterior",O599,FM596),FK596)</f>
        <v>0</v>
      </c>
      <c r="DE596" s="1353"/>
      <c r="DF596" s="1406">
        <f>IFERROR(IF(FL596=3,IK596,IF(FL596=4,IL596,IF(FL596=5,IM596,IF(FL596=6,IN596,IF(FL596=7,IO596,IF(FL596=8,IP596,0)))))),0)</f>
        <v>0</v>
      </c>
      <c r="DG596" s="1370">
        <f>IF(HW596=TRUE,AK596,0)</f>
        <v>0</v>
      </c>
      <c r="DH596" s="1369">
        <f>IFERROR(IF(HW596=TRUE,DG598-DG596,0),0)</f>
        <v>0</v>
      </c>
      <c r="DJ596" s="1483">
        <f>IFERROR(CW596-DG596,0)</f>
        <v>0</v>
      </c>
      <c r="DL596" s="1419">
        <f>DJ596-DK598</f>
        <v>0</v>
      </c>
      <c r="DN596" s="1403" t="str">
        <f>IFERROR(IF(AND(OR(FY596=4,FY596=5,FY596=6),OR(GB596=4,GB596=5,GB596=6)),FY596+8,VLOOKUP(CT598,Fixtures!R$31:Y$78,8,FALSE)),"")</f>
        <v/>
      </c>
      <c r="DO596" s="1404" t="str">
        <f>DN596</f>
        <v/>
      </c>
      <c r="DP596" s="1353" t="str">
        <f>IFERROR(VLOOKUP(DD598,Lookup!AU$3:AV$15,2,FALSE),"")</f>
        <v/>
      </c>
      <c r="DQ596" s="1404" t="str">
        <f>IF(DP596=7,"LLLC","")</f>
        <v/>
      </c>
      <c r="DR596" s="1403">
        <f>IFERROR(IF(OR(DN596=4,DN596=5,DN596=6,DN596=12,DN596=13,DN596=14),VLOOKUP(CT598,Fixtures!DN$27:EG$77,19,FALSE),1)*CS598,0)</f>
        <v>0</v>
      </c>
      <c r="DS596" s="1489">
        <f>IF(DP596=7,IF(DD596=DD598,0,DC598),0)</f>
        <v>0</v>
      </c>
      <c r="DU596" s="1403" t="str">
        <f>IFERROR(IF(EW596&lt;EW598,"Yes","No"),"")</f>
        <v/>
      </c>
      <c r="DV596" s="1404" t="str">
        <f>DU596</f>
        <v/>
      </c>
      <c r="DW596" s="1403">
        <f>IF(DU596="Yes",DC598,0)</f>
        <v>0</v>
      </c>
      <c r="DX596" s="1403">
        <f>DW596-DS596</f>
        <v>0</v>
      </c>
      <c r="DZ596" s="1481">
        <f>IFERROR(VLOOKUP(DN596,Lookup!AN$3:AO$16,2,FALSE),0)</f>
        <v>0</v>
      </c>
      <c r="EA596" s="1481">
        <f>IF(HW596=FALSE,0,IF(DU596="Yes",DZ596+Lookup!B$6,DZ596))</f>
        <v>0</v>
      </c>
      <c r="EC596" s="1482">
        <f>IF(HW596=TRUE,DJ596,0)</f>
        <v>0</v>
      </c>
      <c r="ED596" s="1369">
        <f>IF(HW596=TRUE,CW598,0)</f>
        <v>0</v>
      </c>
      <c r="EE596" s="1370">
        <f>IFERROR(EC596-ED596,0)</f>
        <v>0</v>
      </c>
      <c r="EF596" s="1369">
        <f>IF(HW596=TRUE,DG598,0)</f>
        <v>0</v>
      </c>
      <c r="EG596" s="1369">
        <f>IFERROR(EC596-ED596+EF596,0)</f>
        <v>0</v>
      </c>
      <c r="EH596" s="1373">
        <f>IF(HW596=TRUE,CS598*CU598,0)</f>
        <v>0</v>
      </c>
      <c r="EI596" s="1373">
        <f>IF(HW596=TRUE,DC598*DE598,0)</f>
        <v>0</v>
      </c>
      <c r="EJ596" s="1363">
        <f>AO596</f>
        <v>0</v>
      </c>
      <c r="EK596" s="1376" t="str">
        <f>IFERROR(IF(HW596=TRUE,VLOOKUP(DN596,Lookup!AN$3:AP$16,3,FALSE)*DR596,""),0)</f>
        <v/>
      </c>
      <c r="EL596" s="1376">
        <f>IF(HW596=TRUE,DW596*Lookup!AP$12,0)</f>
        <v>0</v>
      </c>
      <c r="EM596" s="1362">
        <f>IFERROR(IF(HW596=TRUE,EK596/EM$33,0),0)</f>
        <v>0</v>
      </c>
      <c r="EN596" s="1362">
        <f>IF(HW596=TRUE,EL596/EN$33,0)</f>
        <v>0</v>
      </c>
      <c r="EO596" s="1363">
        <f>IF(HW596=TRUE,EQ$33*EM596,0)</f>
        <v>0</v>
      </c>
      <c r="EP596" s="1363">
        <f>IF(HW596=TRUE,EQ$33*EN596,0)</f>
        <v>0</v>
      </c>
      <c r="EQ596" s="1363">
        <f>EO596+EP596</f>
        <v>0</v>
      </c>
      <c r="ES596" s="1403">
        <f>IF(G596="",0,1)</f>
        <v>0</v>
      </c>
      <c r="EU596" s="1410" t="e">
        <f>VLOOKUP(CP598,'Space Table'!$B$3:$L$160,8,FALSE)</f>
        <v>#N/A</v>
      </c>
      <c r="EV596" s="1410" t="e">
        <f>IF(EY596="Yes",VLOOKUP(DD596,Lookup_Control_Type_Table2,4,FALSE),VLOOKUP(DD596,Lookup_Control_Type_Table2,3,FALSE))</f>
        <v>#N/A</v>
      </c>
      <c r="EW596" s="1410" t="e">
        <f>VLOOKUP(DD596,Lookup!AU$3:AV$15,2,FALSE)</f>
        <v>#N/A</v>
      </c>
      <c r="EX596" s="1410" t="e">
        <f>VLOOKUP(EU596,Lookup_Control_Type_Table,2,FALSE)</f>
        <v>#N/A</v>
      </c>
      <c r="EY596" s="1410" t="e">
        <f>VLOOKUP(CP598,'Space Table'!$B$3:$L$160,7,FALSE)</f>
        <v>#N/A</v>
      </c>
      <c r="EZ596" s="1412" t="b">
        <f>ISNUMBER(SEARCH("TLED",U598))</f>
        <v>0</v>
      </c>
      <c r="FB596" s="1365" t="str">
        <f>CONCATENATE(CN596," - ",DD596)</f>
        <v xml:space="preserve"> - 0</v>
      </c>
      <c r="FD596" s="1353" t="str">
        <f>VLOOKUP(CT598,Fixtures!DN$27:EZ$77,38,FALSE)</f>
        <v/>
      </c>
      <c r="FE596" s="1353">
        <f>IFERROR(FD596*EE596,0)</f>
        <v>0</v>
      </c>
      <c r="FF596" s="138"/>
      <c r="FI596" s="1356" t="str">
        <f>IF(CN596="Exterior","Not Daylighted",G599)</f>
        <v>Not Daylighted</v>
      </c>
      <c r="FJ596" s="1356">
        <f>VLOOKUP(FI596,_Daylight_Table_Codes,2,FALSE)</f>
        <v>0</v>
      </c>
      <c r="FK596" s="1365">
        <f>IF(__Retrofit_TI_NC=2,VLOOKUP(G598,'Space Table'!$B$3:$L$160,11,FALSE),AF597)</f>
        <v>0</v>
      </c>
      <c r="FL596" s="1365" t="e">
        <f>VLOOKUP(FK596,_Control_Table,2,FALSE)</f>
        <v>#N/A</v>
      </c>
      <c r="FM596" s="1365" t="e">
        <f>IF(AND(FP596&gt;0,FK596="Occupancy Sensor"),"Daylight + Occupancy",IF(AND(FP596&gt;0,FL596&lt;4),"Interior Daylight Dimming",FK596))</f>
        <v>#N/A</v>
      </c>
      <c r="FO596" s="1364">
        <f>IF(CO596="Interior",VLOOKUP(CP596,Control_Savings_Interior,5,FALSE),0)</f>
        <v>0</v>
      </c>
      <c r="FP596" s="1361">
        <f>IF(CN596="Exterior",0,IF(FJ596=2,0.5,IF(OR(FJ596=1,FJ596=3),1,0)))</f>
        <v>0</v>
      </c>
      <c r="FQ596" s="1366"/>
      <c r="FR596" s="1367"/>
      <c r="FS596" s="1364"/>
      <c r="FT596" s="1367"/>
      <c r="FU596" s="1360"/>
      <c r="FW596" s="1352" t="str">
        <f>IFERROR(VLOOKUP(U597,_Exist_Fixture_Table,3,FALSE),"")</f>
        <v/>
      </c>
      <c r="FX596" s="1352" t="str">
        <f>VLOOKUP(CT596,_Exist_Fixture_Table,4,FALSE)</f>
        <v/>
      </c>
      <c r="FY596" s="1352">
        <f>IFERROR(VLOOKUP(FX596,Lookup!AM$6:AN$8,2,FALSE),0)</f>
        <v>0</v>
      </c>
      <c r="FZ596" s="1352" t="b">
        <f>IFERROR(IF(OR(GB596=4,GB596=5,GB596=6),TRUE,FALSE),"")</f>
        <v>0</v>
      </c>
      <c r="GA596" s="1352" t="str">
        <f>IFERROR(VLOOKUP(GB596,FY$6:FZ$10,2,FALSE),"")</f>
        <v/>
      </c>
      <c r="GB596" s="1352" t="str">
        <f>VLOOKUP(CT598,Fixtures!R$31:Y$78,8,FALSE)</f>
        <v/>
      </c>
      <c r="GC596" s="1352">
        <f>IF(AND(FW596=TRUE,FZ596=TRUE,OR(DN596=12,DN596=13,DN596=14)),FY596+8,0)</f>
        <v>0</v>
      </c>
      <c r="GD596" s="1352" t="b">
        <f>IF(OR(GC596=12,GC596=13,GC596=14),TRUE,FALSE)</f>
        <v>0</v>
      </c>
      <c r="GE596" s="759" t="b">
        <f>IF(ISNUMBER(SEARCH("TLED",U597)),TRUE,FALSE)</f>
        <v>0</v>
      </c>
      <c r="GF596" s="1035" t="str">
        <f>IFERROR(VLOOKUP(U597,Fixtures!BM$93:BR$142,6,FALSE),"")</f>
        <v/>
      </c>
      <c r="GG596" s="1385" t="b">
        <f>IF(OR(GE596=FALSE,GE598=FALSE),TRUE,IF(GF596-GF598&lt;5,FALSE,TRUE))</f>
        <v>1</v>
      </c>
      <c r="GK596" s="1034">
        <f>GL596</f>
        <v>0</v>
      </c>
      <c r="GL596" s="1034">
        <f>IF(G596="",0,1)</f>
        <v>0</v>
      </c>
      <c r="GM596" s="1034">
        <f>SUM(GN596:HB596)</f>
        <v>2</v>
      </c>
      <c r="GN596" s="1034">
        <f>IF(G597="",0,1)</f>
        <v>0</v>
      </c>
      <c r="GO596" s="1034">
        <f>IF(G598="",0,1)</f>
        <v>0</v>
      </c>
      <c r="GP596" s="1034">
        <f>IF(R597="",0,1)</f>
        <v>0</v>
      </c>
      <c r="GQ596" s="1034">
        <f>IF(__Retrofit_TI_NC=0,1,IF(R598="",0,1))</f>
        <v>1</v>
      </c>
      <c r="GR596" s="1034">
        <f>IF(CN596="Exterior",1,IF(G599="",0,1))</f>
        <v>1</v>
      </c>
      <c r="GS596" s="1034">
        <f>IF(__Retrofit_TI_NC&lt;&gt;0,1,IF(T597="",0,1))</f>
        <v>0</v>
      </c>
      <c r="GT596" s="1034">
        <f>IF(__Retrofit_TI_NC&lt;&gt;0,1,IF(U597="",0,1))</f>
        <v>0</v>
      </c>
      <c r="GU596" s="1034">
        <f>IF(T598="",0,1)</f>
        <v>0</v>
      </c>
      <c r="GV596" s="1034">
        <f>IF(U598="",0,1)</f>
        <v>0</v>
      </c>
      <c r="GW596" s="1034">
        <f>IF(__Retrofit_TI_NC=2,1,IF(U599="",0,1))</f>
        <v>0</v>
      </c>
      <c r="GX596" s="1034">
        <f>IF(__Retrofit_TI_NC&lt;&gt;0,1,IF(AE597="",0,1))</f>
        <v>0</v>
      </c>
      <c r="GY596" s="1034">
        <f>IF(__Retrofit_TI_NC&lt;&gt;0,1,IF(AF597="",0,1))</f>
        <v>0</v>
      </c>
      <c r="GZ596" s="1034">
        <f>IF(AE598="",0,1)</f>
        <v>0</v>
      </c>
      <c r="HA596" s="1034">
        <f>IF(AF598="",0,1)</f>
        <v>0</v>
      </c>
      <c r="HB596" s="1034">
        <f>IF(__Retrofit_TI_NC=2,1,IF(AF599="",0,1))</f>
        <v>0</v>
      </c>
      <c r="HV596" s="436"/>
      <c r="HW596" s="1384" t="b">
        <f>IF(OR(HW599=0,HW599=HT$16,HW599=HS$16,HW599=HU$16),TRUE,FALSE)</f>
        <v>0</v>
      </c>
      <c r="HX596" s="1377" t="b">
        <f>HW596</f>
        <v>0</v>
      </c>
      <c r="HY596" s="436"/>
      <c r="HZ596" s="436"/>
      <c r="IA596" s="1386" t="b">
        <f>IF(MAX(GJ599:HP599)&gt;5,FALSE,TRUE)</f>
        <v>0</v>
      </c>
      <c r="IB596" s="1380">
        <f>IF(IA596=TRUE,AC596,0)</f>
        <v>0</v>
      </c>
      <c r="IC596" s="1380">
        <f>IB596-IB598</f>
        <v>0</v>
      </c>
      <c r="IF596" s="1380" t="e">
        <f>ROUND(T597*VLOOKUP(U597,Fixtures_Existing_List,2,FALSE)*N597*R597/1000,0)</f>
        <v>#N/A</v>
      </c>
      <c r="IG596" s="1381" t="e">
        <f>IF596-IF598</f>
        <v>#N/A</v>
      </c>
      <c r="IH596" s="1384" t="e">
        <f>ROUND(IF(CN596="Interior",N598*R598*R597*N597*_C406_reduction/1000,N598*R598*R597*N597/1000),0)</f>
        <v>#N/A</v>
      </c>
      <c r="II596" s="1384" t="e">
        <f>IH596-IH598</f>
        <v>#N/A</v>
      </c>
      <c r="IK596" s="1351" t="e">
        <f>IF($CO596="interior",IL596/2,VLOOKUP($CP596,Control_Savings_Exterior,IK$30,FALSE))</f>
        <v>#N/A</v>
      </c>
      <c r="IL596" s="1351" t="e">
        <f>IF($CO596="interior",VLOOKUP($CP596,Control_Savings_Interior,IL$30,FALSE),VLOOKUP($CP596,Control_Savings_Exterior,IL$30,FALSE))</f>
        <v>#N/A</v>
      </c>
      <c r="IM596" s="1351" t="e">
        <f>IF($CO596="interior",IF(R597&gt;FO$37,(IM$28*(FO$37/R597)),IM$28)*FP596,VLOOKUP($CP596,Control_Savings_Exterior,IM$30,FALSE))</f>
        <v>#N/A</v>
      </c>
      <c r="IN596" s="1351" t="e">
        <f>IF($CO596="interior",ROUND(((1-IL596)*IM596)+IL596,2),VLOOKUP($CP596,Control_Savings_Exterior,IN$30,FALSE))</f>
        <v>#N/A</v>
      </c>
      <c r="IO596" s="1351" t="e">
        <f>IF($CO596="interior", ROUND(((1-IL596)*(IM596*(1-IP$28)))+IP596,2), VLOOKUP($CP596,Control_Savings_Exterior,IO$30,FALSE))</f>
        <v>#N/A</v>
      </c>
      <c r="IP596" s="1351">
        <f>IF($CO596="interior",ROUND(((1-IL596)*IP$28)+IL596,2),0)</f>
        <v>0</v>
      </c>
    </row>
    <row r="597" spans="1:250" s="82" customFormat="1" ht="14.95" customHeight="1" thickTop="1" thickBot="1">
      <c r="B597" s="1421"/>
      <c r="C597" s="1422"/>
      <c r="D597" s="1423"/>
      <c r="E597" s="1393" t="s">
        <v>244</v>
      </c>
      <c r="F597" s="1394"/>
      <c r="G597" s="1395"/>
      <c r="H597" s="1395"/>
      <c r="I597" s="1395"/>
      <c r="J597" s="1395"/>
      <c r="K597" s="1395"/>
      <c r="L597" s="1395"/>
      <c r="M597" s="509" t="e">
        <f>IF(__Retrofit_TI_NC&lt;&gt;0,IF(VLOOKUP(G598,'Space Table'!$B$3:$L$160,3,FALSE)&gt;0,1,0),IF(__Retrofit_TI_NC=VLOOKUP(G598,'Space Table'!$B$3:$L$160,3,FALSE),1,0))</f>
        <v>#N/A</v>
      </c>
      <c r="N597" s="509" t="str">
        <f>IFERROR(VLOOKUP(G597,_Lookup_Heat_Type_Table_New,2,FALSE),"")</f>
        <v/>
      </c>
      <c r="O597" s="509">
        <f>IF(__Retrofit_TI_NC=1,CONCATENATE("TI ",G597),IF(__Retrofit_TI_NC=2,CONCATENATE("NC ",G597),G597))</f>
        <v>0</v>
      </c>
      <c r="P597" s="1396" t="s">
        <v>352</v>
      </c>
      <c r="Q597" s="1396"/>
      <c r="R597" s="673"/>
      <c r="S597" s="1429"/>
      <c r="T597" s="675"/>
      <c r="U597" s="1496"/>
      <c r="V597" s="1497"/>
      <c r="W597" s="1497"/>
      <c r="X597" s="1497"/>
      <c r="Y597" s="1497"/>
      <c r="Z597" s="1497"/>
      <c r="AA597" s="1497"/>
      <c r="AB597" s="1497"/>
      <c r="AC597" s="1497"/>
      <c r="AD597" s="1498"/>
      <c r="AE597" s="675"/>
      <c r="AF597" s="1397"/>
      <c r="AG597" s="1397"/>
      <c r="AH597" s="1397"/>
      <c r="AI597" s="1397"/>
      <c r="AJ597" s="1434"/>
      <c r="AK597" s="1436"/>
      <c r="AL597" s="1438"/>
      <c r="AM597" s="1441"/>
      <c r="AN597" s="1442"/>
      <c r="AO597" s="1447"/>
      <c r="AP597" s="1447"/>
      <c r="AQ597" s="1448"/>
      <c r="AR597" s="1452"/>
      <c r="AS597" s="1455"/>
      <c r="AT597" s="1458"/>
      <c r="AU597" s="516"/>
      <c r="AV597" s="1479"/>
      <c r="AW597" s="1479"/>
      <c r="BC597" s="38"/>
      <c r="BD597" s="38"/>
      <c r="BE597" s="38"/>
      <c r="BF597" s="38"/>
      <c r="BG597" s="38"/>
      <c r="BH597" s="38"/>
      <c r="BI597" s="38"/>
      <c r="BJ597" s="38"/>
      <c r="BK597" s="38"/>
      <c r="BL597" s="38"/>
      <c r="BM597" s="38"/>
      <c r="BN597" s="38"/>
      <c r="BO597" s="38"/>
      <c r="BP597" s="38"/>
      <c r="BQ597" s="38"/>
      <c r="BR597" s="38"/>
      <c r="BS597" s="38"/>
      <c r="BT597" s="38"/>
      <c r="BU597" s="38"/>
      <c r="BV597" s="38"/>
      <c r="BW597" s="38"/>
      <c r="BX597" s="38"/>
      <c r="BY597" s="38"/>
      <c r="BZ597" s="38"/>
      <c r="CA597" s="38"/>
      <c r="CB597" s="38"/>
      <c r="CC597" s="38"/>
      <c r="CD597" s="38"/>
      <c r="CE597" s="38"/>
      <c r="CF597" s="38"/>
      <c r="CG597" s="38"/>
      <c r="CH597" s="38"/>
      <c r="CI597" s="38"/>
      <c r="CM597" s="1352"/>
      <c r="CN597" s="1352"/>
      <c r="CO597" s="1416"/>
      <c r="CP597" s="1418"/>
      <c r="CR597" s="1386"/>
      <c r="CS597" s="1355"/>
      <c r="CT597" s="1355"/>
      <c r="CU597" s="1355"/>
      <c r="CV597" s="1372"/>
      <c r="CW597" s="1372"/>
      <c r="CX597" s="1371"/>
      <c r="CY597" s="1486"/>
      <c r="CZ597" s="1486"/>
      <c r="DA597" s="1486"/>
      <c r="DC597" s="1355"/>
      <c r="DD597" s="1461"/>
      <c r="DE597" s="1355"/>
      <c r="DF597" s="1407"/>
      <c r="DG597" s="1372"/>
      <c r="DH597" s="1369"/>
      <c r="DJ597" s="1484"/>
      <c r="DL597" s="1419"/>
      <c r="DN597" s="1403"/>
      <c r="DO597" s="1405"/>
      <c r="DP597" s="1354"/>
      <c r="DQ597" s="1405"/>
      <c r="DR597" s="1403"/>
      <c r="DS597" s="1489"/>
      <c r="DU597" s="1403"/>
      <c r="DV597" s="1405"/>
      <c r="DW597" s="1403"/>
      <c r="DX597" s="1403"/>
      <c r="DZ597" s="1481"/>
      <c r="EA597" s="1481"/>
      <c r="EC597" s="1482"/>
      <c r="ED597" s="1369"/>
      <c r="EE597" s="1371"/>
      <c r="EF597" s="1369"/>
      <c r="EG597" s="1369"/>
      <c r="EH597" s="1374"/>
      <c r="EI597" s="1374"/>
      <c r="EJ597" s="1363"/>
      <c r="EK597" s="1376"/>
      <c r="EL597" s="1376"/>
      <c r="EM597" s="1362"/>
      <c r="EN597" s="1362"/>
      <c r="EO597" s="1363"/>
      <c r="EP597" s="1363"/>
      <c r="EQ597" s="1363"/>
      <c r="ES597" s="1403"/>
      <c r="EU597" s="1411"/>
      <c r="EV597" s="1411"/>
      <c r="EW597" s="1411"/>
      <c r="EX597" s="1411"/>
      <c r="EY597" s="1411"/>
      <c r="EZ597" s="1413"/>
      <c r="FB597" s="1365"/>
      <c r="FD597" s="1354"/>
      <c r="FE597" s="1354"/>
      <c r="FF597" s="138"/>
      <c r="FI597" s="1357"/>
      <c r="FJ597" s="1357"/>
      <c r="FK597" s="1365"/>
      <c r="FL597" s="1365"/>
      <c r="FM597" s="1365"/>
      <c r="FO597" s="1361"/>
      <c r="FP597" s="1361"/>
      <c r="FQ597" s="1366"/>
      <c r="FR597" s="1368"/>
      <c r="FS597" s="1361"/>
      <c r="FT597" s="1368"/>
      <c r="FU597" s="1360"/>
      <c r="FW597" s="1352"/>
      <c r="FX597" s="1352"/>
      <c r="FY597" s="1352"/>
      <c r="FZ597" s="1352"/>
      <c r="GA597" s="1352"/>
      <c r="GB597" s="1352"/>
      <c r="GC597" s="1352"/>
      <c r="GD597" s="1352"/>
      <c r="GE597" s="759"/>
      <c r="GF597" s="1035"/>
      <c r="GG597" s="1385"/>
      <c r="GI597" s="1384" t="b">
        <f>IF(AND(GL597=TRUE,GM597=TRUE),TRUE,FALSE)</f>
        <v>0</v>
      </c>
      <c r="GJ597" s="1379" t="b">
        <f>IFERROR(IF(__Retrofit_TI_NC=2,TRUE,IF(AR596="Yes",TRUE,FALSE)),FALSE)</f>
        <v>1</v>
      </c>
      <c r="GL597" s="1379" t="b">
        <f>IFERROR(IF(GL596=1,TRUE,FALSE),FALSE)</f>
        <v>0</v>
      </c>
      <c r="GM597" s="1379" t="b">
        <f>IFERROR(IF(GM596=GM$14,TRUE,FALSE),FALSE)</f>
        <v>0</v>
      </c>
      <c r="HC597" s="1379" t="b">
        <f>IFERROR(IF(M597=1,TRUE,FALSE),FALSE)</f>
        <v>0</v>
      </c>
      <c r="HD597" s="1379" t="b">
        <f>IFERROR(IF(M598=1,TRUE,FALSE),FALSE)</f>
        <v>0</v>
      </c>
      <c r="HE597" s="1379" t="b">
        <f>IFERROR(IF(__Retrofit_TI_NC&lt;&gt;0,TRUE,IFERROR(IF(VLOOKUP(U597,Fixtures_Existing_List,2,FALSE)&lt;&gt;"",TRUE,FALSE),FALSE)),FALSE)</f>
        <v>0</v>
      </c>
      <c r="HF597" s="1379" t="b">
        <f>IFERROR(IF(VLOOKUP(U598,Fixtures_Proposed_List,2,FALSE)&lt;&gt;"",TRUE,FALSE),FALSE)</f>
        <v>0</v>
      </c>
      <c r="HG597" s="1379" t="b">
        <f>IF(AND(__Retrofit_TI_NC=2,EZ596=TRUE),FALSE,TRUE)</f>
        <v>1</v>
      </c>
      <c r="HH597" s="1379" t="b">
        <f>GG596</f>
        <v>1</v>
      </c>
      <c r="HI597" s="1384" t="b">
        <f>IF(ISERROR(MATCH(FB596,_Control_Match[],0))=TRUE,FALSE,TRUE)</f>
        <v>0</v>
      </c>
      <c r="HJ597" s="1384" t="b">
        <f>IFERROR(IF(EU596&lt;&gt;EV596,FALSE,TRUE),FALSE)</f>
        <v>0</v>
      </c>
      <c r="HK597" s="1384" t="b">
        <f>IFERROR(IF(EU598&lt;&gt;EV598,FALSE,TRUE),FALSE)</f>
        <v>0</v>
      </c>
      <c r="HL597" s="1379" t="b">
        <f>IFERROR(IF(CN596="Exterior",TRUE,IF(OR(AND(FJ596=0,EW598&gt;4),AND(FJ596=4,EW598&gt;4,EW598&lt;7)),FALSE,TRUE)),FALSE)</f>
        <v>0</v>
      </c>
      <c r="HM597" s="1379" t="b">
        <f>IFERROR(IF(AND(FL598=7,EZ596=TRUE),FALSE,TRUE),FALSE)</f>
        <v>0</v>
      </c>
      <c r="HN597" s="1379" t="b">
        <f>IFERROR(IF(AND(T598&lt;&gt;AE598,AF598="Interior LLLC")=TRUE,FALSE,TRUE),FALSE)</f>
        <v>1</v>
      </c>
      <c r="HO597" s="1379" t="b">
        <f>IFERROR(IF(OR(AF598=Lookup!AU$13,AF598=Lookup!AU$14)=TRUE,IF(AE598&gt;T598,FALSE,TRUE),TRUE),FALSE)</f>
        <v>1</v>
      </c>
      <c r="HP597" s="1379" t="b">
        <f>IFERROR(IF(__Retrofit_TI_NC=2,IF(EW598&lt;EW596,FALSE,TRUE),TRUE),FALSE)</f>
        <v>1</v>
      </c>
      <c r="HQ597" s="1379" t="b">
        <f>IF(CN596="Interior",IG$6,TRUE)</f>
        <v>1</v>
      </c>
      <c r="HR597" s="1379" t="b">
        <f>IF(CN596="Exterior",IG$8,TRUE)</f>
        <v>1</v>
      </c>
      <c r="HS597" s="1379" t="b">
        <f>IFERROR(IF(__Retrofit_TI_NC&lt;&gt;0,IF(AW596&lt;AV596,FALSE,TRUE),TRUE),FALSE)</f>
        <v>1</v>
      </c>
      <c r="HT597" s="1379" t="b">
        <f>IFERROR(IF(AND(G597="Exterior",R597&gt;4200),FALSE,TRUE),FALSE)</f>
        <v>1</v>
      </c>
      <c r="HU597" s="1379" t="b">
        <f>IFERROR(IF(AB599/AB596&lt;HU$18,FALSE,TRUE),FALSE)</f>
        <v>0</v>
      </c>
      <c r="HW597" s="1382"/>
      <c r="HX597" s="1378"/>
      <c r="HY597" s="1377" t="str">
        <f>VLOOKUP(HW599,_Error_Table,4,FALSE)</f>
        <v>White</v>
      </c>
      <c r="HZ597" s="436"/>
      <c r="IA597" s="1386"/>
      <c r="IB597" s="1380"/>
      <c r="IC597" s="1379"/>
      <c r="IF597" s="1380"/>
      <c r="IG597" s="1382"/>
      <c r="IH597" s="1382"/>
      <c r="II597" s="1382"/>
      <c r="IK597" s="1351"/>
      <c r="IL597" s="1351"/>
      <c r="IM597" s="1351"/>
      <c r="IN597" s="1351"/>
      <c r="IO597" s="1351"/>
      <c r="IP597" s="1351"/>
    </row>
    <row r="598" spans="1:250" s="82" customFormat="1" ht="14.95" customHeight="1" thickTop="1" thickBot="1">
      <c r="A598" s="82">
        <f>ROW()</f>
        <v>598</v>
      </c>
      <c r="B598" s="1421"/>
      <c r="C598" s="1422"/>
      <c r="D598" s="1423"/>
      <c r="E598" s="1393" t="s">
        <v>245</v>
      </c>
      <c r="F598" s="1394"/>
      <c r="G598" s="1398"/>
      <c r="H598" s="1399"/>
      <c r="I598" s="1399"/>
      <c r="J598" s="1399"/>
      <c r="K598" s="1399"/>
      <c r="L598" s="1400"/>
      <c r="M598" s="509">
        <f>IFERROR(IF(IF(__Retrofit_TI_NC&lt;&gt;0,IF(CN596="Interior",MATCH(G598,Lookup_Interior_New,0),MATCH(G598,Lookup_Exterior_New,0)),IF(CN596="Interior",MATCH(G598,Lookup_Interior,0),MATCH(G598,Lookup_Exterior_Areas,0)))&gt;0,1,0),0)</f>
        <v>0</v>
      </c>
      <c r="N598" s="509" t="e">
        <f>IF(__Retrofit_TI_NC=1,
VLOOKUP(G598,'Space Table'!$B$3:$L$160,4,FALSE),
IF(__Retrofit_TI_NC=2,VLOOKUP(G598,'Space Table'!$B$3:$L$160,5,FALSE),VLOOKUP(G598,'Space Table'!$B$3:$L$160,5,FALSE)))</f>
        <v>#N/A</v>
      </c>
      <c r="O598" s="509">
        <f>G598</f>
        <v>0</v>
      </c>
      <c r="P598" s="1394" t="s">
        <v>355</v>
      </c>
      <c r="Q598" s="1394"/>
      <c r="R598" s="674"/>
      <c r="S598" s="1401" t="s">
        <v>284</v>
      </c>
      <c r="T598" s="672"/>
      <c r="U598" s="1499"/>
      <c r="V598" s="1500"/>
      <c r="W598" s="1500"/>
      <c r="X598" s="1500"/>
      <c r="Y598" s="1500"/>
      <c r="Z598" s="1500"/>
      <c r="AA598" s="1500"/>
      <c r="AB598" s="1501"/>
      <c r="AC598" s="1501"/>
      <c r="AD598" s="1502"/>
      <c r="AE598" s="672"/>
      <c r="AF598" s="1474"/>
      <c r="AG598" s="1474"/>
      <c r="AH598" s="1474"/>
      <c r="AI598" s="1474"/>
      <c r="AJ598" s="1475">
        <f>DF598</f>
        <v>0</v>
      </c>
      <c r="AK598" s="1470" t="str">
        <f>IFERROR(ROUND(AJ598*AC599,0),"")</f>
        <v/>
      </c>
      <c r="AL598" s="1472">
        <f>IFERROR(IF(HW596=FALSE,0,AC599-AK598),0)</f>
        <v>0</v>
      </c>
      <c r="AM598" s="1441"/>
      <c r="AN598" s="1442"/>
      <c r="AO598" s="1447"/>
      <c r="AP598" s="1447"/>
      <c r="AQ598" s="1448"/>
      <c r="AR598" s="1452"/>
      <c r="AS598" s="1455"/>
      <c r="AT598" s="1458"/>
      <c r="AU598" s="516"/>
      <c r="AV598" s="1479"/>
      <c r="AW598" s="1479"/>
      <c r="BC598" s="38"/>
      <c r="BD598" s="38"/>
      <c r="BE598" s="38"/>
      <c r="BF598" s="38"/>
      <c r="BG598" s="38"/>
      <c r="BH598" s="38"/>
      <c r="BI598" s="38"/>
      <c r="BJ598" s="38"/>
      <c r="BK598" s="38"/>
      <c r="BL598" s="38"/>
      <c r="BM598" s="38"/>
      <c r="BN598" s="38"/>
      <c r="BO598" s="38"/>
      <c r="BP598" s="38"/>
      <c r="BQ598" s="38"/>
      <c r="BR598" s="38"/>
      <c r="BS598" s="38"/>
      <c r="BT598" s="38"/>
      <c r="BU598" s="38"/>
      <c r="BV598" s="38"/>
      <c r="BW598" s="38"/>
      <c r="BX598" s="38"/>
      <c r="BY598" s="38"/>
      <c r="BZ598" s="38"/>
      <c r="CA598" s="38"/>
      <c r="CB598" s="38"/>
      <c r="CC598" s="38"/>
      <c r="CD598" s="38"/>
      <c r="CE598" s="38"/>
      <c r="CF598" s="38"/>
      <c r="CG598" s="38"/>
      <c r="CH598" s="38"/>
      <c r="CI598" s="38"/>
      <c r="CM598" s="1352"/>
      <c r="CN598" s="1352"/>
      <c r="CO598" s="1415" t="str">
        <f>CN596</f>
        <v/>
      </c>
      <c r="CP598" s="1417" t="e">
        <f>CP596</f>
        <v>#N/A</v>
      </c>
      <c r="CR598" s="1386" t="s">
        <v>284</v>
      </c>
      <c r="CS598" s="1353">
        <f>IF(HW596=TRUE,T598,0)</f>
        <v>0</v>
      </c>
      <c r="CT598" s="1353" t="str">
        <f>IF(HW596=TRUE,U598,"")</f>
        <v/>
      </c>
      <c r="CU598" s="1373">
        <f>IF(HW596=TRUE,U599,0)</f>
        <v>0</v>
      </c>
      <c r="CV598" s="1370">
        <f>IF(HW596=TRUE,AB599,0)</f>
        <v>0</v>
      </c>
      <c r="CW598" s="1370">
        <f>IF(HW596=TRUE,AC599,0)</f>
        <v>0</v>
      </c>
      <c r="CX598" s="1371"/>
      <c r="CY598" s="1486"/>
      <c r="CZ598" s="1486"/>
      <c r="DA598" s="1486"/>
      <c r="DC598" s="1353">
        <f>IF(HW596=TRUE,AE598,0)</f>
        <v>0</v>
      </c>
      <c r="DD598" s="1353" t="str">
        <f>IF(HW596=TRUE,AF598,"")</f>
        <v/>
      </c>
      <c r="DE598" s="1373">
        <f>AF599</f>
        <v>0</v>
      </c>
      <c r="DF598" s="1406">
        <f>IFERROR(IF(FL598=3,IK598,IF(FL598=4,IL598,IF(FL598=5,IM598,IF(FL598=6,IN598,IF(FL598=7,IO598,IF(FL598=8,IP598,0)))))),0)</f>
        <v>0</v>
      </c>
      <c r="DG598" s="1370">
        <f>IF(HW596=TRUE,AK598,0)</f>
        <v>0</v>
      </c>
      <c r="DH598" s="1369"/>
      <c r="DK598" s="1483">
        <f>IFERROR(CW598-DG598,0)</f>
        <v>0</v>
      </c>
      <c r="DL598" s="1420"/>
      <c r="DN598" s="1403"/>
      <c r="DO598" s="1477" t="str">
        <f>DN596</f>
        <v/>
      </c>
      <c r="DP598" s="1354"/>
      <c r="DQ598" s="1477" t="str">
        <f>IF(DP596=7,"LLLC","")</f>
        <v/>
      </c>
      <c r="DR598" s="1403"/>
      <c r="DS598" s="1489"/>
      <c r="DU598" s="1403"/>
      <c r="DV598" s="1404" t="str">
        <f>DU596</f>
        <v/>
      </c>
      <c r="DW598" s="1403"/>
      <c r="DX598" s="1403"/>
      <c r="DZ598" s="1481"/>
      <c r="EA598" s="1481"/>
      <c r="EC598" s="1482"/>
      <c r="ED598" s="1369"/>
      <c r="EE598" s="1371"/>
      <c r="EF598" s="1369"/>
      <c r="EG598" s="1369"/>
      <c r="EH598" s="1374"/>
      <c r="EI598" s="1374"/>
      <c r="EJ598" s="1363"/>
      <c r="EK598" s="1376"/>
      <c r="EL598" s="1376"/>
      <c r="EM598" s="1362"/>
      <c r="EN598" s="1362"/>
      <c r="EO598" s="1363"/>
      <c r="EP598" s="1363"/>
      <c r="EQ598" s="1363"/>
      <c r="ES598" s="1403"/>
      <c r="EU598" s="1411" t="e">
        <f>VLOOKUP(CP598,'Space Table'!$B$3:$L$160,8,FALSE)</f>
        <v>#N/A</v>
      </c>
      <c r="EV598" s="1411" t="e">
        <f>IF(EY598="Yes",VLOOKUP(AF598,Lookup_Control_Type_Table2,4,FALSE),VLOOKUP(AF598,Lookup_Control_Type_Table2,3,FALSE))</f>
        <v>#N/A</v>
      </c>
      <c r="EW598" s="1411" t="e">
        <f>VLOOKUP(AF598,Lookup!AU$3:AV$15,2,FALSE)</f>
        <v>#N/A</v>
      </c>
      <c r="EX598" s="1411" t="e">
        <f>VLOOKUP(EU596,Lookup_Control_Type_Table,2,FALSE)</f>
        <v>#N/A</v>
      </c>
      <c r="EY598" s="1411" t="e">
        <f>VLOOKUP(CP598,'Space Table'!$B$3:$L$160,7,FALSE)</f>
        <v>#N/A</v>
      </c>
      <c r="EZ598" s="1413"/>
      <c r="FB598" s="1365" t="str">
        <f>CONCATENATE(CN596," - ",AF598)</f>
        <v xml:space="preserve"> - </v>
      </c>
      <c r="FD598" s="1354"/>
      <c r="FE598" s="1354"/>
      <c r="FF598" s="138"/>
      <c r="FI598" s="1356" t="str">
        <f>IF(CN596="Exterior","Not Daylighted",G599)</f>
        <v>Not Daylighted</v>
      </c>
      <c r="FJ598" s="1356">
        <f>VLOOKUP(FI598,_Daylight_Table_Codes,2,FALSE)</f>
        <v>0</v>
      </c>
      <c r="FK598" s="1365">
        <f>AF598</f>
        <v>0</v>
      </c>
      <c r="FL598" s="1365" t="e">
        <f>VLOOKUP(FK598,_Control_Table,2,FALSE)</f>
        <v>#N/A</v>
      </c>
      <c r="FM598" s="1365" t="e">
        <f>IF(AND(FP598&gt;0,FK598="Occupancy Sensor"),"Daylight + Occupancy",IF(AND(FP598&gt;0,FL598&lt;4),"Interior Daylight Dimming",FK598))</f>
        <v>#N/A</v>
      </c>
      <c r="FO598" s="1364">
        <f>IF(CN596="Interior",VLOOKUP(CP596,Control_Savings_Interior,5,FALSE),0)</f>
        <v>0</v>
      </c>
      <c r="FP598" s="1361">
        <f>IF(CN598="Exterior",0,IF(FJ598=2,0.5,IF(OR(FJ598=1,FJ598=3),1,0)))</f>
        <v>0</v>
      </c>
      <c r="FQ598" s="1366">
        <f>IF(R597&gt;FO$37,(FO598*(FO$37/R597)),FO598)*FP598</f>
        <v>0</v>
      </c>
      <c r="FR598" s="1364">
        <f>DF598</f>
        <v>0</v>
      </c>
      <c r="FS598" s="1364">
        <f>ROUND(FR598+((1-FR598)*FQ598),2)</f>
        <v>0</v>
      </c>
      <c r="FT598" s="1364">
        <f>IF(__Retrofit_TI_NC=2,FS598,FR598)</f>
        <v>0</v>
      </c>
      <c r="FU598" s="1360">
        <f>IF(CO598="Interior",VLOOKUP(CP598,Control_Savings_Interior,4,FALSE),0)</f>
        <v>0</v>
      </c>
      <c r="FW598" s="1352"/>
      <c r="FX598" s="1352"/>
      <c r="FY598" s="1352"/>
      <c r="FZ598" s="1352"/>
      <c r="GA598" s="1352"/>
      <c r="GB598" s="1352"/>
      <c r="GC598" s="1352"/>
      <c r="GD598" s="1352"/>
      <c r="GE598" s="759" t="b">
        <f>IF(ISNUMBER(SEARCH("TLED",U598)),TRUE,FALSE)</f>
        <v>0</v>
      </c>
      <c r="GF598" s="1035" t="str">
        <f>IFERROR(VLOOKUP(U598,Fixtures!DM$93:DR$142,6,FALSE),"")</f>
        <v/>
      </c>
      <c r="GG598" s="1385"/>
      <c r="GI598" s="1383"/>
      <c r="GJ598" s="1379"/>
      <c r="GL598" s="1379"/>
      <c r="GM598" s="1379"/>
      <c r="HC598" s="1379"/>
      <c r="HD598" s="1379"/>
      <c r="HE598" s="1379"/>
      <c r="HF598" s="1379"/>
      <c r="HG598" s="1379"/>
      <c r="HH598" s="1379"/>
      <c r="HI598" s="1383"/>
      <c r="HJ598" s="1383"/>
      <c r="HK598" s="1383"/>
      <c r="HL598" s="1379"/>
      <c r="HM598" s="1379"/>
      <c r="HN598" s="1379"/>
      <c r="HO598" s="1379"/>
      <c r="HP598" s="1379"/>
      <c r="HQ598" s="1379"/>
      <c r="HR598" s="1379"/>
      <c r="HS598" s="1379"/>
      <c r="HT598" s="1379"/>
      <c r="HU598" s="1379"/>
      <c r="HW598" s="1383"/>
      <c r="HX598" s="1384" t="b">
        <f>HW596</f>
        <v>0</v>
      </c>
      <c r="HY598" s="1378"/>
      <c r="HZ598" s="436"/>
      <c r="IA598" s="1386"/>
      <c r="IB598" s="1380">
        <f>IF(IA596=TRUE,AC599,0)</f>
        <v>0</v>
      </c>
      <c r="IC598" s="1379"/>
      <c r="IF598" s="1380" t="e">
        <f>ROUND(T598*AB599*N597*R597/1000,0)</f>
        <v>#VALUE!</v>
      </c>
      <c r="IG598" s="1382"/>
      <c r="IH598" s="1384" t="e">
        <f>ROUND(T598*AB599*N597*R597/1000,0)</f>
        <v>#VALUE!</v>
      </c>
      <c r="II598" s="1382"/>
      <c r="IK598" s="1351" t="e">
        <f>IF($CO598="interior",IL598/2,VLOOKUP($CP598,Control_Savings_Exterior,IK$30,FALSE))</f>
        <v>#N/A</v>
      </c>
      <c r="IL598" s="1351" t="e">
        <f>IF($CO598="interior",VLOOKUP($CP598,Control_Savings_Interior,IL$30,FALSE),VLOOKUP($CP598,Control_Savings_Exterior,IL$30,FALSE))</f>
        <v>#N/A</v>
      </c>
      <c r="IM598" s="1351" t="e">
        <f>IF($CO598="interior",IF(R597&gt;FO$37,(IM$28*(FO$37/R597)),IM$28)*FP598,VLOOKUP($CP598,Control_Savings_Exterior,IM$30,FALSE))</f>
        <v>#N/A</v>
      </c>
      <c r="IN598" s="1351" t="e">
        <f>IF($CO598="interior",ROUND(((1-IL598)*IM598)+IL598,2),VLOOKUP($CP598,Control_Savings_Exterior,IN$30,FALSE))</f>
        <v>#N/A</v>
      </c>
      <c r="IO598" s="1351" t="e">
        <f>IF($CO598="interior", ROUND(((1-IL598)*(IM598*(1-IP$28)))+IP598,2), VLOOKUP($CP598,Control_Savings_Exterior,IO$30,FALSE))</f>
        <v>#N/A</v>
      </c>
      <c r="IP598" s="1351">
        <f>IF($CO598="interior",ROUND(((1-IL598)*IP$28)+IL598,2),0)</f>
        <v>0</v>
      </c>
    </row>
    <row r="599" spans="1:250" s="82" customFormat="1" ht="14.95" customHeight="1" thickTop="1" thickBot="1">
      <c r="B599" s="1421"/>
      <c r="C599" s="1422"/>
      <c r="D599" s="1423"/>
      <c r="E599" s="1462" t="s">
        <v>357</v>
      </c>
      <c r="F599" s="1463"/>
      <c r="G599" s="1464" t="s">
        <v>362</v>
      </c>
      <c r="H599" s="1465"/>
      <c r="I599" s="1465"/>
      <c r="J599" s="1465"/>
      <c r="K599" s="1465"/>
      <c r="L599" s="1466"/>
      <c r="M599" s="669">
        <f>IFERROR(VLOOKUP(G599,_Daylight_Table[],2,FALSE),0)</f>
        <v>0</v>
      </c>
      <c r="N599" s="670"/>
      <c r="O599" s="669" t="e">
        <f>VLOOKUP(G598,'Space Table'!$B$3:$L$160,11,FALSE)</f>
        <v>#N/A</v>
      </c>
      <c r="P599" s="1408"/>
      <c r="Q599" s="1409"/>
      <c r="R599" s="1409"/>
      <c r="S599" s="1402"/>
      <c r="T599" s="671" t="s">
        <v>281</v>
      </c>
      <c r="U599" s="1467" t="str">
        <f>IFERROR(VLOOKUP(U598,Fixtures!DM$93:DP$142,4,FALSE),"")</f>
        <v/>
      </c>
      <c r="V599" s="1468"/>
      <c r="W599" s="1468"/>
      <c r="X599" s="1468"/>
      <c r="Y599" s="1468"/>
      <c r="Z599" s="1468"/>
      <c r="AA599" s="1468"/>
      <c r="AB599" s="1046" t="str">
        <f>IFERROR(VLOOKUP(U598,Fixtures_Proposed_List,2,FALSE),"")</f>
        <v/>
      </c>
      <c r="AC599" s="1036" t="str">
        <f>IFERROR(ROUND(T598*AB599*N597*R597/1000,0),"")</f>
        <v/>
      </c>
      <c r="AD599" s="1037" t="str">
        <f>IFERROR(ROUND(T598*AB599/1000,2),"")</f>
        <v/>
      </c>
      <c r="AE599" s="1045" t="s">
        <v>281</v>
      </c>
      <c r="AF599" s="1469"/>
      <c r="AG599" s="1469"/>
      <c r="AH599" s="1469"/>
      <c r="AI599" s="1469"/>
      <c r="AJ599" s="1476"/>
      <c r="AK599" s="1471"/>
      <c r="AL599" s="1473"/>
      <c r="AM599" s="1443"/>
      <c r="AN599" s="1444"/>
      <c r="AO599" s="1449"/>
      <c r="AP599" s="1449"/>
      <c r="AQ599" s="1450"/>
      <c r="AR599" s="1453"/>
      <c r="AS599" s="1456"/>
      <c r="AT599" s="1459"/>
      <c r="AU599" s="517"/>
      <c r="AV599" s="1480"/>
      <c r="AW599" s="1480"/>
      <c r="BC599" s="38"/>
      <c r="BD599" s="38"/>
      <c r="BE599" s="38"/>
      <c r="BF599" s="38"/>
      <c r="BG599" s="38"/>
      <c r="BH599" s="38"/>
      <c r="BI599" s="38"/>
      <c r="BJ599" s="38"/>
      <c r="BK599" s="38"/>
      <c r="BL599" s="38"/>
      <c r="BM599" s="38"/>
      <c r="BN599" s="38"/>
      <c r="BO599" s="38"/>
      <c r="BP599" s="38"/>
      <c r="BQ599" s="38"/>
      <c r="BR599" s="38"/>
      <c r="BS599" s="38"/>
      <c r="BT599" s="38"/>
      <c r="BU599" s="38"/>
      <c r="BV599" s="38"/>
      <c r="BW599" s="38"/>
      <c r="BX599" s="38"/>
      <c r="BY599" s="38"/>
      <c r="BZ599" s="38"/>
      <c r="CA599" s="38"/>
      <c r="CB599" s="38"/>
      <c r="CC599" s="38"/>
      <c r="CD599" s="38"/>
      <c r="CE599" s="38"/>
      <c r="CF599" s="38"/>
      <c r="CG599" s="38"/>
      <c r="CH599" s="38"/>
      <c r="CI599" s="38"/>
      <c r="CM599" s="1352"/>
      <c r="CN599" s="1352"/>
      <c r="CO599" s="1416"/>
      <c r="CP599" s="1418"/>
      <c r="CR599" s="1386"/>
      <c r="CS599" s="1355"/>
      <c r="CT599" s="1355"/>
      <c r="CU599" s="1375"/>
      <c r="CV599" s="1372"/>
      <c r="CW599" s="1372"/>
      <c r="CX599" s="1372"/>
      <c r="CY599" s="1487"/>
      <c r="CZ599" s="1487"/>
      <c r="DA599" s="1487"/>
      <c r="DC599" s="1355"/>
      <c r="DD599" s="1355"/>
      <c r="DE599" s="1375"/>
      <c r="DF599" s="1407"/>
      <c r="DG599" s="1372"/>
      <c r="DH599" s="1369"/>
      <c r="DK599" s="1484"/>
      <c r="DL599" s="1420"/>
      <c r="DN599" s="1403"/>
      <c r="DO599" s="1405"/>
      <c r="DP599" s="1355"/>
      <c r="DQ599" s="1405"/>
      <c r="DR599" s="1403"/>
      <c r="DS599" s="1489"/>
      <c r="DU599" s="1403"/>
      <c r="DV599" s="1405"/>
      <c r="DW599" s="1403"/>
      <c r="DX599" s="1403"/>
      <c r="DZ599" s="1481"/>
      <c r="EA599" s="1481"/>
      <c r="EC599" s="1482"/>
      <c r="ED599" s="1369"/>
      <c r="EE599" s="1372"/>
      <c r="EF599" s="1369"/>
      <c r="EG599" s="1369"/>
      <c r="EH599" s="1375"/>
      <c r="EI599" s="1375"/>
      <c r="EJ599" s="1363"/>
      <c r="EK599" s="1376"/>
      <c r="EL599" s="1376"/>
      <c r="EM599" s="1362"/>
      <c r="EN599" s="1362"/>
      <c r="EO599" s="1363"/>
      <c r="EP599" s="1363"/>
      <c r="EQ599" s="1363"/>
      <c r="ES599" s="1403"/>
      <c r="EU599" s="1488"/>
      <c r="EV599" s="1488"/>
      <c r="EW599" s="1488"/>
      <c r="EX599" s="1488"/>
      <c r="EY599" s="1488"/>
      <c r="EZ599" s="1414"/>
      <c r="FB599" s="1365"/>
      <c r="FD599" s="1355"/>
      <c r="FE599" s="1355"/>
      <c r="FF599" s="138"/>
      <c r="FI599" s="1357"/>
      <c r="FJ599" s="1357"/>
      <c r="FK599" s="1365"/>
      <c r="FL599" s="1365"/>
      <c r="FM599" s="1365"/>
      <c r="FO599" s="1361"/>
      <c r="FP599" s="1361"/>
      <c r="FQ599" s="1366"/>
      <c r="FR599" s="1361"/>
      <c r="FS599" s="1361"/>
      <c r="FT599" s="1361"/>
      <c r="FU599" s="1360"/>
      <c r="FW599" s="1352"/>
      <c r="FX599" s="1352"/>
      <c r="FY599" s="1352"/>
      <c r="FZ599" s="1352"/>
      <c r="GA599" s="1352"/>
      <c r="GB599" s="1352"/>
      <c r="GC599" s="1352"/>
      <c r="GD599" s="1352"/>
      <c r="GE599" s="759"/>
      <c r="GF599" s="1035"/>
      <c r="GG599" s="1385"/>
      <c r="GJ599" s="1034">
        <f>IF(GJ597=TRUE,0,GJ$16)</f>
        <v>0</v>
      </c>
      <c r="GL599" s="1034">
        <f>IF(GL597=TRUE,0,GL$16)</f>
        <v>36</v>
      </c>
      <c r="GM599" s="1034">
        <f>IF(GM597=TRUE,0,GM$16)</f>
        <v>35</v>
      </c>
      <c r="GN599" s="436"/>
      <c r="GO599" s="436"/>
      <c r="GP599" s="436"/>
      <c r="GQ599" s="436"/>
      <c r="GR599" s="436"/>
      <c r="HC599" s="1034">
        <f t="shared" ref="HC599:HH599" si="442">IF(HC597=TRUE,0,HC$16)</f>
        <v>19</v>
      </c>
      <c r="HD599" s="1034">
        <f t="shared" si="442"/>
        <v>18</v>
      </c>
      <c r="HE599" s="1034">
        <f t="shared" si="442"/>
        <v>17</v>
      </c>
      <c r="HF599" s="1034">
        <f t="shared" si="442"/>
        <v>16</v>
      </c>
      <c r="HG599" s="1034">
        <f t="shared" si="442"/>
        <v>0</v>
      </c>
      <c r="HH599" s="1034">
        <f t="shared" si="442"/>
        <v>0</v>
      </c>
      <c r="HI599" s="1034">
        <f>IF(HI597=TRUE,0,HI$16)</f>
        <v>13</v>
      </c>
      <c r="HJ599" s="1034">
        <f t="shared" ref="HJ599:HL599" si="443">IF(HJ597=TRUE,0,HJ$16)</f>
        <v>12</v>
      </c>
      <c r="HK599" s="1034">
        <f t="shared" si="443"/>
        <v>11</v>
      </c>
      <c r="HL599" s="1034">
        <f t="shared" si="443"/>
        <v>10</v>
      </c>
      <c r="HM599" s="1034">
        <f>IF(HM597=TRUE,0,HM$16)</f>
        <v>9</v>
      </c>
      <c r="HN599" s="1034">
        <f t="shared" ref="HN599:HR599" si="444">IF(HN597=TRUE,0,HN$16)</f>
        <v>0</v>
      </c>
      <c r="HO599" s="1034">
        <f t="shared" si="444"/>
        <v>0</v>
      </c>
      <c r="HP599" s="1034">
        <f t="shared" si="444"/>
        <v>0</v>
      </c>
      <c r="HQ599" s="1034">
        <f t="shared" si="444"/>
        <v>0</v>
      </c>
      <c r="HR599" s="1034">
        <f t="shared" si="444"/>
        <v>0</v>
      </c>
      <c r="HS599" s="1034">
        <f>IF(HS597=TRUE,0,HS$16)</f>
        <v>0</v>
      </c>
      <c r="HT599" s="1034">
        <f t="shared" ref="HT599" si="445">IF(HT597=TRUE,0,HT$16)</f>
        <v>0</v>
      </c>
      <c r="HU599" s="1034">
        <f>IF(HU597=TRUE,0,HU$16)</f>
        <v>1</v>
      </c>
      <c r="HW599" s="1034">
        <f>IF(GL597=FALSE,GL599,IF(GM597=FALSE,GM599,MAX(GJ599:HU599)))</f>
        <v>36</v>
      </c>
      <c r="HX599" s="1383"/>
      <c r="HY599" s="241" t="str">
        <f>VLOOKUP(HW599,_Error_Table,3,FALSE)</f>
        <v xml:space="preserve"> </v>
      </c>
      <c r="HZ599" s="241"/>
      <c r="IA599" s="1386"/>
      <c r="IB599" s="1380"/>
      <c r="IC599" s="1379"/>
      <c r="IF599" s="1380"/>
      <c r="IG599" s="1383"/>
      <c r="IH599" s="1383"/>
      <c r="II599" s="1383"/>
      <c r="IK599" s="1351"/>
      <c r="IL599" s="1351"/>
      <c r="IM599" s="1351"/>
      <c r="IN599" s="1351"/>
      <c r="IO599" s="1351"/>
      <c r="IP599" s="1351"/>
    </row>
    <row r="600" spans="1:250" s="82" customFormat="1" ht="5.0999999999999996" customHeight="1" thickBot="1">
      <c r="B600" s="763"/>
      <c r="C600" s="1038"/>
      <c r="D600" s="1038"/>
      <c r="E600" s="1490"/>
      <c r="F600" s="1490"/>
      <c r="G600" s="1490"/>
      <c r="H600" s="1490"/>
      <c r="I600" s="1490"/>
      <c r="J600" s="1490"/>
      <c r="K600" s="1490"/>
      <c r="L600" s="1490"/>
      <c r="M600" s="1490"/>
      <c r="N600" s="1490"/>
      <c r="O600" s="1490"/>
      <c r="P600" s="1490"/>
      <c r="Q600" s="1490"/>
      <c r="R600" s="1490"/>
      <c r="S600" s="1490"/>
      <c r="T600" s="1490"/>
      <c r="U600" s="1490"/>
      <c r="V600" s="1490"/>
      <c r="W600" s="1490"/>
      <c r="X600" s="1490"/>
      <c r="Y600" s="1490"/>
      <c r="Z600" s="1490"/>
      <c r="AA600" s="1490"/>
      <c r="AB600" s="1490"/>
      <c r="AC600" s="1490"/>
      <c r="AD600" s="1490"/>
      <c r="AE600" s="1490"/>
      <c r="AF600" s="1490"/>
      <c r="AG600" s="1490"/>
      <c r="AH600" s="1490"/>
      <c r="AI600" s="1490"/>
      <c r="AJ600" s="1490"/>
      <c r="AK600" s="1490"/>
      <c r="AL600" s="1490"/>
      <c r="AM600" s="1490"/>
      <c r="AN600" s="1490"/>
      <c r="AO600" s="1490"/>
      <c r="AP600" s="1490"/>
      <c r="AQ600" s="1490"/>
      <c r="AR600" s="1490"/>
      <c r="AS600" s="1490"/>
      <c r="AT600" s="1490"/>
      <c r="AU600" s="1041"/>
      <c r="BC600" s="38"/>
      <c r="BD600" s="38"/>
      <c r="BE600" s="38"/>
      <c r="BF600" s="38"/>
      <c r="BG600" s="38"/>
      <c r="BH600" s="38"/>
      <c r="BI600" s="38"/>
      <c r="BJ600" s="38"/>
      <c r="BK600" s="38"/>
      <c r="BL600" s="38"/>
      <c r="BM600" s="38"/>
      <c r="BN600" s="38"/>
      <c r="BO600" s="38"/>
      <c r="BP600" s="38"/>
      <c r="BQ600" s="38"/>
      <c r="BR600" s="38"/>
      <c r="BS600" s="38"/>
      <c r="BT600" s="38"/>
      <c r="BU600" s="38"/>
      <c r="BV600" s="38"/>
      <c r="BW600" s="38"/>
      <c r="BX600" s="38"/>
      <c r="BY600" s="38"/>
      <c r="BZ600" s="38"/>
      <c r="CA600" s="38"/>
      <c r="CB600" s="38"/>
      <c r="CC600" s="38"/>
      <c r="CD600" s="38"/>
      <c r="CE600" s="38"/>
      <c r="CF600" s="38"/>
      <c r="CG600" s="38"/>
      <c r="CH600" s="38"/>
      <c r="CI600" s="38"/>
      <c r="CM600" s="749"/>
      <c r="CN600" s="749"/>
      <c r="CO600" s="1043"/>
      <c r="CP600" s="749"/>
      <c r="CS600" s="436"/>
      <c r="CT600" s="436"/>
      <c r="CU600" s="243"/>
      <c r="CV600" s="244"/>
      <c r="CW600" s="244"/>
      <c r="CX600" s="244"/>
      <c r="CY600" s="245"/>
      <c r="CZ600" s="245"/>
      <c r="DA600" s="245"/>
      <c r="DC600" s="750"/>
      <c r="DD600" s="751"/>
      <c r="DE600" s="752"/>
      <c r="DF600" s="753"/>
      <c r="DG600" s="754"/>
      <c r="DH600" s="754"/>
      <c r="DK600" s="244"/>
      <c r="DL600" s="750"/>
      <c r="DN600" s="750"/>
      <c r="DO600" s="755"/>
      <c r="DP600" s="436"/>
      <c r="DQ600" s="750"/>
      <c r="DR600" s="750"/>
      <c r="DS600" s="750"/>
      <c r="DU600" s="750"/>
      <c r="DV600" s="750"/>
      <c r="DW600" s="750"/>
      <c r="DX600" s="750"/>
      <c r="DZ600" s="756"/>
      <c r="EA600" s="756"/>
      <c r="EC600" s="754"/>
      <c r="ED600" s="754"/>
      <c r="EE600" s="244"/>
      <c r="EF600" s="754"/>
      <c r="EG600" s="754"/>
      <c r="EH600" s="243"/>
      <c r="EI600" s="243"/>
      <c r="EJ600" s="752"/>
      <c r="EK600" s="757"/>
      <c r="EL600" s="757"/>
      <c r="EM600" s="758"/>
      <c r="EN600" s="758"/>
      <c r="EO600" s="752"/>
      <c r="EP600" s="752"/>
      <c r="EQ600" s="752"/>
      <c r="ES600" s="750"/>
      <c r="EU600" s="436"/>
      <c r="EV600" s="436"/>
      <c r="EW600" s="436"/>
      <c r="EX600" s="436"/>
      <c r="EY600" s="436"/>
      <c r="EZ600" s="436"/>
      <c r="FB600" s="643"/>
      <c r="FD600" s="436"/>
      <c r="FE600" s="436"/>
      <c r="FF600" s="436"/>
      <c r="FO600" s="750"/>
      <c r="FP600" s="436"/>
      <c r="FQ600" s="436"/>
      <c r="FR600" s="750"/>
      <c r="FS600" s="750"/>
      <c r="FW600" s="749"/>
      <c r="FX600" s="749"/>
      <c r="FY600" s="749"/>
      <c r="FZ600" s="749"/>
      <c r="GA600" s="749"/>
      <c r="GB600" s="749"/>
      <c r="GC600" s="749"/>
      <c r="GD600" s="749"/>
      <c r="GE600" s="751"/>
      <c r="GF600" s="750"/>
      <c r="GG600" s="750"/>
    </row>
    <row r="601" spans="1:250" s="82" customFormat="1" ht="14.95" customHeight="1" thickTop="1" thickBot="1">
      <c r="B601" s="1421" t="str">
        <f>HY604</f>
        <v xml:space="preserve"> </v>
      </c>
      <c r="C601" s="1422">
        <f>C596+1</f>
        <v>109</v>
      </c>
      <c r="D601" s="1423"/>
      <c r="E601" s="1424" t="s">
        <v>242</v>
      </c>
      <c r="F601" s="1425"/>
      <c r="G601" s="1426"/>
      <c r="H601" s="1427"/>
      <c r="I601" s="1427"/>
      <c r="J601" s="1427"/>
      <c r="K601" s="1427"/>
      <c r="L601" s="1427"/>
      <c r="M601" s="1427"/>
      <c r="N601" s="1427"/>
      <c r="O601" s="1427"/>
      <c r="P601" s="1427"/>
      <c r="Q601" s="1427"/>
      <c r="R601" s="1427"/>
      <c r="S601" s="1428" t="s">
        <v>283</v>
      </c>
      <c r="T601" s="668" t="s">
        <v>190</v>
      </c>
      <c r="U601" s="1430" t="s">
        <v>186</v>
      </c>
      <c r="V601" s="1431"/>
      <c r="W601" s="1431"/>
      <c r="X601" s="1431"/>
      <c r="Y601" s="1431"/>
      <c r="Z601" s="1431"/>
      <c r="AA601" s="1431"/>
      <c r="AB601" s="1088" t="str">
        <f>IFERROR(IF(__Retrofit_TI_NC=0,VLOOKUP(U602,Fixtures_Existing_List,2,FALSE),ROUND(N603*R603/T603,10)),"")</f>
        <v/>
      </c>
      <c r="AC601" s="1039" t="str">
        <f>IFERROR(IF(__Retrofit_TI_NC=0,ROUND(T602*AB601*N602*R602/1000,0),IF(CN601="Interior",N603*R603*R602*N602*_C406_reduction/1000,N603*R603*R602*N602/1000)),"")</f>
        <v/>
      </c>
      <c r="AD601" s="1040" t="str">
        <f>IFERROR(IF(C$36=0,ROUND(T602*AB601/1000,2),N603*R603/1000),"")</f>
        <v/>
      </c>
      <c r="AE601" s="1044" t="s">
        <v>190</v>
      </c>
      <c r="AF601" s="1432" t="str">
        <f>IF(__Retrofit_TI_NC=2,CONCATENATE("Code min = ",DD601),IF(__Retrofit_TI_NC=1,"Emter what you think the existing control was"," Control"))</f>
        <v xml:space="preserve"> Control</v>
      </c>
      <c r="AG601" s="1432"/>
      <c r="AH601" s="1432"/>
      <c r="AI601" s="1432"/>
      <c r="AJ601" s="1433">
        <f>DF601</f>
        <v>0</v>
      </c>
      <c r="AK601" s="1435" t="str">
        <f>IFERROR(ROUND(AJ601*AC601,0),"")</f>
        <v/>
      </c>
      <c r="AL601" s="1437">
        <f>IFERROR(IF(HW601=FALSE,0,AC601-AK601),0)</f>
        <v>0</v>
      </c>
      <c r="AM601" s="1439">
        <f>AL601-AL603</f>
        <v>0</v>
      </c>
      <c r="AN601" s="1440"/>
      <c r="AO601" s="1445">
        <f>IFERROR(IF(HW601=FALSE,0,(T603*U604)+(AE603*AF604)),0)</f>
        <v>0</v>
      </c>
      <c r="AP601" s="1445"/>
      <c r="AQ601" s="1446"/>
      <c r="AR601" s="1451" t="s">
        <v>157</v>
      </c>
      <c r="AS601" s="1454">
        <f>IF(AR601="Yes",1,0)</f>
        <v>1</v>
      </c>
      <c r="AT601" s="1457" t="str">
        <f>IF(OR(DN601=4,DN601=5,DN601=6,DN601=12),CONCATENATE("$",IF(GD601=TRUE,Lookup!$B$11,Lookup!$B$2)," /lamp"),CONCATENATE(EA601,"/ kWh"))</f>
        <v>0/ kWh</v>
      </c>
      <c r="AU601" s="516"/>
      <c r="AV601" s="1478">
        <f>IFERROR(IF(GI602=TRUE,(AB604*T603)/R603,0),"NA")</f>
        <v>0</v>
      </c>
      <c r="AW601" s="1478" t="str">
        <f>IFERROR(N603*_C406_reduction,"NA")</f>
        <v>NA</v>
      </c>
      <c r="BC601" s="38"/>
      <c r="BD601" s="38"/>
      <c r="BE601" s="38"/>
      <c r="BF601" s="38"/>
      <c r="BG601" s="38"/>
      <c r="BH601" s="38"/>
      <c r="BI601" s="38"/>
      <c r="BJ601" s="38"/>
      <c r="BK601" s="38"/>
      <c r="BL601" s="38"/>
      <c r="BM601" s="38"/>
      <c r="BN601" s="38"/>
      <c r="BO601" s="38"/>
      <c r="BP601" s="38"/>
      <c r="BQ601" s="38"/>
      <c r="BR601" s="38"/>
      <c r="BS601" s="38"/>
      <c r="BT601" s="38"/>
      <c r="BU601" s="38"/>
      <c r="BV601" s="38"/>
      <c r="BW601" s="38"/>
      <c r="BX601" s="38"/>
      <c r="BY601" s="38"/>
      <c r="BZ601" s="38"/>
      <c r="CA601" s="38"/>
      <c r="CB601" s="38"/>
      <c r="CC601" s="38"/>
      <c r="CD601" s="38"/>
      <c r="CE601" s="38"/>
      <c r="CF601" s="38"/>
      <c r="CG601" s="38"/>
      <c r="CH601" s="38"/>
      <c r="CI601" s="38"/>
      <c r="CM601" s="1352" t="str">
        <f>N602</f>
        <v/>
      </c>
      <c r="CN601" s="1352" t="str">
        <f>IFERROR(VLOOKUP(G602,_Lookup_Heat_Type_Table_New,3,FALSE),"")</f>
        <v/>
      </c>
      <c r="CO601" s="1415" t="str">
        <f>CN601</f>
        <v/>
      </c>
      <c r="CP601" s="1417" t="e">
        <f>VLOOKUP(G603,'Space Table'!$B$3:$L$160,9,FALSE)</f>
        <v>#N/A</v>
      </c>
      <c r="CR601" s="1386" t="s">
        <v>283</v>
      </c>
      <c r="CS601" s="1353">
        <f>IF(HW601=TRUE,T602,0)</f>
        <v>0</v>
      </c>
      <c r="CT601" s="1353" t="str">
        <f>IF(HW601=TRUE,U602,"")</f>
        <v/>
      </c>
      <c r="CU601" s="1353"/>
      <c r="CV601" s="1370">
        <f>IF(HW601=TRUE,AB601,0)</f>
        <v>0</v>
      </c>
      <c r="CW601" s="1370">
        <f>IF(HW601=TRUE,AC601,0)</f>
        <v>0</v>
      </c>
      <c r="CX601" s="1370">
        <f>IFERROR(IF(HW601=TRUE,CW601-CW603,0),0)</f>
        <v>0</v>
      </c>
      <c r="CY601" s="1485">
        <f>IF(HW601=TRUE,AD601,0)</f>
        <v>0</v>
      </c>
      <c r="CZ601" s="1485">
        <f>IF(HW601=TRUE,AD604,0)</f>
        <v>0</v>
      </c>
      <c r="DA601" s="1485">
        <f>IFERROR(CY601-CZ601,0)</f>
        <v>0</v>
      </c>
      <c r="DC601" s="1353">
        <f>IF(HW601=TRUE,AE602,0)</f>
        <v>0</v>
      </c>
      <c r="DD601" s="1460">
        <f>IF(__Retrofit_TI_NC=2,IF(CN601="Exterior",O604,FM601),FK601)</f>
        <v>0</v>
      </c>
      <c r="DE601" s="1353"/>
      <c r="DF601" s="1406">
        <f>IFERROR(IF(FL601=3,IK601,IF(FL601=4,IL601,IF(FL601=5,IM601,IF(FL601=6,IN601,IF(FL601=7,IO601,IF(FL601=8,IP601,0)))))),0)</f>
        <v>0</v>
      </c>
      <c r="DG601" s="1370">
        <f>IF(HW601=TRUE,AK601,0)</f>
        <v>0</v>
      </c>
      <c r="DH601" s="1369">
        <f>IFERROR(IF(HW601=TRUE,DG603-DG601,0),0)</f>
        <v>0</v>
      </c>
      <c r="DJ601" s="1483">
        <f>IFERROR(CW601-DG601,0)</f>
        <v>0</v>
      </c>
      <c r="DL601" s="1419">
        <f>DJ601-DK603</f>
        <v>0</v>
      </c>
      <c r="DN601" s="1403" t="str">
        <f>IFERROR(IF(AND(OR(FY601=4,FY601=5,FY601=6),OR(GB601=4,GB601=5,GB601=6)),FY601+8,VLOOKUP(CT603,Fixtures!R$31:Y$78,8,FALSE)),"")</f>
        <v/>
      </c>
      <c r="DO601" s="1404" t="str">
        <f>DN601</f>
        <v/>
      </c>
      <c r="DP601" s="1353" t="str">
        <f>IFERROR(VLOOKUP(DD603,Lookup!AU$3:AV$15,2,FALSE),"")</f>
        <v/>
      </c>
      <c r="DQ601" s="1404" t="str">
        <f>IF(DP601=7,"LLLC","")</f>
        <v/>
      </c>
      <c r="DR601" s="1403">
        <f>IFERROR(IF(OR(DN601=4,DN601=5,DN601=6,DN601=12,DN601=13,DN601=14),VLOOKUP(CT603,Fixtures!DN$27:EG$77,19,FALSE),1)*CS603,0)</f>
        <v>0</v>
      </c>
      <c r="DS601" s="1489">
        <f>IF(DP601=7,IF(DD601=DD603,0,DC603),0)</f>
        <v>0</v>
      </c>
      <c r="DU601" s="1403" t="str">
        <f>IFERROR(IF(EW601&lt;EW603,"Yes","No"),"")</f>
        <v/>
      </c>
      <c r="DV601" s="1404" t="str">
        <f>DU601</f>
        <v/>
      </c>
      <c r="DW601" s="1403">
        <f>IF(DU601="Yes",DC603,0)</f>
        <v>0</v>
      </c>
      <c r="DX601" s="1403">
        <f>DW601-DS601</f>
        <v>0</v>
      </c>
      <c r="DZ601" s="1481">
        <f>IFERROR(VLOOKUP(DN601,Lookup!AN$3:AO$16,2,FALSE),0)</f>
        <v>0</v>
      </c>
      <c r="EA601" s="1481">
        <f>IF(HW601=FALSE,0,IF(DU601="Yes",DZ601+Lookup!B$6,DZ601))</f>
        <v>0</v>
      </c>
      <c r="EC601" s="1482">
        <f>IF(HW601=TRUE,DJ601,0)</f>
        <v>0</v>
      </c>
      <c r="ED601" s="1369">
        <f>IF(HW601=TRUE,CW603,0)</f>
        <v>0</v>
      </c>
      <c r="EE601" s="1370">
        <f>IFERROR(EC601-ED601,0)</f>
        <v>0</v>
      </c>
      <c r="EF601" s="1369">
        <f>IF(HW601=TRUE,DG603,0)</f>
        <v>0</v>
      </c>
      <c r="EG601" s="1369">
        <f>IFERROR(EC601-ED601+EF601,0)</f>
        <v>0</v>
      </c>
      <c r="EH601" s="1373">
        <f>IF(HW601=TRUE,CS603*CU603,0)</f>
        <v>0</v>
      </c>
      <c r="EI601" s="1373">
        <f>IF(HW601=TRUE,DC603*DE603,0)</f>
        <v>0</v>
      </c>
      <c r="EJ601" s="1363">
        <f>AO601</f>
        <v>0</v>
      </c>
      <c r="EK601" s="1376" t="str">
        <f>IFERROR(IF(HW601=TRUE,VLOOKUP(DN601,Lookup!AN$3:AP$16,3,FALSE)*DR601,""),0)</f>
        <v/>
      </c>
      <c r="EL601" s="1376">
        <f>IF(HW601=TRUE,DW601*Lookup!AP$12,0)</f>
        <v>0</v>
      </c>
      <c r="EM601" s="1362">
        <f>IFERROR(IF(HW601=TRUE,EK601/EM$33,0),0)</f>
        <v>0</v>
      </c>
      <c r="EN601" s="1362">
        <f>IF(HW601=TRUE,EL601/EN$33,0)</f>
        <v>0</v>
      </c>
      <c r="EO601" s="1363">
        <f>IF(HW601=TRUE,EQ$33*EM601,0)</f>
        <v>0</v>
      </c>
      <c r="EP601" s="1363">
        <f>IF(HW601=TRUE,EQ$33*EN601,0)</f>
        <v>0</v>
      </c>
      <c r="EQ601" s="1363">
        <f>EO601+EP601</f>
        <v>0</v>
      </c>
      <c r="ES601" s="1403">
        <f>IF(G601="",0,1)</f>
        <v>0</v>
      </c>
      <c r="EU601" s="1410" t="e">
        <f>VLOOKUP(CP603,'Space Table'!$B$3:$L$160,8,FALSE)</f>
        <v>#N/A</v>
      </c>
      <c r="EV601" s="1410" t="e">
        <f>IF(EY601="Yes",VLOOKUP(DD601,Lookup_Control_Type_Table2,4,FALSE),VLOOKUP(DD601,Lookup_Control_Type_Table2,3,FALSE))</f>
        <v>#N/A</v>
      </c>
      <c r="EW601" s="1410" t="e">
        <f>VLOOKUP(DD601,Lookup!AU$3:AV$15,2,FALSE)</f>
        <v>#N/A</v>
      </c>
      <c r="EX601" s="1410" t="e">
        <f>VLOOKUP(EU601,Lookup_Control_Type_Table,2,FALSE)</f>
        <v>#N/A</v>
      </c>
      <c r="EY601" s="1410" t="e">
        <f>VLOOKUP(CP603,'Space Table'!$B$3:$L$160,7,FALSE)</f>
        <v>#N/A</v>
      </c>
      <c r="EZ601" s="1412" t="b">
        <f>ISNUMBER(SEARCH("TLED",U603))</f>
        <v>0</v>
      </c>
      <c r="FB601" s="1365" t="str">
        <f>CONCATENATE(CN601," - ",DD601)</f>
        <v xml:space="preserve"> - 0</v>
      </c>
      <c r="FD601" s="1353" t="str">
        <f>VLOOKUP(CT603,Fixtures!DN$27:EZ$77,38,FALSE)</f>
        <v/>
      </c>
      <c r="FE601" s="1353">
        <f>IFERROR(FD601*EE601,0)</f>
        <v>0</v>
      </c>
      <c r="FF601" s="138"/>
      <c r="FI601" s="1356" t="str">
        <f>IF(CN601="Exterior","Not Daylighted",G604)</f>
        <v>Not Daylighted</v>
      </c>
      <c r="FJ601" s="1356">
        <f>VLOOKUP(FI601,_Daylight_Table_Codes,2,FALSE)</f>
        <v>0</v>
      </c>
      <c r="FK601" s="1365">
        <f>IF(__Retrofit_TI_NC=2,VLOOKUP(G603,'Space Table'!$B$3:$L$160,11,FALSE),AF602)</f>
        <v>0</v>
      </c>
      <c r="FL601" s="1365" t="e">
        <f>VLOOKUP(FK601,_Control_Table,2,FALSE)</f>
        <v>#N/A</v>
      </c>
      <c r="FM601" s="1365" t="e">
        <f>IF(AND(FP601&gt;0,FK601="Occupancy Sensor"),"Daylight + Occupancy",IF(AND(FP601&gt;0,FL601&lt;4),"Interior Daylight Dimming",FK601))</f>
        <v>#N/A</v>
      </c>
      <c r="FO601" s="1364">
        <f>IF(CO601="Interior",VLOOKUP(CP601,Control_Savings_Interior,5,FALSE),0)</f>
        <v>0</v>
      </c>
      <c r="FP601" s="1361">
        <f>IF(CN601="Exterior",0,IF(FJ601=2,0.5,IF(OR(FJ601=1,FJ601=3),1,0)))</f>
        <v>0</v>
      </c>
      <c r="FQ601" s="1366"/>
      <c r="FR601" s="1367"/>
      <c r="FS601" s="1364"/>
      <c r="FT601" s="1367"/>
      <c r="FU601" s="1360"/>
      <c r="FW601" s="1352" t="str">
        <f>IFERROR(VLOOKUP(U602,_Exist_Fixture_Table,3,FALSE),"")</f>
        <v/>
      </c>
      <c r="FX601" s="1352" t="str">
        <f>VLOOKUP(CT601,_Exist_Fixture_Table,4,FALSE)</f>
        <v/>
      </c>
      <c r="FY601" s="1352">
        <f>IFERROR(VLOOKUP(FX601,Lookup!AM$6:AN$8,2,FALSE),0)</f>
        <v>0</v>
      </c>
      <c r="FZ601" s="1352" t="b">
        <f>IFERROR(IF(OR(GB601=4,GB601=5,GB601=6),TRUE,FALSE),"")</f>
        <v>0</v>
      </c>
      <c r="GA601" s="1352" t="str">
        <f>IFERROR(VLOOKUP(GB601,FY$6:FZ$10,2,FALSE),"")</f>
        <v/>
      </c>
      <c r="GB601" s="1352" t="str">
        <f>VLOOKUP(CT603,Fixtures!R$31:Y$78,8,FALSE)</f>
        <v/>
      </c>
      <c r="GC601" s="1352">
        <f>IF(AND(FW601=TRUE,FZ601=TRUE,OR(DN601=12,DN601=13,DN601=14)),FY601+8,0)</f>
        <v>0</v>
      </c>
      <c r="GD601" s="1352" t="b">
        <f>IF(OR(GC601=12,GC601=13,GC601=14),TRUE,FALSE)</f>
        <v>0</v>
      </c>
      <c r="GE601" s="759" t="b">
        <f>IF(ISNUMBER(SEARCH("TLED",U602)),TRUE,FALSE)</f>
        <v>0</v>
      </c>
      <c r="GF601" s="1035" t="str">
        <f>IFERROR(VLOOKUP(U602,Fixtures!BM$93:BR$142,6,FALSE),"")</f>
        <v/>
      </c>
      <c r="GG601" s="1385" t="b">
        <f>IF(OR(GE601=FALSE,GE603=FALSE),TRUE,IF(GF601-GF603&lt;5,FALSE,TRUE))</f>
        <v>1</v>
      </c>
      <c r="GK601" s="1034">
        <f>GL601</f>
        <v>0</v>
      </c>
      <c r="GL601" s="1034">
        <f>IF(G601="",0,1)</f>
        <v>0</v>
      </c>
      <c r="GM601" s="1034">
        <f>SUM(GN601:HB601)</f>
        <v>2</v>
      </c>
      <c r="GN601" s="1034">
        <f>IF(G602="",0,1)</f>
        <v>0</v>
      </c>
      <c r="GO601" s="1034">
        <f>IF(G603="",0,1)</f>
        <v>0</v>
      </c>
      <c r="GP601" s="1034">
        <f>IF(R602="",0,1)</f>
        <v>0</v>
      </c>
      <c r="GQ601" s="1034">
        <f>IF(__Retrofit_TI_NC=0,1,IF(R603="",0,1))</f>
        <v>1</v>
      </c>
      <c r="GR601" s="1034">
        <f>IF(CN601="Exterior",1,IF(G604="",0,1))</f>
        <v>1</v>
      </c>
      <c r="GS601" s="1034">
        <f>IF(__Retrofit_TI_NC&lt;&gt;0,1,IF(T602="",0,1))</f>
        <v>0</v>
      </c>
      <c r="GT601" s="1034">
        <f>IF(__Retrofit_TI_NC&lt;&gt;0,1,IF(U602="",0,1))</f>
        <v>0</v>
      </c>
      <c r="GU601" s="1034">
        <f>IF(T603="",0,1)</f>
        <v>0</v>
      </c>
      <c r="GV601" s="1034">
        <f>IF(U603="",0,1)</f>
        <v>0</v>
      </c>
      <c r="GW601" s="1034">
        <f>IF(__Retrofit_TI_NC=2,1,IF(U604="",0,1))</f>
        <v>0</v>
      </c>
      <c r="GX601" s="1034">
        <f>IF(__Retrofit_TI_NC&lt;&gt;0,1,IF(AE602="",0,1))</f>
        <v>0</v>
      </c>
      <c r="GY601" s="1034">
        <f>IF(__Retrofit_TI_NC&lt;&gt;0,1,IF(AF602="",0,1))</f>
        <v>0</v>
      </c>
      <c r="GZ601" s="1034">
        <f>IF(AE603="",0,1)</f>
        <v>0</v>
      </c>
      <c r="HA601" s="1034">
        <f>IF(AF603="",0,1)</f>
        <v>0</v>
      </c>
      <c r="HB601" s="1034">
        <f>IF(__Retrofit_TI_NC=2,1,IF(AF604="",0,1))</f>
        <v>0</v>
      </c>
      <c r="HV601" s="436"/>
      <c r="HW601" s="1384" t="b">
        <f>IF(OR(HW604=0,HW604=HT$16,HW604=HS$16,HW604=HU$16),TRUE,FALSE)</f>
        <v>0</v>
      </c>
      <c r="HX601" s="1377" t="b">
        <f>HW601</f>
        <v>0</v>
      </c>
      <c r="HY601" s="436"/>
      <c r="HZ601" s="436"/>
      <c r="IA601" s="1386" t="b">
        <f>IF(MAX(GJ604:HP604)&gt;5,FALSE,TRUE)</f>
        <v>0</v>
      </c>
      <c r="IB601" s="1380">
        <f>IF(IA601=TRUE,AC601,0)</f>
        <v>0</v>
      </c>
      <c r="IC601" s="1380">
        <f>IB601-IB603</f>
        <v>0</v>
      </c>
      <c r="IF601" s="1380" t="e">
        <f>ROUND(T602*VLOOKUP(U602,Fixtures_Existing_List,2,FALSE)*N602*R602/1000,0)</f>
        <v>#N/A</v>
      </c>
      <c r="IG601" s="1381" t="e">
        <f>IF601-IF603</f>
        <v>#N/A</v>
      </c>
      <c r="IH601" s="1384" t="e">
        <f>ROUND(IF(CN601="Interior",N603*R603*R602*N602*_C406_reduction/1000,N603*R603*R602*N602/1000),0)</f>
        <v>#N/A</v>
      </c>
      <c r="II601" s="1384" t="e">
        <f>IH601-IH603</f>
        <v>#N/A</v>
      </c>
      <c r="IK601" s="1351" t="e">
        <f>IF($CO601="interior",IL601/2,VLOOKUP($CP601,Control_Savings_Exterior,IK$30,FALSE))</f>
        <v>#N/A</v>
      </c>
      <c r="IL601" s="1351" t="e">
        <f>IF($CO601="interior",VLOOKUP($CP601,Control_Savings_Interior,IL$30,FALSE),VLOOKUP($CP601,Control_Savings_Exterior,IL$30,FALSE))</f>
        <v>#N/A</v>
      </c>
      <c r="IM601" s="1351" t="e">
        <f>IF($CO601="interior",IF(R602&gt;FO$37,(IM$28*(FO$37/R602)),IM$28)*FP601,VLOOKUP($CP601,Control_Savings_Exterior,IM$30,FALSE))</f>
        <v>#N/A</v>
      </c>
      <c r="IN601" s="1351" t="e">
        <f>IF($CO601="interior",ROUND(((1-IL601)*IM601)+IL601,2),VLOOKUP($CP601,Control_Savings_Exterior,IN$30,FALSE))</f>
        <v>#N/A</v>
      </c>
      <c r="IO601" s="1351" t="e">
        <f>IF($CO601="interior", ROUND(((1-IL601)*(IM601*(1-IP$28)))+IP601,2), VLOOKUP($CP601,Control_Savings_Exterior,IO$30,FALSE))</f>
        <v>#N/A</v>
      </c>
      <c r="IP601" s="1351">
        <f>IF($CO601="interior",ROUND(((1-IL601)*IP$28)+IL601,2),0)</f>
        <v>0</v>
      </c>
    </row>
    <row r="602" spans="1:250" s="82" customFormat="1" ht="14.95" customHeight="1" thickTop="1" thickBot="1">
      <c r="B602" s="1421"/>
      <c r="C602" s="1422"/>
      <c r="D602" s="1423"/>
      <c r="E602" s="1393" t="s">
        <v>244</v>
      </c>
      <c r="F602" s="1394"/>
      <c r="G602" s="1395"/>
      <c r="H602" s="1395"/>
      <c r="I602" s="1395"/>
      <c r="J602" s="1395"/>
      <c r="K602" s="1395"/>
      <c r="L602" s="1395"/>
      <c r="M602" s="509" t="e">
        <f>IF(__Retrofit_TI_NC&lt;&gt;0,IF(VLOOKUP(G603,'Space Table'!$B$3:$L$160,3,FALSE)&gt;0,1,0),IF(__Retrofit_TI_NC=VLOOKUP(G603,'Space Table'!$B$3:$L$160,3,FALSE),1,0))</f>
        <v>#N/A</v>
      </c>
      <c r="N602" s="509" t="str">
        <f>IFERROR(VLOOKUP(G602,_Lookup_Heat_Type_Table_New,2,FALSE),"")</f>
        <v/>
      </c>
      <c r="O602" s="509">
        <f>IF(__Retrofit_TI_NC=1,CONCATENATE("TI ",G602),IF(__Retrofit_TI_NC=2,CONCATENATE("NC ",G602),G602))</f>
        <v>0</v>
      </c>
      <c r="P602" s="1396" t="s">
        <v>352</v>
      </c>
      <c r="Q602" s="1396"/>
      <c r="R602" s="673"/>
      <c r="S602" s="1429"/>
      <c r="T602" s="675"/>
      <c r="U602" s="1496"/>
      <c r="V602" s="1497"/>
      <c r="W602" s="1497"/>
      <c r="X602" s="1497"/>
      <c r="Y602" s="1497"/>
      <c r="Z602" s="1497"/>
      <c r="AA602" s="1497"/>
      <c r="AB602" s="1497"/>
      <c r="AC602" s="1497"/>
      <c r="AD602" s="1498"/>
      <c r="AE602" s="675"/>
      <c r="AF602" s="1397"/>
      <c r="AG602" s="1397"/>
      <c r="AH602" s="1397"/>
      <c r="AI602" s="1397"/>
      <c r="AJ602" s="1434"/>
      <c r="AK602" s="1436"/>
      <c r="AL602" s="1438"/>
      <c r="AM602" s="1441"/>
      <c r="AN602" s="1442"/>
      <c r="AO602" s="1447"/>
      <c r="AP602" s="1447"/>
      <c r="AQ602" s="1448"/>
      <c r="AR602" s="1452"/>
      <c r="AS602" s="1455"/>
      <c r="AT602" s="1458"/>
      <c r="AU602" s="516"/>
      <c r="AV602" s="1479"/>
      <c r="AW602" s="1479"/>
      <c r="BC602" s="38"/>
      <c r="BD602" s="38"/>
      <c r="BE602" s="38"/>
      <c r="BF602" s="38"/>
      <c r="BG602" s="38"/>
      <c r="BH602" s="38"/>
      <c r="BI602" s="38"/>
      <c r="BJ602" s="38"/>
      <c r="BK602" s="38"/>
      <c r="BL602" s="38"/>
      <c r="BM602" s="38"/>
      <c r="BN602" s="38"/>
      <c r="BO602" s="38"/>
      <c r="BP602" s="38"/>
      <c r="BQ602" s="38"/>
      <c r="BR602" s="38"/>
      <c r="BS602" s="38"/>
      <c r="BT602" s="38"/>
      <c r="BU602" s="38"/>
      <c r="BV602" s="38"/>
      <c r="BW602" s="38"/>
      <c r="BX602" s="38"/>
      <c r="BY602" s="38"/>
      <c r="BZ602" s="38"/>
      <c r="CA602" s="38"/>
      <c r="CB602" s="38"/>
      <c r="CC602" s="38"/>
      <c r="CD602" s="38"/>
      <c r="CE602" s="38"/>
      <c r="CF602" s="38"/>
      <c r="CG602" s="38"/>
      <c r="CH602" s="38"/>
      <c r="CI602" s="38"/>
      <c r="CM602" s="1352"/>
      <c r="CN602" s="1352"/>
      <c r="CO602" s="1416"/>
      <c r="CP602" s="1418"/>
      <c r="CR602" s="1386"/>
      <c r="CS602" s="1355"/>
      <c r="CT602" s="1355"/>
      <c r="CU602" s="1355"/>
      <c r="CV602" s="1372"/>
      <c r="CW602" s="1372"/>
      <c r="CX602" s="1371"/>
      <c r="CY602" s="1486"/>
      <c r="CZ602" s="1486"/>
      <c r="DA602" s="1486"/>
      <c r="DC602" s="1355"/>
      <c r="DD602" s="1461"/>
      <c r="DE602" s="1355"/>
      <c r="DF602" s="1407"/>
      <c r="DG602" s="1372"/>
      <c r="DH602" s="1369"/>
      <c r="DJ602" s="1484"/>
      <c r="DL602" s="1419"/>
      <c r="DN602" s="1403"/>
      <c r="DO602" s="1405"/>
      <c r="DP602" s="1354"/>
      <c r="DQ602" s="1405"/>
      <c r="DR602" s="1403"/>
      <c r="DS602" s="1489"/>
      <c r="DU602" s="1403"/>
      <c r="DV602" s="1405"/>
      <c r="DW602" s="1403"/>
      <c r="DX602" s="1403"/>
      <c r="DZ602" s="1481"/>
      <c r="EA602" s="1481"/>
      <c r="EC602" s="1482"/>
      <c r="ED602" s="1369"/>
      <c r="EE602" s="1371"/>
      <c r="EF602" s="1369"/>
      <c r="EG602" s="1369"/>
      <c r="EH602" s="1374"/>
      <c r="EI602" s="1374"/>
      <c r="EJ602" s="1363"/>
      <c r="EK602" s="1376"/>
      <c r="EL602" s="1376"/>
      <c r="EM602" s="1362"/>
      <c r="EN602" s="1362"/>
      <c r="EO602" s="1363"/>
      <c r="EP602" s="1363"/>
      <c r="EQ602" s="1363"/>
      <c r="ES602" s="1403"/>
      <c r="EU602" s="1411"/>
      <c r="EV602" s="1411"/>
      <c r="EW602" s="1411"/>
      <c r="EX602" s="1411"/>
      <c r="EY602" s="1411"/>
      <c r="EZ602" s="1413"/>
      <c r="FB602" s="1365"/>
      <c r="FD602" s="1354"/>
      <c r="FE602" s="1354"/>
      <c r="FF602" s="138"/>
      <c r="FI602" s="1357"/>
      <c r="FJ602" s="1357"/>
      <c r="FK602" s="1365"/>
      <c r="FL602" s="1365"/>
      <c r="FM602" s="1365"/>
      <c r="FO602" s="1361"/>
      <c r="FP602" s="1361"/>
      <c r="FQ602" s="1366"/>
      <c r="FR602" s="1368"/>
      <c r="FS602" s="1361"/>
      <c r="FT602" s="1368"/>
      <c r="FU602" s="1360"/>
      <c r="FW602" s="1352"/>
      <c r="FX602" s="1352"/>
      <c r="FY602" s="1352"/>
      <c r="FZ602" s="1352"/>
      <c r="GA602" s="1352"/>
      <c r="GB602" s="1352"/>
      <c r="GC602" s="1352"/>
      <c r="GD602" s="1352"/>
      <c r="GE602" s="759"/>
      <c r="GF602" s="1035"/>
      <c r="GG602" s="1385"/>
      <c r="GI602" s="1384" t="b">
        <f>IF(AND(GL602=TRUE,GM602=TRUE),TRUE,FALSE)</f>
        <v>0</v>
      </c>
      <c r="GJ602" s="1379" t="b">
        <f>IFERROR(IF(__Retrofit_TI_NC=2,TRUE,IF(AR601="Yes",TRUE,FALSE)),FALSE)</f>
        <v>1</v>
      </c>
      <c r="GL602" s="1379" t="b">
        <f>IFERROR(IF(GL601=1,TRUE,FALSE),FALSE)</f>
        <v>0</v>
      </c>
      <c r="GM602" s="1379" t="b">
        <f>IFERROR(IF(GM601=GM$14,TRUE,FALSE),FALSE)</f>
        <v>0</v>
      </c>
      <c r="HC602" s="1379" t="b">
        <f>IFERROR(IF(M602=1,TRUE,FALSE),FALSE)</f>
        <v>0</v>
      </c>
      <c r="HD602" s="1379" t="b">
        <f>IFERROR(IF(M603=1,TRUE,FALSE),FALSE)</f>
        <v>0</v>
      </c>
      <c r="HE602" s="1379" t="b">
        <f>IFERROR(IF(__Retrofit_TI_NC&lt;&gt;0,TRUE,IFERROR(IF(VLOOKUP(U602,Fixtures_Existing_List,2,FALSE)&lt;&gt;"",TRUE,FALSE),FALSE)),FALSE)</f>
        <v>0</v>
      </c>
      <c r="HF602" s="1379" t="b">
        <f>IFERROR(IF(VLOOKUP(U603,Fixtures_Proposed_List,2,FALSE)&lt;&gt;"",TRUE,FALSE),FALSE)</f>
        <v>0</v>
      </c>
      <c r="HG602" s="1379" t="b">
        <f>IF(AND(__Retrofit_TI_NC=2,EZ601=TRUE),FALSE,TRUE)</f>
        <v>1</v>
      </c>
      <c r="HH602" s="1379" t="b">
        <f>GG601</f>
        <v>1</v>
      </c>
      <c r="HI602" s="1384" t="b">
        <f>IF(ISERROR(MATCH(FB601,_Control_Match[],0))=TRUE,FALSE,TRUE)</f>
        <v>0</v>
      </c>
      <c r="HJ602" s="1384" t="b">
        <f>IFERROR(IF(EU601&lt;&gt;EV601,FALSE,TRUE),FALSE)</f>
        <v>0</v>
      </c>
      <c r="HK602" s="1384" t="b">
        <f>IFERROR(IF(EU603&lt;&gt;EV603,FALSE,TRUE),FALSE)</f>
        <v>0</v>
      </c>
      <c r="HL602" s="1379" t="b">
        <f>IFERROR(IF(CN601="Exterior",TRUE,IF(OR(AND(FJ601=0,EW603&gt;4),AND(FJ601=4,EW603&gt;4,EW603&lt;7)),FALSE,TRUE)),FALSE)</f>
        <v>0</v>
      </c>
      <c r="HM602" s="1379" t="b">
        <f>IFERROR(IF(AND(FL603=7,EZ601=TRUE),FALSE,TRUE),FALSE)</f>
        <v>0</v>
      </c>
      <c r="HN602" s="1379" t="b">
        <f>IFERROR(IF(AND(T603&lt;&gt;AE603,AF603="Interior LLLC")=TRUE,FALSE,TRUE),FALSE)</f>
        <v>1</v>
      </c>
      <c r="HO602" s="1379" t="b">
        <f>IFERROR(IF(OR(AF603=Lookup!AU$13,AF603=Lookup!AU$14)=TRUE,IF(AE603&gt;T603,FALSE,TRUE),TRUE),FALSE)</f>
        <v>1</v>
      </c>
      <c r="HP602" s="1379" t="b">
        <f>IFERROR(IF(__Retrofit_TI_NC=2,IF(EW603&lt;EW601,FALSE,TRUE),TRUE),FALSE)</f>
        <v>1</v>
      </c>
      <c r="HQ602" s="1379" t="b">
        <f>IF(CN601="Interior",IG$6,TRUE)</f>
        <v>1</v>
      </c>
      <c r="HR602" s="1379" t="b">
        <f>IF(CN601="Exterior",IG$8,TRUE)</f>
        <v>1</v>
      </c>
      <c r="HS602" s="1379" t="b">
        <f>IFERROR(IF(__Retrofit_TI_NC&lt;&gt;0,IF(AW601&lt;AV601,FALSE,TRUE),TRUE),FALSE)</f>
        <v>1</v>
      </c>
      <c r="HT602" s="1379" t="b">
        <f>IFERROR(IF(AND(G602="Exterior",R602&gt;4200),FALSE,TRUE),FALSE)</f>
        <v>1</v>
      </c>
      <c r="HU602" s="1379" t="b">
        <f>IFERROR(IF(AB604/AB601&lt;HU$18,FALSE,TRUE),FALSE)</f>
        <v>0</v>
      </c>
      <c r="HW602" s="1382"/>
      <c r="HX602" s="1378"/>
      <c r="HY602" s="1377" t="str">
        <f>VLOOKUP(HW604,_Error_Table,4,FALSE)</f>
        <v>White</v>
      </c>
      <c r="HZ602" s="436"/>
      <c r="IA602" s="1386"/>
      <c r="IB602" s="1380"/>
      <c r="IC602" s="1379"/>
      <c r="IF602" s="1380"/>
      <c r="IG602" s="1382"/>
      <c r="IH602" s="1382"/>
      <c r="II602" s="1382"/>
      <c r="IK602" s="1351"/>
      <c r="IL602" s="1351"/>
      <c r="IM602" s="1351"/>
      <c r="IN602" s="1351"/>
      <c r="IO602" s="1351"/>
      <c r="IP602" s="1351"/>
    </row>
    <row r="603" spans="1:250" s="82" customFormat="1" ht="14.95" customHeight="1" thickTop="1" thickBot="1">
      <c r="A603" s="82">
        <f>ROW()</f>
        <v>603</v>
      </c>
      <c r="B603" s="1421"/>
      <c r="C603" s="1422"/>
      <c r="D603" s="1423"/>
      <c r="E603" s="1393" t="s">
        <v>245</v>
      </c>
      <c r="F603" s="1394"/>
      <c r="G603" s="1398"/>
      <c r="H603" s="1399"/>
      <c r="I603" s="1399"/>
      <c r="J603" s="1399"/>
      <c r="K603" s="1399"/>
      <c r="L603" s="1400"/>
      <c r="M603" s="509">
        <f>IFERROR(IF(IF(__Retrofit_TI_NC&lt;&gt;0,IF(CN601="Interior",MATCH(G603,Lookup_Interior_New,0),MATCH(G603,Lookup_Exterior_New,0)),IF(CN601="Interior",MATCH(G603,Lookup_Interior,0),MATCH(G603,Lookup_Exterior_Areas,0)))&gt;0,1,0),0)</f>
        <v>0</v>
      </c>
      <c r="N603" s="509" t="e">
        <f>IF(__Retrofit_TI_NC=1,
VLOOKUP(G603,'Space Table'!$B$3:$L$160,4,FALSE),
IF(__Retrofit_TI_NC=2,VLOOKUP(G603,'Space Table'!$B$3:$L$160,5,FALSE),VLOOKUP(G603,'Space Table'!$B$3:$L$160,5,FALSE)))</f>
        <v>#N/A</v>
      </c>
      <c r="O603" s="509">
        <f>G603</f>
        <v>0</v>
      </c>
      <c r="P603" s="1394" t="s">
        <v>355</v>
      </c>
      <c r="Q603" s="1394"/>
      <c r="R603" s="674"/>
      <c r="S603" s="1401" t="s">
        <v>284</v>
      </c>
      <c r="T603" s="672"/>
      <c r="U603" s="1499"/>
      <c r="V603" s="1500"/>
      <c r="W603" s="1500"/>
      <c r="X603" s="1500"/>
      <c r="Y603" s="1500"/>
      <c r="Z603" s="1500"/>
      <c r="AA603" s="1500"/>
      <c r="AB603" s="1501"/>
      <c r="AC603" s="1501"/>
      <c r="AD603" s="1502"/>
      <c r="AE603" s="672"/>
      <c r="AF603" s="1474"/>
      <c r="AG603" s="1474"/>
      <c r="AH603" s="1474"/>
      <c r="AI603" s="1474"/>
      <c r="AJ603" s="1475">
        <f>DF603</f>
        <v>0</v>
      </c>
      <c r="AK603" s="1470" t="str">
        <f>IFERROR(ROUND(AJ603*AC604,0),"")</f>
        <v/>
      </c>
      <c r="AL603" s="1472">
        <f>IFERROR(IF(HW601=FALSE,0,AC604-AK603),0)</f>
        <v>0</v>
      </c>
      <c r="AM603" s="1441"/>
      <c r="AN603" s="1442"/>
      <c r="AO603" s="1447"/>
      <c r="AP603" s="1447"/>
      <c r="AQ603" s="1448"/>
      <c r="AR603" s="1452"/>
      <c r="AS603" s="1455"/>
      <c r="AT603" s="1458"/>
      <c r="AU603" s="516"/>
      <c r="AV603" s="1479"/>
      <c r="AW603" s="1479"/>
      <c r="BC603" s="38"/>
      <c r="BD603" s="38"/>
      <c r="BE603" s="38"/>
      <c r="BF603" s="38"/>
      <c r="BG603" s="38"/>
      <c r="BH603" s="38"/>
      <c r="BI603" s="38"/>
      <c r="BJ603" s="38"/>
      <c r="BK603" s="38"/>
      <c r="BL603" s="38"/>
      <c r="BM603" s="38"/>
      <c r="BN603" s="38"/>
      <c r="BO603" s="38"/>
      <c r="BP603" s="38"/>
      <c r="BQ603" s="38"/>
      <c r="BR603" s="38"/>
      <c r="BS603" s="38"/>
      <c r="BT603" s="38"/>
      <c r="BU603" s="38"/>
      <c r="BV603" s="38"/>
      <c r="BW603" s="38"/>
      <c r="BX603" s="38"/>
      <c r="BY603" s="38"/>
      <c r="BZ603" s="38"/>
      <c r="CA603" s="38"/>
      <c r="CB603" s="38"/>
      <c r="CC603" s="38"/>
      <c r="CD603" s="38"/>
      <c r="CE603" s="38"/>
      <c r="CF603" s="38"/>
      <c r="CG603" s="38"/>
      <c r="CH603" s="38"/>
      <c r="CI603" s="38"/>
      <c r="CM603" s="1352"/>
      <c r="CN603" s="1352"/>
      <c r="CO603" s="1415" t="str">
        <f>CN601</f>
        <v/>
      </c>
      <c r="CP603" s="1417" t="e">
        <f>CP601</f>
        <v>#N/A</v>
      </c>
      <c r="CR603" s="1386" t="s">
        <v>284</v>
      </c>
      <c r="CS603" s="1353">
        <f>IF(HW601=TRUE,T603,0)</f>
        <v>0</v>
      </c>
      <c r="CT603" s="1353" t="str">
        <f>IF(HW601=TRUE,U603,"")</f>
        <v/>
      </c>
      <c r="CU603" s="1373">
        <f>IF(HW601=TRUE,U604,0)</f>
        <v>0</v>
      </c>
      <c r="CV603" s="1370">
        <f>IF(HW601=TRUE,AB604,0)</f>
        <v>0</v>
      </c>
      <c r="CW603" s="1370">
        <f>IF(HW601=TRUE,AC604,0)</f>
        <v>0</v>
      </c>
      <c r="CX603" s="1371"/>
      <c r="CY603" s="1486"/>
      <c r="CZ603" s="1486"/>
      <c r="DA603" s="1486"/>
      <c r="DC603" s="1353">
        <f>IF(HW601=TRUE,AE603,0)</f>
        <v>0</v>
      </c>
      <c r="DD603" s="1353" t="str">
        <f>IF(HW601=TRUE,AF603,"")</f>
        <v/>
      </c>
      <c r="DE603" s="1373">
        <f>AF604</f>
        <v>0</v>
      </c>
      <c r="DF603" s="1406">
        <f>IFERROR(IF(FL603=3,IK603,IF(FL603=4,IL603,IF(FL603=5,IM603,IF(FL603=6,IN603,IF(FL603=7,IO603,IF(FL603=8,IP603,0)))))),0)</f>
        <v>0</v>
      </c>
      <c r="DG603" s="1370">
        <f>IF(HW601=TRUE,AK603,0)</f>
        <v>0</v>
      </c>
      <c r="DH603" s="1369"/>
      <c r="DK603" s="1483">
        <f>IFERROR(CW603-DG603,0)</f>
        <v>0</v>
      </c>
      <c r="DL603" s="1420"/>
      <c r="DN603" s="1403"/>
      <c r="DO603" s="1477" t="str">
        <f>DN601</f>
        <v/>
      </c>
      <c r="DP603" s="1354"/>
      <c r="DQ603" s="1477" t="str">
        <f>IF(DP601=7,"LLLC","")</f>
        <v/>
      </c>
      <c r="DR603" s="1403"/>
      <c r="DS603" s="1489"/>
      <c r="DU603" s="1403"/>
      <c r="DV603" s="1404" t="str">
        <f>DU601</f>
        <v/>
      </c>
      <c r="DW603" s="1403"/>
      <c r="DX603" s="1403"/>
      <c r="DZ603" s="1481"/>
      <c r="EA603" s="1481"/>
      <c r="EC603" s="1482"/>
      <c r="ED603" s="1369"/>
      <c r="EE603" s="1371"/>
      <c r="EF603" s="1369"/>
      <c r="EG603" s="1369"/>
      <c r="EH603" s="1374"/>
      <c r="EI603" s="1374"/>
      <c r="EJ603" s="1363"/>
      <c r="EK603" s="1376"/>
      <c r="EL603" s="1376"/>
      <c r="EM603" s="1362"/>
      <c r="EN603" s="1362"/>
      <c r="EO603" s="1363"/>
      <c r="EP603" s="1363"/>
      <c r="EQ603" s="1363"/>
      <c r="ES603" s="1403"/>
      <c r="EU603" s="1411" t="e">
        <f>VLOOKUP(CP603,'Space Table'!$B$3:$L$160,8,FALSE)</f>
        <v>#N/A</v>
      </c>
      <c r="EV603" s="1411" t="e">
        <f>IF(EY603="Yes",VLOOKUP(AF603,Lookup_Control_Type_Table2,4,FALSE),VLOOKUP(AF603,Lookup_Control_Type_Table2,3,FALSE))</f>
        <v>#N/A</v>
      </c>
      <c r="EW603" s="1411" t="e">
        <f>VLOOKUP(AF603,Lookup!AU$3:AV$15,2,FALSE)</f>
        <v>#N/A</v>
      </c>
      <c r="EX603" s="1411" t="e">
        <f>VLOOKUP(EU601,Lookup_Control_Type_Table,2,FALSE)</f>
        <v>#N/A</v>
      </c>
      <c r="EY603" s="1411" t="e">
        <f>VLOOKUP(CP603,'Space Table'!$B$3:$L$160,7,FALSE)</f>
        <v>#N/A</v>
      </c>
      <c r="EZ603" s="1413"/>
      <c r="FB603" s="1365" t="str">
        <f>CONCATENATE(CN601," - ",AF603)</f>
        <v xml:space="preserve"> - </v>
      </c>
      <c r="FD603" s="1354"/>
      <c r="FE603" s="1354"/>
      <c r="FF603" s="138"/>
      <c r="FI603" s="1356" t="str">
        <f>IF(CN601="Exterior","Not Daylighted",G604)</f>
        <v>Not Daylighted</v>
      </c>
      <c r="FJ603" s="1356">
        <f>VLOOKUP(FI603,_Daylight_Table_Codes,2,FALSE)</f>
        <v>0</v>
      </c>
      <c r="FK603" s="1365">
        <f>AF603</f>
        <v>0</v>
      </c>
      <c r="FL603" s="1365" t="e">
        <f>VLOOKUP(FK603,_Control_Table,2,FALSE)</f>
        <v>#N/A</v>
      </c>
      <c r="FM603" s="1365" t="e">
        <f>IF(AND(FP603&gt;0,FK603="Occupancy Sensor"),"Daylight + Occupancy",IF(AND(FP603&gt;0,FL603&lt;4),"Interior Daylight Dimming",FK603))</f>
        <v>#N/A</v>
      </c>
      <c r="FO603" s="1364">
        <f>IF(CN601="Interior",VLOOKUP(CP601,Control_Savings_Interior,5,FALSE),0)</f>
        <v>0</v>
      </c>
      <c r="FP603" s="1361">
        <f>IF(CN603="Exterior",0,IF(FJ603=2,0.5,IF(OR(FJ603=1,FJ603=3),1,0)))</f>
        <v>0</v>
      </c>
      <c r="FQ603" s="1366">
        <f>IF(R602&gt;FO$37,(FO603*(FO$37/R602)),FO603)*FP603</f>
        <v>0</v>
      </c>
      <c r="FR603" s="1364">
        <f>DF603</f>
        <v>0</v>
      </c>
      <c r="FS603" s="1364">
        <f>ROUND(FR603+((1-FR603)*FQ603),2)</f>
        <v>0</v>
      </c>
      <c r="FT603" s="1364">
        <f>IF(__Retrofit_TI_NC=2,FS603,FR603)</f>
        <v>0</v>
      </c>
      <c r="FU603" s="1360">
        <f>IF(CO603="Interior",VLOOKUP(CP603,Control_Savings_Interior,4,FALSE),0)</f>
        <v>0</v>
      </c>
      <c r="FW603" s="1352"/>
      <c r="FX603" s="1352"/>
      <c r="FY603" s="1352"/>
      <c r="FZ603" s="1352"/>
      <c r="GA603" s="1352"/>
      <c r="GB603" s="1352"/>
      <c r="GC603" s="1352"/>
      <c r="GD603" s="1352"/>
      <c r="GE603" s="759" t="b">
        <f>IF(ISNUMBER(SEARCH("TLED",U603)),TRUE,FALSE)</f>
        <v>0</v>
      </c>
      <c r="GF603" s="1035" t="str">
        <f>IFERROR(VLOOKUP(U603,Fixtures!DM$93:DR$142,6,FALSE),"")</f>
        <v/>
      </c>
      <c r="GG603" s="1385"/>
      <c r="GI603" s="1383"/>
      <c r="GJ603" s="1379"/>
      <c r="GL603" s="1379"/>
      <c r="GM603" s="1379"/>
      <c r="HC603" s="1379"/>
      <c r="HD603" s="1379"/>
      <c r="HE603" s="1379"/>
      <c r="HF603" s="1379"/>
      <c r="HG603" s="1379"/>
      <c r="HH603" s="1379"/>
      <c r="HI603" s="1383"/>
      <c r="HJ603" s="1383"/>
      <c r="HK603" s="1383"/>
      <c r="HL603" s="1379"/>
      <c r="HM603" s="1379"/>
      <c r="HN603" s="1379"/>
      <c r="HO603" s="1379"/>
      <c r="HP603" s="1379"/>
      <c r="HQ603" s="1379"/>
      <c r="HR603" s="1379"/>
      <c r="HS603" s="1379"/>
      <c r="HT603" s="1379"/>
      <c r="HU603" s="1379"/>
      <c r="HW603" s="1383"/>
      <c r="HX603" s="1384" t="b">
        <f>HW601</f>
        <v>0</v>
      </c>
      <c r="HY603" s="1378"/>
      <c r="HZ603" s="436"/>
      <c r="IA603" s="1386"/>
      <c r="IB603" s="1380">
        <f>IF(IA601=TRUE,AC604,0)</f>
        <v>0</v>
      </c>
      <c r="IC603" s="1379"/>
      <c r="IF603" s="1380" t="e">
        <f>ROUND(T603*AB604*N602*R602/1000,0)</f>
        <v>#VALUE!</v>
      </c>
      <c r="IG603" s="1382"/>
      <c r="IH603" s="1384" t="e">
        <f>ROUND(T603*AB604*N602*R602/1000,0)</f>
        <v>#VALUE!</v>
      </c>
      <c r="II603" s="1382"/>
      <c r="IK603" s="1351" t="e">
        <f>IF($CO603="interior",IL603/2,VLOOKUP($CP603,Control_Savings_Exterior,IK$30,FALSE))</f>
        <v>#N/A</v>
      </c>
      <c r="IL603" s="1351" t="e">
        <f>IF($CO603="interior",VLOOKUP($CP603,Control_Savings_Interior,IL$30,FALSE),VLOOKUP($CP603,Control_Savings_Exterior,IL$30,FALSE))</f>
        <v>#N/A</v>
      </c>
      <c r="IM603" s="1351" t="e">
        <f>IF($CO603="interior",IF(R602&gt;FO$37,(IM$28*(FO$37/R602)),IM$28)*FP603,VLOOKUP($CP603,Control_Savings_Exterior,IM$30,FALSE))</f>
        <v>#N/A</v>
      </c>
      <c r="IN603" s="1351" t="e">
        <f>IF($CO603="interior",ROUND(((1-IL603)*IM603)+IL603,2),VLOOKUP($CP603,Control_Savings_Exterior,IN$30,FALSE))</f>
        <v>#N/A</v>
      </c>
      <c r="IO603" s="1351" t="e">
        <f>IF($CO603="interior", ROUND(((1-IL603)*(IM603*(1-IP$28)))+IP603,2), VLOOKUP($CP603,Control_Savings_Exterior,IO$30,FALSE))</f>
        <v>#N/A</v>
      </c>
      <c r="IP603" s="1351">
        <f>IF($CO603="interior",ROUND(((1-IL603)*IP$28)+IL603,2),0)</f>
        <v>0</v>
      </c>
    </row>
    <row r="604" spans="1:250" s="82" customFormat="1" ht="14.95" customHeight="1" thickTop="1" thickBot="1">
      <c r="B604" s="1421"/>
      <c r="C604" s="1422"/>
      <c r="D604" s="1423"/>
      <c r="E604" s="1462" t="s">
        <v>357</v>
      </c>
      <c r="F604" s="1463"/>
      <c r="G604" s="1464" t="s">
        <v>362</v>
      </c>
      <c r="H604" s="1465"/>
      <c r="I604" s="1465"/>
      <c r="J604" s="1465"/>
      <c r="K604" s="1465"/>
      <c r="L604" s="1466"/>
      <c r="M604" s="669">
        <f>IFERROR(VLOOKUP(G604,_Daylight_Table[],2,FALSE),0)</f>
        <v>0</v>
      </c>
      <c r="N604" s="670"/>
      <c r="O604" s="669" t="e">
        <f>VLOOKUP(G603,'Space Table'!$B$3:$L$160,11,FALSE)</f>
        <v>#N/A</v>
      </c>
      <c r="P604" s="1408"/>
      <c r="Q604" s="1409"/>
      <c r="R604" s="1409"/>
      <c r="S604" s="1402"/>
      <c r="T604" s="671" t="s">
        <v>281</v>
      </c>
      <c r="U604" s="1467" t="str">
        <f>IFERROR(VLOOKUP(U603,Fixtures!DM$93:DP$142,4,FALSE),"")</f>
        <v/>
      </c>
      <c r="V604" s="1468"/>
      <c r="W604" s="1468"/>
      <c r="X604" s="1468"/>
      <c r="Y604" s="1468"/>
      <c r="Z604" s="1468"/>
      <c r="AA604" s="1468"/>
      <c r="AB604" s="1046" t="str">
        <f>IFERROR(VLOOKUP(U603,Fixtures_Proposed_List,2,FALSE),"")</f>
        <v/>
      </c>
      <c r="AC604" s="1036" t="str">
        <f>IFERROR(ROUND(T603*AB604*N602*R602/1000,0),"")</f>
        <v/>
      </c>
      <c r="AD604" s="1037" t="str">
        <f>IFERROR(ROUND(T603*AB604/1000,2),"")</f>
        <v/>
      </c>
      <c r="AE604" s="1045" t="s">
        <v>281</v>
      </c>
      <c r="AF604" s="1469"/>
      <c r="AG604" s="1469"/>
      <c r="AH604" s="1469"/>
      <c r="AI604" s="1469"/>
      <c r="AJ604" s="1476"/>
      <c r="AK604" s="1471"/>
      <c r="AL604" s="1473"/>
      <c r="AM604" s="1443"/>
      <c r="AN604" s="1444"/>
      <c r="AO604" s="1449"/>
      <c r="AP604" s="1449"/>
      <c r="AQ604" s="1450"/>
      <c r="AR604" s="1453"/>
      <c r="AS604" s="1456"/>
      <c r="AT604" s="1459"/>
      <c r="AU604" s="517"/>
      <c r="AV604" s="1480"/>
      <c r="AW604" s="1480"/>
      <c r="BC604" s="38"/>
      <c r="BD604" s="38"/>
      <c r="BE604" s="38"/>
      <c r="BF604" s="38"/>
      <c r="BG604" s="38"/>
      <c r="BH604" s="38"/>
      <c r="BI604" s="38"/>
      <c r="BJ604" s="38"/>
      <c r="BK604" s="38"/>
      <c r="BL604" s="38"/>
      <c r="BM604" s="38"/>
      <c r="BN604" s="38"/>
      <c r="BO604" s="38"/>
      <c r="BP604" s="38"/>
      <c r="BQ604" s="38"/>
      <c r="BR604" s="38"/>
      <c r="BS604" s="38"/>
      <c r="BT604" s="38"/>
      <c r="BU604" s="38"/>
      <c r="BV604" s="38"/>
      <c r="BW604" s="38"/>
      <c r="BX604" s="38"/>
      <c r="BY604" s="38"/>
      <c r="BZ604" s="38"/>
      <c r="CA604" s="38"/>
      <c r="CB604" s="38"/>
      <c r="CC604" s="38"/>
      <c r="CD604" s="38"/>
      <c r="CE604" s="38"/>
      <c r="CF604" s="38"/>
      <c r="CG604" s="38"/>
      <c r="CH604" s="38"/>
      <c r="CI604" s="38"/>
      <c r="CM604" s="1352"/>
      <c r="CN604" s="1352"/>
      <c r="CO604" s="1416"/>
      <c r="CP604" s="1418"/>
      <c r="CR604" s="1386"/>
      <c r="CS604" s="1355"/>
      <c r="CT604" s="1355"/>
      <c r="CU604" s="1375"/>
      <c r="CV604" s="1372"/>
      <c r="CW604" s="1372"/>
      <c r="CX604" s="1372"/>
      <c r="CY604" s="1487"/>
      <c r="CZ604" s="1487"/>
      <c r="DA604" s="1487"/>
      <c r="DC604" s="1355"/>
      <c r="DD604" s="1355"/>
      <c r="DE604" s="1375"/>
      <c r="DF604" s="1407"/>
      <c r="DG604" s="1372"/>
      <c r="DH604" s="1369"/>
      <c r="DK604" s="1484"/>
      <c r="DL604" s="1420"/>
      <c r="DN604" s="1403"/>
      <c r="DO604" s="1405"/>
      <c r="DP604" s="1355"/>
      <c r="DQ604" s="1405"/>
      <c r="DR604" s="1403"/>
      <c r="DS604" s="1489"/>
      <c r="DU604" s="1403"/>
      <c r="DV604" s="1405"/>
      <c r="DW604" s="1403"/>
      <c r="DX604" s="1403"/>
      <c r="DZ604" s="1481"/>
      <c r="EA604" s="1481"/>
      <c r="EC604" s="1482"/>
      <c r="ED604" s="1369"/>
      <c r="EE604" s="1372"/>
      <c r="EF604" s="1369"/>
      <c r="EG604" s="1369"/>
      <c r="EH604" s="1375"/>
      <c r="EI604" s="1375"/>
      <c r="EJ604" s="1363"/>
      <c r="EK604" s="1376"/>
      <c r="EL604" s="1376"/>
      <c r="EM604" s="1362"/>
      <c r="EN604" s="1362"/>
      <c r="EO604" s="1363"/>
      <c r="EP604" s="1363"/>
      <c r="EQ604" s="1363"/>
      <c r="ES604" s="1403"/>
      <c r="EU604" s="1488"/>
      <c r="EV604" s="1488"/>
      <c r="EW604" s="1488"/>
      <c r="EX604" s="1488"/>
      <c r="EY604" s="1488"/>
      <c r="EZ604" s="1414"/>
      <c r="FB604" s="1365"/>
      <c r="FD604" s="1355"/>
      <c r="FE604" s="1355"/>
      <c r="FF604" s="138"/>
      <c r="FI604" s="1357"/>
      <c r="FJ604" s="1357"/>
      <c r="FK604" s="1365"/>
      <c r="FL604" s="1365"/>
      <c r="FM604" s="1365"/>
      <c r="FO604" s="1361"/>
      <c r="FP604" s="1361"/>
      <c r="FQ604" s="1366"/>
      <c r="FR604" s="1361"/>
      <c r="FS604" s="1361"/>
      <c r="FT604" s="1361"/>
      <c r="FU604" s="1360"/>
      <c r="FW604" s="1352"/>
      <c r="FX604" s="1352"/>
      <c r="FY604" s="1352"/>
      <c r="FZ604" s="1352"/>
      <c r="GA604" s="1352"/>
      <c r="GB604" s="1352"/>
      <c r="GC604" s="1352"/>
      <c r="GD604" s="1352"/>
      <c r="GE604" s="759"/>
      <c r="GF604" s="1035"/>
      <c r="GG604" s="1385"/>
      <c r="GJ604" s="1034">
        <f>IF(GJ602=TRUE,0,GJ$16)</f>
        <v>0</v>
      </c>
      <c r="GL604" s="1034">
        <f>IF(GL602=TRUE,0,GL$16)</f>
        <v>36</v>
      </c>
      <c r="GM604" s="1034">
        <f>IF(GM602=TRUE,0,GM$16)</f>
        <v>35</v>
      </c>
      <c r="GN604" s="436"/>
      <c r="GO604" s="436"/>
      <c r="GP604" s="436"/>
      <c r="GQ604" s="436"/>
      <c r="GR604" s="436"/>
      <c r="HC604" s="1034">
        <f t="shared" ref="HC604:HH604" si="446">IF(HC602=TRUE,0,HC$16)</f>
        <v>19</v>
      </c>
      <c r="HD604" s="1034">
        <f t="shared" si="446"/>
        <v>18</v>
      </c>
      <c r="HE604" s="1034">
        <f t="shared" si="446"/>
        <v>17</v>
      </c>
      <c r="HF604" s="1034">
        <f t="shared" si="446"/>
        <v>16</v>
      </c>
      <c r="HG604" s="1034">
        <f t="shared" si="446"/>
        <v>0</v>
      </c>
      <c r="HH604" s="1034">
        <f t="shared" si="446"/>
        <v>0</v>
      </c>
      <c r="HI604" s="1034">
        <f>IF(HI602=TRUE,0,HI$16)</f>
        <v>13</v>
      </c>
      <c r="HJ604" s="1034">
        <f t="shared" ref="HJ604:HL604" si="447">IF(HJ602=TRUE,0,HJ$16)</f>
        <v>12</v>
      </c>
      <c r="HK604" s="1034">
        <f t="shared" si="447"/>
        <v>11</v>
      </c>
      <c r="HL604" s="1034">
        <f t="shared" si="447"/>
        <v>10</v>
      </c>
      <c r="HM604" s="1034">
        <f>IF(HM602=TRUE,0,HM$16)</f>
        <v>9</v>
      </c>
      <c r="HN604" s="1034">
        <f t="shared" ref="HN604:HR604" si="448">IF(HN602=TRUE,0,HN$16)</f>
        <v>0</v>
      </c>
      <c r="HO604" s="1034">
        <f t="shared" si="448"/>
        <v>0</v>
      </c>
      <c r="HP604" s="1034">
        <f t="shared" si="448"/>
        <v>0</v>
      </c>
      <c r="HQ604" s="1034">
        <f t="shared" si="448"/>
        <v>0</v>
      </c>
      <c r="HR604" s="1034">
        <f t="shared" si="448"/>
        <v>0</v>
      </c>
      <c r="HS604" s="1034">
        <f>IF(HS602=TRUE,0,HS$16)</f>
        <v>0</v>
      </c>
      <c r="HT604" s="1034">
        <f t="shared" ref="HT604" si="449">IF(HT602=TRUE,0,HT$16)</f>
        <v>0</v>
      </c>
      <c r="HU604" s="1034">
        <f>IF(HU602=TRUE,0,HU$16)</f>
        <v>1</v>
      </c>
      <c r="HW604" s="1034">
        <f>IF(GL602=FALSE,GL604,IF(GM602=FALSE,GM604,MAX(GJ604:HU604)))</f>
        <v>36</v>
      </c>
      <c r="HX604" s="1383"/>
      <c r="HY604" s="241" t="str">
        <f>VLOOKUP(HW604,_Error_Table,3,FALSE)</f>
        <v xml:space="preserve"> </v>
      </c>
      <c r="HZ604" s="241"/>
      <c r="IA604" s="1386"/>
      <c r="IB604" s="1380"/>
      <c r="IC604" s="1379"/>
      <c r="IF604" s="1380"/>
      <c r="IG604" s="1383"/>
      <c r="IH604" s="1383"/>
      <c r="II604" s="1383"/>
      <c r="IK604" s="1351"/>
      <c r="IL604" s="1351"/>
      <c r="IM604" s="1351"/>
      <c r="IN604" s="1351"/>
      <c r="IO604" s="1351"/>
      <c r="IP604" s="1351"/>
    </row>
    <row r="605" spans="1:250" s="82" customFormat="1" ht="5.0999999999999996" customHeight="1" thickBot="1">
      <c r="B605" s="763"/>
      <c r="C605" s="1038"/>
      <c r="D605" s="1038"/>
      <c r="E605" s="1490"/>
      <c r="F605" s="1490"/>
      <c r="G605" s="1490"/>
      <c r="H605" s="1490"/>
      <c r="I605" s="1490"/>
      <c r="J605" s="1490"/>
      <c r="K605" s="1490"/>
      <c r="L605" s="1490"/>
      <c r="M605" s="1490"/>
      <c r="N605" s="1490"/>
      <c r="O605" s="1490"/>
      <c r="P605" s="1490"/>
      <c r="Q605" s="1490"/>
      <c r="R605" s="1490"/>
      <c r="S605" s="1490"/>
      <c r="T605" s="1490"/>
      <c r="U605" s="1490"/>
      <c r="V605" s="1490"/>
      <c r="W605" s="1490"/>
      <c r="X605" s="1490"/>
      <c r="Y605" s="1490"/>
      <c r="Z605" s="1490"/>
      <c r="AA605" s="1490"/>
      <c r="AB605" s="1490"/>
      <c r="AC605" s="1490"/>
      <c r="AD605" s="1490"/>
      <c r="AE605" s="1490"/>
      <c r="AF605" s="1490"/>
      <c r="AG605" s="1490"/>
      <c r="AH605" s="1490"/>
      <c r="AI605" s="1490"/>
      <c r="AJ605" s="1490"/>
      <c r="AK605" s="1490"/>
      <c r="AL605" s="1490"/>
      <c r="AM605" s="1490"/>
      <c r="AN605" s="1490"/>
      <c r="AO605" s="1490"/>
      <c r="AP605" s="1490"/>
      <c r="AQ605" s="1490"/>
      <c r="AR605" s="1490"/>
      <c r="AS605" s="1490"/>
      <c r="AT605" s="1490"/>
      <c r="AU605" s="1041"/>
      <c r="BC605" s="38"/>
      <c r="BD605" s="38"/>
      <c r="BE605" s="38"/>
      <c r="BF605" s="38"/>
      <c r="BG605" s="38"/>
      <c r="BH605" s="38"/>
      <c r="BI605" s="38"/>
      <c r="BJ605" s="38"/>
      <c r="BK605" s="38"/>
      <c r="BL605" s="38"/>
      <c r="BM605" s="38"/>
      <c r="BN605" s="38"/>
      <c r="BO605" s="38"/>
      <c r="BP605" s="38"/>
      <c r="BQ605" s="38"/>
      <c r="BR605" s="38"/>
      <c r="BS605" s="38"/>
      <c r="BT605" s="38"/>
      <c r="BU605" s="38"/>
      <c r="BV605" s="38"/>
      <c r="BW605" s="38"/>
      <c r="BX605" s="38"/>
      <c r="BY605" s="38"/>
      <c r="BZ605" s="38"/>
      <c r="CA605" s="38"/>
      <c r="CB605" s="38"/>
      <c r="CC605" s="38"/>
      <c r="CD605" s="38"/>
      <c r="CE605" s="38"/>
      <c r="CF605" s="38"/>
      <c r="CG605" s="38"/>
      <c r="CH605" s="38"/>
      <c r="CI605" s="38"/>
      <c r="CM605" s="749"/>
      <c r="CN605" s="749"/>
      <c r="CO605" s="1043"/>
      <c r="CP605" s="749"/>
      <c r="CS605" s="436"/>
      <c r="CT605" s="436"/>
      <c r="CU605" s="243"/>
      <c r="CV605" s="244"/>
      <c r="CW605" s="244"/>
      <c r="CX605" s="244"/>
      <c r="CY605" s="245"/>
      <c r="CZ605" s="245"/>
      <c r="DA605" s="245"/>
      <c r="DC605" s="750"/>
      <c r="DD605" s="751"/>
      <c r="DE605" s="752"/>
      <c r="DF605" s="753"/>
      <c r="DG605" s="754"/>
      <c r="DH605" s="754"/>
      <c r="DK605" s="244"/>
      <c r="DL605" s="750"/>
      <c r="DN605" s="750"/>
      <c r="DO605" s="755"/>
      <c r="DP605" s="436"/>
      <c r="DQ605" s="750"/>
      <c r="DR605" s="750"/>
      <c r="DS605" s="750"/>
      <c r="DU605" s="750"/>
      <c r="DV605" s="750"/>
      <c r="DW605" s="750"/>
      <c r="DX605" s="750"/>
      <c r="DZ605" s="756"/>
      <c r="EA605" s="756"/>
      <c r="EC605" s="754"/>
      <c r="ED605" s="754"/>
      <c r="EE605" s="244"/>
      <c r="EF605" s="754"/>
      <c r="EG605" s="754"/>
      <c r="EH605" s="243"/>
      <c r="EI605" s="243"/>
      <c r="EJ605" s="752"/>
      <c r="EK605" s="757"/>
      <c r="EL605" s="757"/>
      <c r="EM605" s="758"/>
      <c r="EN605" s="758"/>
      <c r="EO605" s="752"/>
      <c r="EP605" s="752"/>
      <c r="EQ605" s="752"/>
      <c r="ES605" s="750"/>
      <c r="EU605" s="436"/>
      <c r="EV605" s="436"/>
      <c r="EW605" s="436"/>
      <c r="EX605" s="436"/>
      <c r="EY605" s="436"/>
      <c r="EZ605" s="436"/>
      <c r="FB605" s="643"/>
      <c r="FD605" s="436"/>
      <c r="FE605" s="436"/>
      <c r="FF605" s="436"/>
      <c r="FO605" s="750"/>
      <c r="FP605" s="436"/>
      <c r="FQ605" s="436"/>
      <c r="FR605" s="750"/>
      <c r="FS605" s="750"/>
      <c r="FW605" s="749"/>
      <c r="FX605" s="749"/>
      <c r="FY605" s="749"/>
      <c r="FZ605" s="749"/>
      <c r="GA605" s="749"/>
      <c r="GB605" s="749"/>
      <c r="GC605" s="749"/>
      <c r="GD605" s="749"/>
      <c r="GE605" s="751"/>
      <c r="GF605" s="750"/>
      <c r="GG605" s="750"/>
    </row>
    <row r="606" spans="1:250" s="82" customFormat="1" ht="14.95" customHeight="1" thickTop="1" thickBot="1">
      <c r="B606" s="1421" t="str">
        <f>HY609</f>
        <v xml:space="preserve"> </v>
      </c>
      <c r="C606" s="1422">
        <f>C601+1</f>
        <v>110</v>
      </c>
      <c r="D606" s="1423"/>
      <c r="E606" s="1424" t="s">
        <v>242</v>
      </c>
      <c r="F606" s="1425"/>
      <c r="G606" s="1426"/>
      <c r="H606" s="1427"/>
      <c r="I606" s="1427"/>
      <c r="J606" s="1427"/>
      <c r="K606" s="1427"/>
      <c r="L606" s="1427"/>
      <c r="M606" s="1427"/>
      <c r="N606" s="1427"/>
      <c r="O606" s="1427"/>
      <c r="P606" s="1427"/>
      <c r="Q606" s="1427"/>
      <c r="R606" s="1427"/>
      <c r="S606" s="1428" t="s">
        <v>283</v>
      </c>
      <c r="T606" s="668" t="s">
        <v>190</v>
      </c>
      <c r="U606" s="1430" t="s">
        <v>186</v>
      </c>
      <c r="V606" s="1431"/>
      <c r="W606" s="1431"/>
      <c r="X606" s="1431"/>
      <c r="Y606" s="1431"/>
      <c r="Z606" s="1431"/>
      <c r="AA606" s="1431"/>
      <c r="AB606" s="1088" t="str">
        <f>IFERROR(IF(__Retrofit_TI_NC=0,VLOOKUP(U607,Fixtures_Existing_List,2,FALSE),ROUND(N608*R608/T608,10)),"")</f>
        <v/>
      </c>
      <c r="AC606" s="1039" t="str">
        <f>IFERROR(IF(__Retrofit_TI_NC=0,ROUND(T607*AB606*N607*R607/1000,0),IF(CN606="Interior",N608*R608*R607*N607*_C406_reduction/1000,N608*R608*R607*N607/1000)),"")</f>
        <v/>
      </c>
      <c r="AD606" s="1040" t="str">
        <f>IFERROR(IF(C$36=0,ROUND(T607*AB606/1000,2),N608*R608/1000),"")</f>
        <v/>
      </c>
      <c r="AE606" s="1044" t="s">
        <v>190</v>
      </c>
      <c r="AF606" s="1432" t="str">
        <f>IF(__Retrofit_TI_NC=2,CONCATENATE("Code min = ",DD606),IF(__Retrofit_TI_NC=1,"Emter what you think the existing control was"," Control"))</f>
        <v xml:space="preserve"> Control</v>
      </c>
      <c r="AG606" s="1432"/>
      <c r="AH606" s="1432"/>
      <c r="AI606" s="1432"/>
      <c r="AJ606" s="1433">
        <f>DF606</f>
        <v>0</v>
      </c>
      <c r="AK606" s="1435" t="str">
        <f>IFERROR(ROUND(AJ606*AC606,0),"")</f>
        <v/>
      </c>
      <c r="AL606" s="1437">
        <f>IFERROR(IF(HW606=FALSE,0,AC606-AK606),0)</f>
        <v>0</v>
      </c>
      <c r="AM606" s="1439">
        <f>AL606-AL608</f>
        <v>0</v>
      </c>
      <c r="AN606" s="1440"/>
      <c r="AO606" s="1445">
        <f>IFERROR(IF(HW606=FALSE,0,(T608*U609)+(AE608*AF609)),0)</f>
        <v>0</v>
      </c>
      <c r="AP606" s="1445"/>
      <c r="AQ606" s="1446"/>
      <c r="AR606" s="1451" t="s">
        <v>157</v>
      </c>
      <c r="AS606" s="1454">
        <f>IF(AR606="Yes",1,0)</f>
        <v>1</v>
      </c>
      <c r="AT606" s="1457" t="str">
        <f>IF(OR(DN606=4,DN606=5,DN606=6,DN606=12),CONCATENATE("$",IF(GD606=TRUE,Lookup!$B$11,Lookup!$B$2)," /lamp"),CONCATENATE(EA606,"/ kWh"))</f>
        <v>0/ kWh</v>
      </c>
      <c r="AU606" s="516"/>
      <c r="AV606" s="1478">
        <f>IFERROR(IF(GI607=TRUE,(AB609*T608)/R608,0),"NA")</f>
        <v>0</v>
      </c>
      <c r="AW606" s="1478" t="str">
        <f>IFERROR(N608*_C406_reduction,"NA")</f>
        <v>NA</v>
      </c>
      <c r="BC606" s="38"/>
      <c r="BD606" s="38"/>
      <c r="BE606" s="38"/>
      <c r="BF606" s="38"/>
      <c r="BG606" s="38"/>
      <c r="BH606" s="38"/>
      <c r="BI606" s="38"/>
      <c r="BJ606" s="38"/>
      <c r="BK606" s="38"/>
      <c r="BL606" s="38"/>
      <c r="BM606" s="38"/>
      <c r="BN606" s="38"/>
      <c r="BO606" s="38"/>
      <c r="BP606" s="38"/>
      <c r="BQ606" s="38"/>
      <c r="BR606" s="38"/>
      <c r="BS606" s="38"/>
      <c r="BT606" s="38"/>
      <c r="BU606" s="38"/>
      <c r="BV606" s="38"/>
      <c r="BW606" s="38"/>
      <c r="BX606" s="38"/>
      <c r="BY606" s="38"/>
      <c r="BZ606" s="38"/>
      <c r="CA606" s="38"/>
      <c r="CB606" s="38"/>
      <c r="CC606" s="38"/>
      <c r="CD606" s="38"/>
      <c r="CE606" s="38"/>
      <c r="CF606" s="38"/>
      <c r="CG606" s="38"/>
      <c r="CH606" s="38"/>
      <c r="CI606" s="38"/>
      <c r="CM606" s="1352" t="str">
        <f>N607</f>
        <v/>
      </c>
      <c r="CN606" s="1352" t="str">
        <f>IFERROR(VLOOKUP(G607,_Lookup_Heat_Type_Table_New,3,FALSE),"")</f>
        <v/>
      </c>
      <c r="CO606" s="1415" t="str">
        <f>CN606</f>
        <v/>
      </c>
      <c r="CP606" s="1417" t="e">
        <f>VLOOKUP(G608,'Space Table'!$B$3:$L$160,9,FALSE)</f>
        <v>#N/A</v>
      </c>
      <c r="CR606" s="1386" t="s">
        <v>283</v>
      </c>
      <c r="CS606" s="1353">
        <f>IF(HW606=TRUE,T607,0)</f>
        <v>0</v>
      </c>
      <c r="CT606" s="1353" t="str">
        <f>IF(HW606=TRUE,U607,"")</f>
        <v/>
      </c>
      <c r="CU606" s="1353"/>
      <c r="CV606" s="1370">
        <f>IF(HW606=TRUE,AB606,0)</f>
        <v>0</v>
      </c>
      <c r="CW606" s="1370">
        <f>IF(HW606=TRUE,AC606,0)</f>
        <v>0</v>
      </c>
      <c r="CX606" s="1370">
        <f>IFERROR(IF(HW606=TRUE,CW606-CW608,0),0)</f>
        <v>0</v>
      </c>
      <c r="CY606" s="1485">
        <f>IF(HW606=TRUE,AD606,0)</f>
        <v>0</v>
      </c>
      <c r="CZ606" s="1485">
        <f>IF(HW606=TRUE,AD609,0)</f>
        <v>0</v>
      </c>
      <c r="DA606" s="1485">
        <f>IFERROR(CY606-CZ606,0)</f>
        <v>0</v>
      </c>
      <c r="DC606" s="1353">
        <f>IF(HW606=TRUE,AE607,0)</f>
        <v>0</v>
      </c>
      <c r="DD606" s="1460">
        <f>IF(__Retrofit_TI_NC=2,IF(CN606="Exterior",O609,FM606),FK606)</f>
        <v>0</v>
      </c>
      <c r="DE606" s="1353"/>
      <c r="DF606" s="1406">
        <f>IFERROR(IF(FL606=3,IK606,IF(FL606=4,IL606,IF(FL606=5,IM606,IF(FL606=6,IN606,IF(FL606=7,IO606,IF(FL606=8,IP606,0)))))),0)</f>
        <v>0</v>
      </c>
      <c r="DG606" s="1370">
        <f>IF(HW606=TRUE,AK606,0)</f>
        <v>0</v>
      </c>
      <c r="DH606" s="1369">
        <f>IFERROR(IF(HW606=TRUE,DG608-DG606,0),0)</f>
        <v>0</v>
      </c>
      <c r="DJ606" s="1483">
        <f>IFERROR(CW606-DG606,0)</f>
        <v>0</v>
      </c>
      <c r="DL606" s="1419">
        <f>DJ606-DK608</f>
        <v>0</v>
      </c>
      <c r="DN606" s="1403" t="str">
        <f>IFERROR(IF(AND(OR(FY606=4,FY606=5,FY606=6),OR(GB606=4,GB606=5,GB606=6)),FY606+8,VLOOKUP(CT608,Fixtures!R$31:Y$78,8,FALSE)),"")</f>
        <v/>
      </c>
      <c r="DO606" s="1404" t="str">
        <f>DN606</f>
        <v/>
      </c>
      <c r="DP606" s="1353" t="str">
        <f>IFERROR(VLOOKUP(DD608,Lookup!AU$3:AV$15,2,FALSE),"")</f>
        <v/>
      </c>
      <c r="DQ606" s="1404" t="str">
        <f>IF(DP606=7,"LLLC","")</f>
        <v/>
      </c>
      <c r="DR606" s="1403">
        <f>IFERROR(IF(OR(DN606=4,DN606=5,DN606=6,DN606=12,DN606=13,DN606=14),VLOOKUP(CT608,Fixtures!DN$27:EG$77,19,FALSE),1)*CS608,0)</f>
        <v>0</v>
      </c>
      <c r="DS606" s="1489">
        <f>IF(DP606=7,IF(DD606=DD608,0,DC608),0)</f>
        <v>0</v>
      </c>
      <c r="DU606" s="1403" t="str">
        <f>IFERROR(IF(EW606&lt;EW608,"Yes","No"),"")</f>
        <v/>
      </c>
      <c r="DV606" s="1404" t="str">
        <f>DU606</f>
        <v/>
      </c>
      <c r="DW606" s="1403">
        <f>IF(DU606="Yes",DC608,0)</f>
        <v>0</v>
      </c>
      <c r="DX606" s="1403">
        <f>DW606-DS606</f>
        <v>0</v>
      </c>
      <c r="DZ606" s="1481">
        <f>IFERROR(VLOOKUP(DN606,Lookup!AN$3:AO$16,2,FALSE),0)</f>
        <v>0</v>
      </c>
      <c r="EA606" s="1481">
        <f>IF(HW606=FALSE,0,IF(DU606="Yes",DZ606+Lookup!B$6,DZ606))</f>
        <v>0</v>
      </c>
      <c r="EC606" s="1482">
        <f>IF(HW606=TRUE,DJ606,0)</f>
        <v>0</v>
      </c>
      <c r="ED606" s="1369">
        <f>IF(HW606=TRUE,CW608,0)</f>
        <v>0</v>
      </c>
      <c r="EE606" s="1370">
        <f>IFERROR(EC606-ED606,0)</f>
        <v>0</v>
      </c>
      <c r="EF606" s="1369">
        <f>IF(HW606=TRUE,DG608,0)</f>
        <v>0</v>
      </c>
      <c r="EG606" s="1369">
        <f>IFERROR(EC606-ED606+EF606,0)</f>
        <v>0</v>
      </c>
      <c r="EH606" s="1373">
        <f>IF(HW606=TRUE,CS608*CU608,0)</f>
        <v>0</v>
      </c>
      <c r="EI606" s="1373">
        <f>IF(HW606=TRUE,DC608*DE608,0)</f>
        <v>0</v>
      </c>
      <c r="EJ606" s="1363">
        <f>AO606</f>
        <v>0</v>
      </c>
      <c r="EK606" s="1376" t="str">
        <f>IFERROR(IF(HW606=TRUE,VLOOKUP(DN606,Lookup!AN$3:AP$16,3,FALSE)*DR606,""),0)</f>
        <v/>
      </c>
      <c r="EL606" s="1376">
        <f>IF(HW606=TRUE,DW606*Lookup!AP$12,0)</f>
        <v>0</v>
      </c>
      <c r="EM606" s="1362">
        <f>IFERROR(IF(HW606=TRUE,EK606/EM$33,0),0)</f>
        <v>0</v>
      </c>
      <c r="EN606" s="1362">
        <f>IF(HW606=TRUE,EL606/EN$33,0)</f>
        <v>0</v>
      </c>
      <c r="EO606" s="1363">
        <f>IF(HW606=TRUE,EQ$33*EM606,0)</f>
        <v>0</v>
      </c>
      <c r="EP606" s="1363">
        <f>IF(HW606=TRUE,EQ$33*EN606,0)</f>
        <v>0</v>
      </c>
      <c r="EQ606" s="1363">
        <f>EO606+EP606</f>
        <v>0</v>
      </c>
      <c r="ES606" s="1403">
        <f>IF(G606="",0,1)</f>
        <v>0</v>
      </c>
      <c r="EU606" s="1410" t="e">
        <f>VLOOKUP(CP608,'Space Table'!$B$3:$L$160,8,FALSE)</f>
        <v>#N/A</v>
      </c>
      <c r="EV606" s="1410" t="e">
        <f>IF(EY606="Yes",VLOOKUP(DD606,Lookup_Control_Type_Table2,4,FALSE),VLOOKUP(DD606,Lookup_Control_Type_Table2,3,FALSE))</f>
        <v>#N/A</v>
      </c>
      <c r="EW606" s="1410" t="e">
        <f>VLOOKUP(DD606,Lookup!AU$3:AV$15,2,FALSE)</f>
        <v>#N/A</v>
      </c>
      <c r="EX606" s="1410" t="e">
        <f>VLOOKUP(EU606,Lookup_Control_Type_Table,2,FALSE)</f>
        <v>#N/A</v>
      </c>
      <c r="EY606" s="1410" t="e">
        <f>VLOOKUP(CP608,'Space Table'!$B$3:$L$160,7,FALSE)</f>
        <v>#N/A</v>
      </c>
      <c r="EZ606" s="1412" t="b">
        <f>ISNUMBER(SEARCH("TLED",U608))</f>
        <v>0</v>
      </c>
      <c r="FB606" s="1365" t="str">
        <f>CONCATENATE(CN606," - ",DD606)</f>
        <v xml:space="preserve"> - 0</v>
      </c>
      <c r="FD606" s="1353" t="str">
        <f>VLOOKUP(CT608,Fixtures!DN$27:EZ$77,38,FALSE)</f>
        <v/>
      </c>
      <c r="FE606" s="1353">
        <f>IFERROR(FD606*EE606,0)</f>
        <v>0</v>
      </c>
      <c r="FF606" s="138"/>
      <c r="FI606" s="1356" t="str">
        <f>IF(CN606="Exterior","Not Daylighted",G609)</f>
        <v>Not Daylighted</v>
      </c>
      <c r="FJ606" s="1356">
        <f>VLOOKUP(FI606,_Daylight_Table_Codes,2,FALSE)</f>
        <v>0</v>
      </c>
      <c r="FK606" s="1365">
        <f>IF(__Retrofit_TI_NC=2,VLOOKUP(G608,'Space Table'!$B$3:$L$160,11,FALSE),AF607)</f>
        <v>0</v>
      </c>
      <c r="FL606" s="1365" t="e">
        <f>VLOOKUP(FK606,_Control_Table,2,FALSE)</f>
        <v>#N/A</v>
      </c>
      <c r="FM606" s="1365" t="e">
        <f>IF(AND(FP606&gt;0,FK606="Occupancy Sensor"),"Daylight + Occupancy",IF(AND(FP606&gt;0,FL606&lt;4),"Interior Daylight Dimming",FK606))</f>
        <v>#N/A</v>
      </c>
      <c r="FO606" s="1364">
        <f>IF(CO606="Interior",VLOOKUP(CP606,Control_Savings_Interior,5,FALSE),0)</f>
        <v>0</v>
      </c>
      <c r="FP606" s="1361">
        <f>IF(CN606="Exterior",0,IF(FJ606=2,0.5,IF(OR(FJ606=1,FJ606=3),1,0)))</f>
        <v>0</v>
      </c>
      <c r="FQ606" s="1366"/>
      <c r="FR606" s="1367"/>
      <c r="FS606" s="1364"/>
      <c r="FT606" s="1367"/>
      <c r="FU606" s="1360"/>
      <c r="FW606" s="1352" t="str">
        <f>IFERROR(VLOOKUP(U607,_Exist_Fixture_Table,3,FALSE),"")</f>
        <v/>
      </c>
      <c r="FX606" s="1352" t="str">
        <f>VLOOKUP(CT606,_Exist_Fixture_Table,4,FALSE)</f>
        <v/>
      </c>
      <c r="FY606" s="1352">
        <f>IFERROR(VLOOKUP(FX606,Lookup!AM$6:AN$8,2,FALSE),0)</f>
        <v>0</v>
      </c>
      <c r="FZ606" s="1352" t="b">
        <f>IFERROR(IF(OR(GB606=4,GB606=5,GB606=6),TRUE,FALSE),"")</f>
        <v>0</v>
      </c>
      <c r="GA606" s="1352" t="str">
        <f>IFERROR(VLOOKUP(GB606,FY$6:FZ$10,2,FALSE),"")</f>
        <v/>
      </c>
      <c r="GB606" s="1352" t="str">
        <f>VLOOKUP(CT608,Fixtures!R$31:Y$78,8,FALSE)</f>
        <v/>
      </c>
      <c r="GC606" s="1352">
        <f>IF(AND(FW606=TRUE,FZ606=TRUE,OR(DN606=12,DN606=13,DN606=14)),FY606+8,0)</f>
        <v>0</v>
      </c>
      <c r="GD606" s="1352" t="b">
        <f>IF(OR(GC606=12,GC606=13,GC606=14),TRUE,FALSE)</f>
        <v>0</v>
      </c>
      <c r="GE606" s="759" t="b">
        <f>IF(ISNUMBER(SEARCH("TLED",U607)),TRUE,FALSE)</f>
        <v>0</v>
      </c>
      <c r="GF606" s="1035" t="str">
        <f>IFERROR(VLOOKUP(U607,Fixtures!BM$93:BR$142,6,FALSE),"")</f>
        <v/>
      </c>
      <c r="GG606" s="1385" t="b">
        <f>IF(OR(GE606=FALSE,GE608=FALSE),TRUE,IF(GF606-GF608&lt;5,FALSE,TRUE))</f>
        <v>1</v>
      </c>
      <c r="GK606" s="1034">
        <f>GL606</f>
        <v>0</v>
      </c>
      <c r="GL606" s="1034">
        <f>IF(G606="",0,1)</f>
        <v>0</v>
      </c>
      <c r="GM606" s="1034">
        <f>SUM(GN606:HB606)</f>
        <v>2</v>
      </c>
      <c r="GN606" s="1034">
        <f>IF(G607="",0,1)</f>
        <v>0</v>
      </c>
      <c r="GO606" s="1034">
        <f>IF(G608="",0,1)</f>
        <v>0</v>
      </c>
      <c r="GP606" s="1034">
        <f>IF(R607="",0,1)</f>
        <v>0</v>
      </c>
      <c r="GQ606" s="1034">
        <f>IF(__Retrofit_TI_NC=0,1,IF(R608="",0,1))</f>
        <v>1</v>
      </c>
      <c r="GR606" s="1034">
        <f>IF(CN606="Exterior",1,IF(G609="",0,1))</f>
        <v>1</v>
      </c>
      <c r="GS606" s="1034">
        <f>IF(__Retrofit_TI_NC&lt;&gt;0,1,IF(T607="",0,1))</f>
        <v>0</v>
      </c>
      <c r="GT606" s="1034">
        <f>IF(__Retrofit_TI_NC&lt;&gt;0,1,IF(U607="",0,1))</f>
        <v>0</v>
      </c>
      <c r="GU606" s="1034">
        <f>IF(T608="",0,1)</f>
        <v>0</v>
      </c>
      <c r="GV606" s="1034">
        <f>IF(U608="",0,1)</f>
        <v>0</v>
      </c>
      <c r="GW606" s="1034">
        <f>IF(__Retrofit_TI_NC=2,1,IF(U609="",0,1))</f>
        <v>0</v>
      </c>
      <c r="GX606" s="1034">
        <f>IF(__Retrofit_TI_NC&lt;&gt;0,1,IF(AE607="",0,1))</f>
        <v>0</v>
      </c>
      <c r="GY606" s="1034">
        <f>IF(__Retrofit_TI_NC&lt;&gt;0,1,IF(AF607="",0,1))</f>
        <v>0</v>
      </c>
      <c r="GZ606" s="1034">
        <f>IF(AE608="",0,1)</f>
        <v>0</v>
      </c>
      <c r="HA606" s="1034">
        <f>IF(AF608="",0,1)</f>
        <v>0</v>
      </c>
      <c r="HB606" s="1034">
        <f>IF(__Retrofit_TI_NC=2,1,IF(AF609="",0,1))</f>
        <v>0</v>
      </c>
      <c r="HV606" s="436"/>
      <c r="HW606" s="1384" t="b">
        <f>IF(OR(HW609=0,HW609=HT$16,HW609=HS$16,HW609=HU$16),TRUE,FALSE)</f>
        <v>0</v>
      </c>
      <c r="HX606" s="1377" t="b">
        <f>HW606</f>
        <v>0</v>
      </c>
      <c r="HY606" s="436"/>
      <c r="HZ606" s="436"/>
      <c r="IA606" s="1386" t="b">
        <f>IF(MAX(GJ609:HP609)&gt;5,FALSE,TRUE)</f>
        <v>0</v>
      </c>
      <c r="IB606" s="1380">
        <f>IF(IA606=TRUE,AC606,0)</f>
        <v>0</v>
      </c>
      <c r="IC606" s="1380">
        <f>IB606-IB608</f>
        <v>0</v>
      </c>
      <c r="IF606" s="1380" t="e">
        <f>ROUND(T607*VLOOKUP(U607,Fixtures_Existing_List,2,FALSE)*N607*R607/1000,0)</f>
        <v>#N/A</v>
      </c>
      <c r="IG606" s="1381" t="e">
        <f>IF606-IF608</f>
        <v>#N/A</v>
      </c>
      <c r="IH606" s="1384" t="e">
        <f>ROUND(IF(CN606="Interior",N608*R608*R607*N607*_C406_reduction/1000,N608*R608*R607*N607/1000),0)</f>
        <v>#N/A</v>
      </c>
      <c r="II606" s="1384" t="e">
        <f>IH606-IH608</f>
        <v>#N/A</v>
      </c>
      <c r="IK606" s="1351" t="e">
        <f>IF($CO606="interior",IL606/2,VLOOKUP($CP606,Control_Savings_Exterior,IK$30,FALSE))</f>
        <v>#N/A</v>
      </c>
      <c r="IL606" s="1351" t="e">
        <f>IF($CO606="interior",VLOOKUP($CP606,Control_Savings_Interior,IL$30,FALSE),VLOOKUP($CP606,Control_Savings_Exterior,IL$30,FALSE))</f>
        <v>#N/A</v>
      </c>
      <c r="IM606" s="1351" t="e">
        <f>IF($CO606="interior",IF(R607&gt;FO$37,(IM$28*(FO$37/R607)),IM$28)*FP606,VLOOKUP($CP606,Control_Savings_Exterior,IM$30,FALSE))</f>
        <v>#N/A</v>
      </c>
      <c r="IN606" s="1351" t="e">
        <f>IF($CO606="interior",ROUND(((1-IL606)*IM606)+IL606,2),VLOOKUP($CP606,Control_Savings_Exterior,IN$30,FALSE))</f>
        <v>#N/A</v>
      </c>
      <c r="IO606" s="1351" t="e">
        <f>IF($CO606="interior", ROUND(((1-IL606)*(IM606*(1-IP$28)))+IP606,2), VLOOKUP($CP606,Control_Savings_Exterior,IO$30,FALSE))</f>
        <v>#N/A</v>
      </c>
      <c r="IP606" s="1351">
        <f>IF($CO606="interior",ROUND(((1-IL606)*IP$28)+IL606,2),0)</f>
        <v>0</v>
      </c>
    </row>
    <row r="607" spans="1:250" s="82" customFormat="1" ht="14.95" customHeight="1" thickTop="1" thickBot="1">
      <c r="B607" s="1421"/>
      <c r="C607" s="1422"/>
      <c r="D607" s="1423"/>
      <c r="E607" s="1393" t="s">
        <v>244</v>
      </c>
      <c r="F607" s="1394"/>
      <c r="G607" s="1395"/>
      <c r="H607" s="1395"/>
      <c r="I607" s="1395"/>
      <c r="J607" s="1395"/>
      <c r="K607" s="1395"/>
      <c r="L607" s="1395"/>
      <c r="M607" s="509" t="e">
        <f>IF(__Retrofit_TI_NC&lt;&gt;0,IF(VLOOKUP(G608,'Space Table'!$B$3:$L$160,3,FALSE)&gt;0,1,0),IF(__Retrofit_TI_NC=VLOOKUP(G608,'Space Table'!$B$3:$L$160,3,FALSE),1,0))</f>
        <v>#N/A</v>
      </c>
      <c r="N607" s="509" t="str">
        <f>IFERROR(VLOOKUP(G607,_Lookup_Heat_Type_Table_New,2,FALSE),"")</f>
        <v/>
      </c>
      <c r="O607" s="509">
        <f>IF(__Retrofit_TI_NC=1,CONCATENATE("TI ",G607),IF(__Retrofit_TI_NC=2,CONCATENATE("NC ",G607),G607))</f>
        <v>0</v>
      </c>
      <c r="P607" s="1396" t="s">
        <v>352</v>
      </c>
      <c r="Q607" s="1396"/>
      <c r="R607" s="673"/>
      <c r="S607" s="1429"/>
      <c r="T607" s="675"/>
      <c r="U607" s="1496"/>
      <c r="V607" s="1497"/>
      <c r="W607" s="1497"/>
      <c r="X607" s="1497"/>
      <c r="Y607" s="1497"/>
      <c r="Z607" s="1497"/>
      <c r="AA607" s="1497"/>
      <c r="AB607" s="1497"/>
      <c r="AC607" s="1497"/>
      <c r="AD607" s="1498"/>
      <c r="AE607" s="675"/>
      <c r="AF607" s="1397"/>
      <c r="AG607" s="1397"/>
      <c r="AH607" s="1397"/>
      <c r="AI607" s="1397"/>
      <c r="AJ607" s="1434"/>
      <c r="AK607" s="1436"/>
      <c r="AL607" s="1438"/>
      <c r="AM607" s="1441"/>
      <c r="AN607" s="1442"/>
      <c r="AO607" s="1447"/>
      <c r="AP607" s="1447"/>
      <c r="AQ607" s="1448"/>
      <c r="AR607" s="1452"/>
      <c r="AS607" s="1455"/>
      <c r="AT607" s="1458"/>
      <c r="AU607" s="516"/>
      <c r="AV607" s="1479"/>
      <c r="AW607" s="1479"/>
      <c r="BC607" s="38"/>
      <c r="BD607" s="38"/>
      <c r="BE607" s="38"/>
      <c r="BF607" s="38"/>
      <c r="BG607" s="38"/>
      <c r="BH607" s="38"/>
      <c r="BI607" s="38"/>
      <c r="BJ607" s="38"/>
      <c r="BK607" s="38"/>
      <c r="BL607" s="38"/>
      <c r="BM607" s="38"/>
      <c r="BN607" s="38"/>
      <c r="BO607" s="38"/>
      <c r="BP607" s="38"/>
      <c r="BQ607" s="38"/>
      <c r="BR607" s="38"/>
      <c r="BS607" s="38"/>
      <c r="BT607" s="38"/>
      <c r="BU607" s="38"/>
      <c r="BV607" s="38"/>
      <c r="BW607" s="38"/>
      <c r="BX607" s="38"/>
      <c r="BY607" s="38"/>
      <c r="BZ607" s="38"/>
      <c r="CA607" s="38"/>
      <c r="CB607" s="38"/>
      <c r="CC607" s="38"/>
      <c r="CD607" s="38"/>
      <c r="CE607" s="38"/>
      <c r="CF607" s="38"/>
      <c r="CG607" s="38"/>
      <c r="CH607" s="38"/>
      <c r="CI607" s="38"/>
      <c r="CM607" s="1352"/>
      <c r="CN607" s="1352"/>
      <c r="CO607" s="1416"/>
      <c r="CP607" s="1418"/>
      <c r="CR607" s="1386"/>
      <c r="CS607" s="1355"/>
      <c r="CT607" s="1355"/>
      <c r="CU607" s="1355"/>
      <c r="CV607" s="1372"/>
      <c r="CW607" s="1372"/>
      <c r="CX607" s="1371"/>
      <c r="CY607" s="1486"/>
      <c r="CZ607" s="1486"/>
      <c r="DA607" s="1486"/>
      <c r="DC607" s="1355"/>
      <c r="DD607" s="1461"/>
      <c r="DE607" s="1355"/>
      <c r="DF607" s="1407"/>
      <c r="DG607" s="1372"/>
      <c r="DH607" s="1369"/>
      <c r="DJ607" s="1484"/>
      <c r="DL607" s="1419"/>
      <c r="DN607" s="1403"/>
      <c r="DO607" s="1405"/>
      <c r="DP607" s="1354"/>
      <c r="DQ607" s="1405"/>
      <c r="DR607" s="1403"/>
      <c r="DS607" s="1489"/>
      <c r="DU607" s="1403"/>
      <c r="DV607" s="1405"/>
      <c r="DW607" s="1403"/>
      <c r="DX607" s="1403"/>
      <c r="DZ607" s="1481"/>
      <c r="EA607" s="1481"/>
      <c r="EC607" s="1482"/>
      <c r="ED607" s="1369"/>
      <c r="EE607" s="1371"/>
      <c r="EF607" s="1369"/>
      <c r="EG607" s="1369"/>
      <c r="EH607" s="1374"/>
      <c r="EI607" s="1374"/>
      <c r="EJ607" s="1363"/>
      <c r="EK607" s="1376"/>
      <c r="EL607" s="1376"/>
      <c r="EM607" s="1362"/>
      <c r="EN607" s="1362"/>
      <c r="EO607" s="1363"/>
      <c r="EP607" s="1363"/>
      <c r="EQ607" s="1363"/>
      <c r="ES607" s="1403"/>
      <c r="EU607" s="1411"/>
      <c r="EV607" s="1411"/>
      <c r="EW607" s="1411"/>
      <c r="EX607" s="1411"/>
      <c r="EY607" s="1411"/>
      <c r="EZ607" s="1413"/>
      <c r="FB607" s="1365"/>
      <c r="FD607" s="1354"/>
      <c r="FE607" s="1354"/>
      <c r="FF607" s="138"/>
      <c r="FI607" s="1357"/>
      <c r="FJ607" s="1357"/>
      <c r="FK607" s="1365"/>
      <c r="FL607" s="1365"/>
      <c r="FM607" s="1365"/>
      <c r="FO607" s="1361"/>
      <c r="FP607" s="1361"/>
      <c r="FQ607" s="1366"/>
      <c r="FR607" s="1368"/>
      <c r="FS607" s="1361"/>
      <c r="FT607" s="1368"/>
      <c r="FU607" s="1360"/>
      <c r="FW607" s="1352"/>
      <c r="FX607" s="1352"/>
      <c r="FY607" s="1352"/>
      <c r="FZ607" s="1352"/>
      <c r="GA607" s="1352"/>
      <c r="GB607" s="1352"/>
      <c r="GC607" s="1352"/>
      <c r="GD607" s="1352"/>
      <c r="GE607" s="759"/>
      <c r="GF607" s="1035"/>
      <c r="GG607" s="1385"/>
      <c r="GI607" s="1384" t="b">
        <f>IF(AND(GL607=TRUE,GM607=TRUE),TRUE,FALSE)</f>
        <v>0</v>
      </c>
      <c r="GJ607" s="1379" t="b">
        <f>IFERROR(IF(__Retrofit_TI_NC=2,TRUE,IF(AR606="Yes",TRUE,FALSE)),FALSE)</f>
        <v>1</v>
      </c>
      <c r="GL607" s="1379" t="b">
        <f>IFERROR(IF(GL606=1,TRUE,FALSE),FALSE)</f>
        <v>0</v>
      </c>
      <c r="GM607" s="1379" t="b">
        <f>IFERROR(IF(GM606=GM$14,TRUE,FALSE),FALSE)</f>
        <v>0</v>
      </c>
      <c r="HC607" s="1379" t="b">
        <f>IFERROR(IF(M607=1,TRUE,FALSE),FALSE)</f>
        <v>0</v>
      </c>
      <c r="HD607" s="1379" t="b">
        <f>IFERROR(IF(M608=1,TRUE,FALSE),FALSE)</f>
        <v>0</v>
      </c>
      <c r="HE607" s="1379" t="b">
        <f>IFERROR(IF(__Retrofit_TI_NC&lt;&gt;0,TRUE,IFERROR(IF(VLOOKUP(U607,Fixtures_Existing_List,2,FALSE)&lt;&gt;"",TRUE,FALSE),FALSE)),FALSE)</f>
        <v>0</v>
      </c>
      <c r="HF607" s="1379" t="b">
        <f>IFERROR(IF(VLOOKUP(U608,Fixtures_Proposed_List,2,FALSE)&lt;&gt;"",TRUE,FALSE),FALSE)</f>
        <v>0</v>
      </c>
      <c r="HG607" s="1379" t="b">
        <f>IF(AND(__Retrofit_TI_NC=2,EZ606=TRUE),FALSE,TRUE)</f>
        <v>1</v>
      </c>
      <c r="HH607" s="1379" t="b">
        <f>GG606</f>
        <v>1</v>
      </c>
      <c r="HI607" s="1384" t="b">
        <f>IF(ISERROR(MATCH(FB606,_Control_Match[],0))=TRUE,FALSE,TRUE)</f>
        <v>0</v>
      </c>
      <c r="HJ607" s="1384" t="b">
        <f>IFERROR(IF(EU606&lt;&gt;EV606,FALSE,TRUE),FALSE)</f>
        <v>0</v>
      </c>
      <c r="HK607" s="1384" t="b">
        <f>IFERROR(IF(EU608&lt;&gt;EV608,FALSE,TRUE),FALSE)</f>
        <v>0</v>
      </c>
      <c r="HL607" s="1379" t="b">
        <f>IFERROR(IF(CN606="Exterior",TRUE,IF(OR(AND(FJ606=0,EW608&gt;4),AND(FJ606=4,EW608&gt;4,EW608&lt;7)),FALSE,TRUE)),FALSE)</f>
        <v>0</v>
      </c>
      <c r="HM607" s="1379" t="b">
        <f>IFERROR(IF(AND(FL608=7,EZ606=TRUE),FALSE,TRUE),FALSE)</f>
        <v>0</v>
      </c>
      <c r="HN607" s="1379" t="b">
        <f>IFERROR(IF(AND(T608&lt;&gt;AE608,AF608="Interior LLLC")=TRUE,FALSE,TRUE),FALSE)</f>
        <v>1</v>
      </c>
      <c r="HO607" s="1379" t="b">
        <f>IFERROR(IF(OR(AF608=Lookup!AU$13,AF608=Lookup!AU$14)=TRUE,IF(AE608&gt;T608,FALSE,TRUE),TRUE),FALSE)</f>
        <v>1</v>
      </c>
      <c r="HP607" s="1379" t="b">
        <f>IFERROR(IF(__Retrofit_TI_NC=2,IF(EW608&lt;EW606,FALSE,TRUE),TRUE),FALSE)</f>
        <v>1</v>
      </c>
      <c r="HQ607" s="1379" t="b">
        <f>IF(CN606="Interior",IG$6,TRUE)</f>
        <v>1</v>
      </c>
      <c r="HR607" s="1379" t="b">
        <f>IF(CN606="Exterior",IG$8,TRUE)</f>
        <v>1</v>
      </c>
      <c r="HS607" s="1379" t="b">
        <f>IFERROR(IF(__Retrofit_TI_NC&lt;&gt;0,IF(AW606&lt;AV606,FALSE,TRUE),TRUE),FALSE)</f>
        <v>1</v>
      </c>
      <c r="HT607" s="1379" t="b">
        <f>IFERROR(IF(AND(G607="Exterior",R607&gt;4200),FALSE,TRUE),FALSE)</f>
        <v>1</v>
      </c>
      <c r="HU607" s="1379" t="b">
        <f>IFERROR(IF(AB609/AB606&lt;HU$18,FALSE,TRUE),FALSE)</f>
        <v>0</v>
      </c>
      <c r="HW607" s="1382"/>
      <c r="HX607" s="1378"/>
      <c r="HY607" s="1377" t="str">
        <f>VLOOKUP(HW609,_Error_Table,4,FALSE)</f>
        <v>White</v>
      </c>
      <c r="HZ607" s="436"/>
      <c r="IA607" s="1386"/>
      <c r="IB607" s="1380"/>
      <c r="IC607" s="1379"/>
      <c r="IF607" s="1380"/>
      <c r="IG607" s="1382"/>
      <c r="IH607" s="1382"/>
      <c r="II607" s="1382"/>
      <c r="IK607" s="1351"/>
      <c r="IL607" s="1351"/>
      <c r="IM607" s="1351"/>
      <c r="IN607" s="1351"/>
      <c r="IO607" s="1351"/>
      <c r="IP607" s="1351"/>
    </row>
    <row r="608" spans="1:250" s="82" customFormat="1" ht="14.95" customHeight="1" thickTop="1" thickBot="1">
      <c r="A608" s="82">
        <f>ROW()</f>
        <v>608</v>
      </c>
      <c r="B608" s="1421"/>
      <c r="C608" s="1422"/>
      <c r="D608" s="1423"/>
      <c r="E608" s="1393" t="s">
        <v>245</v>
      </c>
      <c r="F608" s="1394"/>
      <c r="G608" s="1398"/>
      <c r="H608" s="1399"/>
      <c r="I608" s="1399"/>
      <c r="J608" s="1399"/>
      <c r="K608" s="1399"/>
      <c r="L608" s="1400"/>
      <c r="M608" s="509">
        <f>IFERROR(IF(IF(__Retrofit_TI_NC&lt;&gt;0,IF(CN606="Interior",MATCH(G608,Lookup_Interior_New,0),MATCH(G608,Lookup_Exterior_New,0)),IF(CN606="Interior",MATCH(G608,Lookup_Interior,0),MATCH(G608,Lookup_Exterior_Areas,0)))&gt;0,1,0),0)</f>
        <v>0</v>
      </c>
      <c r="N608" s="509" t="e">
        <f>IF(__Retrofit_TI_NC=1,
VLOOKUP(G608,'Space Table'!$B$3:$L$160,4,FALSE),
IF(__Retrofit_TI_NC=2,VLOOKUP(G608,'Space Table'!$B$3:$L$160,5,FALSE),VLOOKUP(G608,'Space Table'!$B$3:$L$160,5,FALSE)))</f>
        <v>#N/A</v>
      </c>
      <c r="O608" s="509">
        <f>G608</f>
        <v>0</v>
      </c>
      <c r="P608" s="1394" t="s">
        <v>355</v>
      </c>
      <c r="Q608" s="1394"/>
      <c r="R608" s="674"/>
      <c r="S608" s="1401" t="s">
        <v>284</v>
      </c>
      <c r="T608" s="672"/>
      <c r="U608" s="1499"/>
      <c r="V608" s="1500"/>
      <c r="W608" s="1500"/>
      <c r="X608" s="1500"/>
      <c r="Y608" s="1500"/>
      <c r="Z608" s="1500"/>
      <c r="AA608" s="1500"/>
      <c r="AB608" s="1501"/>
      <c r="AC608" s="1501"/>
      <c r="AD608" s="1502"/>
      <c r="AE608" s="672"/>
      <c r="AF608" s="1474"/>
      <c r="AG608" s="1474"/>
      <c r="AH608" s="1474"/>
      <c r="AI608" s="1474"/>
      <c r="AJ608" s="1475">
        <f>DF608</f>
        <v>0</v>
      </c>
      <c r="AK608" s="1470" t="str">
        <f>IFERROR(ROUND(AJ608*AC609,0),"")</f>
        <v/>
      </c>
      <c r="AL608" s="1472">
        <f>IFERROR(IF(HW606=FALSE,0,AC609-AK608),0)</f>
        <v>0</v>
      </c>
      <c r="AM608" s="1441"/>
      <c r="AN608" s="1442"/>
      <c r="AO608" s="1447"/>
      <c r="AP608" s="1447"/>
      <c r="AQ608" s="1448"/>
      <c r="AR608" s="1452"/>
      <c r="AS608" s="1455"/>
      <c r="AT608" s="1458"/>
      <c r="AU608" s="516"/>
      <c r="AV608" s="1479"/>
      <c r="AW608" s="1479"/>
      <c r="BC608" s="38"/>
      <c r="BD608" s="38"/>
      <c r="BE608" s="38"/>
      <c r="BF608" s="38"/>
      <c r="BG608" s="38"/>
      <c r="BH608" s="38"/>
      <c r="BI608" s="38"/>
      <c r="BJ608" s="38"/>
      <c r="BK608" s="38"/>
      <c r="BL608" s="38"/>
      <c r="BM608" s="38"/>
      <c r="BN608" s="38"/>
      <c r="BO608" s="38"/>
      <c r="BP608" s="38"/>
      <c r="BQ608" s="38"/>
      <c r="BR608" s="38"/>
      <c r="BS608" s="38"/>
      <c r="BT608" s="38"/>
      <c r="BU608" s="38"/>
      <c r="BV608" s="38"/>
      <c r="BW608" s="38"/>
      <c r="BX608" s="38"/>
      <c r="BY608" s="38"/>
      <c r="BZ608" s="38"/>
      <c r="CA608" s="38"/>
      <c r="CB608" s="38"/>
      <c r="CC608" s="38"/>
      <c r="CD608" s="38"/>
      <c r="CE608" s="38"/>
      <c r="CF608" s="38"/>
      <c r="CG608" s="38"/>
      <c r="CH608" s="38"/>
      <c r="CI608" s="38"/>
      <c r="CM608" s="1352"/>
      <c r="CN608" s="1352"/>
      <c r="CO608" s="1415" t="str">
        <f>CN606</f>
        <v/>
      </c>
      <c r="CP608" s="1417" t="e">
        <f>CP606</f>
        <v>#N/A</v>
      </c>
      <c r="CR608" s="1386" t="s">
        <v>284</v>
      </c>
      <c r="CS608" s="1353">
        <f>IF(HW606=TRUE,T608,0)</f>
        <v>0</v>
      </c>
      <c r="CT608" s="1353" t="str">
        <f>IF(HW606=TRUE,U608,"")</f>
        <v/>
      </c>
      <c r="CU608" s="1373">
        <f>IF(HW606=TRUE,U609,0)</f>
        <v>0</v>
      </c>
      <c r="CV608" s="1370">
        <f>IF(HW606=TRUE,AB609,0)</f>
        <v>0</v>
      </c>
      <c r="CW608" s="1370">
        <f>IF(HW606=TRUE,AC609,0)</f>
        <v>0</v>
      </c>
      <c r="CX608" s="1371"/>
      <c r="CY608" s="1486"/>
      <c r="CZ608" s="1486"/>
      <c r="DA608" s="1486"/>
      <c r="DC608" s="1353">
        <f>IF(HW606=TRUE,AE608,0)</f>
        <v>0</v>
      </c>
      <c r="DD608" s="1353" t="str">
        <f>IF(HW606=TRUE,AF608,"")</f>
        <v/>
      </c>
      <c r="DE608" s="1373">
        <f>AF609</f>
        <v>0</v>
      </c>
      <c r="DF608" s="1406">
        <f>IFERROR(IF(FL608=3,IK608,IF(FL608=4,IL608,IF(FL608=5,IM608,IF(FL608=6,IN608,IF(FL608=7,IO608,IF(FL608=8,IP608,0)))))),0)</f>
        <v>0</v>
      </c>
      <c r="DG608" s="1370">
        <f>IF(HW606=TRUE,AK608,0)</f>
        <v>0</v>
      </c>
      <c r="DH608" s="1369"/>
      <c r="DK608" s="1483">
        <f>IFERROR(CW608-DG608,0)</f>
        <v>0</v>
      </c>
      <c r="DL608" s="1420"/>
      <c r="DN608" s="1403"/>
      <c r="DO608" s="1477" t="str">
        <f>DN606</f>
        <v/>
      </c>
      <c r="DP608" s="1354"/>
      <c r="DQ608" s="1477" t="str">
        <f>IF(DP606=7,"LLLC","")</f>
        <v/>
      </c>
      <c r="DR608" s="1403"/>
      <c r="DS608" s="1489"/>
      <c r="DU608" s="1403"/>
      <c r="DV608" s="1404" t="str">
        <f>DU606</f>
        <v/>
      </c>
      <c r="DW608" s="1403"/>
      <c r="DX608" s="1403"/>
      <c r="DZ608" s="1481"/>
      <c r="EA608" s="1481"/>
      <c r="EC608" s="1482"/>
      <c r="ED608" s="1369"/>
      <c r="EE608" s="1371"/>
      <c r="EF608" s="1369"/>
      <c r="EG608" s="1369"/>
      <c r="EH608" s="1374"/>
      <c r="EI608" s="1374"/>
      <c r="EJ608" s="1363"/>
      <c r="EK608" s="1376"/>
      <c r="EL608" s="1376"/>
      <c r="EM608" s="1362"/>
      <c r="EN608" s="1362"/>
      <c r="EO608" s="1363"/>
      <c r="EP608" s="1363"/>
      <c r="EQ608" s="1363"/>
      <c r="ES608" s="1403"/>
      <c r="EU608" s="1411" t="e">
        <f>VLOOKUP(CP608,'Space Table'!$B$3:$L$160,8,FALSE)</f>
        <v>#N/A</v>
      </c>
      <c r="EV608" s="1411" t="e">
        <f>IF(EY608="Yes",VLOOKUP(AF608,Lookup_Control_Type_Table2,4,FALSE),VLOOKUP(AF608,Lookup_Control_Type_Table2,3,FALSE))</f>
        <v>#N/A</v>
      </c>
      <c r="EW608" s="1411" t="e">
        <f>VLOOKUP(AF608,Lookup!AU$3:AV$15,2,FALSE)</f>
        <v>#N/A</v>
      </c>
      <c r="EX608" s="1411" t="e">
        <f>VLOOKUP(EU606,Lookup_Control_Type_Table,2,FALSE)</f>
        <v>#N/A</v>
      </c>
      <c r="EY608" s="1411" t="e">
        <f>VLOOKUP(CP608,'Space Table'!$B$3:$L$160,7,FALSE)</f>
        <v>#N/A</v>
      </c>
      <c r="EZ608" s="1413"/>
      <c r="FB608" s="1365" t="str">
        <f>CONCATENATE(CN606," - ",AF608)</f>
        <v xml:space="preserve"> - </v>
      </c>
      <c r="FD608" s="1354"/>
      <c r="FE608" s="1354"/>
      <c r="FF608" s="138"/>
      <c r="FI608" s="1356" t="str">
        <f>IF(CN606="Exterior","Not Daylighted",G609)</f>
        <v>Not Daylighted</v>
      </c>
      <c r="FJ608" s="1356">
        <f>VLOOKUP(FI608,_Daylight_Table_Codes,2,FALSE)</f>
        <v>0</v>
      </c>
      <c r="FK608" s="1365">
        <f>AF608</f>
        <v>0</v>
      </c>
      <c r="FL608" s="1365" t="e">
        <f>VLOOKUP(FK608,_Control_Table,2,FALSE)</f>
        <v>#N/A</v>
      </c>
      <c r="FM608" s="1365" t="e">
        <f>IF(AND(FP608&gt;0,FK608="Occupancy Sensor"),"Daylight + Occupancy",IF(AND(FP608&gt;0,FL608&lt;4),"Interior Daylight Dimming",FK608))</f>
        <v>#N/A</v>
      </c>
      <c r="FO608" s="1364">
        <f>IF(CN606="Interior",VLOOKUP(CP606,Control_Savings_Interior,5,FALSE),0)</f>
        <v>0</v>
      </c>
      <c r="FP608" s="1361">
        <f>IF(CN608="Exterior",0,IF(FJ608=2,0.5,IF(OR(FJ608=1,FJ608=3),1,0)))</f>
        <v>0</v>
      </c>
      <c r="FQ608" s="1366">
        <f>IF(R607&gt;FO$37,(FO608*(FO$37/R607)),FO608)*FP608</f>
        <v>0</v>
      </c>
      <c r="FR608" s="1364">
        <f>DF608</f>
        <v>0</v>
      </c>
      <c r="FS608" s="1364">
        <f>ROUND(FR608+((1-FR608)*FQ608),2)</f>
        <v>0</v>
      </c>
      <c r="FT608" s="1364">
        <f>IF(__Retrofit_TI_NC=2,FS608,FR608)</f>
        <v>0</v>
      </c>
      <c r="FU608" s="1360">
        <f>IF(CO608="Interior",VLOOKUP(CP608,Control_Savings_Interior,4,FALSE),0)</f>
        <v>0</v>
      </c>
      <c r="FW608" s="1352"/>
      <c r="FX608" s="1352"/>
      <c r="FY608" s="1352"/>
      <c r="FZ608" s="1352"/>
      <c r="GA608" s="1352"/>
      <c r="GB608" s="1352"/>
      <c r="GC608" s="1352"/>
      <c r="GD608" s="1352"/>
      <c r="GE608" s="759" t="b">
        <f>IF(ISNUMBER(SEARCH("TLED",U608)),TRUE,FALSE)</f>
        <v>0</v>
      </c>
      <c r="GF608" s="1035" t="str">
        <f>IFERROR(VLOOKUP(U608,Fixtures!DM$93:DR$142,6,FALSE),"")</f>
        <v/>
      </c>
      <c r="GG608" s="1385"/>
      <c r="GI608" s="1383"/>
      <c r="GJ608" s="1379"/>
      <c r="GL608" s="1379"/>
      <c r="GM608" s="1379"/>
      <c r="HC608" s="1379"/>
      <c r="HD608" s="1379"/>
      <c r="HE608" s="1379"/>
      <c r="HF608" s="1379"/>
      <c r="HG608" s="1379"/>
      <c r="HH608" s="1379"/>
      <c r="HI608" s="1383"/>
      <c r="HJ608" s="1383"/>
      <c r="HK608" s="1383"/>
      <c r="HL608" s="1379"/>
      <c r="HM608" s="1379"/>
      <c r="HN608" s="1379"/>
      <c r="HO608" s="1379"/>
      <c r="HP608" s="1379"/>
      <c r="HQ608" s="1379"/>
      <c r="HR608" s="1379"/>
      <c r="HS608" s="1379"/>
      <c r="HT608" s="1379"/>
      <c r="HU608" s="1379"/>
      <c r="HW608" s="1383"/>
      <c r="HX608" s="1384" t="b">
        <f>HW606</f>
        <v>0</v>
      </c>
      <c r="HY608" s="1378"/>
      <c r="HZ608" s="436"/>
      <c r="IA608" s="1386"/>
      <c r="IB608" s="1380">
        <f>IF(IA606=TRUE,AC609,0)</f>
        <v>0</v>
      </c>
      <c r="IC608" s="1379"/>
      <c r="IF608" s="1380" t="e">
        <f>ROUND(T608*AB609*N607*R607/1000,0)</f>
        <v>#VALUE!</v>
      </c>
      <c r="IG608" s="1382"/>
      <c r="IH608" s="1384" t="e">
        <f>ROUND(T608*AB609*N607*R607/1000,0)</f>
        <v>#VALUE!</v>
      </c>
      <c r="II608" s="1382"/>
      <c r="IK608" s="1351" t="e">
        <f>IF($CO608="interior",IL608/2,VLOOKUP($CP608,Control_Savings_Exterior,IK$30,FALSE))</f>
        <v>#N/A</v>
      </c>
      <c r="IL608" s="1351" t="e">
        <f>IF($CO608="interior",VLOOKUP($CP608,Control_Savings_Interior,IL$30,FALSE),VLOOKUP($CP608,Control_Savings_Exterior,IL$30,FALSE))</f>
        <v>#N/A</v>
      </c>
      <c r="IM608" s="1351" t="e">
        <f>IF($CO608="interior",IF(R607&gt;FO$37,(IM$28*(FO$37/R607)),IM$28)*FP608,VLOOKUP($CP608,Control_Savings_Exterior,IM$30,FALSE))</f>
        <v>#N/A</v>
      </c>
      <c r="IN608" s="1351" t="e">
        <f>IF($CO608="interior",ROUND(((1-IL608)*IM608)+IL608,2),VLOOKUP($CP608,Control_Savings_Exterior,IN$30,FALSE))</f>
        <v>#N/A</v>
      </c>
      <c r="IO608" s="1351" t="e">
        <f>IF($CO608="interior", ROUND(((1-IL608)*(IM608*(1-IP$28)))+IP608,2), VLOOKUP($CP608,Control_Savings_Exterior,IO$30,FALSE))</f>
        <v>#N/A</v>
      </c>
      <c r="IP608" s="1351">
        <f>IF($CO608="interior",ROUND(((1-IL608)*IP$28)+IL608,2),0)</f>
        <v>0</v>
      </c>
    </row>
    <row r="609" spans="1:250" s="82" customFormat="1" ht="14.95" customHeight="1" thickTop="1" thickBot="1">
      <c r="B609" s="1421"/>
      <c r="C609" s="1422"/>
      <c r="D609" s="1423"/>
      <c r="E609" s="1462" t="s">
        <v>357</v>
      </c>
      <c r="F609" s="1463"/>
      <c r="G609" s="1464" t="s">
        <v>362</v>
      </c>
      <c r="H609" s="1465"/>
      <c r="I609" s="1465"/>
      <c r="J609" s="1465"/>
      <c r="K609" s="1465"/>
      <c r="L609" s="1466"/>
      <c r="M609" s="669">
        <f>IFERROR(VLOOKUP(G609,_Daylight_Table[],2,FALSE),0)</f>
        <v>0</v>
      </c>
      <c r="N609" s="670"/>
      <c r="O609" s="669" t="e">
        <f>VLOOKUP(G608,'Space Table'!$B$3:$L$160,11,FALSE)</f>
        <v>#N/A</v>
      </c>
      <c r="P609" s="1408"/>
      <c r="Q609" s="1409"/>
      <c r="R609" s="1409"/>
      <c r="S609" s="1402"/>
      <c r="T609" s="671" t="s">
        <v>281</v>
      </c>
      <c r="U609" s="1467" t="str">
        <f>IFERROR(VLOOKUP(U608,Fixtures!DM$93:DP$142,4,FALSE),"")</f>
        <v/>
      </c>
      <c r="V609" s="1468"/>
      <c r="W609" s="1468"/>
      <c r="X609" s="1468"/>
      <c r="Y609" s="1468"/>
      <c r="Z609" s="1468"/>
      <c r="AA609" s="1468"/>
      <c r="AB609" s="1046" t="str">
        <f>IFERROR(VLOOKUP(U608,Fixtures_Proposed_List,2,FALSE),"")</f>
        <v/>
      </c>
      <c r="AC609" s="1036" t="str">
        <f>IFERROR(ROUND(T608*AB609*N607*R607/1000,0),"")</f>
        <v/>
      </c>
      <c r="AD609" s="1037" t="str">
        <f>IFERROR(ROUND(T608*AB609/1000,2),"")</f>
        <v/>
      </c>
      <c r="AE609" s="1045" t="s">
        <v>281</v>
      </c>
      <c r="AF609" s="1469"/>
      <c r="AG609" s="1469"/>
      <c r="AH609" s="1469"/>
      <c r="AI609" s="1469"/>
      <c r="AJ609" s="1476"/>
      <c r="AK609" s="1471"/>
      <c r="AL609" s="1473"/>
      <c r="AM609" s="1443"/>
      <c r="AN609" s="1444"/>
      <c r="AO609" s="1449"/>
      <c r="AP609" s="1449"/>
      <c r="AQ609" s="1450"/>
      <c r="AR609" s="1453"/>
      <c r="AS609" s="1456"/>
      <c r="AT609" s="1459"/>
      <c r="AU609" s="517"/>
      <c r="AV609" s="1480"/>
      <c r="AW609" s="1480"/>
      <c r="BC609" s="38"/>
      <c r="BD609" s="38"/>
      <c r="BE609" s="38"/>
      <c r="BF609" s="38"/>
      <c r="BG609" s="38"/>
      <c r="BH609" s="38"/>
      <c r="BI609" s="38"/>
      <c r="BJ609" s="38"/>
      <c r="BK609" s="38"/>
      <c r="BL609" s="38"/>
      <c r="BM609" s="38"/>
      <c r="BN609" s="38"/>
      <c r="BO609" s="38"/>
      <c r="BP609" s="38"/>
      <c r="BQ609" s="38"/>
      <c r="BR609" s="38"/>
      <c r="BS609" s="38"/>
      <c r="BT609" s="38"/>
      <c r="BU609" s="38"/>
      <c r="BV609" s="38"/>
      <c r="BW609" s="38"/>
      <c r="BX609" s="38"/>
      <c r="BY609" s="38"/>
      <c r="BZ609" s="38"/>
      <c r="CA609" s="38"/>
      <c r="CB609" s="38"/>
      <c r="CC609" s="38"/>
      <c r="CD609" s="38"/>
      <c r="CE609" s="38"/>
      <c r="CF609" s="38"/>
      <c r="CG609" s="38"/>
      <c r="CH609" s="38"/>
      <c r="CI609" s="38"/>
      <c r="CM609" s="1352"/>
      <c r="CN609" s="1352"/>
      <c r="CO609" s="1416"/>
      <c r="CP609" s="1418"/>
      <c r="CR609" s="1386"/>
      <c r="CS609" s="1355"/>
      <c r="CT609" s="1355"/>
      <c r="CU609" s="1375"/>
      <c r="CV609" s="1372"/>
      <c r="CW609" s="1372"/>
      <c r="CX609" s="1372"/>
      <c r="CY609" s="1487"/>
      <c r="CZ609" s="1487"/>
      <c r="DA609" s="1487"/>
      <c r="DC609" s="1355"/>
      <c r="DD609" s="1355"/>
      <c r="DE609" s="1375"/>
      <c r="DF609" s="1407"/>
      <c r="DG609" s="1372"/>
      <c r="DH609" s="1369"/>
      <c r="DK609" s="1484"/>
      <c r="DL609" s="1420"/>
      <c r="DN609" s="1403"/>
      <c r="DO609" s="1405"/>
      <c r="DP609" s="1355"/>
      <c r="DQ609" s="1405"/>
      <c r="DR609" s="1403"/>
      <c r="DS609" s="1489"/>
      <c r="DU609" s="1403"/>
      <c r="DV609" s="1405"/>
      <c r="DW609" s="1403"/>
      <c r="DX609" s="1403"/>
      <c r="DZ609" s="1481"/>
      <c r="EA609" s="1481"/>
      <c r="EC609" s="1482"/>
      <c r="ED609" s="1369"/>
      <c r="EE609" s="1372"/>
      <c r="EF609" s="1369"/>
      <c r="EG609" s="1369"/>
      <c r="EH609" s="1375"/>
      <c r="EI609" s="1375"/>
      <c r="EJ609" s="1363"/>
      <c r="EK609" s="1376"/>
      <c r="EL609" s="1376"/>
      <c r="EM609" s="1362"/>
      <c r="EN609" s="1362"/>
      <c r="EO609" s="1363"/>
      <c r="EP609" s="1363"/>
      <c r="EQ609" s="1363"/>
      <c r="ES609" s="1403"/>
      <c r="EU609" s="1488"/>
      <c r="EV609" s="1488"/>
      <c r="EW609" s="1488"/>
      <c r="EX609" s="1488"/>
      <c r="EY609" s="1488"/>
      <c r="EZ609" s="1414"/>
      <c r="FB609" s="1365"/>
      <c r="FD609" s="1355"/>
      <c r="FE609" s="1355"/>
      <c r="FF609" s="138"/>
      <c r="FI609" s="1357"/>
      <c r="FJ609" s="1357"/>
      <c r="FK609" s="1365"/>
      <c r="FL609" s="1365"/>
      <c r="FM609" s="1365"/>
      <c r="FO609" s="1361"/>
      <c r="FP609" s="1361"/>
      <c r="FQ609" s="1366"/>
      <c r="FR609" s="1361"/>
      <c r="FS609" s="1361"/>
      <c r="FT609" s="1361"/>
      <c r="FU609" s="1360"/>
      <c r="FW609" s="1352"/>
      <c r="FX609" s="1352"/>
      <c r="FY609" s="1352"/>
      <c r="FZ609" s="1352"/>
      <c r="GA609" s="1352"/>
      <c r="GB609" s="1352"/>
      <c r="GC609" s="1352"/>
      <c r="GD609" s="1352"/>
      <c r="GE609" s="759"/>
      <c r="GF609" s="1035"/>
      <c r="GG609" s="1385"/>
      <c r="GJ609" s="1034">
        <f>IF(GJ607=TRUE,0,GJ$16)</f>
        <v>0</v>
      </c>
      <c r="GL609" s="1034">
        <f>IF(GL607=TRUE,0,GL$16)</f>
        <v>36</v>
      </c>
      <c r="GM609" s="1034">
        <f>IF(GM607=TRUE,0,GM$16)</f>
        <v>35</v>
      </c>
      <c r="GN609" s="436"/>
      <c r="GO609" s="436"/>
      <c r="GP609" s="436"/>
      <c r="GQ609" s="436"/>
      <c r="GR609" s="436"/>
      <c r="HC609" s="1034">
        <f t="shared" ref="HC609:HH609" si="450">IF(HC607=TRUE,0,HC$16)</f>
        <v>19</v>
      </c>
      <c r="HD609" s="1034">
        <f t="shared" si="450"/>
        <v>18</v>
      </c>
      <c r="HE609" s="1034">
        <f t="shared" si="450"/>
        <v>17</v>
      </c>
      <c r="HF609" s="1034">
        <f t="shared" si="450"/>
        <v>16</v>
      </c>
      <c r="HG609" s="1034">
        <f t="shared" si="450"/>
        <v>0</v>
      </c>
      <c r="HH609" s="1034">
        <f t="shared" si="450"/>
        <v>0</v>
      </c>
      <c r="HI609" s="1034">
        <f>IF(HI607=TRUE,0,HI$16)</f>
        <v>13</v>
      </c>
      <c r="HJ609" s="1034">
        <f t="shared" ref="HJ609:HL609" si="451">IF(HJ607=TRUE,0,HJ$16)</f>
        <v>12</v>
      </c>
      <c r="HK609" s="1034">
        <f t="shared" si="451"/>
        <v>11</v>
      </c>
      <c r="HL609" s="1034">
        <f t="shared" si="451"/>
        <v>10</v>
      </c>
      <c r="HM609" s="1034">
        <f>IF(HM607=TRUE,0,HM$16)</f>
        <v>9</v>
      </c>
      <c r="HN609" s="1034">
        <f t="shared" ref="HN609:HR609" si="452">IF(HN607=TRUE,0,HN$16)</f>
        <v>0</v>
      </c>
      <c r="HO609" s="1034">
        <f t="shared" si="452"/>
        <v>0</v>
      </c>
      <c r="HP609" s="1034">
        <f t="shared" si="452"/>
        <v>0</v>
      </c>
      <c r="HQ609" s="1034">
        <f t="shared" si="452"/>
        <v>0</v>
      </c>
      <c r="HR609" s="1034">
        <f t="shared" si="452"/>
        <v>0</v>
      </c>
      <c r="HS609" s="1034">
        <f>IF(HS607=TRUE,0,HS$16)</f>
        <v>0</v>
      </c>
      <c r="HT609" s="1034">
        <f t="shared" ref="HT609" si="453">IF(HT607=TRUE,0,HT$16)</f>
        <v>0</v>
      </c>
      <c r="HU609" s="1034">
        <f>IF(HU607=TRUE,0,HU$16)</f>
        <v>1</v>
      </c>
      <c r="HW609" s="1034">
        <f>IF(GL607=FALSE,GL609,IF(GM607=FALSE,GM609,MAX(GJ609:HU609)))</f>
        <v>36</v>
      </c>
      <c r="HX609" s="1383"/>
      <c r="HY609" s="241" t="str">
        <f>VLOOKUP(HW609,_Error_Table,3,FALSE)</f>
        <v xml:space="preserve"> </v>
      </c>
      <c r="HZ609" s="241"/>
      <c r="IA609" s="1386"/>
      <c r="IB609" s="1380"/>
      <c r="IC609" s="1379"/>
      <c r="IF609" s="1380"/>
      <c r="IG609" s="1383"/>
      <c r="IH609" s="1383"/>
      <c r="II609" s="1383"/>
      <c r="IK609" s="1351"/>
      <c r="IL609" s="1351"/>
      <c r="IM609" s="1351"/>
      <c r="IN609" s="1351"/>
      <c r="IO609" s="1351"/>
      <c r="IP609" s="1351"/>
    </row>
    <row r="610" spans="1:250" s="82" customFormat="1" ht="5.0999999999999996" customHeight="1" thickBot="1">
      <c r="B610" s="763"/>
      <c r="C610" s="1038"/>
      <c r="D610" s="1038"/>
      <c r="E610" s="1490"/>
      <c r="F610" s="1490"/>
      <c r="G610" s="1490"/>
      <c r="H610" s="1490"/>
      <c r="I610" s="1490"/>
      <c r="J610" s="1490"/>
      <c r="K610" s="1490"/>
      <c r="L610" s="1490"/>
      <c r="M610" s="1490"/>
      <c r="N610" s="1490"/>
      <c r="O610" s="1490"/>
      <c r="P610" s="1490"/>
      <c r="Q610" s="1490"/>
      <c r="R610" s="1490"/>
      <c r="S610" s="1490"/>
      <c r="T610" s="1490"/>
      <c r="U610" s="1490"/>
      <c r="V610" s="1490"/>
      <c r="W610" s="1490"/>
      <c r="X610" s="1490"/>
      <c r="Y610" s="1490"/>
      <c r="Z610" s="1490"/>
      <c r="AA610" s="1490"/>
      <c r="AB610" s="1490"/>
      <c r="AC610" s="1490"/>
      <c r="AD610" s="1490"/>
      <c r="AE610" s="1490"/>
      <c r="AF610" s="1490"/>
      <c r="AG610" s="1490"/>
      <c r="AH610" s="1490"/>
      <c r="AI610" s="1490"/>
      <c r="AJ610" s="1490"/>
      <c r="AK610" s="1490"/>
      <c r="AL610" s="1490"/>
      <c r="AM610" s="1490"/>
      <c r="AN610" s="1490"/>
      <c r="AO610" s="1490"/>
      <c r="AP610" s="1490"/>
      <c r="AQ610" s="1490"/>
      <c r="AR610" s="1490"/>
      <c r="AS610" s="1490"/>
      <c r="AT610" s="1490"/>
      <c r="AU610" s="1041"/>
      <c r="BC610" s="38"/>
      <c r="BD610" s="38"/>
      <c r="BE610" s="38"/>
      <c r="BF610" s="38"/>
      <c r="BG610" s="38"/>
      <c r="BH610" s="38"/>
      <c r="BI610" s="38"/>
      <c r="BJ610" s="38"/>
      <c r="BK610" s="38"/>
      <c r="BL610" s="38"/>
      <c r="BM610" s="38"/>
      <c r="BN610" s="38"/>
      <c r="BO610" s="38"/>
      <c r="BP610" s="38"/>
      <c r="BQ610" s="38"/>
      <c r="BR610" s="38"/>
      <c r="BS610" s="38"/>
      <c r="BT610" s="38"/>
      <c r="BU610" s="38"/>
      <c r="BV610" s="38"/>
      <c r="BW610" s="38"/>
      <c r="BX610" s="38"/>
      <c r="BY610" s="38"/>
      <c r="BZ610" s="38"/>
      <c r="CA610" s="38"/>
      <c r="CB610" s="38"/>
      <c r="CC610" s="38"/>
      <c r="CD610" s="38"/>
      <c r="CE610" s="38"/>
      <c r="CF610" s="38"/>
      <c r="CG610" s="38"/>
      <c r="CH610" s="38"/>
      <c r="CI610" s="38"/>
      <c r="CM610" s="749"/>
      <c r="CN610" s="749"/>
      <c r="CO610" s="1043"/>
      <c r="CP610" s="749"/>
      <c r="CS610" s="436"/>
      <c r="CT610" s="436"/>
      <c r="CU610" s="243"/>
      <c r="CV610" s="244"/>
      <c r="CW610" s="244"/>
      <c r="CX610" s="244"/>
      <c r="CY610" s="245"/>
      <c r="CZ610" s="245"/>
      <c r="DA610" s="245"/>
      <c r="DC610" s="750"/>
      <c r="DD610" s="751"/>
      <c r="DE610" s="752"/>
      <c r="DF610" s="753"/>
      <c r="DG610" s="754"/>
      <c r="DH610" s="754"/>
      <c r="DK610" s="244"/>
      <c r="DL610" s="750"/>
      <c r="DN610" s="750"/>
      <c r="DO610" s="755"/>
      <c r="DP610" s="436"/>
      <c r="DQ610" s="750"/>
      <c r="DR610" s="750"/>
      <c r="DS610" s="750"/>
      <c r="DU610" s="750"/>
      <c r="DV610" s="750"/>
      <c r="DW610" s="750"/>
      <c r="DX610" s="750"/>
      <c r="DZ610" s="756"/>
      <c r="EA610" s="756"/>
      <c r="EC610" s="754"/>
      <c r="ED610" s="754"/>
      <c r="EE610" s="244"/>
      <c r="EF610" s="754"/>
      <c r="EG610" s="754"/>
      <c r="EH610" s="243"/>
      <c r="EI610" s="243"/>
      <c r="EJ610" s="752"/>
      <c r="EK610" s="757"/>
      <c r="EL610" s="757"/>
      <c r="EM610" s="758"/>
      <c r="EN610" s="758"/>
      <c r="EO610" s="752"/>
      <c r="EP610" s="752"/>
      <c r="EQ610" s="752"/>
      <c r="ES610" s="750"/>
      <c r="EU610" s="436"/>
      <c r="EV610" s="436"/>
      <c r="EW610" s="436"/>
      <c r="EX610" s="436"/>
      <c r="EY610" s="436"/>
      <c r="EZ610" s="436"/>
      <c r="FB610" s="643"/>
      <c r="FD610" s="436"/>
      <c r="FE610" s="436"/>
      <c r="FF610" s="436"/>
      <c r="FO610" s="750"/>
      <c r="FP610" s="436"/>
      <c r="FQ610" s="436"/>
      <c r="FR610" s="750"/>
      <c r="FS610" s="750"/>
      <c r="FW610" s="749"/>
      <c r="FX610" s="749"/>
      <c r="FY610" s="749"/>
      <c r="FZ610" s="749"/>
      <c r="GA610" s="749"/>
      <c r="GB610" s="749"/>
      <c r="GC610" s="749"/>
      <c r="GD610" s="749"/>
      <c r="GE610" s="751"/>
      <c r="GF610" s="750"/>
      <c r="GG610" s="750"/>
    </row>
    <row r="611" spans="1:250" s="82" customFormat="1" ht="14.95" customHeight="1" thickTop="1" thickBot="1">
      <c r="B611" s="1421" t="str">
        <f>HY614</f>
        <v xml:space="preserve"> </v>
      </c>
      <c r="C611" s="1422">
        <f>C606+1</f>
        <v>111</v>
      </c>
      <c r="D611" s="1423"/>
      <c r="E611" s="1424" t="s">
        <v>242</v>
      </c>
      <c r="F611" s="1425"/>
      <c r="G611" s="1426"/>
      <c r="H611" s="1427"/>
      <c r="I611" s="1427"/>
      <c r="J611" s="1427"/>
      <c r="K611" s="1427"/>
      <c r="L611" s="1427"/>
      <c r="M611" s="1427"/>
      <c r="N611" s="1427"/>
      <c r="O611" s="1427"/>
      <c r="P611" s="1427"/>
      <c r="Q611" s="1427"/>
      <c r="R611" s="1427"/>
      <c r="S611" s="1428" t="s">
        <v>283</v>
      </c>
      <c r="T611" s="668" t="s">
        <v>190</v>
      </c>
      <c r="U611" s="1430" t="s">
        <v>186</v>
      </c>
      <c r="V611" s="1431"/>
      <c r="W611" s="1431"/>
      <c r="X611" s="1431"/>
      <c r="Y611" s="1431"/>
      <c r="Z611" s="1431"/>
      <c r="AA611" s="1431"/>
      <c r="AB611" s="1088" t="str">
        <f>IFERROR(IF(__Retrofit_TI_NC=0,VLOOKUP(U612,Fixtures_Existing_List,2,FALSE),ROUND(N613*R613/T613,10)),"")</f>
        <v/>
      </c>
      <c r="AC611" s="1039" t="str">
        <f>IFERROR(IF(__Retrofit_TI_NC=0,ROUND(T612*AB611*N612*R612/1000,0),IF(CN611="Interior",N613*R613*R612*N612*_C406_reduction/1000,N613*R613*R612*N612/1000)),"")</f>
        <v/>
      </c>
      <c r="AD611" s="1040" t="str">
        <f>IFERROR(IF(C$36=0,ROUND(T612*AB611/1000,2),N613*R613/1000),"")</f>
        <v/>
      </c>
      <c r="AE611" s="1044" t="s">
        <v>190</v>
      </c>
      <c r="AF611" s="1432" t="str">
        <f>IF(__Retrofit_TI_NC=2,CONCATENATE("Code min = ",DD611),IF(__Retrofit_TI_NC=1,"Emter what you think the existing control was"," Control"))</f>
        <v xml:space="preserve"> Control</v>
      </c>
      <c r="AG611" s="1432"/>
      <c r="AH611" s="1432"/>
      <c r="AI611" s="1432"/>
      <c r="AJ611" s="1433">
        <f>DF611</f>
        <v>0</v>
      </c>
      <c r="AK611" s="1435" t="str">
        <f>IFERROR(ROUND(AJ611*AC611,0),"")</f>
        <v/>
      </c>
      <c r="AL611" s="1437">
        <f>IFERROR(IF(HW611=FALSE,0,AC611-AK611),0)</f>
        <v>0</v>
      </c>
      <c r="AM611" s="1439">
        <f>AL611-AL613</f>
        <v>0</v>
      </c>
      <c r="AN611" s="1440"/>
      <c r="AO611" s="1445">
        <f>IFERROR(IF(HW611=FALSE,0,(T613*U614)+(AE613*AF614)),0)</f>
        <v>0</v>
      </c>
      <c r="AP611" s="1445"/>
      <c r="AQ611" s="1446"/>
      <c r="AR611" s="1451" t="s">
        <v>157</v>
      </c>
      <c r="AS611" s="1454">
        <f>IF(AR611="Yes",1,0)</f>
        <v>1</v>
      </c>
      <c r="AT611" s="1457" t="str">
        <f>IF(OR(DN611=4,DN611=5,DN611=6,DN611=12),CONCATENATE("$",IF(GD611=TRUE,Lookup!$B$11,Lookup!$B$2)," /lamp"),CONCATENATE(EA611,"/ kWh"))</f>
        <v>0/ kWh</v>
      </c>
      <c r="AU611" s="516"/>
      <c r="AV611" s="1478">
        <f>IFERROR(IF(GI612=TRUE,(AB614*T613)/R613,0),"NA")</f>
        <v>0</v>
      </c>
      <c r="AW611" s="1478" t="str">
        <f>IFERROR(N613*_C406_reduction,"NA")</f>
        <v>NA</v>
      </c>
      <c r="BC611" s="38"/>
      <c r="BD611" s="38"/>
      <c r="BE611" s="38"/>
      <c r="BF611" s="38"/>
      <c r="BG611" s="38"/>
      <c r="BH611" s="38"/>
      <c r="BI611" s="38"/>
      <c r="BJ611" s="38"/>
      <c r="BK611" s="38"/>
      <c r="BL611" s="38"/>
      <c r="BM611" s="38"/>
      <c r="BN611" s="38"/>
      <c r="BO611" s="38"/>
      <c r="BP611" s="38"/>
      <c r="BQ611" s="38"/>
      <c r="BR611" s="38"/>
      <c r="BS611" s="38"/>
      <c r="BT611" s="38"/>
      <c r="BU611" s="38"/>
      <c r="BV611" s="38"/>
      <c r="BW611" s="38"/>
      <c r="BX611" s="38"/>
      <c r="BY611" s="38"/>
      <c r="BZ611" s="38"/>
      <c r="CA611" s="38"/>
      <c r="CB611" s="38"/>
      <c r="CC611" s="38"/>
      <c r="CD611" s="38"/>
      <c r="CE611" s="38"/>
      <c r="CF611" s="38"/>
      <c r="CG611" s="38"/>
      <c r="CH611" s="38"/>
      <c r="CI611" s="38"/>
      <c r="CM611" s="1352" t="str">
        <f>N612</f>
        <v/>
      </c>
      <c r="CN611" s="1352" t="str">
        <f>IFERROR(VLOOKUP(G612,_Lookup_Heat_Type_Table_New,3,FALSE),"")</f>
        <v/>
      </c>
      <c r="CO611" s="1415" t="str">
        <f>CN611</f>
        <v/>
      </c>
      <c r="CP611" s="1417" t="e">
        <f>VLOOKUP(G613,'Space Table'!$B$3:$L$160,9,FALSE)</f>
        <v>#N/A</v>
      </c>
      <c r="CR611" s="1386" t="s">
        <v>283</v>
      </c>
      <c r="CS611" s="1353">
        <f>IF(HW611=TRUE,T612,0)</f>
        <v>0</v>
      </c>
      <c r="CT611" s="1353" t="str">
        <f>IF(HW611=TRUE,U612,"")</f>
        <v/>
      </c>
      <c r="CU611" s="1353"/>
      <c r="CV611" s="1370">
        <f>IF(HW611=TRUE,AB611,0)</f>
        <v>0</v>
      </c>
      <c r="CW611" s="1370">
        <f>IF(HW611=TRUE,AC611,0)</f>
        <v>0</v>
      </c>
      <c r="CX611" s="1370">
        <f>IFERROR(IF(HW611=TRUE,CW611-CW613,0),0)</f>
        <v>0</v>
      </c>
      <c r="CY611" s="1485">
        <f>IF(HW611=TRUE,AD611,0)</f>
        <v>0</v>
      </c>
      <c r="CZ611" s="1485">
        <f>IF(HW611=TRUE,AD614,0)</f>
        <v>0</v>
      </c>
      <c r="DA611" s="1485">
        <f>IFERROR(CY611-CZ611,0)</f>
        <v>0</v>
      </c>
      <c r="DC611" s="1353">
        <f>IF(HW611=TRUE,AE612,0)</f>
        <v>0</v>
      </c>
      <c r="DD611" s="1460">
        <f>IF(__Retrofit_TI_NC=2,IF(CN611="Exterior",O614,FM611),FK611)</f>
        <v>0</v>
      </c>
      <c r="DE611" s="1353"/>
      <c r="DF611" s="1406">
        <f>IFERROR(IF(FL611=3,IK611,IF(FL611=4,IL611,IF(FL611=5,IM611,IF(FL611=6,IN611,IF(FL611=7,IO611,IF(FL611=8,IP611,0)))))),0)</f>
        <v>0</v>
      </c>
      <c r="DG611" s="1370">
        <f>IF(HW611=TRUE,AK611,0)</f>
        <v>0</v>
      </c>
      <c r="DH611" s="1369">
        <f>IFERROR(IF(HW611=TRUE,DG613-DG611,0),0)</f>
        <v>0</v>
      </c>
      <c r="DJ611" s="1483">
        <f>IFERROR(CW611-DG611,0)</f>
        <v>0</v>
      </c>
      <c r="DL611" s="1419">
        <f>DJ611-DK613</f>
        <v>0</v>
      </c>
      <c r="DN611" s="1403" t="str">
        <f>IFERROR(IF(AND(OR(FY611=4,FY611=5,FY611=6),OR(GB611=4,GB611=5,GB611=6)),FY611+8,VLOOKUP(CT613,Fixtures!R$31:Y$78,8,FALSE)),"")</f>
        <v/>
      </c>
      <c r="DO611" s="1404" t="str">
        <f>DN611</f>
        <v/>
      </c>
      <c r="DP611" s="1353" t="str">
        <f>IFERROR(VLOOKUP(DD613,Lookup!AU$3:AV$15,2,FALSE),"")</f>
        <v/>
      </c>
      <c r="DQ611" s="1404" t="str">
        <f>IF(DP611=7,"LLLC","")</f>
        <v/>
      </c>
      <c r="DR611" s="1403">
        <f>IFERROR(IF(OR(DN611=4,DN611=5,DN611=6,DN611=12,DN611=13,DN611=14),VLOOKUP(CT613,Fixtures!DN$27:EG$77,19,FALSE),1)*CS613,0)</f>
        <v>0</v>
      </c>
      <c r="DS611" s="1489">
        <f>IF(DP611=7,IF(DD611=DD613,0,DC613),0)</f>
        <v>0</v>
      </c>
      <c r="DU611" s="1403" t="str">
        <f>IFERROR(IF(EW611&lt;EW613,"Yes","No"),"")</f>
        <v/>
      </c>
      <c r="DV611" s="1404" t="str">
        <f>DU611</f>
        <v/>
      </c>
      <c r="DW611" s="1403">
        <f>IF(DU611="Yes",DC613,0)</f>
        <v>0</v>
      </c>
      <c r="DX611" s="1403">
        <f>DW611-DS611</f>
        <v>0</v>
      </c>
      <c r="DZ611" s="1481">
        <f>IFERROR(VLOOKUP(DN611,Lookup!AN$3:AO$16,2,FALSE),0)</f>
        <v>0</v>
      </c>
      <c r="EA611" s="1481">
        <f>IF(HW611=FALSE,0,IF(DU611="Yes",DZ611+Lookup!B$6,DZ611))</f>
        <v>0</v>
      </c>
      <c r="EC611" s="1482">
        <f>IF(HW611=TRUE,DJ611,0)</f>
        <v>0</v>
      </c>
      <c r="ED611" s="1369">
        <f>IF(HW611=TRUE,CW613,0)</f>
        <v>0</v>
      </c>
      <c r="EE611" s="1370">
        <f>IFERROR(EC611-ED611,0)</f>
        <v>0</v>
      </c>
      <c r="EF611" s="1369">
        <f>IF(HW611=TRUE,DG613,0)</f>
        <v>0</v>
      </c>
      <c r="EG611" s="1369">
        <f>IFERROR(EC611-ED611+EF611,0)</f>
        <v>0</v>
      </c>
      <c r="EH611" s="1373">
        <f>IF(HW611=TRUE,CS613*CU613,0)</f>
        <v>0</v>
      </c>
      <c r="EI611" s="1373">
        <f>IF(HW611=TRUE,DC613*DE613,0)</f>
        <v>0</v>
      </c>
      <c r="EJ611" s="1363">
        <f>AO611</f>
        <v>0</v>
      </c>
      <c r="EK611" s="1376" t="str">
        <f>IFERROR(IF(HW611=TRUE,VLOOKUP(DN611,Lookup!AN$3:AP$16,3,FALSE)*DR611,""),0)</f>
        <v/>
      </c>
      <c r="EL611" s="1376">
        <f>IF(HW611=TRUE,DW611*Lookup!AP$12,0)</f>
        <v>0</v>
      </c>
      <c r="EM611" s="1362">
        <f>IFERROR(IF(HW611=TRUE,EK611/EM$33,0),0)</f>
        <v>0</v>
      </c>
      <c r="EN611" s="1362">
        <f>IF(HW611=TRUE,EL611/EN$33,0)</f>
        <v>0</v>
      </c>
      <c r="EO611" s="1363">
        <f>IF(HW611=TRUE,EQ$33*EM611,0)</f>
        <v>0</v>
      </c>
      <c r="EP611" s="1363">
        <f>IF(HW611=TRUE,EQ$33*EN611,0)</f>
        <v>0</v>
      </c>
      <c r="EQ611" s="1363">
        <f>EO611+EP611</f>
        <v>0</v>
      </c>
      <c r="ES611" s="1403">
        <f>IF(G611="",0,1)</f>
        <v>0</v>
      </c>
      <c r="EU611" s="1410" t="e">
        <f>VLOOKUP(CP613,'Space Table'!$B$3:$L$160,8,FALSE)</f>
        <v>#N/A</v>
      </c>
      <c r="EV611" s="1410" t="e">
        <f>IF(EY611="Yes",VLOOKUP(DD611,Lookup_Control_Type_Table2,4,FALSE),VLOOKUP(DD611,Lookup_Control_Type_Table2,3,FALSE))</f>
        <v>#N/A</v>
      </c>
      <c r="EW611" s="1410" t="e">
        <f>VLOOKUP(DD611,Lookup!AU$3:AV$15,2,FALSE)</f>
        <v>#N/A</v>
      </c>
      <c r="EX611" s="1410" t="e">
        <f>VLOOKUP(EU611,Lookup_Control_Type_Table,2,FALSE)</f>
        <v>#N/A</v>
      </c>
      <c r="EY611" s="1410" t="e">
        <f>VLOOKUP(CP613,'Space Table'!$B$3:$L$160,7,FALSE)</f>
        <v>#N/A</v>
      </c>
      <c r="EZ611" s="1412" t="b">
        <f>ISNUMBER(SEARCH("TLED",U613))</f>
        <v>0</v>
      </c>
      <c r="FB611" s="1365" t="str">
        <f>CONCATENATE(CN611," - ",DD611)</f>
        <v xml:space="preserve"> - 0</v>
      </c>
      <c r="FD611" s="1353" t="str">
        <f>VLOOKUP(CT613,Fixtures!DN$27:EZ$77,38,FALSE)</f>
        <v/>
      </c>
      <c r="FE611" s="1353">
        <f>IFERROR(FD611*EE611,0)</f>
        <v>0</v>
      </c>
      <c r="FF611" s="138"/>
      <c r="FI611" s="1356" t="str">
        <f>IF(CN611="Exterior","Not Daylighted",G614)</f>
        <v>Not Daylighted</v>
      </c>
      <c r="FJ611" s="1356">
        <f>VLOOKUP(FI611,_Daylight_Table_Codes,2,FALSE)</f>
        <v>0</v>
      </c>
      <c r="FK611" s="1365">
        <f>IF(__Retrofit_TI_NC=2,VLOOKUP(G613,'Space Table'!$B$3:$L$160,11,FALSE),AF612)</f>
        <v>0</v>
      </c>
      <c r="FL611" s="1365" t="e">
        <f>VLOOKUP(FK611,_Control_Table,2,FALSE)</f>
        <v>#N/A</v>
      </c>
      <c r="FM611" s="1365" t="e">
        <f>IF(AND(FP611&gt;0,FK611="Occupancy Sensor"),"Daylight + Occupancy",IF(AND(FP611&gt;0,FL611&lt;4),"Interior Daylight Dimming",FK611))</f>
        <v>#N/A</v>
      </c>
      <c r="FO611" s="1364">
        <f>IF(CO611="Interior",VLOOKUP(CP611,Control_Savings_Interior,5,FALSE),0)</f>
        <v>0</v>
      </c>
      <c r="FP611" s="1361">
        <f>IF(CN611="Exterior",0,IF(FJ611=2,0.5,IF(OR(FJ611=1,FJ611=3),1,0)))</f>
        <v>0</v>
      </c>
      <c r="FQ611" s="1366"/>
      <c r="FR611" s="1367"/>
      <c r="FS611" s="1364"/>
      <c r="FT611" s="1367"/>
      <c r="FU611" s="1360"/>
      <c r="FW611" s="1352" t="str">
        <f>IFERROR(VLOOKUP(U612,_Exist_Fixture_Table,3,FALSE),"")</f>
        <v/>
      </c>
      <c r="FX611" s="1352" t="str">
        <f>VLOOKUP(CT611,_Exist_Fixture_Table,4,FALSE)</f>
        <v/>
      </c>
      <c r="FY611" s="1352">
        <f>IFERROR(VLOOKUP(FX611,Lookup!AM$6:AN$8,2,FALSE),0)</f>
        <v>0</v>
      </c>
      <c r="FZ611" s="1352" t="b">
        <f>IFERROR(IF(OR(GB611=4,GB611=5,GB611=6),TRUE,FALSE),"")</f>
        <v>0</v>
      </c>
      <c r="GA611" s="1352" t="str">
        <f>IFERROR(VLOOKUP(GB611,FY$6:FZ$10,2,FALSE),"")</f>
        <v/>
      </c>
      <c r="GB611" s="1352" t="str">
        <f>VLOOKUP(CT613,Fixtures!R$31:Y$78,8,FALSE)</f>
        <v/>
      </c>
      <c r="GC611" s="1352">
        <f>IF(AND(FW611=TRUE,FZ611=TRUE,OR(DN611=12,DN611=13,DN611=14)),FY611+8,0)</f>
        <v>0</v>
      </c>
      <c r="GD611" s="1352" t="b">
        <f>IF(OR(GC611=12,GC611=13,GC611=14),TRUE,FALSE)</f>
        <v>0</v>
      </c>
      <c r="GE611" s="759" t="b">
        <f>IF(ISNUMBER(SEARCH("TLED",U612)),TRUE,FALSE)</f>
        <v>0</v>
      </c>
      <c r="GF611" s="1035" t="str">
        <f>IFERROR(VLOOKUP(U612,Fixtures!BM$93:BR$142,6,FALSE),"")</f>
        <v/>
      </c>
      <c r="GG611" s="1385" t="b">
        <f>IF(OR(GE611=FALSE,GE613=FALSE),TRUE,IF(GF611-GF613&lt;5,FALSE,TRUE))</f>
        <v>1</v>
      </c>
      <c r="GK611" s="1034">
        <f>GL611</f>
        <v>0</v>
      </c>
      <c r="GL611" s="1034">
        <f>IF(G611="",0,1)</f>
        <v>0</v>
      </c>
      <c r="GM611" s="1034">
        <f>SUM(GN611:HB611)</f>
        <v>2</v>
      </c>
      <c r="GN611" s="1034">
        <f>IF(G612="",0,1)</f>
        <v>0</v>
      </c>
      <c r="GO611" s="1034">
        <f>IF(G613="",0,1)</f>
        <v>0</v>
      </c>
      <c r="GP611" s="1034">
        <f>IF(R612="",0,1)</f>
        <v>0</v>
      </c>
      <c r="GQ611" s="1034">
        <f>IF(__Retrofit_TI_NC=0,1,IF(R613="",0,1))</f>
        <v>1</v>
      </c>
      <c r="GR611" s="1034">
        <f>IF(CN611="Exterior",1,IF(G614="",0,1))</f>
        <v>1</v>
      </c>
      <c r="GS611" s="1034">
        <f>IF(__Retrofit_TI_NC&lt;&gt;0,1,IF(T612="",0,1))</f>
        <v>0</v>
      </c>
      <c r="GT611" s="1034">
        <f>IF(__Retrofit_TI_NC&lt;&gt;0,1,IF(U612="",0,1))</f>
        <v>0</v>
      </c>
      <c r="GU611" s="1034">
        <f>IF(T613="",0,1)</f>
        <v>0</v>
      </c>
      <c r="GV611" s="1034">
        <f>IF(U613="",0,1)</f>
        <v>0</v>
      </c>
      <c r="GW611" s="1034">
        <f>IF(__Retrofit_TI_NC=2,1,IF(U614="",0,1))</f>
        <v>0</v>
      </c>
      <c r="GX611" s="1034">
        <f>IF(__Retrofit_TI_NC&lt;&gt;0,1,IF(AE612="",0,1))</f>
        <v>0</v>
      </c>
      <c r="GY611" s="1034">
        <f>IF(__Retrofit_TI_NC&lt;&gt;0,1,IF(AF612="",0,1))</f>
        <v>0</v>
      </c>
      <c r="GZ611" s="1034">
        <f>IF(AE613="",0,1)</f>
        <v>0</v>
      </c>
      <c r="HA611" s="1034">
        <f>IF(AF613="",0,1)</f>
        <v>0</v>
      </c>
      <c r="HB611" s="1034">
        <f>IF(__Retrofit_TI_NC=2,1,IF(AF614="",0,1))</f>
        <v>0</v>
      </c>
      <c r="HV611" s="436"/>
      <c r="HW611" s="1384" t="b">
        <f>IF(OR(HW614=0,HW614=HT$16,HW614=HS$16,HW614=HU$16),TRUE,FALSE)</f>
        <v>0</v>
      </c>
      <c r="HX611" s="1377" t="b">
        <f>HW611</f>
        <v>0</v>
      </c>
      <c r="HY611" s="436"/>
      <c r="HZ611" s="436"/>
      <c r="IA611" s="1386" t="b">
        <f>IF(MAX(GJ614:HP614)&gt;5,FALSE,TRUE)</f>
        <v>0</v>
      </c>
      <c r="IB611" s="1380">
        <f>IF(IA611=TRUE,AC611,0)</f>
        <v>0</v>
      </c>
      <c r="IC611" s="1380">
        <f>IB611-IB613</f>
        <v>0</v>
      </c>
      <c r="IF611" s="1380" t="e">
        <f>ROUND(T612*VLOOKUP(U612,Fixtures_Existing_List,2,FALSE)*N612*R612/1000,0)</f>
        <v>#N/A</v>
      </c>
      <c r="IG611" s="1381" t="e">
        <f>IF611-IF613</f>
        <v>#N/A</v>
      </c>
      <c r="IH611" s="1384" t="e">
        <f>ROUND(IF(CN611="Interior",N613*R613*R612*N612*_C406_reduction/1000,N613*R613*R612*N612/1000),0)</f>
        <v>#N/A</v>
      </c>
      <c r="II611" s="1384" t="e">
        <f>IH611-IH613</f>
        <v>#N/A</v>
      </c>
      <c r="IK611" s="1351" t="e">
        <f>IF($CO611="interior",IL611/2,VLOOKUP($CP611,Control_Savings_Exterior,IK$30,FALSE))</f>
        <v>#N/A</v>
      </c>
      <c r="IL611" s="1351" t="e">
        <f>IF($CO611="interior",VLOOKUP($CP611,Control_Savings_Interior,IL$30,FALSE),VLOOKUP($CP611,Control_Savings_Exterior,IL$30,FALSE))</f>
        <v>#N/A</v>
      </c>
      <c r="IM611" s="1351" t="e">
        <f>IF($CO611="interior",IF(R612&gt;FO$37,(IM$28*(FO$37/R612)),IM$28)*FP611,VLOOKUP($CP611,Control_Savings_Exterior,IM$30,FALSE))</f>
        <v>#N/A</v>
      </c>
      <c r="IN611" s="1351" t="e">
        <f>IF($CO611="interior",ROUND(((1-IL611)*IM611)+IL611,2),VLOOKUP($CP611,Control_Savings_Exterior,IN$30,FALSE))</f>
        <v>#N/A</v>
      </c>
      <c r="IO611" s="1351" t="e">
        <f>IF($CO611="interior", ROUND(((1-IL611)*(IM611*(1-IP$28)))+IP611,2), VLOOKUP($CP611,Control_Savings_Exterior,IO$30,FALSE))</f>
        <v>#N/A</v>
      </c>
      <c r="IP611" s="1351">
        <f>IF($CO611="interior",ROUND(((1-IL611)*IP$28)+IL611,2),0)</f>
        <v>0</v>
      </c>
    </row>
    <row r="612" spans="1:250" s="82" customFormat="1" ht="14.95" customHeight="1" thickTop="1" thickBot="1">
      <c r="B612" s="1421"/>
      <c r="C612" s="1422"/>
      <c r="D612" s="1423"/>
      <c r="E612" s="1393" t="s">
        <v>244</v>
      </c>
      <c r="F612" s="1394"/>
      <c r="G612" s="1395"/>
      <c r="H612" s="1395"/>
      <c r="I612" s="1395"/>
      <c r="J612" s="1395"/>
      <c r="K612" s="1395"/>
      <c r="L612" s="1395"/>
      <c r="M612" s="509" t="e">
        <f>IF(__Retrofit_TI_NC&lt;&gt;0,IF(VLOOKUP(G613,'Space Table'!$B$3:$L$160,3,FALSE)&gt;0,1,0),IF(__Retrofit_TI_NC=VLOOKUP(G613,'Space Table'!$B$3:$L$160,3,FALSE),1,0))</f>
        <v>#N/A</v>
      </c>
      <c r="N612" s="509" t="str">
        <f>IFERROR(VLOOKUP(G612,_Lookup_Heat_Type_Table_New,2,FALSE),"")</f>
        <v/>
      </c>
      <c r="O612" s="509">
        <f>IF(__Retrofit_TI_NC=1,CONCATENATE("TI ",G612),IF(__Retrofit_TI_NC=2,CONCATENATE("NC ",G612),G612))</f>
        <v>0</v>
      </c>
      <c r="P612" s="1396" t="s">
        <v>352</v>
      </c>
      <c r="Q612" s="1396"/>
      <c r="R612" s="673"/>
      <c r="S612" s="1429"/>
      <c r="T612" s="675"/>
      <c r="U612" s="1496"/>
      <c r="V612" s="1497"/>
      <c r="W612" s="1497"/>
      <c r="X612" s="1497"/>
      <c r="Y612" s="1497"/>
      <c r="Z612" s="1497"/>
      <c r="AA612" s="1497"/>
      <c r="AB612" s="1497"/>
      <c r="AC612" s="1497"/>
      <c r="AD612" s="1498"/>
      <c r="AE612" s="675"/>
      <c r="AF612" s="1397"/>
      <c r="AG612" s="1397"/>
      <c r="AH612" s="1397"/>
      <c r="AI612" s="1397"/>
      <c r="AJ612" s="1434"/>
      <c r="AK612" s="1436"/>
      <c r="AL612" s="1438"/>
      <c r="AM612" s="1441"/>
      <c r="AN612" s="1442"/>
      <c r="AO612" s="1447"/>
      <c r="AP612" s="1447"/>
      <c r="AQ612" s="1448"/>
      <c r="AR612" s="1452"/>
      <c r="AS612" s="1455"/>
      <c r="AT612" s="1458"/>
      <c r="AU612" s="516"/>
      <c r="AV612" s="1479"/>
      <c r="AW612" s="1479"/>
      <c r="BC612" s="38"/>
      <c r="BD612" s="38"/>
      <c r="BE612" s="38"/>
      <c r="BF612" s="38"/>
      <c r="BG612" s="38"/>
      <c r="BH612" s="38"/>
      <c r="BI612" s="38"/>
      <c r="BJ612" s="38"/>
      <c r="BK612" s="38"/>
      <c r="BL612" s="38"/>
      <c r="BM612" s="38"/>
      <c r="BN612" s="38"/>
      <c r="BO612" s="38"/>
      <c r="BP612" s="38"/>
      <c r="BQ612" s="38"/>
      <c r="BR612" s="38"/>
      <c r="BS612" s="38"/>
      <c r="BT612" s="38"/>
      <c r="BU612" s="38"/>
      <c r="BV612" s="38"/>
      <c r="BW612" s="38"/>
      <c r="BX612" s="38"/>
      <c r="BY612" s="38"/>
      <c r="BZ612" s="38"/>
      <c r="CA612" s="38"/>
      <c r="CB612" s="38"/>
      <c r="CC612" s="38"/>
      <c r="CD612" s="38"/>
      <c r="CE612" s="38"/>
      <c r="CF612" s="38"/>
      <c r="CG612" s="38"/>
      <c r="CH612" s="38"/>
      <c r="CI612" s="38"/>
      <c r="CM612" s="1352"/>
      <c r="CN612" s="1352"/>
      <c r="CO612" s="1416"/>
      <c r="CP612" s="1418"/>
      <c r="CR612" s="1386"/>
      <c r="CS612" s="1355"/>
      <c r="CT612" s="1355"/>
      <c r="CU612" s="1355"/>
      <c r="CV612" s="1372"/>
      <c r="CW612" s="1372"/>
      <c r="CX612" s="1371"/>
      <c r="CY612" s="1486"/>
      <c r="CZ612" s="1486"/>
      <c r="DA612" s="1486"/>
      <c r="DC612" s="1355"/>
      <c r="DD612" s="1461"/>
      <c r="DE612" s="1355"/>
      <c r="DF612" s="1407"/>
      <c r="DG612" s="1372"/>
      <c r="DH612" s="1369"/>
      <c r="DJ612" s="1484"/>
      <c r="DL612" s="1419"/>
      <c r="DN612" s="1403"/>
      <c r="DO612" s="1405"/>
      <c r="DP612" s="1354"/>
      <c r="DQ612" s="1405"/>
      <c r="DR612" s="1403"/>
      <c r="DS612" s="1489"/>
      <c r="DU612" s="1403"/>
      <c r="DV612" s="1405"/>
      <c r="DW612" s="1403"/>
      <c r="DX612" s="1403"/>
      <c r="DZ612" s="1481"/>
      <c r="EA612" s="1481"/>
      <c r="EC612" s="1482"/>
      <c r="ED612" s="1369"/>
      <c r="EE612" s="1371"/>
      <c r="EF612" s="1369"/>
      <c r="EG612" s="1369"/>
      <c r="EH612" s="1374"/>
      <c r="EI612" s="1374"/>
      <c r="EJ612" s="1363"/>
      <c r="EK612" s="1376"/>
      <c r="EL612" s="1376"/>
      <c r="EM612" s="1362"/>
      <c r="EN612" s="1362"/>
      <c r="EO612" s="1363"/>
      <c r="EP612" s="1363"/>
      <c r="EQ612" s="1363"/>
      <c r="ES612" s="1403"/>
      <c r="EU612" s="1411"/>
      <c r="EV612" s="1411"/>
      <c r="EW612" s="1411"/>
      <c r="EX612" s="1411"/>
      <c r="EY612" s="1411"/>
      <c r="EZ612" s="1413"/>
      <c r="FB612" s="1365"/>
      <c r="FD612" s="1354"/>
      <c r="FE612" s="1354"/>
      <c r="FF612" s="138"/>
      <c r="FI612" s="1357"/>
      <c r="FJ612" s="1357"/>
      <c r="FK612" s="1365"/>
      <c r="FL612" s="1365"/>
      <c r="FM612" s="1365"/>
      <c r="FO612" s="1361"/>
      <c r="FP612" s="1361"/>
      <c r="FQ612" s="1366"/>
      <c r="FR612" s="1368"/>
      <c r="FS612" s="1361"/>
      <c r="FT612" s="1368"/>
      <c r="FU612" s="1360"/>
      <c r="FW612" s="1352"/>
      <c r="FX612" s="1352"/>
      <c r="FY612" s="1352"/>
      <c r="FZ612" s="1352"/>
      <c r="GA612" s="1352"/>
      <c r="GB612" s="1352"/>
      <c r="GC612" s="1352"/>
      <c r="GD612" s="1352"/>
      <c r="GE612" s="759"/>
      <c r="GF612" s="1035"/>
      <c r="GG612" s="1385"/>
      <c r="GI612" s="1384" t="b">
        <f>IF(AND(GL612=TRUE,GM612=TRUE),TRUE,FALSE)</f>
        <v>0</v>
      </c>
      <c r="GJ612" s="1379" t="b">
        <f>IFERROR(IF(__Retrofit_TI_NC=2,TRUE,IF(AR611="Yes",TRUE,FALSE)),FALSE)</f>
        <v>1</v>
      </c>
      <c r="GL612" s="1379" t="b">
        <f>IFERROR(IF(GL611=1,TRUE,FALSE),FALSE)</f>
        <v>0</v>
      </c>
      <c r="GM612" s="1379" t="b">
        <f>IFERROR(IF(GM611=GM$14,TRUE,FALSE),FALSE)</f>
        <v>0</v>
      </c>
      <c r="HC612" s="1379" t="b">
        <f>IFERROR(IF(M612=1,TRUE,FALSE),FALSE)</f>
        <v>0</v>
      </c>
      <c r="HD612" s="1379" t="b">
        <f>IFERROR(IF(M613=1,TRUE,FALSE),FALSE)</f>
        <v>0</v>
      </c>
      <c r="HE612" s="1379" t="b">
        <f>IFERROR(IF(__Retrofit_TI_NC&lt;&gt;0,TRUE,IFERROR(IF(VLOOKUP(U612,Fixtures_Existing_List,2,FALSE)&lt;&gt;"",TRUE,FALSE),FALSE)),FALSE)</f>
        <v>0</v>
      </c>
      <c r="HF612" s="1379" t="b">
        <f>IFERROR(IF(VLOOKUP(U613,Fixtures_Proposed_List,2,FALSE)&lt;&gt;"",TRUE,FALSE),FALSE)</f>
        <v>0</v>
      </c>
      <c r="HG612" s="1379" t="b">
        <f>IF(AND(__Retrofit_TI_NC=2,EZ611=TRUE),FALSE,TRUE)</f>
        <v>1</v>
      </c>
      <c r="HH612" s="1379" t="b">
        <f>GG611</f>
        <v>1</v>
      </c>
      <c r="HI612" s="1384" t="b">
        <f>IF(ISERROR(MATCH(FB611,_Control_Match[],0))=TRUE,FALSE,TRUE)</f>
        <v>0</v>
      </c>
      <c r="HJ612" s="1384" t="b">
        <f>IFERROR(IF(EU611&lt;&gt;EV611,FALSE,TRUE),FALSE)</f>
        <v>0</v>
      </c>
      <c r="HK612" s="1384" t="b">
        <f>IFERROR(IF(EU613&lt;&gt;EV613,FALSE,TRUE),FALSE)</f>
        <v>0</v>
      </c>
      <c r="HL612" s="1379" t="b">
        <f>IFERROR(IF(CN611="Exterior",TRUE,IF(OR(AND(FJ611=0,EW613&gt;4),AND(FJ611=4,EW613&gt;4,EW613&lt;7)),FALSE,TRUE)),FALSE)</f>
        <v>0</v>
      </c>
      <c r="HM612" s="1379" t="b">
        <f>IFERROR(IF(AND(FL613=7,EZ611=TRUE),FALSE,TRUE),FALSE)</f>
        <v>0</v>
      </c>
      <c r="HN612" s="1379" t="b">
        <f>IFERROR(IF(AND(T613&lt;&gt;AE613,AF613="Interior LLLC")=TRUE,FALSE,TRUE),FALSE)</f>
        <v>1</v>
      </c>
      <c r="HO612" s="1379" t="b">
        <f>IFERROR(IF(OR(AF613=Lookup!AU$13,AF613=Lookup!AU$14)=TRUE,IF(AE613&gt;T613,FALSE,TRUE),TRUE),FALSE)</f>
        <v>1</v>
      </c>
      <c r="HP612" s="1379" t="b">
        <f>IFERROR(IF(__Retrofit_TI_NC=2,IF(EW613&lt;EW611,FALSE,TRUE),TRUE),FALSE)</f>
        <v>1</v>
      </c>
      <c r="HQ612" s="1379" t="b">
        <f>IF(CN611="Interior",IG$6,TRUE)</f>
        <v>1</v>
      </c>
      <c r="HR612" s="1379" t="b">
        <f>IF(CN611="Exterior",IG$8,TRUE)</f>
        <v>1</v>
      </c>
      <c r="HS612" s="1379" t="b">
        <f>IFERROR(IF(__Retrofit_TI_NC&lt;&gt;0,IF(AW611&lt;AV611,FALSE,TRUE),TRUE),FALSE)</f>
        <v>1</v>
      </c>
      <c r="HT612" s="1379" t="b">
        <f>IFERROR(IF(AND(G612="Exterior",R612&gt;4200),FALSE,TRUE),FALSE)</f>
        <v>1</v>
      </c>
      <c r="HU612" s="1379" t="b">
        <f>IFERROR(IF(AB614/AB611&lt;HU$18,FALSE,TRUE),FALSE)</f>
        <v>0</v>
      </c>
      <c r="HW612" s="1382"/>
      <c r="HX612" s="1378"/>
      <c r="HY612" s="1377" t="str">
        <f>VLOOKUP(HW614,_Error_Table,4,FALSE)</f>
        <v>White</v>
      </c>
      <c r="HZ612" s="436"/>
      <c r="IA612" s="1386"/>
      <c r="IB612" s="1380"/>
      <c r="IC612" s="1379"/>
      <c r="IF612" s="1380"/>
      <c r="IG612" s="1382"/>
      <c r="IH612" s="1382"/>
      <c r="II612" s="1382"/>
      <c r="IK612" s="1351"/>
      <c r="IL612" s="1351"/>
      <c r="IM612" s="1351"/>
      <c r="IN612" s="1351"/>
      <c r="IO612" s="1351"/>
      <c r="IP612" s="1351"/>
    </row>
    <row r="613" spans="1:250" s="82" customFormat="1" ht="14.95" customHeight="1" thickTop="1" thickBot="1">
      <c r="A613" s="82">
        <f>ROW()</f>
        <v>613</v>
      </c>
      <c r="B613" s="1421"/>
      <c r="C613" s="1422"/>
      <c r="D613" s="1423"/>
      <c r="E613" s="1393" t="s">
        <v>245</v>
      </c>
      <c r="F613" s="1394"/>
      <c r="G613" s="1398"/>
      <c r="H613" s="1399"/>
      <c r="I613" s="1399"/>
      <c r="J613" s="1399"/>
      <c r="K613" s="1399"/>
      <c r="L613" s="1400"/>
      <c r="M613" s="509">
        <f>IFERROR(IF(IF(__Retrofit_TI_NC&lt;&gt;0,IF(CN611="Interior",MATCH(G613,Lookup_Interior_New,0),MATCH(G613,Lookup_Exterior_New,0)),IF(CN611="Interior",MATCH(G613,Lookup_Interior,0),MATCH(G613,Lookup_Exterior_Areas,0)))&gt;0,1,0),0)</f>
        <v>0</v>
      </c>
      <c r="N613" s="509" t="e">
        <f>IF(__Retrofit_TI_NC=1,
VLOOKUP(G613,'Space Table'!$B$3:$L$160,4,FALSE),
IF(__Retrofit_TI_NC=2,VLOOKUP(G613,'Space Table'!$B$3:$L$160,5,FALSE),VLOOKUP(G613,'Space Table'!$B$3:$L$160,5,FALSE)))</f>
        <v>#N/A</v>
      </c>
      <c r="O613" s="509">
        <f>G613</f>
        <v>0</v>
      </c>
      <c r="P613" s="1394" t="s">
        <v>355</v>
      </c>
      <c r="Q613" s="1394"/>
      <c r="R613" s="674"/>
      <c r="S613" s="1401" t="s">
        <v>284</v>
      </c>
      <c r="T613" s="672"/>
      <c r="U613" s="1499"/>
      <c r="V613" s="1500"/>
      <c r="W613" s="1500"/>
      <c r="X613" s="1500"/>
      <c r="Y613" s="1500"/>
      <c r="Z613" s="1500"/>
      <c r="AA613" s="1500"/>
      <c r="AB613" s="1501"/>
      <c r="AC613" s="1501"/>
      <c r="AD613" s="1502"/>
      <c r="AE613" s="672"/>
      <c r="AF613" s="1474"/>
      <c r="AG613" s="1474"/>
      <c r="AH613" s="1474"/>
      <c r="AI613" s="1474"/>
      <c r="AJ613" s="1475">
        <f>DF613</f>
        <v>0</v>
      </c>
      <c r="AK613" s="1470" t="str">
        <f>IFERROR(ROUND(AJ613*AC614,0),"")</f>
        <v/>
      </c>
      <c r="AL613" s="1472">
        <f>IFERROR(IF(HW611=FALSE,0,AC614-AK613),0)</f>
        <v>0</v>
      </c>
      <c r="AM613" s="1441"/>
      <c r="AN613" s="1442"/>
      <c r="AO613" s="1447"/>
      <c r="AP613" s="1447"/>
      <c r="AQ613" s="1448"/>
      <c r="AR613" s="1452"/>
      <c r="AS613" s="1455"/>
      <c r="AT613" s="1458"/>
      <c r="AU613" s="516"/>
      <c r="AV613" s="1479"/>
      <c r="AW613" s="1479"/>
      <c r="BC613" s="38"/>
      <c r="BD613" s="38"/>
      <c r="BE613" s="38"/>
      <c r="BF613" s="38"/>
      <c r="BG613" s="38"/>
      <c r="BH613" s="38"/>
      <c r="BI613" s="38"/>
      <c r="BJ613" s="38"/>
      <c r="BK613" s="38"/>
      <c r="BL613" s="38"/>
      <c r="BM613" s="38"/>
      <c r="BN613" s="38"/>
      <c r="BO613" s="38"/>
      <c r="BP613" s="38"/>
      <c r="BQ613" s="38"/>
      <c r="BR613" s="38"/>
      <c r="BS613" s="38"/>
      <c r="BT613" s="38"/>
      <c r="BU613" s="38"/>
      <c r="BV613" s="38"/>
      <c r="BW613" s="38"/>
      <c r="BX613" s="38"/>
      <c r="BY613" s="38"/>
      <c r="BZ613" s="38"/>
      <c r="CA613" s="38"/>
      <c r="CB613" s="38"/>
      <c r="CC613" s="38"/>
      <c r="CD613" s="38"/>
      <c r="CE613" s="38"/>
      <c r="CF613" s="38"/>
      <c r="CG613" s="38"/>
      <c r="CH613" s="38"/>
      <c r="CI613" s="38"/>
      <c r="CM613" s="1352"/>
      <c r="CN613" s="1352"/>
      <c r="CO613" s="1415" t="str">
        <f>CN611</f>
        <v/>
      </c>
      <c r="CP613" s="1417" t="e">
        <f>CP611</f>
        <v>#N/A</v>
      </c>
      <c r="CR613" s="1386" t="s">
        <v>284</v>
      </c>
      <c r="CS613" s="1353">
        <f>IF(HW611=TRUE,T613,0)</f>
        <v>0</v>
      </c>
      <c r="CT613" s="1353" t="str">
        <f>IF(HW611=TRUE,U613,"")</f>
        <v/>
      </c>
      <c r="CU613" s="1373">
        <f>IF(HW611=TRUE,U614,0)</f>
        <v>0</v>
      </c>
      <c r="CV613" s="1370">
        <f>IF(HW611=TRUE,AB614,0)</f>
        <v>0</v>
      </c>
      <c r="CW613" s="1370">
        <f>IF(HW611=TRUE,AC614,0)</f>
        <v>0</v>
      </c>
      <c r="CX613" s="1371"/>
      <c r="CY613" s="1486"/>
      <c r="CZ613" s="1486"/>
      <c r="DA613" s="1486"/>
      <c r="DC613" s="1353">
        <f>IF(HW611=TRUE,AE613,0)</f>
        <v>0</v>
      </c>
      <c r="DD613" s="1353" t="str">
        <f>IF(HW611=TRUE,AF613,"")</f>
        <v/>
      </c>
      <c r="DE613" s="1373">
        <f>AF614</f>
        <v>0</v>
      </c>
      <c r="DF613" s="1406">
        <f>IFERROR(IF(FL613=3,IK613,IF(FL613=4,IL613,IF(FL613=5,IM613,IF(FL613=6,IN613,IF(FL613=7,IO613,IF(FL613=8,IP613,0)))))),0)</f>
        <v>0</v>
      </c>
      <c r="DG613" s="1370">
        <f>IF(HW611=TRUE,AK613,0)</f>
        <v>0</v>
      </c>
      <c r="DH613" s="1369"/>
      <c r="DK613" s="1483">
        <f>IFERROR(CW613-DG613,0)</f>
        <v>0</v>
      </c>
      <c r="DL613" s="1420"/>
      <c r="DN613" s="1403"/>
      <c r="DO613" s="1477" t="str">
        <f>DN611</f>
        <v/>
      </c>
      <c r="DP613" s="1354"/>
      <c r="DQ613" s="1477" t="str">
        <f>IF(DP611=7,"LLLC","")</f>
        <v/>
      </c>
      <c r="DR613" s="1403"/>
      <c r="DS613" s="1489"/>
      <c r="DU613" s="1403"/>
      <c r="DV613" s="1404" t="str">
        <f>DU611</f>
        <v/>
      </c>
      <c r="DW613" s="1403"/>
      <c r="DX613" s="1403"/>
      <c r="DZ613" s="1481"/>
      <c r="EA613" s="1481"/>
      <c r="EC613" s="1482"/>
      <c r="ED613" s="1369"/>
      <c r="EE613" s="1371"/>
      <c r="EF613" s="1369"/>
      <c r="EG613" s="1369"/>
      <c r="EH613" s="1374"/>
      <c r="EI613" s="1374"/>
      <c r="EJ613" s="1363"/>
      <c r="EK613" s="1376"/>
      <c r="EL613" s="1376"/>
      <c r="EM613" s="1362"/>
      <c r="EN613" s="1362"/>
      <c r="EO613" s="1363"/>
      <c r="EP613" s="1363"/>
      <c r="EQ613" s="1363"/>
      <c r="ES613" s="1403"/>
      <c r="EU613" s="1411" t="e">
        <f>VLOOKUP(CP613,'Space Table'!$B$3:$L$160,8,FALSE)</f>
        <v>#N/A</v>
      </c>
      <c r="EV613" s="1411" t="e">
        <f>IF(EY613="Yes",VLOOKUP(AF613,Lookup_Control_Type_Table2,4,FALSE),VLOOKUP(AF613,Lookup_Control_Type_Table2,3,FALSE))</f>
        <v>#N/A</v>
      </c>
      <c r="EW613" s="1411" t="e">
        <f>VLOOKUP(AF613,Lookup!AU$3:AV$15,2,FALSE)</f>
        <v>#N/A</v>
      </c>
      <c r="EX613" s="1411" t="e">
        <f>VLOOKUP(EU611,Lookup_Control_Type_Table,2,FALSE)</f>
        <v>#N/A</v>
      </c>
      <c r="EY613" s="1411" t="e">
        <f>VLOOKUP(CP613,'Space Table'!$B$3:$L$160,7,FALSE)</f>
        <v>#N/A</v>
      </c>
      <c r="EZ613" s="1413"/>
      <c r="FB613" s="1365" t="str">
        <f>CONCATENATE(CN611," - ",AF613)</f>
        <v xml:space="preserve"> - </v>
      </c>
      <c r="FD613" s="1354"/>
      <c r="FE613" s="1354"/>
      <c r="FF613" s="138"/>
      <c r="FI613" s="1356" t="str">
        <f>IF(CN611="Exterior","Not Daylighted",G614)</f>
        <v>Not Daylighted</v>
      </c>
      <c r="FJ613" s="1356">
        <f>VLOOKUP(FI613,_Daylight_Table_Codes,2,FALSE)</f>
        <v>0</v>
      </c>
      <c r="FK613" s="1365">
        <f>AF613</f>
        <v>0</v>
      </c>
      <c r="FL613" s="1365" t="e">
        <f>VLOOKUP(FK613,_Control_Table,2,FALSE)</f>
        <v>#N/A</v>
      </c>
      <c r="FM613" s="1365" t="e">
        <f>IF(AND(FP613&gt;0,FK613="Occupancy Sensor"),"Daylight + Occupancy",IF(AND(FP613&gt;0,FL613&lt;4),"Interior Daylight Dimming",FK613))</f>
        <v>#N/A</v>
      </c>
      <c r="FO613" s="1364">
        <f>IF(CN611="Interior",VLOOKUP(CP611,Control_Savings_Interior,5,FALSE),0)</f>
        <v>0</v>
      </c>
      <c r="FP613" s="1361">
        <f>IF(CN613="Exterior",0,IF(FJ613=2,0.5,IF(OR(FJ613=1,FJ613=3),1,0)))</f>
        <v>0</v>
      </c>
      <c r="FQ613" s="1366">
        <f>IF(R612&gt;FO$37,(FO613*(FO$37/R612)),FO613)*FP613</f>
        <v>0</v>
      </c>
      <c r="FR613" s="1364">
        <f>DF613</f>
        <v>0</v>
      </c>
      <c r="FS613" s="1364">
        <f>ROUND(FR613+((1-FR613)*FQ613),2)</f>
        <v>0</v>
      </c>
      <c r="FT613" s="1364">
        <f>IF(__Retrofit_TI_NC=2,FS613,FR613)</f>
        <v>0</v>
      </c>
      <c r="FU613" s="1360">
        <f>IF(CO613="Interior",VLOOKUP(CP613,Control_Savings_Interior,4,FALSE),0)</f>
        <v>0</v>
      </c>
      <c r="FW613" s="1352"/>
      <c r="FX613" s="1352"/>
      <c r="FY613" s="1352"/>
      <c r="FZ613" s="1352"/>
      <c r="GA613" s="1352"/>
      <c r="GB613" s="1352"/>
      <c r="GC613" s="1352"/>
      <c r="GD613" s="1352"/>
      <c r="GE613" s="759" t="b">
        <f>IF(ISNUMBER(SEARCH("TLED",U613)),TRUE,FALSE)</f>
        <v>0</v>
      </c>
      <c r="GF613" s="1035" t="str">
        <f>IFERROR(VLOOKUP(U613,Fixtures!DM$93:DR$142,6,FALSE),"")</f>
        <v/>
      </c>
      <c r="GG613" s="1385"/>
      <c r="GI613" s="1383"/>
      <c r="GJ613" s="1379"/>
      <c r="GL613" s="1379"/>
      <c r="GM613" s="1379"/>
      <c r="HC613" s="1379"/>
      <c r="HD613" s="1379"/>
      <c r="HE613" s="1379"/>
      <c r="HF613" s="1379"/>
      <c r="HG613" s="1379"/>
      <c r="HH613" s="1379"/>
      <c r="HI613" s="1383"/>
      <c r="HJ613" s="1383"/>
      <c r="HK613" s="1383"/>
      <c r="HL613" s="1379"/>
      <c r="HM613" s="1379"/>
      <c r="HN613" s="1379"/>
      <c r="HO613" s="1379"/>
      <c r="HP613" s="1379"/>
      <c r="HQ613" s="1379"/>
      <c r="HR613" s="1379"/>
      <c r="HS613" s="1379"/>
      <c r="HT613" s="1379"/>
      <c r="HU613" s="1379"/>
      <c r="HW613" s="1383"/>
      <c r="HX613" s="1384" t="b">
        <f>HW611</f>
        <v>0</v>
      </c>
      <c r="HY613" s="1378"/>
      <c r="HZ613" s="436"/>
      <c r="IA613" s="1386"/>
      <c r="IB613" s="1380">
        <f>IF(IA611=TRUE,AC614,0)</f>
        <v>0</v>
      </c>
      <c r="IC613" s="1379"/>
      <c r="IF613" s="1380" t="e">
        <f>ROUND(T613*AB614*N612*R612/1000,0)</f>
        <v>#VALUE!</v>
      </c>
      <c r="IG613" s="1382"/>
      <c r="IH613" s="1384" t="e">
        <f>ROUND(T613*AB614*N612*R612/1000,0)</f>
        <v>#VALUE!</v>
      </c>
      <c r="II613" s="1382"/>
      <c r="IK613" s="1351" t="e">
        <f>IF($CO613="interior",IL613/2,VLOOKUP($CP613,Control_Savings_Exterior,IK$30,FALSE))</f>
        <v>#N/A</v>
      </c>
      <c r="IL613" s="1351" t="e">
        <f>IF($CO613="interior",VLOOKUP($CP613,Control_Savings_Interior,IL$30,FALSE),VLOOKUP($CP613,Control_Savings_Exterior,IL$30,FALSE))</f>
        <v>#N/A</v>
      </c>
      <c r="IM613" s="1351" t="e">
        <f>IF($CO613="interior",IF(R612&gt;FO$37,(IM$28*(FO$37/R612)),IM$28)*FP613,VLOOKUP($CP613,Control_Savings_Exterior,IM$30,FALSE))</f>
        <v>#N/A</v>
      </c>
      <c r="IN613" s="1351" t="e">
        <f>IF($CO613="interior",ROUND(((1-IL613)*IM613)+IL613,2),VLOOKUP($CP613,Control_Savings_Exterior,IN$30,FALSE))</f>
        <v>#N/A</v>
      </c>
      <c r="IO613" s="1351" t="e">
        <f>IF($CO613="interior", ROUND(((1-IL613)*(IM613*(1-IP$28)))+IP613,2), VLOOKUP($CP613,Control_Savings_Exterior,IO$30,FALSE))</f>
        <v>#N/A</v>
      </c>
      <c r="IP613" s="1351">
        <f>IF($CO613="interior",ROUND(((1-IL613)*IP$28)+IL613,2),0)</f>
        <v>0</v>
      </c>
    </row>
    <row r="614" spans="1:250" s="82" customFormat="1" ht="14.95" customHeight="1" thickTop="1" thickBot="1">
      <c r="B614" s="1421"/>
      <c r="C614" s="1422"/>
      <c r="D614" s="1423"/>
      <c r="E614" s="1462" t="s">
        <v>357</v>
      </c>
      <c r="F614" s="1463"/>
      <c r="G614" s="1464" t="s">
        <v>362</v>
      </c>
      <c r="H614" s="1465"/>
      <c r="I614" s="1465"/>
      <c r="J614" s="1465"/>
      <c r="K614" s="1465"/>
      <c r="L614" s="1466"/>
      <c r="M614" s="669">
        <f>IFERROR(VLOOKUP(G614,_Daylight_Table[],2,FALSE),0)</f>
        <v>0</v>
      </c>
      <c r="N614" s="670"/>
      <c r="O614" s="669" t="e">
        <f>VLOOKUP(G613,'Space Table'!$B$3:$L$160,11,FALSE)</f>
        <v>#N/A</v>
      </c>
      <c r="P614" s="1408"/>
      <c r="Q614" s="1409"/>
      <c r="R614" s="1409"/>
      <c r="S614" s="1402"/>
      <c r="T614" s="671" t="s">
        <v>281</v>
      </c>
      <c r="U614" s="1467" t="str">
        <f>IFERROR(VLOOKUP(U613,Fixtures!DM$93:DP$142,4,FALSE),"")</f>
        <v/>
      </c>
      <c r="V614" s="1468"/>
      <c r="W614" s="1468"/>
      <c r="X614" s="1468"/>
      <c r="Y614" s="1468"/>
      <c r="Z614" s="1468"/>
      <c r="AA614" s="1468"/>
      <c r="AB614" s="1046" t="str">
        <f>IFERROR(VLOOKUP(U613,Fixtures_Proposed_List,2,FALSE),"")</f>
        <v/>
      </c>
      <c r="AC614" s="1036" t="str">
        <f>IFERROR(ROUND(T613*AB614*N612*R612/1000,0),"")</f>
        <v/>
      </c>
      <c r="AD614" s="1037" t="str">
        <f>IFERROR(ROUND(T613*AB614/1000,2),"")</f>
        <v/>
      </c>
      <c r="AE614" s="1045" t="s">
        <v>281</v>
      </c>
      <c r="AF614" s="1469"/>
      <c r="AG614" s="1469"/>
      <c r="AH614" s="1469"/>
      <c r="AI614" s="1469"/>
      <c r="AJ614" s="1476"/>
      <c r="AK614" s="1471"/>
      <c r="AL614" s="1473"/>
      <c r="AM614" s="1443"/>
      <c r="AN614" s="1444"/>
      <c r="AO614" s="1449"/>
      <c r="AP614" s="1449"/>
      <c r="AQ614" s="1450"/>
      <c r="AR614" s="1453"/>
      <c r="AS614" s="1456"/>
      <c r="AT614" s="1459"/>
      <c r="AU614" s="517"/>
      <c r="AV614" s="1480"/>
      <c r="AW614" s="1480"/>
      <c r="BC614" s="38"/>
      <c r="BD614" s="38"/>
      <c r="BE614" s="38"/>
      <c r="BF614" s="38"/>
      <c r="BG614" s="38"/>
      <c r="BH614" s="38"/>
      <c r="BI614" s="38"/>
      <c r="BJ614" s="38"/>
      <c r="BK614" s="38"/>
      <c r="BL614" s="38"/>
      <c r="BM614" s="38"/>
      <c r="BN614" s="38"/>
      <c r="BO614" s="38"/>
      <c r="BP614" s="38"/>
      <c r="BQ614" s="38"/>
      <c r="BR614" s="38"/>
      <c r="BS614" s="38"/>
      <c r="BT614" s="38"/>
      <c r="BU614" s="38"/>
      <c r="BV614" s="38"/>
      <c r="BW614" s="38"/>
      <c r="BX614" s="38"/>
      <c r="BY614" s="38"/>
      <c r="BZ614" s="38"/>
      <c r="CA614" s="38"/>
      <c r="CB614" s="38"/>
      <c r="CC614" s="38"/>
      <c r="CD614" s="38"/>
      <c r="CE614" s="38"/>
      <c r="CF614" s="38"/>
      <c r="CG614" s="38"/>
      <c r="CH614" s="38"/>
      <c r="CI614" s="38"/>
      <c r="CM614" s="1352"/>
      <c r="CN614" s="1352"/>
      <c r="CO614" s="1416"/>
      <c r="CP614" s="1418"/>
      <c r="CR614" s="1386"/>
      <c r="CS614" s="1355"/>
      <c r="CT614" s="1355"/>
      <c r="CU614" s="1375"/>
      <c r="CV614" s="1372"/>
      <c r="CW614" s="1372"/>
      <c r="CX614" s="1372"/>
      <c r="CY614" s="1487"/>
      <c r="CZ614" s="1487"/>
      <c r="DA614" s="1487"/>
      <c r="DC614" s="1355"/>
      <c r="DD614" s="1355"/>
      <c r="DE614" s="1375"/>
      <c r="DF614" s="1407"/>
      <c r="DG614" s="1372"/>
      <c r="DH614" s="1369"/>
      <c r="DK614" s="1484"/>
      <c r="DL614" s="1420"/>
      <c r="DN614" s="1403"/>
      <c r="DO614" s="1405"/>
      <c r="DP614" s="1355"/>
      <c r="DQ614" s="1405"/>
      <c r="DR614" s="1403"/>
      <c r="DS614" s="1489"/>
      <c r="DU614" s="1403"/>
      <c r="DV614" s="1405"/>
      <c r="DW614" s="1403"/>
      <c r="DX614" s="1403"/>
      <c r="DZ614" s="1481"/>
      <c r="EA614" s="1481"/>
      <c r="EC614" s="1482"/>
      <c r="ED614" s="1369"/>
      <c r="EE614" s="1372"/>
      <c r="EF614" s="1369"/>
      <c r="EG614" s="1369"/>
      <c r="EH614" s="1375"/>
      <c r="EI614" s="1375"/>
      <c r="EJ614" s="1363"/>
      <c r="EK614" s="1376"/>
      <c r="EL614" s="1376"/>
      <c r="EM614" s="1362"/>
      <c r="EN614" s="1362"/>
      <c r="EO614" s="1363"/>
      <c r="EP614" s="1363"/>
      <c r="EQ614" s="1363"/>
      <c r="ES614" s="1403"/>
      <c r="EU614" s="1488"/>
      <c r="EV614" s="1488"/>
      <c r="EW614" s="1488"/>
      <c r="EX614" s="1488"/>
      <c r="EY614" s="1488"/>
      <c r="EZ614" s="1414"/>
      <c r="FB614" s="1365"/>
      <c r="FD614" s="1355"/>
      <c r="FE614" s="1355"/>
      <c r="FF614" s="138"/>
      <c r="FI614" s="1357"/>
      <c r="FJ614" s="1357"/>
      <c r="FK614" s="1365"/>
      <c r="FL614" s="1365"/>
      <c r="FM614" s="1365"/>
      <c r="FO614" s="1361"/>
      <c r="FP614" s="1361"/>
      <c r="FQ614" s="1366"/>
      <c r="FR614" s="1361"/>
      <c r="FS614" s="1361"/>
      <c r="FT614" s="1361"/>
      <c r="FU614" s="1360"/>
      <c r="FW614" s="1352"/>
      <c r="FX614" s="1352"/>
      <c r="FY614" s="1352"/>
      <c r="FZ614" s="1352"/>
      <c r="GA614" s="1352"/>
      <c r="GB614" s="1352"/>
      <c r="GC614" s="1352"/>
      <c r="GD614" s="1352"/>
      <c r="GE614" s="759"/>
      <c r="GF614" s="1035"/>
      <c r="GG614" s="1385"/>
      <c r="GJ614" s="1034">
        <f>IF(GJ612=TRUE,0,GJ$16)</f>
        <v>0</v>
      </c>
      <c r="GL614" s="1034">
        <f>IF(GL612=TRUE,0,GL$16)</f>
        <v>36</v>
      </c>
      <c r="GM614" s="1034">
        <f>IF(GM612=TRUE,0,GM$16)</f>
        <v>35</v>
      </c>
      <c r="GN614" s="436"/>
      <c r="GO614" s="436"/>
      <c r="GP614" s="436"/>
      <c r="GQ614" s="436"/>
      <c r="GR614" s="436"/>
      <c r="HC614" s="1034">
        <f t="shared" ref="HC614:HH614" si="454">IF(HC612=TRUE,0,HC$16)</f>
        <v>19</v>
      </c>
      <c r="HD614" s="1034">
        <f t="shared" si="454"/>
        <v>18</v>
      </c>
      <c r="HE614" s="1034">
        <f t="shared" si="454"/>
        <v>17</v>
      </c>
      <c r="HF614" s="1034">
        <f t="shared" si="454"/>
        <v>16</v>
      </c>
      <c r="HG614" s="1034">
        <f t="shared" si="454"/>
        <v>0</v>
      </c>
      <c r="HH614" s="1034">
        <f t="shared" si="454"/>
        <v>0</v>
      </c>
      <c r="HI614" s="1034">
        <f>IF(HI612=TRUE,0,HI$16)</f>
        <v>13</v>
      </c>
      <c r="HJ614" s="1034">
        <f t="shared" ref="HJ614:HL614" si="455">IF(HJ612=TRUE,0,HJ$16)</f>
        <v>12</v>
      </c>
      <c r="HK614" s="1034">
        <f t="shared" si="455"/>
        <v>11</v>
      </c>
      <c r="HL614" s="1034">
        <f t="shared" si="455"/>
        <v>10</v>
      </c>
      <c r="HM614" s="1034">
        <f>IF(HM612=TRUE,0,HM$16)</f>
        <v>9</v>
      </c>
      <c r="HN614" s="1034">
        <f t="shared" ref="HN614:HR614" si="456">IF(HN612=TRUE,0,HN$16)</f>
        <v>0</v>
      </c>
      <c r="HO614" s="1034">
        <f t="shared" si="456"/>
        <v>0</v>
      </c>
      <c r="HP614" s="1034">
        <f t="shared" si="456"/>
        <v>0</v>
      </c>
      <c r="HQ614" s="1034">
        <f t="shared" si="456"/>
        <v>0</v>
      </c>
      <c r="HR614" s="1034">
        <f t="shared" si="456"/>
        <v>0</v>
      </c>
      <c r="HS614" s="1034">
        <f>IF(HS612=TRUE,0,HS$16)</f>
        <v>0</v>
      </c>
      <c r="HT614" s="1034">
        <f t="shared" ref="HT614" si="457">IF(HT612=TRUE,0,HT$16)</f>
        <v>0</v>
      </c>
      <c r="HU614" s="1034">
        <f>IF(HU612=TRUE,0,HU$16)</f>
        <v>1</v>
      </c>
      <c r="HW614" s="1034">
        <f>IF(GL612=FALSE,GL614,IF(GM612=FALSE,GM614,MAX(GJ614:HU614)))</f>
        <v>36</v>
      </c>
      <c r="HX614" s="1383"/>
      <c r="HY614" s="241" t="str">
        <f>VLOOKUP(HW614,_Error_Table,3,FALSE)</f>
        <v xml:space="preserve"> </v>
      </c>
      <c r="HZ614" s="241"/>
      <c r="IA614" s="1386"/>
      <c r="IB614" s="1380"/>
      <c r="IC614" s="1379"/>
      <c r="IF614" s="1380"/>
      <c r="IG614" s="1383"/>
      <c r="IH614" s="1383"/>
      <c r="II614" s="1383"/>
      <c r="IK614" s="1351"/>
      <c r="IL614" s="1351"/>
      <c r="IM614" s="1351"/>
      <c r="IN614" s="1351"/>
      <c r="IO614" s="1351"/>
      <c r="IP614" s="1351"/>
    </row>
    <row r="615" spans="1:250" s="82" customFormat="1" ht="5.0999999999999996" customHeight="1" thickBot="1">
      <c r="B615" s="763"/>
      <c r="C615" s="1038"/>
      <c r="D615" s="1038"/>
      <c r="E615" s="1490"/>
      <c r="F615" s="1490"/>
      <c r="G615" s="1490"/>
      <c r="H615" s="1490"/>
      <c r="I615" s="1490"/>
      <c r="J615" s="1490"/>
      <c r="K615" s="1490"/>
      <c r="L615" s="1490"/>
      <c r="M615" s="1490"/>
      <c r="N615" s="1490"/>
      <c r="O615" s="1490"/>
      <c r="P615" s="1490"/>
      <c r="Q615" s="1490"/>
      <c r="R615" s="1490"/>
      <c r="S615" s="1490"/>
      <c r="T615" s="1490"/>
      <c r="U615" s="1490"/>
      <c r="V615" s="1490"/>
      <c r="W615" s="1490"/>
      <c r="X615" s="1490"/>
      <c r="Y615" s="1490"/>
      <c r="Z615" s="1490"/>
      <c r="AA615" s="1490"/>
      <c r="AB615" s="1490"/>
      <c r="AC615" s="1490"/>
      <c r="AD615" s="1490"/>
      <c r="AE615" s="1490"/>
      <c r="AF615" s="1490"/>
      <c r="AG615" s="1490"/>
      <c r="AH615" s="1490"/>
      <c r="AI615" s="1490"/>
      <c r="AJ615" s="1490"/>
      <c r="AK615" s="1490"/>
      <c r="AL615" s="1490"/>
      <c r="AM615" s="1490"/>
      <c r="AN615" s="1490"/>
      <c r="AO615" s="1490"/>
      <c r="AP615" s="1490"/>
      <c r="AQ615" s="1490"/>
      <c r="AR615" s="1490"/>
      <c r="AS615" s="1490"/>
      <c r="AT615" s="1490"/>
      <c r="AU615" s="1041"/>
      <c r="BC615" s="38"/>
      <c r="BD615" s="38"/>
      <c r="BE615" s="38"/>
      <c r="BF615" s="38"/>
      <c r="BG615" s="38"/>
      <c r="BH615" s="38"/>
      <c r="BI615" s="38"/>
      <c r="BJ615" s="38"/>
      <c r="BK615" s="38"/>
      <c r="BL615" s="38"/>
      <c r="BM615" s="38"/>
      <c r="BN615" s="38"/>
      <c r="BO615" s="38"/>
      <c r="BP615" s="38"/>
      <c r="BQ615" s="38"/>
      <c r="BR615" s="38"/>
      <c r="BS615" s="38"/>
      <c r="BT615" s="38"/>
      <c r="BU615" s="38"/>
      <c r="BV615" s="38"/>
      <c r="BW615" s="38"/>
      <c r="BX615" s="38"/>
      <c r="BY615" s="38"/>
      <c r="BZ615" s="38"/>
      <c r="CA615" s="38"/>
      <c r="CB615" s="38"/>
      <c r="CC615" s="38"/>
      <c r="CD615" s="38"/>
      <c r="CE615" s="38"/>
      <c r="CF615" s="38"/>
      <c r="CG615" s="38"/>
      <c r="CH615" s="38"/>
      <c r="CI615" s="38"/>
      <c r="CM615" s="749"/>
      <c r="CN615" s="749"/>
      <c r="CO615" s="1043"/>
      <c r="CP615" s="749"/>
      <c r="CS615" s="436"/>
      <c r="CT615" s="436"/>
      <c r="CU615" s="243"/>
      <c r="CV615" s="244"/>
      <c r="CW615" s="244"/>
      <c r="CX615" s="244"/>
      <c r="CY615" s="245"/>
      <c r="CZ615" s="245"/>
      <c r="DA615" s="245"/>
      <c r="DC615" s="750"/>
      <c r="DD615" s="751"/>
      <c r="DE615" s="752"/>
      <c r="DF615" s="753"/>
      <c r="DG615" s="754"/>
      <c r="DH615" s="754"/>
      <c r="DK615" s="244"/>
      <c r="DL615" s="750"/>
      <c r="DN615" s="750"/>
      <c r="DO615" s="755"/>
      <c r="DP615" s="436"/>
      <c r="DQ615" s="750"/>
      <c r="DR615" s="750"/>
      <c r="DS615" s="750"/>
      <c r="DU615" s="750"/>
      <c r="DV615" s="750"/>
      <c r="DW615" s="750"/>
      <c r="DX615" s="750"/>
      <c r="DZ615" s="756"/>
      <c r="EA615" s="756"/>
      <c r="EC615" s="754"/>
      <c r="ED615" s="754"/>
      <c r="EE615" s="244"/>
      <c r="EF615" s="754"/>
      <c r="EG615" s="754"/>
      <c r="EH615" s="243"/>
      <c r="EI615" s="243"/>
      <c r="EJ615" s="752"/>
      <c r="EK615" s="757"/>
      <c r="EL615" s="757"/>
      <c r="EM615" s="758"/>
      <c r="EN615" s="758"/>
      <c r="EO615" s="752"/>
      <c r="EP615" s="752"/>
      <c r="EQ615" s="752"/>
      <c r="ES615" s="750"/>
      <c r="EU615" s="436"/>
      <c r="EV615" s="436"/>
      <c r="EW615" s="436"/>
      <c r="EX615" s="436"/>
      <c r="EY615" s="436"/>
      <c r="EZ615" s="436"/>
      <c r="FB615" s="643"/>
      <c r="FD615" s="436"/>
      <c r="FE615" s="436"/>
      <c r="FF615" s="436"/>
      <c r="FO615" s="750"/>
      <c r="FP615" s="436"/>
      <c r="FQ615" s="436"/>
      <c r="FR615" s="750"/>
      <c r="FS615" s="750"/>
      <c r="FW615" s="749"/>
      <c r="FX615" s="749"/>
      <c r="FY615" s="749"/>
      <c r="FZ615" s="749"/>
      <c r="GA615" s="749"/>
      <c r="GB615" s="749"/>
      <c r="GC615" s="749"/>
      <c r="GD615" s="749"/>
      <c r="GE615" s="751"/>
      <c r="GF615" s="750"/>
      <c r="GG615" s="750"/>
    </row>
    <row r="616" spans="1:250" s="82" customFormat="1" ht="14.95" customHeight="1" thickTop="1" thickBot="1">
      <c r="B616" s="1421" t="str">
        <f>HY619</f>
        <v xml:space="preserve"> </v>
      </c>
      <c r="C616" s="1422">
        <f>C611+1</f>
        <v>112</v>
      </c>
      <c r="D616" s="1423"/>
      <c r="E616" s="1424" t="s">
        <v>242</v>
      </c>
      <c r="F616" s="1425"/>
      <c r="G616" s="1426"/>
      <c r="H616" s="1427"/>
      <c r="I616" s="1427"/>
      <c r="J616" s="1427"/>
      <c r="K616" s="1427"/>
      <c r="L616" s="1427"/>
      <c r="M616" s="1427"/>
      <c r="N616" s="1427"/>
      <c r="O616" s="1427"/>
      <c r="P616" s="1427"/>
      <c r="Q616" s="1427"/>
      <c r="R616" s="1427"/>
      <c r="S616" s="1428" t="s">
        <v>283</v>
      </c>
      <c r="T616" s="668" t="s">
        <v>190</v>
      </c>
      <c r="U616" s="1430" t="s">
        <v>186</v>
      </c>
      <c r="V616" s="1431"/>
      <c r="W616" s="1431"/>
      <c r="X616" s="1431"/>
      <c r="Y616" s="1431"/>
      <c r="Z616" s="1431"/>
      <c r="AA616" s="1431"/>
      <c r="AB616" s="1088" t="str">
        <f>IFERROR(IF(__Retrofit_TI_NC=0,VLOOKUP(U617,Fixtures_Existing_List,2,FALSE),ROUND(N618*R618/T618,10)),"")</f>
        <v/>
      </c>
      <c r="AC616" s="1039" t="str">
        <f>IFERROR(IF(__Retrofit_TI_NC=0,ROUND(T617*AB616*N617*R617/1000,0),IF(CN616="Interior",N618*R618*R617*N617*_C406_reduction/1000,N618*R618*R617*N617/1000)),"")</f>
        <v/>
      </c>
      <c r="AD616" s="1040" t="str">
        <f>IFERROR(IF(C$36=0,ROUND(T617*AB616/1000,2),N618*R618/1000),"")</f>
        <v/>
      </c>
      <c r="AE616" s="1044" t="s">
        <v>190</v>
      </c>
      <c r="AF616" s="1432" t="str">
        <f>IF(__Retrofit_TI_NC=2,CONCATENATE("Code min = ",DD616),IF(__Retrofit_TI_NC=1,"Emter what you think the existing control was"," Control"))</f>
        <v xml:space="preserve"> Control</v>
      </c>
      <c r="AG616" s="1432"/>
      <c r="AH616" s="1432"/>
      <c r="AI616" s="1432"/>
      <c r="AJ616" s="1433">
        <f>DF616</f>
        <v>0</v>
      </c>
      <c r="AK616" s="1435" t="str">
        <f>IFERROR(ROUND(AJ616*AC616,0),"")</f>
        <v/>
      </c>
      <c r="AL616" s="1437">
        <f>IFERROR(IF(HW616=FALSE,0,AC616-AK616),0)</f>
        <v>0</v>
      </c>
      <c r="AM616" s="1439">
        <f>AL616-AL618</f>
        <v>0</v>
      </c>
      <c r="AN616" s="1440"/>
      <c r="AO616" s="1445">
        <f>IFERROR(IF(HW616=FALSE,0,(T618*U619)+(AE618*AF619)),0)</f>
        <v>0</v>
      </c>
      <c r="AP616" s="1445"/>
      <c r="AQ616" s="1446"/>
      <c r="AR616" s="1451" t="s">
        <v>157</v>
      </c>
      <c r="AS616" s="1454">
        <f>IF(AR616="Yes",1,0)</f>
        <v>1</v>
      </c>
      <c r="AT616" s="1457" t="str">
        <f>IF(OR(DN616=4,DN616=5,DN616=6,DN616=12),CONCATENATE("$",IF(GD616=TRUE,Lookup!$B$11,Lookup!$B$2)," /lamp"),CONCATENATE(EA616,"/ kWh"))</f>
        <v>0/ kWh</v>
      </c>
      <c r="AU616" s="516"/>
      <c r="AV616" s="1478">
        <f>IFERROR(IF(GI617=TRUE,(AB619*T618)/R618,0),"NA")</f>
        <v>0</v>
      </c>
      <c r="AW616" s="1478" t="str">
        <f>IFERROR(N618*_C406_reduction,"NA")</f>
        <v>NA</v>
      </c>
      <c r="BC616" s="38"/>
      <c r="BD616" s="38"/>
      <c r="BE616" s="38"/>
      <c r="BF616" s="38"/>
      <c r="BG616" s="38"/>
      <c r="BH616" s="38"/>
      <c r="BI616" s="38"/>
      <c r="BJ616" s="38"/>
      <c r="BK616" s="38"/>
      <c r="BL616" s="38"/>
      <c r="BM616" s="38"/>
      <c r="BN616" s="38"/>
      <c r="BO616" s="38"/>
      <c r="BP616" s="38"/>
      <c r="BQ616" s="38"/>
      <c r="BR616" s="38"/>
      <c r="BS616" s="38"/>
      <c r="BT616" s="38"/>
      <c r="BU616" s="38"/>
      <c r="BV616" s="38"/>
      <c r="BW616" s="38"/>
      <c r="BX616" s="38"/>
      <c r="BY616" s="38"/>
      <c r="BZ616" s="38"/>
      <c r="CA616" s="38"/>
      <c r="CB616" s="38"/>
      <c r="CC616" s="38"/>
      <c r="CD616" s="38"/>
      <c r="CE616" s="38"/>
      <c r="CF616" s="38"/>
      <c r="CG616" s="38"/>
      <c r="CH616" s="38"/>
      <c r="CI616" s="38"/>
      <c r="CM616" s="1352" t="str">
        <f>N617</f>
        <v/>
      </c>
      <c r="CN616" s="1352" t="str">
        <f>IFERROR(VLOOKUP(G617,_Lookup_Heat_Type_Table_New,3,FALSE),"")</f>
        <v/>
      </c>
      <c r="CO616" s="1415" t="str">
        <f>CN616</f>
        <v/>
      </c>
      <c r="CP616" s="1417" t="e">
        <f>VLOOKUP(G618,'Space Table'!$B$3:$L$160,9,FALSE)</f>
        <v>#N/A</v>
      </c>
      <c r="CR616" s="1386" t="s">
        <v>283</v>
      </c>
      <c r="CS616" s="1353">
        <f>IF(HW616=TRUE,T617,0)</f>
        <v>0</v>
      </c>
      <c r="CT616" s="1353" t="str">
        <f>IF(HW616=TRUE,U617,"")</f>
        <v/>
      </c>
      <c r="CU616" s="1353"/>
      <c r="CV616" s="1370">
        <f>IF(HW616=TRUE,AB616,0)</f>
        <v>0</v>
      </c>
      <c r="CW616" s="1370">
        <f>IF(HW616=TRUE,AC616,0)</f>
        <v>0</v>
      </c>
      <c r="CX616" s="1370">
        <f>IFERROR(IF(HW616=TRUE,CW616-CW618,0),0)</f>
        <v>0</v>
      </c>
      <c r="CY616" s="1485">
        <f>IF(HW616=TRUE,AD616,0)</f>
        <v>0</v>
      </c>
      <c r="CZ616" s="1485">
        <f>IF(HW616=TRUE,AD619,0)</f>
        <v>0</v>
      </c>
      <c r="DA616" s="1485">
        <f>IFERROR(CY616-CZ616,0)</f>
        <v>0</v>
      </c>
      <c r="DC616" s="1353">
        <f>IF(HW616=TRUE,AE617,0)</f>
        <v>0</v>
      </c>
      <c r="DD616" s="1460">
        <f>IF(__Retrofit_TI_NC=2,IF(CN616="Exterior",O619,FM616),FK616)</f>
        <v>0</v>
      </c>
      <c r="DE616" s="1353"/>
      <c r="DF616" s="1406">
        <f>IFERROR(IF(FL616=3,IK616,IF(FL616=4,IL616,IF(FL616=5,IM616,IF(FL616=6,IN616,IF(FL616=7,IO616,IF(FL616=8,IP616,0)))))),0)</f>
        <v>0</v>
      </c>
      <c r="DG616" s="1370">
        <f>IF(HW616=TRUE,AK616,0)</f>
        <v>0</v>
      </c>
      <c r="DH616" s="1369">
        <f>IFERROR(IF(HW616=TRUE,DG618-DG616,0),0)</f>
        <v>0</v>
      </c>
      <c r="DJ616" s="1483">
        <f>IFERROR(CW616-DG616,0)</f>
        <v>0</v>
      </c>
      <c r="DL616" s="1419">
        <f>DJ616-DK618</f>
        <v>0</v>
      </c>
      <c r="DN616" s="1403" t="str">
        <f>IFERROR(IF(AND(OR(FY616=4,FY616=5,FY616=6),OR(GB616=4,GB616=5,GB616=6)),FY616+8,VLOOKUP(CT618,Fixtures!R$31:Y$78,8,FALSE)),"")</f>
        <v/>
      </c>
      <c r="DO616" s="1404" t="str">
        <f>DN616</f>
        <v/>
      </c>
      <c r="DP616" s="1353" t="str">
        <f>IFERROR(VLOOKUP(DD618,Lookup!AU$3:AV$15,2,FALSE),"")</f>
        <v/>
      </c>
      <c r="DQ616" s="1404" t="str">
        <f>IF(DP616=7,"LLLC","")</f>
        <v/>
      </c>
      <c r="DR616" s="1403">
        <f>IFERROR(IF(OR(DN616=4,DN616=5,DN616=6,DN616=12,DN616=13,DN616=14),VLOOKUP(CT618,Fixtures!DN$27:EG$77,19,FALSE),1)*CS618,0)</f>
        <v>0</v>
      </c>
      <c r="DS616" s="1489">
        <f>IF(DP616=7,IF(DD616=DD618,0,DC618),0)</f>
        <v>0</v>
      </c>
      <c r="DU616" s="1403" t="str">
        <f>IFERROR(IF(EW616&lt;EW618,"Yes","No"),"")</f>
        <v/>
      </c>
      <c r="DV616" s="1404" t="str">
        <f>DU616</f>
        <v/>
      </c>
      <c r="DW616" s="1403">
        <f>IF(DU616="Yes",DC618,0)</f>
        <v>0</v>
      </c>
      <c r="DX616" s="1403">
        <f>DW616-DS616</f>
        <v>0</v>
      </c>
      <c r="DZ616" s="1481">
        <f>IFERROR(VLOOKUP(DN616,Lookup!AN$3:AO$16,2,FALSE),0)</f>
        <v>0</v>
      </c>
      <c r="EA616" s="1481">
        <f>IF(HW616=FALSE,0,IF(DU616="Yes",DZ616+Lookup!B$6,DZ616))</f>
        <v>0</v>
      </c>
      <c r="EC616" s="1482">
        <f>IF(HW616=TRUE,DJ616,0)</f>
        <v>0</v>
      </c>
      <c r="ED616" s="1369">
        <f>IF(HW616=TRUE,CW618,0)</f>
        <v>0</v>
      </c>
      <c r="EE616" s="1370">
        <f>IFERROR(EC616-ED616,0)</f>
        <v>0</v>
      </c>
      <c r="EF616" s="1369">
        <f>IF(HW616=TRUE,DG618,0)</f>
        <v>0</v>
      </c>
      <c r="EG616" s="1369">
        <f>IFERROR(EC616-ED616+EF616,0)</f>
        <v>0</v>
      </c>
      <c r="EH616" s="1373">
        <f>IF(HW616=TRUE,CS618*CU618,0)</f>
        <v>0</v>
      </c>
      <c r="EI616" s="1373">
        <f>IF(HW616=TRUE,DC618*DE618,0)</f>
        <v>0</v>
      </c>
      <c r="EJ616" s="1363">
        <f>AO616</f>
        <v>0</v>
      </c>
      <c r="EK616" s="1376" t="str">
        <f>IFERROR(IF(HW616=TRUE,VLOOKUP(DN616,Lookup!AN$3:AP$16,3,FALSE)*DR616,""),0)</f>
        <v/>
      </c>
      <c r="EL616" s="1376">
        <f>IF(HW616=TRUE,DW616*Lookup!AP$12,0)</f>
        <v>0</v>
      </c>
      <c r="EM616" s="1362">
        <f>IFERROR(IF(HW616=TRUE,EK616/EM$33,0),0)</f>
        <v>0</v>
      </c>
      <c r="EN616" s="1362">
        <f>IF(HW616=TRUE,EL616/EN$33,0)</f>
        <v>0</v>
      </c>
      <c r="EO616" s="1363">
        <f>IF(HW616=TRUE,EQ$33*EM616,0)</f>
        <v>0</v>
      </c>
      <c r="EP616" s="1363">
        <f>IF(HW616=TRUE,EQ$33*EN616,0)</f>
        <v>0</v>
      </c>
      <c r="EQ616" s="1363">
        <f>EO616+EP616</f>
        <v>0</v>
      </c>
      <c r="ES616" s="1403">
        <f>IF(G616="",0,1)</f>
        <v>0</v>
      </c>
      <c r="EU616" s="1410" t="e">
        <f>VLOOKUP(CP618,'Space Table'!$B$3:$L$160,8,FALSE)</f>
        <v>#N/A</v>
      </c>
      <c r="EV616" s="1410" t="e">
        <f>IF(EY616="Yes",VLOOKUP(DD616,Lookup_Control_Type_Table2,4,FALSE),VLOOKUP(DD616,Lookup_Control_Type_Table2,3,FALSE))</f>
        <v>#N/A</v>
      </c>
      <c r="EW616" s="1410" t="e">
        <f>VLOOKUP(DD616,Lookup!AU$3:AV$15,2,FALSE)</f>
        <v>#N/A</v>
      </c>
      <c r="EX616" s="1410" t="e">
        <f>VLOOKUP(EU616,Lookup_Control_Type_Table,2,FALSE)</f>
        <v>#N/A</v>
      </c>
      <c r="EY616" s="1410" t="e">
        <f>VLOOKUP(CP618,'Space Table'!$B$3:$L$160,7,FALSE)</f>
        <v>#N/A</v>
      </c>
      <c r="EZ616" s="1412" t="b">
        <f>ISNUMBER(SEARCH("TLED",U618))</f>
        <v>0</v>
      </c>
      <c r="FB616" s="1365" t="str">
        <f>CONCATENATE(CN616," - ",DD616)</f>
        <v xml:space="preserve"> - 0</v>
      </c>
      <c r="FD616" s="1353" t="str">
        <f>VLOOKUP(CT618,Fixtures!DN$27:EZ$77,38,FALSE)</f>
        <v/>
      </c>
      <c r="FE616" s="1353">
        <f>IFERROR(FD616*EE616,0)</f>
        <v>0</v>
      </c>
      <c r="FF616" s="138"/>
      <c r="FI616" s="1356" t="str">
        <f>IF(CN616="Exterior","Not Daylighted",G619)</f>
        <v>Not Daylighted</v>
      </c>
      <c r="FJ616" s="1356">
        <f>VLOOKUP(FI616,_Daylight_Table_Codes,2,FALSE)</f>
        <v>0</v>
      </c>
      <c r="FK616" s="1365">
        <f>IF(__Retrofit_TI_NC=2,VLOOKUP(G618,'Space Table'!$B$3:$L$160,11,FALSE),AF617)</f>
        <v>0</v>
      </c>
      <c r="FL616" s="1365" t="e">
        <f>VLOOKUP(FK616,_Control_Table,2,FALSE)</f>
        <v>#N/A</v>
      </c>
      <c r="FM616" s="1365" t="e">
        <f>IF(AND(FP616&gt;0,FK616="Occupancy Sensor"),"Daylight + Occupancy",IF(AND(FP616&gt;0,FL616&lt;4),"Interior Daylight Dimming",FK616))</f>
        <v>#N/A</v>
      </c>
      <c r="FO616" s="1364">
        <f>IF(CO616="Interior",VLOOKUP(CP616,Control_Savings_Interior,5,FALSE),0)</f>
        <v>0</v>
      </c>
      <c r="FP616" s="1361">
        <f>IF(CN616="Exterior",0,IF(FJ616=2,0.5,IF(OR(FJ616=1,FJ616=3),1,0)))</f>
        <v>0</v>
      </c>
      <c r="FQ616" s="1366"/>
      <c r="FR616" s="1367"/>
      <c r="FS616" s="1364"/>
      <c r="FT616" s="1367"/>
      <c r="FU616" s="1360"/>
      <c r="FW616" s="1352" t="str">
        <f>IFERROR(VLOOKUP(U617,_Exist_Fixture_Table,3,FALSE),"")</f>
        <v/>
      </c>
      <c r="FX616" s="1352" t="str">
        <f>VLOOKUP(CT616,_Exist_Fixture_Table,4,FALSE)</f>
        <v/>
      </c>
      <c r="FY616" s="1352">
        <f>IFERROR(VLOOKUP(FX616,Lookup!AM$6:AN$8,2,FALSE),0)</f>
        <v>0</v>
      </c>
      <c r="FZ616" s="1352" t="b">
        <f>IFERROR(IF(OR(GB616=4,GB616=5,GB616=6),TRUE,FALSE),"")</f>
        <v>0</v>
      </c>
      <c r="GA616" s="1352" t="str">
        <f>IFERROR(VLOOKUP(GB616,FY$6:FZ$10,2,FALSE),"")</f>
        <v/>
      </c>
      <c r="GB616" s="1352" t="str">
        <f>VLOOKUP(CT618,Fixtures!R$31:Y$78,8,FALSE)</f>
        <v/>
      </c>
      <c r="GC616" s="1352">
        <f>IF(AND(FW616=TRUE,FZ616=TRUE,OR(DN616=12,DN616=13,DN616=14)),FY616+8,0)</f>
        <v>0</v>
      </c>
      <c r="GD616" s="1352" t="b">
        <f>IF(OR(GC616=12,GC616=13,GC616=14),TRUE,FALSE)</f>
        <v>0</v>
      </c>
      <c r="GE616" s="759" t="b">
        <f>IF(ISNUMBER(SEARCH("TLED",U617)),TRUE,FALSE)</f>
        <v>0</v>
      </c>
      <c r="GF616" s="1035" t="str">
        <f>IFERROR(VLOOKUP(U617,Fixtures!BM$93:BR$142,6,FALSE),"")</f>
        <v/>
      </c>
      <c r="GG616" s="1385" t="b">
        <f>IF(OR(GE616=FALSE,GE618=FALSE),TRUE,IF(GF616-GF618&lt;5,FALSE,TRUE))</f>
        <v>1</v>
      </c>
      <c r="GK616" s="1034">
        <f>GL616</f>
        <v>0</v>
      </c>
      <c r="GL616" s="1034">
        <f>IF(G616="",0,1)</f>
        <v>0</v>
      </c>
      <c r="GM616" s="1034">
        <f>SUM(GN616:HB616)</f>
        <v>2</v>
      </c>
      <c r="GN616" s="1034">
        <f>IF(G617="",0,1)</f>
        <v>0</v>
      </c>
      <c r="GO616" s="1034">
        <f>IF(G618="",0,1)</f>
        <v>0</v>
      </c>
      <c r="GP616" s="1034">
        <f>IF(R617="",0,1)</f>
        <v>0</v>
      </c>
      <c r="GQ616" s="1034">
        <f>IF(__Retrofit_TI_NC=0,1,IF(R618="",0,1))</f>
        <v>1</v>
      </c>
      <c r="GR616" s="1034">
        <f>IF(CN616="Exterior",1,IF(G619="",0,1))</f>
        <v>1</v>
      </c>
      <c r="GS616" s="1034">
        <f>IF(__Retrofit_TI_NC&lt;&gt;0,1,IF(T617="",0,1))</f>
        <v>0</v>
      </c>
      <c r="GT616" s="1034">
        <f>IF(__Retrofit_TI_NC&lt;&gt;0,1,IF(U617="",0,1))</f>
        <v>0</v>
      </c>
      <c r="GU616" s="1034">
        <f>IF(T618="",0,1)</f>
        <v>0</v>
      </c>
      <c r="GV616" s="1034">
        <f>IF(U618="",0,1)</f>
        <v>0</v>
      </c>
      <c r="GW616" s="1034">
        <f>IF(__Retrofit_TI_NC=2,1,IF(U619="",0,1))</f>
        <v>0</v>
      </c>
      <c r="GX616" s="1034">
        <f>IF(__Retrofit_TI_NC&lt;&gt;0,1,IF(AE617="",0,1))</f>
        <v>0</v>
      </c>
      <c r="GY616" s="1034">
        <f>IF(__Retrofit_TI_NC&lt;&gt;0,1,IF(AF617="",0,1))</f>
        <v>0</v>
      </c>
      <c r="GZ616" s="1034">
        <f>IF(AE618="",0,1)</f>
        <v>0</v>
      </c>
      <c r="HA616" s="1034">
        <f>IF(AF618="",0,1)</f>
        <v>0</v>
      </c>
      <c r="HB616" s="1034">
        <f>IF(__Retrofit_TI_NC=2,1,IF(AF619="",0,1))</f>
        <v>0</v>
      </c>
      <c r="HV616" s="436"/>
      <c r="HW616" s="1384" t="b">
        <f>IF(OR(HW619=0,HW619=HT$16,HW619=HS$16,HW619=HU$16),TRUE,FALSE)</f>
        <v>0</v>
      </c>
      <c r="HX616" s="1377" t="b">
        <f>HW616</f>
        <v>0</v>
      </c>
      <c r="HY616" s="436"/>
      <c r="HZ616" s="436"/>
      <c r="IA616" s="1386" t="b">
        <f>IF(MAX(GJ619:HP619)&gt;5,FALSE,TRUE)</f>
        <v>0</v>
      </c>
      <c r="IB616" s="1380">
        <f>IF(IA616=TRUE,AC616,0)</f>
        <v>0</v>
      </c>
      <c r="IC616" s="1380">
        <f>IB616-IB618</f>
        <v>0</v>
      </c>
      <c r="IF616" s="1380" t="e">
        <f>ROUND(T617*VLOOKUP(U617,Fixtures_Existing_List,2,FALSE)*N617*R617/1000,0)</f>
        <v>#N/A</v>
      </c>
      <c r="IG616" s="1381" t="e">
        <f>IF616-IF618</f>
        <v>#N/A</v>
      </c>
      <c r="IH616" s="1384" t="e">
        <f>ROUND(IF(CN616="Interior",N618*R618*R617*N617*_C406_reduction/1000,N618*R618*R617*N617/1000),0)</f>
        <v>#N/A</v>
      </c>
      <c r="II616" s="1384" t="e">
        <f>IH616-IH618</f>
        <v>#N/A</v>
      </c>
      <c r="IK616" s="1351" t="e">
        <f>IF($CO616="interior",IL616/2,VLOOKUP($CP616,Control_Savings_Exterior,IK$30,FALSE))</f>
        <v>#N/A</v>
      </c>
      <c r="IL616" s="1351" t="e">
        <f>IF($CO616="interior",VLOOKUP($CP616,Control_Savings_Interior,IL$30,FALSE),VLOOKUP($CP616,Control_Savings_Exterior,IL$30,FALSE))</f>
        <v>#N/A</v>
      </c>
      <c r="IM616" s="1351" t="e">
        <f>IF($CO616="interior",IF(R617&gt;FO$37,(IM$28*(FO$37/R617)),IM$28)*FP616,VLOOKUP($CP616,Control_Savings_Exterior,IM$30,FALSE))</f>
        <v>#N/A</v>
      </c>
      <c r="IN616" s="1351" t="e">
        <f>IF($CO616="interior",ROUND(((1-IL616)*IM616)+IL616,2),VLOOKUP($CP616,Control_Savings_Exterior,IN$30,FALSE))</f>
        <v>#N/A</v>
      </c>
      <c r="IO616" s="1351" t="e">
        <f>IF($CO616="interior", ROUND(((1-IL616)*(IM616*(1-IP$28)))+IP616,2), VLOOKUP($CP616,Control_Savings_Exterior,IO$30,FALSE))</f>
        <v>#N/A</v>
      </c>
      <c r="IP616" s="1351">
        <f>IF($CO616="interior",ROUND(((1-IL616)*IP$28)+IL616,2),0)</f>
        <v>0</v>
      </c>
    </row>
    <row r="617" spans="1:250" s="82" customFormat="1" ht="14.95" customHeight="1" thickTop="1" thickBot="1">
      <c r="B617" s="1421"/>
      <c r="C617" s="1422"/>
      <c r="D617" s="1423"/>
      <c r="E617" s="1393" t="s">
        <v>244</v>
      </c>
      <c r="F617" s="1394"/>
      <c r="G617" s="1395"/>
      <c r="H617" s="1395"/>
      <c r="I617" s="1395"/>
      <c r="J617" s="1395"/>
      <c r="K617" s="1395"/>
      <c r="L617" s="1395"/>
      <c r="M617" s="509" t="e">
        <f>IF(__Retrofit_TI_NC&lt;&gt;0,IF(VLOOKUP(G618,'Space Table'!$B$3:$L$160,3,FALSE)&gt;0,1,0),IF(__Retrofit_TI_NC=VLOOKUP(G618,'Space Table'!$B$3:$L$160,3,FALSE),1,0))</f>
        <v>#N/A</v>
      </c>
      <c r="N617" s="509" t="str">
        <f>IFERROR(VLOOKUP(G617,_Lookup_Heat_Type_Table_New,2,FALSE),"")</f>
        <v/>
      </c>
      <c r="O617" s="509">
        <f>IF(__Retrofit_TI_NC=1,CONCATENATE("TI ",G617),IF(__Retrofit_TI_NC=2,CONCATENATE("NC ",G617),G617))</f>
        <v>0</v>
      </c>
      <c r="P617" s="1396" t="s">
        <v>352</v>
      </c>
      <c r="Q617" s="1396"/>
      <c r="R617" s="673"/>
      <c r="S617" s="1429"/>
      <c r="T617" s="675"/>
      <c r="U617" s="1496"/>
      <c r="V617" s="1497"/>
      <c r="W617" s="1497"/>
      <c r="X617" s="1497"/>
      <c r="Y617" s="1497"/>
      <c r="Z617" s="1497"/>
      <c r="AA617" s="1497"/>
      <c r="AB617" s="1497"/>
      <c r="AC617" s="1497"/>
      <c r="AD617" s="1498"/>
      <c r="AE617" s="675"/>
      <c r="AF617" s="1397"/>
      <c r="AG617" s="1397"/>
      <c r="AH617" s="1397"/>
      <c r="AI617" s="1397"/>
      <c r="AJ617" s="1434"/>
      <c r="AK617" s="1436"/>
      <c r="AL617" s="1438"/>
      <c r="AM617" s="1441"/>
      <c r="AN617" s="1442"/>
      <c r="AO617" s="1447"/>
      <c r="AP617" s="1447"/>
      <c r="AQ617" s="1448"/>
      <c r="AR617" s="1452"/>
      <c r="AS617" s="1455"/>
      <c r="AT617" s="1458"/>
      <c r="AU617" s="516"/>
      <c r="AV617" s="1479"/>
      <c r="AW617" s="1479"/>
      <c r="BC617" s="38"/>
      <c r="BD617" s="38"/>
      <c r="BE617" s="38"/>
      <c r="BF617" s="38"/>
      <c r="BG617" s="38"/>
      <c r="BH617" s="38"/>
      <c r="BI617" s="38"/>
      <c r="BJ617" s="38"/>
      <c r="BK617" s="38"/>
      <c r="BL617" s="38"/>
      <c r="BM617" s="38"/>
      <c r="BN617" s="38"/>
      <c r="BO617" s="38"/>
      <c r="BP617" s="38"/>
      <c r="BQ617" s="38"/>
      <c r="BR617" s="38"/>
      <c r="BS617" s="38"/>
      <c r="BT617" s="38"/>
      <c r="BU617" s="38"/>
      <c r="BV617" s="38"/>
      <c r="BW617" s="38"/>
      <c r="BX617" s="38"/>
      <c r="BY617" s="38"/>
      <c r="BZ617" s="38"/>
      <c r="CA617" s="38"/>
      <c r="CB617" s="38"/>
      <c r="CC617" s="38"/>
      <c r="CD617" s="38"/>
      <c r="CE617" s="38"/>
      <c r="CF617" s="38"/>
      <c r="CG617" s="38"/>
      <c r="CH617" s="38"/>
      <c r="CI617" s="38"/>
      <c r="CM617" s="1352"/>
      <c r="CN617" s="1352"/>
      <c r="CO617" s="1416"/>
      <c r="CP617" s="1418"/>
      <c r="CR617" s="1386"/>
      <c r="CS617" s="1355"/>
      <c r="CT617" s="1355"/>
      <c r="CU617" s="1355"/>
      <c r="CV617" s="1372"/>
      <c r="CW617" s="1372"/>
      <c r="CX617" s="1371"/>
      <c r="CY617" s="1486"/>
      <c r="CZ617" s="1486"/>
      <c r="DA617" s="1486"/>
      <c r="DC617" s="1355"/>
      <c r="DD617" s="1461"/>
      <c r="DE617" s="1355"/>
      <c r="DF617" s="1407"/>
      <c r="DG617" s="1372"/>
      <c r="DH617" s="1369"/>
      <c r="DJ617" s="1484"/>
      <c r="DL617" s="1419"/>
      <c r="DN617" s="1403"/>
      <c r="DO617" s="1405"/>
      <c r="DP617" s="1354"/>
      <c r="DQ617" s="1405"/>
      <c r="DR617" s="1403"/>
      <c r="DS617" s="1489"/>
      <c r="DU617" s="1403"/>
      <c r="DV617" s="1405"/>
      <c r="DW617" s="1403"/>
      <c r="DX617" s="1403"/>
      <c r="DZ617" s="1481"/>
      <c r="EA617" s="1481"/>
      <c r="EC617" s="1482"/>
      <c r="ED617" s="1369"/>
      <c r="EE617" s="1371"/>
      <c r="EF617" s="1369"/>
      <c r="EG617" s="1369"/>
      <c r="EH617" s="1374"/>
      <c r="EI617" s="1374"/>
      <c r="EJ617" s="1363"/>
      <c r="EK617" s="1376"/>
      <c r="EL617" s="1376"/>
      <c r="EM617" s="1362"/>
      <c r="EN617" s="1362"/>
      <c r="EO617" s="1363"/>
      <c r="EP617" s="1363"/>
      <c r="EQ617" s="1363"/>
      <c r="ES617" s="1403"/>
      <c r="EU617" s="1411"/>
      <c r="EV617" s="1411"/>
      <c r="EW617" s="1411"/>
      <c r="EX617" s="1411"/>
      <c r="EY617" s="1411"/>
      <c r="EZ617" s="1413"/>
      <c r="FB617" s="1365"/>
      <c r="FD617" s="1354"/>
      <c r="FE617" s="1354"/>
      <c r="FF617" s="138"/>
      <c r="FI617" s="1357"/>
      <c r="FJ617" s="1357"/>
      <c r="FK617" s="1365"/>
      <c r="FL617" s="1365"/>
      <c r="FM617" s="1365"/>
      <c r="FO617" s="1361"/>
      <c r="FP617" s="1361"/>
      <c r="FQ617" s="1366"/>
      <c r="FR617" s="1368"/>
      <c r="FS617" s="1361"/>
      <c r="FT617" s="1368"/>
      <c r="FU617" s="1360"/>
      <c r="FW617" s="1352"/>
      <c r="FX617" s="1352"/>
      <c r="FY617" s="1352"/>
      <c r="FZ617" s="1352"/>
      <c r="GA617" s="1352"/>
      <c r="GB617" s="1352"/>
      <c r="GC617" s="1352"/>
      <c r="GD617" s="1352"/>
      <c r="GE617" s="759"/>
      <c r="GF617" s="1035"/>
      <c r="GG617" s="1385"/>
      <c r="GI617" s="1384" t="b">
        <f>IF(AND(GL617=TRUE,GM617=TRUE),TRUE,FALSE)</f>
        <v>0</v>
      </c>
      <c r="GJ617" s="1379" t="b">
        <f>IFERROR(IF(__Retrofit_TI_NC=2,TRUE,IF(AR616="Yes",TRUE,FALSE)),FALSE)</f>
        <v>1</v>
      </c>
      <c r="GL617" s="1379" t="b">
        <f>IFERROR(IF(GL616=1,TRUE,FALSE),FALSE)</f>
        <v>0</v>
      </c>
      <c r="GM617" s="1379" t="b">
        <f>IFERROR(IF(GM616=GM$14,TRUE,FALSE),FALSE)</f>
        <v>0</v>
      </c>
      <c r="HC617" s="1379" t="b">
        <f>IFERROR(IF(M617=1,TRUE,FALSE),FALSE)</f>
        <v>0</v>
      </c>
      <c r="HD617" s="1379" t="b">
        <f>IFERROR(IF(M618=1,TRUE,FALSE),FALSE)</f>
        <v>0</v>
      </c>
      <c r="HE617" s="1379" t="b">
        <f>IFERROR(IF(__Retrofit_TI_NC&lt;&gt;0,TRUE,IFERROR(IF(VLOOKUP(U617,Fixtures_Existing_List,2,FALSE)&lt;&gt;"",TRUE,FALSE),FALSE)),FALSE)</f>
        <v>0</v>
      </c>
      <c r="HF617" s="1379" t="b">
        <f>IFERROR(IF(VLOOKUP(U618,Fixtures_Proposed_List,2,FALSE)&lt;&gt;"",TRUE,FALSE),FALSE)</f>
        <v>0</v>
      </c>
      <c r="HG617" s="1379" t="b">
        <f>IF(AND(__Retrofit_TI_NC=2,EZ616=TRUE),FALSE,TRUE)</f>
        <v>1</v>
      </c>
      <c r="HH617" s="1379" t="b">
        <f>GG616</f>
        <v>1</v>
      </c>
      <c r="HI617" s="1384" t="b">
        <f>IF(ISERROR(MATCH(FB616,_Control_Match[],0))=TRUE,FALSE,TRUE)</f>
        <v>0</v>
      </c>
      <c r="HJ617" s="1384" t="b">
        <f>IFERROR(IF(EU616&lt;&gt;EV616,FALSE,TRUE),FALSE)</f>
        <v>0</v>
      </c>
      <c r="HK617" s="1384" t="b">
        <f>IFERROR(IF(EU618&lt;&gt;EV618,FALSE,TRUE),FALSE)</f>
        <v>0</v>
      </c>
      <c r="HL617" s="1379" t="b">
        <f>IFERROR(IF(CN616="Exterior",TRUE,IF(OR(AND(FJ616=0,EW618&gt;4),AND(FJ616=4,EW618&gt;4,EW618&lt;7)),FALSE,TRUE)),FALSE)</f>
        <v>0</v>
      </c>
      <c r="HM617" s="1379" t="b">
        <f>IFERROR(IF(AND(FL618=7,EZ616=TRUE),FALSE,TRUE),FALSE)</f>
        <v>0</v>
      </c>
      <c r="HN617" s="1379" t="b">
        <f>IFERROR(IF(AND(T618&lt;&gt;AE618,AF618="Interior LLLC")=TRUE,FALSE,TRUE),FALSE)</f>
        <v>1</v>
      </c>
      <c r="HO617" s="1379" t="b">
        <f>IFERROR(IF(OR(AF618=Lookup!AU$13,AF618=Lookup!AU$14)=TRUE,IF(AE618&gt;T618,FALSE,TRUE),TRUE),FALSE)</f>
        <v>1</v>
      </c>
      <c r="HP617" s="1379" t="b">
        <f>IFERROR(IF(__Retrofit_TI_NC=2,IF(EW618&lt;EW616,FALSE,TRUE),TRUE),FALSE)</f>
        <v>1</v>
      </c>
      <c r="HQ617" s="1379" t="b">
        <f>IF(CN616="Interior",IG$6,TRUE)</f>
        <v>1</v>
      </c>
      <c r="HR617" s="1379" t="b">
        <f>IF(CN616="Exterior",IG$8,TRUE)</f>
        <v>1</v>
      </c>
      <c r="HS617" s="1379" t="b">
        <f>IFERROR(IF(__Retrofit_TI_NC&lt;&gt;0,IF(AW616&lt;AV616,FALSE,TRUE),TRUE),FALSE)</f>
        <v>1</v>
      </c>
      <c r="HT617" s="1379" t="b">
        <f>IFERROR(IF(AND(G617="Exterior",R617&gt;4200),FALSE,TRUE),FALSE)</f>
        <v>1</v>
      </c>
      <c r="HU617" s="1379" t="b">
        <f>IFERROR(IF(AB619/AB616&lt;HU$18,FALSE,TRUE),FALSE)</f>
        <v>0</v>
      </c>
      <c r="HW617" s="1382"/>
      <c r="HX617" s="1378"/>
      <c r="HY617" s="1377" t="str">
        <f>VLOOKUP(HW619,_Error_Table,4,FALSE)</f>
        <v>White</v>
      </c>
      <c r="HZ617" s="436"/>
      <c r="IA617" s="1386"/>
      <c r="IB617" s="1380"/>
      <c r="IC617" s="1379"/>
      <c r="IF617" s="1380"/>
      <c r="IG617" s="1382"/>
      <c r="IH617" s="1382"/>
      <c r="II617" s="1382"/>
      <c r="IK617" s="1351"/>
      <c r="IL617" s="1351"/>
      <c r="IM617" s="1351"/>
      <c r="IN617" s="1351"/>
      <c r="IO617" s="1351"/>
      <c r="IP617" s="1351"/>
    </row>
    <row r="618" spans="1:250" s="82" customFormat="1" ht="14.95" customHeight="1" thickTop="1" thickBot="1">
      <c r="A618" s="82">
        <f>ROW()</f>
        <v>618</v>
      </c>
      <c r="B618" s="1421"/>
      <c r="C618" s="1422"/>
      <c r="D618" s="1423"/>
      <c r="E618" s="1393" t="s">
        <v>245</v>
      </c>
      <c r="F618" s="1394"/>
      <c r="G618" s="1398"/>
      <c r="H618" s="1399"/>
      <c r="I618" s="1399"/>
      <c r="J618" s="1399"/>
      <c r="K618" s="1399"/>
      <c r="L618" s="1400"/>
      <c r="M618" s="509">
        <f>IFERROR(IF(IF(__Retrofit_TI_NC&lt;&gt;0,IF(CN616="Interior",MATCH(G618,Lookup_Interior_New,0),MATCH(G618,Lookup_Exterior_New,0)),IF(CN616="Interior",MATCH(G618,Lookup_Interior,0),MATCH(G618,Lookup_Exterior_Areas,0)))&gt;0,1,0),0)</f>
        <v>0</v>
      </c>
      <c r="N618" s="509" t="e">
        <f>IF(__Retrofit_TI_NC=1,
VLOOKUP(G618,'Space Table'!$B$3:$L$160,4,FALSE),
IF(__Retrofit_TI_NC=2,VLOOKUP(G618,'Space Table'!$B$3:$L$160,5,FALSE),VLOOKUP(G618,'Space Table'!$B$3:$L$160,5,FALSE)))</f>
        <v>#N/A</v>
      </c>
      <c r="O618" s="509">
        <f>G618</f>
        <v>0</v>
      </c>
      <c r="P618" s="1394" t="s">
        <v>355</v>
      </c>
      <c r="Q618" s="1394"/>
      <c r="R618" s="674"/>
      <c r="S618" s="1401" t="s">
        <v>284</v>
      </c>
      <c r="T618" s="672"/>
      <c r="U618" s="1499"/>
      <c r="V618" s="1500"/>
      <c r="W618" s="1500"/>
      <c r="X618" s="1500"/>
      <c r="Y618" s="1500"/>
      <c r="Z618" s="1500"/>
      <c r="AA618" s="1500"/>
      <c r="AB618" s="1501"/>
      <c r="AC618" s="1501"/>
      <c r="AD618" s="1502"/>
      <c r="AE618" s="672"/>
      <c r="AF618" s="1474"/>
      <c r="AG618" s="1474"/>
      <c r="AH618" s="1474"/>
      <c r="AI618" s="1474"/>
      <c r="AJ618" s="1475">
        <f>DF618</f>
        <v>0</v>
      </c>
      <c r="AK618" s="1470" t="str">
        <f>IFERROR(ROUND(AJ618*AC619,0),"")</f>
        <v/>
      </c>
      <c r="AL618" s="1472">
        <f>IFERROR(IF(HW616=FALSE,0,AC619-AK618),0)</f>
        <v>0</v>
      </c>
      <c r="AM618" s="1441"/>
      <c r="AN618" s="1442"/>
      <c r="AO618" s="1447"/>
      <c r="AP618" s="1447"/>
      <c r="AQ618" s="1448"/>
      <c r="AR618" s="1452"/>
      <c r="AS618" s="1455"/>
      <c r="AT618" s="1458"/>
      <c r="AU618" s="516"/>
      <c r="AV618" s="1479"/>
      <c r="AW618" s="1479"/>
      <c r="BC618" s="38"/>
      <c r="BD618" s="38"/>
      <c r="BE618" s="38"/>
      <c r="BF618" s="38"/>
      <c r="BG618" s="38"/>
      <c r="BH618" s="38"/>
      <c r="BI618" s="38"/>
      <c r="BJ618" s="38"/>
      <c r="BK618" s="38"/>
      <c r="BL618" s="38"/>
      <c r="BM618" s="38"/>
      <c r="BN618" s="38"/>
      <c r="BO618" s="38"/>
      <c r="BP618" s="38"/>
      <c r="BQ618" s="38"/>
      <c r="BR618" s="38"/>
      <c r="BS618" s="38"/>
      <c r="BT618" s="38"/>
      <c r="BU618" s="38"/>
      <c r="BV618" s="38"/>
      <c r="BW618" s="38"/>
      <c r="BX618" s="38"/>
      <c r="BY618" s="38"/>
      <c r="BZ618" s="38"/>
      <c r="CA618" s="38"/>
      <c r="CB618" s="38"/>
      <c r="CC618" s="38"/>
      <c r="CD618" s="38"/>
      <c r="CE618" s="38"/>
      <c r="CF618" s="38"/>
      <c r="CG618" s="38"/>
      <c r="CH618" s="38"/>
      <c r="CI618" s="38"/>
      <c r="CM618" s="1352"/>
      <c r="CN618" s="1352"/>
      <c r="CO618" s="1415" t="str">
        <f>CN616</f>
        <v/>
      </c>
      <c r="CP618" s="1417" t="e">
        <f>CP616</f>
        <v>#N/A</v>
      </c>
      <c r="CR618" s="1386" t="s">
        <v>284</v>
      </c>
      <c r="CS618" s="1353">
        <f>IF(HW616=TRUE,T618,0)</f>
        <v>0</v>
      </c>
      <c r="CT618" s="1353" t="str">
        <f>IF(HW616=TRUE,U618,"")</f>
        <v/>
      </c>
      <c r="CU618" s="1373">
        <f>IF(HW616=TRUE,U619,0)</f>
        <v>0</v>
      </c>
      <c r="CV618" s="1370">
        <f>IF(HW616=TRUE,AB619,0)</f>
        <v>0</v>
      </c>
      <c r="CW618" s="1370">
        <f>IF(HW616=TRUE,AC619,0)</f>
        <v>0</v>
      </c>
      <c r="CX618" s="1371"/>
      <c r="CY618" s="1486"/>
      <c r="CZ618" s="1486"/>
      <c r="DA618" s="1486"/>
      <c r="DC618" s="1353">
        <f>IF(HW616=TRUE,AE618,0)</f>
        <v>0</v>
      </c>
      <c r="DD618" s="1353" t="str">
        <f>IF(HW616=TRUE,AF618,"")</f>
        <v/>
      </c>
      <c r="DE618" s="1373">
        <f>AF619</f>
        <v>0</v>
      </c>
      <c r="DF618" s="1406">
        <f>IFERROR(IF(FL618=3,IK618,IF(FL618=4,IL618,IF(FL618=5,IM618,IF(FL618=6,IN618,IF(FL618=7,IO618,IF(FL618=8,IP618,0)))))),0)</f>
        <v>0</v>
      </c>
      <c r="DG618" s="1370">
        <f>IF(HW616=TRUE,AK618,0)</f>
        <v>0</v>
      </c>
      <c r="DH618" s="1369"/>
      <c r="DK618" s="1483">
        <f>IFERROR(CW618-DG618,0)</f>
        <v>0</v>
      </c>
      <c r="DL618" s="1420"/>
      <c r="DN618" s="1403"/>
      <c r="DO618" s="1477" t="str">
        <f>DN616</f>
        <v/>
      </c>
      <c r="DP618" s="1354"/>
      <c r="DQ618" s="1477" t="str">
        <f>IF(DP616=7,"LLLC","")</f>
        <v/>
      </c>
      <c r="DR618" s="1403"/>
      <c r="DS618" s="1489"/>
      <c r="DU618" s="1403"/>
      <c r="DV618" s="1404" t="str">
        <f>DU616</f>
        <v/>
      </c>
      <c r="DW618" s="1403"/>
      <c r="DX618" s="1403"/>
      <c r="DZ618" s="1481"/>
      <c r="EA618" s="1481"/>
      <c r="EC618" s="1482"/>
      <c r="ED618" s="1369"/>
      <c r="EE618" s="1371"/>
      <c r="EF618" s="1369"/>
      <c r="EG618" s="1369"/>
      <c r="EH618" s="1374"/>
      <c r="EI618" s="1374"/>
      <c r="EJ618" s="1363"/>
      <c r="EK618" s="1376"/>
      <c r="EL618" s="1376"/>
      <c r="EM618" s="1362"/>
      <c r="EN618" s="1362"/>
      <c r="EO618" s="1363"/>
      <c r="EP618" s="1363"/>
      <c r="EQ618" s="1363"/>
      <c r="ES618" s="1403"/>
      <c r="EU618" s="1411" t="e">
        <f>VLOOKUP(CP618,'Space Table'!$B$3:$L$160,8,FALSE)</f>
        <v>#N/A</v>
      </c>
      <c r="EV618" s="1411" t="e">
        <f>IF(EY618="Yes",VLOOKUP(AF618,Lookup_Control_Type_Table2,4,FALSE),VLOOKUP(AF618,Lookup_Control_Type_Table2,3,FALSE))</f>
        <v>#N/A</v>
      </c>
      <c r="EW618" s="1411" t="e">
        <f>VLOOKUP(AF618,Lookup!AU$3:AV$15,2,FALSE)</f>
        <v>#N/A</v>
      </c>
      <c r="EX618" s="1411" t="e">
        <f>VLOOKUP(EU616,Lookup_Control_Type_Table,2,FALSE)</f>
        <v>#N/A</v>
      </c>
      <c r="EY618" s="1411" t="e">
        <f>VLOOKUP(CP618,'Space Table'!$B$3:$L$160,7,FALSE)</f>
        <v>#N/A</v>
      </c>
      <c r="EZ618" s="1413"/>
      <c r="FB618" s="1365" t="str">
        <f>CONCATENATE(CN616," - ",AF618)</f>
        <v xml:space="preserve"> - </v>
      </c>
      <c r="FD618" s="1354"/>
      <c r="FE618" s="1354"/>
      <c r="FF618" s="138"/>
      <c r="FI618" s="1356" t="str">
        <f>IF(CN616="Exterior","Not Daylighted",G619)</f>
        <v>Not Daylighted</v>
      </c>
      <c r="FJ618" s="1356">
        <f>VLOOKUP(FI618,_Daylight_Table_Codes,2,FALSE)</f>
        <v>0</v>
      </c>
      <c r="FK618" s="1365">
        <f>AF618</f>
        <v>0</v>
      </c>
      <c r="FL618" s="1365" t="e">
        <f>VLOOKUP(FK618,_Control_Table,2,FALSE)</f>
        <v>#N/A</v>
      </c>
      <c r="FM618" s="1365" t="e">
        <f>IF(AND(FP618&gt;0,FK618="Occupancy Sensor"),"Daylight + Occupancy",IF(AND(FP618&gt;0,FL618&lt;4),"Interior Daylight Dimming",FK618))</f>
        <v>#N/A</v>
      </c>
      <c r="FO618" s="1364">
        <f>IF(CN616="Interior",VLOOKUP(CP616,Control_Savings_Interior,5,FALSE),0)</f>
        <v>0</v>
      </c>
      <c r="FP618" s="1361">
        <f>IF(CN618="Exterior",0,IF(FJ618=2,0.5,IF(OR(FJ618=1,FJ618=3),1,0)))</f>
        <v>0</v>
      </c>
      <c r="FQ618" s="1366">
        <f>IF(R617&gt;FO$37,(FO618*(FO$37/R617)),FO618)*FP618</f>
        <v>0</v>
      </c>
      <c r="FR618" s="1364">
        <f>DF618</f>
        <v>0</v>
      </c>
      <c r="FS618" s="1364">
        <f>ROUND(FR618+((1-FR618)*FQ618),2)</f>
        <v>0</v>
      </c>
      <c r="FT618" s="1364">
        <f>IF(__Retrofit_TI_NC=2,FS618,FR618)</f>
        <v>0</v>
      </c>
      <c r="FU618" s="1360">
        <f>IF(CO618="Interior",VLOOKUP(CP618,Control_Savings_Interior,4,FALSE),0)</f>
        <v>0</v>
      </c>
      <c r="FW618" s="1352"/>
      <c r="FX618" s="1352"/>
      <c r="FY618" s="1352"/>
      <c r="FZ618" s="1352"/>
      <c r="GA618" s="1352"/>
      <c r="GB618" s="1352"/>
      <c r="GC618" s="1352"/>
      <c r="GD618" s="1352"/>
      <c r="GE618" s="759" t="b">
        <f>IF(ISNUMBER(SEARCH("TLED",U618)),TRUE,FALSE)</f>
        <v>0</v>
      </c>
      <c r="GF618" s="1035" t="str">
        <f>IFERROR(VLOOKUP(U618,Fixtures!DM$93:DR$142,6,FALSE),"")</f>
        <v/>
      </c>
      <c r="GG618" s="1385"/>
      <c r="GI618" s="1383"/>
      <c r="GJ618" s="1379"/>
      <c r="GL618" s="1379"/>
      <c r="GM618" s="1379"/>
      <c r="HC618" s="1379"/>
      <c r="HD618" s="1379"/>
      <c r="HE618" s="1379"/>
      <c r="HF618" s="1379"/>
      <c r="HG618" s="1379"/>
      <c r="HH618" s="1379"/>
      <c r="HI618" s="1383"/>
      <c r="HJ618" s="1383"/>
      <c r="HK618" s="1383"/>
      <c r="HL618" s="1379"/>
      <c r="HM618" s="1379"/>
      <c r="HN618" s="1379"/>
      <c r="HO618" s="1379"/>
      <c r="HP618" s="1379"/>
      <c r="HQ618" s="1379"/>
      <c r="HR618" s="1379"/>
      <c r="HS618" s="1379"/>
      <c r="HT618" s="1379"/>
      <c r="HU618" s="1379"/>
      <c r="HW618" s="1383"/>
      <c r="HX618" s="1384" t="b">
        <f>HW616</f>
        <v>0</v>
      </c>
      <c r="HY618" s="1378"/>
      <c r="HZ618" s="436"/>
      <c r="IA618" s="1386"/>
      <c r="IB618" s="1380">
        <f>IF(IA616=TRUE,AC619,0)</f>
        <v>0</v>
      </c>
      <c r="IC618" s="1379"/>
      <c r="IF618" s="1380" t="e">
        <f>ROUND(T618*AB619*N617*R617/1000,0)</f>
        <v>#VALUE!</v>
      </c>
      <c r="IG618" s="1382"/>
      <c r="IH618" s="1384" t="e">
        <f>ROUND(T618*AB619*N617*R617/1000,0)</f>
        <v>#VALUE!</v>
      </c>
      <c r="II618" s="1382"/>
      <c r="IK618" s="1351" t="e">
        <f>IF($CO618="interior",IL618/2,VLOOKUP($CP618,Control_Savings_Exterior,IK$30,FALSE))</f>
        <v>#N/A</v>
      </c>
      <c r="IL618" s="1351" t="e">
        <f>IF($CO618="interior",VLOOKUP($CP618,Control_Savings_Interior,IL$30,FALSE),VLOOKUP($CP618,Control_Savings_Exterior,IL$30,FALSE))</f>
        <v>#N/A</v>
      </c>
      <c r="IM618" s="1351" t="e">
        <f>IF($CO618="interior",IF(R617&gt;FO$37,(IM$28*(FO$37/R617)),IM$28)*FP618,VLOOKUP($CP618,Control_Savings_Exterior,IM$30,FALSE))</f>
        <v>#N/A</v>
      </c>
      <c r="IN618" s="1351" t="e">
        <f>IF($CO618="interior",ROUND(((1-IL618)*IM618)+IL618,2),VLOOKUP($CP618,Control_Savings_Exterior,IN$30,FALSE))</f>
        <v>#N/A</v>
      </c>
      <c r="IO618" s="1351" t="e">
        <f>IF($CO618="interior", ROUND(((1-IL618)*(IM618*(1-IP$28)))+IP618,2), VLOOKUP($CP618,Control_Savings_Exterior,IO$30,FALSE))</f>
        <v>#N/A</v>
      </c>
      <c r="IP618" s="1351">
        <f>IF($CO618="interior",ROUND(((1-IL618)*IP$28)+IL618,2),0)</f>
        <v>0</v>
      </c>
    </row>
    <row r="619" spans="1:250" s="82" customFormat="1" ht="14.95" customHeight="1" thickTop="1" thickBot="1">
      <c r="B619" s="1421"/>
      <c r="C619" s="1422"/>
      <c r="D619" s="1423"/>
      <c r="E619" s="1462" t="s">
        <v>357</v>
      </c>
      <c r="F619" s="1463"/>
      <c r="G619" s="1464" t="s">
        <v>362</v>
      </c>
      <c r="H619" s="1465"/>
      <c r="I619" s="1465"/>
      <c r="J619" s="1465"/>
      <c r="K619" s="1465"/>
      <c r="L619" s="1466"/>
      <c r="M619" s="669">
        <f>IFERROR(VLOOKUP(G619,_Daylight_Table[],2,FALSE),0)</f>
        <v>0</v>
      </c>
      <c r="N619" s="670"/>
      <c r="O619" s="669" t="e">
        <f>VLOOKUP(G618,'Space Table'!$B$3:$L$160,11,FALSE)</f>
        <v>#N/A</v>
      </c>
      <c r="P619" s="1408"/>
      <c r="Q619" s="1409"/>
      <c r="R619" s="1409"/>
      <c r="S619" s="1402"/>
      <c r="T619" s="671" t="s">
        <v>281</v>
      </c>
      <c r="U619" s="1467" t="str">
        <f>IFERROR(VLOOKUP(U618,Fixtures!DM$93:DP$142,4,FALSE),"")</f>
        <v/>
      </c>
      <c r="V619" s="1468"/>
      <c r="W619" s="1468"/>
      <c r="X619" s="1468"/>
      <c r="Y619" s="1468"/>
      <c r="Z619" s="1468"/>
      <c r="AA619" s="1468"/>
      <c r="AB619" s="1046" t="str">
        <f>IFERROR(VLOOKUP(U618,Fixtures_Proposed_List,2,FALSE),"")</f>
        <v/>
      </c>
      <c r="AC619" s="1036" t="str">
        <f>IFERROR(ROUND(T618*AB619*N617*R617/1000,0),"")</f>
        <v/>
      </c>
      <c r="AD619" s="1037" t="str">
        <f>IFERROR(ROUND(T618*AB619/1000,2),"")</f>
        <v/>
      </c>
      <c r="AE619" s="1045" t="s">
        <v>281</v>
      </c>
      <c r="AF619" s="1469"/>
      <c r="AG619" s="1469"/>
      <c r="AH619" s="1469"/>
      <c r="AI619" s="1469"/>
      <c r="AJ619" s="1476"/>
      <c r="AK619" s="1471"/>
      <c r="AL619" s="1473"/>
      <c r="AM619" s="1443"/>
      <c r="AN619" s="1444"/>
      <c r="AO619" s="1449"/>
      <c r="AP619" s="1449"/>
      <c r="AQ619" s="1450"/>
      <c r="AR619" s="1453"/>
      <c r="AS619" s="1456"/>
      <c r="AT619" s="1459"/>
      <c r="AU619" s="517"/>
      <c r="AV619" s="1480"/>
      <c r="AW619" s="1480"/>
      <c r="BC619" s="38"/>
      <c r="BD619" s="38"/>
      <c r="BE619" s="38"/>
      <c r="BF619" s="38"/>
      <c r="BG619" s="38"/>
      <c r="BH619" s="38"/>
      <c r="BI619" s="38"/>
      <c r="BJ619" s="38"/>
      <c r="BK619" s="38"/>
      <c r="BL619" s="38"/>
      <c r="BM619" s="38"/>
      <c r="BN619" s="38"/>
      <c r="BO619" s="38"/>
      <c r="BP619" s="38"/>
      <c r="BQ619" s="38"/>
      <c r="BR619" s="38"/>
      <c r="BS619" s="38"/>
      <c r="BT619" s="38"/>
      <c r="BU619" s="38"/>
      <c r="BV619" s="38"/>
      <c r="BW619" s="38"/>
      <c r="BX619" s="38"/>
      <c r="BY619" s="38"/>
      <c r="BZ619" s="38"/>
      <c r="CA619" s="38"/>
      <c r="CB619" s="38"/>
      <c r="CC619" s="38"/>
      <c r="CD619" s="38"/>
      <c r="CE619" s="38"/>
      <c r="CF619" s="38"/>
      <c r="CG619" s="38"/>
      <c r="CH619" s="38"/>
      <c r="CI619" s="38"/>
      <c r="CM619" s="1352"/>
      <c r="CN619" s="1352"/>
      <c r="CO619" s="1416"/>
      <c r="CP619" s="1418"/>
      <c r="CR619" s="1386"/>
      <c r="CS619" s="1355"/>
      <c r="CT619" s="1355"/>
      <c r="CU619" s="1375"/>
      <c r="CV619" s="1372"/>
      <c r="CW619" s="1372"/>
      <c r="CX619" s="1372"/>
      <c r="CY619" s="1487"/>
      <c r="CZ619" s="1487"/>
      <c r="DA619" s="1487"/>
      <c r="DC619" s="1355"/>
      <c r="DD619" s="1355"/>
      <c r="DE619" s="1375"/>
      <c r="DF619" s="1407"/>
      <c r="DG619" s="1372"/>
      <c r="DH619" s="1369"/>
      <c r="DK619" s="1484"/>
      <c r="DL619" s="1420"/>
      <c r="DN619" s="1403"/>
      <c r="DO619" s="1405"/>
      <c r="DP619" s="1355"/>
      <c r="DQ619" s="1405"/>
      <c r="DR619" s="1403"/>
      <c r="DS619" s="1489"/>
      <c r="DU619" s="1403"/>
      <c r="DV619" s="1405"/>
      <c r="DW619" s="1403"/>
      <c r="DX619" s="1403"/>
      <c r="DZ619" s="1481"/>
      <c r="EA619" s="1481"/>
      <c r="EC619" s="1482"/>
      <c r="ED619" s="1369"/>
      <c r="EE619" s="1372"/>
      <c r="EF619" s="1369"/>
      <c r="EG619" s="1369"/>
      <c r="EH619" s="1375"/>
      <c r="EI619" s="1375"/>
      <c r="EJ619" s="1363"/>
      <c r="EK619" s="1376"/>
      <c r="EL619" s="1376"/>
      <c r="EM619" s="1362"/>
      <c r="EN619" s="1362"/>
      <c r="EO619" s="1363"/>
      <c r="EP619" s="1363"/>
      <c r="EQ619" s="1363"/>
      <c r="ES619" s="1403"/>
      <c r="EU619" s="1488"/>
      <c r="EV619" s="1488"/>
      <c r="EW619" s="1488"/>
      <c r="EX619" s="1488"/>
      <c r="EY619" s="1488"/>
      <c r="EZ619" s="1414"/>
      <c r="FB619" s="1365"/>
      <c r="FD619" s="1355"/>
      <c r="FE619" s="1355"/>
      <c r="FF619" s="138"/>
      <c r="FI619" s="1357"/>
      <c r="FJ619" s="1357"/>
      <c r="FK619" s="1365"/>
      <c r="FL619" s="1365"/>
      <c r="FM619" s="1365"/>
      <c r="FO619" s="1361"/>
      <c r="FP619" s="1361"/>
      <c r="FQ619" s="1366"/>
      <c r="FR619" s="1361"/>
      <c r="FS619" s="1361"/>
      <c r="FT619" s="1361"/>
      <c r="FU619" s="1360"/>
      <c r="FW619" s="1352"/>
      <c r="FX619" s="1352"/>
      <c r="FY619" s="1352"/>
      <c r="FZ619" s="1352"/>
      <c r="GA619" s="1352"/>
      <c r="GB619" s="1352"/>
      <c r="GC619" s="1352"/>
      <c r="GD619" s="1352"/>
      <c r="GE619" s="759"/>
      <c r="GF619" s="1035"/>
      <c r="GG619" s="1385"/>
      <c r="GJ619" s="1034">
        <f>IF(GJ617=TRUE,0,GJ$16)</f>
        <v>0</v>
      </c>
      <c r="GL619" s="1034">
        <f>IF(GL617=TRUE,0,GL$16)</f>
        <v>36</v>
      </c>
      <c r="GM619" s="1034">
        <f>IF(GM617=TRUE,0,GM$16)</f>
        <v>35</v>
      </c>
      <c r="GN619" s="436"/>
      <c r="GO619" s="436"/>
      <c r="GP619" s="436"/>
      <c r="GQ619" s="436"/>
      <c r="GR619" s="436"/>
      <c r="HC619" s="1034">
        <f t="shared" ref="HC619:HH619" si="458">IF(HC617=TRUE,0,HC$16)</f>
        <v>19</v>
      </c>
      <c r="HD619" s="1034">
        <f t="shared" si="458"/>
        <v>18</v>
      </c>
      <c r="HE619" s="1034">
        <f t="shared" si="458"/>
        <v>17</v>
      </c>
      <c r="HF619" s="1034">
        <f t="shared" si="458"/>
        <v>16</v>
      </c>
      <c r="HG619" s="1034">
        <f t="shared" si="458"/>
        <v>0</v>
      </c>
      <c r="HH619" s="1034">
        <f t="shared" si="458"/>
        <v>0</v>
      </c>
      <c r="HI619" s="1034">
        <f>IF(HI617=TRUE,0,HI$16)</f>
        <v>13</v>
      </c>
      <c r="HJ619" s="1034">
        <f t="shared" ref="HJ619:HL619" si="459">IF(HJ617=TRUE,0,HJ$16)</f>
        <v>12</v>
      </c>
      <c r="HK619" s="1034">
        <f t="shared" si="459"/>
        <v>11</v>
      </c>
      <c r="HL619" s="1034">
        <f t="shared" si="459"/>
        <v>10</v>
      </c>
      <c r="HM619" s="1034">
        <f>IF(HM617=TRUE,0,HM$16)</f>
        <v>9</v>
      </c>
      <c r="HN619" s="1034">
        <f t="shared" ref="HN619:HR619" si="460">IF(HN617=TRUE,0,HN$16)</f>
        <v>0</v>
      </c>
      <c r="HO619" s="1034">
        <f t="shared" si="460"/>
        <v>0</v>
      </c>
      <c r="HP619" s="1034">
        <f t="shared" si="460"/>
        <v>0</v>
      </c>
      <c r="HQ619" s="1034">
        <f t="shared" si="460"/>
        <v>0</v>
      </c>
      <c r="HR619" s="1034">
        <f t="shared" si="460"/>
        <v>0</v>
      </c>
      <c r="HS619" s="1034">
        <f>IF(HS617=TRUE,0,HS$16)</f>
        <v>0</v>
      </c>
      <c r="HT619" s="1034">
        <f t="shared" ref="HT619" si="461">IF(HT617=TRUE,0,HT$16)</f>
        <v>0</v>
      </c>
      <c r="HU619" s="1034">
        <f>IF(HU617=TRUE,0,HU$16)</f>
        <v>1</v>
      </c>
      <c r="HW619" s="1034">
        <f>IF(GL617=FALSE,GL619,IF(GM617=FALSE,GM619,MAX(GJ619:HU619)))</f>
        <v>36</v>
      </c>
      <c r="HX619" s="1383"/>
      <c r="HY619" s="241" t="str">
        <f>VLOOKUP(HW619,_Error_Table,3,FALSE)</f>
        <v xml:space="preserve"> </v>
      </c>
      <c r="HZ619" s="241"/>
      <c r="IA619" s="1386"/>
      <c r="IB619" s="1380"/>
      <c r="IC619" s="1379"/>
      <c r="IF619" s="1380"/>
      <c r="IG619" s="1383"/>
      <c r="IH619" s="1383"/>
      <c r="II619" s="1383"/>
      <c r="IK619" s="1351"/>
      <c r="IL619" s="1351"/>
      <c r="IM619" s="1351"/>
      <c r="IN619" s="1351"/>
      <c r="IO619" s="1351"/>
      <c r="IP619" s="1351"/>
    </row>
    <row r="620" spans="1:250" s="82" customFormat="1" ht="5.0999999999999996" customHeight="1" thickBot="1">
      <c r="B620" s="763"/>
      <c r="C620" s="1038"/>
      <c r="D620" s="1038"/>
      <c r="E620" s="1490"/>
      <c r="F620" s="1490"/>
      <c r="G620" s="1490"/>
      <c r="H620" s="1490"/>
      <c r="I620" s="1490"/>
      <c r="J620" s="1490"/>
      <c r="K620" s="1490"/>
      <c r="L620" s="1490"/>
      <c r="M620" s="1490"/>
      <c r="N620" s="1490"/>
      <c r="O620" s="1490"/>
      <c r="P620" s="1490"/>
      <c r="Q620" s="1490"/>
      <c r="R620" s="1490"/>
      <c r="S620" s="1490"/>
      <c r="T620" s="1490"/>
      <c r="U620" s="1490"/>
      <c r="V620" s="1490"/>
      <c r="W620" s="1490"/>
      <c r="X620" s="1490"/>
      <c r="Y620" s="1490"/>
      <c r="Z620" s="1490"/>
      <c r="AA620" s="1490"/>
      <c r="AB620" s="1490"/>
      <c r="AC620" s="1490"/>
      <c r="AD620" s="1490"/>
      <c r="AE620" s="1490"/>
      <c r="AF620" s="1490"/>
      <c r="AG620" s="1490"/>
      <c r="AH620" s="1490"/>
      <c r="AI620" s="1490"/>
      <c r="AJ620" s="1490"/>
      <c r="AK620" s="1490"/>
      <c r="AL620" s="1490"/>
      <c r="AM620" s="1490"/>
      <c r="AN620" s="1490"/>
      <c r="AO620" s="1490"/>
      <c r="AP620" s="1490"/>
      <c r="AQ620" s="1490"/>
      <c r="AR620" s="1490"/>
      <c r="AS620" s="1490"/>
      <c r="AT620" s="1490"/>
      <c r="AU620" s="1041"/>
      <c r="BC620" s="38"/>
      <c r="BD620" s="38"/>
      <c r="BE620" s="38"/>
      <c r="BF620" s="38"/>
      <c r="BG620" s="38"/>
      <c r="BH620" s="38"/>
      <c r="BI620" s="38"/>
      <c r="BJ620" s="38"/>
      <c r="BK620" s="38"/>
      <c r="BL620" s="38"/>
      <c r="BM620" s="38"/>
      <c r="BN620" s="38"/>
      <c r="BO620" s="38"/>
      <c r="BP620" s="38"/>
      <c r="BQ620" s="38"/>
      <c r="BR620" s="38"/>
      <c r="BS620" s="38"/>
      <c r="BT620" s="38"/>
      <c r="BU620" s="38"/>
      <c r="BV620" s="38"/>
      <c r="BW620" s="38"/>
      <c r="BX620" s="38"/>
      <c r="BY620" s="38"/>
      <c r="BZ620" s="38"/>
      <c r="CA620" s="38"/>
      <c r="CB620" s="38"/>
      <c r="CC620" s="38"/>
      <c r="CD620" s="38"/>
      <c r="CE620" s="38"/>
      <c r="CF620" s="38"/>
      <c r="CG620" s="38"/>
      <c r="CH620" s="38"/>
      <c r="CI620" s="38"/>
      <c r="CM620" s="749"/>
      <c r="CN620" s="749"/>
      <c r="CO620" s="1043"/>
      <c r="CP620" s="749"/>
      <c r="CS620" s="436"/>
      <c r="CT620" s="436"/>
      <c r="CU620" s="243"/>
      <c r="CV620" s="244"/>
      <c r="CW620" s="244"/>
      <c r="CX620" s="244"/>
      <c r="CY620" s="245"/>
      <c r="CZ620" s="245"/>
      <c r="DA620" s="245"/>
      <c r="DC620" s="750"/>
      <c r="DD620" s="751"/>
      <c r="DE620" s="752"/>
      <c r="DF620" s="753"/>
      <c r="DG620" s="754"/>
      <c r="DH620" s="754"/>
      <c r="DK620" s="244"/>
      <c r="DL620" s="750"/>
      <c r="DN620" s="750"/>
      <c r="DO620" s="755"/>
      <c r="DP620" s="436"/>
      <c r="DQ620" s="750"/>
      <c r="DR620" s="750"/>
      <c r="DS620" s="750"/>
      <c r="DU620" s="750"/>
      <c r="DV620" s="750"/>
      <c r="DW620" s="750"/>
      <c r="DX620" s="750"/>
      <c r="DZ620" s="756"/>
      <c r="EA620" s="756"/>
      <c r="EC620" s="754"/>
      <c r="ED620" s="754"/>
      <c r="EE620" s="244"/>
      <c r="EF620" s="754"/>
      <c r="EG620" s="754"/>
      <c r="EH620" s="243"/>
      <c r="EI620" s="243"/>
      <c r="EJ620" s="752"/>
      <c r="EK620" s="757"/>
      <c r="EL620" s="757"/>
      <c r="EM620" s="758"/>
      <c r="EN620" s="758"/>
      <c r="EO620" s="752"/>
      <c r="EP620" s="752"/>
      <c r="EQ620" s="752"/>
      <c r="ES620" s="750"/>
      <c r="EU620" s="436"/>
      <c r="EV620" s="436"/>
      <c r="EW620" s="436"/>
      <c r="EX620" s="436"/>
      <c r="EY620" s="436"/>
      <c r="EZ620" s="436"/>
      <c r="FB620" s="643"/>
      <c r="FD620" s="436"/>
      <c r="FE620" s="436"/>
      <c r="FF620" s="436"/>
      <c r="FO620" s="750"/>
      <c r="FP620" s="436"/>
      <c r="FQ620" s="436"/>
      <c r="FR620" s="750"/>
      <c r="FS620" s="750"/>
      <c r="FW620" s="749"/>
      <c r="FX620" s="749"/>
      <c r="FY620" s="749"/>
      <c r="FZ620" s="749"/>
      <c r="GA620" s="749"/>
      <c r="GB620" s="749"/>
      <c r="GC620" s="749"/>
      <c r="GD620" s="749"/>
      <c r="GE620" s="751"/>
      <c r="GF620" s="750"/>
      <c r="GG620" s="750"/>
    </row>
    <row r="621" spans="1:250" s="82" customFormat="1" ht="14.95" customHeight="1" thickTop="1" thickBot="1">
      <c r="B621" s="1421" t="str">
        <f>HY624</f>
        <v xml:space="preserve"> </v>
      </c>
      <c r="C621" s="1422">
        <f>C616+1</f>
        <v>113</v>
      </c>
      <c r="D621" s="1423"/>
      <c r="E621" s="1424" t="s">
        <v>242</v>
      </c>
      <c r="F621" s="1425"/>
      <c r="G621" s="1426"/>
      <c r="H621" s="1427"/>
      <c r="I621" s="1427"/>
      <c r="J621" s="1427"/>
      <c r="K621" s="1427"/>
      <c r="L621" s="1427"/>
      <c r="M621" s="1427"/>
      <c r="N621" s="1427"/>
      <c r="O621" s="1427"/>
      <c r="P621" s="1427"/>
      <c r="Q621" s="1427"/>
      <c r="R621" s="1427"/>
      <c r="S621" s="1428" t="s">
        <v>283</v>
      </c>
      <c r="T621" s="668" t="s">
        <v>190</v>
      </c>
      <c r="U621" s="1430" t="s">
        <v>186</v>
      </c>
      <c r="V621" s="1431"/>
      <c r="W621" s="1431"/>
      <c r="X621" s="1431"/>
      <c r="Y621" s="1431"/>
      <c r="Z621" s="1431"/>
      <c r="AA621" s="1431"/>
      <c r="AB621" s="1088" t="str">
        <f>IFERROR(IF(__Retrofit_TI_NC=0,VLOOKUP(U622,Fixtures_Existing_List,2,FALSE),ROUND(N623*R623/T623,10)),"")</f>
        <v/>
      </c>
      <c r="AC621" s="1039" t="str">
        <f>IFERROR(IF(__Retrofit_TI_NC=0,ROUND(T622*AB621*N622*R622/1000,0),IF(CN621="Interior",N623*R623*R622*N622*_C406_reduction/1000,N623*R623*R622*N622/1000)),"")</f>
        <v/>
      </c>
      <c r="AD621" s="1040" t="str">
        <f>IFERROR(IF(C$36=0,ROUND(T622*AB621/1000,2),N623*R623/1000),"")</f>
        <v/>
      </c>
      <c r="AE621" s="1044" t="s">
        <v>190</v>
      </c>
      <c r="AF621" s="1432" t="str">
        <f>IF(__Retrofit_TI_NC=2,CONCATENATE("Code min = ",DD621),IF(__Retrofit_TI_NC=1,"Emter what you think the existing control was"," Control"))</f>
        <v xml:space="preserve"> Control</v>
      </c>
      <c r="AG621" s="1432"/>
      <c r="AH621" s="1432"/>
      <c r="AI621" s="1432"/>
      <c r="AJ621" s="1433">
        <f>DF621</f>
        <v>0</v>
      </c>
      <c r="AK621" s="1435" t="str">
        <f>IFERROR(ROUND(AJ621*AC621,0),"")</f>
        <v/>
      </c>
      <c r="AL621" s="1437">
        <f>IFERROR(IF(HW621=FALSE,0,AC621-AK621),0)</f>
        <v>0</v>
      </c>
      <c r="AM621" s="1439">
        <f>AL621-AL623</f>
        <v>0</v>
      </c>
      <c r="AN621" s="1440"/>
      <c r="AO621" s="1445">
        <f>IFERROR(IF(HW621=FALSE,0,(T623*U624)+(AE623*AF624)),0)</f>
        <v>0</v>
      </c>
      <c r="AP621" s="1445"/>
      <c r="AQ621" s="1446"/>
      <c r="AR621" s="1451" t="s">
        <v>157</v>
      </c>
      <c r="AS621" s="1454">
        <f>IF(AR621="Yes",1,0)</f>
        <v>1</v>
      </c>
      <c r="AT621" s="1457" t="str">
        <f>IF(OR(DN621=4,DN621=5,DN621=6,DN621=12),CONCATENATE("$",IF(GD621=TRUE,Lookup!$B$11,Lookup!$B$2)," /lamp"),CONCATENATE(EA621,"/ kWh"))</f>
        <v>0/ kWh</v>
      </c>
      <c r="AU621" s="516"/>
      <c r="AV621" s="1478">
        <f>IFERROR(IF(GI622=TRUE,(AB624*T623)/R623,0),"NA")</f>
        <v>0</v>
      </c>
      <c r="AW621" s="1478" t="str">
        <f>IFERROR(N623*_C406_reduction,"NA")</f>
        <v>NA</v>
      </c>
      <c r="BC621" s="38"/>
      <c r="BD621" s="38"/>
      <c r="BE621" s="38"/>
      <c r="BF621" s="38"/>
      <c r="BG621" s="38"/>
      <c r="BH621" s="38"/>
      <c r="BI621" s="38"/>
      <c r="BJ621" s="38"/>
      <c r="BK621" s="38"/>
      <c r="BL621" s="38"/>
      <c r="BM621" s="38"/>
      <c r="BN621" s="38"/>
      <c r="BO621" s="38"/>
      <c r="BP621" s="38"/>
      <c r="BQ621" s="38"/>
      <c r="BR621" s="38"/>
      <c r="BS621" s="38"/>
      <c r="BT621" s="38"/>
      <c r="BU621" s="38"/>
      <c r="BV621" s="38"/>
      <c r="BW621" s="38"/>
      <c r="BX621" s="38"/>
      <c r="BY621" s="38"/>
      <c r="BZ621" s="38"/>
      <c r="CA621" s="38"/>
      <c r="CB621" s="38"/>
      <c r="CC621" s="38"/>
      <c r="CD621" s="38"/>
      <c r="CE621" s="38"/>
      <c r="CF621" s="38"/>
      <c r="CG621" s="38"/>
      <c r="CH621" s="38"/>
      <c r="CI621" s="38"/>
      <c r="CM621" s="1352" t="str">
        <f>N622</f>
        <v/>
      </c>
      <c r="CN621" s="1352" t="str">
        <f>IFERROR(VLOOKUP(G622,_Lookup_Heat_Type_Table_New,3,FALSE),"")</f>
        <v/>
      </c>
      <c r="CO621" s="1415" t="str">
        <f>CN621</f>
        <v/>
      </c>
      <c r="CP621" s="1417" t="e">
        <f>VLOOKUP(G623,'Space Table'!$B$3:$L$160,9,FALSE)</f>
        <v>#N/A</v>
      </c>
      <c r="CR621" s="1386" t="s">
        <v>283</v>
      </c>
      <c r="CS621" s="1353">
        <f>IF(HW621=TRUE,T622,0)</f>
        <v>0</v>
      </c>
      <c r="CT621" s="1353" t="str">
        <f>IF(HW621=TRUE,U622,"")</f>
        <v/>
      </c>
      <c r="CU621" s="1353"/>
      <c r="CV621" s="1370">
        <f>IF(HW621=TRUE,AB621,0)</f>
        <v>0</v>
      </c>
      <c r="CW621" s="1370">
        <f>IF(HW621=TRUE,AC621,0)</f>
        <v>0</v>
      </c>
      <c r="CX621" s="1370">
        <f>IFERROR(IF(HW621=TRUE,CW621-CW623,0),0)</f>
        <v>0</v>
      </c>
      <c r="CY621" s="1485">
        <f>IF(HW621=TRUE,AD621,0)</f>
        <v>0</v>
      </c>
      <c r="CZ621" s="1485">
        <f>IF(HW621=TRUE,AD624,0)</f>
        <v>0</v>
      </c>
      <c r="DA621" s="1485">
        <f>IFERROR(CY621-CZ621,0)</f>
        <v>0</v>
      </c>
      <c r="DC621" s="1353">
        <f>IF(HW621=TRUE,AE622,0)</f>
        <v>0</v>
      </c>
      <c r="DD621" s="1460">
        <f>IF(__Retrofit_TI_NC=2,IF(CN621="Exterior",O624,FM621),FK621)</f>
        <v>0</v>
      </c>
      <c r="DE621" s="1353"/>
      <c r="DF621" s="1406">
        <f>IFERROR(IF(FL621=3,IK621,IF(FL621=4,IL621,IF(FL621=5,IM621,IF(FL621=6,IN621,IF(FL621=7,IO621,IF(FL621=8,IP621,0)))))),0)</f>
        <v>0</v>
      </c>
      <c r="DG621" s="1370">
        <f>IF(HW621=TRUE,AK621,0)</f>
        <v>0</v>
      </c>
      <c r="DH621" s="1369">
        <f>IFERROR(IF(HW621=TRUE,DG623-DG621,0),0)</f>
        <v>0</v>
      </c>
      <c r="DJ621" s="1483">
        <f>IFERROR(CW621-DG621,0)</f>
        <v>0</v>
      </c>
      <c r="DL621" s="1419">
        <f>DJ621-DK623</f>
        <v>0</v>
      </c>
      <c r="DN621" s="1403" t="str">
        <f>IFERROR(IF(AND(OR(FY621=4,FY621=5,FY621=6),OR(GB621=4,GB621=5,GB621=6)),FY621+8,VLOOKUP(CT623,Fixtures!R$31:Y$78,8,FALSE)),"")</f>
        <v/>
      </c>
      <c r="DO621" s="1404" t="str">
        <f>DN621</f>
        <v/>
      </c>
      <c r="DP621" s="1353" t="str">
        <f>IFERROR(VLOOKUP(DD623,Lookup!AU$3:AV$15,2,FALSE),"")</f>
        <v/>
      </c>
      <c r="DQ621" s="1404" t="str">
        <f>IF(DP621=7,"LLLC","")</f>
        <v/>
      </c>
      <c r="DR621" s="1403">
        <f>IFERROR(IF(OR(DN621=4,DN621=5,DN621=6,DN621=12,DN621=13,DN621=14),VLOOKUP(CT623,Fixtures!DN$27:EG$77,19,FALSE),1)*CS623,0)</f>
        <v>0</v>
      </c>
      <c r="DS621" s="1489">
        <f>IF(DP621=7,IF(DD621=DD623,0,DC623),0)</f>
        <v>0</v>
      </c>
      <c r="DU621" s="1403" t="str">
        <f>IFERROR(IF(EW621&lt;EW623,"Yes","No"),"")</f>
        <v/>
      </c>
      <c r="DV621" s="1404" t="str">
        <f>DU621</f>
        <v/>
      </c>
      <c r="DW621" s="1403">
        <f>IF(DU621="Yes",DC623,0)</f>
        <v>0</v>
      </c>
      <c r="DX621" s="1403">
        <f>DW621-DS621</f>
        <v>0</v>
      </c>
      <c r="DZ621" s="1481">
        <f>IFERROR(VLOOKUP(DN621,Lookup!AN$3:AO$16,2,FALSE),0)</f>
        <v>0</v>
      </c>
      <c r="EA621" s="1481">
        <f>IF(HW621=FALSE,0,IF(DU621="Yes",DZ621+Lookup!B$6,DZ621))</f>
        <v>0</v>
      </c>
      <c r="EC621" s="1482">
        <f>IF(HW621=TRUE,DJ621,0)</f>
        <v>0</v>
      </c>
      <c r="ED621" s="1369">
        <f>IF(HW621=TRUE,CW623,0)</f>
        <v>0</v>
      </c>
      <c r="EE621" s="1370">
        <f>IFERROR(EC621-ED621,0)</f>
        <v>0</v>
      </c>
      <c r="EF621" s="1369">
        <f>IF(HW621=TRUE,DG623,0)</f>
        <v>0</v>
      </c>
      <c r="EG621" s="1369">
        <f>IFERROR(EC621-ED621+EF621,0)</f>
        <v>0</v>
      </c>
      <c r="EH621" s="1373">
        <f>IF(HW621=TRUE,CS623*CU623,0)</f>
        <v>0</v>
      </c>
      <c r="EI621" s="1373">
        <f>IF(HW621=TRUE,DC623*DE623,0)</f>
        <v>0</v>
      </c>
      <c r="EJ621" s="1363">
        <f>AO621</f>
        <v>0</v>
      </c>
      <c r="EK621" s="1376" t="str">
        <f>IFERROR(IF(HW621=TRUE,VLOOKUP(DN621,Lookup!AN$3:AP$16,3,FALSE)*DR621,""),0)</f>
        <v/>
      </c>
      <c r="EL621" s="1376">
        <f>IF(HW621=TRUE,DW621*Lookup!AP$12,0)</f>
        <v>0</v>
      </c>
      <c r="EM621" s="1362">
        <f>IFERROR(IF(HW621=TRUE,EK621/EM$33,0),0)</f>
        <v>0</v>
      </c>
      <c r="EN621" s="1362">
        <f>IF(HW621=TRUE,EL621/EN$33,0)</f>
        <v>0</v>
      </c>
      <c r="EO621" s="1363">
        <f>IF(HW621=TRUE,EQ$33*EM621,0)</f>
        <v>0</v>
      </c>
      <c r="EP621" s="1363">
        <f>IF(HW621=TRUE,EQ$33*EN621,0)</f>
        <v>0</v>
      </c>
      <c r="EQ621" s="1363">
        <f>EO621+EP621</f>
        <v>0</v>
      </c>
      <c r="ES621" s="1403">
        <f>IF(G621="",0,1)</f>
        <v>0</v>
      </c>
      <c r="EU621" s="1410" t="e">
        <f>VLOOKUP(CP623,'Space Table'!$B$3:$L$160,8,FALSE)</f>
        <v>#N/A</v>
      </c>
      <c r="EV621" s="1410" t="e">
        <f>IF(EY621="Yes",VLOOKUP(DD621,Lookup_Control_Type_Table2,4,FALSE),VLOOKUP(DD621,Lookup_Control_Type_Table2,3,FALSE))</f>
        <v>#N/A</v>
      </c>
      <c r="EW621" s="1410" t="e">
        <f>VLOOKUP(DD621,Lookup!AU$3:AV$15,2,FALSE)</f>
        <v>#N/A</v>
      </c>
      <c r="EX621" s="1410" t="e">
        <f>VLOOKUP(EU621,Lookup_Control_Type_Table,2,FALSE)</f>
        <v>#N/A</v>
      </c>
      <c r="EY621" s="1410" t="e">
        <f>VLOOKUP(CP623,'Space Table'!$B$3:$L$160,7,FALSE)</f>
        <v>#N/A</v>
      </c>
      <c r="EZ621" s="1412" t="b">
        <f>ISNUMBER(SEARCH("TLED",U623))</f>
        <v>0</v>
      </c>
      <c r="FB621" s="1365" t="str">
        <f>CONCATENATE(CN621," - ",DD621)</f>
        <v xml:space="preserve"> - 0</v>
      </c>
      <c r="FD621" s="1353" t="str">
        <f>VLOOKUP(CT623,Fixtures!DN$27:EZ$77,38,FALSE)</f>
        <v/>
      </c>
      <c r="FE621" s="1353">
        <f>IFERROR(FD621*EE621,0)</f>
        <v>0</v>
      </c>
      <c r="FF621" s="138"/>
      <c r="FI621" s="1356" t="str">
        <f>IF(CN621="Exterior","Not Daylighted",G624)</f>
        <v>Not Daylighted</v>
      </c>
      <c r="FJ621" s="1356">
        <f>VLOOKUP(FI621,_Daylight_Table_Codes,2,FALSE)</f>
        <v>0</v>
      </c>
      <c r="FK621" s="1365">
        <f>IF(__Retrofit_TI_NC=2,VLOOKUP(G623,'Space Table'!$B$3:$L$160,11,FALSE),AF622)</f>
        <v>0</v>
      </c>
      <c r="FL621" s="1365" t="e">
        <f>VLOOKUP(FK621,_Control_Table,2,FALSE)</f>
        <v>#N/A</v>
      </c>
      <c r="FM621" s="1365" t="e">
        <f>IF(AND(FP621&gt;0,FK621="Occupancy Sensor"),"Daylight + Occupancy",IF(AND(FP621&gt;0,FL621&lt;4),"Interior Daylight Dimming",FK621))</f>
        <v>#N/A</v>
      </c>
      <c r="FO621" s="1364">
        <f>IF(CO621="Interior",VLOOKUP(CP621,Control_Savings_Interior,5,FALSE),0)</f>
        <v>0</v>
      </c>
      <c r="FP621" s="1361">
        <f>IF(CN621="Exterior",0,IF(FJ621=2,0.5,IF(OR(FJ621=1,FJ621=3),1,0)))</f>
        <v>0</v>
      </c>
      <c r="FQ621" s="1366"/>
      <c r="FR621" s="1367"/>
      <c r="FS621" s="1364"/>
      <c r="FT621" s="1367"/>
      <c r="FU621" s="1360"/>
      <c r="FW621" s="1352" t="str">
        <f>IFERROR(VLOOKUP(U622,_Exist_Fixture_Table,3,FALSE),"")</f>
        <v/>
      </c>
      <c r="FX621" s="1352" t="str">
        <f>VLOOKUP(CT621,_Exist_Fixture_Table,4,FALSE)</f>
        <v/>
      </c>
      <c r="FY621" s="1352">
        <f>IFERROR(VLOOKUP(FX621,Lookup!AM$6:AN$8,2,FALSE),0)</f>
        <v>0</v>
      </c>
      <c r="FZ621" s="1352" t="b">
        <f>IFERROR(IF(OR(GB621=4,GB621=5,GB621=6),TRUE,FALSE),"")</f>
        <v>0</v>
      </c>
      <c r="GA621" s="1352" t="str">
        <f>IFERROR(VLOOKUP(GB621,FY$6:FZ$10,2,FALSE),"")</f>
        <v/>
      </c>
      <c r="GB621" s="1352" t="str">
        <f>VLOOKUP(CT623,Fixtures!R$31:Y$78,8,FALSE)</f>
        <v/>
      </c>
      <c r="GC621" s="1352">
        <f>IF(AND(FW621=TRUE,FZ621=TRUE,OR(DN621=12,DN621=13,DN621=14)),FY621+8,0)</f>
        <v>0</v>
      </c>
      <c r="GD621" s="1352" t="b">
        <f>IF(OR(GC621=12,GC621=13,GC621=14),TRUE,FALSE)</f>
        <v>0</v>
      </c>
      <c r="GE621" s="759" t="b">
        <f>IF(ISNUMBER(SEARCH("TLED",U622)),TRUE,FALSE)</f>
        <v>0</v>
      </c>
      <c r="GF621" s="1035" t="str">
        <f>IFERROR(VLOOKUP(U622,Fixtures!BM$93:BR$142,6,FALSE),"")</f>
        <v/>
      </c>
      <c r="GG621" s="1385" t="b">
        <f>IF(OR(GE621=FALSE,GE623=FALSE),TRUE,IF(GF621-GF623&lt;5,FALSE,TRUE))</f>
        <v>1</v>
      </c>
      <c r="GK621" s="1034">
        <f>GL621</f>
        <v>0</v>
      </c>
      <c r="GL621" s="1034">
        <f>IF(G621="",0,1)</f>
        <v>0</v>
      </c>
      <c r="GM621" s="1034">
        <f>SUM(GN621:HB621)</f>
        <v>2</v>
      </c>
      <c r="GN621" s="1034">
        <f>IF(G622="",0,1)</f>
        <v>0</v>
      </c>
      <c r="GO621" s="1034">
        <f>IF(G623="",0,1)</f>
        <v>0</v>
      </c>
      <c r="GP621" s="1034">
        <f>IF(R622="",0,1)</f>
        <v>0</v>
      </c>
      <c r="GQ621" s="1034">
        <f>IF(__Retrofit_TI_NC=0,1,IF(R623="",0,1))</f>
        <v>1</v>
      </c>
      <c r="GR621" s="1034">
        <f>IF(CN621="Exterior",1,IF(G624="",0,1))</f>
        <v>1</v>
      </c>
      <c r="GS621" s="1034">
        <f>IF(__Retrofit_TI_NC&lt;&gt;0,1,IF(T622="",0,1))</f>
        <v>0</v>
      </c>
      <c r="GT621" s="1034">
        <f>IF(__Retrofit_TI_NC&lt;&gt;0,1,IF(U622="",0,1))</f>
        <v>0</v>
      </c>
      <c r="GU621" s="1034">
        <f>IF(T623="",0,1)</f>
        <v>0</v>
      </c>
      <c r="GV621" s="1034">
        <f>IF(U623="",0,1)</f>
        <v>0</v>
      </c>
      <c r="GW621" s="1034">
        <f>IF(__Retrofit_TI_NC=2,1,IF(U624="",0,1))</f>
        <v>0</v>
      </c>
      <c r="GX621" s="1034">
        <f>IF(__Retrofit_TI_NC&lt;&gt;0,1,IF(AE622="",0,1))</f>
        <v>0</v>
      </c>
      <c r="GY621" s="1034">
        <f>IF(__Retrofit_TI_NC&lt;&gt;0,1,IF(AF622="",0,1))</f>
        <v>0</v>
      </c>
      <c r="GZ621" s="1034">
        <f>IF(AE623="",0,1)</f>
        <v>0</v>
      </c>
      <c r="HA621" s="1034">
        <f>IF(AF623="",0,1)</f>
        <v>0</v>
      </c>
      <c r="HB621" s="1034">
        <f>IF(__Retrofit_TI_NC=2,1,IF(AF624="",0,1))</f>
        <v>0</v>
      </c>
      <c r="HV621" s="436"/>
      <c r="HW621" s="1384" t="b">
        <f>IF(OR(HW624=0,HW624=HT$16,HW624=HS$16,HW624=HU$16),TRUE,FALSE)</f>
        <v>0</v>
      </c>
      <c r="HX621" s="1377" t="b">
        <f>HW621</f>
        <v>0</v>
      </c>
      <c r="HY621" s="436"/>
      <c r="HZ621" s="436"/>
      <c r="IA621" s="1386" t="b">
        <f>IF(MAX(GJ624:HP624)&gt;5,FALSE,TRUE)</f>
        <v>0</v>
      </c>
      <c r="IB621" s="1380">
        <f>IF(IA621=TRUE,AC621,0)</f>
        <v>0</v>
      </c>
      <c r="IC621" s="1380">
        <f>IB621-IB623</f>
        <v>0</v>
      </c>
      <c r="IF621" s="1380" t="e">
        <f>ROUND(T622*VLOOKUP(U622,Fixtures_Existing_List,2,FALSE)*N622*R622/1000,0)</f>
        <v>#N/A</v>
      </c>
      <c r="IG621" s="1381" t="e">
        <f>IF621-IF623</f>
        <v>#N/A</v>
      </c>
      <c r="IH621" s="1384" t="e">
        <f>ROUND(IF(CN621="Interior",N623*R623*R622*N622*_C406_reduction/1000,N623*R623*R622*N622/1000),0)</f>
        <v>#N/A</v>
      </c>
      <c r="II621" s="1384" t="e">
        <f>IH621-IH623</f>
        <v>#N/A</v>
      </c>
      <c r="IK621" s="1351" t="e">
        <f>IF($CO621="interior",IL621/2,VLOOKUP($CP621,Control_Savings_Exterior,IK$30,FALSE))</f>
        <v>#N/A</v>
      </c>
      <c r="IL621" s="1351" t="e">
        <f>IF($CO621="interior",VLOOKUP($CP621,Control_Savings_Interior,IL$30,FALSE),VLOOKUP($CP621,Control_Savings_Exterior,IL$30,FALSE))</f>
        <v>#N/A</v>
      </c>
      <c r="IM621" s="1351" t="e">
        <f>IF($CO621="interior",IF(R622&gt;FO$37,(IM$28*(FO$37/R622)),IM$28)*FP621,VLOOKUP($CP621,Control_Savings_Exterior,IM$30,FALSE))</f>
        <v>#N/A</v>
      </c>
      <c r="IN621" s="1351" t="e">
        <f>IF($CO621="interior",ROUND(((1-IL621)*IM621)+IL621,2),VLOOKUP($CP621,Control_Savings_Exterior,IN$30,FALSE))</f>
        <v>#N/A</v>
      </c>
      <c r="IO621" s="1351" t="e">
        <f>IF($CO621="interior", ROUND(((1-IL621)*(IM621*(1-IP$28)))+IP621,2), VLOOKUP($CP621,Control_Savings_Exterior,IO$30,FALSE))</f>
        <v>#N/A</v>
      </c>
      <c r="IP621" s="1351">
        <f>IF($CO621="interior",ROUND(((1-IL621)*IP$28)+IL621,2),0)</f>
        <v>0</v>
      </c>
    </row>
    <row r="622" spans="1:250" s="82" customFormat="1" ht="14.95" customHeight="1" thickTop="1" thickBot="1">
      <c r="B622" s="1421"/>
      <c r="C622" s="1422"/>
      <c r="D622" s="1423"/>
      <c r="E622" s="1393" t="s">
        <v>244</v>
      </c>
      <c r="F622" s="1394"/>
      <c r="G622" s="1395"/>
      <c r="H622" s="1395"/>
      <c r="I622" s="1395"/>
      <c r="J622" s="1395"/>
      <c r="K622" s="1395"/>
      <c r="L622" s="1395"/>
      <c r="M622" s="509" t="e">
        <f>IF(__Retrofit_TI_NC&lt;&gt;0,IF(VLOOKUP(G623,'Space Table'!$B$3:$L$160,3,FALSE)&gt;0,1,0),IF(__Retrofit_TI_NC=VLOOKUP(G623,'Space Table'!$B$3:$L$160,3,FALSE),1,0))</f>
        <v>#N/A</v>
      </c>
      <c r="N622" s="509" t="str">
        <f>IFERROR(VLOOKUP(G622,_Lookup_Heat_Type_Table_New,2,FALSE),"")</f>
        <v/>
      </c>
      <c r="O622" s="509">
        <f>IF(__Retrofit_TI_NC=1,CONCATENATE("TI ",G622),IF(__Retrofit_TI_NC=2,CONCATENATE("NC ",G622),G622))</f>
        <v>0</v>
      </c>
      <c r="P622" s="1396" t="s">
        <v>352</v>
      </c>
      <c r="Q622" s="1396"/>
      <c r="R622" s="673"/>
      <c r="S622" s="1429"/>
      <c r="T622" s="675"/>
      <c r="U622" s="1496"/>
      <c r="V622" s="1497"/>
      <c r="W622" s="1497"/>
      <c r="X622" s="1497"/>
      <c r="Y622" s="1497"/>
      <c r="Z622" s="1497"/>
      <c r="AA622" s="1497"/>
      <c r="AB622" s="1497"/>
      <c r="AC622" s="1497"/>
      <c r="AD622" s="1498"/>
      <c r="AE622" s="675"/>
      <c r="AF622" s="1397"/>
      <c r="AG622" s="1397"/>
      <c r="AH622" s="1397"/>
      <c r="AI622" s="1397"/>
      <c r="AJ622" s="1434"/>
      <c r="AK622" s="1436"/>
      <c r="AL622" s="1438"/>
      <c r="AM622" s="1441"/>
      <c r="AN622" s="1442"/>
      <c r="AO622" s="1447"/>
      <c r="AP622" s="1447"/>
      <c r="AQ622" s="1448"/>
      <c r="AR622" s="1452"/>
      <c r="AS622" s="1455"/>
      <c r="AT622" s="1458"/>
      <c r="AU622" s="516"/>
      <c r="AV622" s="1479"/>
      <c r="AW622" s="1479"/>
      <c r="BC622" s="38"/>
      <c r="BD622" s="38"/>
      <c r="BE622" s="38"/>
      <c r="BF622" s="38"/>
      <c r="BG622" s="38"/>
      <c r="BH622" s="38"/>
      <c r="BI622" s="38"/>
      <c r="BJ622" s="38"/>
      <c r="BK622" s="38"/>
      <c r="BL622" s="38"/>
      <c r="BM622" s="38"/>
      <c r="BN622" s="38"/>
      <c r="BO622" s="38"/>
      <c r="BP622" s="38"/>
      <c r="BQ622" s="38"/>
      <c r="BR622" s="38"/>
      <c r="BS622" s="38"/>
      <c r="BT622" s="38"/>
      <c r="BU622" s="38"/>
      <c r="BV622" s="38"/>
      <c r="BW622" s="38"/>
      <c r="BX622" s="38"/>
      <c r="BY622" s="38"/>
      <c r="BZ622" s="38"/>
      <c r="CA622" s="38"/>
      <c r="CB622" s="38"/>
      <c r="CC622" s="38"/>
      <c r="CD622" s="38"/>
      <c r="CE622" s="38"/>
      <c r="CF622" s="38"/>
      <c r="CG622" s="38"/>
      <c r="CH622" s="38"/>
      <c r="CI622" s="38"/>
      <c r="CM622" s="1352"/>
      <c r="CN622" s="1352"/>
      <c r="CO622" s="1416"/>
      <c r="CP622" s="1418"/>
      <c r="CR622" s="1386"/>
      <c r="CS622" s="1355"/>
      <c r="CT622" s="1355"/>
      <c r="CU622" s="1355"/>
      <c r="CV622" s="1372"/>
      <c r="CW622" s="1372"/>
      <c r="CX622" s="1371"/>
      <c r="CY622" s="1486"/>
      <c r="CZ622" s="1486"/>
      <c r="DA622" s="1486"/>
      <c r="DC622" s="1355"/>
      <c r="DD622" s="1461"/>
      <c r="DE622" s="1355"/>
      <c r="DF622" s="1407"/>
      <c r="DG622" s="1372"/>
      <c r="DH622" s="1369"/>
      <c r="DJ622" s="1484"/>
      <c r="DL622" s="1419"/>
      <c r="DN622" s="1403"/>
      <c r="DO622" s="1405"/>
      <c r="DP622" s="1354"/>
      <c r="DQ622" s="1405"/>
      <c r="DR622" s="1403"/>
      <c r="DS622" s="1489"/>
      <c r="DU622" s="1403"/>
      <c r="DV622" s="1405"/>
      <c r="DW622" s="1403"/>
      <c r="DX622" s="1403"/>
      <c r="DZ622" s="1481"/>
      <c r="EA622" s="1481"/>
      <c r="EC622" s="1482"/>
      <c r="ED622" s="1369"/>
      <c r="EE622" s="1371"/>
      <c r="EF622" s="1369"/>
      <c r="EG622" s="1369"/>
      <c r="EH622" s="1374"/>
      <c r="EI622" s="1374"/>
      <c r="EJ622" s="1363"/>
      <c r="EK622" s="1376"/>
      <c r="EL622" s="1376"/>
      <c r="EM622" s="1362"/>
      <c r="EN622" s="1362"/>
      <c r="EO622" s="1363"/>
      <c r="EP622" s="1363"/>
      <c r="EQ622" s="1363"/>
      <c r="ES622" s="1403"/>
      <c r="EU622" s="1411"/>
      <c r="EV622" s="1411"/>
      <c r="EW622" s="1411"/>
      <c r="EX622" s="1411"/>
      <c r="EY622" s="1411"/>
      <c r="EZ622" s="1413"/>
      <c r="FB622" s="1365"/>
      <c r="FD622" s="1354"/>
      <c r="FE622" s="1354"/>
      <c r="FF622" s="138"/>
      <c r="FI622" s="1357"/>
      <c r="FJ622" s="1357"/>
      <c r="FK622" s="1365"/>
      <c r="FL622" s="1365"/>
      <c r="FM622" s="1365"/>
      <c r="FO622" s="1361"/>
      <c r="FP622" s="1361"/>
      <c r="FQ622" s="1366"/>
      <c r="FR622" s="1368"/>
      <c r="FS622" s="1361"/>
      <c r="FT622" s="1368"/>
      <c r="FU622" s="1360"/>
      <c r="FW622" s="1352"/>
      <c r="FX622" s="1352"/>
      <c r="FY622" s="1352"/>
      <c r="FZ622" s="1352"/>
      <c r="GA622" s="1352"/>
      <c r="GB622" s="1352"/>
      <c r="GC622" s="1352"/>
      <c r="GD622" s="1352"/>
      <c r="GE622" s="759"/>
      <c r="GF622" s="1035"/>
      <c r="GG622" s="1385"/>
      <c r="GI622" s="1384" t="b">
        <f>IF(AND(GL622=TRUE,GM622=TRUE),TRUE,FALSE)</f>
        <v>0</v>
      </c>
      <c r="GJ622" s="1379" t="b">
        <f>IFERROR(IF(__Retrofit_TI_NC=2,TRUE,IF(AR621="Yes",TRUE,FALSE)),FALSE)</f>
        <v>1</v>
      </c>
      <c r="GL622" s="1379" t="b">
        <f>IFERROR(IF(GL621=1,TRUE,FALSE),FALSE)</f>
        <v>0</v>
      </c>
      <c r="GM622" s="1379" t="b">
        <f>IFERROR(IF(GM621=GM$14,TRUE,FALSE),FALSE)</f>
        <v>0</v>
      </c>
      <c r="HC622" s="1379" t="b">
        <f>IFERROR(IF(M622=1,TRUE,FALSE),FALSE)</f>
        <v>0</v>
      </c>
      <c r="HD622" s="1379" t="b">
        <f>IFERROR(IF(M623=1,TRUE,FALSE),FALSE)</f>
        <v>0</v>
      </c>
      <c r="HE622" s="1379" t="b">
        <f>IFERROR(IF(__Retrofit_TI_NC&lt;&gt;0,TRUE,IFERROR(IF(VLOOKUP(U622,Fixtures_Existing_List,2,FALSE)&lt;&gt;"",TRUE,FALSE),FALSE)),FALSE)</f>
        <v>0</v>
      </c>
      <c r="HF622" s="1379" t="b">
        <f>IFERROR(IF(VLOOKUP(U623,Fixtures_Proposed_List,2,FALSE)&lt;&gt;"",TRUE,FALSE),FALSE)</f>
        <v>0</v>
      </c>
      <c r="HG622" s="1379" t="b">
        <f>IF(AND(__Retrofit_TI_NC=2,EZ621=TRUE),FALSE,TRUE)</f>
        <v>1</v>
      </c>
      <c r="HH622" s="1379" t="b">
        <f>GG621</f>
        <v>1</v>
      </c>
      <c r="HI622" s="1384" t="b">
        <f>IF(ISERROR(MATCH(FB621,_Control_Match[],0))=TRUE,FALSE,TRUE)</f>
        <v>0</v>
      </c>
      <c r="HJ622" s="1384" t="b">
        <f>IFERROR(IF(EU621&lt;&gt;EV621,FALSE,TRUE),FALSE)</f>
        <v>0</v>
      </c>
      <c r="HK622" s="1384" t="b">
        <f>IFERROR(IF(EU623&lt;&gt;EV623,FALSE,TRUE),FALSE)</f>
        <v>0</v>
      </c>
      <c r="HL622" s="1379" t="b">
        <f>IFERROR(IF(CN621="Exterior",TRUE,IF(OR(AND(FJ621=0,EW623&gt;4),AND(FJ621=4,EW623&gt;4,EW623&lt;7)),FALSE,TRUE)),FALSE)</f>
        <v>0</v>
      </c>
      <c r="HM622" s="1379" t="b">
        <f>IFERROR(IF(AND(FL623=7,EZ621=TRUE),FALSE,TRUE),FALSE)</f>
        <v>0</v>
      </c>
      <c r="HN622" s="1379" t="b">
        <f>IFERROR(IF(AND(T623&lt;&gt;AE623,AF623="Interior LLLC")=TRUE,FALSE,TRUE),FALSE)</f>
        <v>1</v>
      </c>
      <c r="HO622" s="1379" t="b">
        <f>IFERROR(IF(OR(AF623=Lookup!AU$13,AF623=Lookup!AU$14)=TRUE,IF(AE623&gt;T623,FALSE,TRUE),TRUE),FALSE)</f>
        <v>1</v>
      </c>
      <c r="HP622" s="1379" t="b">
        <f>IFERROR(IF(__Retrofit_TI_NC=2,IF(EW623&lt;EW621,FALSE,TRUE),TRUE),FALSE)</f>
        <v>1</v>
      </c>
      <c r="HQ622" s="1379" t="b">
        <f>IF(CN621="Interior",IG$6,TRUE)</f>
        <v>1</v>
      </c>
      <c r="HR622" s="1379" t="b">
        <f>IF(CN621="Exterior",IG$8,TRUE)</f>
        <v>1</v>
      </c>
      <c r="HS622" s="1379" t="b">
        <f>IFERROR(IF(__Retrofit_TI_NC&lt;&gt;0,IF(AW621&lt;AV621,FALSE,TRUE),TRUE),FALSE)</f>
        <v>1</v>
      </c>
      <c r="HT622" s="1379" t="b">
        <f>IFERROR(IF(AND(G622="Exterior",R622&gt;4200),FALSE,TRUE),FALSE)</f>
        <v>1</v>
      </c>
      <c r="HU622" s="1379" t="b">
        <f>IFERROR(IF(AB624/AB621&lt;HU$18,FALSE,TRUE),FALSE)</f>
        <v>0</v>
      </c>
      <c r="HW622" s="1382"/>
      <c r="HX622" s="1378"/>
      <c r="HY622" s="1377" t="str">
        <f>VLOOKUP(HW624,_Error_Table,4,FALSE)</f>
        <v>White</v>
      </c>
      <c r="HZ622" s="436"/>
      <c r="IA622" s="1386"/>
      <c r="IB622" s="1380"/>
      <c r="IC622" s="1379"/>
      <c r="IF622" s="1380"/>
      <c r="IG622" s="1382"/>
      <c r="IH622" s="1382"/>
      <c r="II622" s="1382"/>
      <c r="IK622" s="1351"/>
      <c r="IL622" s="1351"/>
      <c r="IM622" s="1351"/>
      <c r="IN622" s="1351"/>
      <c r="IO622" s="1351"/>
      <c r="IP622" s="1351"/>
    </row>
    <row r="623" spans="1:250" s="82" customFormat="1" ht="14.95" customHeight="1" thickTop="1" thickBot="1">
      <c r="A623" s="82">
        <f>ROW()</f>
        <v>623</v>
      </c>
      <c r="B623" s="1421"/>
      <c r="C623" s="1422"/>
      <c r="D623" s="1423"/>
      <c r="E623" s="1393" t="s">
        <v>245</v>
      </c>
      <c r="F623" s="1394"/>
      <c r="G623" s="1398"/>
      <c r="H623" s="1399"/>
      <c r="I623" s="1399"/>
      <c r="J623" s="1399"/>
      <c r="K623" s="1399"/>
      <c r="L623" s="1400"/>
      <c r="M623" s="509">
        <f>IFERROR(IF(IF(__Retrofit_TI_NC&lt;&gt;0,IF(CN621="Interior",MATCH(G623,Lookup_Interior_New,0),MATCH(G623,Lookup_Exterior_New,0)),IF(CN621="Interior",MATCH(G623,Lookup_Interior,0),MATCH(G623,Lookup_Exterior_Areas,0)))&gt;0,1,0),0)</f>
        <v>0</v>
      </c>
      <c r="N623" s="509" t="e">
        <f>IF(__Retrofit_TI_NC=1,
VLOOKUP(G623,'Space Table'!$B$3:$L$160,4,FALSE),
IF(__Retrofit_TI_NC=2,VLOOKUP(G623,'Space Table'!$B$3:$L$160,5,FALSE),VLOOKUP(G623,'Space Table'!$B$3:$L$160,5,FALSE)))</f>
        <v>#N/A</v>
      </c>
      <c r="O623" s="509">
        <f>G623</f>
        <v>0</v>
      </c>
      <c r="P623" s="1394" t="s">
        <v>355</v>
      </c>
      <c r="Q623" s="1394"/>
      <c r="R623" s="674"/>
      <c r="S623" s="1401" t="s">
        <v>284</v>
      </c>
      <c r="T623" s="672"/>
      <c r="U623" s="1499"/>
      <c r="V623" s="1500"/>
      <c r="W623" s="1500"/>
      <c r="X623" s="1500"/>
      <c r="Y623" s="1500"/>
      <c r="Z623" s="1500"/>
      <c r="AA623" s="1500"/>
      <c r="AB623" s="1501"/>
      <c r="AC623" s="1501"/>
      <c r="AD623" s="1502"/>
      <c r="AE623" s="672"/>
      <c r="AF623" s="1474"/>
      <c r="AG623" s="1474"/>
      <c r="AH623" s="1474"/>
      <c r="AI623" s="1474"/>
      <c r="AJ623" s="1475">
        <f>DF623</f>
        <v>0</v>
      </c>
      <c r="AK623" s="1470" t="str">
        <f>IFERROR(ROUND(AJ623*AC624,0),"")</f>
        <v/>
      </c>
      <c r="AL623" s="1472">
        <f>IFERROR(IF(HW621=FALSE,0,AC624-AK623),0)</f>
        <v>0</v>
      </c>
      <c r="AM623" s="1441"/>
      <c r="AN623" s="1442"/>
      <c r="AO623" s="1447"/>
      <c r="AP623" s="1447"/>
      <c r="AQ623" s="1448"/>
      <c r="AR623" s="1452"/>
      <c r="AS623" s="1455"/>
      <c r="AT623" s="1458"/>
      <c r="AU623" s="516"/>
      <c r="AV623" s="1479"/>
      <c r="AW623" s="1479"/>
      <c r="BC623" s="38"/>
      <c r="BD623" s="38"/>
      <c r="BE623" s="38"/>
      <c r="BF623" s="38"/>
      <c r="BG623" s="38"/>
      <c r="BH623" s="38"/>
      <c r="BI623" s="38"/>
      <c r="BJ623" s="38"/>
      <c r="BK623" s="38"/>
      <c r="BL623" s="38"/>
      <c r="BM623" s="38"/>
      <c r="BN623" s="38"/>
      <c r="BO623" s="38"/>
      <c r="BP623" s="38"/>
      <c r="BQ623" s="38"/>
      <c r="BR623" s="38"/>
      <c r="BS623" s="38"/>
      <c r="BT623" s="38"/>
      <c r="BU623" s="38"/>
      <c r="BV623" s="38"/>
      <c r="BW623" s="38"/>
      <c r="BX623" s="38"/>
      <c r="BY623" s="38"/>
      <c r="BZ623" s="38"/>
      <c r="CA623" s="38"/>
      <c r="CB623" s="38"/>
      <c r="CC623" s="38"/>
      <c r="CD623" s="38"/>
      <c r="CE623" s="38"/>
      <c r="CF623" s="38"/>
      <c r="CG623" s="38"/>
      <c r="CH623" s="38"/>
      <c r="CI623" s="38"/>
      <c r="CM623" s="1352"/>
      <c r="CN623" s="1352"/>
      <c r="CO623" s="1415" t="str">
        <f>CN621</f>
        <v/>
      </c>
      <c r="CP623" s="1417" t="e">
        <f>CP621</f>
        <v>#N/A</v>
      </c>
      <c r="CR623" s="1386" t="s">
        <v>284</v>
      </c>
      <c r="CS623" s="1353">
        <f>IF(HW621=TRUE,T623,0)</f>
        <v>0</v>
      </c>
      <c r="CT623" s="1353" t="str">
        <f>IF(HW621=TRUE,U623,"")</f>
        <v/>
      </c>
      <c r="CU623" s="1373">
        <f>IF(HW621=TRUE,U624,0)</f>
        <v>0</v>
      </c>
      <c r="CV623" s="1370">
        <f>IF(HW621=TRUE,AB624,0)</f>
        <v>0</v>
      </c>
      <c r="CW623" s="1370">
        <f>IF(HW621=TRUE,AC624,0)</f>
        <v>0</v>
      </c>
      <c r="CX623" s="1371"/>
      <c r="CY623" s="1486"/>
      <c r="CZ623" s="1486"/>
      <c r="DA623" s="1486"/>
      <c r="DC623" s="1353">
        <f>IF(HW621=TRUE,AE623,0)</f>
        <v>0</v>
      </c>
      <c r="DD623" s="1353" t="str">
        <f>IF(HW621=TRUE,AF623,"")</f>
        <v/>
      </c>
      <c r="DE623" s="1373">
        <f>AF624</f>
        <v>0</v>
      </c>
      <c r="DF623" s="1406">
        <f>IFERROR(IF(FL623=3,IK623,IF(FL623=4,IL623,IF(FL623=5,IM623,IF(FL623=6,IN623,IF(FL623=7,IO623,IF(FL623=8,IP623,0)))))),0)</f>
        <v>0</v>
      </c>
      <c r="DG623" s="1370">
        <f>IF(HW621=TRUE,AK623,0)</f>
        <v>0</v>
      </c>
      <c r="DH623" s="1369"/>
      <c r="DK623" s="1483">
        <f>IFERROR(CW623-DG623,0)</f>
        <v>0</v>
      </c>
      <c r="DL623" s="1420"/>
      <c r="DN623" s="1403"/>
      <c r="DO623" s="1477" t="str">
        <f>DN621</f>
        <v/>
      </c>
      <c r="DP623" s="1354"/>
      <c r="DQ623" s="1477" t="str">
        <f>IF(DP621=7,"LLLC","")</f>
        <v/>
      </c>
      <c r="DR623" s="1403"/>
      <c r="DS623" s="1489"/>
      <c r="DU623" s="1403"/>
      <c r="DV623" s="1404" t="str">
        <f>DU621</f>
        <v/>
      </c>
      <c r="DW623" s="1403"/>
      <c r="DX623" s="1403"/>
      <c r="DZ623" s="1481"/>
      <c r="EA623" s="1481"/>
      <c r="EC623" s="1482"/>
      <c r="ED623" s="1369"/>
      <c r="EE623" s="1371"/>
      <c r="EF623" s="1369"/>
      <c r="EG623" s="1369"/>
      <c r="EH623" s="1374"/>
      <c r="EI623" s="1374"/>
      <c r="EJ623" s="1363"/>
      <c r="EK623" s="1376"/>
      <c r="EL623" s="1376"/>
      <c r="EM623" s="1362"/>
      <c r="EN623" s="1362"/>
      <c r="EO623" s="1363"/>
      <c r="EP623" s="1363"/>
      <c r="EQ623" s="1363"/>
      <c r="ES623" s="1403"/>
      <c r="EU623" s="1411" t="e">
        <f>VLOOKUP(CP623,'Space Table'!$B$3:$L$160,8,FALSE)</f>
        <v>#N/A</v>
      </c>
      <c r="EV623" s="1411" t="e">
        <f>IF(EY623="Yes",VLOOKUP(AF623,Lookup_Control_Type_Table2,4,FALSE),VLOOKUP(AF623,Lookup_Control_Type_Table2,3,FALSE))</f>
        <v>#N/A</v>
      </c>
      <c r="EW623" s="1411" t="e">
        <f>VLOOKUP(AF623,Lookup!AU$3:AV$15,2,FALSE)</f>
        <v>#N/A</v>
      </c>
      <c r="EX623" s="1411" t="e">
        <f>VLOOKUP(EU621,Lookup_Control_Type_Table,2,FALSE)</f>
        <v>#N/A</v>
      </c>
      <c r="EY623" s="1411" t="e">
        <f>VLOOKUP(CP623,'Space Table'!$B$3:$L$160,7,FALSE)</f>
        <v>#N/A</v>
      </c>
      <c r="EZ623" s="1413"/>
      <c r="FB623" s="1365" t="str">
        <f>CONCATENATE(CN621," - ",AF623)</f>
        <v xml:space="preserve"> - </v>
      </c>
      <c r="FD623" s="1354"/>
      <c r="FE623" s="1354"/>
      <c r="FF623" s="138"/>
      <c r="FI623" s="1356" t="str">
        <f>IF(CN621="Exterior","Not Daylighted",G624)</f>
        <v>Not Daylighted</v>
      </c>
      <c r="FJ623" s="1356">
        <f>VLOOKUP(FI623,_Daylight_Table_Codes,2,FALSE)</f>
        <v>0</v>
      </c>
      <c r="FK623" s="1365">
        <f>AF623</f>
        <v>0</v>
      </c>
      <c r="FL623" s="1365" t="e">
        <f>VLOOKUP(FK623,_Control_Table,2,FALSE)</f>
        <v>#N/A</v>
      </c>
      <c r="FM623" s="1365" t="e">
        <f>IF(AND(FP623&gt;0,FK623="Occupancy Sensor"),"Daylight + Occupancy",IF(AND(FP623&gt;0,FL623&lt;4),"Interior Daylight Dimming",FK623))</f>
        <v>#N/A</v>
      </c>
      <c r="FO623" s="1364">
        <f>IF(CN621="Interior",VLOOKUP(CP621,Control_Savings_Interior,5,FALSE),0)</f>
        <v>0</v>
      </c>
      <c r="FP623" s="1361">
        <f>IF(CN623="Exterior",0,IF(FJ623=2,0.5,IF(OR(FJ623=1,FJ623=3),1,0)))</f>
        <v>0</v>
      </c>
      <c r="FQ623" s="1366">
        <f>IF(R622&gt;FO$37,(FO623*(FO$37/R622)),FO623)*FP623</f>
        <v>0</v>
      </c>
      <c r="FR623" s="1364">
        <f>DF623</f>
        <v>0</v>
      </c>
      <c r="FS623" s="1364">
        <f>ROUND(FR623+((1-FR623)*FQ623),2)</f>
        <v>0</v>
      </c>
      <c r="FT623" s="1364">
        <f>IF(__Retrofit_TI_NC=2,FS623,FR623)</f>
        <v>0</v>
      </c>
      <c r="FU623" s="1360">
        <f>IF(CO623="Interior",VLOOKUP(CP623,Control_Savings_Interior,4,FALSE),0)</f>
        <v>0</v>
      </c>
      <c r="FW623" s="1352"/>
      <c r="FX623" s="1352"/>
      <c r="FY623" s="1352"/>
      <c r="FZ623" s="1352"/>
      <c r="GA623" s="1352"/>
      <c r="GB623" s="1352"/>
      <c r="GC623" s="1352"/>
      <c r="GD623" s="1352"/>
      <c r="GE623" s="759" t="b">
        <f>IF(ISNUMBER(SEARCH("TLED",U623)),TRUE,FALSE)</f>
        <v>0</v>
      </c>
      <c r="GF623" s="1035" t="str">
        <f>IFERROR(VLOOKUP(U623,Fixtures!DM$93:DR$142,6,FALSE),"")</f>
        <v/>
      </c>
      <c r="GG623" s="1385"/>
      <c r="GI623" s="1383"/>
      <c r="GJ623" s="1379"/>
      <c r="GL623" s="1379"/>
      <c r="GM623" s="1379"/>
      <c r="HC623" s="1379"/>
      <c r="HD623" s="1379"/>
      <c r="HE623" s="1379"/>
      <c r="HF623" s="1379"/>
      <c r="HG623" s="1379"/>
      <c r="HH623" s="1379"/>
      <c r="HI623" s="1383"/>
      <c r="HJ623" s="1383"/>
      <c r="HK623" s="1383"/>
      <c r="HL623" s="1379"/>
      <c r="HM623" s="1379"/>
      <c r="HN623" s="1379"/>
      <c r="HO623" s="1379"/>
      <c r="HP623" s="1379"/>
      <c r="HQ623" s="1379"/>
      <c r="HR623" s="1379"/>
      <c r="HS623" s="1379"/>
      <c r="HT623" s="1379"/>
      <c r="HU623" s="1379"/>
      <c r="HW623" s="1383"/>
      <c r="HX623" s="1384" t="b">
        <f>HW621</f>
        <v>0</v>
      </c>
      <c r="HY623" s="1378"/>
      <c r="HZ623" s="436"/>
      <c r="IA623" s="1386"/>
      <c r="IB623" s="1380">
        <f>IF(IA621=TRUE,AC624,0)</f>
        <v>0</v>
      </c>
      <c r="IC623" s="1379"/>
      <c r="IF623" s="1380" t="e">
        <f>ROUND(T623*AB624*N622*R622/1000,0)</f>
        <v>#VALUE!</v>
      </c>
      <c r="IG623" s="1382"/>
      <c r="IH623" s="1384" t="e">
        <f>ROUND(T623*AB624*N622*R622/1000,0)</f>
        <v>#VALUE!</v>
      </c>
      <c r="II623" s="1382"/>
      <c r="IK623" s="1351" t="e">
        <f>IF($CO623="interior",IL623/2,VLOOKUP($CP623,Control_Savings_Exterior,IK$30,FALSE))</f>
        <v>#N/A</v>
      </c>
      <c r="IL623" s="1351" t="e">
        <f>IF($CO623="interior",VLOOKUP($CP623,Control_Savings_Interior,IL$30,FALSE),VLOOKUP($CP623,Control_Savings_Exterior,IL$30,FALSE))</f>
        <v>#N/A</v>
      </c>
      <c r="IM623" s="1351" t="e">
        <f>IF($CO623="interior",IF(R622&gt;FO$37,(IM$28*(FO$37/R622)),IM$28)*FP623,VLOOKUP($CP623,Control_Savings_Exterior,IM$30,FALSE))</f>
        <v>#N/A</v>
      </c>
      <c r="IN623" s="1351" t="e">
        <f>IF($CO623="interior",ROUND(((1-IL623)*IM623)+IL623,2),VLOOKUP($CP623,Control_Savings_Exterior,IN$30,FALSE))</f>
        <v>#N/A</v>
      </c>
      <c r="IO623" s="1351" t="e">
        <f>IF($CO623="interior", ROUND(((1-IL623)*(IM623*(1-IP$28)))+IP623,2), VLOOKUP($CP623,Control_Savings_Exterior,IO$30,FALSE))</f>
        <v>#N/A</v>
      </c>
      <c r="IP623" s="1351">
        <f>IF($CO623="interior",ROUND(((1-IL623)*IP$28)+IL623,2),0)</f>
        <v>0</v>
      </c>
    </row>
    <row r="624" spans="1:250" s="82" customFormat="1" ht="14.95" customHeight="1" thickTop="1" thickBot="1">
      <c r="B624" s="1421"/>
      <c r="C624" s="1422"/>
      <c r="D624" s="1423"/>
      <c r="E624" s="1462" t="s">
        <v>357</v>
      </c>
      <c r="F624" s="1463"/>
      <c r="G624" s="1464" t="s">
        <v>362</v>
      </c>
      <c r="H624" s="1465"/>
      <c r="I624" s="1465"/>
      <c r="J624" s="1465"/>
      <c r="K624" s="1465"/>
      <c r="L624" s="1466"/>
      <c r="M624" s="669">
        <f>IFERROR(VLOOKUP(G624,_Daylight_Table[],2,FALSE),0)</f>
        <v>0</v>
      </c>
      <c r="N624" s="670"/>
      <c r="O624" s="669" t="e">
        <f>VLOOKUP(G623,'Space Table'!$B$3:$L$160,11,FALSE)</f>
        <v>#N/A</v>
      </c>
      <c r="P624" s="1408"/>
      <c r="Q624" s="1409"/>
      <c r="R624" s="1409"/>
      <c r="S624" s="1402"/>
      <c r="T624" s="671" t="s">
        <v>281</v>
      </c>
      <c r="U624" s="1467" t="str">
        <f>IFERROR(VLOOKUP(U623,Fixtures!DM$93:DP$142,4,FALSE),"")</f>
        <v/>
      </c>
      <c r="V624" s="1468"/>
      <c r="W624" s="1468"/>
      <c r="X624" s="1468"/>
      <c r="Y624" s="1468"/>
      <c r="Z624" s="1468"/>
      <c r="AA624" s="1468"/>
      <c r="AB624" s="1046" t="str">
        <f>IFERROR(VLOOKUP(U623,Fixtures_Proposed_List,2,FALSE),"")</f>
        <v/>
      </c>
      <c r="AC624" s="1036" t="str">
        <f>IFERROR(ROUND(T623*AB624*N622*R622/1000,0),"")</f>
        <v/>
      </c>
      <c r="AD624" s="1037" t="str">
        <f>IFERROR(ROUND(T623*AB624/1000,2),"")</f>
        <v/>
      </c>
      <c r="AE624" s="1045" t="s">
        <v>281</v>
      </c>
      <c r="AF624" s="1469"/>
      <c r="AG624" s="1469"/>
      <c r="AH624" s="1469"/>
      <c r="AI624" s="1469"/>
      <c r="AJ624" s="1476"/>
      <c r="AK624" s="1471"/>
      <c r="AL624" s="1473"/>
      <c r="AM624" s="1443"/>
      <c r="AN624" s="1444"/>
      <c r="AO624" s="1449"/>
      <c r="AP624" s="1449"/>
      <c r="AQ624" s="1450"/>
      <c r="AR624" s="1453"/>
      <c r="AS624" s="1456"/>
      <c r="AT624" s="1459"/>
      <c r="AU624" s="517"/>
      <c r="AV624" s="1480"/>
      <c r="AW624" s="1480"/>
      <c r="BC624" s="38"/>
      <c r="BD624" s="38"/>
      <c r="BE624" s="38"/>
      <c r="BF624" s="38"/>
      <c r="BG624" s="38"/>
      <c r="BH624" s="38"/>
      <c r="BI624" s="38"/>
      <c r="BJ624" s="38"/>
      <c r="BK624" s="38"/>
      <c r="BL624" s="38"/>
      <c r="BM624" s="38"/>
      <c r="BN624" s="38"/>
      <c r="BO624" s="38"/>
      <c r="BP624" s="38"/>
      <c r="BQ624" s="38"/>
      <c r="BR624" s="38"/>
      <c r="BS624" s="38"/>
      <c r="BT624" s="38"/>
      <c r="BU624" s="38"/>
      <c r="BV624" s="38"/>
      <c r="BW624" s="38"/>
      <c r="BX624" s="38"/>
      <c r="BY624" s="38"/>
      <c r="BZ624" s="38"/>
      <c r="CA624" s="38"/>
      <c r="CB624" s="38"/>
      <c r="CC624" s="38"/>
      <c r="CD624" s="38"/>
      <c r="CE624" s="38"/>
      <c r="CF624" s="38"/>
      <c r="CG624" s="38"/>
      <c r="CH624" s="38"/>
      <c r="CI624" s="38"/>
      <c r="CM624" s="1352"/>
      <c r="CN624" s="1352"/>
      <c r="CO624" s="1416"/>
      <c r="CP624" s="1418"/>
      <c r="CR624" s="1386"/>
      <c r="CS624" s="1355"/>
      <c r="CT624" s="1355"/>
      <c r="CU624" s="1375"/>
      <c r="CV624" s="1372"/>
      <c r="CW624" s="1372"/>
      <c r="CX624" s="1372"/>
      <c r="CY624" s="1487"/>
      <c r="CZ624" s="1487"/>
      <c r="DA624" s="1487"/>
      <c r="DC624" s="1355"/>
      <c r="DD624" s="1355"/>
      <c r="DE624" s="1375"/>
      <c r="DF624" s="1407"/>
      <c r="DG624" s="1372"/>
      <c r="DH624" s="1369"/>
      <c r="DK624" s="1484"/>
      <c r="DL624" s="1420"/>
      <c r="DN624" s="1403"/>
      <c r="DO624" s="1405"/>
      <c r="DP624" s="1355"/>
      <c r="DQ624" s="1405"/>
      <c r="DR624" s="1403"/>
      <c r="DS624" s="1489"/>
      <c r="DU624" s="1403"/>
      <c r="DV624" s="1405"/>
      <c r="DW624" s="1403"/>
      <c r="DX624" s="1403"/>
      <c r="DZ624" s="1481"/>
      <c r="EA624" s="1481"/>
      <c r="EC624" s="1482"/>
      <c r="ED624" s="1369"/>
      <c r="EE624" s="1372"/>
      <c r="EF624" s="1369"/>
      <c r="EG624" s="1369"/>
      <c r="EH624" s="1375"/>
      <c r="EI624" s="1375"/>
      <c r="EJ624" s="1363"/>
      <c r="EK624" s="1376"/>
      <c r="EL624" s="1376"/>
      <c r="EM624" s="1362"/>
      <c r="EN624" s="1362"/>
      <c r="EO624" s="1363"/>
      <c r="EP624" s="1363"/>
      <c r="EQ624" s="1363"/>
      <c r="ES624" s="1403"/>
      <c r="EU624" s="1488"/>
      <c r="EV624" s="1488"/>
      <c r="EW624" s="1488"/>
      <c r="EX624" s="1488"/>
      <c r="EY624" s="1488"/>
      <c r="EZ624" s="1414"/>
      <c r="FB624" s="1365"/>
      <c r="FD624" s="1355"/>
      <c r="FE624" s="1355"/>
      <c r="FF624" s="138"/>
      <c r="FI624" s="1357"/>
      <c r="FJ624" s="1357"/>
      <c r="FK624" s="1365"/>
      <c r="FL624" s="1365"/>
      <c r="FM624" s="1365"/>
      <c r="FO624" s="1361"/>
      <c r="FP624" s="1361"/>
      <c r="FQ624" s="1366"/>
      <c r="FR624" s="1361"/>
      <c r="FS624" s="1361"/>
      <c r="FT624" s="1361"/>
      <c r="FU624" s="1360"/>
      <c r="FW624" s="1352"/>
      <c r="FX624" s="1352"/>
      <c r="FY624" s="1352"/>
      <c r="FZ624" s="1352"/>
      <c r="GA624" s="1352"/>
      <c r="GB624" s="1352"/>
      <c r="GC624" s="1352"/>
      <c r="GD624" s="1352"/>
      <c r="GE624" s="759"/>
      <c r="GF624" s="1035"/>
      <c r="GG624" s="1385"/>
      <c r="GJ624" s="1034">
        <f>IF(GJ622=TRUE,0,GJ$16)</f>
        <v>0</v>
      </c>
      <c r="GL624" s="1034">
        <f>IF(GL622=TRUE,0,GL$16)</f>
        <v>36</v>
      </c>
      <c r="GM624" s="1034">
        <f>IF(GM622=TRUE,0,GM$16)</f>
        <v>35</v>
      </c>
      <c r="GN624" s="436"/>
      <c r="GO624" s="436"/>
      <c r="GP624" s="436"/>
      <c r="GQ624" s="436"/>
      <c r="GR624" s="436"/>
      <c r="HC624" s="1034">
        <f t="shared" ref="HC624:HH624" si="462">IF(HC622=TRUE,0,HC$16)</f>
        <v>19</v>
      </c>
      <c r="HD624" s="1034">
        <f t="shared" si="462"/>
        <v>18</v>
      </c>
      <c r="HE624" s="1034">
        <f t="shared" si="462"/>
        <v>17</v>
      </c>
      <c r="HF624" s="1034">
        <f t="shared" si="462"/>
        <v>16</v>
      </c>
      <c r="HG624" s="1034">
        <f t="shared" si="462"/>
        <v>0</v>
      </c>
      <c r="HH624" s="1034">
        <f t="shared" si="462"/>
        <v>0</v>
      </c>
      <c r="HI624" s="1034">
        <f>IF(HI622=TRUE,0,HI$16)</f>
        <v>13</v>
      </c>
      <c r="HJ624" s="1034">
        <f t="shared" ref="HJ624:HL624" si="463">IF(HJ622=TRUE,0,HJ$16)</f>
        <v>12</v>
      </c>
      <c r="HK624" s="1034">
        <f t="shared" si="463"/>
        <v>11</v>
      </c>
      <c r="HL624" s="1034">
        <f t="shared" si="463"/>
        <v>10</v>
      </c>
      <c r="HM624" s="1034">
        <f>IF(HM622=TRUE,0,HM$16)</f>
        <v>9</v>
      </c>
      <c r="HN624" s="1034">
        <f t="shared" ref="HN624:HR624" si="464">IF(HN622=TRUE,0,HN$16)</f>
        <v>0</v>
      </c>
      <c r="HO624" s="1034">
        <f t="shared" si="464"/>
        <v>0</v>
      </c>
      <c r="HP624" s="1034">
        <f t="shared" si="464"/>
        <v>0</v>
      </c>
      <c r="HQ624" s="1034">
        <f t="shared" si="464"/>
        <v>0</v>
      </c>
      <c r="HR624" s="1034">
        <f t="shared" si="464"/>
        <v>0</v>
      </c>
      <c r="HS624" s="1034">
        <f>IF(HS622=TRUE,0,HS$16)</f>
        <v>0</v>
      </c>
      <c r="HT624" s="1034">
        <f t="shared" ref="HT624" si="465">IF(HT622=TRUE,0,HT$16)</f>
        <v>0</v>
      </c>
      <c r="HU624" s="1034">
        <f>IF(HU622=TRUE,0,HU$16)</f>
        <v>1</v>
      </c>
      <c r="HW624" s="1034">
        <f>IF(GL622=FALSE,GL624,IF(GM622=FALSE,GM624,MAX(GJ624:HU624)))</f>
        <v>36</v>
      </c>
      <c r="HX624" s="1383"/>
      <c r="HY624" s="241" t="str">
        <f>VLOOKUP(HW624,_Error_Table,3,FALSE)</f>
        <v xml:space="preserve"> </v>
      </c>
      <c r="HZ624" s="241"/>
      <c r="IA624" s="1386"/>
      <c r="IB624" s="1380"/>
      <c r="IC624" s="1379"/>
      <c r="IF624" s="1380"/>
      <c r="IG624" s="1383"/>
      <c r="IH624" s="1383"/>
      <c r="II624" s="1383"/>
      <c r="IK624" s="1351"/>
      <c r="IL624" s="1351"/>
      <c r="IM624" s="1351"/>
      <c r="IN624" s="1351"/>
      <c r="IO624" s="1351"/>
      <c r="IP624" s="1351"/>
    </row>
    <row r="625" spans="1:250" s="82" customFormat="1" ht="5.0999999999999996" customHeight="1" thickTop="1" thickBot="1">
      <c r="B625" s="763"/>
      <c r="C625" s="1038"/>
      <c r="D625" s="1038"/>
      <c r="E625" s="1562"/>
      <c r="F625" s="1563"/>
      <c r="G625" s="1563"/>
      <c r="H625" s="1563"/>
      <c r="I625" s="1563"/>
      <c r="J625" s="1563"/>
      <c r="K625" s="1563"/>
      <c r="L625" s="1563"/>
      <c r="M625" s="1563"/>
      <c r="N625" s="1563"/>
      <c r="O625" s="1563"/>
      <c r="P625" s="1563"/>
      <c r="Q625" s="1563"/>
      <c r="R625" s="1563"/>
      <c r="S625" s="1563"/>
      <c r="T625" s="1563"/>
      <c r="U625" s="1563"/>
      <c r="V625" s="1563"/>
      <c r="W625" s="1563"/>
      <c r="X625" s="1563"/>
      <c r="Y625" s="1563"/>
      <c r="Z625" s="1563"/>
      <c r="AA625" s="1563"/>
      <c r="AB625" s="1563"/>
      <c r="AC625" s="1563"/>
      <c r="AD625" s="1563"/>
      <c r="AE625" s="1563"/>
      <c r="AF625" s="1563"/>
      <c r="AG625" s="1563"/>
      <c r="AH625" s="1563"/>
      <c r="AI625" s="1563"/>
      <c r="AJ625" s="1563"/>
      <c r="AK625" s="1563"/>
      <c r="AL625" s="1563"/>
      <c r="AM625" s="1563"/>
      <c r="AN625" s="1563"/>
      <c r="AO625" s="1563"/>
      <c r="AP625" s="1563"/>
      <c r="AQ625" s="1563"/>
      <c r="AR625" s="1563"/>
      <c r="AS625" s="1563"/>
      <c r="AT625" s="1564"/>
      <c r="AU625" s="1041"/>
      <c r="BC625" s="38"/>
      <c r="BD625" s="38"/>
      <c r="BE625" s="38"/>
      <c r="BF625" s="38"/>
      <c r="BG625" s="38"/>
      <c r="BH625" s="38"/>
      <c r="BI625" s="38"/>
      <c r="BJ625" s="38"/>
      <c r="BK625" s="38"/>
      <c r="BL625" s="38"/>
      <c r="BM625" s="38"/>
      <c r="BN625" s="38"/>
      <c r="BO625" s="38"/>
      <c r="BP625" s="38"/>
      <c r="BQ625" s="38"/>
      <c r="BR625" s="38"/>
      <c r="BS625" s="38"/>
      <c r="BT625" s="38"/>
      <c r="BU625" s="38"/>
      <c r="BV625" s="38"/>
      <c r="BW625" s="38"/>
      <c r="BX625" s="38"/>
      <c r="BY625" s="38"/>
      <c r="BZ625" s="38"/>
      <c r="CA625" s="38"/>
      <c r="CB625" s="38"/>
      <c r="CC625" s="38"/>
      <c r="CD625" s="38"/>
      <c r="CE625" s="38"/>
      <c r="CF625" s="38"/>
      <c r="CG625" s="38"/>
      <c r="CH625" s="38"/>
      <c r="CI625" s="38"/>
      <c r="CM625" s="749"/>
      <c r="CN625" s="749"/>
      <c r="CO625" s="1043"/>
      <c r="CP625" s="749"/>
      <c r="CS625" s="436"/>
      <c r="CT625" s="436"/>
      <c r="CU625" s="243"/>
      <c r="CV625" s="244"/>
      <c r="CW625" s="244"/>
      <c r="CX625" s="244"/>
      <c r="CY625" s="245"/>
      <c r="CZ625" s="245"/>
      <c r="DA625" s="245"/>
      <c r="DC625" s="750"/>
      <c r="DD625" s="751"/>
      <c r="DE625" s="752"/>
      <c r="DF625" s="753"/>
      <c r="DG625" s="754"/>
      <c r="DH625" s="754"/>
      <c r="DK625" s="244"/>
      <c r="DL625" s="750"/>
      <c r="DN625" s="750"/>
      <c r="DO625" s="755"/>
      <c r="DP625" s="436"/>
      <c r="DQ625" s="750"/>
      <c r="DR625" s="750"/>
      <c r="DS625" s="750"/>
      <c r="DU625" s="750"/>
      <c r="DV625" s="750"/>
      <c r="DW625" s="750"/>
      <c r="DX625" s="750"/>
      <c r="DZ625" s="756"/>
      <c r="EA625" s="756"/>
      <c r="EC625" s="754"/>
      <c r="ED625" s="754"/>
      <c r="EE625" s="244"/>
      <c r="EF625" s="754"/>
      <c r="EG625" s="754"/>
      <c r="EH625" s="243"/>
      <c r="EI625" s="243"/>
      <c r="EJ625" s="752"/>
      <c r="EK625" s="757"/>
      <c r="EL625" s="757"/>
      <c r="EM625" s="758"/>
      <c r="EN625" s="758"/>
      <c r="EO625" s="752"/>
      <c r="EP625" s="752"/>
      <c r="EQ625" s="752"/>
      <c r="ES625" s="750"/>
      <c r="EU625" s="436"/>
      <c r="EV625" s="436"/>
      <c r="EW625" s="436"/>
      <c r="EX625" s="436"/>
      <c r="EY625" s="436"/>
      <c r="EZ625" s="436"/>
      <c r="FB625" s="643"/>
      <c r="FD625" s="436"/>
      <c r="FE625" s="436"/>
      <c r="FF625" s="436"/>
      <c r="FO625" s="750"/>
      <c r="FP625" s="436"/>
      <c r="FQ625" s="436"/>
      <c r="FR625" s="750"/>
      <c r="FS625" s="750"/>
      <c r="FW625" s="749"/>
      <c r="FX625" s="749"/>
      <c r="FY625" s="749"/>
      <c r="FZ625" s="749"/>
      <c r="GA625" s="749"/>
      <c r="GB625" s="749"/>
      <c r="GC625" s="749"/>
      <c r="GD625" s="749"/>
      <c r="GE625" s="751"/>
      <c r="GF625" s="750"/>
      <c r="GG625" s="750"/>
    </row>
    <row r="626" spans="1:250" s="82" customFormat="1" ht="14.95" customHeight="1" thickTop="1" thickBot="1">
      <c r="B626" s="1421" t="str">
        <f>HY629</f>
        <v xml:space="preserve"> </v>
      </c>
      <c r="C626" s="1422">
        <f>C621+1</f>
        <v>114</v>
      </c>
      <c r="D626" s="1423"/>
      <c r="E626" s="1424" t="s">
        <v>242</v>
      </c>
      <c r="F626" s="1425"/>
      <c r="G626" s="1426"/>
      <c r="H626" s="1427"/>
      <c r="I626" s="1427"/>
      <c r="J626" s="1427"/>
      <c r="K626" s="1427"/>
      <c r="L626" s="1427"/>
      <c r="M626" s="1427"/>
      <c r="N626" s="1427"/>
      <c r="O626" s="1427"/>
      <c r="P626" s="1427"/>
      <c r="Q626" s="1427"/>
      <c r="R626" s="1427"/>
      <c r="S626" s="1428" t="s">
        <v>283</v>
      </c>
      <c r="T626" s="668" t="s">
        <v>190</v>
      </c>
      <c r="U626" s="1430" t="s">
        <v>186</v>
      </c>
      <c r="V626" s="1431"/>
      <c r="W626" s="1431"/>
      <c r="X626" s="1431"/>
      <c r="Y626" s="1431"/>
      <c r="Z626" s="1431"/>
      <c r="AA626" s="1431"/>
      <c r="AB626" s="1088" t="str">
        <f>IFERROR(IF(__Retrofit_TI_NC=0,VLOOKUP(U627,Fixtures_Existing_List,2,FALSE),ROUND(N628*R628/T628,10)),"")</f>
        <v/>
      </c>
      <c r="AC626" s="1039" t="str">
        <f>IFERROR(IF(__Retrofit_TI_NC=0,ROUND(T627*AB626*N627*R627/1000,0),IF(CN626="Interior",N628*R628*R627*N627*_C406_reduction/1000,N628*R628*R627*N627/1000)),"")</f>
        <v/>
      </c>
      <c r="AD626" s="1040" t="str">
        <f>IFERROR(IF(C$36=0,ROUND(T627*AB626/1000,2),N628*R628/1000),"")</f>
        <v/>
      </c>
      <c r="AE626" s="1044" t="s">
        <v>190</v>
      </c>
      <c r="AF626" s="1432" t="str">
        <f>IF(__Retrofit_TI_NC=2,CONCATENATE("Code min = ",DD626),IF(__Retrofit_TI_NC=1,"Emter what you think the existing control was"," Control"))</f>
        <v xml:space="preserve"> Control</v>
      </c>
      <c r="AG626" s="1432"/>
      <c r="AH626" s="1432"/>
      <c r="AI626" s="1432"/>
      <c r="AJ626" s="1433">
        <f>DF626</f>
        <v>0</v>
      </c>
      <c r="AK626" s="1435" t="str">
        <f>IFERROR(ROUND(AJ626*AC626,0),"")</f>
        <v/>
      </c>
      <c r="AL626" s="1437">
        <f>IFERROR(IF(HW626=FALSE,0,AC626-AK626),0)</f>
        <v>0</v>
      </c>
      <c r="AM626" s="1439">
        <f>AL626-AL628</f>
        <v>0</v>
      </c>
      <c r="AN626" s="1440"/>
      <c r="AO626" s="1445">
        <f>IFERROR(IF(HW626=FALSE,0,(T628*U629)+(AE628*AF629)),0)</f>
        <v>0</v>
      </c>
      <c r="AP626" s="1445"/>
      <c r="AQ626" s="1446"/>
      <c r="AR626" s="1451" t="s">
        <v>157</v>
      </c>
      <c r="AS626" s="1454">
        <f>IF(AR626="Yes",1,0)</f>
        <v>1</v>
      </c>
      <c r="AT626" s="1457" t="str">
        <f>IF(OR(DN626=4,DN626=5,DN626=6,DN626=12),CONCATENATE("$",IF(GD626=TRUE,Lookup!$B$11,Lookup!$B$2)," /lamp"),CONCATENATE(EA626,"/ kWh"))</f>
        <v>0/ kWh</v>
      </c>
      <c r="AU626" s="516"/>
      <c r="AV626" s="1478">
        <f>IFERROR(IF(GI627=TRUE,(AB629*T628)/R628,0),"NA")</f>
        <v>0</v>
      </c>
      <c r="AW626" s="1478" t="str">
        <f>IFERROR(N628*_C406_reduction,"NA")</f>
        <v>NA</v>
      </c>
      <c r="BC626" s="38"/>
      <c r="BD626" s="38"/>
      <c r="BE626" s="38"/>
      <c r="BF626" s="38"/>
      <c r="BG626" s="38"/>
      <c r="BH626" s="38"/>
      <c r="BI626" s="38"/>
      <c r="BJ626" s="38"/>
      <c r="BK626" s="38"/>
      <c r="BL626" s="38"/>
      <c r="BM626" s="38"/>
      <c r="BN626" s="38"/>
      <c r="BO626" s="38"/>
      <c r="BP626" s="38"/>
      <c r="BQ626" s="38"/>
      <c r="BR626" s="38"/>
      <c r="BS626" s="38"/>
      <c r="BT626" s="38"/>
      <c r="BU626" s="38"/>
      <c r="BV626" s="38"/>
      <c r="BW626" s="38"/>
      <c r="BX626" s="38"/>
      <c r="BY626" s="38"/>
      <c r="BZ626" s="38"/>
      <c r="CA626" s="38"/>
      <c r="CB626" s="38"/>
      <c r="CC626" s="38"/>
      <c r="CD626" s="38"/>
      <c r="CE626" s="38"/>
      <c r="CF626" s="38"/>
      <c r="CG626" s="38"/>
      <c r="CH626" s="38"/>
      <c r="CI626" s="38"/>
      <c r="CM626" s="1352" t="str">
        <f>N627</f>
        <v/>
      </c>
      <c r="CN626" s="1352" t="str">
        <f>IFERROR(VLOOKUP(G627,_Lookup_Heat_Type_Table_New,3,FALSE),"")</f>
        <v/>
      </c>
      <c r="CO626" s="1415" t="str">
        <f>CN626</f>
        <v/>
      </c>
      <c r="CP626" s="1417" t="e">
        <f>VLOOKUP(G628,'Space Table'!$B$3:$L$160,9,FALSE)</f>
        <v>#N/A</v>
      </c>
      <c r="CR626" s="1386" t="s">
        <v>283</v>
      </c>
      <c r="CS626" s="1353">
        <f>IF(HW626=TRUE,T627,0)</f>
        <v>0</v>
      </c>
      <c r="CT626" s="1353" t="str">
        <f>IF(HW626=TRUE,U627,"")</f>
        <v/>
      </c>
      <c r="CU626" s="1353"/>
      <c r="CV626" s="1370">
        <f>IF(HW626=TRUE,AB626,0)</f>
        <v>0</v>
      </c>
      <c r="CW626" s="1370">
        <f>IF(HW626=TRUE,AC626,0)</f>
        <v>0</v>
      </c>
      <c r="CX626" s="1370">
        <f>IFERROR(IF(HW626=TRUE,CW626-CW628,0),0)</f>
        <v>0</v>
      </c>
      <c r="CY626" s="1485">
        <f>IF(HW626=TRUE,AD626,0)</f>
        <v>0</v>
      </c>
      <c r="CZ626" s="1485">
        <f>IF(HW626=TRUE,AD629,0)</f>
        <v>0</v>
      </c>
      <c r="DA626" s="1485">
        <f>IFERROR(CY626-CZ626,0)</f>
        <v>0</v>
      </c>
      <c r="DC626" s="1353">
        <f>IF(HW626=TRUE,AE627,0)</f>
        <v>0</v>
      </c>
      <c r="DD626" s="1460">
        <f>IF(__Retrofit_TI_NC=2,IF(CN626="Exterior",O629,FM626),FK626)</f>
        <v>0</v>
      </c>
      <c r="DE626" s="1353"/>
      <c r="DF626" s="1406">
        <f>IFERROR(IF(FL626=3,IK626,IF(FL626=4,IL626,IF(FL626=5,IM626,IF(FL626=6,IN626,IF(FL626=7,IO626,IF(FL626=8,IP626,0)))))),0)</f>
        <v>0</v>
      </c>
      <c r="DG626" s="1370">
        <f>IF(HW626=TRUE,AK626,0)</f>
        <v>0</v>
      </c>
      <c r="DH626" s="1369">
        <f>IFERROR(IF(HW626=TRUE,DG628-DG626,0),0)</f>
        <v>0</v>
      </c>
      <c r="DJ626" s="1483">
        <f>IFERROR(CW626-DG626,0)</f>
        <v>0</v>
      </c>
      <c r="DL626" s="1419">
        <f>DJ626-DK628</f>
        <v>0</v>
      </c>
      <c r="DN626" s="1403" t="str">
        <f>IFERROR(IF(AND(OR(FY626=4,FY626=5,FY626=6),OR(GB626=4,GB626=5,GB626=6)),FY626+8,VLOOKUP(CT628,Fixtures!R$31:Y$78,8,FALSE)),"")</f>
        <v/>
      </c>
      <c r="DO626" s="1404" t="str">
        <f>DN626</f>
        <v/>
      </c>
      <c r="DP626" s="1353" t="str">
        <f>IFERROR(VLOOKUP(DD628,Lookup!AU$3:AV$15,2,FALSE),"")</f>
        <v/>
      </c>
      <c r="DQ626" s="1404" t="str">
        <f>IF(DP626=7,"LLLC","")</f>
        <v/>
      </c>
      <c r="DR626" s="1403">
        <f>IFERROR(IF(OR(DN626=4,DN626=5,DN626=6,DN626=12,DN626=13,DN626=14),VLOOKUP(CT628,Fixtures!DN$27:EG$77,19,FALSE),1)*CS628,0)</f>
        <v>0</v>
      </c>
      <c r="DS626" s="1489">
        <f>IF(DP626=7,IF(DD626=DD628,0,DC628),0)</f>
        <v>0</v>
      </c>
      <c r="DU626" s="1403" t="str">
        <f>IFERROR(IF(EW626&lt;EW628,"Yes","No"),"")</f>
        <v/>
      </c>
      <c r="DV626" s="1404" t="str">
        <f>DU626</f>
        <v/>
      </c>
      <c r="DW626" s="1403">
        <f>IF(DU626="Yes",DC628,0)</f>
        <v>0</v>
      </c>
      <c r="DX626" s="1403">
        <f>DW626-DS626</f>
        <v>0</v>
      </c>
      <c r="DZ626" s="1481">
        <f>IFERROR(VLOOKUP(DN626,Lookup!AN$3:AO$16,2,FALSE),0)</f>
        <v>0</v>
      </c>
      <c r="EA626" s="1481">
        <f>IF(HW626=FALSE,0,IF(DU626="Yes",DZ626+Lookup!B$6,DZ626))</f>
        <v>0</v>
      </c>
      <c r="EC626" s="1482">
        <f>IF(HW626=TRUE,DJ626,0)</f>
        <v>0</v>
      </c>
      <c r="ED626" s="1369">
        <f>IF(HW626=TRUE,CW628,0)</f>
        <v>0</v>
      </c>
      <c r="EE626" s="1370">
        <f>IFERROR(EC626-ED626,0)</f>
        <v>0</v>
      </c>
      <c r="EF626" s="1369">
        <f>IF(HW626=TRUE,DG628,0)</f>
        <v>0</v>
      </c>
      <c r="EG626" s="1369">
        <f>IFERROR(EC626-ED626+EF626,0)</f>
        <v>0</v>
      </c>
      <c r="EH626" s="1373">
        <f>IF(HW626=TRUE,CS628*CU628,0)</f>
        <v>0</v>
      </c>
      <c r="EI626" s="1373">
        <f>IF(HW626=TRUE,DC628*DE628,0)</f>
        <v>0</v>
      </c>
      <c r="EJ626" s="1363">
        <f>AO626</f>
        <v>0</v>
      </c>
      <c r="EK626" s="1376" t="str">
        <f>IFERROR(IF(HW626=TRUE,VLOOKUP(DN626,Lookup!AN$3:AP$16,3,FALSE)*DR626,""),0)</f>
        <v/>
      </c>
      <c r="EL626" s="1376">
        <f>IF(HW626=TRUE,DW626*Lookup!AP$12,0)</f>
        <v>0</v>
      </c>
      <c r="EM626" s="1362">
        <f>IFERROR(IF(HW626=TRUE,EK626/EM$33,0),0)</f>
        <v>0</v>
      </c>
      <c r="EN626" s="1362">
        <f>IF(HW626=TRUE,EL626/EN$33,0)</f>
        <v>0</v>
      </c>
      <c r="EO626" s="1363">
        <f>IF(HW626=TRUE,EQ$33*EM626,0)</f>
        <v>0</v>
      </c>
      <c r="EP626" s="1363">
        <f>IF(HW626=TRUE,EQ$33*EN626,0)</f>
        <v>0</v>
      </c>
      <c r="EQ626" s="1363">
        <f>EO626+EP626</f>
        <v>0</v>
      </c>
      <c r="ES626" s="1403">
        <f>IF(G626="",0,1)</f>
        <v>0</v>
      </c>
      <c r="EU626" s="1410" t="e">
        <f>VLOOKUP(CP628,'Space Table'!$B$3:$L$160,8,FALSE)</f>
        <v>#N/A</v>
      </c>
      <c r="EV626" s="1410" t="e">
        <f>IF(EY626="Yes",VLOOKUP(DD626,Lookup_Control_Type_Table2,4,FALSE),VLOOKUP(DD626,Lookup_Control_Type_Table2,3,FALSE))</f>
        <v>#N/A</v>
      </c>
      <c r="EW626" s="1410" t="e">
        <f>VLOOKUP(DD626,Lookup!AU$3:AV$15,2,FALSE)</f>
        <v>#N/A</v>
      </c>
      <c r="EX626" s="1410" t="e">
        <f>VLOOKUP(EU626,Lookup_Control_Type_Table,2,FALSE)</f>
        <v>#N/A</v>
      </c>
      <c r="EY626" s="1410" t="e">
        <f>VLOOKUP(CP628,'Space Table'!$B$3:$L$160,7,FALSE)</f>
        <v>#N/A</v>
      </c>
      <c r="EZ626" s="1412" t="b">
        <f>ISNUMBER(SEARCH("TLED",U628))</f>
        <v>0</v>
      </c>
      <c r="FB626" s="1365" t="str">
        <f>CONCATENATE(CN626," - ",DD626)</f>
        <v xml:space="preserve"> - 0</v>
      </c>
      <c r="FD626" s="1353" t="str">
        <f>VLOOKUP(CT628,Fixtures!DN$27:EZ$77,38,FALSE)</f>
        <v/>
      </c>
      <c r="FE626" s="1353">
        <f>IFERROR(FD626*EE626,0)</f>
        <v>0</v>
      </c>
      <c r="FF626" s="138"/>
      <c r="FI626" s="1356" t="str">
        <f>IF(CN626="Exterior","Not Daylighted",G629)</f>
        <v>Not Daylighted</v>
      </c>
      <c r="FJ626" s="1356">
        <f>VLOOKUP(FI626,_Daylight_Table_Codes,2,FALSE)</f>
        <v>0</v>
      </c>
      <c r="FK626" s="1365">
        <f>IF(__Retrofit_TI_NC=2,VLOOKUP(G628,'Space Table'!$B$3:$L$160,11,FALSE),AF627)</f>
        <v>0</v>
      </c>
      <c r="FL626" s="1365" t="e">
        <f>VLOOKUP(FK626,_Control_Table,2,FALSE)</f>
        <v>#N/A</v>
      </c>
      <c r="FM626" s="1365" t="e">
        <f>IF(AND(FP626&gt;0,FK626="Occupancy Sensor"),"Daylight + Occupancy",IF(AND(FP626&gt;0,FL626&lt;4),"Interior Daylight Dimming",FK626))</f>
        <v>#N/A</v>
      </c>
      <c r="FO626" s="1364">
        <f>IF(CO626="Interior",VLOOKUP(CP626,Control_Savings_Interior,5,FALSE),0)</f>
        <v>0</v>
      </c>
      <c r="FP626" s="1361">
        <f>IF(CN626="Exterior",0,IF(FJ626=2,0.5,IF(OR(FJ626=1,FJ626=3),1,0)))</f>
        <v>0</v>
      </c>
      <c r="FQ626" s="1366"/>
      <c r="FR626" s="1367"/>
      <c r="FS626" s="1364"/>
      <c r="FT626" s="1367"/>
      <c r="FU626" s="1360"/>
      <c r="FW626" s="1352" t="str">
        <f>IFERROR(VLOOKUP(U627,_Exist_Fixture_Table,3,FALSE),"")</f>
        <v/>
      </c>
      <c r="FX626" s="1352" t="str">
        <f>VLOOKUP(CT626,_Exist_Fixture_Table,4,FALSE)</f>
        <v/>
      </c>
      <c r="FY626" s="1352">
        <f>IFERROR(VLOOKUP(FX626,Lookup!AM$6:AN$8,2,FALSE),0)</f>
        <v>0</v>
      </c>
      <c r="FZ626" s="1352" t="b">
        <f>IFERROR(IF(OR(GB626=4,GB626=5,GB626=6),TRUE,FALSE),"")</f>
        <v>0</v>
      </c>
      <c r="GA626" s="1352" t="str">
        <f>IFERROR(VLOOKUP(GB626,FY$6:FZ$10,2,FALSE),"")</f>
        <v/>
      </c>
      <c r="GB626" s="1352" t="str">
        <f>VLOOKUP(CT628,Fixtures!R$31:Y$78,8,FALSE)</f>
        <v/>
      </c>
      <c r="GC626" s="1352">
        <f>IF(AND(FW626=TRUE,FZ626=TRUE,OR(DN626=12,DN626=13,DN626=14)),FY626+8,0)</f>
        <v>0</v>
      </c>
      <c r="GD626" s="1352" t="b">
        <f>IF(OR(GC626=12,GC626=13,GC626=14),TRUE,FALSE)</f>
        <v>0</v>
      </c>
      <c r="GE626" s="759" t="b">
        <f>IF(ISNUMBER(SEARCH("TLED",U627)),TRUE,FALSE)</f>
        <v>0</v>
      </c>
      <c r="GF626" s="1035" t="str">
        <f>IFERROR(VLOOKUP(U627,Fixtures!BM$93:BR$142,6,FALSE),"")</f>
        <v/>
      </c>
      <c r="GG626" s="1385" t="b">
        <f>IF(OR(GE626=FALSE,GE628=FALSE),TRUE,IF(GF626-GF628&lt;5,FALSE,TRUE))</f>
        <v>1</v>
      </c>
      <c r="GK626" s="1034">
        <f>GL626</f>
        <v>0</v>
      </c>
      <c r="GL626" s="1034">
        <f>IF(G626="",0,1)</f>
        <v>0</v>
      </c>
      <c r="GM626" s="1034">
        <f>SUM(GN626:HB626)</f>
        <v>2</v>
      </c>
      <c r="GN626" s="1034">
        <f>IF(G627="",0,1)</f>
        <v>0</v>
      </c>
      <c r="GO626" s="1034">
        <f>IF(G628="",0,1)</f>
        <v>0</v>
      </c>
      <c r="GP626" s="1034">
        <f>IF(R627="",0,1)</f>
        <v>0</v>
      </c>
      <c r="GQ626" s="1034">
        <f>IF(__Retrofit_TI_NC=0,1,IF(R628="",0,1))</f>
        <v>1</v>
      </c>
      <c r="GR626" s="1034">
        <f>IF(CN626="Exterior",1,IF(G629="",0,1))</f>
        <v>1</v>
      </c>
      <c r="GS626" s="1034">
        <f>IF(__Retrofit_TI_NC&lt;&gt;0,1,IF(T627="",0,1))</f>
        <v>0</v>
      </c>
      <c r="GT626" s="1034">
        <f>IF(__Retrofit_TI_NC&lt;&gt;0,1,IF(U627="",0,1))</f>
        <v>0</v>
      </c>
      <c r="GU626" s="1034">
        <f>IF(T628="",0,1)</f>
        <v>0</v>
      </c>
      <c r="GV626" s="1034">
        <f>IF(U628="",0,1)</f>
        <v>0</v>
      </c>
      <c r="GW626" s="1034">
        <f>IF(__Retrofit_TI_NC=2,1,IF(U629="",0,1))</f>
        <v>0</v>
      </c>
      <c r="GX626" s="1034">
        <f>IF(__Retrofit_TI_NC&lt;&gt;0,1,IF(AE627="",0,1))</f>
        <v>0</v>
      </c>
      <c r="GY626" s="1034">
        <f>IF(__Retrofit_TI_NC&lt;&gt;0,1,IF(AF627="",0,1))</f>
        <v>0</v>
      </c>
      <c r="GZ626" s="1034">
        <f>IF(AE628="",0,1)</f>
        <v>0</v>
      </c>
      <c r="HA626" s="1034">
        <f>IF(AF628="",0,1)</f>
        <v>0</v>
      </c>
      <c r="HB626" s="1034">
        <f>IF(__Retrofit_TI_NC=2,1,IF(AF629="",0,1))</f>
        <v>0</v>
      </c>
      <c r="HV626" s="436"/>
      <c r="HW626" s="1384" t="b">
        <f>IF(OR(HW629=0,HW629=HT$16,HW629=HS$16,HW629=HU$16),TRUE,FALSE)</f>
        <v>0</v>
      </c>
      <c r="HX626" s="1377" t="b">
        <f>HW626</f>
        <v>0</v>
      </c>
      <c r="HY626" s="436"/>
      <c r="HZ626" s="436"/>
      <c r="IA626" s="1386" t="b">
        <f>IF(MAX(GJ629:HP629)&gt;5,FALSE,TRUE)</f>
        <v>0</v>
      </c>
      <c r="IB626" s="1380">
        <f>IF(IA626=TRUE,AC626,0)</f>
        <v>0</v>
      </c>
      <c r="IC626" s="1380">
        <f>IB626-IB628</f>
        <v>0</v>
      </c>
      <c r="IF626" s="1380" t="e">
        <f>ROUND(T627*VLOOKUP(U627,Fixtures_Existing_List,2,FALSE)*N627*R627/1000,0)</f>
        <v>#N/A</v>
      </c>
      <c r="IG626" s="1381" t="e">
        <f>IF626-IF628</f>
        <v>#N/A</v>
      </c>
      <c r="IH626" s="1384" t="e">
        <f>ROUND(IF(CN626="Interior",N628*R628*R627*N627*_C406_reduction/1000,N628*R628*R627*N627/1000),0)</f>
        <v>#N/A</v>
      </c>
      <c r="II626" s="1384" t="e">
        <f>IH626-IH628</f>
        <v>#N/A</v>
      </c>
      <c r="IK626" s="1351" t="e">
        <f>IF($CO626="interior",IL626/2,VLOOKUP($CP626,Control_Savings_Exterior,IK$30,FALSE))</f>
        <v>#N/A</v>
      </c>
      <c r="IL626" s="1351" t="e">
        <f>IF($CO626="interior",VLOOKUP($CP626,Control_Savings_Interior,IL$30,FALSE),VLOOKUP($CP626,Control_Savings_Exterior,IL$30,FALSE))</f>
        <v>#N/A</v>
      </c>
      <c r="IM626" s="1351" t="e">
        <f>IF($CO626="interior",IF(R627&gt;FO$37,(IM$28*(FO$37/R627)),IM$28)*FP626,VLOOKUP($CP626,Control_Savings_Exterior,IM$30,FALSE))</f>
        <v>#N/A</v>
      </c>
      <c r="IN626" s="1351" t="e">
        <f>IF($CO626="interior",ROUND(((1-IL626)*IM626)+IL626,2),VLOOKUP($CP626,Control_Savings_Exterior,IN$30,FALSE))</f>
        <v>#N/A</v>
      </c>
      <c r="IO626" s="1351" t="e">
        <f>IF($CO626="interior", ROUND(((1-IL626)*(IM626*(1-IP$28)))+IP626,2), VLOOKUP($CP626,Control_Savings_Exterior,IO$30,FALSE))</f>
        <v>#N/A</v>
      </c>
      <c r="IP626" s="1351">
        <f>IF($CO626="interior",ROUND(((1-IL626)*IP$28)+IL626,2),0)</f>
        <v>0</v>
      </c>
    </row>
    <row r="627" spans="1:250" s="82" customFormat="1" ht="14.95" customHeight="1" thickTop="1" thickBot="1">
      <c r="B627" s="1421"/>
      <c r="C627" s="1422"/>
      <c r="D627" s="1423"/>
      <c r="E627" s="1393" t="s">
        <v>244</v>
      </c>
      <c r="F627" s="1394"/>
      <c r="G627" s="1395"/>
      <c r="H627" s="1395"/>
      <c r="I627" s="1395"/>
      <c r="J627" s="1395"/>
      <c r="K627" s="1395"/>
      <c r="L627" s="1395"/>
      <c r="M627" s="509" t="e">
        <f>IF(__Retrofit_TI_NC&lt;&gt;0,IF(VLOOKUP(G628,'Space Table'!$B$3:$L$160,3,FALSE)&gt;0,1,0),IF(__Retrofit_TI_NC=VLOOKUP(G628,'Space Table'!$B$3:$L$160,3,FALSE),1,0))</f>
        <v>#N/A</v>
      </c>
      <c r="N627" s="509" t="str">
        <f>IFERROR(VLOOKUP(G627,_Lookup_Heat_Type_Table_New,2,FALSE),"")</f>
        <v/>
      </c>
      <c r="O627" s="509">
        <f>IF(__Retrofit_TI_NC=1,CONCATENATE("TI ",G627),IF(__Retrofit_TI_NC=2,CONCATENATE("NC ",G627),G627))</f>
        <v>0</v>
      </c>
      <c r="P627" s="1396" t="s">
        <v>352</v>
      </c>
      <c r="Q627" s="1396"/>
      <c r="R627" s="673"/>
      <c r="S627" s="1429"/>
      <c r="T627" s="675"/>
      <c r="U627" s="1496"/>
      <c r="V627" s="1497"/>
      <c r="W627" s="1497"/>
      <c r="X627" s="1497"/>
      <c r="Y627" s="1497"/>
      <c r="Z627" s="1497"/>
      <c r="AA627" s="1497"/>
      <c r="AB627" s="1497"/>
      <c r="AC627" s="1497"/>
      <c r="AD627" s="1498"/>
      <c r="AE627" s="675"/>
      <c r="AF627" s="1397"/>
      <c r="AG627" s="1397"/>
      <c r="AH627" s="1397"/>
      <c r="AI627" s="1397"/>
      <c r="AJ627" s="1434"/>
      <c r="AK627" s="1436"/>
      <c r="AL627" s="1438"/>
      <c r="AM627" s="1441"/>
      <c r="AN627" s="1442"/>
      <c r="AO627" s="1447"/>
      <c r="AP627" s="1447"/>
      <c r="AQ627" s="1448"/>
      <c r="AR627" s="1452"/>
      <c r="AS627" s="1455"/>
      <c r="AT627" s="1458"/>
      <c r="AU627" s="516"/>
      <c r="AV627" s="1479"/>
      <c r="AW627" s="1479"/>
      <c r="BC627" s="38"/>
      <c r="BD627" s="38"/>
      <c r="BE627" s="38"/>
      <c r="BF627" s="38"/>
      <c r="BG627" s="38"/>
      <c r="BH627" s="38"/>
      <c r="BI627" s="38"/>
      <c r="BJ627" s="38"/>
      <c r="BK627" s="38"/>
      <c r="BL627" s="38"/>
      <c r="BM627" s="38"/>
      <c r="BN627" s="38"/>
      <c r="BO627" s="38"/>
      <c r="BP627" s="38"/>
      <c r="BQ627" s="38"/>
      <c r="BR627" s="38"/>
      <c r="BS627" s="38"/>
      <c r="BT627" s="38"/>
      <c r="BU627" s="38"/>
      <c r="BV627" s="38"/>
      <c r="BW627" s="38"/>
      <c r="BX627" s="38"/>
      <c r="BY627" s="38"/>
      <c r="BZ627" s="38"/>
      <c r="CA627" s="38"/>
      <c r="CB627" s="38"/>
      <c r="CC627" s="38"/>
      <c r="CD627" s="38"/>
      <c r="CE627" s="38"/>
      <c r="CF627" s="38"/>
      <c r="CG627" s="38"/>
      <c r="CH627" s="38"/>
      <c r="CI627" s="38"/>
      <c r="CM627" s="1352"/>
      <c r="CN627" s="1352"/>
      <c r="CO627" s="1416"/>
      <c r="CP627" s="1418"/>
      <c r="CR627" s="1386"/>
      <c r="CS627" s="1355"/>
      <c r="CT627" s="1355"/>
      <c r="CU627" s="1355"/>
      <c r="CV627" s="1372"/>
      <c r="CW627" s="1372"/>
      <c r="CX627" s="1371"/>
      <c r="CY627" s="1486"/>
      <c r="CZ627" s="1486"/>
      <c r="DA627" s="1486"/>
      <c r="DC627" s="1355"/>
      <c r="DD627" s="1461"/>
      <c r="DE627" s="1355"/>
      <c r="DF627" s="1407"/>
      <c r="DG627" s="1372"/>
      <c r="DH627" s="1369"/>
      <c r="DJ627" s="1484"/>
      <c r="DL627" s="1419"/>
      <c r="DN627" s="1403"/>
      <c r="DO627" s="1405"/>
      <c r="DP627" s="1354"/>
      <c r="DQ627" s="1405"/>
      <c r="DR627" s="1403"/>
      <c r="DS627" s="1489"/>
      <c r="DU627" s="1403"/>
      <c r="DV627" s="1405"/>
      <c r="DW627" s="1403"/>
      <c r="DX627" s="1403"/>
      <c r="DZ627" s="1481"/>
      <c r="EA627" s="1481"/>
      <c r="EC627" s="1482"/>
      <c r="ED627" s="1369"/>
      <c r="EE627" s="1371"/>
      <c r="EF627" s="1369"/>
      <c r="EG627" s="1369"/>
      <c r="EH627" s="1374"/>
      <c r="EI627" s="1374"/>
      <c r="EJ627" s="1363"/>
      <c r="EK627" s="1376"/>
      <c r="EL627" s="1376"/>
      <c r="EM627" s="1362"/>
      <c r="EN627" s="1362"/>
      <c r="EO627" s="1363"/>
      <c r="EP627" s="1363"/>
      <c r="EQ627" s="1363"/>
      <c r="ES627" s="1403"/>
      <c r="EU627" s="1411"/>
      <c r="EV627" s="1411"/>
      <c r="EW627" s="1411"/>
      <c r="EX627" s="1411"/>
      <c r="EY627" s="1411"/>
      <c r="EZ627" s="1413"/>
      <c r="FB627" s="1365"/>
      <c r="FD627" s="1354"/>
      <c r="FE627" s="1354"/>
      <c r="FF627" s="138"/>
      <c r="FI627" s="1357"/>
      <c r="FJ627" s="1357"/>
      <c r="FK627" s="1365"/>
      <c r="FL627" s="1365"/>
      <c r="FM627" s="1365"/>
      <c r="FO627" s="1361"/>
      <c r="FP627" s="1361"/>
      <c r="FQ627" s="1366"/>
      <c r="FR627" s="1368"/>
      <c r="FS627" s="1361"/>
      <c r="FT627" s="1368"/>
      <c r="FU627" s="1360"/>
      <c r="FW627" s="1352"/>
      <c r="FX627" s="1352"/>
      <c r="FY627" s="1352"/>
      <c r="FZ627" s="1352"/>
      <c r="GA627" s="1352"/>
      <c r="GB627" s="1352"/>
      <c r="GC627" s="1352"/>
      <c r="GD627" s="1352"/>
      <c r="GE627" s="759"/>
      <c r="GF627" s="1035"/>
      <c r="GG627" s="1385"/>
      <c r="GI627" s="1384" t="b">
        <f>IF(AND(GL627=TRUE,GM627=TRUE),TRUE,FALSE)</f>
        <v>0</v>
      </c>
      <c r="GJ627" s="1379" t="b">
        <f>IFERROR(IF(__Retrofit_TI_NC=2,TRUE,IF(AR626="Yes",TRUE,FALSE)),FALSE)</f>
        <v>1</v>
      </c>
      <c r="GL627" s="1379" t="b">
        <f>IFERROR(IF(GL626=1,TRUE,FALSE),FALSE)</f>
        <v>0</v>
      </c>
      <c r="GM627" s="1379" t="b">
        <f>IFERROR(IF(GM626=GM$14,TRUE,FALSE),FALSE)</f>
        <v>0</v>
      </c>
      <c r="HC627" s="1379" t="b">
        <f>IFERROR(IF(M627=1,TRUE,FALSE),FALSE)</f>
        <v>0</v>
      </c>
      <c r="HD627" s="1379" t="b">
        <f>IFERROR(IF(M628=1,TRUE,FALSE),FALSE)</f>
        <v>0</v>
      </c>
      <c r="HE627" s="1379" t="b">
        <f>IFERROR(IF(__Retrofit_TI_NC&lt;&gt;0,TRUE,IFERROR(IF(VLOOKUP(U627,Fixtures_Existing_List,2,FALSE)&lt;&gt;"",TRUE,FALSE),FALSE)),FALSE)</f>
        <v>0</v>
      </c>
      <c r="HF627" s="1379" t="b">
        <f>IFERROR(IF(VLOOKUP(U628,Fixtures_Proposed_List,2,FALSE)&lt;&gt;"",TRUE,FALSE),FALSE)</f>
        <v>0</v>
      </c>
      <c r="HG627" s="1379" t="b">
        <f>IF(AND(__Retrofit_TI_NC=2,EZ626=TRUE),FALSE,TRUE)</f>
        <v>1</v>
      </c>
      <c r="HH627" s="1379" t="b">
        <f>GG626</f>
        <v>1</v>
      </c>
      <c r="HI627" s="1384" t="b">
        <f>IF(ISERROR(MATCH(FB626,_Control_Match[],0))=TRUE,FALSE,TRUE)</f>
        <v>0</v>
      </c>
      <c r="HJ627" s="1384" t="b">
        <f>IFERROR(IF(EU626&lt;&gt;EV626,FALSE,TRUE),FALSE)</f>
        <v>0</v>
      </c>
      <c r="HK627" s="1384" t="b">
        <f>IFERROR(IF(EU628&lt;&gt;EV628,FALSE,TRUE),FALSE)</f>
        <v>0</v>
      </c>
      <c r="HL627" s="1379" t="b">
        <f>IFERROR(IF(CN626="Exterior",TRUE,IF(OR(AND(FJ626=0,EW628&gt;4),AND(FJ626=4,EW628&gt;4,EW628&lt;7)),FALSE,TRUE)),FALSE)</f>
        <v>0</v>
      </c>
      <c r="HM627" s="1379" t="b">
        <f>IFERROR(IF(AND(FL628=7,EZ626=TRUE),FALSE,TRUE),FALSE)</f>
        <v>0</v>
      </c>
      <c r="HN627" s="1379" t="b">
        <f>IFERROR(IF(AND(T628&lt;&gt;AE628,AF628="Interior LLLC")=TRUE,FALSE,TRUE),FALSE)</f>
        <v>1</v>
      </c>
      <c r="HO627" s="1379" t="b">
        <f>IFERROR(IF(OR(AF628=Lookup!AU$13,AF628=Lookup!AU$14)=TRUE,IF(AE628&gt;T628,FALSE,TRUE),TRUE),FALSE)</f>
        <v>1</v>
      </c>
      <c r="HP627" s="1379" t="b">
        <f>IFERROR(IF(__Retrofit_TI_NC=2,IF(EW628&lt;EW626,FALSE,TRUE),TRUE),FALSE)</f>
        <v>1</v>
      </c>
      <c r="HQ627" s="1379" t="b">
        <f>IF(CN626="Interior",IG$6,TRUE)</f>
        <v>1</v>
      </c>
      <c r="HR627" s="1379" t="b">
        <f>IF(CN626="Exterior",IG$8,TRUE)</f>
        <v>1</v>
      </c>
      <c r="HS627" s="1379" t="b">
        <f>IFERROR(IF(__Retrofit_TI_NC&lt;&gt;0,IF(AW626&lt;AV626,FALSE,TRUE),TRUE),FALSE)</f>
        <v>1</v>
      </c>
      <c r="HT627" s="1379" t="b">
        <f>IFERROR(IF(AND(G627="Exterior",R627&gt;4200),FALSE,TRUE),FALSE)</f>
        <v>1</v>
      </c>
      <c r="HU627" s="1379" t="b">
        <f>IFERROR(IF(AB629/AB626&lt;HU$18,FALSE,TRUE),FALSE)</f>
        <v>0</v>
      </c>
      <c r="HW627" s="1382"/>
      <c r="HX627" s="1378"/>
      <c r="HY627" s="1377" t="str">
        <f>VLOOKUP(HW629,_Error_Table,4,FALSE)</f>
        <v>White</v>
      </c>
      <c r="HZ627" s="436"/>
      <c r="IA627" s="1386"/>
      <c r="IB627" s="1380"/>
      <c r="IC627" s="1379"/>
      <c r="IF627" s="1380"/>
      <c r="IG627" s="1382"/>
      <c r="IH627" s="1382"/>
      <c r="II627" s="1382"/>
      <c r="IK627" s="1351"/>
      <c r="IL627" s="1351"/>
      <c r="IM627" s="1351"/>
      <c r="IN627" s="1351"/>
      <c r="IO627" s="1351"/>
      <c r="IP627" s="1351"/>
    </row>
    <row r="628" spans="1:250" s="82" customFormat="1" ht="14.95" customHeight="1" thickTop="1" thickBot="1">
      <c r="A628" s="82">
        <f>ROW()</f>
        <v>628</v>
      </c>
      <c r="B628" s="1421"/>
      <c r="C628" s="1422"/>
      <c r="D628" s="1423"/>
      <c r="E628" s="1393" t="s">
        <v>245</v>
      </c>
      <c r="F628" s="1394"/>
      <c r="G628" s="1398"/>
      <c r="H628" s="1399"/>
      <c r="I628" s="1399"/>
      <c r="J628" s="1399"/>
      <c r="K628" s="1399"/>
      <c r="L628" s="1400"/>
      <c r="M628" s="509">
        <f>IFERROR(IF(IF(__Retrofit_TI_NC&lt;&gt;0,IF(CN626="Interior",MATCH(G628,Lookup_Interior_New,0),MATCH(G628,Lookup_Exterior_New,0)),IF(CN626="Interior",MATCH(G628,Lookup_Interior,0),MATCH(G628,Lookup_Exterior_Areas,0)))&gt;0,1,0),0)</f>
        <v>0</v>
      </c>
      <c r="N628" s="509" t="e">
        <f>IF(__Retrofit_TI_NC=1,
VLOOKUP(G628,'Space Table'!$B$3:$L$160,4,FALSE),
IF(__Retrofit_TI_NC=2,VLOOKUP(G628,'Space Table'!$B$3:$L$160,5,FALSE),VLOOKUP(G628,'Space Table'!$B$3:$L$160,5,FALSE)))</f>
        <v>#N/A</v>
      </c>
      <c r="O628" s="509">
        <f>G628</f>
        <v>0</v>
      </c>
      <c r="P628" s="1394" t="s">
        <v>355</v>
      </c>
      <c r="Q628" s="1394"/>
      <c r="R628" s="674"/>
      <c r="S628" s="1401" t="s">
        <v>284</v>
      </c>
      <c r="T628" s="672"/>
      <c r="U628" s="1499"/>
      <c r="V628" s="1500"/>
      <c r="W628" s="1500"/>
      <c r="X628" s="1500"/>
      <c r="Y628" s="1500"/>
      <c r="Z628" s="1500"/>
      <c r="AA628" s="1500"/>
      <c r="AB628" s="1501"/>
      <c r="AC628" s="1501"/>
      <c r="AD628" s="1502"/>
      <c r="AE628" s="672"/>
      <c r="AF628" s="1474"/>
      <c r="AG628" s="1474"/>
      <c r="AH628" s="1474"/>
      <c r="AI628" s="1474"/>
      <c r="AJ628" s="1475">
        <f>DF628</f>
        <v>0</v>
      </c>
      <c r="AK628" s="1470" t="str">
        <f>IFERROR(ROUND(AJ628*AC629,0),"")</f>
        <v/>
      </c>
      <c r="AL628" s="1472">
        <f>IFERROR(IF(HW626=FALSE,0,AC629-AK628),0)</f>
        <v>0</v>
      </c>
      <c r="AM628" s="1441"/>
      <c r="AN628" s="1442"/>
      <c r="AO628" s="1447"/>
      <c r="AP628" s="1447"/>
      <c r="AQ628" s="1448"/>
      <c r="AR628" s="1452"/>
      <c r="AS628" s="1455"/>
      <c r="AT628" s="1458"/>
      <c r="AU628" s="516"/>
      <c r="AV628" s="1479"/>
      <c r="AW628" s="1479"/>
      <c r="BC628" s="38"/>
      <c r="BD628" s="38"/>
      <c r="BE628" s="38"/>
      <c r="BF628" s="38"/>
      <c r="BG628" s="38"/>
      <c r="BH628" s="38"/>
      <c r="BI628" s="38"/>
      <c r="BJ628" s="38"/>
      <c r="BK628" s="38"/>
      <c r="BL628" s="38"/>
      <c r="BM628" s="38"/>
      <c r="BN628" s="38"/>
      <c r="BO628" s="38"/>
      <c r="BP628" s="38"/>
      <c r="BQ628" s="38"/>
      <c r="BR628" s="38"/>
      <c r="BS628" s="38"/>
      <c r="BT628" s="38"/>
      <c r="BU628" s="38"/>
      <c r="BV628" s="38"/>
      <c r="BW628" s="38"/>
      <c r="BX628" s="38"/>
      <c r="BY628" s="38"/>
      <c r="BZ628" s="38"/>
      <c r="CA628" s="38"/>
      <c r="CB628" s="38"/>
      <c r="CC628" s="38"/>
      <c r="CD628" s="38"/>
      <c r="CE628" s="38"/>
      <c r="CF628" s="38"/>
      <c r="CG628" s="38"/>
      <c r="CH628" s="38"/>
      <c r="CI628" s="38"/>
      <c r="CM628" s="1352"/>
      <c r="CN628" s="1352"/>
      <c r="CO628" s="1415" t="str">
        <f>CN626</f>
        <v/>
      </c>
      <c r="CP628" s="1417" t="e">
        <f>CP626</f>
        <v>#N/A</v>
      </c>
      <c r="CR628" s="1386" t="s">
        <v>284</v>
      </c>
      <c r="CS628" s="1353">
        <f>IF(HW626=TRUE,T628,0)</f>
        <v>0</v>
      </c>
      <c r="CT628" s="1353" t="str">
        <f>IF(HW626=TRUE,U628,"")</f>
        <v/>
      </c>
      <c r="CU628" s="1373">
        <f>IF(HW626=TRUE,U629,0)</f>
        <v>0</v>
      </c>
      <c r="CV628" s="1370">
        <f>IF(HW626=TRUE,AB629,0)</f>
        <v>0</v>
      </c>
      <c r="CW628" s="1370">
        <f>IF(HW626=TRUE,AC629,0)</f>
        <v>0</v>
      </c>
      <c r="CX628" s="1371"/>
      <c r="CY628" s="1486"/>
      <c r="CZ628" s="1486"/>
      <c r="DA628" s="1486"/>
      <c r="DC628" s="1353">
        <f>IF(HW626=TRUE,AE628,0)</f>
        <v>0</v>
      </c>
      <c r="DD628" s="1353" t="str">
        <f>IF(HW626=TRUE,AF628,"")</f>
        <v/>
      </c>
      <c r="DE628" s="1373">
        <f>AF629</f>
        <v>0</v>
      </c>
      <c r="DF628" s="1406">
        <f>IFERROR(IF(FL628=3,IK628,IF(FL628=4,IL628,IF(FL628=5,IM628,IF(FL628=6,IN628,IF(FL628=7,IO628,IF(FL628=8,IP628,0)))))),0)</f>
        <v>0</v>
      </c>
      <c r="DG628" s="1370">
        <f>IF(HW626=TRUE,AK628,0)</f>
        <v>0</v>
      </c>
      <c r="DH628" s="1369"/>
      <c r="DK628" s="1483">
        <f>IFERROR(CW628-DG628,0)</f>
        <v>0</v>
      </c>
      <c r="DL628" s="1420"/>
      <c r="DN628" s="1403"/>
      <c r="DO628" s="1477" t="str">
        <f>DN626</f>
        <v/>
      </c>
      <c r="DP628" s="1354"/>
      <c r="DQ628" s="1477" t="str">
        <f>IF(DP626=7,"LLLC","")</f>
        <v/>
      </c>
      <c r="DR628" s="1403"/>
      <c r="DS628" s="1489"/>
      <c r="DU628" s="1403"/>
      <c r="DV628" s="1404" t="str">
        <f>DU626</f>
        <v/>
      </c>
      <c r="DW628" s="1403"/>
      <c r="DX628" s="1403"/>
      <c r="DZ628" s="1481"/>
      <c r="EA628" s="1481"/>
      <c r="EC628" s="1482"/>
      <c r="ED628" s="1369"/>
      <c r="EE628" s="1371"/>
      <c r="EF628" s="1369"/>
      <c r="EG628" s="1369"/>
      <c r="EH628" s="1374"/>
      <c r="EI628" s="1374"/>
      <c r="EJ628" s="1363"/>
      <c r="EK628" s="1376"/>
      <c r="EL628" s="1376"/>
      <c r="EM628" s="1362"/>
      <c r="EN628" s="1362"/>
      <c r="EO628" s="1363"/>
      <c r="EP628" s="1363"/>
      <c r="EQ628" s="1363"/>
      <c r="ES628" s="1403"/>
      <c r="EU628" s="1411" t="e">
        <f>VLOOKUP(CP628,'Space Table'!$B$3:$L$160,8,FALSE)</f>
        <v>#N/A</v>
      </c>
      <c r="EV628" s="1411" t="e">
        <f>IF(EY628="Yes",VLOOKUP(AF628,Lookup_Control_Type_Table2,4,FALSE),VLOOKUP(AF628,Lookup_Control_Type_Table2,3,FALSE))</f>
        <v>#N/A</v>
      </c>
      <c r="EW628" s="1411" t="e">
        <f>VLOOKUP(AF628,Lookup!AU$3:AV$15,2,FALSE)</f>
        <v>#N/A</v>
      </c>
      <c r="EX628" s="1411" t="e">
        <f>VLOOKUP(EU626,Lookup_Control_Type_Table,2,FALSE)</f>
        <v>#N/A</v>
      </c>
      <c r="EY628" s="1411" t="e">
        <f>VLOOKUP(CP628,'Space Table'!$B$3:$L$160,7,FALSE)</f>
        <v>#N/A</v>
      </c>
      <c r="EZ628" s="1413"/>
      <c r="FB628" s="1365" t="str">
        <f>CONCATENATE(CN626," - ",AF628)</f>
        <v xml:space="preserve"> - </v>
      </c>
      <c r="FD628" s="1354"/>
      <c r="FE628" s="1354"/>
      <c r="FF628" s="138"/>
      <c r="FI628" s="1356" t="str">
        <f>IF(CN626="Exterior","Not Daylighted",G629)</f>
        <v>Not Daylighted</v>
      </c>
      <c r="FJ628" s="1356">
        <f>VLOOKUP(FI628,_Daylight_Table_Codes,2,FALSE)</f>
        <v>0</v>
      </c>
      <c r="FK628" s="1365">
        <f>AF628</f>
        <v>0</v>
      </c>
      <c r="FL628" s="1365" t="e">
        <f>VLOOKUP(FK628,_Control_Table,2,FALSE)</f>
        <v>#N/A</v>
      </c>
      <c r="FM628" s="1365" t="e">
        <f>IF(AND(FP628&gt;0,FK628="Occupancy Sensor"),"Daylight + Occupancy",IF(AND(FP628&gt;0,FL628&lt;4),"Interior Daylight Dimming",FK628))</f>
        <v>#N/A</v>
      </c>
      <c r="FO628" s="1364">
        <f>IF(CN626="Interior",VLOOKUP(CP626,Control_Savings_Interior,5,FALSE),0)</f>
        <v>0</v>
      </c>
      <c r="FP628" s="1361">
        <f>IF(CN628="Exterior",0,IF(FJ628=2,0.5,IF(OR(FJ628=1,FJ628=3),1,0)))</f>
        <v>0</v>
      </c>
      <c r="FQ628" s="1366">
        <f>IF(R627&gt;FO$37,(FO628*(FO$37/R627)),FO628)*FP628</f>
        <v>0</v>
      </c>
      <c r="FR628" s="1364">
        <f>DF628</f>
        <v>0</v>
      </c>
      <c r="FS628" s="1364">
        <f>ROUND(FR628+((1-FR628)*FQ628),2)</f>
        <v>0</v>
      </c>
      <c r="FT628" s="1364">
        <f>IF(__Retrofit_TI_NC=2,FS628,FR628)</f>
        <v>0</v>
      </c>
      <c r="FU628" s="1360">
        <f>IF(CO628="Interior",VLOOKUP(CP628,Control_Savings_Interior,4,FALSE),0)</f>
        <v>0</v>
      </c>
      <c r="FW628" s="1352"/>
      <c r="FX628" s="1352"/>
      <c r="FY628" s="1352"/>
      <c r="FZ628" s="1352"/>
      <c r="GA628" s="1352"/>
      <c r="GB628" s="1352"/>
      <c r="GC628" s="1352"/>
      <c r="GD628" s="1352"/>
      <c r="GE628" s="759" t="b">
        <f>IF(ISNUMBER(SEARCH("TLED",U628)),TRUE,FALSE)</f>
        <v>0</v>
      </c>
      <c r="GF628" s="1035" t="str">
        <f>IFERROR(VLOOKUP(U628,Fixtures!DM$93:DR$142,6,FALSE),"")</f>
        <v/>
      </c>
      <c r="GG628" s="1385"/>
      <c r="GI628" s="1383"/>
      <c r="GJ628" s="1379"/>
      <c r="GL628" s="1379"/>
      <c r="GM628" s="1379"/>
      <c r="HC628" s="1379"/>
      <c r="HD628" s="1379"/>
      <c r="HE628" s="1379"/>
      <c r="HF628" s="1379"/>
      <c r="HG628" s="1379"/>
      <c r="HH628" s="1379"/>
      <c r="HI628" s="1383"/>
      <c r="HJ628" s="1383"/>
      <c r="HK628" s="1383"/>
      <c r="HL628" s="1379"/>
      <c r="HM628" s="1379"/>
      <c r="HN628" s="1379"/>
      <c r="HO628" s="1379"/>
      <c r="HP628" s="1379"/>
      <c r="HQ628" s="1379"/>
      <c r="HR628" s="1379"/>
      <c r="HS628" s="1379"/>
      <c r="HT628" s="1379"/>
      <c r="HU628" s="1379"/>
      <c r="HW628" s="1383"/>
      <c r="HX628" s="1384" t="b">
        <f>HW626</f>
        <v>0</v>
      </c>
      <c r="HY628" s="1378"/>
      <c r="HZ628" s="436"/>
      <c r="IA628" s="1386"/>
      <c r="IB628" s="1380">
        <f>IF(IA626=TRUE,AC629,0)</f>
        <v>0</v>
      </c>
      <c r="IC628" s="1379"/>
      <c r="IF628" s="1380" t="e">
        <f>ROUND(T628*AB629*N627*R627/1000,0)</f>
        <v>#VALUE!</v>
      </c>
      <c r="IG628" s="1382"/>
      <c r="IH628" s="1384" t="e">
        <f>ROUND(T628*AB629*N627*R627/1000,0)</f>
        <v>#VALUE!</v>
      </c>
      <c r="II628" s="1382"/>
      <c r="IK628" s="1351" t="e">
        <f>IF($CO628="interior",IL628/2,VLOOKUP($CP628,Control_Savings_Exterior,IK$30,FALSE))</f>
        <v>#N/A</v>
      </c>
      <c r="IL628" s="1351" t="e">
        <f>IF($CO628="interior",VLOOKUP($CP628,Control_Savings_Interior,IL$30,FALSE),VLOOKUP($CP628,Control_Savings_Exterior,IL$30,FALSE))</f>
        <v>#N/A</v>
      </c>
      <c r="IM628" s="1351" t="e">
        <f>IF($CO628="interior",IF(R627&gt;FO$37,(IM$28*(FO$37/R627)),IM$28)*FP628,VLOOKUP($CP628,Control_Savings_Exterior,IM$30,FALSE))</f>
        <v>#N/A</v>
      </c>
      <c r="IN628" s="1351" t="e">
        <f>IF($CO628="interior",ROUND(((1-IL628)*IM628)+IL628,2),VLOOKUP($CP628,Control_Savings_Exterior,IN$30,FALSE))</f>
        <v>#N/A</v>
      </c>
      <c r="IO628" s="1351" t="e">
        <f>IF($CO628="interior", ROUND(((1-IL628)*(IM628*(1-IP$28)))+IP628,2), VLOOKUP($CP628,Control_Savings_Exterior,IO$30,FALSE))</f>
        <v>#N/A</v>
      </c>
      <c r="IP628" s="1351">
        <f>IF($CO628="interior",ROUND(((1-IL628)*IP$28)+IL628,2),0)</f>
        <v>0</v>
      </c>
    </row>
    <row r="629" spans="1:250" s="82" customFormat="1" ht="14.95" customHeight="1" thickTop="1" thickBot="1">
      <c r="B629" s="1421"/>
      <c r="C629" s="1422"/>
      <c r="D629" s="1423"/>
      <c r="E629" s="1462" t="s">
        <v>357</v>
      </c>
      <c r="F629" s="1463"/>
      <c r="G629" s="1464" t="s">
        <v>362</v>
      </c>
      <c r="H629" s="1465"/>
      <c r="I629" s="1465"/>
      <c r="J629" s="1465"/>
      <c r="K629" s="1465"/>
      <c r="L629" s="1466"/>
      <c r="M629" s="669">
        <f>IFERROR(VLOOKUP(G629,_Daylight_Table[],2,FALSE),0)</f>
        <v>0</v>
      </c>
      <c r="N629" s="670"/>
      <c r="O629" s="669" t="e">
        <f>VLOOKUP(G628,'Space Table'!$B$3:$L$160,11,FALSE)</f>
        <v>#N/A</v>
      </c>
      <c r="P629" s="1408"/>
      <c r="Q629" s="1409"/>
      <c r="R629" s="1409"/>
      <c r="S629" s="1402"/>
      <c r="T629" s="671" t="s">
        <v>281</v>
      </c>
      <c r="U629" s="1467" t="str">
        <f>IFERROR(VLOOKUP(U628,Fixtures!DM$93:DP$142,4,FALSE),"")</f>
        <v/>
      </c>
      <c r="V629" s="1468"/>
      <c r="W629" s="1468"/>
      <c r="X629" s="1468"/>
      <c r="Y629" s="1468"/>
      <c r="Z629" s="1468"/>
      <c r="AA629" s="1468"/>
      <c r="AB629" s="1046" t="str">
        <f>IFERROR(VLOOKUP(U628,Fixtures_Proposed_List,2,FALSE),"")</f>
        <v/>
      </c>
      <c r="AC629" s="1036" t="str">
        <f>IFERROR(ROUND(T628*AB629*N627*R627/1000,0),"")</f>
        <v/>
      </c>
      <c r="AD629" s="1037" t="str">
        <f>IFERROR(ROUND(T628*AB629/1000,2),"")</f>
        <v/>
      </c>
      <c r="AE629" s="1045" t="s">
        <v>281</v>
      </c>
      <c r="AF629" s="1469"/>
      <c r="AG629" s="1469"/>
      <c r="AH629" s="1469"/>
      <c r="AI629" s="1469"/>
      <c r="AJ629" s="1476"/>
      <c r="AK629" s="1471"/>
      <c r="AL629" s="1473"/>
      <c r="AM629" s="1443"/>
      <c r="AN629" s="1444"/>
      <c r="AO629" s="1449"/>
      <c r="AP629" s="1449"/>
      <c r="AQ629" s="1450"/>
      <c r="AR629" s="1453"/>
      <c r="AS629" s="1456"/>
      <c r="AT629" s="1459"/>
      <c r="AU629" s="517"/>
      <c r="AV629" s="1480"/>
      <c r="AW629" s="1480"/>
      <c r="BC629" s="38"/>
      <c r="BD629" s="38"/>
      <c r="BE629" s="38"/>
      <c r="BF629" s="38"/>
      <c r="BG629" s="38"/>
      <c r="BH629" s="38"/>
      <c r="BI629" s="38"/>
      <c r="BJ629" s="38"/>
      <c r="BK629" s="38"/>
      <c r="BL629" s="38"/>
      <c r="BM629" s="38"/>
      <c r="BN629" s="38"/>
      <c r="BO629" s="38"/>
      <c r="BP629" s="38"/>
      <c r="BQ629" s="38"/>
      <c r="BR629" s="38"/>
      <c r="BS629" s="38"/>
      <c r="BT629" s="38"/>
      <c r="BU629" s="38"/>
      <c r="BV629" s="38"/>
      <c r="BW629" s="38"/>
      <c r="BX629" s="38"/>
      <c r="BY629" s="38"/>
      <c r="BZ629" s="38"/>
      <c r="CA629" s="38"/>
      <c r="CB629" s="38"/>
      <c r="CC629" s="38"/>
      <c r="CD629" s="38"/>
      <c r="CE629" s="38"/>
      <c r="CF629" s="38"/>
      <c r="CG629" s="38"/>
      <c r="CH629" s="38"/>
      <c r="CI629" s="38"/>
      <c r="CM629" s="1352"/>
      <c r="CN629" s="1352"/>
      <c r="CO629" s="1416"/>
      <c r="CP629" s="1418"/>
      <c r="CR629" s="1386"/>
      <c r="CS629" s="1355"/>
      <c r="CT629" s="1355"/>
      <c r="CU629" s="1375"/>
      <c r="CV629" s="1372"/>
      <c r="CW629" s="1372"/>
      <c r="CX629" s="1372"/>
      <c r="CY629" s="1487"/>
      <c r="CZ629" s="1487"/>
      <c r="DA629" s="1487"/>
      <c r="DC629" s="1355"/>
      <c r="DD629" s="1355"/>
      <c r="DE629" s="1375"/>
      <c r="DF629" s="1407"/>
      <c r="DG629" s="1372"/>
      <c r="DH629" s="1369"/>
      <c r="DK629" s="1484"/>
      <c r="DL629" s="1420"/>
      <c r="DN629" s="1403"/>
      <c r="DO629" s="1405"/>
      <c r="DP629" s="1355"/>
      <c r="DQ629" s="1405"/>
      <c r="DR629" s="1403"/>
      <c r="DS629" s="1489"/>
      <c r="DU629" s="1403"/>
      <c r="DV629" s="1405"/>
      <c r="DW629" s="1403"/>
      <c r="DX629" s="1403"/>
      <c r="DZ629" s="1481"/>
      <c r="EA629" s="1481"/>
      <c r="EC629" s="1482"/>
      <c r="ED629" s="1369"/>
      <c r="EE629" s="1372"/>
      <c r="EF629" s="1369"/>
      <c r="EG629" s="1369"/>
      <c r="EH629" s="1375"/>
      <c r="EI629" s="1375"/>
      <c r="EJ629" s="1363"/>
      <c r="EK629" s="1376"/>
      <c r="EL629" s="1376"/>
      <c r="EM629" s="1362"/>
      <c r="EN629" s="1362"/>
      <c r="EO629" s="1363"/>
      <c r="EP629" s="1363"/>
      <c r="EQ629" s="1363"/>
      <c r="ES629" s="1403"/>
      <c r="EU629" s="1488"/>
      <c r="EV629" s="1488"/>
      <c r="EW629" s="1488"/>
      <c r="EX629" s="1488"/>
      <c r="EY629" s="1488"/>
      <c r="EZ629" s="1414"/>
      <c r="FB629" s="1365"/>
      <c r="FD629" s="1355"/>
      <c r="FE629" s="1355"/>
      <c r="FF629" s="138"/>
      <c r="FI629" s="1357"/>
      <c r="FJ629" s="1357"/>
      <c r="FK629" s="1365"/>
      <c r="FL629" s="1365"/>
      <c r="FM629" s="1365"/>
      <c r="FO629" s="1361"/>
      <c r="FP629" s="1361"/>
      <c r="FQ629" s="1366"/>
      <c r="FR629" s="1361"/>
      <c r="FS629" s="1361"/>
      <c r="FT629" s="1361"/>
      <c r="FU629" s="1360"/>
      <c r="FW629" s="1352"/>
      <c r="FX629" s="1352"/>
      <c r="FY629" s="1352"/>
      <c r="FZ629" s="1352"/>
      <c r="GA629" s="1352"/>
      <c r="GB629" s="1352"/>
      <c r="GC629" s="1352"/>
      <c r="GD629" s="1352"/>
      <c r="GE629" s="759"/>
      <c r="GF629" s="1035"/>
      <c r="GG629" s="1385"/>
      <c r="GJ629" s="1034">
        <f>IF(GJ627=TRUE,0,GJ$16)</f>
        <v>0</v>
      </c>
      <c r="GL629" s="1034">
        <f>IF(GL627=TRUE,0,GL$16)</f>
        <v>36</v>
      </c>
      <c r="GM629" s="1034">
        <f>IF(GM627=TRUE,0,GM$16)</f>
        <v>35</v>
      </c>
      <c r="GN629" s="436"/>
      <c r="GO629" s="436"/>
      <c r="GP629" s="436"/>
      <c r="GQ629" s="436"/>
      <c r="GR629" s="436"/>
      <c r="HC629" s="1034">
        <f t="shared" ref="HC629:HH629" si="466">IF(HC627=TRUE,0,HC$16)</f>
        <v>19</v>
      </c>
      <c r="HD629" s="1034">
        <f t="shared" si="466"/>
        <v>18</v>
      </c>
      <c r="HE629" s="1034">
        <f t="shared" si="466"/>
        <v>17</v>
      </c>
      <c r="HF629" s="1034">
        <f t="shared" si="466"/>
        <v>16</v>
      </c>
      <c r="HG629" s="1034">
        <f t="shared" si="466"/>
        <v>0</v>
      </c>
      <c r="HH629" s="1034">
        <f t="shared" si="466"/>
        <v>0</v>
      </c>
      <c r="HI629" s="1034">
        <f>IF(HI627=TRUE,0,HI$16)</f>
        <v>13</v>
      </c>
      <c r="HJ629" s="1034">
        <f t="shared" ref="HJ629:HL629" si="467">IF(HJ627=TRUE,0,HJ$16)</f>
        <v>12</v>
      </c>
      <c r="HK629" s="1034">
        <f t="shared" si="467"/>
        <v>11</v>
      </c>
      <c r="HL629" s="1034">
        <f t="shared" si="467"/>
        <v>10</v>
      </c>
      <c r="HM629" s="1034">
        <f>IF(HM627=TRUE,0,HM$16)</f>
        <v>9</v>
      </c>
      <c r="HN629" s="1034">
        <f t="shared" ref="HN629:HR629" si="468">IF(HN627=TRUE,0,HN$16)</f>
        <v>0</v>
      </c>
      <c r="HO629" s="1034">
        <f t="shared" si="468"/>
        <v>0</v>
      </c>
      <c r="HP629" s="1034">
        <f t="shared" si="468"/>
        <v>0</v>
      </c>
      <c r="HQ629" s="1034">
        <f t="shared" si="468"/>
        <v>0</v>
      </c>
      <c r="HR629" s="1034">
        <f t="shared" si="468"/>
        <v>0</v>
      </c>
      <c r="HS629" s="1034">
        <f>IF(HS627=TRUE,0,HS$16)</f>
        <v>0</v>
      </c>
      <c r="HT629" s="1034">
        <f t="shared" ref="HT629" si="469">IF(HT627=TRUE,0,HT$16)</f>
        <v>0</v>
      </c>
      <c r="HU629" s="1034">
        <f>IF(HU627=TRUE,0,HU$16)</f>
        <v>1</v>
      </c>
      <c r="HW629" s="1034">
        <f>IF(GL627=FALSE,GL629,IF(GM627=FALSE,GM629,MAX(GJ629:HU629)))</f>
        <v>36</v>
      </c>
      <c r="HX629" s="1383"/>
      <c r="HY629" s="241" t="str">
        <f>VLOOKUP(HW629,_Error_Table,3,FALSE)</f>
        <v xml:space="preserve"> </v>
      </c>
      <c r="HZ629" s="241"/>
      <c r="IA629" s="1386"/>
      <c r="IB629" s="1380"/>
      <c r="IC629" s="1379"/>
      <c r="IF629" s="1380"/>
      <c r="IG629" s="1383"/>
      <c r="IH629" s="1383"/>
      <c r="II629" s="1383"/>
      <c r="IK629" s="1351"/>
      <c r="IL629" s="1351"/>
      <c r="IM629" s="1351"/>
      <c r="IN629" s="1351"/>
      <c r="IO629" s="1351"/>
      <c r="IP629" s="1351"/>
    </row>
    <row r="630" spans="1:250" s="82" customFormat="1" ht="5.0999999999999996" customHeight="1" thickBot="1">
      <c r="B630" s="763"/>
      <c r="C630" s="1038"/>
      <c r="D630" s="1038"/>
      <c r="E630" s="1490"/>
      <c r="F630" s="1490"/>
      <c r="G630" s="1490"/>
      <c r="H630" s="1490"/>
      <c r="I630" s="1490"/>
      <c r="J630" s="1490"/>
      <c r="K630" s="1490"/>
      <c r="L630" s="1490"/>
      <c r="M630" s="1490"/>
      <c r="N630" s="1490"/>
      <c r="O630" s="1490"/>
      <c r="P630" s="1490"/>
      <c r="Q630" s="1490"/>
      <c r="R630" s="1490"/>
      <c r="S630" s="1490"/>
      <c r="T630" s="1490"/>
      <c r="U630" s="1490"/>
      <c r="V630" s="1490"/>
      <c r="W630" s="1490"/>
      <c r="X630" s="1490"/>
      <c r="Y630" s="1490"/>
      <c r="Z630" s="1490"/>
      <c r="AA630" s="1490"/>
      <c r="AB630" s="1490"/>
      <c r="AC630" s="1490"/>
      <c r="AD630" s="1490"/>
      <c r="AE630" s="1490"/>
      <c r="AF630" s="1490"/>
      <c r="AG630" s="1490"/>
      <c r="AH630" s="1490"/>
      <c r="AI630" s="1490"/>
      <c r="AJ630" s="1490"/>
      <c r="AK630" s="1490"/>
      <c r="AL630" s="1490"/>
      <c r="AM630" s="1490"/>
      <c r="AN630" s="1490"/>
      <c r="AO630" s="1490"/>
      <c r="AP630" s="1490"/>
      <c r="AQ630" s="1490"/>
      <c r="AR630" s="1490"/>
      <c r="AS630" s="1490"/>
      <c r="AT630" s="1490"/>
      <c r="AU630" s="1041"/>
      <c r="BC630" s="38"/>
      <c r="BD630" s="38"/>
      <c r="BE630" s="38"/>
      <c r="BF630" s="38"/>
      <c r="BG630" s="38"/>
      <c r="BH630" s="38"/>
      <c r="BI630" s="38"/>
      <c r="BJ630" s="38"/>
      <c r="BK630" s="38"/>
      <c r="BL630" s="38"/>
      <c r="BM630" s="38"/>
      <c r="BN630" s="38"/>
      <c r="BO630" s="38"/>
      <c r="BP630" s="38"/>
      <c r="BQ630" s="38"/>
      <c r="BR630" s="38"/>
      <c r="BS630" s="38"/>
      <c r="BT630" s="38"/>
      <c r="BU630" s="38"/>
      <c r="BV630" s="38"/>
      <c r="BW630" s="38"/>
      <c r="BX630" s="38"/>
      <c r="BY630" s="38"/>
      <c r="BZ630" s="38"/>
      <c r="CA630" s="38"/>
      <c r="CB630" s="38"/>
      <c r="CC630" s="38"/>
      <c r="CD630" s="38"/>
      <c r="CE630" s="38"/>
      <c r="CF630" s="38"/>
      <c r="CG630" s="38"/>
      <c r="CH630" s="38"/>
      <c r="CI630" s="38"/>
      <c r="CM630" s="749"/>
      <c r="CN630" s="749"/>
      <c r="CO630" s="1043"/>
      <c r="CP630" s="749"/>
      <c r="CS630" s="436"/>
      <c r="CT630" s="436"/>
      <c r="CU630" s="243"/>
      <c r="CV630" s="244"/>
      <c r="CW630" s="244"/>
      <c r="CX630" s="244"/>
      <c r="CY630" s="245"/>
      <c r="CZ630" s="245"/>
      <c r="DA630" s="245"/>
      <c r="DC630" s="750"/>
      <c r="DD630" s="751"/>
      <c r="DE630" s="752"/>
      <c r="DF630" s="753"/>
      <c r="DG630" s="754"/>
      <c r="DH630" s="754"/>
      <c r="DK630" s="244"/>
      <c r="DL630" s="750"/>
      <c r="DN630" s="750"/>
      <c r="DO630" s="755"/>
      <c r="DP630" s="436"/>
      <c r="DQ630" s="750"/>
      <c r="DR630" s="750"/>
      <c r="DS630" s="750"/>
      <c r="DU630" s="750"/>
      <c r="DV630" s="750"/>
      <c r="DW630" s="750"/>
      <c r="DX630" s="750"/>
      <c r="DZ630" s="756"/>
      <c r="EA630" s="756"/>
      <c r="EC630" s="754"/>
      <c r="ED630" s="754"/>
      <c r="EE630" s="244"/>
      <c r="EF630" s="754"/>
      <c r="EG630" s="754"/>
      <c r="EH630" s="243"/>
      <c r="EI630" s="243"/>
      <c r="EJ630" s="752"/>
      <c r="EK630" s="757"/>
      <c r="EL630" s="757"/>
      <c r="EM630" s="758"/>
      <c r="EN630" s="758"/>
      <c r="EO630" s="752"/>
      <c r="EP630" s="752"/>
      <c r="EQ630" s="752"/>
      <c r="ES630" s="750"/>
      <c r="EU630" s="436"/>
      <c r="EV630" s="436"/>
      <c r="EW630" s="436"/>
      <c r="EX630" s="436"/>
      <c r="EY630" s="436"/>
      <c r="EZ630" s="436"/>
      <c r="FB630" s="643"/>
      <c r="FD630" s="436"/>
      <c r="FE630" s="436"/>
      <c r="FF630" s="436"/>
      <c r="FO630" s="750"/>
      <c r="FP630" s="436"/>
      <c r="FQ630" s="436"/>
      <c r="FR630" s="750"/>
      <c r="FS630" s="750"/>
      <c r="FW630" s="749"/>
      <c r="FX630" s="749"/>
      <c r="FY630" s="749"/>
      <c r="FZ630" s="749"/>
      <c r="GA630" s="749"/>
      <c r="GB630" s="749"/>
      <c r="GC630" s="749"/>
      <c r="GD630" s="749"/>
      <c r="GE630" s="751"/>
      <c r="GF630" s="750"/>
      <c r="GG630" s="750"/>
    </row>
    <row r="631" spans="1:250" s="82" customFormat="1" ht="14.95" customHeight="1" thickTop="1" thickBot="1">
      <c r="B631" s="1421" t="str">
        <f>HY634</f>
        <v xml:space="preserve"> </v>
      </c>
      <c r="C631" s="1422">
        <f>C626+1</f>
        <v>115</v>
      </c>
      <c r="D631" s="1423"/>
      <c r="E631" s="1424" t="s">
        <v>242</v>
      </c>
      <c r="F631" s="1425"/>
      <c r="G631" s="1426"/>
      <c r="H631" s="1427"/>
      <c r="I631" s="1427"/>
      <c r="J631" s="1427"/>
      <c r="K631" s="1427"/>
      <c r="L631" s="1427"/>
      <c r="M631" s="1427"/>
      <c r="N631" s="1427"/>
      <c r="O631" s="1427"/>
      <c r="P631" s="1427"/>
      <c r="Q631" s="1427"/>
      <c r="R631" s="1427"/>
      <c r="S631" s="1428" t="s">
        <v>283</v>
      </c>
      <c r="T631" s="668" t="s">
        <v>190</v>
      </c>
      <c r="U631" s="1430" t="s">
        <v>186</v>
      </c>
      <c r="V631" s="1431"/>
      <c r="W631" s="1431"/>
      <c r="X631" s="1431"/>
      <c r="Y631" s="1431"/>
      <c r="Z631" s="1431"/>
      <c r="AA631" s="1431"/>
      <c r="AB631" s="1088" t="str">
        <f>IFERROR(IF(__Retrofit_TI_NC=0,VLOOKUP(U632,Fixtures_Existing_List,2,FALSE),ROUND(N633*R633/T633,10)),"")</f>
        <v/>
      </c>
      <c r="AC631" s="1039" t="str">
        <f>IFERROR(IF(__Retrofit_TI_NC=0,ROUND(T632*AB631*N632*R632/1000,0),IF(CN631="Interior",N633*R633*R632*N632*_C406_reduction/1000,N633*R633*R632*N632/1000)),"")</f>
        <v/>
      </c>
      <c r="AD631" s="1040" t="str">
        <f>IFERROR(IF(C$36=0,ROUND(T632*AB631/1000,2),N633*R633/1000),"")</f>
        <v/>
      </c>
      <c r="AE631" s="1044" t="s">
        <v>190</v>
      </c>
      <c r="AF631" s="1432" t="str">
        <f>IF(__Retrofit_TI_NC=2,CONCATENATE("Code min = ",DD631),IF(__Retrofit_TI_NC=1,"Emter what you think the existing control was"," Control"))</f>
        <v xml:space="preserve"> Control</v>
      </c>
      <c r="AG631" s="1432"/>
      <c r="AH631" s="1432"/>
      <c r="AI631" s="1432"/>
      <c r="AJ631" s="1433">
        <f>DF631</f>
        <v>0</v>
      </c>
      <c r="AK631" s="1435" t="str">
        <f>IFERROR(ROUND(AJ631*AC631,0),"")</f>
        <v/>
      </c>
      <c r="AL631" s="1437">
        <f>IFERROR(IF(HW631=FALSE,0,AC631-AK631),0)</f>
        <v>0</v>
      </c>
      <c r="AM631" s="1439">
        <f>AL631-AL633</f>
        <v>0</v>
      </c>
      <c r="AN631" s="1440"/>
      <c r="AO631" s="1445">
        <f>IFERROR(IF(HW631=FALSE,0,(T633*U634)+(AE633*AF634)),0)</f>
        <v>0</v>
      </c>
      <c r="AP631" s="1445"/>
      <c r="AQ631" s="1446"/>
      <c r="AR631" s="1451" t="s">
        <v>157</v>
      </c>
      <c r="AS631" s="1454">
        <f>IF(AR631="Yes",1,0)</f>
        <v>1</v>
      </c>
      <c r="AT631" s="1457" t="str">
        <f>IF(OR(DN631=4,DN631=5,DN631=6,DN631=12),CONCATENATE("$",IF(GD631=TRUE,Lookup!$B$11,Lookup!$B$2)," /lamp"),CONCATENATE(EA631,"/ kWh"))</f>
        <v>0/ kWh</v>
      </c>
      <c r="AU631" s="516"/>
      <c r="AV631" s="1478">
        <f>IFERROR(IF(GI632=TRUE,(AB634*T633)/R633,0),"NA")</f>
        <v>0</v>
      </c>
      <c r="AW631" s="1478" t="str">
        <f>IFERROR(N633*_C406_reduction,"NA")</f>
        <v>NA</v>
      </c>
      <c r="BC631" s="38"/>
      <c r="BD631" s="38"/>
      <c r="BE631" s="38"/>
      <c r="BF631" s="38"/>
      <c r="BG631" s="38"/>
      <c r="BH631" s="38"/>
      <c r="BI631" s="38"/>
      <c r="BJ631" s="38"/>
      <c r="BK631" s="38"/>
      <c r="BL631" s="38"/>
      <c r="BM631" s="38"/>
      <c r="BN631" s="38"/>
      <c r="BO631" s="38"/>
      <c r="BP631" s="38"/>
      <c r="BQ631" s="38"/>
      <c r="BR631" s="38"/>
      <c r="BS631" s="38"/>
      <c r="BT631" s="38"/>
      <c r="BU631" s="38"/>
      <c r="BV631" s="38"/>
      <c r="BW631" s="38"/>
      <c r="BX631" s="38"/>
      <c r="BY631" s="38"/>
      <c r="BZ631" s="38"/>
      <c r="CA631" s="38"/>
      <c r="CB631" s="38"/>
      <c r="CC631" s="38"/>
      <c r="CD631" s="38"/>
      <c r="CE631" s="38"/>
      <c r="CF631" s="38"/>
      <c r="CG631" s="38"/>
      <c r="CH631" s="38"/>
      <c r="CI631" s="38"/>
      <c r="CM631" s="1352" t="str">
        <f>N632</f>
        <v/>
      </c>
      <c r="CN631" s="1352" t="str">
        <f>IFERROR(VLOOKUP(G632,_Lookup_Heat_Type_Table_New,3,FALSE),"")</f>
        <v/>
      </c>
      <c r="CO631" s="1415" t="str">
        <f>CN631</f>
        <v/>
      </c>
      <c r="CP631" s="1417" t="e">
        <f>VLOOKUP(G633,'Space Table'!$B$3:$L$160,9,FALSE)</f>
        <v>#N/A</v>
      </c>
      <c r="CR631" s="1386" t="s">
        <v>283</v>
      </c>
      <c r="CS631" s="1353">
        <f>IF(HW631=TRUE,T632,0)</f>
        <v>0</v>
      </c>
      <c r="CT631" s="1353" t="str">
        <f>IF(HW631=TRUE,U632,"")</f>
        <v/>
      </c>
      <c r="CU631" s="1353"/>
      <c r="CV631" s="1370">
        <f>IF(HW631=TRUE,AB631,0)</f>
        <v>0</v>
      </c>
      <c r="CW631" s="1370">
        <f>IF(HW631=TRUE,AC631,0)</f>
        <v>0</v>
      </c>
      <c r="CX631" s="1370">
        <f>IFERROR(IF(HW631=TRUE,CW631-CW633,0),0)</f>
        <v>0</v>
      </c>
      <c r="CY631" s="1485">
        <f>IF(HW631=TRUE,AD631,0)</f>
        <v>0</v>
      </c>
      <c r="CZ631" s="1485">
        <f>IF(HW631=TRUE,AD634,0)</f>
        <v>0</v>
      </c>
      <c r="DA631" s="1485">
        <f>IFERROR(CY631-CZ631,0)</f>
        <v>0</v>
      </c>
      <c r="DC631" s="1353">
        <f>IF(HW631=TRUE,AE632,0)</f>
        <v>0</v>
      </c>
      <c r="DD631" s="1460">
        <f>IF(__Retrofit_TI_NC=2,IF(CN631="Exterior",O634,FM631),FK631)</f>
        <v>0</v>
      </c>
      <c r="DE631" s="1353"/>
      <c r="DF631" s="1406">
        <f>IFERROR(IF(FL631=3,IK631,IF(FL631=4,IL631,IF(FL631=5,IM631,IF(FL631=6,IN631,IF(FL631=7,IO631,IF(FL631=8,IP631,0)))))),0)</f>
        <v>0</v>
      </c>
      <c r="DG631" s="1370">
        <f>IF(HW631=TRUE,AK631,0)</f>
        <v>0</v>
      </c>
      <c r="DH631" s="1369">
        <f>IFERROR(IF(HW631=TRUE,DG633-DG631,0),0)</f>
        <v>0</v>
      </c>
      <c r="DJ631" s="1483">
        <f>IFERROR(CW631-DG631,0)</f>
        <v>0</v>
      </c>
      <c r="DL631" s="1419">
        <f>DJ631-DK633</f>
        <v>0</v>
      </c>
      <c r="DN631" s="1403" t="str">
        <f>IFERROR(IF(AND(OR(FY631=4,FY631=5,FY631=6),OR(GB631=4,GB631=5,GB631=6)),FY631+8,VLOOKUP(CT633,Fixtures!R$31:Y$78,8,FALSE)),"")</f>
        <v/>
      </c>
      <c r="DO631" s="1404" t="str">
        <f>DN631</f>
        <v/>
      </c>
      <c r="DP631" s="1353" t="str">
        <f>IFERROR(VLOOKUP(DD633,Lookup!AU$3:AV$15,2,FALSE),"")</f>
        <v/>
      </c>
      <c r="DQ631" s="1404" t="str">
        <f>IF(DP631=7,"LLLC","")</f>
        <v/>
      </c>
      <c r="DR631" s="1403">
        <f>IFERROR(IF(OR(DN631=4,DN631=5,DN631=6,DN631=12,DN631=13,DN631=14),VLOOKUP(CT633,Fixtures!DN$27:EG$77,19,FALSE),1)*CS633,0)</f>
        <v>0</v>
      </c>
      <c r="DS631" s="1489">
        <f>IF(DP631=7,IF(DD631=DD633,0,DC633),0)</f>
        <v>0</v>
      </c>
      <c r="DU631" s="1403" t="str">
        <f>IFERROR(IF(EW631&lt;EW633,"Yes","No"),"")</f>
        <v/>
      </c>
      <c r="DV631" s="1404" t="str">
        <f>DU631</f>
        <v/>
      </c>
      <c r="DW631" s="1403">
        <f>IF(DU631="Yes",DC633,0)</f>
        <v>0</v>
      </c>
      <c r="DX631" s="1403">
        <f>DW631-DS631</f>
        <v>0</v>
      </c>
      <c r="DZ631" s="1481">
        <f>IFERROR(VLOOKUP(DN631,Lookup!AN$3:AO$16,2,FALSE),0)</f>
        <v>0</v>
      </c>
      <c r="EA631" s="1481">
        <f>IF(HW631=FALSE,0,IF(DU631="Yes",DZ631+Lookup!B$6,DZ631))</f>
        <v>0</v>
      </c>
      <c r="EC631" s="1482">
        <f>IF(HW631=TRUE,DJ631,0)</f>
        <v>0</v>
      </c>
      <c r="ED631" s="1369">
        <f>IF(HW631=TRUE,CW633,0)</f>
        <v>0</v>
      </c>
      <c r="EE631" s="1370">
        <f>IFERROR(EC631-ED631,0)</f>
        <v>0</v>
      </c>
      <c r="EF631" s="1369">
        <f>IF(HW631=TRUE,DG633,0)</f>
        <v>0</v>
      </c>
      <c r="EG631" s="1369">
        <f>IFERROR(EC631-ED631+EF631,0)</f>
        <v>0</v>
      </c>
      <c r="EH631" s="1373">
        <f>IF(HW631=TRUE,CS633*CU633,0)</f>
        <v>0</v>
      </c>
      <c r="EI631" s="1373">
        <f>IF(HW631=TRUE,DC633*DE633,0)</f>
        <v>0</v>
      </c>
      <c r="EJ631" s="1363">
        <f>AO631</f>
        <v>0</v>
      </c>
      <c r="EK631" s="1376" t="str">
        <f>IFERROR(IF(HW631=TRUE,VLOOKUP(DN631,Lookup!AN$3:AP$16,3,FALSE)*DR631,""),0)</f>
        <v/>
      </c>
      <c r="EL631" s="1376">
        <f>IF(HW631=TRUE,DW631*Lookup!AP$12,0)</f>
        <v>0</v>
      </c>
      <c r="EM631" s="1362">
        <f>IFERROR(IF(HW631=TRUE,EK631/EM$33,0),0)</f>
        <v>0</v>
      </c>
      <c r="EN631" s="1362">
        <f>IF(HW631=TRUE,EL631/EN$33,0)</f>
        <v>0</v>
      </c>
      <c r="EO631" s="1363">
        <f>IF(HW631=TRUE,EQ$33*EM631,0)</f>
        <v>0</v>
      </c>
      <c r="EP631" s="1363">
        <f>IF(HW631=TRUE,EQ$33*EN631,0)</f>
        <v>0</v>
      </c>
      <c r="EQ631" s="1363">
        <f>EO631+EP631</f>
        <v>0</v>
      </c>
      <c r="ES631" s="1403">
        <f>IF(G631="",0,1)</f>
        <v>0</v>
      </c>
      <c r="EU631" s="1410" t="e">
        <f>VLOOKUP(CP633,'Space Table'!$B$3:$L$160,8,FALSE)</f>
        <v>#N/A</v>
      </c>
      <c r="EV631" s="1410" t="e">
        <f>IF(EY631="Yes",VLOOKUP(DD631,Lookup_Control_Type_Table2,4,FALSE),VLOOKUP(DD631,Lookup_Control_Type_Table2,3,FALSE))</f>
        <v>#N/A</v>
      </c>
      <c r="EW631" s="1410" t="e">
        <f>VLOOKUP(DD631,Lookup!AU$3:AV$15,2,FALSE)</f>
        <v>#N/A</v>
      </c>
      <c r="EX631" s="1410" t="e">
        <f>VLOOKUP(EU631,Lookup_Control_Type_Table,2,FALSE)</f>
        <v>#N/A</v>
      </c>
      <c r="EY631" s="1410" t="e">
        <f>VLOOKUP(CP633,'Space Table'!$B$3:$L$160,7,FALSE)</f>
        <v>#N/A</v>
      </c>
      <c r="EZ631" s="1412" t="b">
        <f>ISNUMBER(SEARCH("TLED",U633))</f>
        <v>0</v>
      </c>
      <c r="FB631" s="1365" t="str">
        <f>CONCATENATE(CN631," - ",DD631)</f>
        <v xml:space="preserve"> - 0</v>
      </c>
      <c r="FD631" s="1353" t="str">
        <f>VLOOKUP(CT633,Fixtures!DN$27:EZ$77,38,FALSE)</f>
        <v/>
      </c>
      <c r="FE631" s="1353">
        <f>IFERROR(FD631*EE631,0)</f>
        <v>0</v>
      </c>
      <c r="FF631" s="138"/>
      <c r="FI631" s="1356" t="str">
        <f>IF(CN631="Exterior","Not Daylighted",G634)</f>
        <v>Not Daylighted</v>
      </c>
      <c r="FJ631" s="1356">
        <f>VLOOKUP(FI631,_Daylight_Table_Codes,2,FALSE)</f>
        <v>0</v>
      </c>
      <c r="FK631" s="1365">
        <f>IF(__Retrofit_TI_NC=2,VLOOKUP(G633,'Space Table'!$B$3:$L$160,11,FALSE),AF632)</f>
        <v>0</v>
      </c>
      <c r="FL631" s="1365" t="e">
        <f>VLOOKUP(FK631,_Control_Table,2,FALSE)</f>
        <v>#N/A</v>
      </c>
      <c r="FM631" s="1365" t="e">
        <f>IF(AND(FP631&gt;0,FK631="Occupancy Sensor"),"Daylight + Occupancy",IF(AND(FP631&gt;0,FL631&lt;4),"Interior Daylight Dimming",FK631))</f>
        <v>#N/A</v>
      </c>
      <c r="FO631" s="1364">
        <f>IF(CO631="Interior",VLOOKUP(CP631,Control_Savings_Interior,5,FALSE),0)</f>
        <v>0</v>
      </c>
      <c r="FP631" s="1361">
        <f>IF(CN631="Exterior",0,IF(FJ631=2,0.5,IF(OR(FJ631=1,FJ631=3),1,0)))</f>
        <v>0</v>
      </c>
      <c r="FQ631" s="1366"/>
      <c r="FR631" s="1367"/>
      <c r="FS631" s="1364"/>
      <c r="FT631" s="1367"/>
      <c r="FU631" s="1360"/>
      <c r="FW631" s="1352" t="str">
        <f>IFERROR(VLOOKUP(U632,_Exist_Fixture_Table,3,FALSE),"")</f>
        <v/>
      </c>
      <c r="FX631" s="1352" t="str">
        <f>VLOOKUP(CT631,_Exist_Fixture_Table,4,FALSE)</f>
        <v/>
      </c>
      <c r="FY631" s="1352">
        <f>IFERROR(VLOOKUP(FX631,Lookup!AM$6:AN$8,2,FALSE),0)</f>
        <v>0</v>
      </c>
      <c r="FZ631" s="1352" t="b">
        <f>IFERROR(IF(OR(GB631=4,GB631=5,GB631=6),TRUE,FALSE),"")</f>
        <v>0</v>
      </c>
      <c r="GA631" s="1352" t="str">
        <f>IFERROR(VLOOKUP(GB631,FY$6:FZ$10,2,FALSE),"")</f>
        <v/>
      </c>
      <c r="GB631" s="1352" t="str">
        <f>VLOOKUP(CT633,Fixtures!R$31:Y$78,8,FALSE)</f>
        <v/>
      </c>
      <c r="GC631" s="1352">
        <f>IF(AND(FW631=TRUE,FZ631=TRUE,OR(DN631=12,DN631=13,DN631=14)),FY631+8,0)</f>
        <v>0</v>
      </c>
      <c r="GD631" s="1352" t="b">
        <f>IF(OR(GC631=12,GC631=13,GC631=14),TRUE,FALSE)</f>
        <v>0</v>
      </c>
      <c r="GE631" s="759" t="b">
        <f>IF(ISNUMBER(SEARCH("TLED",U632)),TRUE,FALSE)</f>
        <v>0</v>
      </c>
      <c r="GF631" s="1035" t="str">
        <f>IFERROR(VLOOKUP(U632,Fixtures!BM$93:BR$142,6,FALSE),"")</f>
        <v/>
      </c>
      <c r="GG631" s="1385" t="b">
        <f>IF(OR(GE631=FALSE,GE633=FALSE),TRUE,IF(GF631-GF633&lt;5,FALSE,TRUE))</f>
        <v>1</v>
      </c>
      <c r="GK631" s="1034">
        <f>GL631</f>
        <v>0</v>
      </c>
      <c r="GL631" s="1034">
        <f>IF(G631="",0,1)</f>
        <v>0</v>
      </c>
      <c r="GM631" s="1034">
        <f>SUM(GN631:HB631)</f>
        <v>2</v>
      </c>
      <c r="GN631" s="1034">
        <f>IF(G632="",0,1)</f>
        <v>0</v>
      </c>
      <c r="GO631" s="1034">
        <f>IF(G633="",0,1)</f>
        <v>0</v>
      </c>
      <c r="GP631" s="1034">
        <f>IF(R632="",0,1)</f>
        <v>0</v>
      </c>
      <c r="GQ631" s="1034">
        <f>IF(__Retrofit_TI_NC=0,1,IF(R633="",0,1))</f>
        <v>1</v>
      </c>
      <c r="GR631" s="1034">
        <f>IF(CN631="Exterior",1,IF(G634="",0,1))</f>
        <v>1</v>
      </c>
      <c r="GS631" s="1034">
        <f>IF(__Retrofit_TI_NC&lt;&gt;0,1,IF(T632="",0,1))</f>
        <v>0</v>
      </c>
      <c r="GT631" s="1034">
        <f>IF(__Retrofit_TI_NC&lt;&gt;0,1,IF(U632="",0,1))</f>
        <v>0</v>
      </c>
      <c r="GU631" s="1034">
        <f>IF(T633="",0,1)</f>
        <v>0</v>
      </c>
      <c r="GV631" s="1034">
        <f>IF(U633="",0,1)</f>
        <v>0</v>
      </c>
      <c r="GW631" s="1034">
        <f>IF(__Retrofit_TI_NC=2,1,IF(U634="",0,1))</f>
        <v>0</v>
      </c>
      <c r="GX631" s="1034">
        <f>IF(__Retrofit_TI_NC&lt;&gt;0,1,IF(AE632="",0,1))</f>
        <v>0</v>
      </c>
      <c r="GY631" s="1034">
        <f>IF(__Retrofit_TI_NC&lt;&gt;0,1,IF(AF632="",0,1))</f>
        <v>0</v>
      </c>
      <c r="GZ631" s="1034">
        <f>IF(AE633="",0,1)</f>
        <v>0</v>
      </c>
      <c r="HA631" s="1034">
        <f>IF(AF633="",0,1)</f>
        <v>0</v>
      </c>
      <c r="HB631" s="1034">
        <f>IF(__Retrofit_TI_NC=2,1,IF(AF634="",0,1))</f>
        <v>0</v>
      </c>
      <c r="HV631" s="436"/>
      <c r="HW631" s="1384" t="b">
        <f>IF(OR(HW634=0,HW634=HT$16,HW634=HS$16,HW634=HU$16),TRUE,FALSE)</f>
        <v>0</v>
      </c>
      <c r="HX631" s="1377" t="b">
        <f>HW631</f>
        <v>0</v>
      </c>
      <c r="HY631" s="436"/>
      <c r="HZ631" s="436"/>
      <c r="IA631" s="1386" t="b">
        <f>IF(MAX(GJ634:HP634)&gt;5,FALSE,TRUE)</f>
        <v>0</v>
      </c>
      <c r="IB631" s="1380">
        <f>IF(IA631=TRUE,AC631,0)</f>
        <v>0</v>
      </c>
      <c r="IC631" s="1380">
        <f>IB631-IB633</f>
        <v>0</v>
      </c>
      <c r="IF631" s="1380" t="e">
        <f>ROUND(T632*VLOOKUP(U632,Fixtures_Existing_List,2,FALSE)*N632*R632/1000,0)</f>
        <v>#N/A</v>
      </c>
      <c r="IG631" s="1381" t="e">
        <f>IF631-IF633</f>
        <v>#N/A</v>
      </c>
      <c r="IH631" s="1384" t="e">
        <f>ROUND(IF(CN631="Interior",N633*R633*R632*N632*_C406_reduction/1000,N633*R633*R632*N632/1000),0)</f>
        <v>#N/A</v>
      </c>
      <c r="II631" s="1384" t="e">
        <f>IH631-IH633</f>
        <v>#N/A</v>
      </c>
      <c r="IK631" s="1351" t="e">
        <f>IF($CO631="interior",IL631/2,VLOOKUP($CP631,Control_Savings_Exterior,IK$30,FALSE))</f>
        <v>#N/A</v>
      </c>
      <c r="IL631" s="1351" t="e">
        <f>IF($CO631="interior",VLOOKUP($CP631,Control_Savings_Interior,IL$30,FALSE),VLOOKUP($CP631,Control_Savings_Exterior,IL$30,FALSE))</f>
        <v>#N/A</v>
      </c>
      <c r="IM631" s="1351" t="e">
        <f>IF($CO631="interior",IF(R632&gt;FO$37,(IM$28*(FO$37/R632)),IM$28)*FP631,VLOOKUP($CP631,Control_Savings_Exterior,IM$30,FALSE))</f>
        <v>#N/A</v>
      </c>
      <c r="IN631" s="1351" t="e">
        <f>IF($CO631="interior",ROUND(((1-IL631)*IM631)+IL631,2),VLOOKUP($CP631,Control_Savings_Exterior,IN$30,FALSE))</f>
        <v>#N/A</v>
      </c>
      <c r="IO631" s="1351" t="e">
        <f>IF($CO631="interior", ROUND(((1-IL631)*(IM631*(1-IP$28)))+IP631,2), VLOOKUP($CP631,Control_Savings_Exterior,IO$30,FALSE))</f>
        <v>#N/A</v>
      </c>
      <c r="IP631" s="1351">
        <f>IF($CO631="interior",ROUND(((1-IL631)*IP$28)+IL631,2),0)</f>
        <v>0</v>
      </c>
    </row>
    <row r="632" spans="1:250" s="82" customFormat="1" ht="14.95" customHeight="1" thickTop="1" thickBot="1">
      <c r="B632" s="1421"/>
      <c r="C632" s="1422"/>
      <c r="D632" s="1423"/>
      <c r="E632" s="1393" t="s">
        <v>244</v>
      </c>
      <c r="F632" s="1394"/>
      <c r="G632" s="1395"/>
      <c r="H632" s="1395"/>
      <c r="I632" s="1395"/>
      <c r="J632" s="1395"/>
      <c r="K632" s="1395"/>
      <c r="L632" s="1395"/>
      <c r="M632" s="509" t="e">
        <f>IF(__Retrofit_TI_NC&lt;&gt;0,IF(VLOOKUP(G633,'Space Table'!$B$3:$L$160,3,FALSE)&gt;0,1,0),IF(__Retrofit_TI_NC=VLOOKUP(G633,'Space Table'!$B$3:$L$160,3,FALSE),1,0))</f>
        <v>#N/A</v>
      </c>
      <c r="N632" s="509" t="str">
        <f>IFERROR(VLOOKUP(G632,_Lookup_Heat_Type_Table_New,2,FALSE),"")</f>
        <v/>
      </c>
      <c r="O632" s="509">
        <f>IF(__Retrofit_TI_NC=1,CONCATENATE("TI ",G632),IF(__Retrofit_TI_NC=2,CONCATENATE("NC ",G632),G632))</f>
        <v>0</v>
      </c>
      <c r="P632" s="1396" t="s">
        <v>352</v>
      </c>
      <c r="Q632" s="1396"/>
      <c r="R632" s="673"/>
      <c r="S632" s="1429"/>
      <c r="T632" s="675"/>
      <c r="U632" s="1496"/>
      <c r="V632" s="1497"/>
      <c r="W632" s="1497"/>
      <c r="X632" s="1497"/>
      <c r="Y632" s="1497"/>
      <c r="Z632" s="1497"/>
      <c r="AA632" s="1497"/>
      <c r="AB632" s="1497"/>
      <c r="AC632" s="1497"/>
      <c r="AD632" s="1498"/>
      <c r="AE632" s="675"/>
      <c r="AF632" s="1397"/>
      <c r="AG632" s="1397"/>
      <c r="AH632" s="1397"/>
      <c r="AI632" s="1397"/>
      <c r="AJ632" s="1434"/>
      <c r="AK632" s="1436"/>
      <c r="AL632" s="1438"/>
      <c r="AM632" s="1441"/>
      <c r="AN632" s="1442"/>
      <c r="AO632" s="1447"/>
      <c r="AP632" s="1447"/>
      <c r="AQ632" s="1448"/>
      <c r="AR632" s="1452"/>
      <c r="AS632" s="1455"/>
      <c r="AT632" s="1458"/>
      <c r="AU632" s="516"/>
      <c r="AV632" s="1479"/>
      <c r="AW632" s="1479"/>
      <c r="BC632" s="38"/>
      <c r="BD632" s="38"/>
      <c r="BE632" s="38"/>
      <c r="BF632" s="38"/>
      <c r="BG632" s="38"/>
      <c r="BH632" s="38"/>
      <c r="BI632" s="38"/>
      <c r="BJ632" s="38"/>
      <c r="BK632" s="38"/>
      <c r="BL632" s="38"/>
      <c r="BM632" s="38"/>
      <c r="BN632" s="38"/>
      <c r="BO632" s="38"/>
      <c r="BP632" s="38"/>
      <c r="BQ632" s="38"/>
      <c r="BR632" s="38"/>
      <c r="BS632" s="38"/>
      <c r="BT632" s="38"/>
      <c r="BU632" s="38"/>
      <c r="BV632" s="38"/>
      <c r="BW632" s="38"/>
      <c r="BX632" s="38"/>
      <c r="BY632" s="38"/>
      <c r="BZ632" s="38"/>
      <c r="CA632" s="38"/>
      <c r="CB632" s="38"/>
      <c r="CC632" s="38"/>
      <c r="CD632" s="38"/>
      <c r="CE632" s="38"/>
      <c r="CF632" s="38"/>
      <c r="CG632" s="38"/>
      <c r="CH632" s="38"/>
      <c r="CI632" s="38"/>
      <c r="CM632" s="1352"/>
      <c r="CN632" s="1352"/>
      <c r="CO632" s="1416"/>
      <c r="CP632" s="1418"/>
      <c r="CR632" s="1386"/>
      <c r="CS632" s="1355"/>
      <c r="CT632" s="1355"/>
      <c r="CU632" s="1355"/>
      <c r="CV632" s="1372"/>
      <c r="CW632" s="1372"/>
      <c r="CX632" s="1371"/>
      <c r="CY632" s="1486"/>
      <c r="CZ632" s="1486"/>
      <c r="DA632" s="1486"/>
      <c r="DC632" s="1355"/>
      <c r="DD632" s="1461"/>
      <c r="DE632" s="1355"/>
      <c r="DF632" s="1407"/>
      <c r="DG632" s="1372"/>
      <c r="DH632" s="1369"/>
      <c r="DJ632" s="1484"/>
      <c r="DL632" s="1419"/>
      <c r="DN632" s="1403"/>
      <c r="DO632" s="1405"/>
      <c r="DP632" s="1354"/>
      <c r="DQ632" s="1405"/>
      <c r="DR632" s="1403"/>
      <c r="DS632" s="1489"/>
      <c r="DU632" s="1403"/>
      <c r="DV632" s="1405"/>
      <c r="DW632" s="1403"/>
      <c r="DX632" s="1403"/>
      <c r="DZ632" s="1481"/>
      <c r="EA632" s="1481"/>
      <c r="EC632" s="1482"/>
      <c r="ED632" s="1369"/>
      <c r="EE632" s="1371"/>
      <c r="EF632" s="1369"/>
      <c r="EG632" s="1369"/>
      <c r="EH632" s="1374"/>
      <c r="EI632" s="1374"/>
      <c r="EJ632" s="1363"/>
      <c r="EK632" s="1376"/>
      <c r="EL632" s="1376"/>
      <c r="EM632" s="1362"/>
      <c r="EN632" s="1362"/>
      <c r="EO632" s="1363"/>
      <c r="EP632" s="1363"/>
      <c r="EQ632" s="1363"/>
      <c r="ES632" s="1403"/>
      <c r="EU632" s="1411"/>
      <c r="EV632" s="1411"/>
      <c r="EW632" s="1411"/>
      <c r="EX632" s="1411"/>
      <c r="EY632" s="1411"/>
      <c r="EZ632" s="1413"/>
      <c r="FB632" s="1365"/>
      <c r="FD632" s="1354"/>
      <c r="FE632" s="1354"/>
      <c r="FF632" s="138"/>
      <c r="FI632" s="1357"/>
      <c r="FJ632" s="1357"/>
      <c r="FK632" s="1365"/>
      <c r="FL632" s="1365"/>
      <c r="FM632" s="1365"/>
      <c r="FO632" s="1361"/>
      <c r="FP632" s="1361"/>
      <c r="FQ632" s="1366"/>
      <c r="FR632" s="1368"/>
      <c r="FS632" s="1361"/>
      <c r="FT632" s="1368"/>
      <c r="FU632" s="1360"/>
      <c r="FW632" s="1352"/>
      <c r="FX632" s="1352"/>
      <c r="FY632" s="1352"/>
      <c r="FZ632" s="1352"/>
      <c r="GA632" s="1352"/>
      <c r="GB632" s="1352"/>
      <c r="GC632" s="1352"/>
      <c r="GD632" s="1352"/>
      <c r="GE632" s="759"/>
      <c r="GF632" s="1035"/>
      <c r="GG632" s="1385"/>
      <c r="GI632" s="1384" t="b">
        <f>IF(AND(GL632=TRUE,GM632=TRUE),TRUE,FALSE)</f>
        <v>0</v>
      </c>
      <c r="GJ632" s="1379" t="b">
        <f>IFERROR(IF(__Retrofit_TI_NC=2,TRUE,IF(AR631="Yes",TRUE,FALSE)),FALSE)</f>
        <v>1</v>
      </c>
      <c r="GL632" s="1379" t="b">
        <f>IFERROR(IF(GL631=1,TRUE,FALSE),FALSE)</f>
        <v>0</v>
      </c>
      <c r="GM632" s="1379" t="b">
        <f>IFERROR(IF(GM631=GM$14,TRUE,FALSE),FALSE)</f>
        <v>0</v>
      </c>
      <c r="HC632" s="1379" t="b">
        <f>IFERROR(IF(M632=1,TRUE,FALSE),FALSE)</f>
        <v>0</v>
      </c>
      <c r="HD632" s="1379" t="b">
        <f>IFERROR(IF(M633=1,TRUE,FALSE),FALSE)</f>
        <v>0</v>
      </c>
      <c r="HE632" s="1379" t="b">
        <f>IFERROR(IF(__Retrofit_TI_NC&lt;&gt;0,TRUE,IFERROR(IF(VLOOKUP(U632,Fixtures_Existing_List,2,FALSE)&lt;&gt;"",TRUE,FALSE),FALSE)),FALSE)</f>
        <v>0</v>
      </c>
      <c r="HF632" s="1379" t="b">
        <f>IFERROR(IF(VLOOKUP(U633,Fixtures_Proposed_List,2,FALSE)&lt;&gt;"",TRUE,FALSE),FALSE)</f>
        <v>0</v>
      </c>
      <c r="HG632" s="1379" t="b">
        <f>IF(AND(__Retrofit_TI_NC=2,EZ631=TRUE),FALSE,TRUE)</f>
        <v>1</v>
      </c>
      <c r="HH632" s="1379" t="b">
        <f>GG631</f>
        <v>1</v>
      </c>
      <c r="HI632" s="1384" t="b">
        <f>IF(ISERROR(MATCH(FB631,_Control_Match[],0))=TRUE,FALSE,TRUE)</f>
        <v>0</v>
      </c>
      <c r="HJ632" s="1384" t="b">
        <f>IFERROR(IF(EU631&lt;&gt;EV631,FALSE,TRUE),FALSE)</f>
        <v>0</v>
      </c>
      <c r="HK632" s="1384" t="b">
        <f>IFERROR(IF(EU633&lt;&gt;EV633,FALSE,TRUE),FALSE)</f>
        <v>0</v>
      </c>
      <c r="HL632" s="1379" t="b">
        <f>IFERROR(IF(CN631="Exterior",TRUE,IF(OR(AND(FJ631=0,EW633&gt;4),AND(FJ631=4,EW633&gt;4,EW633&lt;7)),FALSE,TRUE)),FALSE)</f>
        <v>0</v>
      </c>
      <c r="HM632" s="1379" t="b">
        <f>IFERROR(IF(AND(FL633=7,EZ631=TRUE),FALSE,TRUE),FALSE)</f>
        <v>0</v>
      </c>
      <c r="HN632" s="1379" t="b">
        <f>IFERROR(IF(AND(T633&lt;&gt;AE633,AF633="Interior LLLC")=TRUE,FALSE,TRUE),FALSE)</f>
        <v>1</v>
      </c>
      <c r="HO632" s="1379" t="b">
        <f>IFERROR(IF(OR(AF633=Lookup!AU$13,AF633=Lookup!AU$14)=TRUE,IF(AE633&gt;T633,FALSE,TRUE),TRUE),FALSE)</f>
        <v>1</v>
      </c>
      <c r="HP632" s="1379" t="b">
        <f>IFERROR(IF(__Retrofit_TI_NC=2,IF(EW633&lt;EW631,FALSE,TRUE),TRUE),FALSE)</f>
        <v>1</v>
      </c>
      <c r="HQ632" s="1379" t="b">
        <f>IF(CN631="Interior",IG$6,TRUE)</f>
        <v>1</v>
      </c>
      <c r="HR632" s="1379" t="b">
        <f>IF(CN631="Exterior",IG$8,TRUE)</f>
        <v>1</v>
      </c>
      <c r="HS632" s="1379" t="b">
        <f>IFERROR(IF(__Retrofit_TI_NC&lt;&gt;0,IF(AW631&lt;AV631,FALSE,TRUE),TRUE),FALSE)</f>
        <v>1</v>
      </c>
      <c r="HT632" s="1379" t="b">
        <f>IFERROR(IF(AND(G632="Exterior",R632&gt;4200),FALSE,TRUE),FALSE)</f>
        <v>1</v>
      </c>
      <c r="HU632" s="1379" t="b">
        <f>IFERROR(IF(AB634/AB631&lt;HU$18,FALSE,TRUE),FALSE)</f>
        <v>0</v>
      </c>
      <c r="HW632" s="1382"/>
      <c r="HX632" s="1378"/>
      <c r="HY632" s="1377" t="str">
        <f>VLOOKUP(HW634,_Error_Table,4,FALSE)</f>
        <v>White</v>
      </c>
      <c r="HZ632" s="436"/>
      <c r="IA632" s="1386"/>
      <c r="IB632" s="1380"/>
      <c r="IC632" s="1379"/>
      <c r="IF632" s="1380"/>
      <c r="IG632" s="1382"/>
      <c r="IH632" s="1382"/>
      <c r="II632" s="1382"/>
      <c r="IK632" s="1351"/>
      <c r="IL632" s="1351"/>
      <c r="IM632" s="1351"/>
      <c r="IN632" s="1351"/>
      <c r="IO632" s="1351"/>
      <c r="IP632" s="1351"/>
    </row>
    <row r="633" spans="1:250" s="82" customFormat="1" ht="14.95" customHeight="1" thickTop="1" thickBot="1">
      <c r="A633" s="82">
        <f>ROW()</f>
        <v>633</v>
      </c>
      <c r="B633" s="1421"/>
      <c r="C633" s="1422"/>
      <c r="D633" s="1423"/>
      <c r="E633" s="1393" t="s">
        <v>245</v>
      </c>
      <c r="F633" s="1394"/>
      <c r="G633" s="1398"/>
      <c r="H633" s="1399"/>
      <c r="I633" s="1399"/>
      <c r="J633" s="1399"/>
      <c r="K633" s="1399"/>
      <c r="L633" s="1400"/>
      <c r="M633" s="509">
        <f>IFERROR(IF(IF(__Retrofit_TI_NC&lt;&gt;0,IF(CN631="Interior",MATCH(G633,Lookup_Interior_New,0),MATCH(G633,Lookup_Exterior_New,0)),IF(CN631="Interior",MATCH(G633,Lookup_Interior,0),MATCH(G633,Lookup_Exterior_Areas,0)))&gt;0,1,0),0)</f>
        <v>0</v>
      </c>
      <c r="N633" s="509" t="e">
        <f>IF(__Retrofit_TI_NC=1,
VLOOKUP(G633,'Space Table'!$B$3:$L$160,4,FALSE),
IF(__Retrofit_TI_NC=2,VLOOKUP(G633,'Space Table'!$B$3:$L$160,5,FALSE),VLOOKUP(G633,'Space Table'!$B$3:$L$160,5,FALSE)))</f>
        <v>#N/A</v>
      </c>
      <c r="O633" s="509">
        <f>G633</f>
        <v>0</v>
      </c>
      <c r="P633" s="1394" t="s">
        <v>355</v>
      </c>
      <c r="Q633" s="1394"/>
      <c r="R633" s="674"/>
      <c r="S633" s="1401" t="s">
        <v>284</v>
      </c>
      <c r="T633" s="672"/>
      <c r="U633" s="1499"/>
      <c r="V633" s="1500"/>
      <c r="W633" s="1500"/>
      <c r="X633" s="1500"/>
      <c r="Y633" s="1500"/>
      <c r="Z633" s="1500"/>
      <c r="AA633" s="1500"/>
      <c r="AB633" s="1501"/>
      <c r="AC633" s="1501"/>
      <c r="AD633" s="1502"/>
      <c r="AE633" s="672"/>
      <c r="AF633" s="1474"/>
      <c r="AG633" s="1474"/>
      <c r="AH633" s="1474"/>
      <c r="AI633" s="1474"/>
      <c r="AJ633" s="1475">
        <f>DF633</f>
        <v>0</v>
      </c>
      <c r="AK633" s="1470" t="str">
        <f>IFERROR(ROUND(AJ633*AC634,0),"")</f>
        <v/>
      </c>
      <c r="AL633" s="1472">
        <f>IFERROR(IF(HW631=FALSE,0,AC634-AK633),0)</f>
        <v>0</v>
      </c>
      <c r="AM633" s="1441"/>
      <c r="AN633" s="1442"/>
      <c r="AO633" s="1447"/>
      <c r="AP633" s="1447"/>
      <c r="AQ633" s="1448"/>
      <c r="AR633" s="1452"/>
      <c r="AS633" s="1455"/>
      <c r="AT633" s="1458"/>
      <c r="AU633" s="516"/>
      <c r="AV633" s="1479"/>
      <c r="AW633" s="1479"/>
      <c r="BC633" s="38"/>
      <c r="BD633" s="38"/>
      <c r="BE633" s="38"/>
      <c r="BF633" s="38"/>
      <c r="BG633" s="38"/>
      <c r="BH633" s="38"/>
      <c r="BI633" s="38"/>
      <c r="BJ633" s="38"/>
      <c r="BK633" s="38"/>
      <c r="BL633" s="38"/>
      <c r="BM633" s="38"/>
      <c r="BN633" s="38"/>
      <c r="BO633" s="38"/>
      <c r="BP633" s="38"/>
      <c r="BQ633" s="38"/>
      <c r="BR633" s="38"/>
      <c r="BS633" s="38"/>
      <c r="BT633" s="38"/>
      <c r="BU633" s="38"/>
      <c r="BV633" s="38"/>
      <c r="BW633" s="38"/>
      <c r="BX633" s="38"/>
      <c r="BY633" s="38"/>
      <c r="BZ633" s="38"/>
      <c r="CA633" s="38"/>
      <c r="CB633" s="38"/>
      <c r="CC633" s="38"/>
      <c r="CD633" s="38"/>
      <c r="CE633" s="38"/>
      <c r="CF633" s="38"/>
      <c r="CG633" s="38"/>
      <c r="CH633" s="38"/>
      <c r="CI633" s="38"/>
      <c r="CM633" s="1352"/>
      <c r="CN633" s="1352"/>
      <c r="CO633" s="1415" t="str">
        <f>CN631</f>
        <v/>
      </c>
      <c r="CP633" s="1417" t="e">
        <f>CP631</f>
        <v>#N/A</v>
      </c>
      <c r="CR633" s="1386" t="s">
        <v>284</v>
      </c>
      <c r="CS633" s="1353">
        <f>IF(HW631=TRUE,T633,0)</f>
        <v>0</v>
      </c>
      <c r="CT633" s="1353" t="str">
        <f>IF(HW631=TRUE,U633,"")</f>
        <v/>
      </c>
      <c r="CU633" s="1373">
        <f>IF(HW631=TRUE,U634,0)</f>
        <v>0</v>
      </c>
      <c r="CV633" s="1370">
        <f>IF(HW631=TRUE,AB634,0)</f>
        <v>0</v>
      </c>
      <c r="CW633" s="1370">
        <f>IF(HW631=TRUE,AC634,0)</f>
        <v>0</v>
      </c>
      <c r="CX633" s="1371"/>
      <c r="CY633" s="1486"/>
      <c r="CZ633" s="1486"/>
      <c r="DA633" s="1486"/>
      <c r="DC633" s="1353">
        <f>IF(HW631=TRUE,AE633,0)</f>
        <v>0</v>
      </c>
      <c r="DD633" s="1353" t="str">
        <f>IF(HW631=TRUE,AF633,"")</f>
        <v/>
      </c>
      <c r="DE633" s="1373">
        <f>AF634</f>
        <v>0</v>
      </c>
      <c r="DF633" s="1406">
        <f>IFERROR(IF(FL633=3,IK633,IF(FL633=4,IL633,IF(FL633=5,IM633,IF(FL633=6,IN633,IF(FL633=7,IO633,IF(FL633=8,IP633,0)))))),0)</f>
        <v>0</v>
      </c>
      <c r="DG633" s="1370">
        <f>IF(HW631=TRUE,AK633,0)</f>
        <v>0</v>
      </c>
      <c r="DH633" s="1369"/>
      <c r="DK633" s="1483">
        <f>IFERROR(CW633-DG633,0)</f>
        <v>0</v>
      </c>
      <c r="DL633" s="1420"/>
      <c r="DN633" s="1403"/>
      <c r="DO633" s="1477" t="str">
        <f>DN631</f>
        <v/>
      </c>
      <c r="DP633" s="1354"/>
      <c r="DQ633" s="1477" t="str">
        <f>IF(DP631=7,"LLLC","")</f>
        <v/>
      </c>
      <c r="DR633" s="1403"/>
      <c r="DS633" s="1489"/>
      <c r="DU633" s="1403"/>
      <c r="DV633" s="1404" t="str">
        <f>DU631</f>
        <v/>
      </c>
      <c r="DW633" s="1403"/>
      <c r="DX633" s="1403"/>
      <c r="DZ633" s="1481"/>
      <c r="EA633" s="1481"/>
      <c r="EC633" s="1482"/>
      <c r="ED633" s="1369"/>
      <c r="EE633" s="1371"/>
      <c r="EF633" s="1369"/>
      <c r="EG633" s="1369"/>
      <c r="EH633" s="1374"/>
      <c r="EI633" s="1374"/>
      <c r="EJ633" s="1363"/>
      <c r="EK633" s="1376"/>
      <c r="EL633" s="1376"/>
      <c r="EM633" s="1362"/>
      <c r="EN633" s="1362"/>
      <c r="EO633" s="1363"/>
      <c r="EP633" s="1363"/>
      <c r="EQ633" s="1363"/>
      <c r="ES633" s="1403"/>
      <c r="EU633" s="1411" t="e">
        <f>VLOOKUP(CP633,'Space Table'!$B$3:$L$160,8,FALSE)</f>
        <v>#N/A</v>
      </c>
      <c r="EV633" s="1411" t="e">
        <f>IF(EY633="Yes",VLOOKUP(AF633,Lookup_Control_Type_Table2,4,FALSE),VLOOKUP(AF633,Lookup_Control_Type_Table2,3,FALSE))</f>
        <v>#N/A</v>
      </c>
      <c r="EW633" s="1411" t="e">
        <f>VLOOKUP(AF633,Lookup!AU$3:AV$15,2,FALSE)</f>
        <v>#N/A</v>
      </c>
      <c r="EX633" s="1411" t="e">
        <f>VLOOKUP(EU631,Lookup_Control_Type_Table,2,FALSE)</f>
        <v>#N/A</v>
      </c>
      <c r="EY633" s="1411" t="e">
        <f>VLOOKUP(CP633,'Space Table'!$B$3:$L$160,7,FALSE)</f>
        <v>#N/A</v>
      </c>
      <c r="EZ633" s="1413"/>
      <c r="FB633" s="1365" t="str">
        <f>CONCATENATE(CN631," - ",AF633)</f>
        <v xml:space="preserve"> - </v>
      </c>
      <c r="FD633" s="1354"/>
      <c r="FE633" s="1354"/>
      <c r="FF633" s="138"/>
      <c r="FI633" s="1356" t="str">
        <f>IF(CN631="Exterior","Not Daylighted",G634)</f>
        <v>Not Daylighted</v>
      </c>
      <c r="FJ633" s="1356">
        <f>VLOOKUP(FI633,_Daylight_Table_Codes,2,FALSE)</f>
        <v>0</v>
      </c>
      <c r="FK633" s="1365">
        <f>AF633</f>
        <v>0</v>
      </c>
      <c r="FL633" s="1365" t="e">
        <f>VLOOKUP(FK633,_Control_Table,2,FALSE)</f>
        <v>#N/A</v>
      </c>
      <c r="FM633" s="1365" t="e">
        <f>IF(AND(FP633&gt;0,FK633="Occupancy Sensor"),"Daylight + Occupancy",IF(AND(FP633&gt;0,FL633&lt;4),"Interior Daylight Dimming",FK633))</f>
        <v>#N/A</v>
      </c>
      <c r="FO633" s="1364">
        <f>IF(CN631="Interior",VLOOKUP(CP631,Control_Savings_Interior,5,FALSE),0)</f>
        <v>0</v>
      </c>
      <c r="FP633" s="1361">
        <f>IF(CN633="Exterior",0,IF(FJ633=2,0.5,IF(OR(FJ633=1,FJ633=3),1,0)))</f>
        <v>0</v>
      </c>
      <c r="FQ633" s="1366">
        <f>IF(R632&gt;FO$37,(FO633*(FO$37/R632)),FO633)*FP633</f>
        <v>0</v>
      </c>
      <c r="FR633" s="1364">
        <f>DF633</f>
        <v>0</v>
      </c>
      <c r="FS633" s="1364">
        <f>ROUND(FR633+((1-FR633)*FQ633),2)</f>
        <v>0</v>
      </c>
      <c r="FT633" s="1364">
        <f>IF(__Retrofit_TI_NC=2,FS633,FR633)</f>
        <v>0</v>
      </c>
      <c r="FU633" s="1360">
        <f>IF(CO633="Interior",VLOOKUP(CP633,Control_Savings_Interior,4,FALSE),0)</f>
        <v>0</v>
      </c>
      <c r="FW633" s="1352"/>
      <c r="FX633" s="1352"/>
      <c r="FY633" s="1352"/>
      <c r="FZ633" s="1352"/>
      <c r="GA633" s="1352"/>
      <c r="GB633" s="1352"/>
      <c r="GC633" s="1352"/>
      <c r="GD633" s="1352"/>
      <c r="GE633" s="759" t="b">
        <f>IF(ISNUMBER(SEARCH("TLED",U633)),TRUE,FALSE)</f>
        <v>0</v>
      </c>
      <c r="GF633" s="1035" t="str">
        <f>IFERROR(VLOOKUP(U633,Fixtures!DM$93:DR$142,6,FALSE),"")</f>
        <v/>
      </c>
      <c r="GG633" s="1385"/>
      <c r="GI633" s="1383"/>
      <c r="GJ633" s="1379"/>
      <c r="GL633" s="1379"/>
      <c r="GM633" s="1379"/>
      <c r="HC633" s="1379"/>
      <c r="HD633" s="1379"/>
      <c r="HE633" s="1379"/>
      <c r="HF633" s="1379"/>
      <c r="HG633" s="1379"/>
      <c r="HH633" s="1379"/>
      <c r="HI633" s="1383"/>
      <c r="HJ633" s="1383"/>
      <c r="HK633" s="1383"/>
      <c r="HL633" s="1379"/>
      <c r="HM633" s="1379"/>
      <c r="HN633" s="1379"/>
      <c r="HO633" s="1379"/>
      <c r="HP633" s="1379"/>
      <c r="HQ633" s="1379"/>
      <c r="HR633" s="1379"/>
      <c r="HS633" s="1379"/>
      <c r="HT633" s="1379"/>
      <c r="HU633" s="1379"/>
      <c r="HW633" s="1383"/>
      <c r="HX633" s="1384" t="b">
        <f>HW631</f>
        <v>0</v>
      </c>
      <c r="HY633" s="1378"/>
      <c r="HZ633" s="436"/>
      <c r="IA633" s="1386"/>
      <c r="IB633" s="1380">
        <f>IF(IA631=TRUE,AC634,0)</f>
        <v>0</v>
      </c>
      <c r="IC633" s="1379"/>
      <c r="IF633" s="1380" t="e">
        <f>ROUND(T633*AB634*N632*R632/1000,0)</f>
        <v>#VALUE!</v>
      </c>
      <c r="IG633" s="1382"/>
      <c r="IH633" s="1384" t="e">
        <f>ROUND(T633*AB634*N632*R632/1000,0)</f>
        <v>#VALUE!</v>
      </c>
      <c r="II633" s="1382"/>
      <c r="IK633" s="1351" t="e">
        <f>IF($CO633="interior",IL633/2,VLOOKUP($CP633,Control_Savings_Exterior,IK$30,FALSE))</f>
        <v>#N/A</v>
      </c>
      <c r="IL633" s="1351" t="e">
        <f>IF($CO633="interior",VLOOKUP($CP633,Control_Savings_Interior,IL$30,FALSE),VLOOKUP($CP633,Control_Savings_Exterior,IL$30,FALSE))</f>
        <v>#N/A</v>
      </c>
      <c r="IM633" s="1351" t="e">
        <f>IF($CO633="interior",IF(R632&gt;FO$37,(IM$28*(FO$37/R632)),IM$28)*FP633,VLOOKUP($CP633,Control_Savings_Exterior,IM$30,FALSE))</f>
        <v>#N/A</v>
      </c>
      <c r="IN633" s="1351" t="e">
        <f>IF($CO633="interior",ROUND(((1-IL633)*IM633)+IL633,2),VLOOKUP($CP633,Control_Savings_Exterior,IN$30,FALSE))</f>
        <v>#N/A</v>
      </c>
      <c r="IO633" s="1351" t="e">
        <f>IF($CO633="interior", ROUND(((1-IL633)*(IM633*(1-IP$28)))+IP633,2), VLOOKUP($CP633,Control_Savings_Exterior,IO$30,FALSE))</f>
        <v>#N/A</v>
      </c>
      <c r="IP633" s="1351">
        <f>IF($CO633="interior",ROUND(((1-IL633)*IP$28)+IL633,2),0)</f>
        <v>0</v>
      </c>
    </row>
    <row r="634" spans="1:250" s="82" customFormat="1" ht="14.95" customHeight="1" thickTop="1" thickBot="1">
      <c r="B634" s="1421"/>
      <c r="C634" s="1422"/>
      <c r="D634" s="1423"/>
      <c r="E634" s="1462" t="s">
        <v>357</v>
      </c>
      <c r="F634" s="1463"/>
      <c r="G634" s="1464" t="s">
        <v>362</v>
      </c>
      <c r="H634" s="1465"/>
      <c r="I634" s="1465"/>
      <c r="J634" s="1465"/>
      <c r="K634" s="1465"/>
      <c r="L634" s="1466"/>
      <c r="M634" s="669">
        <f>IFERROR(VLOOKUP(G634,_Daylight_Table[],2,FALSE),0)</f>
        <v>0</v>
      </c>
      <c r="N634" s="670"/>
      <c r="O634" s="669" t="e">
        <f>VLOOKUP(G633,'Space Table'!$B$3:$L$160,11,FALSE)</f>
        <v>#N/A</v>
      </c>
      <c r="P634" s="1408"/>
      <c r="Q634" s="1409"/>
      <c r="R634" s="1409"/>
      <c r="S634" s="1402"/>
      <c r="T634" s="671" t="s">
        <v>281</v>
      </c>
      <c r="U634" s="1467" t="str">
        <f>IFERROR(VLOOKUP(U633,Fixtures!DM$93:DP$142,4,FALSE),"")</f>
        <v/>
      </c>
      <c r="V634" s="1468"/>
      <c r="W634" s="1468"/>
      <c r="X634" s="1468"/>
      <c r="Y634" s="1468"/>
      <c r="Z634" s="1468"/>
      <c r="AA634" s="1468"/>
      <c r="AB634" s="1046" t="str">
        <f>IFERROR(VLOOKUP(U633,Fixtures_Proposed_List,2,FALSE),"")</f>
        <v/>
      </c>
      <c r="AC634" s="1036" t="str">
        <f>IFERROR(ROUND(T633*AB634*N632*R632/1000,0),"")</f>
        <v/>
      </c>
      <c r="AD634" s="1037" t="str">
        <f>IFERROR(ROUND(T633*AB634/1000,2),"")</f>
        <v/>
      </c>
      <c r="AE634" s="1045" t="s">
        <v>281</v>
      </c>
      <c r="AF634" s="1469"/>
      <c r="AG634" s="1469"/>
      <c r="AH634" s="1469"/>
      <c r="AI634" s="1469"/>
      <c r="AJ634" s="1476"/>
      <c r="AK634" s="1471"/>
      <c r="AL634" s="1473"/>
      <c r="AM634" s="1443"/>
      <c r="AN634" s="1444"/>
      <c r="AO634" s="1449"/>
      <c r="AP634" s="1449"/>
      <c r="AQ634" s="1450"/>
      <c r="AR634" s="1453"/>
      <c r="AS634" s="1456"/>
      <c r="AT634" s="1459"/>
      <c r="AU634" s="517"/>
      <c r="AV634" s="1480"/>
      <c r="AW634" s="1480"/>
      <c r="BC634" s="38"/>
      <c r="BD634" s="38"/>
      <c r="BE634" s="38"/>
      <c r="BF634" s="38"/>
      <c r="BG634" s="38"/>
      <c r="BH634" s="38"/>
      <c r="BI634" s="38"/>
      <c r="BJ634" s="38"/>
      <c r="BK634" s="38"/>
      <c r="BL634" s="38"/>
      <c r="BM634" s="38"/>
      <c r="BN634" s="38"/>
      <c r="BO634" s="38"/>
      <c r="BP634" s="38"/>
      <c r="BQ634" s="38"/>
      <c r="BR634" s="38"/>
      <c r="BS634" s="38"/>
      <c r="BT634" s="38"/>
      <c r="BU634" s="38"/>
      <c r="BV634" s="38"/>
      <c r="BW634" s="38"/>
      <c r="BX634" s="38"/>
      <c r="BY634" s="38"/>
      <c r="BZ634" s="38"/>
      <c r="CA634" s="38"/>
      <c r="CB634" s="38"/>
      <c r="CC634" s="38"/>
      <c r="CD634" s="38"/>
      <c r="CE634" s="38"/>
      <c r="CF634" s="38"/>
      <c r="CG634" s="38"/>
      <c r="CH634" s="38"/>
      <c r="CI634" s="38"/>
      <c r="CM634" s="1352"/>
      <c r="CN634" s="1352"/>
      <c r="CO634" s="1416"/>
      <c r="CP634" s="1418"/>
      <c r="CR634" s="1386"/>
      <c r="CS634" s="1355"/>
      <c r="CT634" s="1355"/>
      <c r="CU634" s="1375"/>
      <c r="CV634" s="1372"/>
      <c r="CW634" s="1372"/>
      <c r="CX634" s="1372"/>
      <c r="CY634" s="1487"/>
      <c r="CZ634" s="1487"/>
      <c r="DA634" s="1487"/>
      <c r="DC634" s="1355"/>
      <c r="DD634" s="1355"/>
      <c r="DE634" s="1375"/>
      <c r="DF634" s="1407"/>
      <c r="DG634" s="1372"/>
      <c r="DH634" s="1369"/>
      <c r="DK634" s="1484"/>
      <c r="DL634" s="1420"/>
      <c r="DN634" s="1403"/>
      <c r="DO634" s="1405"/>
      <c r="DP634" s="1355"/>
      <c r="DQ634" s="1405"/>
      <c r="DR634" s="1403"/>
      <c r="DS634" s="1489"/>
      <c r="DU634" s="1403"/>
      <c r="DV634" s="1405"/>
      <c r="DW634" s="1403"/>
      <c r="DX634" s="1403"/>
      <c r="DZ634" s="1481"/>
      <c r="EA634" s="1481"/>
      <c r="EC634" s="1482"/>
      <c r="ED634" s="1369"/>
      <c r="EE634" s="1372"/>
      <c r="EF634" s="1369"/>
      <c r="EG634" s="1369"/>
      <c r="EH634" s="1375"/>
      <c r="EI634" s="1375"/>
      <c r="EJ634" s="1363"/>
      <c r="EK634" s="1376"/>
      <c r="EL634" s="1376"/>
      <c r="EM634" s="1362"/>
      <c r="EN634" s="1362"/>
      <c r="EO634" s="1363"/>
      <c r="EP634" s="1363"/>
      <c r="EQ634" s="1363"/>
      <c r="ES634" s="1403"/>
      <c r="EU634" s="1488"/>
      <c r="EV634" s="1488"/>
      <c r="EW634" s="1488"/>
      <c r="EX634" s="1488"/>
      <c r="EY634" s="1488"/>
      <c r="EZ634" s="1414"/>
      <c r="FB634" s="1365"/>
      <c r="FD634" s="1355"/>
      <c r="FE634" s="1355"/>
      <c r="FF634" s="138"/>
      <c r="FI634" s="1357"/>
      <c r="FJ634" s="1357"/>
      <c r="FK634" s="1365"/>
      <c r="FL634" s="1365"/>
      <c r="FM634" s="1365"/>
      <c r="FO634" s="1361"/>
      <c r="FP634" s="1361"/>
      <c r="FQ634" s="1366"/>
      <c r="FR634" s="1361"/>
      <c r="FS634" s="1361"/>
      <c r="FT634" s="1361"/>
      <c r="FU634" s="1360"/>
      <c r="FW634" s="1352"/>
      <c r="FX634" s="1352"/>
      <c r="FY634" s="1352"/>
      <c r="FZ634" s="1352"/>
      <c r="GA634" s="1352"/>
      <c r="GB634" s="1352"/>
      <c r="GC634" s="1352"/>
      <c r="GD634" s="1352"/>
      <c r="GE634" s="759"/>
      <c r="GF634" s="1035"/>
      <c r="GG634" s="1385"/>
      <c r="GJ634" s="1034">
        <f>IF(GJ632=TRUE,0,GJ$16)</f>
        <v>0</v>
      </c>
      <c r="GL634" s="1034">
        <f>IF(GL632=TRUE,0,GL$16)</f>
        <v>36</v>
      </c>
      <c r="GM634" s="1034">
        <f>IF(GM632=TRUE,0,GM$16)</f>
        <v>35</v>
      </c>
      <c r="GN634" s="436"/>
      <c r="GO634" s="436"/>
      <c r="GP634" s="436"/>
      <c r="GQ634" s="436"/>
      <c r="GR634" s="436"/>
      <c r="HC634" s="1034">
        <f t="shared" ref="HC634:HH634" si="470">IF(HC632=TRUE,0,HC$16)</f>
        <v>19</v>
      </c>
      <c r="HD634" s="1034">
        <f t="shared" si="470"/>
        <v>18</v>
      </c>
      <c r="HE634" s="1034">
        <f t="shared" si="470"/>
        <v>17</v>
      </c>
      <c r="HF634" s="1034">
        <f t="shared" si="470"/>
        <v>16</v>
      </c>
      <c r="HG634" s="1034">
        <f t="shared" si="470"/>
        <v>0</v>
      </c>
      <c r="HH634" s="1034">
        <f t="shared" si="470"/>
        <v>0</v>
      </c>
      <c r="HI634" s="1034">
        <f>IF(HI632=TRUE,0,HI$16)</f>
        <v>13</v>
      </c>
      <c r="HJ634" s="1034">
        <f t="shared" ref="HJ634:HL634" si="471">IF(HJ632=TRUE,0,HJ$16)</f>
        <v>12</v>
      </c>
      <c r="HK634" s="1034">
        <f t="shared" si="471"/>
        <v>11</v>
      </c>
      <c r="HL634" s="1034">
        <f t="shared" si="471"/>
        <v>10</v>
      </c>
      <c r="HM634" s="1034">
        <f>IF(HM632=TRUE,0,HM$16)</f>
        <v>9</v>
      </c>
      <c r="HN634" s="1034">
        <f t="shared" ref="HN634:HR634" si="472">IF(HN632=TRUE,0,HN$16)</f>
        <v>0</v>
      </c>
      <c r="HO634" s="1034">
        <f t="shared" si="472"/>
        <v>0</v>
      </c>
      <c r="HP634" s="1034">
        <f t="shared" si="472"/>
        <v>0</v>
      </c>
      <c r="HQ634" s="1034">
        <f t="shared" si="472"/>
        <v>0</v>
      </c>
      <c r="HR634" s="1034">
        <f t="shared" si="472"/>
        <v>0</v>
      </c>
      <c r="HS634" s="1034">
        <f>IF(HS632=TRUE,0,HS$16)</f>
        <v>0</v>
      </c>
      <c r="HT634" s="1034">
        <f t="shared" ref="HT634" si="473">IF(HT632=TRUE,0,HT$16)</f>
        <v>0</v>
      </c>
      <c r="HU634" s="1034">
        <f>IF(HU632=TRUE,0,HU$16)</f>
        <v>1</v>
      </c>
      <c r="HW634" s="1034">
        <f>IF(GL632=FALSE,GL634,IF(GM632=FALSE,GM634,MAX(GJ634:HU634)))</f>
        <v>36</v>
      </c>
      <c r="HX634" s="1383"/>
      <c r="HY634" s="241" t="str">
        <f>VLOOKUP(HW634,_Error_Table,3,FALSE)</f>
        <v xml:space="preserve"> </v>
      </c>
      <c r="HZ634" s="241"/>
      <c r="IA634" s="1386"/>
      <c r="IB634" s="1380"/>
      <c r="IC634" s="1379"/>
      <c r="IF634" s="1380"/>
      <c r="IG634" s="1383"/>
      <c r="IH634" s="1383"/>
      <c r="II634" s="1383"/>
      <c r="IK634" s="1351"/>
      <c r="IL634" s="1351"/>
      <c r="IM634" s="1351"/>
      <c r="IN634" s="1351"/>
      <c r="IO634" s="1351"/>
      <c r="IP634" s="1351"/>
    </row>
    <row r="635" spans="1:250" s="82" customFormat="1">
      <c r="B635" s="763"/>
      <c r="C635" s="437"/>
      <c r="D635" s="437"/>
      <c r="E635" s="1490"/>
      <c r="F635" s="1490"/>
      <c r="G635" s="1490"/>
      <c r="H635" s="1490"/>
      <c r="I635" s="1490"/>
      <c r="J635" s="1490"/>
      <c r="K635" s="1490"/>
      <c r="L635" s="1490"/>
      <c r="M635" s="1490"/>
      <c r="N635" s="1490"/>
      <c r="O635" s="1490"/>
      <c r="P635" s="1490"/>
      <c r="Q635" s="1490"/>
      <c r="R635" s="1490"/>
      <c r="S635" s="1490"/>
      <c r="T635" s="1490"/>
      <c r="U635" s="1490"/>
      <c r="V635" s="1490"/>
      <c r="W635" s="1490"/>
      <c r="X635" s="1490"/>
      <c r="Y635" s="1490"/>
      <c r="Z635" s="1490"/>
      <c r="AA635" s="1490"/>
      <c r="AB635" s="1490"/>
      <c r="AC635" s="1490"/>
      <c r="AD635" s="1490"/>
      <c r="AE635" s="1490"/>
      <c r="AF635" s="1490"/>
      <c r="AG635" s="1490"/>
      <c r="AH635" s="1490"/>
      <c r="AI635" s="1490"/>
      <c r="AJ635" s="1490"/>
      <c r="AK635" s="1490"/>
      <c r="AL635" s="1490"/>
      <c r="AM635" s="1490"/>
      <c r="AN635" s="1490"/>
      <c r="AO635" s="1490"/>
      <c r="AP635" s="1490"/>
      <c r="AQ635" s="1490"/>
      <c r="AR635" s="1490"/>
      <c r="AS635" s="1490"/>
      <c r="AT635" s="1490"/>
      <c r="AU635" s="518"/>
      <c r="BC635" s="38"/>
      <c r="BD635" s="38"/>
      <c r="BE635" s="38"/>
      <c r="BF635" s="38"/>
      <c r="BG635" s="38"/>
      <c r="BH635" s="38"/>
      <c r="BI635" s="38"/>
      <c r="BJ635" s="38"/>
      <c r="BK635" s="38"/>
      <c r="BL635" s="38"/>
      <c r="BM635" s="38"/>
      <c r="BN635" s="38"/>
      <c r="BO635" s="38"/>
      <c r="BP635" s="38"/>
      <c r="BQ635" s="38"/>
      <c r="BR635" s="38"/>
      <c r="BS635" s="38"/>
      <c r="BT635" s="38"/>
      <c r="BU635" s="38"/>
      <c r="BV635" s="38"/>
      <c r="BW635" s="38"/>
      <c r="BX635" s="38"/>
      <c r="BY635" s="38"/>
      <c r="BZ635" s="38"/>
      <c r="CA635" s="38"/>
      <c r="CB635" s="38"/>
      <c r="CC635" s="38"/>
      <c r="CD635" s="38"/>
      <c r="CE635" s="38"/>
      <c r="CF635" s="38"/>
      <c r="CG635" s="38"/>
      <c r="CH635" s="38"/>
      <c r="CI635" s="38"/>
      <c r="CM635" s="749"/>
      <c r="CN635" s="749"/>
      <c r="CO635" s="485"/>
      <c r="CP635" s="749"/>
      <c r="CS635" s="436"/>
      <c r="CT635" s="436"/>
      <c r="CU635" s="243"/>
      <c r="CV635" s="244"/>
      <c r="CW635" s="244"/>
      <c r="CX635" s="244"/>
      <c r="CY635" s="245"/>
      <c r="CZ635" s="245"/>
      <c r="DA635" s="245"/>
      <c r="DC635" s="750"/>
      <c r="DD635" s="751"/>
      <c r="DE635" s="752"/>
      <c r="DF635" s="753"/>
      <c r="DG635" s="754"/>
      <c r="DH635" s="754"/>
      <c r="DK635" s="244"/>
      <c r="DL635" s="750"/>
      <c r="DN635" s="750"/>
      <c r="DO635" s="755"/>
      <c r="DP635" s="436"/>
      <c r="DQ635" s="750"/>
      <c r="DR635" s="750"/>
      <c r="DS635" s="750"/>
      <c r="DU635" s="750"/>
      <c r="DV635" s="750"/>
      <c r="DW635" s="750"/>
      <c r="DX635" s="750"/>
      <c r="DZ635" s="756"/>
      <c r="EA635" s="756"/>
      <c r="EC635" s="754"/>
      <c r="ED635" s="754"/>
      <c r="EE635" s="244"/>
      <c r="EF635" s="754"/>
      <c r="EG635" s="754"/>
      <c r="EH635" s="243"/>
      <c r="EI635" s="243"/>
      <c r="EJ635" s="752"/>
      <c r="EK635" s="757"/>
      <c r="EL635" s="757"/>
      <c r="EM635" s="758"/>
      <c r="EN635" s="758"/>
      <c r="EO635" s="752"/>
      <c r="EP635" s="752"/>
      <c r="EQ635" s="752"/>
      <c r="ES635" s="750"/>
      <c r="EU635" s="436"/>
      <c r="EV635" s="436"/>
      <c r="EW635" s="436"/>
      <c r="EX635" s="436"/>
      <c r="EY635" s="436"/>
      <c r="EZ635" s="436"/>
      <c r="FB635" s="643"/>
      <c r="FD635" s="436"/>
      <c r="FE635" s="436"/>
      <c r="FF635" s="436"/>
      <c r="FO635" s="750"/>
      <c r="FP635" s="436"/>
      <c r="FQ635" s="436"/>
      <c r="FR635" s="750"/>
      <c r="FS635" s="750"/>
      <c r="FW635" s="749"/>
      <c r="FX635" s="749"/>
      <c r="FY635" s="749"/>
      <c r="FZ635" s="749"/>
      <c r="GA635" s="749"/>
      <c r="GB635" s="749"/>
      <c r="GC635" s="749"/>
      <c r="GD635" s="749"/>
      <c r="GE635" s="751"/>
      <c r="GF635" s="750"/>
      <c r="GG635" s="750"/>
    </row>
    <row r="636" spans="1:250">
      <c r="DU636" s="755"/>
      <c r="DV636" s="755"/>
      <c r="DW636" s="755"/>
      <c r="DX636" s="755"/>
      <c r="DY636" s="755"/>
      <c r="DZ636" s="755"/>
      <c r="EA636" s="755"/>
      <c r="EB636" s="755"/>
      <c r="EC636" s="764" t="s">
        <v>283</v>
      </c>
      <c r="ED636" s="764" t="s">
        <v>284</v>
      </c>
      <c r="EE636" s="764" t="s">
        <v>186</v>
      </c>
      <c r="EF636" s="764" t="s">
        <v>286</v>
      </c>
      <c r="EG636" s="764" t="s">
        <v>287</v>
      </c>
      <c r="EH636" s="764"/>
      <c r="EI636" s="764"/>
      <c r="EJ636" s="764" t="s">
        <v>288</v>
      </c>
      <c r="EK636" s="764" t="s">
        <v>186</v>
      </c>
      <c r="EL636" s="764" t="s">
        <v>286</v>
      </c>
      <c r="EM636" s="764" t="s">
        <v>186</v>
      </c>
      <c r="EN636" s="764" t="s">
        <v>286</v>
      </c>
      <c r="EO636" s="764" t="s">
        <v>186</v>
      </c>
      <c r="EP636" s="764" t="s">
        <v>286</v>
      </c>
      <c r="EQ636" s="764"/>
      <c r="ES636" s="38">
        <f>ROW()</f>
        <v>636</v>
      </c>
    </row>
    <row r="637" spans="1:250" s="82" customFormat="1" ht="20.25" customHeight="1">
      <c r="B637" s="247"/>
      <c r="C637" s="437"/>
      <c r="D637" s="437"/>
      <c r="E637" s="247"/>
      <c r="F637" s="247"/>
      <c r="G637" s="247"/>
      <c r="H637" s="247"/>
      <c r="I637" s="485"/>
      <c r="J637" s="485"/>
      <c r="K637" s="485"/>
      <c r="L637" s="485"/>
      <c r="M637" s="485"/>
      <c r="N637" s="485"/>
      <c r="O637" s="485"/>
      <c r="P637" s="485"/>
      <c r="Q637" s="485"/>
      <c r="R637" s="436"/>
      <c r="S637" s="242"/>
      <c r="T637" s="436"/>
      <c r="U637" s="241"/>
      <c r="V637" s="241"/>
      <c r="W637" s="241"/>
      <c r="X637" s="241"/>
      <c r="Y637" s="241"/>
      <c r="Z637" s="241"/>
      <c r="AA637" s="243"/>
      <c r="AB637" s="436"/>
      <c r="AC637" s="244"/>
      <c r="AD637" s="245"/>
      <c r="AE637" s="436"/>
      <c r="AF637" s="241"/>
      <c r="AG637" s="241"/>
      <c r="AH637" s="241"/>
      <c r="AI637" s="243"/>
      <c r="AJ637" s="246"/>
      <c r="AK637" s="244"/>
      <c r="AL637" s="244"/>
      <c r="AM637" s="1540" t="s">
        <v>332</v>
      </c>
      <c r="AN637" s="1541"/>
      <c r="AO637" s="1529" t="s">
        <v>350</v>
      </c>
      <c r="AP637" s="1529"/>
      <c r="AQ637" s="1529" t="s">
        <v>205</v>
      </c>
      <c r="AR637" s="1529"/>
      <c r="AS637" s="1529"/>
      <c r="AT637" s="1529"/>
      <c r="AU637" s="485"/>
      <c r="BC637" s="38"/>
      <c r="BD637" s="38"/>
      <c r="BE637" s="38"/>
      <c r="BF637" s="38"/>
      <c r="BG637" s="38"/>
      <c r="BH637" s="38"/>
      <c r="BI637" s="38"/>
      <c r="BJ637" s="38"/>
      <c r="BK637" s="38"/>
      <c r="BL637" s="38"/>
      <c r="BM637" s="38"/>
      <c r="BN637" s="38"/>
      <c r="BO637" s="38"/>
      <c r="BP637" s="38"/>
      <c r="BQ637" s="38"/>
      <c r="BR637" s="38"/>
      <c r="BS637" s="38"/>
      <c r="BT637" s="38"/>
      <c r="BU637" s="38"/>
      <c r="BV637" s="38"/>
      <c r="BW637" s="38"/>
      <c r="BX637" s="38"/>
      <c r="BY637" s="38"/>
      <c r="BZ637" s="38"/>
      <c r="CA637" s="38"/>
      <c r="CB637" s="38"/>
      <c r="CC637" s="38"/>
      <c r="CD637" s="38"/>
      <c r="CE637" s="38"/>
      <c r="CF637" s="38"/>
      <c r="CG637" s="38"/>
      <c r="CH637" s="38"/>
      <c r="CI637" s="38"/>
      <c r="CM637" s="105" t="s">
        <v>290</v>
      </c>
      <c r="CN637" s="105" t="s">
        <v>291</v>
      </c>
      <c r="CO637" s="105"/>
      <c r="CP637" s="105" t="s">
        <v>292</v>
      </c>
      <c r="CQ637" s="38"/>
      <c r="CR637" s="38"/>
      <c r="CS637" s="37" t="s">
        <v>280</v>
      </c>
      <c r="CT637" s="38"/>
      <c r="CU637" s="105" t="s">
        <v>281</v>
      </c>
      <c r="CV637" s="38"/>
      <c r="CW637" s="38"/>
      <c r="CX637" s="105" t="s">
        <v>282</v>
      </c>
      <c r="CY637" s="105" t="s">
        <v>283</v>
      </c>
      <c r="CZ637" s="105" t="s">
        <v>284</v>
      </c>
      <c r="DA637" s="105" t="s">
        <v>285</v>
      </c>
      <c r="DB637" s="436"/>
      <c r="DC637" s="37" t="s">
        <v>293</v>
      </c>
      <c r="DD637" s="38"/>
      <c r="DE637" s="105" t="s">
        <v>281</v>
      </c>
      <c r="DF637" s="37"/>
      <c r="DG637" s="105" t="s">
        <v>282</v>
      </c>
      <c r="DH637" s="105" t="s">
        <v>282</v>
      </c>
      <c r="DI637" s="38"/>
      <c r="DJ637" s="105" t="s">
        <v>348</v>
      </c>
      <c r="DK637" s="105" t="s">
        <v>348</v>
      </c>
      <c r="DL637" s="105" t="s">
        <v>233</v>
      </c>
      <c r="DM637" s="38"/>
      <c r="DN637" s="1358" t="s">
        <v>186</v>
      </c>
      <c r="DO637" s="1358"/>
      <c r="DP637" s="105" t="s">
        <v>286</v>
      </c>
      <c r="DQ637" s="105"/>
      <c r="DR637" s="105" t="s">
        <v>294</v>
      </c>
      <c r="DS637" s="105" t="s">
        <v>294</v>
      </c>
      <c r="DT637" s="38"/>
      <c r="DU637" s="1358" t="s">
        <v>286</v>
      </c>
      <c r="DV637" s="1358"/>
      <c r="DW637" s="105" t="s">
        <v>294</v>
      </c>
      <c r="DX637" s="105" t="s">
        <v>295</v>
      </c>
      <c r="DY637" s="38"/>
      <c r="DZ637" s="105" t="s">
        <v>296</v>
      </c>
      <c r="EA637" s="105" t="s">
        <v>297</v>
      </c>
      <c r="EB637" s="436"/>
      <c r="EC637" s="689" t="s">
        <v>186</v>
      </c>
      <c r="ED637" s="689" t="s">
        <v>186</v>
      </c>
      <c r="EE637" s="689" t="s">
        <v>298</v>
      </c>
      <c r="EF637" s="689" t="s">
        <v>298</v>
      </c>
      <c r="EG637" s="689" t="s">
        <v>298</v>
      </c>
      <c r="EH637" s="689" t="s">
        <v>186</v>
      </c>
      <c r="EI637" s="689" t="s">
        <v>286</v>
      </c>
      <c r="EJ637" s="689" t="s">
        <v>286</v>
      </c>
      <c r="EK637" s="689" t="s">
        <v>299</v>
      </c>
      <c r="EL637" s="689" t="s">
        <v>299</v>
      </c>
      <c r="EM637" s="689" t="s">
        <v>299</v>
      </c>
      <c r="EN637" s="689" t="s">
        <v>299</v>
      </c>
      <c r="EO637" s="689" t="s">
        <v>299</v>
      </c>
      <c r="EP637" s="689" t="s">
        <v>299</v>
      </c>
      <c r="EQ637" s="689" t="s">
        <v>299</v>
      </c>
      <c r="ER637" s="436"/>
      <c r="ES637" s="436"/>
      <c r="EU637" s="436"/>
      <c r="EV637" s="436"/>
      <c r="EW637" s="436"/>
      <c r="EX637" s="436"/>
      <c r="EY637" s="436"/>
      <c r="EZ637" s="436"/>
      <c r="FD637" s="436"/>
      <c r="FE637" s="436"/>
      <c r="FF637" s="436"/>
      <c r="FI637" s="105" t="s">
        <v>300</v>
      </c>
      <c r="FJ637" s="105" t="s">
        <v>301</v>
      </c>
      <c r="FK637" s="105" t="s">
        <v>302</v>
      </c>
      <c r="FL637" s="105" t="s">
        <v>303</v>
      </c>
      <c r="FM637" s="38"/>
      <c r="FN637" s="38" t="s">
        <v>304</v>
      </c>
      <c r="FO637" s="105">
        <v>3200</v>
      </c>
      <c r="FP637" s="105" t="s">
        <v>305</v>
      </c>
      <c r="FQ637" s="105" t="s">
        <v>306</v>
      </c>
      <c r="FR637" s="105" t="s">
        <v>307</v>
      </c>
      <c r="FS637" s="105" t="s">
        <v>306</v>
      </c>
      <c r="FT637" s="38"/>
      <c r="FU637" s="38"/>
    </row>
    <row r="638" spans="1:250" s="82" customFormat="1" ht="20.25" customHeight="1" thickBot="1">
      <c r="B638" s="247"/>
      <c r="C638" s="660">
        <f>1+C560</f>
        <v>9</v>
      </c>
      <c r="D638" s="437"/>
      <c r="E638" s="241" t="str">
        <f>CONCATENATE(AF$20," - page ",C638)</f>
        <v xml:space="preserve"> - page 9</v>
      </c>
      <c r="F638" s="247"/>
      <c r="G638" s="247"/>
      <c r="H638" s="247"/>
      <c r="I638" s="485"/>
      <c r="J638" s="485"/>
      <c r="K638" s="485"/>
      <c r="L638" s="485"/>
      <c r="M638" s="485"/>
      <c r="N638" s="485"/>
      <c r="O638" s="485"/>
      <c r="P638" s="485"/>
      <c r="Q638" s="485"/>
      <c r="R638" s="436"/>
      <c r="S638" s="242"/>
      <c r="T638" s="436"/>
      <c r="U638" s="241"/>
      <c r="V638" s="241"/>
      <c r="W638" s="241"/>
      <c r="X638" s="241"/>
      <c r="Y638" s="241"/>
      <c r="Z638" s="241"/>
      <c r="AA638" s="243"/>
      <c r="AB638" s="677" t="s">
        <v>132</v>
      </c>
      <c r="AC638" s="677" t="s">
        <v>282</v>
      </c>
      <c r="AD638" s="677" t="s">
        <v>312</v>
      </c>
      <c r="AE638" s="436"/>
      <c r="AF638" s="241"/>
      <c r="AG638" s="241"/>
      <c r="AH638" s="241"/>
      <c r="AI638" s="243"/>
      <c r="AJ638" s="678" t="s">
        <v>233</v>
      </c>
      <c r="AK638" s="678" t="s">
        <v>332</v>
      </c>
      <c r="AL638" s="679" t="s">
        <v>349</v>
      </c>
      <c r="AM638" s="1565">
        <f>AX$4</f>
        <v>0</v>
      </c>
      <c r="AN638" s="1566"/>
      <c r="AO638" s="1567">
        <f>AX$6</f>
        <v>0</v>
      </c>
      <c r="AP638" s="1568"/>
      <c r="AQ638" s="1569"/>
      <c r="AR638" s="1561">
        <f>AX$2</f>
        <v>0</v>
      </c>
      <c r="AS638" s="1561"/>
      <c r="AT638" s="1379"/>
      <c r="AU638" s="436"/>
      <c r="BC638" s="38"/>
      <c r="BD638" s="38"/>
      <c r="BE638" s="38"/>
      <c r="BF638" s="38"/>
      <c r="BG638" s="38"/>
      <c r="BH638" s="38"/>
      <c r="BI638" s="38"/>
      <c r="BJ638" s="38"/>
      <c r="BK638" s="38"/>
      <c r="BL638" s="38"/>
      <c r="BM638" s="38"/>
      <c r="BN638" s="38"/>
      <c r="BO638" s="38"/>
      <c r="BP638" s="38"/>
      <c r="BQ638" s="38"/>
      <c r="BR638" s="38"/>
      <c r="BS638" s="38"/>
      <c r="BT638" s="38"/>
      <c r="BU638" s="38"/>
      <c r="BV638" s="38"/>
      <c r="BW638" s="38"/>
      <c r="BX638" s="38"/>
      <c r="BY638" s="38"/>
      <c r="BZ638" s="38"/>
      <c r="CA638" s="38"/>
      <c r="CB638" s="38"/>
      <c r="CC638" s="38"/>
      <c r="CD638" s="38"/>
      <c r="CE638" s="38"/>
      <c r="CF638" s="38"/>
      <c r="CG638" s="38"/>
      <c r="CH638" s="38"/>
      <c r="CI638" s="38"/>
      <c r="CM638" s="105" t="s">
        <v>310</v>
      </c>
      <c r="CN638" s="105" t="s">
        <v>277</v>
      </c>
      <c r="CO638" s="105"/>
      <c r="CP638" s="105" t="s">
        <v>172</v>
      </c>
      <c r="CQ638" s="38"/>
      <c r="CR638" s="38"/>
      <c r="CS638" s="105" t="s">
        <v>190</v>
      </c>
      <c r="CT638" s="105" t="s">
        <v>186</v>
      </c>
      <c r="CU638" s="105" t="s">
        <v>311</v>
      </c>
      <c r="CV638" s="105" t="s">
        <v>132</v>
      </c>
      <c r="CW638" s="105" t="s">
        <v>282</v>
      </c>
      <c r="CX638" s="105" t="s">
        <v>285</v>
      </c>
      <c r="CY638" s="105" t="s">
        <v>312</v>
      </c>
      <c r="CZ638" s="105" t="s">
        <v>312</v>
      </c>
      <c r="DA638" s="105" t="s">
        <v>312</v>
      </c>
      <c r="DB638" s="436"/>
      <c r="DC638" s="105" t="s">
        <v>190</v>
      </c>
      <c r="DD638" s="37" t="s">
        <v>286</v>
      </c>
      <c r="DE638" s="105" t="s">
        <v>311</v>
      </c>
      <c r="DF638" s="105" t="s">
        <v>313</v>
      </c>
      <c r="DG638" s="105" t="s">
        <v>285</v>
      </c>
      <c r="DH638" s="105" t="s">
        <v>285</v>
      </c>
      <c r="DI638" s="38"/>
      <c r="DJ638" s="105" t="s">
        <v>349</v>
      </c>
      <c r="DK638" s="105" t="s">
        <v>284</v>
      </c>
      <c r="DL638" s="38"/>
      <c r="DM638" s="38"/>
      <c r="DN638" s="1359" t="s">
        <v>172</v>
      </c>
      <c r="DO638" s="1359"/>
      <c r="DP638" s="105" t="s">
        <v>172</v>
      </c>
      <c r="DQ638" s="105"/>
      <c r="DR638" s="105" t="s">
        <v>186</v>
      </c>
      <c r="DS638" s="105" t="s">
        <v>314</v>
      </c>
      <c r="DT638" s="38"/>
      <c r="DU638" s="1359" t="s">
        <v>315</v>
      </c>
      <c r="DV638" s="1359"/>
      <c r="DW638" s="105" t="s">
        <v>316</v>
      </c>
      <c r="DX638" s="105" t="s">
        <v>314</v>
      </c>
      <c r="DY638" s="38"/>
      <c r="DZ638" s="105" t="s">
        <v>205</v>
      </c>
      <c r="EA638" s="105" t="s">
        <v>205</v>
      </c>
      <c r="EB638" s="436"/>
      <c r="EC638" s="689" t="s">
        <v>282</v>
      </c>
      <c r="ED638" s="689" t="s">
        <v>282</v>
      </c>
      <c r="EE638" s="689" t="s">
        <v>282</v>
      </c>
      <c r="EF638" s="689" t="s">
        <v>282</v>
      </c>
      <c r="EG638" s="689" t="s">
        <v>282</v>
      </c>
      <c r="EH638" s="689" t="s">
        <v>281</v>
      </c>
      <c r="EI638" s="689" t="s">
        <v>281</v>
      </c>
      <c r="EJ638" s="689" t="s">
        <v>281</v>
      </c>
      <c r="EK638" s="689" t="s">
        <v>317</v>
      </c>
      <c r="EL638" s="689" t="s">
        <v>317</v>
      </c>
      <c r="EM638" s="689" t="s">
        <v>318</v>
      </c>
      <c r="EN638" s="689" t="s">
        <v>318</v>
      </c>
      <c r="EO638" s="689" t="s">
        <v>281</v>
      </c>
      <c r="EP638" s="689" t="s">
        <v>281</v>
      </c>
      <c r="EQ638" s="689" t="s">
        <v>281</v>
      </c>
      <c r="ER638" s="436"/>
      <c r="ES638" s="436">
        <f>SUM(ES639:ES712)</f>
        <v>0</v>
      </c>
      <c r="EU638" s="436"/>
      <c r="EV638" s="436"/>
      <c r="EW638" s="436"/>
      <c r="EX638" s="436"/>
      <c r="EY638" s="89" t="s">
        <v>314</v>
      </c>
      <c r="EZ638" s="89" t="s">
        <v>170</v>
      </c>
      <c r="FD638" s="436"/>
      <c r="FE638" s="436"/>
      <c r="FF638" s="436"/>
      <c r="FI638" s="38"/>
      <c r="FJ638" s="105" t="s">
        <v>273</v>
      </c>
      <c r="FK638" s="38"/>
      <c r="FL638" s="38"/>
      <c r="FM638" s="38"/>
      <c r="FN638" s="38" t="s">
        <v>233</v>
      </c>
      <c r="FO638" s="105" t="s">
        <v>305</v>
      </c>
      <c r="FP638" s="105" t="s">
        <v>320</v>
      </c>
      <c r="FQ638" s="105" t="s">
        <v>305</v>
      </c>
      <c r="FR638" s="105" t="s">
        <v>286</v>
      </c>
      <c r="FS638" s="37" t="s">
        <v>321</v>
      </c>
      <c r="FT638" s="38"/>
      <c r="FU638" s="105" t="s">
        <v>322</v>
      </c>
    </row>
    <row r="639" spans="1:250" s="82" customFormat="1" ht="14.95" customHeight="1" thickTop="1" thickBot="1">
      <c r="B639" s="1421" t="str">
        <f>HY642</f>
        <v xml:space="preserve"> </v>
      </c>
      <c r="C639" s="1422">
        <f>C631+1</f>
        <v>116</v>
      </c>
      <c r="D639" s="1423"/>
      <c r="E639" s="1424" t="s">
        <v>242</v>
      </c>
      <c r="F639" s="1425"/>
      <c r="G639" s="1426"/>
      <c r="H639" s="1427"/>
      <c r="I639" s="1427"/>
      <c r="J639" s="1427"/>
      <c r="K639" s="1427"/>
      <c r="L639" s="1427"/>
      <c r="M639" s="1427"/>
      <c r="N639" s="1427"/>
      <c r="O639" s="1427"/>
      <c r="P639" s="1427"/>
      <c r="Q639" s="1427"/>
      <c r="R639" s="1427"/>
      <c r="S639" s="1428" t="s">
        <v>283</v>
      </c>
      <c r="T639" s="668" t="s">
        <v>190</v>
      </c>
      <c r="U639" s="1430" t="s">
        <v>186</v>
      </c>
      <c r="V639" s="1431"/>
      <c r="W639" s="1431"/>
      <c r="X639" s="1431"/>
      <c r="Y639" s="1431"/>
      <c r="Z639" s="1431"/>
      <c r="AA639" s="1431"/>
      <c r="AB639" s="1088" t="str">
        <f>IFERROR(IF(__Retrofit_TI_NC=0,VLOOKUP(U640,Fixtures_Existing_List,2,FALSE),ROUND(N641*R641/T641,10)),"")</f>
        <v/>
      </c>
      <c r="AC639" s="1039" t="str">
        <f>IFERROR(IF(__Retrofit_TI_NC=0,ROUND(T640*AB639*N640*R640/1000,0),IF(CN639="Interior",N641*R641*R640*N640*_C406_reduction/1000,N641*R641*R640*N640/1000)),"")</f>
        <v/>
      </c>
      <c r="AD639" s="1040" t="str">
        <f>IFERROR(IF(C$36=0,ROUND(T640*AB639/1000,2),N641*R641/1000),"")</f>
        <v/>
      </c>
      <c r="AE639" s="1044" t="s">
        <v>190</v>
      </c>
      <c r="AF639" s="1432" t="str">
        <f>IF(__Retrofit_TI_NC=2,CONCATENATE("Code min = ",DD639),IF(__Retrofit_TI_NC=1,"Emter what you think the existing control was"," Control"))</f>
        <v xml:space="preserve"> Control</v>
      </c>
      <c r="AG639" s="1432"/>
      <c r="AH639" s="1432"/>
      <c r="AI639" s="1432"/>
      <c r="AJ639" s="1433">
        <f>DF639</f>
        <v>0</v>
      </c>
      <c r="AK639" s="1435" t="str">
        <f>IFERROR(ROUND(AJ639*AC639,0),"")</f>
        <v/>
      </c>
      <c r="AL639" s="1437">
        <f>IFERROR(IF(HW639=FALSE,0,AC639-AK639),0)</f>
        <v>0</v>
      </c>
      <c r="AM639" s="1439">
        <f>AL639-AL641</f>
        <v>0</v>
      </c>
      <c r="AN639" s="1440"/>
      <c r="AO639" s="1445">
        <f>IFERROR(IF(HW639=FALSE,0,(T641*U642)+(AE641*AF642)),0)</f>
        <v>0</v>
      </c>
      <c r="AP639" s="1445"/>
      <c r="AQ639" s="1446"/>
      <c r="AR639" s="1451" t="s">
        <v>157</v>
      </c>
      <c r="AS639" s="1454">
        <f>IF(AR639="Yes",1,0)</f>
        <v>1</v>
      </c>
      <c r="AT639" s="1457" t="str">
        <f>IF(OR(DN639=4,DN639=5,DN639=6,DN639=12),CONCATENATE("$",IF(GD639=TRUE,Lookup!$B$11,Lookup!$B$2)," /lamp"),CONCATENATE(EA639,"/ kWh"))</f>
        <v>0/ kWh</v>
      </c>
      <c r="AU639" s="516"/>
      <c r="AV639" s="1478">
        <f>IFERROR(IF(GI640=TRUE,(AB642*T641)/R641,0),"NA")</f>
        <v>0</v>
      </c>
      <c r="AW639" s="1478" t="str">
        <f>IFERROR(N641*_C406_reduction,"NA")</f>
        <v>NA</v>
      </c>
      <c r="BC639" s="38"/>
      <c r="BD639" s="38"/>
      <c r="BE639" s="38"/>
      <c r="BF639" s="38"/>
      <c r="BG639" s="38"/>
      <c r="BH639" s="38"/>
      <c r="BI639" s="38"/>
      <c r="BJ639" s="38"/>
      <c r="BK639" s="38"/>
      <c r="BL639" s="38"/>
      <c r="BM639" s="38"/>
      <c r="BN639" s="38"/>
      <c r="BO639" s="38"/>
      <c r="BP639" s="38"/>
      <c r="BQ639" s="38"/>
      <c r="BR639" s="38"/>
      <c r="BS639" s="38"/>
      <c r="BT639" s="38"/>
      <c r="BU639" s="38"/>
      <c r="BV639" s="38"/>
      <c r="BW639" s="38"/>
      <c r="BX639" s="38"/>
      <c r="BY639" s="38"/>
      <c r="BZ639" s="38"/>
      <c r="CA639" s="38"/>
      <c r="CB639" s="38"/>
      <c r="CC639" s="38"/>
      <c r="CD639" s="38"/>
      <c r="CE639" s="38"/>
      <c r="CF639" s="38"/>
      <c r="CG639" s="38"/>
      <c r="CH639" s="38"/>
      <c r="CI639" s="38"/>
      <c r="CM639" s="1352" t="str">
        <f>N640</f>
        <v/>
      </c>
      <c r="CN639" s="1352" t="str">
        <f>IFERROR(VLOOKUP(G640,_Lookup_Heat_Type_Table_New,3,FALSE),"")</f>
        <v/>
      </c>
      <c r="CO639" s="1415" t="str">
        <f>CN639</f>
        <v/>
      </c>
      <c r="CP639" s="1417" t="e">
        <f>VLOOKUP(G641,'Space Table'!$B$3:$L$160,9,FALSE)</f>
        <v>#N/A</v>
      </c>
      <c r="CR639" s="1386" t="s">
        <v>283</v>
      </c>
      <c r="CS639" s="1353">
        <f>IF(HW639=TRUE,T640,0)</f>
        <v>0</v>
      </c>
      <c r="CT639" s="1353" t="str">
        <f>IF(HW639=TRUE,U640,"")</f>
        <v/>
      </c>
      <c r="CU639" s="1353"/>
      <c r="CV639" s="1370">
        <f>IF(HW639=TRUE,AB639,0)</f>
        <v>0</v>
      </c>
      <c r="CW639" s="1370">
        <f>IF(HW639=TRUE,AC639,0)</f>
        <v>0</v>
      </c>
      <c r="CX639" s="1370">
        <f>IFERROR(IF(HW639=TRUE,CW639-CW641,0),0)</f>
        <v>0</v>
      </c>
      <c r="CY639" s="1485">
        <f>IF(HW639=TRUE,AD639,0)</f>
        <v>0</v>
      </c>
      <c r="CZ639" s="1485">
        <f>IF(HW639=TRUE,AD642,0)</f>
        <v>0</v>
      </c>
      <c r="DA639" s="1485">
        <f>IFERROR(CY639-CZ639,0)</f>
        <v>0</v>
      </c>
      <c r="DC639" s="1353">
        <f>IF(HW639=TRUE,AE640,0)</f>
        <v>0</v>
      </c>
      <c r="DD639" s="1460">
        <f>IF(__Retrofit_TI_NC=2,IF(CN639="Exterior",O642,FM639),FK639)</f>
        <v>0</v>
      </c>
      <c r="DE639" s="1353"/>
      <c r="DF639" s="1406">
        <f>IFERROR(IF(FL639=3,IK639,IF(FL639=4,IL639,IF(FL639=5,IM639,IF(FL639=6,IN639,IF(FL639=7,IO639,IF(FL639=8,IP639,0)))))),0)</f>
        <v>0</v>
      </c>
      <c r="DG639" s="1370">
        <f>IF(HW639=TRUE,AK639,0)</f>
        <v>0</v>
      </c>
      <c r="DH639" s="1369">
        <f>IFERROR(IF(HW639=TRUE,DG641-DG639,0),0)</f>
        <v>0</v>
      </c>
      <c r="DJ639" s="1483">
        <f>IFERROR(CW639-DG639,0)</f>
        <v>0</v>
      </c>
      <c r="DL639" s="1419">
        <f>DJ639-DK641</f>
        <v>0</v>
      </c>
      <c r="DN639" s="1403" t="str">
        <f>IFERROR(IF(AND(OR(FY639=4,FY639=5,FY639=6),OR(GB639=4,GB639=5,GB639=6)),FY639+8,VLOOKUP(CT641,Fixtures!R$31:Y$78,8,FALSE)),"")</f>
        <v/>
      </c>
      <c r="DO639" s="1404" t="str">
        <f>DN639</f>
        <v/>
      </c>
      <c r="DP639" s="1353" t="str">
        <f>IFERROR(VLOOKUP(DD641,Lookup!AU$3:AV$15,2,FALSE),"")</f>
        <v/>
      </c>
      <c r="DQ639" s="1404" t="str">
        <f>IF(DP639=7,"LLLC","")</f>
        <v/>
      </c>
      <c r="DR639" s="1403">
        <f>IFERROR(IF(OR(DN639=4,DN639=5,DN639=6,DN639=12,DN639=13,DN639=14),VLOOKUP(CT641,Fixtures!DN$27:EG$77,19,FALSE),1)*CS641,0)</f>
        <v>0</v>
      </c>
      <c r="DS639" s="1489">
        <f>IF(DP639=7,IF(DD639=DD641,0,DC641),0)</f>
        <v>0</v>
      </c>
      <c r="DU639" s="1403" t="str">
        <f>IFERROR(IF(EW639&lt;EW641,"Yes","No"),"")</f>
        <v/>
      </c>
      <c r="DV639" s="1404" t="str">
        <f>DU639</f>
        <v/>
      </c>
      <c r="DW639" s="1403">
        <f>IF(DU639="Yes",DC641,0)</f>
        <v>0</v>
      </c>
      <c r="DX639" s="1403">
        <f>DW639-DS639</f>
        <v>0</v>
      </c>
      <c r="DZ639" s="1481">
        <f>IFERROR(VLOOKUP(DN639,Lookup!AN$3:AO$16,2,FALSE),0)</f>
        <v>0</v>
      </c>
      <c r="EA639" s="1481">
        <f>IF(HW639=FALSE,0,IF(DU639="Yes",DZ639+Lookup!B$6,DZ639))</f>
        <v>0</v>
      </c>
      <c r="EC639" s="1482">
        <f>IF(HW639=TRUE,DJ639,0)</f>
        <v>0</v>
      </c>
      <c r="ED639" s="1369">
        <f>IF(HW639=TRUE,CW641,0)</f>
        <v>0</v>
      </c>
      <c r="EE639" s="1370">
        <f>IFERROR(EC639-ED639,0)</f>
        <v>0</v>
      </c>
      <c r="EF639" s="1369">
        <f>IF(HW639=TRUE,DG641,0)</f>
        <v>0</v>
      </c>
      <c r="EG639" s="1369">
        <f>IFERROR(EC639-ED639+EF639,0)</f>
        <v>0</v>
      </c>
      <c r="EH639" s="1373">
        <f>IF(HW639=TRUE,CS641*CU641,0)</f>
        <v>0</v>
      </c>
      <c r="EI639" s="1373">
        <f>IF(HW639=TRUE,DC641*DE641,0)</f>
        <v>0</v>
      </c>
      <c r="EJ639" s="1363">
        <f>AO639</f>
        <v>0</v>
      </c>
      <c r="EK639" s="1376" t="str">
        <f>IFERROR(IF(HW639=TRUE,VLOOKUP(DN639,Lookup!AN$3:AP$16,3,FALSE)*DR639,""),0)</f>
        <v/>
      </c>
      <c r="EL639" s="1376">
        <f>IF(HW639=TRUE,DW639*Lookup!AP$12,0)</f>
        <v>0</v>
      </c>
      <c r="EM639" s="1362">
        <f>IFERROR(IF(HW639=TRUE,EK639/EM$33,0),0)</f>
        <v>0</v>
      </c>
      <c r="EN639" s="1362">
        <f>IF(HW639=TRUE,EL639/EN$33,0)</f>
        <v>0</v>
      </c>
      <c r="EO639" s="1363">
        <f>IF(HW639=TRUE,EQ$33*EM639,0)</f>
        <v>0</v>
      </c>
      <c r="EP639" s="1363">
        <f>IF(HW639=TRUE,EQ$33*EN639,0)</f>
        <v>0</v>
      </c>
      <c r="EQ639" s="1363">
        <f>EO639+EP639</f>
        <v>0</v>
      </c>
      <c r="ES639" s="1403">
        <f>IF(G639="",0,1)</f>
        <v>0</v>
      </c>
      <c r="EU639" s="1410" t="e">
        <f>VLOOKUP(CP641,'Space Table'!$B$3:$L$160,8,FALSE)</f>
        <v>#N/A</v>
      </c>
      <c r="EV639" s="1410" t="e">
        <f>IF(EY639="Yes",VLOOKUP(DD639,Lookup_Control_Type_Table2,4,FALSE),VLOOKUP(DD639,Lookup_Control_Type_Table2,3,FALSE))</f>
        <v>#N/A</v>
      </c>
      <c r="EW639" s="1410" t="e">
        <f>VLOOKUP(DD639,Lookup!AU$3:AV$15,2,FALSE)</f>
        <v>#N/A</v>
      </c>
      <c r="EX639" s="1410" t="e">
        <f>VLOOKUP(EU639,Lookup_Control_Type_Table,2,FALSE)</f>
        <v>#N/A</v>
      </c>
      <c r="EY639" s="1410" t="e">
        <f>VLOOKUP(CP641,'Space Table'!$B$3:$L$160,7,FALSE)</f>
        <v>#N/A</v>
      </c>
      <c r="EZ639" s="1412" t="b">
        <f>ISNUMBER(SEARCH("TLED",U641))</f>
        <v>0</v>
      </c>
      <c r="FB639" s="1365" t="str">
        <f>CONCATENATE(CN639," - ",DD639)</f>
        <v xml:space="preserve"> - 0</v>
      </c>
      <c r="FD639" s="1353" t="str">
        <f>VLOOKUP(CT641,Fixtures!DN$27:EZ$77,38,FALSE)</f>
        <v/>
      </c>
      <c r="FE639" s="1353">
        <f>IFERROR(FD639*EE639,0)</f>
        <v>0</v>
      </c>
      <c r="FF639" s="138"/>
      <c r="FI639" s="1356" t="str">
        <f>IF(CN639="Exterior","Not Daylighted",G642)</f>
        <v>Not Daylighted</v>
      </c>
      <c r="FJ639" s="1356">
        <f>VLOOKUP(FI639,_Daylight_Table_Codes,2,FALSE)</f>
        <v>0</v>
      </c>
      <c r="FK639" s="1365">
        <f>IF(__Retrofit_TI_NC=2,VLOOKUP(G641,'Space Table'!$B$3:$L$160,11,FALSE),AF640)</f>
        <v>0</v>
      </c>
      <c r="FL639" s="1365" t="e">
        <f>VLOOKUP(FK639,_Control_Table,2,FALSE)</f>
        <v>#N/A</v>
      </c>
      <c r="FM639" s="1365" t="e">
        <f>IF(AND(FP639&gt;0,FK639="Occupancy Sensor"),"Daylight + Occupancy",IF(AND(FP639&gt;0,FL639&lt;4),"Interior Daylight Dimming",FK639))</f>
        <v>#N/A</v>
      </c>
      <c r="FO639" s="1364">
        <f>IF(CO639="Interior",VLOOKUP(CP639,Control_Savings_Interior,5,FALSE),0)</f>
        <v>0</v>
      </c>
      <c r="FP639" s="1361">
        <f>IF(CN639="Exterior",0,IF(FJ639=2,0.5,IF(OR(FJ639=1,FJ639=3),1,0)))</f>
        <v>0</v>
      </c>
      <c r="FQ639" s="1366"/>
      <c r="FR639" s="1367"/>
      <c r="FS639" s="1364"/>
      <c r="FT639" s="1367"/>
      <c r="FU639" s="1360"/>
      <c r="FW639" s="1352" t="str">
        <f>IFERROR(VLOOKUP(U640,_Exist_Fixture_Table,3,FALSE),"")</f>
        <v/>
      </c>
      <c r="FX639" s="1352" t="str">
        <f>VLOOKUP(CT639,_Exist_Fixture_Table,4,FALSE)</f>
        <v/>
      </c>
      <c r="FY639" s="1352">
        <f>IFERROR(VLOOKUP(FX639,Lookup!AM$6:AN$8,2,FALSE),0)</f>
        <v>0</v>
      </c>
      <c r="FZ639" s="1352" t="b">
        <f>IFERROR(IF(OR(GB639=4,GB639=5,GB639=6),TRUE,FALSE),"")</f>
        <v>0</v>
      </c>
      <c r="GA639" s="1352" t="str">
        <f>IFERROR(VLOOKUP(GB639,FY$6:FZ$10,2,FALSE),"")</f>
        <v/>
      </c>
      <c r="GB639" s="1352" t="str">
        <f>VLOOKUP(CT641,Fixtures!R$31:Y$78,8,FALSE)</f>
        <v/>
      </c>
      <c r="GC639" s="1352">
        <f>IF(AND(FW639=TRUE,FZ639=TRUE,OR(DN639=12,DN639=13,DN639=14)),FY639+8,0)</f>
        <v>0</v>
      </c>
      <c r="GD639" s="1352" t="b">
        <f>IF(OR(GC639=12,GC639=13,GC639=14),TRUE,FALSE)</f>
        <v>0</v>
      </c>
      <c r="GE639" s="759" t="b">
        <f>IF(ISNUMBER(SEARCH("TLED",U640)),TRUE,FALSE)</f>
        <v>0</v>
      </c>
      <c r="GF639" s="1035" t="str">
        <f>IFERROR(VLOOKUP(U640,Fixtures!BM$93:BR$142,6,FALSE),"")</f>
        <v/>
      </c>
      <c r="GG639" s="1385" t="b">
        <f>IF(OR(GE639=FALSE,GE641=FALSE),TRUE,IF(GF639-GF641&lt;5,FALSE,TRUE))</f>
        <v>1</v>
      </c>
      <c r="GK639" s="1034">
        <f>GL639</f>
        <v>0</v>
      </c>
      <c r="GL639" s="1034">
        <f>IF(G639="",0,1)</f>
        <v>0</v>
      </c>
      <c r="GM639" s="1034">
        <f>SUM(GN639:HB639)</f>
        <v>2</v>
      </c>
      <c r="GN639" s="1034">
        <f>IF(G640="",0,1)</f>
        <v>0</v>
      </c>
      <c r="GO639" s="1034">
        <f>IF(G641="",0,1)</f>
        <v>0</v>
      </c>
      <c r="GP639" s="1034">
        <f>IF(R640="",0,1)</f>
        <v>0</v>
      </c>
      <c r="GQ639" s="1034">
        <f>IF(__Retrofit_TI_NC=0,1,IF(R641="",0,1))</f>
        <v>1</v>
      </c>
      <c r="GR639" s="1034">
        <f>IF(CN639="Exterior",1,IF(G642="",0,1))</f>
        <v>1</v>
      </c>
      <c r="GS639" s="1034">
        <f>IF(__Retrofit_TI_NC&lt;&gt;0,1,IF(T640="",0,1))</f>
        <v>0</v>
      </c>
      <c r="GT639" s="1034">
        <f>IF(__Retrofit_TI_NC&lt;&gt;0,1,IF(U640="",0,1))</f>
        <v>0</v>
      </c>
      <c r="GU639" s="1034">
        <f>IF(T641="",0,1)</f>
        <v>0</v>
      </c>
      <c r="GV639" s="1034">
        <f>IF(U641="",0,1)</f>
        <v>0</v>
      </c>
      <c r="GW639" s="1034">
        <f>IF(__Retrofit_TI_NC=2,1,IF(U642="",0,1))</f>
        <v>0</v>
      </c>
      <c r="GX639" s="1034">
        <f>IF(__Retrofit_TI_NC&lt;&gt;0,1,IF(AE640="",0,1))</f>
        <v>0</v>
      </c>
      <c r="GY639" s="1034">
        <f>IF(__Retrofit_TI_NC&lt;&gt;0,1,IF(AF640="",0,1))</f>
        <v>0</v>
      </c>
      <c r="GZ639" s="1034">
        <f>IF(AE641="",0,1)</f>
        <v>0</v>
      </c>
      <c r="HA639" s="1034">
        <f>IF(AF641="",0,1)</f>
        <v>0</v>
      </c>
      <c r="HB639" s="1034">
        <f>IF(__Retrofit_TI_NC=2,1,IF(AF642="",0,1))</f>
        <v>0</v>
      </c>
      <c r="HV639" s="436"/>
      <c r="HW639" s="1384" t="b">
        <f>IF(OR(HW642=0,HW642=HT$16,HW642=HS$16,HW642=HU$16),TRUE,FALSE)</f>
        <v>0</v>
      </c>
      <c r="HX639" s="1377" t="b">
        <f>HW639</f>
        <v>0</v>
      </c>
      <c r="HY639" s="436"/>
      <c r="HZ639" s="436"/>
      <c r="IA639" s="1386" t="b">
        <f>IF(MAX(GJ642:HP642)&gt;5,FALSE,TRUE)</f>
        <v>0</v>
      </c>
      <c r="IB639" s="1380">
        <f>IF(IA639=TRUE,AC639,0)</f>
        <v>0</v>
      </c>
      <c r="IC639" s="1380">
        <f>IB639-IB641</f>
        <v>0</v>
      </c>
      <c r="IF639" s="1380" t="e">
        <f>ROUND(T640*VLOOKUP(U640,Fixtures_Existing_List,2,FALSE)*N640*R640/1000,0)</f>
        <v>#N/A</v>
      </c>
      <c r="IG639" s="1381" t="e">
        <f>IF639-IF641</f>
        <v>#N/A</v>
      </c>
      <c r="IH639" s="1384" t="e">
        <f>ROUND(IF(CN639="Interior",N641*R641*R640*N640*_C406_reduction/1000,N641*R641*R640*N640/1000),0)</f>
        <v>#N/A</v>
      </c>
      <c r="II639" s="1384" t="e">
        <f>IH639-IH641</f>
        <v>#N/A</v>
      </c>
      <c r="IK639" s="1351" t="e">
        <f>IF($CO639="interior",IL639/2,VLOOKUP($CP639,Control_Savings_Exterior,IK$30,FALSE))</f>
        <v>#N/A</v>
      </c>
      <c r="IL639" s="1351" t="e">
        <f>IF($CO639="interior",VLOOKUP($CP639,Control_Savings_Interior,IL$30,FALSE),VLOOKUP($CP639,Control_Savings_Exterior,IL$30,FALSE))</f>
        <v>#N/A</v>
      </c>
      <c r="IM639" s="1351" t="e">
        <f>IF($CO639="interior",IF(R640&gt;FO$37,(IM$28*(FO$37/R640)),IM$28)*FP639,VLOOKUP($CP639,Control_Savings_Exterior,IM$30,FALSE))</f>
        <v>#N/A</v>
      </c>
      <c r="IN639" s="1351" t="e">
        <f>IF($CO639="interior",ROUND(((1-IL639)*IM639)+IL639,2),VLOOKUP($CP639,Control_Savings_Exterior,IN$30,FALSE))</f>
        <v>#N/A</v>
      </c>
      <c r="IO639" s="1351" t="e">
        <f>IF($CO639="interior", ROUND(((1-IL639)*(IM639*(1-IP$28)))+IP639,2), VLOOKUP($CP639,Control_Savings_Exterior,IO$30,FALSE))</f>
        <v>#N/A</v>
      </c>
      <c r="IP639" s="1351">
        <f>IF($CO639="interior",ROUND(((1-IL639)*IP$28)+IL639,2),0)</f>
        <v>0</v>
      </c>
    </row>
    <row r="640" spans="1:250" s="82" customFormat="1" ht="14.95" customHeight="1" thickTop="1" thickBot="1">
      <c r="B640" s="1421"/>
      <c r="C640" s="1422"/>
      <c r="D640" s="1423"/>
      <c r="E640" s="1393" t="s">
        <v>244</v>
      </c>
      <c r="F640" s="1394"/>
      <c r="G640" s="1395"/>
      <c r="H640" s="1395"/>
      <c r="I640" s="1395"/>
      <c r="J640" s="1395"/>
      <c r="K640" s="1395"/>
      <c r="L640" s="1395"/>
      <c r="M640" s="509" t="e">
        <f>IF(__Retrofit_TI_NC&lt;&gt;0,IF(VLOOKUP(G641,'Space Table'!$B$3:$L$160,3,FALSE)&gt;0,1,0),IF(__Retrofit_TI_NC=VLOOKUP(G641,'Space Table'!$B$3:$L$160,3,FALSE),1,0))</f>
        <v>#N/A</v>
      </c>
      <c r="N640" s="509" t="str">
        <f>IFERROR(VLOOKUP(G640,_Lookup_Heat_Type_Table_New,2,FALSE),"")</f>
        <v/>
      </c>
      <c r="O640" s="509">
        <f>IF(__Retrofit_TI_NC=1,CONCATENATE("TI ",G640),IF(__Retrofit_TI_NC=2,CONCATENATE("NC ",G640),G640))</f>
        <v>0</v>
      </c>
      <c r="P640" s="1396" t="s">
        <v>352</v>
      </c>
      <c r="Q640" s="1396"/>
      <c r="R640" s="673"/>
      <c r="S640" s="1429"/>
      <c r="T640" s="675"/>
      <c r="U640" s="1496"/>
      <c r="V640" s="1497"/>
      <c r="W640" s="1497"/>
      <c r="X640" s="1497"/>
      <c r="Y640" s="1497"/>
      <c r="Z640" s="1497"/>
      <c r="AA640" s="1497"/>
      <c r="AB640" s="1497"/>
      <c r="AC640" s="1497"/>
      <c r="AD640" s="1498"/>
      <c r="AE640" s="675"/>
      <c r="AF640" s="1397"/>
      <c r="AG640" s="1397"/>
      <c r="AH640" s="1397"/>
      <c r="AI640" s="1397"/>
      <c r="AJ640" s="1434"/>
      <c r="AK640" s="1436"/>
      <c r="AL640" s="1438"/>
      <c r="AM640" s="1441"/>
      <c r="AN640" s="1442"/>
      <c r="AO640" s="1447"/>
      <c r="AP640" s="1447"/>
      <c r="AQ640" s="1448"/>
      <c r="AR640" s="1452"/>
      <c r="AS640" s="1455"/>
      <c r="AT640" s="1458"/>
      <c r="AU640" s="516"/>
      <c r="AV640" s="1479"/>
      <c r="AW640" s="1479"/>
      <c r="BC640" s="38"/>
      <c r="BD640" s="38"/>
      <c r="BE640" s="38"/>
      <c r="BF640" s="38"/>
      <c r="BG640" s="38"/>
      <c r="BH640" s="38"/>
      <c r="BI640" s="38"/>
      <c r="BJ640" s="38"/>
      <c r="BK640" s="38"/>
      <c r="BL640" s="38"/>
      <c r="BM640" s="38"/>
      <c r="BN640" s="38"/>
      <c r="BO640" s="38"/>
      <c r="BP640" s="38"/>
      <c r="BQ640" s="38"/>
      <c r="BR640" s="38"/>
      <c r="BS640" s="38"/>
      <c r="BT640" s="38"/>
      <c r="BU640" s="38"/>
      <c r="BV640" s="38"/>
      <c r="BW640" s="38"/>
      <c r="BX640" s="38"/>
      <c r="BY640" s="38"/>
      <c r="BZ640" s="38"/>
      <c r="CA640" s="38"/>
      <c r="CB640" s="38"/>
      <c r="CC640" s="38"/>
      <c r="CD640" s="38"/>
      <c r="CE640" s="38"/>
      <c r="CF640" s="38"/>
      <c r="CG640" s="38"/>
      <c r="CH640" s="38"/>
      <c r="CI640" s="38"/>
      <c r="CM640" s="1352"/>
      <c r="CN640" s="1352"/>
      <c r="CO640" s="1416"/>
      <c r="CP640" s="1418"/>
      <c r="CR640" s="1386"/>
      <c r="CS640" s="1355"/>
      <c r="CT640" s="1355"/>
      <c r="CU640" s="1355"/>
      <c r="CV640" s="1372"/>
      <c r="CW640" s="1372"/>
      <c r="CX640" s="1371"/>
      <c r="CY640" s="1486"/>
      <c r="CZ640" s="1486"/>
      <c r="DA640" s="1486"/>
      <c r="DC640" s="1355"/>
      <c r="DD640" s="1461"/>
      <c r="DE640" s="1355"/>
      <c r="DF640" s="1407"/>
      <c r="DG640" s="1372"/>
      <c r="DH640" s="1369"/>
      <c r="DJ640" s="1484"/>
      <c r="DL640" s="1419"/>
      <c r="DN640" s="1403"/>
      <c r="DO640" s="1405"/>
      <c r="DP640" s="1354"/>
      <c r="DQ640" s="1405"/>
      <c r="DR640" s="1403"/>
      <c r="DS640" s="1489"/>
      <c r="DU640" s="1403"/>
      <c r="DV640" s="1405"/>
      <c r="DW640" s="1403"/>
      <c r="DX640" s="1403"/>
      <c r="DZ640" s="1481"/>
      <c r="EA640" s="1481"/>
      <c r="EC640" s="1482"/>
      <c r="ED640" s="1369"/>
      <c r="EE640" s="1371"/>
      <c r="EF640" s="1369"/>
      <c r="EG640" s="1369"/>
      <c r="EH640" s="1374"/>
      <c r="EI640" s="1374"/>
      <c r="EJ640" s="1363"/>
      <c r="EK640" s="1376"/>
      <c r="EL640" s="1376"/>
      <c r="EM640" s="1362"/>
      <c r="EN640" s="1362"/>
      <c r="EO640" s="1363"/>
      <c r="EP640" s="1363"/>
      <c r="EQ640" s="1363"/>
      <c r="ES640" s="1403"/>
      <c r="EU640" s="1411"/>
      <c r="EV640" s="1411"/>
      <c r="EW640" s="1411"/>
      <c r="EX640" s="1411"/>
      <c r="EY640" s="1411"/>
      <c r="EZ640" s="1413"/>
      <c r="FB640" s="1365"/>
      <c r="FD640" s="1354"/>
      <c r="FE640" s="1354"/>
      <c r="FF640" s="138"/>
      <c r="FI640" s="1357"/>
      <c r="FJ640" s="1357"/>
      <c r="FK640" s="1365"/>
      <c r="FL640" s="1365"/>
      <c r="FM640" s="1365"/>
      <c r="FO640" s="1361"/>
      <c r="FP640" s="1361"/>
      <c r="FQ640" s="1366"/>
      <c r="FR640" s="1368"/>
      <c r="FS640" s="1361"/>
      <c r="FT640" s="1368"/>
      <c r="FU640" s="1360"/>
      <c r="FW640" s="1352"/>
      <c r="FX640" s="1352"/>
      <c r="FY640" s="1352"/>
      <c r="FZ640" s="1352"/>
      <c r="GA640" s="1352"/>
      <c r="GB640" s="1352"/>
      <c r="GC640" s="1352"/>
      <c r="GD640" s="1352"/>
      <c r="GE640" s="759"/>
      <c r="GF640" s="1035"/>
      <c r="GG640" s="1385"/>
      <c r="GI640" s="1384" t="b">
        <f>IF(AND(GL640=TRUE,GM640=TRUE),TRUE,FALSE)</f>
        <v>0</v>
      </c>
      <c r="GJ640" s="1379" t="b">
        <f>IFERROR(IF(__Retrofit_TI_NC=2,TRUE,IF(AR639="Yes",TRUE,FALSE)),FALSE)</f>
        <v>1</v>
      </c>
      <c r="GL640" s="1379" t="b">
        <f>IFERROR(IF(GL639=1,TRUE,FALSE),FALSE)</f>
        <v>0</v>
      </c>
      <c r="GM640" s="1379" t="b">
        <f>IFERROR(IF(GM639=GM$14,TRUE,FALSE),FALSE)</f>
        <v>0</v>
      </c>
      <c r="HC640" s="1379" t="b">
        <f>IFERROR(IF(M640=1,TRUE,FALSE),FALSE)</f>
        <v>0</v>
      </c>
      <c r="HD640" s="1379" t="b">
        <f>IFERROR(IF(M641=1,TRUE,FALSE),FALSE)</f>
        <v>0</v>
      </c>
      <c r="HE640" s="1379" t="b">
        <f>IFERROR(IF(__Retrofit_TI_NC&lt;&gt;0,TRUE,IFERROR(IF(VLOOKUP(U640,Fixtures_Existing_List,2,FALSE)&lt;&gt;"",TRUE,FALSE),FALSE)),FALSE)</f>
        <v>0</v>
      </c>
      <c r="HF640" s="1379" t="b">
        <f>IFERROR(IF(VLOOKUP(U641,Fixtures_Proposed_List,2,FALSE)&lt;&gt;"",TRUE,FALSE),FALSE)</f>
        <v>0</v>
      </c>
      <c r="HG640" s="1379" t="b">
        <f>IF(AND(__Retrofit_TI_NC=2,EZ639=TRUE),FALSE,TRUE)</f>
        <v>1</v>
      </c>
      <c r="HH640" s="1379" t="b">
        <f>GG639</f>
        <v>1</v>
      </c>
      <c r="HI640" s="1384" t="b">
        <f>IF(ISERROR(MATCH(FB639,_Control_Match[],0))=TRUE,FALSE,TRUE)</f>
        <v>0</v>
      </c>
      <c r="HJ640" s="1384" t="b">
        <f>IFERROR(IF(EU639&lt;&gt;EV639,FALSE,TRUE),FALSE)</f>
        <v>0</v>
      </c>
      <c r="HK640" s="1384" t="b">
        <f>IFERROR(IF(EU641&lt;&gt;EV641,FALSE,TRUE),FALSE)</f>
        <v>0</v>
      </c>
      <c r="HL640" s="1379" t="b">
        <f>IFERROR(IF(CN639="Exterior",TRUE,IF(OR(AND(FJ639=0,EW641&gt;4),AND(FJ639=4,EW641&gt;4,EW641&lt;7)),FALSE,TRUE)),FALSE)</f>
        <v>0</v>
      </c>
      <c r="HM640" s="1379" t="b">
        <f>IFERROR(IF(AND(FL641=7,EZ639=TRUE),FALSE,TRUE),FALSE)</f>
        <v>0</v>
      </c>
      <c r="HN640" s="1379" t="b">
        <f>IFERROR(IF(AND(T641&lt;&gt;AE641,AF641="Interior LLLC")=TRUE,FALSE,TRUE),FALSE)</f>
        <v>1</v>
      </c>
      <c r="HO640" s="1379" t="b">
        <f>IFERROR(IF(OR(AF641=Lookup!AU$13,AF641=Lookup!AU$14)=TRUE,IF(AE641&gt;T641,FALSE,TRUE),TRUE),FALSE)</f>
        <v>1</v>
      </c>
      <c r="HP640" s="1379" t="b">
        <f>IFERROR(IF(__Retrofit_TI_NC=2,IF(EW641&lt;EW639,FALSE,TRUE),TRUE),FALSE)</f>
        <v>1</v>
      </c>
      <c r="HQ640" s="1379" t="b">
        <f>IF(CN639="Interior",IG$6,TRUE)</f>
        <v>1</v>
      </c>
      <c r="HR640" s="1379" t="b">
        <f>IF(CN639="Exterior",IG$8,TRUE)</f>
        <v>1</v>
      </c>
      <c r="HS640" s="1379" t="b">
        <f>IFERROR(IF(__Retrofit_TI_NC&lt;&gt;0,IF(AW639&lt;AV639,FALSE,TRUE),TRUE),FALSE)</f>
        <v>1</v>
      </c>
      <c r="HT640" s="1379" t="b">
        <f>IFERROR(IF(AND(G640="Exterior",R640&gt;4200),FALSE,TRUE),FALSE)</f>
        <v>1</v>
      </c>
      <c r="HU640" s="1379" t="b">
        <f>IFERROR(IF(AB642/AB639&lt;HU$18,FALSE,TRUE),FALSE)</f>
        <v>0</v>
      </c>
      <c r="HW640" s="1382"/>
      <c r="HX640" s="1378"/>
      <c r="HY640" s="1377" t="str">
        <f>VLOOKUP(HW642,_Error_Table,4,FALSE)</f>
        <v>White</v>
      </c>
      <c r="HZ640" s="436"/>
      <c r="IA640" s="1386"/>
      <c r="IB640" s="1380"/>
      <c r="IC640" s="1379"/>
      <c r="IF640" s="1380"/>
      <c r="IG640" s="1382"/>
      <c r="IH640" s="1382"/>
      <c r="II640" s="1382"/>
      <c r="IK640" s="1351"/>
      <c r="IL640" s="1351"/>
      <c r="IM640" s="1351"/>
      <c r="IN640" s="1351"/>
      <c r="IO640" s="1351"/>
      <c r="IP640" s="1351"/>
    </row>
    <row r="641" spans="1:250" s="82" customFormat="1" ht="14.95" customHeight="1" thickTop="1" thickBot="1">
      <c r="A641" s="82">
        <f>ROW()</f>
        <v>641</v>
      </c>
      <c r="B641" s="1421"/>
      <c r="C641" s="1422"/>
      <c r="D641" s="1423"/>
      <c r="E641" s="1393" t="s">
        <v>245</v>
      </c>
      <c r="F641" s="1394"/>
      <c r="G641" s="1398"/>
      <c r="H641" s="1399"/>
      <c r="I641" s="1399"/>
      <c r="J641" s="1399"/>
      <c r="K641" s="1399"/>
      <c r="L641" s="1400"/>
      <c r="M641" s="509">
        <f>IFERROR(IF(IF(__Retrofit_TI_NC&lt;&gt;0,IF(CN639="Interior",MATCH(G641,Lookup_Interior_New,0),MATCH(G641,Lookup_Exterior_New,0)),IF(CN639="Interior",MATCH(G641,Lookup_Interior,0),MATCH(G641,Lookup_Exterior_Areas,0)))&gt;0,1,0),0)</f>
        <v>0</v>
      </c>
      <c r="N641" s="509" t="e">
        <f>IF(__Retrofit_TI_NC=1,
VLOOKUP(G641,'Space Table'!$B$3:$L$160,4,FALSE),
IF(__Retrofit_TI_NC=2,VLOOKUP(G641,'Space Table'!$B$3:$L$160,5,FALSE),VLOOKUP(G641,'Space Table'!$B$3:$L$160,5,FALSE)))</f>
        <v>#N/A</v>
      </c>
      <c r="O641" s="509">
        <f>G641</f>
        <v>0</v>
      </c>
      <c r="P641" s="1394" t="s">
        <v>355</v>
      </c>
      <c r="Q641" s="1394"/>
      <c r="R641" s="674"/>
      <c r="S641" s="1401" t="s">
        <v>284</v>
      </c>
      <c r="T641" s="672"/>
      <c r="U641" s="1499"/>
      <c r="V641" s="1500"/>
      <c r="W641" s="1500"/>
      <c r="X641" s="1500"/>
      <c r="Y641" s="1500"/>
      <c r="Z641" s="1500"/>
      <c r="AA641" s="1500"/>
      <c r="AB641" s="1501"/>
      <c r="AC641" s="1501"/>
      <c r="AD641" s="1502"/>
      <c r="AE641" s="672"/>
      <c r="AF641" s="1474"/>
      <c r="AG641" s="1474"/>
      <c r="AH641" s="1474"/>
      <c r="AI641" s="1474"/>
      <c r="AJ641" s="1475">
        <f>DF641</f>
        <v>0</v>
      </c>
      <c r="AK641" s="1470" t="str">
        <f>IFERROR(ROUND(AJ641*AC642,0),"")</f>
        <v/>
      </c>
      <c r="AL641" s="1472">
        <f>IFERROR(IF(HW639=FALSE,0,AC642-AK641),0)</f>
        <v>0</v>
      </c>
      <c r="AM641" s="1441"/>
      <c r="AN641" s="1442"/>
      <c r="AO641" s="1447"/>
      <c r="AP641" s="1447"/>
      <c r="AQ641" s="1448"/>
      <c r="AR641" s="1452"/>
      <c r="AS641" s="1455"/>
      <c r="AT641" s="1458"/>
      <c r="AU641" s="516"/>
      <c r="AV641" s="1479"/>
      <c r="AW641" s="1479"/>
      <c r="BC641" s="38"/>
      <c r="BD641" s="38"/>
      <c r="BE641" s="38"/>
      <c r="BF641" s="38"/>
      <c r="BG641" s="38"/>
      <c r="BH641" s="38"/>
      <c r="BI641" s="38"/>
      <c r="BJ641" s="38"/>
      <c r="BK641" s="38"/>
      <c r="BL641" s="38"/>
      <c r="BM641" s="38"/>
      <c r="BN641" s="38"/>
      <c r="BO641" s="38"/>
      <c r="BP641" s="38"/>
      <c r="BQ641" s="38"/>
      <c r="BR641" s="38"/>
      <c r="BS641" s="38"/>
      <c r="BT641" s="38"/>
      <c r="BU641" s="38"/>
      <c r="BV641" s="38"/>
      <c r="BW641" s="38"/>
      <c r="BX641" s="38"/>
      <c r="BY641" s="38"/>
      <c r="BZ641" s="38"/>
      <c r="CA641" s="38"/>
      <c r="CB641" s="38"/>
      <c r="CC641" s="38"/>
      <c r="CD641" s="38"/>
      <c r="CE641" s="38"/>
      <c r="CF641" s="38"/>
      <c r="CG641" s="38"/>
      <c r="CH641" s="38"/>
      <c r="CI641" s="38"/>
      <c r="CM641" s="1352"/>
      <c r="CN641" s="1352"/>
      <c r="CO641" s="1415" t="str">
        <f>CN639</f>
        <v/>
      </c>
      <c r="CP641" s="1417" t="e">
        <f>CP639</f>
        <v>#N/A</v>
      </c>
      <c r="CR641" s="1386" t="s">
        <v>284</v>
      </c>
      <c r="CS641" s="1353">
        <f>IF(HW639=TRUE,T641,0)</f>
        <v>0</v>
      </c>
      <c r="CT641" s="1353" t="str">
        <f>IF(HW639=TRUE,U641,"")</f>
        <v/>
      </c>
      <c r="CU641" s="1373">
        <f>IF(HW639=TRUE,U642,0)</f>
        <v>0</v>
      </c>
      <c r="CV641" s="1370">
        <f>IF(HW639=TRUE,AB642,0)</f>
        <v>0</v>
      </c>
      <c r="CW641" s="1370">
        <f>IF(HW639=TRUE,AC642,0)</f>
        <v>0</v>
      </c>
      <c r="CX641" s="1371"/>
      <c r="CY641" s="1486"/>
      <c r="CZ641" s="1486"/>
      <c r="DA641" s="1486"/>
      <c r="DC641" s="1353">
        <f>IF(HW639=TRUE,AE641,0)</f>
        <v>0</v>
      </c>
      <c r="DD641" s="1353" t="str">
        <f>IF(HW639=TRUE,AF641,"")</f>
        <v/>
      </c>
      <c r="DE641" s="1373">
        <f>AF642</f>
        <v>0</v>
      </c>
      <c r="DF641" s="1406">
        <f>IFERROR(IF(FL641=3,IK641,IF(FL641=4,IL641,IF(FL641=5,IM641,IF(FL641=6,IN641,IF(FL641=7,IO641,IF(FL641=8,IP641,0)))))),0)</f>
        <v>0</v>
      </c>
      <c r="DG641" s="1370">
        <f>IF(HW639=TRUE,AK641,0)</f>
        <v>0</v>
      </c>
      <c r="DH641" s="1369"/>
      <c r="DK641" s="1483">
        <f>IFERROR(CW641-DG641,0)</f>
        <v>0</v>
      </c>
      <c r="DL641" s="1420"/>
      <c r="DN641" s="1403"/>
      <c r="DO641" s="1477" t="str">
        <f>DN639</f>
        <v/>
      </c>
      <c r="DP641" s="1354"/>
      <c r="DQ641" s="1477" t="str">
        <f>IF(DP639=7,"LLLC","")</f>
        <v/>
      </c>
      <c r="DR641" s="1403"/>
      <c r="DS641" s="1489"/>
      <c r="DU641" s="1403"/>
      <c r="DV641" s="1404" t="str">
        <f>DU639</f>
        <v/>
      </c>
      <c r="DW641" s="1403"/>
      <c r="DX641" s="1403"/>
      <c r="DZ641" s="1481"/>
      <c r="EA641" s="1481"/>
      <c r="EC641" s="1482"/>
      <c r="ED641" s="1369"/>
      <c r="EE641" s="1371"/>
      <c r="EF641" s="1369"/>
      <c r="EG641" s="1369"/>
      <c r="EH641" s="1374"/>
      <c r="EI641" s="1374"/>
      <c r="EJ641" s="1363"/>
      <c r="EK641" s="1376"/>
      <c r="EL641" s="1376"/>
      <c r="EM641" s="1362"/>
      <c r="EN641" s="1362"/>
      <c r="EO641" s="1363"/>
      <c r="EP641" s="1363"/>
      <c r="EQ641" s="1363"/>
      <c r="ES641" s="1403"/>
      <c r="EU641" s="1411" t="e">
        <f>VLOOKUP(CP641,'Space Table'!$B$3:$L$160,8,FALSE)</f>
        <v>#N/A</v>
      </c>
      <c r="EV641" s="1411" t="e">
        <f>IF(EY641="Yes",VLOOKUP(AF641,Lookup_Control_Type_Table2,4,FALSE),VLOOKUP(AF641,Lookup_Control_Type_Table2,3,FALSE))</f>
        <v>#N/A</v>
      </c>
      <c r="EW641" s="1411" t="e">
        <f>VLOOKUP(AF641,Lookup!AU$3:AV$15,2,FALSE)</f>
        <v>#N/A</v>
      </c>
      <c r="EX641" s="1411" t="e">
        <f>VLOOKUP(EU639,Lookup_Control_Type_Table,2,FALSE)</f>
        <v>#N/A</v>
      </c>
      <c r="EY641" s="1411" t="e">
        <f>VLOOKUP(CP641,'Space Table'!$B$3:$L$160,7,FALSE)</f>
        <v>#N/A</v>
      </c>
      <c r="EZ641" s="1413"/>
      <c r="FB641" s="1365" t="str">
        <f>CONCATENATE(CN639," - ",AF641)</f>
        <v xml:space="preserve"> - </v>
      </c>
      <c r="FD641" s="1354"/>
      <c r="FE641" s="1354"/>
      <c r="FF641" s="138"/>
      <c r="FI641" s="1356" t="str">
        <f>IF(CN639="Exterior","Not Daylighted",G642)</f>
        <v>Not Daylighted</v>
      </c>
      <c r="FJ641" s="1356">
        <f>VLOOKUP(FI641,_Daylight_Table_Codes,2,FALSE)</f>
        <v>0</v>
      </c>
      <c r="FK641" s="1365">
        <f>AF641</f>
        <v>0</v>
      </c>
      <c r="FL641" s="1365" t="e">
        <f>VLOOKUP(FK641,_Control_Table,2,FALSE)</f>
        <v>#N/A</v>
      </c>
      <c r="FM641" s="1365" t="e">
        <f>IF(AND(FP641&gt;0,FK641="Occupancy Sensor"),"Daylight + Occupancy",IF(AND(FP641&gt;0,FL641&lt;4),"Interior Daylight Dimming",FK641))</f>
        <v>#N/A</v>
      </c>
      <c r="FO641" s="1364">
        <f>IF(CN639="Interior",VLOOKUP(CP639,Control_Savings_Interior,5,FALSE),0)</f>
        <v>0</v>
      </c>
      <c r="FP641" s="1361">
        <f>IF(CN641="Exterior",0,IF(FJ641=2,0.5,IF(OR(FJ641=1,FJ641=3),1,0)))</f>
        <v>0</v>
      </c>
      <c r="FQ641" s="1366">
        <f>IF(R640&gt;FO$37,(FO641*(FO$37/R640)),FO641)*FP641</f>
        <v>0</v>
      </c>
      <c r="FR641" s="1364">
        <f>DF641</f>
        <v>0</v>
      </c>
      <c r="FS641" s="1364">
        <f>ROUND(FR641+((1-FR641)*FQ641),2)</f>
        <v>0</v>
      </c>
      <c r="FT641" s="1364">
        <f>IF(__Retrofit_TI_NC=2,FS641,FR641)</f>
        <v>0</v>
      </c>
      <c r="FU641" s="1360">
        <f>IF(CO641="Interior",VLOOKUP(CP641,Control_Savings_Interior,4,FALSE),0)</f>
        <v>0</v>
      </c>
      <c r="FW641" s="1352"/>
      <c r="FX641" s="1352"/>
      <c r="FY641" s="1352"/>
      <c r="FZ641" s="1352"/>
      <c r="GA641" s="1352"/>
      <c r="GB641" s="1352"/>
      <c r="GC641" s="1352"/>
      <c r="GD641" s="1352"/>
      <c r="GE641" s="759" t="b">
        <f>IF(ISNUMBER(SEARCH("TLED",U641)),TRUE,FALSE)</f>
        <v>0</v>
      </c>
      <c r="GF641" s="1035" t="str">
        <f>IFERROR(VLOOKUP(U641,Fixtures!DM$93:DR$142,6,FALSE),"")</f>
        <v/>
      </c>
      <c r="GG641" s="1385"/>
      <c r="GI641" s="1383"/>
      <c r="GJ641" s="1379"/>
      <c r="GL641" s="1379"/>
      <c r="GM641" s="1379"/>
      <c r="HC641" s="1379"/>
      <c r="HD641" s="1379"/>
      <c r="HE641" s="1379"/>
      <c r="HF641" s="1379"/>
      <c r="HG641" s="1379"/>
      <c r="HH641" s="1379"/>
      <c r="HI641" s="1383"/>
      <c r="HJ641" s="1383"/>
      <c r="HK641" s="1383"/>
      <c r="HL641" s="1379"/>
      <c r="HM641" s="1379"/>
      <c r="HN641" s="1379"/>
      <c r="HO641" s="1379"/>
      <c r="HP641" s="1379"/>
      <c r="HQ641" s="1379"/>
      <c r="HR641" s="1379"/>
      <c r="HS641" s="1379"/>
      <c r="HT641" s="1379"/>
      <c r="HU641" s="1379"/>
      <c r="HW641" s="1383"/>
      <c r="HX641" s="1384" t="b">
        <f>HW639</f>
        <v>0</v>
      </c>
      <c r="HY641" s="1378"/>
      <c r="HZ641" s="436"/>
      <c r="IA641" s="1386"/>
      <c r="IB641" s="1380">
        <f>IF(IA639=TRUE,AC642,0)</f>
        <v>0</v>
      </c>
      <c r="IC641" s="1379"/>
      <c r="IF641" s="1380" t="e">
        <f>ROUND(T641*AB642*N640*R640/1000,0)</f>
        <v>#VALUE!</v>
      </c>
      <c r="IG641" s="1382"/>
      <c r="IH641" s="1384" t="e">
        <f>ROUND(T641*AB642*N640*R640/1000,0)</f>
        <v>#VALUE!</v>
      </c>
      <c r="II641" s="1382"/>
      <c r="IK641" s="1351" t="e">
        <f>IF($CO641="interior",IL641/2,VLOOKUP($CP641,Control_Savings_Exterior,IK$30,FALSE))</f>
        <v>#N/A</v>
      </c>
      <c r="IL641" s="1351" t="e">
        <f>IF($CO641="interior",VLOOKUP($CP641,Control_Savings_Interior,IL$30,FALSE),VLOOKUP($CP641,Control_Savings_Exterior,IL$30,FALSE))</f>
        <v>#N/A</v>
      </c>
      <c r="IM641" s="1351" t="e">
        <f>IF($CO641="interior",IF(R640&gt;FO$37,(IM$28*(FO$37/R640)),IM$28)*FP641,VLOOKUP($CP641,Control_Savings_Exterior,IM$30,FALSE))</f>
        <v>#N/A</v>
      </c>
      <c r="IN641" s="1351" t="e">
        <f>IF($CO641="interior",ROUND(((1-IL641)*IM641)+IL641,2),VLOOKUP($CP641,Control_Savings_Exterior,IN$30,FALSE))</f>
        <v>#N/A</v>
      </c>
      <c r="IO641" s="1351" t="e">
        <f>IF($CO641="interior", ROUND(((1-IL641)*(IM641*(1-IP$28)))+IP641,2), VLOOKUP($CP641,Control_Savings_Exterior,IO$30,FALSE))</f>
        <v>#N/A</v>
      </c>
      <c r="IP641" s="1351">
        <f>IF($CO641="interior",ROUND(((1-IL641)*IP$28)+IL641,2),0)</f>
        <v>0</v>
      </c>
    </row>
    <row r="642" spans="1:250" s="82" customFormat="1" ht="14.95" customHeight="1" thickTop="1" thickBot="1">
      <c r="B642" s="1421"/>
      <c r="C642" s="1422"/>
      <c r="D642" s="1423"/>
      <c r="E642" s="1462" t="s">
        <v>357</v>
      </c>
      <c r="F642" s="1463"/>
      <c r="G642" s="1464" t="s">
        <v>362</v>
      </c>
      <c r="H642" s="1465"/>
      <c r="I642" s="1465"/>
      <c r="J642" s="1465"/>
      <c r="K642" s="1465"/>
      <c r="L642" s="1466"/>
      <c r="M642" s="669">
        <f>IFERROR(VLOOKUP(G642,_Daylight_Table[],2,FALSE),0)</f>
        <v>0</v>
      </c>
      <c r="N642" s="670"/>
      <c r="O642" s="669" t="e">
        <f>VLOOKUP(G641,'Space Table'!$B$3:$L$160,11,FALSE)</f>
        <v>#N/A</v>
      </c>
      <c r="P642" s="1408"/>
      <c r="Q642" s="1409"/>
      <c r="R642" s="1409"/>
      <c r="S642" s="1402"/>
      <c r="T642" s="671" t="s">
        <v>281</v>
      </c>
      <c r="U642" s="1467" t="str">
        <f>IFERROR(VLOOKUP(U641,Fixtures!DM$93:DP$142,4,FALSE),"")</f>
        <v/>
      </c>
      <c r="V642" s="1468"/>
      <c r="W642" s="1468"/>
      <c r="X642" s="1468"/>
      <c r="Y642" s="1468"/>
      <c r="Z642" s="1468"/>
      <c r="AA642" s="1468"/>
      <c r="AB642" s="1046" t="str">
        <f>IFERROR(VLOOKUP(U641,Fixtures_Proposed_List,2,FALSE),"")</f>
        <v/>
      </c>
      <c r="AC642" s="1036" t="str">
        <f>IFERROR(ROUND(T641*AB642*N640*R640/1000,0),"")</f>
        <v/>
      </c>
      <c r="AD642" s="1037" t="str">
        <f>IFERROR(ROUND(T641*AB642/1000,2),"")</f>
        <v/>
      </c>
      <c r="AE642" s="1045" t="s">
        <v>281</v>
      </c>
      <c r="AF642" s="1469"/>
      <c r="AG642" s="1469"/>
      <c r="AH642" s="1469"/>
      <c r="AI642" s="1469"/>
      <c r="AJ642" s="1476"/>
      <c r="AK642" s="1471"/>
      <c r="AL642" s="1473"/>
      <c r="AM642" s="1443"/>
      <c r="AN642" s="1444"/>
      <c r="AO642" s="1449"/>
      <c r="AP642" s="1449"/>
      <c r="AQ642" s="1450"/>
      <c r="AR642" s="1453"/>
      <c r="AS642" s="1456"/>
      <c r="AT642" s="1459"/>
      <c r="AU642" s="517"/>
      <c r="AV642" s="1480"/>
      <c r="AW642" s="1480"/>
      <c r="BC642" s="38"/>
      <c r="BD642" s="38"/>
      <c r="BE642" s="38"/>
      <c r="BF642" s="38"/>
      <c r="BG642" s="38"/>
      <c r="BH642" s="38"/>
      <c r="BI642" s="38"/>
      <c r="BJ642" s="38"/>
      <c r="BK642" s="38"/>
      <c r="BL642" s="38"/>
      <c r="BM642" s="38"/>
      <c r="BN642" s="38"/>
      <c r="BO642" s="38"/>
      <c r="BP642" s="38"/>
      <c r="BQ642" s="38"/>
      <c r="BR642" s="38"/>
      <c r="BS642" s="38"/>
      <c r="BT642" s="38"/>
      <c r="BU642" s="38"/>
      <c r="BV642" s="38"/>
      <c r="BW642" s="38"/>
      <c r="BX642" s="38"/>
      <c r="BY642" s="38"/>
      <c r="BZ642" s="38"/>
      <c r="CA642" s="38"/>
      <c r="CB642" s="38"/>
      <c r="CC642" s="38"/>
      <c r="CD642" s="38"/>
      <c r="CE642" s="38"/>
      <c r="CF642" s="38"/>
      <c r="CG642" s="38"/>
      <c r="CH642" s="38"/>
      <c r="CI642" s="38"/>
      <c r="CM642" s="1352"/>
      <c r="CN642" s="1352"/>
      <c r="CO642" s="1416"/>
      <c r="CP642" s="1418"/>
      <c r="CR642" s="1386"/>
      <c r="CS642" s="1355"/>
      <c r="CT642" s="1355"/>
      <c r="CU642" s="1375"/>
      <c r="CV642" s="1372"/>
      <c r="CW642" s="1372"/>
      <c r="CX642" s="1372"/>
      <c r="CY642" s="1487"/>
      <c r="CZ642" s="1487"/>
      <c r="DA642" s="1487"/>
      <c r="DC642" s="1355"/>
      <c r="DD642" s="1355"/>
      <c r="DE642" s="1375"/>
      <c r="DF642" s="1407"/>
      <c r="DG642" s="1372"/>
      <c r="DH642" s="1369"/>
      <c r="DK642" s="1484"/>
      <c r="DL642" s="1420"/>
      <c r="DN642" s="1403"/>
      <c r="DO642" s="1405"/>
      <c r="DP642" s="1355"/>
      <c r="DQ642" s="1405"/>
      <c r="DR642" s="1403"/>
      <c r="DS642" s="1489"/>
      <c r="DU642" s="1403"/>
      <c r="DV642" s="1405"/>
      <c r="DW642" s="1403"/>
      <c r="DX642" s="1403"/>
      <c r="DZ642" s="1481"/>
      <c r="EA642" s="1481"/>
      <c r="EC642" s="1482"/>
      <c r="ED642" s="1369"/>
      <c r="EE642" s="1372"/>
      <c r="EF642" s="1369"/>
      <c r="EG642" s="1369"/>
      <c r="EH642" s="1375"/>
      <c r="EI642" s="1375"/>
      <c r="EJ642" s="1363"/>
      <c r="EK642" s="1376"/>
      <c r="EL642" s="1376"/>
      <c r="EM642" s="1362"/>
      <c r="EN642" s="1362"/>
      <c r="EO642" s="1363"/>
      <c r="EP642" s="1363"/>
      <c r="EQ642" s="1363"/>
      <c r="ES642" s="1403"/>
      <c r="EU642" s="1488"/>
      <c r="EV642" s="1488"/>
      <c r="EW642" s="1488"/>
      <c r="EX642" s="1488"/>
      <c r="EY642" s="1488"/>
      <c r="EZ642" s="1414"/>
      <c r="FB642" s="1365"/>
      <c r="FD642" s="1355"/>
      <c r="FE642" s="1355"/>
      <c r="FF642" s="138"/>
      <c r="FI642" s="1357"/>
      <c r="FJ642" s="1357"/>
      <c r="FK642" s="1365"/>
      <c r="FL642" s="1365"/>
      <c r="FM642" s="1365"/>
      <c r="FO642" s="1361"/>
      <c r="FP642" s="1361"/>
      <c r="FQ642" s="1366"/>
      <c r="FR642" s="1361"/>
      <c r="FS642" s="1361"/>
      <c r="FT642" s="1361"/>
      <c r="FU642" s="1360"/>
      <c r="FW642" s="1352"/>
      <c r="FX642" s="1352"/>
      <c r="FY642" s="1352"/>
      <c r="FZ642" s="1352"/>
      <c r="GA642" s="1352"/>
      <c r="GB642" s="1352"/>
      <c r="GC642" s="1352"/>
      <c r="GD642" s="1352"/>
      <c r="GE642" s="759"/>
      <c r="GF642" s="1035"/>
      <c r="GG642" s="1385"/>
      <c r="GJ642" s="1034">
        <f>IF(GJ640=TRUE,0,GJ$16)</f>
        <v>0</v>
      </c>
      <c r="GL642" s="1034">
        <f>IF(GL640=TRUE,0,GL$16)</f>
        <v>36</v>
      </c>
      <c r="GM642" s="1034">
        <f>IF(GM640=TRUE,0,GM$16)</f>
        <v>35</v>
      </c>
      <c r="GN642" s="436"/>
      <c r="GO642" s="436"/>
      <c r="GP642" s="436"/>
      <c r="GQ642" s="436"/>
      <c r="GR642" s="436"/>
      <c r="HC642" s="1034">
        <f t="shared" ref="HC642:HH642" si="474">IF(HC640=TRUE,0,HC$16)</f>
        <v>19</v>
      </c>
      <c r="HD642" s="1034">
        <f t="shared" si="474"/>
        <v>18</v>
      </c>
      <c r="HE642" s="1034">
        <f t="shared" si="474"/>
        <v>17</v>
      </c>
      <c r="HF642" s="1034">
        <f t="shared" si="474"/>
        <v>16</v>
      </c>
      <c r="HG642" s="1034">
        <f t="shared" si="474"/>
        <v>0</v>
      </c>
      <c r="HH642" s="1034">
        <f t="shared" si="474"/>
        <v>0</v>
      </c>
      <c r="HI642" s="1034">
        <f>IF(HI640=TRUE,0,HI$16)</f>
        <v>13</v>
      </c>
      <c r="HJ642" s="1034">
        <f t="shared" ref="HJ642:HL642" si="475">IF(HJ640=TRUE,0,HJ$16)</f>
        <v>12</v>
      </c>
      <c r="HK642" s="1034">
        <f t="shared" si="475"/>
        <v>11</v>
      </c>
      <c r="HL642" s="1034">
        <f t="shared" si="475"/>
        <v>10</v>
      </c>
      <c r="HM642" s="1034">
        <f>IF(HM640=TRUE,0,HM$16)</f>
        <v>9</v>
      </c>
      <c r="HN642" s="1034">
        <f t="shared" ref="HN642:HR642" si="476">IF(HN640=TRUE,0,HN$16)</f>
        <v>0</v>
      </c>
      <c r="HO642" s="1034">
        <f t="shared" si="476"/>
        <v>0</v>
      </c>
      <c r="HP642" s="1034">
        <f t="shared" si="476"/>
        <v>0</v>
      </c>
      <c r="HQ642" s="1034">
        <f t="shared" si="476"/>
        <v>0</v>
      </c>
      <c r="HR642" s="1034">
        <f t="shared" si="476"/>
        <v>0</v>
      </c>
      <c r="HS642" s="1034">
        <f>IF(HS640=TRUE,0,HS$16)</f>
        <v>0</v>
      </c>
      <c r="HT642" s="1034">
        <f t="shared" ref="HT642" si="477">IF(HT640=TRUE,0,HT$16)</f>
        <v>0</v>
      </c>
      <c r="HU642" s="1034">
        <f>IF(HU640=TRUE,0,HU$16)</f>
        <v>1</v>
      </c>
      <c r="HW642" s="1034">
        <f>IF(GL640=FALSE,GL642,IF(GM640=FALSE,GM642,MAX(GJ642:HU642)))</f>
        <v>36</v>
      </c>
      <c r="HX642" s="1383"/>
      <c r="HY642" s="241" t="str">
        <f>VLOOKUP(HW642,_Error_Table,3,FALSE)</f>
        <v xml:space="preserve"> </v>
      </c>
      <c r="HZ642" s="241"/>
      <c r="IA642" s="1386"/>
      <c r="IB642" s="1380"/>
      <c r="IC642" s="1379"/>
      <c r="IF642" s="1380"/>
      <c r="IG642" s="1383"/>
      <c r="IH642" s="1383"/>
      <c r="II642" s="1383"/>
      <c r="IK642" s="1351"/>
      <c r="IL642" s="1351"/>
      <c r="IM642" s="1351"/>
      <c r="IN642" s="1351"/>
      <c r="IO642" s="1351"/>
      <c r="IP642" s="1351"/>
    </row>
    <row r="643" spans="1:250" s="82" customFormat="1" ht="5.0999999999999996" customHeight="1" thickBot="1">
      <c r="B643" s="763"/>
      <c r="C643" s="1038"/>
      <c r="D643" s="1038"/>
      <c r="E643" s="1490"/>
      <c r="F643" s="1490"/>
      <c r="G643" s="1490"/>
      <c r="H643" s="1490"/>
      <c r="I643" s="1490"/>
      <c r="J643" s="1490"/>
      <c r="K643" s="1490"/>
      <c r="L643" s="1490"/>
      <c r="M643" s="1490"/>
      <c r="N643" s="1490"/>
      <c r="O643" s="1490"/>
      <c r="P643" s="1490"/>
      <c r="Q643" s="1490"/>
      <c r="R643" s="1490"/>
      <c r="S643" s="1490"/>
      <c r="T643" s="1490"/>
      <c r="U643" s="1490"/>
      <c r="V643" s="1490"/>
      <c r="W643" s="1490"/>
      <c r="X643" s="1490"/>
      <c r="Y643" s="1490"/>
      <c r="Z643" s="1490"/>
      <c r="AA643" s="1490"/>
      <c r="AB643" s="1490"/>
      <c r="AC643" s="1490"/>
      <c r="AD643" s="1490"/>
      <c r="AE643" s="1490"/>
      <c r="AF643" s="1490"/>
      <c r="AG643" s="1490"/>
      <c r="AH643" s="1490"/>
      <c r="AI643" s="1490"/>
      <c r="AJ643" s="1490"/>
      <c r="AK643" s="1490"/>
      <c r="AL643" s="1490"/>
      <c r="AM643" s="1490"/>
      <c r="AN643" s="1490"/>
      <c r="AO643" s="1490"/>
      <c r="AP643" s="1490"/>
      <c r="AQ643" s="1490"/>
      <c r="AR643" s="1490"/>
      <c r="AS643" s="1490"/>
      <c r="AT643" s="1490"/>
      <c r="AU643" s="1041"/>
      <c r="BC643" s="38"/>
      <c r="BD643" s="38"/>
      <c r="BE643" s="38"/>
      <c r="BF643" s="38"/>
      <c r="BG643" s="38"/>
      <c r="BH643" s="38"/>
      <c r="BI643" s="38"/>
      <c r="BJ643" s="38"/>
      <c r="BK643" s="38"/>
      <c r="BL643" s="38"/>
      <c r="BM643" s="38"/>
      <c r="BN643" s="38"/>
      <c r="BO643" s="38"/>
      <c r="BP643" s="38"/>
      <c r="BQ643" s="38"/>
      <c r="BR643" s="38"/>
      <c r="BS643" s="38"/>
      <c r="BT643" s="38"/>
      <c r="BU643" s="38"/>
      <c r="BV643" s="38"/>
      <c r="BW643" s="38"/>
      <c r="BX643" s="38"/>
      <c r="BY643" s="38"/>
      <c r="BZ643" s="38"/>
      <c r="CA643" s="38"/>
      <c r="CB643" s="38"/>
      <c r="CC643" s="38"/>
      <c r="CD643" s="38"/>
      <c r="CE643" s="38"/>
      <c r="CF643" s="38"/>
      <c r="CG643" s="38"/>
      <c r="CH643" s="38"/>
      <c r="CI643" s="38"/>
      <c r="CM643" s="749"/>
      <c r="CN643" s="749"/>
      <c r="CO643" s="1043"/>
      <c r="CP643" s="749"/>
      <c r="CS643" s="436"/>
      <c r="CT643" s="436"/>
      <c r="CU643" s="243"/>
      <c r="CV643" s="244"/>
      <c r="CW643" s="244"/>
      <c r="CX643" s="244"/>
      <c r="CY643" s="245"/>
      <c r="CZ643" s="245"/>
      <c r="DA643" s="245"/>
      <c r="DC643" s="750"/>
      <c r="DD643" s="751"/>
      <c r="DE643" s="752"/>
      <c r="DF643" s="753"/>
      <c r="DG643" s="754"/>
      <c r="DH643" s="754"/>
      <c r="DK643" s="244"/>
      <c r="DL643" s="750"/>
      <c r="DN643" s="750"/>
      <c r="DO643" s="755"/>
      <c r="DP643" s="436"/>
      <c r="DQ643" s="750"/>
      <c r="DR643" s="750"/>
      <c r="DS643" s="750"/>
      <c r="DU643" s="750"/>
      <c r="DV643" s="750"/>
      <c r="DW643" s="750"/>
      <c r="DX643" s="750"/>
      <c r="DZ643" s="756"/>
      <c r="EA643" s="756"/>
      <c r="EC643" s="754"/>
      <c r="ED643" s="754"/>
      <c r="EE643" s="244"/>
      <c r="EF643" s="754"/>
      <c r="EG643" s="754"/>
      <c r="EH643" s="243"/>
      <c r="EI643" s="243"/>
      <c r="EJ643" s="752"/>
      <c r="EK643" s="757"/>
      <c r="EL643" s="757"/>
      <c r="EM643" s="758"/>
      <c r="EN643" s="758"/>
      <c r="EO643" s="752"/>
      <c r="EP643" s="752"/>
      <c r="EQ643" s="752"/>
      <c r="ES643" s="750"/>
      <c r="EU643" s="436"/>
      <c r="EV643" s="436"/>
      <c r="EW643" s="436"/>
      <c r="EX643" s="436"/>
      <c r="EY643" s="436"/>
      <c r="EZ643" s="436"/>
      <c r="FB643" s="643"/>
      <c r="FD643" s="436"/>
      <c r="FE643" s="436"/>
      <c r="FF643" s="436"/>
      <c r="FO643" s="750"/>
      <c r="FP643" s="436"/>
      <c r="FQ643" s="436"/>
      <c r="FR643" s="750"/>
      <c r="FS643" s="750"/>
      <c r="FW643" s="749"/>
      <c r="FX643" s="749"/>
      <c r="FY643" s="749"/>
      <c r="FZ643" s="749"/>
      <c r="GA643" s="749"/>
      <c r="GB643" s="749"/>
      <c r="GC643" s="749"/>
      <c r="GD643" s="749"/>
      <c r="GE643" s="751"/>
      <c r="GF643" s="750"/>
      <c r="GG643" s="750"/>
    </row>
    <row r="644" spans="1:250" s="82" customFormat="1" ht="14.95" customHeight="1" thickTop="1" thickBot="1">
      <c r="B644" s="1421" t="str">
        <f>HY647</f>
        <v xml:space="preserve"> </v>
      </c>
      <c r="C644" s="1422">
        <f>C639+1</f>
        <v>117</v>
      </c>
      <c r="D644" s="1423"/>
      <c r="E644" s="1424" t="s">
        <v>242</v>
      </c>
      <c r="F644" s="1425"/>
      <c r="G644" s="1426"/>
      <c r="H644" s="1427"/>
      <c r="I644" s="1427"/>
      <c r="J644" s="1427"/>
      <c r="K644" s="1427"/>
      <c r="L644" s="1427"/>
      <c r="M644" s="1427"/>
      <c r="N644" s="1427"/>
      <c r="O644" s="1427"/>
      <c r="P644" s="1427"/>
      <c r="Q644" s="1427"/>
      <c r="R644" s="1427"/>
      <c r="S644" s="1428" t="s">
        <v>283</v>
      </c>
      <c r="T644" s="668" t="s">
        <v>190</v>
      </c>
      <c r="U644" s="1430" t="s">
        <v>186</v>
      </c>
      <c r="V644" s="1431"/>
      <c r="W644" s="1431"/>
      <c r="X644" s="1431"/>
      <c r="Y644" s="1431"/>
      <c r="Z644" s="1431"/>
      <c r="AA644" s="1431"/>
      <c r="AB644" s="1047" t="str">
        <f>IFERROR(IF(__Retrofit_TI_NC=0,VLOOKUP(U645,Fixtures_Existing_List,2,FALSE),ROUND(N646*R646/T646,10)),"")</f>
        <v/>
      </c>
      <c r="AC644" s="1039" t="str">
        <f>IFERROR(IF(__Retrofit_TI_NC=0,ROUND(T645*AB644*N645*R645/1000,0),IF(CN644="Interior",N646*R646*R645*N645*_C406_reduction/1000,N646*R646*R645*N645/1000)),"")</f>
        <v/>
      </c>
      <c r="AD644" s="1040" t="str">
        <f>IFERROR(IF(C$36=0,ROUND(T645*AB644/1000,2),N646*R646/1000),"")</f>
        <v/>
      </c>
      <c r="AE644" s="1044" t="s">
        <v>190</v>
      </c>
      <c r="AF644" s="1432" t="str">
        <f>IF(__Retrofit_TI_NC=2,CONCATENATE("Code min = ",DD644),IF(__Retrofit_TI_NC=1,"Emter what you think the existing control was"," Control"))</f>
        <v xml:space="preserve"> Control</v>
      </c>
      <c r="AG644" s="1432"/>
      <c r="AH644" s="1432"/>
      <c r="AI644" s="1432"/>
      <c r="AJ644" s="1433">
        <f>DF644</f>
        <v>0</v>
      </c>
      <c r="AK644" s="1435" t="str">
        <f>IFERROR(ROUND(AJ644*AC644,0),"")</f>
        <v/>
      </c>
      <c r="AL644" s="1437">
        <f>IFERROR(IF(HW644=FALSE,0,AC644-AK644),0)</f>
        <v>0</v>
      </c>
      <c r="AM644" s="1439">
        <f>AL644-AL646</f>
        <v>0</v>
      </c>
      <c r="AN644" s="1440"/>
      <c r="AO644" s="1445">
        <f>IFERROR(IF(HW644=FALSE,0,(T646*U647)+(AE646*AF647)),0)</f>
        <v>0</v>
      </c>
      <c r="AP644" s="1445"/>
      <c r="AQ644" s="1446"/>
      <c r="AR644" s="1451" t="s">
        <v>157</v>
      </c>
      <c r="AS644" s="1454">
        <f>IF(AR644="Yes",1,0)</f>
        <v>1</v>
      </c>
      <c r="AT644" s="1457" t="str">
        <f>IF(OR(DN644=4,DN644=5,DN644=6,DN644=12),CONCATENATE("$",IF(GD644=TRUE,Lookup!$B$11,Lookup!$B$2)," /lamp"),CONCATENATE(EA644,"/ kWh"))</f>
        <v>0/ kWh</v>
      </c>
      <c r="AU644" s="516"/>
      <c r="AV644" s="1478">
        <f>IFERROR(IF(GI645=TRUE,(AB647*T646)/R646,0),"NA")</f>
        <v>0</v>
      </c>
      <c r="AW644" s="1478" t="str">
        <f>IFERROR(N646*_C406_reduction,"NA")</f>
        <v>NA</v>
      </c>
      <c r="BC644" s="38"/>
      <c r="BD644" s="38"/>
      <c r="BE644" s="38"/>
      <c r="BF644" s="38"/>
      <c r="BG644" s="38"/>
      <c r="BH644" s="38"/>
      <c r="BI644" s="38"/>
      <c r="BJ644" s="38"/>
      <c r="BK644" s="38"/>
      <c r="BL644" s="38"/>
      <c r="BM644" s="38"/>
      <c r="BN644" s="38"/>
      <c r="BO644" s="38"/>
      <c r="BP644" s="38"/>
      <c r="BQ644" s="38"/>
      <c r="BR644" s="38"/>
      <c r="BS644" s="38"/>
      <c r="BT644" s="38"/>
      <c r="BU644" s="38"/>
      <c r="BV644" s="38"/>
      <c r="BW644" s="38"/>
      <c r="BX644" s="38"/>
      <c r="BY644" s="38"/>
      <c r="BZ644" s="38"/>
      <c r="CA644" s="38"/>
      <c r="CB644" s="38"/>
      <c r="CC644" s="38"/>
      <c r="CD644" s="38"/>
      <c r="CE644" s="38"/>
      <c r="CF644" s="38"/>
      <c r="CG644" s="38"/>
      <c r="CH644" s="38"/>
      <c r="CI644" s="38"/>
      <c r="CM644" s="1352" t="str">
        <f>N645</f>
        <v/>
      </c>
      <c r="CN644" s="1352" t="str">
        <f>IFERROR(VLOOKUP(G645,_Lookup_Heat_Type_Table_New,3,FALSE),"")</f>
        <v/>
      </c>
      <c r="CO644" s="1415" t="str">
        <f>CN644</f>
        <v/>
      </c>
      <c r="CP644" s="1417" t="e">
        <f>VLOOKUP(G646,'Space Table'!$B$3:$L$160,9,FALSE)</f>
        <v>#N/A</v>
      </c>
      <c r="CR644" s="1386" t="s">
        <v>283</v>
      </c>
      <c r="CS644" s="1353">
        <f>IF(HW644=TRUE,T645,0)</f>
        <v>0</v>
      </c>
      <c r="CT644" s="1353" t="str">
        <f>IF(HW644=TRUE,U645,"")</f>
        <v/>
      </c>
      <c r="CU644" s="1353"/>
      <c r="CV644" s="1370">
        <f>IF(HW644=TRUE,AB644,0)</f>
        <v>0</v>
      </c>
      <c r="CW644" s="1370">
        <f>IF(HW644=TRUE,AC644,0)</f>
        <v>0</v>
      </c>
      <c r="CX644" s="1370">
        <f>IFERROR(IF(HW644=TRUE,CW644-CW646,0),0)</f>
        <v>0</v>
      </c>
      <c r="CY644" s="1485">
        <f>IF(HW644=TRUE,AD644,0)</f>
        <v>0</v>
      </c>
      <c r="CZ644" s="1485">
        <f>IF(HW644=TRUE,AD647,0)</f>
        <v>0</v>
      </c>
      <c r="DA644" s="1485">
        <f>IFERROR(CY644-CZ644,0)</f>
        <v>0</v>
      </c>
      <c r="DC644" s="1353">
        <f>IF(HW644=TRUE,AE645,0)</f>
        <v>0</v>
      </c>
      <c r="DD644" s="1460">
        <f>IF(__Retrofit_TI_NC=2,IF(CN644="Exterior",O647,FM644),FK644)</f>
        <v>0</v>
      </c>
      <c r="DE644" s="1353"/>
      <c r="DF644" s="1406">
        <f>IFERROR(IF(FL644=3,IK644,IF(FL644=4,IL644,IF(FL644=5,IM644,IF(FL644=6,IN644,IF(FL644=7,IO644,IF(FL644=8,IP644,0)))))),0)</f>
        <v>0</v>
      </c>
      <c r="DG644" s="1370">
        <f>IF(HW644=TRUE,AK644,0)</f>
        <v>0</v>
      </c>
      <c r="DH644" s="1369">
        <f>IFERROR(IF(HW644=TRUE,DG646-DG644,0),0)</f>
        <v>0</v>
      </c>
      <c r="DJ644" s="1483">
        <f>IFERROR(CW644-DG644,0)</f>
        <v>0</v>
      </c>
      <c r="DL644" s="1419">
        <f>DJ644-DK646</f>
        <v>0</v>
      </c>
      <c r="DN644" s="1403" t="str">
        <f>IFERROR(IF(AND(OR(FY644=4,FY644=5,FY644=6),OR(GB644=4,GB644=5,GB644=6)),FY644+8,VLOOKUP(CT646,Fixtures!R$31:Y$78,8,FALSE)),"")</f>
        <v/>
      </c>
      <c r="DO644" s="1404" t="str">
        <f>DN644</f>
        <v/>
      </c>
      <c r="DP644" s="1353" t="str">
        <f>IFERROR(VLOOKUP(DD646,Lookup!AU$3:AV$15,2,FALSE),"")</f>
        <v/>
      </c>
      <c r="DQ644" s="1404" t="str">
        <f>IF(DP644=7,"LLLC","")</f>
        <v/>
      </c>
      <c r="DR644" s="1403">
        <f>IFERROR(IF(OR(DN644=4,DN644=5,DN644=6,DN644=12,DN644=13,DN644=14),VLOOKUP(CT646,Fixtures!DN$27:EG$77,19,FALSE),1)*CS646,0)</f>
        <v>0</v>
      </c>
      <c r="DS644" s="1489">
        <f>IF(DP644=7,IF(DD644=DD646,0,DC646),0)</f>
        <v>0</v>
      </c>
      <c r="DU644" s="1403" t="str">
        <f>IFERROR(IF(EW644&lt;EW646,"Yes","No"),"")</f>
        <v/>
      </c>
      <c r="DV644" s="1404" t="str">
        <f>DU644</f>
        <v/>
      </c>
      <c r="DW644" s="1403">
        <f>IF(DU644="Yes",DC646,0)</f>
        <v>0</v>
      </c>
      <c r="DX644" s="1403">
        <f>DW644-DS644</f>
        <v>0</v>
      </c>
      <c r="DZ644" s="1481">
        <f>IFERROR(VLOOKUP(DN644,Lookup!AN$3:AO$16,2,FALSE),0)</f>
        <v>0</v>
      </c>
      <c r="EA644" s="1481">
        <f>IF(HW644=FALSE,0,IF(DU644="Yes",DZ644+Lookup!B$6,DZ644))</f>
        <v>0</v>
      </c>
      <c r="EC644" s="1482">
        <f>IF(HW644=TRUE,DJ644,0)</f>
        <v>0</v>
      </c>
      <c r="ED644" s="1369">
        <f>IF(HW644=TRUE,CW646,0)</f>
        <v>0</v>
      </c>
      <c r="EE644" s="1370">
        <f>IFERROR(EC644-ED644,0)</f>
        <v>0</v>
      </c>
      <c r="EF644" s="1369">
        <f>IF(HW644=TRUE,DG646,0)</f>
        <v>0</v>
      </c>
      <c r="EG644" s="1369">
        <f>IFERROR(EC644-ED644+EF644,0)</f>
        <v>0</v>
      </c>
      <c r="EH644" s="1373">
        <f>IF(HW644=TRUE,CS646*CU646,0)</f>
        <v>0</v>
      </c>
      <c r="EI644" s="1373">
        <f>IF(HW644=TRUE,DC646*DE646,0)</f>
        <v>0</v>
      </c>
      <c r="EJ644" s="1363">
        <f>AO644</f>
        <v>0</v>
      </c>
      <c r="EK644" s="1376" t="str">
        <f>IFERROR(IF(HW644=TRUE,VLOOKUP(DN644,Lookup!AN$3:AP$16,3,FALSE)*DR644,""),0)</f>
        <v/>
      </c>
      <c r="EL644" s="1376">
        <f>IF(HW644=TRUE,DW644*Lookup!AP$12,0)</f>
        <v>0</v>
      </c>
      <c r="EM644" s="1362">
        <f>IFERROR(IF(HW644=TRUE,EK644/EM$33,0),0)</f>
        <v>0</v>
      </c>
      <c r="EN644" s="1362">
        <f>IF(HW644=TRUE,EL644/EN$33,0)</f>
        <v>0</v>
      </c>
      <c r="EO644" s="1363">
        <f>IF(HW644=TRUE,EQ$33*EM644,0)</f>
        <v>0</v>
      </c>
      <c r="EP644" s="1363">
        <f>IF(HW644=TRUE,EQ$33*EN644,0)</f>
        <v>0</v>
      </c>
      <c r="EQ644" s="1363">
        <f>EO644+EP644</f>
        <v>0</v>
      </c>
      <c r="ES644" s="1403">
        <f>IF(G644="",0,1)</f>
        <v>0</v>
      </c>
      <c r="EU644" s="1410" t="e">
        <f>VLOOKUP(CP646,'Space Table'!$B$3:$L$160,8,FALSE)</f>
        <v>#N/A</v>
      </c>
      <c r="EV644" s="1410" t="e">
        <f>IF(EY644="Yes",VLOOKUP(DD644,Lookup_Control_Type_Table2,4,FALSE),VLOOKUP(DD644,Lookup_Control_Type_Table2,3,FALSE))</f>
        <v>#N/A</v>
      </c>
      <c r="EW644" s="1410" t="e">
        <f>VLOOKUP(DD644,Lookup!AU$3:AV$15,2,FALSE)</f>
        <v>#N/A</v>
      </c>
      <c r="EX644" s="1410" t="e">
        <f>VLOOKUP(EU644,Lookup_Control_Type_Table,2,FALSE)</f>
        <v>#N/A</v>
      </c>
      <c r="EY644" s="1410" t="e">
        <f>VLOOKUP(CP646,'Space Table'!$B$3:$L$160,7,FALSE)</f>
        <v>#N/A</v>
      </c>
      <c r="EZ644" s="1412" t="b">
        <f>ISNUMBER(SEARCH("TLED",U646))</f>
        <v>0</v>
      </c>
      <c r="FB644" s="1365" t="str">
        <f>CONCATENATE(CN644," - ",DD644)</f>
        <v xml:space="preserve"> - 0</v>
      </c>
      <c r="FD644" s="1353" t="str">
        <f>VLOOKUP(CT646,Fixtures!DN$27:EZ$77,38,FALSE)</f>
        <v/>
      </c>
      <c r="FE644" s="1353">
        <f>IFERROR(FD644*EE644,0)</f>
        <v>0</v>
      </c>
      <c r="FF644" s="138"/>
      <c r="FI644" s="1356" t="str">
        <f>IF(CN644="Exterior","Not Daylighted",G647)</f>
        <v>Not Daylighted</v>
      </c>
      <c r="FJ644" s="1356">
        <f>VLOOKUP(FI644,_Daylight_Table_Codes,2,FALSE)</f>
        <v>0</v>
      </c>
      <c r="FK644" s="1365">
        <f>IF(__Retrofit_TI_NC=2,VLOOKUP(G646,'Space Table'!$B$3:$L$160,11,FALSE),AF645)</f>
        <v>0</v>
      </c>
      <c r="FL644" s="1365" t="e">
        <f>VLOOKUP(FK644,_Control_Table,2,FALSE)</f>
        <v>#N/A</v>
      </c>
      <c r="FM644" s="1365" t="e">
        <f>IF(AND(FP644&gt;0,FK644="Occupancy Sensor"),"Daylight + Occupancy",IF(AND(FP644&gt;0,FL644&lt;4),"Interior Daylight Dimming",FK644))</f>
        <v>#N/A</v>
      </c>
      <c r="FO644" s="1364">
        <f>IF(CO644="Interior",VLOOKUP(CP644,Control_Savings_Interior,5,FALSE),0)</f>
        <v>0</v>
      </c>
      <c r="FP644" s="1361">
        <f>IF(CN644="Exterior",0,IF(FJ644=2,0.5,IF(OR(FJ644=1,FJ644=3),1,0)))</f>
        <v>0</v>
      </c>
      <c r="FQ644" s="1366"/>
      <c r="FR644" s="1367"/>
      <c r="FS644" s="1364"/>
      <c r="FT644" s="1367"/>
      <c r="FU644" s="1360"/>
      <c r="FW644" s="1352" t="str">
        <f>IFERROR(VLOOKUP(U645,_Exist_Fixture_Table,3,FALSE),"")</f>
        <v/>
      </c>
      <c r="FX644" s="1352" t="str">
        <f>VLOOKUP(CT644,_Exist_Fixture_Table,4,FALSE)</f>
        <v/>
      </c>
      <c r="FY644" s="1352">
        <f>IFERROR(VLOOKUP(FX644,Lookup!AM$6:AN$8,2,FALSE),0)</f>
        <v>0</v>
      </c>
      <c r="FZ644" s="1352" t="b">
        <f>IFERROR(IF(OR(GB644=4,GB644=5,GB644=6),TRUE,FALSE),"")</f>
        <v>0</v>
      </c>
      <c r="GA644" s="1352" t="str">
        <f>IFERROR(VLOOKUP(GB644,FY$6:FZ$10,2,FALSE),"")</f>
        <v/>
      </c>
      <c r="GB644" s="1352" t="str">
        <f>VLOOKUP(CT646,Fixtures!R$31:Y$78,8,FALSE)</f>
        <v/>
      </c>
      <c r="GC644" s="1352">
        <f>IF(AND(FW644=TRUE,FZ644=TRUE,OR(DN644=12,DN644=13,DN644=14)),FY644+8,0)</f>
        <v>0</v>
      </c>
      <c r="GD644" s="1352" t="b">
        <f>IF(OR(GC644=12,GC644=13,GC644=14),TRUE,FALSE)</f>
        <v>0</v>
      </c>
      <c r="GE644" s="759" t="b">
        <f>IF(ISNUMBER(SEARCH("TLED",U645)),TRUE,FALSE)</f>
        <v>0</v>
      </c>
      <c r="GF644" s="1035" t="str">
        <f>IFERROR(VLOOKUP(U645,Fixtures!BM$93:BR$142,6,FALSE),"")</f>
        <v/>
      </c>
      <c r="GG644" s="1385" t="b">
        <f>IF(OR(GE644=FALSE,GE646=FALSE),TRUE,IF(GF644-GF646&lt;5,FALSE,TRUE))</f>
        <v>1</v>
      </c>
      <c r="GK644" s="1034">
        <f>GL644</f>
        <v>0</v>
      </c>
      <c r="GL644" s="1034">
        <f>IF(G644="",0,1)</f>
        <v>0</v>
      </c>
      <c r="GM644" s="1034">
        <f>SUM(GN644:HB644)</f>
        <v>2</v>
      </c>
      <c r="GN644" s="1034">
        <f>IF(G645="",0,1)</f>
        <v>0</v>
      </c>
      <c r="GO644" s="1034">
        <f>IF(G646="",0,1)</f>
        <v>0</v>
      </c>
      <c r="GP644" s="1034">
        <f>IF(R645="",0,1)</f>
        <v>0</v>
      </c>
      <c r="GQ644" s="1034">
        <f>IF(__Retrofit_TI_NC=0,1,IF(R646="",0,1))</f>
        <v>1</v>
      </c>
      <c r="GR644" s="1034">
        <f>IF(CN644="Exterior",1,IF(G647="",0,1))</f>
        <v>1</v>
      </c>
      <c r="GS644" s="1034">
        <f>IF(__Retrofit_TI_NC&lt;&gt;0,1,IF(T645="",0,1))</f>
        <v>0</v>
      </c>
      <c r="GT644" s="1034">
        <f>IF(__Retrofit_TI_NC&lt;&gt;0,1,IF(U645="",0,1))</f>
        <v>0</v>
      </c>
      <c r="GU644" s="1034">
        <f>IF(T646="",0,1)</f>
        <v>0</v>
      </c>
      <c r="GV644" s="1034">
        <f>IF(U646="",0,1)</f>
        <v>0</v>
      </c>
      <c r="GW644" s="1034">
        <f>IF(__Retrofit_TI_NC=2,1,IF(U647="",0,1))</f>
        <v>0</v>
      </c>
      <c r="GX644" s="1034">
        <f>IF(__Retrofit_TI_NC&lt;&gt;0,1,IF(AE645="",0,1))</f>
        <v>0</v>
      </c>
      <c r="GY644" s="1034">
        <f>IF(__Retrofit_TI_NC&lt;&gt;0,1,IF(AF645="",0,1))</f>
        <v>0</v>
      </c>
      <c r="GZ644" s="1034">
        <f>IF(AE646="",0,1)</f>
        <v>0</v>
      </c>
      <c r="HA644" s="1034">
        <f>IF(AF646="",0,1)</f>
        <v>0</v>
      </c>
      <c r="HB644" s="1034">
        <f>IF(__Retrofit_TI_NC=2,1,IF(AF647="",0,1))</f>
        <v>0</v>
      </c>
      <c r="HV644" s="436"/>
      <c r="HW644" s="1384" t="b">
        <f>IF(OR(HW647=0,HW647=HT$16,HW647=HS$16,HW647=HU$16),TRUE,FALSE)</f>
        <v>0</v>
      </c>
      <c r="HX644" s="1377" t="b">
        <f>HW644</f>
        <v>0</v>
      </c>
      <c r="HY644" s="436"/>
      <c r="HZ644" s="436"/>
      <c r="IA644" s="1386" t="b">
        <f>IF(MAX(GJ647:HP647)&gt;5,FALSE,TRUE)</f>
        <v>0</v>
      </c>
      <c r="IB644" s="1380">
        <f>IF(IA644=TRUE,AC644,0)</f>
        <v>0</v>
      </c>
      <c r="IC644" s="1380">
        <f>IB644-IB646</f>
        <v>0</v>
      </c>
      <c r="IF644" s="1380" t="e">
        <f>ROUND(T645*VLOOKUP(U645,Fixtures_Existing_List,2,FALSE)*N645*R645/1000,0)</f>
        <v>#N/A</v>
      </c>
      <c r="IG644" s="1381" t="e">
        <f>IF644-IF646</f>
        <v>#N/A</v>
      </c>
      <c r="IH644" s="1384" t="e">
        <f>ROUND(IF(CN644="Interior",N646*R646*R645*N645*_C406_reduction/1000,N646*R646*R645*N645/1000),0)</f>
        <v>#N/A</v>
      </c>
      <c r="II644" s="1384" t="e">
        <f>IH644-IH646</f>
        <v>#N/A</v>
      </c>
      <c r="IK644" s="1351" t="e">
        <f>IF($CO644="interior",IL644/2,VLOOKUP($CP644,Control_Savings_Exterior,IK$30,FALSE))</f>
        <v>#N/A</v>
      </c>
      <c r="IL644" s="1351" t="e">
        <f>IF($CO644="interior",VLOOKUP($CP644,Control_Savings_Interior,IL$30,FALSE),VLOOKUP($CP644,Control_Savings_Exterior,IL$30,FALSE))</f>
        <v>#N/A</v>
      </c>
      <c r="IM644" s="1351" t="e">
        <f>IF($CO644="interior",IF(R645&gt;FO$37,(IM$28*(FO$37/R645)),IM$28)*FP644,VLOOKUP($CP644,Control_Savings_Exterior,IM$30,FALSE))</f>
        <v>#N/A</v>
      </c>
      <c r="IN644" s="1351" t="e">
        <f>IF($CO644="interior",ROUND(((1-IL644)*IM644)+IL644,2),VLOOKUP($CP644,Control_Savings_Exterior,IN$30,FALSE))</f>
        <v>#N/A</v>
      </c>
      <c r="IO644" s="1351" t="e">
        <f>IF($CO644="interior", ROUND(((1-IL644)*(IM644*(1-IP$28)))+IP644,2), VLOOKUP($CP644,Control_Savings_Exterior,IO$30,FALSE))</f>
        <v>#N/A</v>
      </c>
      <c r="IP644" s="1351">
        <f>IF($CO644="interior",ROUND(((1-IL644)*IP$28)+IL644,2),0)</f>
        <v>0</v>
      </c>
    </row>
    <row r="645" spans="1:250" s="82" customFormat="1" ht="14.95" customHeight="1" thickTop="1" thickBot="1">
      <c r="B645" s="1421"/>
      <c r="C645" s="1422"/>
      <c r="D645" s="1423"/>
      <c r="E645" s="1393" t="s">
        <v>244</v>
      </c>
      <c r="F645" s="1394"/>
      <c r="G645" s="1395"/>
      <c r="H645" s="1395"/>
      <c r="I645" s="1395"/>
      <c r="J645" s="1395"/>
      <c r="K645" s="1395"/>
      <c r="L645" s="1395"/>
      <c r="M645" s="509" t="e">
        <f>IF(__Retrofit_TI_NC&lt;&gt;0,IF(VLOOKUP(G646,'Space Table'!$B$3:$L$160,3,FALSE)&gt;0,1,0),IF(__Retrofit_TI_NC=VLOOKUP(G646,'Space Table'!$B$3:$L$160,3,FALSE),1,0))</f>
        <v>#N/A</v>
      </c>
      <c r="N645" s="509" t="str">
        <f>IFERROR(VLOOKUP(G645,_Lookup_Heat_Type_Table_New,2,FALSE),"")</f>
        <v/>
      </c>
      <c r="O645" s="509">
        <f>IF(__Retrofit_TI_NC=1,CONCATENATE("TI ",G645),IF(__Retrofit_TI_NC=2,CONCATENATE("NC ",G645),G645))</f>
        <v>0</v>
      </c>
      <c r="P645" s="1396" t="s">
        <v>352</v>
      </c>
      <c r="Q645" s="1396"/>
      <c r="R645" s="673"/>
      <c r="S645" s="1429"/>
      <c r="T645" s="675"/>
      <c r="U645" s="1496"/>
      <c r="V645" s="1497"/>
      <c r="W645" s="1497"/>
      <c r="X645" s="1497"/>
      <c r="Y645" s="1497"/>
      <c r="Z645" s="1497"/>
      <c r="AA645" s="1497"/>
      <c r="AB645" s="1497"/>
      <c r="AC645" s="1497"/>
      <c r="AD645" s="1498"/>
      <c r="AE645" s="675"/>
      <c r="AF645" s="1397"/>
      <c r="AG645" s="1397"/>
      <c r="AH645" s="1397"/>
      <c r="AI645" s="1397"/>
      <c r="AJ645" s="1434"/>
      <c r="AK645" s="1436"/>
      <c r="AL645" s="1438"/>
      <c r="AM645" s="1441"/>
      <c r="AN645" s="1442"/>
      <c r="AO645" s="1447"/>
      <c r="AP645" s="1447"/>
      <c r="AQ645" s="1448"/>
      <c r="AR645" s="1452"/>
      <c r="AS645" s="1455"/>
      <c r="AT645" s="1458"/>
      <c r="AU645" s="516"/>
      <c r="AV645" s="1479"/>
      <c r="AW645" s="1479"/>
      <c r="BC645" s="38"/>
      <c r="BD645" s="38"/>
      <c r="BE645" s="38"/>
      <c r="BF645" s="38"/>
      <c r="BG645" s="38"/>
      <c r="BH645" s="38"/>
      <c r="BI645" s="38"/>
      <c r="BJ645" s="38"/>
      <c r="BK645" s="38"/>
      <c r="BL645" s="38"/>
      <c r="BM645" s="38"/>
      <c r="BN645" s="38"/>
      <c r="BO645" s="38"/>
      <c r="BP645" s="38"/>
      <c r="BQ645" s="38"/>
      <c r="BR645" s="38"/>
      <c r="BS645" s="38"/>
      <c r="BT645" s="38"/>
      <c r="BU645" s="38"/>
      <c r="BV645" s="38"/>
      <c r="BW645" s="38"/>
      <c r="BX645" s="38"/>
      <c r="BY645" s="38"/>
      <c r="BZ645" s="38"/>
      <c r="CA645" s="38"/>
      <c r="CB645" s="38"/>
      <c r="CC645" s="38"/>
      <c r="CD645" s="38"/>
      <c r="CE645" s="38"/>
      <c r="CF645" s="38"/>
      <c r="CG645" s="38"/>
      <c r="CH645" s="38"/>
      <c r="CI645" s="38"/>
      <c r="CM645" s="1352"/>
      <c r="CN645" s="1352"/>
      <c r="CO645" s="1416"/>
      <c r="CP645" s="1418"/>
      <c r="CR645" s="1386"/>
      <c r="CS645" s="1355"/>
      <c r="CT645" s="1355"/>
      <c r="CU645" s="1355"/>
      <c r="CV645" s="1372"/>
      <c r="CW645" s="1372"/>
      <c r="CX645" s="1371"/>
      <c r="CY645" s="1486"/>
      <c r="CZ645" s="1486"/>
      <c r="DA645" s="1486"/>
      <c r="DC645" s="1355"/>
      <c r="DD645" s="1461"/>
      <c r="DE645" s="1355"/>
      <c r="DF645" s="1407"/>
      <c r="DG645" s="1372"/>
      <c r="DH645" s="1369"/>
      <c r="DJ645" s="1484"/>
      <c r="DL645" s="1419"/>
      <c r="DN645" s="1403"/>
      <c r="DO645" s="1405"/>
      <c r="DP645" s="1354"/>
      <c r="DQ645" s="1405"/>
      <c r="DR645" s="1403"/>
      <c r="DS645" s="1489"/>
      <c r="DU645" s="1403"/>
      <c r="DV645" s="1405"/>
      <c r="DW645" s="1403"/>
      <c r="DX645" s="1403"/>
      <c r="DZ645" s="1481"/>
      <c r="EA645" s="1481"/>
      <c r="EC645" s="1482"/>
      <c r="ED645" s="1369"/>
      <c r="EE645" s="1371"/>
      <c r="EF645" s="1369"/>
      <c r="EG645" s="1369"/>
      <c r="EH645" s="1374"/>
      <c r="EI645" s="1374"/>
      <c r="EJ645" s="1363"/>
      <c r="EK645" s="1376"/>
      <c r="EL645" s="1376"/>
      <c r="EM645" s="1362"/>
      <c r="EN645" s="1362"/>
      <c r="EO645" s="1363"/>
      <c r="EP645" s="1363"/>
      <c r="EQ645" s="1363"/>
      <c r="ES645" s="1403"/>
      <c r="EU645" s="1411"/>
      <c r="EV645" s="1411"/>
      <c r="EW645" s="1411"/>
      <c r="EX645" s="1411"/>
      <c r="EY645" s="1411"/>
      <c r="EZ645" s="1413"/>
      <c r="FB645" s="1365"/>
      <c r="FD645" s="1354"/>
      <c r="FE645" s="1354"/>
      <c r="FF645" s="138"/>
      <c r="FI645" s="1357"/>
      <c r="FJ645" s="1357"/>
      <c r="FK645" s="1365"/>
      <c r="FL645" s="1365"/>
      <c r="FM645" s="1365"/>
      <c r="FO645" s="1361"/>
      <c r="FP645" s="1361"/>
      <c r="FQ645" s="1366"/>
      <c r="FR645" s="1368"/>
      <c r="FS645" s="1361"/>
      <c r="FT645" s="1368"/>
      <c r="FU645" s="1360"/>
      <c r="FW645" s="1352"/>
      <c r="FX645" s="1352"/>
      <c r="FY645" s="1352"/>
      <c r="FZ645" s="1352"/>
      <c r="GA645" s="1352"/>
      <c r="GB645" s="1352"/>
      <c r="GC645" s="1352"/>
      <c r="GD645" s="1352"/>
      <c r="GE645" s="759"/>
      <c r="GF645" s="1035"/>
      <c r="GG645" s="1385"/>
      <c r="GI645" s="1384" t="b">
        <f>IF(AND(GL645=TRUE,GM645=TRUE),TRUE,FALSE)</f>
        <v>0</v>
      </c>
      <c r="GJ645" s="1379" t="b">
        <f>IFERROR(IF(__Retrofit_TI_NC=2,TRUE,IF(AR644="Yes",TRUE,FALSE)),FALSE)</f>
        <v>1</v>
      </c>
      <c r="GL645" s="1379" t="b">
        <f>IFERROR(IF(GL644=1,TRUE,FALSE),FALSE)</f>
        <v>0</v>
      </c>
      <c r="GM645" s="1379" t="b">
        <f>IFERROR(IF(GM644=GM$14,TRUE,FALSE),FALSE)</f>
        <v>0</v>
      </c>
      <c r="HC645" s="1379" t="b">
        <f>IFERROR(IF(M645=1,TRUE,FALSE),FALSE)</f>
        <v>0</v>
      </c>
      <c r="HD645" s="1379" t="b">
        <f>IFERROR(IF(M646=1,TRUE,FALSE),FALSE)</f>
        <v>0</v>
      </c>
      <c r="HE645" s="1379" t="b">
        <f>IFERROR(IF(__Retrofit_TI_NC&lt;&gt;0,TRUE,IFERROR(IF(VLOOKUP(U645,Fixtures_Existing_List,2,FALSE)&lt;&gt;"",TRUE,FALSE),FALSE)),FALSE)</f>
        <v>0</v>
      </c>
      <c r="HF645" s="1379" t="b">
        <f>IFERROR(IF(VLOOKUP(U646,Fixtures_Proposed_List,2,FALSE)&lt;&gt;"",TRUE,FALSE),FALSE)</f>
        <v>0</v>
      </c>
      <c r="HG645" s="1379" t="b">
        <f>IF(AND(__Retrofit_TI_NC=2,EZ644=TRUE),FALSE,TRUE)</f>
        <v>1</v>
      </c>
      <c r="HH645" s="1379" t="b">
        <f>GG644</f>
        <v>1</v>
      </c>
      <c r="HI645" s="1384" t="b">
        <f>IF(ISERROR(MATCH(FB644,_Control_Match[],0))=TRUE,FALSE,TRUE)</f>
        <v>0</v>
      </c>
      <c r="HJ645" s="1384" t="b">
        <f>IFERROR(IF(EU644&lt;&gt;EV644,FALSE,TRUE),FALSE)</f>
        <v>0</v>
      </c>
      <c r="HK645" s="1384" t="b">
        <f>IFERROR(IF(EU646&lt;&gt;EV646,FALSE,TRUE),FALSE)</f>
        <v>0</v>
      </c>
      <c r="HL645" s="1379" t="b">
        <f>IFERROR(IF(CN644="Exterior",TRUE,IF(OR(AND(FJ644=0,EW646&gt;4),AND(FJ644=4,EW646&gt;4,EW646&lt;7)),FALSE,TRUE)),FALSE)</f>
        <v>0</v>
      </c>
      <c r="HM645" s="1379" t="b">
        <f>IFERROR(IF(AND(FL646=7,EZ644=TRUE),FALSE,TRUE),FALSE)</f>
        <v>0</v>
      </c>
      <c r="HN645" s="1379" t="b">
        <f>IFERROR(IF(AND(T646&lt;&gt;AE646,AF646="Interior LLLC")=TRUE,FALSE,TRUE),FALSE)</f>
        <v>1</v>
      </c>
      <c r="HO645" s="1379" t="b">
        <f>IFERROR(IF(OR(AF646=Lookup!AU$13,AF646=Lookup!AU$14)=TRUE,IF(AE646&gt;T646,FALSE,TRUE),TRUE),FALSE)</f>
        <v>1</v>
      </c>
      <c r="HP645" s="1379" t="b">
        <f>IFERROR(IF(__Retrofit_TI_NC=2,IF(EW646&lt;EW644,FALSE,TRUE),TRUE),FALSE)</f>
        <v>1</v>
      </c>
      <c r="HQ645" s="1379" t="b">
        <f>IF(CN644="Interior",IG$6,TRUE)</f>
        <v>1</v>
      </c>
      <c r="HR645" s="1379" t="b">
        <f>IF(CN644="Exterior",IG$8,TRUE)</f>
        <v>1</v>
      </c>
      <c r="HS645" s="1379" t="b">
        <f>IFERROR(IF(__Retrofit_TI_NC&lt;&gt;0,IF(AW644&lt;AV644,FALSE,TRUE),TRUE),FALSE)</f>
        <v>1</v>
      </c>
      <c r="HT645" s="1379" t="b">
        <f>IFERROR(IF(AND(G645="Exterior",R645&gt;4200),FALSE,TRUE),FALSE)</f>
        <v>1</v>
      </c>
      <c r="HU645" s="1379" t="b">
        <f>IFERROR(IF(AB647/AB644&lt;HU$18,FALSE,TRUE),FALSE)</f>
        <v>0</v>
      </c>
      <c r="HW645" s="1382"/>
      <c r="HX645" s="1378"/>
      <c r="HY645" s="1377" t="str">
        <f>VLOOKUP(HW647,_Error_Table,4,FALSE)</f>
        <v>White</v>
      </c>
      <c r="HZ645" s="436"/>
      <c r="IA645" s="1386"/>
      <c r="IB645" s="1380"/>
      <c r="IC645" s="1379"/>
      <c r="IF645" s="1380"/>
      <c r="IG645" s="1382"/>
      <c r="IH645" s="1382"/>
      <c r="II645" s="1382"/>
      <c r="IK645" s="1351"/>
      <c r="IL645" s="1351"/>
      <c r="IM645" s="1351"/>
      <c r="IN645" s="1351"/>
      <c r="IO645" s="1351"/>
      <c r="IP645" s="1351"/>
    </row>
    <row r="646" spans="1:250" s="82" customFormat="1" ht="14.95" customHeight="1" thickTop="1" thickBot="1">
      <c r="A646" s="82">
        <f>ROW()</f>
        <v>646</v>
      </c>
      <c r="B646" s="1421"/>
      <c r="C646" s="1422"/>
      <c r="D646" s="1423"/>
      <c r="E646" s="1393" t="s">
        <v>245</v>
      </c>
      <c r="F646" s="1394"/>
      <c r="G646" s="1398"/>
      <c r="H646" s="1399"/>
      <c r="I646" s="1399"/>
      <c r="J646" s="1399"/>
      <c r="K646" s="1399"/>
      <c r="L646" s="1400"/>
      <c r="M646" s="509">
        <f>IFERROR(IF(IF(__Retrofit_TI_NC&lt;&gt;0,IF(CN644="Interior",MATCH(G646,Lookup_Interior_New,0),MATCH(G646,Lookup_Exterior_New,0)),IF(CN644="Interior",MATCH(G646,Lookup_Interior,0),MATCH(G646,Lookup_Exterior_Areas,0)))&gt;0,1,0),0)</f>
        <v>0</v>
      </c>
      <c r="N646" s="509" t="e">
        <f>IF(__Retrofit_TI_NC=1,
VLOOKUP(G646,'Space Table'!$B$3:$L$160,4,FALSE),
IF(__Retrofit_TI_NC=2,VLOOKUP(G646,'Space Table'!$B$3:$L$160,5,FALSE),VLOOKUP(G646,'Space Table'!$B$3:$L$160,5,FALSE)))</f>
        <v>#N/A</v>
      </c>
      <c r="O646" s="509">
        <f>G646</f>
        <v>0</v>
      </c>
      <c r="P646" s="1394" t="s">
        <v>355</v>
      </c>
      <c r="Q646" s="1394"/>
      <c r="R646" s="674"/>
      <c r="S646" s="1401" t="s">
        <v>284</v>
      </c>
      <c r="T646" s="672"/>
      <c r="U646" s="1499"/>
      <c r="V646" s="1500"/>
      <c r="W646" s="1500"/>
      <c r="X646" s="1500"/>
      <c r="Y646" s="1500"/>
      <c r="Z646" s="1500"/>
      <c r="AA646" s="1500"/>
      <c r="AB646" s="1501"/>
      <c r="AC646" s="1501"/>
      <c r="AD646" s="1502"/>
      <c r="AE646" s="672"/>
      <c r="AF646" s="1474"/>
      <c r="AG646" s="1474"/>
      <c r="AH646" s="1474"/>
      <c r="AI646" s="1474"/>
      <c r="AJ646" s="1475">
        <f>DF646</f>
        <v>0</v>
      </c>
      <c r="AK646" s="1470" t="str">
        <f>IFERROR(ROUND(AJ646*AC647,0),"")</f>
        <v/>
      </c>
      <c r="AL646" s="1472">
        <f>IFERROR(IF(HW644=FALSE,0,AC647-AK646),0)</f>
        <v>0</v>
      </c>
      <c r="AM646" s="1441"/>
      <c r="AN646" s="1442"/>
      <c r="AO646" s="1447"/>
      <c r="AP646" s="1447"/>
      <c r="AQ646" s="1448"/>
      <c r="AR646" s="1452"/>
      <c r="AS646" s="1455"/>
      <c r="AT646" s="1458"/>
      <c r="AU646" s="516"/>
      <c r="AV646" s="1479"/>
      <c r="AW646" s="1479"/>
      <c r="BC646" s="38"/>
      <c r="BD646" s="38"/>
      <c r="BE646" s="38"/>
      <c r="BF646" s="38"/>
      <c r="BG646" s="38"/>
      <c r="BH646" s="38"/>
      <c r="BI646" s="38"/>
      <c r="BJ646" s="38"/>
      <c r="BK646" s="38"/>
      <c r="BL646" s="38"/>
      <c r="BM646" s="38"/>
      <c r="BN646" s="38"/>
      <c r="BO646" s="38"/>
      <c r="BP646" s="38"/>
      <c r="BQ646" s="38"/>
      <c r="BR646" s="38"/>
      <c r="BS646" s="38"/>
      <c r="BT646" s="38"/>
      <c r="BU646" s="38"/>
      <c r="BV646" s="38"/>
      <c r="BW646" s="38"/>
      <c r="BX646" s="38"/>
      <c r="BY646" s="38"/>
      <c r="BZ646" s="38"/>
      <c r="CA646" s="38"/>
      <c r="CB646" s="38"/>
      <c r="CC646" s="38"/>
      <c r="CD646" s="38"/>
      <c r="CE646" s="38"/>
      <c r="CF646" s="38"/>
      <c r="CG646" s="38"/>
      <c r="CH646" s="38"/>
      <c r="CI646" s="38"/>
      <c r="CM646" s="1352"/>
      <c r="CN646" s="1352"/>
      <c r="CO646" s="1415" t="str">
        <f>CN644</f>
        <v/>
      </c>
      <c r="CP646" s="1417" t="e">
        <f>CP644</f>
        <v>#N/A</v>
      </c>
      <c r="CR646" s="1386" t="s">
        <v>284</v>
      </c>
      <c r="CS646" s="1353">
        <f>IF(HW644=TRUE,T646,0)</f>
        <v>0</v>
      </c>
      <c r="CT646" s="1353" t="str">
        <f>IF(HW644=TRUE,U646,"")</f>
        <v/>
      </c>
      <c r="CU646" s="1373">
        <f>IF(HW644=TRUE,U647,0)</f>
        <v>0</v>
      </c>
      <c r="CV646" s="1370">
        <f>IF(HW644=TRUE,AB647,0)</f>
        <v>0</v>
      </c>
      <c r="CW646" s="1370">
        <f>IF(HW644=TRUE,AC647,0)</f>
        <v>0</v>
      </c>
      <c r="CX646" s="1371"/>
      <c r="CY646" s="1486"/>
      <c r="CZ646" s="1486"/>
      <c r="DA646" s="1486"/>
      <c r="DC646" s="1353">
        <f>IF(HW644=TRUE,AE646,0)</f>
        <v>0</v>
      </c>
      <c r="DD646" s="1353" t="str">
        <f>IF(HW644=TRUE,AF646,"")</f>
        <v/>
      </c>
      <c r="DE646" s="1373">
        <f>AF647</f>
        <v>0</v>
      </c>
      <c r="DF646" s="1406">
        <f>IFERROR(IF(FL646=3,IK646,IF(FL646=4,IL646,IF(FL646=5,IM646,IF(FL646=6,IN646,IF(FL646=7,IO646,IF(FL646=8,IP646,0)))))),0)</f>
        <v>0</v>
      </c>
      <c r="DG646" s="1370">
        <f>IF(HW644=TRUE,AK646,0)</f>
        <v>0</v>
      </c>
      <c r="DH646" s="1369"/>
      <c r="DK646" s="1483">
        <f>IFERROR(CW646-DG646,0)</f>
        <v>0</v>
      </c>
      <c r="DL646" s="1420"/>
      <c r="DN646" s="1403"/>
      <c r="DO646" s="1477" t="str">
        <f>DN644</f>
        <v/>
      </c>
      <c r="DP646" s="1354"/>
      <c r="DQ646" s="1477" t="str">
        <f>IF(DP644=7,"LLLC","")</f>
        <v/>
      </c>
      <c r="DR646" s="1403"/>
      <c r="DS646" s="1489"/>
      <c r="DU646" s="1403"/>
      <c r="DV646" s="1404" t="str">
        <f>DU644</f>
        <v/>
      </c>
      <c r="DW646" s="1403"/>
      <c r="DX646" s="1403"/>
      <c r="DZ646" s="1481"/>
      <c r="EA646" s="1481"/>
      <c r="EC646" s="1482"/>
      <c r="ED646" s="1369"/>
      <c r="EE646" s="1371"/>
      <c r="EF646" s="1369"/>
      <c r="EG646" s="1369"/>
      <c r="EH646" s="1374"/>
      <c r="EI646" s="1374"/>
      <c r="EJ646" s="1363"/>
      <c r="EK646" s="1376"/>
      <c r="EL646" s="1376"/>
      <c r="EM646" s="1362"/>
      <c r="EN646" s="1362"/>
      <c r="EO646" s="1363"/>
      <c r="EP646" s="1363"/>
      <c r="EQ646" s="1363"/>
      <c r="ES646" s="1403"/>
      <c r="EU646" s="1411" t="e">
        <f>VLOOKUP(CP646,'Space Table'!$B$3:$L$160,8,FALSE)</f>
        <v>#N/A</v>
      </c>
      <c r="EV646" s="1411" t="e">
        <f>IF(EY646="Yes",VLOOKUP(AF646,Lookup_Control_Type_Table2,4,FALSE),VLOOKUP(AF646,Lookup_Control_Type_Table2,3,FALSE))</f>
        <v>#N/A</v>
      </c>
      <c r="EW646" s="1411" t="e">
        <f>VLOOKUP(AF646,Lookup!AU$3:AV$15,2,FALSE)</f>
        <v>#N/A</v>
      </c>
      <c r="EX646" s="1411" t="e">
        <f>VLOOKUP(EU644,Lookup_Control_Type_Table,2,FALSE)</f>
        <v>#N/A</v>
      </c>
      <c r="EY646" s="1411" t="e">
        <f>VLOOKUP(CP646,'Space Table'!$B$3:$L$160,7,FALSE)</f>
        <v>#N/A</v>
      </c>
      <c r="EZ646" s="1413"/>
      <c r="FB646" s="1365" t="str">
        <f>CONCATENATE(CN644," - ",AF646)</f>
        <v xml:space="preserve"> - </v>
      </c>
      <c r="FD646" s="1354"/>
      <c r="FE646" s="1354"/>
      <c r="FF646" s="138"/>
      <c r="FI646" s="1356" t="str">
        <f>IF(CN644="Exterior","Not Daylighted",G647)</f>
        <v>Not Daylighted</v>
      </c>
      <c r="FJ646" s="1356">
        <f>VLOOKUP(FI646,_Daylight_Table_Codes,2,FALSE)</f>
        <v>0</v>
      </c>
      <c r="FK646" s="1365">
        <f>AF646</f>
        <v>0</v>
      </c>
      <c r="FL646" s="1365" t="e">
        <f>VLOOKUP(FK646,_Control_Table,2,FALSE)</f>
        <v>#N/A</v>
      </c>
      <c r="FM646" s="1365" t="e">
        <f>IF(AND(FP646&gt;0,FK646="Occupancy Sensor"),"Daylight + Occupancy",IF(AND(FP646&gt;0,FL646&lt;4),"Interior Daylight Dimming",FK646))</f>
        <v>#N/A</v>
      </c>
      <c r="FO646" s="1364">
        <f>IF(CN644="Interior",VLOOKUP(CP644,Control_Savings_Interior,5,FALSE),0)</f>
        <v>0</v>
      </c>
      <c r="FP646" s="1361">
        <f>IF(CN646="Exterior",0,IF(FJ646=2,0.5,IF(OR(FJ646=1,FJ646=3),1,0)))</f>
        <v>0</v>
      </c>
      <c r="FQ646" s="1366">
        <f>IF(R645&gt;FO$37,(FO646*(FO$37/R645)),FO646)*FP646</f>
        <v>0</v>
      </c>
      <c r="FR646" s="1364">
        <f>DF646</f>
        <v>0</v>
      </c>
      <c r="FS646" s="1364">
        <f>ROUND(FR646+((1-FR646)*FQ646),2)</f>
        <v>0</v>
      </c>
      <c r="FT646" s="1364">
        <f>IF(__Retrofit_TI_NC=2,FS646,FR646)</f>
        <v>0</v>
      </c>
      <c r="FU646" s="1360">
        <f>IF(CO646="Interior",VLOOKUP(CP646,Control_Savings_Interior,4,FALSE),0)</f>
        <v>0</v>
      </c>
      <c r="FW646" s="1352"/>
      <c r="FX646" s="1352"/>
      <c r="FY646" s="1352"/>
      <c r="FZ646" s="1352"/>
      <c r="GA646" s="1352"/>
      <c r="GB646" s="1352"/>
      <c r="GC646" s="1352"/>
      <c r="GD646" s="1352"/>
      <c r="GE646" s="759" t="b">
        <f>IF(ISNUMBER(SEARCH("TLED",U646)),TRUE,FALSE)</f>
        <v>0</v>
      </c>
      <c r="GF646" s="1035" t="str">
        <f>IFERROR(VLOOKUP(U646,Fixtures!DM$93:DR$142,6,FALSE),"")</f>
        <v/>
      </c>
      <c r="GG646" s="1385"/>
      <c r="GI646" s="1383"/>
      <c r="GJ646" s="1379"/>
      <c r="GL646" s="1379"/>
      <c r="GM646" s="1379"/>
      <c r="HC646" s="1379"/>
      <c r="HD646" s="1379"/>
      <c r="HE646" s="1379"/>
      <c r="HF646" s="1379"/>
      <c r="HG646" s="1379"/>
      <c r="HH646" s="1379"/>
      <c r="HI646" s="1383"/>
      <c r="HJ646" s="1383"/>
      <c r="HK646" s="1383"/>
      <c r="HL646" s="1379"/>
      <c r="HM646" s="1379"/>
      <c r="HN646" s="1379"/>
      <c r="HO646" s="1379"/>
      <c r="HP646" s="1379"/>
      <c r="HQ646" s="1379"/>
      <c r="HR646" s="1379"/>
      <c r="HS646" s="1379"/>
      <c r="HT646" s="1379"/>
      <c r="HU646" s="1379"/>
      <c r="HW646" s="1383"/>
      <c r="HX646" s="1384" t="b">
        <f>HW644</f>
        <v>0</v>
      </c>
      <c r="HY646" s="1378"/>
      <c r="HZ646" s="436"/>
      <c r="IA646" s="1386"/>
      <c r="IB646" s="1380">
        <f>IF(IA644=TRUE,AC647,0)</f>
        <v>0</v>
      </c>
      <c r="IC646" s="1379"/>
      <c r="IF646" s="1380" t="e">
        <f>ROUND(T646*AB647*N645*R645/1000,0)</f>
        <v>#VALUE!</v>
      </c>
      <c r="IG646" s="1382"/>
      <c r="IH646" s="1384" t="e">
        <f>ROUND(T646*AB647*N645*R645/1000,0)</f>
        <v>#VALUE!</v>
      </c>
      <c r="II646" s="1382"/>
      <c r="IK646" s="1351" t="e">
        <f>IF($CO646="interior",IL646/2,VLOOKUP($CP646,Control_Savings_Exterior,IK$30,FALSE))</f>
        <v>#N/A</v>
      </c>
      <c r="IL646" s="1351" t="e">
        <f>IF($CO646="interior",VLOOKUP($CP646,Control_Savings_Interior,IL$30,FALSE),VLOOKUP($CP646,Control_Savings_Exterior,IL$30,FALSE))</f>
        <v>#N/A</v>
      </c>
      <c r="IM646" s="1351" t="e">
        <f>IF($CO646="interior",IF(R645&gt;FO$37,(IM$28*(FO$37/R645)),IM$28)*FP646,VLOOKUP($CP646,Control_Savings_Exterior,IM$30,FALSE))</f>
        <v>#N/A</v>
      </c>
      <c r="IN646" s="1351" t="e">
        <f>IF($CO646="interior",ROUND(((1-IL646)*IM646)+IL646,2),VLOOKUP($CP646,Control_Savings_Exterior,IN$30,FALSE))</f>
        <v>#N/A</v>
      </c>
      <c r="IO646" s="1351" t="e">
        <f>IF($CO646="interior", ROUND(((1-IL646)*(IM646*(1-IP$28)))+IP646,2), VLOOKUP($CP646,Control_Savings_Exterior,IO$30,FALSE))</f>
        <v>#N/A</v>
      </c>
      <c r="IP646" s="1351">
        <f>IF($CO646="interior",ROUND(((1-IL646)*IP$28)+IL646,2),0)</f>
        <v>0</v>
      </c>
    </row>
    <row r="647" spans="1:250" s="82" customFormat="1" ht="14.95" customHeight="1" thickTop="1" thickBot="1">
      <c r="B647" s="1421"/>
      <c r="C647" s="1422"/>
      <c r="D647" s="1423"/>
      <c r="E647" s="1462" t="s">
        <v>357</v>
      </c>
      <c r="F647" s="1463"/>
      <c r="G647" s="1464" t="s">
        <v>362</v>
      </c>
      <c r="H647" s="1465"/>
      <c r="I647" s="1465"/>
      <c r="J647" s="1465"/>
      <c r="K647" s="1465"/>
      <c r="L647" s="1466"/>
      <c r="M647" s="669">
        <f>IFERROR(VLOOKUP(G647,_Daylight_Table[],2,FALSE),0)</f>
        <v>0</v>
      </c>
      <c r="N647" s="670"/>
      <c r="O647" s="669" t="e">
        <f>VLOOKUP(G646,'Space Table'!$B$3:$L$160,11,FALSE)</f>
        <v>#N/A</v>
      </c>
      <c r="P647" s="1408"/>
      <c r="Q647" s="1409"/>
      <c r="R647" s="1409"/>
      <c r="S647" s="1402"/>
      <c r="T647" s="671" t="s">
        <v>281</v>
      </c>
      <c r="U647" s="1467" t="str">
        <f>IFERROR(VLOOKUP(U646,Fixtures!DM$93:DP$142,4,FALSE),"")</f>
        <v/>
      </c>
      <c r="V647" s="1468"/>
      <c r="W647" s="1468"/>
      <c r="X647" s="1468"/>
      <c r="Y647" s="1468"/>
      <c r="Z647" s="1468"/>
      <c r="AA647" s="1468"/>
      <c r="AB647" s="1046" t="str">
        <f>IFERROR(VLOOKUP(U646,Fixtures_Proposed_List,2,FALSE),"")</f>
        <v/>
      </c>
      <c r="AC647" s="1036" t="str">
        <f>IFERROR(ROUND(T646*AB647*N645*R645/1000,0),"")</f>
        <v/>
      </c>
      <c r="AD647" s="1037" t="str">
        <f>IFERROR(ROUND(T646*AB647/1000,2),"")</f>
        <v/>
      </c>
      <c r="AE647" s="1045" t="s">
        <v>281</v>
      </c>
      <c r="AF647" s="1469"/>
      <c r="AG647" s="1469"/>
      <c r="AH647" s="1469"/>
      <c r="AI647" s="1469"/>
      <c r="AJ647" s="1476"/>
      <c r="AK647" s="1471"/>
      <c r="AL647" s="1473"/>
      <c r="AM647" s="1443"/>
      <c r="AN647" s="1444"/>
      <c r="AO647" s="1449"/>
      <c r="AP647" s="1449"/>
      <c r="AQ647" s="1450"/>
      <c r="AR647" s="1453"/>
      <c r="AS647" s="1456"/>
      <c r="AT647" s="1459"/>
      <c r="AU647" s="517"/>
      <c r="AV647" s="1480"/>
      <c r="AW647" s="1480"/>
      <c r="BC647" s="38"/>
      <c r="BD647" s="38"/>
      <c r="BE647" s="38"/>
      <c r="BF647" s="38"/>
      <c r="BG647" s="38"/>
      <c r="BH647" s="38"/>
      <c r="BI647" s="38"/>
      <c r="BJ647" s="38"/>
      <c r="BK647" s="38"/>
      <c r="BL647" s="38"/>
      <c r="BM647" s="38"/>
      <c r="BN647" s="38"/>
      <c r="BO647" s="38"/>
      <c r="BP647" s="38"/>
      <c r="BQ647" s="38"/>
      <c r="BR647" s="38"/>
      <c r="BS647" s="38"/>
      <c r="BT647" s="38"/>
      <c r="BU647" s="38"/>
      <c r="BV647" s="38"/>
      <c r="BW647" s="38"/>
      <c r="BX647" s="38"/>
      <c r="BY647" s="38"/>
      <c r="BZ647" s="38"/>
      <c r="CA647" s="38"/>
      <c r="CB647" s="38"/>
      <c r="CC647" s="38"/>
      <c r="CD647" s="38"/>
      <c r="CE647" s="38"/>
      <c r="CF647" s="38"/>
      <c r="CG647" s="38"/>
      <c r="CH647" s="38"/>
      <c r="CI647" s="38"/>
      <c r="CM647" s="1352"/>
      <c r="CN647" s="1352"/>
      <c r="CO647" s="1416"/>
      <c r="CP647" s="1418"/>
      <c r="CR647" s="1386"/>
      <c r="CS647" s="1355"/>
      <c r="CT647" s="1355"/>
      <c r="CU647" s="1375"/>
      <c r="CV647" s="1372"/>
      <c r="CW647" s="1372"/>
      <c r="CX647" s="1372"/>
      <c r="CY647" s="1487"/>
      <c r="CZ647" s="1487"/>
      <c r="DA647" s="1487"/>
      <c r="DC647" s="1355"/>
      <c r="DD647" s="1355"/>
      <c r="DE647" s="1375"/>
      <c r="DF647" s="1407"/>
      <c r="DG647" s="1372"/>
      <c r="DH647" s="1369"/>
      <c r="DK647" s="1484"/>
      <c r="DL647" s="1420"/>
      <c r="DN647" s="1403"/>
      <c r="DO647" s="1405"/>
      <c r="DP647" s="1355"/>
      <c r="DQ647" s="1405"/>
      <c r="DR647" s="1403"/>
      <c r="DS647" s="1489"/>
      <c r="DU647" s="1403"/>
      <c r="DV647" s="1405"/>
      <c r="DW647" s="1403"/>
      <c r="DX647" s="1403"/>
      <c r="DZ647" s="1481"/>
      <c r="EA647" s="1481"/>
      <c r="EC647" s="1482"/>
      <c r="ED647" s="1369"/>
      <c r="EE647" s="1372"/>
      <c r="EF647" s="1369"/>
      <c r="EG647" s="1369"/>
      <c r="EH647" s="1375"/>
      <c r="EI647" s="1375"/>
      <c r="EJ647" s="1363"/>
      <c r="EK647" s="1376"/>
      <c r="EL647" s="1376"/>
      <c r="EM647" s="1362"/>
      <c r="EN647" s="1362"/>
      <c r="EO647" s="1363"/>
      <c r="EP647" s="1363"/>
      <c r="EQ647" s="1363"/>
      <c r="ES647" s="1403"/>
      <c r="EU647" s="1488"/>
      <c r="EV647" s="1488"/>
      <c r="EW647" s="1488"/>
      <c r="EX647" s="1488"/>
      <c r="EY647" s="1488"/>
      <c r="EZ647" s="1414"/>
      <c r="FB647" s="1365"/>
      <c r="FD647" s="1355"/>
      <c r="FE647" s="1355"/>
      <c r="FF647" s="138"/>
      <c r="FI647" s="1357"/>
      <c r="FJ647" s="1357"/>
      <c r="FK647" s="1365"/>
      <c r="FL647" s="1365"/>
      <c r="FM647" s="1365"/>
      <c r="FO647" s="1361"/>
      <c r="FP647" s="1361"/>
      <c r="FQ647" s="1366"/>
      <c r="FR647" s="1361"/>
      <c r="FS647" s="1361"/>
      <c r="FT647" s="1361"/>
      <c r="FU647" s="1360"/>
      <c r="FW647" s="1352"/>
      <c r="FX647" s="1352"/>
      <c r="FY647" s="1352"/>
      <c r="FZ647" s="1352"/>
      <c r="GA647" s="1352"/>
      <c r="GB647" s="1352"/>
      <c r="GC647" s="1352"/>
      <c r="GD647" s="1352"/>
      <c r="GE647" s="759"/>
      <c r="GF647" s="1035"/>
      <c r="GG647" s="1385"/>
      <c r="GJ647" s="1034">
        <f>IF(GJ645=TRUE,0,GJ$16)</f>
        <v>0</v>
      </c>
      <c r="GL647" s="1034">
        <f>IF(GL645=TRUE,0,GL$16)</f>
        <v>36</v>
      </c>
      <c r="GM647" s="1034">
        <f>IF(GM645=TRUE,0,GM$16)</f>
        <v>35</v>
      </c>
      <c r="GN647" s="436"/>
      <c r="GO647" s="436"/>
      <c r="GP647" s="436"/>
      <c r="GQ647" s="436"/>
      <c r="GR647" s="436"/>
      <c r="HC647" s="1034">
        <f t="shared" ref="HC647:HH647" si="478">IF(HC645=TRUE,0,HC$16)</f>
        <v>19</v>
      </c>
      <c r="HD647" s="1034">
        <f t="shared" si="478"/>
        <v>18</v>
      </c>
      <c r="HE647" s="1034">
        <f t="shared" si="478"/>
        <v>17</v>
      </c>
      <c r="HF647" s="1034">
        <f t="shared" si="478"/>
        <v>16</v>
      </c>
      <c r="HG647" s="1034">
        <f t="shared" si="478"/>
        <v>0</v>
      </c>
      <c r="HH647" s="1034">
        <f t="shared" si="478"/>
        <v>0</v>
      </c>
      <c r="HI647" s="1034">
        <f>IF(HI645=TRUE,0,HI$16)</f>
        <v>13</v>
      </c>
      <c r="HJ647" s="1034">
        <f t="shared" ref="HJ647:HL647" si="479">IF(HJ645=TRUE,0,HJ$16)</f>
        <v>12</v>
      </c>
      <c r="HK647" s="1034">
        <f t="shared" si="479"/>
        <v>11</v>
      </c>
      <c r="HL647" s="1034">
        <f t="shared" si="479"/>
        <v>10</v>
      </c>
      <c r="HM647" s="1034">
        <f>IF(HM645=TRUE,0,HM$16)</f>
        <v>9</v>
      </c>
      <c r="HN647" s="1034">
        <f t="shared" ref="HN647:HR647" si="480">IF(HN645=TRUE,0,HN$16)</f>
        <v>0</v>
      </c>
      <c r="HO647" s="1034">
        <f t="shared" si="480"/>
        <v>0</v>
      </c>
      <c r="HP647" s="1034">
        <f t="shared" si="480"/>
        <v>0</v>
      </c>
      <c r="HQ647" s="1034">
        <f t="shared" si="480"/>
        <v>0</v>
      </c>
      <c r="HR647" s="1034">
        <f t="shared" si="480"/>
        <v>0</v>
      </c>
      <c r="HS647" s="1034">
        <f>IF(HS645=TRUE,0,HS$16)</f>
        <v>0</v>
      </c>
      <c r="HT647" s="1034">
        <f t="shared" ref="HT647" si="481">IF(HT645=TRUE,0,HT$16)</f>
        <v>0</v>
      </c>
      <c r="HU647" s="1034">
        <f>IF(HU645=TRUE,0,HU$16)</f>
        <v>1</v>
      </c>
      <c r="HW647" s="1034">
        <f>IF(GL645=FALSE,GL647,IF(GM645=FALSE,GM647,MAX(GJ647:HU647)))</f>
        <v>36</v>
      </c>
      <c r="HX647" s="1383"/>
      <c r="HY647" s="241" t="str">
        <f>VLOOKUP(HW647,_Error_Table,3,FALSE)</f>
        <v xml:space="preserve"> </v>
      </c>
      <c r="HZ647" s="241"/>
      <c r="IA647" s="1386"/>
      <c r="IB647" s="1380"/>
      <c r="IC647" s="1379"/>
      <c r="IF647" s="1380"/>
      <c r="IG647" s="1383"/>
      <c r="IH647" s="1383"/>
      <c r="II647" s="1383"/>
      <c r="IK647" s="1351"/>
      <c r="IL647" s="1351"/>
      <c r="IM647" s="1351"/>
      <c r="IN647" s="1351"/>
      <c r="IO647" s="1351"/>
      <c r="IP647" s="1351"/>
    </row>
    <row r="648" spans="1:250" s="82" customFormat="1" ht="5.0999999999999996" customHeight="1" thickBot="1">
      <c r="B648" s="763"/>
      <c r="C648" s="1038"/>
      <c r="D648" s="1038"/>
      <c r="E648" s="1490"/>
      <c r="F648" s="1490"/>
      <c r="G648" s="1490"/>
      <c r="H648" s="1490"/>
      <c r="I648" s="1490"/>
      <c r="J648" s="1490"/>
      <c r="K648" s="1490"/>
      <c r="L648" s="1490"/>
      <c r="M648" s="1490"/>
      <c r="N648" s="1490"/>
      <c r="O648" s="1490"/>
      <c r="P648" s="1490"/>
      <c r="Q648" s="1490"/>
      <c r="R648" s="1490"/>
      <c r="S648" s="1490"/>
      <c r="T648" s="1490"/>
      <c r="U648" s="1490"/>
      <c r="V648" s="1490"/>
      <c r="W648" s="1490"/>
      <c r="X648" s="1490"/>
      <c r="Y648" s="1490"/>
      <c r="Z648" s="1490"/>
      <c r="AA648" s="1490"/>
      <c r="AB648" s="1490"/>
      <c r="AC648" s="1490"/>
      <c r="AD648" s="1490"/>
      <c r="AE648" s="1490"/>
      <c r="AF648" s="1490"/>
      <c r="AG648" s="1490"/>
      <c r="AH648" s="1490"/>
      <c r="AI648" s="1490"/>
      <c r="AJ648" s="1490"/>
      <c r="AK648" s="1490"/>
      <c r="AL648" s="1490"/>
      <c r="AM648" s="1490"/>
      <c r="AN648" s="1490"/>
      <c r="AO648" s="1490"/>
      <c r="AP648" s="1490"/>
      <c r="AQ648" s="1490"/>
      <c r="AR648" s="1490"/>
      <c r="AS648" s="1490"/>
      <c r="AT648" s="1490"/>
      <c r="AU648" s="1041"/>
      <c r="BC648" s="38"/>
      <c r="BD648" s="38"/>
      <c r="BE648" s="38"/>
      <c r="BF648" s="38"/>
      <c r="BG648" s="38"/>
      <c r="BH648" s="38"/>
      <c r="BI648" s="38"/>
      <c r="BJ648" s="38"/>
      <c r="BK648" s="38"/>
      <c r="BL648" s="38"/>
      <c r="BM648" s="38"/>
      <c r="BN648" s="38"/>
      <c r="BO648" s="38"/>
      <c r="BP648" s="38"/>
      <c r="BQ648" s="38"/>
      <c r="BR648" s="38"/>
      <c r="BS648" s="38"/>
      <c r="BT648" s="38"/>
      <c r="BU648" s="38"/>
      <c r="BV648" s="38"/>
      <c r="BW648" s="38"/>
      <c r="BX648" s="38"/>
      <c r="BY648" s="38"/>
      <c r="BZ648" s="38"/>
      <c r="CA648" s="38"/>
      <c r="CB648" s="38"/>
      <c r="CC648" s="38"/>
      <c r="CD648" s="38"/>
      <c r="CE648" s="38"/>
      <c r="CF648" s="38"/>
      <c r="CG648" s="38"/>
      <c r="CH648" s="38"/>
      <c r="CI648" s="38"/>
      <c r="CM648" s="749"/>
      <c r="CN648" s="749"/>
      <c r="CO648" s="1043"/>
      <c r="CP648" s="749"/>
      <c r="CS648" s="436"/>
      <c r="CT648" s="436"/>
      <c r="CU648" s="243"/>
      <c r="CV648" s="244"/>
      <c r="CW648" s="244"/>
      <c r="CX648" s="244"/>
      <c r="CY648" s="245"/>
      <c r="CZ648" s="245"/>
      <c r="DA648" s="245"/>
      <c r="DC648" s="750"/>
      <c r="DD648" s="751"/>
      <c r="DE648" s="752"/>
      <c r="DF648" s="753"/>
      <c r="DG648" s="754"/>
      <c r="DH648" s="754"/>
      <c r="DK648" s="244"/>
      <c r="DL648" s="750"/>
      <c r="DN648" s="750"/>
      <c r="DO648" s="755"/>
      <c r="DP648" s="436"/>
      <c r="DQ648" s="750"/>
      <c r="DR648" s="750"/>
      <c r="DS648" s="750"/>
      <c r="DU648" s="750"/>
      <c r="DV648" s="750"/>
      <c r="DW648" s="750"/>
      <c r="DX648" s="750"/>
      <c r="DZ648" s="756"/>
      <c r="EA648" s="756"/>
      <c r="EC648" s="754"/>
      <c r="ED648" s="754"/>
      <c r="EE648" s="244"/>
      <c r="EF648" s="754"/>
      <c r="EG648" s="754"/>
      <c r="EH648" s="243"/>
      <c r="EI648" s="243"/>
      <c r="EJ648" s="752"/>
      <c r="EK648" s="757"/>
      <c r="EL648" s="757"/>
      <c r="EM648" s="758"/>
      <c r="EN648" s="758"/>
      <c r="EO648" s="752"/>
      <c r="EP648" s="752"/>
      <c r="EQ648" s="752"/>
      <c r="ES648" s="750"/>
      <c r="EU648" s="436"/>
      <c r="EV648" s="436"/>
      <c r="EW648" s="436"/>
      <c r="EX648" s="436"/>
      <c r="EY648" s="436"/>
      <c r="EZ648" s="436"/>
      <c r="FB648" s="643"/>
      <c r="FD648" s="436"/>
      <c r="FE648" s="436"/>
      <c r="FF648" s="436"/>
      <c r="FO648" s="750"/>
      <c r="FP648" s="436"/>
      <c r="FQ648" s="436"/>
      <c r="FR648" s="750"/>
      <c r="FS648" s="750"/>
      <c r="FW648" s="749"/>
      <c r="FX648" s="749"/>
      <c r="FY648" s="749"/>
      <c r="FZ648" s="749"/>
      <c r="GA648" s="749"/>
      <c r="GB648" s="749"/>
      <c r="GC648" s="749"/>
      <c r="GD648" s="749"/>
      <c r="GE648" s="751"/>
      <c r="GF648" s="750"/>
      <c r="GG648" s="750"/>
    </row>
    <row r="649" spans="1:250" s="82" customFormat="1" ht="14.95" customHeight="1" thickTop="1" thickBot="1">
      <c r="B649" s="1421" t="str">
        <f>HY652</f>
        <v xml:space="preserve"> </v>
      </c>
      <c r="C649" s="1422">
        <f>C644+1</f>
        <v>118</v>
      </c>
      <c r="D649" s="1423"/>
      <c r="E649" s="1424" t="s">
        <v>242</v>
      </c>
      <c r="F649" s="1425"/>
      <c r="G649" s="1426"/>
      <c r="H649" s="1427"/>
      <c r="I649" s="1427"/>
      <c r="J649" s="1427"/>
      <c r="K649" s="1427"/>
      <c r="L649" s="1427"/>
      <c r="M649" s="1427"/>
      <c r="N649" s="1427"/>
      <c r="O649" s="1427"/>
      <c r="P649" s="1427"/>
      <c r="Q649" s="1427"/>
      <c r="R649" s="1427"/>
      <c r="S649" s="1428" t="s">
        <v>283</v>
      </c>
      <c r="T649" s="668" t="s">
        <v>190</v>
      </c>
      <c r="U649" s="1430" t="s">
        <v>186</v>
      </c>
      <c r="V649" s="1431"/>
      <c r="W649" s="1431"/>
      <c r="X649" s="1431"/>
      <c r="Y649" s="1431"/>
      <c r="Z649" s="1431"/>
      <c r="AA649" s="1431"/>
      <c r="AB649" s="1047" t="str">
        <f>IFERROR(IF(__Retrofit_TI_NC=0,VLOOKUP(U650,Fixtures_Existing_List,2,FALSE),ROUND(N651*R651/T651,10)),"")</f>
        <v/>
      </c>
      <c r="AC649" s="1039" t="str">
        <f>IFERROR(IF(__Retrofit_TI_NC=0,ROUND(T650*AB649*N650*R650/1000,0),IF(CN649="Interior",N651*R651*R650*N650*_C406_reduction/1000,N651*R651*R650*N650/1000)),"")</f>
        <v/>
      </c>
      <c r="AD649" s="1040" t="str">
        <f>IFERROR(IF(C$36=0,ROUND(T650*AB649/1000,2),N651*R651/1000),"")</f>
        <v/>
      </c>
      <c r="AE649" s="1044" t="s">
        <v>190</v>
      </c>
      <c r="AF649" s="1432" t="str">
        <f>IF(__Retrofit_TI_NC=2,CONCATENATE("Code min = ",DD649),IF(__Retrofit_TI_NC=1,"Emter what you think the existing control was"," Control"))</f>
        <v xml:space="preserve"> Control</v>
      </c>
      <c r="AG649" s="1432"/>
      <c r="AH649" s="1432"/>
      <c r="AI649" s="1432"/>
      <c r="AJ649" s="1433">
        <f>DF649</f>
        <v>0</v>
      </c>
      <c r="AK649" s="1435" t="str">
        <f>IFERROR(ROUND(AJ649*AC649,0),"")</f>
        <v/>
      </c>
      <c r="AL649" s="1437">
        <f>IFERROR(IF(HW649=FALSE,0,AC649-AK649),0)</f>
        <v>0</v>
      </c>
      <c r="AM649" s="1439">
        <f>AL649-AL651</f>
        <v>0</v>
      </c>
      <c r="AN649" s="1440"/>
      <c r="AO649" s="1445">
        <f>IFERROR(IF(HW649=FALSE,0,(T651*U652)+(AE651*AF652)),0)</f>
        <v>0</v>
      </c>
      <c r="AP649" s="1445"/>
      <c r="AQ649" s="1446"/>
      <c r="AR649" s="1451" t="s">
        <v>157</v>
      </c>
      <c r="AS649" s="1454">
        <f>IF(AR649="Yes",1,0)</f>
        <v>1</v>
      </c>
      <c r="AT649" s="1457" t="str">
        <f>IF(OR(DN649=4,DN649=5,DN649=6,DN649=12),CONCATENATE("$",IF(GD649=TRUE,Lookup!$B$11,Lookup!$B$2)," /lamp"),CONCATENATE(EA649,"/ kWh"))</f>
        <v>0/ kWh</v>
      </c>
      <c r="AU649" s="516"/>
      <c r="AV649" s="1478">
        <f>IFERROR(IF(GI650=TRUE,(AB652*T651)/R651,0),"NA")</f>
        <v>0</v>
      </c>
      <c r="AW649" s="1478" t="str">
        <f>IFERROR(N651*_C406_reduction,"NA")</f>
        <v>NA</v>
      </c>
      <c r="BC649" s="38"/>
      <c r="BD649" s="38"/>
      <c r="BE649" s="38"/>
      <c r="BF649" s="38"/>
      <c r="BG649" s="38"/>
      <c r="BH649" s="38"/>
      <c r="BI649" s="38"/>
      <c r="BJ649" s="38"/>
      <c r="BK649" s="38"/>
      <c r="BL649" s="38"/>
      <c r="BM649" s="38"/>
      <c r="BN649" s="38"/>
      <c r="BO649" s="38"/>
      <c r="BP649" s="38"/>
      <c r="BQ649" s="38"/>
      <c r="BR649" s="38"/>
      <c r="BS649" s="38"/>
      <c r="BT649" s="38"/>
      <c r="BU649" s="38"/>
      <c r="BV649" s="38"/>
      <c r="BW649" s="38"/>
      <c r="BX649" s="38"/>
      <c r="BY649" s="38"/>
      <c r="BZ649" s="38"/>
      <c r="CA649" s="38"/>
      <c r="CB649" s="38"/>
      <c r="CC649" s="38"/>
      <c r="CD649" s="38"/>
      <c r="CE649" s="38"/>
      <c r="CF649" s="38"/>
      <c r="CG649" s="38"/>
      <c r="CH649" s="38"/>
      <c r="CI649" s="38"/>
      <c r="CM649" s="1352" t="str">
        <f>N650</f>
        <v/>
      </c>
      <c r="CN649" s="1352" t="str">
        <f>IFERROR(VLOOKUP(G650,_Lookup_Heat_Type_Table_New,3,FALSE),"")</f>
        <v/>
      </c>
      <c r="CO649" s="1415" t="str">
        <f>CN649</f>
        <v/>
      </c>
      <c r="CP649" s="1417" t="e">
        <f>VLOOKUP(G651,'Space Table'!$B$3:$L$160,9,FALSE)</f>
        <v>#N/A</v>
      </c>
      <c r="CR649" s="1386" t="s">
        <v>283</v>
      </c>
      <c r="CS649" s="1353">
        <f>IF(HW649=TRUE,T650,0)</f>
        <v>0</v>
      </c>
      <c r="CT649" s="1353" t="str">
        <f>IF(HW649=TRUE,U650,"")</f>
        <v/>
      </c>
      <c r="CU649" s="1353"/>
      <c r="CV649" s="1370">
        <f>IF(HW649=TRUE,AB649,0)</f>
        <v>0</v>
      </c>
      <c r="CW649" s="1370">
        <f>IF(HW649=TRUE,AC649,0)</f>
        <v>0</v>
      </c>
      <c r="CX649" s="1370">
        <f>IFERROR(IF(HW649=TRUE,CW649-CW651,0),0)</f>
        <v>0</v>
      </c>
      <c r="CY649" s="1485">
        <f>IF(HW649=TRUE,AD649,0)</f>
        <v>0</v>
      </c>
      <c r="CZ649" s="1485">
        <f>IF(HW649=TRUE,AD652,0)</f>
        <v>0</v>
      </c>
      <c r="DA649" s="1485">
        <f>IFERROR(CY649-CZ649,0)</f>
        <v>0</v>
      </c>
      <c r="DC649" s="1353">
        <f>IF(HW649=TRUE,AE650,0)</f>
        <v>0</v>
      </c>
      <c r="DD649" s="1460">
        <f>IF(__Retrofit_TI_NC=2,IF(CN649="Exterior",O652,FM649),FK649)</f>
        <v>0</v>
      </c>
      <c r="DE649" s="1353"/>
      <c r="DF649" s="1406">
        <f>IFERROR(IF(FL649=3,IK649,IF(FL649=4,IL649,IF(FL649=5,IM649,IF(FL649=6,IN649,IF(FL649=7,IO649,IF(FL649=8,IP649,0)))))),0)</f>
        <v>0</v>
      </c>
      <c r="DG649" s="1370">
        <f>IF(HW649=TRUE,AK649,0)</f>
        <v>0</v>
      </c>
      <c r="DH649" s="1369">
        <f>IFERROR(IF(HW649=TRUE,DG651-DG649,0),0)</f>
        <v>0</v>
      </c>
      <c r="DJ649" s="1483">
        <f>IFERROR(CW649-DG649,0)</f>
        <v>0</v>
      </c>
      <c r="DL649" s="1419">
        <f>DJ649-DK651</f>
        <v>0</v>
      </c>
      <c r="DN649" s="1403" t="str">
        <f>IFERROR(IF(AND(OR(FY649=4,FY649=5,FY649=6),OR(GB649=4,GB649=5,GB649=6)),FY649+8,VLOOKUP(CT651,Fixtures!R$31:Y$78,8,FALSE)),"")</f>
        <v/>
      </c>
      <c r="DO649" s="1404" t="str">
        <f>DN649</f>
        <v/>
      </c>
      <c r="DP649" s="1353" t="str">
        <f>IFERROR(VLOOKUP(DD651,Lookup!AU$3:AV$15,2,FALSE),"")</f>
        <v/>
      </c>
      <c r="DQ649" s="1404" t="str">
        <f>IF(DP649=7,"LLLC","")</f>
        <v/>
      </c>
      <c r="DR649" s="1403">
        <f>IFERROR(IF(OR(DN649=4,DN649=5,DN649=6,DN649=12,DN649=13,DN649=14),VLOOKUP(CT651,Fixtures!DN$27:EG$77,19,FALSE),1)*CS651,0)</f>
        <v>0</v>
      </c>
      <c r="DS649" s="1489">
        <f>IF(DP649=7,IF(DD649=DD651,0,DC651),0)</f>
        <v>0</v>
      </c>
      <c r="DU649" s="1403" t="str">
        <f>IFERROR(IF(EW649&lt;EW651,"Yes","No"),"")</f>
        <v/>
      </c>
      <c r="DV649" s="1404" t="str">
        <f>DU649</f>
        <v/>
      </c>
      <c r="DW649" s="1403">
        <f>IF(DU649="Yes",DC651,0)</f>
        <v>0</v>
      </c>
      <c r="DX649" s="1403">
        <f>DW649-DS649</f>
        <v>0</v>
      </c>
      <c r="DZ649" s="1481">
        <f>IFERROR(VLOOKUP(DN649,Lookup!AN$3:AO$16,2,FALSE),0)</f>
        <v>0</v>
      </c>
      <c r="EA649" s="1481">
        <f>IF(HW649=FALSE,0,IF(DU649="Yes",DZ649+Lookup!B$6,DZ649))</f>
        <v>0</v>
      </c>
      <c r="EC649" s="1482">
        <f>IF(HW649=TRUE,DJ649,0)</f>
        <v>0</v>
      </c>
      <c r="ED649" s="1369">
        <f>IF(HW649=TRUE,CW651,0)</f>
        <v>0</v>
      </c>
      <c r="EE649" s="1370">
        <f>IFERROR(EC649-ED649,0)</f>
        <v>0</v>
      </c>
      <c r="EF649" s="1369">
        <f>IF(HW649=TRUE,DG651,0)</f>
        <v>0</v>
      </c>
      <c r="EG649" s="1369">
        <f>IFERROR(EC649-ED649+EF649,0)</f>
        <v>0</v>
      </c>
      <c r="EH649" s="1373">
        <f>IF(HW649=TRUE,CS651*CU651,0)</f>
        <v>0</v>
      </c>
      <c r="EI649" s="1373">
        <f>IF(HW649=TRUE,DC651*DE651,0)</f>
        <v>0</v>
      </c>
      <c r="EJ649" s="1363">
        <f>AO649</f>
        <v>0</v>
      </c>
      <c r="EK649" s="1376" t="str">
        <f>IFERROR(IF(HW649=TRUE,VLOOKUP(DN649,Lookup!AN$3:AP$16,3,FALSE)*DR649,""),0)</f>
        <v/>
      </c>
      <c r="EL649" s="1376">
        <f>IF(HW649=TRUE,DW649*Lookup!AP$12,0)</f>
        <v>0</v>
      </c>
      <c r="EM649" s="1362">
        <f>IFERROR(IF(HW649=TRUE,EK649/EM$33,0),0)</f>
        <v>0</v>
      </c>
      <c r="EN649" s="1362">
        <f>IF(HW649=TRUE,EL649/EN$33,0)</f>
        <v>0</v>
      </c>
      <c r="EO649" s="1363">
        <f>IF(HW649=TRUE,EQ$33*EM649,0)</f>
        <v>0</v>
      </c>
      <c r="EP649" s="1363">
        <f>IF(HW649=TRUE,EQ$33*EN649,0)</f>
        <v>0</v>
      </c>
      <c r="EQ649" s="1363">
        <f>EO649+EP649</f>
        <v>0</v>
      </c>
      <c r="ES649" s="1403">
        <f>IF(G649="",0,1)</f>
        <v>0</v>
      </c>
      <c r="EU649" s="1410" t="e">
        <f>VLOOKUP(CP651,'Space Table'!$B$3:$L$160,8,FALSE)</f>
        <v>#N/A</v>
      </c>
      <c r="EV649" s="1410" t="e">
        <f>IF(EY649="Yes",VLOOKUP(DD649,Lookup_Control_Type_Table2,4,FALSE),VLOOKUP(DD649,Lookup_Control_Type_Table2,3,FALSE))</f>
        <v>#N/A</v>
      </c>
      <c r="EW649" s="1410" t="e">
        <f>VLOOKUP(DD649,Lookup!AU$3:AV$15,2,FALSE)</f>
        <v>#N/A</v>
      </c>
      <c r="EX649" s="1410" t="e">
        <f>VLOOKUP(EU649,Lookup_Control_Type_Table,2,FALSE)</f>
        <v>#N/A</v>
      </c>
      <c r="EY649" s="1410" t="e">
        <f>VLOOKUP(CP651,'Space Table'!$B$3:$L$160,7,FALSE)</f>
        <v>#N/A</v>
      </c>
      <c r="EZ649" s="1412" t="b">
        <f>ISNUMBER(SEARCH("TLED",U651))</f>
        <v>0</v>
      </c>
      <c r="FB649" s="1365" t="str">
        <f>CONCATENATE(CN649," - ",DD649)</f>
        <v xml:space="preserve"> - 0</v>
      </c>
      <c r="FD649" s="1353" t="str">
        <f>VLOOKUP(CT651,Fixtures!DN$27:EZ$77,38,FALSE)</f>
        <v/>
      </c>
      <c r="FE649" s="1353">
        <f>IFERROR(FD649*EE649,0)</f>
        <v>0</v>
      </c>
      <c r="FF649" s="138"/>
      <c r="FI649" s="1356" t="str">
        <f>IF(CN649="Exterior","Not Daylighted",G652)</f>
        <v>Not Daylighted</v>
      </c>
      <c r="FJ649" s="1356">
        <f>VLOOKUP(FI649,_Daylight_Table_Codes,2,FALSE)</f>
        <v>0</v>
      </c>
      <c r="FK649" s="1365">
        <f>IF(__Retrofit_TI_NC=2,VLOOKUP(G651,'Space Table'!$B$3:$L$160,11,FALSE),AF650)</f>
        <v>0</v>
      </c>
      <c r="FL649" s="1365" t="e">
        <f>VLOOKUP(FK649,_Control_Table,2,FALSE)</f>
        <v>#N/A</v>
      </c>
      <c r="FM649" s="1365" t="e">
        <f>IF(AND(FP649&gt;0,FK649="Occupancy Sensor"),"Daylight + Occupancy",IF(AND(FP649&gt;0,FL649&lt;4),"Interior Daylight Dimming",FK649))</f>
        <v>#N/A</v>
      </c>
      <c r="FO649" s="1364">
        <f>IF(CO649="Interior",VLOOKUP(CP649,Control_Savings_Interior,5,FALSE),0)</f>
        <v>0</v>
      </c>
      <c r="FP649" s="1361">
        <f>IF(CN649="Exterior",0,IF(FJ649=2,0.5,IF(OR(FJ649=1,FJ649=3),1,0)))</f>
        <v>0</v>
      </c>
      <c r="FQ649" s="1366"/>
      <c r="FR649" s="1367"/>
      <c r="FS649" s="1364"/>
      <c r="FT649" s="1367"/>
      <c r="FU649" s="1360"/>
      <c r="FW649" s="1352" t="str">
        <f>IFERROR(VLOOKUP(U650,_Exist_Fixture_Table,3,FALSE),"")</f>
        <v/>
      </c>
      <c r="FX649" s="1352" t="str">
        <f>VLOOKUP(CT649,_Exist_Fixture_Table,4,FALSE)</f>
        <v/>
      </c>
      <c r="FY649" s="1352">
        <f>IFERROR(VLOOKUP(FX649,Lookup!AM$6:AN$8,2,FALSE),0)</f>
        <v>0</v>
      </c>
      <c r="FZ649" s="1352" t="b">
        <f>IFERROR(IF(OR(GB649=4,GB649=5,GB649=6),TRUE,FALSE),"")</f>
        <v>0</v>
      </c>
      <c r="GA649" s="1352" t="str">
        <f>IFERROR(VLOOKUP(GB649,FY$6:FZ$10,2,FALSE),"")</f>
        <v/>
      </c>
      <c r="GB649" s="1352" t="str">
        <f>VLOOKUP(CT651,Fixtures!R$31:Y$78,8,FALSE)</f>
        <v/>
      </c>
      <c r="GC649" s="1352">
        <f>IF(AND(FW649=TRUE,FZ649=TRUE,OR(DN649=12,DN649=13,DN649=14)),FY649+8,0)</f>
        <v>0</v>
      </c>
      <c r="GD649" s="1352" t="b">
        <f>IF(OR(GC649=12,GC649=13,GC649=14),TRUE,FALSE)</f>
        <v>0</v>
      </c>
      <c r="GE649" s="759" t="b">
        <f>IF(ISNUMBER(SEARCH("TLED",U650)),TRUE,FALSE)</f>
        <v>0</v>
      </c>
      <c r="GF649" s="1035" t="str">
        <f>IFERROR(VLOOKUP(U650,Fixtures!BM$93:BR$142,6,FALSE),"")</f>
        <v/>
      </c>
      <c r="GG649" s="1385" t="b">
        <f>IF(OR(GE649=FALSE,GE651=FALSE),TRUE,IF(GF649-GF651&lt;5,FALSE,TRUE))</f>
        <v>1</v>
      </c>
      <c r="GK649" s="1034">
        <f>GL649</f>
        <v>0</v>
      </c>
      <c r="GL649" s="1034">
        <f>IF(G649="",0,1)</f>
        <v>0</v>
      </c>
      <c r="GM649" s="1034">
        <f>SUM(GN649:HB649)</f>
        <v>2</v>
      </c>
      <c r="GN649" s="1034">
        <f>IF(G650="",0,1)</f>
        <v>0</v>
      </c>
      <c r="GO649" s="1034">
        <f>IF(G651="",0,1)</f>
        <v>0</v>
      </c>
      <c r="GP649" s="1034">
        <f>IF(R650="",0,1)</f>
        <v>0</v>
      </c>
      <c r="GQ649" s="1034">
        <f>IF(__Retrofit_TI_NC=0,1,IF(R651="",0,1))</f>
        <v>1</v>
      </c>
      <c r="GR649" s="1034">
        <f>IF(CN649="Exterior",1,IF(G652="",0,1))</f>
        <v>1</v>
      </c>
      <c r="GS649" s="1034">
        <f>IF(__Retrofit_TI_NC&lt;&gt;0,1,IF(T650="",0,1))</f>
        <v>0</v>
      </c>
      <c r="GT649" s="1034">
        <f>IF(__Retrofit_TI_NC&lt;&gt;0,1,IF(U650="",0,1))</f>
        <v>0</v>
      </c>
      <c r="GU649" s="1034">
        <f>IF(T651="",0,1)</f>
        <v>0</v>
      </c>
      <c r="GV649" s="1034">
        <f>IF(U651="",0,1)</f>
        <v>0</v>
      </c>
      <c r="GW649" s="1034">
        <f>IF(__Retrofit_TI_NC=2,1,IF(U652="",0,1))</f>
        <v>0</v>
      </c>
      <c r="GX649" s="1034">
        <f>IF(__Retrofit_TI_NC&lt;&gt;0,1,IF(AE650="",0,1))</f>
        <v>0</v>
      </c>
      <c r="GY649" s="1034">
        <f>IF(__Retrofit_TI_NC&lt;&gt;0,1,IF(AF650="",0,1))</f>
        <v>0</v>
      </c>
      <c r="GZ649" s="1034">
        <f>IF(AE651="",0,1)</f>
        <v>0</v>
      </c>
      <c r="HA649" s="1034">
        <f>IF(AF651="",0,1)</f>
        <v>0</v>
      </c>
      <c r="HB649" s="1034">
        <f>IF(__Retrofit_TI_NC=2,1,IF(AF652="",0,1))</f>
        <v>0</v>
      </c>
      <c r="HV649" s="436"/>
      <c r="HW649" s="1384" t="b">
        <f>IF(OR(HW652=0,HW652=HT$16,HW652=HS$16,HW652=HU$16),TRUE,FALSE)</f>
        <v>0</v>
      </c>
      <c r="HX649" s="1377" t="b">
        <f>HW649</f>
        <v>0</v>
      </c>
      <c r="HY649" s="436"/>
      <c r="HZ649" s="436"/>
      <c r="IA649" s="1386" t="b">
        <f>IF(MAX(GJ652:HP652)&gt;5,FALSE,TRUE)</f>
        <v>0</v>
      </c>
      <c r="IB649" s="1380">
        <f>IF(IA649=TRUE,AC649,0)</f>
        <v>0</v>
      </c>
      <c r="IC649" s="1380">
        <f>IB649-IB651</f>
        <v>0</v>
      </c>
      <c r="IF649" s="1380" t="e">
        <f>ROUND(T650*VLOOKUP(U650,Fixtures_Existing_List,2,FALSE)*N650*R650/1000,0)</f>
        <v>#N/A</v>
      </c>
      <c r="IG649" s="1381" t="e">
        <f>IF649-IF651</f>
        <v>#N/A</v>
      </c>
      <c r="IH649" s="1384" t="e">
        <f>ROUND(IF(CN649="Interior",N651*R651*R650*N650*_C406_reduction/1000,N651*R651*R650*N650/1000),0)</f>
        <v>#N/A</v>
      </c>
      <c r="II649" s="1384" t="e">
        <f>IH649-IH651</f>
        <v>#N/A</v>
      </c>
      <c r="IK649" s="1351" t="e">
        <f>IF($CO649="interior",IL649/2,VLOOKUP($CP649,Control_Savings_Exterior,IK$30,FALSE))</f>
        <v>#N/A</v>
      </c>
      <c r="IL649" s="1351" t="e">
        <f>IF($CO649="interior",VLOOKUP($CP649,Control_Savings_Interior,IL$30,FALSE),VLOOKUP($CP649,Control_Savings_Exterior,IL$30,FALSE))</f>
        <v>#N/A</v>
      </c>
      <c r="IM649" s="1351" t="e">
        <f>IF($CO649="interior",IF(R650&gt;FO$37,(IM$28*(FO$37/R650)),IM$28)*FP649,VLOOKUP($CP649,Control_Savings_Exterior,IM$30,FALSE))</f>
        <v>#N/A</v>
      </c>
      <c r="IN649" s="1351" t="e">
        <f>IF($CO649="interior",ROUND(((1-IL649)*IM649)+IL649,2),VLOOKUP($CP649,Control_Savings_Exterior,IN$30,FALSE))</f>
        <v>#N/A</v>
      </c>
      <c r="IO649" s="1351" t="e">
        <f>IF($CO649="interior", ROUND(((1-IL649)*(IM649*(1-IP$28)))+IP649,2), VLOOKUP($CP649,Control_Savings_Exterior,IO$30,FALSE))</f>
        <v>#N/A</v>
      </c>
      <c r="IP649" s="1351">
        <f>IF($CO649="interior",ROUND(((1-IL649)*IP$28)+IL649,2),0)</f>
        <v>0</v>
      </c>
    </row>
    <row r="650" spans="1:250" s="82" customFormat="1" ht="14.95" customHeight="1" thickTop="1" thickBot="1">
      <c r="B650" s="1421"/>
      <c r="C650" s="1422"/>
      <c r="D650" s="1423"/>
      <c r="E650" s="1393" t="s">
        <v>244</v>
      </c>
      <c r="F650" s="1394"/>
      <c r="G650" s="1395"/>
      <c r="H650" s="1395"/>
      <c r="I650" s="1395"/>
      <c r="J650" s="1395"/>
      <c r="K650" s="1395"/>
      <c r="L650" s="1395"/>
      <c r="M650" s="509" t="e">
        <f>IF(__Retrofit_TI_NC&lt;&gt;0,IF(VLOOKUP(G651,'Space Table'!$B$3:$L$160,3,FALSE)&gt;0,1,0),IF(__Retrofit_TI_NC=VLOOKUP(G651,'Space Table'!$B$3:$L$160,3,FALSE),1,0))</f>
        <v>#N/A</v>
      </c>
      <c r="N650" s="509" t="str">
        <f>IFERROR(VLOOKUP(G650,_Lookup_Heat_Type_Table_New,2,FALSE),"")</f>
        <v/>
      </c>
      <c r="O650" s="509">
        <f>IF(__Retrofit_TI_NC=1,CONCATENATE("TI ",G650),IF(__Retrofit_TI_NC=2,CONCATENATE("NC ",G650),G650))</f>
        <v>0</v>
      </c>
      <c r="P650" s="1396" t="s">
        <v>352</v>
      </c>
      <c r="Q650" s="1396"/>
      <c r="R650" s="673"/>
      <c r="S650" s="1429"/>
      <c r="T650" s="675"/>
      <c r="U650" s="1496"/>
      <c r="V650" s="1497"/>
      <c r="W650" s="1497"/>
      <c r="X650" s="1497"/>
      <c r="Y650" s="1497"/>
      <c r="Z650" s="1497"/>
      <c r="AA650" s="1497"/>
      <c r="AB650" s="1497"/>
      <c r="AC650" s="1497"/>
      <c r="AD650" s="1498"/>
      <c r="AE650" s="675"/>
      <c r="AF650" s="1397"/>
      <c r="AG650" s="1397"/>
      <c r="AH650" s="1397"/>
      <c r="AI650" s="1397"/>
      <c r="AJ650" s="1434"/>
      <c r="AK650" s="1436"/>
      <c r="AL650" s="1438"/>
      <c r="AM650" s="1441"/>
      <c r="AN650" s="1442"/>
      <c r="AO650" s="1447"/>
      <c r="AP650" s="1447"/>
      <c r="AQ650" s="1448"/>
      <c r="AR650" s="1452"/>
      <c r="AS650" s="1455"/>
      <c r="AT650" s="1458"/>
      <c r="AU650" s="516"/>
      <c r="AV650" s="1479"/>
      <c r="AW650" s="1479"/>
      <c r="BC650" s="38"/>
      <c r="BD650" s="38"/>
      <c r="BE650" s="38"/>
      <c r="BF650" s="38"/>
      <c r="BG650" s="38"/>
      <c r="BH650" s="38"/>
      <c r="BI650" s="38"/>
      <c r="BJ650" s="38"/>
      <c r="BK650" s="38"/>
      <c r="BL650" s="38"/>
      <c r="BM650" s="38"/>
      <c r="BN650" s="38"/>
      <c r="BO650" s="38"/>
      <c r="BP650" s="38"/>
      <c r="BQ650" s="38"/>
      <c r="BR650" s="38"/>
      <c r="BS650" s="38"/>
      <c r="BT650" s="38"/>
      <c r="BU650" s="38"/>
      <c r="BV650" s="38"/>
      <c r="BW650" s="38"/>
      <c r="BX650" s="38"/>
      <c r="BY650" s="38"/>
      <c r="BZ650" s="38"/>
      <c r="CA650" s="38"/>
      <c r="CB650" s="38"/>
      <c r="CC650" s="38"/>
      <c r="CD650" s="38"/>
      <c r="CE650" s="38"/>
      <c r="CF650" s="38"/>
      <c r="CG650" s="38"/>
      <c r="CH650" s="38"/>
      <c r="CI650" s="38"/>
      <c r="CM650" s="1352"/>
      <c r="CN650" s="1352"/>
      <c r="CO650" s="1416"/>
      <c r="CP650" s="1418"/>
      <c r="CR650" s="1386"/>
      <c r="CS650" s="1355"/>
      <c r="CT650" s="1355"/>
      <c r="CU650" s="1355"/>
      <c r="CV650" s="1372"/>
      <c r="CW650" s="1372"/>
      <c r="CX650" s="1371"/>
      <c r="CY650" s="1486"/>
      <c r="CZ650" s="1486"/>
      <c r="DA650" s="1486"/>
      <c r="DC650" s="1355"/>
      <c r="DD650" s="1461"/>
      <c r="DE650" s="1355"/>
      <c r="DF650" s="1407"/>
      <c r="DG650" s="1372"/>
      <c r="DH650" s="1369"/>
      <c r="DJ650" s="1484"/>
      <c r="DL650" s="1419"/>
      <c r="DN650" s="1403"/>
      <c r="DO650" s="1405"/>
      <c r="DP650" s="1354"/>
      <c r="DQ650" s="1405"/>
      <c r="DR650" s="1403"/>
      <c r="DS650" s="1489"/>
      <c r="DU650" s="1403"/>
      <c r="DV650" s="1405"/>
      <c r="DW650" s="1403"/>
      <c r="DX650" s="1403"/>
      <c r="DZ650" s="1481"/>
      <c r="EA650" s="1481"/>
      <c r="EC650" s="1482"/>
      <c r="ED650" s="1369"/>
      <c r="EE650" s="1371"/>
      <c r="EF650" s="1369"/>
      <c r="EG650" s="1369"/>
      <c r="EH650" s="1374"/>
      <c r="EI650" s="1374"/>
      <c r="EJ650" s="1363"/>
      <c r="EK650" s="1376"/>
      <c r="EL650" s="1376"/>
      <c r="EM650" s="1362"/>
      <c r="EN650" s="1362"/>
      <c r="EO650" s="1363"/>
      <c r="EP650" s="1363"/>
      <c r="EQ650" s="1363"/>
      <c r="ES650" s="1403"/>
      <c r="EU650" s="1411"/>
      <c r="EV650" s="1411"/>
      <c r="EW650" s="1411"/>
      <c r="EX650" s="1411"/>
      <c r="EY650" s="1411"/>
      <c r="EZ650" s="1413"/>
      <c r="FB650" s="1365"/>
      <c r="FD650" s="1354"/>
      <c r="FE650" s="1354"/>
      <c r="FF650" s="138"/>
      <c r="FI650" s="1357"/>
      <c r="FJ650" s="1357"/>
      <c r="FK650" s="1365"/>
      <c r="FL650" s="1365"/>
      <c r="FM650" s="1365"/>
      <c r="FO650" s="1361"/>
      <c r="FP650" s="1361"/>
      <c r="FQ650" s="1366"/>
      <c r="FR650" s="1368"/>
      <c r="FS650" s="1361"/>
      <c r="FT650" s="1368"/>
      <c r="FU650" s="1360"/>
      <c r="FW650" s="1352"/>
      <c r="FX650" s="1352"/>
      <c r="FY650" s="1352"/>
      <c r="FZ650" s="1352"/>
      <c r="GA650" s="1352"/>
      <c r="GB650" s="1352"/>
      <c r="GC650" s="1352"/>
      <c r="GD650" s="1352"/>
      <c r="GE650" s="759"/>
      <c r="GF650" s="1035"/>
      <c r="GG650" s="1385"/>
      <c r="GI650" s="1384" t="b">
        <f>IF(AND(GL650=TRUE,GM650=TRUE),TRUE,FALSE)</f>
        <v>0</v>
      </c>
      <c r="GJ650" s="1379" t="b">
        <f>IFERROR(IF(__Retrofit_TI_NC=2,TRUE,IF(AR649="Yes",TRUE,FALSE)),FALSE)</f>
        <v>1</v>
      </c>
      <c r="GL650" s="1379" t="b">
        <f>IFERROR(IF(GL649=1,TRUE,FALSE),FALSE)</f>
        <v>0</v>
      </c>
      <c r="GM650" s="1379" t="b">
        <f>IFERROR(IF(GM649=GM$14,TRUE,FALSE),FALSE)</f>
        <v>0</v>
      </c>
      <c r="HC650" s="1379" t="b">
        <f>IFERROR(IF(M650=1,TRUE,FALSE),FALSE)</f>
        <v>0</v>
      </c>
      <c r="HD650" s="1379" t="b">
        <f>IFERROR(IF(M651=1,TRUE,FALSE),FALSE)</f>
        <v>0</v>
      </c>
      <c r="HE650" s="1379" t="b">
        <f>IFERROR(IF(__Retrofit_TI_NC&lt;&gt;0,TRUE,IFERROR(IF(VLOOKUP(U650,Fixtures_Existing_List,2,FALSE)&lt;&gt;"",TRUE,FALSE),FALSE)),FALSE)</f>
        <v>0</v>
      </c>
      <c r="HF650" s="1379" t="b">
        <f>IFERROR(IF(VLOOKUP(U651,Fixtures_Proposed_List,2,FALSE)&lt;&gt;"",TRUE,FALSE),FALSE)</f>
        <v>0</v>
      </c>
      <c r="HG650" s="1379" t="b">
        <f>IF(AND(__Retrofit_TI_NC=2,EZ649=TRUE),FALSE,TRUE)</f>
        <v>1</v>
      </c>
      <c r="HH650" s="1379" t="b">
        <f>GG649</f>
        <v>1</v>
      </c>
      <c r="HI650" s="1384" t="b">
        <f>IF(ISERROR(MATCH(FB649,_Control_Match[],0))=TRUE,FALSE,TRUE)</f>
        <v>0</v>
      </c>
      <c r="HJ650" s="1384" t="b">
        <f>IFERROR(IF(EU649&lt;&gt;EV649,FALSE,TRUE),FALSE)</f>
        <v>0</v>
      </c>
      <c r="HK650" s="1384" t="b">
        <f>IFERROR(IF(EU651&lt;&gt;EV651,FALSE,TRUE),FALSE)</f>
        <v>0</v>
      </c>
      <c r="HL650" s="1379" t="b">
        <f>IFERROR(IF(CN649="Exterior",TRUE,IF(OR(AND(FJ649=0,EW651&gt;4),AND(FJ649=4,EW651&gt;4,EW651&lt;7)),FALSE,TRUE)),FALSE)</f>
        <v>0</v>
      </c>
      <c r="HM650" s="1379" t="b">
        <f>IFERROR(IF(AND(FL651=7,EZ649=TRUE),FALSE,TRUE),FALSE)</f>
        <v>0</v>
      </c>
      <c r="HN650" s="1379" t="b">
        <f>IFERROR(IF(AND(T651&lt;&gt;AE651,AF651="Interior LLLC")=TRUE,FALSE,TRUE),FALSE)</f>
        <v>1</v>
      </c>
      <c r="HO650" s="1379" t="b">
        <f>IFERROR(IF(OR(AF651=Lookup!AU$13,AF651=Lookup!AU$14)=TRUE,IF(AE651&gt;T651,FALSE,TRUE),TRUE),FALSE)</f>
        <v>1</v>
      </c>
      <c r="HP650" s="1379" t="b">
        <f>IFERROR(IF(__Retrofit_TI_NC=2,IF(EW651&lt;EW649,FALSE,TRUE),TRUE),FALSE)</f>
        <v>1</v>
      </c>
      <c r="HQ650" s="1379" t="b">
        <f>IF(CN649="Interior",IG$6,TRUE)</f>
        <v>1</v>
      </c>
      <c r="HR650" s="1379" t="b">
        <f>IF(CN649="Exterior",IG$8,TRUE)</f>
        <v>1</v>
      </c>
      <c r="HS650" s="1379" t="b">
        <f>IFERROR(IF(__Retrofit_TI_NC&lt;&gt;0,IF(AW649&lt;AV649,FALSE,TRUE),TRUE),FALSE)</f>
        <v>1</v>
      </c>
      <c r="HT650" s="1379" t="b">
        <f>IFERROR(IF(AND(G650="Exterior",R650&gt;4200),FALSE,TRUE),FALSE)</f>
        <v>1</v>
      </c>
      <c r="HU650" s="1379" t="b">
        <f>IFERROR(IF(AB652/AB649&lt;HU$18,FALSE,TRUE),FALSE)</f>
        <v>0</v>
      </c>
      <c r="HW650" s="1382"/>
      <c r="HX650" s="1378"/>
      <c r="HY650" s="1377" t="str">
        <f>VLOOKUP(HW652,_Error_Table,4,FALSE)</f>
        <v>White</v>
      </c>
      <c r="HZ650" s="436"/>
      <c r="IA650" s="1386"/>
      <c r="IB650" s="1380"/>
      <c r="IC650" s="1379"/>
      <c r="IF650" s="1380"/>
      <c r="IG650" s="1382"/>
      <c r="IH650" s="1382"/>
      <c r="II650" s="1382"/>
      <c r="IK650" s="1351"/>
      <c r="IL650" s="1351"/>
      <c r="IM650" s="1351"/>
      <c r="IN650" s="1351"/>
      <c r="IO650" s="1351"/>
      <c r="IP650" s="1351"/>
    </row>
    <row r="651" spans="1:250" s="82" customFormat="1" ht="14.95" customHeight="1" thickTop="1" thickBot="1">
      <c r="A651" s="82">
        <f>ROW()</f>
        <v>651</v>
      </c>
      <c r="B651" s="1421"/>
      <c r="C651" s="1422"/>
      <c r="D651" s="1423"/>
      <c r="E651" s="1393" t="s">
        <v>245</v>
      </c>
      <c r="F651" s="1394"/>
      <c r="G651" s="1398"/>
      <c r="H651" s="1399"/>
      <c r="I651" s="1399"/>
      <c r="J651" s="1399"/>
      <c r="K651" s="1399"/>
      <c r="L651" s="1400"/>
      <c r="M651" s="509">
        <f>IFERROR(IF(IF(__Retrofit_TI_NC&lt;&gt;0,IF(CN649="Interior",MATCH(G651,Lookup_Interior_New,0),MATCH(G651,Lookup_Exterior_New,0)),IF(CN649="Interior",MATCH(G651,Lookup_Interior,0),MATCH(G651,Lookup_Exterior_Areas,0)))&gt;0,1,0),0)</f>
        <v>0</v>
      </c>
      <c r="N651" s="509" t="e">
        <f>IF(__Retrofit_TI_NC=1,
VLOOKUP(G651,'Space Table'!$B$3:$L$160,4,FALSE),
IF(__Retrofit_TI_NC=2,VLOOKUP(G651,'Space Table'!$B$3:$L$160,5,FALSE),VLOOKUP(G651,'Space Table'!$B$3:$L$160,5,FALSE)))</f>
        <v>#N/A</v>
      </c>
      <c r="O651" s="509">
        <f>G651</f>
        <v>0</v>
      </c>
      <c r="P651" s="1394" t="s">
        <v>355</v>
      </c>
      <c r="Q651" s="1394"/>
      <c r="R651" s="674"/>
      <c r="S651" s="1401" t="s">
        <v>284</v>
      </c>
      <c r="T651" s="672"/>
      <c r="U651" s="1499"/>
      <c r="V651" s="1500"/>
      <c r="W651" s="1500"/>
      <c r="X651" s="1500"/>
      <c r="Y651" s="1500"/>
      <c r="Z651" s="1500"/>
      <c r="AA651" s="1500"/>
      <c r="AB651" s="1501"/>
      <c r="AC651" s="1501"/>
      <c r="AD651" s="1502"/>
      <c r="AE651" s="672"/>
      <c r="AF651" s="1474"/>
      <c r="AG651" s="1474"/>
      <c r="AH651" s="1474"/>
      <c r="AI651" s="1474"/>
      <c r="AJ651" s="1475">
        <f>DF651</f>
        <v>0</v>
      </c>
      <c r="AK651" s="1470" t="str">
        <f>IFERROR(ROUND(AJ651*AC652,0),"")</f>
        <v/>
      </c>
      <c r="AL651" s="1472">
        <f>IFERROR(IF(HW649=FALSE,0,AC652-AK651),0)</f>
        <v>0</v>
      </c>
      <c r="AM651" s="1441"/>
      <c r="AN651" s="1442"/>
      <c r="AO651" s="1447"/>
      <c r="AP651" s="1447"/>
      <c r="AQ651" s="1448"/>
      <c r="AR651" s="1452"/>
      <c r="AS651" s="1455"/>
      <c r="AT651" s="1458"/>
      <c r="AU651" s="516"/>
      <c r="AV651" s="1479"/>
      <c r="AW651" s="1479"/>
      <c r="BC651" s="38"/>
      <c r="BD651" s="38"/>
      <c r="BE651" s="38"/>
      <c r="BF651" s="38"/>
      <c r="BG651" s="38"/>
      <c r="BH651" s="38"/>
      <c r="BI651" s="38"/>
      <c r="BJ651" s="38"/>
      <c r="BK651" s="38"/>
      <c r="BL651" s="38"/>
      <c r="BM651" s="38"/>
      <c r="BN651" s="38"/>
      <c r="BO651" s="38"/>
      <c r="BP651" s="38"/>
      <c r="BQ651" s="38"/>
      <c r="BR651" s="38"/>
      <c r="BS651" s="38"/>
      <c r="BT651" s="38"/>
      <c r="BU651" s="38"/>
      <c r="BV651" s="38"/>
      <c r="BW651" s="38"/>
      <c r="BX651" s="38"/>
      <c r="BY651" s="38"/>
      <c r="BZ651" s="38"/>
      <c r="CA651" s="38"/>
      <c r="CB651" s="38"/>
      <c r="CC651" s="38"/>
      <c r="CD651" s="38"/>
      <c r="CE651" s="38"/>
      <c r="CF651" s="38"/>
      <c r="CG651" s="38"/>
      <c r="CH651" s="38"/>
      <c r="CI651" s="38"/>
      <c r="CM651" s="1352"/>
      <c r="CN651" s="1352"/>
      <c r="CO651" s="1415" t="str">
        <f>CN649</f>
        <v/>
      </c>
      <c r="CP651" s="1417" t="e">
        <f>CP649</f>
        <v>#N/A</v>
      </c>
      <c r="CR651" s="1386" t="s">
        <v>284</v>
      </c>
      <c r="CS651" s="1353">
        <f>IF(HW649=TRUE,T651,0)</f>
        <v>0</v>
      </c>
      <c r="CT651" s="1353" t="str">
        <f>IF(HW649=TRUE,U651,"")</f>
        <v/>
      </c>
      <c r="CU651" s="1373">
        <f>IF(HW649=TRUE,U652,0)</f>
        <v>0</v>
      </c>
      <c r="CV651" s="1370">
        <f>IF(HW649=TRUE,AB652,0)</f>
        <v>0</v>
      </c>
      <c r="CW651" s="1370">
        <f>IF(HW649=TRUE,AC652,0)</f>
        <v>0</v>
      </c>
      <c r="CX651" s="1371"/>
      <c r="CY651" s="1486"/>
      <c r="CZ651" s="1486"/>
      <c r="DA651" s="1486"/>
      <c r="DC651" s="1353">
        <f>IF(HW649=TRUE,AE651,0)</f>
        <v>0</v>
      </c>
      <c r="DD651" s="1353" t="str">
        <f>IF(HW649=TRUE,AF651,"")</f>
        <v/>
      </c>
      <c r="DE651" s="1373">
        <f>AF652</f>
        <v>0</v>
      </c>
      <c r="DF651" s="1406">
        <f>IFERROR(IF(FL651=3,IK651,IF(FL651=4,IL651,IF(FL651=5,IM651,IF(FL651=6,IN651,IF(FL651=7,IO651,IF(FL651=8,IP651,0)))))),0)</f>
        <v>0</v>
      </c>
      <c r="DG651" s="1370">
        <f>IF(HW649=TRUE,AK651,0)</f>
        <v>0</v>
      </c>
      <c r="DH651" s="1369"/>
      <c r="DK651" s="1483">
        <f>IFERROR(CW651-DG651,0)</f>
        <v>0</v>
      </c>
      <c r="DL651" s="1420"/>
      <c r="DN651" s="1403"/>
      <c r="DO651" s="1477" t="str">
        <f>DN649</f>
        <v/>
      </c>
      <c r="DP651" s="1354"/>
      <c r="DQ651" s="1477" t="str">
        <f>IF(DP649=7,"LLLC","")</f>
        <v/>
      </c>
      <c r="DR651" s="1403"/>
      <c r="DS651" s="1489"/>
      <c r="DU651" s="1403"/>
      <c r="DV651" s="1404" t="str">
        <f>DU649</f>
        <v/>
      </c>
      <c r="DW651" s="1403"/>
      <c r="DX651" s="1403"/>
      <c r="DZ651" s="1481"/>
      <c r="EA651" s="1481"/>
      <c r="EC651" s="1482"/>
      <c r="ED651" s="1369"/>
      <c r="EE651" s="1371"/>
      <c r="EF651" s="1369"/>
      <c r="EG651" s="1369"/>
      <c r="EH651" s="1374"/>
      <c r="EI651" s="1374"/>
      <c r="EJ651" s="1363"/>
      <c r="EK651" s="1376"/>
      <c r="EL651" s="1376"/>
      <c r="EM651" s="1362"/>
      <c r="EN651" s="1362"/>
      <c r="EO651" s="1363"/>
      <c r="EP651" s="1363"/>
      <c r="EQ651" s="1363"/>
      <c r="ES651" s="1403"/>
      <c r="EU651" s="1411" t="e">
        <f>VLOOKUP(CP651,'Space Table'!$B$3:$L$160,8,FALSE)</f>
        <v>#N/A</v>
      </c>
      <c r="EV651" s="1411" t="e">
        <f>IF(EY651="Yes",VLOOKUP(AF651,Lookup_Control_Type_Table2,4,FALSE),VLOOKUP(AF651,Lookup_Control_Type_Table2,3,FALSE))</f>
        <v>#N/A</v>
      </c>
      <c r="EW651" s="1411" t="e">
        <f>VLOOKUP(AF651,Lookup!AU$3:AV$15,2,FALSE)</f>
        <v>#N/A</v>
      </c>
      <c r="EX651" s="1411" t="e">
        <f>VLOOKUP(EU649,Lookup_Control_Type_Table,2,FALSE)</f>
        <v>#N/A</v>
      </c>
      <c r="EY651" s="1411" t="e">
        <f>VLOOKUP(CP651,'Space Table'!$B$3:$L$160,7,FALSE)</f>
        <v>#N/A</v>
      </c>
      <c r="EZ651" s="1413"/>
      <c r="FB651" s="1365" t="str">
        <f>CONCATENATE(CN649," - ",AF651)</f>
        <v xml:space="preserve"> - </v>
      </c>
      <c r="FD651" s="1354"/>
      <c r="FE651" s="1354"/>
      <c r="FF651" s="138"/>
      <c r="FI651" s="1356" t="str">
        <f>IF(CN649="Exterior","Not Daylighted",G652)</f>
        <v>Not Daylighted</v>
      </c>
      <c r="FJ651" s="1356">
        <f>VLOOKUP(FI651,_Daylight_Table_Codes,2,FALSE)</f>
        <v>0</v>
      </c>
      <c r="FK651" s="1365">
        <f>AF651</f>
        <v>0</v>
      </c>
      <c r="FL651" s="1365" t="e">
        <f>VLOOKUP(FK651,_Control_Table,2,FALSE)</f>
        <v>#N/A</v>
      </c>
      <c r="FM651" s="1365" t="e">
        <f>IF(AND(FP651&gt;0,FK651="Occupancy Sensor"),"Daylight + Occupancy",IF(AND(FP651&gt;0,FL651&lt;4),"Interior Daylight Dimming",FK651))</f>
        <v>#N/A</v>
      </c>
      <c r="FO651" s="1364">
        <f>IF(CN649="Interior",VLOOKUP(CP649,Control_Savings_Interior,5,FALSE),0)</f>
        <v>0</v>
      </c>
      <c r="FP651" s="1361">
        <f>IF(CN651="Exterior",0,IF(FJ651=2,0.5,IF(OR(FJ651=1,FJ651=3),1,0)))</f>
        <v>0</v>
      </c>
      <c r="FQ651" s="1366">
        <f>IF(R650&gt;FO$37,(FO651*(FO$37/R650)),FO651)*FP651</f>
        <v>0</v>
      </c>
      <c r="FR651" s="1364">
        <f>DF651</f>
        <v>0</v>
      </c>
      <c r="FS651" s="1364">
        <f>ROUND(FR651+((1-FR651)*FQ651),2)</f>
        <v>0</v>
      </c>
      <c r="FT651" s="1364">
        <f>IF(__Retrofit_TI_NC=2,FS651,FR651)</f>
        <v>0</v>
      </c>
      <c r="FU651" s="1360">
        <f>IF(CO651="Interior",VLOOKUP(CP651,Control_Savings_Interior,4,FALSE),0)</f>
        <v>0</v>
      </c>
      <c r="FW651" s="1352"/>
      <c r="FX651" s="1352"/>
      <c r="FY651" s="1352"/>
      <c r="FZ651" s="1352"/>
      <c r="GA651" s="1352"/>
      <c r="GB651" s="1352"/>
      <c r="GC651" s="1352"/>
      <c r="GD651" s="1352"/>
      <c r="GE651" s="759" t="b">
        <f>IF(ISNUMBER(SEARCH("TLED",U651)),TRUE,FALSE)</f>
        <v>0</v>
      </c>
      <c r="GF651" s="1035" t="str">
        <f>IFERROR(VLOOKUP(U651,Fixtures!DM$93:DR$142,6,FALSE),"")</f>
        <v/>
      </c>
      <c r="GG651" s="1385"/>
      <c r="GI651" s="1383"/>
      <c r="GJ651" s="1379"/>
      <c r="GL651" s="1379"/>
      <c r="GM651" s="1379"/>
      <c r="HC651" s="1379"/>
      <c r="HD651" s="1379"/>
      <c r="HE651" s="1379"/>
      <c r="HF651" s="1379"/>
      <c r="HG651" s="1379"/>
      <c r="HH651" s="1379"/>
      <c r="HI651" s="1383"/>
      <c r="HJ651" s="1383"/>
      <c r="HK651" s="1383"/>
      <c r="HL651" s="1379"/>
      <c r="HM651" s="1379"/>
      <c r="HN651" s="1379"/>
      <c r="HO651" s="1379"/>
      <c r="HP651" s="1379"/>
      <c r="HQ651" s="1379"/>
      <c r="HR651" s="1379"/>
      <c r="HS651" s="1379"/>
      <c r="HT651" s="1379"/>
      <c r="HU651" s="1379"/>
      <c r="HW651" s="1383"/>
      <c r="HX651" s="1384" t="b">
        <f>HW649</f>
        <v>0</v>
      </c>
      <c r="HY651" s="1378"/>
      <c r="HZ651" s="436"/>
      <c r="IA651" s="1386"/>
      <c r="IB651" s="1380">
        <f>IF(IA649=TRUE,AC652,0)</f>
        <v>0</v>
      </c>
      <c r="IC651" s="1379"/>
      <c r="IF651" s="1380" t="e">
        <f>ROUND(T651*AB652*N650*R650/1000,0)</f>
        <v>#VALUE!</v>
      </c>
      <c r="IG651" s="1382"/>
      <c r="IH651" s="1384" t="e">
        <f>ROUND(T651*AB652*N650*R650/1000,0)</f>
        <v>#VALUE!</v>
      </c>
      <c r="II651" s="1382"/>
      <c r="IK651" s="1351" t="e">
        <f>IF($CO651="interior",IL651/2,VLOOKUP($CP651,Control_Savings_Exterior,IK$30,FALSE))</f>
        <v>#N/A</v>
      </c>
      <c r="IL651" s="1351" t="e">
        <f>IF($CO651="interior",VLOOKUP($CP651,Control_Savings_Interior,IL$30,FALSE),VLOOKUP($CP651,Control_Savings_Exterior,IL$30,FALSE))</f>
        <v>#N/A</v>
      </c>
      <c r="IM651" s="1351" t="e">
        <f>IF($CO651="interior",IF(R650&gt;FO$37,(IM$28*(FO$37/R650)),IM$28)*FP651,VLOOKUP($CP651,Control_Savings_Exterior,IM$30,FALSE))</f>
        <v>#N/A</v>
      </c>
      <c r="IN651" s="1351" t="e">
        <f>IF($CO651="interior",ROUND(((1-IL651)*IM651)+IL651,2),VLOOKUP($CP651,Control_Savings_Exterior,IN$30,FALSE))</f>
        <v>#N/A</v>
      </c>
      <c r="IO651" s="1351" t="e">
        <f>IF($CO651="interior", ROUND(((1-IL651)*(IM651*(1-IP$28)))+IP651,2), VLOOKUP($CP651,Control_Savings_Exterior,IO$30,FALSE))</f>
        <v>#N/A</v>
      </c>
      <c r="IP651" s="1351">
        <f>IF($CO651="interior",ROUND(((1-IL651)*IP$28)+IL651,2),0)</f>
        <v>0</v>
      </c>
    </row>
    <row r="652" spans="1:250" s="82" customFormat="1" ht="14.95" customHeight="1" thickTop="1" thickBot="1">
      <c r="B652" s="1421"/>
      <c r="C652" s="1422"/>
      <c r="D652" s="1423"/>
      <c r="E652" s="1462" t="s">
        <v>357</v>
      </c>
      <c r="F652" s="1463"/>
      <c r="G652" s="1464" t="s">
        <v>362</v>
      </c>
      <c r="H652" s="1465"/>
      <c r="I652" s="1465"/>
      <c r="J652" s="1465"/>
      <c r="K652" s="1465"/>
      <c r="L652" s="1466"/>
      <c r="M652" s="669">
        <f>IFERROR(VLOOKUP(G652,_Daylight_Table[],2,FALSE),0)</f>
        <v>0</v>
      </c>
      <c r="N652" s="670"/>
      <c r="O652" s="669" t="e">
        <f>VLOOKUP(G651,'Space Table'!$B$3:$L$160,11,FALSE)</f>
        <v>#N/A</v>
      </c>
      <c r="P652" s="1408"/>
      <c r="Q652" s="1409"/>
      <c r="R652" s="1409"/>
      <c r="S652" s="1402"/>
      <c r="T652" s="671" t="s">
        <v>281</v>
      </c>
      <c r="U652" s="1467" t="str">
        <f>IFERROR(VLOOKUP(U651,Fixtures!DM$93:DP$142,4,FALSE),"")</f>
        <v/>
      </c>
      <c r="V652" s="1468"/>
      <c r="W652" s="1468"/>
      <c r="X652" s="1468"/>
      <c r="Y652" s="1468"/>
      <c r="Z652" s="1468"/>
      <c r="AA652" s="1468"/>
      <c r="AB652" s="1046" t="str">
        <f>IFERROR(VLOOKUP(U651,Fixtures_Proposed_List,2,FALSE),"")</f>
        <v/>
      </c>
      <c r="AC652" s="1036" t="str">
        <f>IFERROR(ROUND(T651*AB652*N650*R650/1000,0),"")</f>
        <v/>
      </c>
      <c r="AD652" s="1037" t="str">
        <f>IFERROR(ROUND(T651*AB652/1000,2),"")</f>
        <v/>
      </c>
      <c r="AE652" s="1045" t="s">
        <v>281</v>
      </c>
      <c r="AF652" s="1469"/>
      <c r="AG652" s="1469"/>
      <c r="AH652" s="1469"/>
      <c r="AI652" s="1469"/>
      <c r="AJ652" s="1476"/>
      <c r="AK652" s="1471"/>
      <c r="AL652" s="1473"/>
      <c r="AM652" s="1443"/>
      <c r="AN652" s="1444"/>
      <c r="AO652" s="1449"/>
      <c r="AP652" s="1449"/>
      <c r="AQ652" s="1450"/>
      <c r="AR652" s="1453"/>
      <c r="AS652" s="1456"/>
      <c r="AT652" s="1459"/>
      <c r="AU652" s="517"/>
      <c r="AV652" s="1480"/>
      <c r="AW652" s="1480"/>
      <c r="BC652" s="38"/>
      <c r="BD652" s="38"/>
      <c r="BE652" s="38"/>
      <c r="BF652" s="38"/>
      <c r="BG652" s="38"/>
      <c r="BH652" s="38"/>
      <c r="BI652" s="38"/>
      <c r="BJ652" s="38"/>
      <c r="BK652" s="38"/>
      <c r="BL652" s="38"/>
      <c r="BM652" s="38"/>
      <c r="BN652" s="38"/>
      <c r="BO652" s="38"/>
      <c r="BP652" s="38"/>
      <c r="BQ652" s="38"/>
      <c r="BR652" s="38"/>
      <c r="BS652" s="38"/>
      <c r="BT652" s="38"/>
      <c r="BU652" s="38"/>
      <c r="BV652" s="38"/>
      <c r="BW652" s="38"/>
      <c r="BX652" s="38"/>
      <c r="BY652" s="38"/>
      <c r="BZ652" s="38"/>
      <c r="CA652" s="38"/>
      <c r="CB652" s="38"/>
      <c r="CC652" s="38"/>
      <c r="CD652" s="38"/>
      <c r="CE652" s="38"/>
      <c r="CF652" s="38"/>
      <c r="CG652" s="38"/>
      <c r="CH652" s="38"/>
      <c r="CI652" s="38"/>
      <c r="CM652" s="1352"/>
      <c r="CN652" s="1352"/>
      <c r="CO652" s="1416"/>
      <c r="CP652" s="1418"/>
      <c r="CR652" s="1386"/>
      <c r="CS652" s="1355"/>
      <c r="CT652" s="1355"/>
      <c r="CU652" s="1375"/>
      <c r="CV652" s="1372"/>
      <c r="CW652" s="1372"/>
      <c r="CX652" s="1372"/>
      <c r="CY652" s="1487"/>
      <c r="CZ652" s="1487"/>
      <c r="DA652" s="1487"/>
      <c r="DC652" s="1355"/>
      <c r="DD652" s="1355"/>
      <c r="DE652" s="1375"/>
      <c r="DF652" s="1407"/>
      <c r="DG652" s="1372"/>
      <c r="DH652" s="1369"/>
      <c r="DK652" s="1484"/>
      <c r="DL652" s="1420"/>
      <c r="DN652" s="1403"/>
      <c r="DO652" s="1405"/>
      <c r="DP652" s="1355"/>
      <c r="DQ652" s="1405"/>
      <c r="DR652" s="1403"/>
      <c r="DS652" s="1489"/>
      <c r="DU652" s="1403"/>
      <c r="DV652" s="1405"/>
      <c r="DW652" s="1403"/>
      <c r="DX652" s="1403"/>
      <c r="DZ652" s="1481"/>
      <c r="EA652" s="1481"/>
      <c r="EC652" s="1482"/>
      <c r="ED652" s="1369"/>
      <c r="EE652" s="1372"/>
      <c r="EF652" s="1369"/>
      <c r="EG652" s="1369"/>
      <c r="EH652" s="1375"/>
      <c r="EI652" s="1375"/>
      <c r="EJ652" s="1363"/>
      <c r="EK652" s="1376"/>
      <c r="EL652" s="1376"/>
      <c r="EM652" s="1362"/>
      <c r="EN652" s="1362"/>
      <c r="EO652" s="1363"/>
      <c r="EP652" s="1363"/>
      <c r="EQ652" s="1363"/>
      <c r="ES652" s="1403"/>
      <c r="EU652" s="1488"/>
      <c r="EV652" s="1488"/>
      <c r="EW652" s="1488"/>
      <c r="EX652" s="1488"/>
      <c r="EY652" s="1488"/>
      <c r="EZ652" s="1414"/>
      <c r="FB652" s="1365"/>
      <c r="FD652" s="1355"/>
      <c r="FE652" s="1355"/>
      <c r="FF652" s="138"/>
      <c r="FI652" s="1357"/>
      <c r="FJ652" s="1357"/>
      <c r="FK652" s="1365"/>
      <c r="FL652" s="1365"/>
      <c r="FM652" s="1365"/>
      <c r="FO652" s="1361"/>
      <c r="FP652" s="1361"/>
      <c r="FQ652" s="1366"/>
      <c r="FR652" s="1361"/>
      <c r="FS652" s="1361"/>
      <c r="FT652" s="1361"/>
      <c r="FU652" s="1360"/>
      <c r="FW652" s="1352"/>
      <c r="FX652" s="1352"/>
      <c r="FY652" s="1352"/>
      <c r="FZ652" s="1352"/>
      <c r="GA652" s="1352"/>
      <c r="GB652" s="1352"/>
      <c r="GC652" s="1352"/>
      <c r="GD652" s="1352"/>
      <c r="GE652" s="759"/>
      <c r="GF652" s="1035"/>
      <c r="GG652" s="1385"/>
      <c r="GJ652" s="1034">
        <f>IF(GJ650=TRUE,0,GJ$16)</f>
        <v>0</v>
      </c>
      <c r="GL652" s="1034">
        <f>IF(GL650=TRUE,0,GL$16)</f>
        <v>36</v>
      </c>
      <c r="GM652" s="1034">
        <f>IF(GM650=TRUE,0,GM$16)</f>
        <v>35</v>
      </c>
      <c r="GN652" s="436"/>
      <c r="GO652" s="436"/>
      <c r="GP652" s="436"/>
      <c r="GQ652" s="436"/>
      <c r="GR652" s="436"/>
      <c r="HC652" s="1034">
        <f t="shared" ref="HC652:HH652" si="482">IF(HC650=TRUE,0,HC$16)</f>
        <v>19</v>
      </c>
      <c r="HD652" s="1034">
        <f t="shared" si="482"/>
        <v>18</v>
      </c>
      <c r="HE652" s="1034">
        <f t="shared" si="482"/>
        <v>17</v>
      </c>
      <c r="HF652" s="1034">
        <f t="shared" si="482"/>
        <v>16</v>
      </c>
      <c r="HG652" s="1034">
        <f t="shared" si="482"/>
        <v>0</v>
      </c>
      <c r="HH652" s="1034">
        <f t="shared" si="482"/>
        <v>0</v>
      </c>
      <c r="HI652" s="1034">
        <f>IF(HI650=TRUE,0,HI$16)</f>
        <v>13</v>
      </c>
      <c r="HJ652" s="1034">
        <f t="shared" ref="HJ652:HL652" si="483">IF(HJ650=TRUE,0,HJ$16)</f>
        <v>12</v>
      </c>
      <c r="HK652" s="1034">
        <f t="shared" si="483"/>
        <v>11</v>
      </c>
      <c r="HL652" s="1034">
        <f t="shared" si="483"/>
        <v>10</v>
      </c>
      <c r="HM652" s="1034">
        <f>IF(HM650=TRUE,0,HM$16)</f>
        <v>9</v>
      </c>
      <c r="HN652" s="1034">
        <f t="shared" ref="HN652:HR652" si="484">IF(HN650=TRUE,0,HN$16)</f>
        <v>0</v>
      </c>
      <c r="HO652" s="1034">
        <f t="shared" si="484"/>
        <v>0</v>
      </c>
      <c r="HP652" s="1034">
        <f t="shared" si="484"/>
        <v>0</v>
      </c>
      <c r="HQ652" s="1034">
        <f t="shared" si="484"/>
        <v>0</v>
      </c>
      <c r="HR652" s="1034">
        <f t="shared" si="484"/>
        <v>0</v>
      </c>
      <c r="HS652" s="1034">
        <f>IF(HS650=TRUE,0,HS$16)</f>
        <v>0</v>
      </c>
      <c r="HT652" s="1034">
        <f t="shared" ref="HT652" si="485">IF(HT650=TRUE,0,HT$16)</f>
        <v>0</v>
      </c>
      <c r="HU652" s="1034">
        <f>IF(HU650=TRUE,0,HU$16)</f>
        <v>1</v>
      </c>
      <c r="HW652" s="1034">
        <f>IF(GL650=FALSE,GL652,IF(GM650=FALSE,GM652,MAX(GJ652:HU652)))</f>
        <v>36</v>
      </c>
      <c r="HX652" s="1383"/>
      <c r="HY652" s="241" t="str">
        <f>VLOOKUP(HW652,_Error_Table,3,FALSE)</f>
        <v xml:space="preserve"> </v>
      </c>
      <c r="HZ652" s="241"/>
      <c r="IA652" s="1386"/>
      <c r="IB652" s="1380"/>
      <c r="IC652" s="1379"/>
      <c r="IF652" s="1380"/>
      <c r="IG652" s="1383"/>
      <c r="IH652" s="1383"/>
      <c r="II652" s="1383"/>
      <c r="IK652" s="1351"/>
      <c r="IL652" s="1351"/>
      <c r="IM652" s="1351"/>
      <c r="IN652" s="1351"/>
      <c r="IO652" s="1351"/>
      <c r="IP652" s="1351"/>
    </row>
    <row r="653" spans="1:250" s="82" customFormat="1" ht="5.0999999999999996" customHeight="1" thickBot="1">
      <c r="B653" s="763"/>
      <c r="C653" s="1038"/>
      <c r="D653" s="1038"/>
      <c r="E653" s="1490"/>
      <c r="F653" s="1490"/>
      <c r="G653" s="1490"/>
      <c r="H653" s="1490"/>
      <c r="I653" s="1490"/>
      <c r="J653" s="1490"/>
      <c r="K653" s="1490"/>
      <c r="L653" s="1490"/>
      <c r="M653" s="1490"/>
      <c r="N653" s="1490"/>
      <c r="O653" s="1490"/>
      <c r="P653" s="1490"/>
      <c r="Q653" s="1490"/>
      <c r="R653" s="1490"/>
      <c r="S653" s="1490"/>
      <c r="T653" s="1490"/>
      <c r="U653" s="1490"/>
      <c r="V653" s="1490"/>
      <c r="W653" s="1490"/>
      <c r="X653" s="1490"/>
      <c r="Y653" s="1490"/>
      <c r="Z653" s="1490"/>
      <c r="AA653" s="1490"/>
      <c r="AB653" s="1490"/>
      <c r="AC653" s="1490"/>
      <c r="AD653" s="1490"/>
      <c r="AE653" s="1490"/>
      <c r="AF653" s="1490"/>
      <c r="AG653" s="1490"/>
      <c r="AH653" s="1490"/>
      <c r="AI653" s="1490"/>
      <c r="AJ653" s="1490"/>
      <c r="AK653" s="1490"/>
      <c r="AL653" s="1490"/>
      <c r="AM653" s="1490"/>
      <c r="AN653" s="1490"/>
      <c r="AO653" s="1490"/>
      <c r="AP653" s="1490"/>
      <c r="AQ653" s="1490"/>
      <c r="AR653" s="1490"/>
      <c r="AS653" s="1490"/>
      <c r="AT653" s="1490"/>
      <c r="AU653" s="1041"/>
      <c r="BC653" s="38"/>
      <c r="BD653" s="38"/>
      <c r="BE653" s="38"/>
      <c r="BF653" s="38"/>
      <c r="BG653" s="38"/>
      <c r="BH653" s="38"/>
      <c r="BI653" s="38"/>
      <c r="BJ653" s="38"/>
      <c r="BK653" s="38"/>
      <c r="BL653" s="38"/>
      <c r="BM653" s="38"/>
      <c r="BN653" s="38"/>
      <c r="BO653" s="38"/>
      <c r="BP653" s="38"/>
      <c r="BQ653" s="38"/>
      <c r="BR653" s="38"/>
      <c r="BS653" s="38"/>
      <c r="BT653" s="38"/>
      <c r="BU653" s="38"/>
      <c r="BV653" s="38"/>
      <c r="BW653" s="38"/>
      <c r="BX653" s="38"/>
      <c r="BY653" s="38"/>
      <c r="BZ653" s="38"/>
      <c r="CA653" s="38"/>
      <c r="CB653" s="38"/>
      <c r="CC653" s="38"/>
      <c r="CD653" s="38"/>
      <c r="CE653" s="38"/>
      <c r="CF653" s="38"/>
      <c r="CG653" s="38"/>
      <c r="CH653" s="38"/>
      <c r="CI653" s="38"/>
      <c r="CM653" s="749"/>
      <c r="CN653" s="749"/>
      <c r="CO653" s="1043"/>
      <c r="CP653" s="749"/>
      <c r="CS653" s="436"/>
      <c r="CT653" s="436"/>
      <c r="CU653" s="243"/>
      <c r="CV653" s="244"/>
      <c r="CW653" s="244"/>
      <c r="CX653" s="244"/>
      <c r="CY653" s="245"/>
      <c r="CZ653" s="245"/>
      <c r="DA653" s="245"/>
      <c r="DC653" s="750"/>
      <c r="DD653" s="751"/>
      <c r="DE653" s="752"/>
      <c r="DF653" s="753"/>
      <c r="DG653" s="754"/>
      <c r="DH653" s="754"/>
      <c r="DK653" s="244"/>
      <c r="DL653" s="750"/>
      <c r="DN653" s="750"/>
      <c r="DO653" s="755"/>
      <c r="DP653" s="436"/>
      <c r="DQ653" s="750"/>
      <c r="DR653" s="750"/>
      <c r="DS653" s="750"/>
      <c r="DU653" s="750"/>
      <c r="DV653" s="750"/>
      <c r="DW653" s="750"/>
      <c r="DX653" s="750"/>
      <c r="DZ653" s="756"/>
      <c r="EA653" s="756"/>
      <c r="EC653" s="754"/>
      <c r="ED653" s="754"/>
      <c r="EE653" s="244"/>
      <c r="EF653" s="754"/>
      <c r="EG653" s="754"/>
      <c r="EH653" s="243"/>
      <c r="EI653" s="243"/>
      <c r="EJ653" s="752"/>
      <c r="EK653" s="757"/>
      <c r="EL653" s="757"/>
      <c r="EM653" s="758"/>
      <c r="EN653" s="758"/>
      <c r="EO653" s="752"/>
      <c r="EP653" s="752"/>
      <c r="EQ653" s="752"/>
      <c r="ES653" s="750"/>
      <c r="EU653" s="436"/>
      <c r="EV653" s="436"/>
      <c r="EW653" s="436"/>
      <c r="EX653" s="436"/>
      <c r="EY653" s="436"/>
      <c r="EZ653" s="436"/>
      <c r="FB653" s="643"/>
      <c r="FD653" s="436"/>
      <c r="FE653" s="436"/>
      <c r="FF653" s="436"/>
      <c r="FO653" s="750"/>
      <c r="FP653" s="436"/>
      <c r="FQ653" s="436"/>
      <c r="FR653" s="750"/>
      <c r="FS653" s="750"/>
      <c r="FW653" s="749"/>
      <c r="FX653" s="749"/>
      <c r="FY653" s="749"/>
      <c r="FZ653" s="749"/>
      <c r="GA653" s="749"/>
      <c r="GB653" s="749"/>
      <c r="GC653" s="749"/>
      <c r="GD653" s="749"/>
      <c r="GE653" s="751"/>
      <c r="GF653" s="750"/>
      <c r="GG653" s="750"/>
    </row>
    <row r="654" spans="1:250" s="82" customFormat="1" ht="14.95" customHeight="1" thickTop="1" thickBot="1">
      <c r="B654" s="1421" t="str">
        <f>HY657</f>
        <v xml:space="preserve"> </v>
      </c>
      <c r="C654" s="1422">
        <f>C649+1</f>
        <v>119</v>
      </c>
      <c r="D654" s="1423"/>
      <c r="E654" s="1424" t="s">
        <v>242</v>
      </c>
      <c r="F654" s="1425"/>
      <c r="G654" s="1426"/>
      <c r="H654" s="1427"/>
      <c r="I654" s="1427"/>
      <c r="J654" s="1427"/>
      <c r="K654" s="1427"/>
      <c r="L654" s="1427"/>
      <c r="M654" s="1427"/>
      <c r="N654" s="1427"/>
      <c r="O654" s="1427"/>
      <c r="P654" s="1427"/>
      <c r="Q654" s="1427"/>
      <c r="R654" s="1427"/>
      <c r="S654" s="1428" t="s">
        <v>283</v>
      </c>
      <c r="T654" s="668" t="s">
        <v>190</v>
      </c>
      <c r="U654" s="1430" t="s">
        <v>186</v>
      </c>
      <c r="V654" s="1431"/>
      <c r="W654" s="1431"/>
      <c r="X654" s="1431"/>
      <c r="Y654" s="1431"/>
      <c r="Z654" s="1431"/>
      <c r="AA654" s="1431"/>
      <c r="AB654" s="1047" t="str">
        <f>IFERROR(IF(__Retrofit_TI_NC=0,VLOOKUP(U655,Fixtures_Existing_List,2,FALSE),ROUND(N656*R656/T656,10)),"")</f>
        <v/>
      </c>
      <c r="AC654" s="1039" t="str">
        <f>IFERROR(IF(__Retrofit_TI_NC=0,ROUND(T655*AB654*N655*R655/1000,0),IF(CN654="Interior",N656*R656*R655*N655*_C406_reduction/1000,N656*R656*R655*N655/1000)),"")</f>
        <v/>
      </c>
      <c r="AD654" s="1040" t="str">
        <f>IFERROR(IF(C$36=0,ROUND(T655*AB654/1000,2),N656*R656/1000),"")</f>
        <v/>
      </c>
      <c r="AE654" s="1044" t="s">
        <v>190</v>
      </c>
      <c r="AF654" s="1432" t="str">
        <f>IF(__Retrofit_TI_NC=2,CONCATENATE("Code min = ",DD654),IF(__Retrofit_TI_NC=1,"Emter what you think the existing control was"," Control"))</f>
        <v xml:space="preserve"> Control</v>
      </c>
      <c r="AG654" s="1432"/>
      <c r="AH654" s="1432"/>
      <c r="AI654" s="1432"/>
      <c r="AJ654" s="1433">
        <f>DF654</f>
        <v>0</v>
      </c>
      <c r="AK654" s="1435" t="str">
        <f>IFERROR(ROUND(AJ654*AC654,0),"")</f>
        <v/>
      </c>
      <c r="AL654" s="1437">
        <f>IFERROR(IF(HW654=FALSE,0,AC654-AK654),0)</f>
        <v>0</v>
      </c>
      <c r="AM654" s="1439">
        <f>AL654-AL656</f>
        <v>0</v>
      </c>
      <c r="AN654" s="1440"/>
      <c r="AO654" s="1445">
        <f>IFERROR(IF(HW654=FALSE,0,(T656*U657)+(AE656*AF657)),0)</f>
        <v>0</v>
      </c>
      <c r="AP654" s="1445"/>
      <c r="AQ654" s="1446"/>
      <c r="AR654" s="1451" t="s">
        <v>157</v>
      </c>
      <c r="AS654" s="1454">
        <f>IF(AR654="Yes",1,0)</f>
        <v>1</v>
      </c>
      <c r="AT654" s="1457" t="str">
        <f>IF(OR(DN654=4,DN654=5,DN654=6,DN654=12),CONCATENATE("$",IF(GD654=TRUE,Lookup!$B$11,Lookup!$B$2)," /lamp"),CONCATENATE(EA654,"/ kWh"))</f>
        <v>0/ kWh</v>
      </c>
      <c r="AU654" s="516"/>
      <c r="AV654" s="1478">
        <f>IFERROR(IF(GI655=TRUE,(AB657*T656)/R656,0),"NA")</f>
        <v>0</v>
      </c>
      <c r="AW654" s="1478" t="str">
        <f>IFERROR(N656*_C406_reduction,"NA")</f>
        <v>NA</v>
      </c>
      <c r="BC654" s="38"/>
      <c r="BD654" s="38"/>
      <c r="BE654" s="38"/>
      <c r="BF654" s="38"/>
      <c r="BG654" s="38"/>
      <c r="BH654" s="38"/>
      <c r="BI654" s="38"/>
      <c r="BJ654" s="38"/>
      <c r="BK654" s="38"/>
      <c r="BL654" s="38"/>
      <c r="BM654" s="38"/>
      <c r="BN654" s="38"/>
      <c r="BO654" s="38"/>
      <c r="BP654" s="38"/>
      <c r="BQ654" s="38"/>
      <c r="BR654" s="38"/>
      <c r="BS654" s="38"/>
      <c r="BT654" s="38"/>
      <c r="BU654" s="38"/>
      <c r="BV654" s="38"/>
      <c r="BW654" s="38"/>
      <c r="BX654" s="38"/>
      <c r="BY654" s="38"/>
      <c r="BZ654" s="38"/>
      <c r="CA654" s="38"/>
      <c r="CB654" s="38"/>
      <c r="CC654" s="38"/>
      <c r="CD654" s="38"/>
      <c r="CE654" s="38"/>
      <c r="CF654" s="38"/>
      <c r="CG654" s="38"/>
      <c r="CH654" s="38"/>
      <c r="CI654" s="38"/>
      <c r="CM654" s="1352" t="str">
        <f>N655</f>
        <v/>
      </c>
      <c r="CN654" s="1352" t="str">
        <f>IFERROR(VLOOKUP(G655,_Lookup_Heat_Type_Table_New,3,FALSE),"")</f>
        <v/>
      </c>
      <c r="CO654" s="1415" t="str">
        <f>CN654</f>
        <v/>
      </c>
      <c r="CP654" s="1417" t="e">
        <f>VLOOKUP(G656,'Space Table'!$B$3:$L$160,9,FALSE)</f>
        <v>#N/A</v>
      </c>
      <c r="CR654" s="1386" t="s">
        <v>283</v>
      </c>
      <c r="CS654" s="1353">
        <f>IF(HW654=TRUE,T655,0)</f>
        <v>0</v>
      </c>
      <c r="CT654" s="1353" t="str">
        <f>IF(HW654=TRUE,U655,"")</f>
        <v/>
      </c>
      <c r="CU654" s="1353"/>
      <c r="CV654" s="1370">
        <f>IF(HW654=TRUE,AB654,0)</f>
        <v>0</v>
      </c>
      <c r="CW654" s="1370">
        <f>IF(HW654=TRUE,AC654,0)</f>
        <v>0</v>
      </c>
      <c r="CX654" s="1370">
        <f>IFERROR(IF(HW654=TRUE,CW654-CW656,0),0)</f>
        <v>0</v>
      </c>
      <c r="CY654" s="1485">
        <f>IF(HW654=TRUE,AD654,0)</f>
        <v>0</v>
      </c>
      <c r="CZ654" s="1485">
        <f>IF(HW654=TRUE,AD657,0)</f>
        <v>0</v>
      </c>
      <c r="DA654" s="1485">
        <f>IFERROR(CY654-CZ654,0)</f>
        <v>0</v>
      </c>
      <c r="DC654" s="1353">
        <f>IF(HW654=TRUE,AE655,0)</f>
        <v>0</v>
      </c>
      <c r="DD654" s="1460">
        <f>IF(__Retrofit_TI_NC=2,IF(CN654="Exterior",O657,FM654),FK654)</f>
        <v>0</v>
      </c>
      <c r="DE654" s="1353"/>
      <c r="DF654" s="1406">
        <f>IFERROR(IF(FL654=3,IK654,IF(FL654=4,IL654,IF(FL654=5,IM654,IF(FL654=6,IN654,IF(FL654=7,IO654,IF(FL654=8,IP654,0)))))),0)</f>
        <v>0</v>
      </c>
      <c r="DG654" s="1370">
        <f>IF(HW654=TRUE,AK654,0)</f>
        <v>0</v>
      </c>
      <c r="DH654" s="1369">
        <f>IFERROR(IF(HW654=TRUE,DG656-DG654,0),0)</f>
        <v>0</v>
      </c>
      <c r="DJ654" s="1483">
        <f>IFERROR(CW654-DG654,0)</f>
        <v>0</v>
      </c>
      <c r="DL654" s="1419">
        <f>DJ654-DK656</f>
        <v>0</v>
      </c>
      <c r="DN654" s="1403" t="str">
        <f>IFERROR(IF(AND(OR(FY654=4,FY654=5,FY654=6),OR(GB654=4,GB654=5,GB654=6)),FY654+8,VLOOKUP(CT656,Fixtures!R$31:Y$78,8,FALSE)),"")</f>
        <v/>
      </c>
      <c r="DO654" s="1404" t="str">
        <f>DN654</f>
        <v/>
      </c>
      <c r="DP654" s="1353" t="str">
        <f>IFERROR(VLOOKUP(DD656,Lookup!AU$3:AV$15,2,FALSE),"")</f>
        <v/>
      </c>
      <c r="DQ654" s="1404" t="str">
        <f>IF(DP654=7,"LLLC","")</f>
        <v/>
      </c>
      <c r="DR654" s="1403">
        <f>IFERROR(IF(OR(DN654=4,DN654=5,DN654=6,DN654=12,DN654=13,DN654=14),VLOOKUP(CT656,Fixtures!DN$27:EG$77,19,FALSE),1)*CS656,0)</f>
        <v>0</v>
      </c>
      <c r="DS654" s="1489">
        <f>IF(DP654=7,IF(DD654=DD656,0,DC656),0)</f>
        <v>0</v>
      </c>
      <c r="DU654" s="1403" t="str">
        <f>IFERROR(IF(EW654&lt;EW656,"Yes","No"),"")</f>
        <v/>
      </c>
      <c r="DV654" s="1404" t="str">
        <f>DU654</f>
        <v/>
      </c>
      <c r="DW654" s="1403">
        <f>IF(DU654="Yes",DC656,0)</f>
        <v>0</v>
      </c>
      <c r="DX654" s="1403">
        <f>DW654-DS654</f>
        <v>0</v>
      </c>
      <c r="DZ654" s="1481">
        <f>IFERROR(VLOOKUP(DN654,Lookup!AN$3:AO$16,2,FALSE),0)</f>
        <v>0</v>
      </c>
      <c r="EA654" s="1481">
        <f>IF(HW654=FALSE,0,IF(DU654="Yes",DZ654+Lookup!B$6,DZ654))</f>
        <v>0</v>
      </c>
      <c r="EC654" s="1482">
        <f>IF(HW654=TRUE,DJ654,0)</f>
        <v>0</v>
      </c>
      <c r="ED654" s="1369">
        <f>IF(HW654=TRUE,CW656,0)</f>
        <v>0</v>
      </c>
      <c r="EE654" s="1370">
        <f>IFERROR(EC654-ED654,0)</f>
        <v>0</v>
      </c>
      <c r="EF654" s="1369">
        <f>IF(HW654=TRUE,DG656,0)</f>
        <v>0</v>
      </c>
      <c r="EG654" s="1369">
        <f>IFERROR(EC654-ED654+EF654,0)</f>
        <v>0</v>
      </c>
      <c r="EH654" s="1373">
        <f>IF(HW654=TRUE,CS656*CU656,0)</f>
        <v>0</v>
      </c>
      <c r="EI654" s="1373">
        <f>IF(HW654=TRUE,DC656*DE656,0)</f>
        <v>0</v>
      </c>
      <c r="EJ654" s="1363">
        <f>AO654</f>
        <v>0</v>
      </c>
      <c r="EK654" s="1376" t="str">
        <f>IFERROR(IF(HW654=TRUE,VLOOKUP(DN654,Lookup!AN$3:AP$16,3,FALSE)*DR654,""),0)</f>
        <v/>
      </c>
      <c r="EL654" s="1376">
        <f>IF(HW654=TRUE,DW654*Lookup!AP$12,0)</f>
        <v>0</v>
      </c>
      <c r="EM654" s="1362">
        <f>IFERROR(IF(HW654=TRUE,EK654/EM$33,0),0)</f>
        <v>0</v>
      </c>
      <c r="EN654" s="1362">
        <f>IF(HW654=TRUE,EL654/EN$33,0)</f>
        <v>0</v>
      </c>
      <c r="EO654" s="1363">
        <f>IF(HW654=TRUE,EQ$33*EM654,0)</f>
        <v>0</v>
      </c>
      <c r="EP654" s="1363">
        <f>IF(HW654=TRUE,EQ$33*EN654,0)</f>
        <v>0</v>
      </c>
      <c r="EQ654" s="1363">
        <f>EO654+EP654</f>
        <v>0</v>
      </c>
      <c r="ES654" s="1403">
        <f>IF(G654="",0,1)</f>
        <v>0</v>
      </c>
      <c r="EU654" s="1410" t="e">
        <f>VLOOKUP(CP656,'Space Table'!$B$3:$L$160,8,FALSE)</f>
        <v>#N/A</v>
      </c>
      <c r="EV654" s="1410" t="e">
        <f>IF(EY654="Yes",VLOOKUP(DD654,Lookup_Control_Type_Table2,4,FALSE),VLOOKUP(DD654,Lookup_Control_Type_Table2,3,FALSE))</f>
        <v>#N/A</v>
      </c>
      <c r="EW654" s="1410" t="e">
        <f>VLOOKUP(DD654,Lookup!AU$3:AV$15,2,FALSE)</f>
        <v>#N/A</v>
      </c>
      <c r="EX654" s="1410" t="e">
        <f>VLOOKUP(EU654,Lookup_Control_Type_Table,2,FALSE)</f>
        <v>#N/A</v>
      </c>
      <c r="EY654" s="1410" t="e">
        <f>VLOOKUP(CP656,'Space Table'!$B$3:$L$160,7,FALSE)</f>
        <v>#N/A</v>
      </c>
      <c r="EZ654" s="1412" t="b">
        <f>ISNUMBER(SEARCH("TLED",U656))</f>
        <v>0</v>
      </c>
      <c r="FB654" s="1365" t="str">
        <f>CONCATENATE(CN654," - ",DD654)</f>
        <v xml:space="preserve"> - 0</v>
      </c>
      <c r="FD654" s="1353" t="str">
        <f>VLOOKUP(CT656,Fixtures!DN$27:EZ$77,38,FALSE)</f>
        <v/>
      </c>
      <c r="FE654" s="1353">
        <f>IFERROR(FD654*EE654,0)</f>
        <v>0</v>
      </c>
      <c r="FF654" s="138"/>
      <c r="FI654" s="1356" t="str">
        <f>IF(CN654="Exterior","Not Daylighted",G657)</f>
        <v>Not Daylighted</v>
      </c>
      <c r="FJ654" s="1356">
        <f>VLOOKUP(FI654,_Daylight_Table_Codes,2,FALSE)</f>
        <v>0</v>
      </c>
      <c r="FK654" s="1365">
        <f>IF(__Retrofit_TI_NC=2,VLOOKUP(G656,'Space Table'!$B$3:$L$160,11,FALSE),AF655)</f>
        <v>0</v>
      </c>
      <c r="FL654" s="1365" t="e">
        <f>VLOOKUP(FK654,_Control_Table,2,FALSE)</f>
        <v>#N/A</v>
      </c>
      <c r="FM654" s="1365" t="e">
        <f>IF(AND(FP654&gt;0,FK654="Occupancy Sensor"),"Daylight + Occupancy",IF(AND(FP654&gt;0,FL654&lt;4),"Interior Daylight Dimming",FK654))</f>
        <v>#N/A</v>
      </c>
      <c r="FO654" s="1364">
        <f>IF(CO654="Interior",VLOOKUP(CP654,Control_Savings_Interior,5,FALSE),0)</f>
        <v>0</v>
      </c>
      <c r="FP654" s="1361">
        <f>IF(CN654="Exterior",0,IF(FJ654=2,0.5,IF(OR(FJ654=1,FJ654=3),1,0)))</f>
        <v>0</v>
      </c>
      <c r="FQ654" s="1366"/>
      <c r="FR654" s="1367"/>
      <c r="FS654" s="1364"/>
      <c r="FT654" s="1367"/>
      <c r="FU654" s="1360"/>
      <c r="FW654" s="1352" t="str">
        <f>IFERROR(VLOOKUP(U655,_Exist_Fixture_Table,3,FALSE),"")</f>
        <v/>
      </c>
      <c r="FX654" s="1352" t="str">
        <f>VLOOKUP(CT654,_Exist_Fixture_Table,4,FALSE)</f>
        <v/>
      </c>
      <c r="FY654" s="1352">
        <f>IFERROR(VLOOKUP(FX654,Lookup!AM$6:AN$8,2,FALSE),0)</f>
        <v>0</v>
      </c>
      <c r="FZ654" s="1352" t="b">
        <f>IFERROR(IF(OR(GB654=4,GB654=5,GB654=6),TRUE,FALSE),"")</f>
        <v>0</v>
      </c>
      <c r="GA654" s="1352" t="str">
        <f>IFERROR(VLOOKUP(GB654,FY$6:FZ$10,2,FALSE),"")</f>
        <v/>
      </c>
      <c r="GB654" s="1352" t="str">
        <f>VLOOKUP(CT656,Fixtures!R$31:Y$78,8,FALSE)</f>
        <v/>
      </c>
      <c r="GC654" s="1352">
        <f>IF(AND(FW654=TRUE,FZ654=TRUE,OR(DN654=12,DN654=13,DN654=14)),FY654+8,0)</f>
        <v>0</v>
      </c>
      <c r="GD654" s="1352" t="b">
        <f>IF(OR(GC654=12,GC654=13,GC654=14),TRUE,FALSE)</f>
        <v>0</v>
      </c>
      <c r="GE654" s="759" t="b">
        <f>IF(ISNUMBER(SEARCH("TLED",U655)),TRUE,FALSE)</f>
        <v>0</v>
      </c>
      <c r="GF654" s="1035" t="str">
        <f>IFERROR(VLOOKUP(U655,Fixtures!BM$93:BR$142,6,FALSE),"")</f>
        <v/>
      </c>
      <c r="GG654" s="1385" t="b">
        <f>IF(OR(GE654=FALSE,GE656=FALSE),TRUE,IF(GF654-GF656&lt;5,FALSE,TRUE))</f>
        <v>1</v>
      </c>
      <c r="GK654" s="1034">
        <f>GL654</f>
        <v>0</v>
      </c>
      <c r="GL654" s="1034">
        <f>IF(G654="",0,1)</f>
        <v>0</v>
      </c>
      <c r="GM654" s="1034">
        <f>SUM(GN654:HB654)</f>
        <v>2</v>
      </c>
      <c r="GN654" s="1034">
        <f>IF(G655="",0,1)</f>
        <v>0</v>
      </c>
      <c r="GO654" s="1034">
        <f>IF(G656="",0,1)</f>
        <v>0</v>
      </c>
      <c r="GP654" s="1034">
        <f>IF(R655="",0,1)</f>
        <v>0</v>
      </c>
      <c r="GQ654" s="1034">
        <f>IF(__Retrofit_TI_NC=0,1,IF(R656="",0,1))</f>
        <v>1</v>
      </c>
      <c r="GR654" s="1034">
        <f>IF(CN654="Exterior",1,IF(G657="",0,1))</f>
        <v>1</v>
      </c>
      <c r="GS654" s="1034">
        <f>IF(__Retrofit_TI_NC&lt;&gt;0,1,IF(T655="",0,1))</f>
        <v>0</v>
      </c>
      <c r="GT654" s="1034">
        <f>IF(__Retrofit_TI_NC&lt;&gt;0,1,IF(U655="",0,1))</f>
        <v>0</v>
      </c>
      <c r="GU654" s="1034">
        <f>IF(T656="",0,1)</f>
        <v>0</v>
      </c>
      <c r="GV654" s="1034">
        <f>IF(U656="",0,1)</f>
        <v>0</v>
      </c>
      <c r="GW654" s="1034">
        <f>IF(__Retrofit_TI_NC=2,1,IF(U657="",0,1))</f>
        <v>0</v>
      </c>
      <c r="GX654" s="1034">
        <f>IF(__Retrofit_TI_NC&lt;&gt;0,1,IF(AE655="",0,1))</f>
        <v>0</v>
      </c>
      <c r="GY654" s="1034">
        <f>IF(__Retrofit_TI_NC&lt;&gt;0,1,IF(AF655="",0,1))</f>
        <v>0</v>
      </c>
      <c r="GZ654" s="1034">
        <f>IF(AE656="",0,1)</f>
        <v>0</v>
      </c>
      <c r="HA654" s="1034">
        <f>IF(AF656="",0,1)</f>
        <v>0</v>
      </c>
      <c r="HB654" s="1034">
        <f>IF(__Retrofit_TI_NC=2,1,IF(AF657="",0,1))</f>
        <v>0</v>
      </c>
      <c r="HV654" s="436"/>
      <c r="HW654" s="1384" t="b">
        <f>IF(OR(HW657=0,HW657=HT$16,HW657=HS$16,HW657=HU$16),TRUE,FALSE)</f>
        <v>0</v>
      </c>
      <c r="HX654" s="1377" t="b">
        <f>HW654</f>
        <v>0</v>
      </c>
      <c r="HY654" s="436"/>
      <c r="HZ654" s="436"/>
      <c r="IA654" s="1386" t="b">
        <f>IF(MAX(GJ657:HP657)&gt;5,FALSE,TRUE)</f>
        <v>0</v>
      </c>
      <c r="IB654" s="1380">
        <f>IF(IA654=TRUE,AC654,0)</f>
        <v>0</v>
      </c>
      <c r="IC654" s="1380">
        <f>IB654-IB656</f>
        <v>0</v>
      </c>
      <c r="IF654" s="1380" t="e">
        <f>ROUND(T655*VLOOKUP(U655,Fixtures_Existing_List,2,FALSE)*N655*R655/1000,0)</f>
        <v>#N/A</v>
      </c>
      <c r="IG654" s="1381" t="e">
        <f>IF654-IF656</f>
        <v>#N/A</v>
      </c>
      <c r="IH654" s="1384" t="e">
        <f>ROUND(IF(CN654="Interior",N656*R656*R655*N655*_C406_reduction/1000,N656*R656*R655*N655/1000),0)</f>
        <v>#N/A</v>
      </c>
      <c r="II654" s="1384" t="e">
        <f>IH654-IH656</f>
        <v>#N/A</v>
      </c>
      <c r="IK654" s="1351" t="e">
        <f>IF($CO654="interior",IL654/2,VLOOKUP($CP654,Control_Savings_Exterior,IK$30,FALSE))</f>
        <v>#N/A</v>
      </c>
      <c r="IL654" s="1351" t="e">
        <f>IF($CO654="interior",VLOOKUP($CP654,Control_Savings_Interior,IL$30,FALSE),VLOOKUP($CP654,Control_Savings_Exterior,IL$30,FALSE))</f>
        <v>#N/A</v>
      </c>
      <c r="IM654" s="1351" t="e">
        <f>IF($CO654="interior",IF(R655&gt;FO$37,(IM$28*(FO$37/R655)),IM$28)*FP654,VLOOKUP($CP654,Control_Savings_Exterior,IM$30,FALSE))</f>
        <v>#N/A</v>
      </c>
      <c r="IN654" s="1351" t="e">
        <f>IF($CO654="interior",ROUND(((1-IL654)*IM654)+IL654,2),VLOOKUP($CP654,Control_Savings_Exterior,IN$30,FALSE))</f>
        <v>#N/A</v>
      </c>
      <c r="IO654" s="1351" t="e">
        <f>IF($CO654="interior", ROUND(((1-IL654)*(IM654*(1-IP$28)))+IP654,2), VLOOKUP($CP654,Control_Savings_Exterior,IO$30,FALSE))</f>
        <v>#N/A</v>
      </c>
      <c r="IP654" s="1351">
        <f>IF($CO654="interior",ROUND(((1-IL654)*IP$28)+IL654,2),0)</f>
        <v>0</v>
      </c>
    </row>
    <row r="655" spans="1:250" s="82" customFormat="1" ht="14.95" customHeight="1" thickTop="1" thickBot="1">
      <c r="B655" s="1421"/>
      <c r="C655" s="1422"/>
      <c r="D655" s="1423"/>
      <c r="E655" s="1393" t="s">
        <v>244</v>
      </c>
      <c r="F655" s="1394"/>
      <c r="G655" s="1395"/>
      <c r="H655" s="1395"/>
      <c r="I655" s="1395"/>
      <c r="J655" s="1395"/>
      <c r="K655" s="1395"/>
      <c r="L655" s="1395"/>
      <c r="M655" s="509" t="e">
        <f>IF(__Retrofit_TI_NC&lt;&gt;0,IF(VLOOKUP(G656,'Space Table'!$B$3:$L$160,3,FALSE)&gt;0,1,0),IF(__Retrofit_TI_NC=VLOOKUP(G656,'Space Table'!$B$3:$L$160,3,FALSE),1,0))</f>
        <v>#N/A</v>
      </c>
      <c r="N655" s="509" t="str">
        <f>IFERROR(VLOOKUP(G655,_Lookup_Heat_Type_Table_New,2,FALSE),"")</f>
        <v/>
      </c>
      <c r="O655" s="509">
        <f>IF(__Retrofit_TI_NC=1,CONCATENATE("TI ",G655),IF(__Retrofit_TI_NC=2,CONCATENATE("NC ",G655),G655))</f>
        <v>0</v>
      </c>
      <c r="P655" s="1396" t="s">
        <v>352</v>
      </c>
      <c r="Q655" s="1396"/>
      <c r="R655" s="673"/>
      <c r="S655" s="1429"/>
      <c r="T655" s="675"/>
      <c r="U655" s="1496"/>
      <c r="V655" s="1497"/>
      <c r="W655" s="1497"/>
      <c r="X655" s="1497"/>
      <c r="Y655" s="1497"/>
      <c r="Z655" s="1497"/>
      <c r="AA655" s="1497"/>
      <c r="AB655" s="1497"/>
      <c r="AC655" s="1497"/>
      <c r="AD655" s="1498"/>
      <c r="AE655" s="675"/>
      <c r="AF655" s="1397"/>
      <c r="AG655" s="1397"/>
      <c r="AH655" s="1397"/>
      <c r="AI655" s="1397"/>
      <c r="AJ655" s="1434"/>
      <c r="AK655" s="1436"/>
      <c r="AL655" s="1438"/>
      <c r="AM655" s="1441"/>
      <c r="AN655" s="1442"/>
      <c r="AO655" s="1447"/>
      <c r="AP655" s="1447"/>
      <c r="AQ655" s="1448"/>
      <c r="AR655" s="1452"/>
      <c r="AS655" s="1455"/>
      <c r="AT655" s="1458"/>
      <c r="AU655" s="516"/>
      <c r="AV655" s="1479"/>
      <c r="AW655" s="1479"/>
      <c r="BC655" s="38"/>
      <c r="BD655" s="38"/>
      <c r="BE655" s="38"/>
      <c r="BF655" s="38"/>
      <c r="BG655" s="38"/>
      <c r="BH655" s="38"/>
      <c r="BI655" s="38"/>
      <c r="BJ655" s="38"/>
      <c r="BK655" s="38"/>
      <c r="BL655" s="38"/>
      <c r="BM655" s="38"/>
      <c r="BN655" s="38"/>
      <c r="BO655" s="38"/>
      <c r="BP655" s="38"/>
      <c r="BQ655" s="38"/>
      <c r="BR655" s="38"/>
      <c r="BS655" s="38"/>
      <c r="BT655" s="38"/>
      <c r="BU655" s="38"/>
      <c r="BV655" s="38"/>
      <c r="BW655" s="38"/>
      <c r="BX655" s="38"/>
      <c r="BY655" s="38"/>
      <c r="BZ655" s="38"/>
      <c r="CA655" s="38"/>
      <c r="CB655" s="38"/>
      <c r="CC655" s="38"/>
      <c r="CD655" s="38"/>
      <c r="CE655" s="38"/>
      <c r="CF655" s="38"/>
      <c r="CG655" s="38"/>
      <c r="CH655" s="38"/>
      <c r="CI655" s="38"/>
      <c r="CM655" s="1352"/>
      <c r="CN655" s="1352"/>
      <c r="CO655" s="1416"/>
      <c r="CP655" s="1418"/>
      <c r="CR655" s="1386"/>
      <c r="CS655" s="1355"/>
      <c r="CT655" s="1355"/>
      <c r="CU655" s="1355"/>
      <c r="CV655" s="1372"/>
      <c r="CW655" s="1372"/>
      <c r="CX655" s="1371"/>
      <c r="CY655" s="1486"/>
      <c r="CZ655" s="1486"/>
      <c r="DA655" s="1486"/>
      <c r="DC655" s="1355"/>
      <c r="DD655" s="1461"/>
      <c r="DE655" s="1355"/>
      <c r="DF655" s="1407"/>
      <c r="DG655" s="1372"/>
      <c r="DH655" s="1369"/>
      <c r="DJ655" s="1484"/>
      <c r="DL655" s="1419"/>
      <c r="DN655" s="1403"/>
      <c r="DO655" s="1405"/>
      <c r="DP655" s="1354"/>
      <c r="DQ655" s="1405"/>
      <c r="DR655" s="1403"/>
      <c r="DS655" s="1489"/>
      <c r="DU655" s="1403"/>
      <c r="DV655" s="1405"/>
      <c r="DW655" s="1403"/>
      <c r="DX655" s="1403"/>
      <c r="DZ655" s="1481"/>
      <c r="EA655" s="1481"/>
      <c r="EC655" s="1482"/>
      <c r="ED655" s="1369"/>
      <c r="EE655" s="1371"/>
      <c r="EF655" s="1369"/>
      <c r="EG655" s="1369"/>
      <c r="EH655" s="1374"/>
      <c r="EI655" s="1374"/>
      <c r="EJ655" s="1363"/>
      <c r="EK655" s="1376"/>
      <c r="EL655" s="1376"/>
      <c r="EM655" s="1362"/>
      <c r="EN655" s="1362"/>
      <c r="EO655" s="1363"/>
      <c r="EP655" s="1363"/>
      <c r="EQ655" s="1363"/>
      <c r="ES655" s="1403"/>
      <c r="EU655" s="1411"/>
      <c r="EV655" s="1411"/>
      <c r="EW655" s="1411"/>
      <c r="EX655" s="1411"/>
      <c r="EY655" s="1411"/>
      <c r="EZ655" s="1413"/>
      <c r="FB655" s="1365"/>
      <c r="FD655" s="1354"/>
      <c r="FE655" s="1354"/>
      <c r="FF655" s="138"/>
      <c r="FI655" s="1357"/>
      <c r="FJ655" s="1357"/>
      <c r="FK655" s="1365"/>
      <c r="FL655" s="1365"/>
      <c r="FM655" s="1365"/>
      <c r="FO655" s="1361"/>
      <c r="FP655" s="1361"/>
      <c r="FQ655" s="1366"/>
      <c r="FR655" s="1368"/>
      <c r="FS655" s="1361"/>
      <c r="FT655" s="1368"/>
      <c r="FU655" s="1360"/>
      <c r="FW655" s="1352"/>
      <c r="FX655" s="1352"/>
      <c r="FY655" s="1352"/>
      <c r="FZ655" s="1352"/>
      <c r="GA655" s="1352"/>
      <c r="GB655" s="1352"/>
      <c r="GC655" s="1352"/>
      <c r="GD655" s="1352"/>
      <c r="GE655" s="759"/>
      <c r="GF655" s="1035"/>
      <c r="GG655" s="1385"/>
      <c r="GI655" s="1384" t="b">
        <f>IF(AND(GL655=TRUE,GM655=TRUE),TRUE,FALSE)</f>
        <v>0</v>
      </c>
      <c r="GJ655" s="1379" t="b">
        <f>IFERROR(IF(__Retrofit_TI_NC=2,TRUE,IF(AR654="Yes",TRUE,FALSE)),FALSE)</f>
        <v>1</v>
      </c>
      <c r="GL655" s="1379" t="b">
        <f>IFERROR(IF(GL654=1,TRUE,FALSE),FALSE)</f>
        <v>0</v>
      </c>
      <c r="GM655" s="1379" t="b">
        <f>IFERROR(IF(GM654=GM$14,TRUE,FALSE),FALSE)</f>
        <v>0</v>
      </c>
      <c r="HC655" s="1379" t="b">
        <f>IFERROR(IF(M655=1,TRUE,FALSE),FALSE)</f>
        <v>0</v>
      </c>
      <c r="HD655" s="1379" t="b">
        <f>IFERROR(IF(M656=1,TRUE,FALSE),FALSE)</f>
        <v>0</v>
      </c>
      <c r="HE655" s="1379" t="b">
        <f>IFERROR(IF(__Retrofit_TI_NC&lt;&gt;0,TRUE,IFERROR(IF(VLOOKUP(U655,Fixtures_Existing_List,2,FALSE)&lt;&gt;"",TRUE,FALSE),FALSE)),FALSE)</f>
        <v>0</v>
      </c>
      <c r="HF655" s="1379" t="b">
        <f>IFERROR(IF(VLOOKUP(U656,Fixtures_Proposed_List,2,FALSE)&lt;&gt;"",TRUE,FALSE),FALSE)</f>
        <v>0</v>
      </c>
      <c r="HG655" s="1379" t="b">
        <f>IF(AND(__Retrofit_TI_NC=2,EZ654=TRUE),FALSE,TRUE)</f>
        <v>1</v>
      </c>
      <c r="HH655" s="1379" t="b">
        <f>GG654</f>
        <v>1</v>
      </c>
      <c r="HI655" s="1384" t="b">
        <f>IF(ISERROR(MATCH(FB654,_Control_Match[],0))=TRUE,FALSE,TRUE)</f>
        <v>0</v>
      </c>
      <c r="HJ655" s="1384" t="b">
        <f>IFERROR(IF(EU654&lt;&gt;EV654,FALSE,TRUE),FALSE)</f>
        <v>0</v>
      </c>
      <c r="HK655" s="1384" t="b">
        <f>IFERROR(IF(EU656&lt;&gt;EV656,FALSE,TRUE),FALSE)</f>
        <v>0</v>
      </c>
      <c r="HL655" s="1379" t="b">
        <f>IFERROR(IF(CN654="Exterior",TRUE,IF(OR(AND(FJ654=0,EW656&gt;4),AND(FJ654=4,EW656&gt;4,EW656&lt;7)),FALSE,TRUE)),FALSE)</f>
        <v>0</v>
      </c>
      <c r="HM655" s="1379" t="b">
        <f>IFERROR(IF(AND(FL656=7,EZ654=TRUE),FALSE,TRUE),FALSE)</f>
        <v>0</v>
      </c>
      <c r="HN655" s="1379" t="b">
        <f>IFERROR(IF(AND(T656&lt;&gt;AE656,AF656="Interior LLLC")=TRUE,FALSE,TRUE),FALSE)</f>
        <v>1</v>
      </c>
      <c r="HO655" s="1379" t="b">
        <f>IFERROR(IF(OR(AF656=Lookup!AU$13,AF656=Lookup!AU$14)=TRUE,IF(AE656&gt;T656,FALSE,TRUE),TRUE),FALSE)</f>
        <v>1</v>
      </c>
      <c r="HP655" s="1379" t="b">
        <f>IFERROR(IF(__Retrofit_TI_NC=2,IF(EW656&lt;EW654,FALSE,TRUE),TRUE),FALSE)</f>
        <v>1</v>
      </c>
      <c r="HQ655" s="1379" t="b">
        <f>IF(CN654="Interior",IG$6,TRUE)</f>
        <v>1</v>
      </c>
      <c r="HR655" s="1379" t="b">
        <f>IF(CN654="Exterior",IG$8,TRUE)</f>
        <v>1</v>
      </c>
      <c r="HS655" s="1379" t="b">
        <f>IFERROR(IF(__Retrofit_TI_NC&lt;&gt;0,IF(AW654&lt;AV654,FALSE,TRUE),TRUE),FALSE)</f>
        <v>1</v>
      </c>
      <c r="HT655" s="1379" t="b">
        <f>IFERROR(IF(AND(G655="Exterior",R655&gt;4200),FALSE,TRUE),FALSE)</f>
        <v>1</v>
      </c>
      <c r="HU655" s="1379" t="b">
        <f>IFERROR(IF(AB657/AB654&lt;HU$18,FALSE,TRUE),FALSE)</f>
        <v>0</v>
      </c>
      <c r="HW655" s="1382"/>
      <c r="HX655" s="1378"/>
      <c r="HY655" s="1377" t="str">
        <f>VLOOKUP(HW657,_Error_Table,4,FALSE)</f>
        <v>White</v>
      </c>
      <c r="HZ655" s="436"/>
      <c r="IA655" s="1386"/>
      <c r="IB655" s="1380"/>
      <c r="IC655" s="1379"/>
      <c r="IF655" s="1380"/>
      <c r="IG655" s="1382"/>
      <c r="IH655" s="1382"/>
      <c r="II655" s="1382"/>
      <c r="IK655" s="1351"/>
      <c r="IL655" s="1351"/>
      <c r="IM655" s="1351"/>
      <c r="IN655" s="1351"/>
      <c r="IO655" s="1351"/>
      <c r="IP655" s="1351"/>
    </row>
    <row r="656" spans="1:250" s="82" customFormat="1" ht="14.95" customHeight="1" thickTop="1" thickBot="1">
      <c r="A656" s="82">
        <f>ROW()</f>
        <v>656</v>
      </c>
      <c r="B656" s="1421"/>
      <c r="C656" s="1422"/>
      <c r="D656" s="1423"/>
      <c r="E656" s="1393" t="s">
        <v>245</v>
      </c>
      <c r="F656" s="1394"/>
      <c r="G656" s="1398"/>
      <c r="H656" s="1399"/>
      <c r="I656" s="1399"/>
      <c r="J656" s="1399"/>
      <c r="K656" s="1399"/>
      <c r="L656" s="1400"/>
      <c r="M656" s="509">
        <f>IFERROR(IF(IF(__Retrofit_TI_NC&lt;&gt;0,IF(CN654="Interior",MATCH(G656,Lookup_Interior_New,0),MATCH(G656,Lookup_Exterior_New,0)),IF(CN654="Interior",MATCH(G656,Lookup_Interior,0),MATCH(G656,Lookup_Exterior_Areas,0)))&gt;0,1,0),0)</f>
        <v>0</v>
      </c>
      <c r="N656" s="509" t="e">
        <f>IF(__Retrofit_TI_NC=1,
VLOOKUP(G656,'Space Table'!$B$3:$L$160,4,FALSE),
IF(__Retrofit_TI_NC=2,VLOOKUP(G656,'Space Table'!$B$3:$L$160,5,FALSE),VLOOKUP(G656,'Space Table'!$B$3:$L$160,5,FALSE)))</f>
        <v>#N/A</v>
      </c>
      <c r="O656" s="509">
        <f>G656</f>
        <v>0</v>
      </c>
      <c r="P656" s="1394" t="s">
        <v>355</v>
      </c>
      <c r="Q656" s="1394"/>
      <c r="R656" s="674"/>
      <c r="S656" s="1401" t="s">
        <v>284</v>
      </c>
      <c r="T656" s="672"/>
      <c r="U656" s="1499"/>
      <c r="V656" s="1500"/>
      <c r="W656" s="1500"/>
      <c r="X656" s="1500"/>
      <c r="Y656" s="1500"/>
      <c r="Z656" s="1500"/>
      <c r="AA656" s="1500"/>
      <c r="AB656" s="1501"/>
      <c r="AC656" s="1501"/>
      <c r="AD656" s="1502"/>
      <c r="AE656" s="672"/>
      <c r="AF656" s="1474"/>
      <c r="AG656" s="1474"/>
      <c r="AH656" s="1474"/>
      <c r="AI656" s="1474"/>
      <c r="AJ656" s="1475">
        <f>DF656</f>
        <v>0</v>
      </c>
      <c r="AK656" s="1470" t="str">
        <f>IFERROR(ROUND(AJ656*AC657,0),"")</f>
        <v/>
      </c>
      <c r="AL656" s="1472">
        <f>IFERROR(IF(HW654=FALSE,0,AC657-AK656),0)</f>
        <v>0</v>
      </c>
      <c r="AM656" s="1441"/>
      <c r="AN656" s="1442"/>
      <c r="AO656" s="1447"/>
      <c r="AP656" s="1447"/>
      <c r="AQ656" s="1448"/>
      <c r="AR656" s="1452"/>
      <c r="AS656" s="1455"/>
      <c r="AT656" s="1458"/>
      <c r="AU656" s="516"/>
      <c r="AV656" s="1479"/>
      <c r="AW656" s="1479"/>
      <c r="BC656" s="38"/>
      <c r="BD656" s="38"/>
      <c r="BE656" s="38"/>
      <c r="BF656" s="38"/>
      <c r="BG656" s="38"/>
      <c r="BH656" s="38"/>
      <c r="BI656" s="38"/>
      <c r="BJ656" s="38"/>
      <c r="BK656" s="38"/>
      <c r="BL656" s="38"/>
      <c r="BM656" s="38"/>
      <c r="BN656" s="38"/>
      <c r="BO656" s="38"/>
      <c r="BP656" s="38"/>
      <c r="BQ656" s="38"/>
      <c r="BR656" s="38"/>
      <c r="BS656" s="38"/>
      <c r="BT656" s="38"/>
      <c r="BU656" s="38"/>
      <c r="BV656" s="38"/>
      <c r="BW656" s="38"/>
      <c r="BX656" s="38"/>
      <c r="BY656" s="38"/>
      <c r="BZ656" s="38"/>
      <c r="CA656" s="38"/>
      <c r="CB656" s="38"/>
      <c r="CC656" s="38"/>
      <c r="CD656" s="38"/>
      <c r="CE656" s="38"/>
      <c r="CF656" s="38"/>
      <c r="CG656" s="38"/>
      <c r="CH656" s="38"/>
      <c r="CI656" s="38"/>
      <c r="CM656" s="1352"/>
      <c r="CN656" s="1352"/>
      <c r="CO656" s="1415" t="str">
        <f>CN654</f>
        <v/>
      </c>
      <c r="CP656" s="1417" t="e">
        <f>CP654</f>
        <v>#N/A</v>
      </c>
      <c r="CR656" s="1386" t="s">
        <v>284</v>
      </c>
      <c r="CS656" s="1353">
        <f>IF(HW654=TRUE,T656,0)</f>
        <v>0</v>
      </c>
      <c r="CT656" s="1353" t="str">
        <f>IF(HW654=TRUE,U656,"")</f>
        <v/>
      </c>
      <c r="CU656" s="1373">
        <f>IF(HW654=TRUE,U657,0)</f>
        <v>0</v>
      </c>
      <c r="CV656" s="1370">
        <f>IF(HW654=TRUE,AB657,0)</f>
        <v>0</v>
      </c>
      <c r="CW656" s="1370">
        <f>IF(HW654=TRUE,AC657,0)</f>
        <v>0</v>
      </c>
      <c r="CX656" s="1371"/>
      <c r="CY656" s="1486"/>
      <c r="CZ656" s="1486"/>
      <c r="DA656" s="1486"/>
      <c r="DC656" s="1353">
        <f>IF(HW654=TRUE,AE656,0)</f>
        <v>0</v>
      </c>
      <c r="DD656" s="1353" t="str">
        <f>IF(HW654=TRUE,AF656,"")</f>
        <v/>
      </c>
      <c r="DE656" s="1373">
        <f>AF657</f>
        <v>0</v>
      </c>
      <c r="DF656" s="1406">
        <f>IFERROR(IF(FL656=3,IK656,IF(FL656=4,IL656,IF(FL656=5,IM656,IF(FL656=6,IN656,IF(FL656=7,IO656,IF(FL656=8,IP656,0)))))),0)</f>
        <v>0</v>
      </c>
      <c r="DG656" s="1370">
        <f>IF(HW654=TRUE,AK656,0)</f>
        <v>0</v>
      </c>
      <c r="DH656" s="1369"/>
      <c r="DK656" s="1483">
        <f>IFERROR(CW656-DG656,0)</f>
        <v>0</v>
      </c>
      <c r="DL656" s="1420"/>
      <c r="DN656" s="1403"/>
      <c r="DO656" s="1477" t="str">
        <f>DN654</f>
        <v/>
      </c>
      <c r="DP656" s="1354"/>
      <c r="DQ656" s="1477" t="str">
        <f>IF(DP654=7,"LLLC","")</f>
        <v/>
      </c>
      <c r="DR656" s="1403"/>
      <c r="DS656" s="1489"/>
      <c r="DU656" s="1403"/>
      <c r="DV656" s="1404" t="str">
        <f>DU654</f>
        <v/>
      </c>
      <c r="DW656" s="1403"/>
      <c r="DX656" s="1403"/>
      <c r="DZ656" s="1481"/>
      <c r="EA656" s="1481"/>
      <c r="EC656" s="1482"/>
      <c r="ED656" s="1369"/>
      <c r="EE656" s="1371"/>
      <c r="EF656" s="1369"/>
      <c r="EG656" s="1369"/>
      <c r="EH656" s="1374"/>
      <c r="EI656" s="1374"/>
      <c r="EJ656" s="1363"/>
      <c r="EK656" s="1376"/>
      <c r="EL656" s="1376"/>
      <c r="EM656" s="1362"/>
      <c r="EN656" s="1362"/>
      <c r="EO656" s="1363"/>
      <c r="EP656" s="1363"/>
      <c r="EQ656" s="1363"/>
      <c r="ES656" s="1403"/>
      <c r="EU656" s="1411" t="e">
        <f>VLOOKUP(CP656,'Space Table'!$B$3:$L$160,8,FALSE)</f>
        <v>#N/A</v>
      </c>
      <c r="EV656" s="1411" t="e">
        <f>IF(EY656="Yes",VLOOKUP(AF656,Lookup_Control_Type_Table2,4,FALSE),VLOOKUP(AF656,Lookup_Control_Type_Table2,3,FALSE))</f>
        <v>#N/A</v>
      </c>
      <c r="EW656" s="1411" t="e">
        <f>VLOOKUP(AF656,Lookup!AU$3:AV$15,2,FALSE)</f>
        <v>#N/A</v>
      </c>
      <c r="EX656" s="1411" t="e">
        <f>VLOOKUP(EU654,Lookup_Control_Type_Table,2,FALSE)</f>
        <v>#N/A</v>
      </c>
      <c r="EY656" s="1411" t="e">
        <f>VLOOKUP(CP656,'Space Table'!$B$3:$L$160,7,FALSE)</f>
        <v>#N/A</v>
      </c>
      <c r="EZ656" s="1413"/>
      <c r="FB656" s="1365" t="str">
        <f>CONCATENATE(CN654," - ",AF656)</f>
        <v xml:space="preserve"> - </v>
      </c>
      <c r="FD656" s="1354"/>
      <c r="FE656" s="1354"/>
      <c r="FF656" s="138"/>
      <c r="FI656" s="1356" t="str">
        <f>IF(CN654="Exterior","Not Daylighted",G657)</f>
        <v>Not Daylighted</v>
      </c>
      <c r="FJ656" s="1356">
        <f>VLOOKUP(FI656,_Daylight_Table_Codes,2,FALSE)</f>
        <v>0</v>
      </c>
      <c r="FK656" s="1365">
        <f>AF656</f>
        <v>0</v>
      </c>
      <c r="FL656" s="1365" t="e">
        <f>VLOOKUP(FK656,_Control_Table,2,FALSE)</f>
        <v>#N/A</v>
      </c>
      <c r="FM656" s="1365" t="e">
        <f>IF(AND(FP656&gt;0,FK656="Occupancy Sensor"),"Daylight + Occupancy",IF(AND(FP656&gt;0,FL656&lt;4),"Interior Daylight Dimming",FK656))</f>
        <v>#N/A</v>
      </c>
      <c r="FO656" s="1364">
        <f>IF(CN654="Interior",VLOOKUP(CP654,Control_Savings_Interior,5,FALSE),0)</f>
        <v>0</v>
      </c>
      <c r="FP656" s="1361">
        <f>IF(CN656="Exterior",0,IF(FJ656=2,0.5,IF(OR(FJ656=1,FJ656=3),1,0)))</f>
        <v>0</v>
      </c>
      <c r="FQ656" s="1366">
        <f>IF(R655&gt;FO$37,(FO656*(FO$37/R655)),FO656)*FP656</f>
        <v>0</v>
      </c>
      <c r="FR656" s="1364">
        <f>DF656</f>
        <v>0</v>
      </c>
      <c r="FS656" s="1364">
        <f>ROUND(FR656+((1-FR656)*FQ656),2)</f>
        <v>0</v>
      </c>
      <c r="FT656" s="1364">
        <f>IF(__Retrofit_TI_NC=2,FS656,FR656)</f>
        <v>0</v>
      </c>
      <c r="FU656" s="1360">
        <f>IF(CO656="Interior",VLOOKUP(CP656,Control_Savings_Interior,4,FALSE),0)</f>
        <v>0</v>
      </c>
      <c r="FW656" s="1352"/>
      <c r="FX656" s="1352"/>
      <c r="FY656" s="1352"/>
      <c r="FZ656" s="1352"/>
      <c r="GA656" s="1352"/>
      <c r="GB656" s="1352"/>
      <c r="GC656" s="1352"/>
      <c r="GD656" s="1352"/>
      <c r="GE656" s="759" t="b">
        <f>IF(ISNUMBER(SEARCH("TLED",U656)),TRUE,FALSE)</f>
        <v>0</v>
      </c>
      <c r="GF656" s="1035" t="str">
        <f>IFERROR(VLOOKUP(U656,Fixtures!DM$93:DR$142,6,FALSE),"")</f>
        <v/>
      </c>
      <c r="GG656" s="1385"/>
      <c r="GI656" s="1383"/>
      <c r="GJ656" s="1379"/>
      <c r="GL656" s="1379"/>
      <c r="GM656" s="1379"/>
      <c r="HC656" s="1379"/>
      <c r="HD656" s="1379"/>
      <c r="HE656" s="1379"/>
      <c r="HF656" s="1379"/>
      <c r="HG656" s="1379"/>
      <c r="HH656" s="1379"/>
      <c r="HI656" s="1383"/>
      <c r="HJ656" s="1383"/>
      <c r="HK656" s="1383"/>
      <c r="HL656" s="1379"/>
      <c r="HM656" s="1379"/>
      <c r="HN656" s="1379"/>
      <c r="HO656" s="1379"/>
      <c r="HP656" s="1379"/>
      <c r="HQ656" s="1379"/>
      <c r="HR656" s="1379"/>
      <c r="HS656" s="1379"/>
      <c r="HT656" s="1379"/>
      <c r="HU656" s="1379"/>
      <c r="HW656" s="1383"/>
      <c r="HX656" s="1384" t="b">
        <f>HW654</f>
        <v>0</v>
      </c>
      <c r="HY656" s="1378"/>
      <c r="HZ656" s="436"/>
      <c r="IA656" s="1386"/>
      <c r="IB656" s="1380">
        <f>IF(IA654=TRUE,AC657,0)</f>
        <v>0</v>
      </c>
      <c r="IC656" s="1379"/>
      <c r="IF656" s="1380" t="e">
        <f>ROUND(T656*AB657*N655*R655/1000,0)</f>
        <v>#VALUE!</v>
      </c>
      <c r="IG656" s="1382"/>
      <c r="IH656" s="1384" t="e">
        <f>ROUND(T656*AB657*N655*R655/1000,0)</f>
        <v>#VALUE!</v>
      </c>
      <c r="II656" s="1382"/>
      <c r="IK656" s="1351" t="e">
        <f>IF($CO656="interior",IL656/2,VLOOKUP($CP656,Control_Savings_Exterior,IK$30,FALSE))</f>
        <v>#N/A</v>
      </c>
      <c r="IL656" s="1351" t="e">
        <f>IF($CO656="interior",VLOOKUP($CP656,Control_Savings_Interior,IL$30,FALSE),VLOOKUP($CP656,Control_Savings_Exterior,IL$30,FALSE))</f>
        <v>#N/A</v>
      </c>
      <c r="IM656" s="1351" t="e">
        <f>IF($CO656="interior",IF(R655&gt;FO$37,(IM$28*(FO$37/R655)),IM$28)*FP656,VLOOKUP($CP656,Control_Savings_Exterior,IM$30,FALSE))</f>
        <v>#N/A</v>
      </c>
      <c r="IN656" s="1351" t="e">
        <f>IF($CO656="interior",ROUND(((1-IL656)*IM656)+IL656,2),VLOOKUP($CP656,Control_Savings_Exterior,IN$30,FALSE))</f>
        <v>#N/A</v>
      </c>
      <c r="IO656" s="1351" t="e">
        <f>IF($CO656="interior", ROUND(((1-IL656)*(IM656*(1-IP$28)))+IP656,2), VLOOKUP($CP656,Control_Savings_Exterior,IO$30,FALSE))</f>
        <v>#N/A</v>
      </c>
      <c r="IP656" s="1351">
        <f>IF($CO656="interior",ROUND(((1-IL656)*IP$28)+IL656,2),0)</f>
        <v>0</v>
      </c>
    </row>
    <row r="657" spans="1:250" s="82" customFormat="1" ht="14.95" customHeight="1" thickTop="1" thickBot="1">
      <c r="B657" s="1421"/>
      <c r="C657" s="1422"/>
      <c r="D657" s="1423"/>
      <c r="E657" s="1462" t="s">
        <v>357</v>
      </c>
      <c r="F657" s="1463"/>
      <c r="G657" s="1464" t="s">
        <v>362</v>
      </c>
      <c r="H657" s="1465"/>
      <c r="I657" s="1465"/>
      <c r="J657" s="1465"/>
      <c r="K657" s="1465"/>
      <c r="L657" s="1466"/>
      <c r="M657" s="669">
        <f>IFERROR(VLOOKUP(G657,_Daylight_Table[],2,FALSE),0)</f>
        <v>0</v>
      </c>
      <c r="N657" s="670"/>
      <c r="O657" s="669" t="e">
        <f>VLOOKUP(G656,'Space Table'!$B$3:$L$160,11,FALSE)</f>
        <v>#N/A</v>
      </c>
      <c r="P657" s="1408"/>
      <c r="Q657" s="1409"/>
      <c r="R657" s="1409"/>
      <c r="S657" s="1402"/>
      <c r="T657" s="671" t="s">
        <v>281</v>
      </c>
      <c r="U657" s="1467" t="str">
        <f>IFERROR(VLOOKUP(U656,Fixtures!DM$93:DP$142,4,FALSE),"")</f>
        <v/>
      </c>
      <c r="V657" s="1468"/>
      <c r="W657" s="1468"/>
      <c r="X657" s="1468"/>
      <c r="Y657" s="1468"/>
      <c r="Z657" s="1468"/>
      <c r="AA657" s="1468"/>
      <c r="AB657" s="1046" t="str">
        <f>IFERROR(VLOOKUP(U656,Fixtures_Proposed_List,2,FALSE),"")</f>
        <v/>
      </c>
      <c r="AC657" s="1036" t="str">
        <f>IFERROR(ROUND(T656*AB657*N655*R655/1000,0),"")</f>
        <v/>
      </c>
      <c r="AD657" s="1037" t="str">
        <f>IFERROR(ROUND(T656*AB657/1000,2),"")</f>
        <v/>
      </c>
      <c r="AE657" s="1045" t="s">
        <v>281</v>
      </c>
      <c r="AF657" s="1469"/>
      <c r="AG657" s="1469"/>
      <c r="AH657" s="1469"/>
      <c r="AI657" s="1469"/>
      <c r="AJ657" s="1476"/>
      <c r="AK657" s="1471"/>
      <c r="AL657" s="1473"/>
      <c r="AM657" s="1443"/>
      <c r="AN657" s="1444"/>
      <c r="AO657" s="1449"/>
      <c r="AP657" s="1449"/>
      <c r="AQ657" s="1450"/>
      <c r="AR657" s="1453"/>
      <c r="AS657" s="1456"/>
      <c r="AT657" s="1459"/>
      <c r="AU657" s="517"/>
      <c r="AV657" s="1480"/>
      <c r="AW657" s="1480"/>
      <c r="BC657" s="38"/>
      <c r="BD657" s="38"/>
      <c r="BE657" s="38"/>
      <c r="BF657" s="38"/>
      <c r="BG657" s="38"/>
      <c r="BH657" s="38"/>
      <c r="BI657" s="38"/>
      <c r="BJ657" s="38"/>
      <c r="BK657" s="38"/>
      <c r="BL657" s="38"/>
      <c r="BM657" s="38"/>
      <c r="BN657" s="38"/>
      <c r="BO657" s="38"/>
      <c r="BP657" s="38"/>
      <c r="BQ657" s="38"/>
      <c r="BR657" s="38"/>
      <c r="BS657" s="38"/>
      <c r="BT657" s="38"/>
      <c r="BU657" s="38"/>
      <c r="BV657" s="38"/>
      <c r="BW657" s="38"/>
      <c r="BX657" s="38"/>
      <c r="BY657" s="38"/>
      <c r="BZ657" s="38"/>
      <c r="CA657" s="38"/>
      <c r="CB657" s="38"/>
      <c r="CC657" s="38"/>
      <c r="CD657" s="38"/>
      <c r="CE657" s="38"/>
      <c r="CF657" s="38"/>
      <c r="CG657" s="38"/>
      <c r="CH657" s="38"/>
      <c r="CI657" s="38"/>
      <c r="CM657" s="1352"/>
      <c r="CN657" s="1352"/>
      <c r="CO657" s="1416"/>
      <c r="CP657" s="1418"/>
      <c r="CR657" s="1386"/>
      <c r="CS657" s="1355"/>
      <c r="CT657" s="1355"/>
      <c r="CU657" s="1375"/>
      <c r="CV657" s="1372"/>
      <c r="CW657" s="1372"/>
      <c r="CX657" s="1372"/>
      <c r="CY657" s="1487"/>
      <c r="CZ657" s="1487"/>
      <c r="DA657" s="1487"/>
      <c r="DC657" s="1355"/>
      <c r="DD657" s="1355"/>
      <c r="DE657" s="1375"/>
      <c r="DF657" s="1407"/>
      <c r="DG657" s="1372"/>
      <c r="DH657" s="1369"/>
      <c r="DK657" s="1484"/>
      <c r="DL657" s="1420"/>
      <c r="DN657" s="1403"/>
      <c r="DO657" s="1405"/>
      <c r="DP657" s="1355"/>
      <c r="DQ657" s="1405"/>
      <c r="DR657" s="1403"/>
      <c r="DS657" s="1489"/>
      <c r="DU657" s="1403"/>
      <c r="DV657" s="1405"/>
      <c r="DW657" s="1403"/>
      <c r="DX657" s="1403"/>
      <c r="DZ657" s="1481"/>
      <c r="EA657" s="1481"/>
      <c r="EC657" s="1482"/>
      <c r="ED657" s="1369"/>
      <c r="EE657" s="1372"/>
      <c r="EF657" s="1369"/>
      <c r="EG657" s="1369"/>
      <c r="EH657" s="1375"/>
      <c r="EI657" s="1375"/>
      <c r="EJ657" s="1363"/>
      <c r="EK657" s="1376"/>
      <c r="EL657" s="1376"/>
      <c r="EM657" s="1362"/>
      <c r="EN657" s="1362"/>
      <c r="EO657" s="1363"/>
      <c r="EP657" s="1363"/>
      <c r="EQ657" s="1363"/>
      <c r="ES657" s="1403"/>
      <c r="EU657" s="1488"/>
      <c r="EV657" s="1488"/>
      <c r="EW657" s="1488"/>
      <c r="EX657" s="1488"/>
      <c r="EY657" s="1488"/>
      <c r="EZ657" s="1414"/>
      <c r="FB657" s="1365"/>
      <c r="FD657" s="1355"/>
      <c r="FE657" s="1355"/>
      <c r="FF657" s="138"/>
      <c r="FI657" s="1357"/>
      <c r="FJ657" s="1357"/>
      <c r="FK657" s="1365"/>
      <c r="FL657" s="1365"/>
      <c r="FM657" s="1365"/>
      <c r="FO657" s="1361"/>
      <c r="FP657" s="1361"/>
      <c r="FQ657" s="1366"/>
      <c r="FR657" s="1361"/>
      <c r="FS657" s="1361"/>
      <c r="FT657" s="1361"/>
      <c r="FU657" s="1360"/>
      <c r="FW657" s="1352"/>
      <c r="FX657" s="1352"/>
      <c r="FY657" s="1352"/>
      <c r="FZ657" s="1352"/>
      <c r="GA657" s="1352"/>
      <c r="GB657" s="1352"/>
      <c r="GC657" s="1352"/>
      <c r="GD657" s="1352"/>
      <c r="GE657" s="759"/>
      <c r="GF657" s="1035"/>
      <c r="GG657" s="1385"/>
      <c r="GJ657" s="1034">
        <f>IF(GJ655=TRUE,0,GJ$16)</f>
        <v>0</v>
      </c>
      <c r="GL657" s="1034">
        <f>IF(GL655=TRUE,0,GL$16)</f>
        <v>36</v>
      </c>
      <c r="GM657" s="1034">
        <f>IF(GM655=TRUE,0,GM$16)</f>
        <v>35</v>
      </c>
      <c r="GN657" s="436"/>
      <c r="GO657" s="436"/>
      <c r="GP657" s="436"/>
      <c r="GQ657" s="436"/>
      <c r="GR657" s="436"/>
      <c r="HC657" s="1034">
        <f t="shared" ref="HC657:HH657" si="486">IF(HC655=TRUE,0,HC$16)</f>
        <v>19</v>
      </c>
      <c r="HD657" s="1034">
        <f t="shared" si="486"/>
        <v>18</v>
      </c>
      <c r="HE657" s="1034">
        <f t="shared" si="486"/>
        <v>17</v>
      </c>
      <c r="HF657" s="1034">
        <f t="shared" si="486"/>
        <v>16</v>
      </c>
      <c r="HG657" s="1034">
        <f t="shared" si="486"/>
        <v>0</v>
      </c>
      <c r="HH657" s="1034">
        <f t="shared" si="486"/>
        <v>0</v>
      </c>
      <c r="HI657" s="1034">
        <f>IF(HI655=TRUE,0,HI$16)</f>
        <v>13</v>
      </c>
      <c r="HJ657" s="1034">
        <f t="shared" ref="HJ657:HL657" si="487">IF(HJ655=TRUE,0,HJ$16)</f>
        <v>12</v>
      </c>
      <c r="HK657" s="1034">
        <f t="shared" si="487"/>
        <v>11</v>
      </c>
      <c r="HL657" s="1034">
        <f t="shared" si="487"/>
        <v>10</v>
      </c>
      <c r="HM657" s="1034">
        <f>IF(HM655=TRUE,0,HM$16)</f>
        <v>9</v>
      </c>
      <c r="HN657" s="1034">
        <f t="shared" ref="HN657:HR657" si="488">IF(HN655=TRUE,0,HN$16)</f>
        <v>0</v>
      </c>
      <c r="HO657" s="1034">
        <f t="shared" si="488"/>
        <v>0</v>
      </c>
      <c r="HP657" s="1034">
        <f t="shared" si="488"/>
        <v>0</v>
      </c>
      <c r="HQ657" s="1034">
        <f t="shared" si="488"/>
        <v>0</v>
      </c>
      <c r="HR657" s="1034">
        <f t="shared" si="488"/>
        <v>0</v>
      </c>
      <c r="HS657" s="1034">
        <f>IF(HS655=TRUE,0,HS$16)</f>
        <v>0</v>
      </c>
      <c r="HT657" s="1034">
        <f t="shared" ref="HT657" si="489">IF(HT655=TRUE,0,HT$16)</f>
        <v>0</v>
      </c>
      <c r="HU657" s="1034">
        <f>IF(HU655=TRUE,0,HU$16)</f>
        <v>1</v>
      </c>
      <c r="HW657" s="1034">
        <f>IF(GL655=FALSE,GL657,IF(GM655=FALSE,GM657,MAX(GJ657:HU657)))</f>
        <v>36</v>
      </c>
      <c r="HX657" s="1383"/>
      <c r="HY657" s="241" t="str">
        <f>VLOOKUP(HW657,_Error_Table,3,FALSE)</f>
        <v xml:space="preserve"> </v>
      </c>
      <c r="HZ657" s="241"/>
      <c r="IA657" s="1386"/>
      <c r="IB657" s="1380"/>
      <c r="IC657" s="1379"/>
      <c r="IF657" s="1380"/>
      <c r="IG657" s="1383"/>
      <c r="IH657" s="1383"/>
      <c r="II657" s="1383"/>
      <c r="IK657" s="1351"/>
      <c r="IL657" s="1351"/>
      <c r="IM657" s="1351"/>
      <c r="IN657" s="1351"/>
      <c r="IO657" s="1351"/>
      <c r="IP657" s="1351"/>
    </row>
    <row r="658" spans="1:250" s="82" customFormat="1" ht="5.0999999999999996" customHeight="1" thickBot="1">
      <c r="B658" s="763"/>
      <c r="C658" s="1038"/>
      <c r="D658" s="1038"/>
      <c r="E658" s="1490"/>
      <c r="F658" s="1490"/>
      <c r="G658" s="1490"/>
      <c r="H658" s="1490"/>
      <c r="I658" s="1490"/>
      <c r="J658" s="1490"/>
      <c r="K658" s="1490"/>
      <c r="L658" s="1490"/>
      <c r="M658" s="1490"/>
      <c r="N658" s="1490"/>
      <c r="O658" s="1490"/>
      <c r="P658" s="1490"/>
      <c r="Q658" s="1490"/>
      <c r="R658" s="1490"/>
      <c r="S658" s="1490"/>
      <c r="T658" s="1490"/>
      <c r="U658" s="1490"/>
      <c r="V658" s="1490"/>
      <c r="W658" s="1490"/>
      <c r="X658" s="1490"/>
      <c r="Y658" s="1490"/>
      <c r="Z658" s="1490"/>
      <c r="AA658" s="1490"/>
      <c r="AB658" s="1490"/>
      <c r="AC658" s="1490"/>
      <c r="AD658" s="1490"/>
      <c r="AE658" s="1490"/>
      <c r="AF658" s="1490"/>
      <c r="AG658" s="1490"/>
      <c r="AH658" s="1490"/>
      <c r="AI658" s="1490"/>
      <c r="AJ658" s="1490"/>
      <c r="AK658" s="1490"/>
      <c r="AL658" s="1490"/>
      <c r="AM658" s="1490"/>
      <c r="AN658" s="1490"/>
      <c r="AO658" s="1490"/>
      <c r="AP658" s="1490"/>
      <c r="AQ658" s="1490"/>
      <c r="AR658" s="1490"/>
      <c r="AS658" s="1490"/>
      <c r="AT658" s="1490"/>
      <c r="AU658" s="1041"/>
      <c r="BC658" s="38"/>
      <c r="BD658" s="38"/>
      <c r="BE658" s="38"/>
      <c r="BF658" s="38"/>
      <c r="BG658" s="38"/>
      <c r="BH658" s="38"/>
      <c r="BI658" s="38"/>
      <c r="BJ658" s="38"/>
      <c r="BK658" s="38"/>
      <c r="BL658" s="38"/>
      <c r="BM658" s="38"/>
      <c r="BN658" s="38"/>
      <c r="BO658" s="38"/>
      <c r="BP658" s="38"/>
      <c r="BQ658" s="38"/>
      <c r="BR658" s="38"/>
      <c r="BS658" s="38"/>
      <c r="BT658" s="38"/>
      <c r="BU658" s="38"/>
      <c r="BV658" s="38"/>
      <c r="BW658" s="38"/>
      <c r="BX658" s="38"/>
      <c r="BY658" s="38"/>
      <c r="BZ658" s="38"/>
      <c r="CA658" s="38"/>
      <c r="CB658" s="38"/>
      <c r="CC658" s="38"/>
      <c r="CD658" s="38"/>
      <c r="CE658" s="38"/>
      <c r="CF658" s="38"/>
      <c r="CG658" s="38"/>
      <c r="CH658" s="38"/>
      <c r="CI658" s="38"/>
      <c r="CM658" s="749"/>
      <c r="CN658" s="749"/>
      <c r="CO658" s="1043"/>
      <c r="CP658" s="749"/>
      <c r="CS658" s="436"/>
      <c r="CT658" s="436"/>
      <c r="CU658" s="243"/>
      <c r="CV658" s="244"/>
      <c r="CW658" s="244"/>
      <c r="CX658" s="244"/>
      <c r="CY658" s="245"/>
      <c r="CZ658" s="245"/>
      <c r="DA658" s="245"/>
      <c r="DC658" s="750"/>
      <c r="DD658" s="751"/>
      <c r="DE658" s="752"/>
      <c r="DF658" s="753"/>
      <c r="DG658" s="754"/>
      <c r="DH658" s="754"/>
      <c r="DK658" s="244"/>
      <c r="DL658" s="750"/>
      <c r="DN658" s="750"/>
      <c r="DO658" s="755"/>
      <c r="DP658" s="436"/>
      <c r="DQ658" s="750"/>
      <c r="DR658" s="750"/>
      <c r="DS658" s="750"/>
      <c r="DU658" s="750"/>
      <c r="DV658" s="750"/>
      <c r="DW658" s="750"/>
      <c r="DX658" s="750"/>
      <c r="DZ658" s="756"/>
      <c r="EA658" s="756"/>
      <c r="EC658" s="754"/>
      <c r="ED658" s="754"/>
      <c r="EE658" s="244"/>
      <c r="EF658" s="754"/>
      <c r="EG658" s="754"/>
      <c r="EH658" s="243"/>
      <c r="EI658" s="243"/>
      <c r="EJ658" s="752"/>
      <c r="EK658" s="757"/>
      <c r="EL658" s="757"/>
      <c r="EM658" s="758"/>
      <c r="EN658" s="758"/>
      <c r="EO658" s="752"/>
      <c r="EP658" s="752"/>
      <c r="EQ658" s="752"/>
      <c r="ES658" s="750"/>
      <c r="EU658" s="436"/>
      <c r="EV658" s="436"/>
      <c r="EW658" s="436"/>
      <c r="EX658" s="436"/>
      <c r="EY658" s="436"/>
      <c r="EZ658" s="436"/>
      <c r="FB658" s="643"/>
      <c r="FD658" s="436"/>
      <c r="FE658" s="436"/>
      <c r="FF658" s="436"/>
      <c r="FO658" s="750"/>
      <c r="FP658" s="436"/>
      <c r="FQ658" s="436"/>
      <c r="FR658" s="750"/>
      <c r="FS658" s="750"/>
      <c r="FW658" s="749"/>
      <c r="FX658" s="749"/>
      <c r="FY658" s="749"/>
      <c r="FZ658" s="749"/>
      <c r="GA658" s="749"/>
      <c r="GB658" s="749"/>
      <c r="GC658" s="749"/>
      <c r="GD658" s="749"/>
      <c r="GE658" s="751"/>
      <c r="GF658" s="750"/>
      <c r="GG658" s="750"/>
    </row>
    <row r="659" spans="1:250" s="82" customFormat="1" ht="14.95" customHeight="1" thickTop="1" thickBot="1">
      <c r="B659" s="1421" t="str">
        <f>HY662</f>
        <v xml:space="preserve"> </v>
      </c>
      <c r="C659" s="1422">
        <f>C654+1</f>
        <v>120</v>
      </c>
      <c r="D659" s="1423"/>
      <c r="E659" s="1424" t="s">
        <v>242</v>
      </c>
      <c r="F659" s="1425"/>
      <c r="G659" s="1426"/>
      <c r="H659" s="1427"/>
      <c r="I659" s="1427"/>
      <c r="J659" s="1427"/>
      <c r="K659" s="1427"/>
      <c r="L659" s="1427"/>
      <c r="M659" s="1427"/>
      <c r="N659" s="1427"/>
      <c r="O659" s="1427"/>
      <c r="P659" s="1427"/>
      <c r="Q659" s="1427"/>
      <c r="R659" s="1427"/>
      <c r="S659" s="1428" t="s">
        <v>283</v>
      </c>
      <c r="T659" s="668" t="s">
        <v>190</v>
      </c>
      <c r="U659" s="1430" t="s">
        <v>186</v>
      </c>
      <c r="V659" s="1431"/>
      <c r="W659" s="1431"/>
      <c r="X659" s="1431"/>
      <c r="Y659" s="1431"/>
      <c r="Z659" s="1431"/>
      <c r="AA659" s="1431"/>
      <c r="AB659" s="1047" t="str">
        <f>IFERROR(IF(__Retrofit_TI_NC=0,VLOOKUP(U660,Fixtures_Existing_List,2,FALSE),ROUND(N661*R661/T661,10)),"")</f>
        <v/>
      </c>
      <c r="AC659" s="1039" t="str">
        <f>IFERROR(IF(__Retrofit_TI_NC=0,ROUND(T660*AB659*N660*R660/1000,0),IF(CN659="Interior",N661*R661*R660*N660*_C406_reduction/1000,N661*R661*R660*N660/1000)),"")</f>
        <v/>
      </c>
      <c r="AD659" s="1040" t="str">
        <f>IFERROR(IF(C$36=0,ROUND(T660*AB659/1000,2),N661*R661/1000),"")</f>
        <v/>
      </c>
      <c r="AE659" s="1044" t="s">
        <v>190</v>
      </c>
      <c r="AF659" s="1432" t="str">
        <f>IF(__Retrofit_TI_NC=2,CONCATENATE("Code min = ",DD659),IF(__Retrofit_TI_NC=1,"Emter what you think the existing control was"," Control"))</f>
        <v xml:space="preserve"> Control</v>
      </c>
      <c r="AG659" s="1432"/>
      <c r="AH659" s="1432"/>
      <c r="AI659" s="1432"/>
      <c r="AJ659" s="1433">
        <f>DF659</f>
        <v>0</v>
      </c>
      <c r="AK659" s="1435" t="str">
        <f>IFERROR(ROUND(AJ659*AC659,0),"")</f>
        <v/>
      </c>
      <c r="AL659" s="1437">
        <f>IFERROR(IF(HW659=FALSE,0,AC659-AK659),0)</f>
        <v>0</v>
      </c>
      <c r="AM659" s="1439">
        <f>AL659-AL661</f>
        <v>0</v>
      </c>
      <c r="AN659" s="1440"/>
      <c r="AO659" s="1445">
        <f>IFERROR(IF(HW659=FALSE,0,(T661*U662)+(AE661*AF662)),0)</f>
        <v>0</v>
      </c>
      <c r="AP659" s="1445"/>
      <c r="AQ659" s="1446"/>
      <c r="AR659" s="1451" t="s">
        <v>157</v>
      </c>
      <c r="AS659" s="1454">
        <f>IF(AR659="Yes",1,0)</f>
        <v>1</v>
      </c>
      <c r="AT659" s="1457" t="str">
        <f>IF(OR(DN659=4,DN659=5,DN659=6,DN659=12),CONCATENATE("$",IF(GD659=TRUE,Lookup!$B$11,Lookup!$B$2)," /lamp"),CONCATENATE(EA659,"/ kWh"))</f>
        <v>0/ kWh</v>
      </c>
      <c r="AU659" s="516"/>
      <c r="AV659" s="1478">
        <f>IFERROR(IF(GI660=TRUE,(AB662*T661)/R661,0),"NA")</f>
        <v>0</v>
      </c>
      <c r="AW659" s="1478" t="str">
        <f>IFERROR(N661*_C406_reduction,"NA")</f>
        <v>NA</v>
      </c>
      <c r="BC659" s="38"/>
      <c r="BD659" s="38"/>
      <c r="BE659" s="38"/>
      <c r="BF659" s="38"/>
      <c r="BG659" s="38"/>
      <c r="BH659" s="38"/>
      <c r="BI659" s="38"/>
      <c r="BJ659" s="38"/>
      <c r="BK659" s="38"/>
      <c r="BL659" s="38"/>
      <c r="BM659" s="38"/>
      <c r="BN659" s="38"/>
      <c r="BO659" s="38"/>
      <c r="BP659" s="38"/>
      <c r="BQ659" s="38"/>
      <c r="BR659" s="38"/>
      <c r="BS659" s="38"/>
      <c r="BT659" s="38"/>
      <c r="BU659" s="38"/>
      <c r="BV659" s="38"/>
      <c r="BW659" s="38"/>
      <c r="BX659" s="38"/>
      <c r="BY659" s="38"/>
      <c r="BZ659" s="38"/>
      <c r="CA659" s="38"/>
      <c r="CB659" s="38"/>
      <c r="CC659" s="38"/>
      <c r="CD659" s="38"/>
      <c r="CE659" s="38"/>
      <c r="CF659" s="38"/>
      <c r="CG659" s="38"/>
      <c r="CH659" s="38"/>
      <c r="CI659" s="38"/>
      <c r="CM659" s="1352" t="str">
        <f>N660</f>
        <v/>
      </c>
      <c r="CN659" s="1352" t="str">
        <f>IFERROR(VLOOKUP(G660,_Lookup_Heat_Type_Table_New,3,FALSE),"")</f>
        <v/>
      </c>
      <c r="CO659" s="1415" t="str">
        <f>CN659</f>
        <v/>
      </c>
      <c r="CP659" s="1417" t="e">
        <f>VLOOKUP(G661,'Space Table'!$B$3:$L$160,9,FALSE)</f>
        <v>#N/A</v>
      </c>
      <c r="CR659" s="1386" t="s">
        <v>283</v>
      </c>
      <c r="CS659" s="1353">
        <f>IF(HW659=TRUE,T660,0)</f>
        <v>0</v>
      </c>
      <c r="CT659" s="1353" t="str">
        <f>IF(HW659=TRUE,U660,"")</f>
        <v/>
      </c>
      <c r="CU659" s="1353"/>
      <c r="CV659" s="1370">
        <f>IF(HW659=TRUE,AB659,0)</f>
        <v>0</v>
      </c>
      <c r="CW659" s="1370">
        <f>IF(HW659=TRUE,AC659,0)</f>
        <v>0</v>
      </c>
      <c r="CX659" s="1370">
        <f>IFERROR(IF(HW659=TRUE,CW659-CW661,0),0)</f>
        <v>0</v>
      </c>
      <c r="CY659" s="1485">
        <f>IF(HW659=TRUE,AD659,0)</f>
        <v>0</v>
      </c>
      <c r="CZ659" s="1485">
        <f>IF(HW659=TRUE,AD662,0)</f>
        <v>0</v>
      </c>
      <c r="DA659" s="1485">
        <f>IFERROR(CY659-CZ659,0)</f>
        <v>0</v>
      </c>
      <c r="DC659" s="1353">
        <f>IF(HW659=TRUE,AE660,0)</f>
        <v>0</v>
      </c>
      <c r="DD659" s="1460">
        <f>IF(__Retrofit_TI_NC=2,IF(CN659="Exterior",O662,FM659),FK659)</f>
        <v>0</v>
      </c>
      <c r="DE659" s="1353"/>
      <c r="DF659" s="1406">
        <f>IFERROR(IF(FL659=3,IK659,IF(FL659=4,IL659,IF(FL659=5,IM659,IF(FL659=6,IN659,IF(FL659=7,IO659,IF(FL659=8,IP659,0)))))),0)</f>
        <v>0</v>
      </c>
      <c r="DG659" s="1370">
        <f>IF(HW659=TRUE,AK659,0)</f>
        <v>0</v>
      </c>
      <c r="DH659" s="1369">
        <f>IFERROR(IF(HW659=TRUE,DG661-DG659,0),0)</f>
        <v>0</v>
      </c>
      <c r="DJ659" s="1483">
        <f>IFERROR(CW659-DG659,0)</f>
        <v>0</v>
      </c>
      <c r="DL659" s="1419">
        <f>DJ659-DK661</f>
        <v>0</v>
      </c>
      <c r="DN659" s="1403" t="str">
        <f>IFERROR(IF(AND(OR(FY659=4,FY659=5,FY659=6),OR(GB659=4,GB659=5,GB659=6)),FY659+8,VLOOKUP(CT661,Fixtures!R$31:Y$78,8,FALSE)),"")</f>
        <v/>
      </c>
      <c r="DO659" s="1404" t="str">
        <f>DN659</f>
        <v/>
      </c>
      <c r="DP659" s="1353" t="str">
        <f>IFERROR(VLOOKUP(DD661,Lookup!AU$3:AV$15,2,FALSE),"")</f>
        <v/>
      </c>
      <c r="DQ659" s="1404" t="str">
        <f>IF(DP659=7,"LLLC","")</f>
        <v/>
      </c>
      <c r="DR659" s="1403">
        <f>IFERROR(IF(OR(DN659=4,DN659=5,DN659=6,DN659=12,DN659=13,DN659=14),VLOOKUP(CT661,Fixtures!DN$27:EG$77,19,FALSE),1)*CS661,0)</f>
        <v>0</v>
      </c>
      <c r="DS659" s="1489">
        <f>IF(DP659=7,IF(DD659=DD661,0,DC661),0)</f>
        <v>0</v>
      </c>
      <c r="DU659" s="1403" t="str">
        <f>IFERROR(IF(EW659&lt;EW661,"Yes","No"),"")</f>
        <v/>
      </c>
      <c r="DV659" s="1404" t="str">
        <f>DU659</f>
        <v/>
      </c>
      <c r="DW659" s="1403">
        <f>IF(DU659="Yes",DC661,0)</f>
        <v>0</v>
      </c>
      <c r="DX659" s="1403">
        <f>DW659-DS659</f>
        <v>0</v>
      </c>
      <c r="DZ659" s="1481">
        <f>IFERROR(VLOOKUP(DN659,Lookup!AN$3:AO$16,2,FALSE),0)</f>
        <v>0</v>
      </c>
      <c r="EA659" s="1481">
        <f>IF(HW659=FALSE,0,IF(DU659="Yes",DZ659+Lookup!B$6,DZ659))</f>
        <v>0</v>
      </c>
      <c r="EC659" s="1482">
        <f>IF(HW659=TRUE,DJ659,0)</f>
        <v>0</v>
      </c>
      <c r="ED659" s="1369">
        <f>IF(HW659=TRUE,CW661,0)</f>
        <v>0</v>
      </c>
      <c r="EE659" s="1370">
        <f>IFERROR(EC659-ED659,0)</f>
        <v>0</v>
      </c>
      <c r="EF659" s="1369">
        <f>IF(HW659=TRUE,DG661,0)</f>
        <v>0</v>
      </c>
      <c r="EG659" s="1369">
        <f>IFERROR(EC659-ED659+EF659,0)</f>
        <v>0</v>
      </c>
      <c r="EH659" s="1373">
        <f>IF(HW659=TRUE,CS661*CU661,0)</f>
        <v>0</v>
      </c>
      <c r="EI659" s="1373">
        <f>IF(HW659=TRUE,DC661*DE661,0)</f>
        <v>0</v>
      </c>
      <c r="EJ659" s="1363">
        <f>AO659</f>
        <v>0</v>
      </c>
      <c r="EK659" s="1376" t="str">
        <f>IFERROR(IF(HW659=TRUE,VLOOKUP(DN659,Lookup!AN$3:AP$16,3,FALSE)*DR659,""),0)</f>
        <v/>
      </c>
      <c r="EL659" s="1376">
        <f>IF(HW659=TRUE,DW659*Lookup!AP$12,0)</f>
        <v>0</v>
      </c>
      <c r="EM659" s="1362">
        <f>IFERROR(IF(HW659=TRUE,EK659/EM$33,0),0)</f>
        <v>0</v>
      </c>
      <c r="EN659" s="1362">
        <f>IF(HW659=TRUE,EL659/EN$33,0)</f>
        <v>0</v>
      </c>
      <c r="EO659" s="1363">
        <f>IF(HW659=TRUE,EQ$33*EM659,0)</f>
        <v>0</v>
      </c>
      <c r="EP659" s="1363">
        <f>IF(HW659=TRUE,EQ$33*EN659,0)</f>
        <v>0</v>
      </c>
      <c r="EQ659" s="1363">
        <f>EO659+EP659</f>
        <v>0</v>
      </c>
      <c r="ES659" s="1403">
        <f>IF(G659="",0,1)</f>
        <v>0</v>
      </c>
      <c r="EU659" s="1410" t="e">
        <f>VLOOKUP(CP661,'Space Table'!$B$3:$L$160,8,FALSE)</f>
        <v>#N/A</v>
      </c>
      <c r="EV659" s="1410" t="e">
        <f>IF(EY659="Yes",VLOOKUP(DD659,Lookup_Control_Type_Table2,4,FALSE),VLOOKUP(DD659,Lookup_Control_Type_Table2,3,FALSE))</f>
        <v>#N/A</v>
      </c>
      <c r="EW659" s="1410" t="e">
        <f>VLOOKUP(DD659,Lookup!AU$3:AV$15,2,FALSE)</f>
        <v>#N/A</v>
      </c>
      <c r="EX659" s="1410" t="e">
        <f>VLOOKUP(EU659,Lookup_Control_Type_Table,2,FALSE)</f>
        <v>#N/A</v>
      </c>
      <c r="EY659" s="1410" t="e">
        <f>VLOOKUP(CP661,'Space Table'!$B$3:$L$160,7,FALSE)</f>
        <v>#N/A</v>
      </c>
      <c r="EZ659" s="1412" t="b">
        <f>ISNUMBER(SEARCH("TLED",U661))</f>
        <v>0</v>
      </c>
      <c r="FB659" s="1365" t="str">
        <f>CONCATENATE(CN659," - ",DD659)</f>
        <v xml:space="preserve"> - 0</v>
      </c>
      <c r="FD659" s="1353" t="str">
        <f>VLOOKUP(CT661,Fixtures!DN$27:EZ$77,38,FALSE)</f>
        <v/>
      </c>
      <c r="FE659" s="1353">
        <f>IFERROR(FD659*EE659,0)</f>
        <v>0</v>
      </c>
      <c r="FF659" s="138"/>
      <c r="FI659" s="1356" t="str">
        <f>IF(CN659="Exterior","Not Daylighted",G662)</f>
        <v>Not Daylighted</v>
      </c>
      <c r="FJ659" s="1356">
        <f>VLOOKUP(FI659,_Daylight_Table_Codes,2,FALSE)</f>
        <v>0</v>
      </c>
      <c r="FK659" s="1365">
        <f>IF(__Retrofit_TI_NC=2,VLOOKUP(G661,'Space Table'!$B$3:$L$160,11,FALSE),AF660)</f>
        <v>0</v>
      </c>
      <c r="FL659" s="1365" t="e">
        <f>VLOOKUP(FK659,_Control_Table,2,FALSE)</f>
        <v>#N/A</v>
      </c>
      <c r="FM659" s="1365" t="e">
        <f>IF(AND(FP659&gt;0,FK659="Occupancy Sensor"),"Daylight + Occupancy",IF(AND(FP659&gt;0,FL659&lt;4),"Interior Daylight Dimming",FK659))</f>
        <v>#N/A</v>
      </c>
      <c r="FO659" s="1364">
        <f>IF(CO659="Interior",VLOOKUP(CP659,Control_Savings_Interior,5,FALSE),0)</f>
        <v>0</v>
      </c>
      <c r="FP659" s="1361">
        <f>IF(CN659="Exterior",0,IF(FJ659=2,0.5,IF(OR(FJ659=1,FJ659=3),1,0)))</f>
        <v>0</v>
      </c>
      <c r="FQ659" s="1366"/>
      <c r="FR659" s="1367"/>
      <c r="FS659" s="1364"/>
      <c r="FT659" s="1367"/>
      <c r="FU659" s="1360"/>
      <c r="FW659" s="1352" t="str">
        <f>IFERROR(VLOOKUP(U660,_Exist_Fixture_Table,3,FALSE),"")</f>
        <v/>
      </c>
      <c r="FX659" s="1352" t="str">
        <f>VLOOKUP(CT659,_Exist_Fixture_Table,4,FALSE)</f>
        <v/>
      </c>
      <c r="FY659" s="1352">
        <f>IFERROR(VLOOKUP(FX659,Lookup!AM$6:AN$8,2,FALSE),0)</f>
        <v>0</v>
      </c>
      <c r="FZ659" s="1352" t="b">
        <f>IFERROR(IF(OR(GB659=4,GB659=5,GB659=6),TRUE,FALSE),"")</f>
        <v>0</v>
      </c>
      <c r="GA659" s="1352" t="str">
        <f>IFERROR(VLOOKUP(GB659,FY$6:FZ$10,2,FALSE),"")</f>
        <v/>
      </c>
      <c r="GB659" s="1352" t="str">
        <f>VLOOKUP(CT661,Fixtures!R$31:Y$78,8,FALSE)</f>
        <v/>
      </c>
      <c r="GC659" s="1352">
        <f>IF(AND(FW659=TRUE,FZ659=TRUE,OR(DN659=12,DN659=13,DN659=14)),FY659+8,0)</f>
        <v>0</v>
      </c>
      <c r="GD659" s="1352" t="b">
        <f>IF(OR(GC659=12,GC659=13,GC659=14),TRUE,FALSE)</f>
        <v>0</v>
      </c>
      <c r="GE659" s="759" t="b">
        <f>IF(ISNUMBER(SEARCH("TLED",U660)),TRUE,FALSE)</f>
        <v>0</v>
      </c>
      <c r="GF659" s="1035" t="str">
        <f>IFERROR(VLOOKUP(U660,Fixtures!BM$93:BR$142,6,FALSE),"")</f>
        <v/>
      </c>
      <c r="GG659" s="1385" t="b">
        <f>IF(OR(GE659=FALSE,GE661=FALSE),TRUE,IF(GF659-GF661&lt;5,FALSE,TRUE))</f>
        <v>1</v>
      </c>
      <c r="GK659" s="1034">
        <f>GL659</f>
        <v>0</v>
      </c>
      <c r="GL659" s="1034">
        <f>IF(G659="",0,1)</f>
        <v>0</v>
      </c>
      <c r="GM659" s="1034">
        <f>SUM(GN659:HB659)</f>
        <v>2</v>
      </c>
      <c r="GN659" s="1034">
        <f>IF(G660="",0,1)</f>
        <v>0</v>
      </c>
      <c r="GO659" s="1034">
        <f>IF(G661="",0,1)</f>
        <v>0</v>
      </c>
      <c r="GP659" s="1034">
        <f>IF(R660="",0,1)</f>
        <v>0</v>
      </c>
      <c r="GQ659" s="1034">
        <f>IF(__Retrofit_TI_NC=0,1,IF(R661="",0,1))</f>
        <v>1</v>
      </c>
      <c r="GR659" s="1034">
        <f>IF(CN659="Exterior",1,IF(G662="",0,1))</f>
        <v>1</v>
      </c>
      <c r="GS659" s="1034">
        <f>IF(__Retrofit_TI_NC&lt;&gt;0,1,IF(T660="",0,1))</f>
        <v>0</v>
      </c>
      <c r="GT659" s="1034">
        <f>IF(__Retrofit_TI_NC&lt;&gt;0,1,IF(U660="",0,1))</f>
        <v>0</v>
      </c>
      <c r="GU659" s="1034">
        <f>IF(T661="",0,1)</f>
        <v>0</v>
      </c>
      <c r="GV659" s="1034">
        <f>IF(U661="",0,1)</f>
        <v>0</v>
      </c>
      <c r="GW659" s="1034">
        <f>IF(__Retrofit_TI_NC=2,1,IF(U662="",0,1))</f>
        <v>0</v>
      </c>
      <c r="GX659" s="1034">
        <f>IF(__Retrofit_TI_NC&lt;&gt;0,1,IF(AE660="",0,1))</f>
        <v>0</v>
      </c>
      <c r="GY659" s="1034">
        <f>IF(__Retrofit_TI_NC&lt;&gt;0,1,IF(AF660="",0,1))</f>
        <v>0</v>
      </c>
      <c r="GZ659" s="1034">
        <f>IF(AE661="",0,1)</f>
        <v>0</v>
      </c>
      <c r="HA659" s="1034">
        <f>IF(AF661="",0,1)</f>
        <v>0</v>
      </c>
      <c r="HB659" s="1034">
        <f>IF(__Retrofit_TI_NC=2,1,IF(AF662="",0,1))</f>
        <v>0</v>
      </c>
      <c r="HV659" s="436"/>
      <c r="HW659" s="1384" t="b">
        <f>IF(OR(HW662=0,HW662=HT$16,HW662=HS$16,HW662=HU$16),TRUE,FALSE)</f>
        <v>0</v>
      </c>
      <c r="HX659" s="1377" t="b">
        <f>HW659</f>
        <v>0</v>
      </c>
      <c r="HY659" s="436"/>
      <c r="HZ659" s="436"/>
      <c r="IA659" s="1386" t="b">
        <f>IF(MAX(GJ662:HP662)&gt;5,FALSE,TRUE)</f>
        <v>0</v>
      </c>
      <c r="IB659" s="1380">
        <f>IF(IA659=TRUE,AC659,0)</f>
        <v>0</v>
      </c>
      <c r="IC659" s="1380">
        <f>IB659-IB661</f>
        <v>0</v>
      </c>
      <c r="IF659" s="1380" t="e">
        <f>ROUND(T660*VLOOKUP(U660,Fixtures_Existing_List,2,FALSE)*N660*R660/1000,0)</f>
        <v>#N/A</v>
      </c>
      <c r="IG659" s="1381" t="e">
        <f>IF659-IF661</f>
        <v>#N/A</v>
      </c>
      <c r="IH659" s="1384" t="e">
        <f>ROUND(IF(CN659="Interior",N661*R661*R660*N660*_C406_reduction/1000,N661*R661*R660*N660/1000),0)</f>
        <v>#N/A</v>
      </c>
      <c r="II659" s="1384" t="e">
        <f>IH659-IH661</f>
        <v>#N/A</v>
      </c>
      <c r="IK659" s="1351" t="e">
        <f>IF($CO659="interior",IL659/2,VLOOKUP($CP659,Control_Savings_Exterior,IK$30,FALSE))</f>
        <v>#N/A</v>
      </c>
      <c r="IL659" s="1351" t="e">
        <f>IF($CO659="interior",VLOOKUP($CP659,Control_Savings_Interior,IL$30,FALSE),VLOOKUP($CP659,Control_Savings_Exterior,IL$30,FALSE))</f>
        <v>#N/A</v>
      </c>
      <c r="IM659" s="1351" t="e">
        <f>IF($CO659="interior",IF(R660&gt;FO$37,(IM$28*(FO$37/R660)),IM$28)*FP659,VLOOKUP($CP659,Control_Savings_Exterior,IM$30,FALSE))</f>
        <v>#N/A</v>
      </c>
      <c r="IN659" s="1351" t="e">
        <f>IF($CO659="interior",ROUND(((1-IL659)*IM659)+IL659,2),VLOOKUP($CP659,Control_Savings_Exterior,IN$30,FALSE))</f>
        <v>#N/A</v>
      </c>
      <c r="IO659" s="1351" t="e">
        <f>IF($CO659="interior", ROUND(((1-IL659)*(IM659*(1-IP$28)))+IP659,2), VLOOKUP($CP659,Control_Savings_Exterior,IO$30,FALSE))</f>
        <v>#N/A</v>
      </c>
      <c r="IP659" s="1351">
        <f>IF($CO659="interior",ROUND(((1-IL659)*IP$28)+IL659,2),0)</f>
        <v>0</v>
      </c>
    </row>
    <row r="660" spans="1:250" s="82" customFormat="1" ht="14.95" customHeight="1" thickTop="1" thickBot="1">
      <c r="B660" s="1421"/>
      <c r="C660" s="1422"/>
      <c r="D660" s="1423"/>
      <c r="E660" s="1393" t="s">
        <v>244</v>
      </c>
      <c r="F660" s="1394"/>
      <c r="G660" s="1395"/>
      <c r="H660" s="1395"/>
      <c r="I660" s="1395"/>
      <c r="J660" s="1395"/>
      <c r="K660" s="1395"/>
      <c r="L660" s="1395"/>
      <c r="M660" s="509" t="e">
        <f>IF(__Retrofit_TI_NC&lt;&gt;0,IF(VLOOKUP(G661,'Space Table'!$B$3:$L$160,3,FALSE)&gt;0,1,0),IF(__Retrofit_TI_NC=VLOOKUP(G661,'Space Table'!$B$3:$L$160,3,FALSE),1,0))</f>
        <v>#N/A</v>
      </c>
      <c r="N660" s="509" t="str">
        <f>IFERROR(VLOOKUP(G660,_Lookup_Heat_Type_Table_New,2,FALSE),"")</f>
        <v/>
      </c>
      <c r="O660" s="509">
        <f>IF(__Retrofit_TI_NC=1,CONCATENATE("TI ",G660),IF(__Retrofit_TI_NC=2,CONCATENATE("NC ",G660),G660))</f>
        <v>0</v>
      </c>
      <c r="P660" s="1396" t="s">
        <v>352</v>
      </c>
      <c r="Q660" s="1396"/>
      <c r="R660" s="673"/>
      <c r="S660" s="1429"/>
      <c r="T660" s="675"/>
      <c r="U660" s="1496"/>
      <c r="V660" s="1497"/>
      <c r="W660" s="1497"/>
      <c r="X660" s="1497"/>
      <c r="Y660" s="1497"/>
      <c r="Z660" s="1497"/>
      <c r="AA660" s="1497"/>
      <c r="AB660" s="1497"/>
      <c r="AC660" s="1497"/>
      <c r="AD660" s="1498"/>
      <c r="AE660" s="675"/>
      <c r="AF660" s="1397"/>
      <c r="AG660" s="1397"/>
      <c r="AH660" s="1397"/>
      <c r="AI660" s="1397"/>
      <c r="AJ660" s="1434"/>
      <c r="AK660" s="1436"/>
      <c r="AL660" s="1438"/>
      <c r="AM660" s="1441"/>
      <c r="AN660" s="1442"/>
      <c r="AO660" s="1447"/>
      <c r="AP660" s="1447"/>
      <c r="AQ660" s="1448"/>
      <c r="AR660" s="1452"/>
      <c r="AS660" s="1455"/>
      <c r="AT660" s="1458"/>
      <c r="AU660" s="516"/>
      <c r="AV660" s="1479"/>
      <c r="AW660" s="1479"/>
      <c r="BC660" s="38"/>
      <c r="BD660" s="38"/>
      <c r="BE660" s="38"/>
      <c r="BF660" s="38"/>
      <c r="BG660" s="38"/>
      <c r="BH660" s="38"/>
      <c r="BI660" s="38"/>
      <c r="BJ660" s="38"/>
      <c r="BK660" s="38"/>
      <c r="BL660" s="38"/>
      <c r="BM660" s="38"/>
      <c r="BN660" s="38"/>
      <c r="BO660" s="38"/>
      <c r="BP660" s="38"/>
      <c r="BQ660" s="38"/>
      <c r="BR660" s="38"/>
      <c r="BS660" s="38"/>
      <c r="BT660" s="38"/>
      <c r="BU660" s="38"/>
      <c r="BV660" s="38"/>
      <c r="BW660" s="38"/>
      <c r="BX660" s="38"/>
      <c r="BY660" s="38"/>
      <c r="BZ660" s="38"/>
      <c r="CA660" s="38"/>
      <c r="CB660" s="38"/>
      <c r="CC660" s="38"/>
      <c r="CD660" s="38"/>
      <c r="CE660" s="38"/>
      <c r="CF660" s="38"/>
      <c r="CG660" s="38"/>
      <c r="CH660" s="38"/>
      <c r="CI660" s="38"/>
      <c r="CM660" s="1352"/>
      <c r="CN660" s="1352"/>
      <c r="CO660" s="1416"/>
      <c r="CP660" s="1418"/>
      <c r="CR660" s="1386"/>
      <c r="CS660" s="1355"/>
      <c r="CT660" s="1355"/>
      <c r="CU660" s="1355"/>
      <c r="CV660" s="1372"/>
      <c r="CW660" s="1372"/>
      <c r="CX660" s="1371"/>
      <c r="CY660" s="1486"/>
      <c r="CZ660" s="1486"/>
      <c r="DA660" s="1486"/>
      <c r="DC660" s="1355"/>
      <c r="DD660" s="1461"/>
      <c r="DE660" s="1355"/>
      <c r="DF660" s="1407"/>
      <c r="DG660" s="1372"/>
      <c r="DH660" s="1369"/>
      <c r="DJ660" s="1484"/>
      <c r="DL660" s="1419"/>
      <c r="DN660" s="1403"/>
      <c r="DO660" s="1405"/>
      <c r="DP660" s="1354"/>
      <c r="DQ660" s="1405"/>
      <c r="DR660" s="1403"/>
      <c r="DS660" s="1489"/>
      <c r="DU660" s="1403"/>
      <c r="DV660" s="1405"/>
      <c r="DW660" s="1403"/>
      <c r="DX660" s="1403"/>
      <c r="DZ660" s="1481"/>
      <c r="EA660" s="1481"/>
      <c r="EC660" s="1482"/>
      <c r="ED660" s="1369"/>
      <c r="EE660" s="1371"/>
      <c r="EF660" s="1369"/>
      <c r="EG660" s="1369"/>
      <c r="EH660" s="1374"/>
      <c r="EI660" s="1374"/>
      <c r="EJ660" s="1363"/>
      <c r="EK660" s="1376"/>
      <c r="EL660" s="1376"/>
      <c r="EM660" s="1362"/>
      <c r="EN660" s="1362"/>
      <c r="EO660" s="1363"/>
      <c r="EP660" s="1363"/>
      <c r="EQ660" s="1363"/>
      <c r="ES660" s="1403"/>
      <c r="EU660" s="1411"/>
      <c r="EV660" s="1411"/>
      <c r="EW660" s="1411"/>
      <c r="EX660" s="1411"/>
      <c r="EY660" s="1411"/>
      <c r="EZ660" s="1413"/>
      <c r="FB660" s="1365"/>
      <c r="FD660" s="1354"/>
      <c r="FE660" s="1354"/>
      <c r="FF660" s="138"/>
      <c r="FI660" s="1357"/>
      <c r="FJ660" s="1357"/>
      <c r="FK660" s="1365"/>
      <c r="FL660" s="1365"/>
      <c r="FM660" s="1365"/>
      <c r="FO660" s="1361"/>
      <c r="FP660" s="1361"/>
      <c r="FQ660" s="1366"/>
      <c r="FR660" s="1368"/>
      <c r="FS660" s="1361"/>
      <c r="FT660" s="1368"/>
      <c r="FU660" s="1360"/>
      <c r="FW660" s="1352"/>
      <c r="FX660" s="1352"/>
      <c r="FY660" s="1352"/>
      <c r="FZ660" s="1352"/>
      <c r="GA660" s="1352"/>
      <c r="GB660" s="1352"/>
      <c r="GC660" s="1352"/>
      <c r="GD660" s="1352"/>
      <c r="GE660" s="759"/>
      <c r="GF660" s="1035"/>
      <c r="GG660" s="1385"/>
      <c r="GI660" s="1384" t="b">
        <f>IF(AND(GL660=TRUE,GM660=TRUE),TRUE,FALSE)</f>
        <v>0</v>
      </c>
      <c r="GJ660" s="1379" t="b">
        <f>IFERROR(IF(__Retrofit_TI_NC=2,TRUE,IF(AR659="Yes",TRUE,FALSE)),FALSE)</f>
        <v>1</v>
      </c>
      <c r="GL660" s="1379" t="b">
        <f>IFERROR(IF(GL659=1,TRUE,FALSE),FALSE)</f>
        <v>0</v>
      </c>
      <c r="GM660" s="1379" t="b">
        <f>IFERROR(IF(GM659=GM$14,TRUE,FALSE),FALSE)</f>
        <v>0</v>
      </c>
      <c r="HC660" s="1379" t="b">
        <f>IFERROR(IF(M660=1,TRUE,FALSE),FALSE)</f>
        <v>0</v>
      </c>
      <c r="HD660" s="1379" t="b">
        <f>IFERROR(IF(M661=1,TRUE,FALSE),FALSE)</f>
        <v>0</v>
      </c>
      <c r="HE660" s="1379" t="b">
        <f>IFERROR(IF(__Retrofit_TI_NC&lt;&gt;0,TRUE,IFERROR(IF(VLOOKUP(U660,Fixtures_Existing_List,2,FALSE)&lt;&gt;"",TRUE,FALSE),FALSE)),FALSE)</f>
        <v>0</v>
      </c>
      <c r="HF660" s="1379" t="b">
        <f>IFERROR(IF(VLOOKUP(U661,Fixtures_Proposed_List,2,FALSE)&lt;&gt;"",TRUE,FALSE),FALSE)</f>
        <v>0</v>
      </c>
      <c r="HG660" s="1379" t="b">
        <f>IF(AND(__Retrofit_TI_NC=2,EZ659=TRUE),FALSE,TRUE)</f>
        <v>1</v>
      </c>
      <c r="HH660" s="1379" t="b">
        <f>GG659</f>
        <v>1</v>
      </c>
      <c r="HI660" s="1384" t="b">
        <f>IF(ISERROR(MATCH(FB659,_Control_Match[],0))=TRUE,FALSE,TRUE)</f>
        <v>0</v>
      </c>
      <c r="HJ660" s="1384" t="b">
        <f>IFERROR(IF(EU659&lt;&gt;EV659,FALSE,TRUE),FALSE)</f>
        <v>0</v>
      </c>
      <c r="HK660" s="1384" t="b">
        <f>IFERROR(IF(EU661&lt;&gt;EV661,FALSE,TRUE),FALSE)</f>
        <v>0</v>
      </c>
      <c r="HL660" s="1379" t="b">
        <f>IFERROR(IF(CN659="Exterior",TRUE,IF(OR(AND(FJ659=0,EW661&gt;4),AND(FJ659=4,EW661&gt;4,EW661&lt;7)),FALSE,TRUE)),FALSE)</f>
        <v>0</v>
      </c>
      <c r="HM660" s="1379" t="b">
        <f>IFERROR(IF(AND(FL661=7,EZ659=TRUE),FALSE,TRUE),FALSE)</f>
        <v>0</v>
      </c>
      <c r="HN660" s="1379" t="b">
        <f>IFERROR(IF(AND(T661&lt;&gt;AE661,AF661="Interior LLLC")=TRUE,FALSE,TRUE),FALSE)</f>
        <v>1</v>
      </c>
      <c r="HO660" s="1379" t="b">
        <f>IFERROR(IF(OR(AF661=Lookup!AU$13,AF661=Lookup!AU$14)=TRUE,IF(AE661&gt;T661,FALSE,TRUE),TRUE),FALSE)</f>
        <v>1</v>
      </c>
      <c r="HP660" s="1379" t="b">
        <f>IFERROR(IF(__Retrofit_TI_NC=2,IF(EW661&lt;EW659,FALSE,TRUE),TRUE),FALSE)</f>
        <v>1</v>
      </c>
      <c r="HQ660" s="1379" t="b">
        <f>IF(CN659="Interior",IG$6,TRUE)</f>
        <v>1</v>
      </c>
      <c r="HR660" s="1379" t="b">
        <f>IF(CN659="Exterior",IG$8,TRUE)</f>
        <v>1</v>
      </c>
      <c r="HS660" s="1379" t="b">
        <f>IFERROR(IF(__Retrofit_TI_NC&lt;&gt;0,IF(AW659&lt;AV659,FALSE,TRUE),TRUE),FALSE)</f>
        <v>1</v>
      </c>
      <c r="HT660" s="1379" t="b">
        <f>IFERROR(IF(AND(G660="Exterior",R660&gt;4200),FALSE,TRUE),FALSE)</f>
        <v>1</v>
      </c>
      <c r="HU660" s="1379" t="b">
        <f>IFERROR(IF(AB662/AB659&lt;HU$18,FALSE,TRUE),FALSE)</f>
        <v>0</v>
      </c>
      <c r="HW660" s="1382"/>
      <c r="HX660" s="1378"/>
      <c r="HY660" s="1377" t="str">
        <f>VLOOKUP(HW662,_Error_Table,4,FALSE)</f>
        <v>White</v>
      </c>
      <c r="HZ660" s="436"/>
      <c r="IA660" s="1386"/>
      <c r="IB660" s="1380"/>
      <c r="IC660" s="1379"/>
      <c r="IF660" s="1380"/>
      <c r="IG660" s="1382"/>
      <c r="IH660" s="1382"/>
      <c r="II660" s="1382"/>
      <c r="IK660" s="1351"/>
      <c r="IL660" s="1351"/>
      <c r="IM660" s="1351"/>
      <c r="IN660" s="1351"/>
      <c r="IO660" s="1351"/>
      <c r="IP660" s="1351"/>
    </row>
    <row r="661" spans="1:250" s="82" customFormat="1" ht="14.95" customHeight="1" thickTop="1" thickBot="1">
      <c r="A661" s="82">
        <f>ROW()</f>
        <v>661</v>
      </c>
      <c r="B661" s="1421"/>
      <c r="C661" s="1422"/>
      <c r="D661" s="1423"/>
      <c r="E661" s="1393" t="s">
        <v>245</v>
      </c>
      <c r="F661" s="1394"/>
      <c r="G661" s="1398"/>
      <c r="H661" s="1399"/>
      <c r="I661" s="1399"/>
      <c r="J661" s="1399"/>
      <c r="K661" s="1399"/>
      <c r="L661" s="1400"/>
      <c r="M661" s="509">
        <f>IFERROR(IF(IF(__Retrofit_TI_NC&lt;&gt;0,IF(CN659="Interior",MATCH(G661,Lookup_Interior_New,0),MATCH(G661,Lookup_Exterior_New,0)),IF(CN659="Interior",MATCH(G661,Lookup_Interior,0),MATCH(G661,Lookup_Exterior_Areas,0)))&gt;0,1,0),0)</f>
        <v>0</v>
      </c>
      <c r="N661" s="509" t="e">
        <f>IF(__Retrofit_TI_NC=1,
VLOOKUP(G661,'Space Table'!$B$3:$L$160,4,FALSE),
IF(__Retrofit_TI_NC=2,VLOOKUP(G661,'Space Table'!$B$3:$L$160,5,FALSE),VLOOKUP(G661,'Space Table'!$B$3:$L$160,5,FALSE)))</f>
        <v>#N/A</v>
      </c>
      <c r="O661" s="509">
        <f>G661</f>
        <v>0</v>
      </c>
      <c r="P661" s="1394" t="s">
        <v>355</v>
      </c>
      <c r="Q661" s="1394"/>
      <c r="R661" s="674"/>
      <c r="S661" s="1401" t="s">
        <v>284</v>
      </c>
      <c r="T661" s="672"/>
      <c r="U661" s="1499"/>
      <c r="V661" s="1500"/>
      <c r="W661" s="1500"/>
      <c r="X661" s="1500"/>
      <c r="Y661" s="1500"/>
      <c r="Z661" s="1500"/>
      <c r="AA661" s="1500"/>
      <c r="AB661" s="1501"/>
      <c r="AC661" s="1501"/>
      <c r="AD661" s="1502"/>
      <c r="AE661" s="672"/>
      <c r="AF661" s="1474"/>
      <c r="AG661" s="1474"/>
      <c r="AH661" s="1474"/>
      <c r="AI661" s="1474"/>
      <c r="AJ661" s="1475">
        <f>DF661</f>
        <v>0</v>
      </c>
      <c r="AK661" s="1470" t="str">
        <f>IFERROR(ROUND(AJ661*AC662,0),"")</f>
        <v/>
      </c>
      <c r="AL661" s="1472">
        <f>IFERROR(IF(HW659=FALSE,0,AC662-AK661),0)</f>
        <v>0</v>
      </c>
      <c r="AM661" s="1441"/>
      <c r="AN661" s="1442"/>
      <c r="AO661" s="1447"/>
      <c r="AP661" s="1447"/>
      <c r="AQ661" s="1448"/>
      <c r="AR661" s="1452"/>
      <c r="AS661" s="1455"/>
      <c r="AT661" s="1458"/>
      <c r="AU661" s="516"/>
      <c r="AV661" s="1479"/>
      <c r="AW661" s="1479"/>
      <c r="BC661" s="38"/>
      <c r="BD661" s="38"/>
      <c r="BE661" s="38"/>
      <c r="BF661" s="38"/>
      <c r="BG661" s="38"/>
      <c r="BH661" s="38"/>
      <c r="BI661" s="38"/>
      <c r="BJ661" s="38"/>
      <c r="BK661" s="38"/>
      <c r="BL661" s="38"/>
      <c r="BM661" s="38"/>
      <c r="BN661" s="38"/>
      <c r="BO661" s="38"/>
      <c r="BP661" s="38"/>
      <c r="BQ661" s="38"/>
      <c r="BR661" s="38"/>
      <c r="BS661" s="38"/>
      <c r="BT661" s="38"/>
      <c r="BU661" s="38"/>
      <c r="BV661" s="38"/>
      <c r="BW661" s="38"/>
      <c r="BX661" s="38"/>
      <c r="BY661" s="38"/>
      <c r="BZ661" s="38"/>
      <c r="CA661" s="38"/>
      <c r="CB661" s="38"/>
      <c r="CC661" s="38"/>
      <c r="CD661" s="38"/>
      <c r="CE661" s="38"/>
      <c r="CF661" s="38"/>
      <c r="CG661" s="38"/>
      <c r="CH661" s="38"/>
      <c r="CI661" s="38"/>
      <c r="CM661" s="1352"/>
      <c r="CN661" s="1352"/>
      <c r="CO661" s="1415" t="str">
        <f>CN659</f>
        <v/>
      </c>
      <c r="CP661" s="1417" t="e">
        <f>CP659</f>
        <v>#N/A</v>
      </c>
      <c r="CR661" s="1386" t="s">
        <v>284</v>
      </c>
      <c r="CS661" s="1353">
        <f>IF(HW659=TRUE,T661,0)</f>
        <v>0</v>
      </c>
      <c r="CT661" s="1353" t="str">
        <f>IF(HW659=TRUE,U661,"")</f>
        <v/>
      </c>
      <c r="CU661" s="1373">
        <f>IF(HW659=TRUE,U662,0)</f>
        <v>0</v>
      </c>
      <c r="CV661" s="1370">
        <f>IF(HW659=TRUE,AB662,0)</f>
        <v>0</v>
      </c>
      <c r="CW661" s="1370">
        <f>IF(HW659=TRUE,AC662,0)</f>
        <v>0</v>
      </c>
      <c r="CX661" s="1371"/>
      <c r="CY661" s="1486"/>
      <c r="CZ661" s="1486"/>
      <c r="DA661" s="1486"/>
      <c r="DC661" s="1353">
        <f>IF(HW659=TRUE,AE661,0)</f>
        <v>0</v>
      </c>
      <c r="DD661" s="1353" t="str">
        <f>IF(HW659=TRUE,AF661,"")</f>
        <v/>
      </c>
      <c r="DE661" s="1373">
        <f>AF662</f>
        <v>0</v>
      </c>
      <c r="DF661" s="1406">
        <f>IFERROR(IF(FL661=3,IK661,IF(FL661=4,IL661,IF(FL661=5,IM661,IF(FL661=6,IN661,IF(FL661=7,IO661,IF(FL661=8,IP661,0)))))),0)</f>
        <v>0</v>
      </c>
      <c r="DG661" s="1370">
        <f>IF(HW659=TRUE,AK661,0)</f>
        <v>0</v>
      </c>
      <c r="DH661" s="1369"/>
      <c r="DK661" s="1483">
        <f>IFERROR(CW661-DG661,0)</f>
        <v>0</v>
      </c>
      <c r="DL661" s="1420"/>
      <c r="DN661" s="1403"/>
      <c r="DO661" s="1477" t="str">
        <f>DN659</f>
        <v/>
      </c>
      <c r="DP661" s="1354"/>
      <c r="DQ661" s="1477" t="str">
        <f>IF(DP659=7,"LLLC","")</f>
        <v/>
      </c>
      <c r="DR661" s="1403"/>
      <c r="DS661" s="1489"/>
      <c r="DU661" s="1403"/>
      <c r="DV661" s="1404" t="str">
        <f>DU659</f>
        <v/>
      </c>
      <c r="DW661" s="1403"/>
      <c r="DX661" s="1403"/>
      <c r="DZ661" s="1481"/>
      <c r="EA661" s="1481"/>
      <c r="EC661" s="1482"/>
      <c r="ED661" s="1369"/>
      <c r="EE661" s="1371"/>
      <c r="EF661" s="1369"/>
      <c r="EG661" s="1369"/>
      <c r="EH661" s="1374"/>
      <c r="EI661" s="1374"/>
      <c r="EJ661" s="1363"/>
      <c r="EK661" s="1376"/>
      <c r="EL661" s="1376"/>
      <c r="EM661" s="1362"/>
      <c r="EN661" s="1362"/>
      <c r="EO661" s="1363"/>
      <c r="EP661" s="1363"/>
      <c r="EQ661" s="1363"/>
      <c r="ES661" s="1403"/>
      <c r="EU661" s="1411" t="e">
        <f>VLOOKUP(CP661,'Space Table'!$B$3:$L$160,8,FALSE)</f>
        <v>#N/A</v>
      </c>
      <c r="EV661" s="1411" t="e">
        <f>IF(EY661="Yes",VLOOKUP(AF661,Lookup_Control_Type_Table2,4,FALSE),VLOOKUP(AF661,Lookup_Control_Type_Table2,3,FALSE))</f>
        <v>#N/A</v>
      </c>
      <c r="EW661" s="1411" t="e">
        <f>VLOOKUP(AF661,Lookup!AU$3:AV$15,2,FALSE)</f>
        <v>#N/A</v>
      </c>
      <c r="EX661" s="1411" t="e">
        <f>VLOOKUP(EU659,Lookup_Control_Type_Table,2,FALSE)</f>
        <v>#N/A</v>
      </c>
      <c r="EY661" s="1411" t="e">
        <f>VLOOKUP(CP661,'Space Table'!$B$3:$L$160,7,FALSE)</f>
        <v>#N/A</v>
      </c>
      <c r="EZ661" s="1413"/>
      <c r="FB661" s="1365" t="str">
        <f>CONCATENATE(CN659," - ",AF661)</f>
        <v xml:space="preserve"> - </v>
      </c>
      <c r="FD661" s="1354"/>
      <c r="FE661" s="1354"/>
      <c r="FF661" s="138"/>
      <c r="FI661" s="1356" t="str">
        <f>IF(CN659="Exterior","Not Daylighted",G662)</f>
        <v>Not Daylighted</v>
      </c>
      <c r="FJ661" s="1356">
        <f>VLOOKUP(FI661,_Daylight_Table_Codes,2,FALSE)</f>
        <v>0</v>
      </c>
      <c r="FK661" s="1365">
        <f>AF661</f>
        <v>0</v>
      </c>
      <c r="FL661" s="1365" t="e">
        <f>VLOOKUP(FK661,_Control_Table,2,FALSE)</f>
        <v>#N/A</v>
      </c>
      <c r="FM661" s="1365" t="e">
        <f>IF(AND(FP661&gt;0,FK661="Occupancy Sensor"),"Daylight + Occupancy",IF(AND(FP661&gt;0,FL661&lt;4),"Interior Daylight Dimming",FK661))</f>
        <v>#N/A</v>
      </c>
      <c r="FO661" s="1364">
        <f>IF(CN659="Interior",VLOOKUP(CP659,Control_Savings_Interior,5,FALSE),0)</f>
        <v>0</v>
      </c>
      <c r="FP661" s="1361">
        <f>IF(CN661="Exterior",0,IF(FJ661=2,0.5,IF(OR(FJ661=1,FJ661=3),1,0)))</f>
        <v>0</v>
      </c>
      <c r="FQ661" s="1366">
        <f>IF(R660&gt;FO$37,(FO661*(FO$37/R660)),FO661)*FP661</f>
        <v>0</v>
      </c>
      <c r="FR661" s="1364">
        <f>DF661</f>
        <v>0</v>
      </c>
      <c r="FS661" s="1364">
        <f>ROUND(FR661+((1-FR661)*FQ661),2)</f>
        <v>0</v>
      </c>
      <c r="FT661" s="1364">
        <f>IF(__Retrofit_TI_NC=2,FS661,FR661)</f>
        <v>0</v>
      </c>
      <c r="FU661" s="1360">
        <f>IF(CO661="Interior",VLOOKUP(CP661,Control_Savings_Interior,4,FALSE),0)</f>
        <v>0</v>
      </c>
      <c r="FW661" s="1352"/>
      <c r="FX661" s="1352"/>
      <c r="FY661" s="1352"/>
      <c r="FZ661" s="1352"/>
      <c r="GA661" s="1352"/>
      <c r="GB661" s="1352"/>
      <c r="GC661" s="1352"/>
      <c r="GD661" s="1352"/>
      <c r="GE661" s="759" t="b">
        <f>IF(ISNUMBER(SEARCH("TLED",U661)),TRUE,FALSE)</f>
        <v>0</v>
      </c>
      <c r="GF661" s="1035" t="str">
        <f>IFERROR(VLOOKUP(U661,Fixtures!DM$93:DR$142,6,FALSE),"")</f>
        <v/>
      </c>
      <c r="GG661" s="1385"/>
      <c r="GI661" s="1383"/>
      <c r="GJ661" s="1379"/>
      <c r="GL661" s="1379"/>
      <c r="GM661" s="1379"/>
      <c r="HC661" s="1379"/>
      <c r="HD661" s="1379"/>
      <c r="HE661" s="1379"/>
      <c r="HF661" s="1379"/>
      <c r="HG661" s="1379"/>
      <c r="HH661" s="1379"/>
      <c r="HI661" s="1383"/>
      <c r="HJ661" s="1383"/>
      <c r="HK661" s="1383"/>
      <c r="HL661" s="1379"/>
      <c r="HM661" s="1379"/>
      <c r="HN661" s="1379"/>
      <c r="HO661" s="1379"/>
      <c r="HP661" s="1379"/>
      <c r="HQ661" s="1379"/>
      <c r="HR661" s="1379"/>
      <c r="HS661" s="1379"/>
      <c r="HT661" s="1379"/>
      <c r="HU661" s="1379"/>
      <c r="HW661" s="1383"/>
      <c r="HX661" s="1384" t="b">
        <f>HW659</f>
        <v>0</v>
      </c>
      <c r="HY661" s="1378"/>
      <c r="HZ661" s="436"/>
      <c r="IA661" s="1386"/>
      <c r="IB661" s="1380">
        <f>IF(IA659=TRUE,AC662,0)</f>
        <v>0</v>
      </c>
      <c r="IC661" s="1379"/>
      <c r="IF661" s="1380" t="e">
        <f>ROUND(T661*AB662*N660*R660/1000,0)</f>
        <v>#VALUE!</v>
      </c>
      <c r="IG661" s="1382"/>
      <c r="IH661" s="1384" t="e">
        <f>ROUND(T661*AB662*N660*R660/1000,0)</f>
        <v>#VALUE!</v>
      </c>
      <c r="II661" s="1382"/>
      <c r="IK661" s="1351" t="e">
        <f>IF($CO661="interior",IL661/2,VLOOKUP($CP661,Control_Savings_Exterior,IK$30,FALSE))</f>
        <v>#N/A</v>
      </c>
      <c r="IL661" s="1351" t="e">
        <f>IF($CO661="interior",VLOOKUP($CP661,Control_Savings_Interior,IL$30,FALSE),VLOOKUP($CP661,Control_Savings_Exterior,IL$30,FALSE))</f>
        <v>#N/A</v>
      </c>
      <c r="IM661" s="1351" t="e">
        <f>IF($CO661="interior",IF(R660&gt;FO$37,(IM$28*(FO$37/R660)),IM$28)*FP661,VLOOKUP($CP661,Control_Savings_Exterior,IM$30,FALSE))</f>
        <v>#N/A</v>
      </c>
      <c r="IN661" s="1351" t="e">
        <f>IF($CO661="interior",ROUND(((1-IL661)*IM661)+IL661,2),VLOOKUP($CP661,Control_Savings_Exterior,IN$30,FALSE))</f>
        <v>#N/A</v>
      </c>
      <c r="IO661" s="1351" t="e">
        <f>IF($CO661="interior", ROUND(((1-IL661)*(IM661*(1-IP$28)))+IP661,2), VLOOKUP($CP661,Control_Savings_Exterior,IO$30,FALSE))</f>
        <v>#N/A</v>
      </c>
      <c r="IP661" s="1351">
        <f>IF($CO661="interior",ROUND(((1-IL661)*IP$28)+IL661,2),0)</f>
        <v>0</v>
      </c>
    </row>
    <row r="662" spans="1:250" s="82" customFormat="1" ht="14.95" customHeight="1" thickTop="1" thickBot="1">
      <c r="B662" s="1421"/>
      <c r="C662" s="1422"/>
      <c r="D662" s="1423"/>
      <c r="E662" s="1462" t="s">
        <v>357</v>
      </c>
      <c r="F662" s="1463"/>
      <c r="G662" s="1464" t="s">
        <v>362</v>
      </c>
      <c r="H662" s="1465"/>
      <c r="I662" s="1465"/>
      <c r="J662" s="1465"/>
      <c r="K662" s="1465"/>
      <c r="L662" s="1466"/>
      <c r="M662" s="669">
        <f>IFERROR(VLOOKUP(G662,_Daylight_Table[],2,FALSE),0)</f>
        <v>0</v>
      </c>
      <c r="N662" s="670"/>
      <c r="O662" s="669" t="e">
        <f>VLOOKUP(G661,'Space Table'!$B$3:$L$160,11,FALSE)</f>
        <v>#N/A</v>
      </c>
      <c r="P662" s="1408"/>
      <c r="Q662" s="1409"/>
      <c r="R662" s="1409"/>
      <c r="S662" s="1402"/>
      <c r="T662" s="671" t="s">
        <v>281</v>
      </c>
      <c r="U662" s="1467" t="str">
        <f>IFERROR(VLOOKUP(U661,Fixtures!DM$93:DP$142,4,FALSE),"")</f>
        <v/>
      </c>
      <c r="V662" s="1468"/>
      <c r="W662" s="1468"/>
      <c r="X662" s="1468"/>
      <c r="Y662" s="1468"/>
      <c r="Z662" s="1468"/>
      <c r="AA662" s="1468"/>
      <c r="AB662" s="1046" t="str">
        <f>IFERROR(VLOOKUP(U661,Fixtures_Proposed_List,2,FALSE),"")</f>
        <v/>
      </c>
      <c r="AC662" s="1036" t="str">
        <f>IFERROR(ROUND(T661*AB662*N660*R660/1000,0),"")</f>
        <v/>
      </c>
      <c r="AD662" s="1037" t="str">
        <f>IFERROR(ROUND(T661*AB662/1000,2),"")</f>
        <v/>
      </c>
      <c r="AE662" s="1045" t="s">
        <v>281</v>
      </c>
      <c r="AF662" s="1469"/>
      <c r="AG662" s="1469"/>
      <c r="AH662" s="1469"/>
      <c r="AI662" s="1469"/>
      <c r="AJ662" s="1476"/>
      <c r="AK662" s="1471"/>
      <c r="AL662" s="1473"/>
      <c r="AM662" s="1443"/>
      <c r="AN662" s="1444"/>
      <c r="AO662" s="1449"/>
      <c r="AP662" s="1449"/>
      <c r="AQ662" s="1450"/>
      <c r="AR662" s="1453"/>
      <c r="AS662" s="1456"/>
      <c r="AT662" s="1459"/>
      <c r="AU662" s="517"/>
      <c r="AV662" s="1480"/>
      <c r="AW662" s="1480"/>
      <c r="BC662" s="38"/>
      <c r="BD662" s="38"/>
      <c r="BE662" s="38"/>
      <c r="BF662" s="38"/>
      <c r="BG662" s="38"/>
      <c r="BH662" s="38"/>
      <c r="BI662" s="38"/>
      <c r="BJ662" s="38"/>
      <c r="BK662" s="38"/>
      <c r="BL662" s="38"/>
      <c r="BM662" s="38"/>
      <c r="BN662" s="38"/>
      <c r="BO662" s="38"/>
      <c r="BP662" s="38"/>
      <c r="BQ662" s="38"/>
      <c r="BR662" s="38"/>
      <c r="BS662" s="38"/>
      <c r="BT662" s="38"/>
      <c r="BU662" s="38"/>
      <c r="BV662" s="38"/>
      <c r="BW662" s="38"/>
      <c r="BX662" s="38"/>
      <c r="BY662" s="38"/>
      <c r="BZ662" s="38"/>
      <c r="CA662" s="38"/>
      <c r="CB662" s="38"/>
      <c r="CC662" s="38"/>
      <c r="CD662" s="38"/>
      <c r="CE662" s="38"/>
      <c r="CF662" s="38"/>
      <c r="CG662" s="38"/>
      <c r="CH662" s="38"/>
      <c r="CI662" s="38"/>
      <c r="CM662" s="1352"/>
      <c r="CN662" s="1352"/>
      <c r="CO662" s="1416"/>
      <c r="CP662" s="1418"/>
      <c r="CR662" s="1386"/>
      <c r="CS662" s="1355"/>
      <c r="CT662" s="1355"/>
      <c r="CU662" s="1375"/>
      <c r="CV662" s="1372"/>
      <c r="CW662" s="1372"/>
      <c r="CX662" s="1372"/>
      <c r="CY662" s="1487"/>
      <c r="CZ662" s="1487"/>
      <c r="DA662" s="1487"/>
      <c r="DC662" s="1355"/>
      <c r="DD662" s="1355"/>
      <c r="DE662" s="1375"/>
      <c r="DF662" s="1407"/>
      <c r="DG662" s="1372"/>
      <c r="DH662" s="1369"/>
      <c r="DK662" s="1484"/>
      <c r="DL662" s="1420"/>
      <c r="DN662" s="1403"/>
      <c r="DO662" s="1405"/>
      <c r="DP662" s="1355"/>
      <c r="DQ662" s="1405"/>
      <c r="DR662" s="1403"/>
      <c r="DS662" s="1489"/>
      <c r="DU662" s="1403"/>
      <c r="DV662" s="1405"/>
      <c r="DW662" s="1403"/>
      <c r="DX662" s="1403"/>
      <c r="DZ662" s="1481"/>
      <c r="EA662" s="1481"/>
      <c r="EC662" s="1482"/>
      <c r="ED662" s="1369"/>
      <c r="EE662" s="1372"/>
      <c r="EF662" s="1369"/>
      <c r="EG662" s="1369"/>
      <c r="EH662" s="1375"/>
      <c r="EI662" s="1375"/>
      <c r="EJ662" s="1363"/>
      <c r="EK662" s="1376"/>
      <c r="EL662" s="1376"/>
      <c r="EM662" s="1362"/>
      <c r="EN662" s="1362"/>
      <c r="EO662" s="1363"/>
      <c r="EP662" s="1363"/>
      <c r="EQ662" s="1363"/>
      <c r="ES662" s="1403"/>
      <c r="EU662" s="1488"/>
      <c r="EV662" s="1488"/>
      <c r="EW662" s="1488"/>
      <c r="EX662" s="1488"/>
      <c r="EY662" s="1488"/>
      <c r="EZ662" s="1414"/>
      <c r="FB662" s="1365"/>
      <c r="FD662" s="1355"/>
      <c r="FE662" s="1355"/>
      <c r="FF662" s="138"/>
      <c r="FI662" s="1357"/>
      <c r="FJ662" s="1357"/>
      <c r="FK662" s="1365"/>
      <c r="FL662" s="1365"/>
      <c r="FM662" s="1365"/>
      <c r="FO662" s="1361"/>
      <c r="FP662" s="1361"/>
      <c r="FQ662" s="1366"/>
      <c r="FR662" s="1361"/>
      <c r="FS662" s="1361"/>
      <c r="FT662" s="1361"/>
      <c r="FU662" s="1360"/>
      <c r="FW662" s="1352"/>
      <c r="FX662" s="1352"/>
      <c r="FY662" s="1352"/>
      <c r="FZ662" s="1352"/>
      <c r="GA662" s="1352"/>
      <c r="GB662" s="1352"/>
      <c r="GC662" s="1352"/>
      <c r="GD662" s="1352"/>
      <c r="GE662" s="759"/>
      <c r="GF662" s="1035"/>
      <c r="GG662" s="1385"/>
      <c r="GJ662" s="1034">
        <f>IF(GJ660=TRUE,0,GJ$16)</f>
        <v>0</v>
      </c>
      <c r="GL662" s="1034">
        <f>IF(GL660=TRUE,0,GL$16)</f>
        <v>36</v>
      </c>
      <c r="GM662" s="1034">
        <f>IF(GM660=TRUE,0,GM$16)</f>
        <v>35</v>
      </c>
      <c r="GN662" s="436"/>
      <c r="GO662" s="436"/>
      <c r="GP662" s="436"/>
      <c r="GQ662" s="436"/>
      <c r="GR662" s="436"/>
      <c r="HC662" s="1034">
        <f t="shared" ref="HC662:HH662" si="490">IF(HC660=TRUE,0,HC$16)</f>
        <v>19</v>
      </c>
      <c r="HD662" s="1034">
        <f t="shared" si="490"/>
        <v>18</v>
      </c>
      <c r="HE662" s="1034">
        <f t="shared" si="490"/>
        <v>17</v>
      </c>
      <c r="HF662" s="1034">
        <f t="shared" si="490"/>
        <v>16</v>
      </c>
      <c r="HG662" s="1034">
        <f t="shared" si="490"/>
        <v>0</v>
      </c>
      <c r="HH662" s="1034">
        <f t="shared" si="490"/>
        <v>0</v>
      </c>
      <c r="HI662" s="1034">
        <f>IF(HI660=TRUE,0,HI$16)</f>
        <v>13</v>
      </c>
      <c r="HJ662" s="1034">
        <f t="shared" ref="HJ662:HL662" si="491">IF(HJ660=TRUE,0,HJ$16)</f>
        <v>12</v>
      </c>
      <c r="HK662" s="1034">
        <f t="shared" si="491"/>
        <v>11</v>
      </c>
      <c r="HL662" s="1034">
        <f t="shared" si="491"/>
        <v>10</v>
      </c>
      <c r="HM662" s="1034">
        <f>IF(HM660=TRUE,0,HM$16)</f>
        <v>9</v>
      </c>
      <c r="HN662" s="1034">
        <f t="shared" ref="HN662:HR662" si="492">IF(HN660=TRUE,0,HN$16)</f>
        <v>0</v>
      </c>
      <c r="HO662" s="1034">
        <f t="shared" si="492"/>
        <v>0</v>
      </c>
      <c r="HP662" s="1034">
        <f t="shared" si="492"/>
        <v>0</v>
      </c>
      <c r="HQ662" s="1034">
        <f t="shared" si="492"/>
        <v>0</v>
      </c>
      <c r="HR662" s="1034">
        <f t="shared" si="492"/>
        <v>0</v>
      </c>
      <c r="HS662" s="1034">
        <f>IF(HS660=TRUE,0,HS$16)</f>
        <v>0</v>
      </c>
      <c r="HT662" s="1034">
        <f t="shared" ref="HT662" si="493">IF(HT660=TRUE,0,HT$16)</f>
        <v>0</v>
      </c>
      <c r="HU662" s="1034">
        <f>IF(HU660=TRUE,0,HU$16)</f>
        <v>1</v>
      </c>
      <c r="HW662" s="1034">
        <f>IF(GL660=FALSE,GL662,IF(GM660=FALSE,GM662,MAX(GJ662:HU662)))</f>
        <v>36</v>
      </c>
      <c r="HX662" s="1383"/>
      <c r="HY662" s="241" t="str">
        <f>VLOOKUP(HW662,_Error_Table,3,FALSE)</f>
        <v xml:space="preserve"> </v>
      </c>
      <c r="HZ662" s="241"/>
      <c r="IA662" s="1386"/>
      <c r="IB662" s="1380"/>
      <c r="IC662" s="1379"/>
      <c r="IF662" s="1380"/>
      <c r="IG662" s="1383"/>
      <c r="IH662" s="1383"/>
      <c r="II662" s="1383"/>
      <c r="IK662" s="1351"/>
      <c r="IL662" s="1351"/>
      <c r="IM662" s="1351"/>
      <c r="IN662" s="1351"/>
      <c r="IO662" s="1351"/>
      <c r="IP662" s="1351"/>
    </row>
    <row r="663" spans="1:250" s="82" customFormat="1" ht="5.0999999999999996" customHeight="1" thickBot="1">
      <c r="B663" s="763"/>
      <c r="C663" s="1038"/>
      <c r="D663" s="1038"/>
      <c r="E663" s="1490"/>
      <c r="F663" s="1490"/>
      <c r="G663" s="1490"/>
      <c r="H663" s="1490"/>
      <c r="I663" s="1490"/>
      <c r="J663" s="1490"/>
      <c r="K663" s="1490"/>
      <c r="L663" s="1490"/>
      <c r="M663" s="1490"/>
      <c r="N663" s="1490"/>
      <c r="O663" s="1490"/>
      <c r="P663" s="1490"/>
      <c r="Q663" s="1490"/>
      <c r="R663" s="1490"/>
      <c r="S663" s="1490"/>
      <c r="T663" s="1490"/>
      <c r="U663" s="1490"/>
      <c r="V663" s="1490"/>
      <c r="W663" s="1490"/>
      <c r="X663" s="1490"/>
      <c r="Y663" s="1490"/>
      <c r="Z663" s="1490"/>
      <c r="AA663" s="1490"/>
      <c r="AB663" s="1490"/>
      <c r="AC663" s="1490"/>
      <c r="AD663" s="1490"/>
      <c r="AE663" s="1490"/>
      <c r="AF663" s="1490"/>
      <c r="AG663" s="1490"/>
      <c r="AH663" s="1490"/>
      <c r="AI663" s="1490"/>
      <c r="AJ663" s="1490"/>
      <c r="AK663" s="1490"/>
      <c r="AL663" s="1490"/>
      <c r="AM663" s="1490"/>
      <c r="AN663" s="1490"/>
      <c r="AO663" s="1490"/>
      <c r="AP663" s="1490"/>
      <c r="AQ663" s="1490"/>
      <c r="AR663" s="1490"/>
      <c r="AS663" s="1490"/>
      <c r="AT663" s="1490"/>
      <c r="AU663" s="1041"/>
      <c r="BC663" s="38"/>
      <c r="BD663" s="38"/>
      <c r="BE663" s="38"/>
      <c r="BF663" s="38"/>
      <c r="BG663" s="38"/>
      <c r="BH663" s="38"/>
      <c r="BI663" s="38"/>
      <c r="BJ663" s="38"/>
      <c r="BK663" s="38"/>
      <c r="BL663" s="38"/>
      <c r="BM663" s="38"/>
      <c r="BN663" s="38"/>
      <c r="BO663" s="38"/>
      <c r="BP663" s="38"/>
      <c r="BQ663" s="38"/>
      <c r="BR663" s="38"/>
      <c r="BS663" s="38"/>
      <c r="BT663" s="38"/>
      <c r="BU663" s="38"/>
      <c r="BV663" s="38"/>
      <c r="BW663" s="38"/>
      <c r="BX663" s="38"/>
      <c r="BY663" s="38"/>
      <c r="BZ663" s="38"/>
      <c r="CA663" s="38"/>
      <c r="CB663" s="38"/>
      <c r="CC663" s="38"/>
      <c r="CD663" s="38"/>
      <c r="CE663" s="38"/>
      <c r="CF663" s="38"/>
      <c r="CG663" s="38"/>
      <c r="CH663" s="38"/>
      <c r="CI663" s="38"/>
      <c r="CM663" s="749"/>
      <c r="CN663" s="749"/>
      <c r="CO663" s="1043"/>
      <c r="CP663" s="749"/>
      <c r="CS663" s="436"/>
      <c r="CT663" s="436"/>
      <c r="CU663" s="243"/>
      <c r="CV663" s="244"/>
      <c r="CW663" s="244"/>
      <c r="CX663" s="244"/>
      <c r="CY663" s="245"/>
      <c r="CZ663" s="245"/>
      <c r="DA663" s="245"/>
      <c r="DC663" s="750"/>
      <c r="DD663" s="751"/>
      <c r="DE663" s="752"/>
      <c r="DF663" s="753"/>
      <c r="DG663" s="754"/>
      <c r="DH663" s="754"/>
      <c r="DK663" s="244"/>
      <c r="DL663" s="750"/>
      <c r="DN663" s="750"/>
      <c r="DO663" s="755"/>
      <c r="DP663" s="436"/>
      <c r="DQ663" s="750"/>
      <c r="DR663" s="750"/>
      <c r="DS663" s="750"/>
      <c r="DU663" s="750"/>
      <c r="DV663" s="750"/>
      <c r="DW663" s="750"/>
      <c r="DX663" s="750"/>
      <c r="DZ663" s="756"/>
      <c r="EA663" s="756"/>
      <c r="EC663" s="754"/>
      <c r="ED663" s="754"/>
      <c r="EE663" s="244"/>
      <c r="EF663" s="754"/>
      <c r="EG663" s="754"/>
      <c r="EH663" s="243"/>
      <c r="EI663" s="243"/>
      <c r="EJ663" s="752"/>
      <c r="EK663" s="757"/>
      <c r="EL663" s="757"/>
      <c r="EM663" s="758"/>
      <c r="EN663" s="758"/>
      <c r="EO663" s="752"/>
      <c r="EP663" s="752"/>
      <c r="EQ663" s="752"/>
      <c r="ES663" s="750"/>
      <c r="EU663" s="436"/>
      <c r="EV663" s="436"/>
      <c r="EW663" s="436"/>
      <c r="EX663" s="436"/>
      <c r="EY663" s="436"/>
      <c r="EZ663" s="436"/>
      <c r="FB663" s="643"/>
      <c r="FD663" s="436"/>
      <c r="FE663" s="436"/>
      <c r="FF663" s="436"/>
      <c r="FO663" s="750"/>
      <c r="FP663" s="436"/>
      <c r="FQ663" s="436"/>
      <c r="FR663" s="750"/>
      <c r="FS663" s="750"/>
      <c r="FW663" s="749"/>
      <c r="FX663" s="749"/>
      <c r="FY663" s="749"/>
      <c r="FZ663" s="749"/>
      <c r="GA663" s="749"/>
      <c r="GB663" s="749"/>
      <c r="GC663" s="749"/>
      <c r="GD663" s="749"/>
      <c r="GE663" s="751"/>
      <c r="GF663" s="750"/>
      <c r="GG663" s="750"/>
    </row>
    <row r="664" spans="1:250" s="82" customFormat="1" ht="14.95" customHeight="1" thickTop="1" thickBot="1">
      <c r="B664" s="1421" t="str">
        <f>HY667</f>
        <v xml:space="preserve"> </v>
      </c>
      <c r="C664" s="1422">
        <f>C659+1</f>
        <v>121</v>
      </c>
      <c r="D664" s="1423"/>
      <c r="E664" s="1424" t="s">
        <v>242</v>
      </c>
      <c r="F664" s="1425"/>
      <c r="G664" s="1426"/>
      <c r="H664" s="1427"/>
      <c r="I664" s="1427"/>
      <c r="J664" s="1427"/>
      <c r="K664" s="1427"/>
      <c r="L664" s="1427"/>
      <c r="M664" s="1427"/>
      <c r="N664" s="1427"/>
      <c r="O664" s="1427"/>
      <c r="P664" s="1427"/>
      <c r="Q664" s="1427"/>
      <c r="R664" s="1427"/>
      <c r="S664" s="1428" t="s">
        <v>283</v>
      </c>
      <c r="T664" s="668" t="s">
        <v>190</v>
      </c>
      <c r="U664" s="1430" t="s">
        <v>186</v>
      </c>
      <c r="V664" s="1431"/>
      <c r="W664" s="1431"/>
      <c r="X664" s="1431"/>
      <c r="Y664" s="1431"/>
      <c r="Z664" s="1431"/>
      <c r="AA664" s="1431"/>
      <c r="AB664" s="1047" t="str">
        <f>IFERROR(IF(__Retrofit_TI_NC=0,VLOOKUP(U665,Fixtures_Existing_List,2,FALSE),ROUND(N666*R666/T666,10)),"")</f>
        <v/>
      </c>
      <c r="AC664" s="1039" t="str">
        <f>IFERROR(IF(__Retrofit_TI_NC=0,ROUND(T665*AB664*N665*R665/1000,0),IF(CN664="Interior",N666*R666*R665*N665*_C406_reduction/1000,N666*R666*R665*N665/1000)),"")</f>
        <v/>
      </c>
      <c r="AD664" s="1040" t="str">
        <f>IFERROR(IF(C$36=0,ROUND(T665*AB664/1000,2),N666*R666/1000),"")</f>
        <v/>
      </c>
      <c r="AE664" s="1044" t="s">
        <v>190</v>
      </c>
      <c r="AF664" s="1432" t="str">
        <f>IF(__Retrofit_TI_NC=2,CONCATENATE("Code min = ",DD664),IF(__Retrofit_TI_NC=1,"Emter what you think the existing control was"," Control"))</f>
        <v xml:space="preserve"> Control</v>
      </c>
      <c r="AG664" s="1432"/>
      <c r="AH664" s="1432"/>
      <c r="AI664" s="1432"/>
      <c r="AJ664" s="1433">
        <f>DF664</f>
        <v>0</v>
      </c>
      <c r="AK664" s="1435" t="str">
        <f>IFERROR(ROUND(AJ664*AC664,0),"")</f>
        <v/>
      </c>
      <c r="AL664" s="1437">
        <f>IFERROR(IF(HW664=FALSE,0,AC664-AK664),0)</f>
        <v>0</v>
      </c>
      <c r="AM664" s="1439">
        <f>AL664-AL666</f>
        <v>0</v>
      </c>
      <c r="AN664" s="1440"/>
      <c r="AO664" s="1445">
        <f>IFERROR(IF(HW664=FALSE,0,(T666*U667)+(AE666*AF667)),0)</f>
        <v>0</v>
      </c>
      <c r="AP664" s="1445"/>
      <c r="AQ664" s="1446"/>
      <c r="AR664" s="1451" t="s">
        <v>157</v>
      </c>
      <c r="AS664" s="1454">
        <f>IF(AR664="Yes",1,0)</f>
        <v>1</v>
      </c>
      <c r="AT664" s="1457" t="str">
        <f>IF(OR(DN664=4,DN664=5,DN664=6,DN664=12),CONCATENATE("$",IF(GD664=TRUE,Lookup!$B$11,Lookup!$B$2)," /lamp"),CONCATENATE(EA664,"/ kWh"))</f>
        <v>0/ kWh</v>
      </c>
      <c r="AU664" s="516"/>
      <c r="AV664" s="1478">
        <f>IFERROR(IF(GI665=TRUE,(AB667*T666)/R666,0),"NA")</f>
        <v>0</v>
      </c>
      <c r="AW664" s="1478" t="str">
        <f>IFERROR(N666*_C406_reduction,"NA")</f>
        <v>NA</v>
      </c>
      <c r="BC664" s="38"/>
      <c r="BD664" s="38"/>
      <c r="BE664" s="38"/>
      <c r="BF664" s="38"/>
      <c r="BG664" s="38"/>
      <c r="BH664" s="38"/>
      <c r="BI664" s="38"/>
      <c r="BJ664" s="38"/>
      <c r="BK664" s="38"/>
      <c r="BL664" s="38"/>
      <c r="BM664" s="38"/>
      <c r="BN664" s="38"/>
      <c r="BO664" s="38"/>
      <c r="BP664" s="38"/>
      <c r="BQ664" s="38"/>
      <c r="BR664" s="38"/>
      <c r="BS664" s="38"/>
      <c r="BT664" s="38"/>
      <c r="BU664" s="38"/>
      <c r="BV664" s="38"/>
      <c r="BW664" s="38"/>
      <c r="BX664" s="38"/>
      <c r="BY664" s="38"/>
      <c r="BZ664" s="38"/>
      <c r="CA664" s="38"/>
      <c r="CB664" s="38"/>
      <c r="CC664" s="38"/>
      <c r="CD664" s="38"/>
      <c r="CE664" s="38"/>
      <c r="CF664" s="38"/>
      <c r="CG664" s="38"/>
      <c r="CH664" s="38"/>
      <c r="CI664" s="38"/>
      <c r="CM664" s="1352" t="str">
        <f>N665</f>
        <v/>
      </c>
      <c r="CN664" s="1352" t="str">
        <f>IFERROR(VLOOKUP(G665,_Lookup_Heat_Type_Table_New,3,FALSE),"")</f>
        <v/>
      </c>
      <c r="CO664" s="1415" t="str">
        <f>CN664</f>
        <v/>
      </c>
      <c r="CP664" s="1417" t="e">
        <f>VLOOKUP(G666,'Space Table'!$B$3:$L$160,9,FALSE)</f>
        <v>#N/A</v>
      </c>
      <c r="CR664" s="1386" t="s">
        <v>283</v>
      </c>
      <c r="CS664" s="1353">
        <f>IF(HW664=TRUE,T665,0)</f>
        <v>0</v>
      </c>
      <c r="CT664" s="1353" t="str">
        <f>IF(HW664=TRUE,U665,"")</f>
        <v/>
      </c>
      <c r="CU664" s="1353"/>
      <c r="CV664" s="1370">
        <f>IF(HW664=TRUE,AB664,0)</f>
        <v>0</v>
      </c>
      <c r="CW664" s="1370">
        <f>IF(HW664=TRUE,AC664,0)</f>
        <v>0</v>
      </c>
      <c r="CX664" s="1370">
        <f>IFERROR(IF(HW664=TRUE,CW664-CW666,0),0)</f>
        <v>0</v>
      </c>
      <c r="CY664" s="1485">
        <f>IF(HW664=TRUE,AD664,0)</f>
        <v>0</v>
      </c>
      <c r="CZ664" s="1485">
        <f>IF(HW664=TRUE,AD667,0)</f>
        <v>0</v>
      </c>
      <c r="DA664" s="1485">
        <f>IFERROR(CY664-CZ664,0)</f>
        <v>0</v>
      </c>
      <c r="DC664" s="1353">
        <f>IF(HW664=TRUE,AE665,0)</f>
        <v>0</v>
      </c>
      <c r="DD664" s="1460">
        <f>IF(__Retrofit_TI_NC=2,IF(CN664="Exterior",O667,FM664),FK664)</f>
        <v>0</v>
      </c>
      <c r="DE664" s="1353"/>
      <c r="DF664" s="1406">
        <f>IFERROR(IF(FL664=3,IK664,IF(FL664=4,IL664,IF(FL664=5,IM664,IF(FL664=6,IN664,IF(FL664=7,IO664,IF(FL664=8,IP664,0)))))),0)</f>
        <v>0</v>
      </c>
      <c r="DG664" s="1370">
        <f>IF(HW664=TRUE,AK664,0)</f>
        <v>0</v>
      </c>
      <c r="DH664" s="1369">
        <f>IFERROR(IF(HW664=TRUE,DG666-DG664,0),0)</f>
        <v>0</v>
      </c>
      <c r="DJ664" s="1483">
        <f>IFERROR(CW664-DG664,0)</f>
        <v>0</v>
      </c>
      <c r="DL664" s="1419">
        <f>DJ664-DK666</f>
        <v>0</v>
      </c>
      <c r="DN664" s="1403" t="str">
        <f>IFERROR(IF(AND(OR(FY664=4,FY664=5,FY664=6),OR(GB664=4,GB664=5,GB664=6)),FY664+8,VLOOKUP(CT666,Fixtures!R$31:Y$78,8,FALSE)),"")</f>
        <v/>
      </c>
      <c r="DO664" s="1404" t="str">
        <f>DN664</f>
        <v/>
      </c>
      <c r="DP664" s="1353" t="str">
        <f>IFERROR(VLOOKUP(DD666,Lookup!AU$3:AV$15,2,FALSE),"")</f>
        <v/>
      </c>
      <c r="DQ664" s="1404" t="str">
        <f>IF(DP664=7,"LLLC","")</f>
        <v/>
      </c>
      <c r="DR664" s="1403">
        <f>IFERROR(IF(OR(DN664=4,DN664=5,DN664=6,DN664=12,DN664=13,DN664=14),VLOOKUP(CT666,Fixtures!DN$27:EG$77,19,FALSE),1)*CS666,0)</f>
        <v>0</v>
      </c>
      <c r="DS664" s="1489">
        <f>IF(DP664=7,IF(DD664=DD666,0,DC666),0)</f>
        <v>0</v>
      </c>
      <c r="DU664" s="1403" t="str">
        <f>IFERROR(IF(EW664&lt;EW666,"Yes","No"),"")</f>
        <v/>
      </c>
      <c r="DV664" s="1404" t="str">
        <f>DU664</f>
        <v/>
      </c>
      <c r="DW664" s="1403">
        <f>IF(DU664="Yes",DC666,0)</f>
        <v>0</v>
      </c>
      <c r="DX664" s="1403">
        <f>DW664-DS664</f>
        <v>0</v>
      </c>
      <c r="DZ664" s="1481">
        <f>IFERROR(VLOOKUP(DN664,Lookup!AN$3:AO$16,2,FALSE),0)</f>
        <v>0</v>
      </c>
      <c r="EA664" s="1481">
        <f>IF(HW664=FALSE,0,IF(DU664="Yes",DZ664+Lookup!B$6,DZ664))</f>
        <v>0</v>
      </c>
      <c r="EC664" s="1482">
        <f>IF(HW664=TRUE,DJ664,0)</f>
        <v>0</v>
      </c>
      <c r="ED664" s="1369">
        <f>IF(HW664=TRUE,CW666,0)</f>
        <v>0</v>
      </c>
      <c r="EE664" s="1370">
        <f>IFERROR(EC664-ED664,0)</f>
        <v>0</v>
      </c>
      <c r="EF664" s="1369">
        <f>IF(HW664=TRUE,DG666,0)</f>
        <v>0</v>
      </c>
      <c r="EG664" s="1369">
        <f>IFERROR(EC664-ED664+EF664,0)</f>
        <v>0</v>
      </c>
      <c r="EH664" s="1373">
        <f>IF(HW664=TRUE,CS666*CU666,0)</f>
        <v>0</v>
      </c>
      <c r="EI664" s="1373">
        <f>IF(HW664=TRUE,DC666*DE666,0)</f>
        <v>0</v>
      </c>
      <c r="EJ664" s="1363">
        <f>AO664</f>
        <v>0</v>
      </c>
      <c r="EK664" s="1376" t="str">
        <f>IFERROR(IF(HW664=TRUE,VLOOKUP(DN664,Lookup!AN$3:AP$16,3,FALSE)*DR664,""),0)</f>
        <v/>
      </c>
      <c r="EL664" s="1376">
        <f>IF(HW664=TRUE,DW664*Lookup!AP$12,0)</f>
        <v>0</v>
      </c>
      <c r="EM664" s="1362">
        <f>IFERROR(IF(HW664=TRUE,EK664/EM$33,0),0)</f>
        <v>0</v>
      </c>
      <c r="EN664" s="1362">
        <f>IF(HW664=TRUE,EL664/EN$33,0)</f>
        <v>0</v>
      </c>
      <c r="EO664" s="1363">
        <f>IF(HW664=TRUE,EQ$33*EM664,0)</f>
        <v>0</v>
      </c>
      <c r="EP664" s="1363">
        <f>IF(HW664=TRUE,EQ$33*EN664,0)</f>
        <v>0</v>
      </c>
      <c r="EQ664" s="1363">
        <f>EO664+EP664</f>
        <v>0</v>
      </c>
      <c r="ES664" s="1403">
        <f>IF(G664="",0,1)</f>
        <v>0</v>
      </c>
      <c r="EU664" s="1410" t="e">
        <f>VLOOKUP(CP666,'Space Table'!$B$3:$L$160,8,FALSE)</f>
        <v>#N/A</v>
      </c>
      <c r="EV664" s="1410" t="e">
        <f>IF(EY664="Yes",VLOOKUP(DD664,Lookup_Control_Type_Table2,4,FALSE),VLOOKUP(DD664,Lookup_Control_Type_Table2,3,FALSE))</f>
        <v>#N/A</v>
      </c>
      <c r="EW664" s="1410" t="e">
        <f>VLOOKUP(DD664,Lookup!AU$3:AV$15,2,FALSE)</f>
        <v>#N/A</v>
      </c>
      <c r="EX664" s="1410" t="e">
        <f>VLOOKUP(EU664,Lookup_Control_Type_Table,2,FALSE)</f>
        <v>#N/A</v>
      </c>
      <c r="EY664" s="1410" t="e">
        <f>VLOOKUP(CP666,'Space Table'!$B$3:$L$160,7,FALSE)</f>
        <v>#N/A</v>
      </c>
      <c r="EZ664" s="1412" t="b">
        <f>ISNUMBER(SEARCH("TLED",U666))</f>
        <v>0</v>
      </c>
      <c r="FB664" s="1365" t="str">
        <f>CONCATENATE(CN664," - ",DD664)</f>
        <v xml:space="preserve"> - 0</v>
      </c>
      <c r="FD664" s="1353" t="str">
        <f>VLOOKUP(CT666,Fixtures!DN$27:EZ$77,38,FALSE)</f>
        <v/>
      </c>
      <c r="FE664" s="1353">
        <f>IFERROR(FD664*EE664,0)</f>
        <v>0</v>
      </c>
      <c r="FF664" s="138"/>
      <c r="FI664" s="1356" t="str">
        <f>IF(CN664="Exterior","Not Daylighted",G667)</f>
        <v>Not Daylighted</v>
      </c>
      <c r="FJ664" s="1356">
        <f>VLOOKUP(FI664,_Daylight_Table_Codes,2,FALSE)</f>
        <v>0</v>
      </c>
      <c r="FK664" s="1365">
        <f>IF(__Retrofit_TI_NC=2,VLOOKUP(G666,'Space Table'!$B$3:$L$160,11,FALSE),AF665)</f>
        <v>0</v>
      </c>
      <c r="FL664" s="1365" t="e">
        <f>VLOOKUP(FK664,_Control_Table,2,FALSE)</f>
        <v>#N/A</v>
      </c>
      <c r="FM664" s="1365" t="e">
        <f>IF(AND(FP664&gt;0,FK664="Occupancy Sensor"),"Daylight + Occupancy",IF(AND(FP664&gt;0,FL664&lt;4),"Interior Daylight Dimming",FK664))</f>
        <v>#N/A</v>
      </c>
      <c r="FO664" s="1364">
        <f>IF(CO664="Interior",VLOOKUP(CP664,Control_Savings_Interior,5,FALSE),0)</f>
        <v>0</v>
      </c>
      <c r="FP664" s="1361">
        <f>IF(CN664="Exterior",0,IF(FJ664=2,0.5,IF(OR(FJ664=1,FJ664=3),1,0)))</f>
        <v>0</v>
      </c>
      <c r="FQ664" s="1366"/>
      <c r="FR664" s="1367"/>
      <c r="FS664" s="1364"/>
      <c r="FT664" s="1367"/>
      <c r="FU664" s="1360"/>
      <c r="FW664" s="1352" t="str">
        <f>IFERROR(VLOOKUP(U665,_Exist_Fixture_Table,3,FALSE),"")</f>
        <v/>
      </c>
      <c r="FX664" s="1352" t="str">
        <f>VLOOKUP(CT664,_Exist_Fixture_Table,4,FALSE)</f>
        <v/>
      </c>
      <c r="FY664" s="1352">
        <f>IFERROR(VLOOKUP(FX664,Lookup!AM$6:AN$8,2,FALSE),0)</f>
        <v>0</v>
      </c>
      <c r="FZ664" s="1352" t="b">
        <f>IFERROR(IF(OR(GB664=4,GB664=5,GB664=6),TRUE,FALSE),"")</f>
        <v>0</v>
      </c>
      <c r="GA664" s="1352" t="str">
        <f>IFERROR(VLOOKUP(GB664,FY$6:FZ$10,2,FALSE),"")</f>
        <v/>
      </c>
      <c r="GB664" s="1352" t="str">
        <f>VLOOKUP(CT666,Fixtures!R$31:Y$78,8,FALSE)</f>
        <v/>
      </c>
      <c r="GC664" s="1352">
        <f>IF(AND(FW664=TRUE,FZ664=TRUE,OR(DN664=12,DN664=13,DN664=14)),FY664+8,0)</f>
        <v>0</v>
      </c>
      <c r="GD664" s="1352" t="b">
        <f>IF(OR(GC664=12,GC664=13,GC664=14),TRUE,FALSE)</f>
        <v>0</v>
      </c>
      <c r="GE664" s="759" t="b">
        <f>IF(ISNUMBER(SEARCH("TLED",U665)),TRUE,FALSE)</f>
        <v>0</v>
      </c>
      <c r="GF664" s="1035" t="str">
        <f>IFERROR(VLOOKUP(U665,Fixtures!BM$93:BR$142,6,FALSE),"")</f>
        <v/>
      </c>
      <c r="GG664" s="1385" t="b">
        <f>IF(OR(GE664=FALSE,GE666=FALSE),TRUE,IF(GF664-GF666&lt;5,FALSE,TRUE))</f>
        <v>1</v>
      </c>
      <c r="GK664" s="1034">
        <f>GL664</f>
        <v>0</v>
      </c>
      <c r="GL664" s="1034">
        <f>IF(G664="",0,1)</f>
        <v>0</v>
      </c>
      <c r="GM664" s="1034">
        <f>SUM(GN664:HB664)</f>
        <v>2</v>
      </c>
      <c r="GN664" s="1034">
        <f>IF(G665="",0,1)</f>
        <v>0</v>
      </c>
      <c r="GO664" s="1034">
        <f>IF(G666="",0,1)</f>
        <v>0</v>
      </c>
      <c r="GP664" s="1034">
        <f>IF(R665="",0,1)</f>
        <v>0</v>
      </c>
      <c r="GQ664" s="1034">
        <f>IF(__Retrofit_TI_NC=0,1,IF(R666="",0,1))</f>
        <v>1</v>
      </c>
      <c r="GR664" s="1034">
        <f>IF(CN664="Exterior",1,IF(G667="",0,1))</f>
        <v>1</v>
      </c>
      <c r="GS664" s="1034">
        <f>IF(__Retrofit_TI_NC&lt;&gt;0,1,IF(T665="",0,1))</f>
        <v>0</v>
      </c>
      <c r="GT664" s="1034">
        <f>IF(__Retrofit_TI_NC&lt;&gt;0,1,IF(U665="",0,1))</f>
        <v>0</v>
      </c>
      <c r="GU664" s="1034">
        <f>IF(T666="",0,1)</f>
        <v>0</v>
      </c>
      <c r="GV664" s="1034">
        <f>IF(U666="",0,1)</f>
        <v>0</v>
      </c>
      <c r="GW664" s="1034">
        <f>IF(__Retrofit_TI_NC=2,1,IF(U667="",0,1))</f>
        <v>0</v>
      </c>
      <c r="GX664" s="1034">
        <f>IF(__Retrofit_TI_NC&lt;&gt;0,1,IF(AE665="",0,1))</f>
        <v>0</v>
      </c>
      <c r="GY664" s="1034">
        <f>IF(__Retrofit_TI_NC&lt;&gt;0,1,IF(AF665="",0,1))</f>
        <v>0</v>
      </c>
      <c r="GZ664" s="1034">
        <f>IF(AE666="",0,1)</f>
        <v>0</v>
      </c>
      <c r="HA664" s="1034">
        <f>IF(AF666="",0,1)</f>
        <v>0</v>
      </c>
      <c r="HB664" s="1034">
        <f>IF(__Retrofit_TI_NC=2,1,IF(AF667="",0,1))</f>
        <v>0</v>
      </c>
      <c r="HV664" s="436"/>
      <c r="HW664" s="1384" t="b">
        <f>IF(OR(HW667=0,HW667=HT$16,HW667=HS$16,HW667=HU$16),TRUE,FALSE)</f>
        <v>0</v>
      </c>
      <c r="HX664" s="1377" t="b">
        <f>HW664</f>
        <v>0</v>
      </c>
      <c r="HY664" s="436"/>
      <c r="HZ664" s="436"/>
      <c r="IA664" s="1386" t="b">
        <f>IF(MAX(GJ667:HP667)&gt;5,FALSE,TRUE)</f>
        <v>0</v>
      </c>
      <c r="IB664" s="1380">
        <f>IF(IA664=TRUE,AC664,0)</f>
        <v>0</v>
      </c>
      <c r="IC664" s="1380">
        <f>IB664-IB666</f>
        <v>0</v>
      </c>
      <c r="IF664" s="1380" t="e">
        <f>ROUND(T665*VLOOKUP(U665,Fixtures_Existing_List,2,FALSE)*N665*R665/1000,0)</f>
        <v>#N/A</v>
      </c>
      <c r="IG664" s="1381" t="e">
        <f>IF664-IF666</f>
        <v>#N/A</v>
      </c>
      <c r="IH664" s="1384" t="e">
        <f>ROUND(IF(CN664="Interior",N666*R666*R665*N665*_C406_reduction/1000,N666*R666*R665*N665/1000),0)</f>
        <v>#N/A</v>
      </c>
      <c r="II664" s="1384" t="e">
        <f>IH664-IH666</f>
        <v>#N/A</v>
      </c>
      <c r="IK664" s="1351" t="e">
        <f>IF($CO664="interior",IL664/2,VLOOKUP($CP664,Control_Savings_Exterior,IK$30,FALSE))</f>
        <v>#N/A</v>
      </c>
      <c r="IL664" s="1351" t="e">
        <f>IF($CO664="interior",VLOOKUP($CP664,Control_Savings_Interior,IL$30,FALSE),VLOOKUP($CP664,Control_Savings_Exterior,IL$30,FALSE))</f>
        <v>#N/A</v>
      </c>
      <c r="IM664" s="1351" t="e">
        <f>IF($CO664="interior",IF(R665&gt;FO$37,(IM$28*(FO$37/R665)),IM$28)*FP664,VLOOKUP($CP664,Control_Savings_Exterior,IM$30,FALSE))</f>
        <v>#N/A</v>
      </c>
      <c r="IN664" s="1351" t="e">
        <f>IF($CO664="interior",ROUND(((1-IL664)*IM664)+IL664,2),VLOOKUP($CP664,Control_Savings_Exterior,IN$30,FALSE))</f>
        <v>#N/A</v>
      </c>
      <c r="IO664" s="1351" t="e">
        <f>IF($CO664="interior", ROUND(((1-IL664)*(IM664*(1-IP$28)))+IP664,2), VLOOKUP($CP664,Control_Savings_Exterior,IO$30,FALSE))</f>
        <v>#N/A</v>
      </c>
      <c r="IP664" s="1351">
        <f>IF($CO664="interior",ROUND(((1-IL664)*IP$28)+IL664,2),0)</f>
        <v>0</v>
      </c>
    </row>
    <row r="665" spans="1:250" s="82" customFormat="1" ht="14.95" customHeight="1" thickTop="1" thickBot="1">
      <c r="B665" s="1421"/>
      <c r="C665" s="1422"/>
      <c r="D665" s="1423"/>
      <c r="E665" s="1393" t="s">
        <v>244</v>
      </c>
      <c r="F665" s="1394"/>
      <c r="G665" s="1395"/>
      <c r="H665" s="1395"/>
      <c r="I665" s="1395"/>
      <c r="J665" s="1395"/>
      <c r="K665" s="1395"/>
      <c r="L665" s="1395"/>
      <c r="M665" s="509" t="e">
        <f>IF(__Retrofit_TI_NC&lt;&gt;0,IF(VLOOKUP(G666,'Space Table'!$B$3:$L$160,3,FALSE)&gt;0,1,0),IF(__Retrofit_TI_NC=VLOOKUP(G666,'Space Table'!$B$3:$L$160,3,FALSE),1,0))</f>
        <v>#N/A</v>
      </c>
      <c r="N665" s="509" t="str">
        <f>IFERROR(VLOOKUP(G665,_Lookup_Heat_Type_Table_New,2,FALSE),"")</f>
        <v/>
      </c>
      <c r="O665" s="509">
        <f>IF(__Retrofit_TI_NC=1,CONCATENATE("TI ",G665),IF(__Retrofit_TI_NC=2,CONCATENATE("NC ",G665),G665))</f>
        <v>0</v>
      </c>
      <c r="P665" s="1396" t="s">
        <v>352</v>
      </c>
      <c r="Q665" s="1396"/>
      <c r="R665" s="673"/>
      <c r="S665" s="1429"/>
      <c r="T665" s="675"/>
      <c r="U665" s="1496"/>
      <c r="V665" s="1497"/>
      <c r="W665" s="1497"/>
      <c r="X665" s="1497"/>
      <c r="Y665" s="1497"/>
      <c r="Z665" s="1497"/>
      <c r="AA665" s="1497"/>
      <c r="AB665" s="1497"/>
      <c r="AC665" s="1497"/>
      <c r="AD665" s="1498"/>
      <c r="AE665" s="675"/>
      <c r="AF665" s="1397"/>
      <c r="AG665" s="1397"/>
      <c r="AH665" s="1397"/>
      <c r="AI665" s="1397"/>
      <c r="AJ665" s="1434"/>
      <c r="AK665" s="1436"/>
      <c r="AL665" s="1438"/>
      <c r="AM665" s="1441"/>
      <c r="AN665" s="1442"/>
      <c r="AO665" s="1447"/>
      <c r="AP665" s="1447"/>
      <c r="AQ665" s="1448"/>
      <c r="AR665" s="1452"/>
      <c r="AS665" s="1455"/>
      <c r="AT665" s="1458"/>
      <c r="AU665" s="516"/>
      <c r="AV665" s="1479"/>
      <c r="AW665" s="1479"/>
      <c r="BC665" s="38"/>
      <c r="BD665" s="38"/>
      <c r="BE665" s="38"/>
      <c r="BF665" s="38"/>
      <c r="BG665" s="38"/>
      <c r="BH665" s="38"/>
      <c r="BI665" s="38"/>
      <c r="BJ665" s="38"/>
      <c r="BK665" s="38"/>
      <c r="BL665" s="38"/>
      <c r="BM665" s="38"/>
      <c r="BN665" s="38"/>
      <c r="BO665" s="38"/>
      <c r="BP665" s="38"/>
      <c r="BQ665" s="38"/>
      <c r="BR665" s="38"/>
      <c r="BS665" s="38"/>
      <c r="BT665" s="38"/>
      <c r="BU665" s="38"/>
      <c r="BV665" s="38"/>
      <c r="BW665" s="38"/>
      <c r="BX665" s="38"/>
      <c r="BY665" s="38"/>
      <c r="BZ665" s="38"/>
      <c r="CA665" s="38"/>
      <c r="CB665" s="38"/>
      <c r="CC665" s="38"/>
      <c r="CD665" s="38"/>
      <c r="CE665" s="38"/>
      <c r="CF665" s="38"/>
      <c r="CG665" s="38"/>
      <c r="CH665" s="38"/>
      <c r="CI665" s="38"/>
      <c r="CM665" s="1352"/>
      <c r="CN665" s="1352"/>
      <c r="CO665" s="1416"/>
      <c r="CP665" s="1418"/>
      <c r="CR665" s="1386"/>
      <c r="CS665" s="1355"/>
      <c r="CT665" s="1355"/>
      <c r="CU665" s="1355"/>
      <c r="CV665" s="1372"/>
      <c r="CW665" s="1372"/>
      <c r="CX665" s="1371"/>
      <c r="CY665" s="1486"/>
      <c r="CZ665" s="1486"/>
      <c r="DA665" s="1486"/>
      <c r="DC665" s="1355"/>
      <c r="DD665" s="1461"/>
      <c r="DE665" s="1355"/>
      <c r="DF665" s="1407"/>
      <c r="DG665" s="1372"/>
      <c r="DH665" s="1369"/>
      <c r="DJ665" s="1484"/>
      <c r="DL665" s="1419"/>
      <c r="DN665" s="1403"/>
      <c r="DO665" s="1405"/>
      <c r="DP665" s="1354"/>
      <c r="DQ665" s="1405"/>
      <c r="DR665" s="1403"/>
      <c r="DS665" s="1489"/>
      <c r="DU665" s="1403"/>
      <c r="DV665" s="1405"/>
      <c r="DW665" s="1403"/>
      <c r="DX665" s="1403"/>
      <c r="DZ665" s="1481"/>
      <c r="EA665" s="1481"/>
      <c r="EC665" s="1482"/>
      <c r="ED665" s="1369"/>
      <c r="EE665" s="1371"/>
      <c r="EF665" s="1369"/>
      <c r="EG665" s="1369"/>
      <c r="EH665" s="1374"/>
      <c r="EI665" s="1374"/>
      <c r="EJ665" s="1363"/>
      <c r="EK665" s="1376"/>
      <c r="EL665" s="1376"/>
      <c r="EM665" s="1362"/>
      <c r="EN665" s="1362"/>
      <c r="EO665" s="1363"/>
      <c r="EP665" s="1363"/>
      <c r="EQ665" s="1363"/>
      <c r="ES665" s="1403"/>
      <c r="EU665" s="1411"/>
      <c r="EV665" s="1411"/>
      <c r="EW665" s="1411"/>
      <c r="EX665" s="1411"/>
      <c r="EY665" s="1411"/>
      <c r="EZ665" s="1413"/>
      <c r="FB665" s="1365"/>
      <c r="FD665" s="1354"/>
      <c r="FE665" s="1354"/>
      <c r="FF665" s="138"/>
      <c r="FI665" s="1357"/>
      <c r="FJ665" s="1357"/>
      <c r="FK665" s="1365"/>
      <c r="FL665" s="1365"/>
      <c r="FM665" s="1365"/>
      <c r="FO665" s="1361"/>
      <c r="FP665" s="1361"/>
      <c r="FQ665" s="1366"/>
      <c r="FR665" s="1368"/>
      <c r="FS665" s="1361"/>
      <c r="FT665" s="1368"/>
      <c r="FU665" s="1360"/>
      <c r="FW665" s="1352"/>
      <c r="FX665" s="1352"/>
      <c r="FY665" s="1352"/>
      <c r="FZ665" s="1352"/>
      <c r="GA665" s="1352"/>
      <c r="GB665" s="1352"/>
      <c r="GC665" s="1352"/>
      <c r="GD665" s="1352"/>
      <c r="GE665" s="759"/>
      <c r="GF665" s="1035"/>
      <c r="GG665" s="1385"/>
      <c r="GI665" s="1384" t="b">
        <f>IF(AND(GL665=TRUE,GM665=TRUE),TRUE,FALSE)</f>
        <v>0</v>
      </c>
      <c r="GJ665" s="1379" t="b">
        <f>IFERROR(IF(__Retrofit_TI_NC=2,TRUE,IF(AR664="Yes",TRUE,FALSE)),FALSE)</f>
        <v>1</v>
      </c>
      <c r="GL665" s="1379" t="b">
        <f>IFERROR(IF(GL664=1,TRUE,FALSE),FALSE)</f>
        <v>0</v>
      </c>
      <c r="GM665" s="1379" t="b">
        <f>IFERROR(IF(GM664=GM$14,TRUE,FALSE),FALSE)</f>
        <v>0</v>
      </c>
      <c r="HC665" s="1379" t="b">
        <f>IFERROR(IF(M665=1,TRUE,FALSE),FALSE)</f>
        <v>0</v>
      </c>
      <c r="HD665" s="1379" t="b">
        <f>IFERROR(IF(M666=1,TRUE,FALSE),FALSE)</f>
        <v>0</v>
      </c>
      <c r="HE665" s="1379" t="b">
        <f>IFERROR(IF(__Retrofit_TI_NC&lt;&gt;0,TRUE,IFERROR(IF(VLOOKUP(U665,Fixtures_Existing_List,2,FALSE)&lt;&gt;"",TRUE,FALSE),FALSE)),FALSE)</f>
        <v>0</v>
      </c>
      <c r="HF665" s="1379" t="b">
        <f>IFERROR(IF(VLOOKUP(U666,Fixtures_Proposed_List,2,FALSE)&lt;&gt;"",TRUE,FALSE),FALSE)</f>
        <v>0</v>
      </c>
      <c r="HG665" s="1379" t="b">
        <f>IF(AND(__Retrofit_TI_NC=2,EZ664=TRUE),FALSE,TRUE)</f>
        <v>1</v>
      </c>
      <c r="HH665" s="1379" t="b">
        <f>GG664</f>
        <v>1</v>
      </c>
      <c r="HI665" s="1384" t="b">
        <f>IF(ISERROR(MATCH(FB664,_Control_Match[],0))=TRUE,FALSE,TRUE)</f>
        <v>0</v>
      </c>
      <c r="HJ665" s="1384" t="b">
        <f>IFERROR(IF(EU664&lt;&gt;EV664,FALSE,TRUE),FALSE)</f>
        <v>0</v>
      </c>
      <c r="HK665" s="1384" t="b">
        <f>IFERROR(IF(EU666&lt;&gt;EV666,FALSE,TRUE),FALSE)</f>
        <v>0</v>
      </c>
      <c r="HL665" s="1379" t="b">
        <f>IFERROR(IF(CN664="Exterior",TRUE,IF(OR(AND(FJ664=0,EW666&gt;4),AND(FJ664=4,EW666&gt;4,EW666&lt;7)),FALSE,TRUE)),FALSE)</f>
        <v>0</v>
      </c>
      <c r="HM665" s="1379" t="b">
        <f>IFERROR(IF(AND(FL666=7,EZ664=TRUE),FALSE,TRUE),FALSE)</f>
        <v>0</v>
      </c>
      <c r="HN665" s="1379" t="b">
        <f>IFERROR(IF(AND(T666&lt;&gt;AE666,AF666="Interior LLLC")=TRUE,FALSE,TRUE),FALSE)</f>
        <v>1</v>
      </c>
      <c r="HO665" s="1379" t="b">
        <f>IFERROR(IF(OR(AF666=Lookup!AU$13,AF666=Lookup!AU$14)=TRUE,IF(AE666&gt;T666,FALSE,TRUE),TRUE),FALSE)</f>
        <v>1</v>
      </c>
      <c r="HP665" s="1379" t="b">
        <f>IFERROR(IF(__Retrofit_TI_NC=2,IF(EW666&lt;EW664,FALSE,TRUE),TRUE),FALSE)</f>
        <v>1</v>
      </c>
      <c r="HQ665" s="1379" t="b">
        <f>IF(CN664="Interior",IG$6,TRUE)</f>
        <v>1</v>
      </c>
      <c r="HR665" s="1379" t="b">
        <f>IF(CN664="Exterior",IG$8,TRUE)</f>
        <v>1</v>
      </c>
      <c r="HS665" s="1379" t="b">
        <f>IFERROR(IF(__Retrofit_TI_NC&lt;&gt;0,IF(AW664&lt;AV664,FALSE,TRUE),TRUE),FALSE)</f>
        <v>1</v>
      </c>
      <c r="HT665" s="1379" t="b">
        <f>IFERROR(IF(AND(G665="Exterior",R665&gt;4200),FALSE,TRUE),FALSE)</f>
        <v>1</v>
      </c>
      <c r="HU665" s="1379" t="b">
        <f>IFERROR(IF(AB667/AB664&lt;HU$18,FALSE,TRUE),FALSE)</f>
        <v>0</v>
      </c>
      <c r="HW665" s="1382"/>
      <c r="HX665" s="1378"/>
      <c r="HY665" s="1377" t="str">
        <f>VLOOKUP(HW667,_Error_Table,4,FALSE)</f>
        <v>White</v>
      </c>
      <c r="HZ665" s="436"/>
      <c r="IA665" s="1386"/>
      <c r="IB665" s="1380"/>
      <c r="IC665" s="1379"/>
      <c r="IF665" s="1380"/>
      <c r="IG665" s="1382"/>
      <c r="IH665" s="1382"/>
      <c r="II665" s="1382"/>
      <c r="IK665" s="1351"/>
      <c r="IL665" s="1351"/>
      <c r="IM665" s="1351"/>
      <c r="IN665" s="1351"/>
      <c r="IO665" s="1351"/>
      <c r="IP665" s="1351"/>
    </row>
    <row r="666" spans="1:250" s="82" customFormat="1" ht="14.95" customHeight="1" thickTop="1" thickBot="1">
      <c r="A666" s="82">
        <f>ROW()</f>
        <v>666</v>
      </c>
      <c r="B666" s="1421"/>
      <c r="C666" s="1422"/>
      <c r="D666" s="1423"/>
      <c r="E666" s="1393" t="s">
        <v>245</v>
      </c>
      <c r="F666" s="1394"/>
      <c r="G666" s="1398"/>
      <c r="H666" s="1399"/>
      <c r="I666" s="1399"/>
      <c r="J666" s="1399"/>
      <c r="K666" s="1399"/>
      <c r="L666" s="1400"/>
      <c r="M666" s="509">
        <f>IFERROR(IF(IF(__Retrofit_TI_NC&lt;&gt;0,IF(CN664="Interior",MATCH(G666,Lookup_Interior_New,0),MATCH(G666,Lookup_Exterior_New,0)),IF(CN664="Interior",MATCH(G666,Lookup_Interior,0),MATCH(G666,Lookup_Exterior_Areas,0)))&gt;0,1,0),0)</f>
        <v>0</v>
      </c>
      <c r="N666" s="509" t="e">
        <f>IF(__Retrofit_TI_NC=1,
VLOOKUP(G666,'Space Table'!$B$3:$L$160,4,FALSE),
IF(__Retrofit_TI_NC=2,VLOOKUP(G666,'Space Table'!$B$3:$L$160,5,FALSE),VLOOKUP(G666,'Space Table'!$B$3:$L$160,5,FALSE)))</f>
        <v>#N/A</v>
      </c>
      <c r="O666" s="509">
        <f>G666</f>
        <v>0</v>
      </c>
      <c r="P666" s="1394" t="s">
        <v>355</v>
      </c>
      <c r="Q666" s="1394"/>
      <c r="R666" s="674"/>
      <c r="S666" s="1401" t="s">
        <v>284</v>
      </c>
      <c r="T666" s="672"/>
      <c r="U666" s="1499"/>
      <c r="V666" s="1500"/>
      <c r="W666" s="1500"/>
      <c r="X666" s="1500"/>
      <c r="Y666" s="1500"/>
      <c r="Z666" s="1500"/>
      <c r="AA666" s="1500"/>
      <c r="AB666" s="1501"/>
      <c r="AC666" s="1501"/>
      <c r="AD666" s="1502"/>
      <c r="AE666" s="672"/>
      <c r="AF666" s="1474"/>
      <c r="AG666" s="1474"/>
      <c r="AH666" s="1474"/>
      <c r="AI666" s="1474"/>
      <c r="AJ666" s="1475">
        <f>DF666</f>
        <v>0</v>
      </c>
      <c r="AK666" s="1470" t="str">
        <f>IFERROR(ROUND(AJ666*AC667,0),"")</f>
        <v/>
      </c>
      <c r="AL666" s="1472">
        <f>IFERROR(IF(HW664=FALSE,0,AC667-AK666),0)</f>
        <v>0</v>
      </c>
      <c r="AM666" s="1441"/>
      <c r="AN666" s="1442"/>
      <c r="AO666" s="1447"/>
      <c r="AP666" s="1447"/>
      <c r="AQ666" s="1448"/>
      <c r="AR666" s="1452"/>
      <c r="AS666" s="1455"/>
      <c r="AT666" s="1458"/>
      <c r="AU666" s="516"/>
      <c r="AV666" s="1479"/>
      <c r="AW666" s="1479"/>
      <c r="BC666" s="38"/>
      <c r="BD666" s="38"/>
      <c r="BE666" s="38"/>
      <c r="BF666" s="38"/>
      <c r="BG666" s="38"/>
      <c r="BH666" s="38"/>
      <c r="BI666" s="38"/>
      <c r="BJ666" s="38"/>
      <c r="BK666" s="38"/>
      <c r="BL666" s="38"/>
      <c r="BM666" s="38"/>
      <c r="BN666" s="38"/>
      <c r="BO666" s="38"/>
      <c r="BP666" s="38"/>
      <c r="BQ666" s="38"/>
      <c r="BR666" s="38"/>
      <c r="BS666" s="38"/>
      <c r="BT666" s="38"/>
      <c r="BU666" s="38"/>
      <c r="BV666" s="38"/>
      <c r="BW666" s="38"/>
      <c r="BX666" s="38"/>
      <c r="BY666" s="38"/>
      <c r="BZ666" s="38"/>
      <c r="CA666" s="38"/>
      <c r="CB666" s="38"/>
      <c r="CC666" s="38"/>
      <c r="CD666" s="38"/>
      <c r="CE666" s="38"/>
      <c r="CF666" s="38"/>
      <c r="CG666" s="38"/>
      <c r="CH666" s="38"/>
      <c r="CI666" s="38"/>
      <c r="CM666" s="1352"/>
      <c r="CN666" s="1352"/>
      <c r="CO666" s="1415" t="str">
        <f>CN664</f>
        <v/>
      </c>
      <c r="CP666" s="1417" t="e">
        <f>CP664</f>
        <v>#N/A</v>
      </c>
      <c r="CR666" s="1386" t="s">
        <v>284</v>
      </c>
      <c r="CS666" s="1353">
        <f>IF(HW664=TRUE,T666,0)</f>
        <v>0</v>
      </c>
      <c r="CT666" s="1353" t="str">
        <f>IF(HW664=TRUE,U666,"")</f>
        <v/>
      </c>
      <c r="CU666" s="1373">
        <f>IF(HW664=TRUE,U667,0)</f>
        <v>0</v>
      </c>
      <c r="CV666" s="1370">
        <f>IF(HW664=TRUE,AB667,0)</f>
        <v>0</v>
      </c>
      <c r="CW666" s="1370">
        <f>IF(HW664=TRUE,AC667,0)</f>
        <v>0</v>
      </c>
      <c r="CX666" s="1371"/>
      <c r="CY666" s="1486"/>
      <c r="CZ666" s="1486"/>
      <c r="DA666" s="1486"/>
      <c r="DC666" s="1353">
        <f>IF(HW664=TRUE,AE666,0)</f>
        <v>0</v>
      </c>
      <c r="DD666" s="1353" t="str">
        <f>IF(HW664=TRUE,AF666,"")</f>
        <v/>
      </c>
      <c r="DE666" s="1373">
        <f>AF667</f>
        <v>0</v>
      </c>
      <c r="DF666" s="1406">
        <f>IFERROR(IF(FL666=3,IK666,IF(FL666=4,IL666,IF(FL666=5,IM666,IF(FL666=6,IN666,IF(FL666=7,IO666,IF(FL666=8,IP666,0)))))),0)</f>
        <v>0</v>
      </c>
      <c r="DG666" s="1370">
        <f>IF(HW664=TRUE,AK666,0)</f>
        <v>0</v>
      </c>
      <c r="DH666" s="1369"/>
      <c r="DK666" s="1483">
        <f>IFERROR(CW666-DG666,0)</f>
        <v>0</v>
      </c>
      <c r="DL666" s="1420"/>
      <c r="DN666" s="1403"/>
      <c r="DO666" s="1477" t="str">
        <f>DN664</f>
        <v/>
      </c>
      <c r="DP666" s="1354"/>
      <c r="DQ666" s="1477" t="str">
        <f>IF(DP664=7,"LLLC","")</f>
        <v/>
      </c>
      <c r="DR666" s="1403"/>
      <c r="DS666" s="1489"/>
      <c r="DU666" s="1403"/>
      <c r="DV666" s="1404" t="str">
        <f>DU664</f>
        <v/>
      </c>
      <c r="DW666" s="1403"/>
      <c r="DX666" s="1403"/>
      <c r="DZ666" s="1481"/>
      <c r="EA666" s="1481"/>
      <c r="EC666" s="1482"/>
      <c r="ED666" s="1369"/>
      <c r="EE666" s="1371"/>
      <c r="EF666" s="1369"/>
      <c r="EG666" s="1369"/>
      <c r="EH666" s="1374"/>
      <c r="EI666" s="1374"/>
      <c r="EJ666" s="1363"/>
      <c r="EK666" s="1376"/>
      <c r="EL666" s="1376"/>
      <c r="EM666" s="1362"/>
      <c r="EN666" s="1362"/>
      <c r="EO666" s="1363"/>
      <c r="EP666" s="1363"/>
      <c r="EQ666" s="1363"/>
      <c r="ES666" s="1403"/>
      <c r="EU666" s="1411" t="e">
        <f>VLOOKUP(CP666,'Space Table'!$B$3:$L$160,8,FALSE)</f>
        <v>#N/A</v>
      </c>
      <c r="EV666" s="1411" t="e">
        <f>IF(EY666="Yes",VLOOKUP(AF666,Lookup_Control_Type_Table2,4,FALSE),VLOOKUP(AF666,Lookup_Control_Type_Table2,3,FALSE))</f>
        <v>#N/A</v>
      </c>
      <c r="EW666" s="1411" t="e">
        <f>VLOOKUP(AF666,Lookup!AU$3:AV$15,2,FALSE)</f>
        <v>#N/A</v>
      </c>
      <c r="EX666" s="1411" t="e">
        <f>VLOOKUP(EU664,Lookup_Control_Type_Table,2,FALSE)</f>
        <v>#N/A</v>
      </c>
      <c r="EY666" s="1411" t="e">
        <f>VLOOKUP(CP666,'Space Table'!$B$3:$L$160,7,FALSE)</f>
        <v>#N/A</v>
      </c>
      <c r="EZ666" s="1413"/>
      <c r="FB666" s="1365" t="str">
        <f>CONCATENATE(CN664," - ",AF666)</f>
        <v xml:space="preserve"> - </v>
      </c>
      <c r="FD666" s="1354"/>
      <c r="FE666" s="1354"/>
      <c r="FF666" s="138"/>
      <c r="FI666" s="1356" t="str">
        <f>IF(CN664="Exterior","Not Daylighted",G667)</f>
        <v>Not Daylighted</v>
      </c>
      <c r="FJ666" s="1356">
        <f>VLOOKUP(FI666,_Daylight_Table_Codes,2,FALSE)</f>
        <v>0</v>
      </c>
      <c r="FK666" s="1365">
        <f>AF666</f>
        <v>0</v>
      </c>
      <c r="FL666" s="1365" t="e">
        <f>VLOOKUP(FK666,_Control_Table,2,FALSE)</f>
        <v>#N/A</v>
      </c>
      <c r="FM666" s="1365" t="e">
        <f>IF(AND(FP666&gt;0,FK666="Occupancy Sensor"),"Daylight + Occupancy",IF(AND(FP666&gt;0,FL666&lt;4),"Interior Daylight Dimming",FK666))</f>
        <v>#N/A</v>
      </c>
      <c r="FO666" s="1364">
        <f>IF(CN664="Interior",VLOOKUP(CP664,Control_Savings_Interior,5,FALSE),0)</f>
        <v>0</v>
      </c>
      <c r="FP666" s="1361">
        <f>IF(CN666="Exterior",0,IF(FJ666=2,0.5,IF(OR(FJ666=1,FJ666=3),1,0)))</f>
        <v>0</v>
      </c>
      <c r="FQ666" s="1366">
        <f>IF(R665&gt;FO$37,(FO666*(FO$37/R665)),FO666)*FP666</f>
        <v>0</v>
      </c>
      <c r="FR666" s="1364">
        <f>DF666</f>
        <v>0</v>
      </c>
      <c r="FS666" s="1364">
        <f>ROUND(FR666+((1-FR666)*FQ666),2)</f>
        <v>0</v>
      </c>
      <c r="FT666" s="1364">
        <f>IF(__Retrofit_TI_NC=2,FS666,FR666)</f>
        <v>0</v>
      </c>
      <c r="FU666" s="1360">
        <f>IF(CO666="Interior",VLOOKUP(CP666,Control_Savings_Interior,4,FALSE),0)</f>
        <v>0</v>
      </c>
      <c r="FW666" s="1352"/>
      <c r="FX666" s="1352"/>
      <c r="FY666" s="1352"/>
      <c r="FZ666" s="1352"/>
      <c r="GA666" s="1352"/>
      <c r="GB666" s="1352"/>
      <c r="GC666" s="1352"/>
      <c r="GD666" s="1352"/>
      <c r="GE666" s="759" t="b">
        <f>IF(ISNUMBER(SEARCH("TLED",U666)),TRUE,FALSE)</f>
        <v>0</v>
      </c>
      <c r="GF666" s="1035" t="str">
        <f>IFERROR(VLOOKUP(U666,Fixtures!DM$93:DR$142,6,FALSE),"")</f>
        <v/>
      </c>
      <c r="GG666" s="1385"/>
      <c r="GI666" s="1383"/>
      <c r="GJ666" s="1379"/>
      <c r="GL666" s="1379"/>
      <c r="GM666" s="1379"/>
      <c r="HC666" s="1379"/>
      <c r="HD666" s="1379"/>
      <c r="HE666" s="1379"/>
      <c r="HF666" s="1379"/>
      <c r="HG666" s="1379"/>
      <c r="HH666" s="1379"/>
      <c r="HI666" s="1383"/>
      <c r="HJ666" s="1383"/>
      <c r="HK666" s="1383"/>
      <c r="HL666" s="1379"/>
      <c r="HM666" s="1379"/>
      <c r="HN666" s="1379"/>
      <c r="HO666" s="1379"/>
      <c r="HP666" s="1379"/>
      <c r="HQ666" s="1379"/>
      <c r="HR666" s="1379"/>
      <c r="HS666" s="1379"/>
      <c r="HT666" s="1379"/>
      <c r="HU666" s="1379"/>
      <c r="HW666" s="1383"/>
      <c r="HX666" s="1384" t="b">
        <f>HW664</f>
        <v>0</v>
      </c>
      <c r="HY666" s="1378"/>
      <c r="HZ666" s="436"/>
      <c r="IA666" s="1386"/>
      <c r="IB666" s="1380">
        <f>IF(IA664=TRUE,AC667,0)</f>
        <v>0</v>
      </c>
      <c r="IC666" s="1379"/>
      <c r="IF666" s="1380" t="e">
        <f>ROUND(T666*AB667*N665*R665/1000,0)</f>
        <v>#VALUE!</v>
      </c>
      <c r="IG666" s="1382"/>
      <c r="IH666" s="1384" t="e">
        <f>ROUND(T666*AB667*N665*R665/1000,0)</f>
        <v>#VALUE!</v>
      </c>
      <c r="II666" s="1382"/>
      <c r="IK666" s="1351" t="e">
        <f>IF($CO666="interior",IL666/2,VLOOKUP($CP666,Control_Savings_Exterior,IK$30,FALSE))</f>
        <v>#N/A</v>
      </c>
      <c r="IL666" s="1351" t="e">
        <f>IF($CO666="interior",VLOOKUP($CP666,Control_Savings_Interior,IL$30,FALSE),VLOOKUP($CP666,Control_Savings_Exterior,IL$30,FALSE))</f>
        <v>#N/A</v>
      </c>
      <c r="IM666" s="1351" t="e">
        <f>IF($CO666="interior",IF(R665&gt;FO$37,(IM$28*(FO$37/R665)),IM$28)*FP666,VLOOKUP($CP666,Control_Savings_Exterior,IM$30,FALSE))</f>
        <v>#N/A</v>
      </c>
      <c r="IN666" s="1351" t="e">
        <f>IF($CO666="interior",ROUND(((1-IL666)*IM666)+IL666,2),VLOOKUP($CP666,Control_Savings_Exterior,IN$30,FALSE))</f>
        <v>#N/A</v>
      </c>
      <c r="IO666" s="1351" t="e">
        <f>IF($CO666="interior", ROUND(((1-IL666)*(IM666*(1-IP$28)))+IP666,2), VLOOKUP($CP666,Control_Savings_Exterior,IO$30,FALSE))</f>
        <v>#N/A</v>
      </c>
      <c r="IP666" s="1351">
        <f>IF($CO666="interior",ROUND(((1-IL666)*IP$28)+IL666,2),0)</f>
        <v>0</v>
      </c>
    </row>
    <row r="667" spans="1:250" s="82" customFormat="1" ht="14.95" customHeight="1" thickTop="1" thickBot="1">
      <c r="B667" s="1421"/>
      <c r="C667" s="1422"/>
      <c r="D667" s="1423"/>
      <c r="E667" s="1462" t="s">
        <v>357</v>
      </c>
      <c r="F667" s="1463"/>
      <c r="G667" s="1464" t="s">
        <v>362</v>
      </c>
      <c r="H667" s="1465"/>
      <c r="I667" s="1465"/>
      <c r="J667" s="1465"/>
      <c r="K667" s="1465"/>
      <c r="L667" s="1466"/>
      <c r="M667" s="669">
        <f>IFERROR(VLOOKUP(G667,_Daylight_Table[],2,FALSE),0)</f>
        <v>0</v>
      </c>
      <c r="N667" s="670"/>
      <c r="O667" s="669" t="e">
        <f>VLOOKUP(G666,'Space Table'!$B$3:$L$160,11,FALSE)</f>
        <v>#N/A</v>
      </c>
      <c r="P667" s="1408"/>
      <c r="Q667" s="1409"/>
      <c r="R667" s="1409"/>
      <c r="S667" s="1402"/>
      <c r="T667" s="671" t="s">
        <v>281</v>
      </c>
      <c r="U667" s="1467" t="str">
        <f>IFERROR(VLOOKUP(U666,Fixtures!DM$93:DP$142,4,FALSE),"")</f>
        <v/>
      </c>
      <c r="V667" s="1468"/>
      <c r="W667" s="1468"/>
      <c r="X667" s="1468"/>
      <c r="Y667" s="1468"/>
      <c r="Z667" s="1468"/>
      <c r="AA667" s="1468"/>
      <c r="AB667" s="1046" t="str">
        <f>IFERROR(VLOOKUP(U666,Fixtures_Proposed_List,2,FALSE),"")</f>
        <v/>
      </c>
      <c r="AC667" s="1036" t="str">
        <f>IFERROR(ROUND(T666*AB667*N665*R665/1000,0),"")</f>
        <v/>
      </c>
      <c r="AD667" s="1037" t="str">
        <f>IFERROR(ROUND(T666*AB667/1000,2),"")</f>
        <v/>
      </c>
      <c r="AE667" s="1045" t="s">
        <v>281</v>
      </c>
      <c r="AF667" s="1469"/>
      <c r="AG667" s="1469"/>
      <c r="AH667" s="1469"/>
      <c r="AI667" s="1469"/>
      <c r="AJ667" s="1476"/>
      <c r="AK667" s="1471"/>
      <c r="AL667" s="1473"/>
      <c r="AM667" s="1443"/>
      <c r="AN667" s="1444"/>
      <c r="AO667" s="1449"/>
      <c r="AP667" s="1449"/>
      <c r="AQ667" s="1450"/>
      <c r="AR667" s="1453"/>
      <c r="AS667" s="1456"/>
      <c r="AT667" s="1459"/>
      <c r="AU667" s="517"/>
      <c r="AV667" s="1480"/>
      <c r="AW667" s="1480"/>
      <c r="BC667" s="38"/>
      <c r="BD667" s="38"/>
      <c r="BE667" s="38"/>
      <c r="BF667" s="38"/>
      <c r="BG667" s="38"/>
      <c r="BH667" s="38"/>
      <c r="BI667" s="38"/>
      <c r="BJ667" s="38"/>
      <c r="BK667" s="38"/>
      <c r="BL667" s="38"/>
      <c r="BM667" s="38"/>
      <c r="BN667" s="38"/>
      <c r="BO667" s="38"/>
      <c r="BP667" s="38"/>
      <c r="BQ667" s="38"/>
      <c r="BR667" s="38"/>
      <c r="BS667" s="38"/>
      <c r="BT667" s="38"/>
      <c r="BU667" s="38"/>
      <c r="BV667" s="38"/>
      <c r="BW667" s="38"/>
      <c r="BX667" s="38"/>
      <c r="BY667" s="38"/>
      <c r="BZ667" s="38"/>
      <c r="CA667" s="38"/>
      <c r="CB667" s="38"/>
      <c r="CC667" s="38"/>
      <c r="CD667" s="38"/>
      <c r="CE667" s="38"/>
      <c r="CF667" s="38"/>
      <c r="CG667" s="38"/>
      <c r="CH667" s="38"/>
      <c r="CI667" s="38"/>
      <c r="CM667" s="1352"/>
      <c r="CN667" s="1352"/>
      <c r="CO667" s="1416"/>
      <c r="CP667" s="1418"/>
      <c r="CR667" s="1386"/>
      <c r="CS667" s="1355"/>
      <c r="CT667" s="1355"/>
      <c r="CU667" s="1375"/>
      <c r="CV667" s="1372"/>
      <c r="CW667" s="1372"/>
      <c r="CX667" s="1372"/>
      <c r="CY667" s="1487"/>
      <c r="CZ667" s="1487"/>
      <c r="DA667" s="1487"/>
      <c r="DC667" s="1355"/>
      <c r="DD667" s="1355"/>
      <c r="DE667" s="1375"/>
      <c r="DF667" s="1407"/>
      <c r="DG667" s="1372"/>
      <c r="DH667" s="1369"/>
      <c r="DK667" s="1484"/>
      <c r="DL667" s="1420"/>
      <c r="DN667" s="1403"/>
      <c r="DO667" s="1405"/>
      <c r="DP667" s="1355"/>
      <c r="DQ667" s="1405"/>
      <c r="DR667" s="1403"/>
      <c r="DS667" s="1489"/>
      <c r="DU667" s="1403"/>
      <c r="DV667" s="1405"/>
      <c r="DW667" s="1403"/>
      <c r="DX667" s="1403"/>
      <c r="DZ667" s="1481"/>
      <c r="EA667" s="1481"/>
      <c r="EC667" s="1482"/>
      <c r="ED667" s="1369"/>
      <c r="EE667" s="1372"/>
      <c r="EF667" s="1369"/>
      <c r="EG667" s="1369"/>
      <c r="EH667" s="1375"/>
      <c r="EI667" s="1375"/>
      <c r="EJ667" s="1363"/>
      <c r="EK667" s="1376"/>
      <c r="EL667" s="1376"/>
      <c r="EM667" s="1362"/>
      <c r="EN667" s="1362"/>
      <c r="EO667" s="1363"/>
      <c r="EP667" s="1363"/>
      <c r="EQ667" s="1363"/>
      <c r="ES667" s="1403"/>
      <c r="EU667" s="1488"/>
      <c r="EV667" s="1488"/>
      <c r="EW667" s="1488"/>
      <c r="EX667" s="1488"/>
      <c r="EY667" s="1488"/>
      <c r="EZ667" s="1414"/>
      <c r="FB667" s="1365"/>
      <c r="FD667" s="1355"/>
      <c r="FE667" s="1355"/>
      <c r="FF667" s="138"/>
      <c r="FI667" s="1357"/>
      <c r="FJ667" s="1357"/>
      <c r="FK667" s="1365"/>
      <c r="FL667" s="1365"/>
      <c r="FM667" s="1365"/>
      <c r="FO667" s="1361"/>
      <c r="FP667" s="1361"/>
      <c r="FQ667" s="1366"/>
      <c r="FR667" s="1361"/>
      <c r="FS667" s="1361"/>
      <c r="FT667" s="1361"/>
      <c r="FU667" s="1360"/>
      <c r="FW667" s="1352"/>
      <c r="FX667" s="1352"/>
      <c r="FY667" s="1352"/>
      <c r="FZ667" s="1352"/>
      <c r="GA667" s="1352"/>
      <c r="GB667" s="1352"/>
      <c r="GC667" s="1352"/>
      <c r="GD667" s="1352"/>
      <c r="GE667" s="759"/>
      <c r="GF667" s="1035"/>
      <c r="GG667" s="1385"/>
      <c r="GJ667" s="1034">
        <f>IF(GJ665=TRUE,0,GJ$16)</f>
        <v>0</v>
      </c>
      <c r="GL667" s="1034">
        <f>IF(GL665=TRUE,0,GL$16)</f>
        <v>36</v>
      </c>
      <c r="GM667" s="1034">
        <f>IF(GM665=TRUE,0,GM$16)</f>
        <v>35</v>
      </c>
      <c r="GN667" s="436"/>
      <c r="GO667" s="436"/>
      <c r="GP667" s="436"/>
      <c r="GQ667" s="436"/>
      <c r="GR667" s="436"/>
      <c r="HC667" s="1034">
        <f t="shared" ref="HC667:HH667" si="494">IF(HC665=TRUE,0,HC$16)</f>
        <v>19</v>
      </c>
      <c r="HD667" s="1034">
        <f t="shared" si="494"/>
        <v>18</v>
      </c>
      <c r="HE667" s="1034">
        <f t="shared" si="494"/>
        <v>17</v>
      </c>
      <c r="HF667" s="1034">
        <f t="shared" si="494"/>
        <v>16</v>
      </c>
      <c r="HG667" s="1034">
        <f t="shared" si="494"/>
        <v>0</v>
      </c>
      <c r="HH667" s="1034">
        <f t="shared" si="494"/>
        <v>0</v>
      </c>
      <c r="HI667" s="1034">
        <f>IF(HI665=TRUE,0,HI$16)</f>
        <v>13</v>
      </c>
      <c r="HJ667" s="1034">
        <f t="shared" ref="HJ667:HL667" si="495">IF(HJ665=TRUE,0,HJ$16)</f>
        <v>12</v>
      </c>
      <c r="HK667" s="1034">
        <f t="shared" si="495"/>
        <v>11</v>
      </c>
      <c r="HL667" s="1034">
        <f t="shared" si="495"/>
        <v>10</v>
      </c>
      <c r="HM667" s="1034">
        <f>IF(HM665=TRUE,0,HM$16)</f>
        <v>9</v>
      </c>
      <c r="HN667" s="1034">
        <f t="shared" ref="HN667:HR667" si="496">IF(HN665=TRUE,0,HN$16)</f>
        <v>0</v>
      </c>
      <c r="HO667" s="1034">
        <f t="shared" si="496"/>
        <v>0</v>
      </c>
      <c r="HP667" s="1034">
        <f t="shared" si="496"/>
        <v>0</v>
      </c>
      <c r="HQ667" s="1034">
        <f t="shared" si="496"/>
        <v>0</v>
      </c>
      <c r="HR667" s="1034">
        <f t="shared" si="496"/>
        <v>0</v>
      </c>
      <c r="HS667" s="1034">
        <f>IF(HS665=TRUE,0,HS$16)</f>
        <v>0</v>
      </c>
      <c r="HT667" s="1034">
        <f t="shared" ref="HT667" si="497">IF(HT665=TRUE,0,HT$16)</f>
        <v>0</v>
      </c>
      <c r="HU667" s="1034">
        <f>IF(HU665=TRUE,0,HU$16)</f>
        <v>1</v>
      </c>
      <c r="HW667" s="1034">
        <f>IF(GL665=FALSE,GL667,IF(GM665=FALSE,GM667,MAX(GJ667:HU667)))</f>
        <v>36</v>
      </c>
      <c r="HX667" s="1383"/>
      <c r="HY667" s="241" t="str">
        <f>VLOOKUP(HW667,_Error_Table,3,FALSE)</f>
        <v xml:space="preserve"> </v>
      </c>
      <c r="HZ667" s="241"/>
      <c r="IA667" s="1386"/>
      <c r="IB667" s="1380"/>
      <c r="IC667" s="1379"/>
      <c r="IF667" s="1380"/>
      <c r="IG667" s="1383"/>
      <c r="IH667" s="1383"/>
      <c r="II667" s="1383"/>
      <c r="IK667" s="1351"/>
      <c r="IL667" s="1351"/>
      <c r="IM667" s="1351"/>
      <c r="IN667" s="1351"/>
      <c r="IO667" s="1351"/>
      <c r="IP667" s="1351"/>
    </row>
    <row r="668" spans="1:250" s="82" customFormat="1" ht="5.0999999999999996" customHeight="1" thickBot="1">
      <c r="B668" s="763"/>
      <c r="C668" s="1038"/>
      <c r="D668" s="1038"/>
      <c r="E668" s="1490"/>
      <c r="F668" s="1490"/>
      <c r="G668" s="1490"/>
      <c r="H668" s="1490"/>
      <c r="I668" s="1490"/>
      <c r="J668" s="1490"/>
      <c r="K668" s="1490"/>
      <c r="L668" s="1490"/>
      <c r="M668" s="1490"/>
      <c r="N668" s="1490"/>
      <c r="O668" s="1490"/>
      <c r="P668" s="1490"/>
      <c r="Q668" s="1490"/>
      <c r="R668" s="1490"/>
      <c r="S668" s="1490"/>
      <c r="T668" s="1490"/>
      <c r="U668" s="1490"/>
      <c r="V668" s="1490"/>
      <c r="W668" s="1490"/>
      <c r="X668" s="1490"/>
      <c r="Y668" s="1490"/>
      <c r="Z668" s="1490"/>
      <c r="AA668" s="1490"/>
      <c r="AB668" s="1490"/>
      <c r="AC668" s="1490"/>
      <c r="AD668" s="1490"/>
      <c r="AE668" s="1490"/>
      <c r="AF668" s="1490"/>
      <c r="AG668" s="1490"/>
      <c r="AH668" s="1490"/>
      <c r="AI668" s="1490"/>
      <c r="AJ668" s="1490"/>
      <c r="AK668" s="1490"/>
      <c r="AL668" s="1490"/>
      <c r="AM668" s="1490"/>
      <c r="AN668" s="1490"/>
      <c r="AO668" s="1490"/>
      <c r="AP668" s="1490"/>
      <c r="AQ668" s="1490"/>
      <c r="AR668" s="1490"/>
      <c r="AS668" s="1490"/>
      <c r="AT668" s="1490"/>
      <c r="AU668" s="1041"/>
      <c r="BC668" s="38"/>
      <c r="BD668" s="38"/>
      <c r="BE668" s="38"/>
      <c r="BF668" s="38"/>
      <c r="BG668" s="38"/>
      <c r="BH668" s="38"/>
      <c r="BI668" s="38"/>
      <c r="BJ668" s="38"/>
      <c r="BK668" s="38"/>
      <c r="BL668" s="38"/>
      <c r="BM668" s="38"/>
      <c r="BN668" s="38"/>
      <c r="BO668" s="38"/>
      <c r="BP668" s="38"/>
      <c r="BQ668" s="38"/>
      <c r="BR668" s="38"/>
      <c r="BS668" s="38"/>
      <c r="BT668" s="38"/>
      <c r="BU668" s="38"/>
      <c r="BV668" s="38"/>
      <c r="BW668" s="38"/>
      <c r="BX668" s="38"/>
      <c r="BY668" s="38"/>
      <c r="BZ668" s="38"/>
      <c r="CA668" s="38"/>
      <c r="CB668" s="38"/>
      <c r="CC668" s="38"/>
      <c r="CD668" s="38"/>
      <c r="CE668" s="38"/>
      <c r="CF668" s="38"/>
      <c r="CG668" s="38"/>
      <c r="CH668" s="38"/>
      <c r="CI668" s="38"/>
      <c r="CM668" s="749"/>
      <c r="CN668" s="749"/>
      <c r="CO668" s="1043"/>
      <c r="CP668" s="749"/>
      <c r="CS668" s="436"/>
      <c r="CT668" s="436"/>
      <c r="CU668" s="243"/>
      <c r="CV668" s="244"/>
      <c r="CW668" s="244"/>
      <c r="CX668" s="244"/>
      <c r="CY668" s="245"/>
      <c r="CZ668" s="245"/>
      <c r="DA668" s="245"/>
      <c r="DC668" s="750"/>
      <c r="DD668" s="751"/>
      <c r="DE668" s="752"/>
      <c r="DF668" s="753"/>
      <c r="DG668" s="754"/>
      <c r="DH668" s="754"/>
      <c r="DK668" s="244"/>
      <c r="DL668" s="750"/>
      <c r="DN668" s="750"/>
      <c r="DO668" s="755"/>
      <c r="DP668" s="436"/>
      <c r="DQ668" s="750"/>
      <c r="DR668" s="750"/>
      <c r="DS668" s="750"/>
      <c r="DU668" s="750"/>
      <c r="DV668" s="750"/>
      <c r="DW668" s="750"/>
      <c r="DX668" s="750"/>
      <c r="DZ668" s="756"/>
      <c r="EA668" s="756"/>
      <c r="EC668" s="754"/>
      <c r="ED668" s="754"/>
      <c r="EE668" s="244"/>
      <c r="EF668" s="754"/>
      <c r="EG668" s="754"/>
      <c r="EH668" s="243"/>
      <c r="EI668" s="243"/>
      <c r="EJ668" s="752"/>
      <c r="EK668" s="757"/>
      <c r="EL668" s="757"/>
      <c r="EM668" s="758"/>
      <c r="EN668" s="758"/>
      <c r="EO668" s="752"/>
      <c r="EP668" s="752"/>
      <c r="EQ668" s="752"/>
      <c r="ES668" s="750"/>
      <c r="EU668" s="436"/>
      <c r="EV668" s="436"/>
      <c r="EW668" s="436"/>
      <c r="EX668" s="436"/>
      <c r="EY668" s="436"/>
      <c r="EZ668" s="436"/>
      <c r="FB668" s="643"/>
      <c r="FD668" s="436"/>
      <c r="FE668" s="436"/>
      <c r="FF668" s="436"/>
      <c r="FO668" s="750"/>
      <c r="FP668" s="436"/>
      <c r="FQ668" s="436"/>
      <c r="FR668" s="750"/>
      <c r="FS668" s="750"/>
      <c r="FW668" s="749"/>
      <c r="FX668" s="749"/>
      <c r="FY668" s="749"/>
      <c r="FZ668" s="749"/>
      <c r="GA668" s="749"/>
      <c r="GB668" s="749"/>
      <c r="GC668" s="749"/>
      <c r="GD668" s="749"/>
      <c r="GE668" s="751"/>
      <c r="GF668" s="750"/>
      <c r="GG668" s="750"/>
    </row>
    <row r="669" spans="1:250" s="82" customFormat="1" ht="14.95" customHeight="1" thickTop="1" thickBot="1">
      <c r="B669" s="1421" t="str">
        <f>HY672</f>
        <v xml:space="preserve"> </v>
      </c>
      <c r="C669" s="1422">
        <f>C664+1</f>
        <v>122</v>
      </c>
      <c r="D669" s="1423"/>
      <c r="E669" s="1424" t="s">
        <v>242</v>
      </c>
      <c r="F669" s="1425"/>
      <c r="G669" s="1426"/>
      <c r="H669" s="1427"/>
      <c r="I669" s="1427"/>
      <c r="J669" s="1427"/>
      <c r="K669" s="1427"/>
      <c r="L669" s="1427"/>
      <c r="M669" s="1427"/>
      <c r="N669" s="1427"/>
      <c r="O669" s="1427"/>
      <c r="P669" s="1427"/>
      <c r="Q669" s="1427"/>
      <c r="R669" s="1427"/>
      <c r="S669" s="1428" t="s">
        <v>283</v>
      </c>
      <c r="T669" s="668" t="s">
        <v>190</v>
      </c>
      <c r="U669" s="1430" t="s">
        <v>186</v>
      </c>
      <c r="V669" s="1431"/>
      <c r="W669" s="1431"/>
      <c r="X669" s="1431"/>
      <c r="Y669" s="1431"/>
      <c r="Z669" s="1431"/>
      <c r="AA669" s="1431"/>
      <c r="AB669" s="1047" t="str">
        <f>IFERROR(IF(__Retrofit_TI_NC=0,VLOOKUP(U670,Fixtures_Existing_List,2,FALSE),ROUND(N671*R671/T671,10)),"")</f>
        <v/>
      </c>
      <c r="AC669" s="1039" t="str">
        <f>IFERROR(IF(__Retrofit_TI_NC=0,ROUND(T670*AB669*N670*R670/1000,0),IF(CN669="Interior",N671*R671*R670*N670*_C406_reduction/1000,N671*R671*R670*N670/1000)),"")</f>
        <v/>
      </c>
      <c r="AD669" s="1040" t="str">
        <f>IFERROR(IF(C$36=0,ROUND(T670*AB669/1000,2),N671*R671/1000),"")</f>
        <v/>
      </c>
      <c r="AE669" s="1044" t="s">
        <v>190</v>
      </c>
      <c r="AF669" s="1432" t="str">
        <f>IF(__Retrofit_TI_NC=2,CONCATENATE("Code min = ",DD669),IF(__Retrofit_TI_NC=1,"Emter what you think the existing control was"," Control"))</f>
        <v xml:space="preserve"> Control</v>
      </c>
      <c r="AG669" s="1432"/>
      <c r="AH669" s="1432"/>
      <c r="AI669" s="1432"/>
      <c r="AJ669" s="1433">
        <f>DF669</f>
        <v>0</v>
      </c>
      <c r="AK669" s="1435" t="str">
        <f>IFERROR(ROUND(AJ669*AC669,0),"")</f>
        <v/>
      </c>
      <c r="AL669" s="1437">
        <f>IFERROR(IF(HW669=FALSE,0,AC669-AK669),0)</f>
        <v>0</v>
      </c>
      <c r="AM669" s="1439">
        <f>AL669-AL671</f>
        <v>0</v>
      </c>
      <c r="AN669" s="1440"/>
      <c r="AO669" s="1445">
        <f>IFERROR(IF(HW669=FALSE,0,(T671*U672)+(AE671*AF672)),0)</f>
        <v>0</v>
      </c>
      <c r="AP669" s="1445"/>
      <c r="AQ669" s="1446"/>
      <c r="AR669" s="1451" t="s">
        <v>157</v>
      </c>
      <c r="AS669" s="1454">
        <f>IF(AR669="Yes",1,0)</f>
        <v>1</v>
      </c>
      <c r="AT669" s="1457" t="str">
        <f>IF(OR(DN669=4,DN669=5,DN669=6,DN669=12),CONCATENATE("$",IF(GD669=TRUE,Lookup!$B$11,Lookup!$B$2)," /lamp"),CONCATENATE(EA669,"/ kWh"))</f>
        <v>0/ kWh</v>
      </c>
      <c r="AU669" s="516"/>
      <c r="AV669" s="1478">
        <f>IFERROR(IF(GI670=TRUE,(AB672*T671)/R671,0),"NA")</f>
        <v>0</v>
      </c>
      <c r="AW669" s="1478" t="str">
        <f>IFERROR(N671*_C406_reduction,"NA")</f>
        <v>NA</v>
      </c>
      <c r="BC669" s="38"/>
      <c r="BD669" s="38"/>
      <c r="BE669" s="38"/>
      <c r="BF669" s="38"/>
      <c r="BG669" s="38"/>
      <c r="BH669" s="38"/>
      <c r="BI669" s="38"/>
      <c r="BJ669" s="38"/>
      <c r="BK669" s="38"/>
      <c r="BL669" s="38"/>
      <c r="BM669" s="38"/>
      <c r="BN669" s="38"/>
      <c r="BO669" s="38"/>
      <c r="BP669" s="38"/>
      <c r="BQ669" s="38"/>
      <c r="BR669" s="38"/>
      <c r="BS669" s="38"/>
      <c r="BT669" s="38"/>
      <c r="BU669" s="38"/>
      <c r="BV669" s="38"/>
      <c r="BW669" s="38"/>
      <c r="BX669" s="38"/>
      <c r="BY669" s="38"/>
      <c r="BZ669" s="38"/>
      <c r="CA669" s="38"/>
      <c r="CB669" s="38"/>
      <c r="CC669" s="38"/>
      <c r="CD669" s="38"/>
      <c r="CE669" s="38"/>
      <c r="CF669" s="38"/>
      <c r="CG669" s="38"/>
      <c r="CH669" s="38"/>
      <c r="CI669" s="38"/>
      <c r="CM669" s="1352" t="str">
        <f>N670</f>
        <v/>
      </c>
      <c r="CN669" s="1352" t="str">
        <f>IFERROR(VLOOKUP(G670,_Lookup_Heat_Type_Table_New,3,FALSE),"")</f>
        <v/>
      </c>
      <c r="CO669" s="1415" t="str">
        <f>CN669</f>
        <v/>
      </c>
      <c r="CP669" s="1417" t="e">
        <f>VLOOKUP(G671,'Space Table'!$B$3:$L$160,9,FALSE)</f>
        <v>#N/A</v>
      </c>
      <c r="CR669" s="1386" t="s">
        <v>283</v>
      </c>
      <c r="CS669" s="1353">
        <f>IF(HW669=TRUE,T670,0)</f>
        <v>0</v>
      </c>
      <c r="CT669" s="1353" t="str">
        <f>IF(HW669=TRUE,U670,"")</f>
        <v/>
      </c>
      <c r="CU669" s="1353"/>
      <c r="CV669" s="1370">
        <f>IF(HW669=TRUE,AB669,0)</f>
        <v>0</v>
      </c>
      <c r="CW669" s="1370">
        <f>IF(HW669=TRUE,AC669,0)</f>
        <v>0</v>
      </c>
      <c r="CX669" s="1370">
        <f>IFERROR(IF(HW669=TRUE,CW669-CW671,0),0)</f>
        <v>0</v>
      </c>
      <c r="CY669" s="1485">
        <f>IF(HW669=TRUE,AD669,0)</f>
        <v>0</v>
      </c>
      <c r="CZ669" s="1485">
        <f>IF(HW669=TRUE,AD672,0)</f>
        <v>0</v>
      </c>
      <c r="DA669" s="1485">
        <f>IFERROR(CY669-CZ669,0)</f>
        <v>0</v>
      </c>
      <c r="DC669" s="1353">
        <f>IF(HW669=TRUE,AE670,0)</f>
        <v>0</v>
      </c>
      <c r="DD669" s="1460">
        <f>IF(__Retrofit_TI_NC=2,IF(CN669="Exterior",O672,FM669),FK669)</f>
        <v>0</v>
      </c>
      <c r="DE669" s="1353"/>
      <c r="DF669" s="1406">
        <f>IFERROR(IF(FL669=3,IK669,IF(FL669=4,IL669,IF(FL669=5,IM669,IF(FL669=6,IN669,IF(FL669=7,IO669,IF(FL669=8,IP669,0)))))),0)</f>
        <v>0</v>
      </c>
      <c r="DG669" s="1370">
        <f>IF(HW669=TRUE,AK669,0)</f>
        <v>0</v>
      </c>
      <c r="DH669" s="1369">
        <f>IFERROR(IF(HW669=TRUE,DG671-DG669,0),0)</f>
        <v>0</v>
      </c>
      <c r="DJ669" s="1483">
        <f>IFERROR(CW669-DG669,0)</f>
        <v>0</v>
      </c>
      <c r="DL669" s="1419">
        <f>DJ669-DK671</f>
        <v>0</v>
      </c>
      <c r="DN669" s="1403" t="str">
        <f>IFERROR(IF(AND(OR(FY669=4,FY669=5,FY669=6),OR(GB669=4,GB669=5,GB669=6)),FY669+8,VLOOKUP(CT671,Fixtures!R$31:Y$78,8,FALSE)),"")</f>
        <v/>
      </c>
      <c r="DO669" s="1404" t="str">
        <f>DN669</f>
        <v/>
      </c>
      <c r="DP669" s="1353" t="str">
        <f>IFERROR(VLOOKUP(DD671,Lookup!AU$3:AV$15,2,FALSE),"")</f>
        <v/>
      </c>
      <c r="DQ669" s="1404" t="str">
        <f>IF(DP669=7,"LLLC","")</f>
        <v/>
      </c>
      <c r="DR669" s="1403">
        <f>IFERROR(IF(OR(DN669=4,DN669=5,DN669=6,DN669=12,DN669=13,DN669=14),VLOOKUP(CT671,Fixtures!DN$27:EG$77,19,FALSE),1)*CS671,0)</f>
        <v>0</v>
      </c>
      <c r="DS669" s="1489">
        <f>IF(DP669=7,IF(DD669=DD671,0,DC671),0)</f>
        <v>0</v>
      </c>
      <c r="DU669" s="1403" t="str">
        <f>IFERROR(IF(EW669&lt;EW671,"Yes","No"),"")</f>
        <v/>
      </c>
      <c r="DV669" s="1404" t="str">
        <f>DU669</f>
        <v/>
      </c>
      <c r="DW669" s="1403">
        <f>IF(DU669="Yes",DC671,0)</f>
        <v>0</v>
      </c>
      <c r="DX669" s="1403">
        <f>DW669-DS669</f>
        <v>0</v>
      </c>
      <c r="DZ669" s="1481">
        <f>IFERROR(VLOOKUP(DN669,Lookup!AN$3:AO$16,2,FALSE),0)</f>
        <v>0</v>
      </c>
      <c r="EA669" s="1481">
        <f>IF(HW669=FALSE,0,IF(DU669="Yes",DZ669+Lookup!B$6,DZ669))</f>
        <v>0</v>
      </c>
      <c r="EC669" s="1482">
        <f>IF(HW669=TRUE,DJ669,0)</f>
        <v>0</v>
      </c>
      <c r="ED669" s="1369">
        <f>IF(HW669=TRUE,CW671,0)</f>
        <v>0</v>
      </c>
      <c r="EE669" s="1370">
        <f>IFERROR(EC669-ED669,0)</f>
        <v>0</v>
      </c>
      <c r="EF669" s="1369">
        <f>IF(HW669=TRUE,DG671,0)</f>
        <v>0</v>
      </c>
      <c r="EG669" s="1369">
        <f>IFERROR(EC669-ED669+EF669,0)</f>
        <v>0</v>
      </c>
      <c r="EH669" s="1373">
        <f>IF(HW669=TRUE,CS671*CU671,0)</f>
        <v>0</v>
      </c>
      <c r="EI669" s="1373">
        <f>IF(HW669=TRUE,DC671*DE671,0)</f>
        <v>0</v>
      </c>
      <c r="EJ669" s="1363">
        <f>AO669</f>
        <v>0</v>
      </c>
      <c r="EK669" s="1376" t="str">
        <f>IFERROR(IF(HW669=TRUE,VLOOKUP(DN669,Lookup!AN$3:AP$16,3,FALSE)*DR669,""),0)</f>
        <v/>
      </c>
      <c r="EL669" s="1376">
        <f>IF(HW669=TRUE,DW669*Lookup!AP$12,0)</f>
        <v>0</v>
      </c>
      <c r="EM669" s="1362">
        <f>IFERROR(IF(HW669=TRUE,EK669/EM$33,0),0)</f>
        <v>0</v>
      </c>
      <c r="EN669" s="1362">
        <f>IF(HW669=TRUE,EL669/EN$33,0)</f>
        <v>0</v>
      </c>
      <c r="EO669" s="1363">
        <f>IF(HW669=TRUE,EQ$33*EM669,0)</f>
        <v>0</v>
      </c>
      <c r="EP669" s="1363">
        <f>IF(HW669=TRUE,EQ$33*EN669,0)</f>
        <v>0</v>
      </c>
      <c r="EQ669" s="1363">
        <f>EO669+EP669</f>
        <v>0</v>
      </c>
      <c r="ES669" s="1403">
        <f>IF(G669="",0,1)</f>
        <v>0</v>
      </c>
      <c r="EU669" s="1410" t="e">
        <f>VLOOKUP(CP671,'Space Table'!$B$3:$L$160,8,FALSE)</f>
        <v>#N/A</v>
      </c>
      <c r="EV669" s="1410" t="e">
        <f>IF(EY669="Yes",VLOOKUP(DD669,Lookup_Control_Type_Table2,4,FALSE),VLOOKUP(DD669,Lookup_Control_Type_Table2,3,FALSE))</f>
        <v>#N/A</v>
      </c>
      <c r="EW669" s="1410" t="e">
        <f>VLOOKUP(DD669,Lookup!AU$3:AV$15,2,FALSE)</f>
        <v>#N/A</v>
      </c>
      <c r="EX669" s="1410" t="e">
        <f>VLOOKUP(EU669,Lookup_Control_Type_Table,2,FALSE)</f>
        <v>#N/A</v>
      </c>
      <c r="EY669" s="1410" t="e">
        <f>VLOOKUP(CP671,'Space Table'!$B$3:$L$160,7,FALSE)</f>
        <v>#N/A</v>
      </c>
      <c r="EZ669" s="1412" t="b">
        <f>ISNUMBER(SEARCH("TLED",U671))</f>
        <v>0</v>
      </c>
      <c r="FB669" s="1365" t="str">
        <f>CONCATENATE(CN669," - ",DD669)</f>
        <v xml:space="preserve"> - 0</v>
      </c>
      <c r="FD669" s="1353" t="str">
        <f>VLOOKUP(CT671,Fixtures!DN$27:EZ$77,38,FALSE)</f>
        <v/>
      </c>
      <c r="FE669" s="1353">
        <f>IFERROR(FD669*EE669,0)</f>
        <v>0</v>
      </c>
      <c r="FF669" s="138"/>
      <c r="FI669" s="1356" t="str">
        <f>IF(CN669="Exterior","Not Daylighted",G672)</f>
        <v>Not Daylighted</v>
      </c>
      <c r="FJ669" s="1356">
        <f>VLOOKUP(FI669,_Daylight_Table_Codes,2,FALSE)</f>
        <v>0</v>
      </c>
      <c r="FK669" s="1365">
        <f>IF(__Retrofit_TI_NC=2,VLOOKUP(G671,'Space Table'!$B$3:$L$160,11,FALSE),AF670)</f>
        <v>0</v>
      </c>
      <c r="FL669" s="1365" t="e">
        <f>VLOOKUP(FK669,_Control_Table,2,FALSE)</f>
        <v>#N/A</v>
      </c>
      <c r="FM669" s="1365" t="e">
        <f>IF(AND(FP669&gt;0,FK669="Occupancy Sensor"),"Daylight + Occupancy",IF(AND(FP669&gt;0,FL669&lt;4),"Interior Daylight Dimming",FK669))</f>
        <v>#N/A</v>
      </c>
      <c r="FO669" s="1364">
        <f>IF(CO669="Interior",VLOOKUP(CP669,Control_Savings_Interior,5,FALSE),0)</f>
        <v>0</v>
      </c>
      <c r="FP669" s="1361">
        <f>IF(CN669="Exterior",0,IF(FJ669=2,0.5,IF(OR(FJ669=1,FJ669=3),1,0)))</f>
        <v>0</v>
      </c>
      <c r="FQ669" s="1366"/>
      <c r="FR669" s="1367"/>
      <c r="FS669" s="1364"/>
      <c r="FT669" s="1367"/>
      <c r="FU669" s="1360"/>
      <c r="FW669" s="1352" t="str">
        <f>IFERROR(VLOOKUP(U670,_Exist_Fixture_Table,3,FALSE),"")</f>
        <v/>
      </c>
      <c r="FX669" s="1352" t="str">
        <f>VLOOKUP(CT669,_Exist_Fixture_Table,4,FALSE)</f>
        <v/>
      </c>
      <c r="FY669" s="1352">
        <f>IFERROR(VLOOKUP(FX669,Lookup!AM$6:AN$8,2,FALSE),0)</f>
        <v>0</v>
      </c>
      <c r="FZ669" s="1352" t="b">
        <f>IFERROR(IF(OR(GB669=4,GB669=5,GB669=6),TRUE,FALSE),"")</f>
        <v>0</v>
      </c>
      <c r="GA669" s="1352" t="str">
        <f>IFERROR(VLOOKUP(GB669,FY$6:FZ$10,2,FALSE),"")</f>
        <v/>
      </c>
      <c r="GB669" s="1352" t="str">
        <f>VLOOKUP(CT671,Fixtures!R$31:Y$78,8,FALSE)</f>
        <v/>
      </c>
      <c r="GC669" s="1352">
        <f>IF(AND(FW669=TRUE,FZ669=TRUE,OR(DN669=12,DN669=13,DN669=14)),FY669+8,0)</f>
        <v>0</v>
      </c>
      <c r="GD669" s="1352" t="b">
        <f>IF(OR(GC669=12,GC669=13,GC669=14),TRUE,FALSE)</f>
        <v>0</v>
      </c>
      <c r="GE669" s="759" t="b">
        <f>IF(ISNUMBER(SEARCH("TLED",U670)),TRUE,FALSE)</f>
        <v>0</v>
      </c>
      <c r="GF669" s="1035" t="str">
        <f>IFERROR(VLOOKUP(U670,Fixtures!BM$93:BR$142,6,FALSE),"")</f>
        <v/>
      </c>
      <c r="GG669" s="1385" t="b">
        <f>IF(OR(GE669=FALSE,GE671=FALSE),TRUE,IF(GF669-GF671&lt;5,FALSE,TRUE))</f>
        <v>1</v>
      </c>
      <c r="GK669" s="1034">
        <f>GL669</f>
        <v>0</v>
      </c>
      <c r="GL669" s="1034">
        <f>IF(G669="",0,1)</f>
        <v>0</v>
      </c>
      <c r="GM669" s="1034">
        <f>SUM(GN669:HB669)</f>
        <v>2</v>
      </c>
      <c r="GN669" s="1034">
        <f>IF(G670="",0,1)</f>
        <v>0</v>
      </c>
      <c r="GO669" s="1034">
        <f>IF(G671="",0,1)</f>
        <v>0</v>
      </c>
      <c r="GP669" s="1034">
        <f>IF(R670="",0,1)</f>
        <v>0</v>
      </c>
      <c r="GQ669" s="1034">
        <f>IF(__Retrofit_TI_NC=0,1,IF(R671="",0,1))</f>
        <v>1</v>
      </c>
      <c r="GR669" s="1034">
        <f>IF(CN669="Exterior",1,IF(G672="",0,1))</f>
        <v>1</v>
      </c>
      <c r="GS669" s="1034">
        <f>IF(__Retrofit_TI_NC&lt;&gt;0,1,IF(T670="",0,1))</f>
        <v>0</v>
      </c>
      <c r="GT669" s="1034">
        <f>IF(__Retrofit_TI_NC&lt;&gt;0,1,IF(U670="",0,1))</f>
        <v>0</v>
      </c>
      <c r="GU669" s="1034">
        <f>IF(T671="",0,1)</f>
        <v>0</v>
      </c>
      <c r="GV669" s="1034">
        <f>IF(U671="",0,1)</f>
        <v>0</v>
      </c>
      <c r="GW669" s="1034">
        <f>IF(__Retrofit_TI_NC=2,1,IF(U672="",0,1))</f>
        <v>0</v>
      </c>
      <c r="GX669" s="1034">
        <f>IF(__Retrofit_TI_NC&lt;&gt;0,1,IF(AE670="",0,1))</f>
        <v>0</v>
      </c>
      <c r="GY669" s="1034">
        <f>IF(__Retrofit_TI_NC&lt;&gt;0,1,IF(AF670="",0,1))</f>
        <v>0</v>
      </c>
      <c r="GZ669" s="1034">
        <f>IF(AE671="",0,1)</f>
        <v>0</v>
      </c>
      <c r="HA669" s="1034">
        <f>IF(AF671="",0,1)</f>
        <v>0</v>
      </c>
      <c r="HB669" s="1034">
        <f>IF(__Retrofit_TI_NC=2,1,IF(AF672="",0,1))</f>
        <v>0</v>
      </c>
      <c r="HV669" s="436"/>
      <c r="HW669" s="1384" t="b">
        <f>IF(OR(HW672=0,HW672=HT$16,HW672=HS$16,HW672=HU$16),TRUE,FALSE)</f>
        <v>0</v>
      </c>
      <c r="HX669" s="1377" t="b">
        <f>HW669</f>
        <v>0</v>
      </c>
      <c r="HY669" s="436"/>
      <c r="HZ669" s="436"/>
      <c r="IA669" s="1386" t="b">
        <f>IF(MAX(GJ672:HP672)&gt;5,FALSE,TRUE)</f>
        <v>0</v>
      </c>
      <c r="IB669" s="1380">
        <f>IF(IA669=TRUE,AC669,0)</f>
        <v>0</v>
      </c>
      <c r="IC669" s="1380">
        <f>IB669-IB671</f>
        <v>0</v>
      </c>
      <c r="IF669" s="1380" t="e">
        <f>ROUND(T670*VLOOKUP(U670,Fixtures_Existing_List,2,FALSE)*N670*R670/1000,0)</f>
        <v>#N/A</v>
      </c>
      <c r="IG669" s="1381" t="e">
        <f>IF669-IF671</f>
        <v>#N/A</v>
      </c>
      <c r="IH669" s="1384" t="e">
        <f>ROUND(IF(CN669="Interior",N671*R671*R670*N670*_C406_reduction/1000,N671*R671*R670*N670/1000),0)</f>
        <v>#N/A</v>
      </c>
      <c r="II669" s="1384" t="e">
        <f>IH669-IH671</f>
        <v>#N/A</v>
      </c>
      <c r="IK669" s="1351" t="e">
        <f>IF($CO669="interior",IL669/2,VLOOKUP($CP669,Control_Savings_Exterior,IK$30,FALSE))</f>
        <v>#N/A</v>
      </c>
      <c r="IL669" s="1351" t="e">
        <f>IF($CO669="interior",VLOOKUP($CP669,Control_Savings_Interior,IL$30,FALSE),VLOOKUP($CP669,Control_Savings_Exterior,IL$30,FALSE))</f>
        <v>#N/A</v>
      </c>
      <c r="IM669" s="1351" t="e">
        <f>IF($CO669="interior",IF(R670&gt;FO$37,(IM$28*(FO$37/R670)),IM$28)*FP669,VLOOKUP($CP669,Control_Savings_Exterior,IM$30,FALSE))</f>
        <v>#N/A</v>
      </c>
      <c r="IN669" s="1351" t="e">
        <f>IF($CO669="interior",ROUND(((1-IL669)*IM669)+IL669,2),VLOOKUP($CP669,Control_Savings_Exterior,IN$30,FALSE))</f>
        <v>#N/A</v>
      </c>
      <c r="IO669" s="1351" t="e">
        <f>IF($CO669="interior", ROUND(((1-IL669)*(IM669*(1-IP$28)))+IP669,2), VLOOKUP($CP669,Control_Savings_Exterior,IO$30,FALSE))</f>
        <v>#N/A</v>
      </c>
      <c r="IP669" s="1351">
        <f>IF($CO669="interior",ROUND(((1-IL669)*IP$28)+IL669,2),0)</f>
        <v>0</v>
      </c>
    </row>
    <row r="670" spans="1:250" s="82" customFormat="1" ht="14.95" customHeight="1" thickTop="1" thickBot="1">
      <c r="B670" s="1421"/>
      <c r="C670" s="1422"/>
      <c r="D670" s="1423"/>
      <c r="E670" s="1393" t="s">
        <v>244</v>
      </c>
      <c r="F670" s="1394"/>
      <c r="G670" s="1395"/>
      <c r="H670" s="1395"/>
      <c r="I670" s="1395"/>
      <c r="J670" s="1395"/>
      <c r="K670" s="1395"/>
      <c r="L670" s="1395"/>
      <c r="M670" s="509" t="e">
        <f>IF(__Retrofit_TI_NC&lt;&gt;0,IF(VLOOKUP(G671,'Space Table'!$B$3:$L$160,3,FALSE)&gt;0,1,0),IF(__Retrofit_TI_NC=VLOOKUP(G671,'Space Table'!$B$3:$L$160,3,FALSE),1,0))</f>
        <v>#N/A</v>
      </c>
      <c r="N670" s="509" t="str">
        <f>IFERROR(VLOOKUP(G670,_Lookup_Heat_Type_Table_New,2,FALSE),"")</f>
        <v/>
      </c>
      <c r="O670" s="509">
        <f>IF(__Retrofit_TI_NC=1,CONCATENATE("TI ",G670),IF(__Retrofit_TI_NC=2,CONCATENATE("NC ",G670),G670))</f>
        <v>0</v>
      </c>
      <c r="P670" s="1396" t="s">
        <v>352</v>
      </c>
      <c r="Q670" s="1396"/>
      <c r="R670" s="673"/>
      <c r="S670" s="1429"/>
      <c r="T670" s="675"/>
      <c r="U670" s="1496"/>
      <c r="V670" s="1497"/>
      <c r="W670" s="1497"/>
      <c r="X670" s="1497"/>
      <c r="Y670" s="1497"/>
      <c r="Z670" s="1497"/>
      <c r="AA670" s="1497"/>
      <c r="AB670" s="1497"/>
      <c r="AC670" s="1497"/>
      <c r="AD670" s="1498"/>
      <c r="AE670" s="675"/>
      <c r="AF670" s="1397"/>
      <c r="AG670" s="1397"/>
      <c r="AH670" s="1397"/>
      <c r="AI670" s="1397"/>
      <c r="AJ670" s="1434"/>
      <c r="AK670" s="1436"/>
      <c r="AL670" s="1438"/>
      <c r="AM670" s="1441"/>
      <c r="AN670" s="1442"/>
      <c r="AO670" s="1447"/>
      <c r="AP670" s="1447"/>
      <c r="AQ670" s="1448"/>
      <c r="AR670" s="1452"/>
      <c r="AS670" s="1455"/>
      <c r="AT670" s="1458"/>
      <c r="AU670" s="516"/>
      <c r="AV670" s="1479"/>
      <c r="AW670" s="1479"/>
      <c r="BC670" s="38"/>
      <c r="BD670" s="38"/>
      <c r="BE670" s="38"/>
      <c r="BF670" s="38"/>
      <c r="BG670" s="38"/>
      <c r="BH670" s="38"/>
      <c r="BI670" s="38"/>
      <c r="BJ670" s="38"/>
      <c r="BK670" s="38"/>
      <c r="BL670" s="38"/>
      <c r="BM670" s="38"/>
      <c r="BN670" s="38"/>
      <c r="BO670" s="38"/>
      <c r="BP670" s="38"/>
      <c r="BQ670" s="38"/>
      <c r="BR670" s="38"/>
      <c r="BS670" s="38"/>
      <c r="BT670" s="38"/>
      <c r="BU670" s="38"/>
      <c r="BV670" s="38"/>
      <c r="BW670" s="38"/>
      <c r="BX670" s="38"/>
      <c r="BY670" s="38"/>
      <c r="BZ670" s="38"/>
      <c r="CA670" s="38"/>
      <c r="CB670" s="38"/>
      <c r="CC670" s="38"/>
      <c r="CD670" s="38"/>
      <c r="CE670" s="38"/>
      <c r="CF670" s="38"/>
      <c r="CG670" s="38"/>
      <c r="CH670" s="38"/>
      <c r="CI670" s="38"/>
      <c r="CM670" s="1352"/>
      <c r="CN670" s="1352"/>
      <c r="CO670" s="1416"/>
      <c r="CP670" s="1418"/>
      <c r="CR670" s="1386"/>
      <c r="CS670" s="1355"/>
      <c r="CT670" s="1355"/>
      <c r="CU670" s="1355"/>
      <c r="CV670" s="1372"/>
      <c r="CW670" s="1372"/>
      <c r="CX670" s="1371"/>
      <c r="CY670" s="1486"/>
      <c r="CZ670" s="1486"/>
      <c r="DA670" s="1486"/>
      <c r="DC670" s="1355"/>
      <c r="DD670" s="1461"/>
      <c r="DE670" s="1355"/>
      <c r="DF670" s="1407"/>
      <c r="DG670" s="1372"/>
      <c r="DH670" s="1369"/>
      <c r="DJ670" s="1484"/>
      <c r="DL670" s="1419"/>
      <c r="DN670" s="1403"/>
      <c r="DO670" s="1405"/>
      <c r="DP670" s="1354"/>
      <c r="DQ670" s="1405"/>
      <c r="DR670" s="1403"/>
      <c r="DS670" s="1489"/>
      <c r="DU670" s="1403"/>
      <c r="DV670" s="1405"/>
      <c r="DW670" s="1403"/>
      <c r="DX670" s="1403"/>
      <c r="DZ670" s="1481"/>
      <c r="EA670" s="1481"/>
      <c r="EC670" s="1482"/>
      <c r="ED670" s="1369"/>
      <c r="EE670" s="1371"/>
      <c r="EF670" s="1369"/>
      <c r="EG670" s="1369"/>
      <c r="EH670" s="1374"/>
      <c r="EI670" s="1374"/>
      <c r="EJ670" s="1363"/>
      <c r="EK670" s="1376"/>
      <c r="EL670" s="1376"/>
      <c r="EM670" s="1362"/>
      <c r="EN670" s="1362"/>
      <c r="EO670" s="1363"/>
      <c r="EP670" s="1363"/>
      <c r="EQ670" s="1363"/>
      <c r="ES670" s="1403"/>
      <c r="EU670" s="1411"/>
      <c r="EV670" s="1411"/>
      <c r="EW670" s="1411"/>
      <c r="EX670" s="1411"/>
      <c r="EY670" s="1411"/>
      <c r="EZ670" s="1413"/>
      <c r="FB670" s="1365"/>
      <c r="FD670" s="1354"/>
      <c r="FE670" s="1354"/>
      <c r="FF670" s="138"/>
      <c r="FI670" s="1357"/>
      <c r="FJ670" s="1357"/>
      <c r="FK670" s="1365"/>
      <c r="FL670" s="1365"/>
      <c r="FM670" s="1365"/>
      <c r="FO670" s="1361"/>
      <c r="FP670" s="1361"/>
      <c r="FQ670" s="1366"/>
      <c r="FR670" s="1368"/>
      <c r="FS670" s="1361"/>
      <c r="FT670" s="1368"/>
      <c r="FU670" s="1360"/>
      <c r="FW670" s="1352"/>
      <c r="FX670" s="1352"/>
      <c r="FY670" s="1352"/>
      <c r="FZ670" s="1352"/>
      <c r="GA670" s="1352"/>
      <c r="GB670" s="1352"/>
      <c r="GC670" s="1352"/>
      <c r="GD670" s="1352"/>
      <c r="GE670" s="759"/>
      <c r="GF670" s="1035"/>
      <c r="GG670" s="1385"/>
      <c r="GI670" s="1384" t="b">
        <f>IF(AND(GL670=TRUE,GM670=TRUE),TRUE,FALSE)</f>
        <v>0</v>
      </c>
      <c r="GJ670" s="1379" t="b">
        <f>IFERROR(IF(__Retrofit_TI_NC=2,TRUE,IF(AR669="Yes",TRUE,FALSE)),FALSE)</f>
        <v>1</v>
      </c>
      <c r="GL670" s="1379" t="b">
        <f>IFERROR(IF(GL669=1,TRUE,FALSE),FALSE)</f>
        <v>0</v>
      </c>
      <c r="GM670" s="1379" t="b">
        <f>IFERROR(IF(GM669=GM$14,TRUE,FALSE),FALSE)</f>
        <v>0</v>
      </c>
      <c r="HC670" s="1379" t="b">
        <f>IFERROR(IF(M670=1,TRUE,FALSE),FALSE)</f>
        <v>0</v>
      </c>
      <c r="HD670" s="1379" t="b">
        <f>IFERROR(IF(M671=1,TRUE,FALSE),FALSE)</f>
        <v>0</v>
      </c>
      <c r="HE670" s="1379" t="b">
        <f>IFERROR(IF(__Retrofit_TI_NC&lt;&gt;0,TRUE,IFERROR(IF(VLOOKUP(U670,Fixtures_Existing_List,2,FALSE)&lt;&gt;"",TRUE,FALSE),FALSE)),FALSE)</f>
        <v>0</v>
      </c>
      <c r="HF670" s="1379" t="b">
        <f>IFERROR(IF(VLOOKUP(U671,Fixtures_Proposed_List,2,FALSE)&lt;&gt;"",TRUE,FALSE),FALSE)</f>
        <v>0</v>
      </c>
      <c r="HG670" s="1379" t="b">
        <f>IF(AND(__Retrofit_TI_NC=2,EZ669=TRUE),FALSE,TRUE)</f>
        <v>1</v>
      </c>
      <c r="HH670" s="1379" t="b">
        <f>GG669</f>
        <v>1</v>
      </c>
      <c r="HI670" s="1384" t="b">
        <f>IF(ISERROR(MATCH(FB669,_Control_Match[],0))=TRUE,FALSE,TRUE)</f>
        <v>0</v>
      </c>
      <c r="HJ670" s="1384" t="b">
        <f>IFERROR(IF(EU669&lt;&gt;EV669,FALSE,TRUE),FALSE)</f>
        <v>0</v>
      </c>
      <c r="HK670" s="1384" t="b">
        <f>IFERROR(IF(EU671&lt;&gt;EV671,FALSE,TRUE),FALSE)</f>
        <v>0</v>
      </c>
      <c r="HL670" s="1379" t="b">
        <f>IFERROR(IF(CN669="Exterior",TRUE,IF(OR(AND(FJ669=0,EW671&gt;4),AND(FJ669=4,EW671&gt;4,EW671&lt;7)),FALSE,TRUE)),FALSE)</f>
        <v>0</v>
      </c>
      <c r="HM670" s="1379" t="b">
        <f>IFERROR(IF(AND(FL671=7,EZ669=TRUE),FALSE,TRUE),FALSE)</f>
        <v>0</v>
      </c>
      <c r="HN670" s="1379" t="b">
        <f>IFERROR(IF(AND(T671&lt;&gt;AE671,AF671="Interior LLLC")=TRUE,FALSE,TRUE),FALSE)</f>
        <v>1</v>
      </c>
      <c r="HO670" s="1379" t="b">
        <f>IFERROR(IF(OR(AF671=Lookup!AU$13,AF671=Lookup!AU$14)=TRUE,IF(AE671&gt;T671,FALSE,TRUE),TRUE),FALSE)</f>
        <v>1</v>
      </c>
      <c r="HP670" s="1379" t="b">
        <f>IFERROR(IF(__Retrofit_TI_NC=2,IF(EW671&lt;EW669,FALSE,TRUE),TRUE),FALSE)</f>
        <v>1</v>
      </c>
      <c r="HQ670" s="1379" t="b">
        <f>IF(CN669="Interior",IG$6,TRUE)</f>
        <v>1</v>
      </c>
      <c r="HR670" s="1379" t="b">
        <f>IF(CN669="Exterior",IG$8,TRUE)</f>
        <v>1</v>
      </c>
      <c r="HS670" s="1379" t="b">
        <f>IFERROR(IF(__Retrofit_TI_NC&lt;&gt;0,IF(AW669&lt;AV669,FALSE,TRUE),TRUE),FALSE)</f>
        <v>1</v>
      </c>
      <c r="HT670" s="1379" t="b">
        <f>IFERROR(IF(AND(G670="Exterior",R670&gt;4200),FALSE,TRUE),FALSE)</f>
        <v>1</v>
      </c>
      <c r="HU670" s="1379" t="b">
        <f>IFERROR(IF(AB672/AB669&lt;HU$18,FALSE,TRUE),FALSE)</f>
        <v>0</v>
      </c>
      <c r="HW670" s="1382"/>
      <c r="HX670" s="1378"/>
      <c r="HY670" s="1377" t="str">
        <f>VLOOKUP(HW672,_Error_Table,4,FALSE)</f>
        <v>White</v>
      </c>
      <c r="HZ670" s="436"/>
      <c r="IA670" s="1386"/>
      <c r="IB670" s="1380"/>
      <c r="IC670" s="1379"/>
      <c r="IF670" s="1380"/>
      <c r="IG670" s="1382"/>
      <c r="IH670" s="1382"/>
      <c r="II670" s="1382"/>
      <c r="IK670" s="1351"/>
      <c r="IL670" s="1351"/>
      <c r="IM670" s="1351"/>
      <c r="IN670" s="1351"/>
      <c r="IO670" s="1351"/>
      <c r="IP670" s="1351"/>
    </row>
    <row r="671" spans="1:250" s="82" customFormat="1" ht="14.95" customHeight="1" thickTop="1" thickBot="1">
      <c r="A671" s="82">
        <f>ROW()</f>
        <v>671</v>
      </c>
      <c r="B671" s="1421"/>
      <c r="C671" s="1422"/>
      <c r="D671" s="1423"/>
      <c r="E671" s="1393" t="s">
        <v>245</v>
      </c>
      <c r="F671" s="1394"/>
      <c r="G671" s="1398"/>
      <c r="H671" s="1399"/>
      <c r="I671" s="1399"/>
      <c r="J671" s="1399"/>
      <c r="K671" s="1399"/>
      <c r="L671" s="1400"/>
      <c r="M671" s="509">
        <f>IFERROR(IF(IF(__Retrofit_TI_NC&lt;&gt;0,IF(CN669="Interior",MATCH(G671,Lookup_Interior_New,0),MATCH(G671,Lookup_Exterior_New,0)),IF(CN669="Interior",MATCH(G671,Lookup_Interior,0),MATCH(G671,Lookup_Exterior_Areas,0)))&gt;0,1,0),0)</f>
        <v>0</v>
      </c>
      <c r="N671" s="509" t="e">
        <f>IF(__Retrofit_TI_NC=1,
VLOOKUP(G671,'Space Table'!$B$3:$L$160,4,FALSE),
IF(__Retrofit_TI_NC=2,VLOOKUP(G671,'Space Table'!$B$3:$L$160,5,FALSE),VLOOKUP(G671,'Space Table'!$B$3:$L$160,5,FALSE)))</f>
        <v>#N/A</v>
      </c>
      <c r="O671" s="509">
        <f>G671</f>
        <v>0</v>
      </c>
      <c r="P671" s="1394" t="s">
        <v>355</v>
      </c>
      <c r="Q671" s="1394"/>
      <c r="R671" s="674"/>
      <c r="S671" s="1401" t="s">
        <v>284</v>
      </c>
      <c r="T671" s="672"/>
      <c r="U671" s="1499"/>
      <c r="V671" s="1500"/>
      <c r="W671" s="1500"/>
      <c r="X671" s="1500"/>
      <c r="Y671" s="1500"/>
      <c r="Z671" s="1500"/>
      <c r="AA671" s="1500"/>
      <c r="AB671" s="1501"/>
      <c r="AC671" s="1501"/>
      <c r="AD671" s="1502"/>
      <c r="AE671" s="672"/>
      <c r="AF671" s="1474"/>
      <c r="AG671" s="1474"/>
      <c r="AH671" s="1474"/>
      <c r="AI671" s="1474"/>
      <c r="AJ671" s="1475">
        <f>DF671</f>
        <v>0</v>
      </c>
      <c r="AK671" s="1470" t="str">
        <f>IFERROR(ROUND(AJ671*AC672,0),"")</f>
        <v/>
      </c>
      <c r="AL671" s="1472">
        <f>IFERROR(IF(HW669=FALSE,0,AC672-AK671),0)</f>
        <v>0</v>
      </c>
      <c r="AM671" s="1441"/>
      <c r="AN671" s="1442"/>
      <c r="AO671" s="1447"/>
      <c r="AP671" s="1447"/>
      <c r="AQ671" s="1448"/>
      <c r="AR671" s="1452"/>
      <c r="AS671" s="1455"/>
      <c r="AT671" s="1458"/>
      <c r="AU671" s="516"/>
      <c r="AV671" s="1479"/>
      <c r="AW671" s="1479"/>
      <c r="BC671" s="38"/>
      <c r="BD671" s="38"/>
      <c r="BE671" s="38"/>
      <c r="BF671" s="38"/>
      <c r="BG671" s="38"/>
      <c r="BH671" s="38"/>
      <c r="BI671" s="38"/>
      <c r="BJ671" s="38"/>
      <c r="BK671" s="38"/>
      <c r="BL671" s="38"/>
      <c r="BM671" s="38"/>
      <c r="BN671" s="38"/>
      <c r="BO671" s="38"/>
      <c r="BP671" s="38"/>
      <c r="BQ671" s="38"/>
      <c r="BR671" s="38"/>
      <c r="BS671" s="38"/>
      <c r="BT671" s="38"/>
      <c r="BU671" s="38"/>
      <c r="BV671" s="38"/>
      <c r="BW671" s="38"/>
      <c r="BX671" s="38"/>
      <c r="BY671" s="38"/>
      <c r="BZ671" s="38"/>
      <c r="CA671" s="38"/>
      <c r="CB671" s="38"/>
      <c r="CC671" s="38"/>
      <c r="CD671" s="38"/>
      <c r="CE671" s="38"/>
      <c r="CF671" s="38"/>
      <c r="CG671" s="38"/>
      <c r="CH671" s="38"/>
      <c r="CI671" s="38"/>
      <c r="CM671" s="1352"/>
      <c r="CN671" s="1352"/>
      <c r="CO671" s="1415" t="str">
        <f>CN669</f>
        <v/>
      </c>
      <c r="CP671" s="1417" t="e">
        <f>CP669</f>
        <v>#N/A</v>
      </c>
      <c r="CR671" s="1386" t="s">
        <v>284</v>
      </c>
      <c r="CS671" s="1353">
        <f>IF(HW669=TRUE,T671,0)</f>
        <v>0</v>
      </c>
      <c r="CT671" s="1353" t="str">
        <f>IF(HW669=TRUE,U671,"")</f>
        <v/>
      </c>
      <c r="CU671" s="1373">
        <f>IF(HW669=TRUE,U672,0)</f>
        <v>0</v>
      </c>
      <c r="CV671" s="1370">
        <f>IF(HW669=TRUE,AB672,0)</f>
        <v>0</v>
      </c>
      <c r="CW671" s="1370">
        <f>IF(HW669=TRUE,AC672,0)</f>
        <v>0</v>
      </c>
      <c r="CX671" s="1371"/>
      <c r="CY671" s="1486"/>
      <c r="CZ671" s="1486"/>
      <c r="DA671" s="1486"/>
      <c r="DC671" s="1353">
        <f>IF(HW669=TRUE,AE671,0)</f>
        <v>0</v>
      </c>
      <c r="DD671" s="1353" t="str">
        <f>IF(HW669=TRUE,AF671,"")</f>
        <v/>
      </c>
      <c r="DE671" s="1373">
        <f>AF672</f>
        <v>0</v>
      </c>
      <c r="DF671" s="1406">
        <f>IFERROR(IF(FL671=3,IK671,IF(FL671=4,IL671,IF(FL671=5,IM671,IF(FL671=6,IN671,IF(FL671=7,IO671,IF(FL671=8,IP671,0)))))),0)</f>
        <v>0</v>
      </c>
      <c r="DG671" s="1370">
        <f>IF(HW669=TRUE,AK671,0)</f>
        <v>0</v>
      </c>
      <c r="DH671" s="1369"/>
      <c r="DK671" s="1483">
        <f>IFERROR(CW671-DG671,0)</f>
        <v>0</v>
      </c>
      <c r="DL671" s="1420"/>
      <c r="DN671" s="1403"/>
      <c r="DO671" s="1477" t="str">
        <f>DN669</f>
        <v/>
      </c>
      <c r="DP671" s="1354"/>
      <c r="DQ671" s="1477" t="str">
        <f>IF(DP669=7,"LLLC","")</f>
        <v/>
      </c>
      <c r="DR671" s="1403"/>
      <c r="DS671" s="1489"/>
      <c r="DU671" s="1403"/>
      <c r="DV671" s="1404" t="str">
        <f>DU669</f>
        <v/>
      </c>
      <c r="DW671" s="1403"/>
      <c r="DX671" s="1403"/>
      <c r="DZ671" s="1481"/>
      <c r="EA671" s="1481"/>
      <c r="EC671" s="1482"/>
      <c r="ED671" s="1369"/>
      <c r="EE671" s="1371"/>
      <c r="EF671" s="1369"/>
      <c r="EG671" s="1369"/>
      <c r="EH671" s="1374"/>
      <c r="EI671" s="1374"/>
      <c r="EJ671" s="1363"/>
      <c r="EK671" s="1376"/>
      <c r="EL671" s="1376"/>
      <c r="EM671" s="1362"/>
      <c r="EN671" s="1362"/>
      <c r="EO671" s="1363"/>
      <c r="EP671" s="1363"/>
      <c r="EQ671" s="1363"/>
      <c r="ES671" s="1403"/>
      <c r="EU671" s="1411" t="e">
        <f>VLOOKUP(CP671,'Space Table'!$B$3:$L$160,8,FALSE)</f>
        <v>#N/A</v>
      </c>
      <c r="EV671" s="1411" t="e">
        <f>IF(EY671="Yes",VLOOKUP(AF671,Lookup_Control_Type_Table2,4,FALSE),VLOOKUP(AF671,Lookup_Control_Type_Table2,3,FALSE))</f>
        <v>#N/A</v>
      </c>
      <c r="EW671" s="1411" t="e">
        <f>VLOOKUP(AF671,Lookup!AU$3:AV$15,2,FALSE)</f>
        <v>#N/A</v>
      </c>
      <c r="EX671" s="1411" t="e">
        <f>VLOOKUP(EU669,Lookup_Control_Type_Table,2,FALSE)</f>
        <v>#N/A</v>
      </c>
      <c r="EY671" s="1411" t="e">
        <f>VLOOKUP(CP671,'Space Table'!$B$3:$L$160,7,FALSE)</f>
        <v>#N/A</v>
      </c>
      <c r="EZ671" s="1413"/>
      <c r="FB671" s="1365" t="str">
        <f>CONCATENATE(CN669," - ",AF671)</f>
        <v xml:space="preserve"> - </v>
      </c>
      <c r="FD671" s="1354"/>
      <c r="FE671" s="1354"/>
      <c r="FF671" s="138"/>
      <c r="FI671" s="1356" t="str">
        <f>IF(CN669="Exterior","Not Daylighted",G672)</f>
        <v>Not Daylighted</v>
      </c>
      <c r="FJ671" s="1356">
        <f>VLOOKUP(FI671,_Daylight_Table_Codes,2,FALSE)</f>
        <v>0</v>
      </c>
      <c r="FK671" s="1365">
        <f>AF671</f>
        <v>0</v>
      </c>
      <c r="FL671" s="1365" t="e">
        <f>VLOOKUP(FK671,_Control_Table,2,FALSE)</f>
        <v>#N/A</v>
      </c>
      <c r="FM671" s="1365" t="e">
        <f>IF(AND(FP671&gt;0,FK671="Occupancy Sensor"),"Daylight + Occupancy",IF(AND(FP671&gt;0,FL671&lt;4),"Interior Daylight Dimming",FK671))</f>
        <v>#N/A</v>
      </c>
      <c r="FO671" s="1364">
        <f>IF(CN669="Interior",VLOOKUP(CP669,Control_Savings_Interior,5,FALSE),0)</f>
        <v>0</v>
      </c>
      <c r="FP671" s="1361">
        <f>IF(CN671="Exterior",0,IF(FJ671=2,0.5,IF(OR(FJ671=1,FJ671=3),1,0)))</f>
        <v>0</v>
      </c>
      <c r="FQ671" s="1366">
        <f>IF(R670&gt;FO$37,(FO671*(FO$37/R670)),FO671)*FP671</f>
        <v>0</v>
      </c>
      <c r="FR671" s="1364">
        <f>DF671</f>
        <v>0</v>
      </c>
      <c r="FS671" s="1364">
        <f>ROUND(FR671+((1-FR671)*FQ671),2)</f>
        <v>0</v>
      </c>
      <c r="FT671" s="1364">
        <f>IF(__Retrofit_TI_NC=2,FS671,FR671)</f>
        <v>0</v>
      </c>
      <c r="FU671" s="1360">
        <f>IF(CO671="Interior",VLOOKUP(CP671,Control_Savings_Interior,4,FALSE),0)</f>
        <v>0</v>
      </c>
      <c r="FW671" s="1352"/>
      <c r="FX671" s="1352"/>
      <c r="FY671" s="1352"/>
      <c r="FZ671" s="1352"/>
      <c r="GA671" s="1352"/>
      <c r="GB671" s="1352"/>
      <c r="GC671" s="1352"/>
      <c r="GD671" s="1352"/>
      <c r="GE671" s="759" t="b">
        <f>IF(ISNUMBER(SEARCH("TLED",U671)),TRUE,FALSE)</f>
        <v>0</v>
      </c>
      <c r="GF671" s="1035" t="str">
        <f>IFERROR(VLOOKUP(U671,Fixtures!DM$93:DR$142,6,FALSE),"")</f>
        <v/>
      </c>
      <c r="GG671" s="1385"/>
      <c r="GI671" s="1383"/>
      <c r="GJ671" s="1379"/>
      <c r="GL671" s="1379"/>
      <c r="GM671" s="1379"/>
      <c r="HC671" s="1379"/>
      <c r="HD671" s="1379"/>
      <c r="HE671" s="1379"/>
      <c r="HF671" s="1379"/>
      <c r="HG671" s="1379"/>
      <c r="HH671" s="1379"/>
      <c r="HI671" s="1383"/>
      <c r="HJ671" s="1383"/>
      <c r="HK671" s="1383"/>
      <c r="HL671" s="1379"/>
      <c r="HM671" s="1379"/>
      <c r="HN671" s="1379"/>
      <c r="HO671" s="1379"/>
      <c r="HP671" s="1379"/>
      <c r="HQ671" s="1379"/>
      <c r="HR671" s="1379"/>
      <c r="HS671" s="1379"/>
      <c r="HT671" s="1379"/>
      <c r="HU671" s="1379"/>
      <c r="HW671" s="1383"/>
      <c r="HX671" s="1384" t="b">
        <f>HW669</f>
        <v>0</v>
      </c>
      <c r="HY671" s="1378"/>
      <c r="HZ671" s="436"/>
      <c r="IA671" s="1386"/>
      <c r="IB671" s="1380">
        <f>IF(IA669=TRUE,AC672,0)</f>
        <v>0</v>
      </c>
      <c r="IC671" s="1379"/>
      <c r="IF671" s="1380" t="e">
        <f>ROUND(T671*AB672*N670*R670/1000,0)</f>
        <v>#VALUE!</v>
      </c>
      <c r="IG671" s="1382"/>
      <c r="IH671" s="1384" t="e">
        <f>ROUND(T671*AB672*N670*R670/1000,0)</f>
        <v>#VALUE!</v>
      </c>
      <c r="II671" s="1382"/>
      <c r="IK671" s="1351" t="e">
        <f>IF($CO671="interior",IL671/2,VLOOKUP($CP671,Control_Savings_Exterior,IK$30,FALSE))</f>
        <v>#N/A</v>
      </c>
      <c r="IL671" s="1351" t="e">
        <f>IF($CO671="interior",VLOOKUP($CP671,Control_Savings_Interior,IL$30,FALSE),VLOOKUP($CP671,Control_Savings_Exterior,IL$30,FALSE))</f>
        <v>#N/A</v>
      </c>
      <c r="IM671" s="1351" t="e">
        <f>IF($CO671="interior",IF(R670&gt;FO$37,(IM$28*(FO$37/R670)),IM$28)*FP671,VLOOKUP($CP671,Control_Savings_Exterior,IM$30,FALSE))</f>
        <v>#N/A</v>
      </c>
      <c r="IN671" s="1351" t="e">
        <f>IF($CO671="interior",ROUND(((1-IL671)*IM671)+IL671,2),VLOOKUP($CP671,Control_Savings_Exterior,IN$30,FALSE))</f>
        <v>#N/A</v>
      </c>
      <c r="IO671" s="1351" t="e">
        <f>IF($CO671="interior", ROUND(((1-IL671)*(IM671*(1-IP$28)))+IP671,2), VLOOKUP($CP671,Control_Savings_Exterior,IO$30,FALSE))</f>
        <v>#N/A</v>
      </c>
      <c r="IP671" s="1351">
        <f>IF($CO671="interior",ROUND(((1-IL671)*IP$28)+IL671,2),0)</f>
        <v>0</v>
      </c>
    </row>
    <row r="672" spans="1:250" s="82" customFormat="1" ht="14.95" customHeight="1" thickTop="1" thickBot="1">
      <c r="B672" s="1421"/>
      <c r="C672" s="1422"/>
      <c r="D672" s="1423"/>
      <c r="E672" s="1462" t="s">
        <v>357</v>
      </c>
      <c r="F672" s="1463"/>
      <c r="G672" s="1464" t="s">
        <v>362</v>
      </c>
      <c r="H672" s="1465"/>
      <c r="I672" s="1465"/>
      <c r="J672" s="1465"/>
      <c r="K672" s="1465"/>
      <c r="L672" s="1466"/>
      <c r="M672" s="669">
        <f>IFERROR(VLOOKUP(G672,_Daylight_Table[],2,FALSE),0)</f>
        <v>0</v>
      </c>
      <c r="N672" s="670"/>
      <c r="O672" s="669" t="e">
        <f>VLOOKUP(G671,'Space Table'!$B$3:$L$160,11,FALSE)</f>
        <v>#N/A</v>
      </c>
      <c r="P672" s="1408"/>
      <c r="Q672" s="1409"/>
      <c r="R672" s="1409"/>
      <c r="S672" s="1402"/>
      <c r="T672" s="671" t="s">
        <v>281</v>
      </c>
      <c r="U672" s="1467" t="str">
        <f>IFERROR(VLOOKUP(U671,Fixtures!DM$93:DP$142,4,FALSE),"")</f>
        <v/>
      </c>
      <c r="V672" s="1468"/>
      <c r="W672" s="1468"/>
      <c r="X672" s="1468"/>
      <c r="Y672" s="1468"/>
      <c r="Z672" s="1468"/>
      <c r="AA672" s="1468"/>
      <c r="AB672" s="1046" t="str">
        <f>IFERROR(VLOOKUP(U671,Fixtures_Proposed_List,2,FALSE),"")</f>
        <v/>
      </c>
      <c r="AC672" s="1036" t="str">
        <f>IFERROR(ROUND(T671*AB672*N670*R670/1000,0),"")</f>
        <v/>
      </c>
      <c r="AD672" s="1037" t="str">
        <f>IFERROR(ROUND(T671*AB672/1000,2),"")</f>
        <v/>
      </c>
      <c r="AE672" s="1045" t="s">
        <v>281</v>
      </c>
      <c r="AF672" s="1469"/>
      <c r="AG672" s="1469"/>
      <c r="AH672" s="1469"/>
      <c r="AI672" s="1469"/>
      <c r="AJ672" s="1476"/>
      <c r="AK672" s="1471"/>
      <c r="AL672" s="1473"/>
      <c r="AM672" s="1443"/>
      <c r="AN672" s="1444"/>
      <c r="AO672" s="1449"/>
      <c r="AP672" s="1449"/>
      <c r="AQ672" s="1450"/>
      <c r="AR672" s="1453"/>
      <c r="AS672" s="1456"/>
      <c r="AT672" s="1459"/>
      <c r="AU672" s="517"/>
      <c r="AV672" s="1480"/>
      <c r="AW672" s="1480"/>
      <c r="BC672" s="38"/>
      <c r="BD672" s="38"/>
      <c r="BE672" s="38"/>
      <c r="BF672" s="38"/>
      <c r="BG672" s="38"/>
      <c r="BH672" s="38"/>
      <c r="BI672" s="38"/>
      <c r="BJ672" s="38"/>
      <c r="BK672" s="38"/>
      <c r="BL672" s="38"/>
      <c r="BM672" s="38"/>
      <c r="BN672" s="38"/>
      <c r="BO672" s="38"/>
      <c r="BP672" s="38"/>
      <c r="BQ672" s="38"/>
      <c r="BR672" s="38"/>
      <c r="BS672" s="38"/>
      <c r="BT672" s="38"/>
      <c r="BU672" s="38"/>
      <c r="BV672" s="38"/>
      <c r="BW672" s="38"/>
      <c r="BX672" s="38"/>
      <c r="BY672" s="38"/>
      <c r="BZ672" s="38"/>
      <c r="CA672" s="38"/>
      <c r="CB672" s="38"/>
      <c r="CC672" s="38"/>
      <c r="CD672" s="38"/>
      <c r="CE672" s="38"/>
      <c r="CF672" s="38"/>
      <c r="CG672" s="38"/>
      <c r="CH672" s="38"/>
      <c r="CI672" s="38"/>
      <c r="CM672" s="1352"/>
      <c r="CN672" s="1352"/>
      <c r="CO672" s="1416"/>
      <c r="CP672" s="1418"/>
      <c r="CR672" s="1386"/>
      <c r="CS672" s="1355"/>
      <c r="CT672" s="1355"/>
      <c r="CU672" s="1375"/>
      <c r="CV672" s="1372"/>
      <c r="CW672" s="1372"/>
      <c r="CX672" s="1372"/>
      <c r="CY672" s="1487"/>
      <c r="CZ672" s="1487"/>
      <c r="DA672" s="1487"/>
      <c r="DC672" s="1355"/>
      <c r="DD672" s="1355"/>
      <c r="DE672" s="1375"/>
      <c r="DF672" s="1407"/>
      <c r="DG672" s="1372"/>
      <c r="DH672" s="1369"/>
      <c r="DK672" s="1484"/>
      <c r="DL672" s="1420"/>
      <c r="DN672" s="1403"/>
      <c r="DO672" s="1405"/>
      <c r="DP672" s="1355"/>
      <c r="DQ672" s="1405"/>
      <c r="DR672" s="1403"/>
      <c r="DS672" s="1489"/>
      <c r="DU672" s="1403"/>
      <c r="DV672" s="1405"/>
      <c r="DW672" s="1403"/>
      <c r="DX672" s="1403"/>
      <c r="DZ672" s="1481"/>
      <c r="EA672" s="1481"/>
      <c r="EC672" s="1482"/>
      <c r="ED672" s="1369"/>
      <c r="EE672" s="1372"/>
      <c r="EF672" s="1369"/>
      <c r="EG672" s="1369"/>
      <c r="EH672" s="1375"/>
      <c r="EI672" s="1375"/>
      <c r="EJ672" s="1363"/>
      <c r="EK672" s="1376"/>
      <c r="EL672" s="1376"/>
      <c r="EM672" s="1362"/>
      <c r="EN672" s="1362"/>
      <c r="EO672" s="1363"/>
      <c r="EP672" s="1363"/>
      <c r="EQ672" s="1363"/>
      <c r="ES672" s="1403"/>
      <c r="EU672" s="1488"/>
      <c r="EV672" s="1488"/>
      <c r="EW672" s="1488"/>
      <c r="EX672" s="1488"/>
      <c r="EY672" s="1488"/>
      <c r="EZ672" s="1414"/>
      <c r="FB672" s="1365"/>
      <c r="FD672" s="1355"/>
      <c r="FE672" s="1355"/>
      <c r="FF672" s="138"/>
      <c r="FI672" s="1357"/>
      <c r="FJ672" s="1357"/>
      <c r="FK672" s="1365"/>
      <c r="FL672" s="1365"/>
      <c r="FM672" s="1365"/>
      <c r="FO672" s="1361"/>
      <c r="FP672" s="1361"/>
      <c r="FQ672" s="1366"/>
      <c r="FR672" s="1361"/>
      <c r="FS672" s="1361"/>
      <c r="FT672" s="1361"/>
      <c r="FU672" s="1360"/>
      <c r="FW672" s="1352"/>
      <c r="FX672" s="1352"/>
      <c r="FY672" s="1352"/>
      <c r="FZ672" s="1352"/>
      <c r="GA672" s="1352"/>
      <c r="GB672" s="1352"/>
      <c r="GC672" s="1352"/>
      <c r="GD672" s="1352"/>
      <c r="GE672" s="759"/>
      <c r="GF672" s="1035"/>
      <c r="GG672" s="1385"/>
      <c r="GJ672" s="1034">
        <f>IF(GJ670=TRUE,0,GJ$16)</f>
        <v>0</v>
      </c>
      <c r="GL672" s="1034">
        <f>IF(GL670=TRUE,0,GL$16)</f>
        <v>36</v>
      </c>
      <c r="GM672" s="1034">
        <f>IF(GM670=TRUE,0,GM$16)</f>
        <v>35</v>
      </c>
      <c r="GN672" s="436"/>
      <c r="GO672" s="436"/>
      <c r="GP672" s="436"/>
      <c r="GQ672" s="436"/>
      <c r="GR672" s="436"/>
      <c r="HC672" s="1034">
        <f t="shared" ref="HC672:HH672" si="498">IF(HC670=TRUE,0,HC$16)</f>
        <v>19</v>
      </c>
      <c r="HD672" s="1034">
        <f t="shared" si="498"/>
        <v>18</v>
      </c>
      <c r="HE672" s="1034">
        <f t="shared" si="498"/>
        <v>17</v>
      </c>
      <c r="HF672" s="1034">
        <f t="shared" si="498"/>
        <v>16</v>
      </c>
      <c r="HG672" s="1034">
        <f t="shared" si="498"/>
        <v>0</v>
      </c>
      <c r="HH672" s="1034">
        <f t="shared" si="498"/>
        <v>0</v>
      </c>
      <c r="HI672" s="1034">
        <f>IF(HI670=TRUE,0,HI$16)</f>
        <v>13</v>
      </c>
      <c r="HJ672" s="1034">
        <f t="shared" ref="HJ672:HL672" si="499">IF(HJ670=TRUE,0,HJ$16)</f>
        <v>12</v>
      </c>
      <c r="HK672" s="1034">
        <f t="shared" si="499"/>
        <v>11</v>
      </c>
      <c r="HL672" s="1034">
        <f t="shared" si="499"/>
        <v>10</v>
      </c>
      <c r="HM672" s="1034">
        <f>IF(HM670=TRUE,0,HM$16)</f>
        <v>9</v>
      </c>
      <c r="HN672" s="1034">
        <f t="shared" ref="HN672:HR672" si="500">IF(HN670=TRUE,0,HN$16)</f>
        <v>0</v>
      </c>
      <c r="HO672" s="1034">
        <f t="shared" si="500"/>
        <v>0</v>
      </c>
      <c r="HP672" s="1034">
        <f t="shared" si="500"/>
        <v>0</v>
      </c>
      <c r="HQ672" s="1034">
        <f t="shared" si="500"/>
        <v>0</v>
      </c>
      <c r="HR672" s="1034">
        <f t="shared" si="500"/>
        <v>0</v>
      </c>
      <c r="HS672" s="1034">
        <f>IF(HS670=TRUE,0,HS$16)</f>
        <v>0</v>
      </c>
      <c r="HT672" s="1034">
        <f t="shared" ref="HT672" si="501">IF(HT670=TRUE,0,HT$16)</f>
        <v>0</v>
      </c>
      <c r="HU672" s="1034">
        <f>IF(HU670=TRUE,0,HU$16)</f>
        <v>1</v>
      </c>
      <c r="HW672" s="1034">
        <f>IF(GL670=FALSE,GL672,IF(GM670=FALSE,GM672,MAX(GJ672:HU672)))</f>
        <v>36</v>
      </c>
      <c r="HX672" s="1383"/>
      <c r="HY672" s="241" t="str">
        <f>VLOOKUP(HW672,_Error_Table,3,FALSE)</f>
        <v xml:space="preserve"> </v>
      </c>
      <c r="HZ672" s="241"/>
      <c r="IA672" s="1386"/>
      <c r="IB672" s="1380"/>
      <c r="IC672" s="1379"/>
      <c r="IF672" s="1380"/>
      <c r="IG672" s="1383"/>
      <c r="IH672" s="1383"/>
      <c r="II672" s="1383"/>
      <c r="IK672" s="1351"/>
      <c r="IL672" s="1351"/>
      <c r="IM672" s="1351"/>
      <c r="IN672" s="1351"/>
      <c r="IO672" s="1351"/>
      <c r="IP672" s="1351"/>
    </row>
    <row r="673" spans="1:250" s="82" customFormat="1" ht="5.0999999999999996" customHeight="1" thickBot="1">
      <c r="B673" s="763"/>
      <c r="C673" s="1038"/>
      <c r="D673" s="1038"/>
      <c r="E673" s="1490"/>
      <c r="F673" s="1490"/>
      <c r="G673" s="1490"/>
      <c r="H673" s="1490"/>
      <c r="I673" s="1490"/>
      <c r="J673" s="1490"/>
      <c r="K673" s="1490"/>
      <c r="L673" s="1490"/>
      <c r="M673" s="1490"/>
      <c r="N673" s="1490"/>
      <c r="O673" s="1490"/>
      <c r="P673" s="1490"/>
      <c r="Q673" s="1490"/>
      <c r="R673" s="1490"/>
      <c r="S673" s="1490"/>
      <c r="T673" s="1490"/>
      <c r="U673" s="1490"/>
      <c r="V673" s="1490"/>
      <c r="W673" s="1490"/>
      <c r="X673" s="1490"/>
      <c r="Y673" s="1490"/>
      <c r="Z673" s="1490"/>
      <c r="AA673" s="1490"/>
      <c r="AB673" s="1490"/>
      <c r="AC673" s="1490"/>
      <c r="AD673" s="1490"/>
      <c r="AE673" s="1490"/>
      <c r="AF673" s="1490"/>
      <c r="AG673" s="1490"/>
      <c r="AH673" s="1490"/>
      <c r="AI673" s="1490"/>
      <c r="AJ673" s="1490"/>
      <c r="AK673" s="1490"/>
      <c r="AL673" s="1490"/>
      <c r="AM673" s="1490"/>
      <c r="AN673" s="1490"/>
      <c r="AO673" s="1490"/>
      <c r="AP673" s="1490"/>
      <c r="AQ673" s="1490"/>
      <c r="AR673" s="1490"/>
      <c r="AS673" s="1490"/>
      <c r="AT673" s="1490"/>
      <c r="AU673" s="1041"/>
      <c r="BC673" s="38"/>
      <c r="BD673" s="38"/>
      <c r="BE673" s="38"/>
      <c r="BF673" s="38"/>
      <c r="BG673" s="38"/>
      <c r="BH673" s="38"/>
      <c r="BI673" s="38"/>
      <c r="BJ673" s="38"/>
      <c r="BK673" s="38"/>
      <c r="BL673" s="38"/>
      <c r="BM673" s="38"/>
      <c r="BN673" s="38"/>
      <c r="BO673" s="38"/>
      <c r="BP673" s="38"/>
      <c r="BQ673" s="38"/>
      <c r="BR673" s="38"/>
      <c r="BS673" s="38"/>
      <c r="BT673" s="38"/>
      <c r="BU673" s="38"/>
      <c r="BV673" s="38"/>
      <c r="BW673" s="38"/>
      <c r="BX673" s="38"/>
      <c r="BY673" s="38"/>
      <c r="BZ673" s="38"/>
      <c r="CA673" s="38"/>
      <c r="CB673" s="38"/>
      <c r="CC673" s="38"/>
      <c r="CD673" s="38"/>
      <c r="CE673" s="38"/>
      <c r="CF673" s="38"/>
      <c r="CG673" s="38"/>
      <c r="CH673" s="38"/>
      <c r="CI673" s="38"/>
      <c r="CM673" s="749"/>
      <c r="CN673" s="749"/>
      <c r="CO673" s="1043"/>
      <c r="CP673" s="749"/>
      <c r="CS673" s="436"/>
      <c r="CT673" s="436"/>
      <c r="CU673" s="243"/>
      <c r="CV673" s="244"/>
      <c r="CW673" s="244"/>
      <c r="CX673" s="244"/>
      <c r="CY673" s="245"/>
      <c r="CZ673" s="245"/>
      <c r="DA673" s="245"/>
      <c r="DC673" s="750"/>
      <c r="DD673" s="751"/>
      <c r="DE673" s="752"/>
      <c r="DF673" s="753"/>
      <c r="DG673" s="754"/>
      <c r="DH673" s="754"/>
      <c r="DK673" s="244"/>
      <c r="DL673" s="750"/>
      <c r="DN673" s="750"/>
      <c r="DO673" s="755"/>
      <c r="DP673" s="436"/>
      <c r="DQ673" s="750"/>
      <c r="DR673" s="750"/>
      <c r="DS673" s="750"/>
      <c r="DU673" s="750"/>
      <c r="DV673" s="750"/>
      <c r="DW673" s="750"/>
      <c r="DX673" s="750"/>
      <c r="DZ673" s="756"/>
      <c r="EA673" s="756"/>
      <c r="EC673" s="754"/>
      <c r="ED673" s="754"/>
      <c r="EE673" s="244"/>
      <c r="EF673" s="754"/>
      <c r="EG673" s="754"/>
      <c r="EH673" s="243"/>
      <c r="EI673" s="243"/>
      <c r="EJ673" s="752"/>
      <c r="EK673" s="757"/>
      <c r="EL673" s="757"/>
      <c r="EM673" s="758"/>
      <c r="EN673" s="758"/>
      <c r="EO673" s="752"/>
      <c r="EP673" s="752"/>
      <c r="EQ673" s="752"/>
      <c r="ES673" s="750"/>
      <c r="EU673" s="436"/>
      <c r="EV673" s="436"/>
      <c r="EW673" s="436"/>
      <c r="EX673" s="436"/>
      <c r="EY673" s="436"/>
      <c r="EZ673" s="436"/>
      <c r="FB673" s="643"/>
      <c r="FD673" s="436"/>
      <c r="FE673" s="436"/>
      <c r="FF673" s="436"/>
      <c r="FO673" s="750"/>
      <c r="FP673" s="436"/>
      <c r="FQ673" s="436"/>
      <c r="FR673" s="750"/>
      <c r="FS673" s="750"/>
      <c r="FW673" s="749"/>
      <c r="FX673" s="749"/>
      <c r="FY673" s="749"/>
      <c r="FZ673" s="749"/>
      <c r="GA673" s="749"/>
      <c r="GB673" s="749"/>
      <c r="GC673" s="749"/>
      <c r="GD673" s="749"/>
      <c r="GE673" s="751"/>
      <c r="GF673" s="750"/>
      <c r="GG673" s="750"/>
    </row>
    <row r="674" spans="1:250" s="82" customFormat="1" ht="14.95" customHeight="1" thickTop="1" thickBot="1">
      <c r="B674" s="1421" t="str">
        <f>HY677</f>
        <v xml:space="preserve"> </v>
      </c>
      <c r="C674" s="1422">
        <f>C669+1</f>
        <v>123</v>
      </c>
      <c r="D674" s="1423"/>
      <c r="E674" s="1424" t="s">
        <v>242</v>
      </c>
      <c r="F674" s="1425"/>
      <c r="G674" s="1426"/>
      <c r="H674" s="1427"/>
      <c r="I674" s="1427"/>
      <c r="J674" s="1427"/>
      <c r="K674" s="1427"/>
      <c r="L674" s="1427"/>
      <c r="M674" s="1427"/>
      <c r="N674" s="1427"/>
      <c r="O674" s="1427"/>
      <c r="P674" s="1427"/>
      <c r="Q674" s="1427"/>
      <c r="R674" s="1427"/>
      <c r="S674" s="1428" t="s">
        <v>283</v>
      </c>
      <c r="T674" s="668" t="s">
        <v>190</v>
      </c>
      <c r="U674" s="1430" t="s">
        <v>186</v>
      </c>
      <c r="V674" s="1431"/>
      <c r="W674" s="1431"/>
      <c r="X674" s="1431"/>
      <c r="Y674" s="1431"/>
      <c r="Z674" s="1431"/>
      <c r="AA674" s="1431"/>
      <c r="AB674" s="1047" t="str">
        <f>IFERROR(IF(__Retrofit_TI_NC=0,VLOOKUP(U675,Fixtures_Existing_List,2,FALSE),ROUND(N676*R676/T676,10)),"")</f>
        <v/>
      </c>
      <c r="AC674" s="1039" t="str">
        <f>IFERROR(IF(__Retrofit_TI_NC=0,ROUND(T675*AB674*N675*R675/1000,0),IF(CN674="Interior",N676*R676*R675*N675*_C406_reduction/1000,N676*R676*R675*N675/1000)),"")</f>
        <v/>
      </c>
      <c r="AD674" s="1040" t="str">
        <f>IFERROR(IF(C$36=0,ROUND(T675*AB674/1000,2),N676*R676/1000),"")</f>
        <v/>
      </c>
      <c r="AE674" s="1044" t="s">
        <v>190</v>
      </c>
      <c r="AF674" s="1432" t="str">
        <f>IF(__Retrofit_TI_NC=2,CONCATENATE("Code min = ",DD674),IF(__Retrofit_TI_NC=1,"Emter what you think the existing control was"," Control"))</f>
        <v xml:space="preserve"> Control</v>
      </c>
      <c r="AG674" s="1432"/>
      <c r="AH674" s="1432"/>
      <c r="AI674" s="1432"/>
      <c r="AJ674" s="1433">
        <f>DF674</f>
        <v>0</v>
      </c>
      <c r="AK674" s="1435" t="str">
        <f>IFERROR(ROUND(AJ674*AC674,0),"")</f>
        <v/>
      </c>
      <c r="AL674" s="1437">
        <f>IFERROR(IF(HW674=FALSE,0,AC674-AK674),0)</f>
        <v>0</v>
      </c>
      <c r="AM674" s="1439">
        <f>AL674-AL676</f>
        <v>0</v>
      </c>
      <c r="AN674" s="1440"/>
      <c r="AO674" s="1445">
        <f>IFERROR(IF(HW674=FALSE,0,(T676*U677)+(AE676*AF677)),0)</f>
        <v>0</v>
      </c>
      <c r="AP674" s="1445"/>
      <c r="AQ674" s="1446"/>
      <c r="AR674" s="1451" t="s">
        <v>157</v>
      </c>
      <c r="AS674" s="1454">
        <f>IF(AR674="Yes",1,0)</f>
        <v>1</v>
      </c>
      <c r="AT674" s="1457" t="str">
        <f>IF(OR(DN674=4,DN674=5,DN674=6,DN674=12),CONCATENATE("$",IF(GD674=TRUE,Lookup!$B$11,Lookup!$B$2)," /lamp"),CONCATENATE(EA674,"/ kWh"))</f>
        <v>0/ kWh</v>
      </c>
      <c r="AU674" s="516"/>
      <c r="AV674" s="1478">
        <f>IFERROR(IF(GI675=TRUE,(AB677*T676)/R676,0),"NA")</f>
        <v>0</v>
      </c>
      <c r="AW674" s="1478" t="str">
        <f>IFERROR(N676*_C406_reduction,"NA")</f>
        <v>NA</v>
      </c>
      <c r="BC674" s="38"/>
      <c r="BD674" s="38"/>
      <c r="BE674" s="38"/>
      <c r="BF674" s="38"/>
      <c r="BG674" s="38"/>
      <c r="BH674" s="38"/>
      <c r="BI674" s="38"/>
      <c r="BJ674" s="38"/>
      <c r="BK674" s="38"/>
      <c r="BL674" s="38"/>
      <c r="BM674" s="38"/>
      <c r="BN674" s="38"/>
      <c r="BO674" s="38"/>
      <c r="BP674" s="38"/>
      <c r="BQ674" s="38"/>
      <c r="BR674" s="38"/>
      <c r="BS674" s="38"/>
      <c r="BT674" s="38"/>
      <c r="BU674" s="38"/>
      <c r="BV674" s="38"/>
      <c r="BW674" s="38"/>
      <c r="BX674" s="38"/>
      <c r="BY674" s="38"/>
      <c r="BZ674" s="38"/>
      <c r="CA674" s="38"/>
      <c r="CB674" s="38"/>
      <c r="CC674" s="38"/>
      <c r="CD674" s="38"/>
      <c r="CE674" s="38"/>
      <c r="CF674" s="38"/>
      <c r="CG674" s="38"/>
      <c r="CH674" s="38"/>
      <c r="CI674" s="38"/>
      <c r="CM674" s="1352" t="str">
        <f>N675</f>
        <v/>
      </c>
      <c r="CN674" s="1352" t="str">
        <f>IFERROR(VLOOKUP(G675,_Lookup_Heat_Type_Table_New,3,FALSE),"")</f>
        <v/>
      </c>
      <c r="CO674" s="1415" t="str">
        <f>CN674</f>
        <v/>
      </c>
      <c r="CP674" s="1417" t="e">
        <f>VLOOKUP(G676,'Space Table'!$B$3:$L$160,9,FALSE)</f>
        <v>#N/A</v>
      </c>
      <c r="CR674" s="1386" t="s">
        <v>283</v>
      </c>
      <c r="CS674" s="1353">
        <f>IF(HW674=TRUE,T675,0)</f>
        <v>0</v>
      </c>
      <c r="CT674" s="1353" t="str">
        <f>IF(HW674=TRUE,U675,"")</f>
        <v/>
      </c>
      <c r="CU674" s="1353"/>
      <c r="CV674" s="1370">
        <f>IF(HW674=TRUE,AB674,0)</f>
        <v>0</v>
      </c>
      <c r="CW674" s="1370">
        <f>IF(HW674=TRUE,AC674,0)</f>
        <v>0</v>
      </c>
      <c r="CX674" s="1370">
        <f>IFERROR(IF(HW674=TRUE,CW674-CW676,0),0)</f>
        <v>0</v>
      </c>
      <c r="CY674" s="1485">
        <f>IF(HW674=TRUE,AD674,0)</f>
        <v>0</v>
      </c>
      <c r="CZ674" s="1485">
        <f>IF(HW674=TRUE,AD677,0)</f>
        <v>0</v>
      </c>
      <c r="DA674" s="1485">
        <f>IFERROR(CY674-CZ674,0)</f>
        <v>0</v>
      </c>
      <c r="DC674" s="1353">
        <f>IF(HW674=TRUE,AE675,0)</f>
        <v>0</v>
      </c>
      <c r="DD674" s="1460">
        <f>IF(__Retrofit_TI_NC=2,IF(CN674="Exterior",O677,FM674),FK674)</f>
        <v>0</v>
      </c>
      <c r="DE674" s="1353"/>
      <c r="DF674" s="1406">
        <f>IFERROR(IF(FL674=3,IK674,IF(FL674=4,IL674,IF(FL674=5,IM674,IF(FL674=6,IN674,IF(FL674=7,IO674,IF(FL674=8,IP674,0)))))),0)</f>
        <v>0</v>
      </c>
      <c r="DG674" s="1370">
        <f>IF(HW674=TRUE,AK674,0)</f>
        <v>0</v>
      </c>
      <c r="DH674" s="1369">
        <f>IFERROR(IF(HW674=TRUE,DG676-DG674,0),0)</f>
        <v>0</v>
      </c>
      <c r="DJ674" s="1483">
        <f>IFERROR(CW674-DG674,0)</f>
        <v>0</v>
      </c>
      <c r="DL674" s="1419">
        <f>DJ674-DK676</f>
        <v>0</v>
      </c>
      <c r="DN674" s="1403" t="str">
        <f>IFERROR(IF(AND(OR(FY674=4,FY674=5,FY674=6),OR(GB674=4,GB674=5,GB674=6)),FY674+8,VLOOKUP(CT676,Fixtures!R$31:Y$78,8,FALSE)),"")</f>
        <v/>
      </c>
      <c r="DO674" s="1404" t="str">
        <f>DN674</f>
        <v/>
      </c>
      <c r="DP674" s="1353" t="str">
        <f>IFERROR(VLOOKUP(DD676,Lookup!AU$3:AV$15,2,FALSE),"")</f>
        <v/>
      </c>
      <c r="DQ674" s="1404" t="str">
        <f>IF(DP674=7,"LLLC","")</f>
        <v/>
      </c>
      <c r="DR674" s="1403">
        <f>IFERROR(IF(OR(DN674=4,DN674=5,DN674=6,DN674=12,DN674=13,DN674=14),VLOOKUP(CT676,Fixtures!DN$27:EG$77,19,FALSE),1)*CS676,0)</f>
        <v>0</v>
      </c>
      <c r="DS674" s="1489">
        <f>IF(DP674=7,IF(DD674=DD676,0,DC676),0)</f>
        <v>0</v>
      </c>
      <c r="DU674" s="1403" t="str">
        <f>IFERROR(IF(EW674&lt;EW676,"Yes","No"),"")</f>
        <v/>
      </c>
      <c r="DV674" s="1404" t="str">
        <f>DU674</f>
        <v/>
      </c>
      <c r="DW674" s="1403">
        <f>IF(DU674="Yes",DC676,0)</f>
        <v>0</v>
      </c>
      <c r="DX674" s="1403">
        <f>DW674-DS674</f>
        <v>0</v>
      </c>
      <c r="DZ674" s="1481">
        <f>IFERROR(VLOOKUP(DN674,Lookup!AN$3:AO$16,2,FALSE),0)</f>
        <v>0</v>
      </c>
      <c r="EA674" s="1481">
        <f>IF(HW674=FALSE,0,IF(DU674="Yes",DZ674+Lookup!B$6,DZ674))</f>
        <v>0</v>
      </c>
      <c r="EC674" s="1482">
        <f>IF(HW674=TRUE,DJ674,0)</f>
        <v>0</v>
      </c>
      <c r="ED674" s="1369">
        <f>IF(HW674=TRUE,CW676,0)</f>
        <v>0</v>
      </c>
      <c r="EE674" s="1370">
        <f>IFERROR(EC674-ED674,0)</f>
        <v>0</v>
      </c>
      <c r="EF674" s="1369">
        <f>IF(HW674=TRUE,DG676,0)</f>
        <v>0</v>
      </c>
      <c r="EG674" s="1369">
        <f>IFERROR(EC674-ED674+EF674,0)</f>
        <v>0</v>
      </c>
      <c r="EH674" s="1373">
        <f>IF(HW674=TRUE,CS676*CU676,0)</f>
        <v>0</v>
      </c>
      <c r="EI674" s="1373">
        <f>IF(HW674=TRUE,DC676*DE676,0)</f>
        <v>0</v>
      </c>
      <c r="EJ674" s="1363">
        <f>AO674</f>
        <v>0</v>
      </c>
      <c r="EK674" s="1376" t="str">
        <f>IFERROR(IF(HW674=TRUE,VLOOKUP(DN674,Lookup!AN$3:AP$16,3,FALSE)*DR674,""),0)</f>
        <v/>
      </c>
      <c r="EL674" s="1376">
        <f>IF(HW674=TRUE,DW674*Lookup!AP$12,0)</f>
        <v>0</v>
      </c>
      <c r="EM674" s="1362">
        <f>IFERROR(IF(HW674=TRUE,EK674/EM$33,0),0)</f>
        <v>0</v>
      </c>
      <c r="EN674" s="1362">
        <f>IF(HW674=TRUE,EL674/EN$33,0)</f>
        <v>0</v>
      </c>
      <c r="EO674" s="1363">
        <f>IF(HW674=TRUE,EQ$33*EM674,0)</f>
        <v>0</v>
      </c>
      <c r="EP674" s="1363">
        <f>IF(HW674=TRUE,EQ$33*EN674,0)</f>
        <v>0</v>
      </c>
      <c r="EQ674" s="1363">
        <f>EO674+EP674</f>
        <v>0</v>
      </c>
      <c r="ES674" s="1403">
        <f>IF(G674="",0,1)</f>
        <v>0</v>
      </c>
      <c r="EU674" s="1410" t="e">
        <f>VLOOKUP(CP676,'Space Table'!$B$3:$L$160,8,FALSE)</f>
        <v>#N/A</v>
      </c>
      <c r="EV674" s="1410" t="e">
        <f>IF(EY674="Yes",VLOOKUP(DD674,Lookup_Control_Type_Table2,4,FALSE),VLOOKUP(DD674,Lookup_Control_Type_Table2,3,FALSE))</f>
        <v>#N/A</v>
      </c>
      <c r="EW674" s="1410" t="e">
        <f>VLOOKUP(DD674,Lookup!AU$3:AV$15,2,FALSE)</f>
        <v>#N/A</v>
      </c>
      <c r="EX674" s="1410" t="e">
        <f>VLOOKUP(EU674,Lookup_Control_Type_Table,2,FALSE)</f>
        <v>#N/A</v>
      </c>
      <c r="EY674" s="1410" t="e">
        <f>VLOOKUP(CP676,'Space Table'!$B$3:$L$160,7,FALSE)</f>
        <v>#N/A</v>
      </c>
      <c r="EZ674" s="1412" t="b">
        <f>ISNUMBER(SEARCH("TLED",U676))</f>
        <v>0</v>
      </c>
      <c r="FB674" s="1365" t="str">
        <f>CONCATENATE(CN674," - ",DD674)</f>
        <v xml:space="preserve"> - 0</v>
      </c>
      <c r="FD674" s="1353" t="str">
        <f>VLOOKUP(CT676,Fixtures!DN$27:EZ$77,38,FALSE)</f>
        <v/>
      </c>
      <c r="FE674" s="1353">
        <f>IFERROR(FD674*EE674,0)</f>
        <v>0</v>
      </c>
      <c r="FF674" s="138"/>
      <c r="FI674" s="1356" t="str">
        <f>IF(CN674="Exterior","Not Daylighted",G677)</f>
        <v>Not Daylighted</v>
      </c>
      <c r="FJ674" s="1356">
        <f>VLOOKUP(FI674,_Daylight_Table_Codes,2,FALSE)</f>
        <v>0</v>
      </c>
      <c r="FK674" s="1365">
        <f>IF(__Retrofit_TI_NC=2,VLOOKUP(G676,'Space Table'!$B$3:$L$160,11,FALSE),AF675)</f>
        <v>0</v>
      </c>
      <c r="FL674" s="1365" t="e">
        <f>VLOOKUP(FK674,_Control_Table,2,FALSE)</f>
        <v>#N/A</v>
      </c>
      <c r="FM674" s="1365" t="e">
        <f>IF(AND(FP674&gt;0,FK674="Occupancy Sensor"),"Daylight + Occupancy",IF(AND(FP674&gt;0,FL674&lt;4),"Interior Daylight Dimming",FK674))</f>
        <v>#N/A</v>
      </c>
      <c r="FO674" s="1364">
        <f>IF(CO674="Interior",VLOOKUP(CP674,Control_Savings_Interior,5,FALSE),0)</f>
        <v>0</v>
      </c>
      <c r="FP674" s="1361">
        <f>IF(CN674="Exterior",0,IF(FJ674=2,0.5,IF(OR(FJ674=1,FJ674=3),1,0)))</f>
        <v>0</v>
      </c>
      <c r="FQ674" s="1366"/>
      <c r="FR674" s="1367"/>
      <c r="FS674" s="1364"/>
      <c r="FT674" s="1367"/>
      <c r="FU674" s="1360"/>
      <c r="FW674" s="1352" t="str">
        <f>IFERROR(VLOOKUP(U675,_Exist_Fixture_Table,3,FALSE),"")</f>
        <v/>
      </c>
      <c r="FX674" s="1352" t="str">
        <f>VLOOKUP(CT674,_Exist_Fixture_Table,4,FALSE)</f>
        <v/>
      </c>
      <c r="FY674" s="1352">
        <f>IFERROR(VLOOKUP(FX674,Lookup!AM$6:AN$8,2,FALSE),0)</f>
        <v>0</v>
      </c>
      <c r="FZ674" s="1352" t="b">
        <f>IFERROR(IF(OR(GB674=4,GB674=5,GB674=6),TRUE,FALSE),"")</f>
        <v>0</v>
      </c>
      <c r="GA674" s="1352" t="str">
        <f>IFERROR(VLOOKUP(GB674,FY$6:FZ$10,2,FALSE),"")</f>
        <v/>
      </c>
      <c r="GB674" s="1352" t="str">
        <f>VLOOKUP(CT676,Fixtures!R$31:Y$78,8,FALSE)</f>
        <v/>
      </c>
      <c r="GC674" s="1352">
        <f>IF(AND(FW674=TRUE,FZ674=TRUE,OR(DN674=12,DN674=13,DN674=14)),FY674+8,0)</f>
        <v>0</v>
      </c>
      <c r="GD674" s="1352" t="b">
        <f>IF(OR(GC674=12,GC674=13,GC674=14),TRUE,FALSE)</f>
        <v>0</v>
      </c>
      <c r="GE674" s="759" t="b">
        <f>IF(ISNUMBER(SEARCH("TLED",U675)),TRUE,FALSE)</f>
        <v>0</v>
      </c>
      <c r="GF674" s="1035" t="str">
        <f>IFERROR(VLOOKUP(U675,Fixtures!BM$93:BR$142,6,FALSE),"")</f>
        <v/>
      </c>
      <c r="GG674" s="1385" t="b">
        <f>IF(OR(GE674=FALSE,GE676=FALSE),TRUE,IF(GF674-GF676&lt;5,FALSE,TRUE))</f>
        <v>1</v>
      </c>
      <c r="GK674" s="1034">
        <f>GL674</f>
        <v>0</v>
      </c>
      <c r="GL674" s="1034">
        <f>IF(G674="",0,1)</f>
        <v>0</v>
      </c>
      <c r="GM674" s="1034">
        <f>SUM(GN674:HB674)</f>
        <v>2</v>
      </c>
      <c r="GN674" s="1034">
        <f>IF(G675="",0,1)</f>
        <v>0</v>
      </c>
      <c r="GO674" s="1034">
        <f>IF(G676="",0,1)</f>
        <v>0</v>
      </c>
      <c r="GP674" s="1034">
        <f>IF(R675="",0,1)</f>
        <v>0</v>
      </c>
      <c r="GQ674" s="1034">
        <f>IF(__Retrofit_TI_NC=0,1,IF(R676="",0,1))</f>
        <v>1</v>
      </c>
      <c r="GR674" s="1034">
        <f>IF(CN674="Exterior",1,IF(G677="",0,1))</f>
        <v>1</v>
      </c>
      <c r="GS674" s="1034">
        <f>IF(__Retrofit_TI_NC&lt;&gt;0,1,IF(T675="",0,1))</f>
        <v>0</v>
      </c>
      <c r="GT674" s="1034">
        <f>IF(__Retrofit_TI_NC&lt;&gt;0,1,IF(U675="",0,1))</f>
        <v>0</v>
      </c>
      <c r="GU674" s="1034">
        <f>IF(T676="",0,1)</f>
        <v>0</v>
      </c>
      <c r="GV674" s="1034">
        <f>IF(U676="",0,1)</f>
        <v>0</v>
      </c>
      <c r="GW674" s="1034">
        <f>IF(__Retrofit_TI_NC=2,1,IF(U677="",0,1))</f>
        <v>0</v>
      </c>
      <c r="GX674" s="1034">
        <f>IF(__Retrofit_TI_NC&lt;&gt;0,1,IF(AE675="",0,1))</f>
        <v>0</v>
      </c>
      <c r="GY674" s="1034">
        <f>IF(__Retrofit_TI_NC&lt;&gt;0,1,IF(AF675="",0,1))</f>
        <v>0</v>
      </c>
      <c r="GZ674" s="1034">
        <f>IF(AE676="",0,1)</f>
        <v>0</v>
      </c>
      <c r="HA674" s="1034">
        <f>IF(AF676="",0,1)</f>
        <v>0</v>
      </c>
      <c r="HB674" s="1034">
        <f>IF(__Retrofit_TI_NC=2,1,IF(AF677="",0,1))</f>
        <v>0</v>
      </c>
      <c r="HV674" s="436"/>
      <c r="HW674" s="1384" t="b">
        <f>IF(OR(HW677=0,HW677=HT$16,HW677=HS$16,HW677=HU$16),TRUE,FALSE)</f>
        <v>0</v>
      </c>
      <c r="HX674" s="1377" t="b">
        <f>HW674</f>
        <v>0</v>
      </c>
      <c r="HY674" s="436"/>
      <c r="HZ674" s="436"/>
      <c r="IA674" s="1386" t="b">
        <f>IF(MAX(GJ677:HP677)&gt;5,FALSE,TRUE)</f>
        <v>0</v>
      </c>
      <c r="IB674" s="1380">
        <f>IF(IA674=TRUE,AC674,0)</f>
        <v>0</v>
      </c>
      <c r="IC674" s="1380">
        <f>IB674-IB676</f>
        <v>0</v>
      </c>
      <c r="IF674" s="1380" t="e">
        <f>ROUND(T675*VLOOKUP(U675,Fixtures_Existing_List,2,FALSE)*N675*R675/1000,0)</f>
        <v>#N/A</v>
      </c>
      <c r="IG674" s="1381" t="e">
        <f>IF674-IF676</f>
        <v>#N/A</v>
      </c>
      <c r="IH674" s="1384" t="e">
        <f>ROUND(IF(CN674="Interior",N676*R676*R675*N675*_C406_reduction/1000,N676*R676*R675*N675/1000),0)</f>
        <v>#N/A</v>
      </c>
      <c r="II674" s="1384" t="e">
        <f>IH674-IH676</f>
        <v>#N/A</v>
      </c>
      <c r="IK674" s="1351" t="e">
        <f>IF($CO674="interior",IL674/2,VLOOKUP($CP674,Control_Savings_Exterior,IK$30,FALSE))</f>
        <v>#N/A</v>
      </c>
      <c r="IL674" s="1351" t="e">
        <f>IF($CO674="interior",VLOOKUP($CP674,Control_Savings_Interior,IL$30,FALSE),VLOOKUP($CP674,Control_Savings_Exterior,IL$30,FALSE))</f>
        <v>#N/A</v>
      </c>
      <c r="IM674" s="1351" t="e">
        <f>IF($CO674="interior",IF(R675&gt;FO$37,(IM$28*(FO$37/R675)),IM$28)*FP674,VLOOKUP($CP674,Control_Savings_Exterior,IM$30,FALSE))</f>
        <v>#N/A</v>
      </c>
      <c r="IN674" s="1351" t="e">
        <f>IF($CO674="interior",ROUND(((1-IL674)*IM674)+IL674,2),VLOOKUP($CP674,Control_Savings_Exterior,IN$30,FALSE))</f>
        <v>#N/A</v>
      </c>
      <c r="IO674" s="1351" t="e">
        <f>IF($CO674="interior", ROUND(((1-IL674)*(IM674*(1-IP$28)))+IP674,2), VLOOKUP($CP674,Control_Savings_Exterior,IO$30,FALSE))</f>
        <v>#N/A</v>
      </c>
      <c r="IP674" s="1351">
        <f>IF($CO674="interior",ROUND(((1-IL674)*IP$28)+IL674,2),0)</f>
        <v>0</v>
      </c>
    </row>
    <row r="675" spans="1:250" s="82" customFormat="1" ht="14.95" customHeight="1" thickTop="1" thickBot="1">
      <c r="B675" s="1421"/>
      <c r="C675" s="1422"/>
      <c r="D675" s="1423"/>
      <c r="E675" s="1393" t="s">
        <v>244</v>
      </c>
      <c r="F675" s="1394"/>
      <c r="G675" s="1395"/>
      <c r="H675" s="1395"/>
      <c r="I675" s="1395"/>
      <c r="J675" s="1395"/>
      <c r="K675" s="1395"/>
      <c r="L675" s="1395"/>
      <c r="M675" s="509" t="e">
        <f>IF(__Retrofit_TI_NC&lt;&gt;0,IF(VLOOKUP(G676,'Space Table'!$B$3:$L$160,3,FALSE)&gt;0,1,0),IF(__Retrofit_TI_NC=VLOOKUP(G676,'Space Table'!$B$3:$L$160,3,FALSE),1,0))</f>
        <v>#N/A</v>
      </c>
      <c r="N675" s="509" t="str">
        <f>IFERROR(VLOOKUP(G675,_Lookup_Heat_Type_Table_New,2,FALSE),"")</f>
        <v/>
      </c>
      <c r="O675" s="509">
        <f>IF(__Retrofit_TI_NC=1,CONCATENATE("TI ",G675),IF(__Retrofit_TI_NC=2,CONCATENATE("NC ",G675),G675))</f>
        <v>0</v>
      </c>
      <c r="P675" s="1396" t="s">
        <v>352</v>
      </c>
      <c r="Q675" s="1396"/>
      <c r="R675" s="673"/>
      <c r="S675" s="1429"/>
      <c r="T675" s="675"/>
      <c r="U675" s="1496"/>
      <c r="V675" s="1497"/>
      <c r="W675" s="1497"/>
      <c r="X675" s="1497"/>
      <c r="Y675" s="1497"/>
      <c r="Z675" s="1497"/>
      <c r="AA675" s="1497"/>
      <c r="AB675" s="1497"/>
      <c r="AC675" s="1497"/>
      <c r="AD675" s="1498"/>
      <c r="AE675" s="675"/>
      <c r="AF675" s="1397"/>
      <c r="AG675" s="1397"/>
      <c r="AH675" s="1397"/>
      <c r="AI675" s="1397"/>
      <c r="AJ675" s="1434"/>
      <c r="AK675" s="1436"/>
      <c r="AL675" s="1438"/>
      <c r="AM675" s="1441"/>
      <c r="AN675" s="1442"/>
      <c r="AO675" s="1447"/>
      <c r="AP675" s="1447"/>
      <c r="AQ675" s="1448"/>
      <c r="AR675" s="1452"/>
      <c r="AS675" s="1455"/>
      <c r="AT675" s="1458"/>
      <c r="AU675" s="516"/>
      <c r="AV675" s="1479"/>
      <c r="AW675" s="1479"/>
      <c r="BC675" s="38"/>
      <c r="BD675" s="38"/>
      <c r="BE675" s="38"/>
      <c r="BF675" s="38"/>
      <c r="BG675" s="38"/>
      <c r="BH675" s="38"/>
      <c r="BI675" s="38"/>
      <c r="BJ675" s="38"/>
      <c r="BK675" s="38"/>
      <c r="BL675" s="38"/>
      <c r="BM675" s="38"/>
      <c r="BN675" s="38"/>
      <c r="BO675" s="38"/>
      <c r="BP675" s="38"/>
      <c r="BQ675" s="38"/>
      <c r="BR675" s="38"/>
      <c r="BS675" s="38"/>
      <c r="BT675" s="38"/>
      <c r="BU675" s="38"/>
      <c r="BV675" s="38"/>
      <c r="BW675" s="38"/>
      <c r="BX675" s="38"/>
      <c r="BY675" s="38"/>
      <c r="BZ675" s="38"/>
      <c r="CA675" s="38"/>
      <c r="CB675" s="38"/>
      <c r="CC675" s="38"/>
      <c r="CD675" s="38"/>
      <c r="CE675" s="38"/>
      <c r="CF675" s="38"/>
      <c r="CG675" s="38"/>
      <c r="CH675" s="38"/>
      <c r="CI675" s="38"/>
      <c r="CM675" s="1352"/>
      <c r="CN675" s="1352"/>
      <c r="CO675" s="1416"/>
      <c r="CP675" s="1418"/>
      <c r="CR675" s="1386"/>
      <c r="CS675" s="1355"/>
      <c r="CT675" s="1355"/>
      <c r="CU675" s="1355"/>
      <c r="CV675" s="1372"/>
      <c r="CW675" s="1372"/>
      <c r="CX675" s="1371"/>
      <c r="CY675" s="1486"/>
      <c r="CZ675" s="1486"/>
      <c r="DA675" s="1486"/>
      <c r="DC675" s="1355"/>
      <c r="DD675" s="1461"/>
      <c r="DE675" s="1355"/>
      <c r="DF675" s="1407"/>
      <c r="DG675" s="1372"/>
      <c r="DH675" s="1369"/>
      <c r="DJ675" s="1484"/>
      <c r="DL675" s="1419"/>
      <c r="DN675" s="1403"/>
      <c r="DO675" s="1405"/>
      <c r="DP675" s="1354"/>
      <c r="DQ675" s="1405"/>
      <c r="DR675" s="1403"/>
      <c r="DS675" s="1489"/>
      <c r="DU675" s="1403"/>
      <c r="DV675" s="1405"/>
      <c r="DW675" s="1403"/>
      <c r="DX675" s="1403"/>
      <c r="DZ675" s="1481"/>
      <c r="EA675" s="1481"/>
      <c r="EC675" s="1482"/>
      <c r="ED675" s="1369"/>
      <c r="EE675" s="1371"/>
      <c r="EF675" s="1369"/>
      <c r="EG675" s="1369"/>
      <c r="EH675" s="1374"/>
      <c r="EI675" s="1374"/>
      <c r="EJ675" s="1363"/>
      <c r="EK675" s="1376"/>
      <c r="EL675" s="1376"/>
      <c r="EM675" s="1362"/>
      <c r="EN675" s="1362"/>
      <c r="EO675" s="1363"/>
      <c r="EP675" s="1363"/>
      <c r="EQ675" s="1363"/>
      <c r="ES675" s="1403"/>
      <c r="EU675" s="1411"/>
      <c r="EV675" s="1411"/>
      <c r="EW675" s="1411"/>
      <c r="EX675" s="1411"/>
      <c r="EY675" s="1411"/>
      <c r="EZ675" s="1413"/>
      <c r="FB675" s="1365"/>
      <c r="FD675" s="1354"/>
      <c r="FE675" s="1354"/>
      <c r="FF675" s="138"/>
      <c r="FI675" s="1357"/>
      <c r="FJ675" s="1357"/>
      <c r="FK675" s="1365"/>
      <c r="FL675" s="1365"/>
      <c r="FM675" s="1365"/>
      <c r="FO675" s="1361"/>
      <c r="FP675" s="1361"/>
      <c r="FQ675" s="1366"/>
      <c r="FR675" s="1368"/>
      <c r="FS675" s="1361"/>
      <c r="FT675" s="1368"/>
      <c r="FU675" s="1360"/>
      <c r="FW675" s="1352"/>
      <c r="FX675" s="1352"/>
      <c r="FY675" s="1352"/>
      <c r="FZ675" s="1352"/>
      <c r="GA675" s="1352"/>
      <c r="GB675" s="1352"/>
      <c r="GC675" s="1352"/>
      <c r="GD675" s="1352"/>
      <c r="GE675" s="759"/>
      <c r="GF675" s="1035"/>
      <c r="GG675" s="1385"/>
      <c r="GI675" s="1384" t="b">
        <f>IF(AND(GL675=TRUE,GM675=TRUE),TRUE,FALSE)</f>
        <v>0</v>
      </c>
      <c r="GJ675" s="1379" t="b">
        <f>IFERROR(IF(__Retrofit_TI_NC=2,TRUE,IF(AR674="Yes",TRUE,FALSE)),FALSE)</f>
        <v>1</v>
      </c>
      <c r="GL675" s="1379" t="b">
        <f>IFERROR(IF(GL674=1,TRUE,FALSE),FALSE)</f>
        <v>0</v>
      </c>
      <c r="GM675" s="1379" t="b">
        <f>IFERROR(IF(GM674=GM$14,TRUE,FALSE),FALSE)</f>
        <v>0</v>
      </c>
      <c r="HC675" s="1379" t="b">
        <f>IFERROR(IF(M675=1,TRUE,FALSE),FALSE)</f>
        <v>0</v>
      </c>
      <c r="HD675" s="1379" t="b">
        <f>IFERROR(IF(M676=1,TRUE,FALSE),FALSE)</f>
        <v>0</v>
      </c>
      <c r="HE675" s="1379" t="b">
        <f>IFERROR(IF(__Retrofit_TI_NC&lt;&gt;0,TRUE,IFERROR(IF(VLOOKUP(U675,Fixtures_Existing_List,2,FALSE)&lt;&gt;"",TRUE,FALSE),FALSE)),FALSE)</f>
        <v>0</v>
      </c>
      <c r="HF675" s="1379" t="b">
        <f>IFERROR(IF(VLOOKUP(U676,Fixtures_Proposed_List,2,FALSE)&lt;&gt;"",TRUE,FALSE),FALSE)</f>
        <v>0</v>
      </c>
      <c r="HG675" s="1379" t="b">
        <f>IF(AND(__Retrofit_TI_NC=2,EZ674=TRUE),FALSE,TRUE)</f>
        <v>1</v>
      </c>
      <c r="HH675" s="1379" t="b">
        <f>GG674</f>
        <v>1</v>
      </c>
      <c r="HI675" s="1384" t="b">
        <f>IF(ISERROR(MATCH(FB674,_Control_Match[],0))=TRUE,FALSE,TRUE)</f>
        <v>0</v>
      </c>
      <c r="HJ675" s="1384" t="b">
        <f>IFERROR(IF(EU674&lt;&gt;EV674,FALSE,TRUE),FALSE)</f>
        <v>0</v>
      </c>
      <c r="HK675" s="1384" t="b">
        <f>IFERROR(IF(EU676&lt;&gt;EV676,FALSE,TRUE),FALSE)</f>
        <v>0</v>
      </c>
      <c r="HL675" s="1379" t="b">
        <f>IFERROR(IF(CN674="Exterior",TRUE,IF(OR(AND(FJ674=0,EW676&gt;4),AND(FJ674=4,EW676&gt;4,EW676&lt;7)),FALSE,TRUE)),FALSE)</f>
        <v>0</v>
      </c>
      <c r="HM675" s="1379" t="b">
        <f>IFERROR(IF(AND(FL676=7,EZ674=TRUE),FALSE,TRUE),FALSE)</f>
        <v>0</v>
      </c>
      <c r="HN675" s="1379" t="b">
        <f>IFERROR(IF(AND(T676&lt;&gt;AE676,AF676="Interior LLLC")=TRUE,FALSE,TRUE),FALSE)</f>
        <v>1</v>
      </c>
      <c r="HO675" s="1379" t="b">
        <f>IFERROR(IF(OR(AF676=Lookup!AU$13,AF676=Lookup!AU$14)=TRUE,IF(AE676&gt;T676,FALSE,TRUE),TRUE),FALSE)</f>
        <v>1</v>
      </c>
      <c r="HP675" s="1379" t="b">
        <f>IFERROR(IF(__Retrofit_TI_NC=2,IF(EW676&lt;EW674,FALSE,TRUE),TRUE),FALSE)</f>
        <v>1</v>
      </c>
      <c r="HQ675" s="1379" t="b">
        <f>IF(CN674="Interior",IG$6,TRUE)</f>
        <v>1</v>
      </c>
      <c r="HR675" s="1379" t="b">
        <f>IF(CN674="Exterior",IG$8,TRUE)</f>
        <v>1</v>
      </c>
      <c r="HS675" s="1379" t="b">
        <f>IFERROR(IF(__Retrofit_TI_NC&lt;&gt;0,IF(AW674&lt;AV674,FALSE,TRUE),TRUE),FALSE)</f>
        <v>1</v>
      </c>
      <c r="HT675" s="1379" t="b">
        <f>IFERROR(IF(AND(G675="Exterior",R675&gt;4200),FALSE,TRUE),FALSE)</f>
        <v>1</v>
      </c>
      <c r="HU675" s="1379" t="b">
        <f>IFERROR(IF(AB677/AB674&lt;HU$18,FALSE,TRUE),FALSE)</f>
        <v>0</v>
      </c>
      <c r="HW675" s="1382"/>
      <c r="HX675" s="1378"/>
      <c r="HY675" s="1377" t="str">
        <f>VLOOKUP(HW677,_Error_Table,4,FALSE)</f>
        <v>White</v>
      </c>
      <c r="HZ675" s="436"/>
      <c r="IA675" s="1386"/>
      <c r="IB675" s="1380"/>
      <c r="IC675" s="1379"/>
      <c r="IF675" s="1380"/>
      <c r="IG675" s="1382"/>
      <c r="IH675" s="1382"/>
      <c r="II675" s="1382"/>
      <c r="IK675" s="1351"/>
      <c r="IL675" s="1351"/>
      <c r="IM675" s="1351"/>
      <c r="IN675" s="1351"/>
      <c r="IO675" s="1351"/>
      <c r="IP675" s="1351"/>
    </row>
    <row r="676" spans="1:250" s="82" customFormat="1" ht="14.95" customHeight="1" thickTop="1" thickBot="1">
      <c r="A676" s="82">
        <f>ROW()</f>
        <v>676</v>
      </c>
      <c r="B676" s="1421"/>
      <c r="C676" s="1422"/>
      <c r="D676" s="1423"/>
      <c r="E676" s="1393" t="s">
        <v>245</v>
      </c>
      <c r="F676" s="1394"/>
      <c r="G676" s="1398"/>
      <c r="H676" s="1399"/>
      <c r="I676" s="1399"/>
      <c r="J676" s="1399"/>
      <c r="K676" s="1399"/>
      <c r="L676" s="1400"/>
      <c r="M676" s="509">
        <f>IFERROR(IF(IF(__Retrofit_TI_NC&lt;&gt;0,IF(CN674="Interior",MATCH(G676,Lookup_Interior_New,0),MATCH(G676,Lookup_Exterior_New,0)),IF(CN674="Interior",MATCH(G676,Lookup_Interior,0),MATCH(G676,Lookup_Exterior_Areas,0)))&gt;0,1,0),0)</f>
        <v>0</v>
      </c>
      <c r="N676" s="509" t="e">
        <f>IF(__Retrofit_TI_NC=1,
VLOOKUP(G676,'Space Table'!$B$3:$L$160,4,FALSE),
IF(__Retrofit_TI_NC=2,VLOOKUP(G676,'Space Table'!$B$3:$L$160,5,FALSE),VLOOKUP(G676,'Space Table'!$B$3:$L$160,5,FALSE)))</f>
        <v>#N/A</v>
      </c>
      <c r="O676" s="509">
        <f>G676</f>
        <v>0</v>
      </c>
      <c r="P676" s="1394" t="s">
        <v>355</v>
      </c>
      <c r="Q676" s="1394"/>
      <c r="R676" s="674"/>
      <c r="S676" s="1401" t="s">
        <v>284</v>
      </c>
      <c r="T676" s="672"/>
      <c r="U676" s="1499"/>
      <c r="V676" s="1500"/>
      <c r="W676" s="1500"/>
      <c r="X676" s="1500"/>
      <c r="Y676" s="1500"/>
      <c r="Z676" s="1500"/>
      <c r="AA676" s="1500"/>
      <c r="AB676" s="1501"/>
      <c r="AC676" s="1501"/>
      <c r="AD676" s="1502"/>
      <c r="AE676" s="672"/>
      <c r="AF676" s="1474"/>
      <c r="AG676" s="1474"/>
      <c r="AH676" s="1474"/>
      <c r="AI676" s="1474"/>
      <c r="AJ676" s="1475">
        <f>DF676</f>
        <v>0</v>
      </c>
      <c r="AK676" s="1470" t="str">
        <f>IFERROR(ROUND(AJ676*AC677,0),"")</f>
        <v/>
      </c>
      <c r="AL676" s="1472">
        <f>IFERROR(IF(HW674=FALSE,0,AC677-AK676),0)</f>
        <v>0</v>
      </c>
      <c r="AM676" s="1441"/>
      <c r="AN676" s="1442"/>
      <c r="AO676" s="1447"/>
      <c r="AP676" s="1447"/>
      <c r="AQ676" s="1448"/>
      <c r="AR676" s="1452"/>
      <c r="AS676" s="1455"/>
      <c r="AT676" s="1458"/>
      <c r="AU676" s="516"/>
      <c r="AV676" s="1479"/>
      <c r="AW676" s="1479"/>
      <c r="BC676" s="38"/>
      <c r="BD676" s="38"/>
      <c r="BE676" s="38"/>
      <c r="BF676" s="38"/>
      <c r="BG676" s="38"/>
      <c r="BH676" s="38"/>
      <c r="BI676" s="38"/>
      <c r="BJ676" s="38"/>
      <c r="BK676" s="38"/>
      <c r="BL676" s="38"/>
      <c r="BM676" s="38"/>
      <c r="BN676" s="38"/>
      <c r="BO676" s="38"/>
      <c r="BP676" s="38"/>
      <c r="BQ676" s="38"/>
      <c r="BR676" s="38"/>
      <c r="BS676" s="38"/>
      <c r="BT676" s="38"/>
      <c r="BU676" s="38"/>
      <c r="BV676" s="38"/>
      <c r="BW676" s="38"/>
      <c r="BX676" s="38"/>
      <c r="BY676" s="38"/>
      <c r="BZ676" s="38"/>
      <c r="CA676" s="38"/>
      <c r="CB676" s="38"/>
      <c r="CC676" s="38"/>
      <c r="CD676" s="38"/>
      <c r="CE676" s="38"/>
      <c r="CF676" s="38"/>
      <c r="CG676" s="38"/>
      <c r="CH676" s="38"/>
      <c r="CI676" s="38"/>
      <c r="CM676" s="1352"/>
      <c r="CN676" s="1352"/>
      <c r="CO676" s="1415" t="str">
        <f>CN674</f>
        <v/>
      </c>
      <c r="CP676" s="1417" t="e">
        <f>CP674</f>
        <v>#N/A</v>
      </c>
      <c r="CR676" s="1386" t="s">
        <v>284</v>
      </c>
      <c r="CS676" s="1353">
        <f>IF(HW674=TRUE,T676,0)</f>
        <v>0</v>
      </c>
      <c r="CT676" s="1353" t="str">
        <f>IF(HW674=TRUE,U676,"")</f>
        <v/>
      </c>
      <c r="CU676" s="1373">
        <f>IF(HW674=TRUE,U677,0)</f>
        <v>0</v>
      </c>
      <c r="CV676" s="1370">
        <f>IF(HW674=TRUE,AB677,0)</f>
        <v>0</v>
      </c>
      <c r="CW676" s="1370">
        <f>IF(HW674=TRUE,AC677,0)</f>
        <v>0</v>
      </c>
      <c r="CX676" s="1371"/>
      <c r="CY676" s="1486"/>
      <c r="CZ676" s="1486"/>
      <c r="DA676" s="1486"/>
      <c r="DC676" s="1353">
        <f>IF(HW674=TRUE,AE676,0)</f>
        <v>0</v>
      </c>
      <c r="DD676" s="1353" t="str">
        <f>IF(HW674=TRUE,AF676,"")</f>
        <v/>
      </c>
      <c r="DE676" s="1373">
        <f>AF677</f>
        <v>0</v>
      </c>
      <c r="DF676" s="1406">
        <f>IFERROR(IF(FL676=3,IK676,IF(FL676=4,IL676,IF(FL676=5,IM676,IF(FL676=6,IN676,IF(FL676=7,IO676,IF(FL676=8,IP676,0)))))),0)</f>
        <v>0</v>
      </c>
      <c r="DG676" s="1370">
        <f>IF(HW674=TRUE,AK676,0)</f>
        <v>0</v>
      </c>
      <c r="DH676" s="1369"/>
      <c r="DK676" s="1483">
        <f>IFERROR(CW676-DG676,0)</f>
        <v>0</v>
      </c>
      <c r="DL676" s="1420"/>
      <c r="DN676" s="1403"/>
      <c r="DO676" s="1477" t="str">
        <f>DN674</f>
        <v/>
      </c>
      <c r="DP676" s="1354"/>
      <c r="DQ676" s="1477" t="str">
        <f>IF(DP674=7,"LLLC","")</f>
        <v/>
      </c>
      <c r="DR676" s="1403"/>
      <c r="DS676" s="1489"/>
      <c r="DU676" s="1403"/>
      <c r="DV676" s="1404" t="str">
        <f>DU674</f>
        <v/>
      </c>
      <c r="DW676" s="1403"/>
      <c r="DX676" s="1403"/>
      <c r="DZ676" s="1481"/>
      <c r="EA676" s="1481"/>
      <c r="EC676" s="1482"/>
      <c r="ED676" s="1369"/>
      <c r="EE676" s="1371"/>
      <c r="EF676" s="1369"/>
      <c r="EG676" s="1369"/>
      <c r="EH676" s="1374"/>
      <c r="EI676" s="1374"/>
      <c r="EJ676" s="1363"/>
      <c r="EK676" s="1376"/>
      <c r="EL676" s="1376"/>
      <c r="EM676" s="1362"/>
      <c r="EN676" s="1362"/>
      <c r="EO676" s="1363"/>
      <c r="EP676" s="1363"/>
      <c r="EQ676" s="1363"/>
      <c r="ES676" s="1403"/>
      <c r="EU676" s="1411" t="e">
        <f>VLOOKUP(CP676,'Space Table'!$B$3:$L$160,8,FALSE)</f>
        <v>#N/A</v>
      </c>
      <c r="EV676" s="1411" t="e">
        <f>IF(EY676="Yes",VLOOKUP(AF676,Lookup_Control_Type_Table2,4,FALSE),VLOOKUP(AF676,Lookup_Control_Type_Table2,3,FALSE))</f>
        <v>#N/A</v>
      </c>
      <c r="EW676" s="1411" t="e">
        <f>VLOOKUP(AF676,Lookup!AU$3:AV$15,2,FALSE)</f>
        <v>#N/A</v>
      </c>
      <c r="EX676" s="1411" t="e">
        <f>VLOOKUP(EU674,Lookup_Control_Type_Table,2,FALSE)</f>
        <v>#N/A</v>
      </c>
      <c r="EY676" s="1411" t="e">
        <f>VLOOKUP(CP676,'Space Table'!$B$3:$L$160,7,FALSE)</f>
        <v>#N/A</v>
      </c>
      <c r="EZ676" s="1413"/>
      <c r="FB676" s="1365" t="str">
        <f>CONCATENATE(CN674," - ",AF676)</f>
        <v xml:space="preserve"> - </v>
      </c>
      <c r="FD676" s="1354"/>
      <c r="FE676" s="1354"/>
      <c r="FF676" s="138"/>
      <c r="FI676" s="1356" t="str">
        <f>IF(CN674="Exterior","Not Daylighted",G677)</f>
        <v>Not Daylighted</v>
      </c>
      <c r="FJ676" s="1356">
        <f>VLOOKUP(FI676,_Daylight_Table_Codes,2,FALSE)</f>
        <v>0</v>
      </c>
      <c r="FK676" s="1365">
        <f>AF676</f>
        <v>0</v>
      </c>
      <c r="FL676" s="1365" t="e">
        <f>VLOOKUP(FK676,_Control_Table,2,FALSE)</f>
        <v>#N/A</v>
      </c>
      <c r="FM676" s="1365" t="e">
        <f>IF(AND(FP676&gt;0,FK676="Occupancy Sensor"),"Daylight + Occupancy",IF(AND(FP676&gt;0,FL676&lt;4),"Interior Daylight Dimming",FK676))</f>
        <v>#N/A</v>
      </c>
      <c r="FO676" s="1364">
        <f>IF(CN674="Interior",VLOOKUP(CP674,Control_Savings_Interior,5,FALSE),0)</f>
        <v>0</v>
      </c>
      <c r="FP676" s="1361">
        <f>IF(CN676="Exterior",0,IF(FJ676=2,0.5,IF(OR(FJ676=1,FJ676=3),1,0)))</f>
        <v>0</v>
      </c>
      <c r="FQ676" s="1366">
        <f>IF(R675&gt;FO$37,(FO676*(FO$37/R675)),FO676)*FP676</f>
        <v>0</v>
      </c>
      <c r="FR676" s="1364">
        <f>DF676</f>
        <v>0</v>
      </c>
      <c r="FS676" s="1364">
        <f>ROUND(FR676+((1-FR676)*FQ676),2)</f>
        <v>0</v>
      </c>
      <c r="FT676" s="1364">
        <f>IF(__Retrofit_TI_NC=2,FS676,FR676)</f>
        <v>0</v>
      </c>
      <c r="FU676" s="1360">
        <f>IF(CO676="Interior",VLOOKUP(CP676,Control_Savings_Interior,4,FALSE),0)</f>
        <v>0</v>
      </c>
      <c r="FW676" s="1352"/>
      <c r="FX676" s="1352"/>
      <c r="FY676" s="1352"/>
      <c r="FZ676" s="1352"/>
      <c r="GA676" s="1352"/>
      <c r="GB676" s="1352"/>
      <c r="GC676" s="1352"/>
      <c r="GD676" s="1352"/>
      <c r="GE676" s="759" t="b">
        <f>IF(ISNUMBER(SEARCH("TLED",U676)),TRUE,FALSE)</f>
        <v>0</v>
      </c>
      <c r="GF676" s="1035" t="str">
        <f>IFERROR(VLOOKUP(U676,Fixtures!DM$93:DR$142,6,FALSE),"")</f>
        <v/>
      </c>
      <c r="GG676" s="1385"/>
      <c r="GI676" s="1383"/>
      <c r="GJ676" s="1379"/>
      <c r="GL676" s="1379"/>
      <c r="GM676" s="1379"/>
      <c r="HC676" s="1379"/>
      <c r="HD676" s="1379"/>
      <c r="HE676" s="1379"/>
      <c r="HF676" s="1379"/>
      <c r="HG676" s="1379"/>
      <c r="HH676" s="1379"/>
      <c r="HI676" s="1383"/>
      <c r="HJ676" s="1383"/>
      <c r="HK676" s="1383"/>
      <c r="HL676" s="1379"/>
      <c r="HM676" s="1379"/>
      <c r="HN676" s="1379"/>
      <c r="HO676" s="1379"/>
      <c r="HP676" s="1379"/>
      <c r="HQ676" s="1379"/>
      <c r="HR676" s="1379"/>
      <c r="HS676" s="1379"/>
      <c r="HT676" s="1379"/>
      <c r="HU676" s="1379"/>
      <c r="HW676" s="1383"/>
      <c r="HX676" s="1384" t="b">
        <f>HW674</f>
        <v>0</v>
      </c>
      <c r="HY676" s="1378"/>
      <c r="HZ676" s="436"/>
      <c r="IA676" s="1386"/>
      <c r="IB676" s="1380">
        <f>IF(IA674=TRUE,AC677,0)</f>
        <v>0</v>
      </c>
      <c r="IC676" s="1379"/>
      <c r="IF676" s="1380" t="e">
        <f>ROUND(T676*AB677*N675*R675/1000,0)</f>
        <v>#VALUE!</v>
      </c>
      <c r="IG676" s="1382"/>
      <c r="IH676" s="1384" t="e">
        <f>ROUND(T676*AB677*N675*R675/1000,0)</f>
        <v>#VALUE!</v>
      </c>
      <c r="II676" s="1382"/>
      <c r="IK676" s="1351" t="e">
        <f>IF($CO676="interior",IL676/2,VLOOKUP($CP676,Control_Savings_Exterior,IK$30,FALSE))</f>
        <v>#N/A</v>
      </c>
      <c r="IL676" s="1351" t="e">
        <f>IF($CO676="interior",VLOOKUP($CP676,Control_Savings_Interior,IL$30,FALSE),VLOOKUP($CP676,Control_Savings_Exterior,IL$30,FALSE))</f>
        <v>#N/A</v>
      </c>
      <c r="IM676" s="1351" t="e">
        <f>IF($CO676="interior",IF(R675&gt;FO$37,(IM$28*(FO$37/R675)),IM$28)*FP676,VLOOKUP($CP676,Control_Savings_Exterior,IM$30,FALSE))</f>
        <v>#N/A</v>
      </c>
      <c r="IN676" s="1351" t="e">
        <f>IF($CO676="interior",ROUND(((1-IL676)*IM676)+IL676,2),VLOOKUP($CP676,Control_Savings_Exterior,IN$30,FALSE))</f>
        <v>#N/A</v>
      </c>
      <c r="IO676" s="1351" t="e">
        <f>IF($CO676="interior", ROUND(((1-IL676)*(IM676*(1-IP$28)))+IP676,2), VLOOKUP($CP676,Control_Savings_Exterior,IO$30,FALSE))</f>
        <v>#N/A</v>
      </c>
      <c r="IP676" s="1351">
        <f>IF($CO676="interior",ROUND(((1-IL676)*IP$28)+IL676,2),0)</f>
        <v>0</v>
      </c>
    </row>
    <row r="677" spans="1:250" s="82" customFormat="1" ht="14.95" customHeight="1" thickTop="1" thickBot="1">
      <c r="B677" s="1421"/>
      <c r="C677" s="1422"/>
      <c r="D677" s="1423"/>
      <c r="E677" s="1462" t="s">
        <v>357</v>
      </c>
      <c r="F677" s="1463"/>
      <c r="G677" s="1464" t="s">
        <v>362</v>
      </c>
      <c r="H677" s="1465"/>
      <c r="I677" s="1465"/>
      <c r="J677" s="1465"/>
      <c r="K677" s="1465"/>
      <c r="L677" s="1466"/>
      <c r="M677" s="669">
        <f>IFERROR(VLOOKUP(G677,_Daylight_Table[],2,FALSE),0)</f>
        <v>0</v>
      </c>
      <c r="N677" s="670"/>
      <c r="O677" s="669" t="e">
        <f>VLOOKUP(G676,'Space Table'!$B$3:$L$160,11,FALSE)</f>
        <v>#N/A</v>
      </c>
      <c r="P677" s="1408"/>
      <c r="Q677" s="1409"/>
      <c r="R677" s="1409"/>
      <c r="S677" s="1402"/>
      <c r="T677" s="671" t="s">
        <v>281</v>
      </c>
      <c r="U677" s="1467" t="str">
        <f>IFERROR(VLOOKUP(U676,Fixtures!DM$93:DP$142,4,FALSE),"")</f>
        <v/>
      </c>
      <c r="V677" s="1468"/>
      <c r="W677" s="1468"/>
      <c r="X677" s="1468"/>
      <c r="Y677" s="1468"/>
      <c r="Z677" s="1468"/>
      <c r="AA677" s="1468"/>
      <c r="AB677" s="1046" t="str">
        <f>IFERROR(VLOOKUP(U676,Fixtures_Proposed_List,2,FALSE),"")</f>
        <v/>
      </c>
      <c r="AC677" s="1036" t="str">
        <f>IFERROR(ROUND(T676*AB677*N675*R675/1000,0),"")</f>
        <v/>
      </c>
      <c r="AD677" s="1037" t="str">
        <f>IFERROR(ROUND(T676*AB677/1000,2),"")</f>
        <v/>
      </c>
      <c r="AE677" s="1045" t="s">
        <v>281</v>
      </c>
      <c r="AF677" s="1469"/>
      <c r="AG677" s="1469"/>
      <c r="AH677" s="1469"/>
      <c r="AI677" s="1469"/>
      <c r="AJ677" s="1476"/>
      <c r="AK677" s="1471"/>
      <c r="AL677" s="1473"/>
      <c r="AM677" s="1443"/>
      <c r="AN677" s="1444"/>
      <c r="AO677" s="1449"/>
      <c r="AP677" s="1449"/>
      <c r="AQ677" s="1450"/>
      <c r="AR677" s="1453"/>
      <c r="AS677" s="1456"/>
      <c r="AT677" s="1459"/>
      <c r="AU677" s="517"/>
      <c r="AV677" s="1480"/>
      <c r="AW677" s="1480"/>
      <c r="BC677" s="38"/>
      <c r="BD677" s="38"/>
      <c r="BE677" s="38"/>
      <c r="BF677" s="38"/>
      <c r="BG677" s="38"/>
      <c r="BH677" s="38"/>
      <c r="BI677" s="38"/>
      <c r="BJ677" s="38"/>
      <c r="BK677" s="38"/>
      <c r="BL677" s="38"/>
      <c r="BM677" s="38"/>
      <c r="BN677" s="38"/>
      <c r="BO677" s="38"/>
      <c r="BP677" s="38"/>
      <c r="BQ677" s="38"/>
      <c r="BR677" s="38"/>
      <c r="BS677" s="38"/>
      <c r="BT677" s="38"/>
      <c r="BU677" s="38"/>
      <c r="BV677" s="38"/>
      <c r="BW677" s="38"/>
      <c r="BX677" s="38"/>
      <c r="BY677" s="38"/>
      <c r="BZ677" s="38"/>
      <c r="CA677" s="38"/>
      <c r="CB677" s="38"/>
      <c r="CC677" s="38"/>
      <c r="CD677" s="38"/>
      <c r="CE677" s="38"/>
      <c r="CF677" s="38"/>
      <c r="CG677" s="38"/>
      <c r="CH677" s="38"/>
      <c r="CI677" s="38"/>
      <c r="CM677" s="1352"/>
      <c r="CN677" s="1352"/>
      <c r="CO677" s="1416"/>
      <c r="CP677" s="1418"/>
      <c r="CR677" s="1386"/>
      <c r="CS677" s="1355"/>
      <c r="CT677" s="1355"/>
      <c r="CU677" s="1375"/>
      <c r="CV677" s="1372"/>
      <c r="CW677" s="1372"/>
      <c r="CX677" s="1372"/>
      <c r="CY677" s="1487"/>
      <c r="CZ677" s="1487"/>
      <c r="DA677" s="1487"/>
      <c r="DC677" s="1355"/>
      <c r="DD677" s="1355"/>
      <c r="DE677" s="1375"/>
      <c r="DF677" s="1407"/>
      <c r="DG677" s="1372"/>
      <c r="DH677" s="1369"/>
      <c r="DK677" s="1484"/>
      <c r="DL677" s="1420"/>
      <c r="DN677" s="1403"/>
      <c r="DO677" s="1405"/>
      <c r="DP677" s="1355"/>
      <c r="DQ677" s="1405"/>
      <c r="DR677" s="1403"/>
      <c r="DS677" s="1489"/>
      <c r="DU677" s="1403"/>
      <c r="DV677" s="1405"/>
      <c r="DW677" s="1403"/>
      <c r="DX677" s="1403"/>
      <c r="DZ677" s="1481"/>
      <c r="EA677" s="1481"/>
      <c r="EC677" s="1482"/>
      <c r="ED677" s="1369"/>
      <c r="EE677" s="1372"/>
      <c r="EF677" s="1369"/>
      <c r="EG677" s="1369"/>
      <c r="EH677" s="1375"/>
      <c r="EI677" s="1375"/>
      <c r="EJ677" s="1363"/>
      <c r="EK677" s="1376"/>
      <c r="EL677" s="1376"/>
      <c r="EM677" s="1362"/>
      <c r="EN677" s="1362"/>
      <c r="EO677" s="1363"/>
      <c r="EP677" s="1363"/>
      <c r="EQ677" s="1363"/>
      <c r="ES677" s="1403"/>
      <c r="EU677" s="1488"/>
      <c r="EV677" s="1488"/>
      <c r="EW677" s="1488"/>
      <c r="EX677" s="1488"/>
      <c r="EY677" s="1488"/>
      <c r="EZ677" s="1414"/>
      <c r="FB677" s="1365"/>
      <c r="FD677" s="1355"/>
      <c r="FE677" s="1355"/>
      <c r="FF677" s="138"/>
      <c r="FI677" s="1357"/>
      <c r="FJ677" s="1357"/>
      <c r="FK677" s="1365"/>
      <c r="FL677" s="1365"/>
      <c r="FM677" s="1365"/>
      <c r="FO677" s="1361"/>
      <c r="FP677" s="1361"/>
      <c r="FQ677" s="1366"/>
      <c r="FR677" s="1361"/>
      <c r="FS677" s="1361"/>
      <c r="FT677" s="1361"/>
      <c r="FU677" s="1360"/>
      <c r="FW677" s="1352"/>
      <c r="FX677" s="1352"/>
      <c r="FY677" s="1352"/>
      <c r="FZ677" s="1352"/>
      <c r="GA677" s="1352"/>
      <c r="GB677" s="1352"/>
      <c r="GC677" s="1352"/>
      <c r="GD677" s="1352"/>
      <c r="GE677" s="759"/>
      <c r="GF677" s="1035"/>
      <c r="GG677" s="1385"/>
      <c r="GJ677" s="1034">
        <f>IF(GJ675=TRUE,0,GJ$16)</f>
        <v>0</v>
      </c>
      <c r="GL677" s="1034">
        <f>IF(GL675=TRUE,0,GL$16)</f>
        <v>36</v>
      </c>
      <c r="GM677" s="1034">
        <f>IF(GM675=TRUE,0,GM$16)</f>
        <v>35</v>
      </c>
      <c r="GN677" s="436"/>
      <c r="GO677" s="436"/>
      <c r="GP677" s="436"/>
      <c r="GQ677" s="436"/>
      <c r="GR677" s="436"/>
      <c r="HC677" s="1034">
        <f t="shared" ref="HC677:HH677" si="502">IF(HC675=TRUE,0,HC$16)</f>
        <v>19</v>
      </c>
      <c r="HD677" s="1034">
        <f t="shared" si="502"/>
        <v>18</v>
      </c>
      <c r="HE677" s="1034">
        <f t="shared" si="502"/>
        <v>17</v>
      </c>
      <c r="HF677" s="1034">
        <f t="shared" si="502"/>
        <v>16</v>
      </c>
      <c r="HG677" s="1034">
        <f t="shared" si="502"/>
        <v>0</v>
      </c>
      <c r="HH677" s="1034">
        <f t="shared" si="502"/>
        <v>0</v>
      </c>
      <c r="HI677" s="1034">
        <f>IF(HI675=TRUE,0,HI$16)</f>
        <v>13</v>
      </c>
      <c r="HJ677" s="1034">
        <f t="shared" ref="HJ677:HL677" si="503">IF(HJ675=TRUE,0,HJ$16)</f>
        <v>12</v>
      </c>
      <c r="HK677" s="1034">
        <f t="shared" si="503"/>
        <v>11</v>
      </c>
      <c r="HL677" s="1034">
        <f t="shared" si="503"/>
        <v>10</v>
      </c>
      <c r="HM677" s="1034">
        <f>IF(HM675=TRUE,0,HM$16)</f>
        <v>9</v>
      </c>
      <c r="HN677" s="1034">
        <f t="shared" ref="HN677:HR677" si="504">IF(HN675=TRUE,0,HN$16)</f>
        <v>0</v>
      </c>
      <c r="HO677" s="1034">
        <f t="shared" si="504"/>
        <v>0</v>
      </c>
      <c r="HP677" s="1034">
        <f t="shared" si="504"/>
        <v>0</v>
      </c>
      <c r="HQ677" s="1034">
        <f t="shared" si="504"/>
        <v>0</v>
      </c>
      <c r="HR677" s="1034">
        <f t="shared" si="504"/>
        <v>0</v>
      </c>
      <c r="HS677" s="1034">
        <f>IF(HS675=TRUE,0,HS$16)</f>
        <v>0</v>
      </c>
      <c r="HT677" s="1034">
        <f t="shared" ref="HT677" si="505">IF(HT675=TRUE,0,HT$16)</f>
        <v>0</v>
      </c>
      <c r="HU677" s="1034">
        <f>IF(HU675=TRUE,0,HU$16)</f>
        <v>1</v>
      </c>
      <c r="HW677" s="1034">
        <f>IF(GL675=FALSE,GL677,IF(GM675=FALSE,GM677,MAX(GJ677:HU677)))</f>
        <v>36</v>
      </c>
      <c r="HX677" s="1383"/>
      <c r="HY677" s="241" t="str">
        <f>VLOOKUP(HW677,_Error_Table,3,FALSE)</f>
        <v xml:space="preserve"> </v>
      </c>
      <c r="HZ677" s="241"/>
      <c r="IA677" s="1386"/>
      <c r="IB677" s="1380"/>
      <c r="IC677" s="1379"/>
      <c r="IF677" s="1380"/>
      <c r="IG677" s="1383"/>
      <c r="IH677" s="1383"/>
      <c r="II677" s="1383"/>
      <c r="IK677" s="1351"/>
      <c r="IL677" s="1351"/>
      <c r="IM677" s="1351"/>
      <c r="IN677" s="1351"/>
      <c r="IO677" s="1351"/>
      <c r="IP677" s="1351"/>
    </row>
    <row r="678" spans="1:250" s="82" customFormat="1" ht="5.0999999999999996" customHeight="1" thickBot="1">
      <c r="B678" s="763"/>
      <c r="C678" s="1038"/>
      <c r="D678" s="1038"/>
      <c r="E678" s="1490"/>
      <c r="F678" s="1490"/>
      <c r="G678" s="1490"/>
      <c r="H678" s="1490"/>
      <c r="I678" s="1490"/>
      <c r="J678" s="1490"/>
      <c r="K678" s="1490"/>
      <c r="L678" s="1490"/>
      <c r="M678" s="1490"/>
      <c r="N678" s="1490"/>
      <c r="O678" s="1490"/>
      <c r="P678" s="1490"/>
      <c r="Q678" s="1490"/>
      <c r="R678" s="1490"/>
      <c r="S678" s="1490"/>
      <c r="T678" s="1490"/>
      <c r="U678" s="1490"/>
      <c r="V678" s="1490"/>
      <c r="W678" s="1490"/>
      <c r="X678" s="1490"/>
      <c r="Y678" s="1490"/>
      <c r="Z678" s="1490"/>
      <c r="AA678" s="1490"/>
      <c r="AB678" s="1490"/>
      <c r="AC678" s="1490"/>
      <c r="AD678" s="1490"/>
      <c r="AE678" s="1490"/>
      <c r="AF678" s="1490"/>
      <c r="AG678" s="1490"/>
      <c r="AH678" s="1490"/>
      <c r="AI678" s="1490"/>
      <c r="AJ678" s="1490"/>
      <c r="AK678" s="1490"/>
      <c r="AL678" s="1490"/>
      <c r="AM678" s="1490"/>
      <c r="AN678" s="1490"/>
      <c r="AO678" s="1490"/>
      <c r="AP678" s="1490"/>
      <c r="AQ678" s="1490"/>
      <c r="AR678" s="1490"/>
      <c r="AS678" s="1490"/>
      <c r="AT678" s="1490"/>
      <c r="AU678" s="1041"/>
      <c r="BC678" s="38"/>
      <c r="BD678" s="38"/>
      <c r="BE678" s="38"/>
      <c r="BF678" s="38"/>
      <c r="BG678" s="38"/>
      <c r="BH678" s="38"/>
      <c r="BI678" s="38"/>
      <c r="BJ678" s="38"/>
      <c r="BK678" s="38"/>
      <c r="BL678" s="38"/>
      <c r="BM678" s="38"/>
      <c r="BN678" s="38"/>
      <c r="BO678" s="38"/>
      <c r="BP678" s="38"/>
      <c r="BQ678" s="38"/>
      <c r="BR678" s="38"/>
      <c r="BS678" s="38"/>
      <c r="BT678" s="38"/>
      <c r="BU678" s="38"/>
      <c r="BV678" s="38"/>
      <c r="BW678" s="38"/>
      <c r="BX678" s="38"/>
      <c r="BY678" s="38"/>
      <c r="BZ678" s="38"/>
      <c r="CA678" s="38"/>
      <c r="CB678" s="38"/>
      <c r="CC678" s="38"/>
      <c r="CD678" s="38"/>
      <c r="CE678" s="38"/>
      <c r="CF678" s="38"/>
      <c r="CG678" s="38"/>
      <c r="CH678" s="38"/>
      <c r="CI678" s="38"/>
      <c r="CM678" s="749"/>
      <c r="CN678" s="749"/>
      <c r="CO678" s="1043"/>
      <c r="CP678" s="749"/>
      <c r="CS678" s="436"/>
      <c r="CT678" s="436"/>
      <c r="CU678" s="243"/>
      <c r="CV678" s="244"/>
      <c r="CW678" s="244"/>
      <c r="CX678" s="244"/>
      <c r="CY678" s="245"/>
      <c r="CZ678" s="245"/>
      <c r="DA678" s="245"/>
      <c r="DC678" s="750"/>
      <c r="DD678" s="751"/>
      <c r="DE678" s="752"/>
      <c r="DF678" s="753"/>
      <c r="DG678" s="754"/>
      <c r="DH678" s="754"/>
      <c r="DK678" s="244"/>
      <c r="DL678" s="750"/>
      <c r="DN678" s="750"/>
      <c r="DO678" s="755"/>
      <c r="DP678" s="436"/>
      <c r="DQ678" s="750"/>
      <c r="DR678" s="750"/>
      <c r="DS678" s="750"/>
      <c r="DU678" s="750"/>
      <c r="DV678" s="750"/>
      <c r="DW678" s="750"/>
      <c r="DX678" s="750"/>
      <c r="DZ678" s="756"/>
      <c r="EA678" s="756"/>
      <c r="EC678" s="754"/>
      <c r="ED678" s="754"/>
      <c r="EE678" s="244"/>
      <c r="EF678" s="754"/>
      <c r="EG678" s="754"/>
      <c r="EH678" s="243"/>
      <c r="EI678" s="243"/>
      <c r="EJ678" s="752"/>
      <c r="EK678" s="757"/>
      <c r="EL678" s="757"/>
      <c r="EM678" s="758"/>
      <c r="EN678" s="758"/>
      <c r="EO678" s="752"/>
      <c r="EP678" s="752"/>
      <c r="EQ678" s="752"/>
      <c r="ES678" s="750"/>
      <c r="EU678" s="436"/>
      <c r="EV678" s="436"/>
      <c r="EW678" s="436"/>
      <c r="EX678" s="436"/>
      <c r="EY678" s="436"/>
      <c r="EZ678" s="436"/>
      <c r="FB678" s="643"/>
      <c r="FD678" s="436"/>
      <c r="FE678" s="436"/>
      <c r="FF678" s="436"/>
      <c r="FO678" s="750"/>
      <c r="FP678" s="436"/>
      <c r="FQ678" s="436"/>
      <c r="FR678" s="750"/>
      <c r="FS678" s="750"/>
      <c r="FW678" s="749"/>
      <c r="FX678" s="749"/>
      <c r="FY678" s="749"/>
      <c r="FZ678" s="749"/>
      <c r="GA678" s="749"/>
      <c r="GB678" s="749"/>
      <c r="GC678" s="749"/>
      <c r="GD678" s="749"/>
      <c r="GE678" s="751"/>
      <c r="GF678" s="750"/>
      <c r="GG678" s="750"/>
    </row>
    <row r="679" spans="1:250" s="82" customFormat="1" ht="14.95" customHeight="1" thickTop="1" thickBot="1">
      <c r="B679" s="1421" t="str">
        <f>HY682</f>
        <v xml:space="preserve"> </v>
      </c>
      <c r="C679" s="1422">
        <f>C674+1</f>
        <v>124</v>
      </c>
      <c r="D679" s="1423"/>
      <c r="E679" s="1424" t="s">
        <v>242</v>
      </c>
      <c r="F679" s="1425"/>
      <c r="G679" s="1426"/>
      <c r="H679" s="1427"/>
      <c r="I679" s="1427"/>
      <c r="J679" s="1427"/>
      <c r="K679" s="1427"/>
      <c r="L679" s="1427"/>
      <c r="M679" s="1427"/>
      <c r="N679" s="1427"/>
      <c r="O679" s="1427"/>
      <c r="P679" s="1427"/>
      <c r="Q679" s="1427"/>
      <c r="R679" s="1427"/>
      <c r="S679" s="1428" t="s">
        <v>283</v>
      </c>
      <c r="T679" s="668" t="s">
        <v>190</v>
      </c>
      <c r="U679" s="1430" t="s">
        <v>186</v>
      </c>
      <c r="V679" s="1431"/>
      <c r="W679" s="1431"/>
      <c r="X679" s="1431"/>
      <c r="Y679" s="1431"/>
      <c r="Z679" s="1431"/>
      <c r="AA679" s="1431"/>
      <c r="AB679" s="1047" t="str">
        <f>IFERROR(IF(__Retrofit_TI_NC=0,VLOOKUP(U680,Fixtures_Existing_List,2,FALSE),ROUND(N681*R681/T681,10)),"")</f>
        <v/>
      </c>
      <c r="AC679" s="1039" t="str">
        <f>IFERROR(IF(__Retrofit_TI_NC=0,ROUND(T680*AB679*N680*R680/1000,0),IF(CN679="Interior",N681*R681*R680*N680*_C406_reduction/1000,N681*R681*R680*N680/1000)),"")</f>
        <v/>
      </c>
      <c r="AD679" s="1040" t="str">
        <f>IFERROR(IF(C$36=0,ROUND(T680*AB679/1000,2),N681*R681/1000),"")</f>
        <v/>
      </c>
      <c r="AE679" s="1044" t="s">
        <v>190</v>
      </c>
      <c r="AF679" s="1432" t="str">
        <f>IF(__Retrofit_TI_NC=2,CONCATENATE("Code min = ",DD679),IF(__Retrofit_TI_NC=1,"Emter what you think the existing control was"," Control"))</f>
        <v xml:space="preserve"> Control</v>
      </c>
      <c r="AG679" s="1432"/>
      <c r="AH679" s="1432"/>
      <c r="AI679" s="1432"/>
      <c r="AJ679" s="1433">
        <f>DF679</f>
        <v>0</v>
      </c>
      <c r="AK679" s="1435" t="str">
        <f>IFERROR(ROUND(AJ679*AC679,0),"")</f>
        <v/>
      </c>
      <c r="AL679" s="1437">
        <f>IFERROR(IF(HW679=FALSE,0,AC679-AK679),0)</f>
        <v>0</v>
      </c>
      <c r="AM679" s="1439">
        <f>AL679-AL681</f>
        <v>0</v>
      </c>
      <c r="AN679" s="1440"/>
      <c r="AO679" s="1445">
        <f>IFERROR(IF(HW679=FALSE,0,(T681*U682)+(AE681*AF682)),0)</f>
        <v>0</v>
      </c>
      <c r="AP679" s="1445"/>
      <c r="AQ679" s="1446"/>
      <c r="AR679" s="1451" t="s">
        <v>157</v>
      </c>
      <c r="AS679" s="1454">
        <f>IF(AR679="Yes",1,0)</f>
        <v>1</v>
      </c>
      <c r="AT679" s="1457" t="str">
        <f>IF(OR(DN679=4,DN679=5,DN679=6,DN679=12),CONCATENATE("$",IF(GD679=TRUE,Lookup!$B$11,Lookup!$B$2)," /lamp"),CONCATENATE(EA679,"/ kWh"))</f>
        <v>0/ kWh</v>
      </c>
      <c r="AU679" s="516"/>
      <c r="AV679" s="1478">
        <f>IFERROR(IF(GI680=TRUE,(AB682*T681)/R681,0),"NA")</f>
        <v>0</v>
      </c>
      <c r="AW679" s="1478" t="str">
        <f>IFERROR(N681*_C406_reduction,"NA")</f>
        <v>NA</v>
      </c>
      <c r="BC679" s="38"/>
      <c r="BD679" s="38"/>
      <c r="BE679" s="38"/>
      <c r="BF679" s="38"/>
      <c r="BG679" s="38"/>
      <c r="BH679" s="38"/>
      <c r="BI679" s="38"/>
      <c r="BJ679" s="38"/>
      <c r="BK679" s="38"/>
      <c r="BL679" s="38"/>
      <c r="BM679" s="38"/>
      <c r="BN679" s="38"/>
      <c r="BO679" s="38"/>
      <c r="BP679" s="38"/>
      <c r="BQ679" s="38"/>
      <c r="BR679" s="38"/>
      <c r="BS679" s="38"/>
      <c r="BT679" s="38"/>
      <c r="BU679" s="38"/>
      <c r="BV679" s="38"/>
      <c r="BW679" s="38"/>
      <c r="BX679" s="38"/>
      <c r="BY679" s="38"/>
      <c r="BZ679" s="38"/>
      <c r="CA679" s="38"/>
      <c r="CB679" s="38"/>
      <c r="CC679" s="38"/>
      <c r="CD679" s="38"/>
      <c r="CE679" s="38"/>
      <c r="CF679" s="38"/>
      <c r="CG679" s="38"/>
      <c r="CH679" s="38"/>
      <c r="CI679" s="38"/>
      <c r="CM679" s="1352" t="str">
        <f>N680</f>
        <v/>
      </c>
      <c r="CN679" s="1352" t="str">
        <f>IFERROR(VLOOKUP(G680,_Lookup_Heat_Type_Table_New,3,FALSE),"")</f>
        <v/>
      </c>
      <c r="CO679" s="1415" t="str">
        <f>CN679</f>
        <v/>
      </c>
      <c r="CP679" s="1417" t="e">
        <f>VLOOKUP(G681,'Space Table'!$B$3:$L$160,9,FALSE)</f>
        <v>#N/A</v>
      </c>
      <c r="CR679" s="1386" t="s">
        <v>283</v>
      </c>
      <c r="CS679" s="1353">
        <f>IF(HW679=TRUE,T680,0)</f>
        <v>0</v>
      </c>
      <c r="CT679" s="1353" t="str">
        <f>IF(HW679=TRUE,U680,"")</f>
        <v/>
      </c>
      <c r="CU679" s="1353"/>
      <c r="CV679" s="1370">
        <f>IF(HW679=TRUE,AB679,0)</f>
        <v>0</v>
      </c>
      <c r="CW679" s="1370">
        <f>IF(HW679=TRUE,AC679,0)</f>
        <v>0</v>
      </c>
      <c r="CX679" s="1370">
        <f>IFERROR(IF(HW679=TRUE,CW679-CW681,0),0)</f>
        <v>0</v>
      </c>
      <c r="CY679" s="1485">
        <f>IF(HW679=TRUE,AD679,0)</f>
        <v>0</v>
      </c>
      <c r="CZ679" s="1485">
        <f>IF(HW679=TRUE,AD682,0)</f>
        <v>0</v>
      </c>
      <c r="DA679" s="1485">
        <f>IFERROR(CY679-CZ679,0)</f>
        <v>0</v>
      </c>
      <c r="DC679" s="1353">
        <f>IF(HW679=TRUE,AE680,0)</f>
        <v>0</v>
      </c>
      <c r="DD679" s="1460">
        <f>IF(__Retrofit_TI_NC=2,IF(CN679="Exterior",O682,FM679),FK679)</f>
        <v>0</v>
      </c>
      <c r="DE679" s="1353"/>
      <c r="DF679" s="1406">
        <f>IFERROR(IF(FL679=3,IK679,IF(FL679=4,IL679,IF(FL679=5,IM679,IF(FL679=6,IN679,IF(FL679=7,IO679,IF(FL679=8,IP679,0)))))),0)</f>
        <v>0</v>
      </c>
      <c r="DG679" s="1370">
        <f>IF(HW679=TRUE,AK679,0)</f>
        <v>0</v>
      </c>
      <c r="DH679" s="1369">
        <f>IFERROR(IF(HW679=TRUE,DG681-DG679,0),0)</f>
        <v>0</v>
      </c>
      <c r="DJ679" s="1483">
        <f>IFERROR(CW679-DG679,0)</f>
        <v>0</v>
      </c>
      <c r="DL679" s="1419">
        <f>DJ679-DK681</f>
        <v>0</v>
      </c>
      <c r="DN679" s="1403" t="str">
        <f>IFERROR(IF(AND(OR(FY679=4,FY679=5,FY679=6),OR(GB679=4,GB679=5,GB679=6)),FY679+8,VLOOKUP(CT681,Fixtures!R$31:Y$78,8,FALSE)),"")</f>
        <v/>
      </c>
      <c r="DO679" s="1404" t="str">
        <f>DN679</f>
        <v/>
      </c>
      <c r="DP679" s="1353" t="str">
        <f>IFERROR(VLOOKUP(DD681,Lookup!AU$3:AV$15,2,FALSE),"")</f>
        <v/>
      </c>
      <c r="DQ679" s="1404" t="str">
        <f>IF(DP679=7,"LLLC","")</f>
        <v/>
      </c>
      <c r="DR679" s="1403">
        <f>IFERROR(IF(OR(DN679=4,DN679=5,DN679=6,DN679=12,DN679=13,DN679=14),VLOOKUP(CT681,Fixtures!DN$27:EG$77,19,FALSE),1)*CS681,0)</f>
        <v>0</v>
      </c>
      <c r="DS679" s="1489">
        <f>IF(DP679=7,IF(DD679=DD681,0,DC681),0)</f>
        <v>0</v>
      </c>
      <c r="DU679" s="1403" t="str">
        <f>IFERROR(IF(EW679&lt;EW681,"Yes","No"),"")</f>
        <v/>
      </c>
      <c r="DV679" s="1404" t="str">
        <f>DU679</f>
        <v/>
      </c>
      <c r="DW679" s="1403">
        <f>IF(DU679="Yes",DC681,0)</f>
        <v>0</v>
      </c>
      <c r="DX679" s="1403">
        <f>DW679-DS679</f>
        <v>0</v>
      </c>
      <c r="DZ679" s="1481">
        <f>IFERROR(VLOOKUP(DN679,Lookup!AN$3:AO$16,2,FALSE),0)</f>
        <v>0</v>
      </c>
      <c r="EA679" s="1481">
        <f>IF(HW679=FALSE,0,IF(DU679="Yes",DZ679+Lookup!B$6,DZ679))</f>
        <v>0</v>
      </c>
      <c r="EC679" s="1482">
        <f>IF(HW679=TRUE,DJ679,0)</f>
        <v>0</v>
      </c>
      <c r="ED679" s="1369">
        <f>IF(HW679=TRUE,CW681,0)</f>
        <v>0</v>
      </c>
      <c r="EE679" s="1370">
        <f>IFERROR(EC679-ED679,0)</f>
        <v>0</v>
      </c>
      <c r="EF679" s="1369">
        <f>IF(HW679=TRUE,DG681,0)</f>
        <v>0</v>
      </c>
      <c r="EG679" s="1369">
        <f>IFERROR(EC679-ED679+EF679,0)</f>
        <v>0</v>
      </c>
      <c r="EH679" s="1373">
        <f>IF(HW679=TRUE,CS681*CU681,0)</f>
        <v>0</v>
      </c>
      <c r="EI679" s="1373">
        <f>IF(HW679=TRUE,DC681*DE681,0)</f>
        <v>0</v>
      </c>
      <c r="EJ679" s="1363">
        <f>AO679</f>
        <v>0</v>
      </c>
      <c r="EK679" s="1376" t="str">
        <f>IFERROR(IF(HW679=TRUE,VLOOKUP(DN679,Lookup!AN$3:AP$16,3,FALSE)*DR679,""),0)</f>
        <v/>
      </c>
      <c r="EL679" s="1376">
        <f>IF(HW679=TRUE,DW679*Lookup!AP$12,0)</f>
        <v>0</v>
      </c>
      <c r="EM679" s="1362">
        <f>IFERROR(IF(HW679=TRUE,EK679/EM$33,0),0)</f>
        <v>0</v>
      </c>
      <c r="EN679" s="1362">
        <f>IF(HW679=TRUE,EL679/EN$33,0)</f>
        <v>0</v>
      </c>
      <c r="EO679" s="1363">
        <f>IF(HW679=TRUE,EQ$33*EM679,0)</f>
        <v>0</v>
      </c>
      <c r="EP679" s="1363">
        <f>IF(HW679=TRUE,EQ$33*EN679,0)</f>
        <v>0</v>
      </c>
      <c r="EQ679" s="1363">
        <f>EO679+EP679</f>
        <v>0</v>
      </c>
      <c r="ES679" s="1403">
        <f>IF(G679="",0,1)</f>
        <v>0</v>
      </c>
      <c r="EU679" s="1410" t="e">
        <f>VLOOKUP(CP681,'Space Table'!$B$3:$L$160,8,FALSE)</f>
        <v>#N/A</v>
      </c>
      <c r="EV679" s="1410" t="e">
        <f>IF(EY679="Yes",VLOOKUP(DD679,Lookup_Control_Type_Table2,4,FALSE),VLOOKUP(DD679,Lookup_Control_Type_Table2,3,FALSE))</f>
        <v>#N/A</v>
      </c>
      <c r="EW679" s="1410" t="e">
        <f>VLOOKUP(DD679,Lookup!AU$3:AV$15,2,FALSE)</f>
        <v>#N/A</v>
      </c>
      <c r="EX679" s="1410" t="e">
        <f>VLOOKUP(EU679,Lookup_Control_Type_Table,2,FALSE)</f>
        <v>#N/A</v>
      </c>
      <c r="EY679" s="1410" t="e">
        <f>VLOOKUP(CP681,'Space Table'!$B$3:$L$160,7,FALSE)</f>
        <v>#N/A</v>
      </c>
      <c r="EZ679" s="1412" t="b">
        <f>ISNUMBER(SEARCH("TLED",U681))</f>
        <v>0</v>
      </c>
      <c r="FB679" s="1365" t="str">
        <f>CONCATENATE(CN679," - ",DD679)</f>
        <v xml:space="preserve"> - 0</v>
      </c>
      <c r="FD679" s="1353" t="str">
        <f>VLOOKUP(CT681,Fixtures!DN$27:EZ$77,38,FALSE)</f>
        <v/>
      </c>
      <c r="FE679" s="1353">
        <f>IFERROR(FD679*EE679,0)</f>
        <v>0</v>
      </c>
      <c r="FF679" s="138"/>
      <c r="FI679" s="1356" t="str">
        <f>IF(CN679="Exterior","Not Daylighted",G682)</f>
        <v>Not Daylighted</v>
      </c>
      <c r="FJ679" s="1356">
        <f>VLOOKUP(FI679,_Daylight_Table_Codes,2,FALSE)</f>
        <v>0</v>
      </c>
      <c r="FK679" s="1365">
        <f>IF(__Retrofit_TI_NC=2,VLOOKUP(G681,'Space Table'!$B$3:$L$160,11,FALSE),AF680)</f>
        <v>0</v>
      </c>
      <c r="FL679" s="1365" t="e">
        <f>VLOOKUP(FK679,_Control_Table,2,FALSE)</f>
        <v>#N/A</v>
      </c>
      <c r="FM679" s="1365" t="e">
        <f>IF(AND(FP679&gt;0,FK679="Occupancy Sensor"),"Daylight + Occupancy",IF(AND(FP679&gt;0,FL679&lt;4),"Interior Daylight Dimming",FK679))</f>
        <v>#N/A</v>
      </c>
      <c r="FO679" s="1364">
        <f>IF(CO679="Interior",VLOOKUP(CP679,Control_Savings_Interior,5,FALSE),0)</f>
        <v>0</v>
      </c>
      <c r="FP679" s="1361">
        <f>IF(CN679="Exterior",0,IF(FJ679=2,0.5,IF(OR(FJ679=1,FJ679=3),1,0)))</f>
        <v>0</v>
      </c>
      <c r="FQ679" s="1366"/>
      <c r="FR679" s="1367"/>
      <c r="FS679" s="1364"/>
      <c r="FT679" s="1367"/>
      <c r="FU679" s="1360"/>
      <c r="FW679" s="1352" t="str">
        <f>IFERROR(VLOOKUP(U680,_Exist_Fixture_Table,3,FALSE),"")</f>
        <v/>
      </c>
      <c r="FX679" s="1352" t="str">
        <f>VLOOKUP(CT679,_Exist_Fixture_Table,4,FALSE)</f>
        <v/>
      </c>
      <c r="FY679" s="1352">
        <f>IFERROR(VLOOKUP(FX679,Lookup!AM$6:AN$8,2,FALSE),0)</f>
        <v>0</v>
      </c>
      <c r="FZ679" s="1352" t="b">
        <f>IFERROR(IF(OR(GB679=4,GB679=5,GB679=6),TRUE,FALSE),"")</f>
        <v>0</v>
      </c>
      <c r="GA679" s="1352" t="str">
        <f>IFERROR(VLOOKUP(GB679,FY$6:FZ$10,2,FALSE),"")</f>
        <v/>
      </c>
      <c r="GB679" s="1352" t="str">
        <f>VLOOKUP(CT681,Fixtures!R$31:Y$78,8,FALSE)</f>
        <v/>
      </c>
      <c r="GC679" s="1352">
        <f>IF(AND(FW679=TRUE,FZ679=TRUE,OR(DN679=12,DN679=13,DN679=14)),FY679+8,0)</f>
        <v>0</v>
      </c>
      <c r="GD679" s="1352" t="b">
        <f>IF(OR(GC679=12,GC679=13,GC679=14),TRUE,FALSE)</f>
        <v>0</v>
      </c>
      <c r="GE679" s="759" t="b">
        <f>IF(ISNUMBER(SEARCH("TLED",U680)),TRUE,FALSE)</f>
        <v>0</v>
      </c>
      <c r="GF679" s="1035" t="str">
        <f>IFERROR(VLOOKUP(U680,Fixtures!BM$93:BR$142,6,FALSE),"")</f>
        <v/>
      </c>
      <c r="GG679" s="1385" t="b">
        <f>IF(OR(GE679=FALSE,GE681=FALSE),TRUE,IF(GF679-GF681&lt;5,FALSE,TRUE))</f>
        <v>1</v>
      </c>
      <c r="GK679" s="1034">
        <f>GL679</f>
        <v>0</v>
      </c>
      <c r="GL679" s="1034">
        <f>IF(G679="",0,1)</f>
        <v>0</v>
      </c>
      <c r="GM679" s="1034">
        <f>SUM(GN679:HB679)</f>
        <v>2</v>
      </c>
      <c r="GN679" s="1034">
        <f>IF(G680="",0,1)</f>
        <v>0</v>
      </c>
      <c r="GO679" s="1034">
        <f>IF(G681="",0,1)</f>
        <v>0</v>
      </c>
      <c r="GP679" s="1034">
        <f>IF(R680="",0,1)</f>
        <v>0</v>
      </c>
      <c r="GQ679" s="1034">
        <f>IF(__Retrofit_TI_NC=0,1,IF(R681="",0,1))</f>
        <v>1</v>
      </c>
      <c r="GR679" s="1034">
        <f>IF(CN679="Exterior",1,IF(G682="",0,1))</f>
        <v>1</v>
      </c>
      <c r="GS679" s="1034">
        <f>IF(__Retrofit_TI_NC&lt;&gt;0,1,IF(T680="",0,1))</f>
        <v>0</v>
      </c>
      <c r="GT679" s="1034">
        <f>IF(__Retrofit_TI_NC&lt;&gt;0,1,IF(U680="",0,1))</f>
        <v>0</v>
      </c>
      <c r="GU679" s="1034">
        <f>IF(T681="",0,1)</f>
        <v>0</v>
      </c>
      <c r="GV679" s="1034">
        <f>IF(U681="",0,1)</f>
        <v>0</v>
      </c>
      <c r="GW679" s="1034">
        <f>IF(__Retrofit_TI_NC=2,1,IF(U682="",0,1))</f>
        <v>0</v>
      </c>
      <c r="GX679" s="1034">
        <f>IF(__Retrofit_TI_NC&lt;&gt;0,1,IF(AE680="",0,1))</f>
        <v>0</v>
      </c>
      <c r="GY679" s="1034">
        <f>IF(__Retrofit_TI_NC&lt;&gt;0,1,IF(AF680="",0,1))</f>
        <v>0</v>
      </c>
      <c r="GZ679" s="1034">
        <f>IF(AE681="",0,1)</f>
        <v>0</v>
      </c>
      <c r="HA679" s="1034">
        <f>IF(AF681="",0,1)</f>
        <v>0</v>
      </c>
      <c r="HB679" s="1034">
        <f>IF(__Retrofit_TI_NC=2,1,IF(AF682="",0,1))</f>
        <v>0</v>
      </c>
      <c r="HV679" s="436"/>
      <c r="HW679" s="1384" t="b">
        <f>IF(OR(HW682=0,HW682=HT$16,HW682=HS$16,HW682=HU$16),TRUE,FALSE)</f>
        <v>0</v>
      </c>
      <c r="HX679" s="1377" t="b">
        <f>HW679</f>
        <v>0</v>
      </c>
      <c r="HY679" s="436"/>
      <c r="HZ679" s="436"/>
      <c r="IA679" s="1386" t="b">
        <f>IF(MAX(GJ682:HP682)&gt;5,FALSE,TRUE)</f>
        <v>0</v>
      </c>
      <c r="IB679" s="1380">
        <f>IF(IA679=TRUE,AC679,0)</f>
        <v>0</v>
      </c>
      <c r="IC679" s="1380">
        <f>IB679-IB681</f>
        <v>0</v>
      </c>
      <c r="IF679" s="1380" t="e">
        <f>ROUND(T680*VLOOKUP(U680,Fixtures_Existing_List,2,FALSE)*N680*R680/1000,0)</f>
        <v>#N/A</v>
      </c>
      <c r="IG679" s="1381" t="e">
        <f>IF679-IF681</f>
        <v>#N/A</v>
      </c>
      <c r="IH679" s="1384" t="e">
        <f>ROUND(IF(CN679="Interior",N681*R681*R680*N680*_C406_reduction/1000,N681*R681*R680*N680/1000),0)</f>
        <v>#N/A</v>
      </c>
      <c r="II679" s="1384" t="e">
        <f>IH679-IH681</f>
        <v>#N/A</v>
      </c>
      <c r="IK679" s="1351" t="e">
        <f>IF($CO679="interior",IL679/2,VLOOKUP($CP679,Control_Savings_Exterior,IK$30,FALSE))</f>
        <v>#N/A</v>
      </c>
      <c r="IL679" s="1351" t="e">
        <f>IF($CO679="interior",VLOOKUP($CP679,Control_Savings_Interior,IL$30,FALSE),VLOOKUP($CP679,Control_Savings_Exterior,IL$30,FALSE))</f>
        <v>#N/A</v>
      </c>
      <c r="IM679" s="1351" t="e">
        <f>IF($CO679="interior",IF(R680&gt;FO$37,(IM$28*(FO$37/R680)),IM$28)*FP679,VLOOKUP($CP679,Control_Savings_Exterior,IM$30,FALSE))</f>
        <v>#N/A</v>
      </c>
      <c r="IN679" s="1351" t="e">
        <f>IF($CO679="interior",ROUND(((1-IL679)*IM679)+IL679,2),VLOOKUP($CP679,Control_Savings_Exterior,IN$30,FALSE))</f>
        <v>#N/A</v>
      </c>
      <c r="IO679" s="1351" t="e">
        <f>IF($CO679="interior", ROUND(((1-IL679)*(IM679*(1-IP$28)))+IP679,2), VLOOKUP($CP679,Control_Savings_Exterior,IO$30,FALSE))</f>
        <v>#N/A</v>
      </c>
      <c r="IP679" s="1351">
        <f>IF($CO679="interior",ROUND(((1-IL679)*IP$28)+IL679,2),0)</f>
        <v>0</v>
      </c>
    </row>
    <row r="680" spans="1:250" s="82" customFormat="1" ht="14.95" customHeight="1" thickTop="1" thickBot="1">
      <c r="B680" s="1421"/>
      <c r="C680" s="1422"/>
      <c r="D680" s="1423"/>
      <c r="E680" s="1393" t="s">
        <v>244</v>
      </c>
      <c r="F680" s="1394"/>
      <c r="G680" s="1395"/>
      <c r="H680" s="1395"/>
      <c r="I680" s="1395"/>
      <c r="J680" s="1395"/>
      <c r="K680" s="1395"/>
      <c r="L680" s="1395"/>
      <c r="M680" s="509" t="e">
        <f>IF(__Retrofit_TI_NC&lt;&gt;0,IF(VLOOKUP(G681,'Space Table'!$B$3:$L$160,3,FALSE)&gt;0,1,0),IF(__Retrofit_TI_NC=VLOOKUP(G681,'Space Table'!$B$3:$L$160,3,FALSE),1,0))</f>
        <v>#N/A</v>
      </c>
      <c r="N680" s="509" t="str">
        <f>IFERROR(VLOOKUP(G680,_Lookup_Heat_Type_Table_New,2,FALSE),"")</f>
        <v/>
      </c>
      <c r="O680" s="509">
        <f>IF(__Retrofit_TI_NC=1,CONCATENATE("TI ",G680),IF(__Retrofit_TI_NC=2,CONCATENATE("NC ",G680),G680))</f>
        <v>0</v>
      </c>
      <c r="P680" s="1396" t="s">
        <v>352</v>
      </c>
      <c r="Q680" s="1396"/>
      <c r="R680" s="673"/>
      <c r="S680" s="1429"/>
      <c r="T680" s="675"/>
      <c r="U680" s="1496"/>
      <c r="V680" s="1497"/>
      <c r="W680" s="1497"/>
      <c r="X680" s="1497"/>
      <c r="Y680" s="1497"/>
      <c r="Z680" s="1497"/>
      <c r="AA680" s="1497"/>
      <c r="AB680" s="1497"/>
      <c r="AC680" s="1497"/>
      <c r="AD680" s="1498"/>
      <c r="AE680" s="675"/>
      <c r="AF680" s="1397"/>
      <c r="AG680" s="1397"/>
      <c r="AH680" s="1397"/>
      <c r="AI680" s="1397"/>
      <c r="AJ680" s="1434"/>
      <c r="AK680" s="1436"/>
      <c r="AL680" s="1438"/>
      <c r="AM680" s="1441"/>
      <c r="AN680" s="1442"/>
      <c r="AO680" s="1447"/>
      <c r="AP680" s="1447"/>
      <c r="AQ680" s="1448"/>
      <c r="AR680" s="1452"/>
      <c r="AS680" s="1455"/>
      <c r="AT680" s="1458"/>
      <c r="AU680" s="516"/>
      <c r="AV680" s="1479"/>
      <c r="AW680" s="1479"/>
      <c r="BC680" s="38"/>
      <c r="BD680" s="38"/>
      <c r="BE680" s="38"/>
      <c r="BF680" s="38"/>
      <c r="BG680" s="38"/>
      <c r="BH680" s="38"/>
      <c r="BI680" s="38"/>
      <c r="BJ680" s="38"/>
      <c r="BK680" s="38"/>
      <c r="BL680" s="38"/>
      <c r="BM680" s="38"/>
      <c r="BN680" s="38"/>
      <c r="BO680" s="38"/>
      <c r="BP680" s="38"/>
      <c r="BQ680" s="38"/>
      <c r="BR680" s="38"/>
      <c r="BS680" s="38"/>
      <c r="BT680" s="38"/>
      <c r="BU680" s="38"/>
      <c r="BV680" s="38"/>
      <c r="BW680" s="38"/>
      <c r="BX680" s="38"/>
      <c r="BY680" s="38"/>
      <c r="BZ680" s="38"/>
      <c r="CA680" s="38"/>
      <c r="CB680" s="38"/>
      <c r="CC680" s="38"/>
      <c r="CD680" s="38"/>
      <c r="CE680" s="38"/>
      <c r="CF680" s="38"/>
      <c r="CG680" s="38"/>
      <c r="CH680" s="38"/>
      <c r="CI680" s="38"/>
      <c r="CM680" s="1352"/>
      <c r="CN680" s="1352"/>
      <c r="CO680" s="1416"/>
      <c r="CP680" s="1418"/>
      <c r="CR680" s="1386"/>
      <c r="CS680" s="1355"/>
      <c r="CT680" s="1355"/>
      <c r="CU680" s="1355"/>
      <c r="CV680" s="1372"/>
      <c r="CW680" s="1372"/>
      <c r="CX680" s="1371"/>
      <c r="CY680" s="1486"/>
      <c r="CZ680" s="1486"/>
      <c r="DA680" s="1486"/>
      <c r="DC680" s="1355"/>
      <c r="DD680" s="1461"/>
      <c r="DE680" s="1355"/>
      <c r="DF680" s="1407"/>
      <c r="DG680" s="1372"/>
      <c r="DH680" s="1369"/>
      <c r="DJ680" s="1484"/>
      <c r="DL680" s="1419"/>
      <c r="DN680" s="1403"/>
      <c r="DO680" s="1405"/>
      <c r="DP680" s="1354"/>
      <c r="DQ680" s="1405"/>
      <c r="DR680" s="1403"/>
      <c r="DS680" s="1489"/>
      <c r="DU680" s="1403"/>
      <c r="DV680" s="1405"/>
      <c r="DW680" s="1403"/>
      <c r="DX680" s="1403"/>
      <c r="DZ680" s="1481"/>
      <c r="EA680" s="1481"/>
      <c r="EC680" s="1482"/>
      <c r="ED680" s="1369"/>
      <c r="EE680" s="1371"/>
      <c r="EF680" s="1369"/>
      <c r="EG680" s="1369"/>
      <c r="EH680" s="1374"/>
      <c r="EI680" s="1374"/>
      <c r="EJ680" s="1363"/>
      <c r="EK680" s="1376"/>
      <c r="EL680" s="1376"/>
      <c r="EM680" s="1362"/>
      <c r="EN680" s="1362"/>
      <c r="EO680" s="1363"/>
      <c r="EP680" s="1363"/>
      <c r="EQ680" s="1363"/>
      <c r="ES680" s="1403"/>
      <c r="EU680" s="1411"/>
      <c r="EV680" s="1411"/>
      <c r="EW680" s="1411"/>
      <c r="EX680" s="1411"/>
      <c r="EY680" s="1411"/>
      <c r="EZ680" s="1413"/>
      <c r="FB680" s="1365"/>
      <c r="FD680" s="1354"/>
      <c r="FE680" s="1354"/>
      <c r="FF680" s="138"/>
      <c r="FI680" s="1357"/>
      <c r="FJ680" s="1357"/>
      <c r="FK680" s="1365"/>
      <c r="FL680" s="1365"/>
      <c r="FM680" s="1365"/>
      <c r="FO680" s="1361"/>
      <c r="FP680" s="1361"/>
      <c r="FQ680" s="1366"/>
      <c r="FR680" s="1368"/>
      <c r="FS680" s="1361"/>
      <c r="FT680" s="1368"/>
      <c r="FU680" s="1360"/>
      <c r="FW680" s="1352"/>
      <c r="FX680" s="1352"/>
      <c r="FY680" s="1352"/>
      <c r="FZ680" s="1352"/>
      <c r="GA680" s="1352"/>
      <c r="GB680" s="1352"/>
      <c r="GC680" s="1352"/>
      <c r="GD680" s="1352"/>
      <c r="GE680" s="759"/>
      <c r="GF680" s="1035"/>
      <c r="GG680" s="1385"/>
      <c r="GI680" s="1384" t="b">
        <f>IF(AND(GL680=TRUE,GM680=TRUE),TRUE,FALSE)</f>
        <v>0</v>
      </c>
      <c r="GJ680" s="1379" t="b">
        <f>IFERROR(IF(__Retrofit_TI_NC=2,TRUE,IF(AR679="Yes",TRUE,FALSE)),FALSE)</f>
        <v>1</v>
      </c>
      <c r="GL680" s="1379" t="b">
        <f>IFERROR(IF(GL679=1,TRUE,FALSE),FALSE)</f>
        <v>0</v>
      </c>
      <c r="GM680" s="1379" t="b">
        <f>IFERROR(IF(GM679=GM$14,TRUE,FALSE),FALSE)</f>
        <v>0</v>
      </c>
      <c r="HC680" s="1379" t="b">
        <f>IFERROR(IF(M680=1,TRUE,FALSE),FALSE)</f>
        <v>0</v>
      </c>
      <c r="HD680" s="1379" t="b">
        <f>IFERROR(IF(M681=1,TRUE,FALSE),FALSE)</f>
        <v>0</v>
      </c>
      <c r="HE680" s="1379" t="b">
        <f>IFERROR(IF(__Retrofit_TI_NC&lt;&gt;0,TRUE,IFERROR(IF(VLOOKUP(U680,Fixtures_Existing_List,2,FALSE)&lt;&gt;"",TRUE,FALSE),FALSE)),FALSE)</f>
        <v>0</v>
      </c>
      <c r="HF680" s="1379" t="b">
        <f>IFERROR(IF(VLOOKUP(U681,Fixtures_Proposed_List,2,FALSE)&lt;&gt;"",TRUE,FALSE),FALSE)</f>
        <v>0</v>
      </c>
      <c r="HG680" s="1379" t="b">
        <f>IF(AND(__Retrofit_TI_NC=2,EZ679=TRUE),FALSE,TRUE)</f>
        <v>1</v>
      </c>
      <c r="HH680" s="1379" t="b">
        <f>GG679</f>
        <v>1</v>
      </c>
      <c r="HI680" s="1384" t="b">
        <f>IF(ISERROR(MATCH(FB679,_Control_Match[],0))=TRUE,FALSE,TRUE)</f>
        <v>0</v>
      </c>
      <c r="HJ680" s="1384" t="b">
        <f>IFERROR(IF(EU679&lt;&gt;EV679,FALSE,TRUE),FALSE)</f>
        <v>0</v>
      </c>
      <c r="HK680" s="1384" t="b">
        <f>IFERROR(IF(EU681&lt;&gt;EV681,FALSE,TRUE),FALSE)</f>
        <v>0</v>
      </c>
      <c r="HL680" s="1379" t="b">
        <f>IFERROR(IF(CN679="Exterior",TRUE,IF(OR(AND(FJ679=0,EW681&gt;4),AND(FJ679=4,EW681&gt;4,EW681&lt;7)),FALSE,TRUE)),FALSE)</f>
        <v>0</v>
      </c>
      <c r="HM680" s="1379" t="b">
        <f>IFERROR(IF(AND(FL681=7,EZ679=TRUE),FALSE,TRUE),FALSE)</f>
        <v>0</v>
      </c>
      <c r="HN680" s="1379" t="b">
        <f>IFERROR(IF(AND(T681&lt;&gt;AE681,AF681="Interior LLLC")=TRUE,FALSE,TRUE),FALSE)</f>
        <v>1</v>
      </c>
      <c r="HO680" s="1379" t="b">
        <f>IFERROR(IF(OR(AF681=Lookup!AU$13,AF681=Lookup!AU$14)=TRUE,IF(AE681&gt;T681,FALSE,TRUE),TRUE),FALSE)</f>
        <v>1</v>
      </c>
      <c r="HP680" s="1379" t="b">
        <f>IFERROR(IF(__Retrofit_TI_NC=2,IF(EW681&lt;EW679,FALSE,TRUE),TRUE),FALSE)</f>
        <v>1</v>
      </c>
      <c r="HQ680" s="1379" t="b">
        <f>IF(CN679="Interior",IG$6,TRUE)</f>
        <v>1</v>
      </c>
      <c r="HR680" s="1379" t="b">
        <f>IF(CN679="Exterior",IG$8,TRUE)</f>
        <v>1</v>
      </c>
      <c r="HS680" s="1379" t="b">
        <f>IFERROR(IF(__Retrofit_TI_NC&lt;&gt;0,IF(AW679&lt;AV679,FALSE,TRUE),TRUE),FALSE)</f>
        <v>1</v>
      </c>
      <c r="HT680" s="1379" t="b">
        <f>IFERROR(IF(AND(G680="Exterior",R680&gt;4200),FALSE,TRUE),FALSE)</f>
        <v>1</v>
      </c>
      <c r="HU680" s="1379" t="b">
        <f>IFERROR(IF(AB682/AB679&lt;HU$18,FALSE,TRUE),FALSE)</f>
        <v>0</v>
      </c>
      <c r="HW680" s="1382"/>
      <c r="HX680" s="1378"/>
      <c r="HY680" s="1377" t="str">
        <f>VLOOKUP(HW682,_Error_Table,4,FALSE)</f>
        <v>White</v>
      </c>
      <c r="HZ680" s="436"/>
      <c r="IA680" s="1386"/>
      <c r="IB680" s="1380"/>
      <c r="IC680" s="1379"/>
      <c r="IF680" s="1380"/>
      <c r="IG680" s="1382"/>
      <c r="IH680" s="1382"/>
      <c r="II680" s="1382"/>
      <c r="IK680" s="1351"/>
      <c r="IL680" s="1351"/>
      <c r="IM680" s="1351"/>
      <c r="IN680" s="1351"/>
      <c r="IO680" s="1351"/>
      <c r="IP680" s="1351"/>
    </row>
    <row r="681" spans="1:250" s="82" customFormat="1" ht="14.95" customHeight="1" thickTop="1" thickBot="1">
      <c r="A681" s="82">
        <f>ROW()</f>
        <v>681</v>
      </c>
      <c r="B681" s="1421"/>
      <c r="C681" s="1422"/>
      <c r="D681" s="1423"/>
      <c r="E681" s="1393" t="s">
        <v>245</v>
      </c>
      <c r="F681" s="1394"/>
      <c r="G681" s="1398"/>
      <c r="H681" s="1399"/>
      <c r="I681" s="1399"/>
      <c r="J681" s="1399"/>
      <c r="K681" s="1399"/>
      <c r="L681" s="1400"/>
      <c r="M681" s="509">
        <f>IFERROR(IF(IF(__Retrofit_TI_NC&lt;&gt;0,IF(CN679="Interior",MATCH(G681,Lookup_Interior_New,0),MATCH(G681,Lookup_Exterior_New,0)),IF(CN679="Interior",MATCH(G681,Lookup_Interior,0),MATCH(G681,Lookup_Exterior_Areas,0)))&gt;0,1,0),0)</f>
        <v>0</v>
      </c>
      <c r="N681" s="509" t="e">
        <f>IF(__Retrofit_TI_NC=1,
VLOOKUP(G681,'Space Table'!$B$3:$L$160,4,FALSE),
IF(__Retrofit_TI_NC=2,VLOOKUP(G681,'Space Table'!$B$3:$L$160,5,FALSE),VLOOKUP(G681,'Space Table'!$B$3:$L$160,5,FALSE)))</f>
        <v>#N/A</v>
      </c>
      <c r="O681" s="509">
        <f>G681</f>
        <v>0</v>
      </c>
      <c r="P681" s="1394" t="s">
        <v>355</v>
      </c>
      <c r="Q681" s="1394"/>
      <c r="R681" s="674"/>
      <c r="S681" s="1401" t="s">
        <v>284</v>
      </c>
      <c r="T681" s="672"/>
      <c r="U681" s="1499"/>
      <c r="V681" s="1500"/>
      <c r="W681" s="1500"/>
      <c r="X681" s="1500"/>
      <c r="Y681" s="1500"/>
      <c r="Z681" s="1500"/>
      <c r="AA681" s="1500"/>
      <c r="AB681" s="1501"/>
      <c r="AC681" s="1501"/>
      <c r="AD681" s="1502"/>
      <c r="AE681" s="672"/>
      <c r="AF681" s="1474"/>
      <c r="AG681" s="1474"/>
      <c r="AH681" s="1474"/>
      <c r="AI681" s="1474"/>
      <c r="AJ681" s="1475">
        <f>DF681</f>
        <v>0</v>
      </c>
      <c r="AK681" s="1470" t="str">
        <f>IFERROR(ROUND(AJ681*AC682,0),"")</f>
        <v/>
      </c>
      <c r="AL681" s="1472">
        <f>IFERROR(IF(HW679=FALSE,0,AC682-AK681),0)</f>
        <v>0</v>
      </c>
      <c r="AM681" s="1441"/>
      <c r="AN681" s="1442"/>
      <c r="AO681" s="1447"/>
      <c r="AP681" s="1447"/>
      <c r="AQ681" s="1448"/>
      <c r="AR681" s="1452"/>
      <c r="AS681" s="1455"/>
      <c r="AT681" s="1458"/>
      <c r="AU681" s="516"/>
      <c r="AV681" s="1479"/>
      <c r="AW681" s="1479"/>
      <c r="BC681" s="38"/>
      <c r="BD681" s="38"/>
      <c r="BE681" s="38"/>
      <c r="BF681" s="38"/>
      <c r="BG681" s="38"/>
      <c r="BH681" s="38"/>
      <c r="BI681" s="38"/>
      <c r="BJ681" s="38"/>
      <c r="BK681" s="38"/>
      <c r="BL681" s="38"/>
      <c r="BM681" s="38"/>
      <c r="BN681" s="38"/>
      <c r="BO681" s="38"/>
      <c r="BP681" s="38"/>
      <c r="BQ681" s="38"/>
      <c r="BR681" s="38"/>
      <c r="BS681" s="38"/>
      <c r="BT681" s="38"/>
      <c r="BU681" s="38"/>
      <c r="BV681" s="38"/>
      <c r="BW681" s="38"/>
      <c r="BX681" s="38"/>
      <c r="BY681" s="38"/>
      <c r="BZ681" s="38"/>
      <c r="CA681" s="38"/>
      <c r="CB681" s="38"/>
      <c r="CC681" s="38"/>
      <c r="CD681" s="38"/>
      <c r="CE681" s="38"/>
      <c r="CF681" s="38"/>
      <c r="CG681" s="38"/>
      <c r="CH681" s="38"/>
      <c r="CI681" s="38"/>
      <c r="CM681" s="1352"/>
      <c r="CN681" s="1352"/>
      <c r="CO681" s="1415" t="str">
        <f>CN679</f>
        <v/>
      </c>
      <c r="CP681" s="1417" t="e">
        <f>CP679</f>
        <v>#N/A</v>
      </c>
      <c r="CR681" s="1386" t="s">
        <v>284</v>
      </c>
      <c r="CS681" s="1353">
        <f>IF(HW679=TRUE,T681,0)</f>
        <v>0</v>
      </c>
      <c r="CT681" s="1353" t="str">
        <f>IF(HW679=TRUE,U681,"")</f>
        <v/>
      </c>
      <c r="CU681" s="1373">
        <f>IF(HW679=TRUE,U682,0)</f>
        <v>0</v>
      </c>
      <c r="CV681" s="1370">
        <f>IF(HW679=TRUE,AB682,0)</f>
        <v>0</v>
      </c>
      <c r="CW681" s="1370">
        <f>IF(HW679=TRUE,AC682,0)</f>
        <v>0</v>
      </c>
      <c r="CX681" s="1371"/>
      <c r="CY681" s="1486"/>
      <c r="CZ681" s="1486"/>
      <c r="DA681" s="1486"/>
      <c r="DC681" s="1353">
        <f>IF(HW679=TRUE,AE681,0)</f>
        <v>0</v>
      </c>
      <c r="DD681" s="1353" t="str">
        <f>IF(HW679=TRUE,AF681,"")</f>
        <v/>
      </c>
      <c r="DE681" s="1373">
        <f>AF682</f>
        <v>0</v>
      </c>
      <c r="DF681" s="1406">
        <f>IFERROR(IF(FL681=3,IK681,IF(FL681=4,IL681,IF(FL681=5,IM681,IF(FL681=6,IN681,IF(FL681=7,IO681,IF(FL681=8,IP681,0)))))),0)</f>
        <v>0</v>
      </c>
      <c r="DG681" s="1370">
        <f>IF(HW679=TRUE,AK681,0)</f>
        <v>0</v>
      </c>
      <c r="DH681" s="1369"/>
      <c r="DK681" s="1483">
        <f>IFERROR(CW681-DG681,0)</f>
        <v>0</v>
      </c>
      <c r="DL681" s="1420"/>
      <c r="DN681" s="1403"/>
      <c r="DO681" s="1477" t="str">
        <f>DN679</f>
        <v/>
      </c>
      <c r="DP681" s="1354"/>
      <c r="DQ681" s="1477" t="str">
        <f>IF(DP679=7,"LLLC","")</f>
        <v/>
      </c>
      <c r="DR681" s="1403"/>
      <c r="DS681" s="1489"/>
      <c r="DU681" s="1403"/>
      <c r="DV681" s="1404" t="str">
        <f>DU679</f>
        <v/>
      </c>
      <c r="DW681" s="1403"/>
      <c r="DX681" s="1403"/>
      <c r="DZ681" s="1481"/>
      <c r="EA681" s="1481"/>
      <c r="EC681" s="1482"/>
      <c r="ED681" s="1369"/>
      <c r="EE681" s="1371"/>
      <c r="EF681" s="1369"/>
      <c r="EG681" s="1369"/>
      <c r="EH681" s="1374"/>
      <c r="EI681" s="1374"/>
      <c r="EJ681" s="1363"/>
      <c r="EK681" s="1376"/>
      <c r="EL681" s="1376"/>
      <c r="EM681" s="1362"/>
      <c r="EN681" s="1362"/>
      <c r="EO681" s="1363"/>
      <c r="EP681" s="1363"/>
      <c r="EQ681" s="1363"/>
      <c r="ES681" s="1403"/>
      <c r="EU681" s="1411" t="e">
        <f>VLOOKUP(CP681,'Space Table'!$B$3:$L$160,8,FALSE)</f>
        <v>#N/A</v>
      </c>
      <c r="EV681" s="1411" t="e">
        <f>IF(EY681="Yes",VLOOKUP(AF681,Lookup_Control_Type_Table2,4,FALSE),VLOOKUP(AF681,Lookup_Control_Type_Table2,3,FALSE))</f>
        <v>#N/A</v>
      </c>
      <c r="EW681" s="1411" t="e">
        <f>VLOOKUP(AF681,Lookup!AU$3:AV$15,2,FALSE)</f>
        <v>#N/A</v>
      </c>
      <c r="EX681" s="1411" t="e">
        <f>VLOOKUP(EU679,Lookup_Control_Type_Table,2,FALSE)</f>
        <v>#N/A</v>
      </c>
      <c r="EY681" s="1411" t="e">
        <f>VLOOKUP(CP681,'Space Table'!$B$3:$L$160,7,FALSE)</f>
        <v>#N/A</v>
      </c>
      <c r="EZ681" s="1413"/>
      <c r="FB681" s="1365" t="str">
        <f>CONCATENATE(CN679," - ",AF681)</f>
        <v xml:space="preserve"> - </v>
      </c>
      <c r="FD681" s="1354"/>
      <c r="FE681" s="1354"/>
      <c r="FF681" s="138"/>
      <c r="FI681" s="1356" t="str">
        <f>IF(CN679="Exterior","Not Daylighted",G682)</f>
        <v>Not Daylighted</v>
      </c>
      <c r="FJ681" s="1356">
        <f>VLOOKUP(FI681,_Daylight_Table_Codes,2,FALSE)</f>
        <v>0</v>
      </c>
      <c r="FK681" s="1365">
        <f>AF681</f>
        <v>0</v>
      </c>
      <c r="FL681" s="1365" t="e">
        <f>VLOOKUP(FK681,_Control_Table,2,FALSE)</f>
        <v>#N/A</v>
      </c>
      <c r="FM681" s="1365" t="e">
        <f>IF(AND(FP681&gt;0,FK681="Occupancy Sensor"),"Daylight + Occupancy",IF(AND(FP681&gt;0,FL681&lt;4),"Interior Daylight Dimming",FK681))</f>
        <v>#N/A</v>
      </c>
      <c r="FO681" s="1364">
        <f>IF(CN679="Interior",VLOOKUP(CP679,Control_Savings_Interior,5,FALSE),0)</f>
        <v>0</v>
      </c>
      <c r="FP681" s="1361">
        <f>IF(CN681="Exterior",0,IF(FJ681=2,0.5,IF(OR(FJ681=1,FJ681=3),1,0)))</f>
        <v>0</v>
      </c>
      <c r="FQ681" s="1366">
        <f>IF(R680&gt;FO$37,(FO681*(FO$37/R680)),FO681)*FP681</f>
        <v>0</v>
      </c>
      <c r="FR681" s="1364">
        <f>DF681</f>
        <v>0</v>
      </c>
      <c r="FS681" s="1364">
        <f>ROUND(FR681+((1-FR681)*FQ681),2)</f>
        <v>0</v>
      </c>
      <c r="FT681" s="1364">
        <f>IF(__Retrofit_TI_NC=2,FS681,FR681)</f>
        <v>0</v>
      </c>
      <c r="FU681" s="1360">
        <f>IF(CO681="Interior",VLOOKUP(CP681,Control_Savings_Interior,4,FALSE),0)</f>
        <v>0</v>
      </c>
      <c r="FW681" s="1352"/>
      <c r="FX681" s="1352"/>
      <c r="FY681" s="1352"/>
      <c r="FZ681" s="1352"/>
      <c r="GA681" s="1352"/>
      <c r="GB681" s="1352"/>
      <c r="GC681" s="1352"/>
      <c r="GD681" s="1352"/>
      <c r="GE681" s="759" t="b">
        <f>IF(ISNUMBER(SEARCH("TLED",U681)),TRUE,FALSE)</f>
        <v>0</v>
      </c>
      <c r="GF681" s="1035" t="str">
        <f>IFERROR(VLOOKUP(U681,Fixtures!DM$93:DR$142,6,FALSE),"")</f>
        <v/>
      </c>
      <c r="GG681" s="1385"/>
      <c r="GI681" s="1383"/>
      <c r="GJ681" s="1379"/>
      <c r="GL681" s="1379"/>
      <c r="GM681" s="1379"/>
      <c r="HC681" s="1379"/>
      <c r="HD681" s="1379"/>
      <c r="HE681" s="1379"/>
      <c r="HF681" s="1379"/>
      <c r="HG681" s="1379"/>
      <c r="HH681" s="1379"/>
      <c r="HI681" s="1383"/>
      <c r="HJ681" s="1383"/>
      <c r="HK681" s="1383"/>
      <c r="HL681" s="1379"/>
      <c r="HM681" s="1379"/>
      <c r="HN681" s="1379"/>
      <c r="HO681" s="1379"/>
      <c r="HP681" s="1379"/>
      <c r="HQ681" s="1379"/>
      <c r="HR681" s="1379"/>
      <c r="HS681" s="1379"/>
      <c r="HT681" s="1379"/>
      <c r="HU681" s="1379"/>
      <c r="HW681" s="1383"/>
      <c r="HX681" s="1384" t="b">
        <f>HW679</f>
        <v>0</v>
      </c>
      <c r="HY681" s="1378"/>
      <c r="HZ681" s="436"/>
      <c r="IA681" s="1386"/>
      <c r="IB681" s="1380">
        <f>IF(IA679=TRUE,AC682,0)</f>
        <v>0</v>
      </c>
      <c r="IC681" s="1379"/>
      <c r="IF681" s="1380" t="e">
        <f>ROUND(T681*AB682*N680*R680/1000,0)</f>
        <v>#VALUE!</v>
      </c>
      <c r="IG681" s="1382"/>
      <c r="IH681" s="1384" t="e">
        <f>ROUND(T681*AB682*N680*R680/1000,0)</f>
        <v>#VALUE!</v>
      </c>
      <c r="II681" s="1382"/>
      <c r="IK681" s="1351" t="e">
        <f>IF($CO681="interior",IL681/2,VLOOKUP($CP681,Control_Savings_Exterior,IK$30,FALSE))</f>
        <v>#N/A</v>
      </c>
      <c r="IL681" s="1351" t="e">
        <f>IF($CO681="interior",VLOOKUP($CP681,Control_Savings_Interior,IL$30,FALSE),VLOOKUP($CP681,Control_Savings_Exterior,IL$30,FALSE))</f>
        <v>#N/A</v>
      </c>
      <c r="IM681" s="1351" t="e">
        <f>IF($CO681="interior",IF(R680&gt;FO$37,(IM$28*(FO$37/R680)),IM$28)*FP681,VLOOKUP($CP681,Control_Savings_Exterior,IM$30,FALSE))</f>
        <v>#N/A</v>
      </c>
      <c r="IN681" s="1351" t="e">
        <f>IF($CO681="interior",ROUND(((1-IL681)*IM681)+IL681,2),VLOOKUP($CP681,Control_Savings_Exterior,IN$30,FALSE))</f>
        <v>#N/A</v>
      </c>
      <c r="IO681" s="1351" t="e">
        <f>IF($CO681="interior", ROUND(((1-IL681)*(IM681*(1-IP$28)))+IP681,2), VLOOKUP($CP681,Control_Savings_Exterior,IO$30,FALSE))</f>
        <v>#N/A</v>
      </c>
      <c r="IP681" s="1351">
        <f>IF($CO681="interior",ROUND(((1-IL681)*IP$28)+IL681,2),0)</f>
        <v>0</v>
      </c>
    </row>
    <row r="682" spans="1:250" s="82" customFormat="1" ht="14.95" customHeight="1" thickTop="1" thickBot="1">
      <c r="B682" s="1421"/>
      <c r="C682" s="1422"/>
      <c r="D682" s="1423"/>
      <c r="E682" s="1462" t="s">
        <v>357</v>
      </c>
      <c r="F682" s="1463"/>
      <c r="G682" s="1464" t="s">
        <v>362</v>
      </c>
      <c r="H682" s="1465"/>
      <c r="I682" s="1465"/>
      <c r="J682" s="1465"/>
      <c r="K682" s="1465"/>
      <c r="L682" s="1466"/>
      <c r="M682" s="669">
        <f>IFERROR(VLOOKUP(G682,_Daylight_Table[],2,FALSE),0)</f>
        <v>0</v>
      </c>
      <c r="N682" s="670"/>
      <c r="O682" s="669" t="e">
        <f>VLOOKUP(G681,'Space Table'!$B$3:$L$160,11,FALSE)</f>
        <v>#N/A</v>
      </c>
      <c r="P682" s="1408"/>
      <c r="Q682" s="1409"/>
      <c r="R682" s="1409"/>
      <c r="S682" s="1402"/>
      <c r="T682" s="671" t="s">
        <v>281</v>
      </c>
      <c r="U682" s="1467" t="str">
        <f>IFERROR(VLOOKUP(U681,Fixtures!DM$93:DP$142,4,FALSE),"")</f>
        <v/>
      </c>
      <c r="V682" s="1468"/>
      <c r="W682" s="1468"/>
      <c r="X682" s="1468"/>
      <c r="Y682" s="1468"/>
      <c r="Z682" s="1468"/>
      <c r="AA682" s="1468"/>
      <c r="AB682" s="1046" t="str">
        <f>IFERROR(VLOOKUP(U681,Fixtures_Proposed_List,2,FALSE),"")</f>
        <v/>
      </c>
      <c r="AC682" s="1036" t="str">
        <f>IFERROR(ROUND(T681*AB682*N680*R680/1000,0),"")</f>
        <v/>
      </c>
      <c r="AD682" s="1037" t="str">
        <f>IFERROR(ROUND(T681*AB682/1000,2),"")</f>
        <v/>
      </c>
      <c r="AE682" s="1045" t="s">
        <v>281</v>
      </c>
      <c r="AF682" s="1469"/>
      <c r="AG682" s="1469"/>
      <c r="AH682" s="1469"/>
      <c r="AI682" s="1469"/>
      <c r="AJ682" s="1476"/>
      <c r="AK682" s="1471"/>
      <c r="AL682" s="1473"/>
      <c r="AM682" s="1443"/>
      <c r="AN682" s="1444"/>
      <c r="AO682" s="1449"/>
      <c r="AP682" s="1449"/>
      <c r="AQ682" s="1450"/>
      <c r="AR682" s="1453"/>
      <c r="AS682" s="1456"/>
      <c r="AT682" s="1459"/>
      <c r="AU682" s="517"/>
      <c r="AV682" s="1480"/>
      <c r="AW682" s="1480"/>
      <c r="BC682" s="38"/>
      <c r="BD682" s="38"/>
      <c r="BE682" s="38"/>
      <c r="BF682" s="38"/>
      <c r="BG682" s="38"/>
      <c r="BH682" s="38"/>
      <c r="BI682" s="38"/>
      <c r="BJ682" s="38"/>
      <c r="BK682" s="38"/>
      <c r="BL682" s="38"/>
      <c r="BM682" s="38"/>
      <c r="BN682" s="38"/>
      <c r="BO682" s="38"/>
      <c r="BP682" s="38"/>
      <c r="BQ682" s="38"/>
      <c r="BR682" s="38"/>
      <c r="BS682" s="38"/>
      <c r="BT682" s="38"/>
      <c r="BU682" s="38"/>
      <c r="BV682" s="38"/>
      <c r="BW682" s="38"/>
      <c r="BX682" s="38"/>
      <c r="BY682" s="38"/>
      <c r="BZ682" s="38"/>
      <c r="CA682" s="38"/>
      <c r="CB682" s="38"/>
      <c r="CC682" s="38"/>
      <c r="CD682" s="38"/>
      <c r="CE682" s="38"/>
      <c r="CF682" s="38"/>
      <c r="CG682" s="38"/>
      <c r="CH682" s="38"/>
      <c r="CI682" s="38"/>
      <c r="CM682" s="1352"/>
      <c r="CN682" s="1352"/>
      <c r="CO682" s="1416"/>
      <c r="CP682" s="1418"/>
      <c r="CR682" s="1386"/>
      <c r="CS682" s="1355"/>
      <c r="CT682" s="1355"/>
      <c r="CU682" s="1375"/>
      <c r="CV682" s="1372"/>
      <c r="CW682" s="1372"/>
      <c r="CX682" s="1372"/>
      <c r="CY682" s="1487"/>
      <c r="CZ682" s="1487"/>
      <c r="DA682" s="1487"/>
      <c r="DC682" s="1355"/>
      <c r="DD682" s="1355"/>
      <c r="DE682" s="1375"/>
      <c r="DF682" s="1407"/>
      <c r="DG682" s="1372"/>
      <c r="DH682" s="1369"/>
      <c r="DK682" s="1484"/>
      <c r="DL682" s="1420"/>
      <c r="DN682" s="1403"/>
      <c r="DO682" s="1405"/>
      <c r="DP682" s="1355"/>
      <c r="DQ682" s="1405"/>
      <c r="DR682" s="1403"/>
      <c r="DS682" s="1489"/>
      <c r="DU682" s="1403"/>
      <c r="DV682" s="1405"/>
      <c r="DW682" s="1403"/>
      <c r="DX682" s="1403"/>
      <c r="DZ682" s="1481"/>
      <c r="EA682" s="1481"/>
      <c r="EC682" s="1482"/>
      <c r="ED682" s="1369"/>
      <c r="EE682" s="1372"/>
      <c r="EF682" s="1369"/>
      <c r="EG682" s="1369"/>
      <c r="EH682" s="1375"/>
      <c r="EI682" s="1375"/>
      <c r="EJ682" s="1363"/>
      <c r="EK682" s="1376"/>
      <c r="EL682" s="1376"/>
      <c r="EM682" s="1362"/>
      <c r="EN682" s="1362"/>
      <c r="EO682" s="1363"/>
      <c r="EP682" s="1363"/>
      <c r="EQ682" s="1363"/>
      <c r="ES682" s="1403"/>
      <c r="EU682" s="1488"/>
      <c r="EV682" s="1488"/>
      <c r="EW682" s="1488"/>
      <c r="EX682" s="1488"/>
      <c r="EY682" s="1488"/>
      <c r="EZ682" s="1414"/>
      <c r="FB682" s="1365"/>
      <c r="FD682" s="1355"/>
      <c r="FE682" s="1355"/>
      <c r="FF682" s="138"/>
      <c r="FI682" s="1357"/>
      <c r="FJ682" s="1357"/>
      <c r="FK682" s="1365"/>
      <c r="FL682" s="1365"/>
      <c r="FM682" s="1365"/>
      <c r="FO682" s="1361"/>
      <c r="FP682" s="1361"/>
      <c r="FQ682" s="1366"/>
      <c r="FR682" s="1361"/>
      <c r="FS682" s="1361"/>
      <c r="FT682" s="1361"/>
      <c r="FU682" s="1360"/>
      <c r="FW682" s="1352"/>
      <c r="FX682" s="1352"/>
      <c r="FY682" s="1352"/>
      <c r="FZ682" s="1352"/>
      <c r="GA682" s="1352"/>
      <c r="GB682" s="1352"/>
      <c r="GC682" s="1352"/>
      <c r="GD682" s="1352"/>
      <c r="GE682" s="759"/>
      <c r="GF682" s="1035"/>
      <c r="GG682" s="1385"/>
      <c r="GJ682" s="1034">
        <f>IF(GJ680=TRUE,0,GJ$16)</f>
        <v>0</v>
      </c>
      <c r="GL682" s="1034">
        <f>IF(GL680=TRUE,0,GL$16)</f>
        <v>36</v>
      </c>
      <c r="GM682" s="1034">
        <f>IF(GM680=TRUE,0,GM$16)</f>
        <v>35</v>
      </c>
      <c r="GN682" s="436"/>
      <c r="GO682" s="436"/>
      <c r="GP682" s="436"/>
      <c r="GQ682" s="436"/>
      <c r="GR682" s="436"/>
      <c r="HC682" s="1034">
        <f t="shared" ref="HC682:HH682" si="506">IF(HC680=TRUE,0,HC$16)</f>
        <v>19</v>
      </c>
      <c r="HD682" s="1034">
        <f t="shared" si="506"/>
        <v>18</v>
      </c>
      <c r="HE682" s="1034">
        <f t="shared" si="506"/>
        <v>17</v>
      </c>
      <c r="HF682" s="1034">
        <f t="shared" si="506"/>
        <v>16</v>
      </c>
      <c r="HG682" s="1034">
        <f t="shared" si="506"/>
        <v>0</v>
      </c>
      <c r="HH682" s="1034">
        <f t="shared" si="506"/>
        <v>0</v>
      </c>
      <c r="HI682" s="1034">
        <f>IF(HI680=TRUE,0,HI$16)</f>
        <v>13</v>
      </c>
      <c r="HJ682" s="1034">
        <f t="shared" ref="HJ682:HL682" si="507">IF(HJ680=TRUE,0,HJ$16)</f>
        <v>12</v>
      </c>
      <c r="HK682" s="1034">
        <f t="shared" si="507"/>
        <v>11</v>
      </c>
      <c r="HL682" s="1034">
        <f t="shared" si="507"/>
        <v>10</v>
      </c>
      <c r="HM682" s="1034">
        <f>IF(HM680=TRUE,0,HM$16)</f>
        <v>9</v>
      </c>
      <c r="HN682" s="1034">
        <f t="shared" ref="HN682:HR682" si="508">IF(HN680=TRUE,0,HN$16)</f>
        <v>0</v>
      </c>
      <c r="HO682" s="1034">
        <f t="shared" si="508"/>
        <v>0</v>
      </c>
      <c r="HP682" s="1034">
        <f t="shared" si="508"/>
        <v>0</v>
      </c>
      <c r="HQ682" s="1034">
        <f t="shared" si="508"/>
        <v>0</v>
      </c>
      <c r="HR682" s="1034">
        <f t="shared" si="508"/>
        <v>0</v>
      </c>
      <c r="HS682" s="1034">
        <f>IF(HS680=TRUE,0,HS$16)</f>
        <v>0</v>
      </c>
      <c r="HT682" s="1034">
        <f t="shared" ref="HT682" si="509">IF(HT680=TRUE,0,HT$16)</f>
        <v>0</v>
      </c>
      <c r="HU682" s="1034">
        <f>IF(HU680=TRUE,0,HU$16)</f>
        <v>1</v>
      </c>
      <c r="HW682" s="1034">
        <f>IF(GL680=FALSE,GL682,IF(GM680=FALSE,GM682,MAX(GJ682:HU682)))</f>
        <v>36</v>
      </c>
      <c r="HX682" s="1383"/>
      <c r="HY682" s="241" t="str">
        <f>VLOOKUP(HW682,_Error_Table,3,FALSE)</f>
        <v xml:space="preserve"> </v>
      </c>
      <c r="HZ682" s="241"/>
      <c r="IA682" s="1386"/>
      <c r="IB682" s="1380"/>
      <c r="IC682" s="1379"/>
      <c r="IF682" s="1380"/>
      <c r="IG682" s="1383"/>
      <c r="IH682" s="1383"/>
      <c r="II682" s="1383"/>
      <c r="IK682" s="1351"/>
      <c r="IL682" s="1351"/>
      <c r="IM682" s="1351"/>
      <c r="IN682" s="1351"/>
      <c r="IO682" s="1351"/>
      <c r="IP682" s="1351"/>
    </row>
    <row r="683" spans="1:250" s="82" customFormat="1" ht="5.0999999999999996" customHeight="1" thickBot="1">
      <c r="B683" s="763"/>
      <c r="C683" s="1038"/>
      <c r="D683" s="1038"/>
      <c r="E683" s="1490"/>
      <c r="F683" s="1490"/>
      <c r="G683" s="1490"/>
      <c r="H683" s="1490"/>
      <c r="I683" s="1490"/>
      <c r="J683" s="1490"/>
      <c r="K683" s="1490"/>
      <c r="L683" s="1490"/>
      <c r="M683" s="1490"/>
      <c r="N683" s="1490"/>
      <c r="O683" s="1490"/>
      <c r="P683" s="1490"/>
      <c r="Q683" s="1490"/>
      <c r="R683" s="1490"/>
      <c r="S683" s="1490"/>
      <c r="T683" s="1490"/>
      <c r="U683" s="1490"/>
      <c r="V683" s="1490"/>
      <c r="W683" s="1490"/>
      <c r="X683" s="1490"/>
      <c r="Y683" s="1490"/>
      <c r="Z683" s="1490"/>
      <c r="AA683" s="1490"/>
      <c r="AB683" s="1490"/>
      <c r="AC683" s="1490"/>
      <c r="AD683" s="1490"/>
      <c r="AE683" s="1490"/>
      <c r="AF683" s="1490"/>
      <c r="AG683" s="1490"/>
      <c r="AH683" s="1490"/>
      <c r="AI683" s="1490"/>
      <c r="AJ683" s="1490"/>
      <c r="AK683" s="1490"/>
      <c r="AL683" s="1490"/>
      <c r="AM683" s="1490"/>
      <c r="AN683" s="1490"/>
      <c r="AO683" s="1490"/>
      <c r="AP683" s="1490"/>
      <c r="AQ683" s="1490"/>
      <c r="AR683" s="1490"/>
      <c r="AS683" s="1490"/>
      <c r="AT683" s="1490"/>
      <c r="AU683" s="1041"/>
      <c r="BC683" s="38"/>
      <c r="BD683" s="38"/>
      <c r="BE683" s="38"/>
      <c r="BF683" s="38"/>
      <c r="BG683" s="38"/>
      <c r="BH683" s="38"/>
      <c r="BI683" s="38"/>
      <c r="BJ683" s="38"/>
      <c r="BK683" s="38"/>
      <c r="BL683" s="38"/>
      <c r="BM683" s="38"/>
      <c r="BN683" s="38"/>
      <c r="BO683" s="38"/>
      <c r="BP683" s="38"/>
      <c r="BQ683" s="38"/>
      <c r="BR683" s="38"/>
      <c r="BS683" s="38"/>
      <c r="BT683" s="38"/>
      <c r="BU683" s="38"/>
      <c r="BV683" s="38"/>
      <c r="BW683" s="38"/>
      <c r="BX683" s="38"/>
      <c r="BY683" s="38"/>
      <c r="BZ683" s="38"/>
      <c r="CA683" s="38"/>
      <c r="CB683" s="38"/>
      <c r="CC683" s="38"/>
      <c r="CD683" s="38"/>
      <c r="CE683" s="38"/>
      <c r="CF683" s="38"/>
      <c r="CG683" s="38"/>
      <c r="CH683" s="38"/>
      <c r="CI683" s="38"/>
      <c r="CM683" s="749"/>
      <c r="CN683" s="749"/>
      <c r="CO683" s="1043"/>
      <c r="CP683" s="749"/>
      <c r="CS683" s="436"/>
      <c r="CT683" s="436"/>
      <c r="CU683" s="243"/>
      <c r="CV683" s="244"/>
      <c r="CW683" s="244"/>
      <c r="CX683" s="244"/>
      <c r="CY683" s="245"/>
      <c r="CZ683" s="245"/>
      <c r="DA683" s="245"/>
      <c r="DC683" s="750"/>
      <c r="DD683" s="751"/>
      <c r="DE683" s="752"/>
      <c r="DF683" s="753"/>
      <c r="DG683" s="754"/>
      <c r="DH683" s="754"/>
      <c r="DK683" s="244"/>
      <c r="DL683" s="750"/>
      <c r="DN683" s="750"/>
      <c r="DO683" s="755"/>
      <c r="DP683" s="436"/>
      <c r="DQ683" s="750"/>
      <c r="DR683" s="750"/>
      <c r="DS683" s="750"/>
      <c r="DU683" s="750"/>
      <c r="DV683" s="750"/>
      <c r="DW683" s="750"/>
      <c r="DX683" s="750"/>
      <c r="DZ683" s="756"/>
      <c r="EA683" s="756"/>
      <c r="EC683" s="754"/>
      <c r="ED683" s="754"/>
      <c r="EE683" s="244"/>
      <c r="EF683" s="754"/>
      <c r="EG683" s="754"/>
      <c r="EH683" s="243"/>
      <c r="EI683" s="243"/>
      <c r="EJ683" s="752"/>
      <c r="EK683" s="757"/>
      <c r="EL683" s="757"/>
      <c r="EM683" s="758"/>
      <c r="EN683" s="758"/>
      <c r="EO683" s="752"/>
      <c r="EP683" s="752"/>
      <c r="EQ683" s="752"/>
      <c r="ES683" s="750"/>
      <c r="EU683" s="436"/>
      <c r="EV683" s="436"/>
      <c r="EW683" s="436"/>
      <c r="EX683" s="436"/>
      <c r="EY683" s="436"/>
      <c r="EZ683" s="436"/>
      <c r="FB683" s="643"/>
      <c r="FD683" s="436"/>
      <c r="FE683" s="436"/>
      <c r="FF683" s="436"/>
      <c r="FO683" s="750"/>
      <c r="FP683" s="436"/>
      <c r="FQ683" s="436"/>
      <c r="FR683" s="750"/>
      <c r="FS683" s="750"/>
      <c r="FW683" s="749"/>
      <c r="FX683" s="749"/>
      <c r="FY683" s="749"/>
      <c r="FZ683" s="749"/>
      <c r="GA683" s="749"/>
      <c r="GB683" s="749"/>
      <c r="GC683" s="749"/>
      <c r="GD683" s="749"/>
      <c r="GE683" s="751"/>
      <c r="GF683" s="750"/>
      <c r="GG683" s="750"/>
    </row>
    <row r="684" spans="1:250" s="82" customFormat="1" ht="14.95" customHeight="1" thickTop="1" thickBot="1">
      <c r="B684" s="1421" t="str">
        <f>HY687</f>
        <v xml:space="preserve"> </v>
      </c>
      <c r="C684" s="1422">
        <f>C679+1</f>
        <v>125</v>
      </c>
      <c r="D684" s="1423"/>
      <c r="E684" s="1424" t="s">
        <v>242</v>
      </c>
      <c r="F684" s="1425"/>
      <c r="G684" s="1426"/>
      <c r="H684" s="1427"/>
      <c r="I684" s="1427"/>
      <c r="J684" s="1427"/>
      <c r="K684" s="1427"/>
      <c r="L684" s="1427"/>
      <c r="M684" s="1427"/>
      <c r="N684" s="1427"/>
      <c r="O684" s="1427"/>
      <c r="P684" s="1427"/>
      <c r="Q684" s="1427"/>
      <c r="R684" s="1427"/>
      <c r="S684" s="1428" t="s">
        <v>283</v>
      </c>
      <c r="T684" s="668" t="s">
        <v>190</v>
      </c>
      <c r="U684" s="1430" t="s">
        <v>186</v>
      </c>
      <c r="V684" s="1431"/>
      <c r="W684" s="1431"/>
      <c r="X684" s="1431"/>
      <c r="Y684" s="1431"/>
      <c r="Z684" s="1431"/>
      <c r="AA684" s="1431"/>
      <c r="AB684" s="1047" t="str">
        <f>IFERROR(IF(__Retrofit_TI_NC=0,VLOOKUP(U685,Fixtures_Existing_List,2,FALSE),ROUND(N686*R686/T686,10)),"")</f>
        <v/>
      </c>
      <c r="AC684" s="1039" t="str">
        <f>IFERROR(IF(__Retrofit_TI_NC=0,ROUND(T685*AB684*N685*R685/1000,0),IF(CN684="Interior",N686*R686*R685*N685*_C406_reduction/1000,N686*R686*R685*N685/1000)),"")</f>
        <v/>
      </c>
      <c r="AD684" s="1040" t="str">
        <f>IFERROR(IF(C$36=0,ROUND(T685*AB684/1000,2),N686*R686/1000),"")</f>
        <v/>
      </c>
      <c r="AE684" s="1044" t="s">
        <v>190</v>
      </c>
      <c r="AF684" s="1432" t="str">
        <f>IF(__Retrofit_TI_NC=2,CONCATENATE("Code min = ",DD684),IF(__Retrofit_TI_NC=1,"Emter what you think the existing control was"," Control"))</f>
        <v xml:space="preserve"> Control</v>
      </c>
      <c r="AG684" s="1432"/>
      <c r="AH684" s="1432"/>
      <c r="AI684" s="1432"/>
      <c r="AJ684" s="1433">
        <f>DF684</f>
        <v>0</v>
      </c>
      <c r="AK684" s="1435" t="str">
        <f>IFERROR(ROUND(AJ684*AC684,0),"")</f>
        <v/>
      </c>
      <c r="AL684" s="1437">
        <f>IFERROR(IF(HW684=FALSE,0,AC684-AK684),0)</f>
        <v>0</v>
      </c>
      <c r="AM684" s="1439">
        <f>AL684-AL686</f>
        <v>0</v>
      </c>
      <c r="AN684" s="1440"/>
      <c r="AO684" s="1445">
        <f>IFERROR(IF(HW684=FALSE,0,(T686*U687)+(AE686*AF687)),0)</f>
        <v>0</v>
      </c>
      <c r="AP684" s="1445"/>
      <c r="AQ684" s="1446"/>
      <c r="AR684" s="1451" t="s">
        <v>157</v>
      </c>
      <c r="AS684" s="1454">
        <f>IF(AR684="Yes",1,0)</f>
        <v>1</v>
      </c>
      <c r="AT684" s="1457" t="str">
        <f>IF(OR(DN684=4,DN684=5,DN684=6,DN684=12),CONCATENATE("$",IF(GD684=TRUE,Lookup!$B$11,Lookup!$B$2)," /lamp"),CONCATENATE(EA684,"/ kWh"))</f>
        <v>0/ kWh</v>
      </c>
      <c r="AU684" s="516"/>
      <c r="AV684" s="1478">
        <f>IFERROR(IF(GI685=TRUE,(AB687*T686)/R686,0),"NA")</f>
        <v>0</v>
      </c>
      <c r="AW684" s="1478" t="str">
        <f>IFERROR(N686*_C406_reduction,"NA")</f>
        <v>NA</v>
      </c>
      <c r="BC684" s="38"/>
      <c r="BD684" s="38"/>
      <c r="BE684" s="38"/>
      <c r="BF684" s="38"/>
      <c r="BG684" s="38"/>
      <c r="BH684" s="38"/>
      <c r="BI684" s="38"/>
      <c r="BJ684" s="38"/>
      <c r="BK684" s="38"/>
      <c r="BL684" s="38"/>
      <c r="BM684" s="38"/>
      <c r="BN684" s="38"/>
      <c r="BO684" s="38"/>
      <c r="BP684" s="38"/>
      <c r="BQ684" s="38"/>
      <c r="BR684" s="38"/>
      <c r="BS684" s="38"/>
      <c r="BT684" s="38"/>
      <c r="BU684" s="38"/>
      <c r="BV684" s="38"/>
      <c r="BW684" s="38"/>
      <c r="BX684" s="38"/>
      <c r="BY684" s="38"/>
      <c r="BZ684" s="38"/>
      <c r="CA684" s="38"/>
      <c r="CB684" s="38"/>
      <c r="CC684" s="38"/>
      <c r="CD684" s="38"/>
      <c r="CE684" s="38"/>
      <c r="CF684" s="38"/>
      <c r="CG684" s="38"/>
      <c r="CH684" s="38"/>
      <c r="CI684" s="38"/>
      <c r="CM684" s="1352" t="str">
        <f>N685</f>
        <v/>
      </c>
      <c r="CN684" s="1352" t="str">
        <f>IFERROR(VLOOKUP(G685,_Lookup_Heat_Type_Table_New,3,FALSE),"")</f>
        <v/>
      </c>
      <c r="CO684" s="1415" t="str">
        <f>CN684</f>
        <v/>
      </c>
      <c r="CP684" s="1417" t="e">
        <f>VLOOKUP(G686,'Space Table'!$B$3:$L$160,9,FALSE)</f>
        <v>#N/A</v>
      </c>
      <c r="CR684" s="1386" t="s">
        <v>283</v>
      </c>
      <c r="CS684" s="1353">
        <f>IF(HW684=TRUE,T685,0)</f>
        <v>0</v>
      </c>
      <c r="CT684" s="1353" t="str">
        <f>IF(HW684=TRUE,U685,"")</f>
        <v/>
      </c>
      <c r="CU684" s="1353"/>
      <c r="CV684" s="1370">
        <f>IF(HW684=TRUE,AB684,0)</f>
        <v>0</v>
      </c>
      <c r="CW684" s="1370">
        <f>IF(HW684=TRUE,AC684,0)</f>
        <v>0</v>
      </c>
      <c r="CX684" s="1370">
        <f>IFERROR(IF(HW684=TRUE,CW684-CW686,0),0)</f>
        <v>0</v>
      </c>
      <c r="CY684" s="1485">
        <f>IF(HW684=TRUE,AD684,0)</f>
        <v>0</v>
      </c>
      <c r="CZ684" s="1485">
        <f>IF(HW684=TRUE,AD687,0)</f>
        <v>0</v>
      </c>
      <c r="DA684" s="1485">
        <f>IFERROR(CY684-CZ684,0)</f>
        <v>0</v>
      </c>
      <c r="DC684" s="1353">
        <f>IF(HW684=TRUE,AE685,0)</f>
        <v>0</v>
      </c>
      <c r="DD684" s="1460">
        <f>IF(__Retrofit_TI_NC=2,IF(CN684="Exterior",O687,FM684),FK684)</f>
        <v>0</v>
      </c>
      <c r="DE684" s="1353"/>
      <c r="DF684" s="1406">
        <f>IFERROR(IF(FL684=3,IK684,IF(FL684=4,IL684,IF(FL684=5,IM684,IF(FL684=6,IN684,IF(FL684=7,IO684,IF(FL684=8,IP684,0)))))),0)</f>
        <v>0</v>
      </c>
      <c r="DG684" s="1370">
        <f>IF(HW684=TRUE,AK684,0)</f>
        <v>0</v>
      </c>
      <c r="DH684" s="1369">
        <f>IFERROR(IF(HW684=TRUE,DG686-DG684,0),0)</f>
        <v>0</v>
      </c>
      <c r="DJ684" s="1483">
        <f>IFERROR(CW684-DG684,0)</f>
        <v>0</v>
      </c>
      <c r="DL684" s="1419">
        <f>DJ684-DK686</f>
        <v>0</v>
      </c>
      <c r="DN684" s="1403" t="str">
        <f>IFERROR(IF(AND(OR(FY684=4,FY684=5,FY684=6),OR(GB684=4,GB684=5,GB684=6)),FY684+8,VLOOKUP(CT686,Fixtures!R$31:Y$78,8,FALSE)),"")</f>
        <v/>
      </c>
      <c r="DO684" s="1404" t="str">
        <f>DN684</f>
        <v/>
      </c>
      <c r="DP684" s="1353" t="str">
        <f>IFERROR(VLOOKUP(DD686,Lookup!AU$3:AV$15,2,FALSE),"")</f>
        <v/>
      </c>
      <c r="DQ684" s="1404" t="str">
        <f>IF(DP684=7,"LLLC","")</f>
        <v/>
      </c>
      <c r="DR684" s="1403">
        <f>IFERROR(IF(OR(DN684=4,DN684=5,DN684=6,DN684=12,DN684=13,DN684=14),VLOOKUP(CT686,Fixtures!DN$27:EG$77,19,FALSE),1)*CS686,0)</f>
        <v>0</v>
      </c>
      <c r="DS684" s="1489">
        <f>IF(DP684=7,IF(DD684=DD686,0,DC686),0)</f>
        <v>0</v>
      </c>
      <c r="DU684" s="1403" t="str">
        <f>IFERROR(IF(EW684&lt;EW686,"Yes","No"),"")</f>
        <v/>
      </c>
      <c r="DV684" s="1404" t="str">
        <f>DU684</f>
        <v/>
      </c>
      <c r="DW684" s="1403">
        <f>IF(DU684="Yes",DC686,0)</f>
        <v>0</v>
      </c>
      <c r="DX684" s="1403">
        <f>DW684-DS684</f>
        <v>0</v>
      </c>
      <c r="DZ684" s="1481">
        <f>IFERROR(VLOOKUP(DN684,Lookup!AN$3:AO$16,2,FALSE),0)</f>
        <v>0</v>
      </c>
      <c r="EA684" s="1481">
        <f>IF(HW684=FALSE,0,IF(DU684="Yes",DZ684+Lookup!B$6,DZ684))</f>
        <v>0</v>
      </c>
      <c r="EC684" s="1482">
        <f>IF(HW684=TRUE,DJ684,0)</f>
        <v>0</v>
      </c>
      <c r="ED684" s="1369">
        <f>IF(HW684=TRUE,CW686,0)</f>
        <v>0</v>
      </c>
      <c r="EE684" s="1370">
        <f>IFERROR(EC684-ED684,0)</f>
        <v>0</v>
      </c>
      <c r="EF684" s="1369">
        <f>IF(HW684=TRUE,DG686,0)</f>
        <v>0</v>
      </c>
      <c r="EG684" s="1369">
        <f>IFERROR(EC684-ED684+EF684,0)</f>
        <v>0</v>
      </c>
      <c r="EH684" s="1373">
        <f>IF(HW684=TRUE,CS686*CU686,0)</f>
        <v>0</v>
      </c>
      <c r="EI684" s="1373">
        <f>IF(HW684=TRUE,DC686*DE686,0)</f>
        <v>0</v>
      </c>
      <c r="EJ684" s="1363">
        <f>AO684</f>
        <v>0</v>
      </c>
      <c r="EK684" s="1376" t="str">
        <f>IFERROR(IF(HW684=TRUE,VLOOKUP(DN684,Lookup!AN$3:AP$16,3,FALSE)*DR684,""),0)</f>
        <v/>
      </c>
      <c r="EL684" s="1376">
        <f>IF(HW684=TRUE,DW684*Lookup!AP$12,0)</f>
        <v>0</v>
      </c>
      <c r="EM684" s="1362">
        <f>IFERROR(IF(HW684=TRUE,EK684/EM$33,0),0)</f>
        <v>0</v>
      </c>
      <c r="EN684" s="1362">
        <f>IF(HW684=TRUE,EL684/EN$33,0)</f>
        <v>0</v>
      </c>
      <c r="EO684" s="1363">
        <f>IF(HW684=TRUE,EQ$33*EM684,0)</f>
        <v>0</v>
      </c>
      <c r="EP684" s="1363">
        <f>IF(HW684=TRUE,EQ$33*EN684,0)</f>
        <v>0</v>
      </c>
      <c r="EQ684" s="1363">
        <f>EO684+EP684</f>
        <v>0</v>
      </c>
      <c r="ES684" s="1403">
        <f>IF(G684="",0,1)</f>
        <v>0</v>
      </c>
      <c r="EU684" s="1410" t="e">
        <f>VLOOKUP(CP686,'Space Table'!$B$3:$L$160,8,FALSE)</f>
        <v>#N/A</v>
      </c>
      <c r="EV684" s="1410" t="e">
        <f>IF(EY684="Yes",VLOOKUP(DD684,Lookup_Control_Type_Table2,4,FALSE),VLOOKUP(DD684,Lookup_Control_Type_Table2,3,FALSE))</f>
        <v>#N/A</v>
      </c>
      <c r="EW684" s="1410" t="e">
        <f>VLOOKUP(DD684,Lookup!AU$3:AV$15,2,FALSE)</f>
        <v>#N/A</v>
      </c>
      <c r="EX684" s="1410" t="e">
        <f>VLOOKUP(EU684,Lookup_Control_Type_Table,2,FALSE)</f>
        <v>#N/A</v>
      </c>
      <c r="EY684" s="1410" t="e">
        <f>VLOOKUP(CP686,'Space Table'!$B$3:$L$160,7,FALSE)</f>
        <v>#N/A</v>
      </c>
      <c r="EZ684" s="1412" t="b">
        <f>ISNUMBER(SEARCH("TLED",U686))</f>
        <v>0</v>
      </c>
      <c r="FB684" s="1365" t="str">
        <f>CONCATENATE(CN684," - ",DD684)</f>
        <v xml:space="preserve"> - 0</v>
      </c>
      <c r="FD684" s="1353" t="str">
        <f>VLOOKUP(CT686,Fixtures!DN$27:EZ$77,38,FALSE)</f>
        <v/>
      </c>
      <c r="FE684" s="1353">
        <f>IFERROR(FD684*EE684,0)</f>
        <v>0</v>
      </c>
      <c r="FF684" s="138"/>
      <c r="FI684" s="1356" t="str">
        <f>IF(CN684="Exterior","Not Daylighted",G687)</f>
        <v>Not Daylighted</v>
      </c>
      <c r="FJ684" s="1356">
        <f>VLOOKUP(FI684,_Daylight_Table_Codes,2,FALSE)</f>
        <v>0</v>
      </c>
      <c r="FK684" s="1365">
        <f>IF(__Retrofit_TI_NC=2,VLOOKUP(G686,'Space Table'!$B$3:$L$160,11,FALSE),AF685)</f>
        <v>0</v>
      </c>
      <c r="FL684" s="1365" t="e">
        <f>VLOOKUP(FK684,_Control_Table,2,FALSE)</f>
        <v>#N/A</v>
      </c>
      <c r="FM684" s="1365" t="e">
        <f>IF(AND(FP684&gt;0,FK684="Occupancy Sensor"),"Daylight + Occupancy",IF(AND(FP684&gt;0,FL684&lt;4),"Interior Daylight Dimming",FK684))</f>
        <v>#N/A</v>
      </c>
      <c r="FO684" s="1364">
        <f>IF(CO684="Interior",VLOOKUP(CP684,Control_Savings_Interior,5,FALSE),0)</f>
        <v>0</v>
      </c>
      <c r="FP684" s="1361">
        <f>IF(CN684="Exterior",0,IF(FJ684=2,0.5,IF(OR(FJ684=1,FJ684=3),1,0)))</f>
        <v>0</v>
      </c>
      <c r="FQ684" s="1366"/>
      <c r="FR684" s="1367"/>
      <c r="FS684" s="1364"/>
      <c r="FT684" s="1367"/>
      <c r="FU684" s="1360"/>
      <c r="FW684" s="1352" t="str">
        <f>IFERROR(VLOOKUP(U685,_Exist_Fixture_Table,3,FALSE),"")</f>
        <v/>
      </c>
      <c r="FX684" s="1352" t="str">
        <f>VLOOKUP(CT684,_Exist_Fixture_Table,4,FALSE)</f>
        <v/>
      </c>
      <c r="FY684" s="1352">
        <f>IFERROR(VLOOKUP(FX684,Lookup!AM$6:AN$8,2,FALSE),0)</f>
        <v>0</v>
      </c>
      <c r="FZ684" s="1352" t="b">
        <f>IFERROR(IF(OR(GB684=4,GB684=5,GB684=6),TRUE,FALSE),"")</f>
        <v>0</v>
      </c>
      <c r="GA684" s="1352" t="str">
        <f>IFERROR(VLOOKUP(GB684,FY$6:FZ$10,2,FALSE),"")</f>
        <v/>
      </c>
      <c r="GB684" s="1352" t="str">
        <f>VLOOKUP(CT686,Fixtures!R$31:Y$78,8,FALSE)</f>
        <v/>
      </c>
      <c r="GC684" s="1352">
        <f>IF(AND(FW684=TRUE,FZ684=TRUE,OR(DN684=12,DN684=13,DN684=14)),FY684+8,0)</f>
        <v>0</v>
      </c>
      <c r="GD684" s="1352" t="b">
        <f>IF(OR(GC684=12,GC684=13,GC684=14),TRUE,FALSE)</f>
        <v>0</v>
      </c>
      <c r="GE684" s="759" t="b">
        <f>IF(ISNUMBER(SEARCH("TLED",U685)),TRUE,FALSE)</f>
        <v>0</v>
      </c>
      <c r="GF684" s="1035" t="str">
        <f>IFERROR(VLOOKUP(U685,Fixtures!BM$93:BR$142,6,FALSE),"")</f>
        <v/>
      </c>
      <c r="GG684" s="1385" t="b">
        <f>IF(OR(GE684=FALSE,GE686=FALSE),TRUE,IF(GF684-GF686&lt;5,FALSE,TRUE))</f>
        <v>1</v>
      </c>
      <c r="GK684" s="1034">
        <f>GL684</f>
        <v>0</v>
      </c>
      <c r="GL684" s="1034">
        <f>IF(G684="",0,1)</f>
        <v>0</v>
      </c>
      <c r="GM684" s="1034">
        <f>SUM(GN684:HB684)</f>
        <v>2</v>
      </c>
      <c r="GN684" s="1034">
        <f>IF(G685="",0,1)</f>
        <v>0</v>
      </c>
      <c r="GO684" s="1034">
        <f>IF(G686="",0,1)</f>
        <v>0</v>
      </c>
      <c r="GP684" s="1034">
        <f>IF(R685="",0,1)</f>
        <v>0</v>
      </c>
      <c r="GQ684" s="1034">
        <f>IF(__Retrofit_TI_NC=0,1,IF(R686="",0,1))</f>
        <v>1</v>
      </c>
      <c r="GR684" s="1034">
        <f>IF(CN684="Exterior",1,IF(G687="",0,1))</f>
        <v>1</v>
      </c>
      <c r="GS684" s="1034">
        <f>IF(__Retrofit_TI_NC&lt;&gt;0,1,IF(T685="",0,1))</f>
        <v>0</v>
      </c>
      <c r="GT684" s="1034">
        <f>IF(__Retrofit_TI_NC&lt;&gt;0,1,IF(U685="",0,1))</f>
        <v>0</v>
      </c>
      <c r="GU684" s="1034">
        <f>IF(T686="",0,1)</f>
        <v>0</v>
      </c>
      <c r="GV684" s="1034">
        <f>IF(U686="",0,1)</f>
        <v>0</v>
      </c>
      <c r="GW684" s="1034">
        <f>IF(__Retrofit_TI_NC=2,1,IF(U687="",0,1))</f>
        <v>0</v>
      </c>
      <c r="GX684" s="1034">
        <f>IF(__Retrofit_TI_NC&lt;&gt;0,1,IF(AE685="",0,1))</f>
        <v>0</v>
      </c>
      <c r="GY684" s="1034">
        <f>IF(__Retrofit_TI_NC&lt;&gt;0,1,IF(AF685="",0,1))</f>
        <v>0</v>
      </c>
      <c r="GZ684" s="1034">
        <f>IF(AE686="",0,1)</f>
        <v>0</v>
      </c>
      <c r="HA684" s="1034">
        <f>IF(AF686="",0,1)</f>
        <v>0</v>
      </c>
      <c r="HB684" s="1034">
        <f>IF(__Retrofit_TI_NC=2,1,IF(AF687="",0,1))</f>
        <v>0</v>
      </c>
      <c r="HV684" s="436"/>
      <c r="HW684" s="1384" t="b">
        <f>IF(OR(HW687=0,HW687=HT$16,HW687=HS$16,HW687=HU$16),TRUE,FALSE)</f>
        <v>0</v>
      </c>
      <c r="HX684" s="1377" t="b">
        <f>HW684</f>
        <v>0</v>
      </c>
      <c r="HY684" s="436"/>
      <c r="HZ684" s="436"/>
      <c r="IA684" s="1386" t="b">
        <f>IF(MAX(GJ687:HP687)&gt;5,FALSE,TRUE)</f>
        <v>0</v>
      </c>
      <c r="IB684" s="1380">
        <f>IF(IA684=TRUE,AC684,0)</f>
        <v>0</v>
      </c>
      <c r="IC684" s="1380">
        <f>IB684-IB686</f>
        <v>0</v>
      </c>
      <c r="IF684" s="1380" t="e">
        <f>ROUND(T685*VLOOKUP(U685,Fixtures_Existing_List,2,FALSE)*N685*R685/1000,0)</f>
        <v>#N/A</v>
      </c>
      <c r="IG684" s="1381" t="e">
        <f>IF684-IF686</f>
        <v>#N/A</v>
      </c>
      <c r="IH684" s="1384" t="e">
        <f>ROUND(IF(CN684="Interior",N686*R686*R685*N685*_C406_reduction/1000,N686*R686*R685*N685/1000),0)</f>
        <v>#N/A</v>
      </c>
      <c r="II684" s="1384" t="e">
        <f>IH684-IH686</f>
        <v>#N/A</v>
      </c>
      <c r="IK684" s="1351" t="e">
        <f>IF($CO684="interior",IL684/2,VLOOKUP($CP684,Control_Savings_Exterior,IK$30,FALSE))</f>
        <v>#N/A</v>
      </c>
      <c r="IL684" s="1351" t="e">
        <f>IF($CO684="interior",VLOOKUP($CP684,Control_Savings_Interior,IL$30,FALSE),VLOOKUP($CP684,Control_Savings_Exterior,IL$30,FALSE))</f>
        <v>#N/A</v>
      </c>
      <c r="IM684" s="1351" t="e">
        <f>IF($CO684="interior",IF(R685&gt;FO$37,(IM$28*(FO$37/R685)),IM$28)*FP684,VLOOKUP($CP684,Control_Savings_Exterior,IM$30,FALSE))</f>
        <v>#N/A</v>
      </c>
      <c r="IN684" s="1351" t="e">
        <f>IF($CO684="interior",ROUND(((1-IL684)*IM684)+IL684,2),VLOOKUP($CP684,Control_Savings_Exterior,IN$30,FALSE))</f>
        <v>#N/A</v>
      </c>
      <c r="IO684" s="1351" t="e">
        <f>IF($CO684="interior", ROUND(((1-IL684)*(IM684*(1-IP$28)))+IP684,2), VLOOKUP($CP684,Control_Savings_Exterior,IO$30,FALSE))</f>
        <v>#N/A</v>
      </c>
      <c r="IP684" s="1351">
        <f>IF($CO684="interior",ROUND(((1-IL684)*IP$28)+IL684,2),0)</f>
        <v>0</v>
      </c>
    </row>
    <row r="685" spans="1:250" s="82" customFormat="1" ht="14.95" customHeight="1" thickTop="1" thickBot="1">
      <c r="B685" s="1421"/>
      <c r="C685" s="1422"/>
      <c r="D685" s="1423"/>
      <c r="E685" s="1393" t="s">
        <v>244</v>
      </c>
      <c r="F685" s="1394"/>
      <c r="G685" s="1395"/>
      <c r="H685" s="1395"/>
      <c r="I685" s="1395"/>
      <c r="J685" s="1395"/>
      <c r="K685" s="1395"/>
      <c r="L685" s="1395"/>
      <c r="M685" s="509" t="e">
        <f>IF(__Retrofit_TI_NC&lt;&gt;0,IF(VLOOKUP(G686,'Space Table'!$B$3:$L$160,3,FALSE)&gt;0,1,0),IF(__Retrofit_TI_NC=VLOOKUP(G686,'Space Table'!$B$3:$L$160,3,FALSE),1,0))</f>
        <v>#N/A</v>
      </c>
      <c r="N685" s="509" t="str">
        <f>IFERROR(VLOOKUP(G685,_Lookup_Heat_Type_Table_New,2,FALSE),"")</f>
        <v/>
      </c>
      <c r="O685" s="509">
        <f>IF(__Retrofit_TI_NC=1,CONCATENATE("TI ",G685),IF(__Retrofit_TI_NC=2,CONCATENATE("NC ",G685),G685))</f>
        <v>0</v>
      </c>
      <c r="P685" s="1396" t="s">
        <v>352</v>
      </c>
      <c r="Q685" s="1396"/>
      <c r="R685" s="673"/>
      <c r="S685" s="1429"/>
      <c r="T685" s="675"/>
      <c r="U685" s="1496"/>
      <c r="V685" s="1497"/>
      <c r="W685" s="1497"/>
      <c r="X685" s="1497"/>
      <c r="Y685" s="1497"/>
      <c r="Z685" s="1497"/>
      <c r="AA685" s="1497"/>
      <c r="AB685" s="1497"/>
      <c r="AC685" s="1497"/>
      <c r="AD685" s="1498"/>
      <c r="AE685" s="675"/>
      <c r="AF685" s="1397"/>
      <c r="AG685" s="1397"/>
      <c r="AH685" s="1397"/>
      <c r="AI685" s="1397"/>
      <c r="AJ685" s="1434"/>
      <c r="AK685" s="1436"/>
      <c r="AL685" s="1438"/>
      <c r="AM685" s="1441"/>
      <c r="AN685" s="1442"/>
      <c r="AO685" s="1447"/>
      <c r="AP685" s="1447"/>
      <c r="AQ685" s="1448"/>
      <c r="AR685" s="1452"/>
      <c r="AS685" s="1455"/>
      <c r="AT685" s="1458"/>
      <c r="AU685" s="516"/>
      <c r="AV685" s="1479"/>
      <c r="AW685" s="1479"/>
      <c r="BC685" s="38"/>
      <c r="BD685" s="38"/>
      <c r="BE685" s="38"/>
      <c r="BF685" s="38"/>
      <c r="BG685" s="38"/>
      <c r="BH685" s="38"/>
      <c r="BI685" s="38"/>
      <c r="BJ685" s="38"/>
      <c r="BK685" s="38"/>
      <c r="BL685" s="38"/>
      <c r="BM685" s="38"/>
      <c r="BN685" s="38"/>
      <c r="BO685" s="38"/>
      <c r="BP685" s="38"/>
      <c r="BQ685" s="38"/>
      <c r="BR685" s="38"/>
      <c r="BS685" s="38"/>
      <c r="BT685" s="38"/>
      <c r="BU685" s="38"/>
      <c r="BV685" s="38"/>
      <c r="BW685" s="38"/>
      <c r="BX685" s="38"/>
      <c r="BY685" s="38"/>
      <c r="BZ685" s="38"/>
      <c r="CA685" s="38"/>
      <c r="CB685" s="38"/>
      <c r="CC685" s="38"/>
      <c r="CD685" s="38"/>
      <c r="CE685" s="38"/>
      <c r="CF685" s="38"/>
      <c r="CG685" s="38"/>
      <c r="CH685" s="38"/>
      <c r="CI685" s="38"/>
      <c r="CM685" s="1352"/>
      <c r="CN685" s="1352"/>
      <c r="CO685" s="1416"/>
      <c r="CP685" s="1418"/>
      <c r="CR685" s="1386"/>
      <c r="CS685" s="1355"/>
      <c r="CT685" s="1355"/>
      <c r="CU685" s="1355"/>
      <c r="CV685" s="1372"/>
      <c r="CW685" s="1372"/>
      <c r="CX685" s="1371"/>
      <c r="CY685" s="1486"/>
      <c r="CZ685" s="1486"/>
      <c r="DA685" s="1486"/>
      <c r="DC685" s="1355"/>
      <c r="DD685" s="1461"/>
      <c r="DE685" s="1355"/>
      <c r="DF685" s="1407"/>
      <c r="DG685" s="1372"/>
      <c r="DH685" s="1369"/>
      <c r="DJ685" s="1484"/>
      <c r="DL685" s="1419"/>
      <c r="DN685" s="1403"/>
      <c r="DO685" s="1405"/>
      <c r="DP685" s="1354"/>
      <c r="DQ685" s="1405"/>
      <c r="DR685" s="1403"/>
      <c r="DS685" s="1489"/>
      <c r="DU685" s="1403"/>
      <c r="DV685" s="1405"/>
      <c r="DW685" s="1403"/>
      <c r="DX685" s="1403"/>
      <c r="DZ685" s="1481"/>
      <c r="EA685" s="1481"/>
      <c r="EC685" s="1482"/>
      <c r="ED685" s="1369"/>
      <c r="EE685" s="1371"/>
      <c r="EF685" s="1369"/>
      <c r="EG685" s="1369"/>
      <c r="EH685" s="1374"/>
      <c r="EI685" s="1374"/>
      <c r="EJ685" s="1363"/>
      <c r="EK685" s="1376"/>
      <c r="EL685" s="1376"/>
      <c r="EM685" s="1362"/>
      <c r="EN685" s="1362"/>
      <c r="EO685" s="1363"/>
      <c r="EP685" s="1363"/>
      <c r="EQ685" s="1363"/>
      <c r="ES685" s="1403"/>
      <c r="EU685" s="1411"/>
      <c r="EV685" s="1411"/>
      <c r="EW685" s="1411"/>
      <c r="EX685" s="1411"/>
      <c r="EY685" s="1411"/>
      <c r="EZ685" s="1413"/>
      <c r="FB685" s="1365"/>
      <c r="FD685" s="1354"/>
      <c r="FE685" s="1354"/>
      <c r="FF685" s="138"/>
      <c r="FI685" s="1357"/>
      <c r="FJ685" s="1357"/>
      <c r="FK685" s="1365"/>
      <c r="FL685" s="1365"/>
      <c r="FM685" s="1365"/>
      <c r="FO685" s="1361"/>
      <c r="FP685" s="1361"/>
      <c r="FQ685" s="1366"/>
      <c r="FR685" s="1368"/>
      <c r="FS685" s="1361"/>
      <c r="FT685" s="1368"/>
      <c r="FU685" s="1360"/>
      <c r="FW685" s="1352"/>
      <c r="FX685" s="1352"/>
      <c r="FY685" s="1352"/>
      <c r="FZ685" s="1352"/>
      <c r="GA685" s="1352"/>
      <c r="GB685" s="1352"/>
      <c r="GC685" s="1352"/>
      <c r="GD685" s="1352"/>
      <c r="GE685" s="759"/>
      <c r="GF685" s="1035"/>
      <c r="GG685" s="1385"/>
      <c r="GI685" s="1384" t="b">
        <f>IF(AND(GL685=TRUE,GM685=TRUE),TRUE,FALSE)</f>
        <v>0</v>
      </c>
      <c r="GJ685" s="1379" t="b">
        <f>IFERROR(IF(__Retrofit_TI_NC=2,TRUE,IF(AR684="Yes",TRUE,FALSE)),FALSE)</f>
        <v>1</v>
      </c>
      <c r="GL685" s="1379" t="b">
        <f>IFERROR(IF(GL684=1,TRUE,FALSE),FALSE)</f>
        <v>0</v>
      </c>
      <c r="GM685" s="1379" t="b">
        <f>IFERROR(IF(GM684=GM$14,TRUE,FALSE),FALSE)</f>
        <v>0</v>
      </c>
      <c r="HC685" s="1379" t="b">
        <f>IFERROR(IF(M685=1,TRUE,FALSE),FALSE)</f>
        <v>0</v>
      </c>
      <c r="HD685" s="1379" t="b">
        <f>IFERROR(IF(M686=1,TRUE,FALSE),FALSE)</f>
        <v>0</v>
      </c>
      <c r="HE685" s="1379" t="b">
        <f>IFERROR(IF(__Retrofit_TI_NC&lt;&gt;0,TRUE,IFERROR(IF(VLOOKUP(U685,Fixtures_Existing_List,2,FALSE)&lt;&gt;"",TRUE,FALSE),FALSE)),FALSE)</f>
        <v>0</v>
      </c>
      <c r="HF685" s="1379" t="b">
        <f>IFERROR(IF(VLOOKUP(U686,Fixtures_Proposed_List,2,FALSE)&lt;&gt;"",TRUE,FALSE),FALSE)</f>
        <v>0</v>
      </c>
      <c r="HG685" s="1379" t="b">
        <f>IF(AND(__Retrofit_TI_NC=2,EZ684=TRUE),FALSE,TRUE)</f>
        <v>1</v>
      </c>
      <c r="HH685" s="1379" t="b">
        <f>GG684</f>
        <v>1</v>
      </c>
      <c r="HI685" s="1384" t="b">
        <f>IF(ISERROR(MATCH(FB684,_Control_Match[],0))=TRUE,FALSE,TRUE)</f>
        <v>0</v>
      </c>
      <c r="HJ685" s="1384" t="b">
        <f>IFERROR(IF(EU684&lt;&gt;EV684,FALSE,TRUE),FALSE)</f>
        <v>0</v>
      </c>
      <c r="HK685" s="1384" t="b">
        <f>IFERROR(IF(EU686&lt;&gt;EV686,FALSE,TRUE),FALSE)</f>
        <v>0</v>
      </c>
      <c r="HL685" s="1379" t="b">
        <f>IFERROR(IF(CN684="Exterior",TRUE,IF(OR(AND(FJ684=0,EW686&gt;4),AND(FJ684=4,EW686&gt;4,EW686&lt;7)),FALSE,TRUE)),FALSE)</f>
        <v>0</v>
      </c>
      <c r="HM685" s="1379" t="b">
        <f>IFERROR(IF(AND(FL686=7,EZ684=TRUE),FALSE,TRUE),FALSE)</f>
        <v>0</v>
      </c>
      <c r="HN685" s="1379" t="b">
        <f>IFERROR(IF(AND(T686&lt;&gt;AE686,AF686="Interior LLLC")=TRUE,FALSE,TRUE),FALSE)</f>
        <v>1</v>
      </c>
      <c r="HO685" s="1379" t="b">
        <f>IFERROR(IF(OR(AF686=Lookup!AU$13,AF686=Lookup!AU$14)=TRUE,IF(AE686&gt;T686,FALSE,TRUE),TRUE),FALSE)</f>
        <v>1</v>
      </c>
      <c r="HP685" s="1379" t="b">
        <f>IFERROR(IF(__Retrofit_TI_NC=2,IF(EW686&lt;EW684,FALSE,TRUE),TRUE),FALSE)</f>
        <v>1</v>
      </c>
      <c r="HQ685" s="1379" t="b">
        <f>IF(CN684="Interior",IG$6,TRUE)</f>
        <v>1</v>
      </c>
      <c r="HR685" s="1379" t="b">
        <f>IF(CN684="Exterior",IG$8,TRUE)</f>
        <v>1</v>
      </c>
      <c r="HS685" s="1379" t="b">
        <f>IFERROR(IF(__Retrofit_TI_NC&lt;&gt;0,IF(AW684&lt;AV684,FALSE,TRUE),TRUE),FALSE)</f>
        <v>1</v>
      </c>
      <c r="HT685" s="1379" t="b">
        <f>IFERROR(IF(AND(G685="Exterior",R685&gt;4200),FALSE,TRUE),FALSE)</f>
        <v>1</v>
      </c>
      <c r="HU685" s="1379" t="b">
        <f>IFERROR(IF(AB687/AB684&lt;HU$18,FALSE,TRUE),FALSE)</f>
        <v>0</v>
      </c>
      <c r="HW685" s="1382"/>
      <c r="HX685" s="1378"/>
      <c r="HY685" s="1377" t="str">
        <f>VLOOKUP(HW687,_Error_Table,4,FALSE)</f>
        <v>White</v>
      </c>
      <c r="HZ685" s="436"/>
      <c r="IA685" s="1386"/>
      <c r="IB685" s="1380"/>
      <c r="IC685" s="1379"/>
      <c r="IF685" s="1380"/>
      <c r="IG685" s="1382"/>
      <c r="IH685" s="1382"/>
      <c r="II685" s="1382"/>
      <c r="IK685" s="1351"/>
      <c r="IL685" s="1351"/>
      <c r="IM685" s="1351"/>
      <c r="IN685" s="1351"/>
      <c r="IO685" s="1351"/>
      <c r="IP685" s="1351"/>
    </row>
    <row r="686" spans="1:250" s="82" customFormat="1" ht="14.95" customHeight="1" thickTop="1" thickBot="1">
      <c r="A686" s="82">
        <f>ROW()</f>
        <v>686</v>
      </c>
      <c r="B686" s="1421"/>
      <c r="C686" s="1422"/>
      <c r="D686" s="1423"/>
      <c r="E686" s="1393" t="s">
        <v>245</v>
      </c>
      <c r="F686" s="1394"/>
      <c r="G686" s="1398"/>
      <c r="H686" s="1399"/>
      <c r="I686" s="1399"/>
      <c r="J686" s="1399"/>
      <c r="K686" s="1399"/>
      <c r="L686" s="1400"/>
      <c r="M686" s="509">
        <f>IFERROR(IF(IF(__Retrofit_TI_NC&lt;&gt;0,IF(CN684="Interior",MATCH(G686,Lookup_Interior_New,0),MATCH(G686,Lookup_Exterior_New,0)),IF(CN684="Interior",MATCH(G686,Lookup_Interior,0),MATCH(G686,Lookup_Exterior_Areas,0)))&gt;0,1,0),0)</f>
        <v>0</v>
      </c>
      <c r="N686" s="509" t="e">
        <f>IF(__Retrofit_TI_NC=1,
VLOOKUP(G686,'Space Table'!$B$3:$L$160,4,FALSE),
IF(__Retrofit_TI_NC=2,VLOOKUP(G686,'Space Table'!$B$3:$L$160,5,FALSE),VLOOKUP(G686,'Space Table'!$B$3:$L$160,5,FALSE)))</f>
        <v>#N/A</v>
      </c>
      <c r="O686" s="509">
        <f>G686</f>
        <v>0</v>
      </c>
      <c r="P686" s="1394" t="s">
        <v>355</v>
      </c>
      <c r="Q686" s="1394"/>
      <c r="R686" s="674"/>
      <c r="S686" s="1401" t="s">
        <v>284</v>
      </c>
      <c r="T686" s="672"/>
      <c r="U686" s="1499"/>
      <c r="V686" s="1500"/>
      <c r="W686" s="1500"/>
      <c r="X686" s="1500"/>
      <c r="Y686" s="1500"/>
      <c r="Z686" s="1500"/>
      <c r="AA686" s="1500"/>
      <c r="AB686" s="1501"/>
      <c r="AC686" s="1501"/>
      <c r="AD686" s="1502"/>
      <c r="AE686" s="672"/>
      <c r="AF686" s="1474"/>
      <c r="AG686" s="1474"/>
      <c r="AH686" s="1474"/>
      <c r="AI686" s="1474"/>
      <c r="AJ686" s="1475">
        <f>DF686</f>
        <v>0</v>
      </c>
      <c r="AK686" s="1470" t="str">
        <f>IFERROR(ROUND(AJ686*AC687,0),"")</f>
        <v/>
      </c>
      <c r="AL686" s="1472">
        <f>IFERROR(IF(HW684=FALSE,0,AC687-AK686),0)</f>
        <v>0</v>
      </c>
      <c r="AM686" s="1441"/>
      <c r="AN686" s="1442"/>
      <c r="AO686" s="1447"/>
      <c r="AP686" s="1447"/>
      <c r="AQ686" s="1448"/>
      <c r="AR686" s="1452"/>
      <c r="AS686" s="1455"/>
      <c r="AT686" s="1458"/>
      <c r="AU686" s="516"/>
      <c r="AV686" s="1479"/>
      <c r="AW686" s="1479"/>
      <c r="BC686" s="38"/>
      <c r="BD686" s="38"/>
      <c r="BE686" s="38"/>
      <c r="BF686" s="38"/>
      <c r="BG686" s="38"/>
      <c r="BH686" s="38"/>
      <c r="BI686" s="38"/>
      <c r="BJ686" s="38"/>
      <c r="BK686" s="38"/>
      <c r="BL686" s="38"/>
      <c r="BM686" s="38"/>
      <c r="BN686" s="38"/>
      <c r="BO686" s="38"/>
      <c r="BP686" s="38"/>
      <c r="BQ686" s="38"/>
      <c r="BR686" s="38"/>
      <c r="BS686" s="38"/>
      <c r="BT686" s="38"/>
      <c r="BU686" s="38"/>
      <c r="BV686" s="38"/>
      <c r="BW686" s="38"/>
      <c r="BX686" s="38"/>
      <c r="BY686" s="38"/>
      <c r="BZ686" s="38"/>
      <c r="CA686" s="38"/>
      <c r="CB686" s="38"/>
      <c r="CC686" s="38"/>
      <c r="CD686" s="38"/>
      <c r="CE686" s="38"/>
      <c r="CF686" s="38"/>
      <c r="CG686" s="38"/>
      <c r="CH686" s="38"/>
      <c r="CI686" s="38"/>
      <c r="CM686" s="1352"/>
      <c r="CN686" s="1352"/>
      <c r="CO686" s="1415" t="str">
        <f>CN684</f>
        <v/>
      </c>
      <c r="CP686" s="1417" t="e">
        <f>CP684</f>
        <v>#N/A</v>
      </c>
      <c r="CR686" s="1386" t="s">
        <v>284</v>
      </c>
      <c r="CS686" s="1353">
        <f>IF(HW684=TRUE,T686,0)</f>
        <v>0</v>
      </c>
      <c r="CT686" s="1353" t="str">
        <f>IF(HW684=TRUE,U686,"")</f>
        <v/>
      </c>
      <c r="CU686" s="1373">
        <f>IF(HW684=TRUE,U687,0)</f>
        <v>0</v>
      </c>
      <c r="CV686" s="1370">
        <f>IF(HW684=TRUE,AB687,0)</f>
        <v>0</v>
      </c>
      <c r="CW686" s="1370">
        <f>IF(HW684=TRUE,AC687,0)</f>
        <v>0</v>
      </c>
      <c r="CX686" s="1371"/>
      <c r="CY686" s="1486"/>
      <c r="CZ686" s="1486"/>
      <c r="DA686" s="1486"/>
      <c r="DC686" s="1353">
        <f>IF(HW684=TRUE,AE686,0)</f>
        <v>0</v>
      </c>
      <c r="DD686" s="1353" t="str">
        <f>IF(HW684=TRUE,AF686,"")</f>
        <v/>
      </c>
      <c r="DE686" s="1373">
        <f>AF687</f>
        <v>0</v>
      </c>
      <c r="DF686" s="1406">
        <f>IFERROR(IF(FL686=3,IK686,IF(FL686=4,IL686,IF(FL686=5,IM686,IF(FL686=6,IN686,IF(FL686=7,IO686,IF(FL686=8,IP686,0)))))),0)</f>
        <v>0</v>
      </c>
      <c r="DG686" s="1370">
        <f>IF(HW684=TRUE,AK686,0)</f>
        <v>0</v>
      </c>
      <c r="DH686" s="1369"/>
      <c r="DK686" s="1483">
        <f>IFERROR(CW686-DG686,0)</f>
        <v>0</v>
      </c>
      <c r="DL686" s="1420"/>
      <c r="DN686" s="1403"/>
      <c r="DO686" s="1477" t="str">
        <f>DN684</f>
        <v/>
      </c>
      <c r="DP686" s="1354"/>
      <c r="DQ686" s="1477" t="str">
        <f>IF(DP684=7,"LLLC","")</f>
        <v/>
      </c>
      <c r="DR686" s="1403"/>
      <c r="DS686" s="1489"/>
      <c r="DU686" s="1403"/>
      <c r="DV686" s="1404" t="str">
        <f>DU684</f>
        <v/>
      </c>
      <c r="DW686" s="1403"/>
      <c r="DX686" s="1403"/>
      <c r="DZ686" s="1481"/>
      <c r="EA686" s="1481"/>
      <c r="EC686" s="1482"/>
      <c r="ED686" s="1369"/>
      <c r="EE686" s="1371"/>
      <c r="EF686" s="1369"/>
      <c r="EG686" s="1369"/>
      <c r="EH686" s="1374"/>
      <c r="EI686" s="1374"/>
      <c r="EJ686" s="1363"/>
      <c r="EK686" s="1376"/>
      <c r="EL686" s="1376"/>
      <c r="EM686" s="1362"/>
      <c r="EN686" s="1362"/>
      <c r="EO686" s="1363"/>
      <c r="EP686" s="1363"/>
      <c r="EQ686" s="1363"/>
      <c r="ES686" s="1403"/>
      <c r="EU686" s="1411" t="e">
        <f>VLOOKUP(CP686,'Space Table'!$B$3:$L$160,8,FALSE)</f>
        <v>#N/A</v>
      </c>
      <c r="EV686" s="1411" t="e">
        <f>IF(EY686="Yes",VLOOKUP(AF686,Lookup_Control_Type_Table2,4,FALSE),VLOOKUP(AF686,Lookup_Control_Type_Table2,3,FALSE))</f>
        <v>#N/A</v>
      </c>
      <c r="EW686" s="1411" t="e">
        <f>VLOOKUP(AF686,Lookup!AU$3:AV$15,2,FALSE)</f>
        <v>#N/A</v>
      </c>
      <c r="EX686" s="1411" t="e">
        <f>VLOOKUP(EU684,Lookup_Control_Type_Table,2,FALSE)</f>
        <v>#N/A</v>
      </c>
      <c r="EY686" s="1411" t="e">
        <f>VLOOKUP(CP686,'Space Table'!$B$3:$L$160,7,FALSE)</f>
        <v>#N/A</v>
      </c>
      <c r="EZ686" s="1413"/>
      <c r="FB686" s="1365" t="str">
        <f>CONCATENATE(CN684," - ",AF686)</f>
        <v xml:space="preserve"> - </v>
      </c>
      <c r="FD686" s="1354"/>
      <c r="FE686" s="1354"/>
      <c r="FF686" s="138"/>
      <c r="FI686" s="1356" t="str">
        <f>IF(CN684="Exterior","Not Daylighted",G687)</f>
        <v>Not Daylighted</v>
      </c>
      <c r="FJ686" s="1356">
        <f>VLOOKUP(FI686,_Daylight_Table_Codes,2,FALSE)</f>
        <v>0</v>
      </c>
      <c r="FK686" s="1365">
        <f>AF686</f>
        <v>0</v>
      </c>
      <c r="FL686" s="1365" t="e">
        <f>VLOOKUP(FK686,_Control_Table,2,FALSE)</f>
        <v>#N/A</v>
      </c>
      <c r="FM686" s="1365" t="e">
        <f>IF(AND(FP686&gt;0,FK686="Occupancy Sensor"),"Daylight + Occupancy",IF(AND(FP686&gt;0,FL686&lt;4),"Interior Daylight Dimming",FK686))</f>
        <v>#N/A</v>
      </c>
      <c r="FO686" s="1364">
        <f>IF(CN684="Interior",VLOOKUP(CP684,Control_Savings_Interior,5,FALSE),0)</f>
        <v>0</v>
      </c>
      <c r="FP686" s="1361">
        <f>IF(CN686="Exterior",0,IF(FJ686=2,0.5,IF(OR(FJ686=1,FJ686=3),1,0)))</f>
        <v>0</v>
      </c>
      <c r="FQ686" s="1366">
        <f>IF(R685&gt;FO$37,(FO686*(FO$37/R685)),FO686)*FP686</f>
        <v>0</v>
      </c>
      <c r="FR686" s="1364">
        <f>DF686</f>
        <v>0</v>
      </c>
      <c r="FS686" s="1364">
        <f>ROUND(FR686+((1-FR686)*FQ686),2)</f>
        <v>0</v>
      </c>
      <c r="FT686" s="1364">
        <f>IF(__Retrofit_TI_NC=2,FS686,FR686)</f>
        <v>0</v>
      </c>
      <c r="FU686" s="1360">
        <f>IF(CO686="Interior",VLOOKUP(CP686,Control_Savings_Interior,4,FALSE),0)</f>
        <v>0</v>
      </c>
      <c r="FW686" s="1352"/>
      <c r="FX686" s="1352"/>
      <c r="FY686" s="1352"/>
      <c r="FZ686" s="1352"/>
      <c r="GA686" s="1352"/>
      <c r="GB686" s="1352"/>
      <c r="GC686" s="1352"/>
      <c r="GD686" s="1352"/>
      <c r="GE686" s="759" t="b">
        <f>IF(ISNUMBER(SEARCH("TLED",U686)),TRUE,FALSE)</f>
        <v>0</v>
      </c>
      <c r="GF686" s="1035" t="str">
        <f>IFERROR(VLOOKUP(U686,Fixtures!DM$93:DR$142,6,FALSE),"")</f>
        <v/>
      </c>
      <c r="GG686" s="1385"/>
      <c r="GI686" s="1383"/>
      <c r="GJ686" s="1379"/>
      <c r="GL686" s="1379"/>
      <c r="GM686" s="1379"/>
      <c r="HC686" s="1379"/>
      <c r="HD686" s="1379"/>
      <c r="HE686" s="1379"/>
      <c r="HF686" s="1379"/>
      <c r="HG686" s="1379"/>
      <c r="HH686" s="1379"/>
      <c r="HI686" s="1383"/>
      <c r="HJ686" s="1383"/>
      <c r="HK686" s="1383"/>
      <c r="HL686" s="1379"/>
      <c r="HM686" s="1379"/>
      <c r="HN686" s="1379"/>
      <c r="HO686" s="1379"/>
      <c r="HP686" s="1379"/>
      <c r="HQ686" s="1379"/>
      <c r="HR686" s="1379"/>
      <c r="HS686" s="1379"/>
      <c r="HT686" s="1379"/>
      <c r="HU686" s="1379"/>
      <c r="HW686" s="1383"/>
      <c r="HX686" s="1384" t="b">
        <f>HW684</f>
        <v>0</v>
      </c>
      <c r="HY686" s="1378"/>
      <c r="HZ686" s="436"/>
      <c r="IA686" s="1386"/>
      <c r="IB686" s="1380">
        <f>IF(IA684=TRUE,AC687,0)</f>
        <v>0</v>
      </c>
      <c r="IC686" s="1379"/>
      <c r="IF686" s="1380" t="e">
        <f>ROUND(T686*AB687*N685*R685/1000,0)</f>
        <v>#VALUE!</v>
      </c>
      <c r="IG686" s="1382"/>
      <c r="IH686" s="1384" t="e">
        <f>ROUND(T686*AB687*N685*R685/1000,0)</f>
        <v>#VALUE!</v>
      </c>
      <c r="II686" s="1382"/>
      <c r="IK686" s="1351" t="e">
        <f>IF($CO686="interior",IL686/2,VLOOKUP($CP686,Control_Savings_Exterior,IK$30,FALSE))</f>
        <v>#N/A</v>
      </c>
      <c r="IL686" s="1351" t="e">
        <f>IF($CO686="interior",VLOOKUP($CP686,Control_Savings_Interior,IL$30,FALSE),VLOOKUP($CP686,Control_Savings_Exterior,IL$30,FALSE))</f>
        <v>#N/A</v>
      </c>
      <c r="IM686" s="1351" t="e">
        <f>IF($CO686="interior",IF(R685&gt;FO$37,(IM$28*(FO$37/R685)),IM$28)*FP686,VLOOKUP($CP686,Control_Savings_Exterior,IM$30,FALSE))</f>
        <v>#N/A</v>
      </c>
      <c r="IN686" s="1351" t="e">
        <f>IF($CO686="interior",ROUND(((1-IL686)*IM686)+IL686,2),VLOOKUP($CP686,Control_Savings_Exterior,IN$30,FALSE))</f>
        <v>#N/A</v>
      </c>
      <c r="IO686" s="1351" t="e">
        <f>IF($CO686="interior", ROUND(((1-IL686)*(IM686*(1-IP$28)))+IP686,2), VLOOKUP($CP686,Control_Savings_Exterior,IO$30,FALSE))</f>
        <v>#N/A</v>
      </c>
      <c r="IP686" s="1351">
        <f>IF($CO686="interior",ROUND(((1-IL686)*IP$28)+IL686,2),0)</f>
        <v>0</v>
      </c>
    </row>
    <row r="687" spans="1:250" s="82" customFormat="1" ht="14.95" customHeight="1" thickTop="1" thickBot="1">
      <c r="B687" s="1421"/>
      <c r="C687" s="1422"/>
      <c r="D687" s="1423"/>
      <c r="E687" s="1462" t="s">
        <v>357</v>
      </c>
      <c r="F687" s="1463"/>
      <c r="G687" s="1464" t="s">
        <v>362</v>
      </c>
      <c r="H687" s="1465"/>
      <c r="I687" s="1465"/>
      <c r="J687" s="1465"/>
      <c r="K687" s="1465"/>
      <c r="L687" s="1466"/>
      <c r="M687" s="669">
        <f>IFERROR(VLOOKUP(G687,_Daylight_Table[],2,FALSE),0)</f>
        <v>0</v>
      </c>
      <c r="N687" s="670"/>
      <c r="O687" s="669" t="e">
        <f>VLOOKUP(G686,'Space Table'!$B$3:$L$160,11,FALSE)</f>
        <v>#N/A</v>
      </c>
      <c r="P687" s="1408"/>
      <c r="Q687" s="1409"/>
      <c r="R687" s="1409"/>
      <c r="S687" s="1402"/>
      <c r="T687" s="671" t="s">
        <v>281</v>
      </c>
      <c r="U687" s="1467" t="str">
        <f>IFERROR(VLOOKUP(U686,Fixtures!DM$93:DP$142,4,FALSE),"")</f>
        <v/>
      </c>
      <c r="V687" s="1468"/>
      <c r="W687" s="1468"/>
      <c r="X687" s="1468"/>
      <c r="Y687" s="1468"/>
      <c r="Z687" s="1468"/>
      <c r="AA687" s="1468"/>
      <c r="AB687" s="1046" t="str">
        <f>IFERROR(VLOOKUP(U686,Fixtures_Proposed_List,2,FALSE),"")</f>
        <v/>
      </c>
      <c r="AC687" s="1036" t="str">
        <f>IFERROR(ROUND(T686*AB687*N685*R685/1000,0),"")</f>
        <v/>
      </c>
      <c r="AD687" s="1037" t="str">
        <f>IFERROR(ROUND(T686*AB687/1000,2),"")</f>
        <v/>
      </c>
      <c r="AE687" s="1045" t="s">
        <v>281</v>
      </c>
      <c r="AF687" s="1469"/>
      <c r="AG687" s="1469"/>
      <c r="AH687" s="1469"/>
      <c r="AI687" s="1469"/>
      <c r="AJ687" s="1476"/>
      <c r="AK687" s="1471"/>
      <c r="AL687" s="1473"/>
      <c r="AM687" s="1443"/>
      <c r="AN687" s="1444"/>
      <c r="AO687" s="1449"/>
      <c r="AP687" s="1449"/>
      <c r="AQ687" s="1450"/>
      <c r="AR687" s="1453"/>
      <c r="AS687" s="1456"/>
      <c r="AT687" s="1459"/>
      <c r="AU687" s="517"/>
      <c r="AV687" s="1480"/>
      <c r="AW687" s="1480"/>
      <c r="BC687" s="38"/>
      <c r="BD687" s="38"/>
      <c r="BE687" s="38"/>
      <c r="BF687" s="38"/>
      <c r="BG687" s="38"/>
      <c r="BH687" s="38"/>
      <c r="BI687" s="38"/>
      <c r="BJ687" s="38"/>
      <c r="BK687" s="38"/>
      <c r="BL687" s="38"/>
      <c r="BM687" s="38"/>
      <c r="BN687" s="38"/>
      <c r="BO687" s="38"/>
      <c r="BP687" s="38"/>
      <c r="BQ687" s="38"/>
      <c r="BR687" s="38"/>
      <c r="BS687" s="38"/>
      <c r="BT687" s="38"/>
      <c r="BU687" s="38"/>
      <c r="BV687" s="38"/>
      <c r="BW687" s="38"/>
      <c r="BX687" s="38"/>
      <c r="BY687" s="38"/>
      <c r="BZ687" s="38"/>
      <c r="CA687" s="38"/>
      <c r="CB687" s="38"/>
      <c r="CC687" s="38"/>
      <c r="CD687" s="38"/>
      <c r="CE687" s="38"/>
      <c r="CF687" s="38"/>
      <c r="CG687" s="38"/>
      <c r="CH687" s="38"/>
      <c r="CI687" s="38"/>
      <c r="CM687" s="1352"/>
      <c r="CN687" s="1352"/>
      <c r="CO687" s="1416"/>
      <c r="CP687" s="1418"/>
      <c r="CR687" s="1386"/>
      <c r="CS687" s="1355"/>
      <c r="CT687" s="1355"/>
      <c r="CU687" s="1375"/>
      <c r="CV687" s="1372"/>
      <c r="CW687" s="1372"/>
      <c r="CX687" s="1372"/>
      <c r="CY687" s="1487"/>
      <c r="CZ687" s="1487"/>
      <c r="DA687" s="1487"/>
      <c r="DC687" s="1355"/>
      <c r="DD687" s="1355"/>
      <c r="DE687" s="1375"/>
      <c r="DF687" s="1407"/>
      <c r="DG687" s="1372"/>
      <c r="DH687" s="1369"/>
      <c r="DK687" s="1484"/>
      <c r="DL687" s="1420"/>
      <c r="DN687" s="1403"/>
      <c r="DO687" s="1405"/>
      <c r="DP687" s="1355"/>
      <c r="DQ687" s="1405"/>
      <c r="DR687" s="1403"/>
      <c r="DS687" s="1489"/>
      <c r="DU687" s="1403"/>
      <c r="DV687" s="1405"/>
      <c r="DW687" s="1403"/>
      <c r="DX687" s="1403"/>
      <c r="DZ687" s="1481"/>
      <c r="EA687" s="1481"/>
      <c r="EC687" s="1482"/>
      <c r="ED687" s="1369"/>
      <c r="EE687" s="1372"/>
      <c r="EF687" s="1369"/>
      <c r="EG687" s="1369"/>
      <c r="EH687" s="1375"/>
      <c r="EI687" s="1375"/>
      <c r="EJ687" s="1363"/>
      <c r="EK687" s="1376"/>
      <c r="EL687" s="1376"/>
      <c r="EM687" s="1362"/>
      <c r="EN687" s="1362"/>
      <c r="EO687" s="1363"/>
      <c r="EP687" s="1363"/>
      <c r="EQ687" s="1363"/>
      <c r="ES687" s="1403"/>
      <c r="EU687" s="1488"/>
      <c r="EV687" s="1488"/>
      <c r="EW687" s="1488"/>
      <c r="EX687" s="1488"/>
      <c r="EY687" s="1488"/>
      <c r="EZ687" s="1414"/>
      <c r="FB687" s="1365"/>
      <c r="FD687" s="1355"/>
      <c r="FE687" s="1355"/>
      <c r="FF687" s="138"/>
      <c r="FI687" s="1357"/>
      <c r="FJ687" s="1357"/>
      <c r="FK687" s="1365"/>
      <c r="FL687" s="1365"/>
      <c r="FM687" s="1365"/>
      <c r="FO687" s="1361"/>
      <c r="FP687" s="1361"/>
      <c r="FQ687" s="1366"/>
      <c r="FR687" s="1361"/>
      <c r="FS687" s="1361"/>
      <c r="FT687" s="1361"/>
      <c r="FU687" s="1360"/>
      <c r="FW687" s="1352"/>
      <c r="FX687" s="1352"/>
      <c r="FY687" s="1352"/>
      <c r="FZ687" s="1352"/>
      <c r="GA687" s="1352"/>
      <c r="GB687" s="1352"/>
      <c r="GC687" s="1352"/>
      <c r="GD687" s="1352"/>
      <c r="GE687" s="759"/>
      <c r="GF687" s="1035"/>
      <c r="GG687" s="1385"/>
      <c r="GJ687" s="1034">
        <f>IF(GJ685=TRUE,0,GJ$16)</f>
        <v>0</v>
      </c>
      <c r="GL687" s="1034">
        <f>IF(GL685=TRUE,0,GL$16)</f>
        <v>36</v>
      </c>
      <c r="GM687" s="1034">
        <f>IF(GM685=TRUE,0,GM$16)</f>
        <v>35</v>
      </c>
      <c r="GN687" s="436"/>
      <c r="GO687" s="436"/>
      <c r="GP687" s="436"/>
      <c r="GQ687" s="436"/>
      <c r="GR687" s="436"/>
      <c r="HC687" s="1034">
        <f t="shared" ref="HC687:HH687" si="510">IF(HC685=TRUE,0,HC$16)</f>
        <v>19</v>
      </c>
      <c r="HD687" s="1034">
        <f t="shared" si="510"/>
        <v>18</v>
      </c>
      <c r="HE687" s="1034">
        <f t="shared" si="510"/>
        <v>17</v>
      </c>
      <c r="HF687" s="1034">
        <f t="shared" si="510"/>
        <v>16</v>
      </c>
      <c r="HG687" s="1034">
        <f t="shared" si="510"/>
        <v>0</v>
      </c>
      <c r="HH687" s="1034">
        <f t="shared" si="510"/>
        <v>0</v>
      </c>
      <c r="HI687" s="1034">
        <f>IF(HI685=TRUE,0,HI$16)</f>
        <v>13</v>
      </c>
      <c r="HJ687" s="1034">
        <f t="shared" ref="HJ687:HL687" si="511">IF(HJ685=TRUE,0,HJ$16)</f>
        <v>12</v>
      </c>
      <c r="HK687" s="1034">
        <f t="shared" si="511"/>
        <v>11</v>
      </c>
      <c r="HL687" s="1034">
        <f t="shared" si="511"/>
        <v>10</v>
      </c>
      <c r="HM687" s="1034">
        <f>IF(HM685=TRUE,0,HM$16)</f>
        <v>9</v>
      </c>
      <c r="HN687" s="1034">
        <f t="shared" ref="HN687:HR687" si="512">IF(HN685=TRUE,0,HN$16)</f>
        <v>0</v>
      </c>
      <c r="HO687" s="1034">
        <f t="shared" si="512"/>
        <v>0</v>
      </c>
      <c r="HP687" s="1034">
        <f t="shared" si="512"/>
        <v>0</v>
      </c>
      <c r="HQ687" s="1034">
        <f t="shared" si="512"/>
        <v>0</v>
      </c>
      <c r="HR687" s="1034">
        <f t="shared" si="512"/>
        <v>0</v>
      </c>
      <c r="HS687" s="1034">
        <f>IF(HS685=TRUE,0,HS$16)</f>
        <v>0</v>
      </c>
      <c r="HT687" s="1034">
        <f t="shared" ref="HT687" si="513">IF(HT685=TRUE,0,HT$16)</f>
        <v>0</v>
      </c>
      <c r="HU687" s="1034">
        <f>IF(HU685=TRUE,0,HU$16)</f>
        <v>1</v>
      </c>
      <c r="HW687" s="1034">
        <f>IF(GL685=FALSE,GL687,IF(GM685=FALSE,GM687,MAX(GJ687:HU687)))</f>
        <v>36</v>
      </c>
      <c r="HX687" s="1383"/>
      <c r="HY687" s="241" t="str">
        <f>VLOOKUP(HW687,_Error_Table,3,FALSE)</f>
        <v xml:space="preserve"> </v>
      </c>
      <c r="HZ687" s="241"/>
      <c r="IA687" s="1386"/>
      <c r="IB687" s="1380"/>
      <c r="IC687" s="1379"/>
      <c r="IF687" s="1380"/>
      <c r="IG687" s="1383"/>
      <c r="IH687" s="1383"/>
      <c r="II687" s="1383"/>
      <c r="IK687" s="1351"/>
      <c r="IL687" s="1351"/>
      <c r="IM687" s="1351"/>
      <c r="IN687" s="1351"/>
      <c r="IO687" s="1351"/>
      <c r="IP687" s="1351"/>
    </row>
    <row r="688" spans="1:250" s="82" customFormat="1" ht="5.0999999999999996" customHeight="1" thickBot="1">
      <c r="B688" s="763"/>
      <c r="C688" s="1038"/>
      <c r="D688" s="1038"/>
      <c r="E688" s="1490"/>
      <c r="F688" s="1490"/>
      <c r="G688" s="1490"/>
      <c r="H688" s="1490"/>
      <c r="I688" s="1490"/>
      <c r="J688" s="1490"/>
      <c r="K688" s="1490"/>
      <c r="L688" s="1490"/>
      <c r="M688" s="1490"/>
      <c r="N688" s="1490"/>
      <c r="O688" s="1490"/>
      <c r="P688" s="1490"/>
      <c r="Q688" s="1490"/>
      <c r="R688" s="1490"/>
      <c r="S688" s="1490"/>
      <c r="T688" s="1490"/>
      <c r="U688" s="1490"/>
      <c r="V688" s="1490"/>
      <c r="W688" s="1490"/>
      <c r="X688" s="1490"/>
      <c r="Y688" s="1490"/>
      <c r="Z688" s="1490"/>
      <c r="AA688" s="1490"/>
      <c r="AB688" s="1490"/>
      <c r="AC688" s="1490"/>
      <c r="AD688" s="1490"/>
      <c r="AE688" s="1490"/>
      <c r="AF688" s="1490"/>
      <c r="AG688" s="1490"/>
      <c r="AH688" s="1490"/>
      <c r="AI688" s="1490"/>
      <c r="AJ688" s="1490"/>
      <c r="AK688" s="1490"/>
      <c r="AL688" s="1490"/>
      <c r="AM688" s="1490"/>
      <c r="AN688" s="1490"/>
      <c r="AO688" s="1490"/>
      <c r="AP688" s="1490"/>
      <c r="AQ688" s="1490"/>
      <c r="AR688" s="1490"/>
      <c r="AS688" s="1490"/>
      <c r="AT688" s="1490"/>
      <c r="AU688" s="1041"/>
      <c r="BC688" s="38"/>
      <c r="BD688" s="38"/>
      <c r="BE688" s="38"/>
      <c r="BF688" s="38"/>
      <c r="BG688" s="38"/>
      <c r="BH688" s="38"/>
      <c r="BI688" s="38"/>
      <c r="BJ688" s="38"/>
      <c r="BK688" s="38"/>
      <c r="BL688" s="38"/>
      <c r="BM688" s="38"/>
      <c r="BN688" s="38"/>
      <c r="BO688" s="38"/>
      <c r="BP688" s="38"/>
      <c r="BQ688" s="38"/>
      <c r="BR688" s="38"/>
      <c r="BS688" s="38"/>
      <c r="BT688" s="38"/>
      <c r="BU688" s="38"/>
      <c r="BV688" s="38"/>
      <c r="BW688" s="38"/>
      <c r="BX688" s="38"/>
      <c r="BY688" s="38"/>
      <c r="BZ688" s="38"/>
      <c r="CA688" s="38"/>
      <c r="CB688" s="38"/>
      <c r="CC688" s="38"/>
      <c r="CD688" s="38"/>
      <c r="CE688" s="38"/>
      <c r="CF688" s="38"/>
      <c r="CG688" s="38"/>
      <c r="CH688" s="38"/>
      <c r="CI688" s="38"/>
      <c r="CM688" s="749"/>
      <c r="CN688" s="749"/>
      <c r="CO688" s="1043"/>
      <c r="CP688" s="749"/>
      <c r="CS688" s="436"/>
      <c r="CT688" s="436"/>
      <c r="CU688" s="243"/>
      <c r="CV688" s="244"/>
      <c r="CW688" s="244"/>
      <c r="CX688" s="244"/>
      <c r="CY688" s="245"/>
      <c r="CZ688" s="245"/>
      <c r="DA688" s="245"/>
      <c r="DC688" s="750"/>
      <c r="DD688" s="751"/>
      <c r="DE688" s="752"/>
      <c r="DF688" s="753"/>
      <c r="DG688" s="754"/>
      <c r="DH688" s="754"/>
      <c r="DK688" s="244"/>
      <c r="DL688" s="750"/>
      <c r="DN688" s="750"/>
      <c r="DO688" s="755"/>
      <c r="DP688" s="436"/>
      <c r="DQ688" s="750"/>
      <c r="DR688" s="750"/>
      <c r="DS688" s="750"/>
      <c r="DU688" s="750"/>
      <c r="DV688" s="750"/>
      <c r="DW688" s="750"/>
      <c r="DX688" s="750"/>
      <c r="DZ688" s="756"/>
      <c r="EA688" s="756"/>
      <c r="EC688" s="754"/>
      <c r="ED688" s="754"/>
      <c r="EE688" s="244"/>
      <c r="EF688" s="754"/>
      <c r="EG688" s="754"/>
      <c r="EH688" s="243"/>
      <c r="EI688" s="243"/>
      <c r="EJ688" s="752"/>
      <c r="EK688" s="757"/>
      <c r="EL688" s="757"/>
      <c r="EM688" s="758"/>
      <c r="EN688" s="758"/>
      <c r="EO688" s="752"/>
      <c r="EP688" s="752"/>
      <c r="EQ688" s="752"/>
      <c r="ES688" s="750"/>
      <c r="EU688" s="436"/>
      <c r="EV688" s="436"/>
      <c r="EW688" s="436"/>
      <c r="EX688" s="436"/>
      <c r="EY688" s="436"/>
      <c r="EZ688" s="436"/>
      <c r="FB688" s="643"/>
      <c r="FD688" s="436"/>
      <c r="FE688" s="436"/>
      <c r="FF688" s="436"/>
      <c r="FO688" s="750"/>
      <c r="FP688" s="436"/>
      <c r="FQ688" s="436"/>
      <c r="FR688" s="750"/>
      <c r="FS688" s="750"/>
      <c r="FW688" s="749"/>
      <c r="FX688" s="749"/>
      <c r="FY688" s="749"/>
      <c r="FZ688" s="749"/>
      <c r="GA688" s="749"/>
      <c r="GB688" s="749"/>
      <c r="GC688" s="749"/>
      <c r="GD688" s="749"/>
      <c r="GE688" s="751"/>
      <c r="GF688" s="750"/>
      <c r="GG688" s="750"/>
    </row>
    <row r="689" spans="1:250" s="82" customFormat="1" ht="14.95" customHeight="1" thickTop="1" thickBot="1">
      <c r="B689" s="1421" t="str">
        <f>HY692</f>
        <v xml:space="preserve"> </v>
      </c>
      <c r="C689" s="1422">
        <f>C684+1</f>
        <v>126</v>
      </c>
      <c r="D689" s="1423"/>
      <c r="E689" s="1424" t="s">
        <v>242</v>
      </c>
      <c r="F689" s="1425"/>
      <c r="G689" s="1426"/>
      <c r="H689" s="1427"/>
      <c r="I689" s="1427"/>
      <c r="J689" s="1427"/>
      <c r="K689" s="1427"/>
      <c r="L689" s="1427"/>
      <c r="M689" s="1427"/>
      <c r="N689" s="1427"/>
      <c r="O689" s="1427"/>
      <c r="P689" s="1427"/>
      <c r="Q689" s="1427"/>
      <c r="R689" s="1427"/>
      <c r="S689" s="1428" t="s">
        <v>283</v>
      </c>
      <c r="T689" s="668" t="s">
        <v>190</v>
      </c>
      <c r="U689" s="1430" t="s">
        <v>186</v>
      </c>
      <c r="V689" s="1431"/>
      <c r="W689" s="1431"/>
      <c r="X689" s="1431"/>
      <c r="Y689" s="1431"/>
      <c r="Z689" s="1431"/>
      <c r="AA689" s="1431"/>
      <c r="AB689" s="1047" t="str">
        <f>IFERROR(IF(__Retrofit_TI_NC=0,VLOOKUP(U690,Fixtures_Existing_List,2,FALSE),ROUND(N691*R691/T691,10)),"")</f>
        <v/>
      </c>
      <c r="AC689" s="1039" t="str">
        <f>IFERROR(IF(__Retrofit_TI_NC=0,ROUND(T690*AB689*N690*R690/1000,0),IF(CN689="Interior",N691*R691*R690*N690*_C406_reduction/1000,N691*R691*R690*N690/1000)),"")</f>
        <v/>
      </c>
      <c r="AD689" s="1040" t="str">
        <f>IFERROR(IF(C$36=0,ROUND(T690*AB689/1000,2),N691*R691/1000),"")</f>
        <v/>
      </c>
      <c r="AE689" s="1044" t="s">
        <v>190</v>
      </c>
      <c r="AF689" s="1432" t="str">
        <f>IF(__Retrofit_TI_NC=2,CONCATENATE("Code min = ",DD689),IF(__Retrofit_TI_NC=1,"Emter what you think the existing control was"," Control"))</f>
        <v xml:space="preserve"> Control</v>
      </c>
      <c r="AG689" s="1432"/>
      <c r="AH689" s="1432"/>
      <c r="AI689" s="1432"/>
      <c r="AJ689" s="1433">
        <f>DF689</f>
        <v>0</v>
      </c>
      <c r="AK689" s="1435" t="str">
        <f>IFERROR(ROUND(AJ689*AC689,0),"")</f>
        <v/>
      </c>
      <c r="AL689" s="1437">
        <f>IFERROR(IF(HW689=FALSE,0,AC689-AK689),0)</f>
        <v>0</v>
      </c>
      <c r="AM689" s="1439">
        <f>AL689-AL691</f>
        <v>0</v>
      </c>
      <c r="AN689" s="1440"/>
      <c r="AO689" s="1445">
        <f>IFERROR(IF(HW689=FALSE,0,(T691*U692)+(AE691*AF692)),0)</f>
        <v>0</v>
      </c>
      <c r="AP689" s="1445"/>
      <c r="AQ689" s="1446"/>
      <c r="AR689" s="1451" t="s">
        <v>157</v>
      </c>
      <c r="AS689" s="1454">
        <f>IF(AR689="Yes",1,0)</f>
        <v>1</v>
      </c>
      <c r="AT689" s="1457" t="str">
        <f>IF(OR(DN689=4,DN689=5,DN689=6,DN689=12),CONCATENATE("$",IF(GD689=TRUE,Lookup!$B$11,Lookup!$B$2)," /lamp"),CONCATENATE(EA689,"/ kWh"))</f>
        <v>0/ kWh</v>
      </c>
      <c r="AU689" s="516"/>
      <c r="AV689" s="1478">
        <f>IFERROR(IF(GI690=TRUE,(AB692*T691)/R691,0),"NA")</f>
        <v>0</v>
      </c>
      <c r="AW689" s="1478" t="str">
        <f>IFERROR(N691*_C406_reduction,"NA")</f>
        <v>NA</v>
      </c>
      <c r="BC689" s="38"/>
      <c r="BD689" s="38"/>
      <c r="BE689" s="38"/>
      <c r="BF689" s="38"/>
      <c r="BG689" s="38"/>
      <c r="BH689" s="38"/>
      <c r="BI689" s="38"/>
      <c r="BJ689" s="38"/>
      <c r="BK689" s="38"/>
      <c r="BL689" s="38"/>
      <c r="BM689" s="38"/>
      <c r="BN689" s="38"/>
      <c r="BO689" s="38"/>
      <c r="BP689" s="38"/>
      <c r="BQ689" s="38"/>
      <c r="BR689" s="38"/>
      <c r="BS689" s="38"/>
      <c r="BT689" s="38"/>
      <c r="BU689" s="38"/>
      <c r="BV689" s="38"/>
      <c r="BW689" s="38"/>
      <c r="BX689" s="38"/>
      <c r="BY689" s="38"/>
      <c r="BZ689" s="38"/>
      <c r="CA689" s="38"/>
      <c r="CB689" s="38"/>
      <c r="CC689" s="38"/>
      <c r="CD689" s="38"/>
      <c r="CE689" s="38"/>
      <c r="CF689" s="38"/>
      <c r="CG689" s="38"/>
      <c r="CH689" s="38"/>
      <c r="CI689" s="38"/>
      <c r="CM689" s="1352" t="str">
        <f>N690</f>
        <v/>
      </c>
      <c r="CN689" s="1352" t="str">
        <f>IFERROR(VLOOKUP(G690,_Lookup_Heat_Type_Table_New,3,FALSE),"")</f>
        <v/>
      </c>
      <c r="CO689" s="1415" t="str">
        <f>CN689</f>
        <v/>
      </c>
      <c r="CP689" s="1417" t="e">
        <f>VLOOKUP(G691,'Space Table'!$B$3:$L$160,9,FALSE)</f>
        <v>#N/A</v>
      </c>
      <c r="CR689" s="1386" t="s">
        <v>283</v>
      </c>
      <c r="CS689" s="1353">
        <f>IF(HW689=TRUE,T690,0)</f>
        <v>0</v>
      </c>
      <c r="CT689" s="1353" t="str">
        <f>IF(HW689=TRUE,U690,"")</f>
        <v/>
      </c>
      <c r="CU689" s="1353"/>
      <c r="CV689" s="1370">
        <f>IF(HW689=TRUE,AB689,0)</f>
        <v>0</v>
      </c>
      <c r="CW689" s="1370">
        <f>IF(HW689=TRUE,AC689,0)</f>
        <v>0</v>
      </c>
      <c r="CX689" s="1370">
        <f>IFERROR(IF(HW689=TRUE,CW689-CW691,0),0)</f>
        <v>0</v>
      </c>
      <c r="CY689" s="1485">
        <f>IF(HW689=TRUE,AD689,0)</f>
        <v>0</v>
      </c>
      <c r="CZ689" s="1485">
        <f>IF(HW689=TRUE,AD692,0)</f>
        <v>0</v>
      </c>
      <c r="DA689" s="1485">
        <f>IFERROR(CY689-CZ689,0)</f>
        <v>0</v>
      </c>
      <c r="DC689" s="1353">
        <f>IF(HW689=TRUE,AE690,0)</f>
        <v>0</v>
      </c>
      <c r="DD689" s="1460">
        <f>IF(__Retrofit_TI_NC=2,IF(CN689="Exterior",O692,FM689),FK689)</f>
        <v>0</v>
      </c>
      <c r="DE689" s="1353"/>
      <c r="DF689" s="1406">
        <f>IFERROR(IF(FL689=3,IK689,IF(FL689=4,IL689,IF(FL689=5,IM689,IF(FL689=6,IN689,IF(FL689=7,IO689,IF(FL689=8,IP689,0)))))),0)</f>
        <v>0</v>
      </c>
      <c r="DG689" s="1370">
        <f>IF(HW689=TRUE,AK689,0)</f>
        <v>0</v>
      </c>
      <c r="DH689" s="1369">
        <f>IFERROR(IF(HW689=TRUE,DG691-DG689,0),0)</f>
        <v>0</v>
      </c>
      <c r="DJ689" s="1483">
        <f>IFERROR(CW689-DG689,0)</f>
        <v>0</v>
      </c>
      <c r="DL689" s="1419">
        <f>DJ689-DK691</f>
        <v>0</v>
      </c>
      <c r="DN689" s="1403" t="str">
        <f>IFERROR(IF(AND(OR(FY689=4,FY689=5,FY689=6),OR(GB689=4,GB689=5,GB689=6)),FY689+8,VLOOKUP(CT691,Fixtures!R$31:Y$78,8,FALSE)),"")</f>
        <v/>
      </c>
      <c r="DO689" s="1404" t="str">
        <f>DN689</f>
        <v/>
      </c>
      <c r="DP689" s="1353" t="str">
        <f>IFERROR(VLOOKUP(DD691,Lookup!AU$3:AV$15,2,FALSE),"")</f>
        <v/>
      </c>
      <c r="DQ689" s="1404" t="str">
        <f>IF(DP689=7,"LLLC","")</f>
        <v/>
      </c>
      <c r="DR689" s="1403">
        <f>IFERROR(IF(OR(DN689=4,DN689=5,DN689=6,DN689=12,DN689=13,DN689=14),VLOOKUP(CT691,Fixtures!DN$27:EG$77,19,FALSE),1)*CS691,0)</f>
        <v>0</v>
      </c>
      <c r="DS689" s="1489">
        <f>IF(DP689=7,IF(DD689=DD691,0,DC691),0)</f>
        <v>0</v>
      </c>
      <c r="DU689" s="1403" t="str">
        <f>IFERROR(IF(EW689&lt;EW691,"Yes","No"),"")</f>
        <v/>
      </c>
      <c r="DV689" s="1404" t="str">
        <f>DU689</f>
        <v/>
      </c>
      <c r="DW689" s="1403">
        <f>IF(DU689="Yes",DC691,0)</f>
        <v>0</v>
      </c>
      <c r="DX689" s="1403">
        <f>DW689-DS689</f>
        <v>0</v>
      </c>
      <c r="DZ689" s="1481">
        <f>IFERROR(VLOOKUP(DN689,Lookup!AN$3:AO$16,2,FALSE),0)</f>
        <v>0</v>
      </c>
      <c r="EA689" s="1481">
        <f>IF(HW689=FALSE,0,IF(DU689="Yes",DZ689+Lookup!B$6,DZ689))</f>
        <v>0</v>
      </c>
      <c r="EC689" s="1482">
        <f>IF(HW689=TRUE,DJ689,0)</f>
        <v>0</v>
      </c>
      <c r="ED689" s="1369">
        <f>IF(HW689=TRUE,CW691,0)</f>
        <v>0</v>
      </c>
      <c r="EE689" s="1370">
        <f>IFERROR(EC689-ED689,0)</f>
        <v>0</v>
      </c>
      <c r="EF689" s="1369">
        <f>IF(HW689=TRUE,DG691,0)</f>
        <v>0</v>
      </c>
      <c r="EG689" s="1369">
        <f>IFERROR(EC689-ED689+EF689,0)</f>
        <v>0</v>
      </c>
      <c r="EH689" s="1373">
        <f>IF(HW689=TRUE,CS691*CU691,0)</f>
        <v>0</v>
      </c>
      <c r="EI689" s="1373">
        <f>IF(HW689=TRUE,DC691*DE691,0)</f>
        <v>0</v>
      </c>
      <c r="EJ689" s="1363">
        <f>AO689</f>
        <v>0</v>
      </c>
      <c r="EK689" s="1376" t="str">
        <f>IFERROR(IF(HW689=TRUE,VLOOKUP(DN689,Lookup!AN$3:AP$16,3,FALSE)*DR689,""),0)</f>
        <v/>
      </c>
      <c r="EL689" s="1376">
        <f>IF(HW689=TRUE,DW689*Lookup!AP$12,0)</f>
        <v>0</v>
      </c>
      <c r="EM689" s="1362">
        <f>IFERROR(IF(HW689=TRUE,EK689/EM$33,0),0)</f>
        <v>0</v>
      </c>
      <c r="EN689" s="1362">
        <f>IF(HW689=TRUE,EL689/EN$33,0)</f>
        <v>0</v>
      </c>
      <c r="EO689" s="1363">
        <f>IF(HW689=TRUE,EQ$33*EM689,0)</f>
        <v>0</v>
      </c>
      <c r="EP689" s="1363">
        <f>IF(HW689=TRUE,EQ$33*EN689,0)</f>
        <v>0</v>
      </c>
      <c r="EQ689" s="1363">
        <f>EO689+EP689</f>
        <v>0</v>
      </c>
      <c r="ES689" s="1403">
        <f>IF(G689="",0,1)</f>
        <v>0</v>
      </c>
      <c r="EU689" s="1410" t="e">
        <f>VLOOKUP(CP691,'Space Table'!$B$3:$L$160,8,FALSE)</f>
        <v>#N/A</v>
      </c>
      <c r="EV689" s="1410" t="e">
        <f>IF(EY689="Yes",VLOOKUP(DD689,Lookup_Control_Type_Table2,4,FALSE),VLOOKUP(DD689,Lookup_Control_Type_Table2,3,FALSE))</f>
        <v>#N/A</v>
      </c>
      <c r="EW689" s="1410" t="e">
        <f>VLOOKUP(DD689,Lookup!AU$3:AV$15,2,FALSE)</f>
        <v>#N/A</v>
      </c>
      <c r="EX689" s="1410" t="e">
        <f>VLOOKUP(EU689,Lookup_Control_Type_Table,2,FALSE)</f>
        <v>#N/A</v>
      </c>
      <c r="EY689" s="1410" t="e">
        <f>VLOOKUP(CP691,'Space Table'!$B$3:$L$160,7,FALSE)</f>
        <v>#N/A</v>
      </c>
      <c r="EZ689" s="1412" t="b">
        <f>ISNUMBER(SEARCH("TLED",U691))</f>
        <v>0</v>
      </c>
      <c r="FB689" s="1365" t="str">
        <f>CONCATENATE(CN689," - ",DD689)</f>
        <v xml:space="preserve"> - 0</v>
      </c>
      <c r="FD689" s="1353" t="str">
        <f>VLOOKUP(CT691,Fixtures!DN$27:EZ$77,38,FALSE)</f>
        <v/>
      </c>
      <c r="FE689" s="1353">
        <f>IFERROR(FD689*EE689,0)</f>
        <v>0</v>
      </c>
      <c r="FF689" s="138"/>
      <c r="FI689" s="1356" t="str">
        <f>IF(CN689="Exterior","Not Daylighted",G692)</f>
        <v>Not Daylighted</v>
      </c>
      <c r="FJ689" s="1356">
        <f>VLOOKUP(FI689,_Daylight_Table_Codes,2,FALSE)</f>
        <v>0</v>
      </c>
      <c r="FK689" s="1365">
        <f>IF(__Retrofit_TI_NC=2,VLOOKUP(G691,'Space Table'!$B$3:$L$160,11,FALSE),AF690)</f>
        <v>0</v>
      </c>
      <c r="FL689" s="1365" t="e">
        <f>VLOOKUP(FK689,_Control_Table,2,FALSE)</f>
        <v>#N/A</v>
      </c>
      <c r="FM689" s="1365" t="e">
        <f>IF(AND(FP689&gt;0,FK689="Occupancy Sensor"),"Daylight + Occupancy",IF(AND(FP689&gt;0,FL689&lt;4),"Interior Daylight Dimming",FK689))</f>
        <v>#N/A</v>
      </c>
      <c r="FO689" s="1364">
        <f>IF(CO689="Interior",VLOOKUP(CP689,Control_Savings_Interior,5,FALSE),0)</f>
        <v>0</v>
      </c>
      <c r="FP689" s="1361">
        <f>IF(CN689="Exterior",0,IF(FJ689=2,0.5,IF(OR(FJ689=1,FJ689=3),1,0)))</f>
        <v>0</v>
      </c>
      <c r="FQ689" s="1366"/>
      <c r="FR689" s="1367"/>
      <c r="FS689" s="1364"/>
      <c r="FT689" s="1367"/>
      <c r="FU689" s="1360"/>
      <c r="FW689" s="1352" t="str">
        <f>IFERROR(VLOOKUP(U690,_Exist_Fixture_Table,3,FALSE),"")</f>
        <v/>
      </c>
      <c r="FX689" s="1352" t="str">
        <f>VLOOKUP(CT689,_Exist_Fixture_Table,4,FALSE)</f>
        <v/>
      </c>
      <c r="FY689" s="1352">
        <f>IFERROR(VLOOKUP(FX689,Lookup!AM$6:AN$8,2,FALSE),0)</f>
        <v>0</v>
      </c>
      <c r="FZ689" s="1352" t="b">
        <f>IFERROR(IF(OR(GB689=4,GB689=5,GB689=6),TRUE,FALSE),"")</f>
        <v>0</v>
      </c>
      <c r="GA689" s="1352" t="str">
        <f>IFERROR(VLOOKUP(GB689,FY$6:FZ$10,2,FALSE),"")</f>
        <v/>
      </c>
      <c r="GB689" s="1352" t="str">
        <f>VLOOKUP(CT691,Fixtures!R$31:Y$78,8,FALSE)</f>
        <v/>
      </c>
      <c r="GC689" s="1352">
        <f>IF(AND(FW689=TRUE,FZ689=TRUE,OR(DN689=12,DN689=13,DN689=14)),FY689+8,0)</f>
        <v>0</v>
      </c>
      <c r="GD689" s="1352" t="b">
        <f>IF(OR(GC689=12,GC689=13,GC689=14),TRUE,FALSE)</f>
        <v>0</v>
      </c>
      <c r="GE689" s="759" t="b">
        <f>IF(ISNUMBER(SEARCH("TLED",U690)),TRUE,FALSE)</f>
        <v>0</v>
      </c>
      <c r="GF689" s="1035" t="str">
        <f>IFERROR(VLOOKUP(U690,Fixtures!BM$93:BR$142,6,FALSE),"")</f>
        <v/>
      </c>
      <c r="GG689" s="1385" t="b">
        <f>IF(OR(GE689=FALSE,GE691=FALSE),TRUE,IF(GF689-GF691&lt;5,FALSE,TRUE))</f>
        <v>1</v>
      </c>
      <c r="GK689" s="1034">
        <f>GL689</f>
        <v>0</v>
      </c>
      <c r="GL689" s="1034">
        <f>IF(G689="",0,1)</f>
        <v>0</v>
      </c>
      <c r="GM689" s="1034">
        <f>SUM(GN689:HB689)</f>
        <v>2</v>
      </c>
      <c r="GN689" s="1034">
        <f>IF(G690="",0,1)</f>
        <v>0</v>
      </c>
      <c r="GO689" s="1034">
        <f>IF(G691="",0,1)</f>
        <v>0</v>
      </c>
      <c r="GP689" s="1034">
        <f>IF(R690="",0,1)</f>
        <v>0</v>
      </c>
      <c r="GQ689" s="1034">
        <f>IF(__Retrofit_TI_NC=0,1,IF(R691="",0,1))</f>
        <v>1</v>
      </c>
      <c r="GR689" s="1034">
        <f>IF(CN689="Exterior",1,IF(G692="",0,1))</f>
        <v>1</v>
      </c>
      <c r="GS689" s="1034">
        <f>IF(__Retrofit_TI_NC&lt;&gt;0,1,IF(T690="",0,1))</f>
        <v>0</v>
      </c>
      <c r="GT689" s="1034">
        <f>IF(__Retrofit_TI_NC&lt;&gt;0,1,IF(U690="",0,1))</f>
        <v>0</v>
      </c>
      <c r="GU689" s="1034">
        <f>IF(T691="",0,1)</f>
        <v>0</v>
      </c>
      <c r="GV689" s="1034">
        <f>IF(U691="",0,1)</f>
        <v>0</v>
      </c>
      <c r="GW689" s="1034">
        <f>IF(__Retrofit_TI_NC=2,1,IF(U692="",0,1))</f>
        <v>0</v>
      </c>
      <c r="GX689" s="1034">
        <f>IF(__Retrofit_TI_NC&lt;&gt;0,1,IF(AE690="",0,1))</f>
        <v>0</v>
      </c>
      <c r="GY689" s="1034">
        <f>IF(__Retrofit_TI_NC&lt;&gt;0,1,IF(AF690="",0,1))</f>
        <v>0</v>
      </c>
      <c r="GZ689" s="1034">
        <f>IF(AE691="",0,1)</f>
        <v>0</v>
      </c>
      <c r="HA689" s="1034">
        <f>IF(AF691="",0,1)</f>
        <v>0</v>
      </c>
      <c r="HB689" s="1034">
        <f>IF(__Retrofit_TI_NC=2,1,IF(AF692="",0,1))</f>
        <v>0</v>
      </c>
      <c r="HV689" s="436"/>
      <c r="HW689" s="1384" t="b">
        <f>IF(OR(HW692=0,HW692=HT$16,HW692=HS$16,HW692=HU$16),TRUE,FALSE)</f>
        <v>0</v>
      </c>
      <c r="HX689" s="1377" t="b">
        <f>HW689</f>
        <v>0</v>
      </c>
      <c r="HY689" s="436"/>
      <c r="HZ689" s="436"/>
      <c r="IA689" s="1386" t="b">
        <f>IF(MAX(GJ692:HP692)&gt;5,FALSE,TRUE)</f>
        <v>0</v>
      </c>
      <c r="IB689" s="1380">
        <f>IF(IA689=TRUE,AC689,0)</f>
        <v>0</v>
      </c>
      <c r="IC689" s="1380">
        <f>IB689-IB691</f>
        <v>0</v>
      </c>
      <c r="IF689" s="1380" t="e">
        <f>ROUND(T690*VLOOKUP(U690,Fixtures_Existing_List,2,FALSE)*N690*R690/1000,0)</f>
        <v>#N/A</v>
      </c>
      <c r="IG689" s="1381" t="e">
        <f>IF689-IF691</f>
        <v>#N/A</v>
      </c>
      <c r="IH689" s="1384" t="e">
        <f>ROUND(IF(CN689="Interior",N691*R691*R690*N690*_C406_reduction/1000,N691*R691*R690*N690/1000),0)</f>
        <v>#N/A</v>
      </c>
      <c r="II689" s="1384" t="e">
        <f>IH689-IH691</f>
        <v>#N/A</v>
      </c>
      <c r="IK689" s="1351" t="e">
        <f>IF($CO689="interior",IL689/2,VLOOKUP($CP689,Control_Savings_Exterior,IK$30,FALSE))</f>
        <v>#N/A</v>
      </c>
      <c r="IL689" s="1351" t="e">
        <f>IF($CO689="interior",VLOOKUP($CP689,Control_Savings_Interior,IL$30,FALSE),VLOOKUP($CP689,Control_Savings_Exterior,IL$30,FALSE))</f>
        <v>#N/A</v>
      </c>
      <c r="IM689" s="1351" t="e">
        <f>IF($CO689="interior",IF(R690&gt;FO$37,(IM$28*(FO$37/R690)),IM$28)*FP689,VLOOKUP($CP689,Control_Savings_Exterior,IM$30,FALSE))</f>
        <v>#N/A</v>
      </c>
      <c r="IN689" s="1351" t="e">
        <f>IF($CO689="interior",ROUND(((1-IL689)*IM689)+IL689,2),VLOOKUP($CP689,Control_Savings_Exterior,IN$30,FALSE))</f>
        <v>#N/A</v>
      </c>
      <c r="IO689" s="1351" t="e">
        <f>IF($CO689="interior", ROUND(((1-IL689)*(IM689*(1-IP$28)))+IP689,2), VLOOKUP($CP689,Control_Savings_Exterior,IO$30,FALSE))</f>
        <v>#N/A</v>
      </c>
      <c r="IP689" s="1351">
        <f>IF($CO689="interior",ROUND(((1-IL689)*IP$28)+IL689,2),0)</f>
        <v>0</v>
      </c>
    </row>
    <row r="690" spans="1:250" s="82" customFormat="1" ht="14.95" customHeight="1" thickTop="1" thickBot="1">
      <c r="B690" s="1421"/>
      <c r="C690" s="1422"/>
      <c r="D690" s="1423"/>
      <c r="E690" s="1393" t="s">
        <v>244</v>
      </c>
      <c r="F690" s="1394"/>
      <c r="G690" s="1395"/>
      <c r="H690" s="1395"/>
      <c r="I690" s="1395"/>
      <c r="J690" s="1395"/>
      <c r="K690" s="1395"/>
      <c r="L690" s="1395"/>
      <c r="M690" s="509" t="e">
        <f>IF(__Retrofit_TI_NC&lt;&gt;0,IF(VLOOKUP(G691,'Space Table'!$B$3:$L$160,3,FALSE)&gt;0,1,0),IF(__Retrofit_TI_NC=VLOOKUP(G691,'Space Table'!$B$3:$L$160,3,FALSE),1,0))</f>
        <v>#N/A</v>
      </c>
      <c r="N690" s="509" t="str">
        <f>IFERROR(VLOOKUP(G690,_Lookup_Heat_Type_Table_New,2,FALSE),"")</f>
        <v/>
      </c>
      <c r="O690" s="509">
        <f>IF(__Retrofit_TI_NC=1,CONCATENATE("TI ",G690),IF(__Retrofit_TI_NC=2,CONCATENATE("NC ",G690),G690))</f>
        <v>0</v>
      </c>
      <c r="P690" s="1396" t="s">
        <v>352</v>
      </c>
      <c r="Q690" s="1396"/>
      <c r="R690" s="673"/>
      <c r="S690" s="1429"/>
      <c r="T690" s="675"/>
      <c r="U690" s="1496"/>
      <c r="V690" s="1497"/>
      <c r="W690" s="1497"/>
      <c r="X690" s="1497"/>
      <c r="Y690" s="1497"/>
      <c r="Z690" s="1497"/>
      <c r="AA690" s="1497"/>
      <c r="AB690" s="1497"/>
      <c r="AC690" s="1497"/>
      <c r="AD690" s="1498"/>
      <c r="AE690" s="675"/>
      <c r="AF690" s="1397"/>
      <c r="AG690" s="1397"/>
      <c r="AH690" s="1397"/>
      <c r="AI690" s="1397"/>
      <c r="AJ690" s="1434"/>
      <c r="AK690" s="1436"/>
      <c r="AL690" s="1438"/>
      <c r="AM690" s="1441"/>
      <c r="AN690" s="1442"/>
      <c r="AO690" s="1447"/>
      <c r="AP690" s="1447"/>
      <c r="AQ690" s="1448"/>
      <c r="AR690" s="1452"/>
      <c r="AS690" s="1455"/>
      <c r="AT690" s="1458"/>
      <c r="AU690" s="516"/>
      <c r="AV690" s="1479"/>
      <c r="AW690" s="1479"/>
      <c r="BC690" s="38"/>
      <c r="BD690" s="38"/>
      <c r="BE690" s="38"/>
      <c r="BF690" s="38"/>
      <c r="BG690" s="38"/>
      <c r="BH690" s="38"/>
      <c r="BI690" s="38"/>
      <c r="BJ690" s="38"/>
      <c r="BK690" s="38"/>
      <c r="BL690" s="38"/>
      <c r="BM690" s="38"/>
      <c r="BN690" s="38"/>
      <c r="BO690" s="38"/>
      <c r="BP690" s="38"/>
      <c r="BQ690" s="38"/>
      <c r="BR690" s="38"/>
      <c r="BS690" s="38"/>
      <c r="BT690" s="38"/>
      <c r="BU690" s="38"/>
      <c r="BV690" s="38"/>
      <c r="BW690" s="38"/>
      <c r="BX690" s="38"/>
      <c r="BY690" s="38"/>
      <c r="BZ690" s="38"/>
      <c r="CA690" s="38"/>
      <c r="CB690" s="38"/>
      <c r="CC690" s="38"/>
      <c r="CD690" s="38"/>
      <c r="CE690" s="38"/>
      <c r="CF690" s="38"/>
      <c r="CG690" s="38"/>
      <c r="CH690" s="38"/>
      <c r="CI690" s="38"/>
      <c r="CM690" s="1352"/>
      <c r="CN690" s="1352"/>
      <c r="CO690" s="1416"/>
      <c r="CP690" s="1418"/>
      <c r="CR690" s="1386"/>
      <c r="CS690" s="1355"/>
      <c r="CT690" s="1355"/>
      <c r="CU690" s="1355"/>
      <c r="CV690" s="1372"/>
      <c r="CW690" s="1372"/>
      <c r="CX690" s="1371"/>
      <c r="CY690" s="1486"/>
      <c r="CZ690" s="1486"/>
      <c r="DA690" s="1486"/>
      <c r="DC690" s="1355"/>
      <c r="DD690" s="1461"/>
      <c r="DE690" s="1355"/>
      <c r="DF690" s="1407"/>
      <c r="DG690" s="1372"/>
      <c r="DH690" s="1369"/>
      <c r="DJ690" s="1484"/>
      <c r="DL690" s="1419"/>
      <c r="DN690" s="1403"/>
      <c r="DO690" s="1405"/>
      <c r="DP690" s="1354"/>
      <c r="DQ690" s="1405"/>
      <c r="DR690" s="1403"/>
      <c r="DS690" s="1489"/>
      <c r="DU690" s="1403"/>
      <c r="DV690" s="1405"/>
      <c r="DW690" s="1403"/>
      <c r="DX690" s="1403"/>
      <c r="DZ690" s="1481"/>
      <c r="EA690" s="1481"/>
      <c r="EC690" s="1482"/>
      <c r="ED690" s="1369"/>
      <c r="EE690" s="1371"/>
      <c r="EF690" s="1369"/>
      <c r="EG690" s="1369"/>
      <c r="EH690" s="1374"/>
      <c r="EI690" s="1374"/>
      <c r="EJ690" s="1363"/>
      <c r="EK690" s="1376"/>
      <c r="EL690" s="1376"/>
      <c r="EM690" s="1362"/>
      <c r="EN690" s="1362"/>
      <c r="EO690" s="1363"/>
      <c r="EP690" s="1363"/>
      <c r="EQ690" s="1363"/>
      <c r="ES690" s="1403"/>
      <c r="EU690" s="1411"/>
      <c r="EV690" s="1411"/>
      <c r="EW690" s="1411"/>
      <c r="EX690" s="1411"/>
      <c r="EY690" s="1411"/>
      <c r="EZ690" s="1413"/>
      <c r="FB690" s="1365"/>
      <c r="FD690" s="1354"/>
      <c r="FE690" s="1354"/>
      <c r="FF690" s="138"/>
      <c r="FI690" s="1357"/>
      <c r="FJ690" s="1357"/>
      <c r="FK690" s="1365"/>
      <c r="FL690" s="1365"/>
      <c r="FM690" s="1365"/>
      <c r="FO690" s="1361"/>
      <c r="FP690" s="1361"/>
      <c r="FQ690" s="1366"/>
      <c r="FR690" s="1368"/>
      <c r="FS690" s="1361"/>
      <c r="FT690" s="1368"/>
      <c r="FU690" s="1360"/>
      <c r="FW690" s="1352"/>
      <c r="FX690" s="1352"/>
      <c r="FY690" s="1352"/>
      <c r="FZ690" s="1352"/>
      <c r="GA690" s="1352"/>
      <c r="GB690" s="1352"/>
      <c r="GC690" s="1352"/>
      <c r="GD690" s="1352"/>
      <c r="GE690" s="759"/>
      <c r="GF690" s="1035"/>
      <c r="GG690" s="1385"/>
      <c r="GI690" s="1384" t="b">
        <f>IF(AND(GL690=TRUE,GM690=TRUE),TRUE,FALSE)</f>
        <v>0</v>
      </c>
      <c r="GJ690" s="1379" t="b">
        <f>IFERROR(IF(__Retrofit_TI_NC=2,TRUE,IF(AR689="Yes",TRUE,FALSE)),FALSE)</f>
        <v>1</v>
      </c>
      <c r="GL690" s="1379" t="b">
        <f>IFERROR(IF(GL689=1,TRUE,FALSE),FALSE)</f>
        <v>0</v>
      </c>
      <c r="GM690" s="1379" t="b">
        <f>IFERROR(IF(GM689=GM$14,TRUE,FALSE),FALSE)</f>
        <v>0</v>
      </c>
      <c r="HC690" s="1379" t="b">
        <f>IFERROR(IF(M690=1,TRUE,FALSE),FALSE)</f>
        <v>0</v>
      </c>
      <c r="HD690" s="1379" t="b">
        <f>IFERROR(IF(M691=1,TRUE,FALSE),FALSE)</f>
        <v>0</v>
      </c>
      <c r="HE690" s="1379" t="b">
        <f>IFERROR(IF(__Retrofit_TI_NC&lt;&gt;0,TRUE,IFERROR(IF(VLOOKUP(U690,Fixtures_Existing_List,2,FALSE)&lt;&gt;"",TRUE,FALSE),FALSE)),FALSE)</f>
        <v>0</v>
      </c>
      <c r="HF690" s="1379" t="b">
        <f>IFERROR(IF(VLOOKUP(U691,Fixtures_Proposed_List,2,FALSE)&lt;&gt;"",TRUE,FALSE),FALSE)</f>
        <v>0</v>
      </c>
      <c r="HG690" s="1379" t="b">
        <f>IF(AND(__Retrofit_TI_NC=2,EZ689=TRUE),FALSE,TRUE)</f>
        <v>1</v>
      </c>
      <c r="HH690" s="1379" t="b">
        <f>GG689</f>
        <v>1</v>
      </c>
      <c r="HI690" s="1384" t="b">
        <f>IF(ISERROR(MATCH(FB689,_Control_Match[],0))=TRUE,FALSE,TRUE)</f>
        <v>0</v>
      </c>
      <c r="HJ690" s="1384" t="b">
        <f>IFERROR(IF(EU689&lt;&gt;EV689,FALSE,TRUE),FALSE)</f>
        <v>0</v>
      </c>
      <c r="HK690" s="1384" t="b">
        <f>IFERROR(IF(EU691&lt;&gt;EV691,FALSE,TRUE),FALSE)</f>
        <v>0</v>
      </c>
      <c r="HL690" s="1379" t="b">
        <f>IFERROR(IF(CN689="Exterior",TRUE,IF(OR(AND(FJ689=0,EW691&gt;4),AND(FJ689=4,EW691&gt;4,EW691&lt;7)),FALSE,TRUE)),FALSE)</f>
        <v>0</v>
      </c>
      <c r="HM690" s="1379" t="b">
        <f>IFERROR(IF(AND(FL691=7,EZ689=TRUE),FALSE,TRUE),FALSE)</f>
        <v>0</v>
      </c>
      <c r="HN690" s="1379" t="b">
        <f>IFERROR(IF(AND(T691&lt;&gt;AE691,AF691="Interior LLLC")=TRUE,FALSE,TRUE),FALSE)</f>
        <v>1</v>
      </c>
      <c r="HO690" s="1379" t="b">
        <f>IFERROR(IF(OR(AF691=Lookup!AU$13,AF691=Lookup!AU$14)=TRUE,IF(AE691&gt;T691,FALSE,TRUE),TRUE),FALSE)</f>
        <v>1</v>
      </c>
      <c r="HP690" s="1379" t="b">
        <f>IFERROR(IF(__Retrofit_TI_NC=2,IF(EW691&lt;EW689,FALSE,TRUE),TRUE),FALSE)</f>
        <v>1</v>
      </c>
      <c r="HQ690" s="1379" t="b">
        <f>IF(CN689="Interior",IG$6,TRUE)</f>
        <v>1</v>
      </c>
      <c r="HR690" s="1379" t="b">
        <f>IF(CN689="Exterior",IG$8,TRUE)</f>
        <v>1</v>
      </c>
      <c r="HS690" s="1379" t="b">
        <f>IFERROR(IF(__Retrofit_TI_NC&lt;&gt;0,IF(AW689&lt;AV689,FALSE,TRUE),TRUE),FALSE)</f>
        <v>1</v>
      </c>
      <c r="HT690" s="1379" t="b">
        <f>IFERROR(IF(AND(G690="Exterior",R690&gt;4200),FALSE,TRUE),FALSE)</f>
        <v>1</v>
      </c>
      <c r="HU690" s="1379" t="b">
        <f>IFERROR(IF(AB692/AB689&lt;HU$18,FALSE,TRUE),FALSE)</f>
        <v>0</v>
      </c>
      <c r="HW690" s="1382"/>
      <c r="HX690" s="1378"/>
      <c r="HY690" s="1377" t="str">
        <f>VLOOKUP(HW692,_Error_Table,4,FALSE)</f>
        <v>White</v>
      </c>
      <c r="HZ690" s="436"/>
      <c r="IA690" s="1386"/>
      <c r="IB690" s="1380"/>
      <c r="IC690" s="1379"/>
      <c r="IF690" s="1380"/>
      <c r="IG690" s="1382"/>
      <c r="IH690" s="1382"/>
      <c r="II690" s="1382"/>
      <c r="IK690" s="1351"/>
      <c r="IL690" s="1351"/>
      <c r="IM690" s="1351"/>
      <c r="IN690" s="1351"/>
      <c r="IO690" s="1351"/>
      <c r="IP690" s="1351"/>
    </row>
    <row r="691" spans="1:250" s="82" customFormat="1" ht="14.95" customHeight="1" thickTop="1" thickBot="1">
      <c r="A691" s="82">
        <f>ROW()</f>
        <v>691</v>
      </c>
      <c r="B691" s="1421"/>
      <c r="C691" s="1422"/>
      <c r="D691" s="1423"/>
      <c r="E691" s="1393" t="s">
        <v>245</v>
      </c>
      <c r="F691" s="1394"/>
      <c r="G691" s="1398"/>
      <c r="H691" s="1399"/>
      <c r="I691" s="1399"/>
      <c r="J691" s="1399"/>
      <c r="K691" s="1399"/>
      <c r="L691" s="1400"/>
      <c r="M691" s="509">
        <f>IFERROR(IF(IF(__Retrofit_TI_NC&lt;&gt;0,IF(CN689="Interior",MATCH(G691,Lookup_Interior_New,0),MATCH(G691,Lookup_Exterior_New,0)),IF(CN689="Interior",MATCH(G691,Lookup_Interior,0),MATCH(G691,Lookup_Exterior_Areas,0)))&gt;0,1,0),0)</f>
        <v>0</v>
      </c>
      <c r="N691" s="509" t="e">
        <f>IF(__Retrofit_TI_NC=1,
VLOOKUP(G691,'Space Table'!$B$3:$L$160,4,FALSE),
IF(__Retrofit_TI_NC=2,VLOOKUP(G691,'Space Table'!$B$3:$L$160,5,FALSE),VLOOKUP(G691,'Space Table'!$B$3:$L$160,5,FALSE)))</f>
        <v>#N/A</v>
      </c>
      <c r="O691" s="509">
        <f>G691</f>
        <v>0</v>
      </c>
      <c r="P691" s="1394" t="s">
        <v>355</v>
      </c>
      <c r="Q691" s="1394"/>
      <c r="R691" s="674"/>
      <c r="S691" s="1401" t="s">
        <v>284</v>
      </c>
      <c r="T691" s="672"/>
      <c r="U691" s="1499"/>
      <c r="V691" s="1500"/>
      <c r="W691" s="1500"/>
      <c r="X691" s="1500"/>
      <c r="Y691" s="1500"/>
      <c r="Z691" s="1500"/>
      <c r="AA691" s="1500"/>
      <c r="AB691" s="1501"/>
      <c r="AC691" s="1501"/>
      <c r="AD691" s="1502"/>
      <c r="AE691" s="672"/>
      <c r="AF691" s="1474"/>
      <c r="AG691" s="1474"/>
      <c r="AH691" s="1474"/>
      <c r="AI691" s="1474"/>
      <c r="AJ691" s="1475">
        <f>DF691</f>
        <v>0</v>
      </c>
      <c r="AK691" s="1470" t="str">
        <f>IFERROR(ROUND(AJ691*AC692,0),"")</f>
        <v/>
      </c>
      <c r="AL691" s="1472">
        <f>IFERROR(IF(HW689=FALSE,0,AC692-AK691),0)</f>
        <v>0</v>
      </c>
      <c r="AM691" s="1441"/>
      <c r="AN691" s="1442"/>
      <c r="AO691" s="1447"/>
      <c r="AP691" s="1447"/>
      <c r="AQ691" s="1448"/>
      <c r="AR691" s="1452"/>
      <c r="AS691" s="1455"/>
      <c r="AT691" s="1458"/>
      <c r="AU691" s="516"/>
      <c r="AV691" s="1479"/>
      <c r="AW691" s="1479"/>
      <c r="BC691" s="38"/>
      <c r="BD691" s="38"/>
      <c r="BE691" s="38"/>
      <c r="BF691" s="38"/>
      <c r="BG691" s="38"/>
      <c r="BH691" s="38"/>
      <c r="BI691" s="38"/>
      <c r="BJ691" s="38"/>
      <c r="BK691" s="38"/>
      <c r="BL691" s="38"/>
      <c r="BM691" s="38"/>
      <c r="BN691" s="38"/>
      <c r="BO691" s="38"/>
      <c r="BP691" s="38"/>
      <c r="BQ691" s="38"/>
      <c r="BR691" s="38"/>
      <c r="BS691" s="38"/>
      <c r="BT691" s="38"/>
      <c r="BU691" s="38"/>
      <c r="BV691" s="38"/>
      <c r="BW691" s="38"/>
      <c r="BX691" s="38"/>
      <c r="BY691" s="38"/>
      <c r="BZ691" s="38"/>
      <c r="CA691" s="38"/>
      <c r="CB691" s="38"/>
      <c r="CC691" s="38"/>
      <c r="CD691" s="38"/>
      <c r="CE691" s="38"/>
      <c r="CF691" s="38"/>
      <c r="CG691" s="38"/>
      <c r="CH691" s="38"/>
      <c r="CI691" s="38"/>
      <c r="CM691" s="1352"/>
      <c r="CN691" s="1352"/>
      <c r="CO691" s="1415" t="str">
        <f>CN689</f>
        <v/>
      </c>
      <c r="CP691" s="1417" t="e">
        <f>CP689</f>
        <v>#N/A</v>
      </c>
      <c r="CR691" s="1386" t="s">
        <v>284</v>
      </c>
      <c r="CS691" s="1353">
        <f>IF(HW689=TRUE,T691,0)</f>
        <v>0</v>
      </c>
      <c r="CT691" s="1353" t="str">
        <f>IF(HW689=TRUE,U691,"")</f>
        <v/>
      </c>
      <c r="CU691" s="1373">
        <f>IF(HW689=TRUE,U692,0)</f>
        <v>0</v>
      </c>
      <c r="CV691" s="1370">
        <f>IF(HW689=TRUE,AB692,0)</f>
        <v>0</v>
      </c>
      <c r="CW691" s="1370">
        <f>IF(HW689=TRUE,AC692,0)</f>
        <v>0</v>
      </c>
      <c r="CX691" s="1371"/>
      <c r="CY691" s="1486"/>
      <c r="CZ691" s="1486"/>
      <c r="DA691" s="1486"/>
      <c r="DC691" s="1353">
        <f>IF(HW689=TRUE,AE691,0)</f>
        <v>0</v>
      </c>
      <c r="DD691" s="1353" t="str">
        <f>IF(HW689=TRUE,AF691,"")</f>
        <v/>
      </c>
      <c r="DE691" s="1373">
        <f>AF692</f>
        <v>0</v>
      </c>
      <c r="DF691" s="1406">
        <f>IFERROR(IF(FL691=3,IK691,IF(FL691=4,IL691,IF(FL691=5,IM691,IF(FL691=6,IN691,IF(FL691=7,IO691,IF(FL691=8,IP691,0)))))),0)</f>
        <v>0</v>
      </c>
      <c r="DG691" s="1370">
        <f>IF(HW689=TRUE,AK691,0)</f>
        <v>0</v>
      </c>
      <c r="DH691" s="1369"/>
      <c r="DK691" s="1483">
        <f>IFERROR(CW691-DG691,0)</f>
        <v>0</v>
      </c>
      <c r="DL691" s="1420"/>
      <c r="DN691" s="1403"/>
      <c r="DO691" s="1477" t="str">
        <f>DN689</f>
        <v/>
      </c>
      <c r="DP691" s="1354"/>
      <c r="DQ691" s="1477" t="str">
        <f>IF(DP689=7,"LLLC","")</f>
        <v/>
      </c>
      <c r="DR691" s="1403"/>
      <c r="DS691" s="1489"/>
      <c r="DU691" s="1403"/>
      <c r="DV691" s="1404" t="str">
        <f>DU689</f>
        <v/>
      </c>
      <c r="DW691" s="1403"/>
      <c r="DX691" s="1403"/>
      <c r="DZ691" s="1481"/>
      <c r="EA691" s="1481"/>
      <c r="EC691" s="1482"/>
      <c r="ED691" s="1369"/>
      <c r="EE691" s="1371"/>
      <c r="EF691" s="1369"/>
      <c r="EG691" s="1369"/>
      <c r="EH691" s="1374"/>
      <c r="EI691" s="1374"/>
      <c r="EJ691" s="1363"/>
      <c r="EK691" s="1376"/>
      <c r="EL691" s="1376"/>
      <c r="EM691" s="1362"/>
      <c r="EN691" s="1362"/>
      <c r="EO691" s="1363"/>
      <c r="EP691" s="1363"/>
      <c r="EQ691" s="1363"/>
      <c r="ES691" s="1403"/>
      <c r="EU691" s="1411" t="e">
        <f>VLOOKUP(CP691,'Space Table'!$B$3:$L$160,8,FALSE)</f>
        <v>#N/A</v>
      </c>
      <c r="EV691" s="1411" t="e">
        <f>IF(EY691="Yes",VLOOKUP(AF691,Lookup_Control_Type_Table2,4,FALSE),VLOOKUP(AF691,Lookup_Control_Type_Table2,3,FALSE))</f>
        <v>#N/A</v>
      </c>
      <c r="EW691" s="1411" t="e">
        <f>VLOOKUP(AF691,Lookup!AU$3:AV$15,2,FALSE)</f>
        <v>#N/A</v>
      </c>
      <c r="EX691" s="1411" t="e">
        <f>VLOOKUP(EU689,Lookup_Control_Type_Table,2,FALSE)</f>
        <v>#N/A</v>
      </c>
      <c r="EY691" s="1411" t="e">
        <f>VLOOKUP(CP691,'Space Table'!$B$3:$L$160,7,FALSE)</f>
        <v>#N/A</v>
      </c>
      <c r="EZ691" s="1413"/>
      <c r="FB691" s="1365" t="str">
        <f>CONCATENATE(CN689," - ",AF691)</f>
        <v xml:space="preserve"> - </v>
      </c>
      <c r="FD691" s="1354"/>
      <c r="FE691" s="1354"/>
      <c r="FF691" s="138"/>
      <c r="FI691" s="1356" t="str">
        <f>IF(CN689="Exterior","Not Daylighted",G692)</f>
        <v>Not Daylighted</v>
      </c>
      <c r="FJ691" s="1356">
        <f>VLOOKUP(FI691,_Daylight_Table_Codes,2,FALSE)</f>
        <v>0</v>
      </c>
      <c r="FK691" s="1365">
        <f>AF691</f>
        <v>0</v>
      </c>
      <c r="FL691" s="1365" t="e">
        <f>VLOOKUP(FK691,_Control_Table,2,FALSE)</f>
        <v>#N/A</v>
      </c>
      <c r="FM691" s="1365" t="e">
        <f>IF(AND(FP691&gt;0,FK691="Occupancy Sensor"),"Daylight + Occupancy",IF(AND(FP691&gt;0,FL691&lt;4),"Interior Daylight Dimming",FK691))</f>
        <v>#N/A</v>
      </c>
      <c r="FO691" s="1364">
        <f>IF(CN689="Interior",VLOOKUP(CP689,Control_Savings_Interior,5,FALSE),0)</f>
        <v>0</v>
      </c>
      <c r="FP691" s="1361">
        <f>IF(CN691="Exterior",0,IF(FJ691=2,0.5,IF(OR(FJ691=1,FJ691=3),1,0)))</f>
        <v>0</v>
      </c>
      <c r="FQ691" s="1366">
        <f>IF(R690&gt;FO$37,(FO691*(FO$37/R690)),FO691)*FP691</f>
        <v>0</v>
      </c>
      <c r="FR691" s="1364">
        <f>DF691</f>
        <v>0</v>
      </c>
      <c r="FS691" s="1364">
        <f>ROUND(FR691+((1-FR691)*FQ691),2)</f>
        <v>0</v>
      </c>
      <c r="FT691" s="1364">
        <f>IF(__Retrofit_TI_NC=2,FS691,FR691)</f>
        <v>0</v>
      </c>
      <c r="FU691" s="1360">
        <f>IF(CO691="Interior",VLOOKUP(CP691,Control_Savings_Interior,4,FALSE),0)</f>
        <v>0</v>
      </c>
      <c r="FW691" s="1352"/>
      <c r="FX691" s="1352"/>
      <c r="FY691" s="1352"/>
      <c r="FZ691" s="1352"/>
      <c r="GA691" s="1352"/>
      <c r="GB691" s="1352"/>
      <c r="GC691" s="1352"/>
      <c r="GD691" s="1352"/>
      <c r="GE691" s="759" t="b">
        <f>IF(ISNUMBER(SEARCH("TLED",U691)),TRUE,FALSE)</f>
        <v>0</v>
      </c>
      <c r="GF691" s="1035" t="str">
        <f>IFERROR(VLOOKUP(U691,Fixtures!DM$93:DR$142,6,FALSE),"")</f>
        <v/>
      </c>
      <c r="GG691" s="1385"/>
      <c r="GI691" s="1383"/>
      <c r="GJ691" s="1379"/>
      <c r="GL691" s="1379"/>
      <c r="GM691" s="1379"/>
      <c r="HC691" s="1379"/>
      <c r="HD691" s="1379"/>
      <c r="HE691" s="1379"/>
      <c r="HF691" s="1379"/>
      <c r="HG691" s="1379"/>
      <c r="HH691" s="1379"/>
      <c r="HI691" s="1383"/>
      <c r="HJ691" s="1383"/>
      <c r="HK691" s="1383"/>
      <c r="HL691" s="1379"/>
      <c r="HM691" s="1379"/>
      <c r="HN691" s="1379"/>
      <c r="HO691" s="1379"/>
      <c r="HP691" s="1379"/>
      <c r="HQ691" s="1379"/>
      <c r="HR691" s="1379"/>
      <c r="HS691" s="1379"/>
      <c r="HT691" s="1379"/>
      <c r="HU691" s="1379"/>
      <c r="HW691" s="1383"/>
      <c r="HX691" s="1384" t="b">
        <f>HW689</f>
        <v>0</v>
      </c>
      <c r="HY691" s="1378"/>
      <c r="HZ691" s="436"/>
      <c r="IA691" s="1386"/>
      <c r="IB691" s="1380">
        <f>IF(IA689=TRUE,AC692,0)</f>
        <v>0</v>
      </c>
      <c r="IC691" s="1379"/>
      <c r="IF691" s="1380" t="e">
        <f>ROUND(T691*AB692*N690*R690/1000,0)</f>
        <v>#VALUE!</v>
      </c>
      <c r="IG691" s="1382"/>
      <c r="IH691" s="1384" t="e">
        <f>ROUND(T691*AB692*N690*R690/1000,0)</f>
        <v>#VALUE!</v>
      </c>
      <c r="II691" s="1382"/>
      <c r="IK691" s="1351" t="e">
        <f>IF($CO691="interior",IL691/2,VLOOKUP($CP691,Control_Savings_Exterior,IK$30,FALSE))</f>
        <v>#N/A</v>
      </c>
      <c r="IL691" s="1351" t="e">
        <f>IF($CO691="interior",VLOOKUP($CP691,Control_Savings_Interior,IL$30,FALSE),VLOOKUP($CP691,Control_Savings_Exterior,IL$30,FALSE))</f>
        <v>#N/A</v>
      </c>
      <c r="IM691" s="1351" t="e">
        <f>IF($CO691="interior",IF(R690&gt;FO$37,(IM$28*(FO$37/R690)),IM$28)*FP691,VLOOKUP($CP691,Control_Savings_Exterior,IM$30,FALSE))</f>
        <v>#N/A</v>
      </c>
      <c r="IN691" s="1351" t="e">
        <f>IF($CO691="interior",ROUND(((1-IL691)*IM691)+IL691,2),VLOOKUP($CP691,Control_Savings_Exterior,IN$30,FALSE))</f>
        <v>#N/A</v>
      </c>
      <c r="IO691" s="1351" t="e">
        <f>IF($CO691="interior", ROUND(((1-IL691)*(IM691*(1-IP$28)))+IP691,2), VLOOKUP($CP691,Control_Savings_Exterior,IO$30,FALSE))</f>
        <v>#N/A</v>
      </c>
      <c r="IP691" s="1351">
        <f>IF($CO691="interior",ROUND(((1-IL691)*IP$28)+IL691,2),0)</f>
        <v>0</v>
      </c>
    </row>
    <row r="692" spans="1:250" s="82" customFormat="1" ht="14.95" customHeight="1" thickTop="1" thickBot="1">
      <c r="B692" s="1421"/>
      <c r="C692" s="1422"/>
      <c r="D692" s="1423"/>
      <c r="E692" s="1462" t="s">
        <v>357</v>
      </c>
      <c r="F692" s="1463"/>
      <c r="G692" s="1464" t="s">
        <v>362</v>
      </c>
      <c r="H692" s="1465"/>
      <c r="I692" s="1465"/>
      <c r="J692" s="1465"/>
      <c r="K692" s="1465"/>
      <c r="L692" s="1466"/>
      <c r="M692" s="669">
        <f>IFERROR(VLOOKUP(G692,_Daylight_Table[],2,FALSE),0)</f>
        <v>0</v>
      </c>
      <c r="N692" s="670"/>
      <c r="O692" s="669" t="e">
        <f>VLOOKUP(G691,'Space Table'!$B$3:$L$160,11,FALSE)</f>
        <v>#N/A</v>
      </c>
      <c r="P692" s="1408"/>
      <c r="Q692" s="1409"/>
      <c r="R692" s="1409"/>
      <c r="S692" s="1402"/>
      <c r="T692" s="671" t="s">
        <v>281</v>
      </c>
      <c r="U692" s="1467" t="str">
        <f>IFERROR(VLOOKUP(U691,Fixtures!DM$93:DP$142,4,FALSE),"")</f>
        <v/>
      </c>
      <c r="V692" s="1468"/>
      <c r="W692" s="1468"/>
      <c r="X692" s="1468"/>
      <c r="Y692" s="1468"/>
      <c r="Z692" s="1468"/>
      <c r="AA692" s="1468"/>
      <c r="AB692" s="1046" t="str">
        <f>IFERROR(VLOOKUP(U691,Fixtures_Proposed_List,2,FALSE),"")</f>
        <v/>
      </c>
      <c r="AC692" s="1036" t="str">
        <f>IFERROR(ROUND(T691*AB692*N690*R690/1000,0),"")</f>
        <v/>
      </c>
      <c r="AD692" s="1037" t="str">
        <f>IFERROR(ROUND(T691*AB692/1000,2),"")</f>
        <v/>
      </c>
      <c r="AE692" s="1045" t="s">
        <v>281</v>
      </c>
      <c r="AF692" s="1469"/>
      <c r="AG692" s="1469"/>
      <c r="AH692" s="1469"/>
      <c r="AI692" s="1469"/>
      <c r="AJ692" s="1476"/>
      <c r="AK692" s="1471"/>
      <c r="AL692" s="1473"/>
      <c r="AM692" s="1443"/>
      <c r="AN692" s="1444"/>
      <c r="AO692" s="1449"/>
      <c r="AP692" s="1449"/>
      <c r="AQ692" s="1450"/>
      <c r="AR692" s="1453"/>
      <c r="AS692" s="1456"/>
      <c r="AT692" s="1459"/>
      <c r="AU692" s="517"/>
      <c r="AV692" s="1480"/>
      <c r="AW692" s="1480"/>
      <c r="BC692" s="38"/>
      <c r="BD692" s="38"/>
      <c r="BE692" s="38"/>
      <c r="BF692" s="38"/>
      <c r="BG692" s="38"/>
      <c r="BH692" s="38"/>
      <c r="BI692" s="38"/>
      <c r="BJ692" s="38"/>
      <c r="BK692" s="38"/>
      <c r="BL692" s="38"/>
      <c r="BM692" s="38"/>
      <c r="BN692" s="38"/>
      <c r="BO692" s="38"/>
      <c r="BP692" s="38"/>
      <c r="BQ692" s="38"/>
      <c r="BR692" s="38"/>
      <c r="BS692" s="38"/>
      <c r="BT692" s="38"/>
      <c r="BU692" s="38"/>
      <c r="BV692" s="38"/>
      <c r="BW692" s="38"/>
      <c r="BX692" s="38"/>
      <c r="BY692" s="38"/>
      <c r="BZ692" s="38"/>
      <c r="CA692" s="38"/>
      <c r="CB692" s="38"/>
      <c r="CC692" s="38"/>
      <c r="CD692" s="38"/>
      <c r="CE692" s="38"/>
      <c r="CF692" s="38"/>
      <c r="CG692" s="38"/>
      <c r="CH692" s="38"/>
      <c r="CI692" s="38"/>
      <c r="CM692" s="1352"/>
      <c r="CN692" s="1352"/>
      <c r="CO692" s="1416"/>
      <c r="CP692" s="1418"/>
      <c r="CR692" s="1386"/>
      <c r="CS692" s="1355"/>
      <c r="CT692" s="1355"/>
      <c r="CU692" s="1375"/>
      <c r="CV692" s="1372"/>
      <c r="CW692" s="1372"/>
      <c r="CX692" s="1372"/>
      <c r="CY692" s="1487"/>
      <c r="CZ692" s="1487"/>
      <c r="DA692" s="1487"/>
      <c r="DC692" s="1355"/>
      <c r="DD692" s="1355"/>
      <c r="DE692" s="1375"/>
      <c r="DF692" s="1407"/>
      <c r="DG692" s="1372"/>
      <c r="DH692" s="1369"/>
      <c r="DK692" s="1484"/>
      <c r="DL692" s="1420"/>
      <c r="DN692" s="1403"/>
      <c r="DO692" s="1405"/>
      <c r="DP692" s="1355"/>
      <c r="DQ692" s="1405"/>
      <c r="DR692" s="1403"/>
      <c r="DS692" s="1489"/>
      <c r="DU692" s="1403"/>
      <c r="DV692" s="1405"/>
      <c r="DW692" s="1403"/>
      <c r="DX692" s="1403"/>
      <c r="DZ692" s="1481"/>
      <c r="EA692" s="1481"/>
      <c r="EC692" s="1482"/>
      <c r="ED692" s="1369"/>
      <c r="EE692" s="1372"/>
      <c r="EF692" s="1369"/>
      <c r="EG692" s="1369"/>
      <c r="EH692" s="1375"/>
      <c r="EI692" s="1375"/>
      <c r="EJ692" s="1363"/>
      <c r="EK692" s="1376"/>
      <c r="EL692" s="1376"/>
      <c r="EM692" s="1362"/>
      <c r="EN692" s="1362"/>
      <c r="EO692" s="1363"/>
      <c r="EP692" s="1363"/>
      <c r="EQ692" s="1363"/>
      <c r="ES692" s="1403"/>
      <c r="EU692" s="1488"/>
      <c r="EV692" s="1488"/>
      <c r="EW692" s="1488"/>
      <c r="EX692" s="1488"/>
      <c r="EY692" s="1488"/>
      <c r="EZ692" s="1414"/>
      <c r="FB692" s="1365"/>
      <c r="FD692" s="1355"/>
      <c r="FE692" s="1355"/>
      <c r="FF692" s="138"/>
      <c r="FI692" s="1357"/>
      <c r="FJ692" s="1357"/>
      <c r="FK692" s="1365"/>
      <c r="FL692" s="1365"/>
      <c r="FM692" s="1365"/>
      <c r="FO692" s="1361"/>
      <c r="FP692" s="1361"/>
      <c r="FQ692" s="1366"/>
      <c r="FR692" s="1361"/>
      <c r="FS692" s="1361"/>
      <c r="FT692" s="1361"/>
      <c r="FU692" s="1360"/>
      <c r="FW692" s="1352"/>
      <c r="FX692" s="1352"/>
      <c r="FY692" s="1352"/>
      <c r="FZ692" s="1352"/>
      <c r="GA692" s="1352"/>
      <c r="GB692" s="1352"/>
      <c r="GC692" s="1352"/>
      <c r="GD692" s="1352"/>
      <c r="GE692" s="759"/>
      <c r="GF692" s="1035"/>
      <c r="GG692" s="1385"/>
      <c r="GJ692" s="1034">
        <f>IF(GJ690=TRUE,0,GJ$16)</f>
        <v>0</v>
      </c>
      <c r="GL692" s="1034">
        <f>IF(GL690=TRUE,0,GL$16)</f>
        <v>36</v>
      </c>
      <c r="GM692" s="1034">
        <f>IF(GM690=TRUE,0,GM$16)</f>
        <v>35</v>
      </c>
      <c r="GN692" s="436"/>
      <c r="GO692" s="436"/>
      <c r="GP692" s="436"/>
      <c r="GQ692" s="436"/>
      <c r="GR692" s="436"/>
      <c r="HC692" s="1034">
        <f t="shared" ref="HC692:HH692" si="514">IF(HC690=TRUE,0,HC$16)</f>
        <v>19</v>
      </c>
      <c r="HD692" s="1034">
        <f t="shared" si="514"/>
        <v>18</v>
      </c>
      <c r="HE692" s="1034">
        <f t="shared" si="514"/>
        <v>17</v>
      </c>
      <c r="HF692" s="1034">
        <f t="shared" si="514"/>
        <v>16</v>
      </c>
      <c r="HG692" s="1034">
        <f t="shared" si="514"/>
        <v>0</v>
      </c>
      <c r="HH692" s="1034">
        <f t="shared" si="514"/>
        <v>0</v>
      </c>
      <c r="HI692" s="1034">
        <f>IF(HI690=TRUE,0,HI$16)</f>
        <v>13</v>
      </c>
      <c r="HJ692" s="1034">
        <f t="shared" ref="HJ692:HL692" si="515">IF(HJ690=TRUE,0,HJ$16)</f>
        <v>12</v>
      </c>
      <c r="HK692" s="1034">
        <f t="shared" si="515"/>
        <v>11</v>
      </c>
      <c r="HL692" s="1034">
        <f t="shared" si="515"/>
        <v>10</v>
      </c>
      <c r="HM692" s="1034">
        <f>IF(HM690=TRUE,0,HM$16)</f>
        <v>9</v>
      </c>
      <c r="HN692" s="1034">
        <f t="shared" ref="HN692:HR692" si="516">IF(HN690=TRUE,0,HN$16)</f>
        <v>0</v>
      </c>
      <c r="HO692" s="1034">
        <f t="shared" si="516"/>
        <v>0</v>
      </c>
      <c r="HP692" s="1034">
        <f t="shared" si="516"/>
        <v>0</v>
      </c>
      <c r="HQ692" s="1034">
        <f t="shared" si="516"/>
        <v>0</v>
      </c>
      <c r="HR692" s="1034">
        <f t="shared" si="516"/>
        <v>0</v>
      </c>
      <c r="HS692" s="1034">
        <f>IF(HS690=TRUE,0,HS$16)</f>
        <v>0</v>
      </c>
      <c r="HT692" s="1034">
        <f t="shared" ref="HT692" si="517">IF(HT690=TRUE,0,HT$16)</f>
        <v>0</v>
      </c>
      <c r="HU692" s="1034">
        <f>IF(HU690=TRUE,0,HU$16)</f>
        <v>1</v>
      </c>
      <c r="HW692" s="1034">
        <f>IF(GL690=FALSE,GL692,IF(GM690=FALSE,GM692,MAX(GJ692:HU692)))</f>
        <v>36</v>
      </c>
      <c r="HX692" s="1383"/>
      <c r="HY692" s="241" t="str">
        <f>VLOOKUP(HW692,_Error_Table,3,FALSE)</f>
        <v xml:space="preserve"> </v>
      </c>
      <c r="HZ692" s="241"/>
      <c r="IA692" s="1386"/>
      <c r="IB692" s="1380"/>
      <c r="IC692" s="1379"/>
      <c r="IF692" s="1380"/>
      <c r="IG692" s="1383"/>
      <c r="IH692" s="1383"/>
      <c r="II692" s="1383"/>
      <c r="IK692" s="1351"/>
      <c r="IL692" s="1351"/>
      <c r="IM692" s="1351"/>
      <c r="IN692" s="1351"/>
      <c r="IO692" s="1351"/>
      <c r="IP692" s="1351"/>
    </row>
    <row r="693" spans="1:250" s="82" customFormat="1" ht="5.0999999999999996" customHeight="1" thickBot="1">
      <c r="B693" s="763"/>
      <c r="C693" s="1038"/>
      <c r="D693" s="1038"/>
      <c r="E693" s="1490"/>
      <c r="F693" s="1490"/>
      <c r="G693" s="1490"/>
      <c r="H693" s="1490"/>
      <c r="I693" s="1490"/>
      <c r="J693" s="1490"/>
      <c r="K693" s="1490"/>
      <c r="L693" s="1490"/>
      <c r="M693" s="1490"/>
      <c r="N693" s="1490"/>
      <c r="O693" s="1490"/>
      <c r="P693" s="1490"/>
      <c r="Q693" s="1490"/>
      <c r="R693" s="1490"/>
      <c r="S693" s="1490"/>
      <c r="T693" s="1490"/>
      <c r="U693" s="1490"/>
      <c r="V693" s="1490"/>
      <c r="W693" s="1490"/>
      <c r="X693" s="1490"/>
      <c r="Y693" s="1490"/>
      <c r="Z693" s="1490"/>
      <c r="AA693" s="1490"/>
      <c r="AB693" s="1490"/>
      <c r="AC693" s="1490"/>
      <c r="AD693" s="1490"/>
      <c r="AE693" s="1490"/>
      <c r="AF693" s="1490"/>
      <c r="AG693" s="1490"/>
      <c r="AH693" s="1490"/>
      <c r="AI693" s="1490"/>
      <c r="AJ693" s="1490"/>
      <c r="AK693" s="1490"/>
      <c r="AL693" s="1490"/>
      <c r="AM693" s="1490"/>
      <c r="AN693" s="1490"/>
      <c r="AO693" s="1490"/>
      <c r="AP693" s="1490"/>
      <c r="AQ693" s="1490"/>
      <c r="AR693" s="1490"/>
      <c r="AS693" s="1490"/>
      <c r="AT693" s="1490"/>
      <c r="AU693" s="1041"/>
      <c r="BC693" s="38"/>
      <c r="BD693" s="38"/>
      <c r="BE693" s="38"/>
      <c r="BF693" s="38"/>
      <c r="BG693" s="38"/>
      <c r="BH693" s="38"/>
      <c r="BI693" s="38"/>
      <c r="BJ693" s="38"/>
      <c r="BK693" s="38"/>
      <c r="BL693" s="38"/>
      <c r="BM693" s="38"/>
      <c r="BN693" s="38"/>
      <c r="BO693" s="38"/>
      <c r="BP693" s="38"/>
      <c r="BQ693" s="38"/>
      <c r="BR693" s="38"/>
      <c r="BS693" s="38"/>
      <c r="BT693" s="38"/>
      <c r="BU693" s="38"/>
      <c r="BV693" s="38"/>
      <c r="BW693" s="38"/>
      <c r="BX693" s="38"/>
      <c r="BY693" s="38"/>
      <c r="BZ693" s="38"/>
      <c r="CA693" s="38"/>
      <c r="CB693" s="38"/>
      <c r="CC693" s="38"/>
      <c r="CD693" s="38"/>
      <c r="CE693" s="38"/>
      <c r="CF693" s="38"/>
      <c r="CG693" s="38"/>
      <c r="CH693" s="38"/>
      <c r="CI693" s="38"/>
      <c r="CM693" s="749"/>
      <c r="CN693" s="749"/>
      <c r="CO693" s="1043"/>
      <c r="CP693" s="749"/>
      <c r="CS693" s="436"/>
      <c r="CT693" s="436"/>
      <c r="CU693" s="243"/>
      <c r="CV693" s="244"/>
      <c r="CW693" s="244"/>
      <c r="CX693" s="244"/>
      <c r="CY693" s="245"/>
      <c r="CZ693" s="245"/>
      <c r="DA693" s="245"/>
      <c r="DC693" s="750"/>
      <c r="DD693" s="751"/>
      <c r="DE693" s="752"/>
      <c r="DF693" s="753"/>
      <c r="DG693" s="754"/>
      <c r="DH693" s="754"/>
      <c r="DK693" s="244"/>
      <c r="DL693" s="750"/>
      <c r="DN693" s="750"/>
      <c r="DO693" s="755"/>
      <c r="DP693" s="436"/>
      <c r="DQ693" s="750"/>
      <c r="DR693" s="750"/>
      <c r="DS693" s="750"/>
      <c r="DU693" s="750"/>
      <c r="DV693" s="750"/>
      <c r="DW693" s="750"/>
      <c r="DX693" s="750"/>
      <c r="DZ693" s="756"/>
      <c r="EA693" s="756"/>
      <c r="EC693" s="754"/>
      <c r="ED693" s="754"/>
      <c r="EE693" s="244"/>
      <c r="EF693" s="754"/>
      <c r="EG693" s="754"/>
      <c r="EH693" s="243"/>
      <c r="EI693" s="243"/>
      <c r="EJ693" s="752"/>
      <c r="EK693" s="757"/>
      <c r="EL693" s="757"/>
      <c r="EM693" s="758"/>
      <c r="EN693" s="758"/>
      <c r="EO693" s="752"/>
      <c r="EP693" s="752"/>
      <c r="EQ693" s="752"/>
      <c r="ES693" s="750"/>
      <c r="EU693" s="436"/>
      <c r="EV693" s="436"/>
      <c r="EW693" s="436"/>
      <c r="EX693" s="436"/>
      <c r="EY693" s="436"/>
      <c r="EZ693" s="436"/>
      <c r="FB693" s="643"/>
      <c r="FD693" s="436"/>
      <c r="FE693" s="436"/>
      <c r="FF693" s="436"/>
      <c r="FO693" s="750"/>
      <c r="FP693" s="436"/>
      <c r="FQ693" s="436"/>
      <c r="FR693" s="750"/>
      <c r="FS693" s="750"/>
      <c r="FW693" s="749"/>
      <c r="FX693" s="749"/>
      <c r="FY693" s="749"/>
      <c r="FZ693" s="749"/>
      <c r="GA693" s="749"/>
      <c r="GB693" s="749"/>
      <c r="GC693" s="749"/>
      <c r="GD693" s="749"/>
      <c r="GE693" s="751"/>
      <c r="GF693" s="750"/>
      <c r="GG693" s="750"/>
    </row>
    <row r="694" spans="1:250" s="82" customFormat="1" ht="14.95" customHeight="1" thickTop="1" thickBot="1">
      <c r="B694" s="1421" t="str">
        <f>HY697</f>
        <v xml:space="preserve"> </v>
      </c>
      <c r="C694" s="1422">
        <f>C689+1</f>
        <v>127</v>
      </c>
      <c r="D694" s="1423"/>
      <c r="E694" s="1424" t="s">
        <v>242</v>
      </c>
      <c r="F694" s="1425"/>
      <c r="G694" s="1426"/>
      <c r="H694" s="1427"/>
      <c r="I694" s="1427"/>
      <c r="J694" s="1427"/>
      <c r="K694" s="1427"/>
      <c r="L694" s="1427"/>
      <c r="M694" s="1427"/>
      <c r="N694" s="1427"/>
      <c r="O694" s="1427"/>
      <c r="P694" s="1427"/>
      <c r="Q694" s="1427"/>
      <c r="R694" s="1427"/>
      <c r="S694" s="1428" t="s">
        <v>283</v>
      </c>
      <c r="T694" s="668" t="s">
        <v>190</v>
      </c>
      <c r="U694" s="1430" t="s">
        <v>186</v>
      </c>
      <c r="V694" s="1431"/>
      <c r="W694" s="1431"/>
      <c r="X694" s="1431"/>
      <c r="Y694" s="1431"/>
      <c r="Z694" s="1431"/>
      <c r="AA694" s="1431"/>
      <c r="AB694" s="1047" t="str">
        <f>IFERROR(IF(__Retrofit_TI_NC=0,VLOOKUP(U695,Fixtures_Existing_List,2,FALSE),ROUND(N696*R696/T696,10)),"")</f>
        <v/>
      </c>
      <c r="AC694" s="1039" t="str">
        <f>IFERROR(IF(__Retrofit_TI_NC=0,ROUND(T695*AB694*N695*R695/1000,0),IF(CN694="Interior",N696*R696*R695*N695*_C406_reduction/1000,N696*R696*R695*N695/1000)),"")</f>
        <v/>
      </c>
      <c r="AD694" s="1040" t="str">
        <f>IFERROR(IF(C$36=0,ROUND(T695*AB694/1000,2),N696*R696/1000),"")</f>
        <v/>
      </c>
      <c r="AE694" s="1044" t="s">
        <v>190</v>
      </c>
      <c r="AF694" s="1432" t="str">
        <f>IF(__Retrofit_TI_NC=2,CONCATENATE("Code min = ",DD694),IF(__Retrofit_TI_NC=1,"Emter what you think the existing control was"," Control"))</f>
        <v xml:space="preserve"> Control</v>
      </c>
      <c r="AG694" s="1432"/>
      <c r="AH694" s="1432"/>
      <c r="AI694" s="1432"/>
      <c r="AJ694" s="1433">
        <f>DF694</f>
        <v>0</v>
      </c>
      <c r="AK694" s="1435" t="str">
        <f>IFERROR(ROUND(AJ694*AC694,0),"")</f>
        <v/>
      </c>
      <c r="AL694" s="1437">
        <f>IFERROR(IF(HW694=FALSE,0,AC694-AK694),0)</f>
        <v>0</v>
      </c>
      <c r="AM694" s="1439">
        <f>AL694-AL696</f>
        <v>0</v>
      </c>
      <c r="AN694" s="1440"/>
      <c r="AO694" s="1445">
        <f>IFERROR(IF(HW694=FALSE,0,(T696*U697)+(AE696*AF697)),0)</f>
        <v>0</v>
      </c>
      <c r="AP694" s="1445"/>
      <c r="AQ694" s="1446"/>
      <c r="AR694" s="1451" t="s">
        <v>157</v>
      </c>
      <c r="AS694" s="1454">
        <f>IF(AR694="Yes",1,0)</f>
        <v>1</v>
      </c>
      <c r="AT694" s="1457" t="str">
        <f>IF(OR(DN694=4,DN694=5,DN694=6,DN694=12),CONCATENATE("$",IF(GD694=TRUE,Lookup!$B$11,Lookup!$B$2)," /lamp"),CONCATENATE(EA694,"/ kWh"))</f>
        <v>0/ kWh</v>
      </c>
      <c r="AU694" s="516"/>
      <c r="AV694" s="1478">
        <f>IFERROR(IF(GI695=TRUE,(AB697*T696)/R696,0),"NA")</f>
        <v>0</v>
      </c>
      <c r="AW694" s="1478" t="str">
        <f>IFERROR(N696*_C406_reduction,"NA")</f>
        <v>NA</v>
      </c>
      <c r="BC694" s="38"/>
      <c r="BD694" s="38"/>
      <c r="BE694" s="38"/>
      <c r="BF694" s="38"/>
      <c r="BG694" s="38"/>
      <c r="BH694" s="38"/>
      <c r="BI694" s="38"/>
      <c r="BJ694" s="38"/>
      <c r="BK694" s="38"/>
      <c r="BL694" s="38"/>
      <c r="BM694" s="38"/>
      <c r="BN694" s="38"/>
      <c r="BO694" s="38"/>
      <c r="BP694" s="38"/>
      <c r="BQ694" s="38"/>
      <c r="BR694" s="38"/>
      <c r="BS694" s="38"/>
      <c r="BT694" s="38"/>
      <c r="BU694" s="38"/>
      <c r="BV694" s="38"/>
      <c r="BW694" s="38"/>
      <c r="BX694" s="38"/>
      <c r="BY694" s="38"/>
      <c r="BZ694" s="38"/>
      <c r="CA694" s="38"/>
      <c r="CB694" s="38"/>
      <c r="CC694" s="38"/>
      <c r="CD694" s="38"/>
      <c r="CE694" s="38"/>
      <c r="CF694" s="38"/>
      <c r="CG694" s="38"/>
      <c r="CH694" s="38"/>
      <c r="CI694" s="38"/>
      <c r="CM694" s="1352" t="str">
        <f>N695</f>
        <v/>
      </c>
      <c r="CN694" s="1352" t="str">
        <f>IFERROR(VLOOKUP(G695,_Lookup_Heat_Type_Table_New,3,FALSE),"")</f>
        <v/>
      </c>
      <c r="CO694" s="1415" t="str">
        <f>CN694</f>
        <v/>
      </c>
      <c r="CP694" s="1417" t="e">
        <f>VLOOKUP(G696,'Space Table'!$B$3:$L$160,9,FALSE)</f>
        <v>#N/A</v>
      </c>
      <c r="CR694" s="1386" t="s">
        <v>283</v>
      </c>
      <c r="CS694" s="1353">
        <f>IF(HW694=TRUE,T695,0)</f>
        <v>0</v>
      </c>
      <c r="CT694" s="1353" t="str">
        <f>IF(HW694=TRUE,U695,"")</f>
        <v/>
      </c>
      <c r="CU694" s="1353"/>
      <c r="CV694" s="1370">
        <f>IF(HW694=TRUE,AB694,0)</f>
        <v>0</v>
      </c>
      <c r="CW694" s="1370">
        <f>IF(HW694=TRUE,AC694,0)</f>
        <v>0</v>
      </c>
      <c r="CX694" s="1370">
        <f>IFERROR(IF(HW694=TRUE,CW694-CW696,0),0)</f>
        <v>0</v>
      </c>
      <c r="CY694" s="1485">
        <f>IF(HW694=TRUE,AD694,0)</f>
        <v>0</v>
      </c>
      <c r="CZ694" s="1485">
        <f>IF(HW694=TRUE,AD697,0)</f>
        <v>0</v>
      </c>
      <c r="DA694" s="1485">
        <f>IFERROR(CY694-CZ694,0)</f>
        <v>0</v>
      </c>
      <c r="DC694" s="1353">
        <f>IF(HW694=TRUE,AE695,0)</f>
        <v>0</v>
      </c>
      <c r="DD694" s="1460">
        <f>IF(__Retrofit_TI_NC=2,IF(CN694="Exterior",O697,FM694),FK694)</f>
        <v>0</v>
      </c>
      <c r="DE694" s="1353"/>
      <c r="DF694" s="1406">
        <f>IFERROR(IF(FL694=3,IK694,IF(FL694=4,IL694,IF(FL694=5,IM694,IF(FL694=6,IN694,IF(FL694=7,IO694,IF(FL694=8,IP694,0)))))),0)</f>
        <v>0</v>
      </c>
      <c r="DG694" s="1370">
        <f>IF(HW694=TRUE,AK694,0)</f>
        <v>0</v>
      </c>
      <c r="DH694" s="1369">
        <f>IFERROR(IF(HW694=TRUE,DG696-DG694,0),0)</f>
        <v>0</v>
      </c>
      <c r="DJ694" s="1483">
        <f>IFERROR(CW694-DG694,0)</f>
        <v>0</v>
      </c>
      <c r="DL694" s="1419">
        <f>DJ694-DK696</f>
        <v>0</v>
      </c>
      <c r="DN694" s="1403" t="str">
        <f>IFERROR(IF(AND(OR(FY694=4,FY694=5,FY694=6),OR(GB694=4,GB694=5,GB694=6)),FY694+8,VLOOKUP(CT696,Fixtures!R$31:Y$78,8,FALSE)),"")</f>
        <v/>
      </c>
      <c r="DO694" s="1404" t="str">
        <f>DN694</f>
        <v/>
      </c>
      <c r="DP694" s="1353" t="str">
        <f>IFERROR(VLOOKUP(DD696,Lookup!AU$3:AV$15,2,FALSE),"")</f>
        <v/>
      </c>
      <c r="DQ694" s="1404" t="str">
        <f>IF(DP694=7,"LLLC","")</f>
        <v/>
      </c>
      <c r="DR694" s="1403">
        <f>IFERROR(IF(OR(DN694=4,DN694=5,DN694=6,DN694=12,DN694=13,DN694=14),VLOOKUP(CT696,Fixtures!DN$27:EG$77,19,FALSE),1)*CS696,0)</f>
        <v>0</v>
      </c>
      <c r="DS694" s="1489">
        <f>IF(DP694=7,IF(DD694=DD696,0,DC696),0)</f>
        <v>0</v>
      </c>
      <c r="DU694" s="1403" t="str">
        <f>IFERROR(IF(EW694&lt;EW696,"Yes","No"),"")</f>
        <v/>
      </c>
      <c r="DV694" s="1404" t="str">
        <f>DU694</f>
        <v/>
      </c>
      <c r="DW694" s="1403">
        <f>IF(DU694="Yes",DC696,0)</f>
        <v>0</v>
      </c>
      <c r="DX694" s="1403">
        <f>DW694-DS694</f>
        <v>0</v>
      </c>
      <c r="DZ694" s="1481">
        <f>IFERROR(VLOOKUP(DN694,Lookup!AN$3:AO$16,2,FALSE),0)</f>
        <v>0</v>
      </c>
      <c r="EA694" s="1481">
        <f>IF(HW694=FALSE,0,IF(DU694="Yes",DZ694+Lookup!B$6,DZ694))</f>
        <v>0</v>
      </c>
      <c r="EC694" s="1482">
        <f>IF(HW694=TRUE,DJ694,0)</f>
        <v>0</v>
      </c>
      <c r="ED694" s="1369">
        <f>IF(HW694=TRUE,CW696,0)</f>
        <v>0</v>
      </c>
      <c r="EE694" s="1370">
        <f>IFERROR(EC694-ED694,0)</f>
        <v>0</v>
      </c>
      <c r="EF694" s="1369">
        <f>IF(HW694=TRUE,DG696,0)</f>
        <v>0</v>
      </c>
      <c r="EG694" s="1369">
        <f>IFERROR(EC694-ED694+EF694,0)</f>
        <v>0</v>
      </c>
      <c r="EH694" s="1373">
        <f>IF(HW694=TRUE,CS696*CU696,0)</f>
        <v>0</v>
      </c>
      <c r="EI694" s="1373">
        <f>IF(HW694=TRUE,DC696*DE696,0)</f>
        <v>0</v>
      </c>
      <c r="EJ694" s="1363">
        <f>AO694</f>
        <v>0</v>
      </c>
      <c r="EK694" s="1376" t="str">
        <f>IFERROR(IF(HW694=TRUE,VLOOKUP(DN694,Lookup!AN$3:AP$16,3,FALSE)*DR694,""),0)</f>
        <v/>
      </c>
      <c r="EL694" s="1376">
        <f>IF(HW694=TRUE,DW694*Lookup!AP$12,0)</f>
        <v>0</v>
      </c>
      <c r="EM694" s="1362">
        <f>IFERROR(IF(HW694=TRUE,EK694/EM$33,0),0)</f>
        <v>0</v>
      </c>
      <c r="EN694" s="1362">
        <f>IF(HW694=TRUE,EL694/EN$33,0)</f>
        <v>0</v>
      </c>
      <c r="EO694" s="1363">
        <f>IF(HW694=TRUE,EQ$33*EM694,0)</f>
        <v>0</v>
      </c>
      <c r="EP694" s="1363">
        <f>IF(HW694=TRUE,EQ$33*EN694,0)</f>
        <v>0</v>
      </c>
      <c r="EQ694" s="1363">
        <f>EO694+EP694</f>
        <v>0</v>
      </c>
      <c r="ES694" s="1403">
        <f>IF(G694="",0,1)</f>
        <v>0</v>
      </c>
      <c r="EU694" s="1410" t="e">
        <f>VLOOKUP(CP696,'Space Table'!$B$3:$L$160,8,FALSE)</f>
        <v>#N/A</v>
      </c>
      <c r="EV694" s="1410" t="e">
        <f>IF(EY694="Yes",VLOOKUP(DD694,Lookup_Control_Type_Table2,4,FALSE),VLOOKUP(DD694,Lookup_Control_Type_Table2,3,FALSE))</f>
        <v>#N/A</v>
      </c>
      <c r="EW694" s="1410" t="e">
        <f>VLOOKUP(DD694,Lookup!AU$3:AV$15,2,FALSE)</f>
        <v>#N/A</v>
      </c>
      <c r="EX694" s="1410" t="e">
        <f>VLOOKUP(EU694,Lookup_Control_Type_Table,2,FALSE)</f>
        <v>#N/A</v>
      </c>
      <c r="EY694" s="1410" t="e">
        <f>VLOOKUP(CP696,'Space Table'!$B$3:$L$160,7,FALSE)</f>
        <v>#N/A</v>
      </c>
      <c r="EZ694" s="1412" t="b">
        <f>ISNUMBER(SEARCH("TLED",U696))</f>
        <v>0</v>
      </c>
      <c r="FB694" s="1365" t="str">
        <f>CONCATENATE(CN694," - ",DD694)</f>
        <v xml:space="preserve"> - 0</v>
      </c>
      <c r="FD694" s="1353" t="str">
        <f>VLOOKUP(CT696,Fixtures!DN$27:EZ$77,38,FALSE)</f>
        <v/>
      </c>
      <c r="FE694" s="1353">
        <f>IFERROR(FD694*EE694,0)</f>
        <v>0</v>
      </c>
      <c r="FF694" s="138"/>
      <c r="FI694" s="1356" t="str">
        <f>IF(CN694="Exterior","Not Daylighted",G697)</f>
        <v>Not Daylighted</v>
      </c>
      <c r="FJ694" s="1356">
        <f>VLOOKUP(FI694,_Daylight_Table_Codes,2,FALSE)</f>
        <v>0</v>
      </c>
      <c r="FK694" s="1365">
        <f>IF(__Retrofit_TI_NC=2,VLOOKUP(G696,'Space Table'!$B$3:$L$160,11,FALSE),AF695)</f>
        <v>0</v>
      </c>
      <c r="FL694" s="1365" t="e">
        <f>VLOOKUP(FK694,_Control_Table,2,FALSE)</f>
        <v>#N/A</v>
      </c>
      <c r="FM694" s="1365" t="e">
        <f>IF(AND(FP694&gt;0,FK694="Occupancy Sensor"),"Daylight + Occupancy",IF(AND(FP694&gt;0,FL694&lt;4),"Interior Daylight Dimming",FK694))</f>
        <v>#N/A</v>
      </c>
      <c r="FO694" s="1364">
        <f>IF(CO694="Interior",VLOOKUP(CP694,Control_Savings_Interior,5,FALSE),0)</f>
        <v>0</v>
      </c>
      <c r="FP694" s="1361">
        <f>IF(CN694="Exterior",0,IF(FJ694=2,0.5,IF(OR(FJ694=1,FJ694=3),1,0)))</f>
        <v>0</v>
      </c>
      <c r="FQ694" s="1366"/>
      <c r="FR694" s="1367"/>
      <c r="FS694" s="1364"/>
      <c r="FT694" s="1367"/>
      <c r="FU694" s="1360"/>
      <c r="FW694" s="1352" t="str">
        <f>IFERROR(VLOOKUP(U695,_Exist_Fixture_Table,3,FALSE),"")</f>
        <v/>
      </c>
      <c r="FX694" s="1352" t="str">
        <f>VLOOKUP(CT694,_Exist_Fixture_Table,4,FALSE)</f>
        <v/>
      </c>
      <c r="FY694" s="1352">
        <f>IFERROR(VLOOKUP(FX694,Lookup!AM$6:AN$8,2,FALSE),0)</f>
        <v>0</v>
      </c>
      <c r="FZ694" s="1352" t="b">
        <f>IFERROR(IF(OR(GB694=4,GB694=5,GB694=6),TRUE,FALSE),"")</f>
        <v>0</v>
      </c>
      <c r="GA694" s="1352" t="str">
        <f>IFERROR(VLOOKUP(GB694,FY$6:FZ$10,2,FALSE),"")</f>
        <v/>
      </c>
      <c r="GB694" s="1352" t="str">
        <f>VLOOKUP(CT696,Fixtures!R$31:Y$78,8,FALSE)</f>
        <v/>
      </c>
      <c r="GC694" s="1352">
        <f>IF(AND(FW694=TRUE,FZ694=TRUE,OR(DN694=12,DN694=13,DN694=14)),FY694+8,0)</f>
        <v>0</v>
      </c>
      <c r="GD694" s="1352" t="b">
        <f>IF(OR(GC694=12,GC694=13,GC694=14),TRUE,FALSE)</f>
        <v>0</v>
      </c>
      <c r="GE694" s="759" t="b">
        <f>IF(ISNUMBER(SEARCH("TLED",U695)),TRUE,FALSE)</f>
        <v>0</v>
      </c>
      <c r="GF694" s="1035" t="str">
        <f>IFERROR(VLOOKUP(U695,Fixtures!BM$93:BR$142,6,FALSE),"")</f>
        <v/>
      </c>
      <c r="GG694" s="1385" t="b">
        <f>IF(OR(GE694=FALSE,GE696=FALSE),TRUE,IF(GF694-GF696&lt;5,FALSE,TRUE))</f>
        <v>1</v>
      </c>
      <c r="GK694" s="1034">
        <f>GL694</f>
        <v>0</v>
      </c>
      <c r="GL694" s="1034">
        <f>IF(G694="",0,1)</f>
        <v>0</v>
      </c>
      <c r="GM694" s="1034">
        <f>SUM(GN694:HB694)</f>
        <v>2</v>
      </c>
      <c r="GN694" s="1034">
        <f>IF(G695="",0,1)</f>
        <v>0</v>
      </c>
      <c r="GO694" s="1034">
        <f>IF(G696="",0,1)</f>
        <v>0</v>
      </c>
      <c r="GP694" s="1034">
        <f>IF(R695="",0,1)</f>
        <v>0</v>
      </c>
      <c r="GQ694" s="1034">
        <f>IF(__Retrofit_TI_NC=0,1,IF(R696="",0,1))</f>
        <v>1</v>
      </c>
      <c r="GR694" s="1034">
        <f>IF(CN694="Exterior",1,IF(G697="",0,1))</f>
        <v>1</v>
      </c>
      <c r="GS694" s="1034">
        <f>IF(__Retrofit_TI_NC&lt;&gt;0,1,IF(T695="",0,1))</f>
        <v>0</v>
      </c>
      <c r="GT694" s="1034">
        <f>IF(__Retrofit_TI_NC&lt;&gt;0,1,IF(U695="",0,1))</f>
        <v>0</v>
      </c>
      <c r="GU694" s="1034">
        <f>IF(T696="",0,1)</f>
        <v>0</v>
      </c>
      <c r="GV694" s="1034">
        <f>IF(U696="",0,1)</f>
        <v>0</v>
      </c>
      <c r="GW694" s="1034">
        <f>IF(__Retrofit_TI_NC=2,1,IF(U697="",0,1))</f>
        <v>0</v>
      </c>
      <c r="GX694" s="1034">
        <f>IF(__Retrofit_TI_NC&lt;&gt;0,1,IF(AE695="",0,1))</f>
        <v>0</v>
      </c>
      <c r="GY694" s="1034">
        <f>IF(__Retrofit_TI_NC&lt;&gt;0,1,IF(AF695="",0,1))</f>
        <v>0</v>
      </c>
      <c r="GZ694" s="1034">
        <f>IF(AE696="",0,1)</f>
        <v>0</v>
      </c>
      <c r="HA694" s="1034">
        <f>IF(AF696="",0,1)</f>
        <v>0</v>
      </c>
      <c r="HB694" s="1034">
        <f>IF(__Retrofit_TI_NC=2,1,IF(AF697="",0,1))</f>
        <v>0</v>
      </c>
      <c r="HV694" s="436"/>
      <c r="HW694" s="1384" t="b">
        <f>IF(OR(HW697=0,HW697=HT$16,HW697=HS$16,HW697=HU$16),TRUE,FALSE)</f>
        <v>0</v>
      </c>
      <c r="HX694" s="1377" t="b">
        <f>HW694</f>
        <v>0</v>
      </c>
      <c r="HY694" s="436"/>
      <c r="HZ694" s="436"/>
      <c r="IA694" s="1386" t="b">
        <f>IF(MAX(GJ697:HP697)&gt;5,FALSE,TRUE)</f>
        <v>0</v>
      </c>
      <c r="IB694" s="1380">
        <f>IF(IA694=TRUE,AC694,0)</f>
        <v>0</v>
      </c>
      <c r="IC694" s="1380">
        <f>IB694-IB696</f>
        <v>0</v>
      </c>
      <c r="IF694" s="1380" t="e">
        <f>ROUND(T695*VLOOKUP(U695,Fixtures_Existing_List,2,FALSE)*N695*R695/1000,0)</f>
        <v>#N/A</v>
      </c>
      <c r="IG694" s="1381" t="e">
        <f>IF694-IF696</f>
        <v>#N/A</v>
      </c>
      <c r="IH694" s="1384" t="e">
        <f>ROUND(IF(CN694="Interior",N696*R696*R695*N695*_C406_reduction/1000,N696*R696*R695*N695/1000),0)</f>
        <v>#N/A</v>
      </c>
      <c r="II694" s="1384" t="e">
        <f>IH694-IH696</f>
        <v>#N/A</v>
      </c>
      <c r="IK694" s="1351" t="e">
        <f>IF($CO694="interior",IL694/2,VLOOKUP($CP694,Control_Savings_Exterior,IK$30,FALSE))</f>
        <v>#N/A</v>
      </c>
      <c r="IL694" s="1351" t="e">
        <f>IF($CO694="interior",VLOOKUP($CP694,Control_Savings_Interior,IL$30,FALSE),VLOOKUP($CP694,Control_Savings_Exterior,IL$30,FALSE))</f>
        <v>#N/A</v>
      </c>
      <c r="IM694" s="1351" t="e">
        <f>IF($CO694="interior",IF(R695&gt;FO$37,(IM$28*(FO$37/R695)),IM$28)*FP694,VLOOKUP($CP694,Control_Savings_Exterior,IM$30,FALSE))</f>
        <v>#N/A</v>
      </c>
      <c r="IN694" s="1351" t="e">
        <f>IF($CO694="interior",ROUND(((1-IL694)*IM694)+IL694,2),VLOOKUP($CP694,Control_Savings_Exterior,IN$30,FALSE))</f>
        <v>#N/A</v>
      </c>
      <c r="IO694" s="1351" t="e">
        <f>IF($CO694="interior", ROUND(((1-IL694)*(IM694*(1-IP$28)))+IP694,2), VLOOKUP($CP694,Control_Savings_Exterior,IO$30,FALSE))</f>
        <v>#N/A</v>
      </c>
      <c r="IP694" s="1351">
        <f>IF($CO694="interior",ROUND(((1-IL694)*IP$28)+IL694,2),0)</f>
        <v>0</v>
      </c>
    </row>
    <row r="695" spans="1:250" s="82" customFormat="1" ht="14.95" customHeight="1" thickTop="1" thickBot="1">
      <c r="B695" s="1421"/>
      <c r="C695" s="1422"/>
      <c r="D695" s="1423"/>
      <c r="E695" s="1393" t="s">
        <v>244</v>
      </c>
      <c r="F695" s="1394"/>
      <c r="G695" s="1395"/>
      <c r="H695" s="1395"/>
      <c r="I695" s="1395"/>
      <c r="J695" s="1395"/>
      <c r="K695" s="1395"/>
      <c r="L695" s="1395"/>
      <c r="M695" s="509" t="e">
        <f>IF(__Retrofit_TI_NC&lt;&gt;0,IF(VLOOKUP(G696,'Space Table'!$B$3:$L$160,3,FALSE)&gt;0,1,0),IF(__Retrofit_TI_NC=VLOOKUP(G696,'Space Table'!$B$3:$L$160,3,FALSE),1,0))</f>
        <v>#N/A</v>
      </c>
      <c r="N695" s="509" t="str">
        <f>IFERROR(VLOOKUP(G695,_Lookup_Heat_Type_Table_New,2,FALSE),"")</f>
        <v/>
      </c>
      <c r="O695" s="509">
        <f>IF(__Retrofit_TI_NC=1,CONCATENATE("TI ",G695),IF(__Retrofit_TI_NC=2,CONCATENATE("NC ",G695),G695))</f>
        <v>0</v>
      </c>
      <c r="P695" s="1396" t="s">
        <v>352</v>
      </c>
      <c r="Q695" s="1396"/>
      <c r="R695" s="673"/>
      <c r="S695" s="1429"/>
      <c r="T695" s="675"/>
      <c r="U695" s="1496"/>
      <c r="V695" s="1497"/>
      <c r="W695" s="1497"/>
      <c r="X695" s="1497"/>
      <c r="Y695" s="1497"/>
      <c r="Z695" s="1497"/>
      <c r="AA695" s="1497"/>
      <c r="AB695" s="1497"/>
      <c r="AC695" s="1497"/>
      <c r="AD695" s="1498"/>
      <c r="AE695" s="675"/>
      <c r="AF695" s="1397"/>
      <c r="AG695" s="1397"/>
      <c r="AH695" s="1397"/>
      <c r="AI695" s="1397"/>
      <c r="AJ695" s="1434"/>
      <c r="AK695" s="1436"/>
      <c r="AL695" s="1438"/>
      <c r="AM695" s="1441"/>
      <c r="AN695" s="1442"/>
      <c r="AO695" s="1447"/>
      <c r="AP695" s="1447"/>
      <c r="AQ695" s="1448"/>
      <c r="AR695" s="1452"/>
      <c r="AS695" s="1455"/>
      <c r="AT695" s="1458"/>
      <c r="AU695" s="516"/>
      <c r="AV695" s="1479"/>
      <c r="AW695" s="1479"/>
      <c r="BC695" s="38"/>
      <c r="BD695" s="38"/>
      <c r="BE695" s="38"/>
      <c r="BF695" s="38"/>
      <c r="BG695" s="38"/>
      <c r="BH695" s="38"/>
      <c r="BI695" s="38"/>
      <c r="BJ695" s="38"/>
      <c r="BK695" s="38"/>
      <c r="BL695" s="38"/>
      <c r="BM695" s="38"/>
      <c r="BN695" s="38"/>
      <c r="BO695" s="38"/>
      <c r="BP695" s="38"/>
      <c r="BQ695" s="38"/>
      <c r="BR695" s="38"/>
      <c r="BS695" s="38"/>
      <c r="BT695" s="38"/>
      <c r="BU695" s="38"/>
      <c r="BV695" s="38"/>
      <c r="BW695" s="38"/>
      <c r="BX695" s="38"/>
      <c r="BY695" s="38"/>
      <c r="BZ695" s="38"/>
      <c r="CA695" s="38"/>
      <c r="CB695" s="38"/>
      <c r="CC695" s="38"/>
      <c r="CD695" s="38"/>
      <c r="CE695" s="38"/>
      <c r="CF695" s="38"/>
      <c r="CG695" s="38"/>
      <c r="CH695" s="38"/>
      <c r="CI695" s="38"/>
      <c r="CM695" s="1352"/>
      <c r="CN695" s="1352"/>
      <c r="CO695" s="1416"/>
      <c r="CP695" s="1418"/>
      <c r="CR695" s="1386"/>
      <c r="CS695" s="1355"/>
      <c r="CT695" s="1355"/>
      <c r="CU695" s="1355"/>
      <c r="CV695" s="1372"/>
      <c r="CW695" s="1372"/>
      <c r="CX695" s="1371"/>
      <c r="CY695" s="1486"/>
      <c r="CZ695" s="1486"/>
      <c r="DA695" s="1486"/>
      <c r="DC695" s="1355"/>
      <c r="DD695" s="1461"/>
      <c r="DE695" s="1355"/>
      <c r="DF695" s="1407"/>
      <c r="DG695" s="1372"/>
      <c r="DH695" s="1369"/>
      <c r="DJ695" s="1484"/>
      <c r="DL695" s="1419"/>
      <c r="DN695" s="1403"/>
      <c r="DO695" s="1405"/>
      <c r="DP695" s="1354"/>
      <c r="DQ695" s="1405"/>
      <c r="DR695" s="1403"/>
      <c r="DS695" s="1489"/>
      <c r="DU695" s="1403"/>
      <c r="DV695" s="1405"/>
      <c r="DW695" s="1403"/>
      <c r="DX695" s="1403"/>
      <c r="DZ695" s="1481"/>
      <c r="EA695" s="1481"/>
      <c r="EC695" s="1482"/>
      <c r="ED695" s="1369"/>
      <c r="EE695" s="1371"/>
      <c r="EF695" s="1369"/>
      <c r="EG695" s="1369"/>
      <c r="EH695" s="1374"/>
      <c r="EI695" s="1374"/>
      <c r="EJ695" s="1363"/>
      <c r="EK695" s="1376"/>
      <c r="EL695" s="1376"/>
      <c r="EM695" s="1362"/>
      <c r="EN695" s="1362"/>
      <c r="EO695" s="1363"/>
      <c r="EP695" s="1363"/>
      <c r="EQ695" s="1363"/>
      <c r="ES695" s="1403"/>
      <c r="EU695" s="1411"/>
      <c r="EV695" s="1411"/>
      <c r="EW695" s="1411"/>
      <c r="EX695" s="1411"/>
      <c r="EY695" s="1411"/>
      <c r="EZ695" s="1413"/>
      <c r="FB695" s="1365"/>
      <c r="FD695" s="1354"/>
      <c r="FE695" s="1354"/>
      <c r="FF695" s="138"/>
      <c r="FI695" s="1357"/>
      <c r="FJ695" s="1357"/>
      <c r="FK695" s="1365"/>
      <c r="FL695" s="1365"/>
      <c r="FM695" s="1365"/>
      <c r="FO695" s="1361"/>
      <c r="FP695" s="1361"/>
      <c r="FQ695" s="1366"/>
      <c r="FR695" s="1368"/>
      <c r="FS695" s="1361"/>
      <c r="FT695" s="1368"/>
      <c r="FU695" s="1360"/>
      <c r="FW695" s="1352"/>
      <c r="FX695" s="1352"/>
      <c r="FY695" s="1352"/>
      <c r="FZ695" s="1352"/>
      <c r="GA695" s="1352"/>
      <c r="GB695" s="1352"/>
      <c r="GC695" s="1352"/>
      <c r="GD695" s="1352"/>
      <c r="GE695" s="759"/>
      <c r="GF695" s="1035"/>
      <c r="GG695" s="1385"/>
      <c r="GI695" s="1384" t="b">
        <f>IF(AND(GL695=TRUE,GM695=TRUE),TRUE,FALSE)</f>
        <v>0</v>
      </c>
      <c r="GJ695" s="1379" t="b">
        <f>IFERROR(IF(__Retrofit_TI_NC=2,TRUE,IF(AR694="Yes",TRUE,FALSE)),FALSE)</f>
        <v>1</v>
      </c>
      <c r="GL695" s="1379" t="b">
        <f>IFERROR(IF(GL694=1,TRUE,FALSE),FALSE)</f>
        <v>0</v>
      </c>
      <c r="GM695" s="1379" t="b">
        <f>IFERROR(IF(GM694=GM$14,TRUE,FALSE),FALSE)</f>
        <v>0</v>
      </c>
      <c r="HC695" s="1379" t="b">
        <f>IFERROR(IF(M695=1,TRUE,FALSE),FALSE)</f>
        <v>0</v>
      </c>
      <c r="HD695" s="1379" t="b">
        <f>IFERROR(IF(M696=1,TRUE,FALSE),FALSE)</f>
        <v>0</v>
      </c>
      <c r="HE695" s="1379" t="b">
        <f>IFERROR(IF(__Retrofit_TI_NC&lt;&gt;0,TRUE,IFERROR(IF(VLOOKUP(U695,Fixtures_Existing_List,2,FALSE)&lt;&gt;"",TRUE,FALSE),FALSE)),FALSE)</f>
        <v>0</v>
      </c>
      <c r="HF695" s="1379" t="b">
        <f>IFERROR(IF(VLOOKUP(U696,Fixtures_Proposed_List,2,FALSE)&lt;&gt;"",TRUE,FALSE),FALSE)</f>
        <v>0</v>
      </c>
      <c r="HG695" s="1379" t="b">
        <f>IF(AND(__Retrofit_TI_NC=2,EZ694=TRUE),FALSE,TRUE)</f>
        <v>1</v>
      </c>
      <c r="HH695" s="1379" t="b">
        <f>GG694</f>
        <v>1</v>
      </c>
      <c r="HI695" s="1384" t="b">
        <f>IF(ISERROR(MATCH(FB694,_Control_Match[],0))=TRUE,FALSE,TRUE)</f>
        <v>0</v>
      </c>
      <c r="HJ695" s="1384" t="b">
        <f>IFERROR(IF(EU694&lt;&gt;EV694,FALSE,TRUE),FALSE)</f>
        <v>0</v>
      </c>
      <c r="HK695" s="1384" t="b">
        <f>IFERROR(IF(EU696&lt;&gt;EV696,FALSE,TRUE),FALSE)</f>
        <v>0</v>
      </c>
      <c r="HL695" s="1379" t="b">
        <f>IFERROR(IF(CN694="Exterior",TRUE,IF(OR(AND(FJ694=0,EW696&gt;4),AND(FJ694=4,EW696&gt;4,EW696&lt;7)),FALSE,TRUE)),FALSE)</f>
        <v>0</v>
      </c>
      <c r="HM695" s="1379" t="b">
        <f>IFERROR(IF(AND(FL696=7,EZ694=TRUE),FALSE,TRUE),FALSE)</f>
        <v>0</v>
      </c>
      <c r="HN695" s="1379" t="b">
        <f>IFERROR(IF(AND(T696&lt;&gt;AE696,AF696="Interior LLLC")=TRUE,FALSE,TRUE),FALSE)</f>
        <v>1</v>
      </c>
      <c r="HO695" s="1379" t="b">
        <f>IFERROR(IF(OR(AF696=Lookup!AU$13,AF696=Lookup!AU$14)=TRUE,IF(AE696&gt;T696,FALSE,TRUE),TRUE),FALSE)</f>
        <v>1</v>
      </c>
      <c r="HP695" s="1379" t="b">
        <f>IFERROR(IF(__Retrofit_TI_NC=2,IF(EW696&lt;EW694,FALSE,TRUE),TRUE),FALSE)</f>
        <v>1</v>
      </c>
      <c r="HQ695" s="1379" t="b">
        <f>IF(CN694="Interior",IG$6,TRUE)</f>
        <v>1</v>
      </c>
      <c r="HR695" s="1379" t="b">
        <f>IF(CN694="Exterior",IG$8,TRUE)</f>
        <v>1</v>
      </c>
      <c r="HS695" s="1379" t="b">
        <f>IFERROR(IF(__Retrofit_TI_NC&lt;&gt;0,IF(AW694&lt;AV694,FALSE,TRUE),TRUE),FALSE)</f>
        <v>1</v>
      </c>
      <c r="HT695" s="1379" t="b">
        <f>IFERROR(IF(AND(G695="Exterior",R695&gt;4200),FALSE,TRUE),FALSE)</f>
        <v>1</v>
      </c>
      <c r="HU695" s="1379" t="b">
        <f>IFERROR(IF(AB697/AB694&lt;HU$18,FALSE,TRUE),FALSE)</f>
        <v>0</v>
      </c>
      <c r="HW695" s="1382"/>
      <c r="HX695" s="1378"/>
      <c r="HY695" s="1377" t="str">
        <f>VLOOKUP(HW697,_Error_Table,4,FALSE)</f>
        <v>White</v>
      </c>
      <c r="HZ695" s="436"/>
      <c r="IA695" s="1386"/>
      <c r="IB695" s="1380"/>
      <c r="IC695" s="1379"/>
      <c r="IF695" s="1380"/>
      <c r="IG695" s="1382"/>
      <c r="IH695" s="1382"/>
      <c r="II695" s="1382"/>
      <c r="IK695" s="1351"/>
      <c r="IL695" s="1351"/>
      <c r="IM695" s="1351"/>
      <c r="IN695" s="1351"/>
      <c r="IO695" s="1351"/>
      <c r="IP695" s="1351"/>
    </row>
    <row r="696" spans="1:250" s="82" customFormat="1" ht="14.95" customHeight="1" thickTop="1" thickBot="1">
      <c r="A696" s="82">
        <f>ROW()</f>
        <v>696</v>
      </c>
      <c r="B696" s="1421"/>
      <c r="C696" s="1422"/>
      <c r="D696" s="1423"/>
      <c r="E696" s="1393" t="s">
        <v>245</v>
      </c>
      <c r="F696" s="1394"/>
      <c r="G696" s="1398"/>
      <c r="H696" s="1399"/>
      <c r="I696" s="1399"/>
      <c r="J696" s="1399"/>
      <c r="K696" s="1399"/>
      <c r="L696" s="1400"/>
      <c r="M696" s="509">
        <f>IFERROR(IF(IF(__Retrofit_TI_NC&lt;&gt;0,IF(CN694="Interior",MATCH(G696,Lookup_Interior_New,0),MATCH(G696,Lookup_Exterior_New,0)),IF(CN694="Interior",MATCH(G696,Lookup_Interior,0),MATCH(G696,Lookup_Exterior_Areas,0)))&gt;0,1,0),0)</f>
        <v>0</v>
      </c>
      <c r="N696" s="509" t="e">
        <f>IF(__Retrofit_TI_NC=1,
VLOOKUP(G696,'Space Table'!$B$3:$L$160,4,FALSE),
IF(__Retrofit_TI_NC=2,VLOOKUP(G696,'Space Table'!$B$3:$L$160,5,FALSE),VLOOKUP(G696,'Space Table'!$B$3:$L$160,5,FALSE)))</f>
        <v>#N/A</v>
      </c>
      <c r="O696" s="509">
        <f>G696</f>
        <v>0</v>
      </c>
      <c r="P696" s="1394" t="s">
        <v>355</v>
      </c>
      <c r="Q696" s="1394"/>
      <c r="R696" s="674"/>
      <c r="S696" s="1401" t="s">
        <v>284</v>
      </c>
      <c r="T696" s="672"/>
      <c r="U696" s="1499"/>
      <c r="V696" s="1500"/>
      <c r="W696" s="1500"/>
      <c r="X696" s="1500"/>
      <c r="Y696" s="1500"/>
      <c r="Z696" s="1500"/>
      <c r="AA696" s="1500"/>
      <c r="AB696" s="1501"/>
      <c r="AC696" s="1501"/>
      <c r="AD696" s="1502"/>
      <c r="AE696" s="672"/>
      <c r="AF696" s="1474"/>
      <c r="AG696" s="1474"/>
      <c r="AH696" s="1474"/>
      <c r="AI696" s="1474"/>
      <c r="AJ696" s="1475">
        <f>DF696</f>
        <v>0</v>
      </c>
      <c r="AK696" s="1470" t="str">
        <f>IFERROR(ROUND(AJ696*AC697,0),"")</f>
        <v/>
      </c>
      <c r="AL696" s="1472">
        <f>IFERROR(IF(HW694=FALSE,0,AC697-AK696),0)</f>
        <v>0</v>
      </c>
      <c r="AM696" s="1441"/>
      <c r="AN696" s="1442"/>
      <c r="AO696" s="1447"/>
      <c r="AP696" s="1447"/>
      <c r="AQ696" s="1448"/>
      <c r="AR696" s="1452"/>
      <c r="AS696" s="1455"/>
      <c r="AT696" s="1458"/>
      <c r="AU696" s="516"/>
      <c r="AV696" s="1479"/>
      <c r="AW696" s="1479"/>
      <c r="BC696" s="38"/>
      <c r="BD696" s="38"/>
      <c r="BE696" s="38"/>
      <c r="BF696" s="38"/>
      <c r="BG696" s="38"/>
      <c r="BH696" s="38"/>
      <c r="BI696" s="38"/>
      <c r="BJ696" s="38"/>
      <c r="BK696" s="38"/>
      <c r="BL696" s="38"/>
      <c r="BM696" s="38"/>
      <c r="BN696" s="38"/>
      <c r="BO696" s="38"/>
      <c r="BP696" s="38"/>
      <c r="BQ696" s="38"/>
      <c r="BR696" s="38"/>
      <c r="BS696" s="38"/>
      <c r="BT696" s="38"/>
      <c r="BU696" s="38"/>
      <c r="BV696" s="38"/>
      <c r="BW696" s="38"/>
      <c r="BX696" s="38"/>
      <c r="BY696" s="38"/>
      <c r="BZ696" s="38"/>
      <c r="CA696" s="38"/>
      <c r="CB696" s="38"/>
      <c r="CC696" s="38"/>
      <c r="CD696" s="38"/>
      <c r="CE696" s="38"/>
      <c r="CF696" s="38"/>
      <c r="CG696" s="38"/>
      <c r="CH696" s="38"/>
      <c r="CI696" s="38"/>
      <c r="CM696" s="1352"/>
      <c r="CN696" s="1352"/>
      <c r="CO696" s="1415" t="str">
        <f>CN694</f>
        <v/>
      </c>
      <c r="CP696" s="1417" t="e">
        <f>CP694</f>
        <v>#N/A</v>
      </c>
      <c r="CR696" s="1386" t="s">
        <v>284</v>
      </c>
      <c r="CS696" s="1353">
        <f>IF(HW694=TRUE,T696,0)</f>
        <v>0</v>
      </c>
      <c r="CT696" s="1353" t="str">
        <f>IF(HW694=TRUE,U696,"")</f>
        <v/>
      </c>
      <c r="CU696" s="1373">
        <f>IF(HW694=TRUE,U697,0)</f>
        <v>0</v>
      </c>
      <c r="CV696" s="1370">
        <f>IF(HW694=TRUE,AB697,0)</f>
        <v>0</v>
      </c>
      <c r="CW696" s="1370">
        <f>IF(HW694=TRUE,AC697,0)</f>
        <v>0</v>
      </c>
      <c r="CX696" s="1371"/>
      <c r="CY696" s="1486"/>
      <c r="CZ696" s="1486"/>
      <c r="DA696" s="1486"/>
      <c r="DC696" s="1353">
        <f>IF(HW694=TRUE,AE696,0)</f>
        <v>0</v>
      </c>
      <c r="DD696" s="1353" t="str">
        <f>IF(HW694=TRUE,AF696,"")</f>
        <v/>
      </c>
      <c r="DE696" s="1373">
        <f>AF697</f>
        <v>0</v>
      </c>
      <c r="DF696" s="1406">
        <f>IFERROR(IF(FL696=3,IK696,IF(FL696=4,IL696,IF(FL696=5,IM696,IF(FL696=6,IN696,IF(FL696=7,IO696,IF(FL696=8,IP696,0)))))),0)</f>
        <v>0</v>
      </c>
      <c r="DG696" s="1370">
        <f>IF(HW694=TRUE,AK696,0)</f>
        <v>0</v>
      </c>
      <c r="DH696" s="1369"/>
      <c r="DK696" s="1483">
        <f>IFERROR(CW696-DG696,0)</f>
        <v>0</v>
      </c>
      <c r="DL696" s="1420"/>
      <c r="DN696" s="1403"/>
      <c r="DO696" s="1477" t="str">
        <f>DN694</f>
        <v/>
      </c>
      <c r="DP696" s="1354"/>
      <c r="DQ696" s="1477" t="str">
        <f>IF(DP694=7,"LLLC","")</f>
        <v/>
      </c>
      <c r="DR696" s="1403"/>
      <c r="DS696" s="1489"/>
      <c r="DU696" s="1403"/>
      <c r="DV696" s="1404" t="str">
        <f>DU694</f>
        <v/>
      </c>
      <c r="DW696" s="1403"/>
      <c r="DX696" s="1403"/>
      <c r="DZ696" s="1481"/>
      <c r="EA696" s="1481"/>
      <c r="EC696" s="1482"/>
      <c r="ED696" s="1369"/>
      <c r="EE696" s="1371"/>
      <c r="EF696" s="1369"/>
      <c r="EG696" s="1369"/>
      <c r="EH696" s="1374"/>
      <c r="EI696" s="1374"/>
      <c r="EJ696" s="1363"/>
      <c r="EK696" s="1376"/>
      <c r="EL696" s="1376"/>
      <c r="EM696" s="1362"/>
      <c r="EN696" s="1362"/>
      <c r="EO696" s="1363"/>
      <c r="EP696" s="1363"/>
      <c r="EQ696" s="1363"/>
      <c r="ES696" s="1403"/>
      <c r="EU696" s="1411" t="e">
        <f>VLOOKUP(CP696,'Space Table'!$B$3:$L$160,8,FALSE)</f>
        <v>#N/A</v>
      </c>
      <c r="EV696" s="1411" t="e">
        <f>IF(EY696="Yes",VLOOKUP(AF696,Lookup_Control_Type_Table2,4,FALSE),VLOOKUP(AF696,Lookup_Control_Type_Table2,3,FALSE))</f>
        <v>#N/A</v>
      </c>
      <c r="EW696" s="1411" t="e">
        <f>VLOOKUP(AF696,Lookup!AU$3:AV$15,2,FALSE)</f>
        <v>#N/A</v>
      </c>
      <c r="EX696" s="1411" t="e">
        <f>VLOOKUP(EU694,Lookup_Control_Type_Table,2,FALSE)</f>
        <v>#N/A</v>
      </c>
      <c r="EY696" s="1411" t="e">
        <f>VLOOKUP(CP696,'Space Table'!$B$3:$L$160,7,FALSE)</f>
        <v>#N/A</v>
      </c>
      <c r="EZ696" s="1413"/>
      <c r="FB696" s="1365" t="str">
        <f>CONCATENATE(CN694," - ",AF696)</f>
        <v xml:space="preserve"> - </v>
      </c>
      <c r="FD696" s="1354"/>
      <c r="FE696" s="1354"/>
      <c r="FF696" s="138"/>
      <c r="FI696" s="1356" t="str">
        <f>IF(CN694="Exterior","Not Daylighted",G697)</f>
        <v>Not Daylighted</v>
      </c>
      <c r="FJ696" s="1356">
        <f>VLOOKUP(FI696,_Daylight_Table_Codes,2,FALSE)</f>
        <v>0</v>
      </c>
      <c r="FK696" s="1365">
        <f>AF696</f>
        <v>0</v>
      </c>
      <c r="FL696" s="1365" t="e">
        <f>VLOOKUP(FK696,_Control_Table,2,FALSE)</f>
        <v>#N/A</v>
      </c>
      <c r="FM696" s="1365" t="e">
        <f>IF(AND(FP696&gt;0,FK696="Occupancy Sensor"),"Daylight + Occupancy",IF(AND(FP696&gt;0,FL696&lt;4),"Interior Daylight Dimming",FK696))</f>
        <v>#N/A</v>
      </c>
      <c r="FO696" s="1364">
        <f>IF(CN694="Interior",VLOOKUP(CP694,Control_Savings_Interior,5,FALSE),0)</f>
        <v>0</v>
      </c>
      <c r="FP696" s="1361">
        <f>IF(CN696="Exterior",0,IF(FJ696=2,0.5,IF(OR(FJ696=1,FJ696=3),1,0)))</f>
        <v>0</v>
      </c>
      <c r="FQ696" s="1366">
        <f>IF(R695&gt;FO$37,(FO696*(FO$37/R695)),FO696)*FP696</f>
        <v>0</v>
      </c>
      <c r="FR696" s="1364">
        <f>DF696</f>
        <v>0</v>
      </c>
      <c r="FS696" s="1364">
        <f>ROUND(FR696+((1-FR696)*FQ696),2)</f>
        <v>0</v>
      </c>
      <c r="FT696" s="1364">
        <f>IF(__Retrofit_TI_NC=2,FS696,FR696)</f>
        <v>0</v>
      </c>
      <c r="FU696" s="1360">
        <f>IF(CO696="Interior",VLOOKUP(CP696,Control_Savings_Interior,4,FALSE),0)</f>
        <v>0</v>
      </c>
      <c r="FW696" s="1352"/>
      <c r="FX696" s="1352"/>
      <c r="FY696" s="1352"/>
      <c r="FZ696" s="1352"/>
      <c r="GA696" s="1352"/>
      <c r="GB696" s="1352"/>
      <c r="GC696" s="1352"/>
      <c r="GD696" s="1352"/>
      <c r="GE696" s="759" t="b">
        <f>IF(ISNUMBER(SEARCH("TLED",U696)),TRUE,FALSE)</f>
        <v>0</v>
      </c>
      <c r="GF696" s="1035" t="str">
        <f>IFERROR(VLOOKUP(U696,Fixtures!DM$93:DR$142,6,FALSE),"")</f>
        <v/>
      </c>
      <c r="GG696" s="1385"/>
      <c r="GI696" s="1383"/>
      <c r="GJ696" s="1379"/>
      <c r="GL696" s="1379"/>
      <c r="GM696" s="1379"/>
      <c r="HC696" s="1379"/>
      <c r="HD696" s="1379"/>
      <c r="HE696" s="1379"/>
      <c r="HF696" s="1379"/>
      <c r="HG696" s="1379"/>
      <c r="HH696" s="1379"/>
      <c r="HI696" s="1383"/>
      <c r="HJ696" s="1383"/>
      <c r="HK696" s="1383"/>
      <c r="HL696" s="1379"/>
      <c r="HM696" s="1379"/>
      <c r="HN696" s="1379"/>
      <c r="HO696" s="1379"/>
      <c r="HP696" s="1379"/>
      <c r="HQ696" s="1379"/>
      <c r="HR696" s="1379"/>
      <c r="HS696" s="1379"/>
      <c r="HT696" s="1379"/>
      <c r="HU696" s="1379"/>
      <c r="HW696" s="1383"/>
      <c r="HX696" s="1384" t="b">
        <f>HW694</f>
        <v>0</v>
      </c>
      <c r="HY696" s="1378"/>
      <c r="HZ696" s="436"/>
      <c r="IA696" s="1386"/>
      <c r="IB696" s="1380">
        <f>IF(IA694=TRUE,AC697,0)</f>
        <v>0</v>
      </c>
      <c r="IC696" s="1379"/>
      <c r="IF696" s="1380" t="e">
        <f>ROUND(T696*AB697*N695*R695/1000,0)</f>
        <v>#VALUE!</v>
      </c>
      <c r="IG696" s="1382"/>
      <c r="IH696" s="1384" t="e">
        <f>ROUND(T696*AB697*N695*R695/1000,0)</f>
        <v>#VALUE!</v>
      </c>
      <c r="II696" s="1382"/>
      <c r="IK696" s="1351" t="e">
        <f>IF($CO696="interior",IL696/2,VLOOKUP($CP696,Control_Savings_Exterior,IK$30,FALSE))</f>
        <v>#N/A</v>
      </c>
      <c r="IL696" s="1351" t="e">
        <f>IF($CO696="interior",VLOOKUP($CP696,Control_Savings_Interior,IL$30,FALSE),VLOOKUP($CP696,Control_Savings_Exterior,IL$30,FALSE))</f>
        <v>#N/A</v>
      </c>
      <c r="IM696" s="1351" t="e">
        <f>IF($CO696="interior",IF(R695&gt;FO$37,(IM$28*(FO$37/R695)),IM$28)*FP696,VLOOKUP($CP696,Control_Savings_Exterior,IM$30,FALSE))</f>
        <v>#N/A</v>
      </c>
      <c r="IN696" s="1351" t="e">
        <f>IF($CO696="interior",ROUND(((1-IL696)*IM696)+IL696,2),VLOOKUP($CP696,Control_Savings_Exterior,IN$30,FALSE))</f>
        <v>#N/A</v>
      </c>
      <c r="IO696" s="1351" t="e">
        <f>IF($CO696="interior", ROUND(((1-IL696)*(IM696*(1-IP$28)))+IP696,2), VLOOKUP($CP696,Control_Savings_Exterior,IO$30,FALSE))</f>
        <v>#N/A</v>
      </c>
      <c r="IP696" s="1351">
        <f>IF($CO696="interior",ROUND(((1-IL696)*IP$28)+IL696,2),0)</f>
        <v>0</v>
      </c>
    </row>
    <row r="697" spans="1:250" s="82" customFormat="1" ht="14.95" customHeight="1" thickTop="1" thickBot="1">
      <c r="B697" s="1421"/>
      <c r="C697" s="1422"/>
      <c r="D697" s="1423"/>
      <c r="E697" s="1462" t="s">
        <v>357</v>
      </c>
      <c r="F697" s="1463"/>
      <c r="G697" s="1464" t="s">
        <v>362</v>
      </c>
      <c r="H697" s="1465"/>
      <c r="I697" s="1465"/>
      <c r="J697" s="1465"/>
      <c r="K697" s="1465"/>
      <c r="L697" s="1466"/>
      <c r="M697" s="669">
        <f>IFERROR(VLOOKUP(G697,_Daylight_Table[],2,FALSE),0)</f>
        <v>0</v>
      </c>
      <c r="N697" s="670"/>
      <c r="O697" s="669" t="e">
        <f>VLOOKUP(G696,'Space Table'!$B$3:$L$160,11,FALSE)</f>
        <v>#N/A</v>
      </c>
      <c r="P697" s="1408"/>
      <c r="Q697" s="1409"/>
      <c r="R697" s="1409"/>
      <c r="S697" s="1402"/>
      <c r="T697" s="671" t="s">
        <v>281</v>
      </c>
      <c r="U697" s="1467" t="str">
        <f>IFERROR(VLOOKUP(U696,Fixtures!DM$93:DP$142,4,FALSE),"")</f>
        <v/>
      </c>
      <c r="V697" s="1468"/>
      <c r="W697" s="1468"/>
      <c r="X697" s="1468"/>
      <c r="Y697" s="1468"/>
      <c r="Z697" s="1468"/>
      <c r="AA697" s="1468"/>
      <c r="AB697" s="1046" t="str">
        <f>IFERROR(VLOOKUP(U696,Fixtures_Proposed_List,2,FALSE),"")</f>
        <v/>
      </c>
      <c r="AC697" s="1036" t="str">
        <f>IFERROR(ROUND(T696*AB697*N695*R695/1000,0),"")</f>
        <v/>
      </c>
      <c r="AD697" s="1037" t="str">
        <f>IFERROR(ROUND(T696*AB697/1000,2),"")</f>
        <v/>
      </c>
      <c r="AE697" s="1045" t="s">
        <v>281</v>
      </c>
      <c r="AF697" s="1469"/>
      <c r="AG697" s="1469"/>
      <c r="AH697" s="1469"/>
      <c r="AI697" s="1469"/>
      <c r="AJ697" s="1476"/>
      <c r="AK697" s="1471"/>
      <c r="AL697" s="1473"/>
      <c r="AM697" s="1443"/>
      <c r="AN697" s="1444"/>
      <c r="AO697" s="1449"/>
      <c r="AP697" s="1449"/>
      <c r="AQ697" s="1450"/>
      <c r="AR697" s="1453"/>
      <c r="AS697" s="1456"/>
      <c r="AT697" s="1459"/>
      <c r="AU697" s="517"/>
      <c r="AV697" s="1480"/>
      <c r="AW697" s="1480"/>
      <c r="BC697" s="38"/>
      <c r="BD697" s="38"/>
      <c r="BE697" s="38"/>
      <c r="BF697" s="38"/>
      <c r="BG697" s="38"/>
      <c r="BH697" s="38"/>
      <c r="BI697" s="38"/>
      <c r="BJ697" s="38"/>
      <c r="BK697" s="38"/>
      <c r="BL697" s="38"/>
      <c r="BM697" s="38"/>
      <c r="BN697" s="38"/>
      <c r="BO697" s="38"/>
      <c r="BP697" s="38"/>
      <c r="BQ697" s="38"/>
      <c r="BR697" s="38"/>
      <c r="BS697" s="38"/>
      <c r="BT697" s="38"/>
      <c r="BU697" s="38"/>
      <c r="BV697" s="38"/>
      <c r="BW697" s="38"/>
      <c r="BX697" s="38"/>
      <c r="BY697" s="38"/>
      <c r="BZ697" s="38"/>
      <c r="CA697" s="38"/>
      <c r="CB697" s="38"/>
      <c r="CC697" s="38"/>
      <c r="CD697" s="38"/>
      <c r="CE697" s="38"/>
      <c r="CF697" s="38"/>
      <c r="CG697" s="38"/>
      <c r="CH697" s="38"/>
      <c r="CI697" s="38"/>
      <c r="CM697" s="1352"/>
      <c r="CN697" s="1352"/>
      <c r="CO697" s="1416"/>
      <c r="CP697" s="1418"/>
      <c r="CR697" s="1386"/>
      <c r="CS697" s="1355"/>
      <c r="CT697" s="1355"/>
      <c r="CU697" s="1375"/>
      <c r="CV697" s="1372"/>
      <c r="CW697" s="1372"/>
      <c r="CX697" s="1372"/>
      <c r="CY697" s="1487"/>
      <c r="CZ697" s="1487"/>
      <c r="DA697" s="1487"/>
      <c r="DC697" s="1355"/>
      <c r="DD697" s="1355"/>
      <c r="DE697" s="1375"/>
      <c r="DF697" s="1407"/>
      <c r="DG697" s="1372"/>
      <c r="DH697" s="1369"/>
      <c r="DK697" s="1484"/>
      <c r="DL697" s="1420"/>
      <c r="DN697" s="1403"/>
      <c r="DO697" s="1405"/>
      <c r="DP697" s="1355"/>
      <c r="DQ697" s="1405"/>
      <c r="DR697" s="1403"/>
      <c r="DS697" s="1489"/>
      <c r="DU697" s="1403"/>
      <c r="DV697" s="1405"/>
      <c r="DW697" s="1403"/>
      <c r="DX697" s="1403"/>
      <c r="DZ697" s="1481"/>
      <c r="EA697" s="1481"/>
      <c r="EC697" s="1482"/>
      <c r="ED697" s="1369"/>
      <c r="EE697" s="1372"/>
      <c r="EF697" s="1369"/>
      <c r="EG697" s="1369"/>
      <c r="EH697" s="1375"/>
      <c r="EI697" s="1375"/>
      <c r="EJ697" s="1363"/>
      <c r="EK697" s="1376"/>
      <c r="EL697" s="1376"/>
      <c r="EM697" s="1362"/>
      <c r="EN697" s="1362"/>
      <c r="EO697" s="1363"/>
      <c r="EP697" s="1363"/>
      <c r="EQ697" s="1363"/>
      <c r="ES697" s="1403"/>
      <c r="EU697" s="1488"/>
      <c r="EV697" s="1488"/>
      <c r="EW697" s="1488"/>
      <c r="EX697" s="1488"/>
      <c r="EY697" s="1488"/>
      <c r="EZ697" s="1414"/>
      <c r="FB697" s="1365"/>
      <c r="FD697" s="1355"/>
      <c r="FE697" s="1355"/>
      <c r="FF697" s="138"/>
      <c r="FI697" s="1357"/>
      <c r="FJ697" s="1357"/>
      <c r="FK697" s="1365"/>
      <c r="FL697" s="1365"/>
      <c r="FM697" s="1365"/>
      <c r="FO697" s="1361"/>
      <c r="FP697" s="1361"/>
      <c r="FQ697" s="1366"/>
      <c r="FR697" s="1361"/>
      <c r="FS697" s="1361"/>
      <c r="FT697" s="1361"/>
      <c r="FU697" s="1360"/>
      <c r="FW697" s="1352"/>
      <c r="FX697" s="1352"/>
      <c r="FY697" s="1352"/>
      <c r="FZ697" s="1352"/>
      <c r="GA697" s="1352"/>
      <c r="GB697" s="1352"/>
      <c r="GC697" s="1352"/>
      <c r="GD697" s="1352"/>
      <c r="GE697" s="759"/>
      <c r="GF697" s="1035"/>
      <c r="GG697" s="1385"/>
      <c r="GJ697" s="1034">
        <f>IF(GJ695=TRUE,0,GJ$16)</f>
        <v>0</v>
      </c>
      <c r="GL697" s="1034">
        <f>IF(GL695=TRUE,0,GL$16)</f>
        <v>36</v>
      </c>
      <c r="GM697" s="1034">
        <f>IF(GM695=TRUE,0,GM$16)</f>
        <v>35</v>
      </c>
      <c r="GN697" s="436"/>
      <c r="GO697" s="436"/>
      <c r="GP697" s="436"/>
      <c r="GQ697" s="436"/>
      <c r="GR697" s="436"/>
      <c r="HC697" s="1034">
        <f t="shared" ref="HC697:HH697" si="518">IF(HC695=TRUE,0,HC$16)</f>
        <v>19</v>
      </c>
      <c r="HD697" s="1034">
        <f t="shared" si="518"/>
        <v>18</v>
      </c>
      <c r="HE697" s="1034">
        <f t="shared" si="518"/>
        <v>17</v>
      </c>
      <c r="HF697" s="1034">
        <f t="shared" si="518"/>
        <v>16</v>
      </c>
      <c r="HG697" s="1034">
        <f t="shared" si="518"/>
        <v>0</v>
      </c>
      <c r="HH697" s="1034">
        <f t="shared" si="518"/>
        <v>0</v>
      </c>
      <c r="HI697" s="1034">
        <f>IF(HI695=TRUE,0,HI$16)</f>
        <v>13</v>
      </c>
      <c r="HJ697" s="1034">
        <f t="shared" ref="HJ697:HL697" si="519">IF(HJ695=TRUE,0,HJ$16)</f>
        <v>12</v>
      </c>
      <c r="HK697" s="1034">
        <f t="shared" si="519"/>
        <v>11</v>
      </c>
      <c r="HL697" s="1034">
        <f t="shared" si="519"/>
        <v>10</v>
      </c>
      <c r="HM697" s="1034">
        <f>IF(HM695=TRUE,0,HM$16)</f>
        <v>9</v>
      </c>
      <c r="HN697" s="1034">
        <f t="shared" ref="HN697:HR697" si="520">IF(HN695=TRUE,0,HN$16)</f>
        <v>0</v>
      </c>
      <c r="HO697" s="1034">
        <f t="shared" si="520"/>
        <v>0</v>
      </c>
      <c r="HP697" s="1034">
        <f t="shared" si="520"/>
        <v>0</v>
      </c>
      <c r="HQ697" s="1034">
        <f t="shared" si="520"/>
        <v>0</v>
      </c>
      <c r="HR697" s="1034">
        <f t="shared" si="520"/>
        <v>0</v>
      </c>
      <c r="HS697" s="1034">
        <f>IF(HS695=TRUE,0,HS$16)</f>
        <v>0</v>
      </c>
      <c r="HT697" s="1034">
        <f t="shared" ref="HT697" si="521">IF(HT695=TRUE,0,HT$16)</f>
        <v>0</v>
      </c>
      <c r="HU697" s="1034">
        <f>IF(HU695=TRUE,0,HU$16)</f>
        <v>1</v>
      </c>
      <c r="HW697" s="1034">
        <f>IF(GL695=FALSE,GL697,IF(GM695=FALSE,GM697,MAX(GJ697:HU697)))</f>
        <v>36</v>
      </c>
      <c r="HX697" s="1383"/>
      <c r="HY697" s="241" t="str">
        <f>VLOOKUP(HW697,_Error_Table,3,FALSE)</f>
        <v xml:space="preserve"> </v>
      </c>
      <c r="HZ697" s="241"/>
      <c r="IA697" s="1386"/>
      <c r="IB697" s="1380"/>
      <c r="IC697" s="1379"/>
      <c r="IF697" s="1380"/>
      <c r="IG697" s="1383"/>
      <c r="IH697" s="1383"/>
      <c r="II697" s="1383"/>
      <c r="IK697" s="1351"/>
      <c r="IL697" s="1351"/>
      <c r="IM697" s="1351"/>
      <c r="IN697" s="1351"/>
      <c r="IO697" s="1351"/>
      <c r="IP697" s="1351"/>
    </row>
    <row r="698" spans="1:250" s="82" customFormat="1" ht="5.0999999999999996" customHeight="1" thickBot="1">
      <c r="B698" s="763"/>
      <c r="C698" s="1038"/>
      <c r="D698" s="1038"/>
      <c r="E698" s="1490"/>
      <c r="F698" s="1490"/>
      <c r="G698" s="1490"/>
      <c r="H698" s="1490"/>
      <c r="I698" s="1490"/>
      <c r="J698" s="1490"/>
      <c r="K698" s="1490"/>
      <c r="L698" s="1490"/>
      <c r="M698" s="1490"/>
      <c r="N698" s="1490"/>
      <c r="O698" s="1490"/>
      <c r="P698" s="1490"/>
      <c r="Q698" s="1490"/>
      <c r="R698" s="1490"/>
      <c r="S698" s="1490"/>
      <c r="T698" s="1490"/>
      <c r="U698" s="1490"/>
      <c r="V698" s="1490"/>
      <c r="W698" s="1490"/>
      <c r="X698" s="1490"/>
      <c r="Y698" s="1490"/>
      <c r="Z698" s="1490"/>
      <c r="AA698" s="1490"/>
      <c r="AB698" s="1490"/>
      <c r="AC698" s="1490"/>
      <c r="AD698" s="1490"/>
      <c r="AE698" s="1490"/>
      <c r="AF698" s="1490"/>
      <c r="AG698" s="1490"/>
      <c r="AH698" s="1490"/>
      <c r="AI698" s="1490"/>
      <c r="AJ698" s="1490"/>
      <c r="AK698" s="1490"/>
      <c r="AL698" s="1490"/>
      <c r="AM698" s="1490"/>
      <c r="AN698" s="1490"/>
      <c r="AO698" s="1490"/>
      <c r="AP698" s="1490"/>
      <c r="AQ698" s="1490"/>
      <c r="AR698" s="1490"/>
      <c r="AS698" s="1490"/>
      <c r="AT698" s="1490"/>
      <c r="AU698" s="1041"/>
      <c r="BC698" s="38"/>
      <c r="BD698" s="38"/>
      <c r="BE698" s="38"/>
      <c r="BF698" s="38"/>
      <c r="BG698" s="38"/>
      <c r="BH698" s="38"/>
      <c r="BI698" s="38"/>
      <c r="BJ698" s="38"/>
      <c r="BK698" s="38"/>
      <c r="BL698" s="38"/>
      <c r="BM698" s="38"/>
      <c r="BN698" s="38"/>
      <c r="BO698" s="38"/>
      <c r="BP698" s="38"/>
      <c r="BQ698" s="38"/>
      <c r="BR698" s="38"/>
      <c r="BS698" s="38"/>
      <c r="BT698" s="38"/>
      <c r="BU698" s="38"/>
      <c r="BV698" s="38"/>
      <c r="BW698" s="38"/>
      <c r="BX698" s="38"/>
      <c r="BY698" s="38"/>
      <c r="BZ698" s="38"/>
      <c r="CA698" s="38"/>
      <c r="CB698" s="38"/>
      <c r="CC698" s="38"/>
      <c r="CD698" s="38"/>
      <c r="CE698" s="38"/>
      <c r="CF698" s="38"/>
      <c r="CG698" s="38"/>
      <c r="CH698" s="38"/>
      <c r="CI698" s="38"/>
      <c r="CM698" s="749"/>
      <c r="CN698" s="749"/>
      <c r="CO698" s="1043"/>
      <c r="CP698" s="749"/>
      <c r="CS698" s="436"/>
      <c r="CT698" s="436"/>
      <c r="CU698" s="243"/>
      <c r="CV698" s="244"/>
      <c r="CW698" s="244"/>
      <c r="CX698" s="244"/>
      <c r="CY698" s="245"/>
      <c r="CZ698" s="245"/>
      <c r="DA698" s="245"/>
      <c r="DC698" s="750"/>
      <c r="DD698" s="751"/>
      <c r="DE698" s="752"/>
      <c r="DF698" s="753"/>
      <c r="DG698" s="754"/>
      <c r="DH698" s="754"/>
      <c r="DK698" s="244"/>
      <c r="DL698" s="750"/>
      <c r="DN698" s="750"/>
      <c r="DO698" s="755"/>
      <c r="DP698" s="436"/>
      <c r="DQ698" s="750"/>
      <c r="DR698" s="750"/>
      <c r="DS698" s="750"/>
      <c r="DU698" s="750"/>
      <c r="DV698" s="750"/>
      <c r="DW698" s="750"/>
      <c r="DX698" s="750"/>
      <c r="DZ698" s="756"/>
      <c r="EA698" s="756"/>
      <c r="EC698" s="754"/>
      <c r="ED698" s="754"/>
      <c r="EE698" s="244"/>
      <c r="EF698" s="754"/>
      <c r="EG698" s="754"/>
      <c r="EH698" s="243"/>
      <c r="EI698" s="243"/>
      <c r="EJ698" s="752"/>
      <c r="EK698" s="757"/>
      <c r="EL698" s="757"/>
      <c r="EM698" s="758"/>
      <c r="EN698" s="758"/>
      <c r="EO698" s="752"/>
      <c r="EP698" s="752"/>
      <c r="EQ698" s="752"/>
      <c r="ES698" s="750"/>
      <c r="EU698" s="436"/>
      <c r="EV698" s="436"/>
      <c r="EW698" s="436"/>
      <c r="EX698" s="436"/>
      <c r="EY698" s="436"/>
      <c r="EZ698" s="436"/>
      <c r="FB698" s="643"/>
      <c r="FD698" s="436"/>
      <c r="FE698" s="436"/>
      <c r="FF698" s="436"/>
      <c r="FO698" s="750"/>
      <c r="FP698" s="436"/>
      <c r="FQ698" s="436"/>
      <c r="FR698" s="750"/>
      <c r="FS698" s="750"/>
      <c r="FW698" s="749"/>
      <c r="FX698" s="749"/>
      <c r="FY698" s="749"/>
      <c r="FZ698" s="749"/>
      <c r="GA698" s="749"/>
      <c r="GB698" s="749"/>
      <c r="GC698" s="749"/>
      <c r="GD698" s="749"/>
      <c r="GE698" s="751"/>
      <c r="GF698" s="750"/>
      <c r="GG698" s="750"/>
    </row>
    <row r="699" spans="1:250" s="82" customFormat="1" ht="14.95" customHeight="1" thickTop="1" thickBot="1">
      <c r="B699" s="1421" t="str">
        <f>HY702</f>
        <v xml:space="preserve"> </v>
      </c>
      <c r="C699" s="1422">
        <f>C694+1</f>
        <v>128</v>
      </c>
      <c r="D699" s="1423"/>
      <c r="E699" s="1424" t="s">
        <v>242</v>
      </c>
      <c r="F699" s="1425"/>
      <c r="G699" s="1426"/>
      <c r="H699" s="1427"/>
      <c r="I699" s="1427"/>
      <c r="J699" s="1427"/>
      <c r="K699" s="1427"/>
      <c r="L699" s="1427"/>
      <c r="M699" s="1427"/>
      <c r="N699" s="1427"/>
      <c r="O699" s="1427"/>
      <c r="P699" s="1427"/>
      <c r="Q699" s="1427"/>
      <c r="R699" s="1427"/>
      <c r="S699" s="1428" t="s">
        <v>283</v>
      </c>
      <c r="T699" s="668" t="s">
        <v>190</v>
      </c>
      <c r="U699" s="1430" t="s">
        <v>186</v>
      </c>
      <c r="V699" s="1431"/>
      <c r="W699" s="1431"/>
      <c r="X699" s="1431"/>
      <c r="Y699" s="1431"/>
      <c r="Z699" s="1431"/>
      <c r="AA699" s="1431"/>
      <c r="AB699" s="1047" t="str">
        <f>IFERROR(IF(__Retrofit_TI_NC=0,VLOOKUP(U700,Fixtures_Existing_List,2,FALSE),ROUND(N701*R701/T701,10)),"")</f>
        <v/>
      </c>
      <c r="AC699" s="1039" t="str">
        <f>IFERROR(IF(__Retrofit_TI_NC=0,ROUND(T700*AB699*N700*R700/1000,0),IF(CN699="Interior",N701*R701*R700*N700*_C406_reduction/1000,N701*R701*R700*N700/1000)),"")</f>
        <v/>
      </c>
      <c r="AD699" s="1040" t="str">
        <f>IFERROR(IF(C$36=0,ROUND(T700*AB699/1000,2),N701*R701/1000),"")</f>
        <v/>
      </c>
      <c r="AE699" s="1044" t="s">
        <v>190</v>
      </c>
      <c r="AF699" s="1432" t="str">
        <f>IF(__Retrofit_TI_NC=2,CONCATENATE("Code min = ",DD699),IF(__Retrofit_TI_NC=1,"Emter what you think the existing control was"," Control"))</f>
        <v xml:space="preserve"> Control</v>
      </c>
      <c r="AG699" s="1432"/>
      <c r="AH699" s="1432"/>
      <c r="AI699" s="1432"/>
      <c r="AJ699" s="1433">
        <f>DF699</f>
        <v>0</v>
      </c>
      <c r="AK699" s="1435" t="str">
        <f>IFERROR(ROUND(AJ699*AC699,0),"")</f>
        <v/>
      </c>
      <c r="AL699" s="1437">
        <f>IFERROR(IF(HW699=FALSE,0,AC699-AK699),0)</f>
        <v>0</v>
      </c>
      <c r="AM699" s="1439">
        <f>AL699-AL701</f>
        <v>0</v>
      </c>
      <c r="AN699" s="1440"/>
      <c r="AO699" s="1445">
        <f>IFERROR(IF(HW699=FALSE,0,(T701*U702)+(AE701*AF702)),0)</f>
        <v>0</v>
      </c>
      <c r="AP699" s="1445"/>
      <c r="AQ699" s="1446"/>
      <c r="AR699" s="1451" t="s">
        <v>157</v>
      </c>
      <c r="AS699" s="1454">
        <f>IF(AR699="Yes",1,0)</f>
        <v>1</v>
      </c>
      <c r="AT699" s="1457" t="str">
        <f>IF(OR(DN699=4,DN699=5,DN699=6,DN699=12),CONCATENATE("$",IF(GD699=TRUE,Lookup!$B$11,Lookup!$B$2)," /lamp"),CONCATENATE(EA699,"/ kWh"))</f>
        <v>0/ kWh</v>
      </c>
      <c r="AU699" s="516"/>
      <c r="AV699" s="1478">
        <f>IFERROR(IF(GI700=TRUE,(AB702*T701)/R701,0),"NA")</f>
        <v>0</v>
      </c>
      <c r="AW699" s="1478" t="str">
        <f>IFERROR(N701*_C406_reduction,"NA")</f>
        <v>NA</v>
      </c>
      <c r="BC699" s="38"/>
      <c r="BD699" s="38"/>
      <c r="BE699" s="38"/>
      <c r="BF699" s="38"/>
      <c r="BG699" s="38"/>
      <c r="BH699" s="38"/>
      <c r="BI699" s="38"/>
      <c r="BJ699" s="38"/>
      <c r="BK699" s="38"/>
      <c r="BL699" s="38"/>
      <c r="BM699" s="38"/>
      <c r="BN699" s="38"/>
      <c r="BO699" s="38"/>
      <c r="BP699" s="38"/>
      <c r="BQ699" s="38"/>
      <c r="BR699" s="38"/>
      <c r="BS699" s="38"/>
      <c r="BT699" s="38"/>
      <c r="BU699" s="38"/>
      <c r="BV699" s="38"/>
      <c r="BW699" s="38"/>
      <c r="BX699" s="38"/>
      <c r="BY699" s="38"/>
      <c r="BZ699" s="38"/>
      <c r="CA699" s="38"/>
      <c r="CB699" s="38"/>
      <c r="CC699" s="38"/>
      <c r="CD699" s="38"/>
      <c r="CE699" s="38"/>
      <c r="CF699" s="38"/>
      <c r="CG699" s="38"/>
      <c r="CH699" s="38"/>
      <c r="CI699" s="38"/>
      <c r="CM699" s="1352" t="str">
        <f>N700</f>
        <v/>
      </c>
      <c r="CN699" s="1352" t="str">
        <f>IFERROR(VLOOKUP(G700,_Lookup_Heat_Type_Table_New,3,FALSE),"")</f>
        <v/>
      </c>
      <c r="CO699" s="1415" t="str">
        <f>CN699</f>
        <v/>
      </c>
      <c r="CP699" s="1417" t="e">
        <f>VLOOKUP(G701,'Space Table'!$B$3:$L$160,9,FALSE)</f>
        <v>#N/A</v>
      </c>
      <c r="CR699" s="1386" t="s">
        <v>283</v>
      </c>
      <c r="CS699" s="1353">
        <f>IF(HW699=TRUE,T700,0)</f>
        <v>0</v>
      </c>
      <c r="CT699" s="1353" t="str">
        <f>IF(HW699=TRUE,U700,"")</f>
        <v/>
      </c>
      <c r="CU699" s="1353"/>
      <c r="CV699" s="1370">
        <f>IF(HW699=TRUE,AB699,0)</f>
        <v>0</v>
      </c>
      <c r="CW699" s="1370">
        <f>IF(HW699=TRUE,AC699,0)</f>
        <v>0</v>
      </c>
      <c r="CX699" s="1370">
        <f>IFERROR(IF(HW699=TRUE,CW699-CW701,0),0)</f>
        <v>0</v>
      </c>
      <c r="CY699" s="1485">
        <f>IF(HW699=TRUE,AD699,0)</f>
        <v>0</v>
      </c>
      <c r="CZ699" s="1485">
        <f>IF(HW699=TRUE,AD702,0)</f>
        <v>0</v>
      </c>
      <c r="DA699" s="1485">
        <f>IFERROR(CY699-CZ699,0)</f>
        <v>0</v>
      </c>
      <c r="DC699" s="1353">
        <f>IF(HW699=TRUE,AE700,0)</f>
        <v>0</v>
      </c>
      <c r="DD699" s="1460">
        <f>IF(__Retrofit_TI_NC=2,IF(CN699="Exterior",O702,FM699),FK699)</f>
        <v>0</v>
      </c>
      <c r="DE699" s="1353"/>
      <c r="DF699" s="1406">
        <f>IFERROR(IF(FL699=3,IK699,IF(FL699=4,IL699,IF(FL699=5,IM699,IF(FL699=6,IN699,IF(FL699=7,IO699,IF(FL699=8,IP699,0)))))),0)</f>
        <v>0</v>
      </c>
      <c r="DG699" s="1370">
        <f>IF(HW699=TRUE,AK699,0)</f>
        <v>0</v>
      </c>
      <c r="DH699" s="1369">
        <f>IFERROR(IF(HW699=TRUE,DG701-DG699,0),0)</f>
        <v>0</v>
      </c>
      <c r="DJ699" s="1483">
        <f>IFERROR(CW699-DG699,0)</f>
        <v>0</v>
      </c>
      <c r="DL699" s="1419">
        <f>DJ699-DK701</f>
        <v>0</v>
      </c>
      <c r="DN699" s="1403" t="str">
        <f>IFERROR(IF(AND(OR(FY699=4,FY699=5,FY699=6),OR(GB699=4,GB699=5,GB699=6)),FY699+8,VLOOKUP(CT701,Fixtures!R$31:Y$78,8,FALSE)),"")</f>
        <v/>
      </c>
      <c r="DO699" s="1404" t="str">
        <f>DN699</f>
        <v/>
      </c>
      <c r="DP699" s="1353" t="str">
        <f>IFERROR(VLOOKUP(DD701,Lookup!AU$3:AV$15,2,FALSE),"")</f>
        <v/>
      </c>
      <c r="DQ699" s="1404" t="str">
        <f>IF(DP699=7,"LLLC","")</f>
        <v/>
      </c>
      <c r="DR699" s="1403">
        <f>IFERROR(IF(OR(DN699=4,DN699=5,DN699=6,DN699=12,DN699=13,DN699=14),VLOOKUP(CT701,Fixtures!DN$27:EG$77,19,FALSE),1)*CS701,0)</f>
        <v>0</v>
      </c>
      <c r="DS699" s="1489">
        <f>IF(DP699=7,IF(DD699=DD701,0,DC701),0)</f>
        <v>0</v>
      </c>
      <c r="DU699" s="1403" t="str">
        <f>IFERROR(IF(EW699&lt;EW701,"Yes","No"),"")</f>
        <v/>
      </c>
      <c r="DV699" s="1404" t="str">
        <f>DU699</f>
        <v/>
      </c>
      <c r="DW699" s="1403">
        <f>IF(DU699="Yes",DC701,0)</f>
        <v>0</v>
      </c>
      <c r="DX699" s="1403">
        <f>DW699-DS699</f>
        <v>0</v>
      </c>
      <c r="DZ699" s="1481">
        <f>IFERROR(VLOOKUP(DN699,Lookup!AN$3:AO$16,2,FALSE),0)</f>
        <v>0</v>
      </c>
      <c r="EA699" s="1481">
        <f>IF(HW699=FALSE,0,IF(DU699="Yes",DZ699+Lookup!B$6,DZ699))</f>
        <v>0</v>
      </c>
      <c r="EC699" s="1482">
        <f>IF(HW699=TRUE,DJ699,0)</f>
        <v>0</v>
      </c>
      <c r="ED699" s="1369">
        <f>IF(HW699=TRUE,CW701,0)</f>
        <v>0</v>
      </c>
      <c r="EE699" s="1370">
        <f>IFERROR(EC699-ED699,0)</f>
        <v>0</v>
      </c>
      <c r="EF699" s="1369">
        <f>IF(HW699=TRUE,DG701,0)</f>
        <v>0</v>
      </c>
      <c r="EG699" s="1369">
        <f>IFERROR(EC699-ED699+EF699,0)</f>
        <v>0</v>
      </c>
      <c r="EH699" s="1373">
        <f>IF(HW699=TRUE,CS701*CU701,0)</f>
        <v>0</v>
      </c>
      <c r="EI699" s="1373">
        <f>IF(HW699=TRUE,DC701*DE701,0)</f>
        <v>0</v>
      </c>
      <c r="EJ699" s="1363">
        <f>AO699</f>
        <v>0</v>
      </c>
      <c r="EK699" s="1376" t="str">
        <f>IFERROR(IF(HW699=TRUE,VLOOKUP(DN699,Lookup!AN$3:AP$16,3,FALSE)*DR699,""),0)</f>
        <v/>
      </c>
      <c r="EL699" s="1376">
        <f>IF(HW699=TRUE,DW699*Lookup!AP$12,0)</f>
        <v>0</v>
      </c>
      <c r="EM699" s="1362">
        <f>IFERROR(IF(HW699=TRUE,EK699/EM$33,0),0)</f>
        <v>0</v>
      </c>
      <c r="EN699" s="1362">
        <f>IF(HW699=TRUE,EL699/EN$33,0)</f>
        <v>0</v>
      </c>
      <c r="EO699" s="1363">
        <f>IF(HW699=TRUE,EQ$33*EM699,0)</f>
        <v>0</v>
      </c>
      <c r="EP699" s="1363">
        <f>IF(HW699=TRUE,EQ$33*EN699,0)</f>
        <v>0</v>
      </c>
      <c r="EQ699" s="1363">
        <f>EO699+EP699</f>
        <v>0</v>
      </c>
      <c r="ES699" s="1403">
        <f>IF(G699="",0,1)</f>
        <v>0</v>
      </c>
      <c r="EU699" s="1410" t="e">
        <f>VLOOKUP(CP701,'Space Table'!$B$3:$L$160,8,FALSE)</f>
        <v>#N/A</v>
      </c>
      <c r="EV699" s="1410" t="e">
        <f>IF(EY699="Yes",VLOOKUP(DD699,Lookup_Control_Type_Table2,4,FALSE),VLOOKUP(DD699,Lookup_Control_Type_Table2,3,FALSE))</f>
        <v>#N/A</v>
      </c>
      <c r="EW699" s="1410" t="e">
        <f>VLOOKUP(DD699,Lookup!AU$3:AV$15,2,FALSE)</f>
        <v>#N/A</v>
      </c>
      <c r="EX699" s="1410" t="e">
        <f>VLOOKUP(EU699,Lookup_Control_Type_Table,2,FALSE)</f>
        <v>#N/A</v>
      </c>
      <c r="EY699" s="1410" t="e">
        <f>VLOOKUP(CP701,'Space Table'!$B$3:$L$160,7,FALSE)</f>
        <v>#N/A</v>
      </c>
      <c r="EZ699" s="1412" t="b">
        <f>ISNUMBER(SEARCH("TLED",U701))</f>
        <v>0</v>
      </c>
      <c r="FB699" s="1365" t="str">
        <f>CONCATENATE(CN699," - ",DD699)</f>
        <v xml:space="preserve"> - 0</v>
      </c>
      <c r="FD699" s="1353" t="str">
        <f>VLOOKUP(CT701,Fixtures!DN$27:EZ$77,38,FALSE)</f>
        <v/>
      </c>
      <c r="FE699" s="1353">
        <f>IFERROR(FD699*EE699,0)</f>
        <v>0</v>
      </c>
      <c r="FF699" s="138"/>
      <c r="FI699" s="1356" t="str">
        <f>IF(CN699="Exterior","Not Daylighted",G702)</f>
        <v>Not Daylighted</v>
      </c>
      <c r="FJ699" s="1356">
        <f>VLOOKUP(FI699,_Daylight_Table_Codes,2,FALSE)</f>
        <v>0</v>
      </c>
      <c r="FK699" s="1365">
        <f>IF(__Retrofit_TI_NC=2,VLOOKUP(G701,'Space Table'!$B$3:$L$160,11,FALSE),AF700)</f>
        <v>0</v>
      </c>
      <c r="FL699" s="1365" t="e">
        <f>VLOOKUP(FK699,_Control_Table,2,FALSE)</f>
        <v>#N/A</v>
      </c>
      <c r="FM699" s="1365" t="e">
        <f>IF(AND(FP699&gt;0,FK699="Occupancy Sensor"),"Daylight + Occupancy",IF(AND(FP699&gt;0,FL699&lt;4),"Interior Daylight Dimming",FK699))</f>
        <v>#N/A</v>
      </c>
      <c r="FO699" s="1364">
        <f>IF(CO699="Interior",VLOOKUP(CP699,Control_Savings_Interior,5,FALSE),0)</f>
        <v>0</v>
      </c>
      <c r="FP699" s="1361">
        <f>IF(CN699="Exterior",0,IF(FJ699=2,0.5,IF(OR(FJ699=1,FJ699=3),1,0)))</f>
        <v>0</v>
      </c>
      <c r="FQ699" s="1366"/>
      <c r="FR699" s="1367"/>
      <c r="FS699" s="1364"/>
      <c r="FT699" s="1367"/>
      <c r="FU699" s="1360"/>
      <c r="FW699" s="1352" t="str">
        <f>IFERROR(VLOOKUP(U700,_Exist_Fixture_Table,3,FALSE),"")</f>
        <v/>
      </c>
      <c r="FX699" s="1352" t="str">
        <f>VLOOKUP(CT699,_Exist_Fixture_Table,4,FALSE)</f>
        <v/>
      </c>
      <c r="FY699" s="1352">
        <f>IFERROR(VLOOKUP(FX699,Lookup!AM$6:AN$8,2,FALSE),0)</f>
        <v>0</v>
      </c>
      <c r="FZ699" s="1352" t="b">
        <f>IFERROR(IF(OR(GB699=4,GB699=5,GB699=6),TRUE,FALSE),"")</f>
        <v>0</v>
      </c>
      <c r="GA699" s="1352" t="str">
        <f>IFERROR(VLOOKUP(GB699,FY$6:FZ$10,2,FALSE),"")</f>
        <v/>
      </c>
      <c r="GB699" s="1352" t="str">
        <f>VLOOKUP(CT701,Fixtures!R$31:Y$78,8,FALSE)</f>
        <v/>
      </c>
      <c r="GC699" s="1352">
        <f>IF(AND(FW699=TRUE,FZ699=TRUE,OR(DN699=12,DN699=13,DN699=14)),FY699+8,0)</f>
        <v>0</v>
      </c>
      <c r="GD699" s="1352" t="b">
        <f>IF(OR(GC699=12,GC699=13,GC699=14),TRUE,FALSE)</f>
        <v>0</v>
      </c>
      <c r="GE699" s="759" t="b">
        <f>IF(ISNUMBER(SEARCH("TLED",U700)),TRUE,FALSE)</f>
        <v>0</v>
      </c>
      <c r="GF699" s="1035" t="str">
        <f>IFERROR(VLOOKUP(U700,Fixtures!BM$93:BR$142,6,FALSE),"")</f>
        <v/>
      </c>
      <c r="GG699" s="1385" t="b">
        <f>IF(OR(GE699=FALSE,GE701=FALSE),TRUE,IF(GF699-GF701&lt;5,FALSE,TRUE))</f>
        <v>1</v>
      </c>
      <c r="GK699" s="1034">
        <f>GL699</f>
        <v>0</v>
      </c>
      <c r="GL699" s="1034">
        <f>IF(G699="",0,1)</f>
        <v>0</v>
      </c>
      <c r="GM699" s="1034">
        <f>SUM(GN699:HB699)</f>
        <v>2</v>
      </c>
      <c r="GN699" s="1034">
        <f>IF(G700="",0,1)</f>
        <v>0</v>
      </c>
      <c r="GO699" s="1034">
        <f>IF(G701="",0,1)</f>
        <v>0</v>
      </c>
      <c r="GP699" s="1034">
        <f>IF(R700="",0,1)</f>
        <v>0</v>
      </c>
      <c r="GQ699" s="1034">
        <f>IF(__Retrofit_TI_NC=0,1,IF(R701="",0,1))</f>
        <v>1</v>
      </c>
      <c r="GR699" s="1034">
        <f>IF(CN699="Exterior",1,IF(G702="",0,1))</f>
        <v>1</v>
      </c>
      <c r="GS699" s="1034">
        <f>IF(__Retrofit_TI_NC&lt;&gt;0,1,IF(T700="",0,1))</f>
        <v>0</v>
      </c>
      <c r="GT699" s="1034">
        <f>IF(__Retrofit_TI_NC&lt;&gt;0,1,IF(U700="",0,1))</f>
        <v>0</v>
      </c>
      <c r="GU699" s="1034">
        <f>IF(T701="",0,1)</f>
        <v>0</v>
      </c>
      <c r="GV699" s="1034">
        <f>IF(U701="",0,1)</f>
        <v>0</v>
      </c>
      <c r="GW699" s="1034">
        <f>IF(__Retrofit_TI_NC=2,1,IF(U702="",0,1))</f>
        <v>0</v>
      </c>
      <c r="GX699" s="1034">
        <f>IF(__Retrofit_TI_NC&lt;&gt;0,1,IF(AE700="",0,1))</f>
        <v>0</v>
      </c>
      <c r="GY699" s="1034">
        <f>IF(__Retrofit_TI_NC&lt;&gt;0,1,IF(AF700="",0,1))</f>
        <v>0</v>
      </c>
      <c r="GZ699" s="1034">
        <f>IF(AE701="",0,1)</f>
        <v>0</v>
      </c>
      <c r="HA699" s="1034">
        <f>IF(AF701="",0,1)</f>
        <v>0</v>
      </c>
      <c r="HB699" s="1034">
        <f>IF(__Retrofit_TI_NC=2,1,IF(AF702="",0,1))</f>
        <v>0</v>
      </c>
      <c r="HV699" s="436"/>
      <c r="HW699" s="1384" t="b">
        <f>IF(OR(HW702=0,HW702=HT$16,HW702=HS$16,HW702=HU$16),TRUE,FALSE)</f>
        <v>0</v>
      </c>
      <c r="HX699" s="1377" t="b">
        <f>HW699</f>
        <v>0</v>
      </c>
      <c r="HY699" s="436"/>
      <c r="HZ699" s="436"/>
      <c r="IA699" s="1386" t="b">
        <f>IF(MAX(GJ702:HP702)&gt;5,FALSE,TRUE)</f>
        <v>0</v>
      </c>
      <c r="IB699" s="1380">
        <f>IF(IA699=TRUE,AC699,0)</f>
        <v>0</v>
      </c>
      <c r="IC699" s="1380">
        <f>IB699-IB701</f>
        <v>0</v>
      </c>
      <c r="IF699" s="1380" t="e">
        <f>ROUND(T700*VLOOKUP(U700,Fixtures_Existing_List,2,FALSE)*N700*R700/1000,0)</f>
        <v>#N/A</v>
      </c>
      <c r="IG699" s="1381" t="e">
        <f>IF699-IF701</f>
        <v>#N/A</v>
      </c>
      <c r="IH699" s="1384" t="e">
        <f>ROUND(IF(CN699="Interior",N701*R701*R700*N700*_C406_reduction/1000,N701*R701*R700*N700/1000),0)</f>
        <v>#N/A</v>
      </c>
      <c r="II699" s="1384" t="e">
        <f>IH699-IH701</f>
        <v>#N/A</v>
      </c>
      <c r="IK699" s="1351" t="e">
        <f>IF($CO699="interior",IL699/2,VLOOKUP($CP699,Control_Savings_Exterior,IK$30,FALSE))</f>
        <v>#N/A</v>
      </c>
      <c r="IL699" s="1351" t="e">
        <f>IF($CO699="interior",VLOOKUP($CP699,Control_Savings_Interior,IL$30,FALSE),VLOOKUP($CP699,Control_Savings_Exterior,IL$30,FALSE))</f>
        <v>#N/A</v>
      </c>
      <c r="IM699" s="1351" t="e">
        <f>IF($CO699="interior",IF(R700&gt;FO$37,(IM$28*(FO$37/R700)),IM$28)*FP699,VLOOKUP($CP699,Control_Savings_Exterior,IM$30,FALSE))</f>
        <v>#N/A</v>
      </c>
      <c r="IN699" s="1351" t="e">
        <f>IF($CO699="interior",ROUND(((1-IL699)*IM699)+IL699,2),VLOOKUP($CP699,Control_Savings_Exterior,IN$30,FALSE))</f>
        <v>#N/A</v>
      </c>
      <c r="IO699" s="1351" t="e">
        <f>IF($CO699="interior", ROUND(((1-IL699)*(IM699*(1-IP$28)))+IP699,2), VLOOKUP($CP699,Control_Savings_Exterior,IO$30,FALSE))</f>
        <v>#N/A</v>
      </c>
      <c r="IP699" s="1351">
        <f>IF($CO699="interior",ROUND(((1-IL699)*IP$28)+IL699,2),0)</f>
        <v>0</v>
      </c>
    </row>
    <row r="700" spans="1:250" s="82" customFormat="1" ht="14.95" customHeight="1" thickTop="1" thickBot="1">
      <c r="B700" s="1421"/>
      <c r="C700" s="1422"/>
      <c r="D700" s="1423"/>
      <c r="E700" s="1393" t="s">
        <v>244</v>
      </c>
      <c r="F700" s="1394"/>
      <c r="G700" s="1395"/>
      <c r="H700" s="1395"/>
      <c r="I700" s="1395"/>
      <c r="J700" s="1395"/>
      <c r="K700" s="1395"/>
      <c r="L700" s="1395"/>
      <c r="M700" s="509" t="e">
        <f>IF(__Retrofit_TI_NC&lt;&gt;0,IF(VLOOKUP(G701,'Space Table'!$B$3:$L$160,3,FALSE)&gt;0,1,0),IF(__Retrofit_TI_NC=VLOOKUP(G701,'Space Table'!$B$3:$L$160,3,FALSE),1,0))</f>
        <v>#N/A</v>
      </c>
      <c r="N700" s="509" t="str">
        <f>IFERROR(VLOOKUP(G700,_Lookup_Heat_Type_Table_New,2,FALSE),"")</f>
        <v/>
      </c>
      <c r="O700" s="509">
        <f>IF(__Retrofit_TI_NC=1,CONCATENATE("TI ",G700),IF(__Retrofit_TI_NC=2,CONCATENATE("NC ",G700),G700))</f>
        <v>0</v>
      </c>
      <c r="P700" s="1396" t="s">
        <v>352</v>
      </c>
      <c r="Q700" s="1396"/>
      <c r="R700" s="673"/>
      <c r="S700" s="1429"/>
      <c r="T700" s="675"/>
      <c r="U700" s="1496"/>
      <c r="V700" s="1497"/>
      <c r="W700" s="1497"/>
      <c r="X700" s="1497"/>
      <c r="Y700" s="1497"/>
      <c r="Z700" s="1497"/>
      <c r="AA700" s="1497"/>
      <c r="AB700" s="1497"/>
      <c r="AC700" s="1497"/>
      <c r="AD700" s="1498"/>
      <c r="AE700" s="675"/>
      <c r="AF700" s="1397"/>
      <c r="AG700" s="1397"/>
      <c r="AH700" s="1397"/>
      <c r="AI700" s="1397"/>
      <c r="AJ700" s="1434"/>
      <c r="AK700" s="1436"/>
      <c r="AL700" s="1438"/>
      <c r="AM700" s="1441"/>
      <c r="AN700" s="1442"/>
      <c r="AO700" s="1447"/>
      <c r="AP700" s="1447"/>
      <c r="AQ700" s="1448"/>
      <c r="AR700" s="1452"/>
      <c r="AS700" s="1455"/>
      <c r="AT700" s="1458"/>
      <c r="AU700" s="516"/>
      <c r="AV700" s="1479"/>
      <c r="AW700" s="1479"/>
      <c r="BC700" s="38"/>
      <c r="BD700" s="38"/>
      <c r="BE700" s="38"/>
      <c r="BF700" s="38"/>
      <c r="BG700" s="38"/>
      <c r="BH700" s="38"/>
      <c r="BI700" s="38"/>
      <c r="BJ700" s="38"/>
      <c r="BK700" s="38"/>
      <c r="BL700" s="38"/>
      <c r="BM700" s="38"/>
      <c r="BN700" s="38"/>
      <c r="BO700" s="38"/>
      <c r="BP700" s="38"/>
      <c r="BQ700" s="38"/>
      <c r="BR700" s="38"/>
      <c r="BS700" s="38"/>
      <c r="BT700" s="38"/>
      <c r="BU700" s="38"/>
      <c r="BV700" s="38"/>
      <c r="BW700" s="38"/>
      <c r="BX700" s="38"/>
      <c r="BY700" s="38"/>
      <c r="BZ700" s="38"/>
      <c r="CA700" s="38"/>
      <c r="CB700" s="38"/>
      <c r="CC700" s="38"/>
      <c r="CD700" s="38"/>
      <c r="CE700" s="38"/>
      <c r="CF700" s="38"/>
      <c r="CG700" s="38"/>
      <c r="CH700" s="38"/>
      <c r="CI700" s="38"/>
      <c r="CM700" s="1352"/>
      <c r="CN700" s="1352"/>
      <c r="CO700" s="1416"/>
      <c r="CP700" s="1418"/>
      <c r="CR700" s="1386"/>
      <c r="CS700" s="1355"/>
      <c r="CT700" s="1355"/>
      <c r="CU700" s="1355"/>
      <c r="CV700" s="1372"/>
      <c r="CW700" s="1372"/>
      <c r="CX700" s="1371"/>
      <c r="CY700" s="1486"/>
      <c r="CZ700" s="1486"/>
      <c r="DA700" s="1486"/>
      <c r="DC700" s="1355"/>
      <c r="DD700" s="1461"/>
      <c r="DE700" s="1355"/>
      <c r="DF700" s="1407"/>
      <c r="DG700" s="1372"/>
      <c r="DH700" s="1369"/>
      <c r="DJ700" s="1484"/>
      <c r="DL700" s="1419"/>
      <c r="DN700" s="1403"/>
      <c r="DO700" s="1405"/>
      <c r="DP700" s="1354"/>
      <c r="DQ700" s="1405"/>
      <c r="DR700" s="1403"/>
      <c r="DS700" s="1489"/>
      <c r="DU700" s="1403"/>
      <c r="DV700" s="1405"/>
      <c r="DW700" s="1403"/>
      <c r="DX700" s="1403"/>
      <c r="DZ700" s="1481"/>
      <c r="EA700" s="1481"/>
      <c r="EC700" s="1482"/>
      <c r="ED700" s="1369"/>
      <c r="EE700" s="1371"/>
      <c r="EF700" s="1369"/>
      <c r="EG700" s="1369"/>
      <c r="EH700" s="1374"/>
      <c r="EI700" s="1374"/>
      <c r="EJ700" s="1363"/>
      <c r="EK700" s="1376"/>
      <c r="EL700" s="1376"/>
      <c r="EM700" s="1362"/>
      <c r="EN700" s="1362"/>
      <c r="EO700" s="1363"/>
      <c r="EP700" s="1363"/>
      <c r="EQ700" s="1363"/>
      <c r="ES700" s="1403"/>
      <c r="EU700" s="1411"/>
      <c r="EV700" s="1411"/>
      <c r="EW700" s="1411"/>
      <c r="EX700" s="1411"/>
      <c r="EY700" s="1411"/>
      <c r="EZ700" s="1413"/>
      <c r="FB700" s="1365"/>
      <c r="FD700" s="1354"/>
      <c r="FE700" s="1354"/>
      <c r="FF700" s="138"/>
      <c r="FI700" s="1357"/>
      <c r="FJ700" s="1357"/>
      <c r="FK700" s="1365"/>
      <c r="FL700" s="1365"/>
      <c r="FM700" s="1365"/>
      <c r="FO700" s="1361"/>
      <c r="FP700" s="1361"/>
      <c r="FQ700" s="1366"/>
      <c r="FR700" s="1368"/>
      <c r="FS700" s="1361"/>
      <c r="FT700" s="1368"/>
      <c r="FU700" s="1360"/>
      <c r="FW700" s="1352"/>
      <c r="FX700" s="1352"/>
      <c r="FY700" s="1352"/>
      <c r="FZ700" s="1352"/>
      <c r="GA700" s="1352"/>
      <c r="GB700" s="1352"/>
      <c r="GC700" s="1352"/>
      <c r="GD700" s="1352"/>
      <c r="GE700" s="759"/>
      <c r="GF700" s="1035"/>
      <c r="GG700" s="1385"/>
      <c r="GI700" s="1384" t="b">
        <f>IF(AND(GL700=TRUE,GM700=TRUE),TRUE,FALSE)</f>
        <v>0</v>
      </c>
      <c r="GJ700" s="1379" t="b">
        <f>IFERROR(IF(__Retrofit_TI_NC=2,TRUE,IF(AR699="Yes",TRUE,FALSE)),FALSE)</f>
        <v>1</v>
      </c>
      <c r="GL700" s="1379" t="b">
        <f>IFERROR(IF(GL699=1,TRUE,FALSE),FALSE)</f>
        <v>0</v>
      </c>
      <c r="GM700" s="1379" t="b">
        <f>IFERROR(IF(GM699=GM$14,TRUE,FALSE),FALSE)</f>
        <v>0</v>
      </c>
      <c r="HC700" s="1379" t="b">
        <f>IFERROR(IF(M700=1,TRUE,FALSE),FALSE)</f>
        <v>0</v>
      </c>
      <c r="HD700" s="1379" t="b">
        <f>IFERROR(IF(M701=1,TRUE,FALSE),FALSE)</f>
        <v>0</v>
      </c>
      <c r="HE700" s="1379" t="b">
        <f>IFERROR(IF(__Retrofit_TI_NC&lt;&gt;0,TRUE,IFERROR(IF(VLOOKUP(U700,Fixtures_Existing_List,2,FALSE)&lt;&gt;"",TRUE,FALSE),FALSE)),FALSE)</f>
        <v>0</v>
      </c>
      <c r="HF700" s="1379" t="b">
        <f>IFERROR(IF(VLOOKUP(U701,Fixtures_Proposed_List,2,FALSE)&lt;&gt;"",TRUE,FALSE),FALSE)</f>
        <v>0</v>
      </c>
      <c r="HG700" s="1379" t="b">
        <f>IF(AND(__Retrofit_TI_NC=2,EZ699=TRUE),FALSE,TRUE)</f>
        <v>1</v>
      </c>
      <c r="HH700" s="1379" t="b">
        <f>GG699</f>
        <v>1</v>
      </c>
      <c r="HI700" s="1384" t="b">
        <f>IF(ISERROR(MATCH(FB699,_Control_Match[],0))=TRUE,FALSE,TRUE)</f>
        <v>0</v>
      </c>
      <c r="HJ700" s="1384" t="b">
        <f>IFERROR(IF(EU699&lt;&gt;EV699,FALSE,TRUE),FALSE)</f>
        <v>0</v>
      </c>
      <c r="HK700" s="1384" t="b">
        <f>IFERROR(IF(EU701&lt;&gt;EV701,FALSE,TRUE),FALSE)</f>
        <v>0</v>
      </c>
      <c r="HL700" s="1379" t="b">
        <f>IFERROR(IF(CN699="Exterior",TRUE,IF(OR(AND(FJ699=0,EW701&gt;4),AND(FJ699=4,EW701&gt;4,EW701&lt;7)),FALSE,TRUE)),FALSE)</f>
        <v>0</v>
      </c>
      <c r="HM700" s="1379" t="b">
        <f>IFERROR(IF(AND(FL701=7,EZ699=TRUE),FALSE,TRUE),FALSE)</f>
        <v>0</v>
      </c>
      <c r="HN700" s="1379" t="b">
        <f>IFERROR(IF(AND(T701&lt;&gt;AE701,AF701="Interior LLLC")=TRUE,FALSE,TRUE),FALSE)</f>
        <v>1</v>
      </c>
      <c r="HO700" s="1379" t="b">
        <f>IFERROR(IF(OR(AF701=Lookup!AU$13,AF701=Lookup!AU$14)=TRUE,IF(AE701&gt;T701,FALSE,TRUE),TRUE),FALSE)</f>
        <v>1</v>
      </c>
      <c r="HP700" s="1379" t="b">
        <f>IFERROR(IF(__Retrofit_TI_NC=2,IF(EW701&lt;EW699,FALSE,TRUE),TRUE),FALSE)</f>
        <v>1</v>
      </c>
      <c r="HQ700" s="1379" t="b">
        <f>IF(CN699="Interior",IG$6,TRUE)</f>
        <v>1</v>
      </c>
      <c r="HR700" s="1379" t="b">
        <f>IF(CN699="Exterior",IG$8,TRUE)</f>
        <v>1</v>
      </c>
      <c r="HS700" s="1379" t="b">
        <f>IFERROR(IF(__Retrofit_TI_NC&lt;&gt;0,IF(AW699&lt;AV699,FALSE,TRUE),TRUE),FALSE)</f>
        <v>1</v>
      </c>
      <c r="HT700" s="1379" t="b">
        <f>IFERROR(IF(AND(G700="Exterior",R700&gt;4200),FALSE,TRUE),FALSE)</f>
        <v>1</v>
      </c>
      <c r="HU700" s="1379" t="b">
        <f>IFERROR(IF(AB702/AB699&lt;HU$18,FALSE,TRUE),FALSE)</f>
        <v>0</v>
      </c>
      <c r="HW700" s="1382"/>
      <c r="HX700" s="1378"/>
      <c r="HY700" s="1377" t="str">
        <f>VLOOKUP(HW702,_Error_Table,4,FALSE)</f>
        <v>White</v>
      </c>
      <c r="HZ700" s="436"/>
      <c r="IA700" s="1386"/>
      <c r="IB700" s="1380"/>
      <c r="IC700" s="1379"/>
      <c r="IF700" s="1380"/>
      <c r="IG700" s="1382"/>
      <c r="IH700" s="1382"/>
      <c r="II700" s="1382"/>
      <c r="IK700" s="1351"/>
      <c r="IL700" s="1351"/>
      <c r="IM700" s="1351"/>
      <c r="IN700" s="1351"/>
      <c r="IO700" s="1351"/>
      <c r="IP700" s="1351"/>
    </row>
    <row r="701" spans="1:250" s="82" customFormat="1" ht="14.95" customHeight="1" thickTop="1" thickBot="1">
      <c r="A701" s="82">
        <f>ROW()</f>
        <v>701</v>
      </c>
      <c r="B701" s="1421"/>
      <c r="C701" s="1422"/>
      <c r="D701" s="1423"/>
      <c r="E701" s="1393" t="s">
        <v>245</v>
      </c>
      <c r="F701" s="1394"/>
      <c r="G701" s="1398"/>
      <c r="H701" s="1399"/>
      <c r="I701" s="1399"/>
      <c r="J701" s="1399"/>
      <c r="K701" s="1399"/>
      <c r="L701" s="1400"/>
      <c r="M701" s="509">
        <f>IFERROR(IF(IF(__Retrofit_TI_NC&lt;&gt;0,IF(CN699="Interior",MATCH(G701,Lookup_Interior_New,0),MATCH(G701,Lookup_Exterior_New,0)),IF(CN699="Interior",MATCH(G701,Lookup_Interior,0),MATCH(G701,Lookup_Exterior_Areas,0)))&gt;0,1,0),0)</f>
        <v>0</v>
      </c>
      <c r="N701" s="509" t="e">
        <f>IF(__Retrofit_TI_NC=1,
VLOOKUP(G701,'Space Table'!$B$3:$L$160,4,FALSE),
IF(__Retrofit_TI_NC=2,VLOOKUP(G701,'Space Table'!$B$3:$L$160,5,FALSE),VLOOKUP(G701,'Space Table'!$B$3:$L$160,5,FALSE)))</f>
        <v>#N/A</v>
      </c>
      <c r="O701" s="509">
        <f>G701</f>
        <v>0</v>
      </c>
      <c r="P701" s="1394" t="s">
        <v>355</v>
      </c>
      <c r="Q701" s="1394"/>
      <c r="R701" s="674"/>
      <c r="S701" s="1401" t="s">
        <v>284</v>
      </c>
      <c r="T701" s="672"/>
      <c r="U701" s="1499"/>
      <c r="V701" s="1500"/>
      <c r="W701" s="1500"/>
      <c r="X701" s="1500"/>
      <c r="Y701" s="1500"/>
      <c r="Z701" s="1500"/>
      <c r="AA701" s="1500"/>
      <c r="AB701" s="1501"/>
      <c r="AC701" s="1501"/>
      <c r="AD701" s="1502"/>
      <c r="AE701" s="672"/>
      <c r="AF701" s="1474"/>
      <c r="AG701" s="1474"/>
      <c r="AH701" s="1474"/>
      <c r="AI701" s="1474"/>
      <c r="AJ701" s="1475">
        <f>DF701</f>
        <v>0</v>
      </c>
      <c r="AK701" s="1470" t="str">
        <f>IFERROR(ROUND(AJ701*AC702,0),"")</f>
        <v/>
      </c>
      <c r="AL701" s="1472">
        <f>IFERROR(IF(HW699=FALSE,0,AC702-AK701),0)</f>
        <v>0</v>
      </c>
      <c r="AM701" s="1441"/>
      <c r="AN701" s="1442"/>
      <c r="AO701" s="1447"/>
      <c r="AP701" s="1447"/>
      <c r="AQ701" s="1448"/>
      <c r="AR701" s="1452"/>
      <c r="AS701" s="1455"/>
      <c r="AT701" s="1458"/>
      <c r="AU701" s="516"/>
      <c r="AV701" s="1479"/>
      <c r="AW701" s="1479"/>
      <c r="BC701" s="38"/>
      <c r="BD701" s="38"/>
      <c r="BE701" s="38"/>
      <c r="BF701" s="38"/>
      <c r="BG701" s="38"/>
      <c r="BH701" s="38"/>
      <c r="BI701" s="38"/>
      <c r="BJ701" s="38"/>
      <c r="BK701" s="38"/>
      <c r="BL701" s="38"/>
      <c r="BM701" s="38"/>
      <c r="BN701" s="38"/>
      <c r="BO701" s="38"/>
      <c r="BP701" s="38"/>
      <c r="BQ701" s="38"/>
      <c r="BR701" s="38"/>
      <c r="BS701" s="38"/>
      <c r="BT701" s="38"/>
      <c r="BU701" s="38"/>
      <c r="BV701" s="38"/>
      <c r="BW701" s="38"/>
      <c r="BX701" s="38"/>
      <c r="BY701" s="38"/>
      <c r="BZ701" s="38"/>
      <c r="CA701" s="38"/>
      <c r="CB701" s="38"/>
      <c r="CC701" s="38"/>
      <c r="CD701" s="38"/>
      <c r="CE701" s="38"/>
      <c r="CF701" s="38"/>
      <c r="CG701" s="38"/>
      <c r="CH701" s="38"/>
      <c r="CI701" s="38"/>
      <c r="CM701" s="1352"/>
      <c r="CN701" s="1352"/>
      <c r="CO701" s="1415" t="str">
        <f>CN699</f>
        <v/>
      </c>
      <c r="CP701" s="1417" t="e">
        <f>CP699</f>
        <v>#N/A</v>
      </c>
      <c r="CR701" s="1386" t="s">
        <v>284</v>
      </c>
      <c r="CS701" s="1353">
        <f>IF(HW699=TRUE,T701,0)</f>
        <v>0</v>
      </c>
      <c r="CT701" s="1353" t="str">
        <f>IF(HW699=TRUE,U701,"")</f>
        <v/>
      </c>
      <c r="CU701" s="1373">
        <f>IF(HW699=TRUE,U702,0)</f>
        <v>0</v>
      </c>
      <c r="CV701" s="1370">
        <f>IF(HW699=TRUE,AB702,0)</f>
        <v>0</v>
      </c>
      <c r="CW701" s="1370">
        <f>IF(HW699=TRUE,AC702,0)</f>
        <v>0</v>
      </c>
      <c r="CX701" s="1371"/>
      <c r="CY701" s="1486"/>
      <c r="CZ701" s="1486"/>
      <c r="DA701" s="1486"/>
      <c r="DC701" s="1353">
        <f>IF(HW699=TRUE,AE701,0)</f>
        <v>0</v>
      </c>
      <c r="DD701" s="1353" t="str">
        <f>IF(HW699=TRUE,AF701,"")</f>
        <v/>
      </c>
      <c r="DE701" s="1373">
        <f>AF702</f>
        <v>0</v>
      </c>
      <c r="DF701" s="1406">
        <f>IFERROR(IF(FL701=3,IK701,IF(FL701=4,IL701,IF(FL701=5,IM701,IF(FL701=6,IN701,IF(FL701=7,IO701,IF(FL701=8,IP701,0)))))),0)</f>
        <v>0</v>
      </c>
      <c r="DG701" s="1370">
        <f>IF(HW699=TRUE,AK701,0)</f>
        <v>0</v>
      </c>
      <c r="DH701" s="1369"/>
      <c r="DK701" s="1483">
        <f>IFERROR(CW701-DG701,0)</f>
        <v>0</v>
      </c>
      <c r="DL701" s="1420"/>
      <c r="DN701" s="1403"/>
      <c r="DO701" s="1477" t="str">
        <f>DN699</f>
        <v/>
      </c>
      <c r="DP701" s="1354"/>
      <c r="DQ701" s="1477" t="str">
        <f>IF(DP699=7,"LLLC","")</f>
        <v/>
      </c>
      <c r="DR701" s="1403"/>
      <c r="DS701" s="1489"/>
      <c r="DU701" s="1403"/>
      <c r="DV701" s="1404" t="str">
        <f>DU699</f>
        <v/>
      </c>
      <c r="DW701" s="1403"/>
      <c r="DX701" s="1403"/>
      <c r="DZ701" s="1481"/>
      <c r="EA701" s="1481"/>
      <c r="EC701" s="1482"/>
      <c r="ED701" s="1369"/>
      <c r="EE701" s="1371"/>
      <c r="EF701" s="1369"/>
      <c r="EG701" s="1369"/>
      <c r="EH701" s="1374"/>
      <c r="EI701" s="1374"/>
      <c r="EJ701" s="1363"/>
      <c r="EK701" s="1376"/>
      <c r="EL701" s="1376"/>
      <c r="EM701" s="1362"/>
      <c r="EN701" s="1362"/>
      <c r="EO701" s="1363"/>
      <c r="EP701" s="1363"/>
      <c r="EQ701" s="1363"/>
      <c r="ES701" s="1403"/>
      <c r="EU701" s="1411" t="e">
        <f>VLOOKUP(CP701,'Space Table'!$B$3:$L$160,8,FALSE)</f>
        <v>#N/A</v>
      </c>
      <c r="EV701" s="1411" t="e">
        <f>IF(EY701="Yes",VLOOKUP(AF701,Lookup_Control_Type_Table2,4,FALSE),VLOOKUP(AF701,Lookup_Control_Type_Table2,3,FALSE))</f>
        <v>#N/A</v>
      </c>
      <c r="EW701" s="1411" t="e">
        <f>VLOOKUP(AF701,Lookup!AU$3:AV$15,2,FALSE)</f>
        <v>#N/A</v>
      </c>
      <c r="EX701" s="1411" t="e">
        <f>VLOOKUP(EU699,Lookup_Control_Type_Table,2,FALSE)</f>
        <v>#N/A</v>
      </c>
      <c r="EY701" s="1411" t="e">
        <f>VLOOKUP(CP701,'Space Table'!$B$3:$L$160,7,FALSE)</f>
        <v>#N/A</v>
      </c>
      <c r="EZ701" s="1413"/>
      <c r="FB701" s="1365" t="str">
        <f>CONCATENATE(CN699," - ",AF701)</f>
        <v xml:space="preserve"> - </v>
      </c>
      <c r="FD701" s="1354"/>
      <c r="FE701" s="1354"/>
      <c r="FF701" s="138"/>
      <c r="FI701" s="1356" t="str">
        <f>IF(CN699="Exterior","Not Daylighted",G702)</f>
        <v>Not Daylighted</v>
      </c>
      <c r="FJ701" s="1356">
        <f>VLOOKUP(FI701,_Daylight_Table_Codes,2,FALSE)</f>
        <v>0</v>
      </c>
      <c r="FK701" s="1365">
        <f>AF701</f>
        <v>0</v>
      </c>
      <c r="FL701" s="1365" t="e">
        <f>VLOOKUP(FK701,_Control_Table,2,FALSE)</f>
        <v>#N/A</v>
      </c>
      <c r="FM701" s="1365" t="e">
        <f>IF(AND(FP701&gt;0,FK701="Occupancy Sensor"),"Daylight + Occupancy",IF(AND(FP701&gt;0,FL701&lt;4),"Interior Daylight Dimming",FK701))</f>
        <v>#N/A</v>
      </c>
      <c r="FO701" s="1364">
        <f>IF(CN699="Interior",VLOOKUP(CP699,Control_Savings_Interior,5,FALSE),0)</f>
        <v>0</v>
      </c>
      <c r="FP701" s="1361">
        <f>IF(CN701="Exterior",0,IF(FJ701=2,0.5,IF(OR(FJ701=1,FJ701=3),1,0)))</f>
        <v>0</v>
      </c>
      <c r="FQ701" s="1366">
        <f>IF(R700&gt;FO$37,(FO701*(FO$37/R700)),FO701)*FP701</f>
        <v>0</v>
      </c>
      <c r="FR701" s="1364">
        <f>DF701</f>
        <v>0</v>
      </c>
      <c r="FS701" s="1364">
        <f>ROUND(FR701+((1-FR701)*FQ701),2)</f>
        <v>0</v>
      </c>
      <c r="FT701" s="1364">
        <f>IF(__Retrofit_TI_NC=2,FS701,FR701)</f>
        <v>0</v>
      </c>
      <c r="FU701" s="1360">
        <f>IF(CO701="Interior",VLOOKUP(CP701,Control_Savings_Interior,4,FALSE),0)</f>
        <v>0</v>
      </c>
      <c r="FW701" s="1352"/>
      <c r="FX701" s="1352"/>
      <c r="FY701" s="1352"/>
      <c r="FZ701" s="1352"/>
      <c r="GA701" s="1352"/>
      <c r="GB701" s="1352"/>
      <c r="GC701" s="1352"/>
      <c r="GD701" s="1352"/>
      <c r="GE701" s="759" t="b">
        <f>IF(ISNUMBER(SEARCH("TLED",U701)),TRUE,FALSE)</f>
        <v>0</v>
      </c>
      <c r="GF701" s="1035" t="str">
        <f>IFERROR(VLOOKUP(U701,Fixtures!DM$93:DR$142,6,FALSE),"")</f>
        <v/>
      </c>
      <c r="GG701" s="1385"/>
      <c r="GI701" s="1383"/>
      <c r="GJ701" s="1379"/>
      <c r="GL701" s="1379"/>
      <c r="GM701" s="1379"/>
      <c r="HC701" s="1379"/>
      <c r="HD701" s="1379"/>
      <c r="HE701" s="1379"/>
      <c r="HF701" s="1379"/>
      <c r="HG701" s="1379"/>
      <c r="HH701" s="1379"/>
      <c r="HI701" s="1383"/>
      <c r="HJ701" s="1383"/>
      <c r="HK701" s="1383"/>
      <c r="HL701" s="1379"/>
      <c r="HM701" s="1379"/>
      <c r="HN701" s="1379"/>
      <c r="HO701" s="1379"/>
      <c r="HP701" s="1379"/>
      <c r="HQ701" s="1379"/>
      <c r="HR701" s="1379"/>
      <c r="HS701" s="1379"/>
      <c r="HT701" s="1379"/>
      <c r="HU701" s="1379"/>
      <c r="HW701" s="1383"/>
      <c r="HX701" s="1384" t="b">
        <f>HW699</f>
        <v>0</v>
      </c>
      <c r="HY701" s="1378"/>
      <c r="HZ701" s="436"/>
      <c r="IA701" s="1386"/>
      <c r="IB701" s="1380">
        <f>IF(IA699=TRUE,AC702,0)</f>
        <v>0</v>
      </c>
      <c r="IC701" s="1379"/>
      <c r="IF701" s="1380" t="e">
        <f>ROUND(T701*AB702*N700*R700/1000,0)</f>
        <v>#VALUE!</v>
      </c>
      <c r="IG701" s="1382"/>
      <c r="IH701" s="1384" t="e">
        <f>ROUND(T701*AB702*N700*R700/1000,0)</f>
        <v>#VALUE!</v>
      </c>
      <c r="II701" s="1382"/>
      <c r="IK701" s="1351" t="e">
        <f>IF($CO701="interior",IL701/2,VLOOKUP($CP701,Control_Savings_Exterior,IK$30,FALSE))</f>
        <v>#N/A</v>
      </c>
      <c r="IL701" s="1351" t="e">
        <f>IF($CO701="interior",VLOOKUP($CP701,Control_Savings_Interior,IL$30,FALSE),VLOOKUP($CP701,Control_Savings_Exterior,IL$30,FALSE))</f>
        <v>#N/A</v>
      </c>
      <c r="IM701" s="1351" t="e">
        <f>IF($CO701="interior",IF(R700&gt;FO$37,(IM$28*(FO$37/R700)),IM$28)*FP701,VLOOKUP($CP701,Control_Savings_Exterior,IM$30,FALSE))</f>
        <v>#N/A</v>
      </c>
      <c r="IN701" s="1351" t="e">
        <f>IF($CO701="interior",ROUND(((1-IL701)*IM701)+IL701,2),VLOOKUP($CP701,Control_Savings_Exterior,IN$30,FALSE))</f>
        <v>#N/A</v>
      </c>
      <c r="IO701" s="1351" t="e">
        <f>IF($CO701="interior", ROUND(((1-IL701)*(IM701*(1-IP$28)))+IP701,2), VLOOKUP($CP701,Control_Savings_Exterior,IO$30,FALSE))</f>
        <v>#N/A</v>
      </c>
      <c r="IP701" s="1351">
        <f>IF($CO701="interior",ROUND(((1-IL701)*IP$28)+IL701,2),0)</f>
        <v>0</v>
      </c>
    </row>
    <row r="702" spans="1:250" s="82" customFormat="1" ht="14.95" customHeight="1" thickTop="1" thickBot="1">
      <c r="B702" s="1421"/>
      <c r="C702" s="1422"/>
      <c r="D702" s="1423"/>
      <c r="E702" s="1462" t="s">
        <v>357</v>
      </c>
      <c r="F702" s="1463"/>
      <c r="G702" s="1464" t="s">
        <v>362</v>
      </c>
      <c r="H702" s="1465"/>
      <c r="I702" s="1465"/>
      <c r="J702" s="1465"/>
      <c r="K702" s="1465"/>
      <c r="L702" s="1466"/>
      <c r="M702" s="669">
        <f>IFERROR(VLOOKUP(G702,_Daylight_Table[],2,FALSE),0)</f>
        <v>0</v>
      </c>
      <c r="N702" s="670"/>
      <c r="O702" s="669" t="e">
        <f>VLOOKUP(G701,'Space Table'!$B$3:$L$160,11,FALSE)</f>
        <v>#N/A</v>
      </c>
      <c r="P702" s="1408"/>
      <c r="Q702" s="1409"/>
      <c r="R702" s="1409"/>
      <c r="S702" s="1402"/>
      <c r="T702" s="671" t="s">
        <v>281</v>
      </c>
      <c r="U702" s="1467" t="str">
        <f>IFERROR(VLOOKUP(U701,Fixtures!DM$93:DP$142,4,FALSE),"")</f>
        <v/>
      </c>
      <c r="V702" s="1468"/>
      <c r="W702" s="1468"/>
      <c r="X702" s="1468"/>
      <c r="Y702" s="1468"/>
      <c r="Z702" s="1468"/>
      <c r="AA702" s="1468"/>
      <c r="AB702" s="1046" t="str">
        <f>IFERROR(VLOOKUP(U701,Fixtures_Proposed_List,2,FALSE),"")</f>
        <v/>
      </c>
      <c r="AC702" s="1036" t="str">
        <f>IFERROR(ROUND(T701*AB702*N700*R700/1000,0),"")</f>
        <v/>
      </c>
      <c r="AD702" s="1037" t="str">
        <f>IFERROR(ROUND(T701*AB702/1000,2),"")</f>
        <v/>
      </c>
      <c r="AE702" s="1045" t="s">
        <v>281</v>
      </c>
      <c r="AF702" s="1469"/>
      <c r="AG702" s="1469"/>
      <c r="AH702" s="1469"/>
      <c r="AI702" s="1469"/>
      <c r="AJ702" s="1476"/>
      <c r="AK702" s="1471"/>
      <c r="AL702" s="1473"/>
      <c r="AM702" s="1443"/>
      <c r="AN702" s="1444"/>
      <c r="AO702" s="1449"/>
      <c r="AP702" s="1449"/>
      <c r="AQ702" s="1450"/>
      <c r="AR702" s="1453"/>
      <c r="AS702" s="1456"/>
      <c r="AT702" s="1459"/>
      <c r="AU702" s="517"/>
      <c r="AV702" s="1480"/>
      <c r="AW702" s="1480"/>
      <c r="BC702" s="38"/>
      <c r="BD702" s="38"/>
      <c r="BE702" s="38"/>
      <c r="BF702" s="38"/>
      <c r="BG702" s="38"/>
      <c r="BH702" s="38"/>
      <c r="BI702" s="38"/>
      <c r="BJ702" s="38"/>
      <c r="BK702" s="38"/>
      <c r="BL702" s="38"/>
      <c r="BM702" s="38"/>
      <c r="BN702" s="38"/>
      <c r="BO702" s="38"/>
      <c r="BP702" s="38"/>
      <c r="BQ702" s="38"/>
      <c r="BR702" s="38"/>
      <c r="BS702" s="38"/>
      <c r="BT702" s="38"/>
      <c r="BU702" s="38"/>
      <c r="BV702" s="38"/>
      <c r="BW702" s="38"/>
      <c r="BX702" s="38"/>
      <c r="BY702" s="38"/>
      <c r="BZ702" s="38"/>
      <c r="CA702" s="38"/>
      <c r="CB702" s="38"/>
      <c r="CC702" s="38"/>
      <c r="CD702" s="38"/>
      <c r="CE702" s="38"/>
      <c r="CF702" s="38"/>
      <c r="CG702" s="38"/>
      <c r="CH702" s="38"/>
      <c r="CI702" s="38"/>
      <c r="CM702" s="1352"/>
      <c r="CN702" s="1352"/>
      <c r="CO702" s="1416"/>
      <c r="CP702" s="1418"/>
      <c r="CR702" s="1386"/>
      <c r="CS702" s="1355"/>
      <c r="CT702" s="1355"/>
      <c r="CU702" s="1375"/>
      <c r="CV702" s="1372"/>
      <c r="CW702" s="1372"/>
      <c r="CX702" s="1372"/>
      <c r="CY702" s="1487"/>
      <c r="CZ702" s="1487"/>
      <c r="DA702" s="1487"/>
      <c r="DC702" s="1355"/>
      <c r="DD702" s="1355"/>
      <c r="DE702" s="1375"/>
      <c r="DF702" s="1407"/>
      <c r="DG702" s="1372"/>
      <c r="DH702" s="1369"/>
      <c r="DK702" s="1484"/>
      <c r="DL702" s="1420"/>
      <c r="DN702" s="1403"/>
      <c r="DO702" s="1405"/>
      <c r="DP702" s="1355"/>
      <c r="DQ702" s="1405"/>
      <c r="DR702" s="1403"/>
      <c r="DS702" s="1489"/>
      <c r="DU702" s="1403"/>
      <c r="DV702" s="1405"/>
      <c r="DW702" s="1403"/>
      <c r="DX702" s="1403"/>
      <c r="DZ702" s="1481"/>
      <c r="EA702" s="1481"/>
      <c r="EC702" s="1482"/>
      <c r="ED702" s="1369"/>
      <c r="EE702" s="1372"/>
      <c r="EF702" s="1369"/>
      <c r="EG702" s="1369"/>
      <c r="EH702" s="1375"/>
      <c r="EI702" s="1375"/>
      <c r="EJ702" s="1363"/>
      <c r="EK702" s="1376"/>
      <c r="EL702" s="1376"/>
      <c r="EM702" s="1362"/>
      <c r="EN702" s="1362"/>
      <c r="EO702" s="1363"/>
      <c r="EP702" s="1363"/>
      <c r="EQ702" s="1363"/>
      <c r="ES702" s="1403"/>
      <c r="EU702" s="1488"/>
      <c r="EV702" s="1488"/>
      <c r="EW702" s="1488"/>
      <c r="EX702" s="1488"/>
      <c r="EY702" s="1488"/>
      <c r="EZ702" s="1414"/>
      <c r="FB702" s="1365"/>
      <c r="FD702" s="1355"/>
      <c r="FE702" s="1355"/>
      <c r="FF702" s="138"/>
      <c r="FI702" s="1357"/>
      <c r="FJ702" s="1357"/>
      <c r="FK702" s="1365"/>
      <c r="FL702" s="1365"/>
      <c r="FM702" s="1365"/>
      <c r="FO702" s="1361"/>
      <c r="FP702" s="1361"/>
      <c r="FQ702" s="1366"/>
      <c r="FR702" s="1361"/>
      <c r="FS702" s="1361"/>
      <c r="FT702" s="1361"/>
      <c r="FU702" s="1360"/>
      <c r="FW702" s="1352"/>
      <c r="FX702" s="1352"/>
      <c r="FY702" s="1352"/>
      <c r="FZ702" s="1352"/>
      <c r="GA702" s="1352"/>
      <c r="GB702" s="1352"/>
      <c r="GC702" s="1352"/>
      <c r="GD702" s="1352"/>
      <c r="GE702" s="759"/>
      <c r="GF702" s="1035"/>
      <c r="GG702" s="1385"/>
      <c r="GJ702" s="1034">
        <f>IF(GJ700=TRUE,0,GJ$16)</f>
        <v>0</v>
      </c>
      <c r="GL702" s="1034">
        <f>IF(GL700=TRUE,0,GL$16)</f>
        <v>36</v>
      </c>
      <c r="GM702" s="1034">
        <f>IF(GM700=TRUE,0,GM$16)</f>
        <v>35</v>
      </c>
      <c r="GN702" s="436"/>
      <c r="GO702" s="436"/>
      <c r="GP702" s="436"/>
      <c r="GQ702" s="436"/>
      <c r="GR702" s="436"/>
      <c r="HC702" s="1034">
        <f t="shared" ref="HC702:HH702" si="522">IF(HC700=TRUE,0,HC$16)</f>
        <v>19</v>
      </c>
      <c r="HD702" s="1034">
        <f t="shared" si="522"/>
        <v>18</v>
      </c>
      <c r="HE702" s="1034">
        <f t="shared" si="522"/>
        <v>17</v>
      </c>
      <c r="HF702" s="1034">
        <f t="shared" si="522"/>
        <v>16</v>
      </c>
      <c r="HG702" s="1034">
        <f t="shared" si="522"/>
        <v>0</v>
      </c>
      <c r="HH702" s="1034">
        <f t="shared" si="522"/>
        <v>0</v>
      </c>
      <c r="HI702" s="1034">
        <f>IF(HI700=TRUE,0,HI$16)</f>
        <v>13</v>
      </c>
      <c r="HJ702" s="1034">
        <f t="shared" ref="HJ702:HL702" si="523">IF(HJ700=TRUE,0,HJ$16)</f>
        <v>12</v>
      </c>
      <c r="HK702" s="1034">
        <f t="shared" si="523"/>
        <v>11</v>
      </c>
      <c r="HL702" s="1034">
        <f t="shared" si="523"/>
        <v>10</v>
      </c>
      <c r="HM702" s="1034">
        <f>IF(HM700=TRUE,0,HM$16)</f>
        <v>9</v>
      </c>
      <c r="HN702" s="1034">
        <f t="shared" ref="HN702:HR702" si="524">IF(HN700=TRUE,0,HN$16)</f>
        <v>0</v>
      </c>
      <c r="HO702" s="1034">
        <f t="shared" si="524"/>
        <v>0</v>
      </c>
      <c r="HP702" s="1034">
        <f t="shared" si="524"/>
        <v>0</v>
      </c>
      <c r="HQ702" s="1034">
        <f t="shared" si="524"/>
        <v>0</v>
      </c>
      <c r="HR702" s="1034">
        <f t="shared" si="524"/>
        <v>0</v>
      </c>
      <c r="HS702" s="1034">
        <f>IF(HS700=TRUE,0,HS$16)</f>
        <v>0</v>
      </c>
      <c r="HT702" s="1034">
        <f t="shared" ref="HT702" si="525">IF(HT700=TRUE,0,HT$16)</f>
        <v>0</v>
      </c>
      <c r="HU702" s="1034">
        <f>IF(HU700=TRUE,0,HU$16)</f>
        <v>1</v>
      </c>
      <c r="HW702" s="1034">
        <f>IF(GL700=FALSE,GL702,IF(GM700=FALSE,GM702,MAX(GJ702:HU702)))</f>
        <v>36</v>
      </c>
      <c r="HX702" s="1383"/>
      <c r="HY702" s="241" t="str">
        <f>VLOOKUP(HW702,_Error_Table,3,FALSE)</f>
        <v xml:space="preserve"> </v>
      </c>
      <c r="HZ702" s="241"/>
      <c r="IA702" s="1386"/>
      <c r="IB702" s="1380"/>
      <c r="IC702" s="1379"/>
      <c r="IF702" s="1380"/>
      <c r="IG702" s="1383"/>
      <c r="IH702" s="1383"/>
      <c r="II702" s="1383"/>
      <c r="IK702" s="1351"/>
      <c r="IL702" s="1351"/>
      <c r="IM702" s="1351"/>
      <c r="IN702" s="1351"/>
      <c r="IO702" s="1351"/>
      <c r="IP702" s="1351"/>
    </row>
    <row r="703" spans="1:250" s="82" customFormat="1" ht="5.0999999999999996" customHeight="1" thickTop="1" thickBot="1">
      <c r="B703" s="763"/>
      <c r="C703" s="1038"/>
      <c r="D703" s="1038"/>
      <c r="E703" s="1562"/>
      <c r="F703" s="1563"/>
      <c r="G703" s="1563"/>
      <c r="H703" s="1563"/>
      <c r="I703" s="1563"/>
      <c r="J703" s="1563"/>
      <c r="K703" s="1563"/>
      <c r="L703" s="1563"/>
      <c r="M703" s="1563"/>
      <c r="N703" s="1563"/>
      <c r="O703" s="1563"/>
      <c r="P703" s="1563"/>
      <c r="Q703" s="1563"/>
      <c r="R703" s="1563"/>
      <c r="S703" s="1563"/>
      <c r="T703" s="1563"/>
      <c r="U703" s="1563"/>
      <c r="V703" s="1563"/>
      <c r="W703" s="1563"/>
      <c r="X703" s="1563"/>
      <c r="Y703" s="1563"/>
      <c r="Z703" s="1563"/>
      <c r="AA703" s="1563"/>
      <c r="AB703" s="1563"/>
      <c r="AC703" s="1563"/>
      <c r="AD703" s="1563"/>
      <c r="AE703" s="1563"/>
      <c r="AF703" s="1563"/>
      <c r="AG703" s="1563"/>
      <c r="AH703" s="1563"/>
      <c r="AI703" s="1563"/>
      <c r="AJ703" s="1563"/>
      <c r="AK703" s="1563"/>
      <c r="AL703" s="1563"/>
      <c r="AM703" s="1563"/>
      <c r="AN703" s="1563"/>
      <c r="AO703" s="1563"/>
      <c r="AP703" s="1563"/>
      <c r="AQ703" s="1563"/>
      <c r="AR703" s="1563"/>
      <c r="AS703" s="1563"/>
      <c r="AT703" s="1564"/>
      <c r="AU703" s="1041"/>
      <c r="BC703" s="38"/>
      <c r="BD703" s="38"/>
      <c r="BE703" s="38"/>
      <c r="BF703" s="38"/>
      <c r="BG703" s="38"/>
      <c r="BH703" s="38"/>
      <c r="BI703" s="38"/>
      <c r="BJ703" s="38"/>
      <c r="BK703" s="38"/>
      <c r="BL703" s="38"/>
      <c r="BM703" s="38"/>
      <c r="BN703" s="38"/>
      <c r="BO703" s="38"/>
      <c r="BP703" s="38"/>
      <c r="BQ703" s="38"/>
      <c r="BR703" s="38"/>
      <c r="BS703" s="38"/>
      <c r="BT703" s="38"/>
      <c r="BU703" s="38"/>
      <c r="BV703" s="38"/>
      <c r="BW703" s="38"/>
      <c r="BX703" s="38"/>
      <c r="BY703" s="38"/>
      <c r="BZ703" s="38"/>
      <c r="CA703" s="38"/>
      <c r="CB703" s="38"/>
      <c r="CC703" s="38"/>
      <c r="CD703" s="38"/>
      <c r="CE703" s="38"/>
      <c r="CF703" s="38"/>
      <c r="CG703" s="38"/>
      <c r="CH703" s="38"/>
      <c r="CI703" s="38"/>
      <c r="CM703" s="749"/>
      <c r="CN703" s="749"/>
      <c r="CO703" s="1043"/>
      <c r="CP703" s="749"/>
      <c r="CS703" s="436"/>
      <c r="CT703" s="436"/>
      <c r="CU703" s="243"/>
      <c r="CV703" s="244"/>
      <c r="CW703" s="244"/>
      <c r="CX703" s="244"/>
      <c r="CY703" s="245"/>
      <c r="CZ703" s="245"/>
      <c r="DA703" s="245"/>
      <c r="DC703" s="750"/>
      <c r="DD703" s="751"/>
      <c r="DE703" s="752"/>
      <c r="DF703" s="753"/>
      <c r="DG703" s="754"/>
      <c r="DH703" s="754"/>
      <c r="DK703" s="244"/>
      <c r="DL703" s="750"/>
      <c r="DN703" s="750"/>
      <c r="DO703" s="755"/>
      <c r="DP703" s="436"/>
      <c r="DQ703" s="750"/>
      <c r="DR703" s="750"/>
      <c r="DS703" s="750"/>
      <c r="DU703" s="750"/>
      <c r="DV703" s="750"/>
      <c r="DW703" s="750"/>
      <c r="DX703" s="750"/>
      <c r="DZ703" s="756"/>
      <c r="EA703" s="756"/>
      <c r="EC703" s="754"/>
      <c r="ED703" s="754"/>
      <c r="EE703" s="244"/>
      <c r="EF703" s="754"/>
      <c r="EG703" s="754"/>
      <c r="EH703" s="243"/>
      <c r="EI703" s="243"/>
      <c r="EJ703" s="752"/>
      <c r="EK703" s="757"/>
      <c r="EL703" s="757"/>
      <c r="EM703" s="758"/>
      <c r="EN703" s="758"/>
      <c r="EO703" s="752"/>
      <c r="EP703" s="752"/>
      <c r="EQ703" s="752"/>
      <c r="ES703" s="750"/>
      <c r="EU703" s="436"/>
      <c r="EV703" s="436"/>
      <c r="EW703" s="436"/>
      <c r="EX703" s="436"/>
      <c r="EY703" s="436"/>
      <c r="EZ703" s="436"/>
      <c r="FB703" s="643"/>
      <c r="FD703" s="436"/>
      <c r="FE703" s="436"/>
      <c r="FF703" s="436"/>
      <c r="FO703" s="750"/>
      <c r="FP703" s="436"/>
      <c r="FQ703" s="436"/>
      <c r="FR703" s="750"/>
      <c r="FS703" s="750"/>
      <c r="FW703" s="749"/>
      <c r="FX703" s="749"/>
      <c r="FY703" s="749"/>
      <c r="FZ703" s="749"/>
      <c r="GA703" s="749"/>
      <c r="GB703" s="749"/>
      <c r="GC703" s="749"/>
      <c r="GD703" s="749"/>
      <c r="GE703" s="751"/>
      <c r="GF703" s="750"/>
      <c r="GG703" s="750"/>
    </row>
    <row r="704" spans="1:250" s="82" customFormat="1" ht="14.95" customHeight="1" thickTop="1" thickBot="1">
      <c r="B704" s="1421" t="str">
        <f>HY707</f>
        <v xml:space="preserve"> </v>
      </c>
      <c r="C704" s="1422">
        <f>C699+1</f>
        <v>129</v>
      </c>
      <c r="D704" s="1423"/>
      <c r="E704" s="1424" t="s">
        <v>242</v>
      </c>
      <c r="F704" s="1425"/>
      <c r="G704" s="1426"/>
      <c r="H704" s="1427"/>
      <c r="I704" s="1427"/>
      <c r="J704" s="1427"/>
      <c r="K704" s="1427"/>
      <c r="L704" s="1427"/>
      <c r="M704" s="1427"/>
      <c r="N704" s="1427"/>
      <c r="O704" s="1427"/>
      <c r="P704" s="1427"/>
      <c r="Q704" s="1427"/>
      <c r="R704" s="1427"/>
      <c r="S704" s="1428" t="s">
        <v>283</v>
      </c>
      <c r="T704" s="668" t="s">
        <v>190</v>
      </c>
      <c r="U704" s="1430" t="s">
        <v>186</v>
      </c>
      <c r="V704" s="1431"/>
      <c r="W704" s="1431"/>
      <c r="X704" s="1431"/>
      <c r="Y704" s="1431"/>
      <c r="Z704" s="1431"/>
      <c r="AA704" s="1431"/>
      <c r="AB704" s="1047" t="str">
        <f>IFERROR(IF(__Retrofit_TI_NC=0,VLOOKUP(U705,Fixtures_Existing_List,2,FALSE),ROUND(N706*R706/T706,10)),"")</f>
        <v/>
      </c>
      <c r="AC704" s="1039" t="str">
        <f>IFERROR(IF(__Retrofit_TI_NC=0,ROUND(T705*AB704*N705*R705/1000,0),IF(CN704="Interior",N706*R706*R705*N705*_C406_reduction/1000,N706*R706*R705*N705/1000)),"")</f>
        <v/>
      </c>
      <c r="AD704" s="1040" t="str">
        <f>IFERROR(IF(C$36=0,ROUND(T705*AB704/1000,2),N706*R706/1000),"")</f>
        <v/>
      </c>
      <c r="AE704" s="1044" t="s">
        <v>190</v>
      </c>
      <c r="AF704" s="1432" t="str">
        <f>IF(__Retrofit_TI_NC=2,CONCATENATE("Code min = ",DD704),IF(__Retrofit_TI_NC=1,"Emter what you think the existing control was"," Control"))</f>
        <v xml:space="preserve"> Control</v>
      </c>
      <c r="AG704" s="1432"/>
      <c r="AH704" s="1432"/>
      <c r="AI704" s="1432"/>
      <c r="AJ704" s="1433">
        <f>DF704</f>
        <v>0</v>
      </c>
      <c r="AK704" s="1435" t="str">
        <f>IFERROR(ROUND(AJ704*AC704,0),"")</f>
        <v/>
      </c>
      <c r="AL704" s="1437">
        <f>IFERROR(IF(HW704=FALSE,0,AC704-AK704),0)</f>
        <v>0</v>
      </c>
      <c r="AM704" s="1439">
        <f>AL704-AL706</f>
        <v>0</v>
      </c>
      <c r="AN704" s="1440"/>
      <c r="AO704" s="1445">
        <f>IFERROR(IF(HW704=FALSE,0,(T706*U707)+(AE706*AF707)),0)</f>
        <v>0</v>
      </c>
      <c r="AP704" s="1445"/>
      <c r="AQ704" s="1446"/>
      <c r="AR704" s="1451" t="s">
        <v>157</v>
      </c>
      <c r="AS704" s="1454">
        <f>IF(AR704="Yes",1,0)</f>
        <v>1</v>
      </c>
      <c r="AT704" s="1457" t="str">
        <f>IF(OR(DN704=4,DN704=5,DN704=6,DN704=12),CONCATENATE("$",IF(GD704=TRUE,Lookup!$B$11,Lookup!$B$2)," /lamp"),CONCATENATE(EA704,"/ kWh"))</f>
        <v>0/ kWh</v>
      </c>
      <c r="AU704" s="516"/>
      <c r="AV704" s="1478">
        <f>IFERROR(IF(GI705=TRUE,(AB707*T706)/R706,0),"NA")</f>
        <v>0</v>
      </c>
      <c r="AW704" s="1478" t="str">
        <f>IFERROR(N706*_C406_reduction,"NA")</f>
        <v>NA</v>
      </c>
      <c r="BC704" s="38"/>
      <c r="BD704" s="38"/>
      <c r="BE704" s="38"/>
      <c r="BF704" s="38"/>
      <c r="BG704" s="38"/>
      <c r="BH704" s="38"/>
      <c r="BI704" s="38"/>
      <c r="BJ704" s="38"/>
      <c r="BK704" s="38"/>
      <c r="BL704" s="38"/>
      <c r="BM704" s="38"/>
      <c r="BN704" s="38"/>
      <c r="BO704" s="38"/>
      <c r="BP704" s="38"/>
      <c r="BQ704" s="38"/>
      <c r="BR704" s="38"/>
      <c r="BS704" s="38"/>
      <c r="BT704" s="38"/>
      <c r="BU704" s="38"/>
      <c r="BV704" s="38"/>
      <c r="BW704" s="38"/>
      <c r="BX704" s="38"/>
      <c r="BY704" s="38"/>
      <c r="BZ704" s="38"/>
      <c r="CA704" s="38"/>
      <c r="CB704" s="38"/>
      <c r="CC704" s="38"/>
      <c r="CD704" s="38"/>
      <c r="CE704" s="38"/>
      <c r="CF704" s="38"/>
      <c r="CG704" s="38"/>
      <c r="CH704" s="38"/>
      <c r="CI704" s="38"/>
      <c r="CM704" s="1352" t="str">
        <f>N705</f>
        <v/>
      </c>
      <c r="CN704" s="1352" t="str">
        <f>IFERROR(VLOOKUP(G705,_Lookup_Heat_Type_Table_New,3,FALSE),"")</f>
        <v/>
      </c>
      <c r="CO704" s="1415" t="str">
        <f>CN704</f>
        <v/>
      </c>
      <c r="CP704" s="1417" t="e">
        <f>VLOOKUP(G706,'Space Table'!$B$3:$L$160,9,FALSE)</f>
        <v>#N/A</v>
      </c>
      <c r="CR704" s="1386" t="s">
        <v>283</v>
      </c>
      <c r="CS704" s="1353">
        <f>IF(HW704=TRUE,T705,0)</f>
        <v>0</v>
      </c>
      <c r="CT704" s="1353" t="str">
        <f>IF(HW704=TRUE,U705,"")</f>
        <v/>
      </c>
      <c r="CU704" s="1353"/>
      <c r="CV704" s="1370">
        <f>IF(HW704=TRUE,AB704,0)</f>
        <v>0</v>
      </c>
      <c r="CW704" s="1370">
        <f>IF(HW704=TRUE,AC704,0)</f>
        <v>0</v>
      </c>
      <c r="CX704" s="1370">
        <f>IFERROR(IF(HW704=TRUE,CW704-CW706,0),0)</f>
        <v>0</v>
      </c>
      <c r="CY704" s="1485">
        <f>IF(HW704=TRUE,AD704,0)</f>
        <v>0</v>
      </c>
      <c r="CZ704" s="1485">
        <f>IF(HW704=TRUE,AD707,0)</f>
        <v>0</v>
      </c>
      <c r="DA704" s="1485">
        <f>IFERROR(CY704-CZ704,0)</f>
        <v>0</v>
      </c>
      <c r="DC704" s="1353">
        <f>IF(HW704=TRUE,AE705,0)</f>
        <v>0</v>
      </c>
      <c r="DD704" s="1460">
        <f>IF(__Retrofit_TI_NC=2,IF(CN704="Exterior",O707,FM704),FK704)</f>
        <v>0</v>
      </c>
      <c r="DE704" s="1353"/>
      <c r="DF704" s="1406">
        <f>IFERROR(IF(FL704=3,IK704,IF(FL704=4,IL704,IF(FL704=5,IM704,IF(FL704=6,IN704,IF(FL704=7,IO704,IF(FL704=8,IP704,0)))))),0)</f>
        <v>0</v>
      </c>
      <c r="DG704" s="1370">
        <f>IF(HW704=TRUE,AK704,0)</f>
        <v>0</v>
      </c>
      <c r="DH704" s="1369">
        <f>IFERROR(IF(HW704=TRUE,DG706-DG704,0),0)</f>
        <v>0</v>
      </c>
      <c r="DJ704" s="1483">
        <f>IFERROR(CW704-DG704,0)</f>
        <v>0</v>
      </c>
      <c r="DL704" s="1419">
        <f>DJ704-DK706</f>
        <v>0</v>
      </c>
      <c r="DN704" s="1403" t="str">
        <f>IFERROR(IF(AND(OR(FY704=4,FY704=5,FY704=6),OR(GB704=4,GB704=5,GB704=6)),FY704+8,VLOOKUP(CT706,Fixtures!R$31:Y$78,8,FALSE)),"")</f>
        <v/>
      </c>
      <c r="DO704" s="1404" t="str">
        <f>DN704</f>
        <v/>
      </c>
      <c r="DP704" s="1353" t="str">
        <f>IFERROR(VLOOKUP(DD706,Lookup!AU$3:AV$15,2,FALSE),"")</f>
        <v/>
      </c>
      <c r="DQ704" s="1404" t="str">
        <f>IF(DP704=7,"LLLC","")</f>
        <v/>
      </c>
      <c r="DR704" s="1403">
        <f>IFERROR(IF(OR(DN704=4,DN704=5,DN704=6,DN704=12,DN704=13,DN704=14),VLOOKUP(CT706,Fixtures!DN$27:EG$77,19,FALSE),1)*CS706,0)</f>
        <v>0</v>
      </c>
      <c r="DS704" s="1489">
        <f>IF(DP704=7,IF(DD704=DD706,0,DC706),0)</f>
        <v>0</v>
      </c>
      <c r="DU704" s="1403" t="str">
        <f>IFERROR(IF(EW704&lt;EW706,"Yes","No"),"")</f>
        <v/>
      </c>
      <c r="DV704" s="1404" t="str">
        <f>DU704</f>
        <v/>
      </c>
      <c r="DW704" s="1403">
        <f>IF(DU704="Yes",DC706,0)</f>
        <v>0</v>
      </c>
      <c r="DX704" s="1403">
        <f>DW704-DS704</f>
        <v>0</v>
      </c>
      <c r="DZ704" s="1481">
        <f>IFERROR(VLOOKUP(DN704,Lookup!AN$3:AO$16,2,FALSE),0)</f>
        <v>0</v>
      </c>
      <c r="EA704" s="1481">
        <f>IF(HW704=FALSE,0,IF(DU704="Yes",DZ704+Lookup!B$6,DZ704))</f>
        <v>0</v>
      </c>
      <c r="EC704" s="1482">
        <f>IF(HW704=TRUE,DJ704,0)</f>
        <v>0</v>
      </c>
      <c r="ED704" s="1369">
        <f>IF(HW704=TRUE,CW706,0)</f>
        <v>0</v>
      </c>
      <c r="EE704" s="1370">
        <f>IFERROR(EC704-ED704,0)</f>
        <v>0</v>
      </c>
      <c r="EF704" s="1369">
        <f>IF(HW704=TRUE,DG706,0)</f>
        <v>0</v>
      </c>
      <c r="EG704" s="1369">
        <f>IFERROR(EC704-ED704+EF704,0)</f>
        <v>0</v>
      </c>
      <c r="EH704" s="1373">
        <f>IF(HW704=TRUE,CS706*CU706,0)</f>
        <v>0</v>
      </c>
      <c r="EI704" s="1373">
        <f>IF(HW704=TRUE,DC706*DE706,0)</f>
        <v>0</v>
      </c>
      <c r="EJ704" s="1363">
        <f>AO704</f>
        <v>0</v>
      </c>
      <c r="EK704" s="1376" t="str">
        <f>IFERROR(IF(HW704=TRUE,VLOOKUP(DN704,Lookup!AN$3:AP$16,3,FALSE)*DR704,""),0)</f>
        <v/>
      </c>
      <c r="EL704" s="1376">
        <f>IF(HW704=TRUE,DW704*Lookup!AP$12,0)</f>
        <v>0</v>
      </c>
      <c r="EM704" s="1362">
        <f>IFERROR(IF(HW704=TRUE,EK704/EM$33,0),0)</f>
        <v>0</v>
      </c>
      <c r="EN704" s="1362">
        <f>IF(HW704=TRUE,EL704/EN$33,0)</f>
        <v>0</v>
      </c>
      <c r="EO704" s="1363">
        <f>IF(HW704=TRUE,EQ$33*EM704,0)</f>
        <v>0</v>
      </c>
      <c r="EP704" s="1363">
        <f>IF(HW704=TRUE,EQ$33*EN704,0)</f>
        <v>0</v>
      </c>
      <c r="EQ704" s="1363">
        <f>EO704+EP704</f>
        <v>0</v>
      </c>
      <c r="ES704" s="1403">
        <f>IF(G704="",0,1)</f>
        <v>0</v>
      </c>
      <c r="EU704" s="1410" t="e">
        <f>VLOOKUP(CP706,'Space Table'!$B$3:$L$160,8,FALSE)</f>
        <v>#N/A</v>
      </c>
      <c r="EV704" s="1410" t="e">
        <f>IF(EY704="Yes",VLOOKUP(DD704,Lookup_Control_Type_Table2,4,FALSE),VLOOKUP(DD704,Lookup_Control_Type_Table2,3,FALSE))</f>
        <v>#N/A</v>
      </c>
      <c r="EW704" s="1410" t="e">
        <f>VLOOKUP(DD704,Lookup!AU$3:AV$15,2,FALSE)</f>
        <v>#N/A</v>
      </c>
      <c r="EX704" s="1410" t="e">
        <f>VLOOKUP(EU704,Lookup_Control_Type_Table,2,FALSE)</f>
        <v>#N/A</v>
      </c>
      <c r="EY704" s="1410" t="e">
        <f>VLOOKUP(CP706,'Space Table'!$B$3:$L$160,7,FALSE)</f>
        <v>#N/A</v>
      </c>
      <c r="EZ704" s="1412" t="b">
        <f>ISNUMBER(SEARCH("TLED",U706))</f>
        <v>0</v>
      </c>
      <c r="FB704" s="1365" t="str">
        <f>CONCATENATE(CN704," - ",DD704)</f>
        <v xml:space="preserve"> - 0</v>
      </c>
      <c r="FD704" s="1353" t="str">
        <f>VLOOKUP(CT706,Fixtures!DN$27:EZ$77,38,FALSE)</f>
        <v/>
      </c>
      <c r="FE704" s="1353">
        <f>IFERROR(FD704*EE704,0)</f>
        <v>0</v>
      </c>
      <c r="FF704" s="138"/>
      <c r="FI704" s="1356" t="str">
        <f>IF(CN704="Exterior","Not Daylighted",G707)</f>
        <v>Not Daylighted</v>
      </c>
      <c r="FJ704" s="1356">
        <f>VLOOKUP(FI704,_Daylight_Table_Codes,2,FALSE)</f>
        <v>0</v>
      </c>
      <c r="FK704" s="1365">
        <f>IF(__Retrofit_TI_NC=2,VLOOKUP(G706,'Space Table'!$B$3:$L$160,11,FALSE),AF705)</f>
        <v>0</v>
      </c>
      <c r="FL704" s="1365" t="e">
        <f>VLOOKUP(FK704,_Control_Table,2,FALSE)</f>
        <v>#N/A</v>
      </c>
      <c r="FM704" s="1365" t="e">
        <f>IF(AND(FP704&gt;0,FK704="Occupancy Sensor"),"Daylight + Occupancy",IF(AND(FP704&gt;0,FL704&lt;4),"Interior Daylight Dimming",FK704))</f>
        <v>#N/A</v>
      </c>
      <c r="FO704" s="1364">
        <f>IF(CO704="Interior",VLOOKUP(CP704,Control_Savings_Interior,5,FALSE),0)</f>
        <v>0</v>
      </c>
      <c r="FP704" s="1361">
        <f>IF(CN704="Exterior",0,IF(FJ704=2,0.5,IF(OR(FJ704=1,FJ704=3),1,0)))</f>
        <v>0</v>
      </c>
      <c r="FQ704" s="1366"/>
      <c r="FR704" s="1367"/>
      <c r="FS704" s="1364"/>
      <c r="FT704" s="1367"/>
      <c r="FU704" s="1360"/>
      <c r="FW704" s="1352" t="str">
        <f>IFERROR(VLOOKUP(U705,_Exist_Fixture_Table,3,FALSE),"")</f>
        <v/>
      </c>
      <c r="FX704" s="1352" t="str">
        <f>VLOOKUP(CT704,_Exist_Fixture_Table,4,FALSE)</f>
        <v/>
      </c>
      <c r="FY704" s="1352">
        <f>IFERROR(VLOOKUP(FX704,Lookup!AM$6:AN$8,2,FALSE),0)</f>
        <v>0</v>
      </c>
      <c r="FZ704" s="1352" t="b">
        <f>IFERROR(IF(OR(GB704=4,GB704=5,GB704=6),TRUE,FALSE),"")</f>
        <v>0</v>
      </c>
      <c r="GA704" s="1352" t="str">
        <f>IFERROR(VLOOKUP(GB704,FY$6:FZ$10,2,FALSE),"")</f>
        <v/>
      </c>
      <c r="GB704" s="1352" t="str">
        <f>VLOOKUP(CT706,Fixtures!R$31:Y$78,8,FALSE)</f>
        <v/>
      </c>
      <c r="GC704" s="1352">
        <f>IF(AND(FW704=TRUE,FZ704=TRUE,OR(DN704=12,DN704=13,DN704=14)),FY704+8,0)</f>
        <v>0</v>
      </c>
      <c r="GD704" s="1352" t="b">
        <f>IF(OR(GC704=12,GC704=13,GC704=14),TRUE,FALSE)</f>
        <v>0</v>
      </c>
      <c r="GE704" s="759" t="b">
        <f>IF(ISNUMBER(SEARCH("TLED",U705)),TRUE,FALSE)</f>
        <v>0</v>
      </c>
      <c r="GF704" s="1035" t="str">
        <f>IFERROR(VLOOKUP(U705,Fixtures!BM$93:BR$142,6,FALSE),"")</f>
        <v/>
      </c>
      <c r="GG704" s="1385" t="b">
        <f>IF(OR(GE704=FALSE,GE706=FALSE),TRUE,IF(GF704-GF706&lt;5,FALSE,TRUE))</f>
        <v>1</v>
      </c>
      <c r="GK704" s="1034">
        <f>GL704</f>
        <v>0</v>
      </c>
      <c r="GL704" s="1034">
        <f>IF(G704="",0,1)</f>
        <v>0</v>
      </c>
      <c r="GM704" s="1034">
        <f>SUM(GN704:HB704)</f>
        <v>2</v>
      </c>
      <c r="GN704" s="1034">
        <f>IF(G705="",0,1)</f>
        <v>0</v>
      </c>
      <c r="GO704" s="1034">
        <f>IF(G706="",0,1)</f>
        <v>0</v>
      </c>
      <c r="GP704" s="1034">
        <f>IF(R705="",0,1)</f>
        <v>0</v>
      </c>
      <c r="GQ704" s="1034">
        <f>IF(__Retrofit_TI_NC=0,1,IF(R706="",0,1))</f>
        <v>1</v>
      </c>
      <c r="GR704" s="1034">
        <f>IF(CN704="Exterior",1,IF(G707="",0,1))</f>
        <v>1</v>
      </c>
      <c r="GS704" s="1034">
        <f>IF(__Retrofit_TI_NC&lt;&gt;0,1,IF(T705="",0,1))</f>
        <v>0</v>
      </c>
      <c r="GT704" s="1034">
        <f>IF(__Retrofit_TI_NC&lt;&gt;0,1,IF(U705="",0,1))</f>
        <v>0</v>
      </c>
      <c r="GU704" s="1034">
        <f>IF(T706="",0,1)</f>
        <v>0</v>
      </c>
      <c r="GV704" s="1034">
        <f>IF(U706="",0,1)</f>
        <v>0</v>
      </c>
      <c r="GW704" s="1034">
        <f>IF(__Retrofit_TI_NC=2,1,IF(U707="",0,1))</f>
        <v>0</v>
      </c>
      <c r="GX704" s="1034">
        <f>IF(__Retrofit_TI_NC&lt;&gt;0,1,IF(AE705="",0,1))</f>
        <v>0</v>
      </c>
      <c r="GY704" s="1034">
        <f>IF(__Retrofit_TI_NC&lt;&gt;0,1,IF(AF705="",0,1))</f>
        <v>0</v>
      </c>
      <c r="GZ704" s="1034">
        <f>IF(AE706="",0,1)</f>
        <v>0</v>
      </c>
      <c r="HA704" s="1034">
        <f>IF(AF706="",0,1)</f>
        <v>0</v>
      </c>
      <c r="HB704" s="1034">
        <f>IF(__Retrofit_TI_NC=2,1,IF(AF707="",0,1))</f>
        <v>0</v>
      </c>
      <c r="HV704" s="436"/>
      <c r="HW704" s="1384" t="b">
        <f>IF(OR(HW707=0,HW707=HT$16,HW707=HS$16,HW707=HU$16),TRUE,FALSE)</f>
        <v>0</v>
      </c>
      <c r="HX704" s="1377" t="b">
        <f>HW704</f>
        <v>0</v>
      </c>
      <c r="HY704" s="436"/>
      <c r="HZ704" s="436"/>
      <c r="IA704" s="1386" t="b">
        <f>IF(MAX(GJ707:HP707)&gt;5,FALSE,TRUE)</f>
        <v>0</v>
      </c>
      <c r="IB704" s="1380">
        <f>IF(IA704=TRUE,AC704,0)</f>
        <v>0</v>
      </c>
      <c r="IC704" s="1380">
        <f>IB704-IB706</f>
        <v>0</v>
      </c>
      <c r="IF704" s="1380" t="e">
        <f>ROUND(T705*VLOOKUP(U705,Fixtures_Existing_List,2,FALSE)*N705*R705/1000,0)</f>
        <v>#N/A</v>
      </c>
      <c r="IG704" s="1381" t="e">
        <f>IF704-IF706</f>
        <v>#N/A</v>
      </c>
      <c r="IH704" s="1384" t="e">
        <f>ROUND(IF(CN704="Interior",N706*R706*R705*N705*_C406_reduction/1000,N706*R706*R705*N705/1000),0)</f>
        <v>#N/A</v>
      </c>
      <c r="II704" s="1384" t="e">
        <f>IH704-IH706</f>
        <v>#N/A</v>
      </c>
      <c r="IK704" s="1351" t="e">
        <f>IF($CO704="interior",IL704/2,VLOOKUP($CP704,Control_Savings_Exterior,IK$30,FALSE))</f>
        <v>#N/A</v>
      </c>
      <c r="IL704" s="1351" t="e">
        <f>IF($CO704="interior",VLOOKUP($CP704,Control_Savings_Interior,IL$30,FALSE),VLOOKUP($CP704,Control_Savings_Exterior,IL$30,FALSE))</f>
        <v>#N/A</v>
      </c>
      <c r="IM704" s="1351" t="e">
        <f>IF($CO704="interior",IF(R705&gt;FO$37,(IM$28*(FO$37/R705)),IM$28)*FP704,VLOOKUP($CP704,Control_Savings_Exterior,IM$30,FALSE))</f>
        <v>#N/A</v>
      </c>
      <c r="IN704" s="1351" t="e">
        <f>IF($CO704="interior",ROUND(((1-IL704)*IM704)+IL704,2),VLOOKUP($CP704,Control_Savings_Exterior,IN$30,FALSE))</f>
        <v>#N/A</v>
      </c>
      <c r="IO704" s="1351" t="e">
        <f>IF($CO704="interior", ROUND(((1-IL704)*(IM704*(1-IP$28)))+IP704,2), VLOOKUP($CP704,Control_Savings_Exterior,IO$30,FALSE))</f>
        <v>#N/A</v>
      </c>
      <c r="IP704" s="1351">
        <f>IF($CO704="interior",ROUND(((1-IL704)*IP$28)+IL704,2),0)</f>
        <v>0</v>
      </c>
    </row>
    <row r="705" spans="1:250" s="82" customFormat="1" ht="14.95" customHeight="1" thickTop="1" thickBot="1">
      <c r="B705" s="1421"/>
      <c r="C705" s="1422"/>
      <c r="D705" s="1423"/>
      <c r="E705" s="1393" t="s">
        <v>244</v>
      </c>
      <c r="F705" s="1394"/>
      <c r="G705" s="1395"/>
      <c r="H705" s="1395"/>
      <c r="I705" s="1395"/>
      <c r="J705" s="1395"/>
      <c r="K705" s="1395"/>
      <c r="L705" s="1395"/>
      <c r="M705" s="509" t="e">
        <f>IF(__Retrofit_TI_NC&lt;&gt;0,IF(VLOOKUP(G706,'Space Table'!$B$3:$L$160,3,FALSE)&gt;0,1,0),IF(__Retrofit_TI_NC=VLOOKUP(G706,'Space Table'!$B$3:$L$160,3,FALSE),1,0))</f>
        <v>#N/A</v>
      </c>
      <c r="N705" s="509" t="str">
        <f>IFERROR(VLOOKUP(G705,_Lookup_Heat_Type_Table_New,2,FALSE),"")</f>
        <v/>
      </c>
      <c r="O705" s="509">
        <f>IF(__Retrofit_TI_NC=1,CONCATENATE("TI ",G705),IF(__Retrofit_TI_NC=2,CONCATENATE("NC ",G705),G705))</f>
        <v>0</v>
      </c>
      <c r="P705" s="1396" t="s">
        <v>352</v>
      </c>
      <c r="Q705" s="1396"/>
      <c r="R705" s="673"/>
      <c r="S705" s="1429"/>
      <c r="T705" s="675"/>
      <c r="U705" s="1496"/>
      <c r="V705" s="1497"/>
      <c r="W705" s="1497"/>
      <c r="X705" s="1497"/>
      <c r="Y705" s="1497"/>
      <c r="Z705" s="1497"/>
      <c r="AA705" s="1497"/>
      <c r="AB705" s="1497"/>
      <c r="AC705" s="1497"/>
      <c r="AD705" s="1498"/>
      <c r="AE705" s="675"/>
      <c r="AF705" s="1397"/>
      <c r="AG705" s="1397"/>
      <c r="AH705" s="1397"/>
      <c r="AI705" s="1397"/>
      <c r="AJ705" s="1434"/>
      <c r="AK705" s="1436"/>
      <c r="AL705" s="1438"/>
      <c r="AM705" s="1441"/>
      <c r="AN705" s="1442"/>
      <c r="AO705" s="1447"/>
      <c r="AP705" s="1447"/>
      <c r="AQ705" s="1448"/>
      <c r="AR705" s="1452"/>
      <c r="AS705" s="1455"/>
      <c r="AT705" s="1458"/>
      <c r="AU705" s="516"/>
      <c r="AV705" s="1479"/>
      <c r="AW705" s="1479"/>
      <c r="BC705" s="38"/>
      <c r="BD705" s="38"/>
      <c r="BE705" s="38"/>
      <c r="BF705" s="38"/>
      <c r="BG705" s="38"/>
      <c r="BH705" s="38"/>
      <c r="BI705" s="38"/>
      <c r="BJ705" s="38"/>
      <c r="BK705" s="38"/>
      <c r="BL705" s="38"/>
      <c r="BM705" s="38"/>
      <c r="BN705" s="38"/>
      <c r="BO705" s="38"/>
      <c r="BP705" s="38"/>
      <c r="BQ705" s="38"/>
      <c r="BR705" s="38"/>
      <c r="BS705" s="38"/>
      <c r="BT705" s="38"/>
      <c r="BU705" s="38"/>
      <c r="BV705" s="38"/>
      <c r="BW705" s="38"/>
      <c r="BX705" s="38"/>
      <c r="BY705" s="38"/>
      <c r="BZ705" s="38"/>
      <c r="CA705" s="38"/>
      <c r="CB705" s="38"/>
      <c r="CC705" s="38"/>
      <c r="CD705" s="38"/>
      <c r="CE705" s="38"/>
      <c r="CF705" s="38"/>
      <c r="CG705" s="38"/>
      <c r="CH705" s="38"/>
      <c r="CI705" s="38"/>
      <c r="CM705" s="1352"/>
      <c r="CN705" s="1352"/>
      <c r="CO705" s="1416"/>
      <c r="CP705" s="1418"/>
      <c r="CR705" s="1386"/>
      <c r="CS705" s="1355"/>
      <c r="CT705" s="1355"/>
      <c r="CU705" s="1355"/>
      <c r="CV705" s="1372"/>
      <c r="CW705" s="1372"/>
      <c r="CX705" s="1371"/>
      <c r="CY705" s="1486"/>
      <c r="CZ705" s="1486"/>
      <c r="DA705" s="1486"/>
      <c r="DC705" s="1355"/>
      <c r="DD705" s="1461"/>
      <c r="DE705" s="1355"/>
      <c r="DF705" s="1407"/>
      <c r="DG705" s="1372"/>
      <c r="DH705" s="1369"/>
      <c r="DJ705" s="1484"/>
      <c r="DL705" s="1419"/>
      <c r="DN705" s="1403"/>
      <c r="DO705" s="1405"/>
      <c r="DP705" s="1354"/>
      <c r="DQ705" s="1405"/>
      <c r="DR705" s="1403"/>
      <c r="DS705" s="1489"/>
      <c r="DU705" s="1403"/>
      <c r="DV705" s="1405"/>
      <c r="DW705" s="1403"/>
      <c r="DX705" s="1403"/>
      <c r="DZ705" s="1481"/>
      <c r="EA705" s="1481"/>
      <c r="EC705" s="1482"/>
      <c r="ED705" s="1369"/>
      <c r="EE705" s="1371"/>
      <c r="EF705" s="1369"/>
      <c r="EG705" s="1369"/>
      <c r="EH705" s="1374"/>
      <c r="EI705" s="1374"/>
      <c r="EJ705" s="1363"/>
      <c r="EK705" s="1376"/>
      <c r="EL705" s="1376"/>
      <c r="EM705" s="1362"/>
      <c r="EN705" s="1362"/>
      <c r="EO705" s="1363"/>
      <c r="EP705" s="1363"/>
      <c r="EQ705" s="1363"/>
      <c r="ES705" s="1403"/>
      <c r="EU705" s="1411"/>
      <c r="EV705" s="1411"/>
      <c r="EW705" s="1411"/>
      <c r="EX705" s="1411"/>
      <c r="EY705" s="1411"/>
      <c r="EZ705" s="1413"/>
      <c r="FB705" s="1365"/>
      <c r="FD705" s="1354"/>
      <c r="FE705" s="1354"/>
      <c r="FF705" s="138"/>
      <c r="FI705" s="1357"/>
      <c r="FJ705" s="1357"/>
      <c r="FK705" s="1365"/>
      <c r="FL705" s="1365"/>
      <c r="FM705" s="1365"/>
      <c r="FO705" s="1361"/>
      <c r="FP705" s="1361"/>
      <c r="FQ705" s="1366"/>
      <c r="FR705" s="1368"/>
      <c r="FS705" s="1361"/>
      <c r="FT705" s="1368"/>
      <c r="FU705" s="1360"/>
      <c r="FW705" s="1352"/>
      <c r="FX705" s="1352"/>
      <c r="FY705" s="1352"/>
      <c r="FZ705" s="1352"/>
      <c r="GA705" s="1352"/>
      <c r="GB705" s="1352"/>
      <c r="GC705" s="1352"/>
      <c r="GD705" s="1352"/>
      <c r="GE705" s="759"/>
      <c r="GF705" s="1035"/>
      <c r="GG705" s="1385"/>
      <c r="GI705" s="1384" t="b">
        <f>IF(AND(GL705=TRUE,GM705=TRUE),TRUE,FALSE)</f>
        <v>0</v>
      </c>
      <c r="GJ705" s="1379" t="b">
        <f>IFERROR(IF(__Retrofit_TI_NC=2,TRUE,IF(AR704="Yes",TRUE,FALSE)),FALSE)</f>
        <v>1</v>
      </c>
      <c r="GL705" s="1379" t="b">
        <f>IFERROR(IF(GL704=1,TRUE,FALSE),FALSE)</f>
        <v>0</v>
      </c>
      <c r="GM705" s="1379" t="b">
        <f>IFERROR(IF(GM704=GM$14,TRUE,FALSE),FALSE)</f>
        <v>0</v>
      </c>
      <c r="HC705" s="1379" t="b">
        <f>IFERROR(IF(M705=1,TRUE,FALSE),FALSE)</f>
        <v>0</v>
      </c>
      <c r="HD705" s="1379" t="b">
        <f>IFERROR(IF(M706=1,TRUE,FALSE),FALSE)</f>
        <v>0</v>
      </c>
      <c r="HE705" s="1379" t="b">
        <f>IFERROR(IF(__Retrofit_TI_NC&lt;&gt;0,TRUE,IFERROR(IF(VLOOKUP(U705,Fixtures_Existing_List,2,FALSE)&lt;&gt;"",TRUE,FALSE),FALSE)),FALSE)</f>
        <v>0</v>
      </c>
      <c r="HF705" s="1379" t="b">
        <f>IFERROR(IF(VLOOKUP(U706,Fixtures_Proposed_List,2,FALSE)&lt;&gt;"",TRUE,FALSE),FALSE)</f>
        <v>0</v>
      </c>
      <c r="HG705" s="1379" t="b">
        <f>IF(AND(__Retrofit_TI_NC=2,EZ704=TRUE),FALSE,TRUE)</f>
        <v>1</v>
      </c>
      <c r="HH705" s="1379" t="b">
        <f>GG704</f>
        <v>1</v>
      </c>
      <c r="HI705" s="1384" t="b">
        <f>IF(ISERROR(MATCH(FB704,_Control_Match[],0))=TRUE,FALSE,TRUE)</f>
        <v>0</v>
      </c>
      <c r="HJ705" s="1384" t="b">
        <f>IFERROR(IF(EU704&lt;&gt;EV704,FALSE,TRUE),FALSE)</f>
        <v>0</v>
      </c>
      <c r="HK705" s="1384" t="b">
        <f>IFERROR(IF(EU706&lt;&gt;EV706,FALSE,TRUE),FALSE)</f>
        <v>0</v>
      </c>
      <c r="HL705" s="1379" t="b">
        <f>IFERROR(IF(CN704="Exterior",TRUE,IF(OR(AND(FJ704=0,EW706&gt;4),AND(FJ704=4,EW706&gt;4,EW706&lt;7)),FALSE,TRUE)),FALSE)</f>
        <v>0</v>
      </c>
      <c r="HM705" s="1379" t="b">
        <f>IFERROR(IF(AND(FL706=7,EZ704=TRUE),FALSE,TRUE),FALSE)</f>
        <v>0</v>
      </c>
      <c r="HN705" s="1379" t="b">
        <f>IFERROR(IF(AND(T706&lt;&gt;AE706,AF706="Interior LLLC")=TRUE,FALSE,TRUE),FALSE)</f>
        <v>1</v>
      </c>
      <c r="HO705" s="1379" t="b">
        <f>IFERROR(IF(OR(AF706=Lookup!AU$13,AF706=Lookup!AU$14)=TRUE,IF(AE706&gt;T706,FALSE,TRUE),TRUE),FALSE)</f>
        <v>1</v>
      </c>
      <c r="HP705" s="1379" t="b">
        <f>IFERROR(IF(__Retrofit_TI_NC=2,IF(EW706&lt;EW704,FALSE,TRUE),TRUE),FALSE)</f>
        <v>1</v>
      </c>
      <c r="HQ705" s="1379" t="b">
        <f>IF(CN704="Interior",IG$6,TRUE)</f>
        <v>1</v>
      </c>
      <c r="HR705" s="1379" t="b">
        <f>IF(CN704="Exterior",IG$8,TRUE)</f>
        <v>1</v>
      </c>
      <c r="HS705" s="1379" t="b">
        <f>IFERROR(IF(__Retrofit_TI_NC&lt;&gt;0,IF(AW704&lt;AV704,FALSE,TRUE),TRUE),FALSE)</f>
        <v>1</v>
      </c>
      <c r="HT705" s="1379" t="b">
        <f>IFERROR(IF(AND(G705="Exterior",R705&gt;4200),FALSE,TRUE),FALSE)</f>
        <v>1</v>
      </c>
      <c r="HU705" s="1379" t="b">
        <f>IFERROR(IF(AB707/AB704&lt;HU$18,FALSE,TRUE),FALSE)</f>
        <v>0</v>
      </c>
      <c r="HW705" s="1382"/>
      <c r="HX705" s="1378"/>
      <c r="HY705" s="1377" t="str">
        <f>VLOOKUP(HW707,_Error_Table,4,FALSE)</f>
        <v>White</v>
      </c>
      <c r="HZ705" s="436"/>
      <c r="IA705" s="1386"/>
      <c r="IB705" s="1380"/>
      <c r="IC705" s="1379"/>
      <c r="IF705" s="1380"/>
      <c r="IG705" s="1382"/>
      <c r="IH705" s="1382"/>
      <c r="II705" s="1382"/>
      <c r="IK705" s="1351"/>
      <c r="IL705" s="1351"/>
      <c r="IM705" s="1351"/>
      <c r="IN705" s="1351"/>
      <c r="IO705" s="1351"/>
      <c r="IP705" s="1351"/>
    </row>
    <row r="706" spans="1:250" s="82" customFormat="1" ht="14.95" customHeight="1" thickTop="1" thickBot="1">
      <c r="A706" s="82">
        <f>ROW()</f>
        <v>706</v>
      </c>
      <c r="B706" s="1421"/>
      <c r="C706" s="1422"/>
      <c r="D706" s="1423"/>
      <c r="E706" s="1393" t="s">
        <v>245</v>
      </c>
      <c r="F706" s="1394"/>
      <c r="G706" s="1398"/>
      <c r="H706" s="1399"/>
      <c r="I706" s="1399"/>
      <c r="J706" s="1399"/>
      <c r="K706" s="1399"/>
      <c r="L706" s="1400"/>
      <c r="M706" s="509">
        <f>IFERROR(IF(IF(__Retrofit_TI_NC&lt;&gt;0,IF(CN704="Interior",MATCH(G706,Lookup_Interior_New,0),MATCH(G706,Lookup_Exterior_New,0)),IF(CN704="Interior",MATCH(G706,Lookup_Interior,0),MATCH(G706,Lookup_Exterior_Areas,0)))&gt;0,1,0),0)</f>
        <v>0</v>
      </c>
      <c r="N706" s="509" t="e">
        <f>IF(__Retrofit_TI_NC=1,
VLOOKUP(G706,'Space Table'!$B$3:$L$160,4,FALSE),
IF(__Retrofit_TI_NC=2,VLOOKUP(G706,'Space Table'!$B$3:$L$160,5,FALSE),VLOOKUP(G706,'Space Table'!$B$3:$L$160,5,FALSE)))</f>
        <v>#N/A</v>
      </c>
      <c r="O706" s="509">
        <f>G706</f>
        <v>0</v>
      </c>
      <c r="P706" s="1394" t="s">
        <v>355</v>
      </c>
      <c r="Q706" s="1394"/>
      <c r="R706" s="674"/>
      <c r="S706" s="1401" t="s">
        <v>284</v>
      </c>
      <c r="T706" s="672"/>
      <c r="U706" s="1499"/>
      <c r="V706" s="1500"/>
      <c r="W706" s="1500"/>
      <c r="X706" s="1500"/>
      <c r="Y706" s="1500"/>
      <c r="Z706" s="1500"/>
      <c r="AA706" s="1500"/>
      <c r="AB706" s="1501"/>
      <c r="AC706" s="1501"/>
      <c r="AD706" s="1502"/>
      <c r="AE706" s="672"/>
      <c r="AF706" s="1474"/>
      <c r="AG706" s="1474"/>
      <c r="AH706" s="1474"/>
      <c r="AI706" s="1474"/>
      <c r="AJ706" s="1475">
        <f>DF706</f>
        <v>0</v>
      </c>
      <c r="AK706" s="1470" t="str">
        <f>IFERROR(ROUND(AJ706*AC707,0),"")</f>
        <v/>
      </c>
      <c r="AL706" s="1472">
        <f>IFERROR(IF(HW704=FALSE,0,AC707-AK706),0)</f>
        <v>0</v>
      </c>
      <c r="AM706" s="1441"/>
      <c r="AN706" s="1442"/>
      <c r="AO706" s="1447"/>
      <c r="AP706" s="1447"/>
      <c r="AQ706" s="1448"/>
      <c r="AR706" s="1452"/>
      <c r="AS706" s="1455"/>
      <c r="AT706" s="1458"/>
      <c r="AU706" s="516"/>
      <c r="AV706" s="1479"/>
      <c r="AW706" s="1479"/>
      <c r="BC706" s="38"/>
      <c r="BD706" s="38"/>
      <c r="BE706" s="38"/>
      <c r="BF706" s="38"/>
      <c r="BG706" s="38"/>
      <c r="BH706" s="38"/>
      <c r="BI706" s="38"/>
      <c r="BJ706" s="38"/>
      <c r="BK706" s="38"/>
      <c r="BL706" s="38"/>
      <c r="BM706" s="38"/>
      <c r="BN706" s="38"/>
      <c r="BO706" s="38"/>
      <c r="BP706" s="38"/>
      <c r="BQ706" s="38"/>
      <c r="BR706" s="38"/>
      <c r="BS706" s="38"/>
      <c r="BT706" s="38"/>
      <c r="BU706" s="38"/>
      <c r="BV706" s="38"/>
      <c r="BW706" s="38"/>
      <c r="BX706" s="38"/>
      <c r="BY706" s="38"/>
      <c r="BZ706" s="38"/>
      <c r="CA706" s="38"/>
      <c r="CB706" s="38"/>
      <c r="CC706" s="38"/>
      <c r="CD706" s="38"/>
      <c r="CE706" s="38"/>
      <c r="CF706" s="38"/>
      <c r="CG706" s="38"/>
      <c r="CH706" s="38"/>
      <c r="CI706" s="38"/>
      <c r="CM706" s="1352"/>
      <c r="CN706" s="1352"/>
      <c r="CO706" s="1415" t="str">
        <f>CN704</f>
        <v/>
      </c>
      <c r="CP706" s="1417" t="e">
        <f>CP704</f>
        <v>#N/A</v>
      </c>
      <c r="CR706" s="1386" t="s">
        <v>284</v>
      </c>
      <c r="CS706" s="1353">
        <f>IF(HW704=TRUE,T706,0)</f>
        <v>0</v>
      </c>
      <c r="CT706" s="1353" t="str">
        <f>IF(HW704=TRUE,U706,"")</f>
        <v/>
      </c>
      <c r="CU706" s="1373">
        <f>IF(HW704=TRUE,U707,0)</f>
        <v>0</v>
      </c>
      <c r="CV706" s="1370">
        <f>IF(HW704=TRUE,AB707,0)</f>
        <v>0</v>
      </c>
      <c r="CW706" s="1370">
        <f>IF(HW704=TRUE,AC707,0)</f>
        <v>0</v>
      </c>
      <c r="CX706" s="1371"/>
      <c r="CY706" s="1486"/>
      <c r="CZ706" s="1486"/>
      <c r="DA706" s="1486"/>
      <c r="DC706" s="1353">
        <f>IF(HW704=TRUE,AE706,0)</f>
        <v>0</v>
      </c>
      <c r="DD706" s="1353" t="str">
        <f>IF(HW704=TRUE,AF706,"")</f>
        <v/>
      </c>
      <c r="DE706" s="1373">
        <f>AF707</f>
        <v>0</v>
      </c>
      <c r="DF706" s="1406">
        <f>IFERROR(IF(FL706=3,IK706,IF(FL706=4,IL706,IF(FL706=5,IM706,IF(FL706=6,IN706,IF(FL706=7,IO706,IF(FL706=8,IP706,0)))))),0)</f>
        <v>0</v>
      </c>
      <c r="DG706" s="1370">
        <f>IF(HW704=TRUE,AK706,0)</f>
        <v>0</v>
      </c>
      <c r="DH706" s="1369"/>
      <c r="DK706" s="1483">
        <f>IFERROR(CW706-DG706,0)</f>
        <v>0</v>
      </c>
      <c r="DL706" s="1420"/>
      <c r="DN706" s="1403"/>
      <c r="DO706" s="1477" t="str">
        <f>DN704</f>
        <v/>
      </c>
      <c r="DP706" s="1354"/>
      <c r="DQ706" s="1477" t="str">
        <f>IF(DP704=7,"LLLC","")</f>
        <v/>
      </c>
      <c r="DR706" s="1403"/>
      <c r="DS706" s="1489"/>
      <c r="DU706" s="1403"/>
      <c r="DV706" s="1404" t="str">
        <f>DU704</f>
        <v/>
      </c>
      <c r="DW706" s="1403"/>
      <c r="DX706" s="1403"/>
      <c r="DZ706" s="1481"/>
      <c r="EA706" s="1481"/>
      <c r="EC706" s="1482"/>
      <c r="ED706" s="1369"/>
      <c r="EE706" s="1371"/>
      <c r="EF706" s="1369"/>
      <c r="EG706" s="1369"/>
      <c r="EH706" s="1374"/>
      <c r="EI706" s="1374"/>
      <c r="EJ706" s="1363"/>
      <c r="EK706" s="1376"/>
      <c r="EL706" s="1376"/>
      <c r="EM706" s="1362"/>
      <c r="EN706" s="1362"/>
      <c r="EO706" s="1363"/>
      <c r="EP706" s="1363"/>
      <c r="EQ706" s="1363"/>
      <c r="ES706" s="1403"/>
      <c r="EU706" s="1411" t="e">
        <f>VLOOKUP(CP706,'Space Table'!$B$3:$L$160,8,FALSE)</f>
        <v>#N/A</v>
      </c>
      <c r="EV706" s="1411" t="e">
        <f>IF(EY706="Yes",VLOOKUP(AF706,Lookup_Control_Type_Table2,4,FALSE),VLOOKUP(AF706,Lookup_Control_Type_Table2,3,FALSE))</f>
        <v>#N/A</v>
      </c>
      <c r="EW706" s="1411" t="e">
        <f>VLOOKUP(AF706,Lookup!AU$3:AV$15,2,FALSE)</f>
        <v>#N/A</v>
      </c>
      <c r="EX706" s="1411" t="e">
        <f>VLOOKUP(EU704,Lookup_Control_Type_Table,2,FALSE)</f>
        <v>#N/A</v>
      </c>
      <c r="EY706" s="1411" t="e">
        <f>VLOOKUP(CP706,'Space Table'!$B$3:$L$160,7,FALSE)</f>
        <v>#N/A</v>
      </c>
      <c r="EZ706" s="1413"/>
      <c r="FB706" s="1365" t="str">
        <f>CONCATENATE(CN704," - ",AF706)</f>
        <v xml:space="preserve"> - </v>
      </c>
      <c r="FD706" s="1354"/>
      <c r="FE706" s="1354"/>
      <c r="FF706" s="138"/>
      <c r="FI706" s="1356" t="str">
        <f>IF(CN704="Exterior","Not Daylighted",G707)</f>
        <v>Not Daylighted</v>
      </c>
      <c r="FJ706" s="1356">
        <f>VLOOKUP(FI706,_Daylight_Table_Codes,2,FALSE)</f>
        <v>0</v>
      </c>
      <c r="FK706" s="1365">
        <f>AF706</f>
        <v>0</v>
      </c>
      <c r="FL706" s="1365" t="e">
        <f>VLOOKUP(FK706,_Control_Table,2,FALSE)</f>
        <v>#N/A</v>
      </c>
      <c r="FM706" s="1365" t="e">
        <f>IF(AND(FP706&gt;0,FK706="Occupancy Sensor"),"Daylight + Occupancy",IF(AND(FP706&gt;0,FL706&lt;4),"Interior Daylight Dimming",FK706))</f>
        <v>#N/A</v>
      </c>
      <c r="FO706" s="1364">
        <f>IF(CN704="Interior",VLOOKUP(CP704,Control_Savings_Interior,5,FALSE),0)</f>
        <v>0</v>
      </c>
      <c r="FP706" s="1361">
        <f>IF(CN706="Exterior",0,IF(FJ706=2,0.5,IF(OR(FJ706=1,FJ706=3),1,0)))</f>
        <v>0</v>
      </c>
      <c r="FQ706" s="1366">
        <f>IF(R705&gt;FO$37,(FO706*(FO$37/R705)),FO706)*FP706</f>
        <v>0</v>
      </c>
      <c r="FR706" s="1364">
        <f>DF706</f>
        <v>0</v>
      </c>
      <c r="FS706" s="1364">
        <f>ROUND(FR706+((1-FR706)*FQ706),2)</f>
        <v>0</v>
      </c>
      <c r="FT706" s="1364">
        <f>IF(__Retrofit_TI_NC=2,FS706,FR706)</f>
        <v>0</v>
      </c>
      <c r="FU706" s="1360">
        <f>IF(CO706="Interior",VLOOKUP(CP706,Control_Savings_Interior,4,FALSE),0)</f>
        <v>0</v>
      </c>
      <c r="FW706" s="1352"/>
      <c r="FX706" s="1352"/>
      <c r="FY706" s="1352"/>
      <c r="FZ706" s="1352"/>
      <c r="GA706" s="1352"/>
      <c r="GB706" s="1352"/>
      <c r="GC706" s="1352"/>
      <c r="GD706" s="1352"/>
      <c r="GE706" s="759" t="b">
        <f>IF(ISNUMBER(SEARCH("TLED",U706)),TRUE,FALSE)</f>
        <v>0</v>
      </c>
      <c r="GF706" s="1035" t="str">
        <f>IFERROR(VLOOKUP(U706,Fixtures!DM$93:DR$142,6,FALSE),"")</f>
        <v/>
      </c>
      <c r="GG706" s="1385"/>
      <c r="GI706" s="1383"/>
      <c r="GJ706" s="1379"/>
      <c r="GL706" s="1379"/>
      <c r="GM706" s="1379"/>
      <c r="HC706" s="1379"/>
      <c r="HD706" s="1379"/>
      <c r="HE706" s="1379"/>
      <c r="HF706" s="1379"/>
      <c r="HG706" s="1379"/>
      <c r="HH706" s="1379"/>
      <c r="HI706" s="1383"/>
      <c r="HJ706" s="1383"/>
      <c r="HK706" s="1383"/>
      <c r="HL706" s="1379"/>
      <c r="HM706" s="1379"/>
      <c r="HN706" s="1379"/>
      <c r="HO706" s="1379"/>
      <c r="HP706" s="1379"/>
      <c r="HQ706" s="1379"/>
      <c r="HR706" s="1379"/>
      <c r="HS706" s="1379"/>
      <c r="HT706" s="1379"/>
      <c r="HU706" s="1379"/>
      <c r="HW706" s="1383"/>
      <c r="HX706" s="1384" t="b">
        <f>HW704</f>
        <v>0</v>
      </c>
      <c r="HY706" s="1378"/>
      <c r="HZ706" s="436"/>
      <c r="IA706" s="1386"/>
      <c r="IB706" s="1380">
        <f>IF(IA704=TRUE,AC707,0)</f>
        <v>0</v>
      </c>
      <c r="IC706" s="1379"/>
      <c r="IF706" s="1380" t="e">
        <f>ROUND(T706*AB707*N705*R705/1000,0)</f>
        <v>#VALUE!</v>
      </c>
      <c r="IG706" s="1382"/>
      <c r="IH706" s="1384" t="e">
        <f>ROUND(T706*AB707*N705*R705/1000,0)</f>
        <v>#VALUE!</v>
      </c>
      <c r="II706" s="1382"/>
      <c r="IK706" s="1351" t="e">
        <f>IF($CO706="interior",IL706/2,VLOOKUP($CP706,Control_Savings_Exterior,IK$30,FALSE))</f>
        <v>#N/A</v>
      </c>
      <c r="IL706" s="1351" t="e">
        <f>IF($CO706="interior",VLOOKUP($CP706,Control_Savings_Interior,IL$30,FALSE),VLOOKUP($CP706,Control_Savings_Exterior,IL$30,FALSE))</f>
        <v>#N/A</v>
      </c>
      <c r="IM706" s="1351" t="e">
        <f>IF($CO706="interior",IF(R705&gt;FO$37,(IM$28*(FO$37/R705)),IM$28)*FP706,VLOOKUP($CP706,Control_Savings_Exterior,IM$30,FALSE))</f>
        <v>#N/A</v>
      </c>
      <c r="IN706" s="1351" t="e">
        <f>IF($CO706="interior",ROUND(((1-IL706)*IM706)+IL706,2),VLOOKUP($CP706,Control_Savings_Exterior,IN$30,FALSE))</f>
        <v>#N/A</v>
      </c>
      <c r="IO706" s="1351" t="e">
        <f>IF($CO706="interior", ROUND(((1-IL706)*(IM706*(1-IP$28)))+IP706,2), VLOOKUP($CP706,Control_Savings_Exterior,IO$30,FALSE))</f>
        <v>#N/A</v>
      </c>
      <c r="IP706" s="1351">
        <f>IF($CO706="interior",ROUND(((1-IL706)*IP$28)+IL706,2),0)</f>
        <v>0</v>
      </c>
    </row>
    <row r="707" spans="1:250" s="82" customFormat="1" ht="14.95" customHeight="1" thickTop="1" thickBot="1">
      <c r="B707" s="1421"/>
      <c r="C707" s="1422"/>
      <c r="D707" s="1423"/>
      <c r="E707" s="1462" t="s">
        <v>357</v>
      </c>
      <c r="F707" s="1463"/>
      <c r="G707" s="1464" t="s">
        <v>362</v>
      </c>
      <c r="H707" s="1465"/>
      <c r="I707" s="1465"/>
      <c r="J707" s="1465"/>
      <c r="K707" s="1465"/>
      <c r="L707" s="1466"/>
      <c r="M707" s="669">
        <f>IFERROR(VLOOKUP(G707,_Daylight_Table[],2,FALSE),0)</f>
        <v>0</v>
      </c>
      <c r="N707" s="670"/>
      <c r="O707" s="669" t="e">
        <f>VLOOKUP(G706,'Space Table'!$B$3:$L$160,11,FALSE)</f>
        <v>#N/A</v>
      </c>
      <c r="P707" s="1408"/>
      <c r="Q707" s="1409"/>
      <c r="R707" s="1409"/>
      <c r="S707" s="1402"/>
      <c r="T707" s="671" t="s">
        <v>281</v>
      </c>
      <c r="U707" s="1467" t="str">
        <f>IFERROR(VLOOKUP(U706,Fixtures!DM$93:DP$142,4,FALSE),"")</f>
        <v/>
      </c>
      <c r="V707" s="1468"/>
      <c r="W707" s="1468"/>
      <c r="X707" s="1468"/>
      <c r="Y707" s="1468"/>
      <c r="Z707" s="1468"/>
      <c r="AA707" s="1468"/>
      <c r="AB707" s="1046" t="str">
        <f>IFERROR(VLOOKUP(U706,Fixtures_Proposed_List,2,FALSE),"")</f>
        <v/>
      </c>
      <c r="AC707" s="1036" t="str">
        <f>IFERROR(ROUND(T706*AB707*N705*R705/1000,0),"")</f>
        <v/>
      </c>
      <c r="AD707" s="1037" t="str">
        <f>IFERROR(ROUND(T706*AB707/1000,2),"")</f>
        <v/>
      </c>
      <c r="AE707" s="1045" t="s">
        <v>281</v>
      </c>
      <c r="AF707" s="1469"/>
      <c r="AG707" s="1469"/>
      <c r="AH707" s="1469"/>
      <c r="AI707" s="1469"/>
      <c r="AJ707" s="1476"/>
      <c r="AK707" s="1471"/>
      <c r="AL707" s="1473"/>
      <c r="AM707" s="1443"/>
      <c r="AN707" s="1444"/>
      <c r="AO707" s="1449"/>
      <c r="AP707" s="1449"/>
      <c r="AQ707" s="1450"/>
      <c r="AR707" s="1453"/>
      <c r="AS707" s="1456"/>
      <c r="AT707" s="1459"/>
      <c r="AU707" s="517"/>
      <c r="AV707" s="1480"/>
      <c r="AW707" s="1480"/>
      <c r="BC707" s="38"/>
      <c r="BD707" s="38"/>
      <c r="BE707" s="38"/>
      <c r="BF707" s="38"/>
      <c r="BG707" s="38"/>
      <c r="BH707" s="38"/>
      <c r="BI707" s="38"/>
      <c r="BJ707" s="38"/>
      <c r="BK707" s="38"/>
      <c r="BL707" s="38"/>
      <c r="BM707" s="38"/>
      <c r="BN707" s="38"/>
      <c r="BO707" s="38"/>
      <c r="BP707" s="38"/>
      <c r="BQ707" s="38"/>
      <c r="BR707" s="38"/>
      <c r="BS707" s="38"/>
      <c r="BT707" s="38"/>
      <c r="BU707" s="38"/>
      <c r="BV707" s="38"/>
      <c r="BW707" s="38"/>
      <c r="BX707" s="38"/>
      <c r="BY707" s="38"/>
      <c r="BZ707" s="38"/>
      <c r="CA707" s="38"/>
      <c r="CB707" s="38"/>
      <c r="CC707" s="38"/>
      <c r="CD707" s="38"/>
      <c r="CE707" s="38"/>
      <c r="CF707" s="38"/>
      <c r="CG707" s="38"/>
      <c r="CH707" s="38"/>
      <c r="CI707" s="38"/>
      <c r="CM707" s="1352"/>
      <c r="CN707" s="1352"/>
      <c r="CO707" s="1416"/>
      <c r="CP707" s="1418"/>
      <c r="CR707" s="1386"/>
      <c r="CS707" s="1355"/>
      <c r="CT707" s="1355"/>
      <c r="CU707" s="1375"/>
      <c r="CV707" s="1372"/>
      <c r="CW707" s="1372"/>
      <c r="CX707" s="1372"/>
      <c r="CY707" s="1487"/>
      <c r="CZ707" s="1487"/>
      <c r="DA707" s="1487"/>
      <c r="DC707" s="1355"/>
      <c r="DD707" s="1355"/>
      <c r="DE707" s="1375"/>
      <c r="DF707" s="1407"/>
      <c r="DG707" s="1372"/>
      <c r="DH707" s="1369"/>
      <c r="DK707" s="1484"/>
      <c r="DL707" s="1420"/>
      <c r="DN707" s="1403"/>
      <c r="DO707" s="1405"/>
      <c r="DP707" s="1355"/>
      <c r="DQ707" s="1405"/>
      <c r="DR707" s="1403"/>
      <c r="DS707" s="1489"/>
      <c r="DU707" s="1403"/>
      <c r="DV707" s="1405"/>
      <c r="DW707" s="1403"/>
      <c r="DX707" s="1403"/>
      <c r="DZ707" s="1481"/>
      <c r="EA707" s="1481"/>
      <c r="EC707" s="1482"/>
      <c r="ED707" s="1369"/>
      <c r="EE707" s="1372"/>
      <c r="EF707" s="1369"/>
      <c r="EG707" s="1369"/>
      <c r="EH707" s="1375"/>
      <c r="EI707" s="1375"/>
      <c r="EJ707" s="1363"/>
      <c r="EK707" s="1376"/>
      <c r="EL707" s="1376"/>
      <c r="EM707" s="1362"/>
      <c r="EN707" s="1362"/>
      <c r="EO707" s="1363"/>
      <c r="EP707" s="1363"/>
      <c r="EQ707" s="1363"/>
      <c r="ES707" s="1403"/>
      <c r="EU707" s="1488"/>
      <c r="EV707" s="1488"/>
      <c r="EW707" s="1488"/>
      <c r="EX707" s="1488"/>
      <c r="EY707" s="1488"/>
      <c r="EZ707" s="1414"/>
      <c r="FB707" s="1365"/>
      <c r="FD707" s="1355"/>
      <c r="FE707" s="1355"/>
      <c r="FF707" s="138"/>
      <c r="FI707" s="1357"/>
      <c r="FJ707" s="1357"/>
      <c r="FK707" s="1365"/>
      <c r="FL707" s="1365"/>
      <c r="FM707" s="1365"/>
      <c r="FO707" s="1361"/>
      <c r="FP707" s="1361"/>
      <c r="FQ707" s="1366"/>
      <c r="FR707" s="1361"/>
      <c r="FS707" s="1361"/>
      <c r="FT707" s="1361"/>
      <c r="FU707" s="1360"/>
      <c r="FW707" s="1352"/>
      <c r="FX707" s="1352"/>
      <c r="FY707" s="1352"/>
      <c r="FZ707" s="1352"/>
      <c r="GA707" s="1352"/>
      <c r="GB707" s="1352"/>
      <c r="GC707" s="1352"/>
      <c r="GD707" s="1352"/>
      <c r="GE707" s="759"/>
      <c r="GF707" s="1035"/>
      <c r="GG707" s="1385"/>
      <c r="GJ707" s="1034">
        <f>IF(GJ705=TRUE,0,GJ$16)</f>
        <v>0</v>
      </c>
      <c r="GL707" s="1034">
        <f>IF(GL705=TRUE,0,GL$16)</f>
        <v>36</v>
      </c>
      <c r="GM707" s="1034">
        <f>IF(GM705=TRUE,0,GM$16)</f>
        <v>35</v>
      </c>
      <c r="GN707" s="436"/>
      <c r="GO707" s="436"/>
      <c r="GP707" s="436"/>
      <c r="GQ707" s="436"/>
      <c r="GR707" s="436"/>
      <c r="HC707" s="1034">
        <f t="shared" ref="HC707:HH707" si="526">IF(HC705=TRUE,0,HC$16)</f>
        <v>19</v>
      </c>
      <c r="HD707" s="1034">
        <f t="shared" si="526"/>
        <v>18</v>
      </c>
      <c r="HE707" s="1034">
        <f t="shared" si="526"/>
        <v>17</v>
      </c>
      <c r="HF707" s="1034">
        <f t="shared" si="526"/>
        <v>16</v>
      </c>
      <c r="HG707" s="1034">
        <f t="shared" si="526"/>
        <v>0</v>
      </c>
      <c r="HH707" s="1034">
        <f t="shared" si="526"/>
        <v>0</v>
      </c>
      <c r="HI707" s="1034">
        <f>IF(HI705=TRUE,0,HI$16)</f>
        <v>13</v>
      </c>
      <c r="HJ707" s="1034">
        <f t="shared" ref="HJ707:HL707" si="527">IF(HJ705=TRUE,0,HJ$16)</f>
        <v>12</v>
      </c>
      <c r="HK707" s="1034">
        <f t="shared" si="527"/>
        <v>11</v>
      </c>
      <c r="HL707" s="1034">
        <f t="shared" si="527"/>
        <v>10</v>
      </c>
      <c r="HM707" s="1034">
        <f>IF(HM705=TRUE,0,HM$16)</f>
        <v>9</v>
      </c>
      <c r="HN707" s="1034">
        <f t="shared" ref="HN707:HR707" si="528">IF(HN705=TRUE,0,HN$16)</f>
        <v>0</v>
      </c>
      <c r="HO707" s="1034">
        <f t="shared" si="528"/>
        <v>0</v>
      </c>
      <c r="HP707" s="1034">
        <f t="shared" si="528"/>
        <v>0</v>
      </c>
      <c r="HQ707" s="1034">
        <f t="shared" si="528"/>
        <v>0</v>
      </c>
      <c r="HR707" s="1034">
        <f t="shared" si="528"/>
        <v>0</v>
      </c>
      <c r="HS707" s="1034">
        <f>IF(HS705=TRUE,0,HS$16)</f>
        <v>0</v>
      </c>
      <c r="HT707" s="1034">
        <f t="shared" ref="HT707" si="529">IF(HT705=TRUE,0,HT$16)</f>
        <v>0</v>
      </c>
      <c r="HU707" s="1034">
        <f>IF(HU705=TRUE,0,HU$16)</f>
        <v>1</v>
      </c>
      <c r="HW707" s="1034">
        <f>IF(GL705=FALSE,GL707,IF(GM705=FALSE,GM707,MAX(GJ707:HU707)))</f>
        <v>36</v>
      </c>
      <c r="HX707" s="1383"/>
      <c r="HY707" s="241" t="str">
        <f>VLOOKUP(HW707,_Error_Table,3,FALSE)</f>
        <v xml:space="preserve"> </v>
      </c>
      <c r="HZ707" s="241"/>
      <c r="IA707" s="1386"/>
      <c r="IB707" s="1380"/>
      <c r="IC707" s="1379"/>
      <c r="IF707" s="1380"/>
      <c r="IG707" s="1383"/>
      <c r="IH707" s="1383"/>
      <c r="II707" s="1383"/>
      <c r="IK707" s="1351"/>
      <c r="IL707" s="1351"/>
      <c r="IM707" s="1351"/>
      <c r="IN707" s="1351"/>
      <c r="IO707" s="1351"/>
      <c r="IP707" s="1351"/>
    </row>
    <row r="708" spans="1:250" s="82" customFormat="1" ht="5.0999999999999996" customHeight="1" thickBot="1">
      <c r="B708" s="763"/>
      <c r="C708" s="1038"/>
      <c r="D708" s="1038"/>
      <c r="E708" s="1490"/>
      <c r="F708" s="1490"/>
      <c r="G708" s="1490"/>
      <c r="H708" s="1490"/>
      <c r="I708" s="1490"/>
      <c r="J708" s="1490"/>
      <c r="K708" s="1490"/>
      <c r="L708" s="1490"/>
      <c r="M708" s="1490"/>
      <c r="N708" s="1490"/>
      <c r="O708" s="1490"/>
      <c r="P708" s="1490"/>
      <c r="Q708" s="1490"/>
      <c r="R708" s="1490"/>
      <c r="S708" s="1490"/>
      <c r="T708" s="1490"/>
      <c r="U708" s="1490"/>
      <c r="V708" s="1490"/>
      <c r="W708" s="1490"/>
      <c r="X708" s="1490"/>
      <c r="Y708" s="1490"/>
      <c r="Z708" s="1490"/>
      <c r="AA708" s="1490"/>
      <c r="AB708" s="1490"/>
      <c r="AC708" s="1490"/>
      <c r="AD708" s="1490"/>
      <c r="AE708" s="1490"/>
      <c r="AF708" s="1490"/>
      <c r="AG708" s="1490"/>
      <c r="AH708" s="1490"/>
      <c r="AI708" s="1490"/>
      <c r="AJ708" s="1490"/>
      <c r="AK708" s="1490"/>
      <c r="AL708" s="1490"/>
      <c r="AM708" s="1490"/>
      <c r="AN708" s="1490"/>
      <c r="AO708" s="1490"/>
      <c r="AP708" s="1490"/>
      <c r="AQ708" s="1490"/>
      <c r="AR708" s="1490"/>
      <c r="AS708" s="1490"/>
      <c r="AT708" s="1490"/>
      <c r="AU708" s="1041"/>
      <c r="BC708" s="38"/>
      <c r="BD708" s="38"/>
      <c r="BE708" s="38"/>
      <c r="BF708" s="38"/>
      <c r="BG708" s="38"/>
      <c r="BH708" s="38"/>
      <c r="BI708" s="38"/>
      <c r="BJ708" s="38"/>
      <c r="BK708" s="38"/>
      <c r="BL708" s="38"/>
      <c r="BM708" s="38"/>
      <c r="BN708" s="38"/>
      <c r="BO708" s="38"/>
      <c r="BP708" s="38"/>
      <c r="BQ708" s="38"/>
      <c r="BR708" s="38"/>
      <c r="BS708" s="38"/>
      <c r="BT708" s="38"/>
      <c r="BU708" s="38"/>
      <c r="BV708" s="38"/>
      <c r="BW708" s="38"/>
      <c r="BX708" s="38"/>
      <c r="BY708" s="38"/>
      <c r="BZ708" s="38"/>
      <c r="CA708" s="38"/>
      <c r="CB708" s="38"/>
      <c r="CC708" s="38"/>
      <c r="CD708" s="38"/>
      <c r="CE708" s="38"/>
      <c r="CF708" s="38"/>
      <c r="CG708" s="38"/>
      <c r="CH708" s="38"/>
      <c r="CI708" s="38"/>
      <c r="CM708" s="749"/>
      <c r="CN708" s="749"/>
      <c r="CO708" s="1043"/>
      <c r="CP708" s="749"/>
      <c r="CS708" s="436"/>
      <c r="CT708" s="436"/>
      <c r="CU708" s="243"/>
      <c r="CV708" s="244"/>
      <c r="CW708" s="244"/>
      <c r="CX708" s="244"/>
      <c r="CY708" s="245"/>
      <c r="CZ708" s="245"/>
      <c r="DA708" s="245"/>
      <c r="DC708" s="750"/>
      <c r="DD708" s="751"/>
      <c r="DE708" s="752"/>
      <c r="DF708" s="753"/>
      <c r="DG708" s="754"/>
      <c r="DH708" s="754"/>
      <c r="DK708" s="244"/>
      <c r="DL708" s="750"/>
      <c r="DN708" s="750"/>
      <c r="DO708" s="755"/>
      <c r="DP708" s="436"/>
      <c r="DQ708" s="750"/>
      <c r="DR708" s="750"/>
      <c r="DS708" s="750"/>
      <c r="DU708" s="750"/>
      <c r="DV708" s="750"/>
      <c r="DW708" s="750"/>
      <c r="DX708" s="750"/>
      <c r="DZ708" s="756"/>
      <c r="EA708" s="756"/>
      <c r="EC708" s="754"/>
      <c r="ED708" s="754"/>
      <c r="EE708" s="244"/>
      <c r="EF708" s="754"/>
      <c r="EG708" s="754"/>
      <c r="EH708" s="243"/>
      <c r="EI708" s="243"/>
      <c r="EJ708" s="752"/>
      <c r="EK708" s="757"/>
      <c r="EL708" s="757"/>
      <c r="EM708" s="758"/>
      <c r="EN708" s="758"/>
      <c r="EO708" s="752"/>
      <c r="EP708" s="752"/>
      <c r="EQ708" s="752"/>
      <c r="ES708" s="750"/>
      <c r="EU708" s="436"/>
      <c r="EV708" s="436"/>
      <c r="EW708" s="436"/>
      <c r="EX708" s="436"/>
      <c r="EY708" s="436"/>
      <c r="EZ708" s="436"/>
      <c r="FB708" s="643"/>
      <c r="FD708" s="436"/>
      <c r="FE708" s="436"/>
      <c r="FF708" s="436"/>
      <c r="FO708" s="750"/>
      <c r="FP708" s="436"/>
      <c r="FQ708" s="436"/>
      <c r="FR708" s="750"/>
      <c r="FS708" s="750"/>
      <c r="FW708" s="749"/>
      <c r="FX708" s="749"/>
      <c r="FY708" s="749"/>
      <c r="FZ708" s="749"/>
      <c r="GA708" s="749"/>
      <c r="GB708" s="749"/>
      <c r="GC708" s="749"/>
      <c r="GD708" s="749"/>
      <c r="GE708" s="751"/>
      <c r="GF708" s="750"/>
      <c r="GG708" s="750"/>
    </row>
    <row r="709" spans="1:250" s="82" customFormat="1" ht="14.95" customHeight="1" thickTop="1" thickBot="1">
      <c r="B709" s="1421" t="str">
        <f>HY712</f>
        <v xml:space="preserve"> </v>
      </c>
      <c r="C709" s="1422">
        <f>C704+1</f>
        <v>130</v>
      </c>
      <c r="D709" s="1423"/>
      <c r="E709" s="1424" t="s">
        <v>242</v>
      </c>
      <c r="F709" s="1425"/>
      <c r="G709" s="1426"/>
      <c r="H709" s="1427"/>
      <c r="I709" s="1427"/>
      <c r="J709" s="1427"/>
      <c r="K709" s="1427"/>
      <c r="L709" s="1427"/>
      <c r="M709" s="1427"/>
      <c r="N709" s="1427"/>
      <c r="O709" s="1427"/>
      <c r="P709" s="1427"/>
      <c r="Q709" s="1427"/>
      <c r="R709" s="1427"/>
      <c r="S709" s="1428" t="s">
        <v>283</v>
      </c>
      <c r="T709" s="668" t="s">
        <v>190</v>
      </c>
      <c r="U709" s="1430" t="s">
        <v>186</v>
      </c>
      <c r="V709" s="1431"/>
      <c r="W709" s="1431"/>
      <c r="X709" s="1431"/>
      <c r="Y709" s="1431"/>
      <c r="Z709" s="1431"/>
      <c r="AA709" s="1431"/>
      <c r="AB709" s="1047" t="str">
        <f>IFERROR(IF(__Retrofit_TI_NC=0,VLOOKUP(U710,Fixtures_Existing_List,2,FALSE),ROUND(N711*R711/T711,10)),"")</f>
        <v/>
      </c>
      <c r="AC709" s="1039" t="str">
        <f>IFERROR(IF(__Retrofit_TI_NC=0,ROUND(T710*AB709*N710*R710/1000,0),IF(CN709="Interior",N711*R711*R710*N710*_C406_reduction/1000,N711*R711*R710*N710/1000)),"")</f>
        <v/>
      </c>
      <c r="AD709" s="1040" t="str">
        <f>IFERROR(IF(C$36=0,ROUND(T710*AB709/1000,2),N711*R711/1000),"")</f>
        <v/>
      </c>
      <c r="AE709" s="1044" t="s">
        <v>190</v>
      </c>
      <c r="AF709" s="1432" t="str">
        <f>IF(__Retrofit_TI_NC=2,CONCATENATE("Code min = ",DD709),IF(__Retrofit_TI_NC=1,"Emter what you think the existing control was"," Control"))</f>
        <v xml:space="preserve"> Control</v>
      </c>
      <c r="AG709" s="1432"/>
      <c r="AH709" s="1432"/>
      <c r="AI709" s="1432"/>
      <c r="AJ709" s="1433">
        <f>DF709</f>
        <v>0</v>
      </c>
      <c r="AK709" s="1435" t="str">
        <f>IFERROR(ROUND(AJ709*AC709,0),"")</f>
        <v/>
      </c>
      <c r="AL709" s="1437">
        <f>IFERROR(IF(HW709=FALSE,0,AC709-AK709),0)</f>
        <v>0</v>
      </c>
      <c r="AM709" s="1439">
        <f>AL709-AL711</f>
        <v>0</v>
      </c>
      <c r="AN709" s="1440"/>
      <c r="AO709" s="1445">
        <f>IFERROR(IF(HW709=FALSE,0,(T711*U712)+(AE711*AF712)),0)</f>
        <v>0</v>
      </c>
      <c r="AP709" s="1445"/>
      <c r="AQ709" s="1446"/>
      <c r="AR709" s="1451" t="s">
        <v>157</v>
      </c>
      <c r="AS709" s="1454">
        <f>IF(AR709="Yes",1,0)</f>
        <v>1</v>
      </c>
      <c r="AT709" s="1457" t="str">
        <f>IF(OR(DN709=4,DN709=5,DN709=6,DN709=12),CONCATENATE("$",IF(GD709=TRUE,Lookup!$B$11,Lookup!$B$2)," /lamp"),CONCATENATE(EA709,"/ kWh"))</f>
        <v>0/ kWh</v>
      </c>
      <c r="AU709" s="516"/>
      <c r="AV709" s="1478">
        <f>IFERROR(IF(GI710=TRUE,(AB712*T711)/R711,0),"NA")</f>
        <v>0</v>
      </c>
      <c r="AW709" s="1478" t="str">
        <f>IFERROR(N711*_C406_reduction,"NA")</f>
        <v>NA</v>
      </c>
      <c r="BC709" s="38"/>
      <c r="BD709" s="38"/>
      <c r="BE709" s="38"/>
      <c r="BF709" s="38"/>
      <c r="BG709" s="38"/>
      <c r="BH709" s="38"/>
      <c r="BI709" s="38"/>
      <c r="BJ709" s="38"/>
      <c r="BK709" s="38"/>
      <c r="BL709" s="38"/>
      <c r="BM709" s="38"/>
      <c r="BN709" s="38"/>
      <c r="BO709" s="38"/>
      <c r="BP709" s="38"/>
      <c r="BQ709" s="38"/>
      <c r="BR709" s="38"/>
      <c r="BS709" s="38"/>
      <c r="BT709" s="38"/>
      <c r="BU709" s="38"/>
      <c r="BV709" s="38"/>
      <c r="BW709" s="38"/>
      <c r="BX709" s="38"/>
      <c r="BY709" s="38"/>
      <c r="BZ709" s="38"/>
      <c r="CA709" s="38"/>
      <c r="CB709" s="38"/>
      <c r="CC709" s="38"/>
      <c r="CD709" s="38"/>
      <c r="CE709" s="38"/>
      <c r="CF709" s="38"/>
      <c r="CG709" s="38"/>
      <c r="CH709" s="38"/>
      <c r="CI709" s="38"/>
      <c r="CM709" s="1352" t="str">
        <f>N710</f>
        <v/>
      </c>
      <c r="CN709" s="1352" t="str">
        <f>IFERROR(VLOOKUP(G710,_Lookup_Heat_Type_Table_New,3,FALSE),"")</f>
        <v/>
      </c>
      <c r="CO709" s="1415" t="str">
        <f>CN709</f>
        <v/>
      </c>
      <c r="CP709" s="1417" t="e">
        <f>VLOOKUP(G711,'Space Table'!$B$3:$L$160,9,FALSE)</f>
        <v>#N/A</v>
      </c>
      <c r="CR709" s="1386" t="s">
        <v>283</v>
      </c>
      <c r="CS709" s="1353">
        <f>IF(HW709=TRUE,T710,0)</f>
        <v>0</v>
      </c>
      <c r="CT709" s="1353" t="str">
        <f>IF(HW709=TRUE,U710,"")</f>
        <v/>
      </c>
      <c r="CU709" s="1353"/>
      <c r="CV709" s="1370">
        <f>IF(HW709=TRUE,AB709,0)</f>
        <v>0</v>
      </c>
      <c r="CW709" s="1370">
        <f>IF(HW709=TRUE,AC709,0)</f>
        <v>0</v>
      </c>
      <c r="CX709" s="1370">
        <f>IFERROR(IF(HW709=TRUE,CW709-CW711,0),0)</f>
        <v>0</v>
      </c>
      <c r="CY709" s="1485">
        <f>IF(HW709=TRUE,AD709,0)</f>
        <v>0</v>
      </c>
      <c r="CZ709" s="1485">
        <f>IF(HW709=TRUE,AD712,0)</f>
        <v>0</v>
      </c>
      <c r="DA709" s="1485">
        <f>IFERROR(CY709-CZ709,0)</f>
        <v>0</v>
      </c>
      <c r="DC709" s="1353">
        <f>IF(HW709=TRUE,AE710,0)</f>
        <v>0</v>
      </c>
      <c r="DD709" s="1460">
        <f>IF(__Retrofit_TI_NC=2,IF(CN709="Exterior",O712,FM709),FK709)</f>
        <v>0</v>
      </c>
      <c r="DE709" s="1353"/>
      <c r="DF709" s="1406">
        <f>IFERROR(IF(FL709=3,IK709,IF(FL709=4,IL709,IF(FL709=5,IM709,IF(FL709=6,IN709,IF(FL709=7,IO709,IF(FL709=8,IP709,0)))))),0)</f>
        <v>0</v>
      </c>
      <c r="DG709" s="1370">
        <f>IF(HW709=TRUE,AK709,0)</f>
        <v>0</v>
      </c>
      <c r="DH709" s="1369">
        <f>IFERROR(IF(HW709=TRUE,DG711-DG709,0),0)</f>
        <v>0</v>
      </c>
      <c r="DJ709" s="1483">
        <f>IFERROR(CW709-DG709,0)</f>
        <v>0</v>
      </c>
      <c r="DL709" s="1419">
        <f>DJ709-DK711</f>
        <v>0</v>
      </c>
      <c r="DN709" s="1403" t="str">
        <f>IFERROR(IF(AND(OR(FY709=4,FY709=5,FY709=6),OR(GB709=4,GB709=5,GB709=6)),FY709+8,VLOOKUP(CT711,Fixtures!R$31:Y$78,8,FALSE)),"")</f>
        <v/>
      </c>
      <c r="DO709" s="1404" t="str">
        <f>DN709</f>
        <v/>
      </c>
      <c r="DP709" s="1353" t="str">
        <f>IFERROR(VLOOKUP(DD711,Lookup!AU$3:AV$15,2,FALSE),"")</f>
        <v/>
      </c>
      <c r="DQ709" s="1404" t="str">
        <f>IF(DP709=7,"LLLC","")</f>
        <v/>
      </c>
      <c r="DR709" s="1403">
        <f>IFERROR(IF(OR(DN709=4,DN709=5,DN709=6,DN709=12,DN709=13,DN709=14),VLOOKUP(CT711,Fixtures!DN$27:EG$77,19,FALSE),1)*CS711,0)</f>
        <v>0</v>
      </c>
      <c r="DS709" s="1489">
        <f>IF(DP709=7,IF(DD709=DD711,0,DC711),0)</f>
        <v>0</v>
      </c>
      <c r="DU709" s="1403" t="str">
        <f>IFERROR(IF(EW709&lt;EW711,"Yes","No"),"")</f>
        <v/>
      </c>
      <c r="DV709" s="1404" t="str">
        <f>DU709</f>
        <v/>
      </c>
      <c r="DW709" s="1403">
        <f>IF(DU709="Yes",DC711,0)</f>
        <v>0</v>
      </c>
      <c r="DX709" s="1403">
        <f>DW709-DS709</f>
        <v>0</v>
      </c>
      <c r="DZ709" s="1481">
        <f>IFERROR(VLOOKUP(DN709,Lookup!AN$3:AO$16,2,FALSE),0)</f>
        <v>0</v>
      </c>
      <c r="EA709" s="1481">
        <f>IF(HW709=FALSE,0,IF(DU709="Yes",DZ709+Lookup!B$6,DZ709))</f>
        <v>0</v>
      </c>
      <c r="EC709" s="1482">
        <f>IF(HW709=TRUE,DJ709,0)</f>
        <v>0</v>
      </c>
      <c r="ED709" s="1369">
        <f>IF(HW709=TRUE,CW711,0)</f>
        <v>0</v>
      </c>
      <c r="EE709" s="1370">
        <f>IFERROR(EC709-ED709,0)</f>
        <v>0</v>
      </c>
      <c r="EF709" s="1369">
        <f>IF(HW709=TRUE,DG711,0)</f>
        <v>0</v>
      </c>
      <c r="EG709" s="1369">
        <f>IFERROR(EC709-ED709+EF709,0)</f>
        <v>0</v>
      </c>
      <c r="EH709" s="1373">
        <f>IF(HW709=TRUE,CS711*CU711,0)</f>
        <v>0</v>
      </c>
      <c r="EI709" s="1373">
        <f>IF(HW709=TRUE,DC711*DE711,0)</f>
        <v>0</v>
      </c>
      <c r="EJ709" s="1363">
        <f>AO709</f>
        <v>0</v>
      </c>
      <c r="EK709" s="1376" t="str">
        <f>IFERROR(IF(HW709=TRUE,VLOOKUP(DN709,Lookup!AN$3:AP$16,3,FALSE)*DR709,""),0)</f>
        <v/>
      </c>
      <c r="EL709" s="1376">
        <f>IF(HW709=TRUE,DW709*Lookup!AP$12,0)</f>
        <v>0</v>
      </c>
      <c r="EM709" s="1362">
        <f>IFERROR(IF(HW709=TRUE,EK709/EM$33,0),0)</f>
        <v>0</v>
      </c>
      <c r="EN709" s="1362">
        <f>IF(HW709=TRUE,EL709/EN$33,0)</f>
        <v>0</v>
      </c>
      <c r="EO709" s="1363">
        <f>IF(HW709=TRUE,EQ$33*EM709,0)</f>
        <v>0</v>
      </c>
      <c r="EP709" s="1363">
        <f>IF(HW709=TRUE,EQ$33*EN709,0)</f>
        <v>0</v>
      </c>
      <c r="EQ709" s="1363">
        <f>EO709+EP709</f>
        <v>0</v>
      </c>
      <c r="ES709" s="1403">
        <f>IF(G709="",0,1)</f>
        <v>0</v>
      </c>
      <c r="EU709" s="1410" t="e">
        <f>VLOOKUP(CP711,'Space Table'!$B$3:$L$160,8,FALSE)</f>
        <v>#N/A</v>
      </c>
      <c r="EV709" s="1410" t="e">
        <f>IF(EY709="Yes",VLOOKUP(DD709,Lookup_Control_Type_Table2,4,FALSE),VLOOKUP(DD709,Lookup_Control_Type_Table2,3,FALSE))</f>
        <v>#N/A</v>
      </c>
      <c r="EW709" s="1410" t="e">
        <f>VLOOKUP(DD709,Lookup!AU$3:AV$15,2,FALSE)</f>
        <v>#N/A</v>
      </c>
      <c r="EX709" s="1410" t="e">
        <f>VLOOKUP(EU709,Lookup_Control_Type_Table,2,FALSE)</f>
        <v>#N/A</v>
      </c>
      <c r="EY709" s="1410" t="e">
        <f>VLOOKUP(CP711,'Space Table'!$B$3:$L$160,7,FALSE)</f>
        <v>#N/A</v>
      </c>
      <c r="EZ709" s="1412" t="b">
        <f>ISNUMBER(SEARCH("TLED",U711))</f>
        <v>0</v>
      </c>
      <c r="FB709" s="1365" t="str">
        <f>CONCATENATE(CN709," - ",DD709)</f>
        <v xml:space="preserve"> - 0</v>
      </c>
      <c r="FD709" s="1353" t="str">
        <f>VLOOKUP(CT711,Fixtures!DN$27:EZ$77,38,FALSE)</f>
        <v/>
      </c>
      <c r="FE709" s="1353">
        <f>IFERROR(FD709*EE709,0)</f>
        <v>0</v>
      </c>
      <c r="FF709" s="138"/>
      <c r="FI709" s="1356" t="str">
        <f>IF(CN709="Exterior","Not Daylighted",G712)</f>
        <v>Not Daylighted</v>
      </c>
      <c r="FJ709" s="1356">
        <f>VLOOKUP(FI709,_Daylight_Table_Codes,2,FALSE)</f>
        <v>0</v>
      </c>
      <c r="FK709" s="1365">
        <f>IF(__Retrofit_TI_NC=2,VLOOKUP(G711,'Space Table'!$B$3:$L$160,11,FALSE),AF710)</f>
        <v>0</v>
      </c>
      <c r="FL709" s="1365" t="e">
        <f>VLOOKUP(FK709,_Control_Table,2,FALSE)</f>
        <v>#N/A</v>
      </c>
      <c r="FM709" s="1365" t="e">
        <f>IF(AND(FP709&gt;0,FK709="Occupancy Sensor"),"Daylight + Occupancy",IF(AND(FP709&gt;0,FL709&lt;4),"Interior Daylight Dimming",FK709))</f>
        <v>#N/A</v>
      </c>
      <c r="FO709" s="1364">
        <f>IF(CO709="Interior",VLOOKUP(CP709,Control_Savings_Interior,5,FALSE),0)</f>
        <v>0</v>
      </c>
      <c r="FP709" s="1361">
        <f>IF(CN709="Exterior",0,IF(FJ709=2,0.5,IF(OR(FJ709=1,FJ709=3),1,0)))</f>
        <v>0</v>
      </c>
      <c r="FQ709" s="1366"/>
      <c r="FR709" s="1367"/>
      <c r="FS709" s="1364"/>
      <c r="FT709" s="1367"/>
      <c r="FU709" s="1360"/>
      <c r="FW709" s="1352" t="str">
        <f>IFERROR(VLOOKUP(U710,_Exist_Fixture_Table,3,FALSE),"")</f>
        <v/>
      </c>
      <c r="FX709" s="1352" t="str">
        <f>VLOOKUP(CT709,_Exist_Fixture_Table,4,FALSE)</f>
        <v/>
      </c>
      <c r="FY709" s="1352">
        <f>IFERROR(VLOOKUP(FX709,Lookup!AM$6:AN$8,2,FALSE),0)</f>
        <v>0</v>
      </c>
      <c r="FZ709" s="1352" t="b">
        <f>IFERROR(IF(OR(GB709=4,GB709=5,GB709=6),TRUE,FALSE),"")</f>
        <v>0</v>
      </c>
      <c r="GA709" s="1352" t="str">
        <f>IFERROR(VLOOKUP(GB709,FY$6:FZ$10,2,FALSE),"")</f>
        <v/>
      </c>
      <c r="GB709" s="1352" t="str">
        <f>VLOOKUP(CT711,Fixtures!R$31:Y$78,8,FALSE)</f>
        <v/>
      </c>
      <c r="GC709" s="1352">
        <f>IF(AND(FW709=TRUE,FZ709=TRUE,OR(DN709=12,DN709=13,DN709=14)),FY709+8,0)</f>
        <v>0</v>
      </c>
      <c r="GD709" s="1352" t="b">
        <f>IF(OR(GC709=12,GC709=13,GC709=14),TRUE,FALSE)</f>
        <v>0</v>
      </c>
      <c r="GE709" s="759" t="b">
        <f>IF(ISNUMBER(SEARCH("TLED",U710)),TRUE,FALSE)</f>
        <v>0</v>
      </c>
      <c r="GF709" s="1035" t="str">
        <f>IFERROR(VLOOKUP(U710,Fixtures!BM$93:BR$142,6,FALSE),"")</f>
        <v/>
      </c>
      <c r="GG709" s="1385" t="b">
        <f>IF(OR(GE709=FALSE,GE711=FALSE),TRUE,IF(GF709-GF711&lt;5,FALSE,TRUE))</f>
        <v>1</v>
      </c>
      <c r="GK709" s="1034">
        <f>GL709</f>
        <v>0</v>
      </c>
      <c r="GL709" s="1034">
        <f>IF(G709="",0,1)</f>
        <v>0</v>
      </c>
      <c r="GM709" s="1034">
        <f>SUM(GN709:HB709)</f>
        <v>2</v>
      </c>
      <c r="GN709" s="1034">
        <f>IF(G710="",0,1)</f>
        <v>0</v>
      </c>
      <c r="GO709" s="1034">
        <f>IF(G711="",0,1)</f>
        <v>0</v>
      </c>
      <c r="GP709" s="1034">
        <f>IF(R710="",0,1)</f>
        <v>0</v>
      </c>
      <c r="GQ709" s="1034">
        <f>IF(__Retrofit_TI_NC=0,1,IF(R711="",0,1))</f>
        <v>1</v>
      </c>
      <c r="GR709" s="1034">
        <f>IF(CN709="Exterior",1,IF(G712="",0,1))</f>
        <v>1</v>
      </c>
      <c r="GS709" s="1034">
        <f>IF(__Retrofit_TI_NC&lt;&gt;0,1,IF(T710="",0,1))</f>
        <v>0</v>
      </c>
      <c r="GT709" s="1034">
        <f>IF(__Retrofit_TI_NC&lt;&gt;0,1,IF(U710="",0,1))</f>
        <v>0</v>
      </c>
      <c r="GU709" s="1034">
        <f>IF(T711="",0,1)</f>
        <v>0</v>
      </c>
      <c r="GV709" s="1034">
        <f>IF(U711="",0,1)</f>
        <v>0</v>
      </c>
      <c r="GW709" s="1034">
        <f>IF(__Retrofit_TI_NC=2,1,IF(U712="",0,1))</f>
        <v>0</v>
      </c>
      <c r="GX709" s="1034">
        <f>IF(__Retrofit_TI_NC&lt;&gt;0,1,IF(AE710="",0,1))</f>
        <v>0</v>
      </c>
      <c r="GY709" s="1034">
        <f>IF(__Retrofit_TI_NC&lt;&gt;0,1,IF(AF710="",0,1))</f>
        <v>0</v>
      </c>
      <c r="GZ709" s="1034">
        <f>IF(AE711="",0,1)</f>
        <v>0</v>
      </c>
      <c r="HA709" s="1034">
        <f>IF(AF711="",0,1)</f>
        <v>0</v>
      </c>
      <c r="HB709" s="1034">
        <f>IF(__Retrofit_TI_NC=2,1,IF(AF712="",0,1))</f>
        <v>0</v>
      </c>
      <c r="HV709" s="436"/>
      <c r="HW709" s="1384" t="b">
        <f>IF(OR(HW712=0,HW712=HT$16,HW712=HS$16,HW712=HU$16),TRUE,FALSE)</f>
        <v>0</v>
      </c>
      <c r="HX709" s="1377" t="b">
        <f>HW709</f>
        <v>0</v>
      </c>
      <c r="HY709" s="436"/>
      <c r="HZ709" s="436"/>
      <c r="IA709" s="1386" t="b">
        <f>IF(MAX(GJ712:HP712)&gt;5,FALSE,TRUE)</f>
        <v>0</v>
      </c>
      <c r="IB709" s="1380">
        <f>IF(IA709=TRUE,AC709,0)</f>
        <v>0</v>
      </c>
      <c r="IC709" s="1380">
        <f>IB709-IB711</f>
        <v>0</v>
      </c>
      <c r="IF709" s="1380" t="e">
        <f>ROUND(T710*VLOOKUP(U710,Fixtures_Existing_List,2,FALSE)*N710*R710/1000,0)</f>
        <v>#N/A</v>
      </c>
      <c r="IG709" s="1381" t="e">
        <f>IF709-IF711</f>
        <v>#N/A</v>
      </c>
      <c r="IH709" s="1384" t="e">
        <f>ROUND(IF(CN709="Interior",N711*R711*R710*N710*_C406_reduction/1000,N711*R711*R710*N710/1000),0)</f>
        <v>#N/A</v>
      </c>
      <c r="II709" s="1384" t="e">
        <f>IH709-IH711</f>
        <v>#N/A</v>
      </c>
      <c r="IK709" s="1351" t="e">
        <f>IF($CO709="interior",IL709/2,VLOOKUP($CP709,Control_Savings_Exterior,IK$30,FALSE))</f>
        <v>#N/A</v>
      </c>
      <c r="IL709" s="1351" t="e">
        <f>IF($CO709="interior",VLOOKUP($CP709,Control_Savings_Interior,IL$30,FALSE),VLOOKUP($CP709,Control_Savings_Exterior,IL$30,FALSE))</f>
        <v>#N/A</v>
      </c>
      <c r="IM709" s="1351" t="e">
        <f>IF($CO709="interior",IF(R710&gt;FO$37,(IM$28*(FO$37/R710)),IM$28)*FP709,VLOOKUP($CP709,Control_Savings_Exterior,IM$30,FALSE))</f>
        <v>#N/A</v>
      </c>
      <c r="IN709" s="1351" t="e">
        <f>IF($CO709="interior",ROUND(((1-IL709)*IM709)+IL709,2),VLOOKUP($CP709,Control_Savings_Exterior,IN$30,FALSE))</f>
        <v>#N/A</v>
      </c>
      <c r="IO709" s="1351" t="e">
        <f>IF($CO709="interior", ROUND(((1-IL709)*(IM709*(1-IP$28)))+IP709,2), VLOOKUP($CP709,Control_Savings_Exterior,IO$30,FALSE))</f>
        <v>#N/A</v>
      </c>
      <c r="IP709" s="1351">
        <f>IF($CO709="interior",ROUND(((1-IL709)*IP$28)+IL709,2),0)</f>
        <v>0</v>
      </c>
    </row>
    <row r="710" spans="1:250" s="82" customFormat="1" ht="14.95" customHeight="1" thickTop="1" thickBot="1">
      <c r="B710" s="1421"/>
      <c r="C710" s="1422"/>
      <c r="D710" s="1423"/>
      <c r="E710" s="1393" t="s">
        <v>244</v>
      </c>
      <c r="F710" s="1394"/>
      <c r="G710" s="1395"/>
      <c r="H710" s="1395"/>
      <c r="I710" s="1395"/>
      <c r="J710" s="1395"/>
      <c r="K710" s="1395"/>
      <c r="L710" s="1395"/>
      <c r="M710" s="509" t="e">
        <f>IF(__Retrofit_TI_NC&lt;&gt;0,IF(VLOOKUP(G711,'Space Table'!$B$3:$L$160,3,FALSE)&gt;0,1,0),IF(__Retrofit_TI_NC=VLOOKUP(G711,'Space Table'!$B$3:$L$160,3,FALSE),1,0))</f>
        <v>#N/A</v>
      </c>
      <c r="N710" s="509" t="str">
        <f>IFERROR(VLOOKUP(G710,_Lookup_Heat_Type_Table_New,2,FALSE),"")</f>
        <v/>
      </c>
      <c r="O710" s="509">
        <f>IF(__Retrofit_TI_NC=1,CONCATENATE("TI ",G710),IF(__Retrofit_TI_NC=2,CONCATENATE("NC ",G710),G710))</f>
        <v>0</v>
      </c>
      <c r="P710" s="1396" t="s">
        <v>352</v>
      </c>
      <c r="Q710" s="1396"/>
      <c r="R710" s="673"/>
      <c r="S710" s="1429"/>
      <c r="T710" s="675"/>
      <c r="U710" s="1496"/>
      <c r="V710" s="1497"/>
      <c r="W710" s="1497"/>
      <c r="X710" s="1497"/>
      <c r="Y710" s="1497"/>
      <c r="Z710" s="1497"/>
      <c r="AA710" s="1497"/>
      <c r="AB710" s="1497"/>
      <c r="AC710" s="1497"/>
      <c r="AD710" s="1498"/>
      <c r="AE710" s="675"/>
      <c r="AF710" s="1397"/>
      <c r="AG710" s="1397"/>
      <c r="AH710" s="1397"/>
      <c r="AI710" s="1397"/>
      <c r="AJ710" s="1434"/>
      <c r="AK710" s="1436"/>
      <c r="AL710" s="1438"/>
      <c r="AM710" s="1441"/>
      <c r="AN710" s="1442"/>
      <c r="AO710" s="1447"/>
      <c r="AP710" s="1447"/>
      <c r="AQ710" s="1448"/>
      <c r="AR710" s="1452"/>
      <c r="AS710" s="1455"/>
      <c r="AT710" s="1458"/>
      <c r="AU710" s="516"/>
      <c r="AV710" s="1479"/>
      <c r="AW710" s="1479"/>
      <c r="BC710" s="38"/>
      <c r="BD710" s="38"/>
      <c r="BE710" s="38"/>
      <c r="BF710" s="38"/>
      <c r="BG710" s="38"/>
      <c r="BH710" s="38"/>
      <c r="BI710" s="38"/>
      <c r="BJ710" s="38"/>
      <c r="BK710" s="38"/>
      <c r="BL710" s="38"/>
      <c r="BM710" s="38"/>
      <c r="BN710" s="38"/>
      <c r="BO710" s="38"/>
      <c r="BP710" s="38"/>
      <c r="BQ710" s="38"/>
      <c r="BR710" s="38"/>
      <c r="BS710" s="38"/>
      <c r="BT710" s="38"/>
      <c r="BU710" s="38"/>
      <c r="BV710" s="38"/>
      <c r="BW710" s="38"/>
      <c r="BX710" s="38"/>
      <c r="BY710" s="38"/>
      <c r="BZ710" s="38"/>
      <c r="CA710" s="38"/>
      <c r="CB710" s="38"/>
      <c r="CC710" s="38"/>
      <c r="CD710" s="38"/>
      <c r="CE710" s="38"/>
      <c r="CF710" s="38"/>
      <c r="CG710" s="38"/>
      <c r="CH710" s="38"/>
      <c r="CI710" s="38"/>
      <c r="CM710" s="1352"/>
      <c r="CN710" s="1352"/>
      <c r="CO710" s="1416"/>
      <c r="CP710" s="1418"/>
      <c r="CR710" s="1386"/>
      <c r="CS710" s="1355"/>
      <c r="CT710" s="1355"/>
      <c r="CU710" s="1355"/>
      <c r="CV710" s="1372"/>
      <c r="CW710" s="1372"/>
      <c r="CX710" s="1371"/>
      <c r="CY710" s="1486"/>
      <c r="CZ710" s="1486"/>
      <c r="DA710" s="1486"/>
      <c r="DC710" s="1355"/>
      <c r="DD710" s="1461"/>
      <c r="DE710" s="1355"/>
      <c r="DF710" s="1407"/>
      <c r="DG710" s="1372"/>
      <c r="DH710" s="1369"/>
      <c r="DJ710" s="1484"/>
      <c r="DL710" s="1419"/>
      <c r="DN710" s="1403"/>
      <c r="DO710" s="1405"/>
      <c r="DP710" s="1354"/>
      <c r="DQ710" s="1405"/>
      <c r="DR710" s="1403"/>
      <c r="DS710" s="1489"/>
      <c r="DU710" s="1403"/>
      <c r="DV710" s="1405"/>
      <c r="DW710" s="1403"/>
      <c r="DX710" s="1403"/>
      <c r="DZ710" s="1481"/>
      <c r="EA710" s="1481"/>
      <c r="EC710" s="1482"/>
      <c r="ED710" s="1369"/>
      <c r="EE710" s="1371"/>
      <c r="EF710" s="1369"/>
      <c r="EG710" s="1369"/>
      <c r="EH710" s="1374"/>
      <c r="EI710" s="1374"/>
      <c r="EJ710" s="1363"/>
      <c r="EK710" s="1376"/>
      <c r="EL710" s="1376"/>
      <c r="EM710" s="1362"/>
      <c r="EN710" s="1362"/>
      <c r="EO710" s="1363"/>
      <c r="EP710" s="1363"/>
      <c r="EQ710" s="1363"/>
      <c r="ES710" s="1403"/>
      <c r="EU710" s="1411"/>
      <c r="EV710" s="1411"/>
      <c r="EW710" s="1411"/>
      <c r="EX710" s="1411"/>
      <c r="EY710" s="1411"/>
      <c r="EZ710" s="1413"/>
      <c r="FB710" s="1365"/>
      <c r="FD710" s="1354"/>
      <c r="FE710" s="1354"/>
      <c r="FF710" s="138"/>
      <c r="FI710" s="1357"/>
      <c r="FJ710" s="1357"/>
      <c r="FK710" s="1365"/>
      <c r="FL710" s="1365"/>
      <c r="FM710" s="1365"/>
      <c r="FO710" s="1361"/>
      <c r="FP710" s="1361"/>
      <c r="FQ710" s="1366"/>
      <c r="FR710" s="1368"/>
      <c r="FS710" s="1361"/>
      <c r="FT710" s="1368"/>
      <c r="FU710" s="1360"/>
      <c r="FW710" s="1352"/>
      <c r="FX710" s="1352"/>
      <c r="FY710" s="1352"/>
      <c r="FZ710" s="1352"/>
      <c r="GA710" s="1352"/>
      <c r="GB710" s="1352"/>
      <c r="GC710" s="1352"/>
      <c r="GD710" s="1352"/>
      <c r="GE710" s="759"/>
      <c r="GF710" s="1035"/>
      <c r="GG710" s="1385"/>
      <c r="GI710" s="1384" t="b">
        <f>IF(AND(GL710=TRUE,GM710=TRUE),TRUE,FALSE)</f>
        <v>0</v>
      </c>
      <c r="GJ710" s="1379" t="b">
        <f>IFERROR(IF(__Retrofit_TI_NC=2,TRUE,IF(AR709="Yes",TRUE,FALSE)),FALSE)</f>
        <v>1</v>
      </c>
      <c r="GL710" s="1379" t="b">
        <f>IFERROR(IF(GL709=1,TRUE,FALSE),FALSE)</f>
        <v>0</v>
      </c>
      <c r="GM710" s="1379" t="b">
        <f>IFERROR(IF(GM709=GM$14,TRUE,FALSE),FALSE)</f>
        <v>0</v>
      </c>
      <c r="HC710" s="1379" t="b">
        <f>IFERROR(IF(M710=1,TRUE,FALSE),FALSE)</f>
        <v>0</v>
      </c>
      <c r="HD710" s="1379" t="b">
        <f>IFERROR(IF(M711=1,TRUE,FALSE),FALSE)</f>
        <v>0</v>
      </c>
      <c r="HE710" s="1379" t="b">
        <f>IFERROR(IF(__Retrofit_TI_NC&lt;&gt;0,TRUE,IFERROR(IF(VLOOKUP(U710,Fixtures_Existing_List,2,FALSE)&lt;&gt;"",TRUE,FALSE),FALSE)),FALSE)</f>
        <v>0</v>
      </c>
      <c r="HF710" s="1379" t="b">
        <f>IFERROR(IF(VLOOKUP(U711,Fixtures_Proposed_List,2,FALSE)&lt;&gt;"",TRUE,FALSE),FALSE)</f>
        <v>0</v>
      </c>
      <c r="HG710" s="1379" t="b">
        <f>IF(AND(__Retrofit_TI_NC=2,EZ709=TRUE),FALSE,TRUE)</f>
        <v>1</v>
      </c>
      <c r="HH710" s="1379" t="b">
        <f>GG709</f>
        <v>1</v>
      </c>
      <c r="HI710" s="1384" t="b">
        <f>IF(ISERROR(MATCH(FB709,_Control_Match[],0))=TRUE,FALSE,TRUE)</f>
        <v>0</v>
      </c>
      <c r="HJ710" s="1384" t="b">
        <f>IFERROR(IF(EU709&lt;&gt;EV709,FALSE,TRUE),FALSE)</f>
        <v>0</v>
      </c>
      <c r="HK710" s="1384" t="b">
        <f>IFERROR(IF(EU711&lt;&gt;EV711,FALSE,TRUE),FALSE)</f>
        <v>0</v>
      </c>
      <c r="HL710" s="1379" t="b">
        <f>IFERROR(IF(CN709="Exterior",TRUE,IF(OR(AND(FJ709=0,EW711&gt;4),AND(FJ709=4,EW711&gt;4,EW711&lt;7)),FALSE,TRUE)),FALSE)</f>
        <v>0</v>
      </c>
      <c r="HM710" s="1379" t="b">
        <f>IFERROR(IF(AND(FL711=7,EZ709=TRUE),FALSE,TRUE),FALSE)</f>
        <v>0</v>
      </c>
      <c r="HN710" s="1379" t="b">
        <f>IFERROR(IF(AND(T711&lt;&gt;AE711,AF711="Interior LLLC")=TRUE,FALSE,TRUE),FALSE)</f>
        <v>1</v>
      </c>
      <c r="HO710" s="1379" t="b">
        <f>IFERROR(IF(OR(AF711=Lookup!AU$13,AF711=Lookup!AU$14)=TRUE,IF(AE711&gt;T711,FALSE,TRUE),TRUE),FALSE)</f>
        <v>1</v>
      </c>
      <c r="HP710" s="1379" t="b">
        <f>IFERROR(IF(__Retrofit_TI_NC=2,IF(EW711&lt;EW709,FALSE,TRUE),TRUE),FALSE)</f>
        <v>1</v>
      </c>
      <c r="HQ710" s="1379" t="b">
        <f>IF(CN709="Interior",IG$6,TRUE)</f>
        <v>1</v>
      </c>
      <c r="HR710" s="1379" t="b">
        <f>IF(CN709="Exterior",IG$8,TRUE)</f>
        <v>1</v>
      </c>
      <c r="HS710" s="1379" t="b">
        <f>IFERROR(IF(__Retrofit_TI_NC&lt;&gt;0,IF(AW709&lt;AV709,FALSE,TRUE),TRUE),FALSE)</f>
        <v>1</v>
      </c>
      <c r="HT710" s="1379" t="b">
        <f>IFERROR(IF(AND(G710="Exterior",R710&gt;4200),FALSE,TRUE),FALSE)</f>
        <v>1</v>
      </c>
      <c r="HU710" s="1379" t="b">
        <f>IFERROR(IF(AB712/AB709&lt;HU$18,FALSE,TRUE),FALSE)</f>
        <v>0</v>
      </c>
      <c r="HW710" s="1382"/>
      <c r="HX710" s="1378"/>
      <c r="HY710" s="1377" t="str">
        <f>VLOOKUP(HW712,_Error_Table,4,FALSE)</f>
        <v>White</v>
      </c>
      <c r="HZ710" s="436"/>
      <c r="IA710" s="1386"/>
      <c r="IB710" s="1380"/>
      <c r="IC710" s="1379"/>
      <c r="IF710" s="1380"/>
      <c r="IG710" s="1382"/>
      <c r="IH710" s="1382"/>
      <c r="II710" s="1382"/>
      <c r="IK710" s="1351"/>
      <c r="IL710" s="1351"/>
      <c r="IM710" s="1351"/>
      <c r="IN710" s="1351"/>
      <c r="IO710" s="1351"/>
      <c r="IP710" s="1351"/>
    </row>
    <row r="711" spans="1:250" s="82" customFormat="1" ht="14.95" customHeight="1" thickTop="1" thickBot="1">
      <c r="A711" s="82">
        <f>ROW()</f>
        <v>711</v>
      </c>
      <c r="B711" s="1421"/>
      <c r="C711" s="1422"/>
      <c r="D711" s="1423"/>
      <c r="E711" s="1393" t="s">
        <v>245</v>
      </c>
      <c r="F711" s="1394"/>
      <c r="G711" s="1398"/>
      <c r="H711" s="1399"/>
      <c r="I711" s="1399"/>
      <c r="J711" s="1399"/>
      <c r="K711" s="1399"/>
      <c r="L711" s="1400"/>
      <c r="M711" s="509">
        <f>IFERROR(IF(IF(__Retrofit_TI_NC&lt;&gt;0,IF(CN709="Interior",MATCH(G711,Lookup_Interior_New,0),MATCH(G711,Lookup_Exterior_New,0)),IF(CN709="Interior",MATCH(G711,Lookup_Interior,0),MATCH(G711,Lookup_Exterior_Areas,0)))&gt;0,1,0),0)</f>
        <v>0</v>
      </c>
      <c r="N711" s="509" t="e">
        <f>IF(__Retrofit_TI_NC=1,
VLOOKUP(G711,'Space Table'!$B$3:$L$160,4,FALSE),
IF(__Retrofit_TI_NC=2,VLOOKUP(G711,'Space Table'!$B$3:$L$160,5,FALSE),VLOOKUP(G711,'Space Table'!$B$3:$L$160,5,FALSE)))</f>
        <v>#N/A</v>
      </c>
      <c r="O711" s="509">
        <f>G711</f>
        <v>0</v>
      </c>
      <c r="P711" s="1394" t="s">
        <v>355</v>
      </c>
      <c r="Q711" s="1394"/>
      <c r="R711" s="674"/>
      <c r="S711" s="1401" t="s">
        <v>284</v>
      </c>
      <c r="T711" s="672"/>
      <c r="U711" s="1499"/>
      <c r="V711" s="1500"/>
      <c r="W711" s="1500"/>
      <c r="X711" s="1500"/>
      <c r="Y711" s="1500"/>
      <c r="Z711" s="1500"/>
      <c r="AA711" s="1500"/>
      <c r="AB711" s="1501"/>
      <c r="AC711" s="1501"/>
      <c r="AD711" s="1502"/>
      <c r="AE711" s="672"/>
      <c r="AF711" s="1474"/>
      <c r="AG711" s="1474"/>
      <c r="AH711" s="1474"/>
      <c r="AI711" s="1474"/>
      <c r="AJ711" s="1475">
        <f>DF711</f>
        <v>0</v>
      </c>
      <c r="AK711" s="1470" t="str">
        <f>IFERROR(ROUND(AJ711*AC712,0),"")</f>
        <v/>
      </c>
      <c r="AL711" s="1472">
        <f>IFERROR(IF(HW709=FALSE,0,AC712-AK711),0)</f>
        <v>0</v>
      </c>
      <c r="AM711" s="1441"/>
      <c r="AN711" s="1442"/>
      <c r="AO711" s="1447"/>
      <c r="AP711" s="1447"/>
      <c r="AQ711" s="1448"/>
      <c r="AR711" s="1452"/>
      <c r="AS711" s="1455"/>
      <c r="AT711" s="1458"/>
      <c r="AU711" s="516"/>
      <c r="AV711" s="1479"/>
      <c r="AW711" s="1479"/>
      <c r="BC711" s="38"/>
      <c r="BD711" s="38"/>
      <c r="BE711" s="38"/>
      <c r="BF711" s="38"/>
      <c r="BG711" s="38"/>
      <c r="BH711" s="38"/>
      <c r="BI711" s="38"/>
      <c r="BJ711" s="38"/>
      <c r="BK711" s="38"/>
      <c r="BL711" s="38"/>
      <c r="BM711" s="38"/>
      <c r="BN711" s="38"/>
      <c r="BO711" s="38"/>
      <c r="BP711" s="38"/>
      <c r="BQ711" s="38"/>
      <c r="BR711" s="38"/>
      <c r="BS711" s="38"/>
      <c r="BT711" s="38"/>
      <c r="BU711" s="38"/>
      <c r="BV711" s="38"/>
      <c r="BW711" s="38"/>
      <c r="BX711" s="38"/>
      <c r="BY711" s="38"/>
      <c r="BZ711" s="38"/>
      <c r="CA711" s="38"/>
      <c r="CB711" s="38"/>
      <c r="CC711" s="38"/>
      <c r="CD711" s="38"/>
      <c r="CE711" s="38"/>
      <c r="CF711" s="38"/>
      <c r="CG711" s="38"/>
      <c r="CH711" s="38"/>
      <c r="CI711" s="38"/>
      <c r="CM711" s="1352"/>
      <c r="CN711" s="1352"/>
      <c r="CO711" s="1415" t="str">
        <f>CN709</f>
        <v/>
      </c>
      <c r="CP711" s="1417" t="e">
        <f>CP709</f>
        <v>#N/A</v>
      </c>
      <c r="CR711" s="1386" t="s">
        <v>284</v>
      </c>
      <c r="CS711" s="1353">
        <f>IF(HW709=TRUE,T711,0)</f>
        <v>0</v>
      </c>
      <c r="CT711" s="1353" t="str">
        <f>IF(HW709=TRUE,U711,"")</f>
        <v/>
      </c>
      <c r="CU711" s="1373">
        <f>IF(HW709=TRUE,U712,0)</f>
        <v>0</v>
      </c>
      <c r="CV711" s="1370">
        <f>IF(HW709=TRUE,AB712,0)</f>
        <v>0</v>
      </c>
      <c r="CW711" s="1370">
        <f>IF(HW709=TRUE,AC712,0)</f>
        <v>0</v>
      </c>
      <c r="CX711" s="1371"/>
      <c r="CY711" s="1486"/>
      <c r="CZ711" s="1486"/>
      <c r="DA711" s="1486"/>
      <c r="DC711" s="1353">
        <f>IF(HW709=TRUE,AE711,0)</f>
        <v>0</v>
      </c>
      <c r="DD711" s="1353" t="str">
        <f>IF(HW709=TRUE,AF711,"")</f>
        <v/>
      </c>
      <c r="DE711" s="1373">
        <f>AF712</f>
        <v>0</v>
      </c>
      <c r="DF711" s="1406">
        <f>IFERROR(IF(FL711=3,IK711,IF(FL711=4,IL711,IF(FL711=5,IM711,IF(FL711=6,IN711,IF(FL711=7,IO711,IF(FL711=8,IP711,0)))))),0)</f>
        <v>0</v>
      </c>
      <c r="DG711" s="1370">
        <f>IF(HW709=TRUE,AK711,0)</f>
        <v>0</v>
      </c>
      <c r="DH711" s="1369"/>
      <c r="DK711" s="1483">
        <f>IFERROR(CW711-DG711,0)</f>
        <v>0</v>
      </c>
      <c r="DL711" s="1420"/>
      <c r="DN711" s="1403"/>
      <c r="DO711" s="1477" t="str">
        <f>DN709</f>
        <v/>
      </c>
      <c r="DP711" s="1354"/>
      <c r="DQ711" s="1477" t="str">
        <f>IF(DP709=7,"LLLC","")</f>
        <v/>
      </c>
      <c r="DR711" s="1403"/>
      <c r="DS711" s="1489"/>
      <c r="DU711" s="1403"/>
      <c r="DV711" s="1404" t="str">
        <f>DU709</f>
        <v/>
      </c>
      <c r="DW711" s="1403"/>
      <c r="DX711" s="1403"/>
      <c r="DZ711" s="1481"/>
      <c r="EA711" s="1481"/>
      <c r="EC711" s="1482"/>
      <c r="ED711" s="1369"/>
      <c r="EE711" s="1371"/>
      <c r="EF711" s="1369"/>
      <c r="EG711" s="1369"/>
      <c r="EH711" s="1374"/>
      <c r="EI711" s="1374"/>
      <c r="EJ711" s="1363"/>
      <c r="EK711" s="1376"/>
      <c r="EL711" s="1376"/>
      <c r="EM711" s="1362"/>
      <c r="EN711" s="1362"/>
      <c r="EO711" s="1363"/>
      <c r="EP711" s="1363"/>
      <c r="EQ711" s="1363"/>
      <c r="ES711" s="1403"/>
      <c r="EU711" s="1411" t="e">
        <f>VLOOKUP(CP711,'Space Table'!$B$3:$L$160,8,FALSE)</f>
        <v>#N/A</v>
      </c>
      <c r="EV711" s="1411" t="e">
        <f>IF(EY711="Yes",VLOOKUP(AF711,Lookup_Control_Type_Table2,4,FALSE),VLOOKUP(AF711,Lookup_Control_Type_Table2,3,FALSE))</f>
        <v>#N/A</v>
      </c>
      <c r="EW711" s="1411" t="e">
        <f>VLOOKUP(AF711,Lookup!AU$3:AV$15,2,FALSE)</f>
        <v>#N/A</v>
      </c>
      <c r="EX711" s="1411" t="e">
        <f>VLOOKUP(EU709,Lookup_Control_Type_Table,2,FALSE)</f>
        <v>#N/A</v>
      </c>
      <c r="EY711" s="1411" t="e">
        <f>VLOOKUP(CP711,'Space Table'!$B$3:$L$160,7,FALSE)</f>
        <v>#N/A</v>
      </c>
      <c r="EZ711" s="1413"/>
      <c r="FB711" s="1365" t="str">
        <f>CONCATENATE(CN709," - ",AF711)</f>
        <v xml:space="preserve"> - </v>
      </c>
      <c r="FD711" s="1354"/>
      <c r="FE711" s="1354"/>
      <c r="FF711" s="138"/>
      <c r="FI711" s="1356" t="str">
        <f>IF(CN709="Exterior","Not Daylighted",G712)</f>
        <v>Not Daylighted</v>
      </c>
      <c r="FJ711" s="1356">
        <f>VLOOKUP(FI711,_Daylight_Table_Codes,2,FALSE)</f>
        <v>0</v>
      </c>
      <c r="FK711" s="1365">
        <f>AF711</f>
        <v>0</v>
      </c>
      <c r="FL711" s="1365" t="e">
        <f>VLOOKUP(FK711,_Control_Table,2,FALSE)</f>
        <v>#N/A</v>
      </c>
      <c r="FM711" s="1365" t="e">
        <f>IF(AND(FP711&gt;0,FK711="Occupancy Sensor"),"Daylight + Occupancy",IF(AND(FP711&gt;0,FL711&lt;4),"Interior Daylight Dimming",FK711))</f>
        <v>#N/A</v>
      </c>
      <c r="FO711" s="1364">
        <f>IF(CN709="Interior",VLOOKUP(CP709,Control_Savings_Interior,5,FALSE),0)</f>
        <v>0</v>
      </c>
      <c r="FP711" s="1361">
        <f>IF(CN711="Exterior",0,IF(FJ711=2,0.5,IF(OR(FJ711=1,FJ711=3),1,0)))</f>
        <v>0</v>
      </c>
      <c r="FQ711" s="1366">
        <f>IF(R710&gt;FO$37,(FO711*(FO$37/R710)),FO711)*FP711</f>
        <v>0</v>
      </c>
      <c r="FR711" s="1364">
        <f>DF711</f>
        <v>0</v>
      </c>
      <c r="FS711" s="1364">
        <f>ROUND(FR711+((1-FR711)*FQ711),2)</f>
        <v>0</v>
      </c>
      <c r="FT711" s="1364">
        <f>IF(__Retrofit_TI_NC=2,FS711,FR711)</f>
        <v>0</v>
      </c>
      <c r="FU711" s="1360">
        <f>IF(CO711="Interior",VLOOKUP(CP711,Control_Savings_Interior,4,FALSE),0)</f>
        <v>0</v>
      </c>
      <c r="FW711" s="1352"/>
      <c r="FX711" s="1352"/>
      <c r="FY711" s="1352"/>
      <c r="FZ711" s="1352"/>
      <c r="GA711" s="1352"/>
      <c r="GB711" s="1352"/>
      <c r="GC711" s="1352"/>
      <c r="GD711" s="1352"/>
      <c r="GE711" s="759" t="b">
        <f>IF(ISNUMBER(SEARCH("TLED",U711)),TRUE,FALSE)</f>
        <v>0</v>
      </c>
      <c r="GF711" s="1035" t="str">
        <f>IFERROR(VLOOKUP(U711,Fixtures!DM$93:DR$142,6,FALSE),"")</f>
        <v/>
      </c>
      <c r="GG711" s="1385"/>
      <c r="GI711" s="1383"/>
      <c r="GJ711" s="1379"/>
      <c r="GL711" s="1379"/>
      <c r="GM711" s="1379"/>
      <c r="HC711" s="1379"/>
      <c r="HD711" s="1379"/>
      <c r="HE711" s="1379"/>
      <c r="HF711" s="1379"/>
      <c r="HG711" s="1379"/>
      <c r="HH711" s="1379"/>
      <c r="HI711" s="1383"/>
      <c r="HJ711" s="1383"/>
      <c r="HK711" s="1383"/>
      <c r="HL711" s="1379"/>
      <c r="HM711" s="1379"/>
      <c r="HN711" s="1379"/>
      <c r="HO711" s="1379"/>
      <c r="HP711" s="1379"/>
      <c r="HQ711" s="1379"/>
      <c r="HR711" s="1379"/>
      <c r="HS711" s="1379"/>
      <c r="HT711" s="1379"/>
      <c r="HU711" s="1379"/>
      <c r="HW711" s="1383"/>
      <c r="HX711" s="1384" t="b">
        <f>HW709</f>
        <v>0</v>
      </c>
      <c r="HY711" s="1378"/>
      <c r="HZ711" s="436"/>
      <c r="IA711" s="1386"/>
      <c r="IB711" s="1380">
        <f>IF(IA709=TRUE,AC712,0)</f>
        <v>0</v>
      </c>
      <c r="IC711" s="1379"/>
      <c r="IF711" s="1380" t="e">
        <f>ROUND(T711*AB712*N710*R710/1000,0)</f>
        <v>#VALUE!</v>
      </c>
      <c r="IG711" s="1382"/>
      <c r="IH711" s="1384" t="e">
        <f>ROUND(T711*AB712*N710*R710/1000,0)</f>
        <v>#VALUE!</v>
      </c>
      <c r="II711" s="1382"/>
      <c r="IK711" s="1351" t="e">
        <f>IF($CO711="interior",IL711/2,VLOOKUP($CP711,Control_Savings_Exterior,IK$30,FALSE))</f>
        <v>#N/A</v>
      </c>
      <c r="IL711" s="1351" t="e">
        <f>IF($CO711="interior",VLOOKUP($CP711,Control_Savings_Interior,IL$30,FALSE),VLOOKUP($CP711,Control_Savings_Exterior,IL$30,FALSE))</f>
        <v>#N/A</v>
      </c>
      <c r="IM711" s="1351" t="e">
        <f>IF($CO711="interior",IF(R710&gt;FO$37,(IM$28*(FO$37/R710)),IM$28)*FP711,VLOOKUP($CP711,Control_Savings_Exterior,IM$30,FALSE))</f>
        <v>#N/A</v>
      </c>
      <c r="IN711" s="1351" t="e">
        <f>IF($CO711="interior",ROUND(((1-IL711)*IM711)+IL711,2),VLOOKUP($CP711,Control_Savings_Exterior,IN$30,FALSE))</f>
        <v>#N/A</v>
      </c>
      <c r="IO711" s="1351" t="e">
        <f>IF($CO711="interior", ROUND(((1-IL711)*(IM711*(1-IP$28)))+IP711,2), VLOOKUP($CP711,Control_Savings_Exterior,IO$30,FALSE))</f>
        <v>#N/A</v>
      </c>
      <c r="IP711" s="1351">
        <f>IF($CO711="interior",ROUND(((1-IL711)*IP$28)+IL711,2),0)</f>
        <v>0</v>
      </c>
    </row>
    <row r="712" spans="1:250" s="82" customFormat="1" ht="14.95" customHeight="1" thickTop="1" thickBot="1">
      <c r="B712" s="1421"/>
      <c r="C712" s="1422"/>
      <c r="D712" s="1423"/>
      <c r="E712" s="1462" t="s">
        <v>357</v>
      </c>
      <c r="F712" s="1463"/>
      <c r="G712" s="1464" t="s">
        <v>362</v>
      </c>
      <c r="H712" s="1465"/>
      <c r="I712" s="1465"/>
      <c r="J712" s="1465"/>
      <c r="K712" s="1465"/>
      <c r="L712" s="1466"/>
      <c r="M712" s="669">
        <f>IFERROR(VLOOKUP(G712,_Daylight_Table[],2,FALSE),0)</f>
        <v>0</v>
      </c>
      <c r="N712" s="670"/>
      <c r="O712" s="669" t="e">
        <f>VLOOKUP(G711,'Space Table'!$B$3:$L$160,11,FALSE)</f>
        <v>#N/A</v>
      </c>
      <c r="P712" s="1408"/>
      <c r="Q712" s="1409"/>
      <c r="R712" s="1409"/>
      <c r="S712" s="1402"/>
      <c r="T712" s="671" t="s">
        <v>281</v>
      </c>
      <c r="U712" s="1467" t="str">
        <f>IFERROR(VLOOKUP(U711,Fixtures!DM$93:DP$142,4,FALSE),"")</f>
        <v/>
      </c>
      <c r="V712" s="1468"/>
      <c r="W712" s="1468"/>
      <c r="X712" s="1468"/>
      <c r="Y712" s="1468"/>
      <c r="Z712" s="1468"/>
      <c r="AA712" s="1468"/>
      <c r="AB712" s="1046" t="str">
        <f>IFERROR(VLOOKUP(U711,Fixtures_Proposed_List,2,FALSE),"")</f>
        <v/>
      </c>
      <c r="AC712" s="1036" t="str">
        <f>IFERROR(ROUND(T711*AB712*N710*R710/1000,0),"")</f>
        <v/>
      </c>
      <c r="AD712" s="1037" t="str">
        <f>IFERROR(ROUND(T711*AB712/1000,2),"")</f>
        <v/>
      </c>
      <c r="AE712" s="1045" t="s">
        <v>281</v>
      </c>
      <c r="AF712" s="1469"/>
      <c r="AG712" s="1469"/>
      <c r="AH712" s="1469"/>
      <c r="AI712" s="1469"/>
      <c r="AJ712" s="1476"/>
      <c r="AK712" s="1471"/>
      <c r="AL712" s="1473"/>
      <c r="AM712" s="1443"/>
      <c r="AN712" s="1444"/>
      <c r="AO712" s="1449"/>
      <c r="AP712" s="1449"/>
      <c r="AQ712" s="1450"/>
      <c r="AR712" s="1453"/>
      <c r="AS712" s="1456"/>
      <c r="AT712" s="1459"/>
      <c r="AU712" s="517"/>
      <c r="AV712" s="1480"/>
      <c r="AW712" s="1480"/>
      <c r="BC712" s="38"/>
      <c r="BD712" s="38"/>
      <c r="BE712" s="38"/>
      <c r="BF712" s="38"/>
      <c r="BG712" s="38"/>
      <c r="BH712" s="38"/>
      <c r="BI712" s="38"/>
      <c r="BJ712" s="38"/>
      <c r="BK712" s="38"/>
      <c r="BL712" s="38"/>
      <c r="BM712" s="38"/>
      <c r="BN712" s="38"/>
      <c r="BO712" s="38"/>
      <c r="BP712" s="38"/>
      <c r="BQ712" s="38"/>
      <c r="BR712" s="38"/>
      <c r="BS712" s="38"/>
      <c r="BT712" s="38"/>
      <c r="BU712" s="38"/>
      <c r="BV712" s="38"/>
      <c r="BW712" s="38"/>
      <c r="BX712" s="38"/>
      <c r="BY712" s="38"/>
      <c r="BZ712" s="38"/>
      <c r="CA712" s="38"/>
      <c r="CB712" s="38"/>
      <c r="CC712" s="38"/>
      <c r="CD712" s="38"/>
      <c r="CE712" s="38"/>
      <c r="CF712" s="38"/>
      <c r="CG712" s="38"/>
      <c r="CH712" s="38"/>
      <c r="CI712" s="38"/>
      <c r="CM712" s="1352"/>
      <c r="CN712" s="1352"/>
      <c r="CO712" s="1416"/>
      <c r="CP712" s="1418"/>
      <c r="CR712" s="1386"/>
      <c r="CS712" s="1355"/>
      <c r="CT712" s="1355"/>
      <c r="CU712" s="1375"/>
      <c r="CV712" s="1372"/>
      <c r="CW712" s="1372"/>
      <c r="CX712" s="1372"/>
      <c r="CY712" s="1487"/>
      <c r="CZ712" s="1487"/>
      <c r="DA712" s="1487"/>
      <c r="DC712" s="1355"/>
      <c r="DD712" s="1355"/>
      <c r="DE712" s="1375"/>
      <c r="DF712" s="1407"/>
      <c r="DG712" s="1372"/>
      <c r="DH712" s="1369"/>
      <c r="DK712" s="1484"/>
      <c r="DL712" s="1420"/>
      <c r="DN712" s="1403"/>
      <c r="DO712" s="1405"/>
      <c r="DP712" s="1355"/>
      <c r="DQ712" s="1405"/>
      <c r="DR712" s="1403"/>
      <c r="DS712" s="1489"/>
      <c r="DU712" s="1403"/>
      <c r="DV712" s="1405"/>
      <c r="DW712" s="1403"/>
      <c r="DX712" s="1403"/>
      <c r="DZ712" s="1481"/>
      <c r="EA712" s="1481"/>
      <c r="EC712" s="1482"/>
      <c r="ED712" s="1369"/>
      <c r="EE712" s="1372"/>
      <c r="EF712" s="1369"/>
      <c r="EG712" s="1369"/>
      <c r="EH712" s="1375"/>
      <c r="EI712" s="1375"/>
      <c r="EJ712" s="1363"/>
      <c r="EK712" s="1376"/>
      <c r="EL712" s="1376"/>
      <c r="EM712" s="1362"/>
      <c r="EN712" s="1362"/>
      <c r="EO712" s="1363"/>
      <c r="EP712" s="1363"/>
      <c r="EQ712" s="1363"/>
      <c r="ES712" s="1403"/>
      <c r="EU712" s="1488"/>
      <c r="EV712" s="1488"/>
      <c r="EW712" s="1488"/>
      <c r="EX712" s="1488"/>
      <c r="EY712" s="1488"/>
      <c r="EZ712" s="1414"/>
      <c r="FB712" s="1365"/>
      <c r="FD712" s="1355"/>
      <c r="FE712" s="1355"/>
      <c r="FF712" s="138"/>
      <c r="FI712" s="1357"/>
      <c r="FJ712" s="1357"/>
      <c r="FK712" s="1365"/>
      <c r="FL712" s="1365"/>
      <c r="FM712" s="1365"/>
      <c r="FO712" s="1361"/>
      <c r="FP712" s="1361"/>
      <c r="FQ712" s="1366"/>
      <c r="FR712" s="1361"/>
      <c r="FS712" s="1361"/>
      <c r="FT712" s="1361"/>
      <c r="FU712" s="1360"/>
      <c r="FW712" s="1352"/>
      <c r="FX712" s="1352"/>
      <c r="FY712" s="1352"/>
      <c r="FZ712" s="1352"/>
      <c r="GA712" s="1352"/>
      <c r="GB712" s="1352"/>
      <c r="GC712" s="1352"/>
      <c r="GD712" s="1352"/>
      <c r="GE712" s="759"/>
      <c r="GF712" s="1035"/>
      <c r="GG712" s="1385"/>
      <c r="GJ712" s="1034">
        <f>IF(GJ710=TRUE,0,GJ$16)</f>
        <v>0</v>
      </c>
      <c r="GL712" s="1034">
        <f>IF(GL710=TRUE,0,GL$16)</f>
        <v>36</v>
      </c>
      <c r="GM712" s="1034">
        <f>IF(GM710=TRUE,0,GM$16)</f>
        <v>35</v>
      </c>
      <c r="GN712" s="436"/>
      <c r="GO712" s="436"/>
      <c r="GP712" s="436"/>
      <c r="GQ712" s="436"/>
      <c r="GR712" s="436"/>
      <c r="HC712" s="1034">
        <f t="shared" ref="HC712:HH712" si="530">IF(HC710=TRUE,0,HC$16)</f>
        <v>19</v>
      </c>
      <c r="HD712" s="1034">
        <f t="shared" si="530"/>
        <v>18</v>
      </c>
      <c r="HE712" s="1034">
        <f t="shared" si="530"/>
        <v>17</v>
      </c>
      <c r="HF712" s="1034">
        <f t="shared" si="530"/>
        <v>16</v>
      </c>
      <c r="HG712" s="1034">
        <f t="shared" si="530"/>
        <v>0</v>
      </c>
      <c r="HH712" s="1034">
        <f t="shared" si="530"/>
        <v>0</v>
      </c>
      <c r="HI712" s="1034">
        <f>IF(HI710=TRUE,0,HI$16)</f>
        <v>13</v>
      </c>
      <c r="HJ712" s="1034">
        <f t="shared" ref="HJ712:HL712" si="531">IF(HJ710=TRUE,0,HJ$16)</f>
        <v>12</v>
      </c>
      <c r="HK712" s="1034">
        <f t="shared" si="531"/>
        <v>11</v>
      </c>
      <c r="HL712" s="1034">
        <f t="shared" si="531"/>
        <v>10</v>
      </c>
      <c r="HM712" s="1034">
        <f>IF(HM710=TRUE,0,HM$16)</f>
        <v>9</v>
      </c>
      <c r="HN712" s="1034">
        <f t="shared" ref="HN712:HR712" si="532">IF(HN710=TRUE,0,HN$16)</f>
        <v>0</v>
      </c>
      <c r="HO712" s="1034">
        <f t="shared" si="532"/>
        <v>0</v>
      </c>
      <c r="HP712" s="1034">
        <f t="shared" si="532"/>
        <v>0</v>
      </c>
      <c r="HQ712" s="1034">
        <f t="shared" si="532"/>
        <v>0</v>
      </c>
      <c r="HR712" s="1034">
        <f t="shared" si="532"/>
        <v>0</v>
      </c>
      <c r="HS712" s="1034">
        <f>IF(HS710=TRUE,0,HS$16)</f>
        <v>0</v>
      </c>
      <c r="HT712" s="1034">
        <f t="shared" ref="HT712" si="533">IF(HT710=TRUE,0,HT$16)</f>
        <v>0</v>
      </c>
      <c r="HU712" s="1034">
        <f>IF(HU710=TRUE,0,HU$16)</f>
        <v>1</v>
      </c>
      <c r="HW712" s="1034">
        <f>IF(GL710=FALSE,GL712,IF(GM710=FALSE,GM712,MAX(GJ712:HU712)))</f>
        <v>36</v>
      </c>
      <c r="HX712" s="1383"/>
      <c r="HY712" s="241" t="str">
        <f>VLOOKUP(HW712,_Error_Table,3,FALSE)</f>
        <v xml:space="preserve"> </v>
      </c>
      <c r="HZ712" s="241"/>
      <c r="IA712" s="1386"/>
      <c r="IB712" s="1380"/>
      <c r="IC712" s="1379"/>
      <c r="IF712" s="1380"/>
      <c r="IG712" s="1383"/>
      <c r="IH712" s="1383"/>
      <c r="II712" s="1383"/>
      <c r="IK712" s="1351"/>
      <c r="IL712" s="1351"/>
      <c r="IM712" s="1351"/>
      <c r="IN712" s="1351"/>
      <c r="IO712" s="1351"/>
      <c r="IP712" s="1351"/>
    </row>
    <row r="713" spans="1:250" s="82" customFormat="1" ht="14.3" thickTop="1">
      <c r="B713" s="763"/>
      <c r="C713" s="437"/>
      <c r="D713" s="437"/>
      <c r="E713" s="1571"/>
      <c r="F713" s="1571"/>
      <c r="G713" s="1571"/>
      <c r="H713" s="1571"/>
      <c r="I713" s="1571"/>
      <c r="J713" s="1571"/>
      <c r="K713" s="1571"/>
      <c r="L713" s="1571"/>
      <c r="M713" s="1571"/>
      <c r="N713" s="1571"/>
      <c r="O713" s="1571"/>
      <c r="P713" s="1571"/>
      <c r="Q713" s="1571"/>
      <c r="R713" s="1571"/>
      <c r="S713" s="1571"/>
      <c r="T713" s="1571"/>
      <c r="U713" s="1571"/>
      <c r="V713" s="1571"/>
      <c r="W713" s="1571"/>
      <c r="X713" s="1571"/>
      <c r="Y713" s="1571"/>
      <c r="Z713" s="1571"/>
      <c r="AA713" s="1571"/>
      <c r="AB713" s="1571"/>
      <c r="AC713" s="1571"/>
      <c r="AD713" s="1571"/>
      <c r="AE713" s="1571"/>
      <c r="AF713" s="1571"/>
      <c r="AG713" s="1571"/>
      <c r="AH713" s="1571"/>
      <c r="AI713" s="1571"/>
      <c r="AJ713" s="1571"/>
      <c r="AK713" s="1571"/>
      <c r="AL713" s="1571"/>
      <c r="AM713" s="1571"/>
      <c r="AN713" s="1571"/>
      <c r="AO713" s="1571"/>
      <c r="AP713" s="1571"/>
      <c r="AQ713" s="1571"/>
      <c r="AR713" s="1571"/>
      <c r="AS713" s="1571"/>
      <c r="AT713" s="1571"/>
      <c r="AU713" s="518"/>
      <c r="BC713" s="38"/>
      <c r="BD713" s="38"/>
      <c r="BE713" s="38"/>
      <c r="BF713" s="38"/>
      <c r="BG713" s="38"/>
      <c r="BH713" s="38"/>
      <c r="BI713" s="38"/>
      <c r="BJ713" s="38"/>
      <c r="BK713" s="38"/>
      <c r="BL713" s="38"/>
      <c r="BM713" s="38"/>
      <c r="BN713" s="38"/>
      <c r="BO713" s="38"/>
      <c r="BP713" s="38"/>
      <c r="BQ713" s="38"/>
      <c r="BR713" s="38"/>
      <c r="BS713" s="38"/>
      <c r="BT713" s="38"/>
      <c r="BU713" s="38"/>
      <c r="BV713" s="38"/>
      <c r="BW713" s="38"/>
      <c r="BX713" s="38"/>
      <c r="BY713" s="38"/>
      <c r="BZ713" s="38"/>
      <c r="CA713" s="38"/>
      <c r="CB713" s="38"/>
      <c r="CC713" s="38"/>
      <c r="CD713" s="38"/>
      <c r="CE713" s="38"/>
      <c r="CF713" s="38"/>
      <c r="CG713" s="38"/>
      <c r="CH713" s="38"/>
      <c r="CI713" s="38"/>
      <c r="CM713" s="749"/>
      <c r="CN713" s="749"/>
      <c r="CO713" s="485"/>
      <c r="CP713" s="749"/>
      <c r="CS713" s="436"/>
      <c r="CT713" s="436"/>
      <c r="CU713" s="243"/>
      <c r="CV713" s="244"/>
      <c r="CW713" s="244"/>
      <c r="CX713" s="244"/>
      <c r="CY713" s="245"/>
      <c r="CZ713" s="245"/>
      <c r="DA713" s="245"/>
      <c r="DC713" s="750"/>
      <c r="DD713" s="751"/>
      <c r="DE713" s="752"/>
      <c r="DF713" s="753"/>
      <c r="DG713" s="754"/>
      <c r="DH713" s="754"/>
      <c r="DK713" s="244"/>
      <c r="DL713" s="750"/>
      <c r="DN713" s="750"/>
      <c r="DO713" s="755"/>
      <c r="DP713" s="436"/>
      <c r="DQ713" s="750"/>
      <c r="DR713" s="750"/>
      <c r="DS713" s="750"/>
      <c r="DU713" s="750"/>
      <c r="DV713" s="750"/>
      <c r="DW713" s="750"/>
      <c r="DX713" s="750"/>
      <c r="DZ713" s="756"/>
      <c r="EA713" s="756"/>
      <c r="EC713" s="754"/>
      <c r="ED713" s="754"/>
      <c r="EE713" s="244"/>
      <c r="EF713" s="754"/>
      <c r="EG713" s="754"/>
      <c r="EH713" s="243"/>
      <c r="EI713" s="243"/>
      <c r="EJ713" s="752"/>
      <c r="EK713" s="757"/>
      <c r="EL713" s="757"/>
      <c r="EM713" s="758"/>
      <c r="EN713" s="758"/>
      <c r="EO713" s="752"/>
      <c r="EP713" s="752"/>
      <c r="EQ713" s="752"/>
      <c r="ES713" s="750"/>
      <c r="EU713" s="436"/>
      <c r="EV713" s="436"/>
      <c r="EW713" s="436"/>
      <c r="EX713" s="436"/>
      <c r="EY713" s="436"/>
      <c r="EZ713" s="436"/>
      <c r="FB713" s="643"/>
      <c r="FD713" s="436"/>
      <c r="FE713" s="436"/>
      <c r="FF713" s="436"/>
      <c r="FO713" s="750"/>
      <c r="FP713" s="436"/>
      <c r="FQ713" s="436"/>
      <c r="FR713" s="750"/>
      <c r="FS713" s="750"/>
      <c r="FW713" s="749"/>
      <c r="FX713" s="749"/>
      <c r="FY713" s="749"/>
      <c r="FZ713" s="749"/>
      <c r="GA713" s="749"/>
      <c r="GB713" s="749"/>
      <c r="GC713" s="749"/>
      <c r="GD713" s="749"/>
      <c r="GE713" s="751"/>
      <c r="GF713" s="750"/>
      <c r="GG713" s="750"/>
    </row>
    <row r="714" spans="1:250">
      <c r="DU714" s="755"/>
      <c r="DV714" s="755"/>
      <c r="DW714" s="755"/>
      <c r="DX714" s="755"/>
      <c r="DY714" s="755"/>
      <c r="DZ714" s="755"/>
      <c r="EA714" s="755"/>
      <c r="EB714" s="755"/>
      <c r="EC714" s="764" t="s">
        <v>283</v>
      </c>
      <c r="ED714" s="764" t="s">
        <v>284</v>
      </c>
      <c r="EE714" s="764" t="s">
        <v>186</v>
      </c>
      <c r="EF714" s="764" t="s">
        <v>286</v>
      </c>
      <c r="EG714" s="764" t="s">
        <v>287</v>
      </c>
      <c r="EH714" s="764"/>
      <c r="EI714" s="764"/>
      <c r="EJ714" s="764" t="s">
        <v>288</v>
      </c>
      <c r="EK714" s="764" t="s">
        <v>186</v>
      </c>
      <c r="EL714" s="764" t="s">
        <v>286</v>
      </c>
      <c r="EM714" s="764" t="s">
        <v>186</v>
      </c>
      <c r="EN714" s="764" t="s">
        <v>286</v>
      </c>
      <c r="EO714" s="764" t="s">
        <v>186</v>
      </c>
      <c r="EP714" s="764" t="s">
        <v>286</v>
      </c>
      <c r="EQ714" s="764"/>
      <c r="ES714" s="38">
        <f>ROW()</f>
        <v>714</v>
      </c>
    </row>
    <row r="715" spans="1:250" s="82" customFormat="1" ht="20.25" customHeight="1">
      <c r="B715" s="247"/>
      <c r="C715" s="437"/>
      <c r="D715" s="437"/>
      <c r="E715" s="247"/>
      <c r="F715" s="247"/>
      <c r="G715" s="247"/>
      <c r="H715" s="247"/>
      <c r="I715" s="485"/>
      <c r="J715" s="485"/>
      <c r="K715" s="485"/>
      <c r="L715" s="485"/>
      <c r="M715" s="485"/>
      <c r="N715" s="485"/>
      <c r="O715" s="485"/>
      <c r="P715" s="485"/>
      <c r="Q715" s="485"/>
      <c r="R715" s="436"/>
      <c r="S715" s="242"/>
      <c r="T715" s="436"/>
      <c r="U715" s="241"/>
      <c r="V715" s="241"/>
      <c r="W715" s="241"/>
      <c r="X715" s="241"/>
      <c r="Y715" s="241"/>
      <c r="Z715" s="241"/>
      <c r="AA715" s="243"/>
      <c r="AB715" s="436"/>
      <c r="AC715" s="244"/>
      <c r="AD715" s="245"/>
      <c r="AE715" s="436"/>
      <c r="AF715" s="241"/>
      <c r="AG715" s="241"/>
      <c r="AH715" s="241"/>
      <c r="AI715" s="243"/>
      <c r="AJ715" s="246"/>
      <c r="AK715" s="244"/>
      <c r="AL715" s="244"/>
      <c r="AM715" s="1540" t="s">
        <v>332</v>
      </c>
      <c r="AN715" s="1541"/>
      <c r="AO715" s="1529" t="s">
        <v>350</v>
      </c>
      <c r="AP715" s="1529"/>
      <c r="AQ715" s="1529" t="s">
        <v>205</v>
      </c>
      <c r="AR715" s="1529"/>
      <c r="AS715" s="1529"/>
      <c r="AT715" s="1529"/>
      <c r="AU715" s="485"/>
      <c r="BC715" s="38"/>
      <c r="BD715" s="38"/>
      <c r="BE715" s="38"/>
      <c r="BF715" s="38"/>
      <c r="BG715" s="38"/>
      <c r="BH715" s="38"/>
      <c r="BI715" s="38"/>
      <c r="BJ715" s="38"/>
      <c r="BK715" s="38"/>
      <c r="BL715" s="38"/>
      <c r="BM715" s="38"/>
      <c r="BN715" s="38"/>
      <c r="BO715" s="38"/>
      <c r="BP715" s="38"/>
      <c r="BQ715" s="38"/>
      <c r="BR715" s="38"/>
      <c r="BS715" s="38"/>
      <c r="BT715" s="38"/>
      <c r="BU715" s="38"/>
      <c r="BV715" s="38"/>
      <c r="BW715" s="38"/>
      <c r="BX715" s="38"/>
      <c r="BY715" s="38"/>
      <c r="BZ715" s="38"/>
      <c r="CA715" s="38"/>
      <c r="CB715" s="38"/>
      <c r="CC715" s="38"/>
      <c r="CD715" s="38"/>
      <c r="CE715" s="38"/>
      <c r="CF715" s="38"/>
      <c r="CG715" s="38"/>
      <c r="CH715" s="38"/>
      <c r="CI715" s="38"/>
      <c r="CM715" s="105" t="s">
        <v>290</v>
      </c>
      <c r="CN715" s="105" t="s">
        <v>291</v>
      </c>
      <c r="CO715" s="105"/>
      <c r="CP715" s="105" t="s">
        <v>292</v>
      </c>
      <c r="CQ715" s="38"/>
      <c r="CR715" s="38"/>
      <c r="CS715" s="37" t="s">
        <v>280</v>
      </c>
      <c r="CT715" s="38"/>
      <c r="CU715" s="105" t="s">
        <v>281</v>
      </c>
      <c r="CV715" s="38"/>
      <c r="CW715" s="38"/>
      <c r="CX715" s="105" t="s">
        <v>282</v>
      </c>
      <c r="CY715" s="105" t="s">
        <v>283</v>
      </c>
      <c r="CZ715" s="105" t="s">
        <v>284</v>
      </c>
      <c r="DA715" s="105" t="s">
        <v>285</v>
      </c>
      <c r="DB715" s="436"/>
      <c r="DC715" s="37" t="s">
        <v>293</v>
      </c>
      <c r="DD715" s="38"/>
      <c r="DE715" s="105" t="s">
        <v>281</v>
      </c>
      <c r="DF715" s="37"/>
      <c r="DG715" s="105" t="s">
        <v>282</v>
      </c>
      <c r="DH715" s="105" t="s">
        <v>282</v>
      </c>
      <c r="DI715" s="38"/>
      <c r="DJ715" s="105" t="s">
        <v>348</v>
      </c>
      <c r="DK715" s="105" t="s">
        <v>348</v>
      </c>
      <c r="DL715" s="105" t="s">
        <v>233</v>
      </c>
      <c r="DM715" s="38"/>
      <c r="DN715" s="1358" t="s">
        <v>186</v>
      </c>
      <c r="DO715" s="1358"/>
      <c r="DP715" s="105" t="s">
        <v>286</v>
      </c>
      <c r="DQ715" s="105"/>
      <c r="DR715" s="105" t="s">
        <v>294</v>
      </c>
      <c r="DS715" s="105" t="s">
        <v>294</v>
      </c>
      <c r="DT715" s="38"/>
      <c r="DU715" s="1358" t="s">
        <v>286</v>
      </c>
      <c r="DV715" s="1358"/>
      <c r="DW715" s="105" t="s">
        <v>294</v>
      </c>
      <c r="DX715" s="105" t="s">
        <v>295</v>
      </c>
      <c r="DY715" s="38"/>
      <c r="DZ715" s="105" t="s">
        <v>296</v>
      </c>
      <c r="EA715" s="105" t="s">
        <v>297</v>
      </c>
      <c r="EB715" s="436"/>
      <c r="EC715" s="689" t="s">
        <v>186</v>
      </c>
      <c r="ED715" s="689" t="s">
        <v>186</v>
      </c>
      <c r="EE715" s="689" t="s">
        <v>298</v>
      </c>
      <c r="EF715" s="689" t="s">
        <v>298</v>
      </c>
      <c r="EG715" s="689" t="s">
        <v>298</v>
      </c>
      <c r="EH715" s="689" t="s">
        <v>186</v>
      </c>
      <c r="EI715" s="689" t="s">
        <v>286</v>
      </c>
      <c r="EJ715" s="689" t="s">
        <v>286</v>
      </c>
      <c r="EK715" s="689" t="s">
        <v>299</v>
      </c>
      <c r="EL715" s="689" t="s">
        <v>299</v>
      </c>
      <c r="EM715" s="689" t="s">
        <v>299</v>
      </c>
      <c r="EN715" s="689" t="s">
        <v>299</v>
      </c>
      <c r="EO715" s="689" t="s">
        <v>299</v>
      </c>
      <c r="EP715" s="689" t="s">
        <v>299</v>
      </c>
      <c r="EQ715" s="689" t="s">
        <v>299</v>
      </c>
      <c r="ER715" s="436"/>
      <c r="ES715" s="436"/>
      <c r="EU715" s="436"/>
      <c r="EV715" s="436"/>
      <c r="EW715" s="436"/>
      <c r="EX715" s="436"/>
      <c r="EY715" s="436"/>
      <c r="EZ715" s="436"/>
      <c r="FD715" s="436"/>
      <c r="FE715" s="436"/>
      <c r="FF715" s="436"/>
      <c r="FI715" s="105" t="s">
        <v>300</v>
      </c>
      <c r="FJ715" s="105" t="s">
        <v>301</v>
      </c>
      <c r="FK715" s="105" t="s">
        <v>302</v>
      </c>
      <c r="FL715" s="105" t="s">
        <v>303</v>
      </c>
      <c r="FM715" s="38"/>
      <c r="FN715" s="38" t="s">
        <v>304</v>
      </c>
      <c r="FO715" s="105">
        <v>3200</v>
      </c>
      <c r="FP715" s="105" t="s">
        <v>305</v>
      </c>
      <c r="FQ715" s="105" t="s">
        <v>306</v>
      </c>
      <c r="FR715" s="105" t="s">
        <v>307</v>
      </c>
      <c r="FS715" s="105" t="s">
        <v>306</v>
      </c>
      <c r="FT715" s="38"/>
      <c r="FU715" s="38"/>
    </row>
    <row r="716" spans="1:250" s="82" customFormat="1" ht="20.25" customHeight="1" thickBot="1">
      <c r="B716" s="247"/>
      <c r="C716" s="660">
        <f>1+C638</f>
        <v>10</v>
      </c>
      <c r="D716" s="437"/>
      <c r="E716" s="241" t="str">
        <f>CONCATENATE(AF$20," - page ",C716)</f>
        <v xml:space="preserve"> - page 10</v>
      </c>
      <c r="F716" s="247"/>
      <c r="G716" s="247"/>
      <c r="H716" s="247"/>
      <c r="I716" s="485"/>
      <c r="J716" s="485"/>
      <c r="K716" s="485"/>
      <c r="L716" s="485"/>
      <c r="M716" s="485"/>
      <c r="N716" s="485"/>
      <c r="O716" s="485"/>
      <c r="P716" s="485"/>
      <c r="Q716" s="485"/>
      <c r="R716" s="436"/>
      <c r="S716" s="242"/>
      <c r="T716" s="436"/>
      <c r="U716" s="241"/>
      <c r="V716" s="241"/>
      <c r="W716" s="241"/>
      <c r="X716" s="241"/>
      <c r="Y716" s="241"/>
      <c r="Z716" s="241"/>
      <c r="AA716" s="243"/>
      <c r="AB716" s="677" t="s">
        <v>132</v>
      </c>
      <c r="AC716" s="677" t="s">
        <v>282</v>
      </c>
      <c r="AD716" s="677" t="s">
        <v>312</v>
      </c>
      <c r="AE716" s="436"/>
      <c r="AF716" s="241"/>
      <c r="AG716" s="241"/>
      <c r="AH716" s="241"/>
      <c r="AI716" s="243"/>
      <c r="AJ716" s="678" t="s">
        <v>233</v>
      </c>
      <c r="AK716" s="678" t="s">
        <v>332</v>
      </c>
      <c r="AL716" s="679" t="s">
        <v>349</v>
      </c>
      <c r="AM716" s="1565">
        <f>AX$4</f>
        <v>0</v>
      </c>
      <c r="AN716" s="1566"/>
      <c r="AO716" s="1567">
        <f>AX$6</f>
        <v>0</v>
      </c>
      <c r="AP716" s="1568"/>
      <c r="AQ716" s="1569"/>
      <c r="AR716" s="1561">
        <f>AX$2</f>
        <v>0</v>
      </c>
      <c r="AS716" s="1561"/>
      <c r="AT716" s="1379"/>
      <c r="AU716" s="436"/>
      <c r="BC716" s="38"/>
      <c r="BD716" s="38"/>
      <c r="BE716" s="38"/>
      <c r="BF716" s="38"/>
      <c r="BG716" s="38"/>
      <c r="BH716" s="38"/>
      <c r="BI716" s="38"/>
      <c r="BJ716" s="38"/>
      <c r="BK716" s="38"/>
      <c r="BL716" s="38"/>
      <c r="BM716" s="38"/>
      <c r="BN716" s="38"/>
      <c r="BO716" s="38"/>
      <c r="BP716" s="38"/>
      <c r="BQ716" s="38"/>
      <c r="BR716" s="38"/>
      <c r="BS716" s="38"/>
      <c r="BT716" s="38"/>
      <c r="BU716" s="38"/>
      <c r="BV716" s="38"/>
      <c r="BW716" s="38"/>
      <c r="BX716" s="38"/>
      <c r="BY716" s="38"/>
      <c r="BZ716" s="38"/>
      <c r="CA716" s="38"/>
      <c r="CB716" s="38"/>
      <c r="CC716" s="38"/>
      <c r="CD716" s="38"/>
      <c r="CE716" s="38"/>
      <c r="CF716" s="38"/>
      <c r="CG716" s="38"/>
      <c r="CH716" s="38"/>
      <c r="CI716" s="38"/>
      <c r="CM716" s="105" t="s">
        <v>310</v>
      </c>
      <c r="CN716" s="105" t="s">
        <v>277</v>
      </c>
      <c r="CO716" s="105"/>
      <c r="CP716" s="105" t="s">
        <v>172</v>
      </c>
      <c r="CQ716" s="38"/>
      <c r="CR716" s="38"/>
      <c r="CS716" s="105" t="s">
        <v>190</v>
      </c>
      <c r="CT716" s="105" t="s">
        <v>186</v>
      </c>
      <c r="CU716" s="105" t="s">
        <v>311</v>
      </c>
      <c r="CV716" s="105" t="s">
        <v>132</v>
      </c>
      <c r="CW716" s="105" t="s">
        <v>282</v>
      </c>
      <c r="CX716" s="105" t="s">
        <v>285</v>
      </c>
      <c r="CY716" s="105" t="s">
        <v>312</v>
      </c>
      <c r="CZ716" s="105" t="s">
        <v>312</v>
      </c>
      <c r="DA716" s="105" t="s">
        <v>312</v>
      </c>
      <c r="DB716" s="436"/>
      <c r="DC716" s="105" t="s">
        <v>190</v>
      </c>
      <c r="DD716" s="37" t="s">
        <v>286</v>
      </c>
      <c r="DE716" s="105" t="s">
        <v>311</v>
      </c>
      <c r="DF716" s="105" t="s">
        <v>313</v>
      </c>
      <c r="DG716" s="105" t="s">
        <v>285</v>
      </c>
      <c r="DH716" s="105" t="s">
        <v>285</v>
      </c>
      <c r="DI716" s="38"/>
      <c r="DJ716" s="105" t="s">
        <v>349</v>
      </c>
      <c r="DK716" s="105" t="s">
        <v>284</v>
      </c>
      <c r="DL716" s="38"/>
      <c r="DM716" s="38"/>
      <c r="DN716" s="1359" t="s">
        <v>172</v>
      </c>
      <c r="DO716" s="1359"/>
      <c r="DP716" s="105" t="s">
        <v>172</v>
      </c>
      <c r="DQ716" s="105"/>
      <c r="DR716" s="105" t="s">
        <v>186</v>
      </c>
      <c r="DS716" s="105" t="s">
        <v>314</v>
      </c>
      <c r="DT716" s="38"/>
      <c r="DU716" s="1359" t="s">
        <v>315</v>
      </c>
      <c r="DV716" s="1359"/>
      <c r="DW716" s="105" t="s">
        <v>316</v>
      </c>
      <c r="DX716" s="105" t="s">
        <v>314</v>
      </c>
      <c r="DY716" s="38"/>
      <c r="DZ716" s="105" t="s">
        <v>205</v>
      </c>
      <c r="EA716" s="105" t="s">
        <v>205</v>
      </c>
      <c r="EB716" s="436"/>
      <c r="EC716" s="689" t="s">
        <v>282</v>
      </c>
      <c r="ED716" s="689" t="s">
        <v>282</v>
      </c>
      <c r="EE716" s="689" t="s">
        <v>282</v>
      </c>
      <c r="EF716" s="689" t="s">
        <v>282</v>
      </c>
      <c r="EG716" s="689" t="s">
        <v>282</v>
      </c>
      <c r="EH716" s="689" t="s">
        <v>281</v>
      </c>
      <c r="EI716" s="689" t="s">
        <v>281</v>
      </c>
      <c r="EJ716" s="689" t="s">
        <v>281</v>
      </c>
      <c r="EK716" s="689" t="s">
        <v>317</v>
      </c>
      <c r="EL716" s="689" t="s">
        <v>317</v>
      </c>
      <c r="EM716" s="689" t="s">
        <v>318</v>
      </c>
      <c r="EN716" s="689" t="s">
        <v>318</v>
      </c>
      <c r="EO716" s="689" t="s">
        <v>281</v>
      </c>
      <c r="EP716" s="689" t="s">
        <v>281</v>
      </c>
      <c r="EQ716" s="689" t="s">
        <v>281</v>
      </c>
      <c r="ER716" s="436"/>
      <c r="ES716" s="436">
        <f>SUM(ES717:ES790)</f>
        <v>0</v>
      </c>
      <c r="EU716" s="436"/>
      <c r="EV716" s="436"/>
      <c r="EW716" s="436"/>
      <c r="EX716" s="436"/>
      <c r="EY716" s="89" t="s">
        <v>314</v>
      </c>
      <c r="EZ716" s="89" t="s">
        <v>170</v>
      </c>
      <c r="FD716" s="436"/>
      <c r="FE716" s="436"/>
      <c r="FF716" s="436"/>
      <c r="FI716" s="38"/>
      <c r="FJ716" s="105" t="s">
        <v>273</v>
      </c>
      <c r="FK716" s="38"/>
      <c r="FL716" s="38"/>
      <c r="FM716" s="38"/>
      <c r="FN716" s="38" t="s">
        <v>233</v>
      </c>
      <c r="FO716" s="105" t="s">
        <v>305</v>
      </c>
      <c r="FP716" s="105" t="s">
        <v>320</v>
      </c>
      <c r="FQ716" s="105" t="s">
        <v>305</v>
      </c>
      <c r="FR716" s="105" t="s">
        <v>286</v>
      </c>
      <c r="FS716" s="37" t="s">
        <v>321</v>
      </c>
      <c r="FT716" s="38"/>
      <c r="FU716" s="105" t="s">
        <v>322</v>
      </c>
    </row>
    <row r="717" spans="1:250" s="82" customFormat="1" ht="14.95" customHeight="1" thickTop="1" thickBot="1">
      <c r="B717" s="1421" t="str">
        <f>HY720</f>
        <v xml:space="preserve"> </v>
      </c>
      <c r="C717" s="1422">
        <f>C709+1</f>
        <v>131</v>
      </c>
      <c r="D717" s="1423"/>
      <c r="E717" s="1424" t="s">
        <v>242</v>
      </c>
      <c r="F717" s="1425"/>
      <c r="G717" s="1426"/>
      <c r="H717" s="1427"/>
      <c r="I717" s="1427"/>
      <c r="J717" s="1427"/>
      <c r="K717" s="1427"/>
      <c r="L717" s="1427"/>
      <c r="M717" s="1427"/>
      <c r="N717" s="1427"/>
      <c r="O717" s="1427"/>
      <c r="P717" s="1427"/>
      <c r="Q717" s="1427"/>
      <c r="R717" s="1427"/>
      <c r="S717" s="1428" t="s">
        <v>283</v>
      </c>
      <c r="T717" s="668" t="s">
        <v>190</v>
      </c>
      <c r="U717" s="1430" t="s">
        <v>186</v>
      </c>
      <c r="V717" s="1431"/>
      <c r="W717" s="1431"/>
      <c r="X717" s="1431"/>
      <c r="Y717" s="1431"/>
      <c r="Z717" s="1431"/>
      <c r="AA717" s="1431"/>
      <c r="AB717" s="1047" t="str">
        <f>IFERROR(IF(__Retrofit_TI_NC=0,VLOOKUP(U718,Fixtures_Existing_List,2,FALSE),ROUND(N719*R719/T719,10)),"")</f>
        <v/>
      </c>
      <c r="AC717" s="1039" t="str">
        <f>IFERROR(IF(__Retrofit_TI_NC=0,ROUND(T718*AB717*N718*R718/1000,0),IF(CN717="Interior",N719*R719*R718*N718*_C406_reduction/1000,N719*R719*R718*N718/1000)),"")</f>
        <v/>
      </c>
      <c r="AD717" s="1040" t="str">
        <f>IFERROR(IF(C$36=0,ROUND(T718*AB717/1000,2),N719*R719/1000),"")</f>
        <v/>
      </c>
      <c r="AE717" s="1044" t="s">
        <v>190</v>
      </c>
      <c r="AF717" s="1432" t="str">
        <f>IF(__Retrofit_TI_NC=2,CONCATENATE("Code min = ",DD717),IF(__Retrofit_TI_NC=1,"Emter what you think the existing control was"," Control"))</f>
        <v xml:space="preserve"> Control</v>
      </c>
      <c r="AG717" s="1432"/>
      <c r="AH717" s="1432"/>
      <c r="AI717" s="1432"/>
      <c r="AJ717" s="1433">
        <f>DF717</f>
        <v>0</v>
      </c>
      <c r="AK717" s="1435" t="str">
        <f>IFERROR(ROUND(AJ717*AC717,0),"")</f>
        <v/>
      </c>
      <c r="AL717" s="1437">
        <f>IFERROR(IF(HW717=FALSE,0,AC717-AK717),0)</f>
        <v>0</v>
      </c>
      <c r="AM717" s="1439">
        <f>AL717-AL719</f>
        <v>0</v>
      </c>
      <c r="AN717" s="1440"/>
      <c r="AO717" s="1445">
        <f>IFERROR(IF(HW717=FALSE,0,(T719*U720)+(AE719*AF720)),0)</f>
        <v>0</v>
      </c>
      <c r="AP717" s="1445"/>
      <c r="AQ717" s="1446"/>
      <c r="AR717" s="1451" t="s">
        <v>157</v>
      </c>
      <c r="AS717" s="1454">
        <f>IF(AR717="Yes",1,0)</f>
        <v>1</v>
      </c>
      <c r="AT717" s="1457" t="str">
        <f>IF(OR(DN717=4,DN717=5,DN717=6,DN717=12),CONCATENATE("$",IF(GD717=TRUE,Lookup!$B$11,Lookup!$B$2)," /lamp"),CONCATENATE(EA717,"/ kWh"))</f>
        <v>0/ kWh</v>
      </c>
      <c r="AU717" s="516"/>
      <c r="AV717" s="1478">
        <f>IFERROR(IF(GI718=TRUE,(AB720*T719)/R719,0),"NA")</f>
        <v>0</v>
      </c>
      <c r="AW717" s="1478" t="str">
        <f>IFERROR(N719*_C406_reduction,"NA")</f>
        <v>NA</v>
      </c>
      <c r="BC717" s="38"/>
      <c r="BD717" s="38"/>
      <c r="BE717" s="38"/>
      <c r="BF717" s="38"/>
      <c r="BG717" s="38"/>
      <c r="BH717" s="38"/>
      <c r="BI717" s="38"/>
      <c r="BJ717" s="38"/>
      <c r="BK717" s="38"/>
      <c r="BL717" s="38"/>
      <c r="BM717" s="38"/>
      <c r="BN717" s="38"/>
      <c r="BO717" s="38"/>
      <c r="BP717" s="38"/>
      <c r="BQ717" s="38"/>
      <c r="BR717" s="38"/>
      <c r="BS717" s="38"/>
      <c r="BT717" s="38"/>
      <c r="BU717" s="38"/>
      <c r="BV717" s="38"/>
      <c r="BW717" s="38"/>
      <c r="BX717" s="38"/>
      <c r="BY717" s="38"/>
      <c r="BZ717" s="38"/>
      <c r="CA717" s="38"/>
      <c r="CB717" s="38"/>
      <c r="CC717" s="38"/>
      <c r="CD717" s="38"/>
      <c r="CE717" s="38"/>
      <c r="CF717" s="38"/>
      <c r="CG717" s="38"/>
      <c r="CH717" s="38"/>
      <c r="CI717" s="38"/>
      <c r="CM717" s="1352" t="str">
        <f>N718</f>
        <v/>
      </c>
      <c r="CN717" s="1352" t="str">
        <f>IFERROR(VLOOKUP(G718,_Lookup_Heat_Type_Table_New,3,FALSE),"")</f>
        <v/>
      </c>
      <c r="CO717" s="1415" t="str">
        <f>CN717</f>
        <v/>
      </c>
      <c r="CP717" s="1417" t="e">
        <f>VLOOKUP(G719,'Space Table'!$B$3:$L$160,9,FALSE)</f>
        <v>#N/A</v>
      </c>
      <c r="CR717" s="1386" t="s">
        <v>283</v>
      </c>
      <c r="CS717" s="1353">
        <f>IF(HW717=TRUE,T718,0)</f>
        <v>0</v>
      </c>
      <c r="CT717" s="1353" t="str">
        <f>IF(HW717=TRUE,U718,"")</f>
        <v/>
      </c>
      <c r="CU717" s="1353"/>
      <c r="CV717" s="1370">
        <f>IF(HW717=TRUE,AB717,0)</f>
        <v>0</v>
      </c>
      <c r="CW717" s="1370">
        <f>IF(HW717=TRUE,AC717,0)</f>
        <v>0</v>
      </c>
      <c r="CX717" s="1370">
        <f>IFERROR(IF(HW717=TRUE,CW717-CW719,0),0)</f>
        <v>0</v>
      </c>
      <c r="CY717" s="1485">
        <f>IF(HW717=TRUE,AD717,0)</f>
        <v>0</v>
      </c>
      <c r="CZ717" s="1485">
        <f>IF(HW717=TRUE,AD720,0)</f>
        <v>0</v>
      </c>
      <c r="DA717" s="1485">
        <f>IFERROR(CY717-CZ717,0)</f>
        <v>0</v>
      </c>
      <c r="DC717" s="1353">
        <f>IF(HW717=TRUE,AE718,0)</f>
        <v>0</v>
      </c>
      <c r="DD717" s="1460">
        <f>IF(__Retrofit_TI_NC=2,IF(CN717="Exterior",O720,FM717),FK717)</f>
        <v>0</v>
      </c>
      <c r="DE717" s="1353"/>
      <c r="DF717" s="1406">
        <f>IFERROR(IF(FL717=3,IK717,IF(FL717=4,IL717,IF(FL717=5,IM717,IF(FL717=6,IN717,IF(FL717=7,IO717,IF(FL717=8,IP717,0)))))),0)</f>
        <v>0</v>
      </c>
      <c r="DG717" s="1370">
        <f>IF(HW717=TRUE,AK717,0)</f>
        <v>0</v>
      </c>
      <c r="DH717" s="1369">
        <f>IFERROR(IF(HW717=TRUE,DG719-DG717,0),0)</f>
        <v>0</v>
      </c>
      <c r="DJ717" s="1483">
        <f>IFERROR(CW717-DG717,0)</f>
        <v>0</v>
      </c>
      <c r="DL717" s="1419">
        <f>DJ717-DK719</f>
        <v>0</v>
      </c>
      <c r="DN717" s="1403" t="str">
        <f>IFERROR(IF(AND(OR(FY717=4,FY717=5,FY717=6),OR(GB717=4,GB717=5,GB717=6)),FY717+8,VLOOKUP(CT719,Fixtures!R$31:Y$78,8,FALSE)),"")</f>
        <v/>
      </c>
      <c r="DO717" s="1404" t="str">
        <f>DN717</f>
        <v/>
      </c>
      <c r="DP717" s="1353" t="str">
        <f>IFERROR(VLOOKUP(DD719,Lookup!AU$3:AV$15,2,FALSE),"")</f>
        <v/>
      </c>
      <c r="DQ717" s="1404" t="str">
        <f>IF(DP717=7,"LLLC","")</f>
        <v/>
      </c>
      <c r="DR717" s="1403">
        <f>IFERROR(IF(OR(DN717=4,DN717=5,DN717=6,DN717=12,DN717=13,DN717=14),VLOOKUP(CT719,Fixtures!DN$27:EG$77,19,FALSE),1)*CS719,0)</f>
        <v>0</v>
      </c>
      <c r="DS717" s="1489">
        <f>IF(DP717=7,IF(DD717=DD719,0,DC719),0)</f>
        <v>0</v>
      </c>
      <c r="DU717" s="1403" t="str">
        <f>IFERROR(IF(EW717&lt;EW719,"Yes","No"),"")</f>
        <v/>
      </c>
      <c r="DV717" s="1404" t="str">
        <f>DU717</f>
        <v/>
      </c>
      <c r="DW717" s="1403">
        <f>IF(DU717="Yes",DC719,0)</f>
        <v>0</v>
      </c>
      <c r="DX717" s="1403">
        <f>DW717-DS717</f>
        <v>0</v>
      </c>
      <c r="DZ717" s="1481">
        <f>IFERROR(VLOOKUP(DN717,Lookup!AN$3:AO$16,2,FALSE),0)</f>
        <v>0</v>
      </c>
      <c r="EA717" s="1481">
        <f>IF(HW717=FALSE,0,IF(DU717="Yes",DZ717+Lookup!B$6,DZ717))</f>
        <v>0</v>
      </c>
      <c r="EC717" s="1482">
        <f>IF(HW717=TRUE,DJ717,0)</f>
        <v>0</v>
      </c>
      <c r="ED717" s="1369">
        <f>IF(HW717=TRUE,CW719,0)</f>
        <v>0</v>
      </c>
      <c r="EE717" s="1370">
        <f>IFERROR(EC717-ED717,0)</f>
        <v>0</v>
      </c>
      <c r="EF717" s="1369">
        <f>IF(HW717=TRUE,DG719,0)</f>
        <v>0</v>
      </c>
      <c r="EG717" s="1369">
        <f>IFERROR(EC717-ED717+EF717,0)</f>
        <v>0</v>
      </c>
      <c r="EH717" s="1373">
        <f>IF(HW717=TRUE,CS719*CU719,0)</f>
        <v>0</v>
      </c>
      <c r="EI717" s="1373">
        <f>IF(HW717=TRUE,DC719*DE719,0)</f>
        <v>0</v>
      </c>
      <c r="EJ717" s="1363">
        <f>AO717</f>
        <v>0</v>
      </c>
      <c r="EK717" s="1376" t="str">
        <f>IFERROR(IF(HW717=TRUE,VLOOKUP(DN717,Lookup!AN$3:AP$16,3,FALSE)*DR717,""),0)</f>
        <v/>
      </c>
      <c r="EL717" s="1376">
        <f>IF(HW717=TRUE,DW717*Lookup!AP$12,0)</f>
        <v>0</v>
      </c>
      <c r="EM717" s="1362">
        <f>IFERROR(IF(HW717=TRUE,EK717/EM$33,0),0)</f>
        <v>0</v>
      </c>
      <c r="EN717" s="1362">
        <f>IF(HW717=TRUE,EL717/EN$33,0)</f>
        <v>0</v>
      </c>
      <c r="EO717" s="1363">
        <f>IF(HW717=TRUE,EQ$33*EM717,0)</f>
        <v>0</v>
      </c>
      <c r="EP717" s="1363">
        <f>IF(HW717=TRUE,EQ$33*EN717,0)</f>
        <v>0</v>
      </c>
      <c r="EQ717" s="1363">
        <f>EO717+EP717</f>
        <v>0</v>
      </c>
      <c r="ES717" s="1403">
        <f>IF(G717="",0,1)</f>
        <v>0</v>
      </c>
      <c r="EU717" s="1410" t="e">
        <f>VLOOKUP(CP719,'Space Table'!$B$3:$L$160,8,FALSE)</f>
        <v>#N/A</v>
      </c>
      <c r="EV717" s="1410" t="e">
        <f>IF(EY717="Yes",VLOOKUP(DD717,Lookup_Control_Type_Table2,4,FALSE),VLOOKUP(DD717,Lookup_Control_Type_Table2,3,FALSE))</f>
        <v>#N/A</v>
      </c>
      <c r="EW717" s="1410" t="e">
        <f>VLOOKUP(DD717,Lookup!AU$3:AV$15,2,FALSE)</f>
        <v>#N/A</v>
      </c>
      <c r="EX717" s="1410" t="e">
        <f>VLOOKUP(EU717,Lookup_Control_Type_Table,2,FALSE)</f>
        <v>#N/A</v>
      </c>
      <c r="EY717" s="1410" t="e">
        <f>VLOOKUP(CP719,'Space Table'!$B$3:$L$160,7,FALSE)</f>
        <v>#N/A</v>
      </c>
      <c r="EZ717" s="1412" t="b">
        <f>ISNUMBER(SEARCH("TLED",U719))</f>
        <v>0</v>
      </c>
      <c r="FB717" s="1365" t="str">
        <f>CONCATENATE(CN717," - ",DD717)</f>
        <v xml:space="preserve"> - 0</v>
      </c>
      <c r="FD717" s="1353" t="str">
        <f>VLOOKUP(CT719,Fixtures!DN$27:EZ$77,38,FALSE)</f>
        <v/>
      </c>
      <c r="FE717" s="1353">
        <f>IFERROR(FD717*EE717,0)</f>
        <v>0</v>
      </c>
      <c r="FF717" s="138"/>
      <c r="FI717" s="1356" t="str">
        <f>IF(CN717="Exterior","Not Daylighted",G720)</f>
        <v>Not Daylighted</v>
      </c>
      <c r="FJ717" s="1356">
        <f>VLOOKUP(FI717,_Daylight_Table_Codes,2,FALSE)</f>
        <v>0</v>
      </c>
      <c r="FK717" s="1365">
        <f>IF(__Retrofit_TI_NC=2,VLOOKUP(G719,'Space Table'!$B$3:$L$160,11,FALSE),AF718)</f>
        <v>0</v>
      </c>
      <c r="FL717" s="1365" t="e">
        <f>VLOOKUP(FK717,_Control_Table,2,FALSE)</f>
        <v>#N/A</v>
      </c>
      <c r="FM717" s="1365" t="e">
        <f>IF(AND(FP717&gt;0,FK717="Occupancy Sensor"),"Daylight + Occupancy",IF(AND(FP717&gt;0,FL717&lt;4),"Interior Daylight Dimming",FK717))</f>
        <v>#N/A</v>
      </c>
      <c r="FO717" s="1364">
        <f>IF(CO717="Interior",VLOOKUP(CP717,Control_Savings_Interior,5,FALSE),0)</f>
        <v>0</v>
      </c>
      <c r="FP717" s="1361">
        <f>IF(CN717="Exterior",0,IF(FJ717=2,0.5,IF(OR(FJ717=1,FJ717=3),1,0)))</f>
        <v>0</v>
      </c>
      <c r="FQ717" s="1366"/>
      <c r="FR717" s="1367"/>
      <c r="FS717" s="1364"/>
      <c r="FT717" s="1367"/>
      <c r="FU717" s="1360"/>
      <c r="FW717" s="1352" t="str">
        <f>IFERROR(VLOOKUP(U718,_Exist_Fixture_Table,3,FALSE),"")</f>
        <v/>
      </c>
      <c r="FX717" s="1352" t="str">
        <f>VLOOKUP(CT717,_Exist_Fixture_Table,4,FALSE)</f>
        <v/>
      </c>
      <c r="FY717" s="1352">
        <f>IFERROR(VLOOKUP(FX717,Lookup!AM$6:AN$8,2,FALSE),0)</f>
        <v>0</v>
      </c>
      <c r="FZ717" s="1352" t="b">
        <f>IFERROR(IF(OR(GB717=4,GB717=5,GB717=6),TRUE,FALSE),"")</f>
        <v>0</v>
      </c>
      <c r="GA717" s="1352" t="str">
        <f>IFERROR(VLOOKUP(GB717,FY$6:FZ$10,2,FALSE),"")</f>
        <v/>
      </c>
      <c r="GB717" s="1352" t="str">
        <f>VLOOKUP(CT719,Fixtures!R$31:Y$78,8,FALSE)</f>
        <v/>
      </c>
      <c r="GC717" s="1352">
        <f>IF(AND(FW717=TRUE,FZ717=TRUE,OR(DN717=12,DN717=13,DN717=14)),FY717+8,0)</f>
        <v>0</v>
      </c>
      <c r="GD717" s="1352" t="b">
        <f>IF(OR(GC717=12,GC717=13,GC717=14),TRUE,FALSE)</f>
        <v>0</v>
      </c>
      <c r="GE717" s="759" t="b">
        <f>IF(ISNUMBER(SEARCH("TLED",U718)),TRUE,FALSE)</f>
        <v>0</v>
      </c>
      <c r="GF717" s="1035" t="str">
        <f>IFERROR(VLOOKUP(U718,Fixtures!BM$93:BR$142,6,FALSE),"")</f>
        <v/>
      </c>
      <c r="GG717" s="1385" t="b">
        <f>IF(OR(GE717=FALSE,GE719=FALSE),TRUE,IF(GF717-GF719&lt;5,FALSE,TRUE))</f>
        <v>1</v>
      </c>
      <c r="GK717" s="1034">
        <f>GL717</f>
        <v>0</v>
      </c>
      <c r="GL717" s="1034">
        <f>IF(G717="",0,1)</f>
        <v>0</v>
      </c>
      <c r="GM717" s="1034">
        <f>SUM(GN717:HB717)</f>
        <v>2</v>
      </c>
      <c r="GN717" s="1034">
        <f>IF(G718="",0,1)</f>
        <v>0</v>
      </c>
      <c r="GO717" s="1034">
        <f>IF(G719="",0,1)</f>
        <v>0</v>
      </c>
      <c r="GP717" s="1034">
        <f>IF(R718="",0,1)</f>
        <v>0</v>
      </c>
      <c r="GQ717" s="1034">
        <f>IF(__Retrofit_TI_NC=0,1,IF(R719="",0,1))</f>
        <v>1</v>
      </c>
      <c r="GR717" s="1034">
        <f>IF(CN717="Exterior",1,IF(G720="",0,1))</f>
        <v>1</v>
      </c>
      <c r="GS717" s="1034">
        <f>IF(__Retrofit_TI_NC&lt;&gt;0,1,IF(T718="",0,1))</f>
        <v>0</v>
      </c>
      <c r="GT717" s="1034">
        <f>IF(__Retrofit_TI_NC&lt;&gt;0,1,IF(U718="",0,1))</f>
        <v>0</v>
      </c>
      <c r="GU717" s="1034">
        <f>IF(T719="",0,1)</f>
        <v>0</v>
      </c>
      <c r="GV717" s="1034">
        <f>IF(U719="",0,1)</f>
        <v>0</v>
      </c>
      <c r="GW717" s="1034">
        <f>IF(__Retrofit_TI_NC=2,1,IF(U720="",0,1))</f>
        <v>0</v>
      </c>
      <c r="GX717" s="1034">
        <f>IF(__Retrofit_TI_NC&lt;&gt;0,1,IF(AE718="",0,1))</f>
        <v>0</v>
      </c>
      <c r="GY717" s="1034">
        <f>IF(__Retrofit_TI_NC&lt;&gt;0,1,IF(AF718="",0,1))</f>
        <v>0</v>
      </c>
      <c r="GZ717" s="1034">
        <f>IF(AE719="",0,1)</f>
        <v>0</v>
      </c>
      <c r="HA717" s="1034">
        <f>IF(AF719="",0,1)</f>
        <v>0</v>
      </c>
      <c r="HB717" s="1034">
        <f>IF(__Retrofit_TI_NC=2,1,IF(AF720="",0,1))</f>
        <v>0</v>
      </c>
      <c r="HV717" s="436"/>
      <c r="HW717" s="1384" t="b">
        <f>IF(OR(HW720=0,HW720=HT$16,HW720=HS$16,HW720=HU$16),TRUE,FALSE)</f>
        <v>0</v>
      </c>
      <c r="HX717" s="1377" t="b">
        <f>HW717</f>
        <v>0</v>
      </c>
      <c r="HY717" s="436"/>
      <c r="HZ717" s="436"/>
      <c r="IA717" s="1386" t="b">
        <f>IF(MAX(GJ720:HP720)&gt;5,FALSE,TRUE)</f>
        <v>0</v>
      </c>
      <c r="IB717" s="1380">
        <f>IF(IA717=TRUE,AC717,0)</f>
        <v>0</v>
      </c>
      <c r="IC717" s="1380">
        <f>IB717-IB719</f>
        <v>0</v>
      </c>
      <c r="IF717" s="1380" t="e">
        <f>ROUND(T718*VLOOKUP(U718,Fixtures_Existing_List,2,FALSE)*N718*R718/1000,0)</f>
        <v>#N/A</v>
      </c>
      <c r="IG717" s="1381" t="e">
        <f>IF717-IF719</f>
        <v>#N/A</v>
      </c>
      <c r="IH717" s="1384" t="e">
        <f>ROUND(IF(CN717="Interior",N719*R719*R718*N718*_C406_reduction/1000,N719*R719*R718*N718/1000),0)</f>
        <v>#N/A</v>
      </c>
      <c r="II717" s="1384" t="e">
        <f>IH717-IH719</f>
        <v>#N/A</v>
      </c>
      <c r="IK717" s="1351" t="e">
        <f>IF($CO717="interior",IL717/2,VLOOKUP($CP717,Control_Savings_Exterior,IK$30,FALSE))</f>
        <v>#N/A</v>
      </c>
      <c r="IL717" s="1351" t="e">
        <f>IF($CO717="interior",VLOOKUP($CP717,Control_Savings_Interior,IL$30,FALSE),VLOOKUP($CP717,Control_Savings_Exterior,IL$30,FALSE))</f>
        <v>#N/A</v>
      </c>
      <c r="IM717" s="1351" t="e">
        <f>IF($CO717="interior",IF(R718&gt;FO$37,(IM$28*(FO$37/R718)),IM$28)*FP717,VLOOKUP($CP717,Control_Savings_Exterior,IM$30,FALSE))</f>
        <v>#N/A</v>
      </c>
      <c r="IN717" s="1351" t="e">
        <f>IF($CO717="interior",ROUND(((1-IL717)*IM717)+IL717,2),VLOOKUP($CP717,Control_Savings_Exterior,IN$30,FALSE))</f>
        <v>#N/A</v>
      </c>
      <c r="IO717" s="1351" t="e">
        <f>IF($CO717="interior", ROUND(((1-IL717)*(IM717*(1-IP$28)))+IP717,2), VLOOKUP($CP717,Control_Savings_Exterior,IO$30,FALSE))</f>
        <v>#N/A</v>
      </c>
      <c r="IP717" s="1351">
        <f>IF($CO717="interior",ROUND(((1-IL717)*IP$28)+IL717,2),0)</f>
        <v>0</v>
      </c>
    </row>
    <row r="718" spans="1:250" s="82" customFormat="1" ht="14.95" customHeight="1" thickTop="1" thickBot="1">
      <c r="B718" s="1421"/>
      <c r="C718" s="1422"/>
      <c r="D718" s="1423"/>
      <c r="E718" s="1393" t="s">
        <v>244</v>
      </c>
      <c r="F718" s="1394"/>
      <c r="G718" s="1395"/>
      <c r="H718" s="1395"/>
      <c r="I718" s="1395"/>
      <c r="J718" s="1395"/>
      <c r="K718" s="1395"/>
      <c r="L718" s="1395"/>
      <c r="M718" s="509" t="e">
        <f>IF(__Retrofit_TI_NC&lt;&gt;0,IF(VLOOKUP(G719,'Space Table'!$B$3:$L$160,3,FALSE)&gt;0,1,0),IF(__Retrofit_TI_NC=VLOOKUP(G719,'Space Table'!$B$3:$L$160,3,FALSE),1,0))</f>
        <v>#N/A</v>
      </c>
      <c r="N718" s="509" t="str">
        <f>IFERROR(VLOOKUP(G718,_Lookup_Heat_Type_Table_New,2,FALSE),"")</f>
        <v/>
      </c>
      <c r="O718" s="509">
        <f>IF(__Retrofit_TI_NC=1,CONCATENATE("TI ",G718),IF(__Retrofit_TI_NC=2,CONCATENATE("NC ",G718),G718))</f>
        <v>0</v>
      </c>
      <c r="P718" s="1396" t="s">
        <v>352</v>
      </c>
      <c r="Q718" s="1396"/>
      <c r="R718" s="673"/>
      <c r="S718" s="1429"/>
      <c r="T718" s="675"/>
      <c r="U718" s="1496"/>
      <c r="V718" s="1497"/>
      <c r="W718" s="1497"/>
      <c r="X718" s="1497"/>
      <c r="Y718" s="1497"/>
      <c r="Z718" s="1497"/>
      <c r="AA718" s="1497"/>
      <c r="AB718" s="1497"/>
      <c r="AC718" s="1497"/>
      <c r="AD718" s="1498"/>
      <c r="AE718" s="675"/>
      <c r="AF718" s="1397"/>
      <c r="AG718" s="1397"/>
      <c r="AH718" s="1397"/>
      <c r="AI718" s="1397"/>
      <c r="AJ718" s="1434"/>
      <c r="AK718" s="1436"/>
      <c r="AL718" s="1438"/>
      <c r="AM718" s="1441"/>
      <c r="AN718" s="1442"/>
      <c r="AO718" s="1447"/>
      <c r="AP718" s="1447"/>
      <c r="AQ718" s="1448"/>
      <c r="AR718" s="1452"/>
      <c r="AS718" s="1455"/>
      <c r="AT718" s="1458"/>
      <c r="AU718" s="516"/>
      <c r="AV718" s="1479"/>
      <c r="AW718" s="1479"/>
      <c r="BC718" s="38"/>
      <c r="BD718" s="38"/>
      <c r="BE718" s="38"/>
      <c r="BF718" s="38"/>
      <c r="BG718" s="38"/>
      <c r="BH718" s="38"/>
      <c r="BI718" s="38"/>
      <c r="BJ718" s="38"/>
      <c r="BK718" s="38"/>
      <c r="BL718" s="38"/>
      <c r="BM718" s="38"/>
      <c r="BN718" s="38"/>
      <c r="BO718" s="38"/>
      <c r="BP718" s="38"/>
      <c r="BQ718" s="38"/>
      <c r="BR718" s="38"/>
      <c r="BS718" s="38"/>
      <c r="BT718" s="38"/>
      <c r="BU718" s="38"/>
      <c r="BV718" s="38"/>
      <c r="BW718" s="38"/>
      <c r="BX718" s="38"/>
      <c r="BY718" s="38"/>
      <c r="BZ718" s="38"/>
      <c r="CA718" s="38"/>
      <c r="CB718" s="38"/>
      <c r="CC718" s="38"/>
      <c r="CD718" s="38"/>
      <c r="CE718" s="38"/>
      <c r="CF718" s="38"/>
      <c r="CG718" s="38"/>
      <c r="CH718" s="38"/>
      <c r="CI718" s="38"/>
      <c r="CM718" s="1352"/>
      <c r="CN718" s="1352"/>
      <c r="CO718" s="1416"/>
      <c r="CP718" s="1418"/>
      <c r="CR718" s="1386"/>
      <c r="CS718" s="1355"/>
      <c r="CT718" s="1355"/>
      <c r="CU718" s="1355"/>
      <c r="CV718" s="1372"/>
      <c r="CW718" s="1372"/>
      <c r="CX718" s="1371"/>
      <c r="CY718" s="1486"/>
      <c r="CZ718" s="1486"/>
      <c r="DA718" s="1486"/>
      <c r="DC718" s="1355"/>
      <c r="DD718" s="1461"/>
      <c r="DE718" s="1355"/>
      <c r="DF718" s="1407"/>
      <c r="DG718" s="1372"/>
      <c r="DH718" s="1369"/>
      <c r="DJ718" s="1484"/>
      <c r="DL718" s="1419"/>
      <c r="DN718" s="1403"/>
      <c r="DO718" s="1405"/>
      <c r="DP718" s="1354"/>
      <c r="DQ718" s="1405"/>
      <c r="DR718" s="1403"/>
      <c r="DS718" s="1489"/>
      <c r="DU718" s="1403"/>
      <c r="DV718" s="1405"/>
      <c r="DW718" s="1403"/>
      <c r="DX718" s="1403"/>
      <c r="DZ718" s="1481"/>
      <c r="EA718" s="1481"/>
      <c r="EC718" s="1482"/>
      <c r="ED718" s="1369"/>
      <c r="EE718" s="1371"/>
      <c r="EF718" s="1369"/>
      <c r="EG718" s="1369"/>
      <c r="EH718" s="1374"/>
      <c r="EI718" s="1374"/>
      <c r="EJ718" s="1363"/>
      <c r="EK718" s="1376"/>
      <c r="EL718" s="1376"/>
      <c r="EM718" s="1362"/>
      <c r="EN718" s="1362"/>
      <c r="EO718" s="1363"/>
      <c r="EP718" s="1363"/>
      <c r="EQ718" s="1363"/>
      <c r="ES718" s="1403"/>
      <c r="EU718" s="1411"/>
      <c r="EV718" s="1411"/>
      <c r="EW718" s="1411"/>
      <c r="EX718" s="1411"/>
      <c r="EY718" s="1411"/>
      <c r="EZ718" s="1413"/>
      <c r="FB718" s="1365"/>
      <c r="FD718" s="1354"/>
      <c r="FE718" s="1354"/>
      <c r="FF718" s="138"/>
      <c r="FI718" s="1357"/>
      <c r="FJ718" s="1357"/>
      <c r="FK718" s="1365"/>
      <c r="FL718" s="1365"/>
      <c r="FM718" s="1365"/>
      <c r="FO718" s="1361"/>
      <c r="FP718" s="1361"/>
      <c r="FQ718" s="1366"/>
      <c r="FR718" s="1368"/>
      <c r="FS718" s="1361"/>
      <c r="FT718" s="1368"/>
      <c r="FU718" s="1360"/>
      <c r="FW718" s="1352"/>
      <c r="FX718" s="1352"/>
      <c r="FY718" s="1352"/>
      <c r="FZ718" s="1352"/>
      <c r="GA718" s="1352"/>
      <c r="GB718" s="1352"/>
      <c r="GC718" s="1352"/>
      <c r="GD718" s="1352"/>
      <c r="GE718" s="759"/>
      <c r="GF718" s="1035"/>
      <c r="GG718" s="1385"/>
      <c r="GI718" s="1384" t="b">
        <f>IF(AND(GL718=TRUE,GM718=TRUE),TRUE,FALSE)</f>
        <v>0</v>
      </c>
      <c r="GJ718" s="1379" t="b">
        <f>IFERROR(IF(__Retrofit_TI_NC=2,TRUE,IF(AR717="Yes",TRUE,FALSE)),FALSE)</f>
        <v>1</v>
      </c>
      <c r="GL718" s="1379" t="b">
        <f>IFERROR(IF(GL717=1,TRUE,FALSE),FALSE)</f>
        <v>0</v>
      </c>
      <c r="GM718" s="1379" t="b">
        <f>IFERROR(IF(GM717=GM$14,TRUE,FALSE),FALSE)</f>
        <v>0</v>
      </c>
      <c r="HC718" s="1379" t="b">
        <f>IFERROR(IF(M718=1,TRUE,FALSE),FALSE)</f>
        <v>0</v>
      </c>
      <c r="HD718" s="1379" t="b">
        <f>IFERROR(IF(M719=1,TRUE,FALSE),FALSE)</f>
        <v>0</v>
      </c>
      <c r="HE718" s="1379" t="b">
        <f>IFERROR(IF(__Retrofit_TI_NC&lt;&gt;0,TRUE,IFERROR(IF(VLOOKUP(U718,Fixtures_Existing_List,2,FALSE)&lt;&gt;"",TRUE,FALSE),FALSE)),FALSE)</f>
        <v>0</v>
      </c>
      <c r="HF718" s="1379" t="b">
        <f>IFERROR(IF(VLOOKUP(U719,Fixtures_Proposed_List,2,FALSE)&lt;&gt;"",TRUE,FALSE),FALSE)</f>
        <v>0</v>
      </c>
      <c r="HG718" s="1379" t="b">
        <f>IF(AND(__Retrofit_TI_NC=2,EZ717=TRUE),FALSE,TRUE)</f>
        <v>1</v>
      </c>
      <c r="HH718" s="1379" t="b">
        <f>GG717</f>
        <v>1</v>
      </c>
      <c r="HI718" s="1384" t="b">
        <f>IF(ISERROR(MATCH(FB717,_Control_Match[],0))=TRUE,FALSE,TRUE)</f>
        <v>0</v>
      </c>
      <c r="HJ718" s="1384" t="b">
        <f>IFERROR(IF(EU717&lt;&gt;EV717,FALSE,TRUE),FALSE)</f>
        <v>0</v>
      </c>
      <c r="HK718" s="1384" t="b">
        <f>IFERROR(IF(EU719&lt;&gt;EV719,FALSE,TRUE),FALSE)</f>
        <v>0</v>
      </c>
      <c r="HL718" s="1379" t="b">
        <f>IFERROR(IF(CN717="Exterior",TRUE,IF(OR(AND(FJ717=0,EW719&gt;4),AND(FJ717=4,EW719&gt;4,EW719&lt;7)),FALSE,TRUE)),FALSE)</f>
        <v>0</v>
      </c>
      <c r="HM718" s="1379" t="b">
        <f>IFERROR(IF(AND(FL719=7,EZ717=TRUE),FALSE,TRUE),FALSE)</f>
        <v>0</v>
      </c>
      <c r="HN718" s="1379" t="b">
        <f>IFERROR(IF(AND(T719&lt;&gt;AE719,AF719="Interior LLLC")=TRUE,FALSE,TRUE),FALSE)</f>
        <v>1</v>
      </c>
      <c r="HO718" s="1379" t="b">
        <f>IFERROR(IF(OR(AF719=Lookup!AU$13,AF719=Lookup!AU$14)=TRUE,IF(AE719&gt;T719,FALSE,TRUE),TRUE),FALSE)</f>
        <v>1</v>
      </c>
      <c r="HP718" s="1379" t="b">
        <f>IFERROR(IF(__Retrofit_TI_NC=2,IF(EW719&lt;EW717,FALSE,TRUE),TRUE),FALSE)</f>
        <v>1</v>
      </c>
      <c r="HQ718" s="1379" t="b">
        <f>IF(CN717="Interior",IG$6,TRUE)</f>
        <v>1</v>
      </c>
      <c r="HR718" s="1379" t="b">
        <f>IF(CN717="Exterior",IG$8,TRUE)</f>
        <v>1</v>
      </c>
      <c r="HS718" s="1379" t="b">
        <f>IFERROR(IF(__Retrofit_TI_NC&lt;&gt;0,IF(AW717&lt;AV717,FALSE,TRUE),TRUE),FALSE)</f>
        <v>1</v>
      </c>
      <c r="HT718" s="1379" t="b">
        <f>IFERROR(IF(AND(G718="Exterior",R718&gt;4200),FALSE,TRUE),FALSE)</f>
        <v>1</v>
      </c>
      <c r="HU718" s="1379" t="b">
        <f>IFERROR(IF(AB720/AB717&lt;HU$18,FALSE,TRUE),FALSE)</f>
        <v>0</v>
      </c>
      <c r="HW718" s="1382"/>
      <c r="HX718" s="1378"/>
      <c r="HY718" s="1377" t="str">
        <f>VLOOKUP(HW720,_Error_Table,4,FALSE)</f>
        <v>White</v>
      </c>
      <c r="HZ718" s="436"/>
      <c r="IA718" s="1386"/>
      <c r="IB718" s="1380"/>
      <c r="IC718" s="1379"/>
      <c r="IF718" s="1380"/>
      <c r="IG718" s="1382"/>
      <c r="IH718" s="1382"/>
      <c r="II718" s="1382"/>
      <c r="IK718" s="1351"/>
      <c r="IL718" s="1351"/>
      <c r="IM718" s="1351"/>
      <c r="IN718" s="1351"/>
      <c r="IO718" s="1351"/>
      <c r="IP718" s="1351"/>
    </row>
    <row r="719" spans="1:250" s="82" customFormat="1" ht="14.95" customHeight="1" thickTop="1" thickBot="1">
      <c r="A719" s="82">
        <f>ROW()</f>
        <v>719</v>
      </c>
      <c r="B719" s="1421"/>
      <c r="C719" s="1422"/>
      <c r="D719" s="1423"/>
      <c r="E719" s="1393" t="s">
        <v>245</v>
      </c>
      <c r="F719" s="1394"/>
      <c r="G719" s="1398"/>
      <c r="H719" s="1399"/>
      <c r="I719" s="1399"/>
      <c r="J719" s="1399"/>
      <c r="K719" s="1399"/>
      <c r="L719" s="1400"/>
      <c r="M719" s="509">
        <f>IFERROR(IF(IF(__Retrofit_TI_NC&lt;&gt;0,IF(CN717="Interior",MATCH(G719,Lookup_Interior_New,0),MATCH(G719,Lookup_Exterior_New,0)),IF(CN717="Interior",MATCH(G719,Lookup_Interior,0),MATCH(G719,Lookup_Exterior_Areas,0)))&gt;0,1,0),0)</f>
        <v>0</v>
      </c>
      <c r="N719" s="509" t="e">
        <f>IF(__Retrofit_TI_NC=1,
VLOOKUP(G719,'Space Table'!$B$3:$L$160,4,FALSE),
IF(__Retrofit_TI_NC=2,VLOOKUP(G719,'Space Table'!$B$3:$L$160,5,FALSE),VLOOKUP(G719,'Space Table'!$B$3:$L$160,5,FALSE)))</f>
        <v>#N/A</v>
      </c>
      <c r="O719" s="509">
        <f>G719</f>
        <v>0</v>
      </c>
      <c r="P719" s="1394" t="s">
        <v>355</v>
      </c>
      <c r="Q719" s="1394"/>
      <c r="R719" s="674"/>
      <c r="S719" s="1401" t="s">
        <v>284</v>
      </c>
      <c r="T719" s="672"/>
      <c r="U719" s="1499"/>
      <c r="V719" s="1500"/>
      <c r="W719" s="1500"/>
      <c r="X719" s="1500"/>
      <c r="Y719" s="1500"/>
      <c r="Z719" s="1500"/>
      <c r="AA719" s="1500"/>
      <c r="AB719" s="1501"/>
      <c r="AC719" s="1501"/>
      <c r="AD719" s="1502"/>
      <c r="AE719" s="672"/>
      <c r="AF719" s="1474"/>
      <c r="AG719" s="1474"/>
      <c r="AH719" s="1474"/>
      <c r="AI719" s="1474"/>
      <c r="AJ719" s="1475">
        <f>DF719</f>
        <v>0</v>
      </c>
      <c r="AK719" s="1470" t="str">
        <f>IFERROR(ROUND(AJ719*AC720,0),"")</f>
        <v/>
      </c>
      <c r="AL719" s="1472">
        <f>IFERROR(IF(HW717=FALSE,0,AC720-AK719),0)</f>
        <v>0</v>
      </c>
      <c r="AM719" s="1441"/>
      <c r="AN719" s="1442"/>
      <c r="AO719" s="1447"/>
      <c r="AP719" s="1447"/>
      <c r="AQ719" s="1448"/>
      <c r="AR719" s="1452"/>
      <c r="AS719" s="1455"/>
      <c r="AT719" s="1458"/>
      <c r="AU719" s="516"/>
      <c r="AV719" s="1479"/>
      <c r="AW719" s="1479"/>
      <c r="BC719" s="38"/>
      <c r="BD719" s="38"/>
      <c r="BE719" s="38"/>
      <c r="BF719" s="38"/>
      <c r="BG719" s="38"/>
      <c r="BH719" s="38"/>
      <c r="BI719" s="38"/>
      <c r="BJ719" s="38"/>
      <c r="BK719" s="38"/>
      <c r="BL719" s="38"/>
      <c r="BM719" s="38"/>
      <c r="BN719" s="38"/>
      <c r="BO719" s="38"/>
      <c r="BP719" s="38"/>
      <c r="BQ719" s="38"/>
      <c r="BR719" s="38"/>
      <c r="BS719" s="38"/>
      <c r="BT719" s="38"/>
      <c r="BU719" s="38"/>
      <c r="BV719" s="38"/>
      <c r="BW719" s="38"/>
      <c r="BX719" s="38"/>
      <c r="BY719" s="38"/>
      <c r="BZ719" s="38"/>
      <c r="CA719" s="38"/>
      <c r="CB719" s="38"/>
      <c r="CC719" s="38"/>
      <c r="CD719" s="38"/>
      <c r="CE719" s="38"/>
      <c r="CF719" s="38"/>
      <c r="CG719" s="38"/>
      <c r="CH719" s="38"/>
      <c r="CI719" s="38"/>
      <c r="CM719" s="1352"/>
      <c r="CN719" s="1352"/>
      <c r="CO719" s="1415" t="str">
        <f>CN717</f>
        <v/>
      </c>
      <c r="CP719" s="1417" t="e">
        <f>CP717</f>
        <v>#N/A</v>
      </c>
      <c r="CR719" s="1386" t="s">
        <v>284</v>
      </c>
      <c r="CS719" s="1353">
        <f>IF(HW717=TRUE,T719,0)</f>
        <v>0</v>
      </c>
      <c r="CT719" s="1353" t="str">
        <f>IF(HW717=TRUE,U719,"")</f>
        <v/>
      </c>
      <c r="CU719" s="1373">
        <f>IF(HW717=TRUE,U720,0)</f>
        <v>0</v>
      </c>
      <c r="CV719" s="1370">
        <f>IF(HW717=TRUE,AB720,0)</f>
        <v>0</v>
      </c>
      <c r="CW719" s="1370">
        <f>IF(HW717=TRUE,AC720,0)</f>
        <v>0</v>
      </c>
      <c r="CX719" s="1371"/>
      <c r="CY719" s="1486"/>
      <c r="CZ719" s="1486"/>
      <c r="DA719" s="1486"/>
      <c r="DC719" s="1353">
        <f>IF(HW717=TRUE,AE719,0)</f>
        <v>0</v>
      </c>
      <c r="DD719" s="1353" t="str">
        <f>IF(HW717=TRUE,AF719,"")</f>
        <v/>
      </c>
      <c r="DE719" s="1373">
        <f>AF720</f>
        <v>0</v>
      </c>
      <c r="DF719" s="1406">
        <f>IFERROR(IF(FL719=3,IK719,IF(FL719=4,IL719,IF(FL719=5,IM719,IF(FL719=6,IN719,IF(FL719=7,IO719,IF(FL719=8,IP719,0)))))),0)</f>
        <v>0</v>
      </c>
      <c r="DG719" s="1370">
        <f>IF(HW717=TRUE,AK719,0)</f>
        <v>0</v>
      </c>
      <c r="DH719" s="1369"/>
      <c r="DK719" s="1483">
        <f>IFERROR(CW719-DG719,0)</f>
        <v>0</v>
      </c>
      <c r="DL719" s="1420"/>
      <c r="DN719" s="1403"/>
      <c r="DO719" s="1477" t="str">
        <f>DN717</f>
        <v/>
      </c>
      <c r="DP719" s="1354"/>
      <c r="DQ719" s="1477" t="str">
        <f>IF(DP717=7,"LLLC","")</f>
        <v/>
      </c>
      <c r="DR719" s="1403"/>
      <c r="DS719" s="1489"/>
      <c r="DU719" s="1403"/>
      <c r="DV719" s="1404" t="str">
        <f>DU717</f>
        <v/>
      </c>
      <c r="DW719" s="1403"/>
      <c r="DX719" s="1403"/>
      <c r="DZ719" s="1481"/>
      <c r="EA719" s="1481"/>
      <c r="EC719" s="1482"/>
      <c r="ED719" s="1369"/>
      <c r="EE719" s="1371"/>
      <c r="EF719" s="1369"/>
      <c r="EG719" s="1369"/>
      <c r="EH719" s="1374"/>
      <c r="EI719" s="1374"/>
      <c r="EJ719" s="1363"/>
      <c r="EK719" s="1376"/>
      <c r="EL719" s="1376"/>
      <c r="EM719" s="1362"/>
      <c r="EN719" s="1362"/>
      <c r="EO719" s="1363"/>
      <c r="EP719" s="1363"/>
      <c r="EQ719" s="1363"/>
      <c r="ES719" s="1403"/>
      <c r="EU719" s="1411" t="e">
        <f>VLOOKUP(CP719,'Space Table'!$B$3:$L$160,8,FALSE)</f>
        <v>#N/A</v>
      </c>
      <c r="EV719" s="1411" t="e">
        <f>IF(EY719="Yes",VLOOKUP(AF719,Lookup_Control_Type_Table2,4,FALSE),VLOOKUP(AF719,Lookup_Control_Type_Table2,3,FALSE))</f>
        <v>#N/A</v>
      </c>
      <c r="EW719" s="1411" t="e">
        <f>VLOOKUP(AF719,Lookup!AU$3:AV$15,2,FALSE)</f>
        <v>#N/A</v>
      </c>
      <c r="EX719" s="1411" t="e">
        <f>VLOOKUP(EU717,Lookup_Control_Type_Table,2,FALSE)</f>
        <v>#N/A</v>
      </c>
      <c r="EY719" s="1411" t="e">
        <f>VLOOKUP(CP719,'Space Table'!$B$3:$L$160,7,FALSE)</f>
        <v>#N/A</v>
      </c>
      <c r="EZ719" s="1413"/>
      <c r="FB719" s="1365" t="str">
        <f>CONCATENATE(CN717," - ",AF719)</f>
        <v xml:space="preserve"> - </v>
      </c>
      <c r="FD719" s="1354"/>
      <c r="FE719" s="1354"/>
      <c r="FF719" s="138"/>
      <c r="FI719" s="1356" t="str">
        <f>IF(CN717="Exterior","Not Daylighted",G720)</f>
        <v>Not Daylighted</v>
      </c>
      <c r="FJ719" s="1356">
        <f>VLOOKUP(FI719,_Daylight_Table_Codes,2,FALSE)</f>
        <v>0</v>
      </c>
      <c r="FK719" s="1365">
        <f>AF719</f>
        <v>0</v>
      </c>
      <c r="FL719" s="1365" t="e">
        <f>VLOOKUP(FK719,_Control_Table,2,FALSE)</f>
        <v>#N/A</v>
      </c>
      <c r="FM719" s="1365" t="e">
        <f>IF(AND(FP719&gt;0,FK719="Occupancy Sensor"),"Daylight + Occupancy",IF(AND(FP719&gt;0,FL719&lt;4),"Interior Daylight Dimming",FK719))</f>
        <v>#N/A</v>
      </c>
      <c r="FO719" s="1364">
        <f>IF(CN717="Interior",VLOOKUP(CP717,Control_Savings_Interior,5,FALSE),0)</f>
        <v>0</v>
      </c>
      <c r="FP719" s="1361">
        <f>IF(CN719="Exterior",0,IF(FJ719=2,0.5,IF(OR(FJ719=1,FJ719=3),1,0)))</f>
        <v>0</v>
      </c>
      <c r="FQ719" s="1366">
        <f>IF(R718&gt;FO$37,(FO719*(FO$37/R718)),FO719)*FP719</f>
        <v>0</v>
      </c>
      <c r="FR719" s="1364">
        <f>DF719</f>
        <v>0</v>
      </c>
      <c r="FS719" s="1364">
        <f>ROUND(FR719+((1-FR719)*FQ719),2)</f>
        <v>0</v>
      </c>
      <c r="FT719" s="1364">
        <f>IF(__Retrofit_TI_NC=2,FS719,FR719)</f>
        <v>0</v>
      </c>
      <c r="FU719" s="1360">
        <f>IF(CO719="Interior",VLOOKUP(CP719,Control_Savings_Interior,4,FALSE),0)</f>
        <v>0</v>
      </c>
      <c r="FW719" s="1352"/>
      <c r="FX719" s="1352"/>
      <c r="FY719" s="1352"/>
      <c r="FZ719" s="1352"/>
      <c r="GA719" s="1352"/>
      <c r="GB719" s="1352"/>
      <c r="GC719" s="1352"/>
      <c r="GD719" s="1352"/>
      <c r="GE719" s="759" t="b">
        <f>IF(ISNUMBER(SEARCH("TLED",U719)),TRUE,FALSE)</f>
        <v>0</v>
      </c>
      <c r="GF719" s="1035" t="str">
        <f>IFERROR(VLOOKUP(U719,Fixtures!DM$93:DR$142,6,FALSE),"")</f>
        <v/>
      </c>
      <c r="GG719" s="1385"/>
      <c r="GI719" s="1383"/>
      <c r="GJ719" s="1379"/>
      <c r="GL719" s="1379"/>
      <c r="GM719" s="1379"/>
      <c r="HC719" s="1379"/>
      <c r="HD719" s="1379"/>
      <c r="HE719" s="1379"/>
      <c r="HF719" s="1379"/>
      <c r="HG719" s="1379"/>
      <c r="HH719" s="1379"/>
      <c r="HI719" s="1383"/>
      <c r="HJ719" s="1383"/>
      <c r="HK719" s="1383"/>
      <c r="HL719" s="1379"/>
      <c r="HM719" s="1379"/>
      <c r="HN719" s="1379"/>
      <c r="HO719" s="1379"/>
      <c r="HP719" s="1379"/>
      <c r="HQ719" s="1379"/>
      <c r="HR719" s="1379"/>
      <c r="HS719" s="1379"/>
      <c r="HT719" s="1379"/>
      <c r="HU719" s="1379"/>
      <c r="HW719" s="1383"/>
      <c r="HX719" s="1384" t="b">
        <f>HW717</f>
        <v>0</v>
      </c>
      <c r="HY719" s="1378"/>
      <c r="HZ719" s="436"/>
      <c r="IA719" s="1386"/>
      <c r="IB719" s="1380">
        <f>IF(IA717=TRUE,AC720,0)</f>
        <v>0</v>
      </c>
      <c r="IC719" s="1379"/>
      <c r="IF719" s="1380" t="e">
        <f>ROUND(T719*AB720*N718*R718/1000,0)</f>
        <v>#VALUE!</v>
      </c>
      <c r="IG719" s="1382"/>
      <c r="IH719" s="1384" t="e">
        <f>ROUND(T719*AB720*N718*R718/1000,0)</f>
        <v>#VALUE!</v>
      </c>
      <c r="II719" s="1382"/>
      <c r="IK719" s="1351" t="e">
        <f>IF($CO719="interior",IL719/2,VLOOKUP($CP719,Control_Savings_Exterior,IK$30,FALSE))</f>
        <v>#N/A</v>
      </c>
      <c r="IL719" s="1351" t="e">
        <f>IF($CO719="interior",VLOOKUP($CP719,Control_Savings_Interior,IL$30,FALSE),VLOOKUP($CP719,Control_Savings_Exterior,IL$30,FALSE))</f>
        <v>#N/A</v>
      </c>
      <c r="IM719" s="1351" t="e">
        <f>IF($CO719="interior",IF(R718&gt;FO$37,(IM$28*(FO$37/R718)),IM$28)*FP719,VLOOKUP($CP719,Control_Savings_Exterior,IM$30,FALSE))</f>
        <v>#N/A</v>
      </c>
      <c r="IN719" s="1351" t="e">
        <f>IF($CO719="interior",ROUND(((1-IL719)*IM719)+IL719,2),VLOOKUP($CP719,Control_Savings_Exterior,IN$30,FALSE))</f>
        <v>#N/A</v>
      </c>
      <c r="IO719" s="1351" t="e">
        <f>IF($CO719="interior", ROUND(((1-IL719)*(IM719*(1-IP$28)))+IP719,2), VLOOKUP($CP719,Control_Savings_Exterior,IO$30,FALSE))</f>
        <v>#N/A</v>
      </c>
      <c r="IP719" s="1351">
        <f>IF($CO719="interior",ROUND(((1-IL719)*IP$28)+IL719,2),0)</f>
        <v>0</v>
      </c>
    </row>
    <row r="720" spans="1:250" s="82" customFormat="1" ht="14.95" customHeight="1" thickTop="1" thickBot="1">
      <c r="B720" s="1421"/>
      <c r="C720" s="1422"/>
      <c r="D720" s="1423"/>
      <c r="E720" s="1462" t="s">
        <v>357</v>
      </c>
      <c r="F720" s="1463"/>
      <c r="G720" s="1464" t="s">
        <v>362</v>
      </c>
      <c r="H720" s="1465"/>
      <c r="I720" s="1465"/>
      <c r="J720" s="1465"/>
      <c r="K720" s="1465"/>
      <c r="L720" s="1466"/>
      <c r="M720" s="669">
        <f>IFERROR(VLOOKUP(G720,_Daylight_Table[],2,FALSE),0)</f>
        <v>0</v>
      </c>
      <c r="N720" s="670"/>
      <c r="O720" s="669" t="e">
        <f>VLOOKUP(G719,'Space Table'!$B$3:$L$160,11,FALSE)</f>
        <v>#N/A</v>
      </c>
      <c r="P720" s="1408"/>
      <c r="Q720" s="1409"/>
      <c r="R720" s="1409"/>
      <c r="S720" s="1402"/>
      <c r="T720" s="671" t="s">
        <v>281</v>
      </c>
      <c r="U720" s="1467" t="str">
        <f>IFERROR(VLOOKUP(U719,Fixtures!DM$93:DP$142,4,FALSE),"")</f>
        <v/>
      </c>
      <c r="V720" s="1468"/>
      <c r="W720" s="1468"/>
      <c r="X720" s="1468"/>
      <c r="Y720" s="1468"/>
      <c r="Z720" s="1468"/>
      <c r="AA720" s="1468"/>
      <c r="AB720" s="1046" t="str">
        <f>IFERROR(VLOOKUP(U719,Fixtures_Proposed_List,2,FALSE),"")</f>
        <v/>
      </c>
      <c r="AC720" s="1036" t="str">
        <f>IFERROR(ROUND(T719*AB720*N718*R718/1000,0),"")</f>
        <v/>
      </c>
      <c r="AD720" s="1037" t="str">
        <f>IFERROR(ROUND(T719*AB720/1000,2),"")</f>
        <v/>
      </c>
      <c r="AE720" s="1045" t="s">
        <v>281</v>
      </c>
      <c r="AF720" s="1469"/>
      <c r="AG720" s="1469"/>
      <c r="AH720" s="1469"/>
      <c r="AI720" s="1469"/>
      <c r="AJ720" s="1476"/>
      <c r="AK720" s="1471"/>
      <c r="AL720" s="1473"/>
      <c r="AM720" s="1443"/>
      <c r="AN720" s="1444"/>
      <c r="AO720" s="1449"/>
      <c r="AP720" s="1449"/>
      <c r="AQ720" s="1450"/>
      <c r="AR720" s="1453"/>
      <c r="AS720" s="1456"/>
      <c r="AT720" s="1459"/>
      <c r="AU720" s="517"/>
      <c r="AV720" s="1480"/>
      <c r="AW720" s="1480"/>
      <c r="BC720" s="38"/>
      <c r="BD720" s="38"/>
      <c r="BE720" s="38"/>
      <c r="BF720" s="38"/>
      <c r="BG720" s="38"/>
      <c r="BH720" s="38"/>
      <c r="BI720" s="38"/>
      <c r="BJ720" s="38"/>
      <c r="BK720" s="38"/>
      <c r="BL720" s="38"/>
      <c r="BM720" s="38"/>
      <c r="BN720" s="38"/>
      <c r="BO720" s="38"/>
      <c r="BP720" s="38"/>
      <c r="BQ720" s="38"/>
      <c r="BR720" s="38"/>
      <c r="BS720" s="38"/>
      <c r="BT720" s="38"/>
      <c r="BU720" s="38"/>
      <c r="BV720" s="38"/>
      <c r="BW720" s="38"/>
      <c r="BX720" s="38"/>
      <c r="BY720" s="38"/>
      <c r="BZ720" s="38"/>
      <c r="CA720" s="38"/>
      <c r="CB720" s="38"/>
      <c r="CC720" s="38"/>
      <c r="CD720" s="38"/>
      <c r="CE720" s="38"/>
      <c r="CF720" s="38"/>
      <c r="CG720" s="38"/>
      <c r="CH720" s="38"/>
      <c r="CI720" s="38"/>
      <c r="CM720" s="1352"/>
      <c r="CN720" s="1352"/>
      <c r="CO720" s="1416"/>
      <c r="CP720" s="1418"/>
      <c r="CR720" s="1386"/>
      <c r="CS720" s="1355"/>
      <c r="CT720" s="1355"/>
      <c r="CU720" s="1375"/>
      <c r="CV720" s="1372"/>
      <c r="CW720" s="1372"/>
      <c r="CX720" s="1372"/>
      <c r="CY720" s="1487"/>
      <c r="CZ720" s="1487"/>
      <c r="DA720" s="1487"/>
      <c r="DC720" s="1355"/>
      <c r="DD720" s="1355"/>
      <c r="DE720" s="1375"/>
      <c r="DF720" s="1407"/>
      <c r="DG720" s="1372"/>
      <c r="DH720" s="1369"/>
      <c r="DK720" s="1484"/>
      <c r="DL720" s="1420"/>
      <c r="DN720" s="1403"/>
      <c r="DO720" s="1405"/>
      <c r="DP720" s="1355"/>
      <c r="DQ720" s="1405"/>
      <c r="DR720" s="1403"/>
      <c r="DS720" s="1489"/>
      <c r="DU720" s="1403"/>
      <c r="DV720" s="1405"/>
      <c r="DW720" s="1403"/>
      <c r="DX720" s="1403"/>
      <c r="DZ720" s="1481"/>
      <c r="EA720" s="1481"/>
      <c r="EC720" s="1482"/>
      <c r="ED720" s="1369"/>
      <c r="EE720" s="1372"/>
      <c r="EF720" s="1369"/>
      <c r="EG720" s="1369"/>
      <c r="EH720" s="1375"/>
      <c r="EI720" s="1375"/>
      <c r="EJ720" s="1363"/>
      <c r="EK720" s="1376"/>
      <c r="EL720" s="1376"/>
      <c r="EM720" s="1362"/>
      <c r="EN720" s="1362"/>
      <c r="EO720" s="1363"/>
      <c r="EP720" s="1363"/>
      <c r="EQ720" s="1363"/>
      <c r="ES720" s="1403"/>
      <c r="EU720" s="1488"/>
      <c r="EV720" s="1488"/>
      <c r="EW720" s="1488"/>
      <c r="EX720" s="1488"/>
      <c r="EY720" s="1488"/>
      <c r="EZ720" s="1414"/>
      <c r="FB720" s="1365"/>
      <c r="FD720" s="1355"/>
      <c r="FE720" s="1355"/>
      <c r="FF720" s="138"/>
      <c r="FI720" s="1357"/>
      <c r="FJ720" s="1357"/>
      <c r="FK720" s="1365"/>
      <c r="FL720" s="1365"/>
      <c r="FM720" s="1365"/>
      <c r="FO720" s="1361"/>
      <c r="FP720" s="1361"/>
      <c r="FQ720" s="1366"/>
      <c r="FR720" s="1361"/>
      <c r="FS720" s="1361"/>
      <c r="FT720" s="1361"/>
      <c r="FU720" s="1360"/>
      <c r="FW720" s="1352"/>
      <c r="FX720" s="1352"/>
      <c r="FY720" s="1352"/>
      <c r="FZ720" s="1352"/>
      <c r="GA720" s="1352"/>
      <c r="GB720" s="1352"/>
      <c r="GC720" s="1352"/>
      <c r="GD720" s="1352"/>
      <c r="GE720" s="759"/>
      <c r="GF720" s="1035"/>
      <c r="GG720" s="1385"/>
      <c r="GJ720" s="1034">
        <f>IF(GJ718=TRUE,0,GJ$16)</f>
        <v>0</v>
      </c>
      <c r="GL720" s="1034">
        <f>IF(GL718=TRUE,0,GL$16)</f>
        <v>36</v>
      </c>
      <c r="GM720" s="1034">
        <f>IF(GM718=TRUE,0,GM$16)</f>
        <v>35</v>
      </c>
      <c r="GN720" s="436"/>
      <c r="GO720" s="436"/>
      <c r="GP720" s="436"/>
      <c r="GQ720" s="436"/>
      <c r="GR720" s="436"/>
      <c r="HC720" s="1034">
        <f t="shared" ref="HC720:HH720" si="534">IF(HC718=TRUE,0,HC$16)</f>
        <v>19</v>
      </c>
      <c r="HD720" s="1034">
        <f t="shared" si="534"/>
        <v>18</v>
      </c>
      <c r="HE720" s="1034">
        <f t="shared" si="534"/>
        <v>17</v>
      </c>
      <c r="HF720" s="1034">
        <f t="shared" si="534"/>
        <v>16</v>
      </c>
      <c r="HG720" s="1034">
        <f t="shared" si="534"/>
        <v>0</v>
      </c>
      <c r="HH720" s="1034">
        <f t="shared" si="534"/>
        <v>0</v>
      </c>
      <c r="HI720" s="1034">
        <f>IF(HI718=TRUE,0,HI$16)</f>
        <v>13</v>
      </c>
      <c r="HJ720" s="1034">
        <f t="shared" ref="HJ720:HL720" si="535">IF(HJ718=TRUE,0,HJ$16)</f>
        <v>12</v>
      </c>
      <c r="HK720" s="1034">
        <f t="shared" si="535"/>
        <v>11</v>
      </c>
      <c r="HL720" s="1034">
        <f t="shared" si="535"/>
        <v>10</v>
      </c>
      <c r="HM720" s="1034">
        <f>IF(HM718=TRUE,0,HM$16)</f>
        <v>9</v>
      </c>
      <c r="HN720" s="1034">
        <f t="shared" ref="HN720:HR720" si="536">IF(HN718=TRUE,0,HN$16)</f>
        <v>0</v>
      </c>
      <c r="HO720" s="1034">
        <f t="shared" si="536"/>
        <v>0</v>
      </c>
      <c r="HP720" s="1034">
        <f t="shared" si="536"/>
        <v>0</v>
      </c>
      <c r="HQ720" s="1034">
        <f t="shared" si="536"/>
        <v>0</v>
      </c>
      <c r="HR720" s="1034">
        <f t="shared" si="536"/>
        <v>0</v>
      </c>
      <c r="HS720" s="1034">
        <f>IF(HS718=TRUE,0,HS$16)</f>
        <v>0</v>
      </c>
      <c r="HT720" s="1034">
        <f t="shared" ref="HT720" si="537">IF(HT718=TRUE,0,HT$16)</f>
        <v>0</v>
      </c>
      <c r="HU720" s="1034">
        <f>IF(HU718=TRUE,0,HU$16)</f>
        <v>1</v>
      </c>
      <c r="HW720" s="1034">
        <f>IF(GL718=FALSE,GL720,IF(GM718=FALSE,GM720,MAX(GJ720:HU720)))</f>
        <v>36</v>
      </c>
      <c r="HX720" s="1383"/>
      <c r="HY720" s="241" t="str">
        <f>VLOOKUP(HW720,_Error_Table,3,FALSE)</f>
        <v xml:space="preserve"> </v>
      </c>
      <c r="HZ720" s="241"/>
      <c r="IA720" s="1386"/>
      <c r="IB720" s="1380"/>
      <c r="IC720" s="1379"/>
      <c r="IF720" s="1380"/>
      <c r="IG720" s="1383"/>
      <c r="IH720" s="1383"/>
      <c r="II720" s="1383"/>
      <c r="IK720" s="1351"/>
      <c r="IL720" s="1351"/>
      <c r="IM720" s="1351"/>
      <c r="IN720" s="1351"/>
      <c r="IO720" s="1351"/>
      <c r="IP720" s="1351"/>
    </row>
    <row r="721" spans="1:250" s="82" customFormat="1" ht="5.0999999999999996" customHeight="1" thickBot="1">
      <c r="B721" s="763"/>
      <c r="C721" s="1038"/>
      <c r="D721" s="1038"/>
      <c r="E721" s="1490"/>
      <c r="F721" s="1490"/>
      <c r="G721" s="1490"/>
      <c r="H721" s="1490"/>
      <c r="I721" s="1490"/>
      <c r="J721" s="1490"/>
      <c r="K721" s="1490"/>
      <c r="L721" s="1490"/>
      <c r="M721" s="1490"/>
      <c r="N721" s="1490"/>
      <c r="O721" s="1490"/>
      <c r="P721" s="1490"/>
      <c r="Q721" s="1490"/>
      <c r="R721" s="1490"/>
      <c r="S721" s="1490"/>
      <c r="T721" s="1490"/>
      <c r="U721" s="1490"/>
      <c r="V721" s="1490"/>
      <c r="W721" s="1490"/>
      <c r="X721" s="1490"/>
      <c r="Y721" s="1490"/>
      <c r="Z721" s="1490"/>
      <c r="AA721" s="1490"/>
      <c r="AB721" s="1490"/>
      <c r="AC721" s="1490"/>
      <c r="AD721" s="1490"/>
      <c r="AE721" s="1490"/>
      <c r="AF721" s="1490"/>
      <c r="AG721" s="1490"/>
      <c r="AH721" s="1490"/>
      <c r="AI721" s="1490"/>
      <c r="AJ721" s="1490"/>
      <c r="AK721" s="1490"/>
      <c r="AL721" s="1490"/>
      <c r="AM721" s="1490"/>
      <c r="AN721" s="1490"/>
      <c r="AO721" s="1490"/>
      <c r="AP721" s="1490"/>
      <c r="AQ721" s="1490"/>
      <c r="AR721" s="1490"/>
      <c r="AS721" s="1490"/>
      <c r="AT721" s="1490"/>
      <c r="AU721" s="1041"/>
      <c r="BC721" s="38"/>
      <c r="BD721" s="38"/>
      <c r="BE721" s="38"/>
      <c r="BF721" s="38"/>
      <c r="BG721" s="38"/>
      <c r="BH721" s="38"/>
      <c r="BI721" s="38"/>
      <c r="BJ721" s="38"/>
      <c r="BK721" s="38"/>
      <c r="BL721" s="38"/>
      <c r="BM721" s="38"/>
      <c r="BN721" s="38"/>
      <c r="BO721" s="38"/>
      <c r="BP721" s="38"/>
      <c r="BQ721" s="38"/>
      <c r="BR721" s="38"/>
      <c r="BS721" s="38"/>
      <c r="BT721" s="38"/>
      <c r="BU721" s="38"/>
      <c r="BV721" s="38"/>
      <c r="BW721" s="38"/>
      <c r="BX721" s="38"/>
      <c r="BY721" s="38"/>
      <c r="BZ721" s="38"/>
      <c r="CA721" s="38"/>
      <c r="CB721" s="38"/>
      <c r="CC721" s="38"/>
      <c r="CD721" s="38"/>
      <c r="CE721" s="38"/>
      <c r="CF721" s="38"/>
      <c r="CG721" s="38"/>
      <c r="CH721" s="38"/>
      <c r="CI721" s="38"/>
      <c r="CM721" s="749"/>
      <c r="CN721" s="749"/>
      <c r="CO721" s="1043"/>
      <c r="CP721" s="749"/>
      <c r="CS721" s="436"/>
      <c r="CT721" s="436"/>
      <c r="CU721" s="243"/>
      <c r="CV721" s="244"/>
      <c r="CW721" s="244"/>
      <c r="CX721" s="244"/>
      <c r="CY721" s="245"/>
      <c r="CZ721" s="245"/>
      <c r="DA721" s="245"/>
      <c r="DC721" s="750"/>
      <c r="DD721" s="751"/>
      <c r="DE721" s="752"/>
      <c r="DF721" s="753"/>
      <c r="DG721" s="754"/>
      <c r="DH721" s="754"/>
      <c r="DK721" s="244"/>
      <c r="DL721" s="750"/>
      <c r="DN721" s="750"/>
      <c r="DO721" s="755"/>
      <c r="DP721" s="436"/>
      <c r="DQ721" s="750"/>
      <c r="DR721" s="750"/>
      <c r="DS721" s="750"/>
      <c r="DU721" s="750"/>
      <c r="DV721" s="750"/>
      <c r="DW721" s="750"/>
      <c r="DX721" s="750"/>
      <c r="DZ721" s="756"/>
      <c r="EA721" s="756"/>
      <c r="EC721" s="754"/>
      <c r="ED721" s="754"/>
      <c r="EE721" s="244"/>
      <c r="EF721" s="754"/>
      <c r="EG721" s="754"/>
      <c r="EH721" s="243"/>
      <c r="EI721" s="243"/>
      <c r="EJ721" s="752"/>
      <c r="EK721" s="757"/>
      <c r="EL721" s="757"/>
      <c r="EM721" s="758"/>
      <c r="EN721" s="758"/>
      <c r="EO721" s="752"/>
      <c r="EP721" s="752"/>
      <c r="EQ721" s="752"/>
      <c r="ES721" s="750"/>
      <c r="EU721" s="436"/>
      <c r="EV721" s="436"/>
      <c r="EW721" s="436"/>
      <c r="EX721" s="436"/>
      <c r="EY721" s="436"/>
      <c r="EZ721" s="436"/>
      <c r="FB721" s="643"/>
      <c r="FD721" s="436"/>
      <c r="FE721" s="436"/>
      <c r="FF721" s="436"/>
      <c r="FO721" s="750"/>
      <c r="FP721" s="436"/>
      <c r="FQ721" s="436"/>
      <c r="FR721" s="750"/>
      <c r="FS721" s="750"/>
      <c r="FW721" s="749"/>
      <c r="FX721" s="749"/>
      <c r="FY721" s="749"/>
      <c r="FZ721" s="749"/>
      <c r="GA721" s="749"/>
      <c r="GB721" s="749"/>
      <c r="GC721" s="749"/>
      <c r="GD721" s="749"/>
      <c r="GE721" s="751"/>
      <c r="GF721" s="750"/>
      <c r="GG721" s="750"/>
    </row>
    <row r="722" spans="1:250" s="82" customFormat="1" ht="14.95" customHeight="1" thickTop="1" thickBot="1">
      <c r="B722" s="1421" t="str">
        <f>HY725</f>
        <v xml:space="preserve"> </v>
      </c>
      <c r="C722" s="1422">
        <f>C717+1</f>
        <v>132</v>
      </c>
      <c r="D722" s="1423"/>
      <c r="E722" s="1424" t="s">
        <v>242</v>
      </c>
      <c r="F722" s="1425"/>
      <c r="G722" s="1426"/>
      <c r="H722" s="1427"/>
      <c r="I722" s="1427"/>
      <c r="J722" s="1427"/>
      <c r="K722" s="1427"/>
      <c r="L722" s="1427"/>
      <c r="M722" s="1427"/>
      <c r="N722" s="1427"/>
      <c r="O722" s="1427"/>
      <c r="P722" s="1427"/>
      <c r="Q722" s="1427"/>
      <c r="R722" s="1427"/>
      <c r="S722" s="1428" t="s">
        <v>283</v>
      </c>
      <c r="T722" s="668" t="s">
        <v>190</v>
      </c>
      <c r="U722" s="1430" t="s">
        <v>186</v>
      </c>
      <c r="V722" s="1431"/>
      <c r="W722" s="1431"/>
      <c r="X722" s="1431"/>
      <c r="Y722" s="1431"/>
      <c r="Z722" s="1431"/>
      <c r="AA722" s="1431"/>
      <c r="AB722" s="1047" t="str">
        <f>IFERROR(IF(__Retrofit_TI_NC=0,VLOOKUP(U723,Fixtures_Existing_List,2,FALSE),ROUND(N724*R724/T724,10)),"")</f>
        <v/>
      </c>
      <c r="AC722" s="1039" t="str">
        <f>IFERROR(IF(__Retrofit_TI_NC=0,ROUND(T723*AB722*N723*R723/1000,0),IF(CN722="Interior",N724*R724*R723*N723*_C406_reduction/1000,N724*R724*R723*N723/1000)),"")</f>
        <v/>
      </c>
      <c r="AD722" s="1040" t="str">
        <f>IFERROR(IF(C$36=0,ROUND(T723*AB722/1000,2),N724*R724/1000),"")</f>
        <v/>
      </c>
      <c r="AE722" s="1044" t="s">
        <v>190</v>
      </c>
      <c r="AF722" s="1432" t="str">
        <f>IF(__Retrofit_TI_NC=2,CONCATENATE("Code min = ",DD722),IF(__Retrofit_TI_NC=1,"Emter what you think the existing control was"," Control"))</f>
        <v xml:space="preserve"> Control</v>
      </c>
      <c r="AG722" s="1432"/>
      <c r="AH722" s="1432"/>
      <c r="AI722" s="1432"/>
      <c r="AJ722" s="1433">
        <f>DF722</f>
        <v>0</v>
      </c>
      <c r="AK722" s="1435" t="str">
        <f>IFERROR(ROUND(AJ722*AC722,0),"")</f>
        <v/>
      </c>
      <c r="AL722" s="1437">
        <f>IFERROR(IF(HW722=FALSE,0,AC722-AK722),0)</f>
        <v>0</v>
      </c>
      <c r="AM722" s="1439">
        <f>AL722-AL724</f>
        <v>0</v>
      </c>
      <c r="AN722" s="1440"/>
      <c r="AO722" s="1445">
        <f>IFERROR(IF(HW722=FALSE,0,(T724*U725)+(AE724*AF725)),0)</f>
        <v>0</v>
      </c>
      <c r="AP722" s="1445"/>
      <c r="AQ722" s="1446"/>
      <c r="AR722" s="1451" t="s">
        <v>157</v>
      </c>
      <c r="AS722" s="1454">
        <f>IF(AR722="Yes",1,0)</f>
        <v>1</v>
      </c>
      <c r="AT722" s="1457" t="str">
        <f>IF(OR(DN722=4,DN722=5,DN722=6,DN722=12),CONCATENATE("$",IF(GD722=TRUE,Lookup!$B$11,Lookup!$B$2)," /lamp"),CONCATENATE(EA722,"/ kWh"))</f>
        <v>0/ kWh</v>
      </c>
      <c r="AU722" s="516"/>
      <c r="AV722" s="1478">
        <f>IFERROR(IF(GI723=TRUE,(AB725*T724)/R724,0),"NA")</f>
        <v>0</v>
      </c>
      <c r="AW722" s="1478" t="str">
        <f>IFERROR(N724*_C406_reduction,"NA")</f>
        <v>NA</v>
      </c>
      <c r="BC722" s="38"/>
      <c r="BD722" s="38"/>
      <c r="BE722" s="38"/>
      <c r="BF722" s="38"/>
      <c r="BG722" s="38"/>
      <c r="BH722" s="38"/>
      <c r="BI722" s="38"/>
      <c r="BJ722" s="38"/>
      <c r="BK722" s="38"/>
      <c r="BL722" s="38"/>
      <c r="BM722" s="38"/>
      <c r="BN722" s="38"/>
      <c r="BO722" s="38"/>
      <c r="BP722" s="38"/>
      <c r="BQ722" s="38"/>
      <c r="BR722" s="38"/>
      <c r="BS722" s="38"/>
      <c r="BT722" s="38"/>
      <c r="BU722" s="38"/>
      <c r="BV722" s="38"/>
      <c r="BW722" s="38"/>
      <c r="BX722" s="38"/>
      <c r="BY722" s="38"/>
      <c r="BZ722" s="38"/>
      <c r="CA722" s="38"/>
      <c r="CB722" s="38"/>
      <c r="CC722" s="38"/>
      <c r="CD722" s="38"/>
      <c r="CE722" s="38"/>
      <c r="CF722" s="38"/>
      <c r="CG722" s="38"/>
      <c r="CH722" s="38"/>
      <c r="CI722" s="38"/>
      <c r="CM722" s="1352" t="str">
        <f>N723</f>
        <v/>
      </c>
      <c r="CN722" s="1352" t="str">
        <f>IFERROR(VLOOKUP(G723,_Lookup_Heat_Type_Table_New,3,FALSE),"")</f>
        <v/>
      </c>
      <c r="CO722" s="1415" t="str">
        <f>CN722</f>
        <v/>
      </c>
      <c r="CP722" s="1417" t="e">
        <f>VLOOKUP(G724,'Space Table'!$B$3:$L$160,9,FALSE)</f>
        <v>#N/A</v>
      </c>
      <c r="CR722" s="1386" t="s">
        <v>283</v>
      </c>
      <c r="CS722" s="1353">
        <f>IF(HW722=TRUE,T723,0)</f>
        <v>0</v>
      </c>
      <c r="CT722" s="1353" t="str">
        <f>IF(HW722=TRUE,U723,"")</f>
        <v/>
      </c>
      <c r="CU722" s="1353"/>
      <c r="CV722" s="1370">
        <f>IF(HW722=TRUE,AB722,0)</f>
        <v>0</v>
      </c>
      <c r="CW722" s="1370">
        <f>IF(HW722=TRUE,AC722,0)</f>
        <v>0</v>
      </c>
      <c r="CX722" s="1370">
        <f>IFERROR(IF(HW722=TRUE,CW722-CW724,0),0)</f>
        <v>0</v>
      </c>
      <c r="CY722" s="1485">
        <f>IF(HW722=TRUE,AD722,0)</f>
        <v>0</v>
      </c>
      <c r="CZ722" s="1485">
        <f>IF(HW722=TRUE,AD725,0)</f>
        <v>0</v>
      </c>
      <c r="DA722" s="1485">
        <f>IFERROR(CY722-CZ722,0)</f>
        <v>0</v>
      </c>
      <c r="DC722" s="1353">
        <f>IF(HW722=TRUE,AE723,0)</f>
        <v>0</v>
      </c>
      <c r="DD722" s="1460">
        <f>IF(__Retrofit_TI_NC=2,IF(CN722="Exterior",O725,FM722),FK722)</f>
        <v>0</v>
      </c>
      <c r="DE722" s="1353"/>
      <c r="DF722" s="1406">
        <f>IFERROR(IF(FL722=3,IK722,IF(FL722=4,IL722,IF(FL722=5,IM722,IF(FL722=6,IN722,IF(FL722=7,IO722,IF(FL722=8,IP722,0)))))),0)</f>
        <v>0</v>
      </c>
      <c r="DG722" s="1370">
        <f>IF(HW722=TRUE,AK722,0)</f>
        <v>0</v>
      </c>
      <c r="DH722" s="1369">
        <f>IFERROR(IF(HW722=TRUE,DG724-DG722,0),0)</f>
        <v>0</v>
      </c>
      <c r="DJ722" s="1483">
        <f>IFERROR(CW722-DG722,0)</f>
        <v>0</v>
      </c>
      <c r="DL722" s="1419">
        <f>DJ722-DK724</f>
        <v>0</v>
      </c>
      <c r="DN722" s="1403" t="str">
        <f>IFERROR(IF(AND(OR(FY722=4,FY722=5,FY722=6),OR(GB722=4,GB722=5,GB722=6)),FY722+8,VLOOKUP(CT724,Fixtures!R$31:Y$78,8,FALSE)),"")</f>
        <v/>
      </c>
      <c r="DO722" s="1404" t="str">
        <f>DN722</f>
        <v/>
      </c>
      <c r="DP722" s="1353" t="str">
        <f>IFERROR(VLOOKUP(DD724,Lookup!AU$3:AV$15,2,FALSE),"")</f>
        <v/>
      </c>
      <c r="DQ722" s="1404" t="str">
        <f>IF(DP722=7,"LLLC","")</f>
        <v/>
      </c>
      <c r="DR722" s="1403">
        <f>IFERROR(IF(OR(DN722=4,DN722=5,DN722=6,DN722=12,DN722=13,DN722=14),VLOOKUP(CT724,Fixtures!DN$27:EG$77,19,FALSE),1)*CS724,0)</f>
        <v>0</v>
      </c>
      <c r="DS722" s="1489">
        <f>IF(DP722=7,IF(DD722=DD724,0,DC724),0)</f>
        <v>0</v>
      </c>
      <c r="DU722" s="1403" t="str">
        <f>IFERROR(IF(EW722&lt;EW724,"Yes","No"),"")</f>
        <v/>
      </c>
      <c r="DV722" s="1404" t="str">
        <f>DU722</f>
        <v/>
      </c>
      <c r="DW722" s="1403">
        <f>IF(DU722="Yes",DC724,0)</f>
        <v>0</v>
      </c>
      <c r="DX722" s="1403">
        <f>DW722-DS722</f>
        <v>0</v>
      </c>
      <c r="DZ722" s="1481">
        <f>IFERROR(VLOOKUP(DN722,Lookup!AN$3:AO$16,2,FALSE),0)</f>
        <v>0</v>
      </c>
      <c r="EA722" s="1481">
        <f>IF(HW722=FALSE,0,IF(DU722="Yes",DZ722+Lookup!B$6,DZ722))</f>
        <v>0</v>
      </c>
      <c r="EC722" s="1482">
        <f>IF(HW722=TRUE,DJ722,0)</f>
        <v>0</v>
      </c>
      <c r="ED722" s="1369">
        <f>IF(HW722=TRUE,CW724,0)</f>
        <v>0</v>
      </c>
      <c r="EE722" s="1370">
        <f>IFERROR(EC722-ED722,0)</f>
        <v>0</v>
      </c>
      <c r="EF722" s="1369">
        <f>IF(HW722=TRUE,DG724,0)</f>
        <v>0</v>
      </c>
      <c r="EG722" s="1369">
        <f>IFERROR(EC722-ED722+EF722,0)</f>
        <v>0</v>
      </c>
      <c r="EH722" s="1373">
        <f>IF(HW722=TRUE,CS724*CU724,0)</f>
        <v>0</v>
      </c>
      <c r="EI722" s="1373">
        <f>IF(HW722=TRUE,DC724*DE724,0)</f>
        <v>0</v>
      </c>
      <c r="EJ722" s="1363">
        <f>AO722</f>
        <v>0</v>
      </c>
      <c r="EK722" s="1376" t="str">
        <f>IFERROR(IF(HW722=TRUE,VLOOKUP(DN722,Lookup!AN$3:AP$16,3,FALSE)*DR722,""),0)</f>
        <v/>
      </c>
      <c r="EL722" s="1376">
        <f>IF(HW722=TRUE,DW722*Lookup!AP$12,0)</f>
        <v>0</v>
      </c>
      <c r="EM722" s="1362">
        <f>IFERROR(IF(HW722=TRUE,EK722/EM$33,0),0)</f>
        <v>0</v>
      </c>
      <c r="EN722" s="1362">
        <f>IF(HW722=TRUE,EL722/EN$33,0)</f>
        <v>0</v>
      </c>
      <c r="EO722" s="1363">
        <f>IF(HW722=TRUE,EQ$33*EM722,0)</f>
        <v>0</v>
      </c>
      <c r="EP722" s="1363">
        <f>IF(HW722=TRUE,EQ$33*EN722,0)</f>
        <v>0</v>
      </c>
      <c r="EQ722" s="1363">
        <f>EO722+EP722</f>
        <v>0</v>
      </c>
      <c r="ES722" s="1403">
        <f>IF(G722="",0,1)</f>
        <v>0</v>
      </c>
      <c r="EU722" s="1410" t="e">
        <f>VLOOKUP(CP724,'Space Table'!$B$3:$L$160,8,FALSE)</f>
        <v>#N/A</v>
      </c>
      <c r="EV722" s="1410" t="e">
        <f>IF(EY722="Yes",VLOOKUP(DD722,Lookup_Control_Type_Table2,4,FALSE),VLOOKUP(DD722,Lookup_Control_Type_Table2,3,FALSE))</f>
        <v>#N/A</v>
      </c>
      <c r="EW722" s="1410" t="e">
        <f>VLOOKUP(DD722,Lookup!AU$3:AV$15,2,FALSE)</f>
        <v>#N/A</v>
      </c>
      <c r="EX722" s="1410" t="e">
        <f>VLOOKUP(EU722,Lookup_Control_Type_Table,2,FALSE)</f>
        <v>#N/A</v>
      </c>
      <c r="EY722" s="1410" t="e">
        <f>VLOOKUP(CP724,'Space Table'!$B$3:$L$160,7,FALSE)</f>
        <v>#N/A</v>
      </c>
      <c r="EZ722" s="1412" t="b">
        <f>ISNUMBER(SEARCH("TLED",U724))</f>
        <v>0</v>
      </c>
      <c r="FB722" s="1365" t="str">
        <f>CONCATENATE(CN722," - ",DD722)</f>
        <v xml:space="preserve"> - 0</v>
      </c>
      <c r="FD722" s="1353" t="str">
        <f>VLOOKUP(CT724,Fixtures!DN$27:EZ$77,38,FALSE)</f>
        <v/>
      </c>
      <c r="FE722" s="1353">
        <f>IFERROR(FD722*EE722,0)</f>
        <v>0</v>
      </c>
      <c r="FF722" s="138"/>
      <c r="FI722" s="1356" t="str">
        <f>IF(CN722="Exterior","Not Daylighted",G725)</f>
        <v>Not Daylighted</v>
      </c>
      <c r="FJ722" s="1356">
        <f>VLOOKUP(FI722,_Daylight_Table_Codes,2,FALSE)</f>
        <v>0</v>
      </c>
      <c r="FK722" s="1365">
        <f>IF(__Retrofit_TI_NC=2,VLOOKUP(G724,'Space Table'!$B$3:$L$160,11,FALSE),AF723)</f>
        <v>0</v>
      </c>
      <c r="FL722" s="1365" t="e">
        <f>VLOOKUP(FK722,_Control_Table,2,FALSE)</f>
        <v>#N/A</v>
      </c>
      <c r="FM722" s="1365" t="e">
        <f>IF(AND(FP722&gt;0,FK722="Occupancy Sensor"),"Daylight + Occupancy",IF(AND(FP722&gt;0,FL722&lt;4),"Interior Daylight Dimming",FK722))</f>
        <v>#N/A</v>
      </c>
      <c r="FO722" s="1364">
        <f>IF(CO722="Interior",VLOOKUP(CP722,Control_Savings_Interior,5,FALSE),0)</f>
        <v>0</v>
      </c>
      <c r="FP722" s="1361">
        <f>IF(CN722="Exterior",0,IF(FJ722=2,0.5,IF(OR(FJ722=1,FJ722=3),1,0)))</f>
        <v>0</v>
      </c>
      <c r="FQ722" s="1366"/>
      <c r="FR722" s="1367"/>
      <c r="FS722" s="1364"/>
      <c r="FT722" s="1367"/>
      <c r="FU722" s="1360"/>
      <c r="FW722" s="1352" t="str">
        <f>IFERROR(VLOOKUP(U723,_Exist_Fixture_Table,3,FALSE),"")</f>
        <v/>
      </c>
      <c r="FX722" s="1352" t="str">
        <f>VLOOKUP(CT722,_Exist_Fixture_Table,4,FALSE)</f>
        <v/>
      </c>
      <c r="FY722" s="1352">
        <f>IFERROR(VLOOKUP(FX722,Lookup!AM$6:AN$8,2,FALSE),0)</f>
        <v>0</v>
      </c>
      <c r="FZ722" s="1352" t="b">
        <f>IFERROR(IF(OR(GB722=4,GB722=5,GB722=6),TRUE,FALSE),"")</f>
        <v>0</v>
      </c>
      <c r="GA722" s="1352" t="str">
        <f>IFERROR(VLOOKUP(GB722,FY$6:FZ$10,2,FALSE),"")</f>
        <v/>
      </c>
      <c r="GB722" s="1352" t="str">
        <f>VLOOKUP(CT724,Fixtures!R$31:Y$78,8,FALSE)</f>
        <v/>
      </c>
      <c r="GC722" s="1352">
        <f>IF(AND(FW722=TRUE,FZ722=TRUE,OR(DN722=12,DN722=13,DN722=14)),FY722+8,0)</f>
        <v>0</v>
      </c>
      <c r="GD722" s="1352" t="b">
        <f>IF(OR(GC722=12,GC722=13,GC722=14),TRUE,FALSE)</f>
        <v>0</v>
      </c>
      <c r="GE722" s="759" t="b">
        <f>IF(ISNUMBER(SEARCH("TLED",U723)),TRUE,FALSE)</f>
        <v>0</v>
      </c>
      <c r="GF722" s="1035" t="str">
        <f>IFERROR(VLOOKUP(U723,Fixtures!BM$93:BR$142,6,FALSE),"")</f>
        <v/>
      </c>
      <c r="GG722" s="1385" t="b">
        <f>IF(OR(GE722=FALSE,GE724=FALSE),TRUE,IF(GF722-GF724&lt;5,FALSE,TRUE))</f>
        <v>1</v>
      </c>
      <c r="GK722" s="1034">
        <f>GL722</f>
        <v>0</v>
      </c>
      <c r="GL722" s="1034">
        <f>IF(G722="",0,1)</f>
        <v>0</v>
      </c>
      <c r="GM722" s="1034">
        <f>SUM(GN722:HB722)</f>
        <v>2</v>
      </c>
      <c r="GN722" s="1034">
        <f>IF(G723="",0,1)</f>
        <v>0</v>
      </c>
      <c r="GO722" s="1034">
        <f>IF(G724="",0,1)</f>
        <v>0</v>
      </c>
      <c r="GP722" s="1034">
        <f>IF(R723="",0,1)</f>
        <v>0</v>
      </c>
      <c r="GQ722" s="1034">
        <f>IF(__Retrofit_TI_NC=0,1,IF(R724="",0,1))</f>
        <v>1</v>
      </c>
      <c r="GR722" s="1034">
        <f>IF(CN722="Exterior",1,IF(G725="",0,1))</f>
        <v>1</v>
      </c>
      <c r="GS722" s="1034">
        <f>IF(__Retrofit_TI_NC&lt;&gt;0,1,IF(T723="",0,1))</f>
        <v>0</v>
      </c>
      <c r="GT722" s="1034">
        <f>IF(__Retrofit_TI_NC&lt;&gt;0,1,IF(U723="",0,1))</f>
        <v>0</v>
      </c>
      <c r="GU722" s="1034">
        <f>IF(T724="",0,1)</f>
        <v>0</v>
      </c>
      <c r="GV722" s="1034">
        <f>IF(U724="",0,1)</f>
        <v>0</v>
      </c>
      <c r="GW722" s="1034">
        <f>IF(__Retrofit_TI_NC=2,1,IF(U725="",0,1))</f>
        <v>0</v>
      </c>
      <c r="GX722" s="1034">
        <f>IF(__Retrofit_TI_NC&lt;&gt;0,1,IF(AE723="",0,1))</f>
        <v>0</v>
      </c>
      <c r="GY722" s="1034">
        <f>IF(__Retrofit_TI_NC&lt;&gt;0,1,IF(AF723="",0,1))</f>
        <v>0</v>
      </c>
      <c r="GZ722" s="1034">
        <f>IF(AE724="",0,1)</f>
        <v>0</v>
      </c>
      <c r="HA722" s="1034">
        <f>IF(AF724="",0,1)</f>
        <v>0</v>
      </c>
      <c r="HB722" s="1034">
        <f>IF(__Retrofit_TI_NC=2,1,IF(AF725="",0,1))</f>
        <v>0</v>
      </c>
      <c r="HV722" s="436"/>
      <c r="HW722" s="1384" t="b">
        <f>IF(OR(HW725=0,HW725=HT$16,HW725=HS$16,HW725=HU$16),TRUE,FALSE)</f>
        <v>0</v>
      </c>
      <c r="HX722" s="1377" t="b">
        <f>HW722</f>
        <v>0</v>
      </c>
      <c r="HY722" s="436"/>
      <c r="HZ722" s="436"/>
      <c r="IA722" s="1386" t="b">
        <f>IF(MAX(GJ725:HP725)&gt;5,FALSE,TRUE)</f>
        <v>0</v>
      </c>
      <c r="IB722" s="1380">
        <f>IF(IA722=TRUE,AC722,0)</f>
        <v>0</v>
      </c>
      <c r="IC722" s="1380">
        <f>IB722-IB724</f>
        <v>0</v>
      </c>
      <c r="IF722" s="1380" t="e">
        <f>ROUND(T723*VLOOKUP(U723,Fixtures_Existing_List,2,FALSE)*N723*R723/1000,0)</f>
        <v>#N/A</v>
      </c>
      <c r="IG722" s="1381" t="e">
        <f>IF722-IF724</f>
        <v>#N/A</v>
      </c>
      <c r="IH722" s="1384" t="e">
        <f>ROUND(IF(CN722="Interior",N724*R724*R723*N723*_C406_reduction/1000,N724*R724*R723*N723/1000),0)</f>
        <v>#N/A</v>
      </c>
      <c r="II722" s="1384" t="e">
        <f>IH722-IH724</f>
        <v>#N/A</v>
      </c>
      <c r="IK722" s="1351" t="e">
        <f>IF($CO722="interior",IL722/2,VLOOKUP($CP722,Control_Savings_Exterior,IK$30,FALSE))</f>
        <v>#N/A</v>
      </c>
      <c r="IL722" s="1351" t="e">
        <f>IF($CO722="interior",VLOOKUP($CP722,Control_Savings_Interior,IL$30,FALSE),VLOOKUP($CP722,Control_Savings_Exterior,IL$30,FALSE))</f>
        <v>#N/A</v>
      </c>
      <c r="IM722" s="1351" t="e">
        <f>IF($CO722="interior",IF(R723&gt;FO$37,(IM$28*(FO$37/R723)),IM$28)*FP722,VLOOKUP($CP722,Control_Savings_Exterior,IM$30,FALSE))</f>
        <v>#N/A</v>
      </c>
      <c r="IN722" s="1351" t="e">
        <f>IF($CO722="interior",ROUND(((1-IL722)*IM722)+IL722,2),VLOOKUP($CP722,Control_Savings_Exterior,IN$30,FALSE))</f>
        <v>#N/A</v>
      </c>
      <c r="IO722" s="1351" t="e">
        <f>IF($CO722="interior", ROUND(((1-IL722)*(IM722*(1-IP$28)))+IP722,2), VLOOKUP($CP722,Control_Savings_Exterior,IO$30,FALSE))</f>
        <v>#N/A</v>
      </c>
      <c r="IP722" s="1351">
        <f>IF($CO722="interior",ROUND(((1-IL722)*IP$28)+IL722,2),0)</f>
        <v>0</v>
      </c>
    </row>
    <row r="723" spans="1:250" s="82" customFormat="1" ht="14.95" customHeight="1" thickTop="1" thickBot="1">
      <c r="B723" s="1421"/>
      <c r="C723" s="1422"/>
      <c r="D723" s="1423"/>
      <c r="E723" s="1393" t="s">
        <v>244</v>
      </c>
      <c r="F723" s="1394"/>
      <c r="G723" s="1395"/>
      <c r="H723" s="1395"/>
      <c r="I723" s="1395"/>
      <c r="J723" s="1395"/>
      <c r="K723" s="1395"/>
      <c r="L723" s="1395"/>
      <c r="M723" s="509" t="e">
        <f>IF(__Retrofit_TI_NC&lt;&gt;0,IF(VLOOKUP(G724,'Space Table'!$B$3:$L$160,3,FALSE)&gt;0,1,0),IF(__Retrofit_TI_NC=VLOOKUP(G724,'Space Table'!$B$3:$L$160,3,FALSE),1,0))</f>
        <v>#N/A</v>
      </c>
      <c r="N723" s="509" t="str">
        <f>IFERROR(VLOOKUP(G723,_Lookup_Heat_Type_Table_New,2,FALSE),"")</f>
        <v/>
      </c>
      <c r="O723" s="509">
        <f>IF(__Retrofit_TI_NC=1,CONCATENATE("TI ",G723),IF(__Retrofit_TI_NC=2,CONCATENATE("NC ",G723),G723))</f>
        <v>0</v>
      </c>
      <c r="P723" s="1396" t="s">
        <v>352</v>
      </c>
      <c r="Q723" s="1396"/>
      <c r="R723" s="673"/>
      <c r="S723" s="1429"/>
      <c r="T723" s="675"/>
      <c r="U723" s="1496"/>
      <c r="V723" s="1497"/>
      <c r="W723" s="1497"/>
      <c r="X723" s="1497"/>
      <c r="Y723" s="1497"/>
      <c r="Z723" s="1497"/>
      <c r="AA723" s="1497"/>
      <c r="AB723" s="1497"/>
      <c r="AC723" s="1497"/>
      <c r="AD723" s="1498"/>
      <c r="AE723" s="675"/>
      <c r="AF723" s="1397"/>
      <c r="AG723" s="1397"/>
      <c r="AH723" s="1397"/>
      <c r="AI723" s="1397"/>
      <c r="AJ723" s="1434"/>
      <c r="AK723" s="1436"/>
      <c r="AL723" s="1438"/>
      <c r="AM723" s="1441"/>
      <c r="AN723" s="1442"/>
      <c r="AO723" s="1447"/>
      <c r="AP723" s="1447"/>
      <c r="AQ723" s="1448"/>
      <c r="AR723" s="1452"/>
      <c r="AS723" s="1455"/>
      <c r="AT723" s="1458"/>
      <c r="AU723" s="516"/>
      <c r="AV723" s="1479"/>
      <c r="AW723" s="1479"/>
      <c r="BC723" s="38"/>
      <c r="BD723" s="38"/>
      <c r="BE723" s="38"/>
      <c r="BF723" s="38"/>
      <c r="BG723" s="38"/>
      <c r="BH723" s="38"/>
      <c r="BI723" s="38"/>
      <c r="BJ723" s="38"/>
      <c r="BK723" s="38"/>
      <c r="BL723" s="38"/>
      <c r="BM723" s="38"/>
      <c r="BN723" s="38"/>
      <c r="BO723" s="38"/>
      <c r="BP723" s="38"/>
      <c r="BQ723" s="38"/>
      <c r="BR723" s="38"/>
      <c r="BS723" s="38"/>
      <c r="BT723" s="38"/>
      <c r="BU723" s="38"/>
      <c r="BV723" s="38"/>
      <c r="BW723" s="38"/>
      <c r="BX723" s="38"/>
      <c r="BY723" s="38"/>
      <c r="BZ723" s="38"/>
      <c r="CA723" s="38"/>
      <c r="CB723" s="38"/>
      <c r="CC723" s="38"/>
      <c r="CD723" s="38"/>
      <c r="CE723" s="38"/>
      <c r="CF723" s="38"/>
      <c r="CG723" s="38"/>
      <c r="CH723" s="38"/>
      <c r="CI723" s="38"/>
      <c r="CM723" s="1352"/>
      <c r="CN723" s="1352"/>
      <c r="CO723" s="1416"/>
      <c r="CP723" s="1418"/>
      <c r="CR723" s="1386"/>
      <c r="CS723" s="1355"/>
      <c r="CT723" s="1355"/>
      <c r="CU723" s="1355"/>
      <c r="CV723" s="1372"/>
      <c r="CW723" s="1372"/>
      <c r="CX723" s="1371"/>
      <c r="CY723" s="1486"/>
      <c r="CZ723" s="1486"/>
      <c r="DA723" s="1486"/>
      <c r="DC723" s="1355"/>
      <c r="DD723" s="1461"/>
      <c r="DE723" s="1355"/>
      <c r="DF723" s="1407"/>
      <c r="DG723" s="1372"/>
      <c r="DH723" s="1369"/>
      <c r="DJ723" s="1484"/>
      <c r="DL723" s="1419"/>
      <c r="DN723" s="1403"/>
      <c r="DO723" s="1405"/>
      <c r="DP723" s="1354"/>
      <c r="DQ723" s="1405"/>
      <c r="DR723" s="1403"/>
      <c r="DS723" s="1489"/>
      <c r="DU723" s="1403"/>
      <c r="DV723" s="1405"/>
      <c r="DW723" s="1403"/>
      <c r="DX723" s="1403"/>
      <c r="DZ723" s="1481"/>
      <c r="EA723" s="1481"/>
      <c r="EC723" s="1482"/>
      <c r="ED723" s="1369"/>
      <c r="EE723" s="1371"/>
      <c r="EF723" s="1369"/>
      <c r="EG723" s="1369"/>
      <c r="EH723" s="1374"/>
      <c r="EI723" s="1374"/>
      <c r="EJ723" s="1363"/>
      <c r="EK723" s="1376"/>
      <c r="EL723" s="1376"/>
      <c r="EM723" s="1362"/>
      <c r="EN723" s="1362"/>
      <c r="EO723" s="1363"/>
      <c r="EP723" s="1363"/>
      <c r="EQ723" s="1363"/>
      <c r="ES723" s="1403"/>
      <c r="EU723" s="1411"/>
      <c r="EV723" s="1411"/>
      <c r="EW723" s="1411"/>
      <c r="EX723" s="1411"/>
      <c r="EY723" s="1411"/>
      <c r="EZ723" s="1413"/>
      <c r="FB723" s="1365"/>
      <c r="FD723" s="1354"/>
      <c r="FE723" s="1354"/>
      <c r="FF723" s="138"/>
      <c r="FI723" s="1357"/>
      <c r="FJ723" s="1357"/>
      <c r="FK723" s="1365"/>
      <c r="FL723" s="1365"/>
      <c r="FM723" s="1365"/>
      <c r="FO723" s="1361"/>
      <c r="FP723" s="1361"/>
      <c r="FQ723" s="1366"/>
      <c r="FR723" s="1368"/>
      <c r="FS723" s="1361"/>
      <c r="FT723" s="1368"/>
      <c r="FU723" s="1360"/>
      <c r="FW723" s="1352"/>
      <c r="FX723" s="1352"/>
      <c r="FY723" s="1352"/>
      <c r="FZ723" s="1352"/>
      <c r="GA723" s="1352"/>
      <c r="GB723" s="1352"/>
      <c r="GC723" s="1352"/>
      <c r="GD723" s="1352"/>
      <c r="GE723" s="759"/>
      <c r="GF723" s="1035"/>
      <c r="GG723" s="1385"/>
      <c r="GI723" s="1384" t="b">
        <f>IF(AND(GL723=TRUE,GM723=TRUE),TRUE,FALSE)</f>
        <v>0</v>
      </c>
      <c r="GJ723" s="1379" t="b">
        <f>IFERROR(IF(__Retrofit_TI_NC=2,TRUE,IF(AR722="Yes",TRUE,FALSE)),FALSE)</f>
        <v>1</v>
      </c>
      <c r="GL723" s="1379" t="b">
        <f>IFERROR(IF(GL722=1,TRUE,FALSE),FALSE)</f>
        <v>0</v>
      </c>
      <c r="GM723" s="1379" t="b">
        <f>IFERROR(IF(GM722=GM$14,TRUE,FALSE),FALSE)</f>
        <v>0</v>
      </c>
      <c r="HC723" s="1379" t="b">
        <f>IFERROR(IF(M723=1,TRUE,FALSE),FALSE)</f>
        <v>0</v>
      </c>
      <c r="HD723" s="1379" t="b">
        <f>IFERROR(IF(M724=1,TRUE,FALSE),FALSE)</f>
        <v>0</v>
      </c>
      <c r="HE723" s="1379" t="b">
        <f>IFERROR(IF(__Retrofit_TI_NC&lt;&gt;0,TRUE,IFERROR(IF(VLOOKUP(U723,Fixtures_Existing_List,2,FALSE)&lt;&gt;"",TRUE,FALSE),FALSE)),FALSE)</f>
        <v>0</v>
      </c>
      <c r="HF723" s="1379" t="b">
        <f>IFERROR(IF(VLOOKUP(U724,Fixtures_Proposed_List,2,FALSE)&lt;&gt;"",TRUE,FALSE),FALSE)</f>
        <v>0</v>
      </c>
      <c r="HG723" s="1379" t="b">
        <f>IF(AND(__Retrofit_TI_NC=2,EZ722=TRUE),FALSE,TRUE)</f>
        <v>1</v>
      </c>
      <c r="HH723" s="1379" t="b">
        <f>GG722</f>
        <v>1</v>
      </c>
      <c r="HI723" s="1384" t="b">
        <f>IF(ISERROR(MATCH(FB722,_Control_Match[],0))=TRUE,FALSE,TRUE)</f>
        <v>0</v>
      </c>
      <c r="HJ723" s="1384" t="b">
        <f>IFERROR(IF(EU722&lt;&gt;EV722,FALSE,TRUE),FALSE)</f>
        <v>0</v>
      </c>
      <c r="HK723" s="1384" t="b">
        <f>IFERROR(IF(EU724&lt;&gt;EV724,FALSE,TRUE),FALSE)</f>
        <v>0</v>
      </c>
      <c r="HL723" s="1379" t="b">
        <f>IFERROR(IF(CN722="Exterior",TRUE,IF(OR(AND(FJ722=0,EW724&gt;4),AND(FJ722=4,EW724&gt;4,EW724&lt;7)),FALSE,TRUE)),FALSE)</f>
        <v>0</v>
      </c>
      <c r="HM723" s="1379" t="b">
        <f>IFERROR(IF(AND(FL724=7,EZ722=TRUE),FALSE,TRUE),FALSE)</f>
        <v>0</v>
      </c>
      <c r="HN723" s="1379" t="b">
        <f>IFERROR(IF(AND(T724&lt;&gt;AE724,AF724="Interior LLLC")=TRUE,FALSE,TRUE),FALSE)</f>
        <v>1</v>
      </c>
      <c r="HO723" s="1379" t="b">
        <f>IFERROR(IF(OR(AF724=Lookup!AU$13,AF724=Lookup!AU$14)=TRUE,IF(AE724&gt;T724,FALSE,TRUE),TRUE),FALSE)</f>
        <v>1</v>
      </c>
      <c r="HP723" s="1379" t="b">
        <f>IFERROR(IF(__Retrofit_TI_NC=2,IF(EW724&lt;EW722,FALSE,TRUE),TRUE),FALSE)</f>
        <v>1</v>
      </c>
      <c r="HQ723" s="1379" t="b">
        <f>IF(CN722="Interior",IG$6,TRUE)</f>
        <v>1</v>
      </c>
      <c r="HR723" s="1379" t="b">
        <f>IF(CN722="Exterior",IG$8,TRUE)</f>
        <v>1</v>
      </c>
      <c r="HS723" s="1379" t="b">
        <f>IFERROR(IF(__Retrofit_TI_NC&lt;&gt;0,IF(AW722&lt;AV722,FALSE,TRUE),TRUE),FALSE)</f>
        <v>1</v>
      </c>
      <c r="HT723" s="1379" t="b">
        <f>IFERROR(IF(AND(G723="Exterior",R723&gt;4200),FALSE,TRUE),FALSE)</f>
        <v>1</v>
      </c>
      <c r="HU723" s="1379" t="b">
        <f>IFERROR(IF(AB725/AB722&lt;HU$18,FALSE,TRUE),FALSE)</f>
        <v>0</v>
      </c>
      <c r="HW723" s="1382"/>
      <c r="HX723" s="1378"/>
      <c r="HY723" s="1377" t="str">
        <f>VLOOKUP(HW725,_Error_Table,4,FALSE)</f>
        <v>White</v>
      </c>
      <c r="HZ723" s="436"/>
      <c r="IA723" s="1386"/>
      <c r="IB723" s="1380"/>
      <c r="IC723" s="1379"/>
      <c r="IF723" s="1380"/>
      <c r="IG723" s="1382"/>
      <c r="IH723" s="1382"/>
      <c r="II723" s="1382"/>
      <c r="IK723" s="1351"/>
      <c r="IL723" s="1351"/>
      <c r="IM723" s="1351"/>
      <c r="IN723" s="1351"/>
      <c r="IO723" s="1351"/>
      <c r="IP723" s="1351"/>
    </row>
    <row r="724" spans="1:250" s="82" customFormat="1" ht="14.95" customHeight="1" thickTop="1" thickBot="1">
      <c r="A724" s="82">
        <f>ROW()</f>
        <v>724</v>
      </c>
      <c r="B724" s="1421"/>
      <c r="C724" s="1422"/>
      <c r="D724" s="1423"/>
      <c r="E724" s="1393" t="s">
        <v>245</v>
      </c>
      <c r="F724" s="1394"/>
      <c r="G724" s="1398"/>
      <c r="H724" s="1399"/>
      <c r="I724" s="1399"/>
      <c r="J724" s="1399"/>
      <c r="K724" s="1399"/>
      <c r="L724" s="1400"/>
      <c r="M724" s="509">
        <f>IFERROR(IF(IF(__Retrofit_TI_NC&lt;&gt;0,IF(CN722="Interior",MATCH(G724,Lookup_Interior_New,0),MATCH(G724,Lookup_Exterior_New,0)),IF(CN722="Interior",MATCH(G724,Lookup_Interior,0),MATCH(G724,Lookup_Exterior_Areas,0)))&gt;0,1,0),0)</f>
        <v>0</v>
      </c>
      <c r="N724" s="509" t="e">
        <f>IF(__Retrofit_TI_NC=1,
VLOOKUP(G724,'Space Table'!$B$3:$L$160,4,FALSE),
IF(__Retrofit_TI_NC=2,VLOOKUP(G724,'Space Table'!$B$3:$L$160,5,FALSE),VLOOKUP(G724,'Space Table'!$B$3:$L$160,5,FALSE)))</f>
        <v>#N/A</v>
      </c>
      <c r="O724" s="509">
        <f>G724</f>
        <v>0</v>
      </c>
      <c r="P724" s="1394" t="s">
        <v>355</v>
      </c>
      <c r="Q724" s="1394"/>
      <c r="R724" s="674"/>
      <c r="S724" s="1401" t="s">
        <v>284</v>
      </c>
      <c r="T724" s="672"/>
      <c r="U724" s="1499"/>
      <c r="V724" s="1500"/>
      <c r="W724" s="1500"/>
      <c r="X724" s="1500"/>
      <c r="Y724" s="1500"/>
      <c r="Z724" s="1500"/>
      <c r="AA724" s="1500"/>
      <c r="AB724" s="1501"/>
      <c r="AC724" s="1501"/>
      <c r="AD724" s="1502"/>
      <c r="AE724" s="672"/>
      <c r="AF724" s="1474"/>
      <c r="AG724" s="1474"/>
      <c r="AH724" s="1474"/>
      <c r="AI724" s="1474"/>
      <c r="AJ724" s="1475">
        <f>DF724</f>
        <v>0</v>
      </c>
      <c r="AK724" s="1470" t="str">
        <f>IFERROR(ROUND(AJ724*AC725,0),"")</f>
        <v/>
      </c>
      <c r="AL724" s="1472">
        <f>IFERROR(IF(HW722=FALSE,0,AC725-AK724),0)</f>
        <v>0</v>
      </c>
      <c r="AM724" s="1441"/>
      <c r="AN724" s="1442"/>
      <c r="AO724" s="1447"/>
      <c r="AP724" s="1447"/>
      <c r="AQ724" s="1448"/>
      <c r="AR724" s="1452"/>
      <c r="AS724" s="1455"/>
      <c r="AT724" s="1458"/>
      <c r="AU724" s="516"/>
      <c r="AV724" s="1479"/>
      <c r="AW724" s="1479"/>
      <c r="BC724" s="38"/>
      <c r="BD724" s="38"/>
      <c r="BE724" s="38"/>
      <c r="BF724" s="38"/>
      <c r="BG724" s="38"/>
      <c r="BH724" s="38"/>
      <c r="BI724" s="38"/>
      <c r="BJ724" s="38"/>
      <c r="BK724" s="38"/>
      <c r="BL724" s="38"/>
      <c r="BM724" s="38"/>
      <c r="BN724" s="38"/>
      <c r="BO724" s="38"/>
      <c r="BP724" s="38"/>
      <c r="BQ724" s="38"/>
      <c r="BR724" s="38"/>
      <c r="BS724" s="38"/>
      <c r="BT724" s="38"/>
      <c r="BU724" s="38"/>
      <c r="BV724" s="38"/>
      <c r="BW724" s="38"/>
      <c r="BX724" s="38"/>
      <c r="BY724" s="38"/>
      <c r="BZ724" s="38"/>
      <c r="CA724" s="38"/>
      <c r="CB724" s="38"/>
      <c r="CC724" s="38"/>
      <c r="CD724" s="38"/>
      <c r="CE724" s="38"/>
      <c r="CF724" s="38"/>
      <c r="CG724" s="38"/>
      <c r="CH724" s="38"/>
      <c r="CI724" s="38"/>
      <c r="CM724" s="1352"/>
      <c r="CN724" s="1352"/>
      <c r="CO724" s="1415" t="str">
        <f>CN722</f>
        <v/>
      </c>
      <c r="CP724" s="1417" t="e">
        <f>CP722</f>
        <v>#N/A</v>
      </c>
      <c r="CR724" s="1386" t="s">
        <v>284</v>
      </c>
      <c r="CS724" s="1353">
        <f>IF(HW722=TRUE,T724,0)</f>
        <v>0</v>
      </c>
      <c r="CT724" s="1353" t="str">
        <f>IF(HW722=TRUE,U724,"")</f>
        <v/>
      </c>
      <c r="CU724" s="1373">
        <f>IF(HW722=TRUE,U725,0)</f>
        <v>0</v>
      </c>
      <c r="CV724" s="1370">
        <f>IF(HW722=TRUE,AB725,0)</f>
        <v>0</v>
      </c>
      <c r="CW724" s="1370">
        <f>IF(HW722=TRUE,AC725,0)</f>
        <v>0</v>
      </c>
      <c r="CX724" s="1371"/>
      <c r="CY724" s="1486"/>
      <c r="CZ724" s="1486"/>
      <c r="DA724" s="1486"/>
      <c r="DC724" s="1353">
        <f>IF(HW722=TRUE,AE724,0)</f>
        <v>0</v>
      </c>
      <c r="DD724" s="1353" t="str">
        <f>IF(HW722=TRUE,AF724,"")</f>
        <v/>
      </c>
      <c r="DE724" s="1373">
        <f>AF725</f>
        <v>0</v>
      </c>
      <c r="DF724" s="1406">
        <f>IFERROR(IF(FL724=3,IK724,IF(FL724=4,IL724,IF(FL724=5,IM724,IF(FL724=6,IN724,IF(FL724=7,IO724,IF(FL724=8,IP724,0)))))),0)</f>
        <v>0</v>
      </c>
      <c r="DG724" s="1370">
        <f>IF(HW722=TRUE,AK724,0)</f>
        <v>0</v>
      </c>
      <c r="DH724" s="1369"/>
      <c r="DK724" s="1483">
        <f>IFERROR(CW724-DG724,0)</f>
        <v>0</v>
      </c>
      <c r="DL724" s="1420"/>
      <c r="DN724" s="1403"/>
      <c r="DO724" s="1477" t="str">
        <f>DN722</f>
        <v/>
      </c>
      <c r="DP724" s="1354"/>
      <c r="DQ724" s="1477" t="str">
        <f>IF(DP722=7,"LLLC","")</f>
        <v/>
      </c>
      <c r="DR724" s="1403"/>
      <c r="DS724" s="1489"/>
      <c r="DU724" s="1403"/>
      <c r="DV724" s="1404" t="str">
        <f>DU722</f>
        <v/>
      </c>
      <c r="DW724" s="1403"/>
      <c r="DX724" s="1403"/>
      <c r="DZ724" s="1481"/>
      <c r="EA724" s="1481"/>
      <c r="EC724" s="1482"/>
      <c r="ED724" s="1369"/>
      <c r="EE724" s="1371"/>
      <c r="EF724" s="1369"/>
      <c r="EG724" s="1369"/>
      <c r="EH724" s="1374"/>
      <c r="EI724" s="1374"/>
      <c r="EJ724" s="1363"/>
      <c r="EK724" s="1376"/>
      <c r="EL724" s="1376"/>
      <c r="EM724" s="1362"/>
      <c r="EN724" s="1362"/>
      <c r="EO724" s="1363"/>
      <c r="EP724" s="1363"/>
      <c r="EQ724" s="1363"/>
      <c r="ES724" s="1403"/>
      <c r="EU724" s="1411" t="e">
        <f>VLOOKUP(CP724,'Space Table'!$B$3:$L$160,8,FALSE)</f>
        <v>#N/A</v>
      </c>
      <c r="EV724" s="1411" t="e">
        <f>IF(EY724="Yes",VLOOKUP(AF724,Lookup_Control_Type_Table2,4,FALSE),VLOOKUP(AF724,Lookup_Control_Type_Table2,3,FALSE))</f>
        <v>#N/A</v>
      </c>
      <c r="EW724" s="1411" t="e">
        <f>VLOOKUP(AF724,Lookup!AU$3:AV$15,2,FALSE)</f>
        <v>#N/A</v>
      </c>
      <c r="EX724" s="1411" t="e">
        <f>VLOOKUP(EU722,Lookup_Control_Type_Table,2,FALSE)</f>
        <v>#N/A</v>
      </c>
      <c r="EY724" s="1411" t="e">
        <f>VLOOKUP(CP724,'Space Table'!$B$3:$L$160,7,FALSE)</f>
        <v>#N/A</v>
      </c>
      <c r="EZ724" s="1413"/>
      <c r="FB724" s="1365" t="str">
        <f>CONCATENATE(CN722," - ",AF724)</f>
        <v xml:space="preserve"> - </v>
      </c>
      <c r="FD724" s="1354"/>
      <c r="FE724" s="1354"/>
      <c r="FF724" s="138"/>
      <c r="FI724" s="1356" t="str">
        <f>IF(CN722="Exterior","Not Daylighted",G725)</f>
        <v>Not Daylighted</v>
      </c>
      <c r="FJ724" s="1356">
        <f>VLOOKUP(FI724,_Daylight_Table_Codes,2,FALSE)</f>
        <v>0</v>
      </c>
      <c r="FK724" s="1365">
        <f>AF724</f>
        <v>0</v>
      </c>
      <c r="FL724" s="1365" t="e">
        <f>VLOOKUP(FK724,_Control_Table,2,FALSE)</f>
        <v>#N/A</v>
      </c>
      <c r="FM724" s="1365" t="e">
        <f>IF(AND(FP724&gt;0,FK724="Occupancy Sensor"),"Daylight + Occupancy",IF(AND(FP724&gt;0,FL724&lt;4),"Interior Daylight Dimming",FK724))</f>
        <v>#N/A</v>
      </c>
      <c r="FO724" s="1364">
        <f>IF(CN722="Interior",VLOOKUP(CP722,Control_Savings_Interior,5,FALSE),0)</f>
        <v>0</v>
      </c>
      <c r="FP724" s="1361">
        <f>IF(CN724="Exterior",0,IF(FJ724=2,0.5,IF(OR(FJ724=1,FJ724=3),1,0)))</f>
        <v>0</v>
      </c>
      <c r="FQ724" s="1366">
        <f>IF(R723&gt;FO$37,(FO724*(FO$37/R723)),FO724)*FP724</f>
        <v>0</v>
      </c>
      <c r="FR724" s="1364">
        <f>DF724</f>
        <v>0</v>
      </c>
      <c r="FS724" s="1364">
        <f>ROUND(FR724+((1-FR724)*FQ724),2)</f>
        <v>0</v>
      </c>
      <c r="FT724" s="1364">
        <f>IF(__Retrofit_TI_NC=2,FS724,FR724)</f>
        <v>0</v>
      </c>
      <c r="FU724" s="1360">
        <f>IF(CO724="Interior",VLOOKUP(CP724,Control_Savings_Interior,4,FALSE),0)</f>
        <v>0</v>
      </c>
      <c r="FW724" s="1352"/>
      <c r="FX724" s="1352"/>
      <c r="FY724" s="1352"/>
      <c r="FZ724" s="1352"/>
      <c r="GA724" s="1352"/>
      <c r="GB724" s="1352"/>
      <c r="GC724" s="1352"/>
      <c r="GD724" s="1352"/>
      <c r="GE724" s="759" t="b">
        <f>IF(ISNUMBER(SEARCH("TLED",U724)),TRUE,FALSE)</f>
        <v>0</v>
      </c>
      <c r="GF724" s="1035" t="str">
        <f>IFERROR(VLOOKUP(U724,Fixtures!DM$93:DR$142,6,FALSE),"")</f>
        <v/>
      </c>
      <c r="GG724" s="1385"/>
      <c r="GI724" s="1383"/>
      <c r="GJ724" s="1379"/>
      <c r="GL724" s="1379"/>
      <c r="GM724" s="1379"/>
      <c r="HC724" s="1379"/>
      <c r="HD724" s="1379"/>
      <c r="HE724" s="1379"/>
      <c r="HF724" s="1379"/>
      <c r="HG724" s="1379"/>
      <c r="HH724" s="1379"/>
      <c r="HI724" s="1383"/>
      <c r="HJ724" s="1383"/>
      <c r="HK724" s="1383"/>
      <c r="HL724" s="1379"/>
      <c r="HM724" s="1379"/>
      <c r="HN724" s="1379"/>
      <c r="HO724" s="1379"/>
      <c r="HP724" s="1379"/>
      <c r="HQ724" s="1379"/>
      <c r="HR724" s="1379"/>
      <c r="HS724" s="1379"/>
      <c r="HT724" s="1379"/>
      <c r="HU724" s="1379"/>
      <c r="HW724" s="1383"/>
      <c r="HX724" s="1384" t="b">
        <f>HW722</f>
        <v>0</v>
      </c>
      <c r="HY724" s="1378"/>
      <c r="HZ724" s="436"/>
      <c r="IA724" s="1386"/>
      <c r="IB724" s="1380">
        <f>IF(IA722=TRUE,AC725,0)</f>
        <v>0</v>
      </c>
      <c r="IC724" s="1379"/>
      <c r="IF724" s="1380" t="e">
        <f>ROUND(T724*AB725*N723*R723/1000,0)</f>
        <v>#VALUE!</v>
      </c>
      <c r="IG724" s="1382"/>
      <c r="IH724" s="1384" t="e">
        <f>ROUND(T724*AB725*N723*R723/1000,0)</f>
        <v>#VALUE!</v>
      </c>
      <c r="II724" s="1382"/>
      <c r="IK724" s="1351" t="e">
        <f>IF($CO724="interior",IL724/2,VLOOKUP($CP724,Control_Savings_Exterior,IK$30,FALSE))</f>
        <v>#N/A</v>
      </c>
      <c r="IL724" s="1351" t="e">
        <f>IF($CO724="interior",VLOOKUP($CP724,Control_Savings_Interior,IL$30,FALSE),VLOOKUP($CP724,Control_Savings_Exterior,IL$30,FALSE))</f>
        <v>#N/A</v>
      </c>
      <c r="IM724" s="1351" t="e">
        <f>IF($CO724="interior",IF(R723&gt;FO$37,(IM$28*(FO$37/R723)),IM$28)*FP724,VLOOKUP($CP724,Control_Savings_Exterior,IM$30,FALSE))</f>
        <v>#N/A</v>
      </c>
      <c r="IN724" s="1351" t="e">
        <f>IF($CO724="interior",ROUND(((1-IL724)*IM724)+IL724,2),VLOOKUP($CP724,Control_Savings_Exterior,IN$30,FALSE))</f>
        <v>#N/A</v>
      </c>
      <c r="IO724" s="1351" t="e">
        <f>IF($CO724="interior", ROUND(((1-IL724)*(IM724*(1-IP$28)))+IP724,2), VLOOKUP($CP724,Control_Savings_Exterior,IO$30,FALSE))</f>
        <v>#N/A</v>
      </c>
      <c r="IP724" s="1351">
        <f>IF($CO724="interior",ROUND(((1-IL724)*IP$28)+IL724,2),0)</f>
        <v>0</v>
      </c>
    </row>
    <row r="725" spans="1:250" s="82" customFormat="1" ht="14.95" customHeight="1" thickTop="1" thickBot="1">
      <c r="B725" s="1421"/>
      <c r="C725" s="1422"/>
      <c r="D725" s="1423"/>
      <c r="E725" s="1462" t="s">
        <v>357</v>
      </c>
      <c r="F725" s="1463"/>
      <c r="G725" s="1464" t="s">
        <v>362</v>
      </c>
      <c r="H725" s="1465"/>
      <c r="I725" s="1465"/>
      <c r="J725" s="1465"/>
      <c r="K725" s="1465"/>
      <c r="L725" s="1466"/>
      <c r="M725" s="669">
        <f>IFERROR(VLOOKUP(G725,_Daylight_Table[],2,FALSE),0)</f>
        <v>0</v>
      </c>
      <c r="N725" s="670"/>
      <c r="O725" s="669" t="e">
        <f>VLOOKUP(G724,'Space Table'!$B$3:$L$160,11,FALSE)</f>
        <v>#N/A</v>
      </c>
      <c r="P725" s="1408"/>
      <c r="Q725" s="1409"/>
      <c r="R725" s="1409"/>
      <c r="S725" s="1402"/>
      <c r="T725" s="671" t="s">
        <v>281</v>
      </c>
      <c r="U725" s="1467" t="str">
        <f>IFERROR(VLOOKUP(U724,Fixtures!DM$93:DP$142,4,FALSE),"")</f>
        <v/>
      </c>
      <c r="V725" s="1468"/>
      <c r="W725" s="1468"/>
      <c r="X725" s="1468"/>
      <c r="Y725" s="1468"/>
      <c r="Z725" s="1468"/>
      <c r="AA725" s="1468"/>
      <c r="AB725" s="1046" t="str">
        <f>IFERROR(VLOOKUP(U724,Fixtures_Proposed_List,2,FALSE),"")</f>
        <v/>
      </c>
      <c r="AC725" s="1036" t="str">
        <f>IFERROR(ROUND(T724*AB725*N723*R723/1000,0),"")</f>
        <v/>
      </c>
      <c r="AD725" s="1037" t="str">
        <f>IFERROR(ROUND(T724*AB725/1000,2),"")</f>
        <v/>
      </c>
      <c r="AE725" s="1045" t="s">
        <v>281</v>
      </c>
      <c r="AF725" s="1469"/>
      <c r="AG725" s="1469"/>
      <c r="AH725" s="1469"/>
      <c r="AI725" s="1469"/>
      <c r="AJ725" s="1476"/>
      <c r="AK725" s="1471"/>
      <c r="AL725" s="1473"/>
      <c r="AM725" s="1443"/>
      <c r="AN725" s="1444"/>
      <c r="AO725" s="1449"/>
      <c r="AP725" s="1449"/>
      <c r="AQ725" s="1450"/>
      <c r="AR725" s="1453"/>
      <c r="AS725" s="1456"/>
      <c r="AT725" s="1459"/>
      <c r="AU725" s="517"/>
      <c r="AV725" s="1480"/>
      <c r="AW725" s="1480"/>
      <c r="BC725" s="38"/>
      <c r="BD725" s="38"/>
      <c r="BE725" s="38"/>
      <c r="BF725" s="38"/>
      <c r="BG725" s="38"/>
      <c r="BH725" s="38"/>
      <c r="BI725" s="38"/>
      <c r="BJ725" s="38"/>
      <c r="BK725" s="38"/>
      <c r="BL725" s="38"/>
      <c r="BM725" s="38"/>
      <c r="BN725" s="38"/>
      <c r="BO725" s="38"/>
      <c r="BP725" s="38"/>
      <c r="BQ725" s="38"/>
      <c r="BR725" s="38"/>
      <c r="BS725" s="38"/>
      <c r="BT725" s="38"/>
      <c r="BU725" s="38"/>
      <c r="BV725" s="38"/>
      <c r="BW725" s="38"/>
      <c r="BX725" s="38"/>
      <c r="BY725" s="38"/>
      <c r="BZ725" s="38"/>
      <c r="CA725" s="38"/>
      <c r="CB725" s="38"/>
      <c r="CC725" s="38"/>
      <c r="CD725" s="38"/>
      <c r="CE725" s="38"/>
      <c r="CF725" s="38"/>
      <c r="CG725" s="38"/>
      <c r="CH725" s="38"/>
      <c r="CI725" s="38"/>
      <c r="CM725" s="1352"/>
      <c r="CN725" s="1352"/>
      <c r="CO725" s="1416"/>
      <c r="CP725" s="1418"/>
      <c r="CR725" s="1386"/>
      <c r="CS725" s="1355"/>
      <c r="CT725" s="1355"/>
      <c r="CU725" s="1375"/>
      <c r="CV725" s="1372"/>
      <c r="CW725" s="1372"/>
      <c r="CX725" s="1372"/>
      <c r="CY725" s="1487"/>
      <c r="CZ725" s="1487"/>
      <c r="DA725" s="1487"/>
      <c r="DC725" s="1355"/>
      <c r="DD725" s="1355"/>
      <c r="DE725" s="1375"/>
      <c r="DF725" s="1407"/>
      <c r="DG725" s="1372"/>
      <c r="DH725" s="1369"/>
      <c r="DK725" s="1484"/>
      <c r="DL725" s="1420"/>
      <c r="DN725" s="1403"/>
      <c r="DO725" s="1405"/>
      <c r="DP725" s="1355"/>
      <c r="DQ725" s="1405"/>
      <c r="DR725" s="1403"/>
      <c r="DS725" s="1489"/>
      <c r="DU725" s="1403"/>
      <c r="DV725" s="1405"/>
      <c r="DW725" s="1403"/>
      <c r="DX725" s="1403"/>
      <c r="DZ725" s="1481"/>
      <c r="EA725" s="1481"/>
      <c r="EC725" s="1482"/>
      <c r="ED725" s="1369"/>
      <c r="EE725" s="1372"/>
      <c r="EF725" s="1369"/>
      <c r="EG725" s="1369"/>
      <c r="EH725" s="1375"/>
      <c r="EI725" s="1375"/>
      <c r="EJ725" s="1363"/>
      <c r="EK725" s="1376"/>
      <c r="EL725" s="1376"/>
      <c r="EM725" s="1362"/>
      <c r="EN725" s="1362"/>
      <c r="EO725" s="1363"/>
      <c r="EP725" s="1363"/>
      <c r="EQ725" s="1363"/>
      <c r="ES725" s="1403"/>
      <c r="EU725" s="1488"/>
      <c r="EV725" s="1488"/>
      <c r="EW725" s="1488"/>
      <c r="EX725" s="1488"/>
      <c r="EY725" s="1488"/>
      <c r="EZ725" s="1414"/>
      <c r="FB725" s="1365"/>
      <c r="FD725" s="1355"/>
      <c r="FE725" s="1355"/>
      <c r="FF725" s="138"/>
      <c r="FI725" s="1357"/>
      <c r="FJ725" s="1357"/>
      <c r="FK725" s="1365"/>
      <c r="FL725" s="1365"/>
      <c r="FM725" s="1365"/>
      <c r="FO725" s="1361"/>
      <c r="FP725" s="1361"/>
      <c r="FQ725" s="1366"/>
      <c r="FR725" s="1361"/>
      <c r="FS725" s="1361"/>
      <c r="FT725" s="1361"/>
      <c r="FU725" s="1360"/>
      <c r="FW725" s="1352"/>
      <c r="FX725" s="1352"/>
      <c r="FY725" s="1352"/>
      <c r="FZ725" s="1352"/>
      <c r="GA725" s="1352"/>
      <c r="GB725" s="1352"/>
      <c r="GC725" s="1352"/>
      <c r="GD725" s="1352"/>
      <c r="GE725" s="759"/>
      <c r="GF725" s="1035"/>
      <c r="GG725" s="1385"/>
      <c r="GJ725" s="1034">
        <f>IF(GJ723=TRUE,0,GJ$16)</f>
        <v>0</v>
      </c>
      <c r="GL725" s="1034">
        <f>IF(GL723=TRUE,0,GL$16)</f>
        <v>36</v>
      </c>
      <c r="GM725" s="1034">
        <f>IF(GM723=TRUE,0,GM$16)</f>
        <v>35</v>
      </c>
      <c r="GN725" s="436"/>
      <c r="GO725" s="436"/>
      <c r="GP725" s="436"/>
      <c r="GQ725" s="436"/>
      <c r="GR725" s="436"/>
      <c r="HC725" s="1034">
        <f t="shared" ref="HC725:HH725" si="538">IF(HC723=TRUE,0,HC$16)</f>
        <v>19</v>
      </c>
      <c r="HD725" s="1034">
        <f t="shared" si="538"/>
        <v>18</v>
      </c>
      <c r="HE725" s="1034">
        <f t="shared" si="538"/>
        <v>17</v>
      </c>
      <c r="HF725" s="1034">
        <f t="shared" si="538"/>
        <v>16</v>
      </c>
      <c r="HG725" s="1034">
        <f t="shared" si="538"/>
        <v>0</v>
      </c>
      <c r="HH725" s="1034">
        <f t="shared" si="538"/>
        <v>0</v>
      </c>
      <c r="HI725" s="1034">
        <f>IF(HI723=TRUE,0,HI$16)</f>
        <v>13</v>
      </c>
      <c r="HJ725" s="1034">
        <f t="shared" ref="HJ725:HL725" si="539">IF(HJ723=TRUE,0,HJ$16)</f>
        <v>12</v>
      </c>
      <c r="HK725" s="1034">
        <f t="shared" si="539"/>
        <v>11</v>
      </c>
      <c r="HL725" s="1034">
        <f t="shared" si="539"/>
        <v>10</v>
      </c>
      <c r="HM725" s="1034">
        <f>IF(HM723=TRUE,0,HM$16)</f>
        <v>9</v>
      </c>
      <c r="HN725" s="1034">
        <f t="shared" ref="HN725:HR725" si="540">IF(HN723=TRUE,0,HN$16)</f>
        <v>0</v>
      </c>
      <c r="HO725" s="1034">
        <f t="shared" si="540"/>
        <v>0</v>
      </c>
      <c r="HP725" s="1034">
        <f t="shared" si="540"/>
        <v>0</v>
      </c>
      <c r="HQ725" s="1034">
        <f t="shared" si="540"/>
        <v>0</v>
      </c>
      <c r="HR725" s="1034">
        <f t="shared" si="540"/>
        <v>0</v>
      </c>
      <c r="HS725" s="1034">
        <f>IF(HS723=TRUE,0,HS$16)</f>
        <v>0</v>
      </c>
      <c r="HT725" s="1034">
        <f t="shared" ref="HT725" si="541">IF(HT723=TRUE,0,HT$16)</f>
        <v>0</v>
      </c>
      <c r="HU725" s="1034">
        <f>IF(HU723=TRUE,0,HU$16)</f>
        <v>1</v>
      </c>
      <c r="HW725" s="1034">
        <f>IF(GL723=FALSE,GL725,IF(GM723=FALSE,GM725,MAX(GJ725:HU725)))</f>
        <v>36</v>
      </c>
      <c r="HX725" s="1383"/>
      <c r="HY725" s="241" t="str">
        <f>VLOOKUP(HW725,_Error_Table,3,FALSE)</f>
        <v xml:space="preserve"> </v>
      </c>
      <c r="HZ725" s="241"/>
      <c r="IA725" s="1386"/>
      <c r="IB725" s="1380"/>
      <c r="IC725" s="1379"/>
      <c r="IF725" s="1380"/>
      <c r="IG725" s="1383"/>
      <c r="IH725" s="1383"/>
      <c r="II725" s="1383"/>
      <c r="IK725" s="1351"/>
      <c r="IL725" s="1351"/>
      <c r="IM725" s="1351"/>
      <c r="IN725" s="1351"/>
      <c r="IO725" s="1351"/>
      <c r="IP725" s="1351"/>
    </row>
    <row r="726" spans="1:250" s="82" customFormat="1" ht="5.0999999999999996" customHeight="1" thickBot="1">
      <c r="B726" s="763"/>
      <c r="C726" s="1038"/>
      <c r="D726" s="1038"/>
      <c r="E726" s="1490"/>
      <c r="F726" s="1490"/>
      <c r="G726" s="1490"/>
      <c r="H726" s="1490"/>
      <c r="I726" s="1490"/>
      <c r="J726" s="1490"/>
      <c r="K726" s="1490"/>
      <c r="L726" s="1490"/>
      <c r="M726" s="1490"/>
      <c r="N726" s="1490"/>
      <c r="O726" s="1490"/>
      <c r="P726" s="1490"/>
      <c r="Q726" s="1490"/>
      <c r="R726" s="1490"/>
      <c r="S726" s="1490"/>
      <c r="T726" s="1490"/>
      <c r="U726" s="1490"/>
      <c r="V726" s="1490"/>
      <c r="W726" s="1490"/>
      <c r="X726" s="1490"/>
      <c r="Y726" s="1490"/>
      <c r="Z726" s="1490"/>
      <c r="AA726" s="1490"/>
      <c r="AB726" s="1490"/>
      <c r="AC726" s="1490"/>
      <c r="AD726" s="1490"/>
      <c r="AE726" s="1490"/>
      <c r="AF726" s="1490"/>
      <c r="AG726" s="1490"/>
      <c r="AH726" s="1490"/>
      <c r="AI726" s="1490"/>
      <c r="AJ726" s="1490"/>
      <c r="AK726" s="1490"/>
      <c r="AL726" s="1490"/>
      <c r="AM726" s="1490"/>
      <c r="AN726" s="1490"/>
      <c r="AO726" s="1490"/>
      <c r="AP726" s="1490"/>
      <c r="AQ726" s="1490"/>
      <c r="AR726" s="1490"/>
      <c r="AS726" s="1490"/>
      <c r="AT726" s="1490"/>
      <c r="AU726" s="1041"/>
      <c r="BC726" s="38"/>
      <c r="BD726" s="38"/>
      <c r="BE726" s="38"/>
      <c r="BF726" s="38"/>
      <c r="BG726" s="38"/>
      <c r="BH726" s="38"/>
      <c r="BI726" s="38"/>
      <c r="BJ726" s="38"/>
      <c r="BK726" s="38"/>
      <c r="BL726" s="38"/>
      <c r="BM726" s="38"/>
      <c r="BN726" s="38"/>
      <c r="BO726" s="38"/>
      <c r="BP726" s="38"/>
      <c r="BQ726" s="38"/>
      <c r="BR726" s="38"/>
      <c r="BS726" s="38"/>
      <c r="BT726" s="38"/>
      <c r="BU726" s="38"/>
      <c r="BV726" s="38"/>
      <c r="BW726" s="38"/>
      <c r="BX726" s="38"/>
      <c r="BY726" s="38"/>
      <c r="BZ726" s="38"/>
      <c r="CA726" s="38"/>
      <c r="CB726" s="38"/>
      <c r="CC726" s="38"/>
      <c r="CD726" s="38"/>
      <c r="CE726" s="38"/>
      <c r="CF726" s="38"/>
      <c r="CG726" s="38"/>
      <c r="CH726" s="38"/>
      <c r="CI726" s="38"/>
      <c r="CM726" s="749"/>
      <c r="CN726" s="749"/>
      <c r="CO726" s="1043"/>
      <c r="CP726" s="749"/>
      <c r="CS726" s="436"/>
      <c r="CT726" s="436"/>
      <c r="CU726" s="243"/>
      <c r="CV726" s="244"/>
      <c r="CW726" s="244"/>
      <c r="CX726" s="244"/>
      <c r="CY726" s="245"/>
      <c r="CZ726" s="245"/>
      <c r="DA726" s="245"/>
      <c r="DC726" s="750"/>
      <c r="DD726" s="751"/>
      <c r="DE726" s="752"/>
      <c r="DF726" s="753"/>
      <c r="DG726" s="754"/>
      <c r="DH726" s="754"/>
      <c r="DK726" s="244"/>
      <c r="DL726" s="750"/>
      <c r="DN726" s="750"/>
      <c r="DO726" s="755"/>
      <c r="DP726" s="436"/>
      <c r="DQ726" s="750"/>
      <c r="DR726" s="750"/>
      <c r="DS726" s="750"/>
      <c r="DU726" s="750"/>
      <c r="DV726" s="750"/>
      <c r="DW726" s="750"/>
      <c r="DX726" s="750"/>
      <c r="DZ726" s="756"/>
      <c r="EA726" s="756"/>
      <c r="EC726" s="754"/>
      <c r="ED726" s="754"/>
      <c r="EE726" s="244"/>
      <c r="EF726" s="754"/>
      <c r="EG726" s="754"/>
      <c r="EH726" s="243"/>
      <c r="EI726" s="243"/>
      <c r="EJ726" s="752"/>
      <c r="EK726" s="757"/>
      <c r="EL726" s="757"/>
      <c r="EM726" s="758"/>
      <c r="EN726" s="758"/>
      <c r="EO726" s="752"/>
      <c r="EP726" s="752"/>
      <c r="EQ726" s="752"/>
      <c r="ES726" s="750"/>
      <c r="EU726" s="436"/>
      <c r="EV726" s="436"/>
      <c r="EW726" s="436"/>
      <c r="EX726" s="436"/>
      <c r="EY726" s="436"/>
      <c r="EZ726" s="436"/>
      <c r="FB726" s="643"/>
      <c r="FD726" s="436"/>
      <c r="FE726" s="436"/>
      <c r="FF726" s="436"/>
      <c r="FO726" s="750"/>
      <c r="FP726" s="436"/>
      <c r="FQ726" s="436"/>
      <c r="FR726" s="750"/>
      <c r="FS726" s="750"/>
      <c r="FW726" s="749"/>
      <c r="FX726" s="749"/>
      <c r="FY726" s="749"/>
      <c r="FZ726" s="749"/>
      <c r="GA726" s="749"/>
      <c r="GB726" s="749"/>
      <c r="GC726" s="749"/>
      <c r="GD726" s="749"/>
      <c r="GE726" s="751"/>
      <c r="GF726" s="750"/>
      <c r="GG726" s="750"/>
    </row>
    <row r="727" spans="1:250" s="82" customFormat="1" ht="14.95" customHeight="1" thickTop="1" thickBot="1">
      <c r="B727" s="1421" t="str">
        <f>HY730</f>
        <v xml:space="preserve"> </v>
      </c>
      <c r="C727" s="1422">
        <f>C722+1</f>
        <v>133</v>
      </c>
      <c r="D727" s="1423"/>
      <c r="E727" s="1424" t="s">
        <v>242</v>
      </c>
      <c r="F727" s="1425"/>
      <c r="G727" s="1426"/>
      <c r="H727" s="1427"/>
      <c r="I727" s="1427"/>
      <c r="J727" s="1427"/>
      <c r="K727" s="1427"/>
      <c r="L727" s="1427"/>
      <c r="M727" s="1427"/>
      <c r="N727" s="1427"/>
      <c r="O727" s="1427"/>
      <c r="P727" s="1427"/>
      <c r="Q727" s="1427"/>
      <c r="R727" s="1427"/>
      <c r="S727" s="1428" t="s">
        <v>283</v>
      </c>
      <c r="T727" s="668" t="s">
        <v>190</v>
      </c>
      <c r="U727" s="1430" t="s">
        <v>186</v>
      </c>
      <c r="V727" s="1431"/>
      <c r="W727" s="1431"/>
      <c r="X727" s="1431"/>
      <c r="Y727" s="1431"/>
      <c r="Z727" s="1431"/>
      <c r="AA727" s="1431"/>
      <c r="AB727" s="1047" t="str">
        <f>IFERROR(IF(__Retrofit_TI_NC=0,VLOOKUP(U728,Fixtures_Existing_List,2,FALSE),ROUND(N729*R729/T729,10)),"")</f>
        <v/>
      </c>
      <c r="AC727" s="1039" t="str">
        <f>IFERROR(IF(__Retrofit_TI_NC=0,ROUND(T728*AB727*N728*R728/1000,0),IF(CN727="Interior",N729*R729*R728*N728*_C406_reduction/1000,N729*R729*R728*N728/1000)),"")</f>
        <v/>
      </c>
      <c r="AD727" s="1040" t="str">
        <f>IFERROR(IF(C$36=0,ROUND(T728*AB727/1000,2),N729*R729/1000),"")</f>
        <v/>
      </c>
      <c r="AE727" s="1044" t="s">
        <v>190</v>
      </c>
      <c r="AF727" s="1432" t="str">
        <f>IF(__Retrofit_TI_NC=2,CONCATENATE("Code min = ",DD727),IF(__Retrofit_TI_NC=1,"Emter what you think the existing control was"," Control"))</f>
        <v xml:space="preserve"> Control</v>
      </c>
      <c r="AG727" s="1432"/>
      <c r="AH727" s="1432"/>
      <c r="AI727" s="1432"/>
      <c r="AJ727" s="1433">
        <f>DF727</f>
        <v>0</v>
      </c>
      <c r="AK727" s="1435" t="str">
        <f>IFERROR(ROUND(AJ727*AC727,0),"")</f>
        <v/>
      </c>
      <c r="AL727" s="1437">
        <f>IFERROR(IF(HW727=FALSE,0,AC727-AK727),0)</f>
        <v>0</v>
      </c>
      <c r="AM727" s="1439">
        <f>AL727-AL729</f>
        <v>0</v>
      </c>
      <c r="AN727" s="1440"/>
      <c r="AO727" s="1445">
        <f>IFERROR(IF(HW727=FALSE,0,(T729*U730)+(AE729*AF730)),0)</f>
        <v>0</v>
      </c>
      <c r="AP727" s="1445"/>
      <c r="AQ727" s="1446"/>
      <c r="AR727" s="1451" t="s">
        <v>157</v>
      </c>
      <c r="AS727" s="1454">
        <f>IF(AR727="Yes",1,0)</f>
        <v>1</v>
      </c>
      <c r="AT727" s="1457" t="str">
        <f>IF(OR(DN727=4,DN727=5,DN727=6,DN727=12),CONCATENATE("$",IF(GD727=TRUE,Lookup!$B$11,Lookup!$B$2)," /lamp"),CONCATENATE(EA727,"/ kWh"))</f>
        <v>0/ kWh</v>
      </c>
      <c r="AU727" s="516"/>
      <c r="AV727" s="1478">
        <f>IFERROR(IF(GI728=TRUE,(AB730*T729)/R729,0),"NA")</f>
        <v>0</v>
      </c>
      <c r="AW727" s="1478" t="str">
        <f>IFERROR(N729*_C406_reduction,"NA")</f>
        <v>NA</v>
      </c>
      <c r="BC727" s="38"/>
      <c r="BD727" s="38"/>
      <c r="BE727" s="38"/>
      <c r="BF727" s="38"/>
      <c r="BG727" s="38"/>
      <c r="BH727" s="38"/>
      <c r="BI727" s="38"/>
      <c r="BJ727" s="38"/>
      <c r="BK727" s="38"/>
      <c r="BL727" s="38"/>
      <c r="BM727" s="38"/>
      <c r="BN727" s="38"/>
      <c r="BO727" s="38"/>
      <c r="BP727" s="38"/>
      <c r="BQ727" s="38"/>
      <c r="BR727" s="38"/>
      <c r="BS727" s="38"/>
      <c r="BT727" s="38"/>
      <c r="BU727" s="38"/>
      <c r="BV727" s="38"/>
      <c r="BW727" s="38"/>
      <c r="BX727" s="38"/>
      <c r="BY727" s="38"/>
      <c r="BZ727" s="38"/>
      <c r="CA727" s="38"/>
      <c r="CB727" s="38"/>
      <c r="CC727" s="38"/>
      <c r="CD727" s="38"/>
      <c r="CE727" s="38"/>
      <c r="CF727" s="38"/>
      <c r="CG727" s="38"/>
      <c r="CH727" s="38"/>
      <c r="CI727" s="38"/>
      <c r="CM727" s="1352" t="str">
        <f>N728</f>
        <v/>
      </c>
      <c r="CN727" s="1352" t="str">
        <f>IFERROR(VLOOKUP(G728,_Lookup_Heat_Type_Table_New,3,FALSE),"")</f>
        <v/>
      </c>
      <c r="CO727" s="1415" t="str">
        <f>CN727</f>
        <v/>
      </c>
      <c r="CP727" s="1417" t="e">
        <f>VLOOKUP(G729,'Space Table'!$B$3:$L$160,9,FALSE)</f>
        <v>#N/A</v>
      </c>
      <c r="CR727" s="1386" t="s">
        <v>283</v>
      </c>
      <c r="CS727" s="1353">
        <f>IF(HW727=TRUE,T728,0)</f>
        <v>0</v>
      </c>
      <c r="CT727" s="1353" t="str">
        <f>IF(HW727=TRUE,U728,"")</f>
        <v/>
      </c>
      <c r="CU727" s="1353"/>
      <c r="CV727" s="1370">
        <f>IF(HW727=TRUE,AB727,0)</f>
        <v>0</v>
      </c>
      <c r="CW727" s="1370">
        <f>IF(HW727=TRUE,AC727,0)</f>
        <v>0</v>
      </c>
      <c r="CX727" s="1370">
        <f>IFERROR(IF(HW727=TRUE,CW727-CW729,0),0)</f>
        <v>0</v>
      </c>
      <c r="CY727" s="1485">
        <f>IF(HW727=TRUE,AD727,0)</f>
        <v>0</v>
      </c>
      <c r="CZ727" s="1485">
        <f>IF(HW727=TRUE,AD730,0)</f>
        <v>0</v>
      </c>
      <c r="DA727" s="1485">
        <f>IFERROR(CY727-CZ727,0)</f>
        <v>0</v>
      </c>
      <c r="DC727" s="1353">
        <f>IF(HW727=TRUE,AE728,0)</f>
        <v>0</v>
      </c>
      <c r="DD727" s="1460">
        <f>IF(__Retrofit_TI_NC=2,IF(CN727="Exterior",O730,FM727),FK727)</f>
        <v>0</v>
      </c>
      <c r="DE727" s="1353"/>
      <c r="DF727" s="1406">
        <f>IFERROR(IF(FL727=3,IK727,IF(FL727=4,IL727,IF(FL727=5,IM727,IF(FL727=6,IN727,IF(FL727=7,IO727,IF(FL727=8,IP727,0)))))),0)</f>
        <v>0</v>
      </c>
      <c r="DG727" s="1370">
        <f>IF(HW727=TRUE,AK727,0)</f>
        <v>0</v>
      </c>
      <c r="DH727" s="1369">
        <f>IFERROR(IF(HW727=TRUE,DG729-DG727,0),0)</f>
        <v>0</v>
      </c>
      <c r="DJ727" s="1483">
        <f>IFERROR(CW727-DG727,0)</f>
        <v>0</v>
      </c>
      <c r="DL727" s="1419">
        <f>DJ727-DK729</f>
        <v>0</v>
      </c>
      <c r="DN727" s="1403" t="str">
        <f>IFERROR(IF(AND(OR(FY727=4,FY727=5,FY727=6),OR(GB727=4,GB727=5,GB727=6)),FY727+8,VLOOKUP(CT729,Fixtures!R$31:Y$78,8,FALSE)),"")</f>
        <v/>
      </c>
      <c r="DO727" s="1404" t="str">
        <f>DN727</f>
        <v/>
      </c>
      <c r="DP727" s="1353" t="str">
        <f>IFERROR(VLOOKUP(DD729,Lookup!AU$3:AV$15,2,FALSE),"")</f>
        <v/>
      </c>
      <c r="DQ727" s="1404" t="str">
        <f>IF(DP727=7,"LLLC","")</f>
        <v/>
      </c>
      <c r="DR727" s="1403">
        <f>IFERROR(IF(OR(DN727=4,DN727=5,DN727=6,DN727=12,DN727=13,DN727=14),VLOOKUP(CT729,Fixtures!DN$27:EG$77,19,FALSE),1)*CS729,0)</f>
        <v>0</v>
      </c>
      <c r="DS727" s="1489">
        <f>IF(DP727=7,IF(DD727=DD729,0,DC729),0)</f>
        <v>0</v>
      </c>
      <c r="DU727" s="1403" t="str">
        <f>IFERROR(IF(EW727&lt;EW729,"Yes","No"),"")</f>
        <v/>
      </c>
      <c r="DV727" s="1404" t="str">
        <f>DU727</f>
        <v/>
      </c>
      <c r="DW727" s="1403">
        <f>IF(DU727="Yes",DC729,0)</f>
        <v>0</v>
      </c>
      <c r="DX727" s="1403">
        <f>DW727-DS727</f>
        <v>0</v>
      </c>
      <c r="DZ727" s="1481">
        <f>IFERROR(VLOOKUP(DN727,Lookup!AN$3:AO$16,2,FALSE),0)</f>
        <v>0</v>
      </c>
      <c r="EA727" s="1481">
        <f>IF(HW727=FALSE,0,IF(DU727="Yes",DZ727+Lookup!B$6,DZ727))</f>
        <v>0</v>
      </c>
      <c r="EC727" s="1482">
        <f>IF(HW727=TRUE,DJ727,0)</f>
        <v>0</v>
      </c>
      <c r="ED727" s="1369">
        <f>IF(HW727=TRUE,CW729,0)</f>
        <v>0</v>
      </c>
      <c r="EE727" s="1370">
        <f>IFERROR(EC727-ED727,0)</f>
        <v>0</v>
      </c>
      <c r="EF727" s="1369">
        <f>IF(HW727=TRUE,DG729,0)</f>
        <v>0</v>
      </c>
      <c r="EG727" s="1369">
        <f>IFERROR(EC727-ED727+EF727,0)</f>
        <v>0</v>
      </c>
      <c r="EH727" s="1373">
        <f>IF(HW727=TRUE,CS729*CU729,0)</f>
        <v>0</v>
      </c>
      <c r="EI727" s="1373">
        <f>IF(HW727=TRUE,DC729*DE729,0)</f>
        <v>0</v>
      </c>
      <c r="EJ727" s="1363">
        <f>AO727</f>
        <v>0</v>
      </c>
      <c r="EK727" s="1376" t="str">
        <f>IFERROR(IF(HW727=TRUE,VLOOKUP(DN727,Lookup!AN$3:AP$16,3,FALSE)*DR727,""),0)</f>
        <v/>
      </c>
      <c r="EL727" s="1376">
        <f>IF(HW727=TRUE,DW727*Lookup!AP$12,0)</f>
        <v>0</v>
      </c>
      <c r="EM727" s="1362">
        <f>IFERROR(IF(HW727=TRUE,EK727/EM$33,0),0)</f>
        <v>0</v>
      </c>
      <c r="EN727" s="1362">
        <f>IF(HW727=TRUE,EL727/EN$33,0)</f>
        <v>0</v>
      </c>
      <c r="EO727" s="1363">
        <f>IF(HW727=TRUE,EQ$33*EM727,0)</f>
        <v>0</v>
      </c>
      <c r="EP727" s="1363">
        <f>IF(HW727=TRUE,EQ$33*EN727,0)</f>
        <v>0</v>
      </c>
      <c r="EQ727" s="1363">
        <f>EO727+EP727</f>
        <v>0</v>
      </c>
      <c r="ES727" s="1403">
        <f>IF(G727="",0,1)</f>
        <v>0</v>
      </c>
      <c r="EU727" s="1410" t="e">
        <f>VLOOKUP(CP729,'Space Table'!$B$3:$L$160,8,FALSE)</f>
        <v>#N/A</v>
      </c>
      <c r="EV727" s="1410" t="e">
        <f>IF(EY727="Yes",VLOOKUP(DD727,Lookup_Control_Type_Table2,4,FALSE),VLOOKUP(DD727,Lookup_Control_Type_Table2,3,FALSE))</f>
        <v>#N/A</v>
      </c>
      <c r="EW727" s="1410" t="e">
        <f>VLOOKUP(DD727,Lookup!AU$3:AV$15,2,FALSE)</f>
        <v>#N/A</v>
      </c>
      <c r="EX727" s="1410" t="e">
        <f>VLOOKUP(EU727,Lookup_Control_Type_Table,2,FALSE)</f>
        <v>#N/A</v>
      </c>
      <c r="EY727" s="1410" t="e">
        <f>VLOOKUP(CP729,'Space Table'!$B$3:$L$160,7,FALSE)</f>
        <v>#N/A</v>
      </c>
      <c r="EZ727" s="1412" t="b">
        <f>ISNUMBER(SEARCH("TLED",U729))</f>
        <v>0</v>
      </c>
      <c r="FB727" s="1365" t="str">
        <f>CONCATENATE(CN727," - ",DD727)</f>
        <v xml:space="preserve"> - 0</v>
      </c>
      <c r="FD727" s="1353" t="str">
        <f>VLOOKUP(CT729,Fixtures!DN$27:EZ$77,38,FALSE)</f>
        <v/>
      </c>
      <c r="FE727" s="1353">
        <f>IFERROR(FD727*EE727,0)</f>
        <v>0</v>
      </c>
      <c r="FF727" s="138"/>
      <c r="FI727" s="1356" t="str">
        <f>IF(CN727="Exterior","Not Daylighted",G730)</f>
        <v>Not Daylighted</v>
      </c>
      <c r="FJ727" s="1356">
        <f>VLOOKUP(FI727,_Daylight_Table_Codes,2,FALSE)</f>
        <v>0</v>
      </c>
      <c r="FK727" s="1365">
        <f>IF(__Retrofit_TI_NC=2,VLOOKUP(G729,'Space Table'!$B$3:$L$160,11,FALSE),AF728)</f>
        <v>0</v>
      </c>
      <c r="FL727" s="1365" t="e">
        <f>VLOOKUP(FK727,_Control_Table,2,FALSE)</f>
        <v>#N/A</v>
      </c>
      <c r="FM727" s="1365" t="e">
        <f>IF(AND(FP727&gt;0,FK727="Occupancy Sensor"),"Daylight + Occupancy",IF(AND(FP727&gt;0,FL727&lt;4),"Interior Daylight Dimming",FK727))</f>
        <v>#N/A</v>
      </c>
      <c r="FO727" s="1364">
        <f>IF(CO727="Interior",VLOOKUP(CP727,Control_Savings_Interior,5,FALSE),0)</f>
        <v>0</v>
      </c>
      <c r="FP727" s="1361">
        <f>IF(CN727="Exterior",0,IF(FJ727=2,0.5,IF(OR(FJ727=1,FJ727=3),1,0)))</f>
        <v>0</v>
      </c>
      <c r="FQ727" s="1366"/>
      <c r="FR727" s="1367"/>
      <c r="FS727" s="1364"/>
      <c r="FT727" s="1367"/>
      <c r="FU727" s="1360"/>
      <c r="FW727" s="1352" t="str">
        <f>IFERROR(VLOOKUP(U728,_Exist_Fixture_Table,3,FALSE),"")</f>
        <v/>
      </c>
      <c r="FX727" s="1352" t="str">
        <f>VLOOKUP(CT727,_Exist_Fixture_Table,4,FALSE)</f>
        <v/>
      </c>
      <c r="FY727" s="1352">
        <f>IFERROR(VLOOKUP(FX727,Lookup!AM$6:AN$8,2,FALSE),0)</f>
        <v>0</v>
      </c>
      <c r="FZ727" s="1352" t="b">
        <f>IFERROR(IF(OR(GB727=4,GB727=5,GB727=6),TRUE,FALSE),"")</f>
        <v>0</v>
      </c>
      <c r="GA727" s="1352" t="str">
        <f>IFERROR(VLOOKUP(GB727,FY$6:FZ$10,2,FALSE),"")</f>
        <v/>
      </c>
      <c r="GB727" s="1352" t="str">
        <f>VLOOKUP(CT729,Fixtures!R$31:Y$78,8,FALSE)</f>
        <v/>
      </c>
      <c r="GC727" s="1352">
        <f>IF(AND(FW727=TRUE,FZ727=TRUE,OR(DN727=12,DN727=13,DN727=14)),FY727+8,0)</f>
        <v>0</v>
      </c>
      <c r="GD727" s="1352" t="b">
        <f>IF(OR(GC727=12,GC727=13,GC727=14),TRUE,FALSE)</f>
        <v>0</v>
      </c>
      <c r="GE727" s="759" t="b">
        <f>IF(ISNUMBER(SEARCH("TLED",U728)),TRUE,FALSE)</f>
        <v>0</v>
      </c>
      <c r="GF727" s="1035" t="str">
        <f>IFERROR(VLOOKUP(U728,Fixtures!BM$93:BR$142,6,FALSE),"")</f>
        <v/>
      </c>
      <c r="GG727" s="1385" t="b">
        <f>IF(OR(GE727=FALSE,GE729=FALSE),TRUE,IF(GF727-GF729&lt;5,FALSE,TRUE))</f>
        <v>1</v>
      </c>
      <c r="GK727" s="1034">
        <f>GL727</f>
        <v>0</v>
      </c>
      <c r="GL727" s="1034">
        <f>IF(G727="",0,1)</f>
        <v>0</v>
      </c>
      <c r="GM727" s="1034">
        <f>SUM(GN727:HB727)</f>
        <v>2</v>
      </c>
      <c r="GN727" s="1034">
        <f>IF(G728="",0,1)</f>
        <v>0</v>
      </c>
      <c r="GO727" s="1034">
        <f>IF(G729="",0,1)</f>
        <v>0</v>
      </c>
      <c r="GP727" s="1034">
        <f>IF(R728="",0,1)</f>
        <v>0</v>
      </c>
      <c r="GQ727" s="1034">
        <f>IF(__Retrofit_TI_NC=0,1,IF(R729="",0,1))</f>
        <v>1</v>
      </c>
      <c r="GR727" s="1034">
        <f>IF(CN727="Exterior",1,IF(G730="",0,1))</f>
        <v>1</v>
      </c>
      <c r="GS727" s="1034">
        <f>IF(__Retrofit_TI_NC&lt;&gt;0,1,IF(T728="",0,1))</f>
        <v>0</v>
      </c>
      <c r="GT727" s="1034">
        <f>IF(__Retrofit_TI_NC&lt;&gt;0,1,IF(U728="",0,1))</f>
        <v>0</v>
      </c>
      <c r="GU727" s="1034">
        <f>IF(T729="",0,1)</f>
        <v>0</v>
      </c>
      <c r="GV727" s="1034">
        <f>IF(U729="",0,1)</f>
        <v>0</v>
      </c>
      <c r="GW727" s="1034">
        <f>IF(__Retrofit_TI_NC=2,1,IF(U730="",0,1))</f>
        <v>0</v>
      </c>
      <c r="GX727" s="1034">
        <f>IF(__Retrofit_TI_NC&lt;&gt;0,1,IF(AE728="",0,1))</f>
        <v>0</v>
      </c>
      <c r="GY727" s="1034">
        <f>IF(__Retrofit_TI_NC&lt;&gt;0,1,IF(AF728="",0,1))</f>
        <v>0</v>
      </c>
      <c r="GZ727" s="1034">
        <f>IF(AE729="",0,1)</f>
        <v>0</v>
      </c>
      <c r="HA727" s="1034">
        <f>IF(AF729="",0,1)</f>
        <v>0</v>
      </c>
      <c r="HB727" s="1034">
        <f>IF(__Retrofit_TI_NC=2,1,IF(AF730="",0,1))</f>
        <v>0</v>
      </c>
      <c r="HV727" s="436"/>
      <c r="HW727" s="1384" t="b">
        <f>IF(OR(HW730=0,HW730=HT$16,HW730=HS$16,HW730=HU$16),TRUE,FALSE)</f>
        <v>0</v>
      </c>
      <c r="HX727" s="1377" t="b">
        <f>HW727</f>
        <v>0</v>
      </c>
      <c r="HY727" s="436"/>
      <c r="HZ727" s="436"/>
      <c r="IA727" s="1386" t="b">
        <f>IF(MAX(GJ730:HP730)&gt;5,FALSE,TRUE)</f>
        <v>0</v>
      </c>
      <c r="IB727" s="1380">
        <f>IF(IA727=TRUE,AC727,0)</f>
        <v>0</v>
      </c>
      <c r="IC727" s="1380">
        <f>IB727-IB729</f>
        <v>0</v>
      </c>
      <c r="IF727" s="1380" t="e">
        <f>ROUND(T728*VLOOKUP(U728,Fixtures_Existing_List,2,FALSE)*N728*R728/1000,0)</f>
        <v>#N/A</v>
      </c>
      <c r="IG727" s="1381" t="e">
        <f>IF727-IF729</f>
        <v>#N/A</v>
      </c>
      <c r="IH727" s="1384" t="e">
        <f>ROUND(IF(CN727="Interior",N729*R729*R728*N728*_C406_reduction/1000,N729*R729*R728*N728/1000),0)</f>
        <v>#N/A</v>
      </c>
      <c r="II727" s="1384" t="e">
        <f>IH727-IH729</f>
        <v>#N/A</v>
      </c>
      <c r="IK727" s="1351" t="e">
        <f>IF($CO727="interior",IL727/2,VLOOKUP($CP727,Control_Savings_Exterior,IK$30,FALSE))</f>
        <v>#N/A</v>
      </c>
      <c r="IL727" s="1351" t="e">
        <f>IF($CO727="interior",VLOOKUP($CP727,Control_Savings_Interior,IL$30,FALSE),VLOOKUP($CP727,Control_Savings_Exterior,IL$30,FALSE))</f>
        <v>#N/A</v>
      </c>
      <c r="IM727" s="1351" t="e">
        <f>IF($CO727="interior",IF(R728&gt;FO$37,(IM$28*(FO$37/R728)),IM$28)*FP727,VLOOKUP($CP727,Control_Savings_Exterior,IM$30,FALSE))</f>
        <v>#N/A</v>
      </c>
      <c r="IN727" s="1351" t="e">
        <f>IF($CO727="interior",ROUND(((1-IL727)*IM727)+IL727,2),VLOOKUP($CP727,Control_Savings_Exterior,IN$30,FALSE))</f>
        <v>#N/A</v>
      </c>
      <c r="IO727" s="1351" t="e">
        <f>IF($CO727="interior", ROUND(((1-IL727)*(IM727*(1-IP$28)))+IP727,2), VLOOKUP($CP727,Control_Savings_Exterior,IO$30,FALSE))</f>
        <v>#N/A</v>
      </c>
      <c r="IP727" s="1351">
        <f>IF($CO727="interior",ROUND(((1-IL727)*IP$28)+IL727,2),0)</f>
        <v>0</v>
      </c>
    </row>
    <row r="728" spans="1:250" s="82" customFormat="1" ht="14.95" customHeight="1" thickTop="1" thickBot="1">
      <c r="B728" s="1421"/>
      <c r="C728" s="1422"/>
      <c r="D728" s="1423"/>
      <c r="E728" s="1393" t="s">
        <v>244</v>
      </c>
      <c r="F728" s="1394"/>
      <c r="G728" s="1395"/>
      <c r="H728" s="1395"/>
      <c r="I728" s="1395"/>
      <c r="J728" s="1395"/>
      <c r="K728" s="1395"/>
      <c r="L728" s="1395"/>
      <c r="M728" s="509" t="e">
        <f>IF(__Retrofit_TI_NC&lt;&gt;0,IF(VLOOKUP(G729,'Space Table'!$B$3:$L$160,3,FALSE)&gt;0,1,0),IF(__Retrofit_TI_NC=VLOOKUP(G729,'Space Table'!$B$3:$L$160,3,FALSE),1,0))</f>
        <v>#N/A</v>
      </c>
      <c r="N728" s="509" t="str">
        <f>IFERROR(VLOOKUP(G728,_Lookup_Heat_Type_Table_New,2,FALSE),"")</f>
        <v/>
      </c>
      <c r="O728" s="509">
        <f>IF(__Retrofit_TI_NC=1,CONCATENATE("TI ",G728),IF(__Retrofit_TI_NC=2,CONCATENATE("NC ",G728),G728))</f>
        <v>0</v>
      </c>
      <c r="P728" s="1396" t="s">
        <v>352</v>
      </c>
      <c r="Q728" s="1396"/>
      <c r="R728" s="673"/>
      <c r="S728" s="1429"/>
      <c r="T728" s="675"/>
      <c r="U728" s="1496"/>
      <c r="V728" s="1497"/>
      <c r="W728" s="1497"/>
      <c r="X728" s="1497"/>
      <c r="Y728" s="1497"/>
      <c r="Z728" s="1497"/>
      <c r="AA728" s="1497"/>
      <c r="AB728" s="1497"/>
      <c r="AC728" s="1497"/>
      <c r="AD728" s="1498"/>
      <c r="AE728" s="675"/>
      <c r="AF728" s="1397"/>
      <c r="AG728" s="1397"/>
      <c r="AH728" s="1397"/>
      <c r="AI728" s="1397"/>
      <c r="AJ728" s="1434"/>
      <c r="AK728" s="1436"/>
      <c r="AL728" s="1438"/>
      <c r="AM728" s="1441"/>
      <c r="AN728" s="1442"/>
      <c r="AO728" s="1447"/>
      <c r="AP728" s="1447"/>
      <c r="AQ728" s="1448"/>
      <c r="AR728" s="1452"/>
      <c r="AS728" s="1455"/>
      <c r="AT728" s="1458"/>
      <c r="AU728" s="516"/>
      <c r="AV728" s="1479"/>
      <c r="AW728" s="1479"/>
      <c r="BC728" s="38"/>
      <c r="BD728" s="38"/>
      <c r="BE728" s="38"/>
      <c r="BF728" s="38"/>
      <c r="BG728" s="38"/>
      <c r="BH728" s="38"/>
      <c r="BI728" s="38"/>
      <c r="BJ728" s="38"/>
      <c r="BK728" s="38"/>
      <c r="BL728" s="38"/>
      <c r="BM728" s="38"/>
      <c r="BN728" s="38"/>
      <c r="BO728" s="38"/>
      <c r="BP728" s="38"/>
      <c r="BQ728" s="38"/>
      <c r="BR728" s="38"/>
      <c r="BS728" s="38"/>
      <c r="BT728" s="38"/>
      <c r="BU728" s="38"/>
      <c r="BV728" s="38"/>
      <c r="BW728" s="38"/>
      <c r="BX728" s="38"/>
      <c r="BY728" s="38"/>
      <c r="BZ728" s="38"/>
      <c r="CA728" s="38"/>
      <c r="CB728" s="38"/>
      <c r="CC728" s="38"/>
      <c r="CD728" s="38"/>
      <c r="CE728" s="38"/>
      <c r="CF728" s="38"/>
      <c r="CG728" s="38"/>
      <c r="CH728" s="38"/>
      <c r="CI728" s="38"/>
      <c r="CM728" s="1352"/>
      <c r="CN728" s="1352"/>
      <c r="CO728" s="1416"/>
      <c r="CP728" s="1418"/>
      <c r="CR728" s="1386"/>
      <c r="CS728" s="1355"/>
      <c r="CT728" s="1355"/>
      <c r="CU728" s="1355"/>
      <c r="CV728" s="1372"/>
      <c r="CW728" s="1372"/>
      <c r="CX728" s="1371"/>
      <c r="CY728" s="1486"/>
      <c r="CZ728" s="1486"/>
      <c r="DA728" s="1486"/>
      <c r="DC728" s="1355"/>
      <c r="DD728" s="1461"/>
      <c r="DE728" s="1355"/>
      <c r="DF728" s="1407"/>
      <c r="DG728" s="1372"/>
      <c r="DH728" s="1369"/>
      <c r="DJ728" s="1484"/>
      <c r="DL728" s="1419"/>
      <c r="DN728" s="1403"/>
      <c r="DO728" s="1405"/>
      <c r="DP728" s="1354"/>
      <c r="DQ728" s="1405"/>
      <c r="DR728" s="1403"/>
      <c r="DS728" s="1489"/>
      <c r="DU728" s="1403"/>
      <c r="DV728" s="1405"/>
      <c r="DW728" s="1403"/>
      <c r="DX728" s="1403"/>
      <c r="DZ728" s="1481"/>
      <c r="EA728" s="1481"/>
      <c r="EC728" s="1482"/>
      <c r="ED728" s="1369"/>
      <c r="EE728" s="1371"/>
      <c r="EF728" s="1369"/>
      <c r="EG728" s="1369"/>
      <c r="EH728" s="1374"/>
      <c r="EI728" s="1374"/>
      <c r="EJ728" s="1363"/>
      <c r="EK728" s="1376"/>
      <c r="EL728" s="1376"/>
      <c r="EM728" s="1362"/>
      <c r="EN728" s="1362"/>
      <c r="EO728" s="1363"/>
      <c r="EP728" s="1363"/>
      <c r="EQ728" s="1363"/>
      <c r="ES728" s="1403"/>
      <c r="EU728" s="1411"/>
      <c r="EV728" s="1411"/>
      <c r="EW728" s="1411"/>
      <c r="EX728" s="1411"/>
      <c r="EY728" s="1411"/>
      <c r="EZ728" s="1413"/>
      <c r="FB728" s="1365"/>
      <c r="FD728" s="1354"/>
      <c r="FE728" s="1354"/>
      <c r="FF728" s="138"/>
      <c r="FI728" s="1357"/>
      <c r="FJ728" s="1357"/>
      <c r="FK728" s="1365"/>
      <c r="FL728" s="1365"/>
      <c r="FM728" s="1365"/>
      <c r="FO728" s="1361"/>
      <c r="FP728" s="1361"/>
      <c r="FQ728" s="1366"/>
      <c r="FR728" s="1368"/>
      <c r="FS728" s="1361"/>
      <c r="FT728" s="1368"/>
      <c r="FU728" s="1360"/>
      <c r="FW728" s="1352"/>
      <c r="FX728" s="1352"/>
      <c r="FY728" s="1352"/>
      <c r="FZ728" s="1352"/>
      <c r="GA728" s="1352"/>
      <c r="GB728" s="1352"/>
      <c r="GC728" s="1352"/>
      <c r="GD728" s="1352"/>
      <c r="GE728" s="759"/>
      <c r="GF728" s="1035"/>
      <c r="GG728" s="1385"/>
      <c r="GI728" s="1384" t="b">
        <f>IF(AND(GL728=TRUE,GM728=TRUE),TRUE,FALSE)</f>
        <v>0</v>
      </c>
      <c r="GJ728" s="1379" t="b">
        <f>IFERROR(IF(__Retrofit_TI_NC=2,TRUE,IF(AR727="Yes",TRUE,FALSE)),FALSE)</f>
        <v>1</v>
      </c>
      <c r="GL728" s="1379" t="b">
        <f>IFERROR(IF(GL727=1,TRUE,FALSE),FALSE)</f>
        <v>0</v>
      </c>
      <c r="GM728" s="1379" t="b">
        <f>IFERROR(IF(GM727=GM$14,TRUE,FALSE),FALSE)</f>
        <v>0</v>
      </c>
      <c r="HC728" s="1379" t="b">
        <f>IFERROR(IF(M728=1,TRUE,FALSE),FALSE)</f>
        <v>0</v>
      </c>
      <c r="HD728" s="1379" t="b">
        <f>IFERROR(IF(M729=1,TRUE,FALSE),FALSE)</f>
        <v>0</v>
      </c>
      <c r="HE728" s="1379" t="b">
        <f>IFERROR(IF(__Retrofit_TI_NC&lt;&gt;0,TRUE,IFERROR(IF(VLOOKUP(U728,Fixtures_Existing_List,2,FALSE)&lt;&gt;"",TRUE,FALSE),FALSE)),FALSE)</f>
        <v>0</v>
      </c>
      <c r="HF728" s="1379" t="b">
        <f>IFERROR(IF(VLOOKUP(U729,Fixtures_Proposed_List,2,FALSE)&lt;&gt;"",TRUE,FALSE),FALSE)</f>
        <v>0</v>
      </c>
      <c r="HG728" s="1379" t="b">
        <f>IF(AND(__Retrofit_TI_NC=2,EZ727=TRUE),FALSE,TRUE)</f>
        <v>1</v>
      </c>
      <c r="HH728" s="1379" t="b">
        <f>GG727</f>
        <v>1</v>
      </c>
      <c r="HI728" s="1384" t="b">
        <f>IF(ISERROR(MATCH(FB727,_Control_Match[],0))=TRUE,FALSE,TRUE)</f>
        <v>0</v>
      </c>
      <c r="HJ728" s="1384" t="b">
        <f>IFERROR(IF(EU727&lt;&gt;EV727,FALSE,TRUE),FALSE)</f>
        <v>0</v>
      </c>
      <c r="HK728" s="1384" t="b">
        <f>IFERROR(IF(EU729&lt;&gt;EV729,FALSE,TRUE),FALSE)</f>
        <v>0</v>
      </c>
      <c r="HL728" s="1379" t="b">
        <f>IFERROR(IF(CN727="Exterior",TRUE,IF(OR(AND(FJ727=0,EW729&gt;4),AND(FJ727=4,EW729&gt;4,EW729&lt;7)),FALSE,TRUE)),FALSE)</f>
        <v>0</v>
      </c>
      <c r="HM728" s="1379" t="b">
        <f>IFERROR(IF(AND(FL729=7,EZ727=TRUE),FALSE,TRUE),FALSE)</f>
        <v>0</v>
      </c>
      <c r="HN728" s="1379" t="b">
        <f>IFERROR(IF(AND(T729&lt;&gt;AE729,AF729="Interior LLLC")=TRUE,FALSE,TRUE),FALSE)</f>
        <v>1</v>
      </c>
      <c r="HO728" s="1379" t="b">
        <f>IFERROR(IF(OR(AF729=Lookup!AU$13,AF729=Lookup!AU$14)=TRUE,IF(AE729&gt;T729,FALSE,TRUE),TRUE),FALSE)</f>
        <v>1</v>
      </c>
      <c r="HP728" s="1379" t="b">
        <f>IFERROR(IF(__Retrofit_TI_NC=2,IF(EW729&lt;EW727,FALSE,TRUE),TRUE),FALSE)</f>
        <v>1</v>
      </c>
      <c r="HQ728" s="1379" t="b">
        <f>IF(CN727="Interior",IG$6,TRUE)</f>
        <v>1</v>
      </c>
      <c r="HR728" s="1379" t="b">
        <f>IF(CN727="Exterior",IG$8,TRUE)</f>
        <v>1</v>
      </c>
      <c r="HS728" s="1379" t="b">
        <f>IFERROR(IF(__Retrofit_TI_NC&lt;&gt;0,IF(AW727&lt;AV727,FALSE,TRUE),TRUE),FALSE)</f>
        <v>1</v>
      </c>
      <c r="HT728" s="1379" t="b">
        <f>IFERROR(IF(AND(G728="Exterior",R728&gt;4200),FALSE,TRUE),FALSE)</f>
        <v>1</v>
      </c>
      <c r="HU728" s="1379" t="b">
        <f>IFERROR(IF(AB730/AB727&lt;HU$18,FALSE,TRUE),FALSE)</f>
        <v>0</v>
      </c>
      <c r="HW728" s="1382"/>
      <c r="HX728" s="1378"/>
      <c r="HY728" s="1377" t="str">
        <f>VLOOKUP(HW730,_Error_Table,4,FALSE)</f>
        <v>White</v>
      </c>
      <c r="HZ728" s="436"/>
      <c r="IA728" s="1386"/>
      <c r="IB728" s="1380"/>
      <c r="IC728" s="1379"/>
      <c r="IF728" s="1380"/>
      <c r="IG728" s="1382"/>
      <c r="IH728" s="1382"/>
      <c r="II728" s="1382"/>
      <c r="IK728" s="1351"/>
      <c r="IL728" s="1351"/>
      <c r="IM728" s="1351"/>
      <c r="IN728" s="1351"/>
      <c r="IO728" s="1351"/>
      <c r="IP728" s="1351"/>
    </row>
    <row r="729" spans="1:250" s="82" customFormat="1" ht="14.95" customHeight="1" thickTop="1" thickBot="1">
      <c r="A729" s="82">
        <f>ROW()</f>
        <v>729</v>
      </c>
      <c r="B729" s="1421"/>
      <c r="C729" s="1422"/>
      <c r="D729" s="1423"/>
      <c r="E729" s="1393" t="s">
        <v>245</v>
      </c>
      <c r="F729" s="1394"/>
      <c r="G729" s="1398"/>
      <c r="H729" s="1399"/>
      <c r="I729" s="1399"/>
      <c r="J729" s="1399"/>
      <c r="K729" s="1399"/>
      <c r="L729" s="1400"/>
      <c r="M729" s="509">
        <f>IFERROR(IF(IF(__Retrofit_TI_NC&lt;&gt;0,IF(CN727="Interior",MATCH(G729,Lookup_Interior_New,0),MATCH(G729,Lookup_Exterior_New,0)),IF(CN727="Interior",MATCH(G729,Lookup_Interior,0),MATCH(G729,Lookup_Exterior_Areas,0)))&gt;0,1,0),0)</f>
        <v>0</v>
      </c>
      <c r="N729" s="509" t="e">
        <f>IF(__Retrofit_TI_NC=1,
VLOOKUP(G729,'Space Table'!$B$3:$L$160,4,FALSE),
IF(__Retrofit_TI_NC=2,VLOOKUP(G729,'Space Table'!$B$3:$L$160,5,FALSE),VLOOKUP(G729,'Space Table'!$B$3:$L$160,5,FALSE)))</f>
        <v>#N/A</v>
      </c>
      <c r="O729" s="509">
        <f>G729</f>
        <v>0</v>
      </c>
      <c r="P729" s="1394" t="s">
        <v>355</v>
      </c>
      <c r="Q729" s="1394"/>
      <c r="R729" s="674"/>
      <c r="S729" s="1401" t="s">
        <v>284</v>
      </c>
      <c r="T729" s="672"/>
      <c r="U729" s="1499"/>
      <c r="V729" s="1500"/>
      <c r="W729" s="1500"/>
      <c r="X729" s="1500"/>
      <c r="Y729" s="1500"/>
      <c r="Z729" s="1500"/>
      <c r="AA729" s="1500"/>
      <c r="AB729" s="1501"/>
      <c r="AC729" s="1501"/>
      <c r="AD729" s="1502"/>
      <c r="AE729" s="672"/>
      <c r="AF729" s="1474"/>
      <c r="AG729" s="1474"/>
      <c r="AH729" s="1474"/>
      <c r="AI729" s="1474"/>
      <c r="AJ729" s="1475">
        <f>DF729</f>
        <v>0</v>
      </c>
      <c r="AK729" s="1470" t="str">
        <f>IFERROR(ROUND(AJ729*AC730,0),"")</f>
        <v/>
      </c>
      <c r="AL729" s="1472">
        <f>IFERROR(IF(HW727=FALSE,0,AC730-AK729),0)</f>
        <v>0</v>
      </c>
      <c r="AM729" s="1441"/>
      <c r="AN729" s="1442"/>
      <c r="AO729" s="1447"/>
      <c r="AP729" s="1447"/>
      <c r="AQ729" s="1448"/>
      <c r="AR729" s="1452"/>
      <c r="AS729" s="1455"/>
      <c r="AT729" s="1458"/>
      <c r="AU729" s="516"/>
      <c r="AV729" s="1479"/>
      <c r="AW729" s="1479"/>
      <c r="BC729" s="38"/>
      <c r="BD729" s="38"/>
      <c r="BE729" s="38"/>
      <c r="BF729" s="38"/>
      <c r="BG729" s="38"/>
      <c r="BH729" s="38"/>
      <c r="BI729" s="38"/>
      <c r="BJ729" s="38"/>
      <c r="BK729" s="38"/>
      <c r="BL729" s="38"/>
      <c r="BM729" s="38"/>
      <c r="BN729" s="38"/>
      <c r="BO729" s="38"/>
      <c r="BP729" s="38"/>
      <c r="BQ729" s="38"/>
      <c r="BR729" s="38"/>
      <c r="BS729" s="38"/>
      <c r="BT729" s="38"/>
      <c r="BU729" s="38"/>
      <c r="BV729" s="38"/>
      <c r="BW729" s="38"/>
      <c r="BX729" s="38"/>
      <c r="BY729" s="38"/>
      <c r="BZ729" s="38"/>
      <c r="CA729" s="38"/>
      <c r="CB729" s="38"/>
      <c r="CC729" s="38"/>
      <c r="CD729" s="38"/>
      <c r="CE729" s="38"/>
      <c r="CF729" s="38"/>
      <c r="CG729" s="38"/>
      <c r="CH729" s="38"/>
      <c r="CI729" s="38"/>
      <c r="CM729" s="1352"/>
      <c r="CN729" s="1352"/>
      <c r="CO729" s="1415" t="str">
        <f>CN727</f>
        <v/>
      </c>
      <c r="CP729" s="1417" t="e">
        <f>CP727</f>
        <v>#N/A</v>
      </c>
      <c r="CR729" s="1386" t="s">
        <v>284</v>
      </c>
      <c r="CS729" s="1353">
        <f>IF(HW727=TRUE,T729,0)</f>
        <v>0</v>
      </c>
      <c r="CT729" s="1353" t="str">
        <f>IF(HW727=TRUE,U729,"")</f>
        <v/>
      </c>
      <c r="CU729" s="1373">
        <f>IF(HW727=TRUE,U730,0)</f>
        <v>0</v>
      </c>
      <c r="CV729" s="1370">
        <f>IF(HW727=TRUE,AB730,0)</f>
        <v>0</v>
      </c>
      <c r="CW729" s="1370">
        <f>IF(HW727=TRUE,AC730,0)</f>
        <v>0</v>
      </c>
      <c r="CX729" s="1371"/>
      <c r="CY729" s="1486"/>
      <c r="CZ729" s="1486"/>
      <c r="DA729" s="1486"/>
      <c r="DC729" s="1353">
        <f>IF(HW727=TRUE,AE729,0)</f>
        <v>0</v>
      </c>
      <c r="DD729" s="1353" t="str">
        <f>IF(HW727=TRUE,AF729,"")</f>
        <v/>
      </c>
      <c r="DE729" s="1373">
        <f>AF730</f>
        <v>0</v>
      </c>
      <c r="DF729" s="1406">
        <f>IFERROR(IF(FL729=3,IK729,IF(FL729=4,IL729,IF(FL729=5,IM729,IF(FL729=6,IN729,IF(FL729=7,IO729,IF(FL729=8,IP729,0)))))),0)</f>
        <v>0</v>
      </c>
      <c r="DG729" s="1370">
        <f>IF(HW727=TRUE,AK729,0)</f>
        <v>0</v>
      </c>
      <c r="DH729" s="1369"/>
      <c r="DK729" s="1483">
        <f>IFERROR(CW729-DG729,0)</f>
        <v>0</v>
      </c>
      <c r="DL729" s="1420"/>
      <c r="DN729" s="1403"/>
      <c r="DO729" s="1477" t="str">
        <f>DN727</f>
        <v/>
      </c>
      <c r="DP729" s="1354"/>
      <c r="DQ729" s="1477" t="str">
        <f>IF(DP727=7,"LLLC","")</f>
        <v/>
      </c>
      <c r="DR729" s="1403"/>
      <c r="DS729" s="1489"/>
      <c r="DU729" s="1403"/>
      <c r="DV729" s="1404" t="str">
        <f>DU727</f>
        <v/>
      </c>
      <c r="DW729" s="1403"/>
      <c r="DX729" s="1403"/>
      <c r="DZ729" s="1481"/>
      <c r="EA729" s="1481"/>
      <c r="EC729" s="1482"/>
      <c r="ED729" s="1369"/>
      <c r="EE729" s="1371"/>
      <c r="EF729" s="1369"/>
      <c r="EG729" s="1369"/>
      <c r="EH729" s="1374"/>
      <c r="EI729" s="1374"/>
      <c r="EJ729" s="1363"/>
      <c r="EK729" s="1376"/>
      <c r="EL729" s="1376"/>
      <c r="EM729" s="1362"/>
      <c r="EN729" s="1362"/>
      <c r="EO729" s="1363"/>
      <c r="EP729" s="1363"/>
      <c r="EQ729" s="1363"/>
      <c r="ES729" s="1403"/>
      <c r="EU729" s="1411" t="e">
        <f>VLOOKUP(CP729,'Space Table'!$B$3:$L$160,8,FALSE)</f>
        <v>#N/A</v>
      </c>
      <c r="EV729" s="1411" t="e">
        <f>IF(EY729="Yes",VLOOKUP(AF729,Lookup_Control_Type_Table2,4,FALSE),VLOOKUP(AF729,Lookup_Control_Type_Table2,3,FALSE))</f>
        <v>#N/A</v>
      </c>
      <c r="EW729" s="1411" t="e">
        <f>VLOOKUP(AF729,Lookup!AU$3:AV$15,2,FALSE)</f>
        <v>#N/A</v>
      </c>
      <c r="EX729" s="1411" t="e">
        <f>VLOOKUP(EU727,Lookup_Control_Type_Table,2,FALSE)</f>
        <v>#N/A</v>
      </c>
      <c r="EY729" s="1411" t="e">
        <f>VLOOKUP(CP729,'Space Table'!$B$3:$L$160,7,FALSE)</f>
        <v>#N/A</v>
      </c>
      <c r="EZ729" s="1413"/>
      <c r="FB729" s="1365" t="str">
        <f>CONCATENATE(CN727," - ",AF729)</f>
        <v xml:space="preserve"> - </v>
      </c>
      <c r="FD729" s="1354"/>
      <c r="FE729" s="1354"/>
      <c r="FF729" s="138"/>
      <c r="FI729" s="1356" t="str">
        <f>IF(CN727="Exterior","Not Daylighted",G730)</f>
        <v>Not Daylighted</v>
      </c>
      <c r="FJ729" s="1356">
        <f>VLOOKUP(FI729,_Daylight_Table_Codes,2,FALSE)</f>
        <v>0</v>
      </c>
      <c r="FK729" s="1365">
        <f>AF729</f>
        <v>0</v>
      </c>
      <c r="FL729" s="1365" t="e">
        <f>VLOOKUP(FK729,_Control_Table,2,FALSE)</f>
        <v>#N/A</v>
      </c>
      <c r="FM729" s="1365" t="e">
        <f>IF(AND(FP729&gt;0,FK729="Occupancy Sensor"),"Daylight + Occupancy",IF(AND(FP729&gt;0,FL729&lt;4),"Interior Daylight Dimming",FK729))</f>
        <v>#N/A</v>
      </c>
      <c r="FO729" s="1364">
        <f>IF(CN727="Interior",VLOOKUP(CP727,Control_Savings_Interior,5,FALSE),0)</f>
        <v>0</v>
      </c>
      <c r="FP729" s="1361">
        <f>IF(CN729="Exterior",0,IF(FJ729=2,0.5,IF(OR(FJ729=1,FJ729=3),1,0)))</f>
        <v>0</v>
      </c>
      <c r="FQ729" s="1366">
        <f>IF(R728&gt;FO$37,(FO729*(FO$37/R728)),FO729)*FP729</f>
        <v>0</v>
      </c>
      <c r="FR729" s="1364">
        <f>DF729</f>
        <v>0</v>
      </c>
      <c r="FS729" s="1364">
        <f>ROUND(FR729+((1-FR729)*FQ729),2)</f>
        <v>0</v>
      </c>
      <c r="FT729" s="1364">
        <f>IF(__Retrofit_TI_NC=2,FS729,FR729)</f>
        <v>0</v>
      </c>
      <c r="FU729" s="1360">
        <f>IF(CO729="Interior",VLOOKUP(CP729,Control_Savings_Interior,4,FALSE),0)</f>
        <v>0</v>
      </c>
      <c r="FW729" s="1352"/>
      <c r="FX729" s="1352"/>
      <c r="FY729" s="1352"/>
      <c r="FZ729" s="1352"/>
      <c r="GA729" s="1352"/>
      <c r="GB729" s="1352"/>
      <c r="GC729" s="1352"/>
      <c r="GD729" s="1352"/>
      <c r="GE729" s="759" t="b">
        <f>IF(ISNUMBER(SEARCH("TLED",U729)),TRUE,FALSE)</f>
        <v>0</v>
      </c>
      <c r="GF729" s="1035" t="str">
        <f>IFERROR(VLOOKUP(U729,Fixtures!DM$93:DR$142,6,FALSE),"")</f>
        <v/>
      </c>
      <c r="GG729" s="1385"/>
      <c r="GI729" s="1383"/>
      <c r="GJ729" s="1379"/>
      <c r="GL729" s="1379"/>
      <c r="GM729" s="1379"/>
      <c r="HC729" s="1379"/>
      <c r="HD729" s="1379"/>
      <c r="HE729" s="1379"/>
      <c r="HF729" s="1379"/>
      <c r="HG729" s="1379"/>
      <c r="HH729" s="1379"/>
      <c r="HI729" s="1383"/>
      <c r="HJ729" s="1383"/>
      <c r="HK729" s="1383"/>
      <c r="HL729" s="1379"/>
      <c r="HM729" s="1379"/>
      <c r="HN729" s="1379"/>
      <c r="HO729" s="1379"/>
      <c r="HP729" s="1379"/>
      <c r="HQ729" s="1379"/>
      <c r="HR729" s="1379"/>
      <c r="HS729" s="1379"/>
      <c r="HT729" s="1379"/>
      <c r="HU729" s="1379"/>
      <c r="HW729" s="1383"/>
      <c r="HX729" s="1384" t="b">
        <f>HW727</f>
        <v>0</v>
      </c>
      <c r="HY729" s="1378"/>
      <c r="HZ729" s="436"/>
      <c r="IA729" s="1386"/>
      <c r="IB729" s="1380">
        <f>IF(IA727=TRUE,AC730,0)</f>
        <v>0</v>
      </c>
      <c r="IC729" s="1379"/>
      <c r="IF729" s="1380" t="e">
        <f>ROUND(T729*AB730*N728*R728/1000,0)</f>
        <v>#VALUE!</v>
      </c>
      <c r="IG729" s="1382"/>
      <c r="IH729" s="1384" t="e">
        <f>ROUND(T729*AB730*N728*R728/1000,0)</f>
        <v>#VALUE!</v>
      </c>
      <c r="II729" s="1382"/>
      <c r="IK729" s="1351" t="e">
        <f>IF($CO729="interior",IL729/2,VLOOKUP($CP729,Control_Savings_Exterior,IK$30,FALSE))</f>
        <v>#N/A</v>
      </c>
      <c r="IL729" s="1351" t="e">
        <f>IF($CO729="interior",VLOOKUP($CP729,Control_Savings_Interior,IL$30,FALSE),VLOOKUP($CP729,Control_Savings_Exterior,IL$30,FALSE))</f>
        <v>#N/A</v>
      </c>
      <c r="IM729" s="1351" t="e">
        <f>IF($CO729="interior",IF(R728&gt;FO$37,(IM$28*(FO$37/R728)),IM$28)*FP729,VLOOKUP($CP729,Control_Savings_Exterior,IM$30,FALSE))</f>
        <v>#N/A</v>
      </c>
      <c r="IN729" s="1351" t="e">
        <f>IF($CO729="interior",ROUND(((1-IL729)*IM729)+IL729,2),VLOOKUP($CP729,Control_Savings_Exterior,IN$30,FALSE))</f>
        <v>#N/A</v>
      </c>
      <c r="IO729" s="1351" t="e">
        <f>IF($CO729="interior", ROUND(((1-IL729)*(IM729*(1-IP$28)))+IP729,2), VLOOKUP($CP729,Control_Savings_Exterior,IO$30,FALSE))</f>
        <v>#N/A</v>
      </c>
      <c r="IP729" s="1351">
        <f>IF($CO729="interior",ROUND(((1-IL729)*IP$28)+IL729,2),0)</f>
        <v>0</v>
      </c>
    </row>
    <row r="730" spans="1:250" s="82" customFormat="1" ht="14.95" customHeight="1" thickTop="1" thickBot="1">
      <c r="B730" s="1421"/>
      <c r="C730" s="1422"/>
      <c r="D730" s="1423"/>
      <c r="E730" s="1462" t="s">
        <v>357</v>
      </c>
      <c r="F730" s="1463"/>
      <c r="G730" s="1464" t="s">
        <v>362</v>
      </c>
      <c r="H730" s="1465"/>
      <c r="I730" s="1465"/>
      <c r="J730" s="1465"/>
      <c r="K730" s="1465"/>
      <c r="L730" s="1466"/>
      <c r="M730" s="669">
        <f>IFERROR(VLOOKUP(G730,_Daylight_Table[],2,FALSE),0)</f>
        <v>0</v>
      </c>
      <c r="N730" s="670"/>
      <c r="O730" s="669" t="e">
        <f>VLOOKUP(G729,'Space Table'!$B$3:$L$160,11,FALSE)</f>
        <v>#N/A</v>
      </c>
      <c r="P730" s="1408"/>
      <c r="Q730" s="1409"/>
      <c r="R730" s="1409"/>
      <c r="S730" s="1402"/>
      <c r="T730" s="671" t="s">
        <v>281</v>
      </c>
      <c r="U730" s="1467" t="str">
        <f>IFERROR(VLOOKUP(U729,Fixtures!DM$93:DP$142,4,FALSE),"")</f>
        <v/>
      </c>
      <c r="V730" s="1468"/>
      <c r="W730" s="1468"/>
      <c r="X730" s="1468"/>
      <c r="Y730" s="1468"/>
      <c r="Z730" s="1468"/>
      <c r="AA730" s="1468"/>
      <c r="AB730" s="1046" t="str">
        <f>IFERROR(VLOOKUP(U729,Fixtures_Proposed_List,2,FALSE),"")</f>
        <v/>
      </c>
      <c r="AC730" s="1036" t="str">
        <f>IFERROR(ROUND(T729*AB730*N728*R728/1000,0),"")</f>
        <v/>
      </c>
      <c r="AD730" s="1037" t="str">
        <f>IFERROR(ROUND(T729*AB730/1000,2),"")</f>
        <v/>
      </c>
      <c r="AE730" s="1045" t="s">
        <v>281</v>
      </c>
      <c r="AF730" s="1469"/>
      <c r="AG730" s="1469"/>
      <c r="AH730" s="1469"/>
      <c r="AI730" s="1469"/>
      <c r="AJ730" s="1476"/>
      <c r="AK730" s="1471"/>
      <c r="AL730" s="1473"/>
      <c r="AM730" s="1443"/>
      <c r="AN730" s="1444"/>
      <c r="AO730" s="1449"/>
      <c r="AP730" s="1449"/>
      <c r="AQ730" s="1450"/>
      <c r="AR730" s="1453"/>
      <c r="AS730" s="1456"/>
      <c r="AT730" s="1459"/>
      <c r="AU730" s="517"/>
      <c r="AV730" s="1480"/>
      <c r="AW730" s="1480"/>
      <c r="BC730" s="38"/>
      <c r="BD730" s="38"/>
      <c r="BE730" s="38"/>
      <c r="BF730" s="38"/>
      <c r="BG730" s="38"/>
      <c r="BH730" s="38"/>
      <c r="BI730" s="38"/>
      <c r="BJ730" s="38"/>
      <c r="BK730" s="38"/>
      <c r="BL730" s="38"/>
      <c r="BM730" s="38"/>
      <c r="BN730" s="38"/>
      <c r="BO730" s="38"/>
      <c r="BP730" s="38"/>
      <c r="BQ730" s="38"/>
      <c r="BR730" s="38"/>
      <c r="BS730" s="38"/>
      <c r="BT730" s="38"/>
      <c r="BU730" s="38"/>
      <c r="BV730" s="38"/>
      <c r="BW730" s="38"/>
      <c r="BX730" s="38"/>
      <c r="BY730" s="38"/>
      <c r="BZ730" s="38"/>
      <c r="CA730" s="38"/>
      <c r="CB730" s="38"/>
      <c r="CC730" s="38"/>
      <c r="CD730" s="38"/>
      <c r="CE730" s="38"/>
      <c r="CF730" s="38"/>
      <c r="CG730" s="38"/>
      <c r="CH730" s="38"/>
      <c r="CI730" s="38"/>
      <c r="CM730" s="1352"/>
      <c r="CN730" s="1352"/>
      <c r="CO730" s="1416"/>
      <c r="CP730" s="1418"/>
      <c r="CR730" s="1386"/>
      <c r="CS730" s="1355"/>
      <c r="CT730" s="1355"/>
      <c r="CU730" s="1375"/>
      <c r="CV730" s="1372"/>
      <c r="CW730" s="1372"/>
      <c r="CX730" s="1372"/>
      <c r="CY730" s="1487"/>
      <c r="CZ730" s="1487"/>
      <c r="DA730" s="1487"/>
      <c r="DC730" s="1355"/>
      <c r="DD730" s="1355"/>
      <c r="DE730" s="1375"/>
      <c r="DF730" s="1407"/>
      <c r="DG730" s="1372"/>
      <c r="DH730" s="1369"/>
      <c r="DK730" s="1484"/>
      <c r="DL730" s="1420"/>
      <c r="DN730" s="1403"/>
      <c r="DO730" s="1405"/>
      <c r="DP730" s="1355"/>
      <c r="DQ730" s="1405"/>
      <c r="DR730" s="1403"/>
      <c r="DS730" s="1489"/>
      <c r="DU730" s="1403"/>
      <c r="DV730" s="1405"/>
      <c r="DW730" s="1403"/>
      <c r="DX730" s="1403"/>
      <c r="DZ730" s="1481"/>
      <c r="EA730" s="1481"/>
      <c r="EC730" s="1482"/>
      <c r="ED730" s="1369"/>
      <c r="EE730" s="1372"/>
      <c r="EF730" s="1369"/>
      <c r="EG730" s="1369"/>
      <c r="EH730" s="1375"/>
      <c r="EI730" s="1375"/>
      <c r="EJ730" s="1363"/>
      <c r="EK730" s="1376"/>
      <c r="EL730" s="1376"/>
      <c r="EM730" s="1362"/>
      <c r="EN730" s="1362"/>
      <c r="EO730" s="1363"/>
      <c r="EP730" s="1363"/>
      <c r="EQ730" s="1363"/>
      <c r="ES730" s="1403"/>
      <c r="EU730" s="1488"/>
      <c r="EV730" s="1488"/>
      <c r="EW730" s="1488"/>
      <c r="EX730" s="1488"/>
      <c r="EY730" s="1488"/>
      <c r="EZ730" s="1414"/>
      <c r="FB730" s="1365"/>
      <c r="FD730" s="1355"/>
      <c r="FE730" s="1355"/>
      <c r="FF730" s="138"/>
      <c r="FI730" s="1357"/>
      <c r="FJ730" s="1357"/>
      <c r="FK730" s="1365"/>
      <c r="FL730" s="1365"/>
      <c r="FM730" s="1365"/>
      <c r="FO730" s="1361"/>
      <c r="FP730" s="1361"/>
      <c r="FQ730" s="1366"/>
      <c r="FR730" s="1361"/>
      <c r="FS730" s="1361"/>
      <c r="FT730" s="1361"/>
      <c r="FU730" s="1360"/>
      <c r="FW730" s="1352"/>
      <c r="FX730" s="1352"/>
      <c r="FY730" s="1352"/>
      <c r="FZ730" s="1352"/>
      <c r="GA730" s="1352"/>
      <c r="GB730" s="1352"/>
      <c r="GC730" s="1352"/>
      <c r="GD730" s="1352"/>
      <c r="GE730" s="759"/>
      <c r="GF730" s="1035"/>
      <c r="GG730" s="1385"/>
      <c r="GJ730" s="1034">
        <f>IF(GJ728=TRUE,0,GJ$16)</f>
        <v>0</v>
      </c>
      <c r="GL730" s="1034">
        <f>IF(GL728=TRUE,0,GL$16)</f>
        <v>36</v>
      </c>
      <c r="GM730" s="1034">
        <f>IF(GM728=TRUE,0,GM$16)</f>
        <v>35</v>
      </c>
      <c r="GN730" s="436"/>
      <c r="GO730" s="436"/>
      <c r="GP730" s="436"/>
      <c r="GQ730" s="436"/>
      <c r="GR730" s="436"/>
      <c r="HC730" s="1034">
        <f t="shared" ref="HC730:HH730" si="542">IF(HC728=TRUE,0,HC$16)</f>
        <v>19</v>
      </c>
      <c r="HD730" s="1034">
        <f t="shared" si="542"/>
        <v>18</v>
      </c>
      <c r="HE730" s="1034">
        <f t="shared" si="542"/>
        <v>17</v>
      </c>
      <c r="HF730" s="1034">
        <f t="shared" si="542"/>
        <v>16</v>
      </c>
      <c r="HG730" s="1034">
        <f t="shared" si="542"/>
        <v>0</v>
      </c>
      <c r="HH730" s="1034">
        <f t="shared" si="542"/>
        <v>0</v>
      </c>
      <c r="HI730" s="1034">
        <f>IF(HI728=TRUE,0,HI$16)</f>
        <v>13</v>
      </c>
      <c r="HJ730" s="1034">
        <f t="shared" ref="HJ730:HL730" si="543">IF(HJ728=TRUE,0,HJ$16)</f>
        <v>12</v>
      </c>
      <c r="HK730" s="1034">
        <f t="shared" si="543"/>
        <v>11</v>
      </c>
      <c r="HL730" s="1034">
        <f t="shared" si="543"/>
        <v>10</v>
      </c>
      <c r="HM730" s="1034">
        <f>IF(HM728=TRUE,0,HM$16)</f>
        <v>9</v>
      </c>
      <c r="HN730" s="1034">
        <f t="shared" ref="HN730:HR730" si="544">IF(HN728=TRUE,0,HN$16)</f>
        <v>0</v>
      </c>
      <c r="HO730" s="1034">
        <f t="shared" si="544"/>
        <v>0</v>
      </c>
      <c r="HP730" s="1034">
        <f t="shared" si="544"/>
        <v>0</v>
      </c>
      <c r="HQ730" s="1034">
        <f t="shared" si="544"/>
        <v>0</v>
      </c>
      <c r="HR730" s="1034">
        <f t="shared" si="544"/>
        <v>0</v>
      </c>
      <c r="HS730" s="1034">
        <f>IF(HS728=TRUE,0,HS$16)</f>
        <v>0</v>
      </c>
      <c r="HT730" s="1034">
        <f t="shared" ref="HT730" si="545">IF(HT728=TRUE,0,HT$16)</f>
        <v>0</v>
      </c>
      <c r="HU730" s="1034">
        <f>IF(HU728=TRUE,0,HU$16)</f>
        <v>1</v>
      </c>
      <c r="HW730" s="1034">
        <f>IF(GL728=FALSE,GL730,IF(GM728=FALSE,GM730,MAX(GJ730:HU730)))</f>
        <v>36</v>
      </c>
      <c r="HX730" s="1383"/>
      <c r="HY730" s="241" t="str">
        <f>VLOOKUP(HW730,_Error_Table,3,FALSE)</f>
        <v xml:space="preserve"> </v>
      </c>
      <c r="HZ730" s="241"/>
      <c r="IA730" s="1386"/>
      <c r="IB730" s="1380"/>
      <c r="IC730" s="1379"/>
      <c r="IF730" s="1380"/>
      <c r="IG730" s="1383"/>
      <c r="IH730" s="1383"/>
      <c r="II730" s="1383"/>
      <c r="IK730" s="1351"/>
      <c r="IL730" s="1351"/>
      <c r="IM730" s="1351"/>
      <c r="IN730" s="1351"/>
      <c r="IO730" s="1351"/>
      <c r="IP730" s="1351"/>
    </row>
    <row r="731" spans="1:250" s="82" customFormat="1" ht="5.0999999999999996" customHeight="1" thickBot="1">
      <c r="B731" s="763"/>
      <c r="C731" s="1038"/>
      <c r="D731" s="1038"/>
      <c r="E731" s="1490"/>
      <c r="F731" s="1490"/>
      <c r="G731" s="1490"/>
      <c r="H731" s="1490"/>
      <c r="I731" s="1490"/>
      <c r="J731" s="1490"/>
      <c r="K731" s="1490"/>
      <c r="L731" s="1490"/>
      <c r="M731" s="1490"/>
      <c r="N731" s="1490"/>
      <c r="O731" s="1490"/>
      <c r="P731" s="1490"/>
      <c r="Q731" s="1490"/>
      <c r="R731" s="1490"/>
      <c r="S731" s="1490"/>
      <c r="T731" s="1490"/>
      <c r="U731" s="1490"/>
      <c r="V731" s="1490"/>
      <c r="W731" s="1490"/>
      <c r="X731" s="1490"/>
      <c r="Y731" s="1490"/>
      <c r="Z731" s="1490"/>
      <c r="AA731" s="1490"/>
      <c r="AB731" s="1490"/>
      <c r="AC731" s="1490"/>
      <c r="AD731" s="1490"/>
      <c r="AE731" s="1490"/>
      <c r="AF731" s="1490"/>
      <c r="AG731" s="1490"/>
      <c r="AH731" s="1490"/>
      <c r="AI731" s="1490"/>
      <c r="AJ731" s="1490"/>
      <c r="AK731" s="1490"/>
      <c r="AL731" s="1490"/>
      <c r="AM731" s="1490"/>
      <c r="AN731" s="1490"/>
      <c r="AO731" s="1490"/>
      <c r="AP731" s="1490"/>
      <c r="AQ731" s="1490"/>
      <c r="AR731" s="1490"/>
      <c r="AS731" s="1490"/>
      <c r="AT731" s="1490"/>
      <c r="AU731" s="1041"/>
      <c r="BC731" s="38"/>
      <c r="BD731" s="38"/>
      <c r="BE731" s="38"/>
      <c r="BF731" s="38"/>
      <c r="BG731" s="38"/>
      <c r="BH731" s="38"/>
      <c r="BI731" s="38"/>
      <c r="BJ731" s="38"/>
      <c r="BK731" s="38"/>
      <c r="BL731" s="38"/>
      <c r="BM731" s="38"/>
      <c r="BN731" s="38"/>
      <c r="BO731" s="38"/>
      <c r="BP731" s="38"/>
      <c r="BQ731" s="38"/>
      <c r="BR731" s="38"/>
      <c r="BS731" s="38"/>
      <c r="BT731" s="38"/>
      <c r="BU731" s="38"/>
      <c r="BV731" s="38"/>
      <c r="BW731" s="38"/>
      <c r="BX731" s="38"/>
      <c r="BY731" s="38"/>
      <c r="BZ731" s="38"/>
      <c r="CA731" s="38"/>
      <c r="CB731" s="38"/>
      <c r="CC731" s="38"/>
      <c r="CD731" s="38"/>
      <c r="CE731" s="38"/>
      <c r="CF731" s="38"/>
      <c r="CG731" s="38"/>
      <c r="CH731" s="38"/>
      <c r="CI731" s="38"/>
      <c r="CM731" s="749"/>
      <c r="CN731" s="749"/>
      <c r="CO731" s="1043"/>
      <c r="CP731" s="749"/>
      <c r="CS731" s="436"/>
      <c r="CT731" s="436"/>
      <c r="CU731" s="243"/>
      <c r="CV731" s="244"/>
      <c r="CW731" s="244"/>
      <c r="CX731" s="244"/>
      <c r="CY731" s="245"/>
      <c r="CZ731" s="245"/>
      <c r="DA731" s="245"/>
      <c r="DC731" s="750"/>
      <c r="DD731" s="751"/>
      <c r="DE731" s="752"/>
      <c r="DF731" s="753"/>
      <c r="DG731" s="754"/>
      <c r="DH731" s="754"/>
      <c r="DK731" s="244"/>
      <c r="DL731" s="750"/>
      <c r="DN731" s="750"/>
      <c r="DO731" s="755"/>
      <c r="DP731" s="436"/>
      <c r="DQ731" s="750"/>
      <c r="DR731" s="750"/>
      <c r="DS731" s="750"/>
      <c r="DU731" s="750"/>
      <c r="DV731" s="750"/>
      <c r="DW731" s="750"/>
      <c r="DX731" s="750"/>
      <c r="DZ731" s="756"/>
      <c r="EA731" s="756"/>
      <c r="EC731" s="754"/>
      <c r="ED731" s="754"/>
      <c r="EE731" s="244"/>
      <c r="EF731" s="754"/>
      <c r="EG731" s="754"/>
      <c r="EH731" s="243"/>
      <c r="EI731" s="243"/>
      <c r="EJ731" s="752"/>
      <c r="EK731" s="757"/>
      <c r="EL731" s="757"/>
      <c r="EM731" s="758"/>
      <c r="EN731" s="758"/>
      <c r="EO731" s="752"/>
      <c r="EP731" s="752"/>
      <c r="EQ731" s="752"/>
      <c r="ES731" s="750"/>
      <c r="EU731" s="436"/>
      <c r="EV731" s="436"/>
      <c r="EW731" s="436"/>
      <c r="EX731" s="436"/>
      <c r="EY731" s="436"/>
      <c r="EZ731" s="436"/>
      <c r="FB731" s="643"/>
      <c r="FD731" s="436"/>
      <c r="FE731" s="436"/>
      <c r="FF731" s="436"/>
      <c r="FO731" s="750"/>
      <c r="FP731" s="436"/>
      <c r="FQ731" s="436"/>
      <c r="FR731" s="750"/>
      <c r="FS731" s="750"/>
      <c r="FW731" s="749"/>
      <c r="FX731" s="749"/>
      <c r="FY731" s="749"/>
      <c r="FZ731" s="749"/>
      <c r="GA731" s="749"/>
      <c r="GB731" s="749"/>
      <c r="GC731" s="749"/>
      <c r="GD731" s="749"/>
      <c r="GE731" s="751"/>
      <c r="GF731" s="750"/>
      <c r="GG731" s="750"/>
    </row>
    <row r="732" spans="1:250" s="82" customFormat="1" ht="14.95" customHeight="1" thickTop="1" thickBot="1">
      <c r="B732" s="1421" t="str">
        <f>HY735</f>
        <v xml:space="preserve"> </v>
      </c>
      <c r="C732" s="1422">
        <f>C727+1</f>
        <v>134</v>
      </c>
      <c r="D732" s="1423"/>
      <c r="E732" s="1424" t="s">
        <v>242</v>
      </c>
      <c r="F732" s="1425"/>
      <c r="G732" s="1426"/>
      <c r="H732" s="1427"/>
      <c r="I732" s="1427"/>
      <c r="J732" s="1427"/>
      <c r="K732" s="1427"/>
      <c r="L732" s="1427"/>
      <c r="M732" s="1427"/>
      <c r="N732" s="1427"/>
      <c r="O732" s="1427"/>
      <c r="P732" s="1427"/>
      <c r="Q732" s="1427"/>
      <c r="R732" s="1427"/>
      <c r="S732" s="1428" t="s">
        <v>283</v>
      </c>
      <c r="T732" s="668" t="s">
        <v>190</v>
      </c>
      <c r="U732" s="1430" t="s">
        <v>186</v>
      </c>
      <c r="V732" s="1431"/>
      <c r="W732" s="1431"/>
      <c r="X732" s="1431"/>
      <c r="Y732" s="1431"/>
      <c r="Z732" s="1431"/>
      <c r="AA732" s="1431"/>
      <c r="AB732" s="1047" t="str">
        <f>IFERROR(IF(__Retrofit_TI_NC=0,VLOOKUP(U733,Fixtures_Existing_List,2,FALSE),ROUND(N734*R734/T734,10)),"")</f>
        <v/>
      </c>
      <c r="AC732" s="1039" t="str">
        <f>IFERROR(IF(__Retrofit_TI_NC=0,ROUND(T733*AB732*N733*R733/1000,0),IF(CN732="Interior",N734*R734*R733*N733*_C406_reduction/1000,N734*R734*R733*N733/1000)),"")</f>
        <v/>
      </c>
      <c r="AD732" s="1040" t="str">
        <f>IFERROR(IF(C$36=0,ROUND(T733*AB732/1000,2),N734*R734/1000),"")</f>
        <v/>
      </c>
      <c r="AE732" s="1044" t="s">
        <v>190</v>
      </c>
      <c r="AF732" s="1432" t="str">
        <f>IF(__Retrofit_TI_NC=2,CONCATENATE("Code min = ",DD732),IF(__Retrofit_TI_NC=1,"Emter what you think the existing control was"," Control"))</f>
        <v xml:space="preserve"> Control</v>
      </c>
      <c r="AG732" s="1432"/>
      <c r="AH732" s="1432"/>
      <c r="AI732" s="1432"/>
      <c r="AJ732" s="1433">
        <f>DF732</f>
        <v>0</v>
      </c>
      <c r="AK732" s="1435" t="str">
        <f>IFERROR(ROUND(AJ732*AC732,0),"")</f>
        <v/>
      </c>
      <c r="AL732" s="1437">
        <f>IFERROR(IF(HW732=FALSE,0,AC732-AK732),0)</f>
        <v>0</v>
      </c>
      <c r="AM732" s="1439">
        <f>AL732-AL734</f>
        <v>0</v>
      </c>
      <c r="AN732" s="1440"/>
      <c r="AO732" s="1445">
        <f>IFERROR(IF(HW732=FALSE,0,(T734*U735)+(AE734*AF735)),0)</f>
        <v>0</v>
      </c>
      <c r="AP732" s="1445"/>
      <c r="AQ732" s="1446"/>
      <c r="AR732" s="1451" t="s">
        <v>157</v>
      </c>
      <c r="AS732" s="1454">
        <f>IF(AR732="Yes",1,0)</f>
        <v>1</v>
      </c>
      <c r="AT732" s="1457" t="str">
        <f>IF(OR(DN732=4,DN732=5,DN732=6,DN732=12),CONCATENATE("$",IF(GD732=TRUE,Lookup!$B$11,Lookup!$B$2)," /lamp"),CONCATENATE(EA732,"/ kWh"))</f>
        <v>0/ kWh</v>
      </c>
      <c r="AU732" s="516"/>
      <c r="AV732" s="1478">
        <f>IFERROR(IF(GI733=TRUE,(AB735*T734)/R734,0),"NA")</f>
        <v>0</v>
      </c>
      <c r="AW732" s="1478" t="str">
        <f>IFERROR(N734*_C406_reduction,"NA")</f>
        <v>NA</v>
      </c>
      <c r="BC732" s="38"/>
      <c r="BD732" s="38"/>
      <c r="BE732" s="38"/>
      <c r="BF732" s="38"/>
      <c r="BG732" s="38"/>
      <c r="BH732" s="38"/>
      <c r="BI732" s="38"/>
      <c r="BJ732" s="38"/>
      <c r="BK732" s="38"/>
      <c r="BL732" s="38"/>
      <c r="BM732" s="38"/>
      <c r="BN732" s="38"/>
      <c r="BO732" s="38"/>
      <c r="BP732" s="38"/>
      <c r="BQ732" s="38"/>
      <c r="BR732" s="38"/>
      <c r="BS732" s="38"/>
      <c r="BT732" s="38"/>
      <c r="BU732" s="38"/>
      <c r="BV732" s="38"/>
      <c r="BW732" s="38"/>
      <c r="BX732" s="38"/>
      <c r="BY732" s="38"/>
      <c r="BZ732" s="38"/>
      <c r="CA732" s="38"/>
      <c r="CB732" s="38"/>
      <c r="CC732" s="38"/>
      <c r="CD732" s="38"/>
      <c r="CE732" s="38"/>
      <c r="CF732" s="38"/>
      <c r="CG732" s="38"/>
      <c r="CH732" s="38"/>
      <c r="CI732" s="38"/>
      <c r="CM732" s="1352" t="str">
        <f>N733</f>
        <v/>
      </c>
      <c r="CN732" s="1352" t="str">
        <f>IFERROR(VLOOKUP(G733,_Lookup_Heat_Type_Table_New,3,FALSE),"")</f>
        <v/>
      </c>
      <c r="CO732" s="1415" t="str">
        <f>CN732</f>
        <v/>
      </c>
      <c r="CP732" s="1417" t="e">
        <f>VLOOKUP(G734,'Space Table'!$B$3:$L$160,9,FALSE)</f>
        <v>#N/A</v>
      </c>
      <c r="CR732" s="1386" t="s">
        <v>283</v>
      </c>
      <c r="CS732" s="1353">
        <f>IF(HW732=TRUE,T733,0)</f>
        <v>0</v>
      </c>
      <c r="CT732" s="1353" t="str">
        <f>IF(HW732=TRUE,U733,"")</f>
        <v/>
      </c>
      <c r="CU732" s="1353"/>
      <c r="CV732" s="1370">
        <f>IF(HW732=TRUE,AB732,0)</f>
        <v>0</v>
      </c>
      <c r="CW732" s="1370">
        <f>IF(HW732=TRUE,AC732,0)</f>
        <v>0</v>
      </c>
      <c r="CX732" s="1370">
        <f>IFERROR(IF(HW732=TRUE,CW732-CW734,0),0)</f>
        <v>0</v>
      </c>
      <c r="CY732" s="1485">
        <f>IF(HW732=TRUE,AD732,0)</f>
        <v>0</v>
      </c>
      <c r="CZ732" s="1485">
        <f>IF(HW732=TRUE,AD735,0)</f>
        <v>0</v>
      </c>
      <c r="DA732" s="1485">
        <f>IFERROR(CY732-CZ732,0)</f>
        <v>0</v>
      </c>
      <c r="DC732" s="1353">
        <f>IF(HW732=TRUE,AE733,0)</f>
        <v>0</v>
      </c>
      <c r="DD732" s="1460">
        <f>IF(__Retrofit_TI_NC=2,IF(CN732="Exterior",O735,FM732),FK732)</f>
        <v>0</v>
      </c>
      <c r="DE732" s="1353"/>
      <c r="DF732" s="1406">
        <f>IFERROR(IF(FL732=3,IK732,IF(FL732=4,IL732,IF(FL732=5,IM732,IF(FL732=6,IN732,IF(FL732=7,IO732,IF(FL732=8,IP732,0)))))),0)</f>
        <v>0</v>
      </c>
      <c r="DG732" s="1370">
        <f>IF(HW732=TRUE,AK732,0)</f>
        <v>0</v>
      </c>
      <c r="DH732" s="1369">
        <f>IFERROR(IF(HW732=TRUE,DG734-DG732,0),0)</f>
        <v>0</v>
      </c>
      <c r="DJ732" s="1483">
        <f>IFERROR(CW732-DG732,0)</f>
        <v>0</v>
      </c>
      <c r="DL732" s="1419">
        <f>DJ732-DK734</f>
        <v>0</v>
      </c>
      <c r="DN732" s="1403" t="str">
        <f>IFERROR(IF(AND(OR(FY732=4,FY732=5,FY732=6),OR(GB732=4,GB732=5,GB732=6)),FY732+8,VLOOKUP(CT734,Fixtures!R$31:Y$78,8,FALSE)),"")</f>
        <v/>
      </c>
      <c r="DO732" s="1404" t="str">
        <f>DN732</f>
        <v/>
      </c>
      <c r="DP732" s="1353" t="str">
        <f>IFERROR(VLOOKUP(DD734,Lookup!AU$3:AV$15,2,FALSE),"")</f>
        <v/>
      </c>
      <c r="DQ732" s="1404" t="str">
        <f>IF(DP732=7,"LLLC","")</f>
        <v/>
      </c>
      <c r="DR732" s="1403">
        <f>IFERROR(IF(OR(DN732=4,DN732=5,DN732=6,DN732=12,DN732=13,DN732=14),VLOOKUP(CT734,Fixtures!DN$27:EG$77,19,FALSE),1)*CS734,0)</f>
        <v>0</v>
      </c>
      <c r="DS732" s="1489">
        <f>IF(DP732=7,IF(DD732=DD734,0,DC734),0)</f>
        <v>0</v>
      </c>
      <c r="DU732" s="1403" t="str">
        <f>IFERROR(IF(EW732&lt;EW734,"Yes","No"),"")</f>
        <v/>
      </c>
      <c r="DV732" s="1404" t="str">
        <f>DU732</f>
        <v/>
      </c>
      <c r="DW732" s="1403">
        <f>IF(DU732="Yes",DC734,0)</f>
        <v>0</v>
      </c>
      <c r="DX732" s="1403">
        <f>DW732-DS732</f>
        <v>0</v>
      </c>
      <c r="DZ732" s="1481">
        <f>IFERROR(VLOOKUP(DN732,Lookup!AN$3:AO$16,2,FALSE),0)</f>
        <v>0</v>
      </c>
      <c r="EA732" s="1481">
        <f>IF(HW732=FALSE,0,IF(DU732="Yes",DZ732+Lookup!B$6,DZ732))</f>
        <v>0</v>
      </c>
      <c r="EC732" s="1482">
        <f>IF(HW732=TRUE,DJ732,0)</f>
        <v>0</v>
      </c>
      <c r="ED732" s="1369">
        <f>IF(HW732=TRUE,CW734,0)</f>
        <v>0</v>
      </c>
      <c r="EE732" s="1370">
        <f>IFERROR(EC732-ED732,0)</f>
        <v>0</v>
      </c>
      <c r="EF732" s="1369">
        <f>IF(HW732=TRUE,DG734,0)</f>
        <v>0</v>
      </c>
      <c r="EG732" s="1369">
        <f>IFERROR(EC732-ED732+EF732,0)</f>
        <v>0</v>
      </c>
      <c r="EH732" s="1373">
        <f>IF(HW732=TRUE,CS734*CU734,0)</f>
        <v>0</v>
      </c>
      <c r="EI732" s="1373">
        <f>IF(HW732=TRUE,DC734*DE734,0)</f>
        <v>0</v>
      </c>
      <c r="EJ732" s="1363">
        <f>AO732</f>
        <v>0</v>
      </c>
      <c r="EK732" s="1376" t="str">
        <f>IFERROR(IF(HW732=TRUE,VLOOKUP(DN732,Lookup!AN$3:AP$16,3,FALSE)*DR732,""),0)</f>
        <v/>
      </c>
      <c r="EL732" s="1376">
        <f>IF(HW732=TRUE,DW732*Lookup!AP$12,0)</f>
        <v>0</v>
      </c>
      <c r="EM732" s="1362">
        <f>IFERROR(IF(HW732=TRUE,EK732/EM$33,0),0)</f>
        <v>0</v>
      </c>
      <c r="EN732" s="1362">
        <f>IF(HW732=TRUE,EL732/EN$33,0)</f>
        <v>0</v>
      </c>
      <c r="EO732" s="1363">
        <f>IF(HW732=TRUE,EQ$33*EM732,0)</f>
        <v>0</v>
      </c>
      <c r="EP732" s="1363">
        <f>IF(HW732=TRUE,EQ$33*EN732,0)</f>
        <v>0</v>
      </c>
      <c r="EQ732" s="1363">
        <f>EO732+EP732</f>
        <v>0</v>
      </c>
      <c r="ES732" s="1403">
        <f>IF(G732="",0,1)</f>
        <v>0</v>
      </c>
      <c r="EU732" s="1410" t="e">
        <f>VLOOKUP(CP734,'Space Table'!$B$3:$L$160,8,FALSE)</f>
        <v>#N/A</v>
      </c>
      <c r="EV732" s="1410" t="e">
        <f>IF(EY732="Yes",VLOOKUP(DD732,Lookup_Control_Type_Table2,4,FALSE),VLOOKUP(DD732,Lookup_Control_Type_Table2,3,FALSE))</f>
        <v>#N/A</v>
      </c>
      <c r="EW732" s="1410" t="e">
        <f>VLOOKUP(DD732,Lookup!AU$3:AV$15,2,FALSE)</f>
        <v>#N/A</v>
      </c>
      <c r="EX732" s="1410" t="e">
        <f>VLOOKUP(EU732,Lookup_Control_Type_Table,2,FALSE)</f>
        <v>#N/A</v>
      </c>
      <c r="EY732" s="1410" t="e">
        <f>VLOOKUP(CP734,'Space Table'!$B$3:$L$160,7,FALSE)</f>
        <v>#N/A</v>
      </c>
      <c r="EZ732" s="1412" t="b">
        <f>ISNUMBER(SEARCH("TLED",U734))</f>
        <v>0</v>
      </c>
      <c r="FB732" s="1365" t="str">
        <f>CONCATENATE(CN732," - ",DD732)</f>
        <v xml:space="preserve"> - 0</v>
      </c>
      <c r="FD732" s="1353" t="str">
        <f>VLOOKUP(CT734,Fixtures!DN$27:EZ$77,38,FALSE)</f>
        <v/>
      </c>
      <c r="FE732" s="1353">
        <f>IFERROR(FD732*EE732,0)</f>
        <v>0</v>
      </c>
      <c r="FF732" s="138"/>
      <c r="FI732" s="1356" t="str">
        <f>IF(CN732="Exterior","Not Daylighted",G735)</f>
        <v>Not Daylighted</v>
      </c>
      <c r="FJ732" s="1356">
        <f>VLOOKUP(FI732,_Daylight_Table_Codes,2,FALSE)</f>
        <v>0</v>
      </c>
      <c r="FK732" s="1365">
        <f>IF(__Retrofit_TI_NC=2,VLOOKUP(G734,'Space Table'!$B$3:$L$160,11,FALSE),AF733)</f>
        <v>0</v>
      </c>
      <c r="FL732" s="1365" t="e">
        <f>VLOOKUP(FK732,_Control_Table,2,FALSE)</f>
        <v>#N/A</v>
      </c>
      <c r="FM732" s="1365" t="e">
        <f>IF(AND(FP732&gt;0,FK732="Occupancy Sensor"),"Daylight + Occupancy",IF(AND(FP732&gt;0,FL732&lt;4),"Interior Daylight Dimming",FK732))</f>
        <v>#N/A</v>
      </c>
      <c r="FO732" s="1364">
        <f>IF(CO732="Interior",VLOOKUP(CP732,Control_Savings_Interior,5,FALSE),0)</f>
        <v>0</v>
      </c>
      <c r="FP732" s="1361">
        <f>IF(CN732="Exterior",0,IF(FJ732=2,0.5,IF(OR(FJ732=1,FJ732=3),1,0)))</f>
        <v>0</v>
      </c>
      <c r="FQ732" s="1366"/>
      <c r="FR732" s="1367"/>
      <c r="FS732" s="1364"/>
      <c r="FT732" s="1367"/>
      <c r="FU732" s="1360"/>
      <c r="FW732" s="1352" t="str">
        <f>IFERROR(VLOOKUP(U733,_Exist_Fixture_Table,3,FALSE),"")</f>
        <v/>
      </c>
      <c r="FX732" s="1352" t="str">
        <f>VLOOKUP(CT732,_Exist_Fixture_Table,4,FALSE)</f>
        <v/>
      </c>
      <c r="FY732" s="1352">
        <f>IFERROR(VLOOKUP(FX732,Lookup!AM$6:AN$8,2,FALSE),0)</f>
        <v>0</v>
      </c>
      <c r="FZ732" s="1352" t="b">
        <f>IFERROR(IF(OR(GB732=4,GB732=5,GB732=6),TRUE,FALSE),"")</f>
        <v>0</v>
      </c>
      <c r="GA732" s="1352" t="str">
        <f>IFERROR(VLOOKUP(GB732,FY$6:FZ$10,2,FALSE),"")</f>
        <v/>
      </c>
      <c r="GB732" s="1352" t="str">
        <f>VLOOKUP(CT734,Fixtures!R$31:Y$78,8,FALSE)</f>
        <v/>
      </c>
      <c r="GC732" s="1352">
        <f>IF(AND(FW732=TRUE,FZ732=TRUE,OR(DN732=12,DN732=13,DN732=14)),FY732+8,0)</f>
        <v>0</v>
      </c>
      <c r="GD732" s="1352" t="b">
        <f>IF(OR(GC732=12,GC732=13,GC732=14),TRUE,FALSE)</f>
        <v>0</v>
      </c>
      <c r="GE732" s="759" t="b">
        <f>IF(ISNUMBER(SEARCH("TLED",U733)),TRUE,FALSE)</f>
        <v>0</v>
      </c>
      <c r="GF732" s="1035" t="str">
        <f>IFERROR(VLOOKUP(U733,Fixtures!BM$93:BR$142,6,FALSE),"")</f>
        <v/>
      </c>
      <c r="GG732" s="1385" t="b">
        <f>IF(OR(GE732=FALSE,GE734=FALSE),TRUE,IF(GF732-GF734&lt;5,FALSE,TRUE))</f>
        <v>1</v>
      </c>
      <c r="GK732" s="1034">
        <f>GL732</f>
        <v>0</v>
      </c>
      <c r="GL732" s="1034">
        <f>IF(G732="",0,1)</f>
        <v>0</v>
      </c>
      <c r="GM732" s="1034">
        <f>SUM(GN732:HB732)</f>
        <v>2</v>
      </c>
      <c r="GN732" s="1034">
        <f>IF(G733="",0,1)</f>
        <v>0</v>
      </c>
      <c r="GO732" s="1034">
        <f>IF(G734="",0,1)</f>
        <v>0</v>
      </c>
      <c r="GP732" s="1034">
        <f>IF(R733="",0,1)</f>
        <v>0</v>
      </c>
      <c r="GQ732" s="1034">
        <f>IF(__Retrofit_TI_NC=0,1,IF(R734="",0,1))</f>
        <v>1</v>
      </c>
      <c r="GR732" s="1034">
        <f>IF(CN732="Exterior",1,IF(G735="",0,1))</f>
        <v>1</v>
      </c>
      <c r="GS732" s="1034">
        <f>IF(__Retrofit_TI_NC&lt;&gt;0,1,IF(T733="",0,1))</f>
        <v>0</v>
      </c>
      <c r="GT732" s="1034">
        <f>IF(__Retrofit_TI_NC&lt;&gt;0,1,IF(U733="",0,1))</f>
        <v>0</v>
      </c>
      <c r="GU732" s="1034">
        <f>IF(T734="",0,1)</f>
        <v>0</v>
      </c>
      <c r="GV732" s="1034">
        <f>IF(U734="",0,1)</f>
        <v>0</v>
      </c>
      <c r="GW732" s="1034">
        <f>IF(__Retrofit_TI_NC=2,1,IF(U735="",0,1))</f>
        <v>0</v>
      </c>
      <c r="GX732" s="1034">
        <f>IF(__Retrofit_TI_NC&lt;&gt;0,1,IF(AE733="",0,1))</f>
        <v>0</v>
      </c>
      <c r="GY732" s="1034">
        <f>IF(__Retrofit_TI_NC&lt;&gt;0,1,IF(AF733="",0,1))</f>
        <v>0</v>
      </c>
      <c r="GZ732" s="1034">
        <f>IF(AE734="",0,1)</f>
        <v>0</v>
      </c>
      <c r="HA732" s="1034">
        <f>IF(AF734="",0,1)</f>
        <v>0</v>
      </c>
      <c r="HB732" s="1034">
        <f>IF(__Retrofit_TI_NC=2,1,IF(AF735="",0,1))</f>
        <v>0</v>
      </c>
      <c r="HV732" s="436"/>
      <c r="HW732" s="1384" t="b">
        <f>IF(OR(HW735=0,HW735=HT$16,HW735=HS$16,HW735=HU$16),TRUE,FALSE)</f>
        <v>0</v>
      </c>
      <c r="HX732" s="1377" t="b">
        <f>HW732</f>
        <v>0</v>
      </c>
      <c r="HY732" s="436"/>
      <c r="HZ732" s="436"/>
      <c r="IA732" s="1386" t="b">
        <f>IF(MAX(GJ735:HP735)&gt;5,FALSE,TRUE)</f>
        <v>0</v>
      </c>
      <c r="IB732" s="1380">
        <f>IF(IA732=TRUE,AC732,0)</f>
        <v>0</v>
      </c>
      <c r="IC732" s="1380">
        <f>IB732-IB734</f>
        <v>0</v>
      </c>
      <c r="IF732" s="1380" t="e">
        <f>ROUND(T733*VLOOKUP(U733,Fixtures_Existing_List,2,FALSE)*N733*R733/1000,0)</f>
        <v>#N/A</v>
      </c>
      <c r="IG732" s="1381" t="e">
        <f>IF732-IF734</f>
        <v>#N/A</v>
      </c>
      <c r="IH732" s="1384" t="e">
        <f>ROUND(IF(CN732="Interior",N734*R734*R733*N733*_C406_reduction/1000,N734*R734*R733*N733/1000),0)</f>
        <v>#N/A</v>
      </c>
      <c r="II732" s="1384" t="e">
        <f>IH732-IH734</f>
        <v>#N/A</v>
      </c>
      <c r="IK732" s="1351" t="e">
        <f>IF($CO732="interior",IL732/2,VLOOKUP($CP732,Control_Savings_Exterior,IK$30,FALSE))</f>
        <v>#N/A</v>
      </c>
      <c r="IL732" s="1351" t="e">
        <f>IF($CO732="interior",VLOOKUP($CP732,Control_Savings_Interior,IL$30,FALSE),VLOOKUP($CP732,Control_Savings_Exterior,IL$30,FALSE))</f>
        <v>#N/A</v>
      </c>
      <c r="IM732" s="1351" t="e">
        <f>IF($CO732="interior",IF(R733&gt;FO$37,(IM$28*(FO$37/R733)),IM$28)*FP732,VLOOKUP($CP732,Control_Savings_Exterior,IM$30,FALSE))</f>
        <v>#N/A</v>
      </c>
      <c r="IN732" s="1351" t="e">
        <f>IF($CO732="interior",ROUND(((1-IL732)*IM732)+IL732,2),VLOOKUP($CP732,Control_Savings_Exterior,IN$30,FALSE))</f>
        <v>#N/A</v>
      </c>
      <c r="IO732" s="1351" t="e">
        <f>IF($CO732="interior", ROUND(((1-IL732)*(IM732*(1-IP$28)))+IP732,2), VLOOKUP($CP732,Control_Savings_Exterior,IO$30,FALSE))</f>
        <v>#N/A</v>
      </c>
      <c r="IP732" s="1351">
        <f>IF($CO732="interior",ROUND(((1-IL732)*IP$28)+IL732,2),0)</f>
        <v>0</v>
      </c>
    </row>
    <row r="733" spans="1:250" s="82" customFormat="1" ht="14.95" customHeight="1" thickTop="1" thickBot="1">
      <c r="B733" s="1421"/>
      <c r="C733" s="1422"/>
      <c r="D733" s="1423"/>
      <c r="E733" s="1393" t="s">
        <v>244</v>
      </c>
      <c r="F733" s="1394"/>
      <c r="G733" s="1395"/>
      <c r="H733" s="1395"/>
      <c r="I733" s="1395"/>
      <c r="J733" s="1395"/>
      <c r="K733" s="1395"/>
      <c r="L733" s="1395"/>
      <c r="M733" s="509" t="e">
        <f>IF(__Retrofit_TI_NC&lt;&gt;0,IF(VLOOKUP(G734,'Space Table'!$B$3:$L$160,3,FALSE)&gt;0,1,0),IF(__Retrofit_TI_NC=VLOOKUP(G734,'Space Table'!$B$3:$L$160,3,FALSE),1,0))</f>
        <v>#N/A</v>
      </c>
      <c r="N733" s="509" t="str">
        <f>IFERROR(VLOOKUP(G733,_Lookup_Heat_Type_Table_New,2,FALSE),"")</f>
        <v/>
      </c>
      <c r="O733" s="509">
        <f>IF(__Retrofit_TI_NC=1,CONCATENATE("TI ",G733),IF(__Retrofit_TI_NC=2,CONCATENATE("NC ",G733),G733))</f>
        <v>0</v>
      </c>
      <c r="P733" s="1396" t="s">
        <v>352</v>
      </c>
      <c r="Q733" s="1396"/>
      <c r="R733" s="673"/>
      <c r="S733" s="1429"/>
      <c r="T733" s="675"/>
      <c r="U733" s="1496"/>
      <c r="V733" s="1497"/>
      <c r="W733" s="1497"/>
      <c r="X733" s="1497"/>
      <c r="Y733" s="1497"/>
      <c r="Z733" s="1497"/>
      <c r="AA733" s="1497"/>
      <c r="AB733" s="1497"/>
      <c r="AC733" s="1497"/>
      <c r="AD733" s="1498"/>
      <c r="AE733" s="675"/>
      <c r="AF733" s="1397"/>
      <c r="AG733" s="1397"/>
      <c r="AH733" s="1397"/>
      <c r="AI733" s="1397"/>
      <c r="AJ733" s="1434"/>
      <c r="AK733" s="1436"/>
      <c r="AL733" s="1438"/>
      <c r="AM733" s="1441"/>
      <c r="AN733" s="1442"/>
      <c r="AO733" s="1447"/>
      <c r="AP733" s="1447"/>
      <c r="AQ733" s="1448"/>
      <c r="AR733" s="1452"/>
      <c r="AS733" s="1455"/>
      <c r="AT733" s="1458"/>
      <c r="AU733" s="516"/>
      <c r="AV733" s="1479"/>
      <c r="AW733" s="1479"/>
      <c r="BC733" s="38"/>
      <c r="BD733" s="38"/>
      <c r="BE733" s="38"/>
      <c r="BF733" s="38"/>
      <c r="BG733" s="38"/>
      <c r="BH733" s="38"/>
      <c r="BI733" s="38"/>
      <c r="BJ733" s="38"/>
      <c r="BK733" s="38"/>
      <c r="BL733" s="38"/>
      <c r="BM733" s="38"/>
      <c r="BN733" s="38"/>
      <c r="BO733" s="38"/>
      <c r="BP733" s="38"/>
      <c r="BQ733" s="38"/>
      <c r="BR733" s="38"/>
      <c r="BS733" s="38"/>
      <c r="BT733" s="38"/>
      <c r="BU733" s="38"/>
      <c r="BV733" s="38"/>
      <c r="BW733" s="38"/>
      <c r="BX733" s="38"/>
      <c r="BY733" s="38"/>
      <c r="BZ733" s="38"/>
      <c r="CA733" s="38"/>
      <c r="CB733" s="38"/>
      <c r="CC733" s="38"/>
      <c r="CD733" s="38"/>
      <c r="CE733" s="38"/>
      <c r="CF733" s="38"/>
      <c r="CG733" s="38"/>
      <c r="CH733" s="38"/>
      <c r="CI733" s="38"/>
      <c r="CM733" s="1352"/>
      <c r="CN733" s="1352"/>
      <c r="CO733" s="1416"/>
      <c r="CP733" s="1418"/>
      <c r="CR733" s="1386"/>
      <c r="CS733" s="1355"/>
      <c r="CT733" s="1355"/>
      <c r="CU733" s="1355"/>
      <c r="CV733" s="1372"/>
      <c r="CW733" s="1372"/>
      <c r="CX733" s="1371"/>
      <c r="CY733" s="1486"/>
      <c r="CZ733" s="1486"/>
      <c r="DA733" s="1486"/>
      <c r="DC733" s="1355"/>
      <c r="DD733" s="1461"/>
      <c r="DE733" s="1355"/>
      <c r="DF733" s="1407"/>
      <c r="DG733" s="1372"/>
      <c r="DH733" s="1369"/>
      <c r="DJ733" s="1484"/>
      <c r="DL733" s="1419"/>
      <c r="DN733" s="1403"/>
      <c r="DO733" s="1405"/>
      <c r="DP733" s="1354"/>
      <c r="DQ733" s="1405"/>
      <c r="DR733" s="1403"/>
      <c r="DS733" s="1489"/>
      <c r="DU733" s="1403"/>
      <c r="DV733" s="1405"/>
      <c r="DW733" s="1403"/>
      <c r="DX733" s="1403"/>
      <c r="DZ733" s="1481"/>
      <c r="EA733" s="1481"/>
      <c r="EC733" s="1482"/>
      <c r="ED733" s="1369"/>
      <c r="EE733" s="1371"/>
      <c r="EF733" s="1369"/>
      <c r="EG733" s="1369"/>
      <c r="EH733" s="1374"/>
      <c r="EI733" s="1374"/>
      <c r="EJ733" s="1363"/>
      <c r="EK733" s="1376"/>
      <c r="EL733" s="1376"/>
      <c r="EM733" s="1362"/>
      <c r="EN733" s="1362"/>
      <c r="EO733" s="1363"/>
      <c r="EP733" s="1363"/>
      <c r="EQ733" s="1363"/>
      <c r="ES733" s="1403"/>
      <c r="EU733" s="1411"/>
      <c r="EV733" s="1411"/>
      <c r="EW733" s="1411"/>
      <c r="EX733" s="1411"/>
      <c r="EY733" s="1411"/>
      <c r="EZ733" s="1413"/>
      <c r="FB733" s="1365"/>
      <c r="FD733" s="1354"/>
      <c r="FE733" s="1354"/>
      <c r="FF733" s="138"/>
      <c r="FI733" s="1357"/>
      <c r="FJ733" s="1357"/>
      <c r="FK733" s="1365"/>
      <c r="FL733" s="1365"/>
      <c r="FM733" s="1365"/>
      <c r="FO733" s="1361"/>
      <c r="FP733" s="1361"/>
      <c r="FQ733" s="1366"/>
      <c r="FR733" s="1368"/>
      <c r="FS733" s="1361"/>
      <c r="FT733" s="1368"/>
      <c r="FU733" s="1360"/>
      <c r="FW733" s="1352"/>
      <c r="FX733" s="1352"/>
      <c r="FY733" s="1352"/>
      <c r="FZ733" s="1352"/>
      <c r="GA733" s="1352"/>
      <c r="GB733" s="1352"/>
      <c r="GC733" s="1352"/>
      <c r="GD733" s="1352"/>
      <c r="GE733" s="759"/>
      <c r="GF733" s="1035"/>
      <c r="GG733" s="1385"/>
      <c r="GI733" s="1384" t="b">
        <f>IF(AND(GL733=TRUE,GM733=TRUE),TRUE,FALSE)</f>
        <v>0</v>
      </c>
      <c r="GJ733" s="1379" t="b">
        <f>IFERROR(IF(__Retrofit_TI_NC=2,TRUE,IF(AR732="Yes",TRUE,FALSE)),FALSE)</f>
        <v>1</v>
      </c>
      <c r="GL733" s="1379" t="b">
        <f>IFERROR(IF(GL732=1,TRUE,FALSE),FALSE)</f>
        <v>0</v>
      </c>
      <c r="GM733" s="1379" t="b">
        <f>IFERROR(IF(GM732=GM$14,TRUE,FALSE),FALSE)</f>
        <v>0</v>
      </c>
      <c r="HC733" s="1379" t="b">
        <f>IFERROR(IF(M733=1,TRUE,FALSE),FALSE)</f>
        <v>0</v>
      </c>
      <c r="HD733" s="1379" t="b">
        <f>IFERROR(IF(M734=1,TRUE,FALSE),FALSE)</f>
        <v>0</v>
      </c>
      <c r="HE733" s="1379" t="b">
        <f>IFERROR(IF(__Retrofit_TI_NC&lt;&gt;0,TRUE,IFERROR(IF(VLOOKUP(U733,Fixtures_Existing_List,2,FALSE)&lt;&gt;"",TRUE,FALSE),FALSE)),FALSE)</f>
        <v>0</v>
      </c>
      <c r="HF733" s="1379" t="b">
        <f>IFERROR(IF(VLOOKUP(U734,Fixtures_Proposed_List,2,FALSE)&lt;&gt;"",TRUE,FALSE),FALSE)</f>
        <v>0</v>
      </c>
      <c r="HG733" s="1379" t="b">
        <f>IF(AND(__Retrofit_TI_NC=2,EZ732=TRUE),FALSE,TRUE)</f>
        <v>1</v>
      </c>
      <c r="HH733" s="1379" t="b">
        <f>GG732</f>
        <v>1</v>
      </c>
      <c r="HI733" s="1384" t="b">
        <f>IF(ISERROR(MATCH(FB732,_Control_Match[],0))=TRUE,FALSE,TRUE)</f>
        <v>0</v>
      </c>
      <c r="HJ733" s="1384" t="b">
        <f>IFERROR(IF(EU732&lt;&gt;EV732,FALSE,TRUE),FALSE)</f>
        <v>0</v>
      </c>
      <c r="HK733" s="1384" t="b">
        <f>IFERROR(IF(EU734&lt;&gt;EV734,FALSE,TRUE),FALSE)</f>
        <v>0</v>
      </c>
      <c r="HL733" s="1379" t="b">
        <f>IFERROR(IF(CN732="Exterior",TRUE,IF(OR(AND(FJ732=0,EW734&gt;4),AND(FJ732=4,EW734&gt;4,EW734&lt;7)),FALSE,TRUE)),FALSE)</f>
        <v>0</v>
      </c>
      <c r="HM733" s="1379" t="b">
        <f>IFERROR(IF(AND(FL734=7,EZ732=TRUE),FALSE,TRUE),FALSE)</f>
        <v>0</v>
      </c>
      <c r="HN733" s="1379" t="b">
        <f>IFERROR(IF(AND(T734&lt;&gt;AE734,AF734="Interior LLLC")=TRUE,FALSE,TRUE),FALSE)</f>
        <v>1</v>
      </c>
      <c r="HO733" s="1379" t="b">
        <f>IFERROR(IF(OR(AF734=Lookup!AU$13,AF734=Lookup!AU$14)=TRUE,IF(AE734&gt;T734,FALSE,TRUE),TRUE),FALSE)</f>
        <v>1</v>
      </c>
      <c r="HP733" s="1379" t="b">
        <f>IFERROR(IF(__Retrofit_TI_NC=2,IF(EW734&lt;EW732,FALSE,TRUE),TRUE),FALSE)</f>
        <v>1</v>
      </c>
      <c r="HQ733" s="1379" t="b">
        <f>IF(CN732="Interior",IG$6,TRUE)</f>
        <v>1</v>
      </c>
      <c r="HR733" s="1379" t="b">
        <f>IF(CN732="Exterior",IG$8,TRUE)</f>
        <v>1</v>
      </c>
      <c r="HS733" s="1379" t="b">
        <f>IFERROR(IF(__Retrofit_TI_NC&lt;&gt;0,IF(AW732&lt;AV732,FALSE,TRUE),TRUE),FALSE)</f>
        <v>1</v>
      </c>
      <c r="HT733" s="1379" t="b">
        <f>IFERROR(IF(AND(G733="Exterior",R733&gt;4200),FALSE,TRUE),FALSE)</f>
        <v>1</v>
      </c>
      <c r="HU733" s="1379" t="b">
        <f>IFERROR(IF(AB735/AB732&lt;HU$18,FALSE,TRUE),FALSE)</f>
        <v>0</v>
      </c>
      <c r="HW733" s="1382"/>
      <c r="HX733" s="1378"/>
      <c r="HY733" s="1377" t="str">
        <f>VLOOKUP(HW735,_Error_Table,4,FALSE)</f>
        <v>White</v>
      </c>
      <c r="HZ733" s="436"/>
      <c r="IA733" s="1386"/>
      <c r="IB733" s="1380"/>
      <c r="IC733" s="1379"/>
      <c r="IF733" s="1380"/>
      <c r="IG733" s="1382"/>
      <c r="IH733" s="1382"/>
      <c r="II733" s="1382"/>
      <c r="IK733" s="1351"/>
      <c r="IL733" s="1351"/>
      <c r="IM733" s="1351"/>
      <c r="IN733" s="1351"/>
      <c r="IO733" s="1351"/>
      <c r="IP733" s="1351"/>
    </row>
    <row r="734" spans="1:250" s="82" customFormat="1" ht="14.95" customHeight="1" thickTop="1" thickBot="1">
      <c r="A734" s="82">
        <f>ROW()</f>
        <v>734</v>
      </c>
      <c r="B734" s="1421"/>
      <c r="C734" s="1422"/>
      <c r="D734" s="1423"/>
      <c r="E734" s="1393" t="s">
        <v>245</v>
      </c>
      <c r="F734" s="1394"/>
      <c r="G734" s="1398"/>
      <c r="H734" s="1399"/>
      <c r="I734" s="1399"/>
      <c r="J734" s="1399"/>
      <c r="K734" s="1399"/>
      <c r="L734" s="1400"/>
      <c r="M734" s="509">
        <f>IFERROR(IF(IF(__Retrofit_TI_NC&lt;&gt;0,IF(CN732="Interior",MATCH(G734,Lookup_Interior_New,0),MATCH(G734,Lookup_Exterior_New,0)),IF(CN732="Interior",MATCH(G734,Lookup_Interior,0),MATCH(G734,Lookup_Exterior_Areas,0)))&gt;0,1,0),0)</f>
        <v>0</v>
      </c>
      <c r="N734" s="509" t="e">
        <f>IF(__Retrofit_TI_NC=1,
VLOOKUP(G734,'Space Table'!$B$3:$L$160,4,FALSE),
IF(__Retrofit_TI_NC=2,VLOOKUP(G734,'Space Table'!$B$3:$L$160,5,FALSE),VLOOKUP(G734,'Space Table'!$B$3:$L$160,5,FALSE)))</f>
        <v>#N/A</v>
      </c>
      <c r="O734" s="509">
        <f>G734</f>
        <v>0</v>
      </c>
      <c r="P734" s="1394" t="s">
        <v>355</v>
      </c>
      <c r="Q734" s="1394"/>
      <c r="R734" s="674"/>
      <c r="S734" s="1401" t="s">
        <v>284</v>
      </c>
      <c r="T734" s="672"/>
      <c r="U734" s="1499"/>
      <c r="V734" s="1500"/>
      <c r="W734" s="1500"/>
      <c r="X734" s="1500"/>
      <c r="Y734" s="1500"/>
      <c r="Z734" s="1500"/>
      <c r="AA734" s="1500"/>
      <c r="AB734" s="1501"/>
      <c r="AC734" s="1501"/>
      <c r="AD734" s="1502"/>
      <c r="AE734" s="672"/>
      <c r="AF734" s="1474"/>
      <c r="AG734" s="1474"/>
      <c r="AH734" s="1474"/>
      <c r="AI734" s="1474"/>
      <c r="AJ734" s="1475">
        <f>DF734</f>
        <v>0</v>
      </c>
      <c r="AK734" s="1470" t="str">
        <f>IFERROR(ROUND(AJ734*AC735,0),"")</f>
        <v/>
      </c>
      <c r="AL734" s="1472">
        <f>IFERROR(IF(HW732=FALSE,0,AC735-AK734),0)</f>
        <v>0</v>
      </c>
      <c r="AM734" s="1441"/>
      <c r="AN734" s="1442"/>
      <c r="AO734" s="1447"/>
      <c r="AP734" s="1447"/>
      <c r="AQ734" s="1448"/>
      <c r="AR734" s="1452"/>
      <c r="AS734" s="1455"/>
      <c r="AT734" s="1458"/>
      <c r="AU734" s="516"/>
      <c r="AV734" s="1479"/>
      <c r="AW734" s="1479"/>
      <c r="BC734" s="38"/>
      <c r="BD734" s="38"/>
      <c r="BE734" s="38"/>
      <c r="BF734" s="38"/>
      <c r="BG734" s="38"/>
      <c r="BH734" s="38"/>
      <c r="BI734" s="38"/>
      <c r="BJ734" s="38"/>
      <c r="BK734" s="38"/>
      <c r="BL734" s="38"/>
      <c r="BM734" s="38"/>
      <c r="BN734" s="38"/>
      <c r="BO734" s="38"/>
      <c r="BP734" s="38"/>
      <c r="BQ734" s="38"/>
      <c r="BR734" s="38"/>
      <c r="BS734" s="38"/>
      <c r="BT734" s="38"/>
      <c r="BU734" s="38"/>
      <c r="BV734" s="38"/>
      <c r="BW734" s="38"/>
      <c r="BX734" s="38"/>
      <c r="BY734" s="38"/>
      <c r="BZ734" s="38"/>
      <c r="CA734" s="38"/>
      <c r="CB734" s="38"/>
      <c r="CC734" s="38"/>
      <c r="CD734" s="38"/>
      <c r="CE734" s="38"/>
      <c r="CF734" s="38"/>
      <c r="CG734" s="38"/>
      <c r="CH734" s="38"/>
      <c r="CI734" s="38"/>
      <c r="CM734" s="1352"/>
      <c r="CN734" s="1352"/>
      <c r="CO734" s="1415" t="str">
        <f>CN732</f>
        <v/>
      </c>
      <c r="CP734" s="1417" t="e">
        <f>CP732</f>
        <v>#N/A</v>
      </c>
      <c r="CR734" s="1386" t="s">
        <v>284</v>
      </c>
      <c r="CS734" s="1353">
        <f>IF(HW732=TRUE,T734,0)</f>
        <v>0</v>
      </c>
      <c r="CT734" s="1353" t="str">
        <f>IF(HW732=TRUE,U734,"")</f>
        <v/>
      </c>
      <c r="CU734" s="1373">
        <f>IF(HW732=TRUE,U735,0)</f>
        <v>0</v>
      </c>
      <c r="CV734" s="1370">
        <f>IF(HW732=TRUE,AB735,0)</f>
        <v>0</v>
      </c>
      <c r="CW734" s="1370">
        <f>IF(HW732=TRUE,AC735,0)</f>
        <v>0</v>
      </c>
      <c r="CX734" s="1371"/>
      <c r="CY734" s="1486"/>
      <c r="CZ734" s="1486"/>
      <c r="DA734" s="1486"/>
      <c r="DC734" s="1353">
        <f>IF(HW732=TRUE,AE734,0)</f>
        <v>0</v>
      </c>
      <c r="DD734" s="1353" t="str">
        <f>IF(HW732=TRUE,AF734,"")</f>
        <v/>
      </c>
      <c r="DE734" s="1373">
        <f>AF735</f>
        <v>0</v>
      </c>
      <c r="DF734" s="1406">
        <f>IFERROR(IF(FL734=3,IK734,IF(FL734=4,IL734,IF(FL734=5,IM734,IF(FL734=6,IN734,IF(FL734=7,IO734,IF(FL734=8,IP734,0)))))),0)</f>
        <v>0</v>
      </c>
      <c r="DG734" s="1370">
        <f>IF(HW732=TRUE,AK734,0)</f>
        <v>0</v>
      </c>
      <c r="DH734" s="1369"/>
      <c r="DK734" s="1483">
        <f>IFERROR(CW734-DG734,0)</f>
        <v>0</v>
      </c>
      <c r="DL734" s="1420"/>
      <c r="DN734" s="1403"/>
      <c r="DO734" s="1477" t="str">
        <f>DN732</f>
        <v/>
      </c>
      <c r="DP734" s="1354"/>
      <c r="DQ734" s="1477" t="str">
        <f>IF(DP732=7,"LLLC","")</f>
        <v/>
      </c>
      <c r="DR734" s="1403"/>
      <c r="DS734" s="1489"/>
      <c r="DU734" s="1403"/>
      <c r="DV734" s="1404" t="str">
        <f>DU732</f>
        <v/>
      </c>
      <c r="DW734" s="1403"/>
      <c r="DX734" s="1403"/>
      <c r="DZ734" s="1481"/>
      <c r="EA734" s="1481"/>
      <c r="EC734" s="1482"/>
      <c r="ED734" s="1369"/>
      <c r="EE734" s="1371"/>
      <c r="EF734" s="1369"/>
      <c r="EG734" s="1369"/>
      <c r="EH734" s="1374"/>
      <c r="EI734" s="1374"/>
      <c r="EJ734" s="1363"/>
      <c r="EK734" s="1376"/>
      <c r="EL734" s="1376"/>
      <c r="EM734" s="1362"/>
      <c r="EN734" s="1362"/>
      <c r="EO734" s="1363"/>
      <c r="EP734" s="1363"/>
      <c r="EQ734" s="1363"/>
      <c r="ES734" s="1403"/>
      <c r="EU734" s="1411" t="e">
        <f>VLOOKUP(CP734,'Space Table'!$B$3:$L$160,8,FALSE)</f>
        <v>#N/A</v>
      </c>
      <c r="EV734" s="1411" t="e">
        <f>IF(EY734="Yes",VLOOKUP(AF734,Lookup_Control_Type_Table2,4,FALSE),VLOOKUP(AF734,Lookup_Control_Type_Table2,3,FALSE))</f>
        <v>#N/A</v>
      </c>
      <c r="EW734" s="1411" t="e">
        <f>VLOOKUP(AF734,Lookup!AU$3:AV$15,2,FALSE)</f>
        <v>#N/A</v>
      </c>
      <c r="EX734" s="1411" t="e">
        <f>VLOOKUP(EU732,Lookup_Control_Type_Table,2,FALSE)</f>
        <v>#N/A</v>
      </c>
      <c r="EY734" s="1411" t="e">
        <f>VLOOKUP(CP734,'Space Table'!$B$3:$L$160,7,FALSE)</f>
        <v>#N/A</v>
      </c>
      <c r="EZ734" s="1413"/>
      <c r="FB734" s="1365" t="str">
        <f>CONCATENATE(CN732," - ",AF734)</f>
        <v xml:space="preserve"> - </v>
      </c>
      <c r="FD734" s="1354"/>
      <c r="FE734" s="1354"/>
      <c r="FF734" s="138"/>
      <c r="FI734" s="1356" t="str">
        <f>IF(CN732="Exterior","Not Daylighted",G735)</f>
        <v>Not Daylighted</v>
      </c>
      <c r="FJ734" s="1356">
        <f>VLOOKUP(FI734,_Daylight_Table_Codes,2,FALSE)</f>
        <v>0</v>
      </c>
      <c r="FK734" s="1365">
        <f>AF734</f>
        <v>0</v>
      </c>
      <c r="FL734" s="1365" t="e">
        <f>VLOOKUP(FK734,_Control_Table,2,FALSE)</f>
        <v>#N/A</v>
      </c>
      <c r="FM734" s="1365" t="e">
        <f>IF(AND(FP734&gt;0,FK734="Occupancy Sensor"),"Daylight + Occupancy",IF(AND(FP734&gt;0,FL734&lt;4),"Interior Daylight Dimming",FK734))</f>
        <v>#N/A</v>
      </c>
      <c r="FO734" s="1364">
        <f>IF(CN732="Interior",VLOOKUP(CP732,Control_Savings_Interior,5,FALSE),0)</f>
        <v>0</v>
      </c>
      <c r="FP734" s="1361">
        <f>IF(CN734="Exterior",0,IF(FJ734=2,0.5,IF(OR(FJ734=1,FJ734=3),1,0)))</f>
        <v>0</v>
      </c>
      <c r="FQ734" s="1366">
        <f>IF(R733&gt;FO$37,(FO734*(FO$37/R733)),FO734)*FP734</f>
        <v>0</v>
      </c>
      <c r="FR734" s="1364">
        <f>DF734</f>
        <v>0</v>
      </c>
      <c r="FS734" s="1364">
        <f>ROUND(FR734+((1-FR734)*FQ734),2)</f>
        <v>0</v>
      </c>
      <c r="FT734" s="1364">
        <f>IF(__Retrofit_TI_NC=2,FS734,FR734)</f>
        <v>0</v>
      </c>
      <c r="FU734" s="1360">
        <f>IF(CO734="Interior",VLOOKUP(CP734,Control_Savings_Interior,4,FALSE),0)</f>
        <v>0</v>
      </c>
      <c r="FW734" s="1352"/>
      <c r="FX734" s="1352"/>
      <c r="FY734" s="1352"/>
      <c r="FZ734" s="1352"/>
      <c r="GA734" s="1352"/>
      <c r="GB734" s="1352"/>
      <c r="GC734" s="1352"/>
      <c r="GD734" s="1352"/>
      <c r="GE734" s="759" t="b">
        <f>IF(ISNUMBER(SEARCH("TLED",U734)),TRUE,FALSE)</f>
        <v>0</v>
      </c>
      <c r="GF734" s="1035" t="str">
        <f>IFERROR(VLOOKUP(U734,Fixtures!DM$93:DR$142,6,FALSE),"")</f>
        <v/>
      </c>
      <c r="GG734" s="1385"/>
      <c r="GI734" s="1383"/>
      <c r="GJ734" s="1379"/>
      <c r="GL734" s="1379"/>
      <c r="GM734" s="1379"/>
      <c r="HC734" s="1379"/>
      <c r="HD734" s="1379"/>
      <c r="HE734" s="1379"/>
      <c r="HF734" s="1379"/>
      <c r="HG734" s="1379"/>
      <c r="HH734" s="1379"/>
      <c r="HI734" s="1383"/>
      <c r="HJ734" s="1383"/>
      <c r="HK734" s="1383"/>
      <c r="HL734" s="1379"/>
      <c r="HM734" s="1379"/>
      <c r="HN734" s="1379"/>
      <c r="HO734" s="1379"/>
      <c r="HP734" s="1379"/>
      <c r="HQ734" s="1379"/>
      <c r="HR734" s="1379"/>
      <c r="HS734" s="1379"/>
      <c r="HT734" s="1379"/>
      <c r="HU734" s="1379"/>
      <c r="HW734" s="1383"/>
      <c r="HX734" s="1384" t="b">
        <f>HW732</f>
        <v>0</v>
      </c>
      <c r="HY734" s="1378"/>
      <c r="HZ734" s="436"/>
      <c r="IA734" s="1386"/>
      <c r="IB734" s="1380">
        <f>IF(IA732=TRUE,AC735,0)</f>
        <v>0</v>
      </c>
      <c r="IC734" s="1379"/>
      <c r="IF734" s="1380" t="e">
        <f>ROUND(T734*AB735*N733*R733/1000,0)</f>
        <v>#VALUE!</v>
      </c>
      <c r="IG734" s="1382"/>
      <c r="IH734" s="1384" t="e">
        <f>ROUND(T734*AB735*N733*R733/1000,0)</f>
        <v>#VALUE!</v>
      </c>
      <c r="II734" s="1382"/>
      <c r="IK734" s="1351" t="e">
        <f>IF($CO734="interior",IL734/2,VLOOKUP($CP734,Control_Savings_Exterior,IK$30,FALSE))</f>
        <v>#N/A</v>
      </c>
      <c r="IL734" s="1351" t="e">
        <f>IF($CO734="interior",VLOOKUP($CP734,Control_Savings_Interior,IL$30,FALSE),VLOOKUP($CP734,Control_Savings_Exterior,IL$30,FALSE))</f>
        <v>#N/A</v>
      </c>
      <c r="IM734" s="1351" t="e">
        <f>IF($CO734="interior",IF(R733&gt;FO$37,(IM$28*(FO$37/R733)),IM$28)*FP734,VLOOKUP($CP734,Control_Savings_Exterior,IM$30,FALSE))</f>
        <v>#N/A</v>
      </c>
      <c r="IN734" s="1351" t="e">
        <f>IF($CO734="interior",ROUND(((1-IL734)*IM734)+IL734,2),VLOOKUP($CP734,Control_Savings_Exterior,IN$30,FALSE))</f>
        <v>#N/A</v>
      </c>
      <c r="IO734" s="1351" t="e">
        <f>IF($CO734="interior", ROUND(((1-IL734)*(IM734*(1-IP$28)))+IP734,2), VLOOKUP($CP734,Control_Savings_Exterior,IO$30,FALSE))</f>
        <v>#N/A</v>
      </c>
      <c r="IP734" s="1351">
        <f>IF($CO734="interior",ROUND(((1-IL734)*IP$28)+IL734,2),0)</f>
        <v>0</v>
      </c>
    </row>
    <row r="735" spans="1:250" s="82" customFormat="1" ht="14.95" customHeight="1" thickTop="1" thickBot="1">
      <c r="B735" s="1421"/>
      <c r="C735" s="1422"/>
      <c r="D735" s="1423"/>
      <c r="E735" s="1462" t="s">
        <v>357</v>
      </c>
      <c r="F735" s="1463"/>
      <c r="G735" s="1464" t="s">
        <v>362</v>
      </c>
      <c r="H735" s="1465"/>
      <c r="I735" s="1465"/>
      <c r="J735" s="1465"/>
      <c r="K735" s="1465"/>
      <c r="L735" s="1466"/>
      <c r="M735" s="669">
        <f>IFERROR(VLOOKUP(G735,_Daylight_Table[],2,FALSE),0)</f>
        <v>0</v>
      </c>
      <c r="N735" s="670"/>
      <c r="O735" s="669" t="e">
        <f>VLOOKUP(G734,'Space Table'!$B$3:$L$160,11,FALSE)</f>
        <v>#N/A</v>
      </c>
      <c r="P735" s="1408"/>
      <c r="Q735" s="1409"/>
      <c r="R735" s="1409"/>
      <c r="S735" s="1402"/>
      <c r="T735" s="671" t="s">
        <v>281</v>
      </c>
      <c r="U735" s="1467" t="str">
        <f>IFERROR(VLOOKUP(U734,Fixtures!DM$93:DP$142,4,FALSE),"")</f>
        <v/>
      </c>
      <c r="V735" s="1468"/>
      <c r="W735" s="1468"/>
      <c r="X735" s="1468"/>
      <c r="Y735" s="1468"/>
      <c r="Z735" s="1468"/>
      <c r="AA735" s="1468"/>
      <c r="AB735" s="1046" t="str">
        <f>IFERROR(VLOOKUP(U734,Fixtures_Proposed_List,2,FALSE),"")</f>
        <v/>
      </c>
      <c r="AC735" s="1036" t="str">
        <f>IFERROR(ROUND(T734*AB735*N733*R733/1000,0),"")</f>
        <v/>
      </c>
      <c r="AD735" s="1037" t="str">
        <f>IFERROR(ROUND(T734*AB735/1000,2),"")</f>
        <v/>
      </c>
      <c r="AE735" s="1045" t="s">
        <v>281</v>
      </c>
      <c r="AF735" s="1469"/>
      <c r="AG735" s="1469"/>
      <c r="AH735" s="1469"/>
      <c r="AI735" s="1469"/>
      <c r="AJ735" s="1476"/>
      <c r="AK735" s="1471"/>
      <c r="AL735" s="1473"/>
      <c r="AM735" s="1443"/>
      <c r="AN735" s="1444"/>
      <c r="AO735" s="1449"/>
      <c r="AP735" s="1449"/>
      <c r="AQ735" s="1450"/>
      <c r="AR735" s="1453"/>
      <c r="AS735" s="1456"/>
      <c r="AT735" s="1459"/>
      <c r="AU735" s="517"/>
      <c r="AV735" s="1480"/>
      <c r="AW735" s="1480"/>
      <c r="BC735" s="38"/>
      <c r="BD735" s="38"/>
      <c r="BE735" s="38"/>
      <c r="BF735" s="38"/>
      <c r="BG735" s="38"/>
      <c r="BH735" s="38"/>
      <c r="BI735" s="38"/>
      <c r="BJ735" s="38"/>
      <c r="BK735" s="38"/>
      <c r="BL735" s="38"/>
      <c r="BM735" s="38"/>
      <c r="BN735" s="38"/>
      <c r="BO735" s="38"/>
      <c r="BP735" s="38"/>
      <c r="BQ735" s="38"/>
      <c r="BR735" s="38"/>
      <c r="BS735" s="38"/>
      <c r="BT735" s="38"/>
      <c r="BU735" s="38"/>
      <c r="BV735" s="38"/>
      <c r="BW735" s="38"/>
      <c r="BX735" s="38"/>
      <c r="BY735" s="38"/>
      <c r="BZ735" s="38"/>
      <c r="CA735" s="38"/>
      <c r="CB735" s="38"/>
      <c r="CC735" s="38"/>
      <c r="CD735" s="38"/>
      <c r="CE735" s="38"/>
      <c r="CF735" s="38"/>
      <c r="CG735" s="38"/>
      <c r="CH735" s="38"/>
      <c r="CI735" s="38"/>
      <c r="CM735" s="1352"/>
      <c r="CN735" s="1352"/>
      <c r="CO735" s="1416"/>
      <c r="CP735" s="1418"/>
      <c r="CR735" s="1386"/>
      <c r="CS735" s="1355"/>
      <c r="CT735" s="1355"/>
      <c r="CU735" s="1375"/>
      <c r="CV735" s="1372"/>
      <c r="CW735" s="1372"/>
      <c r="CX735" s="1372"/>
      <c r="CY735" s="1487"/>
      <c r="CZ735" s="1487"/>
      <c r="DA735" s="1487"/>
      <c r="DC735" s="1355"/>
      <c r="DD735" s="1355"/>
      <c r="DE735" s="1375"/>
      <c r="DF735" s="1407"/>
      <c r="DG735" s="1372"/>
      <c r="DH735" s="1369"/>
      <c r="DK735" s="1484"/>
      <c r="DL735" s="1420"/>
      <c r="DN735" s="1403"/>
      <c r="DO735" s="1405"/>
      <c r="DP735" s="1355"/>
      <c r="DQ735" s="1405"/>
      <c r="DR735" s="1403"/>
      <c r="DS735" s="1489"/>
      <c r="DU735" s="1403"/>
      <c r="DV735" s="1405"/>
      <c r="DW735" s="1403"/>
      <c r="DX735" s="1403"/>
      <c r="DZ735" s="1481"/>
      <c r="EA735" s="1481"/>
      <c r="EC735" s="1482"/>
      <c r="ED735" s="1369"/>
      <c r="EE735" s="1372"/>
      <c r="EF735" s="1369"/>
      <c r="EG735" s="1369"/>
      <c r="EH735" s="1375"/>
      <c r="EI735" s="1375"/>
      <c r="EJ735" s="1363"/>
      <c r="EK735" s="1376"/>
      <c r="EL735" s="1376"/>
      <c r="EM735" s="1362"/>
      <c r="EN735" s="1362"/>
      <c r="EO735" s="1363"/>
      <c r="EP735" s="1363"/>
      <c r="EQ735" s="1363"/>
      <c r="ES735" s="1403"/>
      <c r="EU735" s="1488"/>
      <c r="EV735" s="1488"/>
      <c r="EW735" s="1488"/>
      <c r="EX735" s="1488"/>
      <c r="EY735" s="1488"/>
      <c r="EZ735" s="1414"/>
      <c r="FB735" s="1365"/>
      <c r="FD735" s="1355"/>
      <c r="FE735" s="1355"/>
      <c r="FF735" s="138"/>
      <c r="FI735" s="1357"/>
      <c r="FJ735" s="1357"/>
      <c r="FK735" s="1365"/>
      <c r="FL735" s="1365"/>
      <c r="FM735" s="1365"/>
      <c r="FO735" s="1361"/>
      <c r="FP735" s="1361"/>
      <c r="FQ735" s="1366"/>
      <c r="FR735" s="1361"/>
      <c r="FS735" s="1361"/>
      <c r="FT735" s="1361"/>
      <c r="FU735" s="1360"/>
      <c r="FW735" s="1352"/>
      <c r="FX735" s="1352"/>
      <c r="FY735" s="1352"/>
      <c r="FZ735" s="1352"/>
      <c r="GA735" s="1352"/>
      <c r="GB735" s="1352"/>
      <c r="GC735" s="1352"/>
      <c r="GD735" s="1352"/>
      <c r="GE735" s="759"/>
      <c r="GF735" s="1035"/>
      <c r="GG735" s="1385"/>
      <c r="GJ735" s="1034">
        <f>IF(GJ733=TRUE,0,GJ$16)</f>
        <v>0</v>
      </c>
      <c r="GL735" s="1034">
        <f>IF(GL733=TRUE,0,GL$16)</f>
        <v>36</v>
      </c>
      <c r="GM735" s="1034">
        <f>IF(GM733=TRUE,0,GM$16)</f>
        <v>35</v>
      </c>
      <c r="GN735" s="436"/>
      <c r="GO735" s="436"/>
      <c r="GP735" s="436"/>
      <c r="GQ735" s="436"/>
      <c r="GR735" s="436"/>
      <c r="HC735" s="1034">
        <f t="shared" ref="HC735:HH735" si="546">IF(HC733=TRUE,0,HC$16)</f>
        <v>19</v>
      </c>
      <c r="HD735" s="1034">
        <f t="shared" si="546"/>
        <v>18</v>
      </c>
      <c r="HE735" s="1034">
        <f t="shared" si="546"/>
        <v>17</v>
      </c>
      <c r="HF735" s="1034">
        <f t="shared" si="546"/>
        <v>16</v>
      </c>
      <c r="HG735" s="1034">
        <f t="shared" si="546"/>
        <v>0</v>
      </c>
      <c r="HH735" s="1034">
        <f t="shared" si="546"/>
        <v>0</v>
      </c>
      <c r="HI735" s="1034">
        <f>IF(HI733=TRUE,0,HI$16)</f>
        <v>13</v>
      </c>
      <c r="HJ735" s="1034">
        <f t="shared" ref="HJ735:HL735" si="547">IF(HJ733=TRUE,0,HJ$16)</f>
        <v>12</v>
      </c>
      <c r="HK735" s="1034">
        <f t="shared" si="547"/>
        <v>11</v>
      </c>
      <c r="HL735" s="1034">
        <f t="shared" si="547"/>
        <v>10</v>
      </c>
      <c r="HM735" s="1034">
        <f>IF(HM733=TRUE,0,HM$16)</f>
        <v>9</v>
      </c>
      <c r="HN735" s="1034">
        <f t="shared" ref="HN735:HR735" si="548">IF(HN733=TRUE,0,HN$16)</f>
        <v>0</v>
      </c>
      <c r="HO735" s="1034">
        <f t="shared" si="548"/>
        <v>0</v>
      </c>
      <c r="HP735" s="1034">
        <f t="shared" si="548"/>
        <v>0</v>
      </c>
      <c r="HQ735" s="1034">
        <f t="shared" si="548"/>
        <v>0</v>
      </c>
      <c r="HR735" s="1034">
        <f t="shared" si="548"/>
        <v>0</v>
      </c>
      <c r="HS735" s="1034">
        <f>IF(HS733=TRUE,0,HS$16)</f>
        <v>0</v>
      </c>
      <c r="HT735" s="1034">
        <f t="shared" ref="HT735" si="549">IF(HT733=TRUE,0,HT$16)</f>
        <v>0</v>
      </c>
      <c r="HU735" s="1034">
        <f>IF(HU733=TRUE,0,HU$16)</f>
        <v>1</v>
      </c>
      <c r="HW735" s="1034">
        <f>IF(GL733=FALSE,GL735,IF(GM733=FALSE,GM735,MAX(GJ735:HU735)))</f>
        <v>36</v>
      </c>
      <c r="HX735" s="1383"/>
      <c r="HY735" s="241" t="str">
        <f>VLOOKUP(HW735,_Error_Table,3,FALSE)</f>
        <v xml:space="preserve"> </v>
      </c>
      <c r="HZ735" s="241"/>
      <c r="IA735" s="1386"/>
      <c r="IB735" s="1380"/>
      <c r="IC735" s="1379"/>
      <c r="IF735" s="1380"/>
      <c r="IG735" s="1383"/>
      <c r="IH735" s="1383"/>
      <c r="II735" s="1383"/>
      <c r="IK735" s="1351"/>
      <c r="IL735" s="1351"/>
      <c r="IM735" s="1351"/>
      <c r="IN735" s="1351"/>
      <c r="IO735" s="1351"/>
      <c r="IP735" s="1351"/>
    </row>
    <row r="736" spans="1:250" s="82" customFormat="1" ht="5.0999999999999996" customHeight="1" thickBot="1">
      <c r="B736" s="763"/>
      <c r="C736" s="1038"/>
      <c r="D736" s="1038"/>
      <c r="E736" s="1490"/>
      <c r="F736" s="1490"/>
      <c r="G736" s="1490"/>
      <c r="H736" s="1490"/>
      <c r="I736" s="1490"/>
      <c r="J736" s="1490"/>
      <c r="K736" s="1490"/>
      <c r="L736" s="1490"/>
      <c r="M736" s="1490"/>
      <c r="N736" s="1490"/>
      <c r="O736" s="1490"/>
      <c r="P736" s="1490"/>
      <c r="Q736" s="1490"/>
      <c r="R736" s="1490"/>
      <c r="S736" s="1490"/>
      <c r="T736" s="1490"/>
      <c r="U736" s="1490"/>
      <c r="V736" s="1490"/>
      <c r="W736" s="1490"/>
      <c r="X736" s="1490"/>
      <c r="Y736" s="1490"/>
      <c r="Z736" s="1490"/>
      <c r="AA736" s="1490"/>
      <c r="AB736" s="1490"/>
      <c r="AC736" s="1490"/>
      <c r="AD736" s="1490"/>
      <c r="AE736" s="1490"/>
      <c r="AF736" s="1490"/>
      <c r="AG736" s="1490"/>
      <c r="AH736" s="1490"/>
      <c r="AI736" s="1490"/>
      <c r="AJ736" s="1490"/>
      <c r="AK736" s="1490"/>
      <c r="AL736" s="1490"/>
      <c r="AM736" s="1490"/>
      <c r="AN736" s="1490"/>
      <c r="AO736" s="1490"/>
      <c r="AP736" s="1490"/>
      <c r="AQ736" s="1490"/>
      <c r="AR736" s="1490"/>
      <c r="AS736" s="1490"/>
      <c r="AT736" s="1490"/>
      <c r="AU736" s="1041"/>
      <c r="BC736" s="38"/>
      <c r="BD736" s="38"/>
      <c r="BE736" s="38"/>
      <c r="BF736" s="38"/>
      <c r="BG736" s="38"/>
      <c r="BH736" s="38"/>
      <c r="BI736" s="38"/>
      <c r="BJ736" s="38"/>
      <c r="BK736" s="38"/>
      <c r="BL736" s="38"/>
      <c r="BM736" s="38"/>
      <c r="BN736" s="38"/>
      <c r="BO736" s="38"/>
      <c r="BP736" s="38"/>
      <c r="BQ736" s="38"/>
      <c r="BR736" s="38"/>
      <c r="BS736" s="38"/>
      <c r="BT736" s="38"/>
      <c r="BU736" s="38"/>
      <c r="BV736" s="38"/>
      <c r="BW736" s="38"/>
      <c r="BX736" s="38"/>
      <c r="BY736" s="38"/>
      <c r="BZ736" s="38"/>
      <c r="CA736" s="38"/>
      <c r="CB736" s="38"/>
      <c r="CC736" s="38"/>
      <c r="CD736" s="38"/>
      <c r="CE736" s="38"/>
      <c r="CF736" s="38"/>
      <c r="CG736" s="38"/>
      <c r="CH736" s="38"/>
      <c r="CI736" s="38"/>
      <c r="CM736" s="749"/>
      <c r="CN736" s="749"/>
      <c r="CO736" s="1043"/>
      <c r="CP736" s="749"/>
      <c r="CS736" s="436"/>
      <c r="CT736" s="436"/>
      <c r="CU736" s="243"/>
      <c r="CV736" s="244"/>
      <c r="CW736" s="244"/>
      <c r="CX736" s="244"/>
      <c r="CY736" s="245"/>
      <c r="CZ736" s="245"/>
      <c r="DA736" s="245"/>
      <c r="DC736" s="750"/>
      <c r="DD736" s="751"/>
      <c r="DE736" s="752"/>
      <c r="DF736" s="753"/>
      <c r="DG736" s="754"/>
      <c r="DH736" s="754"/>
      <c r="DK736" s="244"/>
      <c r="DL736" s="750"/>
      <c r="DN736" s="750"/>
      <c r="DO736" s="755"/>
      <c r="DP736" s="436"/>
      <c r="DQ736" s="750"/>
      <c r="DR736" s="750"/>
      <c r="DS736" s="750"/>
      <c r="DU736" s="750"/>
      <c r="DV736" s="750"/>
      <c r="DW736" s="750"/>
      <c r="DX736" s="750"/>
      <c r="DZ736" s="756"/>
      <c r="EA736" s="756"/>
      <c r="EC736" s="754"/>
      <c r="ED736" s="754"/>
      <c r="EE736" s="244"/>
      <c r="EF736" s="754"/>
      <c r="EG736" s="754"/>
      <c r="EH736" s="243"/>
      <c r="EI736" s="243"/>
      <c r="EJ736" s="752"/>
      <c r="EK736" s="757"/>
      <c r="EL736" s="757"/>
      <c r="EM736" s="758"/>
      <c r="EN736" s="758"/>
      <c r="EO736" s="752"/>
      <c r="EP736" s="752"/>
      <c r="EQ736" s="752"/>
      <c r="ES736" s="750"/>
      <c r="EU736" s="436"/>
      <c r="EV736" s="436"/>
      <c r="EW736" s="436"/>
      <c r="EX736" s="436"/>
      <c r="EY736" s="436"/>
      <c r="EZ736" s="436"/>
      <c r="FB736" s="643"/>
      <c r="FD736" s="436"/>
      <c r="FE736" s="436"/>
      <c r="FF736" s="436"/>
      <c r="FO736" s="750"/>
      <c r="FP736" s="436"/>
      <c r="FQ736" s="436"/>
      <c r="FR736" s="750"/>
      <c r="FS736" s="750"/>
      <c r="FW736" s="749"/>
      <c r="FX736" s="749"/>
      <c r="FY736" s="749"/>
      <c r="FZ736" s="749"/>
      <c r="GA736" s="749"/>
      <c r="GB736" s="749"/>
      <c r="GC736" s="749"/>
      <c r="GD736" s="749"/>
      <c r="GE736" s="751"/>
      <c r="GF736" s="750"/>
      <c r="GG736" s="750"/>
    </row>
    <row r="737" spans="1:250" s="82" customFormat="1" ht="14.95" customHeight="1" thickTop="1" thickBot="1">
      <c r="B737" s="1421" t="str">
        <f>HY740</f>
        <v xml:space="preserve"> </v>
      </c>
      <c r="C737" s="1422">
        <f>C732+1</f>
        <v>135</v>
      </c>
      <c r="D737" s="1423"/>
      <c r="E737" s="1424" t="s">
        <v>242</v>
      </c>
      <c r="F737" s="1425"/>
      <c r="G737" s="1426"/>
      <c r="H737" s="1427"/>
      <c r="I737" s="1427"/>
      <c r="J737" s="1427"/>
      <c r="K737" s="1427"/>
      <c r="L737" s="1427"/>
      <c r="M737" s="1427"/>
      <c r="N737" s="1427"/>
      <c r="O737" s="1427"/>
      <c r="P737" s="1427"/>
      <c r="Q737" s="1427"/>
      <c r="R737" s="1427"/>
      <c r="S737" s="1428" t="s">
        <v>283</v>
      </c>
      <c r="T737" s="668" t="s">
        <v>190</v>
      </c>
      <c r="U737" s="1430" t="s">
        <v>186</v>
      </c>
      <c r="V737" s="1431"/>
      <c r="W737" s="1431"/>
      <c r="X737" s="1431"/>
      <c r="Y737" s="1431"/>
      <c r="Z737" s="1431"/>
      <c r="AA737" s="1431"/>
      <c r="AB737" s="1047" t="str">
        <f>IFERROR(IF(__Retrofit_TI_NC=0,VLOOKUP(U738,Fixtures_Existing_List,2,FALSE),ROUND(N739*R739/T739,10)),"")</f>
        <v/>
      </c>
      <c r="AC737" s="1039" t="str">
        <f>IFERROR(IF(__Retrofit_TI_NC=0,ROUND(T738*AB737*N738*R738/1000,0),IF(CN737="Interior",N739*R739*R738*N738*_C406_reduction/1000,N739*R739*R738*N738/1000)),"")</f>
        <v/>
      </c>
      <c r="AD737" s="1040" t="str">
        <f>IFERROR(IF(C$36=0,ROUND(T738*AB737/1000,2),N739*R739/1000),"")</f>
        <v/>
      </c>
      <c r="AE737" s="1044" t="s">
        <v>190</v>
      </c>
      <c r="AF737" s="1432" t="str">
        <f>IF(__Retrofit_TI_NC=2,CONCATENATE("Code min = ",DD737),IF(__Retrofit_TI_NC=1,"Emter what you think the existing control was"," Control"))</f>
        <v xml:space="preserve"> Control</v>
      </c>
      <c r="AG737" s="1432"/>
      <c r="AH737" s="1432"/>
      <c r="AI737" s="1432"/>
      <c r="AJ737" s="1433">
        <f>DF737</f>
        <v>0</v>
      </c>
      <c r="AK737" s="1435" t="str">
        <f>IFERROR(ROUND(AJ737*AC737,0),"")</f>
        <v/>
      </c>
      <c r="AL737" s="1437">
        <f>IFERROR(IF(HW737=FALSE,0,AC737-AK737),0)</f>
        <v>0</v>
      </c>
      <c r="AM737" s="1439">
        <f>AL737-AL739</f>
        <v>0</v>
      </c>
      <c r="AN737" s="1440"/>
      <c r="AO737" s="1445">
        <f>IFERROR(IF(HW737=FALSE,0,(T739*U740)+(AE739*AF740)),0)</f>
        <v>0</v>
      </c>
      <c r="AP737" s="1445"/>
      <c r="AQ737" s="1446"/>
      <c r="AR737" s="1451" t="s">
        <v>157</v>
      </c>
      <c r="AS737" s="1454">
        <f>IF(AR737="Yes",1,0)</f>
        <v>1</v>
      </c>
      <c r="AT737" s="1457" t="str">
        <f>IF(OR(DN737=4,DN737=5,DN737=6,DN737=12),CONCATENATE("$",IF(GD737=TRUE,Lookup!$B$11,Lookup!$B$2)," /lamp"),CONCATENATE(EA737,"/ kWh"))</f>
        <v>0/ kWh</v>
      </c>
      <c r="AU737" s="516"/>
      <c r="AV737" s="1478">
        <f>IFERROR(IF(GI738=TRUE,(AB740*T739)/R739,0),"NA")</f>
        <v>0</v>
      </c>
      <c r="AW737" s="1478" t="str">
        <f>IFERROR(N739*_C406_reduction,"NA")</f>
        <v>NA</v>
      </c>
      <c r="BC737" s="38"/>
      <c r="BD737" s="38"/>
      <c r="BE737" s="38"/>
      <c r="BF737" s="38"/>
      <c r="BG737" s="38"/>
      <c r="BH737" s="38"/>
      <c r="BI737" s="38"/>
      <c r="BJ737" s="38"/>
      <c r="BK737" s="38"/>
      <c r="BL737" s="38"/>
      <c r="BM737" s="38"/>
      <c r="BN737" s="38"/>
      <c r="BO737" s="38"/>
      <c r="BP737" s="38"/>
      <c r="BQ737" s="38"/>
      <c r="BR737" s="38"/>
      <c r="BS737" s="38"/>
      <c r="BT737" s="38"/>
      <c r="BU737" s="38"/>
      <c r="BV737" s="38"/>
      <c r="BW737" s="38"/>
      <c r="BX737" s="38"/>
      <c r="BY737" s="38"/>
      <c r="BZ737" s="38"/>
      <c r="CA737" s="38"/>
      <c r="CB737" s="38"/>
      <c r="CC737" s="38"/>
      <c r="CD737" s="38"/>
      <c r="CE737" s="38"/>
      <c r="CF737" s="38"/>
      <c r="CG737" s="38"/>
      <c r="CH737" s="38"/>
      <c r="CI737" s="38"/>
      <c r="CM737" s="1352" t="str">
        <f>N738</f>
        <v/>
      </c>
      <c r="CN737" s="1352" t="str">
        <f>IFERROR(VLOOKUP(G738,_Lookup_Heat_Type_Table_New,3,FALSE),"")</f>
        <v/>
      </c>
      <c r="CO737" s="1415" t="str">
        <f>CN737</f>
        <v/>
      </c>
      <c r="CP737" s="1417" t="e">
        <f>VLOOKUP(G739,'Space Table'!$B$3:$L$160,9,FALSE)</f>
        <v>#N/A</v>
      </c>
      <c r="CR737" s="1386" t="s">
        <v>283</v>
      </c>
      <c r="CS737" s="1353">
        <f>IF(HW737=TRUE,T738,0)</f>
        <v>0</v>
      </c>
      <c r="CT737" s="1353" t="str">
        <f>IF(HW737=TRUE,U738,"")</f>
        <v/>
      </c>
      <c r="CU737" s="1353"/>
      <c r="CV737" s="1370">
        <f>IF(HW737=TRUE,AB737,0)</f>
        <v>0</v>
      </c>
      <c r="CW737" s="1370">
        <f>IF(HW737=TRUE,AC737,0)</f>
        <v>0</v>
      </c>
      <c r="CX737" s="1370">
        <f>IFERROR(IF(HW737=TRUE,CW737-CW739,0),0)</f>
        <v>0</v>
      </c>
      <c r="CY737" s="1485">
        <f>IF(HW737=TRUE,AD737,0)</f>
        <v>0</v>
      </c>
      <c r="CZ737" s="1485">
        <f>IF(HW737=TRUE,AD740,0)</f>
        <v>0</v>
      </c>
      <c r="DA737" s="1485">
        <f>IFERROR(CY737-CZ737,0)</f>
        <v>0</v>
      </c>
      <c r="DC737" s="1353">
        <f>IF(HW737=TRUE,AE738,0)</f>
        <v>0</v>
      </c>
      <c r="DD737" s="1460">
        <f>IF(__Retrofit_TI_NC=2,IF(CN737="Exterior",O740,FM737),FK737)</f>
        <v>0</v>
      </c>
      <c r="DE737" s="1353"/>
      <c r="DF737" s="1406">
        <f>IFERROR(IF(FL737=3,IK737,IF(FL737=4,IL737,IF(FL737=5,IM737,IF(FL737=6,IN737,IF(FL737=7,IO737,IF(FL737=8,IP737,0)))))),0)</f>
        <v>0</v>
      </c>
      <c r="DG737" s="1370">
        <f>IF(HW737=TRUE,AK737,0)</f>
        <v>0</v>
      </c>
      <c r="DH737" s="1369">
        <f>IFERROR(IF(HW737=TRUE,DG739-DG737,0),0)</f>
        <v>0</v>
      </c>
      <c r="DJ737" s="1483">
        <f>IFERROR(CW737-DG737,0)</f>
        <v>0</v>
      </c>
      <c r="DL737" s="1419">
        <f>DJ737-DK739</f>
        <v>0</v>
      </c>
      <c r="DN737" s="1403" t="str">
        <f>IFERROR(IF(AND(OR(FY737=4,FY737=5,FY737=6),OR(GB737=4,GB737=5,GB737=6)),FY737+8,VLOOKUP(CT739,Fixtures!R$31:Y$78,8,FALSE)),"")</f>
        <v/>
      </c>
      <c r="DO737" s="1404" t="str">
        <f>DN737</f>
        <v/>
      </c>
      <c r="DP737" s="1353" t="str">
        <f>IFERROR(VLOOKUP(DD739,Lookup!AU$3:AV$15,2,FALSE),"")</f>
        <v/>
      </c>
      <c r="DQ737" s="1404" t="str">
        <f>IF(DP737=7,"LLLC","")</f>
        <v/>
      </c>
      <c r="DR737" s="1403">
        <f>IFERROR(IF(OR(DN737=4,DN737=5,DN737=6,DN737=12,DN737=13,DN737=14),VLOOKUP(CT739,Fixtures!DN$27:EG$77,19,FALSE),1)*CS739,0)</f>
        <v>0</v>
      </c>
      <c r="DS737" s="1489">
        <f>IF(DP737=7,IF(DD737=DD739,0,DC739),0)</f>
        <v>0</v>
      </c>
      <c r="DU737" s="1403" t="str">
        <f>IFERROR(IF(EW737&lt;EW739,"Yes","No"),"")</f>
        <v/>
      </c>
      <c r="DV737" s="1404" t="str">
        <f>DU737</f>
        <v/>
      </c>
      <c r="DW737" s="1403">
        <f>IF(DU737="Yes",DC739,0)</f>
        <v>0</v>
      </c>
      <c r="DX737" s="1403">
        <f>DW737-DS737</f>
        <v>0</v>
      </c>
      <c r="DZ737" s="1481">
        <f>IFERROR(VLOOKUP(DN737,Lookup!AN$3:AO$16,2,FALSE),0)</f>
        <v>0</v>
      </c>
      <c r="EA737" s="1481">
        <f>IF(HW737=FALSE,0,IF(DU737="Yes",DZ737+Lookup!B$6,DZ737))</f>
        <v>0</v>
      </c>
      <c r="EC737" s="1482">
        <f>IF(HW737=TRUE,DJ737,0)</f>
        <v>0</v>
      </c>
      <c r="ED737" s="1369">
        <f>IF(HW737=TRUE,CW739,0)</f>
        <v>0</v>
      </c>
      <c r="EE737" s="1370">
        <f>IFERROR(EC737-ED737,0)</f>
        <v>0</v>
      </c>
      <c r="EF737" s="1369">
        <f>IF(HW737=TRUE,DG739,0)</f>
        <v>0</v>
      </c>
      <c r="EG737" s="1369">
        <f>IFERROR(EC737-ED737+EF737,0)</f>
        <v>0</v>
      </c>
      <c r="EH737" s="1373">
        <f>IF(HW737=TRUE,CS739*CU739,0)</f>
        <v>0</v>
      </c>
      <c r="EI737" s="1373">
        <f>IF(HW737=TRUE,DC739*DE739,0)</f>
        <v>0</v>
      </c>
      <c r="EJ737" s="1363">
        <f>AO737</f>
        <v>0</v>
      </c>
      <c r="EK737" s="1376" t="str">
        <f>IFERROR(IF(HW737=TRUE,VLOOKUP(DN737,Lookup!AN$3:AP$16,3,FALSE)*DR737,""),0)</f>
        <v/>
      </c>
      <c r="EL737" s="1376">
        <f>IF(HW737=TRUE,DW737*Lookup!AP$12,0)</f>
        <v>0</v>
      </c>
      <c r="EM737" s="1362">
        <f>IFERROR(IF(HW737=TRUE,EK737/EM$33,0),0)</f>
        <v>0</v>
      </c>
      <c r="EN737" s="1362">
        <f>IF(HW737=TRUE,EL737/EN$33,0)</f>
        <v>0</v>
      </c>
      <c r="EO737" s="1363">
        <f>IF(HW737=TRUE,EQ$33*EM737,0)</f>
        <v>0</v>
      </c>
      <c r="EP737" s="1363">
        <f>IF(HW737=TRUE,EQ$33*EN737,0)</f>
        <v>0</v>
      </c>
      <c r="EQ737" s="1363">
        <f>EO737+EP737</f>
        <v>0</v>
      </c>
      <c r="ES737" s="1403">
        <f>IF(G737="",0,1)</f>
        <v>0</v>
      </c>
      <c r="EU737" s="1410" t="e">
        <f>VLOOKUP(CP739,'Space Table'!$B$3:$L$160,8,FALSE)</f>
        <v>#N/A</v>
      </c>
      <c r="EV737" s="1410" t="e">
        <f>IF(EY737="Yes",VLOOKUP(DD737,Lookup_Control_Type_Table2,4,FALSE),VLOOKUP(DD737,Lookup_Control_Type_Table2,3,FALSE))</f>
        <v>#N/A</v>
      </c>
      <c r="EW737" s="1410" t="e">
        <f>VLOOKUP(DD737,Lookup!AU$3:AV$15,2,FALSE)</f>
        <v>#N/A</v>
      </c>
      <c r="EX737" s="1410" t="e">
        <f>VLOOKUP(EU737,Lookup_Control_Type_Table,2,FALSE)</f>
        <v>#N/A</v>
      </c>
      <c r="EY737" s="1410" t="e">
        <f>VLOOKUP(CP739,'Space Table'!$B$3:$L$160,7,FALSE)</f>
        <v>#N/A</v>
      </c>
      <c r="EZ737" s="1412" t="b">
        <f>ISNUMBER(SEARCH("TLED",U739))</f>
        <v>0</v>
      </c>
      <c r="FB737" s="1365" t="str">
        <f>CONCATENATE(CN737," - ",DD737)</f>
        <v xml:space="preserve"> - 0</v>
      </c>
      <c r="FD737" s="1353" t="str">
        <f>VLOOKUP(CT739,Fixtures!DN$27:EZ$77,38,FALSE)</f>
        <v/>
      </c>
      <c r="FE737" s="1353">
        <f>IFERROR(FD737*EE737,0)</f>
        <v>0</v>
      </c>
      <c r="FF737" s="138"/>
      <c r="FI737" s="1356" t="str">
        <f>IF(CN737="Exterior","Not Daylighted",G740)</f>
        <v>Not Daylighted</v>
      </c>
      <c r="FJ737" s="1356">
        <f>VLOOKUP(FI737,_Daylight_Table_Codes,2,FALSE)</f>
        <v>0</v>
      </c>
      <c r="FK737" s="1365">
        <f>IF(__Retrofit_TI_NC=2,VLOOKUP(G739,'Space Table'!$B$3:$L$160,11,FALSE),AF738)</f>
        <v>0</v>
      </c>
      <c r="FL737" s="1365" t="e">
        <f>VLOOKUP(FK737,_Control_Table,2,FALSE)</f>
        <v>#N/A</v>
      </c>
      <c r="FM737" s="1365" t="e">
        <f>IF(AND(FP737&gt;0,FK737="Occupancy Sensor"),"Daylight + Occupancy",IF(AND(FP737&gt;0,FL737&lt;4),"Interior Daylight Dimming",FK737))</f>
        <v>#N/A</v>
      </c>
      <c r="FO737" s="1364">
        <f>IF(CO737="Interior",VLOOKUP(CP737,Control_Savings_Interior,5,FALSE),0)</f>
        <v>0</v>
      </c>
      <c r="FP737" s="1361">
        <f>IF(CN737="Exterior",0,IF(FJ737=2,0.5,IF(OR(FJ737=1,FJ737=3),1,0)))</f>
        <v>0</v>
      </c>
      <c r="FQ737" s="1366"/>
      <c r="FR737" s="1367"/>
      <c r="FS737" s="1364"/>
      <c r="FT737" s="1367"/>
      <c r="FU737" s="1360"/>
      <c r="FW737" s="1352" t="str">
        <f>IFERROR(VLOOKUP(U738,_Exist_Fixture_Table,3,FALSE),"")</f>
        <v/>
      </c>
      <c r="FX737" s="1352" t="str">
        <f>VLOOKUP(CT737,_Exist_Fixture_Table,4,FALSE)</f>
        <v/>
      </c>
      <c r="FY737" s="1352">
        <f>IFERROR(VLOOKUP(FX737,Lookup!AM$6:AN$8,2,FALSE),0)</f>
        <v>0</v>
      </c>
      <c r="FZ737" s="1352" t="b">
        <f>IFERROR(IF(OR(GB737=4,GB737=5,GB737=6),TRUE,FALSE),"")</f>
        <v>0</v>
      </c>
      <c r="GA737" s="1352" t="str">
        <f>IFERROR(VLOOKUP(GB737,FY$6:FZ$10,2,FALSE),"")</f>
        <v/>
      </c>
      <c r="GB737" s="1352" t="str">
        <f>VLOOKUP(CT739,Fixtures!R$31:Y$78,8,FALSE)</f>
        <v/>
      </c>
      <c r="GC737" s="1352">
        <f>IF(AND(FW737=TRUE,FZ737=TRUE,OR(DN737=12,DN737=13,DN737=14)),FY737+8,0)</f>
        <v>0</v>
      </c>
      <c r="GD737" s="1352" t="b">
        <f>IF(OR(GC737=12,GC737=13,GC737=14),TRUE,FALSE)</f>
        <v>0</v>
      </c>
      <c r="GE737" s="759" t="b">
        <f>IF(ISNUMBER(SEARCH("TLED",U738)),TRUE,FALSE)</f>
        <v>0</v>
      </c>
      <c r="GF737" s="1035" t="str">
        <f>IFERROR(VLOOKUP(U738,Fixtures!BM$93:BR$142,6,FALSE),"")</f>
        <v/>
      </c>
      <c r="GG737" s="1385" t="b">
        <f>IF(OR(GE737=FALSE,GE739=FALSE),TRUE,IF(GF737-GF739&lt;5,FALSE,TRUE))</f>
        <v>1</v>
      </c>
      <c r="GK737" s="1034">
        <f>GL737</f>
        <v>0</v>
      </c>
      <c r="GL737" s="1034">
        <f>IF(G737="",0,1)</f>
        <v>0</v>
      </c>
      <c r="GM737" s="1034">
        <f>SUM(GN737:HB737)</f>
        <v>2</v>
      </c>
      <c r="GN737" s="1034">
        <f>IF(G738="",0,1)</f>
        <v>0</v>
      </c>
      <c r="GO737" s="1034">
        <f>IF(G739="",0,1)</f>
        <v>0</v>
      </c>
      <c r="GP737" s="1034">
        <f>IF(R738="",0,1)</f>
        <v>0</v>
      </c>
      <c r="GQ737" s="1034">
        <f>IF(__Retrofit_TI_NC=0,1,IF(R739="",0,1))</f>
        <v>1</v>
      </c>
      <c r="GR737" s="1034">
        <f>IF(CN737="Exterior",1,IF(G740="",0,1))</f>
        <v>1</v>
      </c>
      <c r="GS737" s="1034">
        <f>IF(__Retrofit_TI_NC&lt;&gt;0,1,IF(T738="",0,1))</f>
        <v>0</v>
      </c>
      <c r="GT737" s="1034">
        <f>IF(__Retrofit_TI_NC&lt;&gt;0,1,IF(U738="",0,1))</f>
        <v>0</v>
      </c>
      <c r="GU737" s="1034">
        <f>IF(T739="",0,1)</f>
        <v>0</v>
      </c>
      <c r="GV737" s="1034">
        <f>IF(U739="",0,1)</f>
        <v>0</v>
      </c>
      <c r="GW737" s="1034">
        <f>IF(__Retrofit_TI_NC=2,1,IF(U740="",0,1))</f>
        <v>0</v>
      </c>
      <c r="GX737" s="1034">
        <f>IF(__Retrofit_TI_NC&lt;&gt;0,1,IF(AE738="",0,1))</f>
        <v>0</v>
      </c>
      <c r="GY737" s="1034">
        <f>IF(__Retrofit_TI_NC&lt;&gt;0,1,IF(AF738="",0,1))</f>
        <v>0</v>
      </c>
      <c r="GZ737" s="1034">
        <f>IF(AE739="",0,1)</f>
        <v>0</v>
      </c>
      <c r="HA737" s="1034">
        <f>IF(AF739="",0,1)</f>
        <v>0</v>
      </c>
      <c r="HB737" s="1034">
        <f>IF(__Retrofit_TI_NC=2,1,IF(AF740="",0,1))</f>
        <v>0</v>
      </c>
      <c r="HV737" s="436"/>
      <c r="HW737" s="1384" t="b">
        <f>IF(OR(HW740=0,HW740=HT$16,HW740=HS$16,HW740=HU$16),TRUE,FALSE)</f>
        <v>0</v>
      </c>
      <c r="HX737" s="1377" t="b">
        <f>HW737</f>
        <v>0</v>
      </c>
      <c r="HY737" s="436"/>
      <c r="HZ737" s="436"/>
      <c r="IA737" s="1386" t="b">
        <f>IF(MAX(GJ740:HP740)&gt;5,FALSE,TRUE)</f>
        <v>0</v>
      </c>
      <c r="IB737" s="1380">
        <f>IF(IA737=TRUE,AC737,0)</f>
        <v>0</v>
      </c>
      <c r="IC737" s="1380">
        <f>IB737-IB739</f>
        <v>0</v>
      </c>
      <c r="IF737" s="1380" t="e">
        <f>ROUND(T738*VLOOKUP(U738,Fixtures_Existing_List,2,FALSE)*N738*R738/1000,0)</f>
        <v>#N/A</v>
      </c>
      <c r="IG737" s="1381" t="e">
        <f>IF737-IF739</f>
        <v>#N/A</v>
      </c>
      <c r="IH737" s="1384" t="e">
        <f>ROUND(IF(CN737="Interior",N739*R739*R738*N738*_C406_reduction/1000,N739*R739*R738*N738/1000),0)</f>
        <v>#N/A</v>
      </c>
      <c r="II737" s="1384" t="e">
        <f>IH737-IH739</f>
        <v>#N/A</v>
      </c>
      <c r="IK737" s="1351" t="e">
        <f>IF($CO737="interior",IL737/2,VLOOKUP($CP737,Control_Savings_Exterior,IK$30,FALSE))</f>
        <v>#N/A</v>
      </c>
      <c r="IL737" s="1351" t="e">
        <f>IF($CO737="interior",VLOOKUP($CP737,Control_Savings_Interior,IL$30,FALSE),VLOOKUP($CP737,Control_Savings_Exterior,IL$30,FALSE))</f>
        <v>#N/A</v>
      </c>
      <c r="IM737" s="1351" t="e">
        <f>IF($CO737="interior",IF(R738&gt;FO$37,(IM$28*(FO$37/R738)),IM$28)*FP737,VLOOKUP($CP737,Control_Savings_Exterior,IM$30,FALSE))</f>
        <v>#N/A</v>
      </c>
      <c r="IN737" s="1351" t="e">
        <f>IF($CO737="interior",ROUND(((1-IL737)*IM737)+IL737,2),VLOOKUP($CP737,Control_Savings_Exterior,IN$30,FALSE))</f>
        <v>#N/A</v>
      </c>
      <c r="IO737" s="1351" t="e">
        <f>IF($CO737="interior", ROUND(((1-IL737)*(IM737*(1-IP$28)))+IP737,2), VLOOKUP($CP737,Control_Savings_Exterior,IO$30,FALSE))</f>
        <v>#N/A</v>
      </c>
      <c r="IP737" s="1351">
        <f>IF($CO737="interior",ROUND(((1-IL737)*IP$28)+IL737,2),0)</f>
        <v>0</v>
      </c>
    </row>
    <row r="738" spans="1:250" s="82" customFormat="1" ht="14.95" customHeight="1" thickTop="1" thickBot="1">
      <c r="B738" s="1421"/>
      <c r="C738" s="1422"/>
      <c r="D738" s="1423"/>
      <c r="E738" s="1393" t="s">
        <v>244</v>
      </c>
      <c r="F738" s="1394"/>
      <c r="G738" s="1395"/>
      <c r="H738" s="1395"/>
      <c r="I738" s="1395"/>
      <c r="J738" s="1395"/>
      <c r="K738" s="1395"/>
      <c r="L738" s="1395"/>
      <c r="M738" s="509" t="e">
        <f>IF(__Retrofit_TI_NC&lt;&gt;0,IF(VLOOKUP(G739,'Space Table'!$B$3:$L$160,3,FALSE)&gt;0,1,0),IF(__Retrofit_TI_NC=VLOOKUP(G739,'Space Table'!$B$3:$L$160,3,FALSE),1,0))</f>
        <v>#N/A</v>
      </c>
      <c r="N738" s="509" t="str">
        <f>IFERROR(VLOOKUP(G738,_Lookup_Heat_Type_Table_New,2,FALSE),"")</f>
        <v/>
      </c>
      <c r="O738" s="509">
        <f>IF(__Retrofit_TI_NC=1,CONCATENATE("TI ",G738),IF(__Retrofit_TI_NC=2,CONCATENATE("NC ",G738),G738))</f>
        <v>0</v>
      </c>
      <c r="P738" s="1396" t="s">
        <v>352</v>
      </c>
      <c r="Q738" s="1396"/>
      <c r="R738" s="673"/>
      <c r="S738" s="1429"/>
      <c r="T738" s="675"/>
      <c r="U738" s="1496"/>
      <c r="V738" s="1497"/>
      <c r="W738" s="1497"/>
      <c r="X738" s="1497"/>
      <c r="Y738" s="1497"/>
      <c r="Z738" s="1497"/>
      <c r="AA738" s="1497"/>
      <c r="AB738" s="1497"/>
      <c r="AC738" s="1497"/>
      <c r="AD738" s="1498"/>
      <c r="AE738" s="675"/>
      <c r="AF738" s="1397"/>
      <c r="AG738" s="1397"/>
      <c r="AH738" s="1397"/>
      <c r="AI738" s="1397"/>
      <c r="AJ738" s="1434"/>
      <c r="AK738" s="1436"/>
      <c r="AL738" s="1438"/>
      <c r="AM738" s="1441"/>
      <c r="AN738" s="1442"/>
      <c r="AO738" s="1447"/>
      <c r="AP738" s="1447"/>
      <c r="AQ738" s="1448"/>
      <c r="AR738" s="1452"/>
      <c r="AS738" s="1455"/>
      <c r="AT738" s="1458"/>
      <c r="AU738" s="516"/>
      <c r="AV738" s="1479"/>
      <c r="AW738" s="1479"/>
      <c r="BC738" s="38"/>
      <c r="BD738" s="38"/>
      <c r="BE738" s="38"/>
      <c r="BF738" s="38"/>
      <c r="BG738" s="38"/>
      <c r="BH738" s="38"/>
      <c r="BI738" s="38"/>
      <c r="BJ738" s="38"/>
      <c r="BK738" s="38"/>
      <c r="BL738" s="38"/>
      <c r="BM738" s="38"/>
      <c r="BN738" s="38"/>
      <c r="BO738" s="38"/>
      <c r="BP738" s="38"/>
      <c r="BQ738" s="38"/>
      <c r="BR738" s="38"/>
      <c r="BS738" s="38"/>
      <c r="BT738" s="38"/>
      <c r="BU738" s="38"/>
      <c r="BV738" s="38"/>
      <c r="BW738" s="38"/>
      <c r="BX738" s="38"/>
      <c r="BY738" s="38"/>
      <c r="BZ738" s="38"/>
      <c r="CA738" s="38"/>
      <c r="CB738" s="38"/>
      <c r="CC738" s="38"/>
      <c r="CD738" s="38"/>
      <c r="CE738" s="38"/>
      <c r="CF738" s="38"/>
      <c r="CG738" s="38"/>
      <c r="CH738" s="38"/>
      <c r="CI738" s="38"/>
      <c r="CM738" s="1352"/>
      <c r="CN738" s="1352"/>
      <c r="CO738" s="1416"/>
      <c r="CP738" s="1418"/>
      <c r="CR738" s="1386"/>
      <c r="CS738" s="1355"/>
      <c r="CT738" s="1355"/>
      <c r="CU738" s="1355"/>
      <c r="CV738" s="1372"/>
      <c r="CW738" s="1372"/>
      <c r="CX738" s="1371"/>
      <c r="CY738" s="1486"/>
      <c r="CZ738" s="1486"/>
      <c r="DA738" s="1486"/>
      <c r="DC738" s="1355"/>
      <c r="DD738" s="1461"/>
      <c r="DE738" s="1355"/>
      <c r="DF738" s="1407"/>
      <c r="DG738" s="1372"/>
      <c r="DH738" s="1369"/>
      <c r="DJ738" s="1484"/>
      <c r="DL738" s="1419"/>
      <c r="DN738" s="1403"/>
      <c r="DO738" s="1405"/>
      <c r="DP738" s="1354"/>
      <c r="DQ738" s="1405"/>
      <c r="DR738" s="1403"/>
      <c r="DS738" s="1489"/>
      <c r="DU738" s="1403"/>
      <c r="DV738" s="1405"/>
      <c r="DW738" s="1403"/>
      <c r="DX738" s="1403"/>
      <c r="DZ738" s="1481"/>
      <c r="EA738" s="1481"/>
      <c r="EC738" s="1482"/>
      <c r="ED738" s="1369"/>
      <c r="EE738" s="1371"/>
      <c r="EF738" s="1369"/>
      <c r="EG738" s="1369"/>
      <c r="EH738" s="1374"/>
      <c r="EI738" s="1374"/>
      <c r="EJ738" s="1363"/>
      <c r="EK738" s="1376"/>
      <c r="EL738" s="1376"/>
      <c r="EM738" s="1362"/>
      <c r="EN738" s="1362"/>
      <c r="EO738" s="1363"/>
      <c r="EP738" s="1363"/>
      <c r="EQ738" s="1363"/>
      <c r="ES738" s="1403"/>
      <c r="EU738" s="1411"/>
      <c r="EV738" s="1411"/>
      <c r="EW738" s="1411"/>
      <c r="EX738" s="1411"/>
      <c r="EY738" s="1411"/>
      <c r="EZ738" s="1413"/>
      <c r="FB738" s="1365"/>
      <c r="FD738" s="1354"/>
      <c r="FE738" s="1354"/>
      <c r="FF738" s="138"/>
      <c r="FI738" s="1357"/>
      <c r="FJ738" s="1357"/>
      <c r="FK738" s="1365"/>
      <c r="FL738" s="1365"/>
      <c r="FM738" s="1365"/>
      <c r="FO738" s="1361"/>
      <c r="FP738" s="1361"/>
      <c r="FQ738" s="1366"/>
      <c r="FR738" s="1368"/>
      <c r="FS738" s="1361"/>
      <c r="FT738" s="1368"/>
      <c r="FU738" s="1360"/>
      <c r="FW738" s="1352"/>
      <c r="FX738" s="1352"/>
      <c r="FY738" s="1352"/>
      <c r="FZ738" s="1352"/>
      <c r="GA738" s="1352"/>
      <c r="GB738" s="1352"/>
      <c r="GC738" s="1352"/>
      <c r="GD738" s="1352"/>
      <c r="GE738" s="759"/>
      <c r="GF738" s="1035"/>
      <c r="GG738" s="1385"/>
      <c r="GI738" s="1384" t="b">
        <f>IF(AND(GL738=TRUE,GM738=TRUE),TRUE,FALSE)</f>
        <v>0</v>
      </c>
      <c r="GJ738" s="1379" t="b">
        <f>IFERROR(IF(__Retrofit_TI_NC=2,TRUE,IF(AR737="Yes",TRUE,FALSE)),FALSE)</f>
        <v>1</v>
      </c>
      <c r="GL738" s="1379" t="b">
        <f>IFERROR(IF(GL737=1,TRUE,FALSE),FALSE)</f>
        <v>0</v>
      </c>
      <c r="GM738" s="1379" t="b">
        <f>IFERROR(IF(GM737=GM$14,TRUE,FALSE),FALSE)</f>
        <v>0</v>
      </c>
      <c r="HC738" s="1379" t="b">
        <f>IFERROR(IF(M738=1,TRUE,FALSE),FALSE)</f>
        <v>0</v>
      </c>
      <c r="HD738" s="1379" t="b">
        <f>IFERROR(IF(M739=1,TRUE,FALSE),FALSE)</f>
        <v>0</v>
      </c>
      <c r="HE738" s="1379" t="b">
        <f>IFERROR(IF(__Retrofit_TI_NC&lt;&gt;0,TRUE,IFERROR(IF(VLOOKUP(U738,Fixtures_Existing_List,2,FALSE)&lt;&gt;"",TRUE,FALSE),FALSE)),FALSE)</f>
        <v>0</v>
      </c>
      <c r="HF738" s="1379" t="b">
        <f>IFERROR(IF(VLOOKUP(U739,Fixtures_Proposed_List,2,FALSE)&lt;&gt;"",TRUE,FALSE),FALSE)</f>
        <v>0</v>
      </c>
      <c r="HG738" s="1379" t="b">
        <f>IF(AND(__Retrofit_TI_NC=2,EZ737=TRUE),FALSE,TRUE)</f>
        <v>1</v>
      </c>
      <c r="HH738" s="1379" t="b">
        <f>GG737</f>
        <v>1</v>
      </c>
      <c r="HI738" s="1384" t="b">
        <f>IF(ISERROR(MATCH(FB737,_Control_Match[],0))=TRUE,FALSE,TRUE)</f>
        <v>0</v>
      </c>
      <c r="HJ738" s="1384" t="b">
        <f>IFERROR(IF(EU737&lt;&gt;EV737,FALSE,TRUE),FALSE)</f>
        <v>0</v>
      </c>
      <c r="HK738" s="1384" t="b">
        <f>IFERROR(IF(EU739&lt;&gt;EV739,FALSE,TRUE),FALSE)</f>
        <v>0</v>
      </c>
      <c r="HL738" s="1379" t="b">
        <f>IFERROR(IF(CN737="Exterior",TRUE,IF(OR(AND(FJ737=0,EW739&gt;4),AND(FJ737=4,EW739&gt;4,EW739&lt;7)),FALSE,TRUE)),FALSE)</f>
        <v>0</v>
      </c>
      <c r="HM738" s="1379" t="b">
        <f>IFERROR(IF(AND(FL739=7,EZ737=TRUE),FALSE,TRUE),FALSE)</f>
        <v>0</v>
      </c>
      <c r="HN738" s="1379" t="b">
        <f>IFERROR(IF(AND(T739&lt;&gt;AE739,AF739="Interior LLLC")=TRUE,FALSE,TRUE),FALSE)</f>
        <v>1</v>
      </c>
      <c r="HO738" s="1379" t="b">
        <f>IFERROR(IF(OR(AF739=Lookup!AU$13,AF739=Lookup!AU$14)=TRUE,IF(AE739&gt;T739,FALSE,TRUE),TRUE),FALSE)</f>
        <v>1</v>
      </c>
      <c r="HP738" s="1379" t="b">
        <f>IFERROR(IF(__Retrofit_TI_NC=2,IF(EW739&lt;EW737,FALSE,TRUE),TRUE),FALSE)</f>
        <v>1</v>
      </c>
      <c r="HQ738" s="1379" t="b">
        <f>IF(CN737="Interior",IG$6,TRUE)</f>
        <v>1</v>
      </c>
      <c r="HR738" s="1379" t="b">
        <f>IF(CN737="Exterior",IG$8,TRUE)</f>
        <v>1</v>
      </c>
      <c r="HS738" s="1379" t="b">
        <f>IFERROR(IF(__Retrofit_TI_NC&lt;&gt;0,IF(AW737&lt;AV737,FALSE,TRUE),TRUE),FALSE)</f>
        <v>1</v>
      </c>
      <c r="HT738" s="1379" t="b">
        <f>IFERROR(IF(AND(G738="Exterior",R738&gt;4200),FALSE,TRUE),FALSE)</f>
        <v>1</v>
      </c>
      <c r="HU738" s="1379" t="b">
        <f>IFERROR(IF(AB740/AB737&lt;HU$18,FALSE,TRUE),FALSE)</f>
        <v>0</v>
      </c>
      <c r="HW738" s="1382"/>
      <c r="HX738" s="1378"/>
      <c r="HY738" s="1377" t="str">
        <f>VLOOKUP(HW740,_Error_Table,4,FALSE)</f>
        <v>White</v>
      </c>
      <c r="HZ738" s="436"/>
      <c r="IA738" s="1386"/>
      <c r="IB738" s="1380"/>
      <c r="IC738" s="1379"/>
      <c r="IF738" s="1380"/>
      <c r="IG738" s="1382"/>
      <c r="IH738" s="1382"/>
      <c r="II738" s="1382"/>
      <c r="IK738" s="1351"/>
      <c r="IL738" s="1351"/>
      <c r="IM738" s="1351"/>
      <c r="IN738" s="1351"/>
      <c r="IO738" s="1351"/>
      <c r="IP738" s="1351"/>
    </row>
    <row r="739" spans="1:250" s="82" customFormat="1" ht="14.95" customHeight="1" thickTop="1" thickBot="1">
      <c r="A739" s="82">
        <f>ROW()</f>
        <v>739</v>
      </c>
      <c r="B739" s="1421"/>
      <c r="C739" s="1422"/>
      <c r="D739" s="1423"/>
      <c r="E739" s="1393" t="s">
        <v>245</v>
      </c>
      <c r="F739" s="1394"/>
      <c r="G739" s="1398"/>
      <c r="H739" s="1399"/>
      <c r="I739" s="1399"/>
      <c r="J739" s="1399"/>
      <c r="K739" s="1399"/>
      <c r="L739" s="1400"/>
      <c r="M739" s="509">
        <f>IFERROR(IF(IF(__Retrofit_TI_NC&lt;&gt;0,IF(CN737="Interior",MATCH(G739,Lookup_Interior_New,0),MATCH(G739,Lookup_Exterior_New,0)),IF(CN737="Interior",MATCH(G739,Lookup_Interior,0),MATCH(G739,Lookup_Exterior_Areas,0)))&gt;0,1,0),0)</f>
        <v>0</v>
      </c>
      <c r="N739" s="509" t="e">
        <f>IF(__Retrofit_TI_NC=1,
VLOOKUP(G739,'Space Table'!$B$3:$L$160,4,FALSE),
IF(__Retrofit_TI_NC=2,VLOOKUP(G739,'Space Table'!$B$3:$L$160,5,FALSE),VLOOKUP(G739,'Space Table'!$B$3:$L$160,5,FALSE)))</f>
        <v>#N/A</v>
      </c>
      <c r="O739" s="509">
        <f>G739</f>
        <v>0</v>
      </c>
      <c r="P739" s="1394" t="s">
        <v>355</v>
      </c>
      <c r="Q739" s="1394"/>
      <c r="R739" s="674"/>
      <c r="S739" s="1401" t="s">
        <v>284</v>
      </c>
      <c r="T739" s="672"/>
      <c r="U739" s="1499"/>
      <c r="V739" s="1500"/>
      <c r="W739" s="1500"/>
      <c r="X739" s="1500"/>
      <c r="Y739" s="1500"/>
      <c r="Z739" s="1500"/>
      <c r="AA739" s="1500"/>
      <c r="AB739" s="1501"/>
      <c r="AC739" s="1501"/>
      <c r="AD739" s="1502"/>
      <c r="AE739" s="672"/>
      <c r="AF739" s="1474"/>
      <c r="AG739" s="1474"/>
      <c r="AH739" s="1474"/>
      <c r="AI739" s="1474"/>
      <c r="AJ739" s="1475">
        <f>DF739</f>
        <v>0</v>
      </c>
      <c r="AK739" s="1470" t="str">
        <f>IFERROR(ROUND(AJ739*AC740,0),"")</f>
        <v/>
      </c>
      <c r="AL739" s="1472">
        <f>IFERROR(IF(HW737=FALSE,0,AC740-AK739),0)</f>
        <v>0</v>
      </c>
      <c r="AM739" s="1441"/>
      <c r="AN739" s="1442"/>
      <c r="AO739" s="1447"/>
      <c r="AP739" s="1447"/>
      <c r="AQ739" s="1448"/>
      <c r="AR739" s="1452"/>
      <c r="AS739" s="1455"/>
      <c r="AT739" s="1458"/>
      <c r="AU739" s="516"/>
      <c r="AV739" s="1479"/>
      <c r="AW739" s="1479"/>
      <c r="BC739" s="38"/>
      <c r="BD739" s="38"/>
      <c r="BE739" s="38"/>
      <c r="BF739" s="38"/>
      <c r="BG739" s="38"/>
      <c r="BH739" s="38"/>
      <c r="BI739" s="38"/>
      <c r="BJ739" s="38"/>
      <c r="BK739" s="38"/>
      <c r="BL739" s="38"/>
      <c r="BM739" s="38"/>
      <c r="BN739" s="38"/>
      <c r="BO739" s="38"/>
      <c r="BP739" s="38"/>
      <c r="BQ739" s="38"/>
      <c r="BR739" s="38"/>
      <c r="BS739" s="38"/>
      <c r="BT739" s="38"/>
      <c r="BU739" s="38"/>
      <c r="BV739" s="38"/>
      <c r="BW739" s="38"/>
      <c r="BX739" s="38"/>
      <c r="BY739" s="38"/>
      <c r="BZ739" s="38"/>
      <c r="CA739" s="38"/>
      <c r="CB739" s="38"/>
      <c r="CC739" s="38"/>
      <c r="CD739" s="38"/>
      <c r="CE739" s="38"/>
      <c r="CF739" s="38"/>
      <c r="CG739" s="38"/>
      <c r="CH739" s="38"/>
      <c r="CI739" s="38"/>
      <c r="CM739" s="1352"/>
      <c r="CN739" s="1352"/>
      <c r="CO739" s="1415" t="str">
        <f>CN737</f>
        <v/>
      </c>
      <c r="CP739" s="1417" t="e">
        <f>CP737</f>
        <v>#N/A</v>
      </c>
      <c r="CR739" s="1386" t="s">
        <v>284</v>
      </c>
      <c r="CS739" s="1353">
        <f>IF(HW737=TRUE,T739,0)</f>
        <v>0</v>
      </c>
      <c r="CT739" s="1353" t="str">
        <f>IF(HW737=TRUE,U739,"")</f>
        <v/>
      </c>
      <c r="CU739" s="1373">
        <f>IF(HW737=TRUE,U740,0)</f>
        <v>0</v>
      </c>
      <c r="CV739" s="1370">
        <f>IF(HW737=TRUE,AB740,0)</f>
        <v>0</v>
      </c>
      <c r="CW739" s="1370">
        <f>IF(HW737=TRUE,AC740,0)</f>
        <v>0</v>
      </c>
      <c r="CX739" s="1371"/>
      <c r="CY739" s="1486"/>
      <c r="CZ739" s="1486"/>
      <c r="DA739" s="1486"/>
      <c r="DC739" s="1353">
        <f>IF(HW737=TRUE,AE739,0)</f>
        <v>0</v>
      </c>
      <c r="DD739" s="1353" t="str">
        <f>IF(HW737=TRUE,AF739,"")</f>
        <v/>
      </c>
      <c r="DE739" s="1373">
        <f>AF740</f>
        <v>0</v>
      </c>
      <c r="DF739" s="1406">
        <f>IFERROR(IF(FL739=3,IK739,IF(FL739=4,IL739,IF(FL739=5,IM739,IF(FL739=6,IN739,IF(FL739=7,IO739,IF(FL739=8,IP739,0)))))),0)</f>
        <v>0</v>
      </c>
      <c r="DG739" s="1370">
        <f>IF(HW737=TRUE,AK739,0)</f>
        <v>0</v>
      </c>
      <c r="DH739" s="1369"/>
      <c r="DK739" s="1483">
        <f>IFERROR(CW739-DG739,0)</f>
        <v>0</v>
      </c>
      <c r="DL739" s="1420"/>
      <c r="DN739" s="1403"/>
      <c r="DO739" s="1477" t="str">
        <f>DN737</f>
        <v/>
      </c>
      <c r="DP739" s="1354"/>
      <c r="DQ739" s="1477" t="str">
        <f>IF(DP737=7,"LLLC","")</f>
        <v/>
      </c>
      <c r="DR739" s="1403"/>
      <c r="DS739" s="1489"/>
      <c r="DU739" s="1403"/>
      <c r="DV739" s="1404" t="str">
        <f>DU737</f>
        <v/>
      </c>
      <c r="DW739" s="1403"/>
      <c r="DX739" s="1403"/>
      <c r="DZ739" s="1481"/>
      <c r="EA739" s="1481"/>
      <c r="EC739" s="1482"/>
      <c r="ED739" s="1369"/>
      <c r="EE739" s="1371"/>
      <c r="EF739" s="1369"/>
      <c r="EG739" s="1369"/>
      <c r="EH739" s="1374"/>
      <c r="EI739" s="1374"/>
      <c r="EJ739" s="1363"/>
      <c r="EK739" s="1376"/>
      <c r="EL739" s="1376"/>
      <c r="EM739" s="1362"/>
      <c r="EN739" s="1362"/>
      <c r="EO739" s="1363"/>
      <c r="EP739" s="1363"/>
      <c r="EQ739" s="1363"/>
      <c r="ES739" s="1403"/>
      <c r="EU739" s="1411" t="e">
        <f>VLOOKUP(CP739,'Space Table'!$B$3:$L$160,8,FALSE)</f>
        <v>#N/A</v>
      </c>
      <c r="EV739" s="1411" t="e">
        <f>IF(EY739="Yes",VLOOKUP(AF739,Lookup_Control_Type_Table2,4,FALSE),VLOOKUP(AF739,Lookup_Control_Type_Table2,3,FALSE))</f>
        <v>#N/A</v>
      </c>
      <c r="EW739" s="1411" t="e">
        <f>VLOOKUP(AF739,Lookup!AU$3:AV$15,2,FALSE)</f>
        <v>#N/A</v>
      </c>
      <c r="EX739" s="1411" t="e">
        <f>VLOOKUP(EU737,Lookup_Control_Type_Table,2,FALSE)</f>
        <v>#N/A</v>
      </c>
      <c r="EY739" s="1411" t="e">
        <f>VLOOKUP(CP739,'Space Table'!$B$3:$L$160,7,FALSE)</f>
        <v>#N/A</v>
      </c>
      <c r="EZ739" s="1413"/>
      <c r="FB739" s="1365" t="str">
        <f>CONCATENATE(CN737," - ",AF739)</f>
        <v xml:space="preserve"> - </v>
      </c>
      <c r="FD739" s="1354"/>
      <c r="FE739" s="1354"/>
      <c r="FF739" s="138"/>
      <c r="FI739" s="1356" t="str">
        <f>IF(CN737="Exterior","Not Daylighted",G740)</f>
        <v>Not Daylighted</v>
      </c>
      <c r="FJ739" s="1356">
        <f>VLOOKUP(FI739,_Daylight_Table_Codes,2,FALSE)</f>
        <v>0</v>
      </c>
      <c r="FK739" s="1365">
        <f>AF739</f>
        <v>0</v>
      </c>
      <c r="FL739" s="1365" t="e">
        <f>VLOOKUP(FK739,_Control_Table,2,FALSE)</f>
        <v>#N/A</v>
      </c>
      <c r="FM739" s="1365" t="e">
        <f>IF(AND(FP739&gt;0,FK739="Occupancy Sensor"),"Daylight + Occupancy",IF(AND(FP739&gt;0,FL739&lt;4),"Interior Daylight Dimming",FK739))</f>
        <v>#N/A</v>
      </c>
      <c r="FO739" s="1364">
        <f>IF(CN737="Interior",VLOOKUP(CP737,Control_Savings_Interior,5,FALSE),0)</f>
        <v>0</v>
      </c>
      <c r="FP739" s="1361">
        <f>IF(CN739="Exterior",0,IF(FJ739=2,0.5,IF(OR(FJ739=1,FJ739=3),1,0)))</f>
        <v>0</v>
      </c>
      <c r="FQ739" s="1366">
        <f>IF(R738&gt;FO$37,(FO739*(FO$37/R738)),FO739)*FP739</f>
        <v>0</v>
      </c>
      <c r="FR739" s="1364">
        <f>DF739</f>
        <v>0</v>
      </c>
      <c r="FS739" s="1364">
        <f>ROUND(FR739+((1-FR739)*FQ739),2)</f>
        <v>0</v>
      </c>
      <c r="FT739" s="1364">
        <f>IF(__Retrofit_TI_NC=2,FS739,FR739)</f>
        <v>0</v>
      </c>
      <c r="FU739" s="1360">
        <f>IF(CO739="Interior",VLOOKUP(CP739,Control_Savings_Interior,4,FALSE),0)</f>
        <v>0</v>
      </c>
      <c r="FW739" s="1352"/>
      <c r="FX739" s="1352"/>
      <c r="FY739" s="1352"/>
      <c r="FZ739" s="1352"/>
      <c r="GA739" s="1352"/>
      <c r="GB739" s="1352"/>
      <c r="GC739" s="1352"/>
      <c r="GD739" s="1352"/>
      <c r="GE739" s="759" t="b">
        <f>IF(ISNUMBER(SEARCH("TLED",U739)),TRUE,FALSE)</f>
        <v>0</v>
      </c>
      <c r="GF739" s="1035" t="str">
        <f>IFERROR(VLOOKUP(U739,Fixtures!DM$93:DR$142,6,FALSE),"")</f>
        <v/>
      </c>
      <c r="GG739" s="1385"/>
      <c r="GI739" s="1383"/>
      <c r="GJ739" s="1379"/>
      <c r="GL739" s="1379"/>
      <c r="GM739" s="1379"/>
      <c r="HC739" s="1379"/>
      <c r="HD739" s="1379"/>
      <c r="HE739" s="1379"/>
      <c r="HF739" s="1379"/>
      <c r="HG739" s="1379"/>
      <c r="HH739" s="1379"/>
      <c r="HI739" s="1383"/>
      <c r="HJ739" s="1383"/>
      <c r="HK739" s="1383"/>
      <c r="HL739" s="1379"/>
      <c r="HM739" s="1379"/>
      <c r="HN739" s="1379"/>
      <c r="HO739" s="1379"/>
      <c r="HP739" s="1379"/>
      <c r="HQ739" s="1379"/>
      <c r="HR739" s="1379"/>
      <c r="HS739" s="1379"/>
      <c r="HT739" s="1379"/>
      <c r="HU739" s="1379"/>
      <c r="HW739" s="1383"/>
      <c r="HX739" s="1384" t="b">
        <f>HW737</f>
        <v>0</v>
      </c>
      <c r="HY739" s="1378"/>
      <c r="HZ739" s="436"/>
      <c r="IA739" s="1386"/>
      <c r="IB739" s="1380">
        <f>IF(IA737=TRUE,AC740,0)</f>
        <v>0</v>
      </c>
      <c r="IC739" s="1379"/>
      <c r="IF739" s="1380" t="e">
        <f>ROUND(T739*AB740*N738*R738/1000,0)</f>
        <v>#VALUE!</v>
      </c>
      <c r="IG739" s="1382"/>
      <c r="IH739" s="1384" t="e">
        <f>ROUND(T739*AB740*N738*R738/1000,0)</f>
        <v>#VALUE!</v>
      </c>
      <c r="II739" s="1382"/>
      <c r="IK739" s="1351" t="e">
        <f>IF($CO739="interior",IL739/2,VLOOKUP($CP739,Control_Savings_Exterior,IK$30,FALSE))</f>
        <v>#N/A</v>
      </c>
      <c r="IL739" s="1351" t="e">
        <f>IF($CO739="interior",VLOOKUP($CP739,Control_Savings_Interior,IL$30,FALSE),VLOOKUP($CP739,Control_Savings_Exterior,IL$30,FALSE))</f>
        <v>#N/A</v>
      </c>
      <c r="IM739" s="1351" t="e">
        <f>IF($CO739="interior",IF(R738&gt;FO$37,(IM$28*(FO$37/R738)),IM$28)*FP739,VLOOKUP($CP739,Control_Savings_Exterior,IM$30,FALSE))</f>
        <v>#N/A</v>
      </c>
      <c r="IN739" s="1351" t="e">
        <f>IF($CO739="interior",ROUND(((1-IL739)*IM739)+IL739,2),VLOOKUP($CP739,Control_Savings_Exterior,IN$30,FALSE))</f>
        <v>#N/A</v>
      </c>
      <c r="IO739" s="1351" t="e">
        <f>IF($CO739="interior", ROUND(((1-IL739)*(IM739*(1-IP$28)))+IP739,2), VLOOKUP($CP739,Control_Savings_Exterior,IO$30,FALSE))</f>
        <v>#N/A</v>
      </c>
      <c r="IP739" s="1351">
        <f>IF($CO739="interior",ROUND(((1-IL739)*IP$28)+IL739,2),0)</f>
        <v>0</v>
      </c>
    </row>
    <row r="740" spans="1:250" s="82" customFormat="1" ht="14.95" customHeight="1" thickTop="1" thickBot="1">
      <c r="B740" s="1421"/>
      <c r="C740" s="1422"/>
      <c r="D740" s="1423"/>
      <c r="E740" s="1462" t="s">
        <v>357</v>
      </c>
      <c r="F740" s="1463"/>
      <c r="G740" s="1464" t="s">
        <v>362</v>
      </c>
      <c r="H740" s="1465"/>
      <c r="I740" s="1465"/>
      <c r="J740" s="1465"/>
      <c r="K740" s="1465"/>
      <c r="L740" s="1466"/>
      <c r="M740" s="669">
        <f>IFERROR(VLOOKUP(G740,_Daylight_Table[],2,FALSE),0)</f>
        <v>0</v>
      </c>
      <c r="N740" s="670"/>
      <c r="O740" s="669" t="e">
        <f>VLOOKUP(G739,'Space Table'!$B$3:$L$160,11,FALSE)</f>
        <v>#N/A</v>
      </c>
      <c r="P740" s="1408"/>
      <c r="Q740" s="1409"/>
      <c r="R740" s="1409"/>
      <c r="S740" s="1402"/>
      <c r="T740" s="671" t="s">
        <v>281</v>
      </c>
      <c r="U740" s="1467" t="str">
        <f>IFERROR(VLOOKUP(U739,Fixtures!DM$93:DP$142,4,FALSE),"")</f>
        <v/>
      </c>
      <c r="V740" s="1468"/>
      <c r="W740" s="1468"/>
      <c r="X740" s="1468"/>
      <c r="Y740" s="1468"/>
      <c r="Z740" s="1468"/>
      <c r="AA740" s="1468"/>
      <c r="AB740" s="1046" t="str">
        <f>IFERROR(VLOOKUP(U739,Fixtures_Proposed_List,2,FALSE),"")</f>
        <v/>
      </c>
      <c r="AC740" s="1036" t="str">
        <f>IFERROR(ROUND(T739*AB740*N738*R738/1000,0),"")</f>
        <v/>
      </c>
      <c r="AD740" s="1037" t="str">
        <f>IFERROR(ROUND(T739*AB740/1000,2),"")</f>
        <v/>
      </c>
      <c r="AE740" s="1045" t="s">
        <v>281</v>
      </c>
      <c r="AF740" s="1469"/>
      <c r="AG740" s="1469"/>
      <c r="AH740" s="1469"/>
      <c r="AI740" s="1469"/>
      <c r="AJ740" s="1476"/>
      <c r="AK740" s="1471"/>
      <c r="AL740" s="1473"/>
      <c r="AM740" s="1443"/>
      <c r="AN740" s="1444"/>
      <c r="AO740" s="1449"/>
      <c r="AP740" s="1449"/>
      <c r="AQ740" s="1450"/>
      <c r="AR740" s="1453"/>
      <c r="AS740" s="1456"/>
      <c r="AT740" s="1459"/>
      <c r="AU740" s="517"/>
      <c r="AV740" s="1480"/>
      <c r="AW740" s="1480"/>
      <c r="BC740" s="38"/>
      <c r="BD740" s="38"/>
      <c r="BE740" s="38"/>
      <c r="BF740" s="38"/>
      <c r="BG740" s="38"/>
      <c r="BH740" s="38"/>
      <c r="BI740" s="38"/>
      <c r="BJ740" s="38"/>
      <c r="BK740" s="38"/>
      <c r="BL740" s="38"/>
      <c r="BM740" s="38"/>
      <c r="BN740" s="38"/>
      <c r="BO740" s="38"/>
      <c r="BP740" s="38"/>
      <c r="BQ740" s="38"/>
      <c r="BR740" s="38"/>
      <c r="BS740" s="38"/>
      <c r="BT740" s="38"/>
      <c r="BU740" s="38"/>
      <c r="BV740" s="38"/>
      <c r="BW740" s="38"/>
      <c r="BX740" s="38"/>
      <c r="BY740" s="38"/>
      <c r="BZ740" s="38"/>
      <c r="CA740" s="38"/>
      <c r="CB740" s="38"/>
      <c r="CC740" s="38"/>
      <c r="CD740" s="38"/>
      <c r="CE740" s="38"/>
      <c r="CF740" s="38"/>
      <c r="CG740" s="38"/>
      <c r="CH740" s="38"/>
      <c r="CI740" s="38"/>
      <c r="CM740" s="1352"/>
      <c r="CN740" s="1352"/>
      <c r="CO740" s="1416"/>
      <c r="CP740" s="1418"/>
      <c r="CR740" s="1386"/>
      <c r="CS740" s="1355"/>
      <c r="CT740" s="1355"/>
      <c r="CU740" s="1375"/>
      <c r="CV740" s="1372"/>
      <c r="CW740" s="1372"/>
      <c r="CX740" s="1372"/>
      <c r="CY740" s="1487"/>
      <c r="CZ740" s="1487"/>
      <c r="DA740" s="1487"/>
      <c r="DC740" s="1355"/>
      <c r="DD740" s="1355"/>
      <c r="DE740" s="1375"/>
      <c r="DF740" s="1407"/>
      <c r="DG740" s="1372"/>
      <c r="DH740" s="1369"/>
      <c r="DK740" s="1484"/>
      <c r="DL740" s="1420"/>
      <c r="DN740" s="1403"/>
      <c r="DO740" s="1405"/>
      <c r="DP740" s="1355"/>
      <c r="DQ740" s="1405"/>
      <c r="DR740" s="1403"/>
      <c r="DS740" s="1489"/>
      <c r="DU740" s="1403"/>
      <c r="DV740" s="1405"/>
      <c r="DW740" s="1403"/>
      <c r="DX740" s="1403"/>
      <c r="DZ740" s="1481"/>
      <c r="EA740" s="1481"/>
      <c r="EC740" s="1482"/>
      <c r="ED740" s="1369"/>
      <c r="EE740" s="1372"/>
      <c r="EF740" s="1369"/>
      <c r="EG740" s="1369"/>
      <c r="EH740" s="1375"/>
      <c r="EI740" s="1375"/>
      <c r="EJ740" s="1363"/>
      <c r="EK740" s="1376"/>
      <c r="EL740" s="1376"/>
      <c r="EM740" s="1362"/>
      <c r="EN740" s="1362"/>
      <c r="EO740" s="1363"/>
      <c r="EP740" s="1363"/>
      <c r="EQ740" s="1363"/>
      <c r="ES740" s="1403"/>
      <c r="EU740" s="1488"/>
      <c r="EV740" s="1488"/>
      <c r="EW740" s="1488"/>
      <c r="EX740" s="1488"/>
      <c r="EY740" s="1488"/>
      <c r="EZ740" s="1414"/>
      <c r="FB740" s="1365"/>
      <c r="FD740" s="1355"/>
      <c r="FE740" s="1355"/>
      <c r="FF740" s="138"/>
      <c r="FI740" s="1357"/>
      <c r="FJ740" s="1357"/>
      <c r="FK740" s="1365"/>
      <c r="FL740" s="1365"/>
      <c r="FM740" s="1365"/>
      <c r="FO740" s="1361"/>
      <c r="FP740" s="1361"/>
      <c r="FQ740" s="1366"/>
      <c r="FR740" s="1361"/>
      <c r="FS740" s="1361"/>
      <c r="FT740" s="1361"/>
      <c r="FU740" s="1360"/>
      <c r="FW740" s="1352"/>
      <c r="FX740" s="1352"/>
      <c r="FY740" s="1352"/>
      <c r="FZ740" s="1352"/>
      <c r="GA740" s="1352"/>
      <c r="GB740" s="1352"/>
      <c r="GC740" s="1352"/>
      <c r="GD740" s="1352"/>
      <c r="GE740" s="759"/>
      <c r="GF740" s="1035"/>
      <c r="GG740" s="1385"/>
      <c r="GJ740" s="1034">
        <f>IF(GJ738=TRUE,0,GJ$16)</f>
        <v>0</v>
      </c>
      <c r="GL740" s="1034">
        <f>IF(GL738=TRUE,0,GL$16)</f>
        <v>36</v>
      </c>
      <c r="GM740" s="1034">
        <f>IF(GM738=TRUE,0,GM$16)</f>
        <v>35</v>
      </c>
      <c r="GN740" s="436"/>
      <c r="GO740" s="436"/>
      <c r="GP740" s="436"/>
      <c r="GQ740" s="436"/>
      <c r="GR740" s="436"/>
      <c r="HC740" s="1034">
        <f t="shared" ref="HC740:HH740" si="550">IF(HC738=TRUE,0,HC$16)</f>
        <v>19</v>
      </c>
      <c r="HD740" s="1034">
        <f t="shared" si="550"/>
        <v>18</v>
      </c>
      <c r="HE740" s="1034">
        <f t="shared" si="550"/>
        <v>17</v>
      </c>
      <c r="HF740" s="1034">
        <f t="shared" si="550"/>
        <v>16</v>
      </c>
      <c r="HG740" s="1034">
        <f t="shared" si="550"/>
        <v>0</v>
      </c>
      <c r="HH740" s="1034">
        <f t="shared" si="550"/>
        <v>0</v>
      </c>
      <c r="HI740" s="1034">
        <f>IF(HI738=TRUE,0,HI$16)</f>
        <v>13</v>
      </c>
      <c r="HJ740" s="1034">
        <f t="shared" ref="HJ740:HL740" si="551">IF(HJ738=TRUE,0,HJ$16)</f>
        <v>12</v>
      </c>
      <c r="HK740" s="1034">
        <f t="shared" si="551"/>
        <v>11</v>
      </c>
      <c r="HL740" s="1034">
        <f t="shared" si="551"/>
        <v>10</v>
      </c>
      <c r="HM740" s="1034">
        <f>IF(HM738=TRUE,0,HM$16)</f>
        <v>9</v>
      </c>
      <c r="HN740" s="1034">
        <f t="shared" ref="HN740:HR740" si="552">IF(HN738=TRUE,0,HN$16)</f>
        <v>0</v>
      </c>
      <c r="HO740" s="1034">
        <f t="shared" si="552"/>
        <v>0</v>
      </c>
      <c r="HP740" s="1034">
        <f t="shared" si="552"/>
        <v>0</v>
      </c>
      <c r="HQ740" s="1034">
        <f t="shared" si="552"/>
        <v>0</v>
      </c>
      <c r="HR740" s="1034">
        <f t="shared" si="552"/>
        <v>0</v>
      </c>
      <c r="HS740" s="1034">
        <f>IF(HS738=TRUE,0,HS$16)</f>
        <v>0</v>
      </c>
      <c r="HT740" s="1034">
        <f t="shared" ref="HT740" si="553">IF(HT738=TRUE,0,HT$16)</f>
        <v>0</v>
      </c>
      <c r="HU740" s="1034">
        <f>IF(HU738=TRUE,0,HU$16)</f>
        <v>1</v>
      </c>
      <c r="HW740" s="1034">
        <f>IF(GL738=FALSE,GL740,IF(GM738=FALSE,GM740,MAX(GJ740:HU740)))</f>
        <v>36</v>
      </c>
      <c r="HX740" s="1383"/>
      <c r="HY740" s="241" t="str">
        <f>VLOOKUP(HW740,_Error_Table,3,FALSE)</f>
        <v xml:space="preserve"> </v>
      </c>
      <c r="HZ740" s="241"/>
      <c r="IA740" s="1386"/>
      <c r="IB740" s="1380"/>
      <c r="IC740" s="1379"/>
      <c r="IF740" s="1380"/>
      <c r="IG740" s="1383"/>
      <c r="IH740" s="1383"/>
      <c r="II740" s="1383"/>
      <c r="IK740" s="1351"/>
      <c r="IL740" s="1351"/>
      <c r="IM740" s="1351"/>
      <c r="IN740" s="1351"/>
      <c r="IO740" s="1351"/>
      <c r="IP740" s="1351"/>
    </row>
    <row r="741" spans="1:250" s="82" customFormat="1" ht="5.0999999999999996" customHeight="1" thickBot="1">
      <c r="B741" s="763"/>
      <c r="C741" s="1038"/>
      <c r="D741" s="1038"/>
      <c r="E741" s="1490"/>
      <c r="F741" s="1490"/>
      <c r="G741" s="1490"/>
      <c r="H741" s="1490"/>
      <c r="I741" s="1490"/>
      <c r="J741" s="1490"/>
      <c r="K741" s="1490"/>
      <c r="L741" s="1490"/>
      <c r="M741" s="1490"/>
      <c r="N741" s="1490"/>
      <c r="O741" s="1490"/>
      <c r="P741" s="1490"/>
      <c r="Q741" s="1490"/>
      <c r="R741" s="1490"/>
      <c r="S741" s="1490"/>
      <c r="T741" s="1490"/>
      <c r="U741" s="1490"/>
      <c r="V741" s="1490"/>
      <c r="W741" s="1490"/>
      <c r="X741" s="1490"/>
      <c r="Y741" s="1490"/>
      <c r="Z741" s="1490"/>
      <c r="AA741" s="1490"/>
      <c r="AB741" s="1490"/>
      <c r="AC741" s="1490"/>
      <c r="AD741" s="1490"/>
      <c r="AE741" s="1490"/>
      <c r="AF741" s="1490"/>
      <c r="AG741" s="1490"/>
      <c r="AH741" s="1490"/>
      <c r="AI741" s="1490"/>
      <c r="AJ741" s="1490"/>
      <c r="AK741" s="1490"/>
      <c r="AL741" s="1490"/>
      <c r="AM741" s="1490"/>
      <c r="AN741" s="1490"/>
      <c r="AO741" s="1490"/>
      <c r="AP741" s="1490"/>
      <c r="AQ741" s="1490"/>
      <c r="AR741" s="1490"/>
      <c r="AS741" s="1490"/>
      <c r="AT741" s="1490"/>
      <c r="AU741" s="1041"/>
      <c r="BC741" s="38"/>
      <c r="BD741" s="38"/>
      <c r="BE741" s="38"/>
      <c r="BF741" s="38"/>
      <c r="BG741" s="38"/>
      <c r="BH741" s="38"/>
      <c r="BI741" s="38"/>
      <c r="BJ741" s="38"/>
      <c r="BK741" s="38"/>
      <c r="BL741" s="38"/>
      <c r="BM741" s="38"/>
      <c r="BN741" s="38"/>
      <c r="BO741" s="38"/>
      <c r="BP741" s="38"/>
      <c r="BQ741" s="38"/>
      <c r="BR741" s="38"/>
      <c r="BS741" s="38"/>
      <c r="BT741" s="38"/>
      <c r="BU741" s="38"/>
      <c r="BV741" s="38"/>
      <c r="BW741" s="38"/>
      <c r="BX741" s="38"/>
      <c r="BY741" s="38"/>
      <c r="BZ741" s="38"/>
      <c r="CA741" s="38"/>
      <c r="CB741" s="38"/>
      <c r="CC741" s="38"/>
      <c r="CD741" s="38"/>
      <c r="CE741" s="38"/>
      <c r="CF741" s="38"/>
      <c r="CG741" s="38"/>
      <c r="CH741" s="38"/>
      <c r="CI741" s="38"/>
      <c r="CM741" s="749"/>
      <c r="CN741" s="749"/>
      <c r="CO741" s="1043"/>
      <c r="CP741" s="749"/>
      <c r="CS741" s="436"/>
      <c r="CT741" s="436"/>
      <c r="CU741" s="243"/>
      <c r="CV741" s="244"/>
      <c r="CW741" s="244"/>
      <c r="CX741" s="244"/>
      <c r="CY741" s="245"/>
      <c r="CZ741" s="245"/>
      <c r="DA741" s="245"/>
      <c r="DC741" s="750"/>
      <c r="DD741" s="751"/>
      <c r="DE741" s="752"/>
      <c r="DF741" s="753"/>
      <c r="DG741" s="754"/>
      <c r="DH741" s="754"/>
      <c r="DK741" s="244"/>
      <c r="DL741" s="750"/>
      <c r="DN741" s="750"/>
      <c r="DO741" s="755"/>
      <c r="DP741" s="436"/>
      <c r="DQ741" s="750"/>
      <c r="DR741" s="750"/>
      <c r="DS741" s="750"/>
      <c r="DU741" s="750"/>
      <c r="DV741" s="750"/>
      <c r="DW741" s="750"/>
      <c r="DX741" s="750"/>
      <c r="DZ741" s="756"/>
      <c r="EA741" s="756"/>
      <c r="EC741" s="754"/>
      <c r="ED741" s="754"/>
      <c r="EE741" s="244"/>
      <c r="EF741" s="754"/>
      <c r="EG741" s="754"/>
      <c r="EH741" s="243"/>
      <c r="EI741" s="243"/>
      <c r="EJ741" s="752"/>
      <c r="EK741" s="757"/>
      <c r="EL741" s="757"/>
      <c r="EM741" s="758"/>
      <c r="EN741" s="758"/>
      <c r="EO741" s="752"/>
      <c r="EP741" s="752"/>
      <c r="EQ741" s="752"/>
      <c r="ES741" s="750"/>
      <c r="EU741" s="436"/>
      <c r="EV741" s="436"/>
      <c r="EW741" s="436"/>
      <c r="EX741" s="436"/>
      <c r="EY741" s="436"/>
      <c r="EZ741" s="436"/>
      <c r="FB741" s="643"/>
      <c r="FD741" s="436"/>
      <c r="FE741" s="436"/>
      <c r="FF741" s="436"/>
      <c r="FO741" s="750"/>
      <c r="FP741" s="436"/>
      <c r="FQ741" s="436"/>
      <c r="FR741" s="750"/>
      <c r="FS741" s="750"/>
      <c r="FW741" s="749"/>
      <c r="FX741" s="749"/>
      <c r="FY741" s="749"/>
      <c r="FZ741" s="749"/>
      <c r="GA741" s="749"/>
      <c r="GB741" s="749"/>
      <c r="GC741" s="749"/>
      <c r="GD741" s="749"/>
      <c r="GE741" s="751"/>
      <c r="GF741" s="750"/>
      <c r="GG741" s="750"/>
    </row>
    <row r="742" spans="1:250" s="82" customFormat="1" ht="14.95" customHeight="1" thickTop="1" thickBot="1">
      <c r="B742" s="1421" t="str">
        <f>HY745</f>
        <v xml:space="preserve"> </v>
      </c>
      <c r="C742" s="1422">
        <f>C737+1</f>
        <v>136</v>
      </c>
      <c r="D742" s="1423"/>
      <c r="E742" s="1424" t="s">
        <v>242</v>
      </c>
      <c r="F742" s="1425"/>
      <c r="G742" s="1426"/>
      <c r="H742" s="1427"/>
      <c r="I742" s="1427"/>
      <c r="J742" s="1427"/>
      <c r="K742" s="1427"/>
      <c r="L742" s="1427"/>
      <c r="M742" s="1427"/>
      <c r="N742" s="1427"/>
      <c r="O742" s="1427"/>
      <c r="P742" s="1427"/>
      <c r="Q742" s="1427"/>
      <c r="R742" s="1427"/>
      <c r="S742" s="1428" t="s">
        <v>283</v>
      </c>
      <c r="T742" s="668" t="s">
        <v>190</v>
      </c>
      <c r="U742" s="1430" t="s">
        <v>186</v>
      </c>
      <c r="V742" s="1431"/>
      <c r="W742" s="1431"/>
      <c r="X742" s="1431"/>
      <c r="Y742" s="1431"/>
      <c r="Z742" s="1431"/>
      <c r="AA742" s="1431"/>
      <c r="AB742" s="1047" t="str">
        <f>IFERROR(IF(__Retrofit_TI_NC=0,VLOOKUP(U743,Fixtures_Existing_List,2,FALSE),ROUND(N744*R744/T744,10)),"")</f>
        <v/>
      </c>
      <c r="AC742" s="1039" t="str">
        <f>IFERROR(IF(__Retrofit_TI_NC=0,ROUND(T743*AB742*N743*R743/1000,0),IF(CN742="Interior",N744*R744*R743*N743*_C406_reduction/1000,N744*R744*R743*N743/1000)),"")</f>
        <v/>
      </c>
      <c r="AD742" s="1040" t="str">
        <f>IFERROR(IF(C$36=0,ROUND(T743*AB742/1000,2),N744*R744/1000),"")</f>
        <v/>
      </c>
      <c r="AE742" s="1044" t="s">
        <v>190</v>
      </c>
      <c r="AF742" s="1432" t="str">
        <f>IF(__Retrofit_TI_NC=2,CONCATENATE("Code min = ",DD742),IF(__Retrofit_TI_NC=1,"Emter what you think the existing control was"," Control"))</f>
        <v xml:space="preserve"> Control</v>
      </c>
      <c r="AG742" s="1432"/>
      <c r="AH742" s="1432"/>
      <c r="AI742" s="1432"/>
      <c r="AJ742" s="1433">
        <f>DF742</f>
        <v>0</v>
      </c>
      <c r="AK742" s="1435" t="str">
        <f>IFERROR(ROUND(AJ742*AC742,0),"")</f>
        <v/>
      </c>
      <c r="AL742" s="1437">
        <f>IFERROR(IF(HW742=FALSE,0,AC742-AK742),0)</f>
        <v>0</v>
      </c>
      <c r="AM742" s="1439">
        <f>AL742-AL744</f>
        <v>0</v>
      </c>
      <c r="AN742" s="1440"/>
      <c r="AO742" s="1445">
        <f>IFERROR(IF(HW742=FALSE,0,(T744*U745)+(AE744*AF745)),0)</f>
        <v>0</v>
      </c>
      <c r="AP742" s="1445"/>
      <c r="AQ742" s="1446"/>
      <c r="AR742" s="1451" t="s">
        <v>157</v>
      </c>
      <c r="AS742" s="1454">
        <f>IF(AR742="Yes",1,0)</f>
        <v>1</v>
      </c>
      <c r="AT742" s="1457" t="str">
        <f>IF(OR(DN742=4,DN742=5,DN742=6,DN742=12),CONCATENATE("$",IF(GD742=TRUE,Lookup!$B$11,Lookup!$B$2)," /lamp"),CONCATENATE(EA742,"/ kWh"))</f>
        <v>0/ kWh</v>
      </c>
      <c r="AU742" s="516"/>
      <c r="AV742" s="1478">
        <f>IFERROR(IF(GI743=TRUE,(AB745*T744)/R744,0),"NA")</f>
        <v>0</v>
      </c>
      <c r="AW742" s="1478" t="str">
        <f>IFERROR(N744*_C406_reduction,"NA")</f>
        <v>NA</v>
      </c>
      <c r="BC742" s="38"/>
      <c r="BD742" s="38"/>
      <c r="BE742" s="38"/>
      <c r="BF742" s="38"/>
      <c r="BG742" s="38"/>
      <c r="BH742" s="38"/>
      <c r="BI742" s="38"/>
      <c r="BJ742" s="38"/>
      <c r="BK742" s="38"/>
      <c r="BL742" s="38"/>
      <c r="BM742" s="38"/>
      <c r="BN742" s="38"/>
      <c r="BO742" s="38"/>
      <c r="BP742" s="38"/>
      <c r="BQ742" s="38"/>
      <c r="BR742" s="38"/>
      <c r="BS742" s="38"/>
      <c r="BT742" s="38"/>
      <c r="BU742" s="38"/>
      <c r="BV742" s="38"/>
      <c r="BW742" s="38"/>
      <c r="BX742" s="38"/>
      <c r="BY742" s="38"/>
      <c r="BZ742" s="38"/>
      <c r="CA742" s="38"/>
      <c r="CB742" s="38"/>
      <c r="CC742" s="38"/>
      <c r="CD742" s="38"/>
      <c r="CE742" s="38"/>
      <c r="CF742" s="38"/>
      <c r="CG742" s="38"/>
      <c r="CH742" s="38"/>
      <c r="CI742" s="38"/>
      <c r="CM742" s="1352" t="str">
        <f>N743</f>
        <v/>
      </c>
      <c r="CN742" s="1352" t="str">
        <f>IFERROR(VLOOKUP(G743,_Lookup_Heat_Type_Table_New,3,FALSE),"")</f>
        <v/>
      </c>
      <c r="CO742" s="1415" t="str">
        <f>CN742</f>
        <v/>
      </c>
      <c r="CP742" s="1417" t="e">
        <f>VLOOKUP(G744,'Space Table'!$B$3:$L$160,9,FALSE)</f>
        <v>#N/A</v>
      </c>
      <c r="CR742" s="1386" t="s">
        <v>283</v>
      </c>
      <c r="CS742" s="1353">
        <f>IF(HW742=TRUE,T743,0)</f>
        <v>0</v>
      </c>
      <c r="CT742" s="1353" t="str">
        <f>IF(HW742=TRUE,U743,"")</f>
        <v/>
      </c>
      <c r="CU742" s="1353"/>
      <c r="CV742" s="1370">
        <f>IF(HW742=TRUE,AB742,0)</f>
        <v>0</v>
      </c>
      <c r="CW742" s="1370">
        <f>IF(HW742=TRUE,AC742,0)</f>
        <v>0</v>
      </c>
      <c r="CX742" s="1370">
        <f>IFERROR(IF(HW742=TRUE,CW742-CW744,0),0)</f>
        <v>0</v>
      </c>
      <c r="CY742" s="1485">
        <f>IF(HW742=TRUE,AD742,0)</f>
        <v>0</v>
      </c>
      <c r="CZ742" s="1485">
        <f>IF(HW742=TRUE,AD745,0)</f>
        <v>0</v>
      </c>
      <c r="DA742" s="1485">
        <f>IFERROR(CY742-CZ742,0)</f>
        <v>0</v>
      </c>
      <c r="DC742" s="1353">
        <f>IF(HW742=TRUE,AE743,0)</f>
        <v>0</v>
      </c>
      <c r="DD742" s="1460">
        <f>IF(__Retrofit_TI_NC=2,IF(CN742="Exterior",O745,FM742),FK742)</f>
        <v>0</v>
      </c>
      <c r="DE742" s="1353"/>
      <c r="DF742" s="1406">
        <f>IFERROR(IF(FL742=3,IK742,IF(FL742=4,IL742,IF(FL742=5,IM742,IF(FL742=6,IN742,IF(FL742=7,IO742,IF(FL742=8,IP742,0)))))),0)</f>
        <v>0</v>
      </c>
      <c r="DG742" s="1370">
        <f>IF(HW742=TRUE,AK742,0)</f>
        <v>0</v>
      </c>
      <c r="DH742" s="1369">
        <f>IFERROR(IF(HW742=TRUE,DG744-DG742,0),0)</f>
        <v>0</v>
      </c>
      <c r="DJ742" s="1483">
        <f>IFERROR(CW742-DG742,0)</f>
        <v>0</v>
      </c>
      <c r="DL742" s="1419">
        <f>DJ742-DK744</f>
        <v>0</v>
      </c>
      <c r="DN742" s="1403" t="str">
        <f>IFERROR(IF(AND(OR(FY742=4,FY742=5,FY742=6),OR(GB742=4,GB742=5,GB742=6)),FY742+8,VLOOKUP(CT744,Fixtures!R$31:Y$78,8,FALSE)),"")</f>
        <v/>
      </c>
      <c r="DO742" s="1404" t="str">
        <f>DN742</f>
        <v/>
      </c>
      <c r="DP742" s="1353" t="str">
        <f>IFERROR(VLOOKUP(DD744,Lookup!AU$3:AV$15,2,FALSE),"")</f>
        <v/>
      </c>
      <c r="DQ742" s="1404" t="str">
        <f>IF(DP742=7,"LLLC","")</f>
        <v/>
      </c>
      <c r="DR742" s="1403">
        <f>IFERROR(IF(OR(DN742=4,DN742=5,DN742=6,DN742=12,DN742=13,DN742=14),VLOOKUP(CT744,Fixtures!DN$27:EG$77,19,FALSE),1)*CS744,0)</f>
        <v>0</v>
      </c>
      <c r="DS742" s="1489">
        <f>IF(DP742=7,IF(DD742=DD744,0,DC744),0)</f>
        <v>0</v>
      </c>
      <c r="DU742" s="1403" t="str">
        <f>IFERROR(IF(EW742&lt;EW744,"Yes","No"),"")</f>
        <v/>
      </c>
      <c r="DV742" s="1404" t="str">
        <f>DU742</f>
        <v/>
      </c>
      <c r="DW742" s="1403">
        <f>IF(DU742="Yes",DC744,0)</f>
        <v>0</v>
      </c>
      <c r="DX742" s="1403">
        <f>DW742-DS742</f>
        <v>0</v>
      </c>
      <c r="DZ742" s="1481">
        <f>IFERROR(VLOOKUP(DN742,Lookup!AN$3:AO$16,2,FALSE),0)</f>
        <v>0</v>
      </c>
      <c r="EA742" s="1481">
        <f>IF(HW742=FALSE,0,IF(DU742="Yes",DZ742+Lookup!B$6,DZ742))</f>
        <v>0</v>
      </c>
      <c r="EC742" s="1482">
        <f>IF(HW742=TRUE,DJ742,0)</f>
        <v>0</v>
      </c>
      <c r="ED742" s="1369">
        <f>IF(HW742=TRUE,CW744,0)</f>
        <v>0</v>
      </c>
      <c r="EE742" s="1370">
        <f>IFERROR(EC742-ED742,0)</f>
        <v>0</v>
      </c>
      <c r="EF742" s="1369">
        <f>IF(HW742=TRUE,DG744,0)</f>
        <v>0</v>
      </c>
      <c r="EG742" s="1369">
        <f>IFERROR(EC742-ED742+EF742,0)</f>
        <v>0</v>
      </c>
      <c r="EH742" s="1373">
        <f>IF(HW742=TRUE,CS744*CU744,0)</f>
        <v>0</v>
      </c>
      <c r="EI742" s="1373">
        <f>IF(HW742=TRUE,DC744*DE744,0)</f>
        <v>0</v>
      </c>
      <c r="EJ742" s="1363">
        <f>AO742</f>
        <v>0</v>
      </c>
      <c r="EK742" s="1376" t="str">
        <f>IFERROR(IF(HW742=TRUE,VLOOKUP(DN742,Lookup!AN$3:AP$16,3,FALSE)*DR742,""),0)</f>
        <v/>
      </c>
      <c r="EL742" s="1376">
        <f>IF(HW742=TRUE,DW742*Lookup!AP$12,0)</f>
        <v>0</v>
      </c>
      <c r="EM742" s="1362">
        <f>IFERROR(IF(HW742=TRUE,EK742/EM$33,0),0)</f>
        <v>0</v>
      </c>
      <c r="EN742" s="1362">
        <f>IF(HW742=TRUE,EL742/EN$33,0)</f>
        <v>0</v>
      </c>
      <c r="EO742" s="1363">
        <f>IF(HW742=TRUE,EQ$33*EM742,0)</f>
        <v>0</v>
      </c>
      <c r="EP742" s="1363">
        <f>IF(HW742=TRUE,EQ$33*EN742,0)</f>
        <v>0</v>
      </c>
      <c r="EQ742" s="1363">
        <f>EO742+EP742</f>
        <v>0</v>
      </c>
      <c r="ES742" s="1403">
        <f>IF(G742="",0,1)</f>
        <v>0</v>
      </c>
      <c r="EU742" s="1410" t="e">
        <f>VLOOKUP(CP744,'Space Table'!$B$3:$L$160,8,FALSE)</f>
        <v>#N/A</v>
      </c>
      <c r="EV742" s="1410" t="e">
        <f>IF(EY742="Yes",VLOOKUP(DD742,Lookup_Control_Type_Table2,4,FALSE),VLOOKUP(DD742,Lookup_Control_Type_Table2,3,FALSE))</f>
        <v>#N/A</v>
      </c>
      <c r="EW742" s="1410" t="e">
        <f>VLOOKUP(DD742,Lookup!AU$3:AV$15,2,FALSE)</f>
        <v>#N/A</v>
      </c>
      <c r="EX742" s="1410" t="e">
        <f>VLOOKUP(EU742,Lookup_Control_Type_Table,2,FALSE)</f>
        <v>#N/A</v>
      </c>
      <c r="EY742" s="1410" t="e">
        <f>VLOOKUP(CP744,'Space Table'!$B$3:$L$160,7,FALSE)</f>
        <v>#N/A</v>
      </c>
      <c r="EZ742" s="1412" t="b">
        <f>ISNUMBER(SEARCH("TLED",U744))</f>
        <v>0</v>
      </c>
      <c r="FB742" s="1365" t="str">
        <f>CONCATENATE(CN742," - ",DD742)</f>
        <v xml:space="preserve"> - 0</v>
      </c>
      <c r="FD742" s="1353" t="str">
        <f>VLOOKUP(CT744,Fixtures!DN$27:EZ$77,38,FALSE)</f>
        <v/>
      </c>
      <c r="FE742" s="1353">
        <f>IFERROR(FD742*EE742,0)</f>
        <v>0</v>
      </c>
      <c r="FF742" s="138"/>
      <c r="FI742" s="1356" t="str">
        <f>IF(CN742="Exterior","Not Daylighted",G745)</f>
        <v>Not Daylighted</v>
      </c>
      <c r="FJ742" s="1356">
        <f>VLOOKUP(FI742,_Daylight_Table_Codes,2,FALSE)</f>
        <v>0</v>
      </c>
      <c r="FK742" s="1365">
        <f>IF(__Retrofit_TI_NC=2,VLOOKUP(G744,'Space Table'!$B$3:$L$160,11,FALSE),AF743)</f>
        <v>0</v>
      </c>
      <c r="FL742" s="1365" t="e">
        <f>VLOOKUP(FK742,_Control_Table,2,FALSE)</f>
        <v>#N/A</v>
      </c>
      <c r="FM742" s="1365" t="e">
        <f>IF(AND(FP742&gt;0,FK742="Occupancy Sensor"),"Daylight + Occupancy",IF(AND(FP742&gt;0,FL742&lt;4),"Interior Daylight Dimming",FK742))</f>
        <v>#N/A</v>
      </c>
      <c r="FO742" s="1364">
        <f>IF(CO742="Interior",VLOOKUP(CP742,Control_Savings_Interior,5,FALSE),0)</f>
        <v>0</v>
      </c>
      <c r="FP742" s="1361">
        <f>IF(CN742="Exterior",0,IF(FJ742=2,0.5,IF(OR(FJ742=1,FJ742=3),1,0)))</f>
        <v>0</v>
      </c>
      <c r="FQ742" s="1366"/>
      <c r="FR742" s="1367"/>
      <c r="FS742" s="1364"/>
      <c r="FT742" s="1367"/>
      <c r="FU742" s="1360"/>
      <c r="FW742" s="1352" t="str">
        <f>IFERROR(VLOOKUP(U743,_Exist_Fixture_Table,3,FALSE),"")</f>
        <v/>
      </c>
      <c r="FX742" s="1352" t="str">
        <f>VLOOKUP(CT742,_Exist_Fixture_Table,4,FALSE)</f>
        <v/>
      </c>
      <c r="FY742" s="1352">
        <f>IFERROR(VLOOKUP(FX742,Lookup!AM$6:AN$8,2,FALSE),0)</f>
        <v>0</v>
      </c>
      <c r="FZ742" s="1352" t="b">
        <f>IFERROR(IF(OR(GB742=4,GB742=5,GB742=6),TRUE,FALSE),"")</f>
        <v>0</v>
      </c>
      <c r="GA742" s="1352" t="str">
        <f>IFERROR(VLOOKUP(GB742,FY$6:FZ$10,2,FALSE),"")</f>
        <v/>
      </c>
      <c r="GB742" s="1352" t="str">
        <f>VLOOKUP(CT744,Fixtures!R$31:Y$78,8,FALSE)</f>
        <v/>
      </c>
      <c r="GC742" s="1352">
        <f>IF(AND(FW742=TRUE,FZ742=TRUE,OR(DN742=12,DN742=13,DN742=14)),FY742+8,0)</f>
        <v>0</v>
      </c>
      <c r="GD742" s="1352" t="b">
        <f>IF(OR(GC742=12,GC742=13,GC742=14),TRUE,FALSE)</f>
        <v>0</v>
      </c>
      <c r="GE742" s="759" t="b">
        <f>IF(ISNUMBER(SEARCH("TLED",U743)),TRUE,FALSE)</f>
        <v>0</v>
      </c>
      <c r="GF742" s="1035" t="str">
        <f>IFERROR(VLOOKUP(U743,Fixtures!BM$93:BR$142,6,FALSE),"")</f>
        <v/>
      </c>
      <c r="GG742" s="1385" t="b">
        <f>IF(OR(GE742=FALSE,GE744=FALSE),TRUE,IF(GF742-GF744&lt;5,FALSE,TRUE))</f>
        <v>1</v>
      </c>
      <c r="GK742" s="1034">
        <f>GL742</f>
        <v>0</v>
      </c>
      <c r="GL742" s="1034">
        <f>IF(G742="",0,1)</f>
        <v>0</v>
      </c>
      <c r="GM742" s="1034">
        <f>SUM(GN742:HB742)</f>
        <v>2</v>
      </c>
      <c r="GN742" s="1034">
        <f>IF(G743="",0,1)</f>
        <v>0</v>
      </c>
      <c r="GO742" s="1034">
        <f>IF(G744="",0,1)</f>
        <v>0</v>
      </c>
      <c r="GP742" s="1034">
        <f>IF(R743="",0,1)</f>
        <v>0</v>
      </c>
      <c r="GQ742" s="1034">
        <f>IF(__Retrofit_TI_NC=0,1,IF(R744="",0,1))</f>
        <v>1</v>
      </c>
      <c r="GR742" s="1034">
        <f>IF(CN742="Exterior",1,IF(G745="",0,1))</f>
        <v>1</v>
      </c>
      <c r="GS742" s="1034">
        <f>IF(__Retrofit_TI_NC&lt;&gt;0,1,IF(T743="",0,1))</f>
        <v>0</v>
      </c>
      <c r="GT742" s="1034">
        <f>IF(__Retrofit_TI_NC&lt;&gt;0,1,IF(U743="",0,1))</f>
        <v>0</v>
      </c>
      <c r="GU742" s="1034">
        <f>IF(T744="",0,1)</f>
        <v>0</v>
      </c>
      <c r="GV742" s="1034">
        <f>IF(U744="",0,1)</f>
        <v>0</v>
      </c>
      <c r="GW742" s="1034">
        <f>IF(__Retrofit_TI_NC=2,1,IF(U745="",0,1))</f>
        <v>0</v>
      </c>
      <c r="GX742" s="1034">
        <f>IF(__Retrofit_TI_NC&lt;&gt;0,1,IF(AE743="",0,1))</f>
        <v>0</v>
      </c>
      <c r="GY742" s="1034">
        <f>IF(__Retrofit_TI_NC&lt;&gt;0,1,IF(AF743="",0,1))</f>
        <v>0</v>
      </c>
      <c r="GZ742" s="1034">
        <f>IF(AE744="",0,1)</f>
        <v>0</v>
      </c>
      <c r="HA742" s="1034">
        <f>IF(AF744="",0,1)</f>
        <v>0</v>
      </c>
      <c r="HB742" s="1034">
        <f>IF(__Retrofit_TI_NC=2,1,IF(AF745="",0,1))</f>
        <v>0</v>
      </c>
      <c r="HV742" s="436"/>
      <c r="HW742" s="1384" t="b">
        <f>IF(OR(HW745=0,HW745=HT$16,HW745=HS$16,HW745=HU$16),TRUE,FALSE)</f>
        <v>0</v>
      </c>
      <c r="HX742" s="1377" t="b">
        <f>HW742</f>
        <v>0</v>
      </c>
      <c r="HY742" s="436"/>
      <c r="HZ742" s="436"/>
      <c r="IA742" s="1386" t="b">
        <f>IF(MAX(GJ745:HP745)&gt;5,FALSE,TRUE)</f>
        <v>0</v>
      </c>
      <c r="IB742" s="1380">
        <f>IF(IA742=TRUE,AC742,0)</f>
        <v>0</v>
      </c>
      <c r="IC742" s="1380">
        <f>IB742-IB744</f>
        <v>0</v>
      </c>
      <c r="IF742" s="1380" t="e">
        <f>ROUND(T743*VLOOKUP(U743,Fixtures_Existing_List,2,FALSE)*N743*R743/1000,0)</f>
        <v>#N/A</v>
      </c>
      <c r="IG742" s="1381" t="e">
        <f>IF742-IF744</f>
        <v>#N/A</v>
      </c>
      <c r="IH742" s="1384" t="e">
        <f>ROUND(IF(CN742="Interior",N744*R744*R743*N743*_C406_reduction/1000,N744*R744*R743*N743/1000),0)</f>
        <v>#N/A</v>
      </c>
      <c r="II742" s="1384" t="e">
        <f>IH742-IH744</f>
        <v>#N/A</v>
      </c>
      <c r="IK742" s="1351" t="e">
        <f>IF($CO742="interior",IL742/2,VLOOKUP($CP742,Control_Savings_Exterior,IK$30,FALSE))</f>
        <v>#N/A</v>
      </c>
      <c r="IL742" s="1351" t="e">
        <f>IF($CO742="interior",VLOOKUP($CP742,Control_Savings_Interior,IL$30,FALSE),VLOOKUP($CP742,Control_Savings_Exterior,IL$30,FALSE))</f>
        <v>#N/A</v>
      </c>
      <c r="IM742" s="1351" t="e">
        <f>IF($CO742="interior",IF(R743&gt;FO$37,(IM$28*(FO$37/R743)),IM$28)*FP742,VLOOKUP($CP742,Control_Savings_Exterior,IM$30,FALSE))</f>
        <v>#N/A</v>
      </c>
      <c r="IN742" s="1351" t="e">
        <f>IF($CO742="interior",ROUND(((1-IL742)*IM742)+IL742,2),VLOOKUP($CP742,Control_Savings_Exterior,IN$30,FALSE))</f>
        <v>#N/A</v>
      </c>
      <c r="IO742" s="1351" t="e">
        <f>IF($CO742="interior", ROUND(((1-IL742)*(IM742*(1-IP$28)))+IP742,2), VLOOKUP($CP742,Control_Savings_Exterior,IO$30,FALSE))</f>
        <v>#N/A</v>
      </c>
      <c r="IP742" s="1351">
        <f>IF($CO742="interior",ROUND(((1-IL742)*IP$28)+IL742,2),0)</f>
        <v>0</v>
      </c>
    </row>
    <row r="743" spans="1:250" s="82" customFormat="1" ht="14.95" customHeight="1" thickTop="1" thickBot="1">
      <c r="B743" s="1421"/>
      <c r="C743" s="1422"/>
      <c r="D743" s="1423"/>
      <c r="E743" s="1393" t="s">
        <v>244</v>
      </c>
      <c r="F743" s="1394"/>
      <c r="G743" s="1395"/>
      <c r="H743" s="1395"/>
      <c r="I743" s="1395"/>
      <c r="J743" s="1395"/>
      <c r="K743" s="1395"/>
      <c r="L743" s="1395"/>
      <c r="M743" s="509" t="e">
        <f>IF(__Retrofit_TI_NC&lt;&gt;0,IF(VLOOKUP(G744,'Space Table'!$B$3:$L$160,3,FALSE)&gt;0,1,0),IF(__Retrofit_TI_NC=VLOOKUP(G744,'Space Table'!$B$3:$L$160,3,FALSE),1,0))</f>
        <v>#N/A</v>
      </c>
      <c r="N743" s="509" t="str">
        <f>IFERROR(VLOOKUP(G743,_Lookup_Heat_Type_Table_New,2,FALSE),"")</f>
        <v/>
      </c>
      <c r="O743" s="509">
        <f>IF(__Retrofit_TI_NC=1,CONCATENATE("TI ",G743),IF(__Retrofit_TI_NC=2,CONCATENATE("NC ",G743),G743))</f>
        <v>0</v>
      </c>
      <c r="P743" s="1396" t="s">
        <v>352</v>
      </c>
      <c r="Q743" s="1396"/>
      <c r="R743" s="673"/>
      <c r="S743" s="1429"/>
      <c r="T743" s="675"/>
      <c r="U743" s="1496"/>
      <c r="V743" s="1497"/>
      <c r="W743" s="1497"/>
      <c r="X743" s="1497"/>
      <c r="Y743" s="1497"/>
      <c r="Z743" s="1497"/>
      <c r="AA743" s="1497"/>
      <c r="AB743" s="1497"/>
      <c r="AC743" s="1497"/>
      <c r="AD743" s="1498"/>
      <c r="AE743" s="675"/>
      <c r="AF743" s="1397"/>
      <c r="AG743" s="1397"/>
      <c r="AH743" s="1397"/>
      <c r="AI743" s="1397"/>
      <c r="AJ743" s="1434"/>
      <c r="AK743" s="1436"/>
      <c r="AL743" s="1438"/>
      <c r="AM743" s="1441"/>
      <c r="AN743" s="1442"/>
      <c r="AO743" s="1447"/>
      <c r="AP743" s="1447"/>
      <c r="AQ743" s="1448"/>
      <c r="AR743" s="1452"/>
      <c r="AS743" s="1455"/>
      <c r="AT743" s="1458"/>
      <c r="AU743" s="516"/>
      <c r="AV743" s="1479"/>
      <c r="AW743" s="1479"/>
      <c r="BC743" s="38"/>
      <c r="BD743" s="38"/>
      <c r="BE743" s="38"/>
      <c r="BF743" s="38"/>
      <c r="BG743" s="38"/>
      <c r="BH743" s="38"/>
      <c r="BI743" s="38"/>
      <c r="BJ743" s="38"/>
      <c r="BK743" s="38"/>
      <c r="BL743" s="38"/>
      <c r="BM743" s="38"/>
      <c r="BN743" s="38"/>
      <c r="BO743" s="38"/>
      <c r="BP743" s="38"/>
      <c r="BQ743" s="38"/>
      <c r="BR743" s="38"/>
      <c r="BS743" s="38"/>
      <c r="BT743" s="38"/>
      <c r="BU743" s="38"/>
      <c r="BV743" s="38"/>
      <c r="BW743" s="38"/>
      <c r="BX743" s="38"/>
      <c r="BY743" s="38"/>
      <c r="BZ743" s="38"/>
      <c r="CA743" s="38"/>
      <c r="CB743" s="38"/>
      <c r="CC743" s="38"/>
      <c r="CD743" s="38"/>
      <c r="CE743" s="38"/>
      <c r="CF743" s="38"/>
      <c r="CG743" s="38"/>
      <c r="CH743" s="38"/>
      <c r="CI743" s="38"/>
      <c r="CM743" s="1352"/>
      <c r="CN743" s="1352"/>
      <c r="CO743" s="1416"/>
      <c r="CP743" s="1418"/>
      <c r="CR743" s="1386"/>
      <c r="CS743" s="1355"/>
      <c r="CT743" s="1355"/>
      <c r="CU743" s="1355"/>
      <c r="CV743" s="1372"/>
      <c r="CW743" s="1372"/>
      <c r="CX743" s="1371"/>
      <c r="CY743" s="1486"/>
      <c r="CZ743" s="1486"/>
      <c r="DA743" s="1486"/>
      <c r="DC743" s="1355"/>
      <c r="DD743" s="1461"/>
      <c r="DE743" s="1355"/>
      <c r="DF743" s="1407"/>
      <c r="DG743" s="1372"/>
      <c r="DH743" s="1369"/>
      <c r="DJ743" s="1484"/>
      <c r="DL743" s="1419"/>
      <c r="DN743" s="1403"/>
      <c r="DO743" s="1405"/>
      <c r="DP743" s="1354"/>
      <c r="DQ743" s="1405"/>
      <c r="DR743" s="1403"/>
      <c r="DS743" s="1489"/>
      <c r="DU743" s="1403"/>
      <c r="DV743" s="1405"/>
      <c r="DW743" s="1403"/>
      <c r="DX743" s="1403"/>
      <c r="DZ743" s="1481"/>
      <c r="EA743" s="1481"/>
      <c r="EC743" s="1482"/>
      <c r="ED743" s="1369"/>
      <c r="EE743" s="1371"/>
      <c r="EF743" s="1369"/>
      <c r="EG743" s="1369"/>
      <c r="EH743" s="1374"/>
      <c r="EI743" s="1374"/>
      <c r="EJ743" s="1363"/>
      <c r="EK743" s="1376"/>
      <c r="EL743" s="1376"/>
      <c r="EM743" s="1362"/>
      <c r="EN743" s="1362"/>
      <c r="EO743" s="1363"/>
      <c r="EP743" s="1363"/>
      <c r="EQ743" s="1363"/>
      <c r="ES743" s="1403"/>
      <c r="EU743" s="1411"/>
      <c r="EV743" s="1411"/>
      <c r="EW743" s="1411"/>
      <c r="EX743" s="1411"/>
      <c r="EY743" s="1411"/>
      <c r="EZ743" s="1413"/>
      <c r="FB743" s="1365"/>
      <c r="FD743" s="1354"/>
      <c r="FE743" s="1354"/>
      <c r="FF743" s="138"/>
      <c r="FI743" s="1357"/>
      <c r="FJ743" s="1357"/>
      <c r="FK743" s="1365"/>
      <c r="FL743" s="1365"/>
      <c r="FM743" s="1365"/>
      <c r="FO743" s="1361"/>
      <c r="FP743" s="1361"/>
      <c r="FQ743" s="1366"/>
      <c r="FR743" s="1368"/>
      <c r="FS743" s="1361"/>
      <c r="FT743" s="1368"/>
      <c r="FU743" s="1360"/>
      <c r="FW743" s="1352"/>
      <c r="FX743" s="1352"/>
      <c r="FY743" s="1352"/>
      <c r="FZ743" s="1352"/>
      <c r="GA743" s="1352"/>
      <c r="GB743" s="1352"/>
      <c r="GC743" s="1352"/>
      <c r="GD743" s="1352"/>
      <c r="GE743" s="759"/>
      <c r="GF743" s="1035"/>
      <c r="GG743" s="1385"/>
      <c r="GI743" s="1384" t="b">
        <f>IF(AND(GL743=TRUE,GM743=TRUE),TRUE,FALSE)</f>
        <v>0</v>
      </c>
      <c r="GJ743" s="1379" t="b">
        <f>IFERROR(IF(__Retrofit_TI_NC=2,TRUE,IF(AR742="Yes",TRUE,FALSE)),FALSE)</f>
        <v>1</v>
      </c>
      <c r="GL743" s="1379" t="b">
        <f>IFERROR(IF(GL742=1,TRUE,FALSE),FALSE)</f>
        <v>0</v>
      </c>
      <c r="GM743" s="1379" t="b">
        <f>IFERROR(IF(GM742=GM$14,TRUE,FALSE),FALSE)</f>
        <v>0</v>
      </c>
      <c r="HC743" s="1379" t="b">
        <f>IFERROR(IF(M743=1,TRUE,FALSE),FALSE)</f>
        <v>0</v>
      </c>
      <c r="HD743" s="1379" t="b">
        <f>IFERROR(IF(M744=1,TRUE,FALSE),FALSE)</f>
        <v>0</v>
      </c>
      <c r="HE743" s="1379" t="b">
        <f>IFERROR(IF(__Retrofit_TI_NC&lt;&gt;0,TRUE,IFERROR(IF(VLOOKUP(U743,Fixtures_Existing_List,2,FALSE)&lt;&gt;"",TRUE,FALSE),FALSE)),FALSE)</f>
        <v>0</v>
      </c>
      <c r="HF743" s="1379" t="b">
        <f>IFERROR(IF(VLOOKUP(U744,Fixtures_Proposed_List,2,FALSE)&lt;&gt;"",TRUE,FALSE),FALSE)</f>
        <v>0</v>
      </c>
      <c r="HG743" s="1379" t="b">
        <f>IF(AND(__Retrofit_TI_NC=2,EZ742=TRUE),FALSE,TRUE)</f>
        <v>1</v>
      </c>
      <c r="HH743" s="1379" t="b">
        <f>GG742</f>
        <v>1</v>
      </c>
      <c r="HI743" s="1384" t="b">
        <f>IF(ISERROR(MATCH(FB742,_Control_Match[],0))=TRUE,FALSE,TRUE)</f>
        <v>0</v>
      </c>
      <c r="HJ743" s="1384" t="b">
        <f>IFERROR(IF(EU742&lt;&gt;EV742,FALSE,TRUE),FALSE)</f>
        <v>0</v>
      </c>
      <c r="HK743" s="1384" t="b">
        <f>IFERROR(IF(EU744&lt;&gt;EV744,FALSE,TRUE),FALSE)</f>
        <v>0</v>
      </c>
      <c r="HL743" s="1379" t="b">
        <f>IFERROR(IF(CN742="Exterior",TRUE,IF(OR(AND(FJ742=0,EW744&gt;4),AND(FJ742=4,EW744&gt;4,EW744&lt;7)),FALSE,TRUE)),FALSE)</f>
        <v>0</v>
      </c>
      <c r="HM743" s="1379" t="b">
        <f>IFERROR(IF(AND(FL744=7,EZ742=TRUE),FALSE,TRUE),FALSE)</f>
        <v>0</v>
      </c>
      <c r="HN743" s="1379" t="b">
        <f>IFERROR(IF(AND(T744&lt;&gt;AE744,AF744="Interior LLLC")=TRUE,FALSE,TRUE),FALSE)</f>
        <v>1</v>
      </c>
      <c r="HO743" s="1379" t="b">
        <f>IFERROR(IF(OR(AF744=Lookup!AU$13,AF744=Lookup!AU$14)=TRUE,IF(AE744&gt;T744,FALSE,TRUE),TRUE),FALSE)</f>
        <v>1</v>
      </c>
      <c r="HP743" s="1379" t="b">
        <f>IFERROR(IF(__Retrofit_TI_NC=2,IF(EW744&lt;EW742,FALSE,TRUE),TRUE),FALSE)</f>
        <v>1</v>
      </c>
      <c r="HQ743" s="1379" t="b">
        <f>IF(CN742="Interior",IG$6,TRUE)</f>
        <v>1</v>
      </c>
      <c r="HR743" s="1379" t="b">
        <f>IF(CN742="Exterior",IG$8,TRUE)</f>
        <v>1</v>
      </c>
      <c r="HS743" s="1379" t="b">
        <f>IFERROR(IF(__Retrofit_TI_NC&lt;&gt;0,IF(AW742&lt;AV742,FALSE,TRUE),TRUE),FALSE)</f>
        <v>1</v>
      </c>
      <c r="HT743" s="1379" t="b">
        <f>IFERROR(IF(AND(G743="Exterior",R743&gt;4200),FALSE,TRUE),FALSE)</f>
        <v>1</v>
      </c>
      <c r="HU743" s="1379" t="b">
        <f>IFERROR(IF(AB745/AB742&lt;HU$18,FALSE,TRUE),FALSE)</f>
        <v>0</v>
      </c>
      <c r="HW743" s="1382"/>
      <c r="HX743" s="1378"/>
      <c r="HY743" s="1377" t="str">
        <f>VLOOKUP(HW745,_Error_Table,4,FALSE)</f>
        <v>White</v>
      </c>
      <c r="HZ743" s="436"/>
      <c r="IA743" s="1386"/>
      <c r="IB743" s="1380"/>
      <c r="IC743" s="1379"/>
      <c r="IF743" s="1380"/>
      <c r="IG743" s="1382"/>
      <c r="IH743" s="1382"/>
      <c r="II743" s="1382"/>
      <c r="IK743" s="1351"/>
      <c r="IL743" s="1351"/>
      <c r="IM743" s="1351"/>
      <c r="IN743" s="1351"/>
      <c r="IO743" s="1351"/>
      <c r="IP743" s="1351"/>
    </row>
    <row r="744" spans="1:250" s="82" customFormat="1" ht="14.95" customHeight="1" thickTop="1" thickBot="1">
      <c r="A744" s="82">
        <f>ROW()</f>
        <v>744</v>
      </c>
      <c r="B744" s="1421"/>
      <c r="C744" s="1422"/>
      <c r="D744" s="1423"/>
      <c r="E744" s="1393" t="s">
        <v>245</v>
      </c>
      <c r="F744" s="1394"/>
      <c r="G744" s="1398"/>
      <c r="H744" s="1399"/>
      <c r="I744" s="1399"/>
      <c r="J744" s="1399"/>
      <c r="K744" s="1399"/>
      <c r="L744" s="1400"/>
      <c r="M744" s="509">
        <f>IFERROR(IF(IF(__Retrofit_TI_NC&lt;&gt;0,IF(CN742="Interior",MATCH(G744,Lookup_Interior_New,0),MATCH(G744,Lookup_Exterior_New,0)),IF(CN742="Interior",MATCH(G744,Lookup_Interior,0),MATCH(G744,Lookup_Exterior_Areas,0)))&gt;0,1,0),0)</f>
        <v>0</v>
      </c>
      <c r="N744" s="509" t="e">
        <f>IF(__Retrofit_TI_NC=1,
VLOOKUP(G744,'Space Table'!$B$3:$L$160,4,FALSE),
IF(__Retrofit_TI_NC=2,VLOOKUP(G744,'Space Table'!$B$3:$L$160,5,FALSE),VLOOKUP(G744,'Space Table'!$B$3:$L$160,5,FALSE)))</f>
        <v>#N/A</v>
      </c>
      <c r="O744" s="509">
        <f>G744</f>
        <v>0</v>
      </c>
      <c r="P744" s="1394" t="s">
        <v>355</v>
      </c>
      <c r="Q744" s="1394"/>
      <c r="R744" s="674"/>
      <c r="S744" s="1401" t="s">
        <v>284</v>
      </c>
      <c r="T744" s="672"/>
      <c r="U744" s="1499"/>
      <c r="V744" s="1500"/>
      <c r="W744" s="1500"/>
      <c r="X744" s="1500"/>
      <c r="Y744" s="1500"/>
      <c r="Z744" s="1500"/>
      <c r="AA744" s="1500"/>
      <c r="AB744" s="1501"/>
      <c r="AC744" s="1501"/>
      <c r="AD744" s="1502"/>
      <c r="AE744" s="672"/>
      <c r="AF744" s="1474"/>
      <c r="AG744" s="1474"/>
      <c r="AH744" s="1474"/>
      <c r="AI744" s="1474"/>
      <c r="AJ744" s="1475">
        <f>DF744</f>
        <v>0</v>
      </c>
      <c r="AK744" s="1470" t="str">
        <f>IFERROR(ROUND(AJ744*AC745,0),"")</f>
        <v/>
      </c>
      <c r="AL744" s="1472">
        <f>IFERROR(IF(HW742=FALSE,0,AC745-AK744),0)</f>
        <v>0</v>
      </c>
      <c r="AM744" s="1441"/>
      <c r="AN744" s="1442"/>
      <c r="AO744" s="1447"/>
      <c r="AP744" s="1447"/>
      <c r="AQ744" s="1448"/>
      <c r="AR744" s="1452"/>
      <c r="AS744" s="1455"/>
      <c r="AT744" s="1458"/>
      <c r="AU744" s="516"/>
      <c r="AV744" s="1479"/>
      <c r="AW744" s="1479"/>
      <c r="BC744" s="38"/>
      <c r="BD744" s="38"/>
      <c r="BE744" s="38"/>
      <c r="BF744" s="38"/>
      <c r="BG744" s="38"/>
      <c r="BH744" s="38"/>
      <c r="BI744" s="38"/>
      <c r="BJ744" s="38"/>
      <c r="BK744" s="38"/>
      <c r="BL744" s="38"/>
      <c r="BM744" s="38"/>
      <c r="BN744" s="38"/>
      <c r="BO744" s="38"/>
      <c r="BP744" s="38"/>
      <c r="BQ744" s="38"/>
      <c r="BR744" s="38"/>
      <c r="BS744" s="38"/>
      <c r="BT744" s="38"/>
      <c r="BU744" s="38"/>
      <c r="BV744" s="38"/>
      <c r="BW744" s="38"/>
      <c r="BX744" s="38"/>
      <c r="BY744" s="38"/>
      <c r="BZ744" s="38"/>
      <c r="CA744" s="38"/>
      <c r="CB744" s="38"/>
      <c r="CC744" s="38"/>
      <c r="CD744" s="38"/>
      <c r="CE744" s="38"/>
      <c r="CF744" s="38"/>
      <c r="CG744" s="38"/>
      <c r="CH744" s="38"/>
      <c r="CI744" s="38"/>
      <c r="CM744" s="1352"/>
      <c r="CN744" s="1352"/>
      <c r="CO744" s="1415" t="str">
        <f>CN742</f>
        <v/>
      </c>
      <c r="CP744" s="1417" t="e">
        <f>CP742</f>
        <v>#N/A</v>
      </c>
      <c r="CR744" s="1386" t="s">
        <v>284</v>
      </c>
      <c r="CS744" s="1353">
        <f>IF(HW742=TRUE,T744,0)</f>
        <v>0</v>
      </c>
      <c r="CT744" s="1353" t="str">
        <f>IF(HW742=TRUE,U744,"")</f>
        <v/>
      </c>
      <c r="CU744" s="1373">
        <f>IF(HW742=TRUE,U745,0)</f>
        <v>0</v>
      </c>
      <c r="CV744" s="1370">
        <f>IF(HW742=TRUE,AB745,0)</f>
        <v>0</v>
      </c>
      <c r="CW744" s="1370">
        <f>IF(HW742=TRUE,AC745,0)</f>
        <v>0</v>
      </c>
      <c r="CX744" s="1371"/>
      <c r="CY744" s="1486"/>
      <c r="CZ744" s="1486"/>
      <c r="DA744" s="1486"/>
      <c r="DC744" s="1353">
        <f>IF(HW742=TRUE,AE744,0)</f>
        <v>0</v>
      </c>
      <c r="DD744" s="1353" t="str">
        <f>IF(HW742=TRUE,AF744,"")</f>
        <v/>
      </c>
      <c r="DE744" s="1373">
        <f>AF745</f>
        <v>0</v>
      </c>
      <c r="DF744" s="1406">
        <f>IFERROR(IF(FL744=3,IK744,IF(FL744=4,IL744,IF(FL744=5,IM744,IF(FL744=6,IN744,IF(FL744=7,IO744,IF(FL744=8,IP744,0)))))),0)</f>
        <v>0</v>
      </c>
      <c r="DG744" s="1370">
        <f>IF(HW742=TRUE,AK744,0)</f>
        <v>0</v>
      </c>
      <c r="DH744" s="1369"/>
      <c r="DK744" s="1483">
        <f>IFERROR(CW744-DG744,0)</f>
        <v>0</v>
      </c>
      <c r="DL744" s="1420"/>
      <c r="DN744" s="1403"/>
      <c r="DO744" s="1477" t="str">
        <f>DN742</f>
        <v/>
      </c>
      <c r="DP744" s="1354"/>
      <c r="DQ744" s="1477" t="str">
        <f>IF(DP742=7,"LLLC","")</f>
        <v/>
      </c>
      <c r="DR744" s="1403"/>
      <c r="DS744" s="1489"/>
      <c r="DU744" s="1403"/>
      <c r="DV744" s="1404" t="str">
        <f>DU742</f>
        <v/>
      </c>
      <c r="DW744" s="1403"/>
      <c r="DX744" s="1403"/>
      <c r="DZ744" s="1481"/>
      <c r="EA744" s="1481"/>
      <c r="EC744" s="1482"/>
      <c r="ED744" s="1369"/>
      <c r="EE744" s="1371"/>
      <c r="EF744" s="1369"/>
      <c r="EG744" s="1369"/>
      <c r="EH744" s="1374"/>
      <c r="EI744" s="1374"/>
      <c r="EJ744" s="1363"/>
      <c r="EK744" s="1376"/>
      <c r="EL744" s="1376"/>
      <c r="EM744" s="1362"/>
      <c r="EN744" s="1362"/>
      <c r="EO744" s="1363"/>
      <c r="EP744" s="1363"/>
      <c r="EQ744" s="1363"/>
      <c r="ES744" s="1403"/>
      <c r="EU744" s="1411" t="e">
        <f>VLOOKUP(CP744,'Space Table'!$B$3:$L$160,8,FALSE)</f>
        <v>#N/A</v>
      </c>
      <c r="EV744" s="1411" t="e">
        <f>IF(EY744="Yes",VLOOKUP(AF744,Lookup_Control_Type_Table2,4,FALSE),VLOOKUP(AF744,Lookup_Control_Type_Table2,3,FALSE))</f>
        <v>#N/A</v>
      </c>
      <c r="EW744" s="1411" t="e">
        <f>VLOOKUP(AF744,Lookup!AU$3:AV$15,2,FALSE)</f>
        <v>#N/A</v>
      </c>
      <c r="EX744" s="1411" t="e">
        <f>VLOOKUP(EU742,Lookup_Control_Type_Table,2,FALSE)</f>
        <v>#N/A</v>
      </c>
      <c r="EY744" s="1411" t="e">
        <f>VLOOKUP(CP744,'Space Table'!$B$3:$L$160,7,FALSE)</f>
        <v>#N/A</v>
      </c>
      <c r="EZ744" s="1413"/>
      <c r="FB744" s="1365" t="str">
        <f>CONCATENATE(CN742," - ",AF744)</f>
        <v xml:space="preserve"> - </v>
      </c>
      <c r="FD744" s="1354"/>
      <c r="FE744" s="1354"/>
      <c r="FF744" s="138"/>
      <c r="FI744" s="1356" t="str">
        <f>IF(CN742="Exterior","Not Daylighted",G745)</f>
        <v>Not Daylighted</v>
      </c>
      <c r="FJ744" s="1356">
        <f>VLOOKUP(FI744,_Daylight_Table_Codes,2,FALSE)</f>
        <v>0</v>
      </c>
      <c r="FK744" s="1365">
        <f>AF744</f>
        <v>0</v>
      </c>
      <c r="FL744" s="1365" t="e">
        <f>VLOOKUP(FK744,_Control_Table,2,FALSE)</f>
        <v>#N/A</v>
      </c>
      <c r="FM744" s="1365" t="e">
        <f>IF(AND(FP744&gt;0,FK744="Occupancy Sensor"),"Daylight + Occupancy",IF(AND(FP744&gt;0,FL744&lt;4),"Interior Daylight Dimming",FK744))</f>
        <v>#N/A</v>
      </c>
      <c r="FO744" s="1364">
        <f>IF(CN742="Interior",VLOOKUP(CP742,Control_Savings_Interior,5,FALSE),0)</f>
        <v>0</v>
      </c>
      <c r="FP744" s="1361">
        <f>IF(CN744="Exterior",0,IF(FJ744=2,0.5,IF(OR(FJ744=1,FJ744=3),1,0)))</f>
        <v>0</v>
      </c>
      <c r="FQ744" s="1366">
        <f>IF(R743&gt;FO$37,(FO744*(FO$37/R743)),FO744)*FP744</f>
        <v>0</v>
      </c>
      <c r="FR744" s="1364">
        <f>DF744</f>
        <v>0</v>
      </c>
      <c r="FS744" s="1364">
        <f>ROUND(FR744+((1-FR744)*FQ744),2)</f>
        <v>0</v>
      </c>
      <c r="FT744" s="1364">
        <f>IF(__Retrofit_TI_NC=2,FS744,FR744)</f>
        <v>0</v>
      </c>
      <c r="FU744" s="1360">
        <f>IF(CO744="Interior",VLOOKUP(CP744,Control_Savings_Interior,4,FALSE),0)</f>
        <v>0</v>
      </c>
      <c r="FW744" s="1352"/>
      <c r="FX744" s="1352"/>
      <c r="FY744" s="1352"/>
      <c r="FZ744" s="1352"/>
      <c r="GA744" s="1352"/>
      <c r="GB744" s="1352"/>
      <c r="GC744" s="1352"/>
      <c r="GD744" s="1352"/>
      <c r="GE744" s="759" t="b">
        <f>IF(ISNUMBER(SEARCH("TLED",U744)),TRUE,FALSE)</f>
        <v>0</v>
      </c>
      <c r="GF744" s="1035" t="str">
        <f>IFERROR(VLOOKUP(U744,Fixtures!DM$93:DR$142,6,FALSE),"")</f>
        <v/>
      </c>
      <c r="GG744" s="1385"/>
      <c r="GI744" s="1383"/>
      <c r="GJ744" s="1379"/>
      <c r="GL744" s="1379"/>
      <c r="GM744" s="1379"/>
      <c r="HC744" s="1379"/>
      <c r="HD744" s="1379"/>
      <c r="HE744" s="1379"/>
      <c r="HF744" s="1379"/>
      <c r="HG744" s="1379"/>
      <c r="HH744" s="1379"/>
      <c r="HI744" s="1383"/>
      <c r="HJ744" s="1383"/>
      <c r="HK744" s="1383"/>
      <c r="HL744" s="1379"/>
      <c r="HM744" s="1379"/>
      <c r="HN744" s="1379"/>
      <c r="HO744" s="1379"/>
      <c r="HP744" s="1379"/>
      <c r="HQ744" s="1379"/>
      <c r="HR744" s="1379"/>
      <c r="HS744" s="1379"/>
      <c r="HT744" s="1379"/>
      <c r="HU744" s="1379"/>
      <c r="HW744" s="1383"/>
      <c r="HX744" s="1384" t="b">
        <f>HW742</f>
        <v>0</v>
      </c>
      <c r="HY744" s="1378"/>
      <c r="HZ744" s="436"/>
      <c r="IA744" s="1386"/>
      <c r="IB744" s="1380">
        <f>IF(IA742=TRUE,AC745,0)</f>
        <v>0</v>
      </c>
      <c r="IC744" s="1379"/>
      <c r="IF744" s="1380" t="e">
        <f>ROUND(T744*AB745*N743*R743/1000,0)</f>
        <v>#VALUE!</v>
      </c>
      <c r="IG744" s="1382"/>
      <c r="IH744" s="1384" t="e">
        <f>ROUND(T744*AB745*N743*R743/1000,0)</f>
        <v>#VALUE!</v>
      </c>
      <c r="II744" s="1382"/>
      <c r="IK744" s="1351" t="e">
        <f>IF($CO744="interior",IL744/2,VLOOKUP($CP744,Control_Savings_Exterior,IK$30,FALSE))</f>
        <v>#N/A</v>
      </c>
      <c r="IL744" s="1351" t="e">
        <f>IF($CO744="interior",VLOOKUP($CP744,Control_Savings_Interior,IL$30,FALSE),VLOOKUP($CP744,Control_Savings_Exterior,IL$30,FALSE))</f>
        <v>#N/A</v>
      </c>
      <c r="IM744" s="1351" t="e">
        <f>IF($CO744="interior",IF(R743&gt;FO$37,(IM$28*(FO$37/R743)),IM$28)*FP744,VLOOKUP($CP744,Control_Savings_Exterior,IM$30,FALSE))</f>
        <v>#N/A</v>
      </c>
      <c r="IN744" s="1351" t="e">
        <f>IF($CO744="interior",ROUND(((1-IL744)*IM744)+IL744,2),VLOOKUP($CP744,Control_Savings_Exterior,IN$30,FALSE))</f>
        <v>#N/A</v>
      </c>
      <c r="IO744" s="1351" t="e">
        <f>IF($CO744="interior", ROUND(((1-IL744)*(IM744*(1-IP$28)))+IP744,2), VLOOKUP($CP744,Control_Savings_Exterior,IO$30,FALSE))</f>
        <v>#N/A</v>
      </c>
      <c r="IP744" s="1351">
        <f>IF($CO744="interior",ROUND(((1-IL744)*IP$28)+IL744,2),0)</f>
        <v>0</v>
      </c>
    </row>
    <row r="745" spans="1:250" s="82" customFormat="1" ht="14.95" customHeight="1" thickTop="1" thickBot="1">
      <c r="B745" s="1421"/>
      <c r="C745" s="1422"/>
      <c r="D745" s="1423"/>
      <c r="E745" s="1462" t="s">
        <v>357</v>
      </c>
      <c r="F745" s="1463"/>
      <c r="G745" s="1464" t="s">
        <v>362</v>
      </c>
      <c r="H745" s="1465"/>
      <c r="I745" s="1465"/>
      <c r="J745" s="1465"/>
      <c r="K745" s="1465"/>
      <c r="L745" s="1466"/>
      <c r="M745" s="669">
        <f>IFERROR(VLOOKUP(G745,_Daylight_Table[],2,FALSE),0)</f>
        <v>0</v>
      </c>
      <c r="N745" s="670"/>
      <c r="O745" s="669" t="e">
        <f>VLOOKUP(G744,'Space Table'!$B$3:$L$160,11,FALSE)</f>
        <v>#N/A</v>
      </c>
      <c r="P745" s="1408"/>
      <c r="Q745" s="1409"/>
      <c r="R745" s="1409"/>
      <c r="S745" s="1402"/>
      <c r="T745" s="671" t="s">
        <v>281</v>
      </c>
      <c r="U745" s="1467" t="str">
        <f>IFERROR(VLOOKUP(U744,Fixtures!DM$93:DP$142,4,FALSE),"")</f>
        <v/>
      </c>
      <c r="V745" s="1468"/>
      <c r="W745" s="1468"/>
      <c r="X745" s="1468"/>
      <c r="Y745" s="1468"/>
      <c r="Z745" s="1468"/>
      <c r="AA745" s="1468"/>
      <c r="AB745" s="1046" t="str">
        <f>IFERROR(VLOOKUP(U744,Fixtures_Proposed_List,2,FALSE),"")</f>
        <v/>
      </c>
      <c r="AC745" s="1036" t="str">
        <f>IFERROR(ROUND(T744*AB745*N743*R743/1000,0),"")</f>
        <v/>
      </c>
      <c r="AD745" s="1037" t="str">
        <f>IFERROR(ROUND(T744*AB745/1000,2),"")</f>
        <v/>
      </c>
      <c r="AE745" s="1045" t="s">
        <v>281</v>
      </c>
      <c r="AF745" s="1469"/>
      <c r="AG745" s="1469"/>
      <c r="AH745" s="1469"/>
      <c r="AI745" s="1469"/>
      <c r="AJ745" s="1476"/>
      <c r="AK745" s="1471"/>
      <c r="AL745" s="1473"/>
      <c r="AM745" s="1443"/>
      <c r="AN745" s="1444"/>
      <c r="AO745" s="1449"/>
      <c r="AP745" s="1449"/>
      <c r="AQ745" s="1450"/>
      <c r="AR745" s="1453"/>
      <c r="AS745" s="1456"/>
      <c r="AT745" s="1459"/>
      <c r="AU745" s="517"/>
      <c r="AV745" s="1480"/>
      <c r="AW745" s="1480"/>
      <c r="BC745" s="38"/>
      <c r="BD745" s="38"/>
      <c r="BE745" s="38"/>
      <c r="BF745" s="38"/>
      <c r="BG745" s="38"/>
      <c r="BH745" s="38"/>
      <c r="BI745" s="38"/>
      <c r="BJ745" s="38"/>
      <c r="BK745" s="38"/>
      <c r="BL745" s="38"/>
      <c r="BM745" s="38"/>
      <c r="BN745" s="38"/>
      <c r="BO745" s="38"/>
      <c r="BP745" s="38"/>
      <c r="BQ745" s="38"/>
      <c r="BR745" s="38"/>
      <c r="BS745" s="38"/>
      <c r="BT745" s="38"/>
      <c r="BU745" s="38"/>
      <c r="BV745" s="38"/>
      <c r="BW745" s="38"/>
      <c r="BX745" s="38"/>
      <c r="BY745" s="38"/>
      <c r="BZ745" s="38"/>
      <c r="CA745" s="38"/>
      <c r="CB745" s="38"/>
      <c r="CC745" s="38"/>
      <c r="CD745" s="38"/>
      <c r="CE745" s="38"/>
      <c r="CF745" s="38"/>
      <c r="CG745" s="38"/>
      <c r="CH745" s="38"/>
      <c r="CI745" s="38"/>
      <c r="CM745" s="1352"/>
      <c r="CN745" s="1352"/>
      <c r="CO745" s="1416"/>
      <c r="CP745" s="1418"/>
      <c r="CR745" s="1386"/>
      <c r="CS745" s="1355"/>
      <c r="CT745" s="1355"/>
      <c r="CU745" s="1375"/>
      <c r="CV745" s="1372"/>
      <c r="CW745" s="1372"/>
      <c r="CX745" s="1372"/>
      <c r="CY745" s="1487"/>
      <c r="CZ745" s="1487"/>
      <c r="DA745" s="1487"/>
      <c r="DC745" s="1355"/>
      <c r="DD745" s="1355"/>
      <c r="DE745" s="1375"/>
      <c r="DF745" s="1407"/>
      <c r="DG745" s="1372"/>
      <c r="DH745" s="1369"/>
      <c r="DK745" s="1484"/>
      <c r="DL745" s="1420"/>
      <c r="DN745" s="1403"/>
      <c r="DO745" s="1405"/>
      <c r="DP745" s="1355"/>
      <c r="DQ745" s="1405"/>
      <c r="DR745" s="1403"/>
      <c r="DS745" s="1489"/>
      <c r="DU745" s="1403"/>
      <c r="DV745" s="1405"/>
      <c r="DW745" s="1403"/>
      <c r="DX745" s="1403"/>
      <c r="DZ745" s="1481"/>
      <c r="EA745" s="1481"/>
      <c r="EC745" s="1482"/>
      <c r="ED745" s="1369"/>
      <c r="EE745" s="1372"/>
      <c r="EF745" s="1369"/>
      <c r="EG745" s="1369"/>
      <c r="EH745" s="1375"/>
      <c r="EI745" s="1375"/>
      <c r="EJ745" s="1363"/>
      <c r="EK745" s="1376"/>
      <c r="EL745" s="1376"/>
      <c r="EM745" s="1362"/>
      <c r="EN745" s="1362"/>
      <c r="EO745" s="1363"/>
      <c r="EP745" s="1363"/>
      <c r="EQ745" s="1363"/>
      <c r="ES745" s="1403"/>
      <c r="EU745" s="1488"/>
      <c r="EV745" s="1488"/>
      <c r="EW745" s="1488"/>
      <c r="EX745" s="1488"/>
      <c r="EY745" s="1488"/>
      <c r="EZ745" s="1414"/>
      <c r="FB745" s="1365"/>
      <c r="FD745" s="1355"/>
      <c r="FE745" s="1355"/>
      <c r="FF745" s="138"/>
      <c r="FI745" s="1357"/>
      <c r="FJ745" s="1357"/>
      <c r="FK745" s="1365"/>
      <c r="FL745" s="1365"/>
      <c r="FM745" s="1365"/>
      <c r="FO745" s="1361"/>
      <c r="FP745" s="1361"/>
      <c r="FQ745" s="1366"/>
      <c r="FR745" s="1361"/>
      <c r="FS745" s="1361"/>
      <c r="FT745" s="1361"/>
      <c r="FU745" s="1360"/>
      <c r="FW745" s="1352"/>
      <c r="FX745" s="1352"/>
      <c r="FY745" s="1352"/>
      <c r="FZ745" s="1352"/>
      <c r="GA745" s="1352"/>
      <c r="GB745" s="1352"/>
      <c r="GC745" s="1352"/>
      <c r="GD745" s="1352"/>
      <c r="GE745" s="759"/>
      <c r="GF745" s="1035"/>
      <c r="GG745" s="1385"/>
      <c r="GJ745" s="1034">
        <f>IF(GJ743=TRUE,0,GJ$16)</f>
        <v>0</v>
      </c>
      <c r="GL745" s="1034">
        <f>IF(GL743=TRUE,0,GL$16)</f>
        <v>36</v>
      </c>
      <c r="GM745" s="1034">
        <f>IF(GM743=TRUE,0,GM$16)</f>
        <v>35</v>
      </c>
      <c r="GN745" s="436"/>
      <c r="GO745" s="436"/>
      <c r="GP745" s="436"/>
      <c r="GQ745" s="436"/>
      <c r="GR745" s="436"/>
      <c r="HC745" s="1034">
        <f t="shared" ref="HC745:HH745" si="554">IF(HC743=TRUE,0,HC$16)</f>
        <v>19</v>
      </c>
      <c r="HD745" s="1034">
        <f t="shared" si="554"/>
        <v>18</v>
      </c>
      <c r="HE745" s="1034">
        <f t="shared" si="554"/>
        <v>17</v>
      </c>
      <c r="HF745" s="1034">
        <f t="shared" si="554"/>
        <v>16</v>
      </c>
      <c r="HG745" s="1034">
        <f t="shared" si="554"/>
        <v>0</v>
      </c>
      <c r="HH745" s="1034">
        <f t="shared" si="554"/>
        <v>0</v>
      </c>
      <c r="HI745" s="1034">
        <f>IF(HI743=TRUE,0,HI$16)</f>
        <v>13</v>
      </c>
      <c r="HJ745" s="1034">
        <f t="shared" ref="HJ745:HL745" si="555">IF(HJ743=TRUE,0,HJ$16)</f>
        <v>12</v>
      </c>
      <c r="HK745" s="1034">
        <f t="shared" si="555"/>
        <v>11</v>
      </c>
      <c r="HL745" s="1034">
        <f t="shared" si="555"/>
        <v>10</v>
      </c>
      <c r="HM745" s="1034">
        <f>IF(HM743=TRUE,0,HM$16)</f>
        <v>9</v>
      </c>
      <c r="HN745" s="1034">
        <f t="shared" ref="HN745:HR745" si="556">IF(HN743=TRUE,0,HN$16)</f>
        <v>0</v>
      </c>
      <c r="HO745" s="1034">
        <f t="shared" si="556"/>
        <v>0</v>
      </c>
      <c r="HP745" s="1034">
        <f t="shared" si="556"/>
        <v>0</v>
      </c>
      <c r="HQ745" s="1034">
        <f t="shared" si="556"/>
        <v>0</v>
      </c>
      <c r="HR745" s="1034">
        <f t="shared" si="556"/>
        <v>0</v>
      </c>
      <c r="HS745" s="1034">
        <f>IF(HS743=TRUE,0,HS$16)</f>
        <v>0</v>
      </c>
      <c r="HT745" s="1034">
        <f t="shared" ref="HT745" si="557">IF(HT743=TRUE,0,HT$16)</f>
        <v>0</v>
      </c>
      <c r="HU745" s="1034">
        <f>IF(HU743=TRUE,0,HU$16)</f>
        <v>1</v>
      </c>
      <c r="HW745" s="1034">
        <f>IF(GL743=FALSE,GL745,IF(GM743=FALSE,GM745,MAX(GJ745:HU745)))</f>
        <v>36</v>
      </c>
      <c r="HX745" s="1383"/>
      <c r="HY745" s="241" t="str">
        <f>VLOOKUP(HW745,_Error_Table,3,FALSE)</f>
        <v xml:space="preserve"> </v>
      </c>
      <c r="HZ745" s="241"/>
      <c r="IA745" s="1386"/>
      <c r="IB745" s="1380"/>
      <c r="IC745" s="1379"/>
      <c r="IF745" s="1380"/>
      <c r="IG745" s="1383"/>
      <c r="IH745" s="1383"/>
      <c r="II745" s="1383"/>
      <c r="IK745" s="1351"/>
      <c r="IL745" s="1351"/>
      <c r="IM745" s="1351"/>
      <c r="IN745" s="1351"/>
      <c r="IO745" s="1351"/>
      <c r="IP745" s="1351"/>
    </row>
    <row r="746" spans="1:250" s="82" customFormat="1" ht="5.0999999999999996" customHeight="1" thickBot="1">
      <c r="B746" s="763"/>
      <c r="C746" s="1038"/>
      <c r="D746" s="1038"/>
      <c r="E746" s="1490"/>
      <c r="F746" s="1490"/>
      <c r="G746" s="1490"/>
      <c r="H746" s="1490"/>
      <c r="I746" s="1490"/>
      <c r="J746" s="1490"/>
      <c r="K746" s="1490"/>
      <c r="L746" s="1490"/>
      <c r="M746" s="1490"/>
      <c r="N746" s="1490"/>
      <c r="O746" s="1490"/>
      <c r="P746" s="1490"/>
      <c r="Q746" s="1490"/>
      <c r="R746" s="1490"/>
      <c r="S746" s="1490"/>
      <c r="T746" s="1490"/>
      <c r="U746" s="1490"/>
      <c r="V746" s="1490"/>
      <c r="W746" s="1490"/>
      <c r="X746" s="1490"/>
      <c r="Y746" s="1490"/>
      <c r="Z746" s="1490"/>
      <c r="AA746" s="1490"/>
      <c r="AB746" s="1490"/>
      <c r="AC746" s="1490"/>
      <c r="AD746" s="1490"/>
      <c r="AE746" s="1490"/>
      <c r="AF746" s="1490"/>
      <c r="AG746" s="1490"/>
      <c r="AH746" s="1490"/>
      <c r="AI746" s="1490"/>
      <c r="AJ746" s="1490"/>
      <c r="AK746" s="1490"/>
      <c r="AL746" s="1490"/>
      <c r="AM746" s="1490"/>
      <c r="AN746" s="1490"/>
      <c r="AO746" s="1490"/>
      <c r="AP746" s="1490"/>
      <c r="AQ746" s="1490"/>
      <c r="AR746" s="1490"/>
      <c r="AS746" s="1490"/>
      <c r="AT746" s="1490"/>
      <c r="AU746" s="1041"/>
      <c r="BC746" s="38"/>
      <c r="BD746" s="38"/>
      <c r="BE746" s="38"/>
      <c r="BF746" s="38"/>
      <c r="BG746" s="38"/>
      <c r="BH746" s="38"/>
      <c r="BI746" s="38"/>
      <c r="BJ746" s="38"/>
      <c r="BK746" s="38"/>
      <c r="BL746" s="38"/>
      <c r="BM746" s="38"/>
      <c r="BN746" s="38"/>
      <c r="BO746" s="38"/>
      <c r="BP746" s="38"/>
      <c r="BQ746" s="38"/>
      <c r="BR746" s="38"/>
      <c r="BS746" s="38"/>
      <c r="BT746" s="38"/>
      <c r="BU746" s="38"/>
      <c r="BV746" s="38"/>
      <c r="BW746" s="38"/>
      <c r="BX746" s="38"/>
      <c r="BY746" s="38"/>
      <c r="BZ746" s="38"/>
      <c r="CA746" s="38"/>
      <c r="CB746" s="38"/>
      <c r="CC746" s="38"/>
      <c r="CD746" s="38"/>
      <c r="CE746" s="38"/>
      <c r="CF746" s="38"/>
      <c r="CG746" s="38"/>
      <c r="CH746" s="38"/>
      <c r="CI746" s="38"/>
      <c r="CM746" s="749"/>
      <c r="CN746" s="749"/>
      <c r="CO746" s="1043"/>
      <c r="CP746" s="749"/>
      <c r="CS746" s="436"/>
      <c r="CT746" s="436"/>
      <c r="CU746" s="243"/>
      <c r="CV746" s="244"/>
      <c r="CW746" s="244"/>
      <c r="CX746" s="244"/>
      <c r="CY746" s="245"/>
      <c r="CZ746" s="245"/>
      <c r="DA746" s="245"/>
      <c r="DC746" s="750"/>
      <c r="DD746" s="751"/>
      <c r="DE746" s="752"/>
      <c r="DF746" s="753"/>
      <c r="DG746" s="754"/>
      <c r="DH746" s="754"/>
      <c r="DK746" s="244"/>
      <c r="DL746" s="750"/>
      <c r="DN746" s="750"/>
      <c r="DO746" s="755"/>
      <c r="DP746" s="436"/>
      <c r="DQ746" s="750"/>
      <c r="DR746" s="750"/>
      <c r="DS746" s="750"/>
      <c r="DU746" s="750"/>
      <c r="DV746" s="750"/>
      <c r="DW746" s="750"/>
      <c r="DX746" s="750"/>
      <c r="DZ746" s="756"/>
      <c r="EA746" s="756"/>
      <c r="EC746" s="754"/>
      <c r="ED746" s="754"/>
      <c r="EE746" s="244"/>
      <c r="EF746" s="754"/>
      <c r="EG746" s="754"/>
      <c r="EH746" s="243"/>
      <c r="EI746" s="243"/>
      <c r="EJ746" s="752"/>
      <c r="EK746" s="757"/>
      <c r="EL746" s="757"/>
      <c r="EM746" s="758"/>
      <c r="EN746" s="758"/>
      <c r="EO746" s="752"/>
      <c r="EP746" s="752"/>
      <c r="EQ746" s="752"/>
      <c r="ES746" s="750"/>
      <c r="EU746" s="436"/>
      <c r="EV746" s="436"/>
      <c r="EW746" s="436"/>
      <c r="EX746" s="436"/>
      <c r="EY746" s="436"/>
      <c r="EZ746" s="436"/>
      <c r="FB746" s="643"/>
      <c r="FD746" s="436"/>
      <c r="FE746" s="436"/>
      <c r="FF746" s="436"/>
      <c r="FO746" s="750"/>
      <c r="FP746" s="436"/>
      <c r="FQ746" s="436"/>
      <c r="FR746" s="750"/>
      <c r="FS746" s="750"/>
      <c r="FW746" s="749"/>
      <c r="FX746" s="749"/>
      <c r="FY746" s="749"/>
      <c r="FZ746" s="749"/>
      <c r="GA746" s="749"/>
      <c r="GB746" s="749"/>
      <c r="GC746" s="749"/>
      <c r="GD746" s="749"/>
      <c r="GE746" s="751"/>
      <c r="GF746" s="750"/>
      <c r="GG746" s="750"/>
    </row>
    <row r="747" spans="1:250" s="82" customFormat="1" ht="14.95" customHeight="1" thickTop="1" thickBot="1">
      <c r="B747" s="1421" t="str">
        <f>HY750</f>
        <v xml:space="preserve"> </v>
      </c>
      <c r="C747" s="1422">
        <f>C742+1</f>
        <v>137</v>
      </c>
      <c r="D747" s="1423"/>
      <c r="E747" s="1424" t="s">
        <v>242</v>
      </c>
      <c r="F747" s="1425"/>
      <c r="G747" s="1426"/>
      <c r="H747" s="1427"/>
      <c r="I747" s="1427"/>
      <c r="J747" s="1427"/>
      <c r="K747" s="1427"/>
      <c r="L747" s="1427"/>
      <c r="M747" s="1427"/>
      <c r="N747" s="1427"/>
      <c r="O747" s="1427"/>
      <c r="P747" s="1427"/>
      <c r="Q747" s="1427"/>
      <c r="R747" s="1427"/>
      <c r="S747" s="1428" t="s">
        <v>283</v>
      </c>
      <c r="T747" s="668" t="s">
        <v>190</v>
      </c>
      <c r="U747" s="1430" t="s">
        <v>186</v>
      </c>
      <c r="V747" s="1431"/>
      <c r="W747" s="1431"/>
      <c r="X747" s="1431"/>
      <c r="Y747" s="1431"/>
      <c r="Z747" s="1431"/>
      <c r="AA747" s="1431"/>
      <c r="AB747" s="1047" t="str">
        <f>IFERROR(IF(__Retrofit_TI_NC=0,VLOOKUP(U748,Fixtures_Existing_List,2,FALSE),ROUND(N749*R749/T749,10)),"")</f>
        <v/>
      </c>
      <c r="AC747" s="1039" t="str">
        <f>IFERROR(IF(__Retrofit_TI_NC=0,ROUND(T748*AB747*N748*R748/1000,0),IF(CN747="Interior",N749*R749*R748*N748*_C406_reduction/1000,N749*R749*R748*N748/1000)),"")</f>
        <v/>
      </c>
      <c r="AD747" s="1040" t="str">
        <f>IFERROR(IF(C$36=0,ROUND(T748*AB747/1000,2),N749*R749/1000),"")</f>
        <v/>
      </c>
      <c r="AE747" s="1044" t="s">
        <v>190</v>
      </c>
      <c r="AF747" s="1432" t="str">
        <f>IF(__Retrofit_TI_NC=2,CONCATENATE("Code min = ",DD747),IF(__Retrofit_TI_NC=1,"Emter what you think the existing control was"," Control"))</f>
        <v xml:space="preserve"> Control</v>
      </c>
      <c r="AG747" s="1432"/>
      <c r="AH747" s="1432"/>
      <c r="AI747" s="1432"/>
      <c r="AJ747" s="1433">
        <f>DF747</f>
        <v>0</v>
      </c>
      <c r="AK747" s="1435" t="str">
        <f>IFERROR(ROUND(AJ747*AC747,0),"")</f>
        <v/>
      </c>
      <c r="AL747" s="1437">
        <f>IFERROR(IF(HW747=FALSE,0,AC747-AK747),0)</f>
        <v>0</v>
      </c>
      <c r="AM747" s="1439">
        <f>AL747-AL749</f>
        <v>0</v>
      </c>
      <c r="AN747" s="1440"/>
      <c r="AO747" s="1445">
        <f>IFERROR(IF(HW747=FALSE,0,(T749*U750)+(AE749*AF750)),0)</f>
        <v>0</v>
      </c>
      <c r="AP747" s="1445"/>
      <c r="AQ747" s="1446"/>
      <c r="AR747" s="1451" t="s">
        <v>157</v>
      </c>
      <c r="AS747" s="1454">
        <f>IF(AR747="Yes",1,0)</f>
        <v>1</v>
      </c>
      <c r="AT747" s="1457" t="str">
        <f>IF(OR(DN747=4,DN747=5,DN747=6,DN747=12),CONCATENATE("$",IF(GD747=TRUE,Lookup!$B$11,Lookup!$B$2)," /lamp"),CONCATENATE(EA747,"/ kWh"))</f>
        <v>0/ kWh</v>
      </c>
      <c r="AU747" s="516"/>
      <c r="AV747" s="1478">
        <f>IFERROR(IF(GI748=TRUE,(AB750*T749)/R749,0),"NA")</f>
        <v>0</v>
      </c>
      <c r="AW747" s="1478" t="str">
        <f>IFERROR(N749*_C406_reduction,"NA")</f>
        <v>NA</v>
      </c>
      <c r="BC747" s="38"/>
      <c r="BD747" s="38"/>
      <c r="BE747" s="38"/>
      <c r="BF747" s="38"/>
      <c r="BG747" s="38"/>
      <c r="BH747" s="38"/>
      <c r="BI747" s="38"/>
      <c r="BJ747" s="38"/>
      <c r="BK747" s="38"/>
      <c r="BL747" s="38"/>
      <c r="BM747" s="38"/>
      <c r="BN747" s="38"/>
      <c r="BO747" s="38"/>
      <c r="BP747" s="38"/>
      <c r="BQ747" s="38"/>
      <c r="BR747" s="38"/>
      <c r="BS747" s="38"/>
      <c r="BT747" s="38"/>
      <c r="BU747" s="38"/>
      <c r="BV747" s="38"/>
      <c r="BW747" s="38"/>
      <c r="BX747" s="38"/>
      <c r="BY747" s="38"/>
      <c r="BZ747" s="38"/>
      <c r="CA747" s="38"/>
      <c r="CB747" s="38"/>
      <c r="CC747" s="38"/>
      <c r="CD747" s="38"/>
      <c r="CE747" s="38"/>
      <c r="CF747" s="38"/>
      <c r="CG747" s="38"/>
      <c r="CH747" s="38"/>
      <c r="CI747" s="38"/>
      <c r="CM747" s="1352" t="str">
        <f>N748</f>
        <v/>
      </c>
      <c r="CN747" s="1352" t="str">
        <f>IFERROR(VLOOKUP(G748,_Lookup_Heat_Type_Table_New,3,FALSE),"")</f>
        <v/>
      </c>
      <c r="CO747" s="1415" t="str">
        <f>CN747</f>
        <v/>
      </c>
      <c r="CP747" s="1417" t="e">
        <f>VLOOKUP(G749,'Space Table'!$B$3:$L$160,9,FALSE)</f>
        <v>#N/A</v>
      </c>
      <c r="CR747" s="1386" t="s">
        <v>283</v>
      </c>
      <c r="CS747" s="1353">
        <f>IF(HW747=TRUE,T748,0)</f>
        <v>0</v>
      </c>
      <c r="CT747" s="1353" t="str">
        <f>IF(HW747=TRUE,U748,"")</f>
        <v/>
      </c>
      <c r="CU747" s="1353"/>
      <c r="CV747" s="1370">
        <f>IF(HW747=TRUE,AB747,0)</f>
        <v>0</v>
      </c>
      <c r="CW747" s="1370">
        <f>IF(HW747=TRUE,AC747,0)</f>
        <v>0</v>
      </c>
      <c r="CX747" s="1370">
        <f>IFERROR(IF(HW747=TRUE,CW747-CW749,0),0)</f>
        <v>0</v>
      </c>
      <c r="CY747" s="1485">
        <f>IF(HW747=TRUE,AD747,0)</f>
        <v>0</v>
      </c>
      <c r="CZ747" s="1485">
        <f>IF(HW747=TRUE,AD750,0)</f>
        <v>0</v>
      </c>
      <c r="DA747" s="1485">
        <f>IFERROR(CY747-CZ747,0)</f>
        <v>0</v>
      </c>
      <c r="DC747" s="1353">
        <f>IF(HW747=TRUE,AE748,0)</f>
        <v>0</v>
      </c>
      <c r="DD747" s="1460">
        <f>IF(__Retrofit_TI_NC=2,IF(CN747="Exterior",O750,FM747),FK747)</f>
        <v>0</v>
      </c>
      <c r="DE747" s="1353"/>
      <c r="DF747" s="1406">
        <f>IFERROR(IF(FL747=3,IK747,IF(FL747=4,IL747,IF(FL747=5,IM747,IF(FL747=6,IN747,IF(FL747=7,IO747,IF(FL747=8,IP747,0)))))),0)</f>
        <v>0</v>
      </c>
      <c r="DG747" s="1370">
        <f>IF(HW747=TRUE,AK747,0)</f>
        <v>0</v>
      </c>
      <c r="DH747" s="1369">
        <f>IFERROR(IF(HW747=TRUE,DG749-DG747,0),0)</f>
        <v>0</v>
      </c>
      <c r="DJ747" s="1483">
        <f>IFERROR(CW747-DG747,0)</f>
        <v>0</v>
      </c>
      <c r="DL747" s="1419">
        <f>DJ747-DK749</f>
        <v>0</v>
      </c>
      <c r="DN747" s="1403" t="str">
        <f>IFERROR(IF(AND(OR(FY747=4,FY747=5,FY747=6),OR(GB747=4,GB747=5,GB747=6)),FY747+8,VLOOKUP(CT749,Fixtures!R$31:Y$78,8,FALSE)),"")</f>
        <v/>
      </c>
      <c r="DO747" s="1404" t="str">
        <f>DN747</f>
        <v/>
      </c>
      <c r="DP747" s="1353" t="str">
        <f>IFERROR(VLOOKUP(DD749,Lookup!AU$3:AV$15,2,FALSE),"")</f>
        <v/>
      </c>
      <c r="DQ747" s="1404" t="str">
        <f>IF(DP747=7,"LLLC","")</f>
        <v/>
      </c>
      <c r="DR747" s="1403">
        <f>IFERROR(IF(OR(DN747=4,DN747=5,DN747=6,DN747=12,DN747=13,DN747=14),VLOOKUP(CT749,Fixtures!DN$27:EG$77,19,FALSE),1)*CS749,0)</f>
        <v>0</v>
      </c>
      <c r="DS747" s="1489">
        <f>IF(DP747=7,IF(DD747=DD749,0,DC749),0)</f>
        <v>0</v>
      </c>
      <c r="DU747" s="1403" t="str">
        <f>IFERROR(IF(EW747&lt;EW749,"Yes","No"),"")</f>
        <v/>
      </c>
      <c r="DV747" s="1404" t="str">
        <f>DU747</f>
        <v/>
      </c>
      <c r="DW747" s="1403">
        <f>IF(DU747="Yes",DC749,0)</f>
        <v>0</v>
      </c>
      <c r="DX747" s="1403">
        <f>DW747-DS747</f>
        <v>0</v>
      </c>
      <c r="DZ747" s="1481">
        <f>IFERROR(VLOOKUP(DN747,Lookup!AN$3:AO$16,2,FALSE),0)</f>
        <v>0</v>
      </c>
      <c r="EA747" s="1481">
        <f>IF(HW747=FALSE,0,IF(DU747="Yes",DZ747+Lookup!B$6,DZ747))</f>
        <v>0</v>
      </c>
      <c r="EC747" s="1482">
        <f>IF(HW747=TRUE,DJ747,0)</f>
        <v>0</v>
      </c>
      <c r="ED747" s="1369">
        <f>IF(HW747=TRUE,CW749,0)</f>
        <v>0</v>
      </c>
      <c r="EE747" s="1370">
        <f>IFERROR(EC747-ED747,0)</f>
        <v>0</v>
      </c>
      <c r="EF747" s="1369">
        <f>IF(HW747=TRUE,DG749,0)</f>
        <v>0</v>
      </c>
      <c r="EG747" s="1369">
        <f>IFERROR(EC747-ED747+EF747,0)</f>
        <v>0</v>
      </c>
      <c r="EH747" s="1373">
        <f>IF(HW747=TRUE,CS749*CU749,0)</f>
        <v>0</v>
      </c>
      <c r="EI747" s="1373">
        <f>IF(HW747=TRUE,DC749*DE749,0)</f>
        <v>0</v>
      </c>
      <c r="EJ747" s="1363">
        <f>AO747</f>
        <v>0</v>
      </c>
      <c r="EK747" s="1376" t="str">
        <f>IFERROR(IF(HW747=TRUE,VLOOKUP(DN747,Lookup!AN$3:AP$16,3,FALSE)*DR747,""),0)</f>
        <v/>
      </c>
      <c r="EL747" s="1376">
        <f>IF(HW747=TRUE,DW747*Lookup!AP$12,0)</f>
        <v>0</v>
      </c>
      <c r="EM747" s="1362">
        <f>IFERROR(IF(HW747=TRUE,EK747/EM$33,0),0)</f>
        <v>0</v>
      </c>
      <c r="EN747" s="1362">
        <f>IF(HW747=TRUE,EL747/EN$33,0)</f>
        <v>0</v>
      </c>
      <c r="EO747" s="1363">
        <f>IF(HW747=TRUE,EQ$33*EM747,0)</f>
        <v>0</v>
      </c>
      <c r="EP747" s="1363">
        <f>IF(HW747=TRUE,EQ$33*EN747,0)</f>
        <v>0</v>
      </c>
      <c r="EQ747" s="1363">
        <f>EO747+EP747</f>
        <v>0</v>
      </c>
      <c r="ES747" s="1403">
        <f>IF(G747="",0,1)</f>
        <v>0</v>
      </c>
      <c r="EU747" s="1410" t="e">
        <f>VLOOKUP(CP749,'Space Table'!$B$3:$L$160,8,FALSE)</f>
        <v>#N/A</v>
      </c>
      <c r="EV747" s="1410" t="e">
        <f>IF(EY747="Yes",VLOOKUP(DD747,Lookup_Control_Type_Table2,4,FALSE),VLOOKUP(DD747,Lookup_Control_Type_Table2,3,FALSE))</f>
        <v>#N/A</v>
      </c>
      <c r="EW747" s="1410" t="e">
        <f>VLOOKUP(DD747,Lookup!AU$3:AV$15,2,FALSE)</f>
        <v>#N/A</v>
      </c>
      <c r="EX747" s="1410" t="e">
        <f>VLOOKUP(EU747,Lookup_Control_Type_Table,2,FALSE)</f>
        <v>#N/A</v>
      </c>
      <c r="EY747" s="1410" t="e">
        <f>VLOOKUP(CP749,'Space Table'!$B$3:$L$160,7,FALSE)</f>
        <v>#N/A</v>
      </c>
      <c r="EZ747" s="1412" t="b">
        <f>ISNUMBER(SEARCH("TLED",U749))</f>
        <v>0</v>
      </c>
      <c r="FB747" s="1365" t="str">
        <f>CONCATENATE(CN747," - ",DD747)</f>
        <v xml:space="preserve"> - 0</v>
      </c>
      <c r="FD747" s="1353" t="str">
        <f>VLOOKUP(CT749,Fixtures!DN$27:EZ$77,38,FALSE)</f>
        <v/>
      </c>
      <c r="FE747" s="1353">
        <f>IFERROR(FD747*EE747,0)</f>
        <v>0</v>
      </c>
      <c r="FF747" s="138"/>
      <c r="FI747" s="1356" t="str">
        <f>IF(CN747="Exterior","Not Daylighted",G750)</f>
        <v>Not Daylighted</v>
      </c>
      <c r="FJ747" s="1356">
        <f>VLOOKUP(FI747,_Daylight_Table_Codes,2,FALSE)</f>
        <v>0</v>
      </c>
      <c r="FK747" s="1365">
        <f>IF(__Retrofit_TI_NC=2,VLOOKUP(G749,'Space Table'!$B$3:$L$160,11,FALSE),AF748)</f>
        <v>0</v>
      </c>
      <c r="FL747" s="1365" t="e">
        <f>VLOOKUP(FK747,_Control_Table,2,FALSE)</f>
        <v>#N/A</v>
      </c>
      <c r="FM747" s="1365" t="e">
        <f>IF(AND(FP747&gt;0,FK747="Occupancy Sensor"),"Daylight + Occupancy",IF(AND(FP747&gt;0,FL747&lt;4),"Interior Daylight Dimming",FK747))</f>
        <v>#N/A</v>
      </c>
      <c r="FO747" s="1364">
        <f>IF(CO747="Interior",VLOOKUP(CP747,Control_Savings_Interior,5,FALSE),0)</f>
        <v>0</v>
      </c>
      <c r="FP747" s="1361">
        <f>IF(CN747="Exterior",0,IF(FJ747=2,0.5,IF(OR(FJ747=1,FJ747=3),1,0)))</f>
        <v>0</v>
      </c>
      <c r="FQ747" s="1366"/>
      <c r="FR747" s="1367"/>
      <c r="FS747" s="1364"/>
      <c r="FT747" s="1367"/>
      <c r="FU747" s="1360"/>
      <c r="FW747" s="1352" t="str">
        <f>IFERROR(VLOOKUP(U748,_Exist_Fixture_Table,3,FALSE),"")</f>
        <v/>
      </c>
      <c r="FX747" s="1352" t="str">
        <f>VLOOKUP(CT747,_Exist_Fixture_Table,4,FALSE)</f>
        <v/>
      </c>
      <c r="FY747" s="1352">
        <f>IFERROR(VLOOKUP(FX747,Lookup!AM$6:AN$8,2,FALSE),0)</f>
        <v>0</v>
      </c>
      <c r="FZ747" s="1352" t="b">
        <f>IFERROR(IF(OR(GB747=4,GB747=5,GB747=6),TRUE,FALSE),"")</f>
        <v>0</v>
      </c>
      <c r="GA747" s="1352" t="str">
        <f>IFERROR(VLOOKUP(GB747,FY$6:FZ$10,2,FALSE),"")</f>
        <v/>
      </c>
      <c r="GB747" s="1352" t="str">
        <f>VLOOKUP(CT749,Fixtures!R$31:Y$78,8,FALSE)</f>
        <v/>
      </c>
      <c r="GC747" s="1352">
        <f>IF(AND(FW747=TRUE,FZ747=TRUE,OR(DN747=12,DN747=13,DN747=14)),FY747+8,0)</f>
        <v>0</v>
      </c>
      <c r="GD747" s="1352" t="b">
        <f>IF(OR(GC747=12,GC747=13,GC747=14),TRUE,FALSE)</f>
        <v>0</v>
      </c>
      <c r="GE747" s="759" t="b">
        <f>IF(ISNUMBER(SEARCH("TLED",U748)),TRUE,FALSE)</f>
        <v>0</v>
      </c>
      <c r="GF747" s="1035" t="str">
        <f>IFERROR(VLOOKUP(U748,Fixtures!BM$93:BR$142,6,FALSE),"")</f>
        <v/>
      </c>
      <c r="GG747" s="1385" t="b">
        <f>IF(OR(GE747=FALSE,GE749=FALSE),TRUE,IF(GF747-GF749&lt;5,FALSE,TRUE))</f>
        <v>1</v>
      </c>
      <c r="GK747" s="1034">
        <f>GL747</f>
        <v>0</v>
      </c>
      <c r="GL747" s="1034">
        <f>IF(G747="",0,1)</f>
        <v>0</v>
      </c>
      <c r="GM747" s="1034">
        <f>SUM(GN747:HB747)</f>
        <v>2</v>
      </c>
      <c r="GN747" s="1034">
        <f>IF(G748="",0,1)</f>
        <v>0</v>
      </c>
      <c r="GO747" s="1034">
        <f>IF(G749="",0,1)</f>
        <v>0</v>
      </c>
      <c r="GP747" s="1034">
        <f>IF(R748="",0,1)</f>
        <v>0</v>
      </c>
      <c r="GQ747" s="1034">
        <f>IF(__Retrofit_TI_NC=0,1,IF(R749="",0,1))</f>
        <v>1</v>
      </c>
      <c r="GR747" s="1034">
        <f>IF(CN747="Exterior",1,IF(G750="",0,1))</f>
        <v>1</v>
      </c>
      <c r="GS747" s="1034">
        <f>IF(__Retrofit_TI_NC&lt;&gt;0,1,IF(T748="",0,1))</f>
        <v>0</v>
      </c>
      <c r="GT747" s="1034">
        <f>IF(__Retrofit_TI_NC&lt;&gt;0,1,IF(U748="",0,1))</f>
        <v>0</v>
      </c>
      <c r="GU747" s="1034">
        <f>IF(T749="",0,1)</f>
        <v>0</v>
      </c>
      <c r="GV747" s="1034">
        <f>IF(U749="",0,1)</f>
        <v>0</v>
      </c>
      <c r="GW747" s="1034">
        <f>IF(__Retrofit_TI_NC=2,1,IF(U750="",0,1))</f>
        <v>0</v>
      </c>
      <c r="GX747" s="1034">
        <f>IF(__Retrofit_TI_NC&lt;&gt;0,1,IF(AE748="",0,1))</f>
        <v>0</v>
      </c>
      <c r="GY747" s="1034">
        <f>IF(__Retrofit_TI_NC&lt;&gt;0,1,IF(AF748="",0,1))</f>
        <v>0</v>
      </c>
      <c r="GZ747" s="1034">
        <f>IF(AE749="",0,1)</f>
        <v>0</v>
      </c>
      <c r="HA747" s="1034">
        <f>IF(AF749="",0,1)</f>
        <v>0</v>
      </c>
      <c r="HB747" s="1034">
        <f>IF(__Retrofit_TI_NC=2,1,IF(AF750="",0,1))</f>
        <v>0</v>
      </c>
      <c r="HV747" s="436"/>
      <c r="HW747" s="1384" t="b">
        <f>IF(OR(HW750=0,HW750=HT$16,HW750=HS$16,HW750=HU$16),TRUE,FALSE)</f>
        <v>0</v>
      </c>
      <c r="HX747" s="1377" t="b">
        <f>HW747</f>
        <v>0</v>
      </c>
      <c r="HY747" s="436"/>
      <c r="HZ747" s="436"/>
      <c r="IA747" s="1386" t="b">
        <f>IF(MAX(GJ750:HP750)&gt;5,FALSE,TRUE)</f>
        <v>0</v>
      </c>
      <c r="IB747" s="1380">
        <f>IF(IA747=TRUE,AC747,0)</f>
        <v>0</v>
      </c>
      <c r="IC747" s="1380">
        <f>IB747-IB749</f>
        <v>0</v>
      </c>
      <c r="IF747" s="1380" t="e">
        <f>ROUND(T748*VLOOKUP(U748,Fixtures_Existing_List,2,FALSE)*N748*R748/1000,0)</f>
        <v>#N/A</v>
      </c>
      <c r="IG747" s="1381" t="e">
        <f>IF747-IF749</f>
        <v>#N/A</v>
      </c>
      <c r="IH747" s="1384" t="e">
        <f>ROUND(IF(CN747="Interior",N749*R749*R748*N748*_C406_reduction/1000,N749*R749*R748*N748/1000),0)</f>
        <v>#N/A</v>
      </c>
      <c r="II747" s="1384" t="e">
        <f>IH747-IH749</f>
        <v>#N/A</v>
      </c>
      <c r="IK747" s="1351" t="e">
        <f>IF($CO747="interior",IL747/2,VLOOKUP($CP747,Control_Savings_Exterior,IK$30,FALSE))</f>
        <v>#N/A</v>
      </c>
      <c r="IL747" s="1351" t="e">
        <f>IF($CO747="interior",VLOOKUP($CP747,Control_Savings_Interior,IL$30,FALSE),VLOOKUP($CP747,Control_Savings_Exterior,IL$30,FALSE))</f>
        <v>#N/A</v>
      </c>
      <c r="IM747" s="1351" t="e">
        <f>IF($CO747="interior",IF(R748&gt;FO$37,(IM$28*(FO$37/R748)),IM$28)*FP747,VLOOKUP($CP747,Control_Savings_Exterior,IM$30,FALSE))</f>
        <v>#N/A</v>
      </c>
      <c r="IN747" s="1351" t="e">
        <f>IF($CO747="interior",ROUND(((1-IL747)*IM747)+IL747,2),VLOOKUP($CP747,Control_Savings_Exterior,IN$30,FALSE))</f>
        <v>#N/A</v>
      </c>
      <c r="IO747" s="1351" t="e">
        <f>IF($CO747="interior", ROUND(((1-IL747)*(IM747*(1-IP$28)))+IP747,2), VLOOKUP($CP747,Control_Savings_Exterior,IO$30,FALSE))</f>
        <v>#N/A</v>
      </c>
      <c r="IP747" s="1351">
        <f>IF($CO747="interior",ROUND(((1-IL747)*IP$28)+IL747,2),0)</f>
        <v>0</v>
      </c>
    </row>
    <row r="748" spans="1:250" s="82" customFormat="1" ht="14.95" customHeight="1" thickTop="1" thickBot="1">
      <c r="B748" s="1421"/>
      <c r="C748" s="1422"/>
      <c r="D748" s="1423"/>
      <c r="E748" s="1393" t="s">
        <v>244</v>
      </c>
      <c r="F748" s="1394"/>
      <c r="G748" s="1395"/>
      <c r="H748" s="1395"/>
      <c r="I748" s="1395"/>
      <c r="J748" s="1395"/>
      <c r="K748" s="1395"/>
      <c r="L748" s="1395"/>
      <c r="M748" s="509" t="e">
        <f>IF(__Retrofit_TI_NC&lt;&gt;0,IF(VLOOKUP(G749,'Space Table'!$B$3:$L$160,3,FALSE)&gt;0,1,0),IF(__Retrofit_TI_NC=VLOOKUP(G749,'Space Table'!$B$3:$L$160,3,FALSE),1,0))</f>
        <v>#N/A</v>
      </c>
      <c r="N748" s="509" t="str">
        <f>IFERROR(VLOOKUP(G748,_Lookup_Heat_Type_Table_New,2,FALSE),"")</f>
        <v/>
      </c>
      <c r="O748" s="509">
        <f>IF(__Retrofit_TI_NC=1,CONCATENATE("TI ",G748),IF(__Retrofit_TI_NC=2,CONCATENATE("NC ",G748),G748))</f>
        <v>0</v>
      </c>
      <c r="P748" s="1396" t="s">
        <v>352</v>
      </c>
      <c r="Q748" s="1396"/>
      <c r="R748" s="673"/>
      <c r="S748" s="1429"/>
      <c r="T748" s="675"/>
      <c r="U748" s="1496"/>
      <c r="V748" s="1497"/>
      <c r="W748" s="1497"/>
      <c r="X748" s="1497"/>
      <c r="Y748" s="1497"/>
      <c r="Z748" s="1497"/>
      <c r="AA748" s="1497"/>
      <c r="AB748" s="1497"/>
      <c r="AC748" s="1497"/>
      <c r="AD748" s="1498"/>
      <c r="AE748" s="675"/>
      <c r="AF748" s="1397"/>
      <c r="AG748" s="1397"/>
      <c r="AH748" s="1397"/>
      <c r="AI748" s="1397"/>
      <c r="AJ748" s="1434"/>
      <c r="AK748" s="1436"/>
      <c r="AL748" s="1438"/>
      <c r="AM748" s="1441"/>
      <c r="AN748" s="1442"/>
      <c r="AO748" s="1447"/>
      <c r="AP748" s="1447"/>
      <c r="AQ748" s="1448"/>
      <c r="AR748" s="1452"/>
      <c r="AS748" s="1455"/>
      <c r="AT748" s="1458"/>
      <c r="AU748" s="516"/>
      <c r="AV748" s="1479"/>
      <c r="AW748" s="1479"/>
      <c r="BC748" s="38"/>
      <c r="BD748" s="38"/>
      <c r="BE748" s="38"/>
      <c r="BF748" s="38"/>
      <c r="BG748" s="38"/>
      <c r="BH748" s="38"/>
      <c r="BI748" s="38"/>
      <c r="BJ748" s="38"/>
      <c r="BK748" s="38"/>
      <c r="BL748" s="38"/>
      <c r="BM748" s="38"/>
      <c r="BN748" s="38"/>
      <c r="BO748" s="38"/>
      <c r="BP748" s="38"/>
      <c r="BQ748" s="38"/>
      <c r="BR748" s="38"/>
      <c r="BS748" s="38"/>
      <c r="BT748" s="38"/>
      <c r="BU748" s="38"/>
      <c r="BV748" s="38"/>
      <c r="BW748" s="38"/>
      <c r="BX748" s="38"/>
      <c r="BY748" s="38"/>
      <c r="BZ748" s="38"/>
      <c r="CA748" s="38"/>
      <c r="CB748" s="38"/>
      <c r="CC748" s="38"/>
      <c r="CD748" s="38"/>
      <c r="CE748" s="38"/>
      <c r="CF748" s="38"/>
      <c r="CG748" s="38"/>
      <c r="CH748" s="38"/>
      <c r="CI748" s="38"/>
      <c r="CM748" s="1352"/>
      <c r="CN748" s="1352"/>
      <c r="CO748" s="1416"/>
      <c r="CP748" s="1418"/>
      <c r="CR748" s="1386"/>
      <c r="CS748" s="1355"/>
      <c r="CT748" s="1355"/>
      <c r="CU748" s="1355"/>
      <c r="CV748" s="1372"/>
      <c r="CW748" s="1372"/>
      <c r="CX748" s="1371"/>
      <c r="CY748" s="1486"/>
      <c r="CZ748" s="1486"/>
      <c r="DA748" s="1486"/>
      <c r="DC748" s="1355"/>
      <c r="DD748" s="1461"/>
      <c r="DE748" s="1355"/>
      <c r="DF748" s="1407"/>
      <c r="DG748" s="1372"/>
      <c r="DH748" s="1369"/>
      <c r="DJ748" s="1484"/>
      <c r="DL748" s="1419"/>
      <c r="DN748" s="1403"/>
      <c r="DO748" s="1405"/>
      <c r="DP748" s="1354"/>
      <c r="DQ748" s="1405"/>
      <c r="DR748" s="1403"/>
      <c r="DS748" s="1489"/>
      <c r="DU748" s="1403"/>
      <c r="DV748" s="1405"/>
      <c r="DW748" s="1403"/>
      <c r="DX748" s="1403"/>
      <c r="DZ748" s="1481"/>
      <c r="EA748" s="1481"/>
      <c r="EC748" s="1482"/>
      <c r="ED748" s="1369"/>
      <c r="EE748" s="1371"/>
      <c r="EF748" s="1369"/>
      <c r="EG748" s="1369"/>
      <c r="EH748" s="1374"/>
      <c r="EI748" s="1374"/>
      <c r="EJ748" s="1363"/>
      <c r="EK748" s="1376"/>
      <c r="EL748" s="1376"/>
      <c r="EM748" s="1362"/>
      <c r="EN748" s="1362"/>
      <c r="EO748" s="1363"/>
      <c r="EP748" s="1363"/>
      <c r="EQ748" s="1363"/>
      <c r="ES748" s="1403"/>
      <c r="EU748" s="1411"/>
      <c r="EV748" s="1411"/>
      <c r="EW748" s="1411"/>
      <c r="EX748" s="1411"/>
      <c r="EY748" s="1411"/>
      <c r="EZ748" s="1413"/>
      <c r="FB748" s="1365"/>
      <c r="FD748" s="1354"/>
      <c r="FE748" s="1354"/>
      <c r="FF748" s="138"/>
      <c r="FI748" s="1357"/>
      <c r="FJ748" s="1357"/>
      <c r="FK748" s="1365"/>
      <c r="FL748" s="1365"/>
      <c r="FM748" s="1365"/>
      <c r="FO748" s="1361"/>
      <c r="FP748" s="1361"/>
      <c r="FQ748" s="1366"/>
      <c r="FR748" s="1368"/>
      <c r="FS748" s="1361"/>
      <c r="FT748" s="1368"/>
      <c r="FU748" s="1360"/>
      <c r="FW748" s="1352"/>
      <c r="FX748" s="1352"/>
      <c r="FY748" s="1352"/>
      <c r="FZ748" s="1352"/>
      <c r="GA748" s="1352"/>
      <c r="GB748" s="1352"/>
      <c r="GC748" s="1352"/>
      <c r="GD748" s="1352"/>
      <c r="GE748" s="759"/>
      <c r="GF748" s="1035"/>
      <c r="GG748" s="1385"/>
      <c r="GI748" s="1384" t="b">
        <f>IF(AND(GL748=TRUE,GM748=TRUE),TRUE,FALSE)</f>
        <v>0</v>
      </c>
      <c r="GJ748" s="1379" t="b">
        <f>IFERROR(IF(__Retrofit_TI_NC=2,TRUE,IF(AR747="Yes",TRUE,FALSE)),FALSE)</f>
        <v>1</v>
      </c>
      <c r="GL748" s="1379" t="b">
        <f>IFERROR(IF(GL747=1,TRUE,FALSE),FALSE)</f>
        <v>0</v>
      </c>
      <c r="GM748" s="1379" t="b">
        <f>IFERROR(IF(GM747=GM$14,TRUE,FALSE),FALSE)</f>
        <v>0</v>
      </c>
      <c r="HC748" s="1379" t="b">
        <f>IFERROR(IF(M748=1,TRUE,FALSE),FALSE)</f>
        <v>0</v>
      </c>
      <c r="HD748" s="1379" t="b">
        <f>IFERROR(IF(M749=1,TRUE,FALSE),FALSE)</f>
        <v>0</v>
      </c>
      <c r="HE748" s="1379" t="b">
        <f>IFERROR(IF(__Retrofit_TI_NC&lt;&gt;0,TRUE,IFERROR(IF(VLOOKUP(U748,Fixtures_Existing_List,2,FALSE)&lt;&gt;"",TRUE,FALSE),FALSE)),FALSE)</f>
        <v>0</v>
      </c>
      <c r="HF748" s="1379" t="b">
        <f>IFERROR(IF(VLOOKUP(U749,Fixtures_Proposed_List,2,FALSE)&lt;&gt;"",TRUE,FALSE),FALSE)</f>
        <v>0</v>
      </c>
      <c r="HG748" s="1379" t="b">
        <f>IF(AND(__Retrofit_TI_NC=2,EZ747=TRUE),FALSE,TRUE)</f>
        <v>1</v>
      </c>
      <c r="HH748" s="1379" t="b">
        <f>GG747</f>
        <v>1</v>
      </c>
      <c r="HI748" s="1384" t="b">
        <f>IF(ISERROR(MATCH(FB747,_Control_Match[],0))=TRUE,FALSE,TRUE)</f>
        <v>0</v>
      </c>
      <c r="HJ748" s="1384" t="b">
        <f>IFERROR(IF(EU747&lt;&gt;EV747,FALSE,TRUE),FALSE)</f>
        <v>0</v>
      </c>
      <c r="HK748" s="1384" t="b">
        <f>IFERROR(IF(EU749&lt;&gt;EV749,FALSE,TRUE),FALSE)</f>
        <v>0</v>
      </c>
      <c r="HL748" s="1379" t="b">
        <f>IFERROR(IF(CN747="Exterior",TRUE,IF(OR(AND(FJ747=0,EW749&gt;4),AND(FJ747=4,EW749&gt;4,EW749&lt;7)),FALSE,TRUE)),FALSE)</f>
        <v>0</v>
      </c>
      <c r="HM748" s="1379" t="b">
        <f>IFERROR(IF(AND(FL749=7,EZ747=TRUE),FALSE,TRUE),FALSE)</f>
        <v>0</v>
      </c>
      <c r="HN748" s="1379" t="b">
        <f>IFERROR(IF(AND(T749&lt;&gt;AE749,AF749="Interior LLLC")=TRUE,FALSE,TRUE),FALSE)</f>
        <v>1</v>
      </c>
      <c r="HO748" s="1379" t="b">
        <f>IFERROR(IF(OR(AF749=Lookup!AU$13,AF749=Lookup!AU$14)=TRUE,IF(AE749&gt;T749,FALSE,TRUE),TRUE),FALSE)</f>
        <v>1</v>
      </c>
      <c r="HP748" s="1379" t="b">
        <f>IFERROR(IF(__Retrofit_TI_NC=2,IF(EW749&lt;EW747,FALSE,TRUE),TRUE),FALSE)</f>
        <v>1</v>
      </c>
      <c r="HQ748" s="1379" t="b">
        <f>IF(CN747="Interior",IG$6,TRUE)</f>
        <v>1</v>
      </c>
      <c r="HR748" s="1379" t="b">
        <f>IF(CN747="Exterior",IG$8,TRUE)</f>
        <v>1</v>
      </c>
      <c r="HS748" s="1379" t="b">
        <f>IFERROR(IF(__Retrofit_TI_NC&lt;&gt;0,IF(AW747&lt;AV747,FALSE,TRUE),TRUE),FALSE)</f>
        <v>1</v>
      </c>
      <c r="HT748" s="1379" t="b">
        <f>IFERROR(IF(AND(G748="Exterior",R748&gt;4200),FALSE,TRUE),FALSE)</f>
        <v>1</v>
      </c>
      <c r="HU748" s="1379" t="b">
        <f>IFERROR(IF(AB750/AB747&lt;HU$18,FALSE,TRUE),FALSE)</f>
        <v>0</v>
      </c>
      <c r="HW748" s="1382"/>
      <c r="HX748" s="1378"/>
      <c r="HY748" s="1377" t="str">
        <f>VLOOKUP(HW750,_Error_Table,4,FALSE)</f>
        <v>White</v>
      </c>
      <c r="HZ748" s="436"/>
      <c r="IA748" s="1386"/>
      <c r="IB748" s="1380"/>
      <c r="IC748" s="1379"/>
      <c r="IF748" s="1380"/>
      <c r="IG748" s="1382"/>
      <c r="IH748" s="1382"/>
      <c r="II748" s="1382"/>
      <c r="IK748" s="1351"/>
      <c r="IL748" s="1351"/>
      <c r="IM748" s="1351"/>
      <c r="IN748" s="1351"/>
      <c r="IO748" s="1351"/>
      <c r="IP748" s="1351"/>
    </row>
    <row r="749" spans="1:250" s="82" customFormat="1" ht="14.95" customHeight="1" thickTop="1" thickBot="1">
      <c r="A749" s="82">
        <f>ROW()</f>
        <v>749</v>
      </c>
      <c r="B749" s="1421"/>
      <c r="C749" s="1422"/>
      <c r="D749" s="1423"/>
      <c r="E749" s="1393" t="s">
        <v>245</v>
      </c>
      <c r="F749" s="1394"/>
      <c r="G749" s="1398"/>
      <c r="H749" s="1399"/>
      <c r="I749" s="1399"/>
      <c r="J749" s="1399"/>
      <c r="K749" s="1399"/>
      <c r="L749" s="1400"/>
      <c r="M749" s="509">
        <f>IFERROR(IF(IF(__Retrofit_TI_NC&lt;&gt;0,IF(CN747="Interior",MATCH(G749,Lookup_Interior_New,0),MATCH(G749,Lookup_Exterior_New,0)),IF(CN747="Interior",MATCH(G749,Lookup_Interior,0),MATCH(G749,Lookup_Exterior_Areas,0)))&gt;0,1,0),0)</f>
        <v>0</v>
      </c>
      <c r="N749" s="509" t="e">
        <f>IF(__Retrofit_TI_NC=1,
VLOOKUP(G749,'Space Table'!$B$3:$L$160,4,FALSE),
IF(__Retrofit_TI_NC=2,VLOOKUP(G749,'Space Table'!$B$3:$L$160,5,FALSE),VLOOKUP(G749,'Space Table'!$B$3:$L$160,5,FALSE)))</f>
        <v>#N/A</v>
      </c>
      <c r="O749" s="509">
        <f>G749</f>
        <v>0</v>
      </c>
      <c r="P749" s="1394" t="s">
        <v>355</v>
      </c>
      <c r="Q749" s="1394"/>
      <c r="R749" s="674"/>
      <c r="S749" s="1401" t="s">
        <v>284</v>
      </c>
      <c r="T749" s="672"/>
      <c r="U749" s="1499"/>
      <c r="V749" s="1500"/>
      <c r="W749" s="1500"/>
      <c r="X749" s="1500"/>
      <c r="Y749" s="1500"/>
      <c r="Z749" s="1500"/>
      <c r="AA749" s="1500"/>
      <c r="AB749" s="1501"/>
      <c r="AC749" s="1501"/>
      <c r="AD749" s="1502"/>
      <c r="AE749" s="672"/>
      <c r="AF749" s="1474"/>
      <c r="AG749" s="1474"/>
      <c r="AH749" s="1474"/>
      <c r="AI749" s="1474"/>
      <c r="AJ749" s="1475">
        <f>DF749</f>
        <v>0</v>
      </c>
      <c r="AK749" s="1470" t="str">
        <f>IFERROR(ROUND(AJ749*AC750,0),"")</f>
        <v/>
      </c>
      <c r="AL749" s="1472">
        <f>IFERROR(IF(HW747=FALSE,0,AC750-AK749),0)</f>
        <v>0</v>
      </c>
      <c r="AM749" s="1441"/>
      <c r="AN749" s="1442"/>
      <c r="AO749" s="1447"/>
      <c r="AP749" s="1447"/>
      <c r="AQ749" s="1448"/>
      <c r="AR749" s="1452"/>
      <c r="AS749" s="1455"/>
      <c r="AT749" s="1458"/>
      <c r="AU749" s="516"/>
      <c r="AV749" s="1479"/>
      <c r="AW749" s="1479"/>
      <c r="BC749" s="38"/>
      <c r="BD749" s="38"/>
      <c r="BE749" s="38"/>
      <c r="BF749" s="38"/>
      <c r="BG749" s="38"/>
      <c r="BH749" s="38"/>
      <c r="BI749" s="38"/>
      <c r="BJ749" s="38"/>
      <c r="BK749" s="38"/>
      <c r="BL749" s="38"/>
      <c r="BM749" s="38"/>
      <c r="BN749" s="38"/>
      <c r="BO749" s="38"/>
      <c r="BP749" s="38"/>
      <c r="BQ749" s="38"/>
      <c r="BR749" s="38"/>
      <c r="BS749" s="38"/>
      <c r="BT749" s="38"/>
      <c r="BU749" s="38"/>
      <c r="BV749" s="38"/>
      <c r="BW749" s="38"/>
      <c r="BX749" s="38"/>
      <c r="BY749" s="38"/>
      <c r="BZ749" s="38"/>
      <c r="CA749" s="38"/>
      <c r="CB749" s="38"/>
      <c r="CC749" s="38"/>
      <c r="CD749" s="38"/>
      <c r="CE749" s="38"/>
      <c r="CF749" s="38"/>
      <c r="CG749" s="38"/>
      <c r="CH749" s="38"/>
      <c r="CI749" s="38"/>
      <c r="CM749" s="1352"/>
      <c r="CN749" s="1352"/>
      <c r="CO749" s="1415" t="str">
        <f>CN747</f>
        <v/>
      </c>
      <c r="CP749" s="1417" t="e">
        <f>CP747</f>
        <v>#N/A</v>
      </c>
      <c r="CR749" s="1386" t="s">
        <v>284</v>
      </c>
      <c r="CS749" s="1353">
        <f>IF(HW747=TRUE,T749,0)</f>
        <v>0</v>
      </c>
      <c r="CT749" s="1353" t="str">
        <f>IF(HW747=TRUE,U749,"")</f>
        <v/>
      </c>
      <c r="CU749" s="1373">
        <f>IF(HW747=TRUE,U750,0)</f>
        <v>0</v>
      </c>
      <c r="CV749" s="1370">
        <f>IF(HW747=TRUE,AB750,0)</f>
        <v>0</v>
      </c>
      <c r="CW749" s="1370">
        <f>IF(HW747=TRUE,AC750,0)</f>
        <v>0</v>
      </c>
      <c r="CX749" s="1371"/>
      <c r="CY749" s="1486"/>
      <c r="CZ749" s="1486"/>
      <c r="DA749" s="1486"/>
      <c r="DC749" s="1353">
        <f>IF(HW747=TRUE,AE749,0)</f>
        <v>0</v>
      </c>
      <c r="DD749" s="1353" t="str">
        <f>IF(HW747=TRUE,AF749,"")</f>
        <v/>
      </c>
      <c r="DE749" s="1373">
        <f>AF750</f>
        <v>0</v>
      </c>
      <c r="DF749" s="1406">
        <f>IFERROR(IF(FL749=3,IK749,IF(FL749=4,IL749,IF(FL749=5,IM749,IF(FL749=6,IN749,IF(FL749=7,IO749,IF(FL749=8,IP749,0)))))),0)</f>
        <v>0</v>
      </c>
      <c r="DG749" s="1370">
        <f>IF(HW747=TRUE,AK749,0)</f>
        <v>0</v>
      </c>
      <c r="DH749" s="1369"/>
      <c r="DK749" s="1483">
        <f>IFERROR(CW749-DG749,0)</f>
        <v>0</v>
      </c>
      <c r="DL749" s="1420"/>
      <c r="DN749" s="1403"/>
      <c r="DO749" s="1477" t="str">
        <f>DN747</f>
        <v/>
      </c>
      <c r="DP749" s="1354"/>
      <c r="DQ749" s="1477" t="str">
        <f>IF(DP747=7,"LLLC","")</f>
        <v/>
      </c>
      <c r="DR749" s="1403"/>
      <c r="DS749" s="1489"/>
      <c r="DU749" s="1403"/>
      <c r="DV749" s="1404" t="str">
        <f>DU747</f>
        <v/>
      </c>
      <c r="DW749" s="1403"/>
      <c r="DX749" s="1403"/>
      <c r="DZ749" s="1481"/>
      <c r="EA749" s="1481"/>
      <c r="EC749" s="1482"/>
      <c r="ED749" s="1369"/>
      <c r="EE749" s="1371"/>
      <c r="EF749" s="1369"/>
      <c r="EG749" s="1369"/>
      <c r="EH749" s="1374"/>
      <c r="EI749" s="1374"/>
      <c r="EJ749" s="1363"/>
      <c r="EK749" s="1376"/>
      <c r="EL749" s="1376"/>
      <c r="EM749" s="1362"/>
      <c r="EN749" s="1362"/>
      <c r="EO749" s="1363"/>
      <c r="EP749" s="1363"/>
      <c r="EQ749" s="1363"/>
      <c r="ES749" s="1403"/>
      <c r="EU749" s="1411" t="e">
        <f>VLOOKUP(CP749,'Space Table'!$B$3:$L$160,8,FALSE)</f>
        <v>#N/A</v>
      </c>
      <c r="EV749" s="1411" t="e">
        <f>IF(EY749="Yes",VLOOKUP(AF749,Lookup_Control_Type_Table2,4,FALSE),VLOOKUP(AF749,Lookup_Control_Type_Table2,3,FALSE))</f>
        <v>#N/A</v>
      </c>
      <c r="EW749" s="1411" t="e">
        <f>VLOOKUP(AF749,Lookup!AU$3:AV$15,2,FALSE)</f>
        <v>#N/A</v>
      </c>
      <c r="EX749" s="1411" t="e">
        <f>VLOOKUP(EU747,Lookup_Control_Type_Table,2,FALSE)</f>
        <v>#N/A</v>
      </c>
      <c r="EY749" s="1411" t="e">
        <f>VLOOKUP(CP749,'Space Table'!$B$3:$L$160,7,FALSE)</f>
        <v>#N/A</v>
      </c>
      <c r="EZ749" s="1413"/>
      <c r="FB749" s="1365" t="str">
        <f>CONCATENATE(CN747," - ",AF749)</f>
        <v xml:space="preserve"> - </v>
      </c>
      <c r="FD749" s="1354"/>
      <c r="FE749" s="1354"/>
      <c r="FF749" s="138"/>
      <c r="FI749" s="1356" t="str">
        <f>IF(CN747="Exterior","Not Daylighted",G750)</f>
        <v>Not Daylighted</v>
      </c>
      <c r="FJ749" s="1356">
        <f>VLOOKUP(FI749,_Daylight_Table_Codes,2,FALSE)</f>
        <v>0</v>
      </c>
      <c r="FK749" s="1365">
        <f>AF749</f>
        <v>0</v>
      </c>
      <c r="FL749" s="1365" t="e">
        <f>VLOOKUP(FK749,_Control_Table,2,FALSE)</f>
        <v>#N/A</v>
      </c>
      <c r="FM749" s="1365" t="e">
        <f>IF(AND(FP749&gt;0,FK749="Occupancy Sensor"),"Daylight + Occupancy",IF(AND(FP749&gt;0,FL749&lt;4),"Interior Daylight Dimming",FK749))</f>
        <v>#N/A</v>
      </c>
      <c r="FO749" s="1364">
        <f>IF(CN747="Interior",VLOOKUP(CP747,Control_Savings_Interior,5,FALSE),0)</f>
        <v>0</v>
      </c>
      <c r="FP749" s="1361">
        <f>IF(CN749="Exterior",0,IF(FJ749=2,0.5,IF(OR(FJ749=1,FJ749=3),1,0)))</f>
        <v>0</v>
      </c>
      <c r="FQ749" s="1366">
        <f>IF(R748&gt;FO$37,(FO749*(FO$37/R748)),FO749)*FP749</f>
        <v>0</v>
      </c>
      <c r="FR749" s="1364">
        <f>DF749</f>
        <v>0</v>
      </c>
      <c r="FS749" s="1364">
        <f>ROUND(FR749+((1-FR749)*FQ749),2)</f>
        <v>0</v>
      </c>
      <c r="FT749" s="1364">
        <f>IF(__Retrofit_TI_NC=2,FS749,FR749)</f>
        <v>0</v>
      </c>
      <c r="FU749" s="1360">
        <f>IF(CO749="Interior",VLOOKUP(CP749,Control_Savings_Interior,4,FALSE),0)</f>
        <v>0</v>
      </c>
      <c r="FW749" s="1352"/>
      <c r="FX749" s="1352"/>
      <c r="FY749" s="1352"/>
      <c r="FZ749" s="1352"/>
      <c r="GA749" s="1352"/>
      <c r="GB749" s="1352"/>
      <c r="GC749" s="1352"/>
      <c r="GD749" s="1352"/>
      <c r="GE749" s="759" t="b">
        <f>IF(ISNUMBER(SEARCH("TLED",U749)),TRUE,FALSE)</f>
        <v>0</v>
      </c>
      <c r="GF749" s="1035" t="str">
        <f>IFERROR(VLOOKUP(U749,Fixtures!DM$93:DR$142,6,FALSE),"")</f>
        <v/>
      </c>
      <c r="GG749" s="1385"/>
      <c r="GI749" s="1383"/>
      <c r="GJ749" s="1379"/>
      <c r="GL749" s="1379"/>
      <c r="GM749" s="1379"/>
      <c r="HC749" s="1379"/>
      <c r="HD749" s="1379"/>
      <c r="HE749" s="1379"/>
      <c r="HF749" s="1379"/>
      <c r="HG749" s="1379"/>
      <c r="HH749" s="1379"/>
      <c r="HI749" s="1383"/>
      <c r="HJ749" s="1383"/>
      <c r="HK749" s="1383"/>
      <c r="HL749" s="1379"/>
      <c r="HM749" s="1379"/>
      <c r="HN749" s="1379"/>
      <c r="HO749" s="1379"/>
      <c r="HP749" s="1379"/>
      <c r="HQ749" s="1379"/>
      <c r="HR749" s="1379"/>
      <c r="HS749" s="1379"/>
      <c r="HT749" s="1379"/>
      <c r="HU749" s="1379"/>
      <c r="HW749" s="1383"/>
      <c r="HX749" s="1384" t="b">
        <f>HW747</f>
        <v>0</v>
      </c>
      <c r="HY749" s="1378"/>
      <c r="HZ749" s="436"/>
      <c r="IA749" s="1386"/>
      <c r="IB749" s="1380">
        <f>IF(IA747=TRUE,AC750,0)</f>
        <v>0</v>
      </c>
      <c r="IC749" s="1379"/>
      <c r="IF749" s="1380" t="e">
        <f>ROUND(T749*AB750*N748*R748/1000,0)</f>
        <v>#VALUE!</v>
      </c>
      <c r="IG749" s="1382"/>
      <c r="IH749" s="1384" t="e">
        <f>ROUND(T749*AB750*N748*R748/1000,0)</f>
        <v>#VALUE!</v>
      </c>
      <c r="II749" s="1382"/>
      <c r="IK749" s="1351" t="e">
        <f>IF($CO749="interior",IL749/2,VLOOKUP($CP749,Control_Savings_Exterior,IK$30,FALSE))</f>
        <v>#N/A</v>
      </c>
      <c r="IL749" s="1351" t="e">
        <f>IF($CO749="interior",VLOOKUP($CP749,Control_Savings_Interior,IL$30,FALSE),VLOOKUP($CP749,Control_Savings_Exterior,IL$30,FALSE))</f>
        <v>#N/A</v>
      </c>
      <c r="IM749" s="1351" t="e">
        <f>IF($CO749="interior",IF(R748&gt;FO$37,(IM$28*(FO$37/R748)),IM$28)*FP749,VLOOKUP($CP749,Control_Savings_Exterior,IM$30,FALSE))</f>
        <v>#N/A</v>
      </c>
      <c r="IN749" s="1351" t="e">
        <f>IF($CO749="interior",ROUND(((1-IL749)*IM749)+IL749,2),VLOOKUP($CP749,Control_Savings_Exterior,IN$30,FALSE))</f>
        <v>#N/A</v>
      </c>
      <c r="IO749" s="1351" t="e">
        <f>IF($CO749="interior", ROUND(((1-IL749)*(IM749*(1-IP$28)))+IP749,2), VLOOKUP($CP749,Control_Savings_Exterior,IO$30,FALSE))</f>
        <v>#N/A</v>
      </c>
      <c r="IP749" s="1351">
        <f>IF($CO749="interior",ROUND(((1-IL749)*IP$28)+IL749,2),0)</f>
        <v>0</v>
      </c>
    </row>
    <row r="750" spans="1:250" s="82" customFormat="1" ht="14.95" customHeight="1" thickTop="1" thickBot="1">
      <c r="B750" s="1421"/>
      <c r="C750" s="1422"/>
      <c r="D750" s="1423"/>
      <c r="E750" s="1462" t="s">
        <v>357</v>
      </c>
      <c r="F750" s="1463"/>
      <c r="G750" s="1464" t="s">
        <v>362</v>
      </c>
      <c r="H750" s="1465"/>
      <c r="I750" s="1465"/>
      <c r="J750" s="1465"/>
      <c r="K750" s="1465"/>
      <c r="L750" s="1466"/>
      <c r="M750" s="669">
        <f>IFERROR(VLOOKUP(G750,_Daylight_Table[],2,FALSE),0)</f>
        <v>0</v>
      </c>
      <c r="N750" s="670"/>
      <c r="O750" s="669" t="e">
        <f>VLOOKUP(G749,'Space Table'!$B$3:$L$160,11,FALSE)</f>
        <v>#N/A</v>
      </c>
      <c r="P750" s="1408"/>
      <c r="Q750" s="1409"/>
      <c r="R750" s="1409"/>
      <c r="S750" s="1402"/>
      <c r="T750" s="671" t="s">
        <v>281</v>
      </c>
      <c r="U750" s="1467" t="str">
        <f>IFERROR(VLOOKUP(U749,Fixtures!DM$93:DP$142,4,FALSE),"")</f>
        <v/>
      </c>
      <c r="V750" s="1468"/>
      <c r="W750" s="1468"/>
      <c r="X750" s="1468"/>
      <c r="Y750" s="1468"/>
      <c r="Z750" s="1468"/>
      <c r="AA750" s="1468"/>
      <c r="AB750" s="1046" t="str">
        <f>IFERROR(VLOOKUP(U749,Fixtures_Proposed_List,2,FALSE),"")</f>
        <v/>
      </c>
      <c r="AC750" s="1036" t="str">
        <f>IFERROR(ROUND(T749*AB750*N748*R748/1000,0),"")</f>
        <v/>
      </c>
      <c r="AD750" s="1037" t="str">
        <f>IFERROR(ROUND(T749*AB750/1000,2),"")</f>
        <v/>
      </c>
      <c r="AE750" s="1045" t="s">
        <v>281</v>
      </c>
      <c r="AF750" s="1469"/>
      <c r="AG750" s="1469"/>
      <c r="AH750" s="1469"/>
      <c r="AI750" s="1469"/>
      <c r="AJ750" s="1476"/>
      <c r="AK750" s="1471"/>
      <c r="AL750" s="1473"/>
      <c r="AM750" s="1443"/>
      <c r="AN750" s="1444"/>
      <c r="AO750" s="1449"/>
      <c r="AP750" s="1449"/>
      <c r="AQ750" s="1450"/>
      <c r="AR750" s="1453"/>
      <c r="AS750" s="1456"/>
      <c r="AT750" s="1459"/>
      <c r="AU750" s="517"/>
      <c r="AV750" s="1480"/>
      <c r="AW750" s="1480"/>
      <c r="BC750" s="38"/>
      <c r="BD750" s="38"/>
      <c r="BE750" s="38"/>
      <c r="BF750" s="38"/>
      <c r="BG750" s="38"/>
      <c r="BH750" s="38"/>
      <c r="BI750" s="38"/>
      <c r="BJ750" s="38"/>
      <c r="BK750" s="38"/>
      <c r="BL750" s="38"/>
      <c r="BM750" s="38"/>
      <c r="BN750" s="38"/>
      <c r="BO750" s="38"/>
      <c r="BP750" s="38"/>
      <c r="BQ750" s="38"/>
      <c r="BR750" s="38"/>
      <c r="BS750" s="38"/>
      <c r="BT750" s="38"/>
      <c r="BU750" s="38"/>
      <c r="BV750" s="38"/>
      <c r="BW750" s="38"/>
      <c r="BX750" s="38"/>
      <c r="BY750" s="38"/>
      <c r="BZ750" s="38"/>
      <c r="CA750" s="38"/>
      <c r="CB750" s="38"/>
      <c r="CC750" s="38"/>
      <c r="CD750" s="38"/>
      <c r="CE750" s="38"/>
      <c r="CF750" s="38"/>
      <c r="CG750" s="38"/>
      <c r="CH750" s="38"/>
      <c r="CI750" s="38"/>
      <c r="CM750" s="1352"/>
      <c r="CN750" s="1352"/>
      <c r="CO750" s="1416"/>
      <c r="CP750" s="1418"/>
      <c r="CR750" s="1386"/>
      <c r="CS750" s="1355"/>
      <c r="CT750" s="1355"/>
      <c r="CU750" s="1375"/>
      <c r="CV750" s="1372"/>
      <c r="CW750" s="1372"/>
      <c r="CX750" s="1372"/>
      <c r="CY750" s="1487"/>
      <c r="CZ750" s="1487"/>
      <c r="DA750" s="1487"/>
      <c r="DC750" s="1355"/>
      <c r="DD750" s="1355"/>
      <c r="DE750" s="1375"/>
      <c r="DF750" s="1407"/>
      <c r="DG750" s="1372"/>
      <c r="DH750" s="1369"/>
      <c r="DK750" s="1484"/>
      <c r="DL750" s="1420"/>
      <c r="DN750" s="1403"/>
      <c r="DO750" s="1405"/>
      <c r="DP750" s="1355"/>
      <c r="DQ750" s="1405"/>
      <c r="DR750" s="1403"/>
      <c r="DS750" s="1489"/>
      <c r="DU750" s="1403"/>
      <c r="DV750" s="1405"/>
      <c r="DW750" s="1403"/>
      <c r="DX750" s="1403"/>
      <c r="DZ750" s="1481"/>
      <c r="EA750" s="1481"/>
      <c r="EC750" s="1482"/>
      <c r="ED750" s="1369"/>
      <c r="EE750" s="1372"/>
      <c r="EF750" s="1369"/>
      <c r="EG750" s="1369"/>
      <c r="EH750" s="1375"/>
      <c r="EI750" s="1375"/>
      <c r="EJ750" s="1363"/>
      <c r="EK750" s="1376"/>
      <c r="EL750" s="1376"/>
      <c r="EM750" s="1362"/>
      <c r="EN750" s="1362"/>
      <c r="EO750" s="1363"/>
      <c r="EP750" s="1363"/>
      <c r="EQ750" s="1363"/>
      <c r="ES750" s="1403"/>
      <c r="EU750" s="1488"/>
      <c r="EV750" s="1488"/>
      <c r="EW750" s="1488"/>
      <c r="EX750" s="1488"/>
      <c r="EY750" s="1488"/>
      <c r="EZ750" s="1414"/>
      <c r="FB750" s="1365"/>
      <c r="FD750" s="1355"/>
      <c r="FE750" s="1355"/>
      <c r="FF750" s="138"/>
      <c r="FI750" s="1357"/>
      <c r="FJ750" s="1357"/>
      <c r="FK750" s="1365"/>
      <c r="FL750" s="1365"/>
      <c r="FM750" s="1365"/>
      <c r="FO750" s="1361"/>
      <c r="FP750" s="1361"/>
      <c r="FQ750" s="1366"/>
      <c r="FR750" s="1361"/>
      <c r="FS750" s="1361"/>
      <c r="FT750" s="1361"/>
      <c r="FU750" s="1360"/>
      <c r="FW750" s="1352"/>
      <c r="FX750" s="1352"/>
      <c r="FY750" s="1352"/>
      <c r="FZ750" s="1352"/>
      <c r="GA750" s="1352"/>
      <c r="GB750" s="1352"/>
      <c r="GC750" s="1352"/>
      <c r="GD750" s="1352"/>
      <c r="GE750" s="759"/>
      <c r="GF750" s="1035"/>
      <c r="GG750" s="1385"/>
      <c r="GJ750" s="1034">
        <f>IF(GJ748=TRUE,0,GJ$16)</f>
        <v>0</v>
      </c>
      <c r="GL750" s="1034">
        <f>IF(GL748=TRUE,0,GL$16)</f>
        <v>36</v>
      </c>
      <c r="GM750" s="1034">
        <f>IF(GM748=TRUE,0,GM$16)</f>
        <v>35</v>
      </c>
      <c r="GN750" s="436"/>
      <c r="GO750" s="436"/>
      <c r="GP750" s="436"/>
      <c r="GQ750" s="436"/>
      <c r="GR750" s="436"/>
      <c r="HC750" s="1034">
        <f t="shared" ref="HC750:HH750" si="558">IF(HC748=TRUE,0,HC$16)</f>
        <v>19</v>
      </c>
      <c r="HD750" s="1034">
        <f t="shared" si="558"/>
        <v>18</v>
      </c>
      <c r="HE750" s="1034">
        <f t="shared" si="558"/>
        <v>17</v>
      </c>
      <c r="HF750" s="1034">
        <f t="shared" si="558"/>
        <v>16</v>
      </c>
      <c r="HG750" s="1034">
        <f t="shared" si="558"/>
        <v>0</v>
      </c>
      <c r="HH750" s="1034">
        <f t="shared" si="558"/>
        <v>0</v>
      </c>
      <c r="HI750" s="1034">
        <f>IF(HI748=TRUE,0,HI$16)</f>
        <v>13</v>
      </c>
      <c r="HJ750" s="1034">
        <f t="shared" ref="HJ750:HL750" si="559">IF(HJ748=TRUE,0,HJ$16)</f>
        <v>12</v>
      </c>
      <c r="HK750" s="1034">
        <f t="shared" si="559"/>
        <v>11</v>
      </c>
      <c r="HL750" s="1034">
        <f t="shared" si="559"/>
        <v>10</v>
      </c>
      <c r="HM750" s="1034">
        <f>IF(HM748=TRUE,0,HM$16)</f>
        <v>9</v>
      </c>
      <c r="HN750" s="1034">
        <f t="shared" ref="HN750:HR750" si="560">IF(HN748=TRUE,0,HN$16)</f>
        <v>0</v>
      </c>
      <c r="HO750" s="1034">
        <f t="shared" si="560"/>
        <v>0</v>
      </c>
      <c r="HP750" s="1034">
        <f t="shared" si="560"/>
        <v>0</v>
      </c>
      <c r="HQ750" s="1034">
        <f t="shared" si="560"/>
        <v>0</v>
      </c>
      <c r="HR750" s="1034">
        <f t="shared" si="560"/>
        <v>0</v>
      </c>
      <c r="HS750" s="1034">
        <f>IF(HS748=TRUE,0,HS$16)</f>
        <v>0</v>
      </c>
      <c r="HT750" s="1034">
        <f t="shared" ref="HT750" si="561">IF(HT748=TRUE,0,HT$16)</f>
        <v>0</v>
      </c>
      <c r="HU750" s="1034">
        <f>IF(HU748=TRUE,0,HU$16)</f>
        <v>1</v>
      </c>
      <c r="HW750" s="1034">
        <f>IF(GL748=FALSE,GL750,IF(GM748=FALSE,GM750,MAX(GJ750:HU750)))</f>
        <v>36</v>
      </c>
      <c r="HX750" s="1383"/>
      <c r="HY750" s="241" t="str">
        <f>VLOOKUP(HW750,_Error_Table,3,FALSE)</f>
        <v xml:space="preserve"> </v>
      </c>
      <c r="HZ750" s="241"/>
      <c r="IA750" s="1386"/>
      <c r="IB750" s="1380"/>
      <c r="IC750" s="1379"/>
      <c r="IF750" s="1380"/>
      <c r="IG750" s="1383"/>
      <c r="IH750" s="1383"/>
      <c r="II750" s="1383"/>
      <c r="IK750" s="1351"/>
      <c r="IL750" s="1351"/>
      <c r="IM750" s="1351"/>
      <c r="IN750" s="1351"/>
      <c r="IO750" s="1351"/>
      <c r="IP750" s="1351"/>
    </row>
    <row r="751" spans="1:250" s="82" customFormat="1" ht="5.0999999999999996" customHeight="1" thickBot="1">
      <c r="B751" s="763"/>
      <c r="C751" s="1038"/>
      <c r="D751" s="1038"/>
      <c r="E751" s="1490"/>
      <c r="F751" s="1490"/>
      <c r="G751" s="1490"/>
      <c r="H751" s="1490"/>
      <c r="I751" s="1490"/>
      <c r="J751" s="1490"/>
      <c r="K751" s="1490"/>
      <c r="L751" s="1490"/>
      <c r="M751" s="1490"/>
      <c r="N751" s="1490"/>
      <c r="O751" s="1490"/>
      <c r="P751" s="1490"/>
      <c r="Q751" s="1490"/>
      <c r="R751" s="1490"/>
      <c r="S751" s="1490"/>
      <c r="T751" s="1490"/>
      <c r="U751" s="1490"/>
      <c r="V751" s="1490"/>
      <c r="W751" s="1490"/>
      <c r="X751" s="1490"/>
      <c r="Y751" s="1490"/>
      <c r="Z751" s="1490"/>
      <c r="AA751" s="1490"/>
      <c r="AB751" s="1490"/>
      <c r="AC751" s="1490"/>
      <c r="AD751" s="1490"/>
      <c r="AE751" s="1490"/>
      <c r="AF751" s="1490"/>
      <c r="AG751" s="1490"/>
      <c r="AH751" s="1490"/>
      <c r="AI751" s="1490"/>
      <c r="AJ751" s="1490"/>
      <c r="AK751" s="1490"/>
      <c r="AL751" s="1490"/>
      <c r="AM751" s="1490"/>
      <c r="AN751" s="1490"/>
      <c r="AO751" s="1490"/>
      <c r="AP751" s="1490"/>
      <c r="AQ751" s="1490"/>
      <c r="AR751" s="1490"/>
      <c r="AS751" s="1490"/>
      <c r="AT751" s="1490"/>
      <c r="AU751" s="1041"/>
      <c r="BC751" s="38"/>
      <c r="BD751" s="38"/>
      <c r="BE751" s="38"/>
      <c r="BF751" s="38"/>
      <c r="BG751" s="38"/>
      <c r="BH751" s="38"/>
      <c r="BI751" s="38"/>
      <c r="BJ751" s="38"/>
      <c r="BK751" s="38"/>
      <c r="BL751" s="38"/>
      <c r="BM751" s="38"/>
      <c r="BN751" s="38"/>
      <c r="BO751" s="38"/>
      <c r="BP751" s="38"/>
      <c r="BQ751" s="38"/>
      <c r="BR751" s="38"/>
      <c r="BS751" s="38"/>
      <c r="BT751" s="38"/>
      <c r="BU751" s="38"/>
      <c r="BV751" s="38"/>
      <c r="BW751" s="38"/>
      <c r="BX751" s="38"/>
      <c r="BY751" s="38"/>
      <c r="BZ751" s="38"/>
      <c r="CA751" s="38"/>
      <c r="CB751" s="38"/>
      <c r="CC751" s="38"/>
      <c r="CD751" s="38"/>
      <c r="CE751" s="38"/>
      <c r="CF751" s="38"/>
      <c r="CG751" s="38"/>
      <c r="CH751" s="38"/>
      <c r="CI751" s="38"/>
      <c r="CM751" s="749"/>
      <c r="CN751" s="749"/>
      <c r="CO751" s="1043"/>
      <c r="CP751" s="749"/>
      <c r="CS751" s="436"/>
      <c r="CT751" s="436"/>
      <c r="CU751" s="243"/>
      <c r="CV751" s="244"/>
      <c r="CW751" s="244"/>
      <c r="CX751" s="244"/>
      <c r="CY751" s="245"/>
      <c r="CZ751" s="245"/>
      <c r="DA751" s="245"/>
      <c r="DC751" s="750"/>
      <c r="DD751" s="751"/>
      <c r="DE751" s="752"/>
      <c r="DF751" s="753"/>
      <c r="DG751" s="754"/>
      <c r="DH751" s="754"/>
      <c r="DK751" s="244"/>
      <c r="DL751" s="750"/>
      <c r="DN751" s="750"/>
      <c r="DO751" s="755"/>
      <c r="DP751" s="436"/>
      <c r="DQ751" s="750"/>
      <c r="DR751" s="750"/>
      <c r="DS751" s="750"/>
      <c r="DU751" s="750"/>
      <c r="DV751" s="750"/>
      <c r="DW751" s="750"/>
      <c r="DX751" s="750"/>
      <c r="DZ751" s="756"/>
      <c r="EA751" s="756"/>
      <c r="EC751" s="754"/>
      <c r="ED751" s="754"/>
      <c r="EE751" s="244"/>
      <c r="EF751" s="754"/>
      <c r="EG751" s="754"/>
      <c r="EH751" s="243"/>
      <c r="EI751" s="243"/>
      <c r="EJ751" s="752"/>
      <c r="EK751" s="757"/>
      <c r="EL751" s="757"/>
      <c r="EM751" s="758"/>
      <c r="EN751" s="758"/>
      <c r="EO751" s="752"/>
      <c r="EP751" s="752"/>
      <c r="EQ751" s="752"/>
      <c r="ES751" s="750"/>
      <c r="EU751" s="436"/>
      <c r="EV751" s="436"/>
      <c r="EW751" s="436"/>
      <c r="EX751" s="436"/>
      <c r="EY751" s="436"/>
      <c r="EZ751" s="436"/>
      <c r="FB751" s="643"/>
      <c r="FD751" s="436"/>
      <c r="FE751" s="436"/>
      <c r="FF751" s="436"/>
      <c r="FO751" s="750"/>
      <c r="FP751" s="436"/>
      <c r="FQ751" s="436"/>
      <c r="FR751" s="750"/>
      <c r="FS751" s="750"/>
      <c r="FW751" s="749"/>
      <c r="FX751" s="749"/>
      <c r="FY751" s="749"/>
      <c r="FZ751" s="749"/>
      <c r="GA751" s="749"/>
      <c r="GB751" s="749"/>
      <c r="GC751" s="749"/>
      <c r="GD751" s="749"/>
      <c r="GE751" s="751"/>
      <c r="GF751" s="750"/>
      <c r="GG751" s="750"/>
    </row>
    <row r="752" spans="1:250" s="82" customFormat="1" ht="14.95" customHeight="1" thickTop="1" thickBot="1">
      <c r="B752" s="1421" t="str">
        <f>HY755</f>
        <v xml:space="preserve"> </v>
      </c>
      <c r="C752" s="1422">
        <f>C747+1</f>
        <v>138</v>
      </c>
      <c r="D752" s="1423"/>
      <c r="E752" s="1424" t="s">
        <v>242</v>
      </c>
      <c r="F752" s="1425"/>
      <c r="G752" s="1426"/>
      <c r="H752" s="1427"/>
      <c r="I752" s="1427"/>
      <c r="J752" s="1427"/>
      <c r="K752" s="1427"/>
      <c r="L752" s="1427"/>
      <c r="M752" s="1427"/>
      <c r="N752" s="1427"/>
      <c r="O752" s="1427"/>
      <c r="P752" s="1427"/>
      <c r="Q752" s="1427"/>
      <c r="R752" s="1427"/>
      <c r="S752" s="1428" t="s">
        <v>283</v>
      </c>
      <c r="T752" s="668" t="s">
        <v>190</v>
      </c>
      <c r="U752" s="1430" t="s">
        <v>186</v>
      </c>
      <c r="V752" s="1431"/>
      <c r="W752" s="1431"/>
      <c r="X752" s="1431"/>
      <c r="Y752" s="1431"/>
      <c r="Z752" s="1431"/>
      <c r="AA752" s="1431"/>
      <c r="AB752" s="1047" t="str">
        <f>IFERROR(IF(__Retrofit_TI_NC=0,VLOOKUP(U753,Fixtures_Existing_List,2,FALSE),ROUND(N754*R754/T754,10)),"")</f>
        <v/>
      </c>
      <c r="AC752" s="1039" t="str">
        <f>IFERROR(IF(__Retrofit_TI_NC=0,ROUND(T753*AB752*N753*R753/1000,0),IF(CN752="Interior",N754*R754*R753*N753*_C406_reduction/1000,N754*R754*R753*N753/1000)),"")</f>
        <v/>
      </c>
      <c r="AD752" s="1040" t="str">
        <f>IFERROR(IF(C$36=0,ROUND(T753*AB752/1000,2),N754*R754/1000),"")</f>
        <v/>
      </c>
      <c r="AE752" s="1044" t="s">
        <v>190</v>
      </c>
      <c r="AF752" s="1432" t="str">
        <f>IF(__Retrofit_TI_NC=2,CONCATENATE("Code min = ",DD752),IF(__Retrofit_TI_NC=1,"Emter what you think the existing control was"," Control"))</f>
        <v xml:space="preserve"> Control</v>
      </c>
      <c r="AG752" s="1432"/>
      <c r="AH752" s="1432"/>
      <c r="AI752" s="1432"/>
      <c r="AJ752" s="1433">
        <f>DF752</f>
        <v>0</v>
      </c>
      <c r="AK752" s="1435" t="str">
        <f>IFERROR(ROUND(AJ752*AC752,0),"")</f>
        <v/>
      </c>
      <c r="AL752" s="1437">
        <f>IFERROR(IF(HW752=FALSE,0,AC752-AK752),0)</f>
        <v>0</v>
      </c>
      <c r="AM752" s="1439">
        <f>AL752-AL754</f>
        <v>0</v>
      </c>
      <c r="AN752" s="1440"/>
      <c r="AO752" s="1445">
        <f>IFERROR(IF(HW752=FALSE,0,(T754*U755)+(AE754*AF755)),0)</f>
        <v>0</v>
      </c>
      <c r="AP752" s="1445"/>
      <c r="AQ752" s="1446"/>
      <c r="AR752" s="1451" t="s">
        <v>157</v>
      </c>
      <c r="AS752" s="1454">
        <f>IF(AR752="Yes",1,0)</f>
        <v>1</v>
      </c>
      <c r="AT752" s="1457" t="str">
        <f>IF(OR(DN752=4,DN752=5,DN752=6,DN752=12),CONCATENATE("$",IF(GD752=TRUE,Lookup!$B$11,Lookup!$B$2)," /lamp"),CONCATENATE(EA752,"/ kWh"))</f>
        <v>0/ kWh</v>
      </c>
      <c r="AU752" s="516"/>
      <c r="AV752" s="1478">
        <f>IFERROR(IF(GI753=TRUE,(AB755*T754)/R754,0),"NA")</f>
        <v>0</v>
      </c>
      <c r="AW752" s="1478" t="str">
        <f>IFERROR(N754*_C406_reduction,"NA")</f>
        <v>NA</v>
      </c>
      <c r="BC752" s="38"/>
      <c r="BD752" s="38"/>
      <c r="BE752" s="38"/>
      <c r="BF752" s="38"/>
      <c r="BG752" s="38"/>
      <c r="BH752" s="38"/>
      <c r="BI752" s="38"/>
      <c r="BJ752" s="38"/>
      <c r="BK752" s="38"/>
      <c r="BL752" s="38"/>
      <c r="BM752" s="38"/>
      <c r="BN752" s="38"/>
      <c r="BO752" s="38"/>
      <c r="BP752" s="38"/>
      <c r="BQ752" s="38"/>
      <c r="BR752" s="38"/>
      <c r="BS752" s="38"/>
      <c r="BT752" s="38"/>
      <c r="BU752" s="38"/>
      <c r="BV752" s="38"/>
      <c r="BW752" s="38"/>
      <c r="BX752" s="38"/>
      <c r="BY752" s="38"/>
      <c r="BZ752" s="38"/>
      <c r="CA752" s="38"/>
      <c r="CB752" s="38"/>
      <c r="CC752" s="38"/>
      <c r="CD752" s="38"/>
      <c r="CE752" s="38"/>
      <c r="CF752" s="38"/>
      <c r="CG752" s="38"/>
      <c r="CH752" s="38"/>
      <c r="CI752" s="38"/>
      <c r="CM752" s="1352" t="str">
        <f>N753</f>
        <v/>
      </c>
      <c r="CN752" s="1352" t="str">
        <f>IFERROR(VLOOKUP(G753,_Lookup_Heat_Type_Table_New,3,FALSE),"")</f>
        <v/>
      </c>
      <c r="CO752" s="1415" t="str">
        <f>CN752</f>
        <v/>
      </c>
      <c r="CP752" s="1417" t="e">
        <f>VLOOKUP(G754,'Space Table'!$B$3:$L$160,9,FALSE)</f>
        <v>#N/A</v>
      </c>
      <c r="CR752" s="1386" t="s">
        <v>283</v>
      </c>
      <c r="CS752" s="1353">
        <f>IF(HW752=TRUE,T753,0)</f>
        <v>0</v>
      </c>
      <c r="CT752" s="1353" t="str">
        <f>IF(HW752=TRUE,U753,"")</f>
        <v/>
      </c>
      <c r="CU752" s="1353"/>
      <c r="CV752" s="1370">
        <f>IF(HW752=TRUE,AB752,0)</f>
        <v>0</v>
      </c>
      <c r="CW752" s="1370">
        <f>IF(HW752=TRUE,AC752,0)</f>
        <v>0</v>
      </c>
      <c r="CX752" s="1370">
        <f>IFERROR(IF(HW752=TRUE,CW752-CW754,0),0)</f>
        <v>0</v>
      </c>
      <c r="CY752" s="1485">
        <f>IF(HW752=TRUE,AD752,0)</f>
        <v>0</v>
      </c>
      <c r="CZ752" s="1485">
        <f>IF(HW752=TRUE,AD755,0)</f>
        <v>0</v>
      </c>
      <c r="DA752" s="1485">
        <f>IFERROR(CY752-CZ752,0)</f>
        <v>0</v>
      </c>
      <c r="DC752" s="1353">
        <f>IF(HW752=TRUE,AE753,0)</f>
        <v>0</v>
      </c>
      <c r="DD752" s="1460">
        <f>IF(__Retrofit_TI_NC=2,IF(CN752="Exterior",O755,FM752),FK752)</f>
        <v>0</v>
      </c>
      <c r="DE752" s="1353"/>
      <c r="DF752" s="1406">
        <f>IFERROR(IF(FL752=3,IK752,IF(FL752=4,IL752,IF(FL752=5,IM752,IF(FL752=6,IN752,IF(FL752=7,IO752,IF(FL752=8,IP752,0)))))),0)</f>
        <v>0</v>
      </c>
      <c r="DG752" s="1370">
        <f>IF(HW752=TRUE,AK752,0)</f>
        <v>0</v>
      </c>
      <c r="DH752" s="1369">
        <f>IFERROR(IF(HW752=TRUE,DG754-DG752,0),0)</f>
        <v>0</v>
      </c>
      <c r="DJ752" s="1483">
        <f>IFERROR(CW752-DG752,0)</f>
        <v>0</v>
      </c>
      <c r="DL752" s="1419">
        <f>DJ752-DK754</f>
        <v>0</v>
      </c>
      <c r="DN752" s="1403" t="str">
        <f>IFERROR(IF(AND(OR(FY752=4,FY752=5,FY752=6),OR(GB752=4,GB752=5,GB752=6)),FY752+8,VLOOKUP(CT754,Fixtures!R$31:Y$78,8,FALSE)),"")</f>
        <v/>
      </c>
      <c r="DO752" s="1404" t="str">
        <f>DN752</f>
        <v/>
      </c>
      <c r="DP752" s="1353" t="str">
        <f>IFERROR(VLOOKUP(DD754,Lookup!AU$3:AV$15,2,FALSE),"")</f>
        <v/>
      </c>
      <c r="DQ752" s="1404" t="str">
        <f>IF(DP752=7,"LLLC","")</f>
        <v/>
      </c>
      <c r="DR752" s="1403">
        <f>IFERROR(IF(OR(DN752=4,DN752=5,DN752=6,DN752=12,DN752=13,DN752=14),VLOOKUP(CT754,Fixtures!DN$27:EG$77,19,FALSE),1)*CS754,0)</f>
        <v>0</v>
      </c>
      <c r="DS752" s="1489">
        <f>IF(DP752=7,IF(DD752=DD754,0,DC754),0)</f>
        <v>0</v>
      </c>
      <c r="DU752" s="1403" t="str">
        <f>IFERROR(IF(EW752&lt;EW754,"Yes","No"),"")</f>
        <v/>
      </c>
      <c r="DV752" s="1404" t="str">
        <f>DU752</f>
        <v/>
      </c>
      <c r="DW752" s="1403">
        <f>IF(DU752="Yes",DC754,0)</f>
        <v>0</v>
      </c>
      <c r="DX752" s="1403">
        <f>DW752-DS752</f>
        <v>0</v>
      </c>
      <c r="DZ752" s="1481">
        <f>IFERROR(VLOOKUP(DN752,Lookup!AN$3:AO$16,2,FALSE),0)</f>
        <v>0</v>
      </c>
      <c r="EA752" s="1481">
        <f>IF(HW752=FALSE,0,IF(DU752="Yes",DZ752+Lookup!B$6,DZ752))</f>
        <v>0</v>
      </c>
      <c r="EC752" s="1482">
        <f>IF(HW752=TRUE,DJ752,0)</f>
        <v>0</v>
      </c>
      <c r="ED752" s="1369">
        <f>IF(HW752=TRUE,CW754,0)</f>
        <v>0</v>
      </c>
      <c r="EE752" s="1370">
        <f>IFERROR(EC752-ED752,0)</f>
        <v>0</v>
      </c>
      <c r="EF752" s="1369">
        <f>IF(HW752=TRUE,DG754,0)</f>
        <v>0</v>
      </c>
      <c r="EG752" s="1369">
        <f>IFERROR(EC752-ED752+EF752,0)</f>
        <v>0</v>
      </c>
      <c r="EH752" s="1373">
        <f>IF(HW752=TRUE,CS754*CU754,0)</f>
        <v>0</v>
      </c>
      <c r="EI752" s="1373">
        <f>IF(HW752=TRUE,DC754*DE754,0)</f>
        <v>0</v>
      </c>
      <c r="EJ752" s="1363">
        <f>AO752</f>
        <v>0</v>
      </c>
      <c r="EK752" s="1376" t="str">
        <f>IFERROR(IF(HW752=TRUE,VLOOKUP(DN752,Lookup!AN$3:AP$16,3,FALSE)*DR752,""),0)</f>
        <v/>
      </c>
      <c r="EL752" s="1376">
        <f>IF(HW752=TRUE,DW752*Lookup!AP$12,0)</f>
        <v>0</v>
      </c>
      <c r="EM752" s="1362">
        <f>IFERROR(IF(HW752=TRUE,EK752/EM$33,0),0)</f>
        <v>0</v>
      </c>
      <c r="EN752" s="1362">
        <f>IF(HW752=TRUE,EL752/EN$33,0)</f>
        <v>0</v>
      </c>
      <c r="EO752" s="1363">
        <f>IF(HW752=TRUE,EQ$33*EM752,0)</f>
        <v>0</v>
      </c>
      <c r="EP752" s="1363">
        <f>IF(HW752=TRUE,EQ$33*EN752,0)</f>
        <v>0</v>
      </c>
      <c r="EQ752" s="1363">
        <f>EO752+EP752</f>
        <v>0</v>
      </c>
      <c r="ES752" s="1403">
        <f>IF(G752="",0,1)</f>
        <v>0</v>
      </c>
      <c r="EU752" s="1410" t="e">
        <f>VLOOKUP(CP754,'Space Table'!$B$3:$L$160,8,FALSE)</f>
        <v>#N/A</v>
      </c>
      <c r="EV752" s="1410" t="e">
        <f>IF(EY752="Yes",VLOOKUP(DD752,Lookup_Control_Type_Table2,4,FALSE),VLOOKUP(DD752,Lookup_Control_Type_Table2,3,FALSE))</f>
        <v>#N/A</v>
      </c>
      <c r="EW752" s="1410" t="e">
        <f>VLOOKUP(DD752,Lookup!AU$3:AV$15,2,FALSE)</f>
        <v>#N/A</v>
      </c>
      <c r="EX752" s="1410" t="e">
        <f>VLOOKUP(EU752,Lookup_Control_Type_Table,2,FALSE)</f>
        <v>#N/A</v>
      </c>
      <c r="EY752" s="1410" t="e">
        <f>VLOOKUP(CP754,'Space Table'!$B$3:$L$160,7,FALSE)</f>
        <v>#N/A</v>
      </c>
      <c r="EZ752" s="1412" t="b">
        <f>ISNUMBER(SEARCH("TLED",U754))</f>
        <v>0</v>
      </c>
      <c r="FB752" s="1365" t="str">
        <f>CONCATENATE(CN752," - ",DD752)</f>
        <v xml:space="preserve"> - 0</v>
      </c>
      <c r="FD752" s="1353" t="str">
        <f>VLOOKUP(CT754,Fixtures!DN$27:EZ$77,38,FALSE)</f>
        <v/>
      </c>
      <c r="FE752" s="1353">
        <f>IFERROR(FD752*EE752,0)</f>
        <v>0</v>
      </c>
      <c r="FF752" s="138"/>
      <c r="FI752" s="1356" t="str">
        <f>IF(CN752="Exterior","Not Daylighted",G755)</f>
        <v>Not Daylighted</v>
      </c>
      <c r="FJ752" s="1356">
        <f>VLOOKUP(FI752,_Daylight_Table_Codes,2,FALSE)</f>
        <v>0</v>
      </c>
      <c r="FK752" s="1365">
        <f>IF(__Retrofit_TI_NC=2,VLOOKUP(G754,'Space Table'!$B$3:$L$160,11,FALSE),AF753)</f>
        <v>0</v>
      </c>
      <c r="FL752" s="1365" t="e">
        <f>VLOOKUP(FK752,_Control_Table,2,FALSE)</f>
        <v>#N/A</v>
      </c>
      <c r="FM752" s="1365" t="e">
        <f>IF(AND(FP752&gt;0,FK752="Occupancy Sensor"),"Daylight + Occupancy",IF(AND(FP752&gt;0,FL752&lt;4),"Interior Daylight Dimming",FK752))</f>
        <v>#N/A</v>
      </c>
      <c r="FO752" s="1364">
        <f>IF(CO752="Interior",VLOOKUP(CP752,Control_Savings_Interior,5,FALSE),0)</f>
        <v>0</v>
      </c>
      <c r="FP752" s="1361">
        <f>IF(CN752="Exterior",0,IF(FJ752=2,0.5,IF(OR(FJ752=1,FJ752=3),1,0)))</f>
        <v>0</v>
      </c>
      <c r="FQ752" s="1366"/>
      <c r="FR752" s="1367"/>
      <c r="FS752" s="1364"/>
      <c r="FT752" s="1367"/>
      <c r="FU752" s="1360"/>
      <c r="FW752" s="1352" t="str">
        <f>IFERROR(VLOOKUP(U753,_Exist_Fixture_Table,3,FALSE),"")</f>
        <v/>
      </c>
      <c r="FX752" s="1352" t="str">
        <f>VLOOKUP(CT752,_Exist_Fixture_Table,4,FALSE)</f>
        <v/>
      </c>
      <c r="FY752" s="1352">
        <f>IFERROR(VLOOKUP(FX752,Lookup!AM$6:AN$8,2,FALSE),0)</f>
        <v>0</v>
      </c>
      <c r="FZ752" s="1352" t="b">
        <f>IFERROR(IF(OR(GB752=4,GB752=5,GB752=6),TRUE,FALSE),"")</f>
        <v>0</v>
      </c>
      <c r="GA752" s="1352" t="str">
        <f>IFERROR(VLOOKUP(GB752,FY$6:FZ$10,2,FALSE),"")</f>
        <v/>
      </c>
      <c r="GB752" s="1352" t="str">
        <f>VLOOKUP(CT754,Fixtures!R$31:Y$78,8,FALSE)</f>
        <v/>
      </c>
      <c r="GC752" s="1352">
        <f>IF(AND(FW752=TRUE,FZ752=TRUE,OR(DN752=12,DN752=13,DN752=14)),FY752+8,0)</f>
        <v>0</v>
      </c>
      <c r="GD752" s="1352" t="b">
        <f>IF(OR(GC752=12,GC752=13,GC752=14),TRUE,FALSE)</f>
        <v>0</v>
      </c>
      <c r="GE752" s="759" t="b">
        <f>IF(ISNUMBER(SEARCH("TLED",U753)),TRUE,FALSE)</f>
        <v>0</v>
      </c>
      <c r="GF752" s="1035" t="str">
        <f>IFERROR(VLOOKUP(U753,Fixtures!BM$93:BR$142,6,FALSE),"")</f>
        <v/>
      </c>
      <c r="GG752" s="1385" t="b">
        <f>IF(OR(GE752=FALSE,GE754=FALSE),TRUE,IF(GF752-GF754&lt;5,FALSE,TRUE))</f>
        <v>1</v>
      </c>
      <c r="GK752" s="1034">
        <f>GL752</f>
        <v>0</v>
      </c>
      <c r="GL752" s="1034">
        <f>IF(G752="",0,1)</f>
        <v>0</v>
      </c>
      <c r="GM752" s="1034">
        <f>SUM(GN752:HB752)</f>
        <v>2</v>
      </c>
      <c r="GN752" s="1034">
        <f>IF(G753="",0,1)</f>
        <v>0</v>
      </c>
      <c r="GO752" s="1034">
        <f>IF(G754="",0,1)</f>
        <v>0</v>
      </c>
      <c r="GP752" s="1034">
        <f>IF(R753="",0,1)</f>
        <v>0</v>
      </c>
      <c r="GQ752" s="1034">
        <f>IF(__Retrofit_TI_NC=0,1,IF(R754="",0,1))</f>
        <v>1</v>
      </c>
      <c r="GR752" s="1034">
        <f>IF(CN752="Exterior",1,IF(G755="",0,1))</f>
        <v>1</v>
      </c>
      <c r="GS752" s="1034">
        <f>IF(__Retrofit_TI_NC&lt;&gt;0,1,IF(T753="",0,1))</f>
        <v>0</v>
      </c>
      <c r="GT752" s="1034">
        <f>IF(__Retrofit_TI_NC&lt;&gt;0,1,IF(U753="",0,1))</f>
        <v>0</v>
      </c>
      <c r="GU752" s="1034">
        <f>IF(T754="",0,1)</f>
        <v>0</v>
      </c>
      <c r="GV752" s="1034">
        <f>IF(U754="",0,1)</f>
        <v>0</v>
      </c>
      <c r="GW752" s="1034">
        <f>IF(__Retrofit_TI_NC=2,1,IF(U755="",0,1))</f>
        <v>0</v>
      </c>
      <c r="GX752" s="1034">
        <f>IF(__Retrofit_TI_NC&lt;&gt;0,1,IF(AE753="",0,1))</f>
        <v>0</v>
      </c>
      <c r="GY752" s="1034">
        <f>IF(__Retrofit_TI_NC&lt;&gt;0,1,IF(AF753="",0,1))</f>
        <v>0</v>
      </c>
      <c r="GZ752" s="1034">
        <f>IF(AE754="",0,1)</f>
        <v>0</v>
      </c>
      <c r="HA752" s="1034">
        <f>IF(AF754="",0,1)</f>
        <v>0</v>
      </c>
      <c r="HB752" s="1034">
        <f>IF(__Retrofit_TI_NC=2,1,IF(AF755="",0,1))</f>
        <v>0</v>
      </c>
      <c r="HV752" s="436"/>
      <c r="HW752" s="1384" t="b">
        <f>IF(OR(HW755=0,HW755=HT$16,HW755=HS$16,HW755=HU$16),TRUE,FALSE)</f>
        <v>0</v>
      </c>
      <c r="HX752" s="1377" t="b">
        <f>HW752</f>
        <v>0</v>
      </c>
      <c r="HY752" s="436"/>
      <c r="HZ752" s="436"/>
      <c r="IA752" s="1386" t="b">
        <f>IF(MAX(GJ755:HP755)&gt;5,FALSE,TRUE)</f>
        <v>0</v>
      </c>
      <c r="IB752" s="1380">
        <f>IF(IA752=TRUE,AC752,0)</f>
        <v>0</v>
      </c>
      <c r="IC752" s="1380">
        <f>IB752-IB754</f>
        <v>0</v>
      </c>
      <c r="IF752" s="1380" t="e">
        <f>ROUND(T753*VLOOKUP(U753,Fixtures_Existing_List,2,FALSE)*N753*R753/1000,0)</f>
        <v>#N/A</v>
      </c>
      <c r="IG752" s="1381" t="e">
        <f>IF752-IF754</f>
        <v>#N/A</v>
      </c>
      <c r="IH752" s="1384" t="e">
        <f>ROUND(IF(CN752="Interior",N754*R754*R753*N753*_C406_reduction/1000,N754*R754*R753*N753/1000),0)</f>
        <v>#N/A</v>
      </c>
      <c r="II752" s="1384" t="e">
        <f>IH752-IH754</f>
        <v>#N/A</v>
      </c>
      <c r="IK752" s="1351" t="e">
        <f>IF($CO752="interior",IL752/2,VLOOKUP($CP752,Control_Savings_Exterior,IK$30,FALSE))</f>
        <v>#N/A</v>
      </c>
      <c r="IL752" s="1351" t="e">
        <f>IF($CO752="interior",VLOOKUP($CP752,Control_Savings_Interior,IL$30,FALSE),VLOOKUP($CP752,Control_Savings_Exterior,IL$30,FALSE))</f>
        <v>#N/A</v>
      </c>
      <c r="IM752" s="1351" t="e">
        <f>IF($CO752="interior",IF(R753&gt;FO$37,(IM$28*(FO$37/R753)),IM$28)*FP752,VLOOKUP($CP752,Control_Savings_Exterior,IM$30,FALSE))</f>
        <v>#N/A</v>
      </c>
      <c r="IN752" s="1351" t="e">
        <f>IF($CO752="interior",ROUND(((1-IL752)*IM752)+IL752,2),VLOOKUP($CP752,Control_Savings_Exterior,IN$30,FALSE))</f>
        <v>#N/A</v>
      </c>
      <c r="IO752" s="1351" t="e">
        <f>IF($CO752="interior", ROUND(((1-IL752)*(IM752*(1-IP$28)))+IP752,2), VLOOKUP($CP752,Control_Savings_Exterior,IO$30,FALSE))</f>
        <v>#N/A</v>
      </c>
      <c r="IP752" s="1351">
        <f>IF($CO752="interior",ROUND(((1-IL752)*IP$28)+IL752,2),0)</f>
        <v>0</v>
      </c>
    </row>
    <row r="753" spans="1:250" s="82" customFormat="1" ht="14.95" customHeight="1" thickTop="1" thickBot="1">
      <c r="B753" s="1421"/>
      <c r="C753" s="1422"/>
      <c r="D753" s="1423"/>
      <c r="E753" s="1393" t="s">
        <v>244</v>
      </c>
      <c r="F753" s="1394"/>
      <c r="G753" s="1395"/>
      <c r="H753" s="1395"/>
      <c r="I753" s="1395"/>
      <c r="J753" s="1395"/>
      <c r="K753" s="1395"/>
      <c r="L753" s="1395"/>
      <c r="M753" s="509" t="e">
        <f>IF(__Retrofit_TI_NC&lt;&gt;0,IF(VLOOKUP(G754,'Space Table'!$B$3:$L$160,3,FALSE)&gt;0,1,0),IF(__Retrofit_TI_NC=VLOOKUP(G754,'Space Table'!$B$3:$L$160,3,FALSE),1,0))</f>
        <v>#N/A</v>
      </c>
      <c r="N753" s="509" t="str">
        <f>IFERROR(VLOOKUP(G753,_Lookup_Heat_Type_Table_New,2,FALSE),"")</f>
        <v/>
      </c>
      <c r="O753" s="509">
        <f>IF(__Retrofit_TI_NC=1,CONCATENATE("TI ",G753),IF(__Retrofit_TI_NC=2,CONCATENATE("NC ",G753),G753))</f>
        <v>0</v>
      </c>
      <c r="P753" s="1396" t="s">
        <v>352</v>
      </c>
      <c r="Q753" s="1396"/>
      <c r="R753" s="673"/>
      <c r="S753" s="1429"/>
      <c r="T753" s="675"/>
      <c r="U753" s="1496"/>
      <c r="V753" s="1497"/>
      <c r="W753" s="1497"/>
      <c r="X753" s="1497"/>
      <c r="Y753" s="1497"/>
      <c r="Z753" s="1497"/>
      <c r="AA753" s="1497"/>
      <c r="AB753" s="1497"/>
      <c r="AC753" s="1497"/>
      <c r="AD753" s="1498"/>
      <c r="AE753" s="675"/>
      <c r="AF753" s="1397"/>
      <c r="AG753" s="1397"/>
      <c r="AH753" s="1397"/>
      <c r="AI753" s="1397"/>
      <c r="AJ753" s="1434"/>
      <c r="AK753" s="1436"/>
      <c r="AL753" s="1438"/>
      <c r="AM753" s="1441"/>
      <c r="AN753" s="1442"/>
      <c r="AO753" s="1447"/>
      <c r="AP753" s="1447"/>
      <c r="AQ753" s="1448"/>
      <c r="AR753" s="1452"/>
      <c r="AS753" s="1455"/>
      <c r="AT753" s="1458"/>
      <c r="AU753" s="516"/>
      <c r="AV753" s="1479"/>
      <c r="AW753" s="1479"/>
      <c r="BC753" s="38"/>
      <c r="BD753" s="38"/>
      <c r="BE753" s="38"/>
      <c r="BF753" s="38"/>
      <c r="BG753" s="38"/>
      <c r="BH753" s="38"/>
      <c r="BI753" s="38"/>
      <c r="BJ753" s="38"/>
      <c r="BK753" s="38"/>
      <c r="BL753" s="38"/>
      <c r="BM753" s="38"/>
      <c r="BN753" s="38"/>
      <c r="BO753" s="38"/>
      <c r="BP753" s="38"/>
      <c r="BQ753" s="38"/>
      <c r="BR753" s="38"/>
      <c r="BS753" s="38"/>
      <c r="BT753" s="38"/>
      <c r="BU753" s="38"/>
      <c r="BV753" s="38"/>
      <c r="BW753" s="38"/>
      <c r="BX753" s="38"/>
      <c r="BY753" s="38"/>
      <c r="BZ753" s="38"/>
      <c r="CA753" s="38"/>
      <c r="CB753" s="38"/>
      <c r="CC753" s="38"/>
      <c r="CD753" s="38"/>
      <c r="CE753" s="38"/>
      <c r="CF753" s="38"/>
      <c r="CG753" s="38"/>
      <c r="CH753" s="38"/>
      <c r="CI753" s="38"/>
      <c r="CM753" s="1352"/>
      <c r="CN753" s="1352"/>
      <c r="CO753" s="1416"/>
      <c r="CP753" s="1418"/>
      <c r="CR753" s="1386"/>
      <c r="CS753" s="1355"/>
      <c r="CT753" s="1355"/>
      <c r="CU753" s="1355"/>
      <c r="CV753" s="1372"/>
      <c r="CW753" s="1372"/>
      <c r="CX753" s="1371"/>
      <c r="CY753" s="1486"/>
      <c r="CZ753" s="1486"/>
      <c r="DA753" s="1486"/>
      <c r="DC753" s="1355"/>
      <c r="DD753" s="1461"/>
      <c r="DE753" s="1355"/>
      <c r="DF753" s="1407"/>
      <c r="DG753" s="1372"/>
      <c r="DH753" s="1369"/>
      <c r="DJ753" s="1484"/>
      <c r="DL753" s="1419"/>
      <c r="DN753" s="1403"/>
      <c r="DO753" s="1405"/>
      <c r="DP753" s="1354"/>
      <c r="DQ753" s="1405"/>
      <c r="DR753" s="1403"/>
      <c r="DS753" s="1489"/>
      <c r="DU753" s="1403"/>
      <c r="DV753" s="1405"/>
      <c r="DW753" s="1403"/>
      <c r="DX753" s="1403"/>
      <c r="DZ753" s="1481"/>
      <c r="EA753" s="1481"/>
      <c r="EC753" s="1482"/>
      <c r="ED753" s="1369"/>
      <c r="EE753" s="1371"/>
      <c r="EF753" s="1369"/>
      <c r="EG753" s="1369"/>
      <c r="EH753" s="1374"/>
      <c r="EI753" s="1374"/>
      <c r="EJ753" s="1363"/>
      <c r="EK753" s="1376"/>
      <c r="EL753" s="1376"/>
      <c r="EM753" s="1362"/>
      <c r="EN753" s="1362"/>
      <c r="EO753" s="1363"/>
      <c r="EP753" s="1363"/>
      <c r="EQ753" s="1363"/>
      <c r="ES753" s="1403"/>
      <c r="EU753" s="1411"/>
      <c r="EV753" s="1411"/>
      <c r="EW753" s="1411"/>
      <c r="EX753" s="1411"/>
      <c r="EY753" s="1411"/>
      <c r="EZ753" s="1413"/>
      <c r="FB753" s="1365"/>
      <c r="FD753" s="1354"/>
      <c r="FE753" s="1354"/>
      <c r="FF753" s="138"/>
      <c r="FI753" s="1357"/>
      <c r="FJ753" s="1357"/>
      <c r="FK753" s="1365"/>
      <c r="FL753" s="1365"/>
      <c r="FM753" s="1365"/>
      <c r="FO753" s="1361"/>
      <c r="FP753" s="1361"/>
      <c r="FQ753" s="1366"/>
      <c r="FR753" s="1368"/>
      <c r="FS753" s="1361"/>
      <c r="FT753" s="1368"/>
      <c r="FU753" s="1360"/>
      <c r="FW753" s="1352"/>
      <c r="FX753" s="1352"/>
      <c r="FY753" s="1352"/>
      <c r="FZ753" s="1352"/>
      <c r="GA753" s="1352"/>
      <c r="GB753" s="1352"/>
      <c r="GC753" s="1352"/>
      <c r="GD753" s="1352"/>
      <c r="GE753" s="759"/>
      <c r="GF753" s="1035"/>
      <c r="GG753" s="1385"/>
      <c r="GI753" s="1384" t="b">
        <f>IF(AND(GL753=TRUE,GM753=TRUE),TRUE,FALSE)</f>
        <v>0</v>
      </c>
      <c r="GJ753" s="1379" t="b">
        <f>IFERROR(IF(__Retrofit_TI_NC=2,TRUE,IF(AR752="Yes",TRUE,FALSE)),FALSE)</f>
        <v>1</v>
      </c>
      <c r="GL753" s="1379" t="b">
        <f>IFERROR(IF(GL752=1,TRUE,FALSE),FALSE)</f>
        <v>0</v>
      </c>
      <c r="GM753" s="1379" t="b">
        <f>IFERROR(IF(GM752=GM$14,TRUE,FALSE),FALSE)</f>
        <v>0</v>
      </c>
      <c r="HC753" s="1379" t="b">
        <f>IFERROR(IF(M753=1,TRUE,FALSE),FALSE)</f>
        <v>0</v>
      </c>
      <c r="HD753" s="1379" t="b">
        <f>IFERROR(IF(M754=1,TRUE,FALSE),FALSE)</f>
        <v>0</v>
      </c>
      <c r="HE753" s="1379" t="b">
        <f>IFERROR(IF(__Retrofit_TI_NC&lt;&gt;0,TRUE,IFERROR(IF(VLOOKUP(U753,Fixtures_Existing_List,2,FALSE)&lt;&gt;"",TRUE,FALSE),FALSE)),FALSE)</f>
        <v>0</v>
      </c>
      <c r="HF753" s="1379" t="b">
        <f>IFERROR(IF(VLOOKUP(U754,Fixtures_Proposed_List,2,FALSE)&lt;&gt;"",TRUE,FALSE),FALSE)</f>
        <v>0</v>
      </c>
      <c r="HG753" s="1379" t="b">
        <f>IF(AND(__Retrofit_TI_NC=2,EZ752=TRUE),FALSE,TRUE)</f>
        <v>1</v>
      </c>
      <c r="HH753" s="1379" t="b">
        <f>GG752</f>
        <v>1</v>
      </c>
      <c r="HI753" s="1384" t="b">
        <f>IF(ISERROR(MATCH(FB752,_Control_Match[],0))=TRUE,FALSE,TRUE)</f>
        <v>0</v>
      </c>
      <c r="HJ753" s="1384" t="b">
        <f>IFERROR(IF(EU752&lt;&gt;EV752,FALSE,TRUE),FALSE)</f>
        <v>0</v>
      </c>
      <c r="HK753" s="1384" t="b">
        <f>IFERROR(IF(EU754&lt;&gt;EV754,FALSE,TRUE),FALSE)</f>
        <v>0</v>
      </c>
      <c r="HL753" s="1379" t="b">
        <f>IFERROR(IF(CN752="Exterior",TRUE,IF(OR(AND(FJ752=0,EW754&gt;4),AND(FJ752=4,EW754&gt;4,EW754&lt;7)),FALSE,TRUE)),FALSE)</f>
        <v>0</v>
      </c>
      <c r="HM753" s="1379" t="b">
        <f>IFERROR(IF(AND(FL754=7,EZ752=TRUE),FALSE,TRUE),FALSE)</f>
        <v>0</v>
      </c>
      <c r="HN753" s="1379" t="b">
        <f>IFERROR(IF(AND(T754&lt;&gt;AE754,AF754="Interior LLLC")=TRUE,FALSE,TRUE),FALSE)</f>
        <v>1</v>
      </c>
      <c r="HO753" s="1379" t="b">
        <f>IFERROR(IF(OR(AF754=Lookup!AU$13,AF754=Lookup!AU$14)=TRUE,IF(AE754&gt;T754,FALSE,TRUE),TRUE),FALSE)</f>
        <v>1</v>
      </c>
      <c r="HP753" s="1379" t="b">
        <f>IFERROR(IF(__Retrofit_TI_NC=2,IF(EW754&lt;EW752,FALSE,TRUE),TRUE),FALSE)</f>
        <v>1</v>
      </c>
      <c r="HQ753" s="1379" t="b">
        <f>IF(CN752="Interior",IG$6,TRUE)</f>
        <v>1</v>
      </c>
      <c r="HR753" s="1379" t="b">
        <f>IF(CN752="Exterior",IG$8,TRUE)</f>
        <v>1</v>
      </c>
      <c r="HS753" s="1379" t="b">
        <f>IFERROR(IF(__Retrofit_TI_NC&lt;&gt;0,IF(AW752&lt;AV752,FALSE,TRUE),TRUE),FALSE)</f>
        <v>1</v>
      </c>
      <c r="HT753" s="1379" t="b">
        <f>IFERROR(IF(AND(G753="Exterior",R753&gt;4200),FALSE,TRUE),FALSE)</f>
        <v>1</v>
      </c>
      <c r="HU753" s="1379" t="b">
        <f>IFERROR(IF(AB755/AB752&lt;HU$18,FALSE,TRUE),FALSE)</f>
        <v>0</v>
      </c>
      <c r="HW753" s="1382"/>
      <c r="HX753" s="1378"/>
      <c r="HY753" s="1377" t="str">
        <f>VLOOKUP(HW755,_Error_Table,4,FALSE)</f>
        <v>White</v>
      </c>
      <c r="HZ753" s="436"/>
      <c r="IA753" s="1386"/>
      <c r="IB753" s="1380"/>
      <c r="IC753" s="1379"/>
      <c r="IF753" s="1380"/>
      <c r="IG753" s="1382"/>
      <c r="IH753" s="1382"/>
      <c r="II753" s="1382"/>
      <c r="IK753" s="1351"/>
      <c r="IL753" s="1351"/>
      <c r="IM753" s="1351"/>
      <c r="IN753" s="1351"/>
      <c r="IO753" s="1351"/>
      <c r="IP753" s="1351"/>
    </row>
    <row r="754" spans="1:250" s="82" customFormat="1" ht="14.95" customHeight="1" thickTop="1" thickBot="1">
      <c r="A754" s="82">
        <f>ROW()</f>
        <v>754</v>
      </c>
      <c r="B754" s="1421"/>
      <c r="C754" s="1422"/>
      <c r="D754" s="1423"/>
      <c r="E754" s="1393" t="s">
        <v>245</v>
      </c>
      <c r="F754" s="1394"/>
      <c r="G754" s="1398"/>
      <c r="H754" s="1399"/>
      <c r="I754" s="1399"/>
      <c r="J754" s="1399"/>
      <c r="K754" s="1399"/>
      <c r="L754" s="1400"/>
      <c r="M754" s="509">
        <f>IFERROR(IF(IF(__Retrofit_TI_NC&lt;&gt;0,IF(CN752="Interior",MATCH(G754,Lookup_Interior_New,0),MATCH(G754,Lookup_Exterior_New,0)),IF(CN752="Interior",MATCH(G754,Lookup_Interior,0),MATCH(G754,Lookup_Exterior_Areas,0)))&gt;0,1,0),0)</f>
        <v>0</v>
      </c>
      <c r="N754" s="509" t="e">
        <f>IF(__Retrofit_TI_NC=1,
VLOOKUP(G754,'Space Table'!$B$3:$L$160,4,FALSE),
IF(__Retrofit_TI_NC=2,VLOOKUP(G754,'Space Table'!$B$3:$L$160,5,FALSE),VLOOKUP(G754,'Space Table'!$B$3:$L$160,5,FALSE)))</f>
        <v>#N/A</v>
      </c>
      <c r="O754" s="509">
        <f>G754</f>
        <v>0</v>
      </c>
      <c r="P754" s="1394" t="s">
        <v>355</v>
      </c>
      <c r="Q754" s="1394"/>
      <c r="R754" s="674"/>
      <c r="S754" s="1401" t="s">
        <v>284</v>
      </c>
      <c r="T754" s="672"/>
      <c r="U754" s="1499"/>
      <c r="V754" s="1500"/>
      <c r="W754" s="1500"/>
      <c r="X754" s="1500"/>
      <c r="Y754" s="1500"/>
      <c r="Z754" s="1500"/>
      <c r="AA754" s="1500"/>
      <c r="AB754" s="1501"/>
      <c r="AC754" s="1501"/>
      <c r="AD754" s="1502"/>
      <c r="AE754" s="672"/>
      <c r="AF754" s="1474"/>
      <c r="AG754" s="1474"/>
      <c r="AH754" s="1474"/>
      <c r="AI754" s="1474"/>
      <c r="AJ754" s="1475">
        <f>DF754</f>
        <v>0</v>
      </c>
      <c r="AK754" s="1470" t="str">
        <f>IFERROR(ROUND(AJ754*AC755,0),"")</f>
        <v/>
      </c>
      <c r="AL754" s="1472">
        <f>IFERROR(IF(HW752=FALSE,0,AC755-AK754),0)</f>
        <v>0</v>
      </c>
      <c r="AM754" s="1441"/>
      <c r="AN754" s="1442"/>
      <c r="AO754" s="1447"/>
      <c r="AP754" s="1447"/>
      <c r="AQ754" s="1448"/>
      <c r="AR754" s="1452"/>
      <c r="AS754" s="1455"/>
      <c r="AT754" s="1458"/>
      <c r="AU754" s="516"/>
      <c r="AV754" s="1479"/>
      <c r="AW754" s="1479"/>
      <c r="BC754" s="38"/>
      <c r="BD754" s="38"/>
      <c r="BE754" s="38"/>
      <c r="BF754" s="38"/>
      <c r="BG754" s="38"/>
      <c r="BH754" s="38"/>
      <c r="BI754" s="38"/>
      <c r="BJ754" s="38"/>
      <c r="BK754" s="38"/>
      <c r="BL754" s="38"/>
      <c r="BM754" s="38"/>
      <c r="BN754" s="38"/>
      <c r="BO754" s="38"/>
      <c r="BP754" s="38"/>
      <c r="BQ754" s="38"/>
      <c r="BR754" s="38"/>
      <c r="BS754" s="38"/>
      <c r="BT754" s="38"/>
      <c r="BU754" s="38"/>
      <c r="BV754" s="38"/>
      <c r="BW754" s="38"/>
      <c r="BX754" s="38"/>
      <c r="BY754" s="38"/>
      <c r="BZ754" s="38"/>
      <c r="CA754" s="38"/>
      <c r="CB754" s="38"/>
      <c r="CC754" s="38"/>
      <c r="CD754" s="38"/>
      <c r="CE754" s="38"/>
      <c r="CF754" s="38"/>
      <c r="CG754" s="38"/>
      <c r="CH754" s="38"/>
      <c r="CI754" s="38"/>
      <c r="CM754" s="1352"/>
      <c r="CN754" s="1352"/>
      <c r="CO754" s="1415" t="str">
        <f>CN752</f>
        <v/>
      </c>
      <c r="CP754" s="1417" t="e">
        <f>CP752</f>
        <v>#N/A</v>
      </c>
      <c r="CR754" s="1386" t="s">
        <v>284</v>
      </c>
      <c r="CS754" s="1353">
        <f>IF(HW752=TRUE,T754,0)</f>
        <v>0</v>
      </c>
      <c r="CT754" s="1353" t="str">
        <f>IF(HW752=TRUE,U754,"")</f>
        <v/>
      </c>
      <c r="CU754" s="1373">
        <f>IF(HW752=TRUE,U755,0)</f>
        <v>0</v>
      </c>
      <c r="CV754" s="1370">
        <f>IF(HW752=TRUE,AB755,0)</f>
        <v>0</v>
      </c>
      <c r="CW754" s="1370">
        <f>IF(HW752=TRUE,AC755,0)</f>
        <v>0</v>
      </c>
      <c r="CX754" s="1371"/>
      <c r="CY754" s="1486"/>
      <c r="CZ754" s="1486"/>
      <c r="DA754" s="1486"/>
      <c r="DC754" s="1353">
        <f>IF(HW752=TRUE,AE754,0)</f>
        <v>0</v>
      </c>
      <c r="DD754" s="1353" t="str">
        <f>IF(HW752=TRUE,AF754,"")</f>
        <v/>
      </c>
      <c r="DE754" s="1373">
        <f>AF755</f>
        <v>0</v>
      </c>
      <c r="DF754" s="1406">
        <f>IFERROR(IF(FL754=3,IK754,IF(FL754=4,IL754,IF(FL754=5,IM754,IF(FL754=6,IN754,IF(FL754=7,IO754,IF(FL754=8,IP754,0)))))),0)</f>
        <v>0</v>
      </c>
      <c r="DG754" s="1370">
        <f>IF(HW752=TRUE,AK754,0)</f>
        <v>0</v>
      </c>
      <c r="DH754" s="1369"/>
      <c r="DK754" s="1483">
        <f>IFERROR(CW754-DG754,0)</f>
        <v>0</v>
      </c>
      <c r="DL754" s="1420"/>
      <c r="DN754" s="1403"/>
      <c r="DO754" s="1477" t="str">
        <f>DN752</f>
        <v/>
      </c>
      <c r="DP754" s="1354"/>
      <c r="DQ754" s="1477" t="str">
        <f>IF(DP752=7,"LLLC","")</f>
        <v/>
      </c>
      <c r="DR754" s="1403"/>
      <c r="DS754" s="1489"/>
      <c r="DU754" s="1403"/>
      <c r="DV754" s="1404" t="str">
        <f>DU752</f>
        <v/>
      </c>
      <c r="DW754" s="1403"/>
      <c r="DX754" s="1403"/>
      <c r="DZ754" s="1481"/>
      <c r="EA754" s="1481"/>
      <c r="EC754" s="1482"/>
      <c r="ED754" s="1369"/>
      <c r="EE754" s="1371"/>
      <c r="EF754" s="1369"/>
      <c r="EG754" s="1369"/>
      <c r="EH754" s="1374"/>
      <c r="EI754" s="1374"/>
      <c r="EJ754" s="1363"/>
      <c r="EK754" s="1376"/>
      <c r="EL754" s="1376"/>
      <c r="EM754" s="1362"/>
      <c r="EN754" s="1362"/>
      <c r="EO754" s="1363"/>
      <c r="EP754" s="1363"/>
      <c r="EQ754" s="1363"/>
      <c r="ES754" s="1403"/>
      <c r="EU754" s="1411" t="e">
        <f>VLOOKUP(CP754,'Space Table'!$B$3:$L$160,8,FALSE)</f>
        <v>#N/A</v>
      </c>
      <c r="EV754" s="1411" t="e">
        <f>IF(EY754="Yes",VLOOKUP(AF754,Lookup_Control_Type_Table2,4,FALSE),VLOOKUP(AF754,Lookup_Control_Type_Table2,3,FALSE))</f>
        <v>#N/A</v>
      </c>
      <c r="EW754" s="1411" t="e">
        <f>VLOOKUP(AF754,Lookup!AU$3:AV$15,2,FALSE)</f>
        <v>#N/A</v>
      </c>
      <c r="EX754" s="1411" t="e">
        <f>VLOOKUP(EU752,Lookup_Control_Type_Table,2,FALSE)</f>
        <v>#N/A</v>
      </c>
      <c r="EY754" s="1411" t="e">
        <f>VLOOKUP(CP754,'Space Table'!$B$3:$L$160,7,FALSE)</f>
        <v>#N/A</v>
      </c>
      <c r="EZ754" s="1413"/>
      <c r="FB754" s="1365" t="str">
        <f>CONCATENATE(CN752," - ",AF754)</f>
        <v xml:space="preserve"> - </v>
      </c>
      <c r="FD754" s="1354"/>
      <c r="FE754" s="1354"/>
      <c r="FF754" s="138"/>
      <c r="FI754" s="1356" t="str">
        <f>IF(CN752="Exterior","Not Daylighted",G755)</f>
        <v>Not Daylighted</v>
      </c>
      <c r="FJ754" s="1356">
        <f>VLOOKUP(FI754,_Daylight_Table_Codes,2,FALSE)</f>
        <v>0</v>
      </c>
      <c r="FK754" s="1365">
        <f>AF754</f>
        <v>0</v>
      </c>
      <c r="FL754" s="1365" t="e">
        <f>VLOOKUP(FK754,_Control_Table,2,FALSE)</f>
        <v>#N/A</v>
      </c>
      <c r="FM754" s="1365" t="e">
        <f>IF(AND(FP754&gt;0,FK754="Occupancy Sensor"),"Daylight + Occupancy",IF(AND(FP754&gt;0,FL754&lt;4),"Interior Daylight Dimming",FK754))</f>
        <v>#N/A</v>
      </c>
      <c r="FO754" s="1364">
        <f>IF(CN752="Interior",VLOOKUP(CP752,Control_Savings_Interior,5,FALSE),0)</f>
        <v>0</v>
      </c>
      <c r="FP754" s="1361">
        <f>IF(CN754="Exterior",0,IF(FJ754=2,0.5,IF(OR(FJ754=1,FJ754=3),1,0)))</f>
        <v>0</v>
      </c>
      <c r="FQ754" s="1366">
        <f>IF(R753&gt;FO$37,(FO754*(FO$37/R753)),FO754)*FP754</f>
        <v>0</v>
      </c>
      <c r="FR754" s="1364">
        <f>DF754</f>
        <v>0</v>
      </c>
      <c r="FS754" s="1364">
        <f>ROUND(FR754+((1-FR754)*FQ754),2)</f>
        <v>0</v>
      </c>
      <c r="FT754" s="1364">
        <f>IF(__Retrofit_TI_NC=2,FS754,FR754)</f>
        <v>0</v>
      </c>
      <c r="FU754" s="1360">
        <f>IF(CO754="Interior",VLOOKUP(CP754,Control_Savings_Interior,4,FALSE),0)</f>
        <v>0</v>
      </c>
      <c r="FW754" s="1352"/>
      <c r="FX754" s="1352"/>
      <c r="FY754" s="1352"/>
      <c r="FZ754" s="1352"/>
      <c r="GA754" s="1352"/>
      <c r="GB754" s="1352"/>
      <c r="GC754" s="1352"/>
      <c r="GD754" s="1352"/>
      <c r="GE754" s="759" t="b">
        <f>IF(ISNUMBER(SEARCH("TLED",U754)),TRUE,FALSE)</f>
        <v>0</v>
      </c>
      <c r="GF754" s="1035" t="str">
        <f>IFERROR(VLOOKUP(U754,Fixtures!DM$93:DR$142,6,FALSE),"")</f>
        <v/>
      </c>
      <c r="GG754" s="1385"/>
      <c r="GI754" s="1383"/>
      <c r="GJ754" s="1379"/>
      <c r="GL754" s="1379"/>
      <c r="GM754" s="1379"/>
      <c r="HC754" s="1379"/>
      <c r="HD754" s="1379"/>
      <c r="HE754" s="1379"/>
      <c r="HF754" s="1379"/>
      <c r="HG754" s="1379"/>
      <c r="HH754" s="1379"/>
      <c r="HI754" s="1383"/>
      <c r="HJ754" s="1383"/>
      <c r="HK754" s="1383"/>
      <c r="HL754" s="1379"/>
      <c r="HM754" s="1379"/>
      <c r="HN754" s="1379"/>
      <c r="HO754" s="1379"/>
      <c r="HP754" s="1379"/>
      <c r="HQ754" s="1379"/>
      <c r="HR754" s="1379"/>
      <c r="HS754" s="1379"/>
      <c r="HT754" s="1379"/>
      <c r="HU754" s="1379"/>
      <c r="HW754" s="1383"/>
      <c r="HX754" s="1384" t="b">
        <f>HW752</f>
        <v>0</v>
      </c>
      <c r="HY754" s="1378"/>
      <c r="HZ754" s="436"/>
      <c r="IA754" s="1386"/>
      <c r="IB754" s="1380">
        <f>IF(IA752=TRUE,AC755,0)</f>
        <v>0</v>
      </c>
      <c r="IC754" s="1379"/>
      <c r="IF754" s="1380" t="e">
        <f>ROUND(T754*AB755*N753*R753/1000,0)</f>
        <v>#VALUE!</v>
      </c>
      <c r="IG754" s="1382"/>
      <c r="IH754" s="1384" t="e">
        <f>ROUND(T754*AB755*N753*R753/1000,0)</f>
        <v>#VALUE!</v>
      </c>
      <c r="II754" s="1382"/>
      <c r="IK754" s="1351" t="e">
        <f>IF($CO754="interior",IL754/2,VLOOKUP($CP754,Control_Savings_Exterior,IK$30,FALSE))</f>
        <v>#N/A</v>
      </c>
      <c r="IL754" s="1351" t="e">
        <f>IF($CO754="interior",VLOOKUP($CP754,Control_Savings_Interior,IL$30,FALSE),VLOOKUP($CP754,Control_Savings_Exterior,IL$30,FALSE))</f>
        <v>#N/A</v>
      </c>
      <c r="IM754" s="1351" t="e">
        <f>IF($CO754="interior",IF(R753&gt;FO$37,(IM$28*(FO$37/R753)),IM$28)*FP754,VLOOKUP($CP754,Control_Savings_Exterior,IM$30,FALSE))</f>
        <v>#N/A</v>
      </c>
      <c r="IN754" s="1351" t="e">
        <f>IF($CO754="interior",ROUND(((1-IL754)*IM754)+IL754,2),VLOOKUP($CP754,Control_Savings_Exterior,IN$30,FALSE))</f>
        <v>#N/A</v>
      </c>
      <c r="IO754" s="1351" t="e">
        <f>IF($CO754="interior", ROUND(((1-IL754)*(IM754*(1-IP$28)))+IP754,2), VLOOKUP($CP754,Control_Savings_Exterior,IO$30,FALSE))</f>
        <v>#N/A</v>
      </c>
      <c r="IP754" s="1351">
        <f>IF($CO754="interior",ROUND(((1-IL754)*IP$28)+IL754,2),0)</f>
        <v>0</v>
      </c>
    </row>
    <row r="755" spans="1:250" s="82" customFormat="1" ht="14.95" customHeight="1" thickTop="1" thickBot="1">
      <c r="B755" s="1421"/>
      <c r="C755" s="1422"/>
      <c r="D755" s="1423"/>
      <c r="E755" s="1462" t="s">
        <v>357</v>
      </c>
      <c r="F755" s="1463"/>
      <c r="G755" s="1464" t="s">
        <v>362</v>
      </c>
      <c r="H755" s="1465"/>
      <c r="I755" s="1465"/>
      <c r="J755" s="1465"/>
      <c r="K755" s="1465"/>
      <c r="L755" s="1466"/>
      <c r="M755" s="669">
        <f>IFERROR(VLOOKUP(G755,_Daylight_Table[],2,FALSE),0)</f>
        <v>0</v>
      </c>
      <c r="N755" s="670"/>
      <c r="O755" s="669" t="e">
        <f>VLOOKUP(G754,'Space Table'!$B$3:$L$160,11,FALSE)</f>
        <v>#N/A</v>
      </c>
      <c r="P755" s="1408"/>
      <c r="Q755" s="1409"/>
      <c r="R755" s="1409"/>
      <c r="S755" s="1402"/>
      <c r="T755" s="671" t="s">
        <v>281</v>
      </c>
      <c r="U755" s="1467" t="str">
        <f>IFERROR(VLOOKUP(U754,Fixtures!DM$93:DP$142,4,FALSE),"")</f>
        <v/>
      </c>
      <c r="V755" s="1468"/>
      <c r="W755" s="1468"/>
      <c r="X755" s="1468"/>
      <c r="Y755" s="1468"/>
      <c r="Z755" s="1468"/>
      <c r="AA755" s="1468"/>
      <c r="AB755" s="1046" t="str">
        <f>IFERROR(VLOOKUP(U754,Fixtures_Proposed_List,2,FALSE),"")</f>
        <v/>
      </c>
      <c r="AC755" s="1036" t="str">
        <f>IFERROR(ROUND(T754*AB755*N753*R753/1000,0),"")</f>
        <v/>
      </c>
      <c r="AD755" s="1037" t="str">
        <f>IFERROR(ROUND(T754*AB755/1000,2),"")</f>
        <v/>
      </c>
      <c r="AE755" s="1045" t="s">
        <v>281</v>
      </c>
      <c r="AF755" s="1469"/>
      <c r="AG755" s="1469"/>
      <c r="AH755" s="1469"/>
      <c r="AI755" s="1469"/>
      <c r="AJ755" s="1476"/>
      <c r="AK755" s="1471"/>
      <c r="AL755" s="1473"/>
      <c r="AM755" s="1443"/>
      <c r="AN755" s="1444"/>
      <c r="AO755" s="1449"/>
      <c r="AP755" s="1449"/>
      <c r="AQ755" s="1450"/>
      <c r="AR755" s="1453"/>
      <c r="AS755" s="1456"/>
      <c r="AT755" s="1459"/>
      <c r="AU755" s="517"/>
      <c r="AV755" s="1480"/>
      <c r="AW755" s="1480"/>
      <c r="BC755" s="38"/>
      <c r="BD755" s="38"/>
      <c r="BE755" s="38"/>
      <c r="BF755" s="38"/>
      <c r="BG755" s="38"/>
      <c r="BH755" s="38"/>
      <c r="BI755" s="38"/>
      <c r="BJ755" s="38"/>
      <c r="BK755" s="38"/>
      <c r="BL755" s="38"/>
      <c r="BM755" s="38"/>
      <c r="BN755" s="38"/>
      <c r="BO755" s="38"/>
      <c r="BP755" s="38"/>
      <c r="BQ755" s="38"/>
      <c r="BR755" s="38"/>
      <c r="BS755" s="38"/>
      <c r="BT755" s="38"/>
      <c r="BU755" s="38"/>
      <c r="BV755" s="38"/>
      <c r="BW755" s="38"/>
      <c r="BX755" s="38"/>
      <c r="BY755" s="38"/>
      <c r="BZ755" s="38"/>
      <c r="CA755" s="38"/>
      <c r="CB755" s="38"/>
      <c r="CC755" s="38"/>
      <c r="CD755" s="38"/>
      <c r="CE755" s="38"/>
      <c r="CF755" s="38"/>
      <c r="CG755" s="38"/>
      <c r="CH755" s="38"/>
      <c r="CI755" s="38"/>
      <c r="CM755" s="1352"/>
      <c r="CN755" s="1352"/>
      <c r="CO755" s="1416"/>
      <c r="CP755" s="1418"/>
      <c r="CR755" s="1386"/>
      <c r="CS755" s="1355"/>
      <c r="CT755" s="1355"/>
      <c r="CU755" s="1375"/>
      <c r="CV755" s="1372"/>
      <c r="CW755" s="1372"/>
      <c r="CX755" s="1372"/>
      <c r="CY755" s="1487"/>
      <c r="CZ755" s="1487"/>
      <c r="DA755" s="1487"/>
      <c r="DC755" s="1355"/>
      <c r="DD755" s="1355"/>
      <c r="DE755" s="1375"/>
      <c r="DF755" s="1407"/>
      <c r="DG755" s="1372"/>
      <c r="DH755" s="1369"/>
      <c r="DK755" s="1484"/>
      <c r="DL755" s="1420"/>
      <c r="DN755" s="1403"/>
      <c r="DO755" s="1405"/>
      <c r="DP755" s="1355"/>
      <c r="DQ755" s="1405"/>
      <c r="DR755" s="1403"/>
      <c r="DS755" s="1489"/>
      <c r="DU755" s="1403"/>
      <c r="DV755" s="1405"/>
      <c r="DW755" s="1403"/>
      <c r="DX755" s="1403"/>
      <c r="DZ755" s="1481"/>
      <c r="EA755" s="1481"/>
      <c r="EC755" s="1482"/>
      <c r="ED755" s="1369"/>
      <c r="EE755" s="1372"/>
      <c r="EF755" s="1369"/>
      <c r="EG755" s="1369"/>
      <c r="EH755" s="1375"/>
      <c r="EI755" s="1375"/>
      <c r="EJ755" s="1363"/>
      <c r="EK755" s="1376"/>
      <c r="EL755" s="1376"/>
      <c r="EM755" s="1362"/>
      <c r="EN755" s="1362"/>
      <c r="EO755" s="1363"/>
      <c r="EP755" s="1363"/>
      <c r="EQ755" s="1363"/>
      <c r="ES755" s="1403"/>
      <c r="EU755" s="1488"/>
      <c r="EV755" s="1488"/>
      <c r="EW755" s="1488"/>
      <c r="EX755" s="1488"/>
      <c r="EY755" s="1488"/>
      <c r="EZ755" s="1414"/>
      <c r="FB755" s="1365"/>
      <c r="FD755" s="1355"/>
      <c r="FE755" s="1355"/>
      <c r="FF755" s="138"/>
      <c r="FI755" s="1357"/>
      <c r="FJ755" s="1357"/>
      <c r="FK755" s="1365"/>
      <c r="FL755" s="1365"/>
      <c r="FM755" s="1365"/>
      <c r="FO755" s="1361"/>
      <c r="FP755" s="1361"/>
      <c r="FQ755" s="1366"/>
      <c r="FR755" s="1361"/>
      <c r="FS755" s="1361"/>
      <c r="FT755" s="1361"/>
      <c r="FU755" s="1360"/>
      <c r="FW755" s="1352"/>
      <c r="FX755" s="1352"/>
      <c r="FY755" s="1352"/>
      <c r="FZ755" s="1352"/>
      <c r="GA755" s="1352"/>
      <c r="GB755" s="1352"/>
      <c r="GC755" s="1352"/>
      <c r="GD755" s="1352"/>
      <c r="GE755" s="759"/>
      <c r="GF755" s="1035"/>
      <c r="GG755" s="1385"/>
      <c r="GJ755" s="1034">
        <f>IF(GJ753=TRUE,0,GJ$16)</f>
        <v>0</v>
      </c>
      <c r="GL755" s="1034">
        <f>IF(GL753=TRUE,0,GL$16)</f>
        <v>36</v>
      </c>
      <c r="GM755" s="1034">
        <f>IF(GM753=TRUE,0,GM$16)</f>
        <v>35</v>
      </c>
      <c r="GN755" s="436"/>
      <c r="GO755" s="436"/>
      <c r="GP755" s="436"/>
      <c r="GQ755" s="436"/>
      <c r="GR755" s="436"/>
      <c r="HC755" s="1034">
        <f t="shared" ref="HC755:HH755" si="562">IF(HC753=TRUE,0,HC$16)</f>
        <v>19</v>
      </c>
      <c r="HD755" s="1034">
        <f t="shared" si="562"/>
        <v>18</v>
      </c>
      <c r="HE755" s="1034">
        <f t="shared" si="562"/>
        <v>17</v>
      </c>
      <c r="HF755" s="1034">
        <f t="shared" si="562"/>
        <v>16</v>
      </c>
      <c r="HG755" s="1034">
        <f t="shared" si="562"/>
        <v>0</v>
      </c>
      <c r="HH755" s="1034">
        <f t="shared" si="562"/>
        <v>0</v>
      </c>
      <c r="HI755" s="1034">
        <f>IF(HI753=TRUE,0,HI$16)</f>
        <v>13</v>
      </c>
      <c r="HJ755" s="1034">
        <f t="shared" ref="HJ755:HL755" si="563">IF(HJ753=TRUE,0,HJ$16)</f>
        <v>12</v>
      </c>
      <c r="HK755" s="1034">
        <f t="shared" si="563"/>
        <v>11</v>
      </c>
      <c r="HL755" s="1034">
        <f t="shared" si="563"/>
        <v>10</v>
      </c>
      <c r="HM755" s="1034">
        <f>IF(HM753=TRUE,0,HM$16)</f>
        <v>9</v>
      </c>
      <c r="HN755" s="1034">
        <f t="shared" ref="HN755:HR755" si="564">IF(HN753=TRUE,0,HN$16)</f>
        <v>0</v>
      </c>
      <c r="HO755" s="1034">
        <f t="shared" si="564"/>
        <v>0</v>
      </c>
      <c r="HP755" s="1034">
        <f t="shared" si="564"/>
        <v>0</v>
      </c>
      <c r="HQ755" s="1034">
        <f t="shared" si="564"/>
        <v>0</v>
      </c>
      <c r="HR755" s="1034">
        <f t="shared" si="564"/>
        <v>0</v>
      </c>
      <c r="HS755" s="1034">
        <f>IF(HS753=TRUE,0,HS$16)</f>
        <v>0</v>
      </c>
      <c r="HT755" s="1034">
        <f t="shared" ref="HT755" si="565">IF(HT753=TRUE,0,HT$16)</f>
        <v>0</v>
      </c>
      <c r="HU755" s="1034">
        <f>IF(HU753=TRUE,0,HU$16)</f>
        <v>1</v>
      </c>
      <c r="HW755" s="1034">
        <f>IF(GL753=FALSE,GL755,IF(GM753=FALSE,GM755,MAX(GJ755:HU755)))</f>
        <v>36</v>
      </c>
      <c r="HX755" s="1383"/>
      <c r="HY755" s="241" t="str">
        <f>VLOOKUP(HW755,_Error_Table,3,FALSE)</f>
        <v xml:space="preserve"> </v>
      </c>
      <c r="HZ755" s="241"/>
      <c r="IA755" s="1386"/>
      <c r="IB755" s="1380"/>
      <c r="IC755" s="1379"/>
      <c r="IF755" s="1380"/>
      <c r="IG755" s="1383"/>
      <c r="IH755" s="1383"/>
      <c r="II755" s="1383"/>
      <c r="IK755" s="1351"/>
      <c r="IL755" s="1351"/>
      <c r="IM755" s="1351"/>
      <c r="IN755" s="1351"/>
      <c r="IO755" s="1351"/>
      <c r="IP755" s="1351"/>
    </row>
    <row r="756" spans="1:250" s="82" customFormat="1" ht="5.0999999999999996" customHeight="1" thickBot="1">
      <c r="B756" s="763"/>
      <c r="C756" s="1038"/>
      <c r="D756" s="1038"/>
      <c r="E756" s="1490"/>
      <c r="F756" s="1490"/>
      <c r="G756" s="1490"/>
      <c r="H756" s="1490"/>
      <c r="I756" s="1490"/>
      <c r="J756" s="1490"/>
      <c r="K756" s="1490"/>
      <c r="L756" s="1490"/>
      <c r="M756" s="1490"/>
      <c r="N756" s="1490"/>
      <c r="O756" s="1490"/>
      <c r="P756" s="1490"/>
      <c r="Q756" s="1490"/>
      <c r="R756" s="1490"/>
      <c r="S756" s="1490"/>
      <c r="T756" s="1490"/>
      <c r="U756" s="1490"/>
      <c r="V756" s="1490"/>
      <c r="W756" s="1490"/>
      <c r="X756" s="1490"/>
      <c r="Y756" s="1490"/>
      <c r="Z756" s="1490"/>
      <c r="AA756" s="1490"/>
      <c r="AB756" s="1490"/>
      <c r="AC756" s="1490"/>
      <c r="AD756" s="1490"/>
      <c r="AE756" s="1490"/>
      <c r="AF756" s="1490"/>
      <c r="AG756" s="1490"/>
      <c r="AH756" s="1490"/>
      <c r="AI756" s="1490"/>
      <c r="AJ756" s="1490"/>
      <c r="AK756" s="1490"/>
      <c r="AL756" s="1490"/>
      <c r="AM756" s="1490"/>
      <c r="AN756" s="1490"/>
      <c r="AO756" s="1490"/>
      <c r="AP756" s="1490"/>
      <c r="AQ756" s="1490"/>
      <c r="AR756" s="1490"/>
      <c r="AS756" s="1490"/>
      <c r="AT756" s="1490"/>
      <c r="AU756" s="1041"/>
      <c r="BC756" s="38"/>
      <c r="BD756" s="38"/>
      <c r="BE756" s="38"/>
      <c r="BF756" s="38"/>
      <c r="BG756" s="38"/>
      <c r="BH756" s="38"/>
      <c r="BI756" s="38"/>
      <c r="BJ756" s="38"/>
      <c r="BK756" s="38"/>
      <c r="BL756" s="38"/>
      <c r="BM756" s="38"/>
      <c r="BN756" s="38"/>
      <c r="BO756" s="38"/>
      <c r="BP756" s="38"/>
      <c r="BQ756" s="38"/>
      <c r="BR756" s="38"/>
      <c r="BS756" s="38"/>
      <c r="BT756" s="38"/>
      <c r="BU756" s="38"/>
      <c r="BV756" s="38"/>
      <c r="BW756" s="38"/>
      <c r="BX756" s="38"/>
      <c r="BY756" s="38"/>
      <c r="BZ756" s="38"/>
      <c r="CA756" s="38"/>
      <c r="CB756" s="38"/>
      <c r="CC756" s="38"/>
      <c r="CD756" s="38"/>
      <c r="CE756" s="38"/>
      <c r="CF756" s="38"/>
      <c r="CG756" s="38"/>
      <c r="CH756" s="38"/>
      <c r="CI756" s="38"/>
      <c r="CM756" s="749"/>
      <c r="CN756" s="749"/>
      <c r="CO756" s="1043"/>
      <c r="CP756" s="749"/>
      <c r="CS756" s="436"/>
      <c r="CT756" s="436"/>
      <c r="CU756" s="243"/>
      <c r="CV756" s="244"/>
      <c r="CW756" s="244"/>
      <c r="CX756" s="244"/>
      <c r="CY756" s="245"/>
      <c r="CZ756" s="245"/>
      <c r="DA756" s="245"/>
      <c r="DC756" s="750"/>
      <c r="DD756" s="751"/>
      <c r="DE756" s="752"/>
      <c r="DF756" s="753"/>
      <c r="DG756" s="754"/>
      <c r="DH756" s="754"/>
      <c r="DK756" s="244"/>
      <c r="DL756" s="750"/>
      <c r="DN756" s="750"/>
      <c r="DO756" s="755"/>
      <c r="DP756" s="436"/>
      <c r="DQ756" s="750"/>
      <c r="DR756" s="750"/>
      <c r="DS756" s="750"/>
      <c r="DU756" s="750"/>
      <c r="DV756" s="750"/>
      <c r="DW756" s="750"/>
      <c r="DX756" s="750"/>
      <c r="DZ756" s="756"/>
      <c r="EA756" s="756"/>
      <c r="EC756" s="754"/>
      <c r="ED756" s="754"/>
      <c r="EE756" s="244"/>
      <c r="EF756" s="754"/>
      <c r="EG756" s="754"/>
      <c r="EH756" s="243"/>
      <c r="EI756" s="243"/>
      <c r="EJ756" s="752"/>
      <c r="EK756" s="757"/>
      <c r="EL756" s="757"/>
      <c r="EM756" s="758"/>
      <c r="EN756" s="758"/>
      <c r="EO756" s="752"/>
      <c r="EP756" s="752"/>
      <c r="EQ756" s="752"/>
      <c r="ES756" s="750"/>
      <c r="EU756" s="436"/>
      <c r="EV756" s="436"/>
      <c r="EW756" s="436"/>
      <c r="EX756" s="436"/>
      <c r="EY756" s="436"/>
      <c r="EZ756" s="436"/>
      <c r="FB756" s="643"/>
      <c r="FD756" s="436"/>
      <c r="FE756" s="436"/>
      <c r="FF756" s="436"/>
      <c r="FO756" s="750"/>
      <c r="FP756" s="436"/>
      <c r="FQ756" s="436"/>
      <c r="FR756" s="750"/>
      <c r="FS756" s="750"/>
      <c r="FW756" s="749"/>
      <c r="FX756" s="749"/>
      <c r="FY756" s="749"/>
      <c r="FZ756" s="749"/>
      <c r="GA756" s="749"/>
      <c r="GB756" s="749"/>
      <c r="GC756" s="749"/>
      <c r="GD756" s="749"/>
      <c r="GE756" s="751"/>
      <c r="GF756" s="750"/>
      <c r="GG756" s="750"/>
    </row>
    <row r="757" spans="1:250" s="82" customFormat="1" ht="14.95" customHeight="1" thickTop="1" thickBot="1">
      <c r="B757" s="1421" t="str">
        <f>HY760</f>
        <v xml:space="preserve"> </v>
      </c>
      <c r="C757" s="1422">
        <f>C752+1</f>
        <v>139</v>
      </c>
      <c r="D757" s="1423"/>
      <c r="E757" s="1424" t="s">
        <v>242</v>
      </c>
      <c r="F757" s="1425"/>
      <c r="G757" s="1426"/>
      <c r="H757" s="1427"/>
      <c r="I757" s="1427"/>
      <c r="J757" s="1427"/>
      <c r="K757" s="1427"/>
      <c r="L757" s="1427"/>
      <c r="M757" s="1427"/>
      <c r="N757" s="1427"/>
      <c r="O757" s="1427"/>
      <c r="P757" s="1427"/>
      <c r="Q757" s="1427"/>
      <c r="R757" s="1427"/>
      <c r="S757" s="1428" t="s">
        <v>283</v>
      </c>
      <c r="T757" s="668" t="s">
        <v>190</v>
      </c>
      <c r="U757" s="1430" t="s">
        <v>186</v>
      </c>
      <c r="V757" s="1431"/>
      <c r="W757" s="1431"/>
      <c r="X757" s="1431"/>
      <c r="Y757" s="1431"/>
      <c r="Z757" s="1431"/>
      <c r="AA757" s="1431"/>
      <c r="AB757" s="1047" t="str">
        <f>IFERROR(IF(__Retrofit_TI_NC=0,VLOOKUP(U758,Fixtures_Existing_List,2,FALSE),ROUND(N759*R759/T759,10)),"")</f>
        <v/>
      </c>
      <c r="AC757" s="1039" t="str">
        <f>IFERROR(IF(__Retrofit_TI_NC=0,ROUND(T758*AB757*N758*R758/1000,0),IF(CN757="Interior",N759*R759*R758*N758*_C406_reduction/1000,N759*R759*R758*N758/1000)),"")</f>
        <v/>
      </c>
      <c r="AD757" s="1040" t="str">
        <f>IFERROR(IF(C$36=0,ROUND(T758*AB757/1000,2),N759*R759/1000),"")</f>
        <v/>
      </c>
      <c r="AE757" s="1044" t="s">
        <v>190</v>
      </c>
      <c r="AF757" s="1432" t="str">
        <f>IF(__Retrofit_TI_NC=2,CONCATENATE("Code min = ",DD757),IF(__Retrofit_TI_NC=1,"Emter what you think the existing control was"," Control"))</f>
        <v xml:space="preserve"> Control</v>
      </c>
      <c r="AG757" s="1432"/>
      <c r="AH757" s="1432"/>
      <c r="AI757" s="1432"/>
      <c r="AJ757" s="1433">
        <f>DF757</f>
        <v>0</v>
      </c>
      <c r="AK757" s="1435" t="str">
        <f>IFERROR(ROUND(AJ757*AC757,0),"")</f>
        <v/>
      </c>
      <c r="AL757" s="1437">
        <f>IFERROR(IF(HW757=FALSE,0,AC757-AK757),0)</f>
        <v>0</v>
      </c>
      <c r="AM757" s="1439">
        <f>AL757-AL759</f>
        <v>0</v>
      </c>
      <c r="AN757" s="1440"/>
      <c r="AO757" s="1445">
        <f>IFERROR(IF(HW757=FALSE,0,(T759*U760)+(AE759*AF760)),0)</f>
        <v>0</v>
      </c>
      <c r="AP757" s="1445"/>
      <c r="AQ757" s="1446"/>
      <c r="AR757" s="1451" t="s">
        <v>157</v>
      </c>
      <c r="AS757" s="1454">
        <f>IF(AR757="Yes",1,0)</f>
        <v>1</v>
      </c>
      <c r="AT757" s="1457" t="str">
        <f>IF(OR(DN757=4,DN757=5,DN757=6,DN757=12),CONCATENATE("$",IF(GD757=TRUE,Lookup!$B$11,Lookup!$B$2)," /lamp"),CONCATENATE(EA757,"/ kWh"))</f>
        <v>0/ kWh</v>
      </c>
      <c r="AU757" s="516"/>
      <c r="AV757" s="1478">
        <f>IFERROR(IF(GI758=TRUE,(AB760*T759)/R759,0),"NA")</f>
        <v>0</v>
      </c>
      <c r="AW757" s="1478" t="str">
        <f>IFERROR(N759*_C406_reduction,"NA")</f>
        <v>NA</v>
      </c>
      <c r="BC757" s="38"/>
      <c r="BD757" s="38"/>
      <c r="BE757" s="38"/>
      <c r="BF757" s="38"/>
      <c r="BG757" s="38"/>
      <c r="BH757" s="38"/>
      <c r="BI757" s="38"/>
      <c r="BJ757" s="38"/>
      <c r="BK757" s="38"/>
      <c r="BL757" s="38"/>
      <c r="BM757" s="38"/>
      <c r="BN757" s="38"/>
      <c r="BO757" s="38"/>
      <c r="BP757" s="38"/>
      <c r="BQ757" s="38"/>
      <c r="BR757" s="38"/>
      <c r="BS757" s="38"/>
      <c r="BT757" s="38"/>
      <c r="BU757" s="38"/>
      <c r="BV757" s="38"/>
      <c r="BW757" s="38"/>
      <c r="BX757" s="38"/>
      <c r="BY757" s="38"/>
      <c r="BZ757" s="38"/>
      <c r="CA757" s="38"/>
      <c r="CB757" s="38"/>
      <c r="CC757" s="38"/>
      <c r="CD757" s="38"/>
      <c r="CE757" s="38"/>
      <c r="CF757" s="38"/>
      <c r="CG757" s="38"/>
      <c r="CH757" s="38"/>
      <c r="CI757" s="38"/>
      <c r="CM757" s="1352" t="str">
        <f>N758</f>
        <v/>
      </c>
      <c r="CN757" s="1352" t="str">
        <f>IFERROR(VLOOKUP(G758,_Lookup_Heat_Type_Table_New,3,FALSE),"")</f>
        <v/>
      </c>
      <c r="CO757" s="1415" t="str">
        <f>CN757</f>
        <v/>
      </c>
      <c r="CP757" s="1417" t="e">
        <f>VLOOKUP(G759,'Space Table'!$B$3:$L$160,9,FALSE)</f>
        <v>#N/A</v>
      </c>
      <c r="CR757" s="1386" t="s">
        <v>283</v>
      </c>
      <c r="CS757" s="1353">
        <f>IF(HW757=TRUE,T758,0)</f>
        <v>0</v>
      </c>
      <c r="CT757" s="1353" t="str">
        <f>IF(HW757=TRUE,U758,"")</f>
        <v/>
      </c>
      <c r="CU757" s="1353"/>
      <c r="CV757" s="1370">
        <f>IF(HW757=TRUE,AB757,0)</f>
        <v>0</v>
      </c>
      <c r="CW757" s="1370">
        <f>IF(HW757=TRUE,AC757,0)</f>
        <v>0</v>
      </c>
      <c r="CX757" s="1370">
        <f>IFERROR(IF(HW757=TRUE,CW757-CW759,0),0)</f>
        <v>0</v>
      </c>
      <c r="CY757" s="1485">
        <f>IF(HW757=TRUE,AD757,0)</f>
        <v>0</v>
      </c>
      <c r="CZ757" s="1485">
        <f>IF(HW757=TRUE,AD760,0)</f>
        <v>0</v>
      </c>
      <c r="DA757" s="1485">
        <f>IFERROR(CY757-CZ757,0)</f>
        <v>0</v>
      </c>
      <c r="DC757" s="1353">
        <f>IF(HW757=TRUE,AE758,0)</f>
        <v>0</v>
      </c>
      <c r="DD757" s="1460">
        <f>IF(__Retrofit_TI_NC=2,IF(CN757="Exterior",O760,FM757),FK757)</f>
        <v>0</v>
      </c>
      <c r="DE757" s="1353"/>
      <c r="DF757" s="1406">
        <f>IFERROR(IF(FL757=3,IK757,IF(FL757=4,IL757,IF(FL757=5,IM757,IF(FL757=6,IN757,IF(FL757=7,IO757,IF(FL757=8,IP757,0)))))),0)</f>
        <v>0</v>
      </c>
      <c r="DG757" s="1370">
        <f>IF(HW757=TRUE,AK757,0)</f>
        <v>0</v>
      </c>
      <c r="DH757" s="1369">
        <f>IFERROR(IF(HW757=TRUE,DG759-DG757,0),0)</f>
        <v>0</v>
      </c>
      <c r="DJ757" s="1483">
        <f>IFERROR(CW757-DG757,0)</f>
        <v>0</v>
      </c>
      <c r="DL757" s="1419">
        <f>DJ757-DK759</f>
        <v>0</v>
      </c>
      <c r="DN757" s="1403" t="str">
        <f>IFERROR(IF(AND(OR(FY757=4,FY757=5,FY757=6),OR(GB757=4,GB757=5,GB757=6)),FY757+8,VLOOKUP(CT759,Fixtures!R$31:Y$78,8,FALSE)),"")</f>
        <v/>
      </c>
      <c r="DO757" s="1404" t="str">
        <f>DN757</f>
        <v/>
      </c>
      <c r="DP757" s="1353" t="str">
        <f>IFERROR(VLOOKUP(DD759,Lookup!AU$3:AV$15,2,FALSE),"")</f>
        <v/>
      </c>
      <c r="DQ757" s="1404" t="str">
        <f>IF(DP757=7,"LLLC","")</f>
        <v/>
      </c>
      <c r="DR757" s="1403">
        <f>IFERROR(IF(OR(DN757=4,DN757=5,DN757=6,DN757=12,DN757=13,DN757=14),VLOOKUP(CT759,Fixtures!DN$27:EG$77,19,FALSE),1)*CS759,0)</f>
        <v>0</v>
      </c>
      <c r="DS757" s="1489">
        <f>IF(DP757=7,IF(DD757=DD759,0,DC759),0)</f>
        <v>0</v>
      </c>
      <c r="DU757" s="1403" t="str">
        <f>IFERROR(IF(EW757&lt;EW759,"Yes","No"),"")</f>
        <v/>
      </c>
      <c r="DV757" s="1404" t="str">
        <f>DU757</f>
        <v/>
      </c>
      <c r="DW757" s="1403">
        <f>IF(DU757="Yes",DC759,0)</f>
        <v>0</v>
      </c>
      <c r="DX757" s="1403">
        <f>DW757-DS757</f>
        <v>0</v>
      </c>
      <c r="DZ757" s="1481">
        <f>IFERROR(VLOOKUP(DN757,Lookup!AN$3:AO$16,2,FALSE),0)</f>
        <v>0</v>
      </c>
      <c r="EA757" s="1481">
        <f>IF(HW757=FALSE,0,IF(DU757="Yes",DZ757+Lookup!B$6,DZ757))</f>
        <v>0</v>
      </c>
      <c r="EC757" s="1482">
        <f>IF(HW757=TRUE,DJ757,0)</f>
        <v>0</v>
      </c>
      <c r="ED757" s="1369">
        <f>IF(HW757=TRUE,CW759,0)</f>
        <v>0</v>
      </c>
      <c r="EE757" s="1370">
        <f>IFERROR(EC757-ED757,0)</f>
        <v>0</v>
      </c>
      <c r="EF757" s="1369">
        <f>IF(HW757=TRUE,DG759,0)</f>
        <v>0</v>
      </c>
      <c r="EG757" s="1369">
        <f>IFERROR(EC757-ED757+EF757,0)</f>
        <v>0</v>
      </c>
      <c r="EH757" s="1373">
        <f>IF(HW757=TRUE,CS759*CU759,0)</f>
        <v>0</v>
      </c>
      <c r="EI757" s="1373">
        <f>IF(HW757=TRUE,DC759*DE759,0)</f>
        <v>0</v>
      </c>
      <c r="EJ757" s="1363">
        <f>AO757</f>
        <v>0</v>
      </c>
      <c r="EK757" s="1376" t="str">
        <f>IFERROR(IF(HW757=TRUE,VLOOKUP(DN757,Lookup!AN$3:AP$16,3,FALSE)*DR757,""),0)</f>
        <v/>
      </c>
      <c r="EL757" s="1376">
        <f>IF(HW757=TRUE,DW757*Lookup!AP$12,0)</f>
        <v>0</v>
      </c>
      <c r="EM757" s="1362">
        <f>IFERROR(IF(HW757=TRUE,EK757/EM$33,0),0)</f>
        <v>0</v>
      </c>
      <c r="EN757" s="1362">
        <f>IF(HW757=TRUE,EL757/EN$33,0)</f>
        <v>0</v>
      </c>
      <c r="EO757" s="1363">
        <f>IF(HW757=TRUE,EQ$33*EM757,0)</f>
        <v>0</v>
      </c>
      <c r="EP757" s="1363">
        <f>IF(HW757=TRUE,EQ$33*EN757,0)</f>
        <v>0</v>
      </c>
      <c r="EQ757" s="1363">
        <f>EO757+EP757</f>
        <v>0</v>
      </c>
      <c r="ES757" s="1403">
        <f>IF(G757="",0,1)</f>
        <v>0</v>
      </c>
      <c r="EU757" s="1410" t="e">
        <f>VLOOKUP(CP759,'Space Table'!$B$3:$L$160,8,FALSE)</f>
        <v>#N/A</v>
      </c>
      <c r="EV757" s="1410" t="e">
        <f>IF(EY757="Yes",VLOOKUP(DD757,Lookup_Control_Type_Table2,4,FALSE),VLOOKUP(DD757,Lookup_Control_Type_Table2,3,FALSE))</f>
        <v>#N/A</v>
      </c>
      <c r="EW757" s="1410" t="e">
        <f>VLOOKUP(DD757,Lookup!AU$3:AV$15,2,FALSE)</f>
        <v>#N/A</v>
      </c>
      <c r="EX757" s="1410" t="e">
        <f>VLOOKUP(EU757,Lookup_Control_Type_Table,2,FALSE)</f>
        <v>#N/A</v>
      </c>
      <c r="EY757" s="1410" t="e">
        <f>VLOOKUP(CP759,'Space Table'!$B$3:$L$160,7,FALSE)</f>
        <v>#N/A</v>
      </c>
      <c r="EZ757" s="1412" t="b">
        <f>ISNUMBER(SEARCH("TLED",U759))</f>
        <v>0</v>
      </c>
      <c r="FB757" s="1365" t="str">
        <f>CONCATENATE(CN757," - ",DD757)</f>
        <v xml:space="preserve"> - 0</v>
      </c>
      <c r="FD757" s="1353" t="str">
        <f>VLOOKUP(CT759,Fixtures!DN$27:EZ$77,38,FALSE)</f>
        <v/>
      </c>
      <c r="FE757" s="1353">
        <f>IFERROR(FD757*EE757,0)</f>
        <v>0</v>
      </c>
      <c r="FF757" s="138"/>
      <c r="FI757" s="1356" t="str">
        <f>IF(CN757="Exterior","Not Daylighted",G760)</f>
        <v>Not Daylighted</v>
      </c>
      <c r="FJ757" s="1356">
        <f>VLOOKUP(FI757,_Daylight_Table_Codes,2,FALSE)</f>
        <v>0</v>
      </c>
      <c r="FK757" s="1365">
        <f>IF(__Retrofit_TI_NC=2,VLOOKUP(G759,'Space Table'!$B$3:$L$160,11,FALSE),AF758)</f>
        <v>0</v>
      </c>
      <c r="FL757" s="1365" t="e">
        <f>VLOOKUP(FK757,_Control_Table,2,FALSE)</f>
        <v>#N/A</v>
      </c>
      <c r="FM757" s="1365" t="e">
        <f>IF(AND(FP757&gt;0,FK757="Occupancy Sensor"),"Daylight + Occupancy",IF(AND(FP757&gt;0,FL757&lt;4),"Interior Daylight Dimming",FK757))</f>
        <v>#N/A</v>
      </c>
      <c r="FO757" s="1364">
        <f>IF(CO757="Interior",VLOOKUP(CP757,Control_Savings_Interior,5,FALSE),0)</f>
        <v>0</v>
      </c>
      <c r="FP757" s="1361">
        <f>IF(CN757="Exterior",0,IF(FJ757=2,0.5,IF(OR(FJ757=1,FJ757=3),1,0)))</f>
        <v>0</v>
      </c>
      <c r="FQ757" s="1366"/>
      <c r="FR757" s="1367"/>
      <c r="FS757" s="1364"/>
      <c r="FT757" s="1367"/>
      <c r="FU757" s="1360"/>
      <c r="FW757" s="1352" t="str">
        <f>IFERROR(VLOOKUP(U758,_Exist_Fixture_Table,3,FALSE),"")</f>
        <v/>
      </c>
      <c r="FX757" s="1352" t="str">
        <f>VLOOKUP(CT757,_Exist_Fixture_Table,4,FALSE)</f>
        <v/>
      </c>
      <c r="FY757" s="1352">
        <f>IFERROR(VLOOKUP(FX757,Lookup!AM$6:AN$8,2,FALSE),0)</f>
        <v>0</v>
      </c>
      <c r="FZ757" s="1352" t="b">
        <f>IFERROR(IF(OR(GB757=4,GB757=5,GB757=6),TRUE,FALSE),"")</f>
        <v>0</v>
      </c>
      <c r="GA757" s="1352" t="str">
        <f>IFERROR(VLOOKUP(GB757,FY$6:FZ$10,2,FALSE),"")</f>
        <v/>
      </c>
      <c r="GB757" s="1352" t="str">
        <f>VLOOKUP(CT759,Fixtures!R$31:Y$78,8,FALSE)</f>
        <v/>
      </c>
      <c r="GC757" s="1352">
        <f>IF(AND(FW757=TRUE,FZ757=TRUE,OR(DN757=12,DN757=13,DN757=14)),FY757+8,0)</f>
        <v>0</v>
      </c>
      <c r="GD757" s="1352" t="b">
        <f>IF(OR(GC757=12,GC757=13,GC757=14),TRUE,FALSE)</f>
        <v>0</v>
      </c>
      <c r="GE757" s="759" t="b">
        <f>IF(ISNUMBER(SEARCH("TLED",U758)),TRUE,FALSE)</f>
        <v>0</v>
      </c>
      <c r="GF757" s="1035" t="str">
        <f>IFERROR(VLOOKUP(U758,Fixtures!BM$93:BR$142,6,FALSE),"")</f>
        <v/>
      </c>
      <c r="GG757" s="1385" t="b">
        <f>IF(OR(GE757=FALSE,GE759=FALSE),TRUE,IF(GF757-GF759&lt;5,FALSE,TRUE))</f>
        <v>1</v>
      </c>
      <c r="GK757" s="1034">
        <f>GL757</f>
        <v>0</v>
      </c>
      <c r="GL757" s="1034">
        <f>IF(G757="",0,1)</f>
        <v>0</v>
      </c>
      <c r="GM757" s="1034">
        <f>SUM(GN757:HB757)</f>
        <v>2</v>
      </c>
      <c r="GN757" s="1034">
        <f>IF(G758="",0,1)</f>
        <v>0</v>
      </c>
      <c r="GO757" s="1034">
        <f>IF(G759="",0,1)</f>
        <v>0</v>
      </c>
      <c r="GP757" s="1034">
        <f>IF(R758="",0,1)</f>
        <v>0</v>
      </c>
      <c r="GQ757" s="1034">
        <f>IF(__Retrofit_TI_NC=0,1,IF(R759="",0,1))</f>
        <v>1</v>
      </c>
      <c r="GR757" s="1034">
        <f>IF(CN757="Exterior",1,IF(G760="",0,1))</f>
        <v>1</v>
      </c>
      <c r="GS757" s="1034">
        <f>IF(__Retrofit_TI_NC&lt;&gt;0,1,IF(T758="",0,1))</f>
        <v>0</v>
      </c>
      <c r="GT757" s="1034">
        <f>IF(__Retrofit_TI_NC&lt;&gt;0,1,IF(U758="",0,1))</f>
        <v>0</v>
      </c>
      <c r="GU757" s="1034">
        <f>IF(T759="",0,1)</f>
        <v>0</v>
      </c>
      <c r="GV757" s="1034">
        <f>IF(U759="",0,1)</f>
        <v>0</v>
      </c>
      <c r="GW757" s="1034">
        <f>IF(__Retrofit_TI_NC=2,1,IF(U760="",0,1))</f>
        <v>0</v>
      </c>
      <c r="GX757" s="1034">
        <f>IF(__Retrofit_TI_NC&lt;&gt;0,1,IF(AE758="",0,1))</f>
        <v>0</v>
      </c>
      <c r="GY757" s="1034">
        <f>IF(__Retrofit_TI_NC&lt;&gt;0,1,IF(AF758="",0,1))</f>
        <v>0</v>
      </c>
      <c r="GZ757" s="1034">
        <f>IF(AE759="",0,1)</f>
        <v>0</v>
      </c>
      <c r="HA757" s="1034">
        <f>IF(AF759="",0,1)</f>
        <v>0</v>
      </c>
      <c r="HB757" s="1034">
        <f>IF(__Retrofit_TI_NC=2,1,IF(AF760="",0,1))</f>
        <v>0</v>
      </c>
      <c r="HV757" s="436"/>
      <c r="HW757" s="1384" t="b">
        <f>IF(OR(HW760=0,HW760=HT$16,HW760=HS$16,HW760=HU$16),TRUE,FALSE)</f>
        <v>0</v>
      </c>
      <c r="HX757" s="1377" t="b">
        <f>HW757</f>
        <v>0</v>
      </c>
      <c r="HY757" s="436"/>
      <c r="HZ757" s="436"/>
      <c r="IA757" s="1386" t="b">
        <f>IF(MAX(GJ760:HP760)&gt;5,FALSE,TRUE)</f>
        <v>0</v>
      </c>
      <c r="IB757" s="1380">
        <f>IF(IA757=TRUE,AC757,0)</f>
        <v>0</v>
      </c>
      <c r="IC757" s="1380">
        <f>IB757-IB759</f>
        <v>0</v>
      </c>
      <c r="IF757" s="1380" t="e">
        <f>ROUND(T758*VLOOKUP(U758,Fixtures_Existing_List,2,FALSE)*N758*R758/1000,0)</f>
        <v>#N/A</v>
      </c>
      <c r="IG757" s="1381" t="e">
        <f>IF757-IF759</f>
        <v>#N/A</v>
      </c>
      <c r="IH757" s="1384" t="e">
        <f>ROUND(IF(CN757="Interior",N759*R759*R758*N758*_C406_reduction/1000,N759*R759*R758*N758/1000),0)</f>
        <v>#N/A</v>
      </c>
      <c r="II757" s="1384" t="e">
        <f>IH757-IH759</f>
        <v>#N/A</v>
      </c>
      <c r="IK757" s="1351" t="e">
        <f>IF($CO757="interior",IL757/2,VLOOKUP($CP757,Control_Savings_Exterior,IK$30,FALSE))</f>
        <v>#N/A</v>
      </c>
      <c r="IL757" s="1351" t="e">
        <f>IF($CO757="interior",VLOOKUP($CP757,Control_Savings_Interior,IL$30,FALSE),VLOOKUP($CP757,Control_Savings_Exterior,IL$30,FALSE))</f>
        <v>#N/A</v>
      </c>
      <c r="IM757" s="1351" t="e">
        <f>IF($CO757="interior",IF(R758&gt;FO$37,(IM$28*(FO$37/R758)),IM$28)*FP757,VLOOKUP($CP757,Control_Savings_Exterior,IM$30,FALSE))</f>
        <v>#N/A</v>
      </c>
      <c r="IN757" s="1351" t="e">
        <f>IF($CO757="interior",ROUND(((1-IL757)*IM757)+IL757,2),VLOOKUP($CP757,Control_Savings_Exterior,IN$30,FALSE))</f>
        <v>#N/A</v>
      </c>
      <c r="IO757" s="1351" t="e">
        <f>IF($CO757="interior", ROUND(((1-IL757)*(IM757*(1-IP$28)))+IP757,2), VLOOKUP($CP757,Control_Savings_Exterior,IO$30,FALSE))</f>
        <v>#N/A</v>
      </c>
      <c r="IP757" s="1351">
        <f>IF($CO757="interior",ROUND(((1-IL757)*IP$28)+IL757,2),0)</f>
        <v>0</v>
      </c>
    </row>
    <row r="758" spans="1:250" s="82" customFormat="1" ht="14.95" customHeight="1" thickTop="1" thickBot="1">
      <c r="B758" s="1421"/>
      <c r="C758" s="1422"/>
      <c r="D758" s="1423"/>
      <c r="E758" s="1393" t="s">
        <v>244</v>
      </c>
      <c r="F758" s="1394"/>
      <c r="G758" s="1395"/>
      <c r="H758" s="1395"/>
      <c r="I758" s="1395"/>
      <c r="J758" s="1395"/>
      <c r="K758" s="1395"/>
      <c r="L758" s="1395"/>
      <c r="M758" s="509" t="e">
        <f>IF(__Retrofit_TI_NC&lt;&gt;0,IF(VLOOKUP(G759,'Space Table'!$B$3:$L$160,3,FALSE)&gt;0,1,0),IF(__Retrofit_TI_NC=VLOOKUP(G759,'Space Table'!$B$3:$L$160,3,FALSE),1,0))</f>
        <v>#N/A</v>
      </c>
      <c r="N758" s="509" t="str">
        <f>IFERROR(VLOOKUP(G758,_Lookup_Heat_Type_Table_New,2,FALSE),"")</f>
        <v/>
      </c>
      <c r="O758" s="509">
        <f>IF(__Retrofit_TI_NC=1,CONCATENATE("TI ",G758),IF(__Retrofit_TI_NC=2,CONCATENATE("NC ",G758),G758))</f>
        <v>0</v>
      </c>
      <c r="P758" s="1396" t="s">
        <v>352</v>
      </c>
      <c r="Q758" s="1396"/>
      <c r="R758" s="673"/>
      <c r="S758" s="1429"/>
      <c r="T758" s="675"/>
      <c r="U758" s="1496"/>
      <c r="V758" s="1497"/>
      <c r="W758" s="1497"/>
      <c r="X758" s="1497"/>
      <c r="Y758" s="1497"/>
      <c r="Z758" s="1497"/>
      <c r="AA758" s="1497"/>
      <c r="AB758" s="1497"/>
      <c r="AC758" s="1497"/>
      <c r="AD758" s="1498"/>
      <c r="AE758" s="675"/>
      <c r="AF758" s="1397"/>
      <c r="AG758" s="1397"/>
      <c r="AH758" s="1397"/>
      <c r="AI758" s="1397"/>
      <c r="AJ758" s="1434"/>
      <c r="AK758" s="1436"/>
      <c r="AL758" s="1438"/>
      <c r="AM758" s="1441"/>
      <c r="AN758" s="1442"/>
      <c r="AO758" s="1447"/>
      <c r="AP758" s="1447"/>
      <c r="AQ758" s="1448"/>
      <c r="AR758" s="1452"/>
      <c r="AS758" s="1455"/>
      <c r="AT758" s="1458"/>
      <c r="AU758" s="516"/>
      <c r="AV758" s="1479"/>
      <c r="AW758" s="1479"/>
      <c r="BC758" s="38"/>
      <c r="BD758" s="38"/>
      <c r="BE758" s="38"/>
      <c r="BF758" s="38"/>
      <c r="BG758" s="38"/>
      <c r="BH758" s="38"/>
      <c r="BI758" s="38"/>
      <c r="BJ758" s="38"/>
      <c r="BK758" s="38"/>
      <c r="BL758" s="38"/>
      <c r="BM758" s="38"/>
      <c r="BN758" s="38"/>
      <c r="BO758" s="38"/>
      <c r="BP758" s="38"/>
      <c r="BQ758" s="38"/>
      <c r="BR758" s="38"/>
      <c r="BS758" s="38"/>
      <c r="BT758" s="38"/>
      <c r="BU758" s="38"/>
      <c r="BV758" s="38"/>
      <c r="BW758" s="38"/>
      <c r="BX758" s="38"/>
      <c r="BY758" s="38"/>
      <c r="BZ758" s="38"/>
      <c r="CA758" s="38"/>
      <c r="CB758" s="38"/>
      <c r="CC758" s="38"/>
      <c r="CD758" s="38"/>
      <c r="CE758" s="38"/>
      <c r="CF758" s="38"/>
      <c r="CG758" s="38"/>
      <c r="CH758" s="38"/>
      <c r="CI758" s="38"/>
      <c r="CM758" s="1352"/>
      <c r="CN758" s="1352"/>
      <c r="CO758" s="1416"/>
      <c r="CP758" s="1418"/>
      <c r="CR758" s="1386"/>
      <c r="CS758" s="1355"/>
      <c r="CT758" s="1355"/>
      <c r="CU758" s="1355"/>
      <c r="CV758" s="1372"/>
      <c r="CW758" s="1372"/>
      <c r="CX758" s="1371"/>
      <c r="CY758" s="1486"/>
      <c r="CZ758" s="1486"/>
      <c r="DA758" s="1486"/>
      <c r="DC758" s="1355"/>
      <c r="DD758" s="1461"/>
      <c r="DE758" s="1355"/>
      <c r="DF758" s="1407"/>
      <c r="DG758" s="1372"/>
      <c r="DH758" s="1369"/>
      <c r="DJ758" s="1484"/>
      <c r="DL758" s="1419"/>
      <c r="DN758" s="1403"/>
      <c r="DO758" s="1405"/>
      <c r="DP758" s="1354"/>
      <c r="DQ758" s="1405"/>
      <c r="DR758" s="1403"/>
      <c r="DS758" s="1489"/>
      <c r="DU758" s="1403"/>
      <c r="DV758" s="1405"/>
      <c r="DW758" s="1403"/>
      <c r="DX758" s="1403"/>
      <c r="DZ758" s="1481"/>
      <c r="EA758" s="1481"/>
      <c r="EC758" s="1482"/>
      <c r="ED758" s="1369"/>
      <c r="EE758" s="1371"/>
      <c r="EF758" s="1369"/>
      <c r="EG758" s="1369"/>
      <c r="EH758" s="1374"/>
      <c r="EI758" s="1374"/>
      <c r="EJ758" s="1363"/>
      <c r="EK758" s="1376"/>
      <c r="EL758" s="1376"/>
      <c r="EM758" s="1362"/>
      <c r="EN758" s="1362"/>
      <c r="EO758" s="1363"/>
      <c r="EP758" s="1363"/>
      <c r="EQ758" s="1363"/>
      <c r="ES758" s="1403"/>
      <c r="EU758" s="1411"/>
      <c r="EV758" s="1411"/>
      <c r="EW758" s="1411"/>
      <c r="EX758" s="1411"/>
      <c r="EY758" s="1411"/>
      <c r="EZ758" s="1413"/>
      <c r="FB758" s="1365"/>
      <c r="FD758" s="1354"/>
      <c r="FE758" s="1354"/>
      <c r="FF758" s="138"/>
      <c r="FI758" s="1357"/>
      <c r="FJ758" s="1357"/>
      <c r="FK758" s="1365"/>
      <c r="FL758" s="1365"/>
      <c r="FM758" s="1365"/>
      <c r="FO758" s="1361"/>
      <c r="FP758" s="1361"/>
      <c r="FQ758" s="1366"/>
      <c r="FR758" s="1368"/>
      <c r="FS758" s="1361"/>
      <c r="FT758" s="1368"/>
      <c r="FU758" s="1360"/>
      <c r="FW758" s="1352"/>
      <c r="FX758" s="1352"/>
      <c r="FY758" s="1352"/>
      <c r="FZ758" s="1352"/>
      <c r="GA758" s="1352"/>
      <c r="GB758" s="1352"/>
      <c r="GC758" s="1352"/>
      <c r="GD758" s="1352"/>
      <c r="GE758" s="759"/>
      <c r="GF758" s="1035"/>
      <c r="GG758" s="1385"/>
      <c r="GI758" s="1384" t="b">
        <f>IF(AND(GL758=TRUE,GM758=TRUE),TRUE,FALSE)</f>
        <v>0</v>
      </c>
      <c r="GJ758" s="1379" t="b">
        <f>IFERROR(IF(__Retrofit_TI_NC=2,TRUE,IF(AR757="Yes",TRUE,FALSE)),FALSE)</f>
        <v>1</v>
      </c>
      <c r="GL758" s="1379" t="b">
        <f>IFERROR(IF(GL757=1,TRUE,FALSE),FALSE)</f>
        <v>0</v>
      </c>
      <c r="GM758" s="1379" t="b">
        <f>IFERROR(IF(GM757=GM$14,TRUE,FALSE),FALSE)</f>
        <v>0</v>
      </c>
      <c r="HC758" s="1379" t="b">
        <f>IFERROR(IF(M758=1,TRUE,FALSE),FALSE)</f>
        <v>0</v>
      </c>
      <c r="HD758" s="1379" t="b">
        <f>IFERROR(IF(M759=1,TRUE,FALSE),FALSE)</f>
        <v>0</v>
      </c>
      <c r="HE758" s="1379" t="b">
        <f>IFERROR(IF(__Retrofit_TI_NC&lt;&gt;0,TRUE,IFERROR(IF(VLOOKUP(U758,Fixtures_Existing_List,2,FALSE)&lt;&gt;"",TRUE,FALSE),FALSE)),FALSE)</f>
        <v>0</v>
      </c>
      <c r="HF758" s="1379" t="b">
        <f>IFERROR(IF(VLOOKUP(U759,Fixtures_Proposed_List,2,FALSE)&lt;&gt;"",TRUE,FALSE),FALSE)</f>
        <v>0</v>
      </c>
      <c r="HG758" s="1379" t="b">
        <f>IF(AND(__Retrofit_TI_NC=2,EZ757=TRUE),FALSE,TRUE)</f>
        <v>1</v>
      </c>
      <c r="HH758" s="1379" t="b">
        <f>GG757</f>
        <v>1</v>
      </c>
      <c r="HI758" s="1384" t="b">
        <f>IF(ISERROR(MATCH(FB757,_Control_Match[],0))=TRUE,FALSE,TRUE)</f>
        <v>0</v>
      </c>
      <c r="HJ758" s="1384" t="b">
        <f>IFERROR(IF(EU757&lt;&gt;EV757,FALSE,TRUE),FALSE)</f>
        <v>0</v>
      </c>
      <c r="HK758" s="1384" t="b">
        <f>IFERROR(IF(EU759&lt;&gt;EV759,FALSE,TRUE),FALSE)</f>
        <v>0</v>
      </c>
      <c r="HL758" s="1379" t="b">
        <f>IFERROR(IF(CN757="Exterior",TRUE,IF(OR(AND(FJ757=0,EW759&gt;4),AND(FJ757=4,EW759&gt;4,EW759&lt;7)),FALSE,TRUE)),FALSE)</f>
        <v>0</v>
      </c>
      <c r="HM758" s="1379" t="b">
        <f>IFERROR(IF(AND(FL759=7,EZ757=TRUE),FALSE,TRUE),FALSE)</f>
        <v>0</v>
      </c>
      <c r="HN758" s="1379" t="b">
        <f>IFERROR(IF(AND(T759&lt;&gt;AE759,AF759="Interior LLLC")=TRUE,FALSE,TRUE),FALSE)</f>
        <v>1</v>
      </c>
      <c r="HO758" s="1379" t="b">
        <f>IFERROR(IF(OR(AF759=Lookup!AU$13,AF759=Lookup!AU$14)=TRUE,IF(AE759&gt;T759,FALSE,TRUE),TRUE),FALSE)</f>
        <v>1</v>
      </c>
      <c r="HP758" s="1379" t="b">
        <f>IFERROR(IF(__Retrofit_TI_NC=2,IF(EW759&lt;EW757,FALSE,TRUE),TRUE),FALSE)</f>
        <v>1</v>
      </c>
      <c r="HQ758" s="1379" t="b">
        <f>IF(CN757="Interior",IG$6,TRUE)</f>
        <v>1</v>
      </c>
      <c r="HR758" s="1379" t="b">
        <f>IF(CN757="Exterior",IG$8,TRUE)</f>
        <v>1</v>
      </c>
      <c r="HS758" s="1379" t="b">
        <f>IFERROR(IF(__Retrofit_TI_NC&lt;&gt;0,IF(AW757&lt;AV757,FALSE,TRUE),TRUE),FALSE)</f>
        <v>1</v>
      </c>
      <c r="HT758" s="1379" t="b">
        <f>IFERROR(IF(AND(G758="Exterior",R758&gt;4200),FALSE,TRUE),FALSE)</f>
        <v>1</v>
      </c>
      <c r="HU758" s="1379" t="b">
        <f>IFERROR(IF(AB760/AB757&lt;HU$18,FALSE,TRUE),FALSE)</f>
        <v>0</v>
      </c>
      <c r="HW758" s="1382"/>
      <c r="HX758" s="1378"/>
      <c r="HY758" s="1377" t="str">
        <f>VLOOKUP(HW760,_Error_Table,4,FALSE)</f>
        <v>White</v>
      </c>
      <c r="HZ758" s="436"/>
      <c r="IA758" s="1386"/>
      <c r="IB758" s="1380"/>
      <c r="IC758" s="1379"/>
      <c r="IF758" s="1380"/>
      <c r="IG758" s="1382"/>
      <c r="IH758" s="1382"/>
      <c r="II758" s="1382"/>
      <c r="IK758" s="1351"/>
      <c r="IL758" s="1351"/>
      <c r="IM758" s="1351"/>
      <c r="IN758" s="1351"/>
      <c r="IO758" s="1351"/>
      <c r="IP758" s="1351"/>
    </row>
    <row r="759" spans="1:250" s="82" customFormat="1" ht="14.95" customHeight="1" thickTop="1" thickBot="1">
      <c r="A759" s="82">
        <f>ROW()</f>
        <v>759</v>
      </c>
      <c r="B759" s="1421"/>
      <c r="C759" s="1422"/>
      <c r="D759" s="1423"/>
      <c r="E759" s="1393" t="s">
        <v>245</v>
      </c>
      <c r="F759" s="1394"/>
      <c r="G759" s="1398"/>
      <c r="H759" s="1399"/>
      <c r="I759" s="1399"/>
      <c r="J759" s="1399"/>
      <c r="K759" s="1399"/>
      <c r="L759" s="1400"/>
      <c r="M759" s="509">
        <f>IFERROR(IF(IF(__Retrofit_TI_NC&lt;&gt;0,IF(CN757="Interior",MATCH(G759,Lookup_Interior_New,0),MATCH(G759,Lookup_Exterior_New,0)),IF(CN757="Interior",MATCH(G759,Lookup_Interior,0),MATCH(G759,Lookup_Exterior_Areas,0)))&gt;0,1,0),0)</f>
        <v>0</v>
      </c>
      <c r="N759" s="509" t="e">
        <f>IF(__Retrofit_TI_NC=1,
VLOOKUP(G759,'Space Table'!$B$3:$L$160,4,FALSE),
IF(__Retrofit_TI_NC=2,VLOOKUP(G759,'Space Table'!$B$3:$L$160,5,FALSE),VLOOKUP(G759,'Space Table'!$B$3:$L$160,5,FALSE)))</f>
        <v>#N/A</v>
      </c>
      <c r="O759" s="509">
        <f>G759</f>
        <v>0</v>
      </c>
      <c r="P759" s="1394" t="s">
        <v>355</v>
      </c>
      <c r="Q759" s="1394"/>
      <c r="R759" s="674"/>
      <c r="S759" s="1401" t="s">
        <v>284</v>
      </c>
      <c r="T759" s="672"/>
      <c r="U759" s="1499"/>
      <c r="V759" s="1500"/>
      <c r="W759" s="1500"/>
      <c r="X759" s="1500"/>
      <c r="Y759" s="1500"/>
      <c r="Z759" s="1500"/>
      <c r="AA759" s="1500"/>
      <c r="AB759" s="1501"/>
      <c r="AC759" s="1501"/>
      <c r="AD759" s="1502"/>
      <c r="AE759" s="672"/>
      <c r="AF759" s="1474"/>
      <c r="AG759" s="1474"/>
      <c r="AH759" s="1474"/>
      <c r="AI759" s="1474"/>
      <c r="AJ759" s="1475">
        <f>DF759</f>
        <v>0</v>
      </c>
      <c r="AK759" s="1470" t="str">
        <f>IFERROR(ROUND(AJ759*AC760,0),"")</f>
        <v/>
      </c>
      <c r="AL759" s="1472">
        <f>IFERROR(IF(HW757=FALSE,0,AC760-AK759),0)</f>
        <v>0</v>
      </c>
      <c r="AM759" s="1441"/>
      <c r="AN759" s="1442"/>
      <c r="AO759" s="1447"/>
      <c r="AP759" s="1447"/>
      <c r="AQ759" s="1448"/>
      <c r="AR759" s="1452"/>
      <c r="AS759" s="1455"/>
      <c r="AT759" s="1458"/>
      <c r="AU759" s="516"/>
      <c r="AV759" s="1479"/>
      <c r="AW759" s="1479"/>
      <c r="BC759" s="38"/>
      <c r="BD759" s="38"/>
      <c r="BE759" s="38"/>
      <c r="BF759" s="38"/>
      <c r="BG759" s="38"/>
      <c r="BH759" s="38"/>
      <c r="BI759" s="38"/>
      <c r="BJ759" s="38"/>
      <c r="BK759" s="38"/>
      <c r="BL759" s="38"/>
      <c r="BM759" s="38"/>
      <c r="BN759" s="38"/>
      <c r="BO759" s="38"/>
      <c r="BP759" s="38"/>
      <c r="BQ759" s="38"/>
      <c r="BR759" s="38"/>
      <c r="BS759" s="38"/>
      <c r="BT759" s="38"/>
      <c r="BU759" s="38"/>
      <c r="BV759" s="38"/>
      <c r="BW759" s="38"/>
      <c r="BX759" s="38"/>
      <c r="BY759" s="38"/>
      <c r="BZ759" s="38"/>
      <c r="CA759" s="38"/>
      <c r="CB759" s="38"/>
      <c r="CC759" s="38"/>
      <c r="CD759" s="38"/>
      <c r="CE759" s="38"/>
      <c r="CF759" s="38"/>
      <c r="CG759" s="38"/>
      <c r="CH759" s="38"/>
      <c r="CI759" s="38"/>
      <c r="CM759" s="1352"/>
      <c r="CN759" s="1352"/>
      <c r="CO759" s="1415" t="str">
        <f>CN757</f>
        <v/>
      </c>
      <c r="CP759" s="1417" t="e">
        <f>CP757</f>
        <v>#N/A</v>
      </c>
      <c r="CR759" s="1386" t="s">
        <v>284</v>
      </c>
      <c r="CS759" s="1353">
        <f>IF(HW757=TRUE,T759,0)</f>
        <v>0</v>
      </c>
      <c r="CT759" s="1353" t="str">
        <f>IF(HW757=TRUE,U759,"")</f>
        <v/>
      </c>
      <c r="CU759" s="1373">
        <f>IF(HW757=TRUE,U760,0)</f>
        <v>0</v>
      </c>
      <c r="CV759" s="1370">
        <f>IF(HW757=TRUE,AB760,0)</f>
        <v>0</v>
      </c>
      <c r="CW759" s="1370">
        <f>IF(HW757=TRUE,AC760,0)</f>
        <v>0</v>
      </c>
      <c r="CX759" s="1371"/>
      <c r="CY759" s="1486"/>
      <c r="CZ759" s="1486"/>
      <c r="DA759" s="1486"/>
      <c r="DC759" s="1353">
        <f>IF(HW757=TRUE,AE759,0)</f>
        <v>0</v>
      </c>
      <c r="DD759" s="1353" t="str">
        <f>IF(HW757=TRUE,AF759,"")</f>
        <v/>
      </c>
      <c r="DE759" s="1373">
        <f>AF760</f>
        <v>0</v>
      </c>
      <c r="DF759" s="1406">
        <f>IFERROR(IF(FL759=3,IK759,IF(FL759=4,IL759,IF(FL759=5,IM759,IF(FL759=6,IN759,IF(FL759=7,IO759,IF(FL759=8,IP759,0)))))),0)</f>
        <v>0</v>
      </c>
      <c r="DG759" s="1370">
        <f>IF(HW757=TRUE,AK759,0)</f>
        <v>0</v>
      </c>
      <c r="DH759" s="1369"/>
      <c r="DK759" s="1483">
        <f>IFERROR(CW759-DG759,0)</f>
        <v>0</v>
      </c>
      <c r="DL759" s="1420"/>
      <c r="DN759" s="1403"/>
      <c r="DO759" s="1477" t="str">
        <f>DN757</f>
        <v/>
      </c>
      <c r="DP759" s="1354"/>
      <c r="DQ759" s="1477" t="str">
        <f>IF(DP757=7,"LLLC","")</f>
        <v/>
      </c>
      <c r="DR759" s="1403"/>
      <c r="DS759" s="1489"/>
      <c r="DU759" s="1403"/>
      <c r="DV759" s="1404" t="str">
        <f>DU757</f>
        <v/>
      </c>
      <c r="DW759" s="1403"/>
      <c r="DX759" s="1403"/>
      <c r="DZ759" s="1481"/>
      <c r="EA759" s="1481"/>
      <c r="EC759" s="1482"/>
      <c r="ED759" s="1369"/>
      <c r="EE759" s="1371"/>
      <c r="EF759" s="1369"/>
      <c r="EG759" s="1369"/>
      <c r="EH759" s="1374"/>
      <c r="EI759" s="1374"/>
      <c r="EJ759" s="1363"/>
      <c r="EK759" s="1376"/>
      <c r="EL759" s="1376"/>
      <c r="EM759" s="1362"/>
      <c r="EN759" s="1362"/>
      <c r="EO759" s="1363"/>
      <c r="EP759" s="1363"/>
      <c r="EQ759" s="1363"/>
      <c r="ES759" s="1403"/>
      <c r="EU759" s="1411" t="e">
        <f>VLOOKUP(CP759,'Space Table'!$B$3:$L$160,8,FALSE)</f>
        <v>#N/A</v>
      </c>
      <c r="EV759" s="1411" t="e">
        <f>IF(EY759="Yes",VLOOKUP(AF759,Lookup_Control_Type_Table2,4,FALSE),VLOOKUP(AF759,Lookup_Control_Type_Table2,3,FALSE))</f>
        <v>#N/A</v>
      </c>
      <c r="EW759" s="1411" t="e">
        <f>VLOOKUP(AF759,Lookup!AU$3:AV$15,2,FALSE)</f>
        <v>#N/A</v>
      </c>
      <c r="EX759" s="1411" t="e">
        <f>VLOOKUP(EU757,Lookup_Control_Type_Table,2,FALSE)</f>
        <v>#N/A</v>
      </c>
      <c r="EY759" s="1411" t="e">
        <f>VLOOKUP(CP759,'Space Table'!$B$3:$L$160,7,FALSE)</f>
        <v>#N/A</v>
      </c>
      <c r="EZ759" s="1413"/>
      <c r="FB759" s="1365" t="str">
        <f>CONCATENATE(CN757," - ",AF759)</f>
        <v xml:space="preserve"> - </v>
      </c>
      <c r="FD759" s="1354"/>
      <c r="FE759" s="1354"/>
      <c r="FF759" s="138"/>
      <c r="FI759" s="1356" t="str">
        <f>IF(CN757="Exterior","Not Daylighted",G760)</f>
        <v>Not Daylighted</v>
      </c>
      <c r="FJ759" s="1356">
        <f>VLOOKUP(FI759,_Daylight_Table_Codes,2,FALSE)</f>
        <v>0</v>
      </c>
      <c r="FK759" s="1365">
        <f>AF759</f>
        <v>0</v>
      </c>
      <c r="FL759" s="1365" t="e">
        <f>VLOOKUP(FK759,_Control_Table,2,FALSE)</f>
        <v>#N/A</v>
      </c>
      <c r="FM759" s="1365" t="e">
        <f>IF(AND(FP759&gt;0,FK759="Occupancy Sensor"),"Daylight + Occupancy",IF(AND(FP759&gt;0,FL759&lt;4),"Interior Daylight Dimming",FK759))</f>
        <v>#N/A</v>
      </c>
      <c r="FO759" s="1364">
        <f>IF(CN757="Interior",VLOOKUP(CP757,Control_Savings_Interior,5,FALSE),0)</f>
        <v>0</v>
      </c>
      <c r="FP759" s="1361">
        <f>IF(CN759="Exterior",0,IF(FJ759=2,0.5,IF(OR(FJ759=1,FJ759=3),1,0)))</f>
        <v>0</v>
      </c>
      <c r="FQ759" s="1366">
        <f>IF(R758&gt;FO$37,(FO759*(FO$37/R758)),FO759)*FP759</f>
        <v>0</v>
      </c>
      <c r="FR759" s="1364">
        <f>DF759</f>
        <v>0</v>
      </c>
      <c r="FS759" s="1364">
        <f>ROUND(FR759+((1-FR759)*FQ759),2)</f>
        <v>0</v>
      </c>
      <c r="FT759" s="1364">
        <f>IF(__Retrofit_TI_NC=2,FS759,FR759)</f>
        <v>0</v>
      </c>
      <c r="FU759" s="1360">
        <f>IF(CO759="Interior",VLOOKUP(CP759,Control_Savings_Interior,4,FALSE),0)</f>
        <v>0</v>
      </c>
      <c r="FW759" s="1352"/>
      <c r="FX759" s="1352"/>
      <c r="FY759" s="1352"/>
      <c r="FZ759" s="1352"/>
      <c r="GA759" s="1352"/>
      <c r="GB759" s="1352"/>
      <c r="GC759" s="1352"/>
      <c r="GD759" s="1352"/>
      <c r="GE759" s="759" t="b">
        <f>IF(ISNUMBER(SEARCH("TLED",U759)),TRUE,FALSE)</f>
        <v>0</v>
      </c>
      <c r="GF759" s="1035" t="str">
        <f>IFERROR(VLOOKUP(U759,Fixtures!DM$93:DR$142,6,FALSE),"")</f>
        <v/>
      </c>
      <c r="GG759" s="1385"/>
      <c r="GI759" s="1383"/>
      <c r="GJ759" s="1379"/>
      <c r="GL759" s="1379"/>
      <c r="GM759" s="1379"/>
      <c r="HC759" s="1379"/>
      <c r="HD759" s="1379"/>
      <c r="HE759" s="1379"/>
      <c r="HF759" s="1379"/>
      <c r="HG759" s="1379"/>
      <c r="HH759" s="1379"/>
      <c r="HI759" s="1383"/>
      <c r="HJ759" s="1383"/>
      <c r="HK759" s="1383"/>
      <c r="HL759" s="1379"/>
      <c r="HM759" s="1379"/>
      <c r="HN759" s="1379"/>
      <c r="HO759" s="1379"/>
      <c r="HP759" s="1379"/>
      <c r="HQ759" s="1379"/>
      <c r="HR759" s="1379"/>
      <c r="HS759" s="1379"/>
      <c r="HT759" s="1379"/>
      <c r="HU759" s="1379"/>
      <c r="HW759" s="1383"/>
      <c r="HX759" s="1384" t="b">
        <f>HW757</f>
        <v>0</v>
      </c>
      <c r="HY759" s="1378"/>
      <c r="HZ759" s="436"/>
      <c r="IA759" s="1386"/>
      <c r="IB759" s="1380">
        <f>IF(IA757=TRUE,AC760,0)</f>
        <v>0</v>
      </c>
      <c r="IC759" s="1379"/>
      <c r="IF759" s="1380" t="e">
        <f>ROUND(T759*AB760*N758*R758/1000,0)</f>
        <v>#VALUE!</v>
      </c>
      <c r="IG759" s="1382"/>
      <c r="IH759" s="1384" t="e">
        <f>ROUND(T759*AB760*N758*R758/1000,0)</f>
        <v>#VALUE!</v>
      </c>
      <c r="II759" s="1382"/>
      <c r="IK759" s="1351" t="e">
        <f>IF($CO759="interior",IL759/2,VLOOKUP($CP759,Control_Savings_Exterior,IK$30,FALSE))</f>
        <v>#N/A</v>
      </c>
      <c r="IL759" s="1351" t="e">
        <f>IF($CO759="interior",VLOOKUP($CP759,Control_Savings_Interior,IL$30,FALSE),VLOOKUP($CP759,Control_Savings_Exterior,IL$30,FALSE))</f>
        <v>#N/A</v>
      </c>
      <c r="IM759" s="1351" t="e">
        <f>IF($CO759="interior",IF(R758&gt;FO$37,(IM$28*(FO$37/R758)),IM$28)*FP759,VLOOKUP($CP759,Control_Savings_Exterior,IM$30,FALSE))</f>
        <v>#N/A</v>
      </c>
      <c r="IN759" s="1351" t="e">
        <f>IF($CO759="interior",ROUND(((1-IL759)*IM759)+IL759,2),VLOOKUP($CP759,Control_Savings_Exterior,IN$30,FALSE))</f>
        <v>#N/A</v>
      </c>
      <c r="IO759" s="1351" t="e">
        <f>IF($CO759="interior", ROUND(((1-IL759)*(IM759*(1-IP$28)))+IP759,2), VLOOKUP($CP759,Control_Savings_Exterior,IO$30,FALSE))</f>
        <v>#N/A</v>
      </c>
      <c r="IP759" s="1351">
        <f>IF($CO759="interior",ROUND(((1-IL759)*IP$28)+IL759,2),0)</f>
        <v>0</v>
      </c>
    </row>
    <row r="760" spans="1:250" s="82" customFormat="1" ht="14.95" customHeight="1" thickTop="1" thickBot="1">
      <c r="B760" s="1421"/>
      <c r="C760" s="1422"/>
      <c r="D760" s="1423"/>
      <c r="E760" s="1462" t="s">
        <v>357</v>
      </c>
      <c r="F760" s="1463"/>
      <c r="G760" s="1464" t="s">
        <v>362</v>
      </c>
      <c r="H760" s="1465"/>
      <c r="I760" s="1465"/>
      <c r="J760" s="1465"/>
      <c r="K760" s="1465"/>
      <c r="L760" s="1466"/>
      <c r="M760" s="669">
        <f>IFERROR(VLOOKUP(G760,_Daylight_Table[],2,FALSE),0)</f>
        <v>0</v>
      </c>
      <c r="N760" s="670"/>
      <c r="O760" s="669" t="e">
        <f>VLOOKUP(G759,'Space Table'!$B$3:$L$160,11,FALSE)</f>
        <v>#N/A</v>
      </c>
      <c r="P760" s="1408"/>
      <c r="Q760" s="1409"/>
      <c r="R760" s="1409"/>
      <c r="S760" s="1402"/>
      <c r="T760" s="671" t="s">
        <v>281</v>
      </c>
      <c r="U760" s="1467" t="str">
        <f>IFERROR(VLOOKUP(U759,Fixtures!DM$93:DP$142,4,FALSE),"")</f>
        <v/>
      </c>
      <c r="V760" s="1468"/>
      <c r="W760" s="1468"/>
      <c r="X760" s="1468"/>
      <c r="Y760" s="1468"/>
      <c r="Z760" s="1468"/>
      <c r="AA760" s="1468"/>
      <c r="AB760" s="1046" t="str">
        <f>IFERROR(VLOOKUP(U759,Fixtures_Proposed_List,2,FALSE),"")</f>
        <v/>
      </c>
      <c r="AC760" s="1036" t="str">
        <f>IFERROR(ROUND(T759*AB760*N758*R758/1000,0),"")</f>
        <v/>
      </c>
      <c r="AD760" s="1037" t="str">
        <f>IFERROR(ROUND(T759*AB760/1000,2),"")</f>
        <v/>
      </c>
      <c r="AE760" s="1045" t="s">
        <v>281</v>
      </c>
      <c r="AF760" s="1469"/>
      <c r="AG760" s="1469"/>
      <c r="AH760" s="1469"/>
      <c r="AI760" s="1469"/>
      <c r="AJ760" s="1476"/>
      <c r="AK760" s="1471"/>
      <c r="AL760" s="1473"/>
      <c r="AM760" s="1443"/>
      <c r="AN760" s="1444"/>
      <c r="AO760" s="1449"/>
      <c r="AP760" s="1449"/>
      <c r="AQ760" s="1450"/>
      <c r="AR760" s="1453"/>
      <c r="AS760" s="1456"/>
      <c r="AT760" s="1459"/>
      <c r="AU760" s="517"/>
      <c r="AV760" s="1480"/>
      <c r="AW760" s="1480"/>
      <c r="BC760" s="38"/>
      <c r="BD760" s="38"/>
      <c r="BE760" s="38"/>
      <c r="BF760" s="38"/>
      <c r="BG760" s="38"/>
      <c r="BH760" s="38"/>
      <c r="BI760" s="38"/>
      <c r="BJ760" s="38"/>
      <c r="BK760" s="38"/>
      <c r="BL760" s="38"/>
      <c r="BM760" s="38"/>
      <c r="BN760" s="38"/>
      <c r="BO760" s="38"/>
      <c r="BP760" s="38"/>
      <c r="BQ760" s="38"/>
      <c r="BR760" s="38"/>
      <c r="BS760" s="38"/>
      <c r="BT760" s="38"/>
      <c r="BU760" s="38"/>
      <c r="BV760" s="38"/>
      <c r="BW760" s="38"/>
      <c r="BX760" s="38"/>
      <c r="BY760" s="38"/>
      <c r="BZ760" s="38"/>
      <c r="CA760" s="38"/>
      <c r="CB760" s="38"/>
      <c r="CC760" s="38"/>
      <c r="CD760" s="38"/>
      <c r="CE760" s="38"/>
      <c r="CF760" s="38"/>
      <c r="CG760" s="38"/>
      <c r="CH760" s="38"/>
      <c r="CI760" s="38"/>
      <c r="CM760" s="1352"/>
      <c r="CN760" s="1352"/>
      <c r="CO760" s="1416"/>
      <c r="CP760" s="1418"/>
      <c r="CR760" s="1386"/>
      <c r="CS760" s="1355"/>
      <c r="CT760" s="1355"/>
      <c r="CU760" s="1375"/>
      <c r="CV760" s="1372"/>
      <c r="CW760" s="1372"/>
      <c r="CX760" s="1372"/>
      <c r="CY760" s="1487"/>
      <c r="CZ760" s="1487"/>
      <c r="DA760" s="1487"/>
      <c r="DC760" s="1355"/>
      <c r="DD760" s="1355"/>
      <c r="DE760" s="1375"/>
      <c r="DF760" s="1407"/>
      <c r="DG760" s="1372"/>
      <c r="DH760" s="1369"/>
      <c r="DK760" s="1484"/>
      <c r="DL760" s="1420"/>
      <c r="DN760" s="1403"/>
      <c r="DO760" s="1405"/>
      <c r="DP760" s="1355"/>
      <c r="DQ760" s="1405"/>
      <c r="DR760" s="1403"/>
      <c r="DS760" s="1489"/>
      <c r="DU760" s="1403"/>
      <c r="DV760" s="1405"/>
      <c r="DW760" s="1403"/>
      <c r="DX760" s="1403"/>
      <c r="DZ760" s="1481"/>
      <c r="EA760" s="1481"/>
      <c r="EC760" s="1482"/>
      <c r="ED760" s="1369"/>
      <c r="EE760" s="1372"/>
      <c r="EF760" s="1369"/>
      <c r="EG760" s="1369"/>
      <c r="EH760" s="1375"/>
      <c r="EI760" s="1375"/>
      <c r="EJ760" s="1363"/>
      <c r="EK760" s="1376"/>
      <c r="EL760" s="1376"/>
      <c r="EM760" s="1362"/>
      <c r="EN760" s="1362"/>
      <c r="EO760" s="1363"/>
      <c r="EP760" s="1363"/>
      <c r="EQ760" s="1363"/>
      <c r="ES760" s="1403"/>
      <c r="EU760" s="1488"/>
      <c r="EV760" s="1488"/>
      <c r="EW760" s="1488"/>
      <c r="EX760" s="1488"/>
      <c r="EY760" s="1488"/>
      <c r="EZ760" s="1414"/>
      <c r="FB760" s="1365"/>
      <c r="FD760" s="1355"/>
      <c r="FE760" s="1355"/>
      <c r="FF760" s="138"/>
      <c r="FI760" s="1357"/>
      <c r="FJ760" s="1357"/>
      <c r="FK760" s="1365"/>
      <c r="FL760" s="1365"/>
      <c r="FM760" s="1365"/>
      <c r="FO760" s="1361"/>
      <c r="FP760" s="1361"/>
      <c r="FQ760" s="1366"/>
      <c r="FR760" s="1361"/>
      <c r="FS760" s="1361"/>
      <c r="FT760" s="1361"/>
      <c r="FU760" s="1360"/>
      <c r="FW760" s="1352"/>
      <c r="FX760" s="1352"/>
      <c r="FY760" s="1352"/>
      <c r="FZ760" s="1352"/>
      <c r="GA760" s="1352"/>
      <c r="GB760" s="1352"/>
      <c r="GC760" s="1352"/>
      <c r="GD760" s="1352"/>
      <c r="GE760" s="759"/>
      <c r="GF760" s="1035"/>
      <c r="GG760" s="1385"/>
      <c r="GJ760" s="1034">
        <f>IF(GJ758=TRUE,0,GJ$16)</f>
        <v>0</v>
      </c>
      <c r="GL760" s="1034">
        <f>IF(GL758=TRUE,0,GL$16)</f>
        <v>36</v>
      </c>
      <c r="GM760" s="1034">
        <f>IF(GM758=TRUE,0,GM$16)</f>
        <v>35</v>
      </c>
      <c r="GN760" s="436"/>
      <c r="GO760" s="436"/>
      <c r="GP760" s="436"/>
      <c r="GQ760" s="436"/>
      <c r="GR760" s="436"/>
      <c r="HC760" s="1034">
        <f t="shared" ref="HC760:HH760" si="566">IF(HC758=TRUE,0,HC$16)</f>
        <v>19</v>
      </c>
      <c r="HD760" s="1034">
        <f t="shared" si="566"/>
        <v>18</v>
      </c>
      <c r="HE760" s="1034">
        <f t="shared" si="566"/>
        <v>17</v>
      </c>
      <c r="HF760" s="1034">
        <f t="shared" si="566"/>
        <v>16</v>
      </c>
      <c r="HG760" s="1034">
        <f t="shared" si="566"/>
        <v>0</v>
      </c>
      <c r="HH760" s="1034">
        <f t="shared" si="566"/>
        <v>0</v>
      </c>
      <c r="HI760" s="1034">
        <f>IF(HI758=TRUE,0,HI$16)</f>
        <v>13</v>
      </c>
      <c r="HJ760" s="1034">
        <f t="shared" ref="HJ760:HL760" si="567">IF(HJ758=TRUE,0,HJ$16)</f>
        <v>12</v>
      </c>
      <c r="HK760" s="1034">
        <f t="shared" si="567"/>
        <v>11</v>
      </c>
      <c r="HL760" s="1034">
        <f t="shared" si="567"/>
        <v>10</v>
      </c>
      <c r="HM760" s="1034">
        <f>IF(HM758=TRUE,0,HM$16)</f>
        <v>9</v>
      </c>
      <c r="HN760" s="1034">
        <f t="shared" ref="HN760:HR760" si="568">IF(HN758=TRUE,0,HN$16)</f>
        <v>0</v>
      </c>
      <c r="HO760" s="1034">
        <f t="shared" si="568"/>
        <v>0</v>
      </c>
      <c r="HP760" s="1034">
        <f t="shared" si="568"/>
        <v>0</v>
      </c>
      <c r="HQ760" s="1034">
        <f t="shared" si="568"/>
        <v>0</v>
      </c>
      <c r="HR760" s="1034">
        <f t="shared" si="568"/>
        <v>0</v>
      </c>
      <c r="HS760" s="1034">
        <f>IF(HS758=TRUE,0,HS$16)</f>
        <v>0</v>
      </c>
      <c r="HT760" s="1034">
        <f t="shared" ref="HT760" si="569">IF(HT758=TRUE,0,HT$16)</f>
        <v>0</v>
      </c>
      <c r="HU760" s="1034">
        <f>IF(HU758=TRUE,0,HU$16)</f>
        <v>1</v>
      </c>
      <c r="HW760" s="1034">
        <f>IF(GL758=FALSE,GL760,IF(GM758=FALSE,GM760,MAX(GJ760:HU760)))</f>
        <v>36</v>
      </c>
      <c r="HX760" s="1383"/>
      <c r="HY760" s="241" t="str">
        <f>VLOOKUP(HW760,_Error_Table,3,FALSE)</f>
        <v xml:space="preserve"> </v>
      </c>
      <c r="HZ760" s="241"/>
      <c r="IA760" s="1386"/>
      <c r="IB760" s="1380"/>
      <c r="IC760" s="1379"/>
      <c r="IF760" s="1380"/>
      <c r="IG760" s="1383"/>
      <c r="IH760" s="1383"/>
      <c r="II760" s="1383"/>
      <c r="IK760" s="1351"/>
      <c r="IL760" s="1351"/>
      <c r="IM760" s="1351"/>
      <c r="IN760" s="1351"/>
      <c r="IO760" s="1351"/>
      <c r="IP760" s="1351"/>
    </row>
    <row r="761" spans="1:250" s="82" customFormat="1" ht="5.0999999999999996" customHeight="1" thickBot="1">
      <c r="B761" s="763"/>
      <c r="C761" s="1038"/>
      <c r="D761" s="1038"/>
      <c r="E761" s="1490"/>
      <c r="F761" s="1490"/>
      <c r="G761" s="1490"/>
      <c r="H761" s="1490"/>
      <c r="I761" s="1490"/>
      <c r="J761" s="1490"/>
      <c r="K761" s="1490"/>
      <c r="L761" s="1490"/>
      <c r="M761" s="1490"/>
      <c r="N761" s="1490"/>
      <c r="O761" s="1490"/>
      <c r="P761" s="1490"/>
      <c r="Q761" s="1490"/>
      <c r="R761" s="1490"/>
      <c r="S761" s="1490"/>
      <c r="T761" s="1490"/>
      <c r="U761" s="1490"/>
      <c r="V761" s="1490"/>
      <c r="W761" s="1490"/>
      <c r="X761" s="1490"/>
      <c r="Y761" s="1490"/>
      <c r="Z761" s="1490"/>
      <c r="AA761" s="1490"/>
      <c r="AB761" s="1490"/>
      <c r="AC761" s="1490"/>
      <c r="AD761" s="1490"/>
      <c r="AE761" s="1490"/>
      <c r="AF761" s="1490"/>
      <c r="AG761" s="1490"/>
      <c r="AH761" s="1490"/>
      <c r="AI761" s="1490"/>
      <c r="AJ761" s="1490"/>
      <c r="AK761" s="1490"/>
      <c r="AL761" s="1490"/>
      <c r="AM761" s="1490"/>
      <c r="AN761" s="1490"/>
      <c r="AO761" s="1490"/>
      <c r="AP761" s="1490"/>
      <c r="AQ761" s="1490"/>
      <c r="AR761" s="1490"/>
      <c r="AS761" s="1490"/>
      <c r="AT761" s="1490"/>
      <c r="AU761" s="1041"/>
      <c r="BC761" s="38"/>
      <c r="BD761" s="38"/>
      <c r="BE761" s="38"/>
      <c r="BF761" s="38"/>
      <c r="BG761" s="38"/>
      <c r="BH761" s="38"/>
      <c r="BI761" s="38"/>
      <c r="BJ761" s="38"/>
      <c r="BK761" s="38"/>
      <c r="BL761" s="38"/>
      <c r="BM761" s="38"/>
      <c r="BN761" s="38"/>
      <c r="BO761" s="38"/>
      <c r="BP761" s="38"/>
      <c r="BQ761" s="38"/>
      <c r="BR761" s="38"/>
      <c r="BS761" s="38"/>
      <c r="BT761" s="38"/>
      <c r="BU761" s="38"/>
      <c r="BV761" s="38"/>
      <c r="BW761" s="38"/>
      <c r="BX761" s="38"/>
      <c r="BY761" s="38"/>
      <c r="BZ761" s="38"/>
      <c r="CA761" s="38"/>
      <c r="CB761" s="38"/>
      <c r="CC761" s="38"/>
      <c r="CD761" s="38"/>
      <c r="CE761" s="38"/>
      <c r="CF761" s="38"/>
      <c r="CG761" s="38"/>
      <c r="CH761" s="38"/>
      <c r="CI761" s="38"/>
      <c r="CM761" s="749"/>
      <c r="CN761" s="749"/>
      <c r="CO761" s="1043"/>
      <c r="CP761" s="749"/>
      <c r="CS761" s="436"/>
      <c r="CT761" s="436"/>
      <c r="CU761" s="243"/>
      <c r="CV761" s="244"/>
      <c r="CW761" s="244"/>
      <c r="CX761" s="244"/>
      <c r="CY761" s="245"/>
      <c r="CZ761" s="245"/>
      <c r="DA761" s="245"/>
      <c r="DC761" s="750"/>
      <c r="DD761" s="751"/>
      <c r="DE761" s="752"/>
      <c r="DF761" s="753"/>
      <c r="DG761" s="754"/>
      <c r="DH761" s="754"/>
      <c r="DK761" s="244"/>
      <c r="DL761" s="750"/>
      <c r="DN761" s="750"/>
      <c r="DO761" s="755"/>
      <c r="DP761" s="436"/>
      <c r="DQ761" s="750"/>
      <c r="DR761" s="750"/>
      <c r="DS761" s="750"/>
      <c r="DU761" s="750"/>
      <c r="DV761" s="750"/>
      <c r="DW761" s="750"/>
      <c r="DX761" s="750"/>
      <c r="DZ761" s="756"/>
      <c r="EA761" s="756"/>
      <c r="EC761" s="754"/>
      <c r="ED761" s="754"/>
      <c r="EE761" s="244"/>
      <c r="EF761" s="754"/>
      <c r="EG761" s="754"/>
      <c r="EH761" s="243"/>
      <c r="EI761" s="243"/>
      <c r="EJ761" s="752"/>
      <c r="EK761" s="757"/>
      <c r="EL761" s="757"/>
      <c r="EM761" s="758"/>
      <c r="EN761" s="758"/>
      <c r="EO761" s="752"/>
      <c r="EP761" s="752"/>
      <c r="EQ761" s="752"/>
      <c r="ES761" s="750"/>
      <c r="EU761" s="436"/>
      <c r="EV761" s="436"/>
      <c r="EW761" s="436"/>
      <c r="EX761" s="436"/>
      <c r="EY761" s="436"/>
      <c r="EZ761" s="436"/>
      <c r="FB761" s="643"/>
      <c r="FD761" s="436"/>
      <c r="FE761" s="436"/>
      <c r="FF761" s="436"/>
      <c r="FO761" s="750"/>
      <c r="FP761" s="436"/>
      <c r="FQ761" s="436"/>
      <c r="FR761" s="750"/>
      <c r="FS761" s="750"/>
      <c r="FW761" s="749"/>
      <c r="FX761" s="749"/>
      <c r="FY761" s="749"/>
      <c r="FZ761" s="749"/>
      <c r="GA761" s="749"/>
      <c r="GB761" s="749"/>
      <c r="GC761" s="749"/>
      <c r="GD761" s="749"/>
      <c r="GE761" s="751"/>
      <c r="GF761" s="750"/>
      <c r="GG761" s="750"/>
    </row>
    <row r="762" spans="1:250" s="82" customFormat="1" ht="14.95" customHeight="1" thickTop="1" thickBot="1">
      <c r="B762" s="1421" t="str">
        <f>HY765</f>
        <v xml:space="preserve"> </v>
      </c>
      <c r="C762" s="1422">
        <f>C757+1</f>
        <v>140</v>
      </c>
      <c r="D762" s="1423"/>
      <c r="E762" s="1424" t="s">
        <v>242</v>
      </c>
      <c r="F762" s="1425"/>
      <c r="G762" s="1426"/>
      <c r="H762" s="1427"/>
      <c r="I762" s="1427"/>
      <c r="J762" s="1427"/>
      <c r="K762" s="1427"/>
      <c r="L762" s="1427"/>
      <c r="M762" s="1427"/>
      <c r="N762" s="1427"/>
      <c r="O762" s="1427"/>
      <c r="P762" s="1427"/>
      <c r="Q762" s="1427"/>
      <c r="R762" s="1427"/>
      <c r="S762" s="1428" t="s">
        <v>283</v>
      </c>
      <c r="T762" s="668" t="s">
        <v>190</v>
      </c>
      <c r="U762" s="1430" t="s">
        <v>186</v>
      </c>
      <c r="V762" s="1431"/>
      <c r="W762" s="1431"/>
      <c r="X762" s="1431"/>
      <c r="Y762" s="1431"/>
      <c r="Z762" s="1431"/>
      <c r="AA762" s="1431"/>
      <c r="AB762" s="1047" t="str">
        <f>IFERROR(IF(__Retrofit_TI_NC=0,VLOOKUP(U763,Fixtures_Existing_List,2,FALSE),ROUND(N764*R764/T764,10)),"")</f>
        <v/>
      </c>
      <c r="AC762" s="1039" t="str">
        <f>IFERROR(IF(__Retrofit_TI_NC=0,ROUND(T763*AB762*N763*R763/1000,0),IF(CN762="Interior",N764*R764*R763*N763*_C406_reduction/1000,N764*R764*R763*N763/1000)),"")</f>
        <v/>
      </c>
      <c r="AD762" s="1040" t="str">
        <f>IFERROR(IF(C$36=0,ROUND(T763*AB762/1000,2),N764*R764/1000),"")</f>
        <v/>
      </c>
      <c r="AE762" s="1044" t="s">
        <v>190</v>
      </c>
      <c r="AF762" s="1432" t="str">
        <f>IF(__Retrofit_TI_NC=2,CONCATENATE("Code min = ",DD762),IF(__Retrofit_TI_NC=1,"Emter what you think the existing control was"," Control"))</f>
        <v xml:space="preserve"> Control</v>
      </c>
      <c r="AG762" s="1432"/>
      <c r="AH762" s="1432"/>
      <c r="AI762" s="1432"/>
      <c r="AJ762" s="1433">
        <f>DF762</f>
        <v>0</v>
      </c>
      <c r="AK762" s="1435" t="str">
        <f>IFERROR(ROUND(AJ762*AC762,0),"")</f>
        <v/>
      </c>
      <c r="AL762" s="1437">
        <f>IFERROR(IF(HW762=FALSE,0,AC762-AK762),0)</f>
        <v>0</v>
      </c>
      <c r="AM762" s="1439">
        <f>AL762-AL764</f>
        <v>0</v>
      </c>
      <c r="AN762" s="1440"/>
      <c r="AO762" s="1445">
        <f>IFERROR(IF(HW762=FALSE,0,(T764*U765)+(AE764*AF765)),0)</f>
        <v>0</v>
      </c>
      <c r="AP762" s="1445"/>
      <c r="AQ762" s="1446"/>
      <c r="AR762" s="1451" t="s">
        <v>157</v>
      </c>
      <c r="AS762" s="1454">
        <f>IF(AR762="Yes",1,0)</f>
        <v>1</v>
      </c>
      <c r="AT762" s="1457" t="str">
        <f>IF(OR(DN762=4,DN762=5,DN762=6,DN762=12),CONCATENATE("$",IF(GD762=TRUE,Lookup!$B$11,Lookup!$B$2)," /lamp"),CONCATENATE(EA762,"/ kWh"))</f>
        <v>0/ kWh</v>
      </c>
      <c r="AU762" s="516"/>
      <c r="AV762" s="1478">
        <f>IFERROR(IF(GI763=TRUE,(AB765*T764)/R764,0),"NA")</f>
        <v>0</v>
      </c>
      <c r="AW762" s="1478" t="str">
        <f>IFERROR(N764*_C406_reduction,"NA")</f>
        <v>NA</v>
      </c>
      <c r="BC762" s="38"/>
      <c r="BD762" s="38"/>
      <c r="BE762" s="38"/>
      <c r="BF762" s="38"/>
      <c r="BG762" s="38"/>
      <c r="BH762" s="38"/>
      <c r="BI762" s="38"/>
      <c r="BJ762" s="38"/>
      <c r="BK762" s="38"/>
      <c r="BL762" s="38"/>
      <c r="BM762" s="38"/>
      <c r="BN762" s="38"/>
      <c r="BO762" s="38"/>
      <c r="BP762" s="38"/>
      <c r="BQ762" s="38"/>
      <c r="BR762" s="38"/>
      <c r="BS762" s="38"/>
      <c r="BT762" s="38"/>
      <c r="BU762" s="38"/>
      <c r="BV762" s="38"/>
      <c r="BW762" s="38"/>
      <c r="BX762" s="38"/>
      <c r="BY762" s="38"/>
      <c r="BZ762" s="38"/>
      <c r="CA762" s="38"/>
      <c r="CB762" s="38"/>
      <c r="CC762" s="38"/>
      <c r="CD762" s="38"/>
      <c r="CE762" s="38"/>
      <c r="CF762" s="38"/>
      <c r="CG762" s="38"/>
      <c r="CH762" s="38"/>
      <c r="CI762" s="38"/>
      <c r="CM762" s="1352" t="str">
        <f>N763</f>
        <v/>
      </c>
      <c r="CN762" s="1352" t="str">
        <f>IFERROR(VLOOKUP(G763,_Lookup_Heat_Type_Table_New,3,FALSE),"")</f>
        <v/>
      </c>
      <c r="CO762" s="1415" t="str">
        <f>CN762</f>
        <v/>
      </c>
      <c r="CP762" s="1417" t="e">
        <f>VLOOKUP(G764,'Space Table'!$B$3:$L$160,9,FALSE)</f>
        <v>#N/A</v>
      </c>
      <c r="CR762" s="1386" t="s">
        <v>283</v>
      </c>
      <c r="CS762" s="1353">
        <f>IF(HW762=TRUE,T763,0)</f>
        <v>0</v>
      </c>
      <c r="CT762" s="1353" t="str">
        <f>IF(HW762=TRUE,U763,"")</f>
        <v/>
      </c>
      <c r="CU762" s="1353"/>
      <c r="CV762" s="1370">
        <f>IF(HW762=TRUE,AB762,0)</f>
        <v>0</v>
      </c>
      <c r="CW762" s="1370">
        <f>IF(HW762=TRUE,AC762,0)</f>
        <v>0</v>
      </c>
      <c r="CX762" s="1370">
        <f>IFERROR(IF(HW762=TRUE,CW762-CW764,0),0)</f>
        <v>0</v>
      </c>
      <c r="CY762" s="1485">
        <f>IF(HW762=TRUE,AD762,0)</f>
        <v>0</v>
      </c>
      <c r="CZ762" s="1485">
        <f>IF(HW762=TRUE,AD765,0)</f>
        <v>0</v>
      </c>
      <c r="DA762" s="1485">
        <f>IFERROR(CY762-CZ762,0)</f>
        <v>0</v>
      </c>
      <c r="DC762" s="1353">
        <f>IF(HW762=TRUE,AE763,0)</f>
        <v>0</v>
      </c>
      <c r="DD762" s="1460">
        <f>IF(__Retrofit_TI_NC=2,IF(CN762="Exterior",O765,FM762),FK762)</f>
        <v>0</v>
      </c>
      <c r="DE762" s="1353"/>
      <c r="DF762" s="1406">
        <f>IFERROR(IF(FL762=3,IK762,IF(FL762=4,IL762,IF(FL762=5,IM762,IF(FL762=6,IN762,IF(FL762=7,IO762,IF(FL762=8,IP762,0)))))),0)</f>
        <v>0</v>
      </c>
      <c r="DG762" s="1370">
        <f>IF(HW762=TRUE,AK762,0)</f>
        <v>0</v>
      </c>
      <c r="DH762" s="1369">
        <f>IFERROR(IF(HW762=TRUE,DG764-DG762,0),0)</f>
        <v>0</v>
      </c>
      <c r="DJ762" s="1483">
        <f>IFERROR(CW762-DG762,0)</f>
        <v>0</v>
      </c>
      <c r="DL762" s="1419">
        <f>DJ762-DK764</f>
        <v>0</v>
      </c>
      <c r="DN762" s="1403" t="str">
        <f>IFERROR(IF(AND(OR(FY762=4,FY762=5,FY762=6),OR(GB762=4,GB762=5,GB762=6)),FY762+8,VLOOKUP(CT764,Fixtures!R$31:Y$78,8,FALSE)),"")</f>
        <v/>
      </c>
      <c r="DO762" s="1404" t="str">
        <f>DN762</f>
        <v/>
      </c>
      <c r="DP762" s="1353" t="str">
        <f>IFERROR(VLOOKUP(DD764,Lookup!AU$3:AV$15,2,FALSE),"")</f>
        <v/>
      </c>
      <c r="DQ762" s="1404" t="str">
        <f>IF(DP762=7,"LLLC","")</f>
        <v/>
      </c>
      <c r="DR762" s="1403">
        <f>IFERROR(IF(OR(DN762=4,DN762=5,DN762=6,DN762=12,DN762=13,DN762=14),VLOOKUP(CT764,Fixtures!DN$27:EG$77,19,FALSE),1)*CS764,0)</f>
        <v>0</v>
      </c>
      <c r="DS762" s="1489">
        <f>IF(DP762=7,IF(DD762=DD764,0,DC764),0)</f>
        <v>0</v>
      </c>
      <c r="DU762" s="1403" t="str">
        <f>IFERROR(IF(EW762&lt;EW764,"Yes","No"),"")</f>
        <v/>
      </c>
      <c r="DV762" s="1404" t="str">
        <f>DU762</f>
        <v/>
      </c>
      <c r="DW762" s="1403">
        <f>IF(DU762="Yes",DC764,0)</f>
        <v>0</v>
      </c>
      <c r="DX762" s="1403">
        <f>DW762-DS762</f>
        <v>0</v>
      </c>
      <c r="DZ762" s="1481">
        <f>IFERROR(VLOOKUP(DN762,Lookup!AN$3:AO$16,2,FALSE),0)</f>
        <v>0</v>
      </c>
      <c r="EA762" s="1481">
        <f>IF(HW762=FALSE,0,IF(DU762="Yes",DZ762+Lookup!B$6,DZ762))</f>
        <v>0</v>
      </c>
      <c r="EC762" s="1482">
        <f>IF(HW762=TRUE,DJ762,0)</f>
        <v>0</v>
      </c>
      <c r="ED762" s="1369">
        <f>IF(HW762=TRUE,CW764,0)</f>
        <v>0</v>
      </c>
      <c r="EE762" s="1370">
        <f>IFERROR(EC762-ED762,0)</f>
        <v>0</v>
      </c>
      <c r="EF762" s="1369">
        <f>IF(HW762=TRUE,DG764,0)</f>
        <v>0</v>
      </c>
      <c r="EG762" s="1369">
        <f>IFERROR(EC762-ED762+EF762,0)</f>
        <v>0</v>
      </c>
      <c r="EH762" s="1373">
        <f>IF(HW762=TRUE,CS764*CU764,0)</f>
        <v>0</v>
      </c>
      <c r="EI762" s="1373">
        <f>IF(HW762=TRUE,DC764*DE764,0)</f>
        <v>0</v>
      </c>
      <c r="EJ762" s="1363">
        <f>AO762</f>
        <v>0</v>
      </c>
      <c r="EK762" s="1376" t="str">
        <f>IFERROR(IF(HW762=TRUE,VLOOKUP(DN762,Lookup!AN$3:AP$16,3,FALSE)*DR762,""),0)</f>
        <v/>
      </c>
      <c r="EL762" s="1376">
        <f>IF(HW762=TRUE,DW762*Lookup!AP$12,0)</f>
        <v>0</v>
      </c>
      <c r="EM762" s="1362">
        <f>IFERROR(IF(HW762=TRUE,EK762/EM$33,0),0)</f>
        <v>0</v>
      </c>
      <c r="EN762" s="1362">
        <f>IF(HW762=TRUE,EL762/EN$33,0)</f>
        <v>0</v>
      </c>
      <c r="EO762" s="1363">
        <f>IF(HW762=TRUE,EQ$33*EM762,0)</f>
        <v>0</v>
      </c>
      <c r="EP762" s="1363">
        <f>IF(HW762=TRUE,EQ$33*EN762,0)</f>
        <v>0</v>
      </c>
      <c r="EQ762" s="1363">
        <f>EO762+EP762</f>
        <v>0</v>
      </c>
      <c r="ES762" s="1403">
        <f>IF(G762="",0,1)</f>
        <v>0</v>
      </c>
      <c r="EU762" s="1410" t="e">
        <f>VLOOKUP(CP764,'Space Table'!$B$3:$L$160,8,FALSE)</f>
        <v>#N/A</v>
      </c>
      <c r="EV762" s="1410" t="e">
        <f>IF(EY762="Yes",VLOOKUP(DD762,Lookup_Control_Type_Table2,4,FALSE),VLOOKUP(DD762,Lookup_Control_Type_Table2,3,FALSE))</f>
        <v>#N/A</v>
      </c>
      <c r="EW762" s="1410" t="e">
        <f>VLOOKUP(DD762,Lookup!AU$3:AV$15,2,FALSE)</f>
        <v>#N/A</v>
      </c>
      <c r="EX762" s="1410" t="e">
        <f>VLOOKUP(EU762,Lookup_Control_Type_Table,2,FALSE)</f>
        <v>#N/A</v>
      </c>
      <c r="EY762" s="1410" t="e">
        <f>VLOOKUP(CP764,'Space Table'!$B$3:$L$160,7,FALSE)</f>
        <v>#N/A</v>
      </c>
      <c r="EZ762" s="1412" t="b">
        <f>ISNUMBER(SEARCH("TLED",U764))</f>
        <v>0</v>
      </c>
      <c r="FB762" s="1365" t="str">
        <f>CONCATENATE(CN762," - ",DD762)</f>
        <v xml:space="preserve"> - 0</v>
      </c>
      <c r="FD762" s="1353" t="str">
        <f>VLOOKUP(CT764,Fixtures!DN$27:EZ$77,38,FALSE)</f>
        <v/>
      </c>
      <c r="FE762" s="1353">
        <f>IFERROR(FD762*EE762,0)</f>
        <v>0</v>
      </c>
      <c r="FF762" s="138"/>
      <c r="FI762" s="1356" t="str">
        <f>IF(CN762="Exterior","Not Daylighted",G765)</f>
        <v>Not Daylighted</v>
      </c>
      <c r="FJ762" s="1356">
        <f>VLOOKUP(FI762,_Daylight_Table_Codes,2,FALSE)</f>
        <v>0</v>
      </c>
      <c r="FK762" s="1365">
        <f>IF(__Retrofit_TI_NC=2,VLOOKUP(G764,'Space Table'!$B$3:$L$160,11,FALSE),AF763)</f>
        <v>0</v>
      </c>
      <c r="FL762" s="1365" t="e">
        <f>VLOOKUP(FK762,_Control_Table,2,FALSE)</f>
        <v>#N/A</v>
      </c>
      <c r="FM762" s="1365" t="e">
        <f>IF(AND(FP762&gt;0,FK762="Occupancy Sensor"),"Daylight + Occupancy",IF(AND(FP762&gt;0,FL762&lt;4),"Interior Daylight Dimming",FK762))</f>
        <v>#N/A</v>
      </c>
      <c r="FO762" s="1364">
        <f>IF(CO762="Interior",VLOOKUP(CP762,Control_Savings_Interior,5,FALSE),0)</f>
        <v>0</v>
      </c>
      <c r="FP762" s="1361">
        <f>IF(CN762="Exterior",0,IF(FJ762=2,0.5,IF(OR(FJ762=1,FJ762=3),1,0)))</f>
        <v>0</v>
      </c>
      <c r="FQ762" s="1366"/>
      <c r="FR762" s="1367"/>
      <c r="FS762" s="1364"/>
      <c r="FT762" s="1367"/>
      <c r="FU762" s="1360"/>
      <c r="FW762" s="1352" t="str">
        <f>IFERROR(VLOOKUP(U763,_Exist_Fixture_Table,3,FALSE),"")</f>
        <v/>
      </c>
      <c r="FX762" s="1352" t="str">
        <f>VLOOKUP(CT762,_Exist_Fixture_Table,4,FALSE)</f>
        <v/>
      </c>
      <c r="FY762" s="1352">
        <f>IFERROR(VLOOKUP(FX762,Lookup!AM$6:AN$8,2,FALSE),0)</f>
        <v>0</v>
      </c>
      <c r="FZ762" s="1352" t="b">
        <f>IFERROR(IF(OR(GB762=4,GB762=5,GB762=6),TRUE,FALSE),"")</f>
        <v>0</v>
      </c>
      <c r="GA762" s="1352" t="str">
        <f>IFERROR(VLOOKUP(GB762,FY$6:FZ$10,2,FALSE),"")</f>
        <v/>
      </c>
      <c r="GB762" s="1352" t="str">
        <f>VLOOKUP(CT764,Fixtures!R$31:Y$78,8,FALSE)</f>
        <v/>
      </c>
      <c r="GC762" s="1352">
        <f>IF(AND(FW762=TRUE,FZ762=TRUE,OR(DN762=12,DN762=13,DN762=14)),FY762+8,0)</f>
        <v>0</v>
      </c>
      <c r="GD762" s="1352" t="b">
        <f>IF(OR(GC762=12,GC762=13,GC762=14),TRUE,FALSE)</f>
        <v>0</v>
      </c>
      <c r="GE762" s="759" t="b">
        <f>IF(ISNUMBER(SEARCH("TLED",U763)),TRUE,FALSE)</f>
        <v>0</v>
      </c>
      <c r="GF762" s="1035" t="str">
        <f>IFERROR(VLOOKUP(U763,Fixtures!BM$93:BR$142,6,FALSE),"")</f>
        <v/>
      </c>
      <c r="GG762" s="1385" t="b">
        <f>IF(OR(GE762=FALSE,GE764=FALSE),TRUE,IF(GF762-GF764&lt;5,FALSE,TRUE))</f>
        <v>1</v>
      </c>
      <c r="GK762" s="1034">
        <f>GL762</f>
        <v>0</v>
      </c>
      <c r="GL762" s="1034">
        <f>IF(G762="",0,1)</f>
        <v>0</v>
      </c>
      <c r="GM762" s="1034">
        <f>SUM(GN762:HB762)</f>
        <v>2</v>
      </c>
      <c r="GN762" s="1034">
        <f>IF(G763="",0,1)</f>
        <v>0</v>
      </c>
      <c r="GO762" s="1034">
        <f>IF(G764="",0,1)</f>
        <v>0</v>
      </c>
      <c r="GP762" s="1034">
        <f>IF(R763="",0,1)</f>
        <v>0</v>
      </c>
      <c r="GQ762" s="1034">
        <f>IF(__Retrofit_TI_NC=0,1,IF(R764="",0,1))</f>
        <v>1</v>
      </c>
      <c r="GR762" s="1034">
        <f>IF(CN762="Exterior",1,IF(G765="",0,1))</f>
        <v>1</v>
      </c>
      <c r="GS762" s="1034">
        <f>IF(__Retrofit_TI_NC&lt;&gt;0,1,IF(T763="",0,1))</f>
        <v>0</v>
      </c>
      <c r="GT762" s="1034">
        <f>IF(__Retrofit_TI_NC&lt;&gt;0,1,IF(U763="",0,1))</f>
        <v>0</v>
      </c>
      <c r="GU762" s="1034">
        <f>IF(T764="",0,1)</f>
        <v>0</v>
      </c>
      <c r="GV762" s="1034">
        <f>IF(U764="",0,1)</f>
        <v>0</v>
      </c>
      <c r="GW762" s="1034">
        <f>IF(__Retrofit_TI_NC=2,1,IF(U765="",0,1))</f>
        <v>0</v>
      </c>
      <c r="GX762" s="1034">
        <f>IF(__Retrofit_TI_NC&lt;&gt;0,1,IF(AE763="",0,1))</f>
        <v>0</v>
      </c>
      <c r="GY762" s="1034">
        <f>IF(__Retrofit_TI_NC&lt;&gt;0,1,IF(AF763="",0,1))</f>
        <v>0</v>
      </c>
      <c r="GZ762" s="1034">
        <f>IF(AE764="",0,1)</f>
        <v>0</v>
      </c>
      <c r="HA762" s="1034">
        <f>IF(AF764="",0,1)</f>
        <v>0</v>
      </c>
      <c r="HB762" s="1034">
        <f>IF(__Retrofit_TI_NC=2,1,IF(AF765="",0,1))</f>
        <v>0</v>
      </c>
      <c r="HV762" s="436"/>
      <c r="HW762" s="1384" t="b">
        <f>IF(OR(HW765=0,HW765=HT$16,HW765=HS$16,HW765=HU$16),TRUE,FALSE)</f>
        <v>0</v>
      </c>
      <c r="HX762" s="1377" t="b">
        <f>HW762</f>
        <v>0</v>
      </c>
      <c r="HY762" s="436"/>
      <c r="HZ762" s="436"/>
      <c r="IA762" s="1386" t="b">
        <f>IF(MAX(GJ765:HP765)&gt;5,FALSE,TRUE)</f>
        <v>0</v>
      </c>
      <c r="IB762" s="1380">
        <f>IF(IA762=TRUE,AC762,0)</f>
        <v>0</v>
      </c>
      <c r="IC762" s="1380">
        <f>IB762-IB764</f>
        <v>0</v>
      </c>
      <c r="IF762" s="1380" t="e">
        <f>ROUND(T763*VLOOKUP(U763,Fixtures_Existing_List,2,FALSE)*N763*R763/1000,0)</f>
        <v>#N/A</v>
      </c>
      <c r="IG762" s="1381" t="e">
        <f>IF762-IF764</f>
        <v>#N/A</v>
      </c>
      <c r="IH762" s="1384" t="e">
        <f>ROUND(IF(CN762="Interior",N764*R764*R763*N763*_C406_reduction/1000,N764*R764*R763*N763/1000),0)</f>
        <v>#N/A</v>
      </c>
      <c r="II762" s="1384" t="e">
        <f>IH762-IH764</f>
        <v>#N/A</v>
      </c>
      <c r="IK762" s="1351" t="e">
        <f>IF($CO762="interior",IL762/2,VLOOKUP($CP762,Control_Savings_Exterior,IK$30,FALSE))</f>
        <v>#N/A</v>
      </c>
      <c r="IL762" s="1351" t="e">
        <f>IF($CO762="interior",VLOOKUP($CP762,Control_Savings_Interior,IL$30,FALSE),VLOOKUP($CP762,Control_Savings_Exterior,IL$30,FALSE))</f>
        <v>#N/A</v>
      </c>
      <c r="IM762" s="1351" t="e">
        <f>IF($CO762="interior",IF(R763&gt;FO$37,(IM$28*(FO$37/R763)),IM$28)*FP762,VLOOKUP($CP762,Control_Savings_Exterior,IM$30,FALSE))</f>
        <v>#N/A</v>
      </c>
      <c r="IN762" s="1351" t="e">
        <f>IF($CO762="interior",ROUND(((1-IL762)*IM762)+IL762,2),VLOOKUP($CP762,Control_Savings_Exterior,IN$30,FALSE))</f>
        <v>#N/A</v>
      </c>
      <c r="IO762" s="1351" t="e">
        <f>IF($CO762="interior", ROUND(((1-IL762)*(IM762*(1-IP$28)))+IP762,2), VLOOKUP($CP762,Control_Savings_Exterior,IO$30,FALSE))</f>
        <v>#N/A</v>
      </c>
      <c r="IP762" s="1351">
        <f>IF($CO762="interior",ROUND(((1-IL762)*IP$28)+IL762,2),0)</f>
        <v>0</v>
      </c>
    </row>
    <row r="763" spans="1:250" s="82" customFormat="1" ht="14.95" customHeight="1" thickTop="1" thickBot="1">
      <c r="B763" s="1421"/>
      <c r="C763" s="1422"/>
      <c r="D763" s="1423"/>
      <c r="E763" s="1393" t="s">
        <v>244</v>
      </c>
      <c r="F763" s="1394"/>
      <c r="G763" s="1395"/>
      <c r="H763" s="1395"/>
      <c r="I763" s="1395"/>
      <c r="J763" s="1395"/>
      <c r="K763" s="1395"/>
      <c r="L763" s="1395"/>
      <c r="M763" s="509" t="e">
        <f>IF(__Retrofit_TI_NC&lt;&gt;0,IF(VLOOKUP(G764,'Space Table'!$B$3:$L$160,3,FALSE)&gt;0,1,0),IF(__Retrofit_TI_NC=VLOOKUP(G764,'Space Table'!$B$3:$L$160,3,FALSE),1,0))</f>
        <v>#N/A</v>
      </c>
      <c r="N763" s="509" t="str">
        <f>IFERROR(VLOOKUP(G763,_Lookup_Heat_Type_Table_New,2,FALSE),"")</f>
        <v/>
      </c>
      <c r="O763" s="509">
        <f>IF(__Retrofit_TI_NC=1,CONCATENATE("TI ",G763),IF(__Retrofit_TI_NC=2,CONCATENATE("NC ",G763),G763))</f>
        <v>0</v>
      </c>
      <c r="P763" s="1396" t="s">
        <v>352</v>
      </c>
      <c r="Q763" s="1396"/>
      <c r="R763" s="673"/>
      <c r="S763" s="1429"/>
      <c r="T763" s="675"/>
      <c r="U763" s="1496"/>
      <c r="V763" s="1497"/>
      <c r="W763" s="1497"/>
      <c r="X763" s="1497"/>
      <c r="Y763" s="1497"/>
      <c r="Z763" s="1497"/>
      <c r="AA763" s="1497"/>
      <c r="AB763" s="1497"/>
      <c r="AC763" s="1497"/>
      <c r="AD763" s="1498"/>
      <c r="AE763" s="675"/>
      <c r="AF763" s="1397"/>
      <c r="AG763" s="1397"/>
      <c r="AH763" s="1397"/>
      <c r="AI763" s="1397"/>
      <c r="AJ763" s="1434"/>
      <c r="AK763" s="1436"/>
      <c r="AL763" s="1438"/>
      <c r="AM763" s="1441"/>
      <c r="AN763" s="1442"/>
      <c r="AO763" s="1447"/>
      <c r="AP763" s="1447"/>
      <c r="AQ763" s="1448"/>
      <c r="AR763" s="1452"/>
      <c r="AS763" s="1455"/>
      <c r="AT763" s="1458"/>
      <c r="AU763" s="516"/>
      <c r="AV763" s="1479"/>
      <c r="AW763" s="1479"/>
      <c r="BC763" s="38"/>
      <c r="BD763" s="38"/>
      <c r="BE763" s="38"/>
      <c r="BF763" s="38"/>
      <c r="BG763" s="38"/>
      <c r="BH763" s="38"/>
      <c r="BI763" s="38"/>
      <c r="BJ763" s="38"/>
      <c r="BK763" s="38"/>
      <c r="BL763" s="38"/>
      <c r="BM763" s="38"/>
      <c r="BN763" s="38"/>
      <c r="BO763" s="38"/>
      <c r="BP763" s="38"/>
      <c r="BQ763" s="38"/>
      <c r="BR763" s="38"/>
      <c r="BS763" s="38"/>
      <c r="BT763" s="38"/>
      <c r="BU763" s="38"/>
      <c r="BV763" s="38"/>
      <c r="BW763" s="38"/>
      <c r="BX763" s="38"/>
      <c r="BY763" s="38"/>
      <c r="BZ763" s="38"/>
      <c r="CA763" s="38"/>
      <c r="CB763" s="38"/>
      <c r="CC763" s="38"/>
      <c r="CD763" s="38"/>
      <c r="CE763" s="38"/>
      <c r="CF763" s="38"/>
      <c r="CG763" s="38"/>
      <c r="CH763" s="38"/>
      <c r="CI763" s="38"/>
      <c r="CM763" s="1352"/>
      <c r="CN763" s="1352"/>
      <c r="CO763" s="1416"/>
      <c r="CP763" s="1418"/>
      <c r="CR763" s="1386"/>
      <c r="CS763" s="1355"/>
      <c r="CT763" s="1355"/>
      <c r="CU763" s="1355"/>
      <c r="CV763" s="1372"/>
      <c r="CW763" s="1372"/>
      <c r="CX763" s="1371"/>
      <c r="CY763" s="1486"/>
      <c r="CZ763" s="1486"/>
      <c r="DA763" s="1486"/>
      <c r="DC763" s="1355"/>
      <c r="DD763" s="1461"/>
      <c r="DE763" s="1355"/>
      <c r="DF763" s="1407"/>
      <c r="DG763" s="1372"/>
      <c r="DH763" s="1369"/>
      <c r="DJ763" s="1484"/>
      <c r="DL763" s="1419"/>
      <c r="DN763" s="1403"/>
      <c r="DO763" s="1405"/>
      <c r="DP763" s="1354"/>
      <c r="DQ763" s="1405"/>
      <c r="DR763" s="1403"/>
      <c r="DS763" s="1489"/>
      <c r="DU763" s="1403"/>
      <c r="DV763" s="1405"/>
      <c r="DW763" s="1403"/>
      <c r="DX763" s="1403"/>
      <c r="DZ763" s="1481"/>
      <c r="EA763" s="1481"/>
      <c r="EC763" s="1482"/>
      <c r="ED763" s="1369"/>
      <c r="EE763" s="1371"/>
      <c r="EF763" s="1369"/>
      <c r="EG763" s="1369"/>
      <c r="EH763" s="1374"/>
      <c r="EI763" s="1374"/>
      <c r="EJ763" s="1363"/>
      <c r="EK763" s="1376"/>
      <c r="EL763" s="1376"/>
      <c r="EM763" s="1362"/>
      <c r="EN763" s="1362"/>
      <c r="EO763" s="1363"/>
      <c r="EP763" s="1363"/>
      <c r="EQ763" s="1363"/>
      <c r="ES763" s="1403"/>
      <c r="EU763" s="1411"/>
      <c r="EV763" s="1411"/>
      <c r="EW763" s="1411"/>
      <c r="EX763" s="1411"/>
      <c r="EY763" s="1411"/>
      <c r="EZ763" s="1413"/>
      <c r="FB763" s="1365"/>
      <c r="FD763" s="1354"/>
      <c r="FE763" s="1354"/>
      <c r="FF763" s="138"/>
      <c r="FI763" s="1357"/>
      <c r="FJ763" s="1357"/>
      <c r="FK763" s="1365"/>
      <c r="FL763" s="1365"/>
      <c r="FM763" s="1365"/>
      <c r="FO763" s="1361"/>
      <c r="FP763" s="1361"/>
      <c r="FQ763" s="1366"/>
      <c r="FR763" s="1368"/>
      <c r="FS763" s="1361"/>
      <c r="FT763" s="1368"/>
      <c r="FU763" s="1360"/>
      <c r="FW763" s="1352"/>
      <c r="FX763" s="1352"/>
      <c r="FY763" s="1352"/>
      <c r="FZ763" s="1352"/>
      <c r="GA763" s="1352"/>
      <c r="GB763" s="1352"/>
      <c r="GC763" s="1352"/>
      <c r="GD763" s="1352"/>
      <c r="GE763" s="759"/>
      <c r="GF763" s="1035"/>
      <c r="GG763" s="1385"/>
      <c r="GI763" s="1384" t="b">
        <f>IF(AND(GL763=TRUE,GM763=TRUE),TRUE,FALSE)</f>
        <v>0</v>
      </c>
      <c r="GJ763" s="1379" t="b">
        <f>IFERROR(IF(__Retrofit_TI_NC=2,TRUE,IF(AR762="Yes",TRUE,FALSE)),FALSE)</f>
        <v>1</v>
      </c>
      <c r="GL763" s="1379" t="b">
        <f>IFERROR(IF(GL762=1,TRUE,FALSE),FALSE)</f>
        <v>0</v>
      </c>
      <c r="GM763" s="1379" t="b">
        <f>IFERROR(IF(GM762=GM$14,TRUE,FALSE),FALSE)</f>
        <v>0</v>
      </c>
      <c r="HC763" s="1379" t="b">
        <f>IFERROR(IF(M763=1,TRUE,FALSE),FALSE)</f>
        <v>0</v>
      </c>
      <c r="HD763" s="1379" t="b">
        <f>IFERROR(IF(M764=1,TRUE,FALSE),FALSE)</f>
        <v>0</v>
      </c>
      <c r="HE763" s="1379" t="b">
        <f>IFERROR(IF(__Retrofit_TI_NC&lt;&gt;0,TRUE,IFERROR(IF(VLOOKUP(U763,Fixtures_Existing_List,2,FALSE)&lt;&gt;"",TRUE,FALSE),FALSE)),FALSE)</f>
        <v>0</v>
      </c>
      <c r="HF763" s="1379" t="b">
        <f>IFERROR(IF(VLOOKUP(U764,Fixtures_Proposed_List,2,FALSE)&lt;&gt;"",TRUE,FALSE),FALSE)</f>
        <v>0</v>
      </c>
      <c r="HG763" s="1379" t="b">
        <f>IF(AND(__Retrofit_TI_NC=2,EZ762=TRUE),FALSE,TRUE)</f>
        <v>1</v>
      </c>
      <c r="HH763" s="1379" t="b">
        <f>GG762</f>
        <v>1</v>
      </c>
      <c r="HI763" s="1384" t="b">
        <f>IF(ISERROR(MATCH(FB762,_Control_Match[],0))=TRUE,FALSE,TRUE)</f>
        <v>0</v>
      </c>
      <c r="HJ763" s="1384" t="b">
        <f>IFERROR(IF(EU762&lt;&gt;EV762,FALSE,TRUE),FALSE)</f>
        <v>0</v>
      </c>
      <c r="HK763" s="1384" t="b">
        <f>IFERROR(IF(EU764&lt;&gt;EV764,FALSE,TRUE),FALSE)</f>
        <v>0</v>
      </c>
      <c r="HL763" s="1379" t="b">
        <f>IFERROR(IF(CN762="Exterior",TRUE,IF(OR(AND(FJ762=0,EW764&gt;4),AND(FJ762=4,EW764&gt;4,EW764&lt;7)),FALSE,TRUE)),FALSE)</f>
        <v>0</v>
      </c>
      <c r="HM763" s="1379" t="b">
        <f>IFERROR(IF(AND(FL764=7,EZ762=TRUE),FALSE,TRUE),FALSE)</f>
        <v>0</v>
      </c>
      <c r="HN763" s="1379" t="b">
        <f>IFERROR(IF(AND(T764&lt;&gt;AE764,AF764="Interior LLLC")=TRUE,FALSE,TRUE),FALSE)</f>
        <v>1</v>
      </c>
      <c r="HO763" s="1379" t="b">
        <f>IFERROR(IF(OR(AF764=Lookup!AU$13,AF764=Lookup!AU$14)=TRUE,IF(AE764&gt;T764,FALSE,TRUE),TRUE),FALSE)</f>
        <v>1</v>
      </c>
      <c r="HP763" s="1379" t="b">
        <f>IFERROR(IF(__Retrofit_TI_NC=2,IF(EW764&lt;EW762,FALSE,TRUE),TRUE),FALSE)</f>
        <v>1</v>
      </c>
      <c r="HQ763" s="1379" t="b">
        <f>IF(CN762="Interior",IG$6,TRUE)</f>
        <v>1</v>
      </c>
      <c r="HR763" s="1379" t="b">
        <f>IF(CN762="Exterior",IG$8,TRUE)</f>
        <v>1</v>
      </c>
      <c r="HS763" s="1379" t="b">
        <f>IFERROR(IF(__Retrofit_TI_NC&lt;&gt;0,IF(AW762&lt;AV762,FALSE,TRUE),TRUE),FALSE)</f>
        <v>1</v>
      </c>
      <c r="HT763" s="1379" t="b">
        <f>IFERROR(IF(AND(G763="Exterior",R763&gt;4200),FALSE,TRUE),FALSE)</f>
        <v>1</v>
      </c>
      <c r="HU763" s="1379" t="b">
        <f>IFERROR(IF(AB765/AB762&lt;HU$18,FALSE,TRUE),FALSE)</f>
        <v>0</v>
      </c>
      <c r="HW763" s="1382"/>
      <c r="HX763" s="1378"/>
      <c r="HY763" s="1377" t="str">
        <f>VLOOKUP(HW765,_Error_Table,4,FALSE)</f>
        <v>White</v>
      </c>
      <c r="HZ763" s="436"/>
      <c r="IA763" s="1386"/>
      <c r="IB763" s="1380"/>
      <c r="IC763" s="1379"/>
      <c r="IF763" s="1380"/>
      <c r="IG763" s="1382"/>
      <c r="IH763" s="1382"/>
      <c r="II763" s="1382"/>
      <c r="IK763" s="1351"/>
      <c r="IL763" s="1351"/>
      <c r="IM763" s="1351"/>
      <c r="IN763" s="1351"/>
      <c r="IO763" s="1351"/>
      <c r="IP763" s="1351"/>
    </row>
    <row r="764" spans="1:250" s="82" customFormat="1" ht="14.95" customHeight="1" thickTop="1" thickBot="1">
      <c r="A764" s="82">
        <f>ROW()</f>
        <v>764</v>
      </c>
      <c r="B764" s="1421"/>
      <c r="C764" s="1422"/>
      <c r="D764" s="1423"/>
      <c r="E764" s="1393" t="s">
        <v>245</v>
      </c>
      <c r="F764" s="1394"/>
      <c r="G764" s="1398"/>
      <c r="H764" s="1399"/>
      <c r="I764" s="1399"/>
      <c r="J764" s="1399"/>
      <c r="K764" s="1399"/>
      <c r="L764" s="1400"/>
      <c r="M764" s="509">
        <f>IFERROR(IF(IF(__Retrofit_TI_NC&lt;&gt;0,IF(CN762="Interior",MATCH(G764,Lookup_Interior_New,0),MATCH(G764,Lookup_Exterior_New,0)),IF(CN762="Interior",MATCH(G764,Lookup_Interior,0),MATCH(G764,Lookup_Exterior_Areas,0)))&gt;0,1,0),0)</f>
        <v>0</v>
      </c>
      <c r="N764" s="509" t="e">
        <f>IF(__Retrofit_TI_NC=1,
VLOOKUP(G764,'Space Table'!$B$3:$L$160,4,FALSE),
IF(__Retrofit_TI_NC=2,VLOOKUP(G764,'Space Table'!$B$3:$L$160,5,FALSE),VLOOKUP(G764,'Space Table'!$B$3:$L$160,5,FALSE)))</f>
        <v>#N/A</v>
      </c>
      <c r="O764" s="509">
        <f>G764</f>
        <v>0</v>
      </c>
      <c r="P764" s="1394" t="s">
        <v>355</v>
      </c>
      <c r="Q764" s="1394"/>
      <c r="R764" s="674"/>
      <c r="S764" s="1401" t="s">
        <v>284</v>
      </c>
      <c r="T764" s="672"/>
      <c r="U764" s="1499"/>
      <c r="V764" s="1500"/>
      <c r="W764" s="1500"/>
      <c r="X764" s="1500"/>
      <c r="Y764" s="1500"/>
      <c r="Z764" s="1500"/>
      <c r="AA764" s="1500"/>
      <c r="AB764" s="1501"/>
      <c r="AC764" s="1501"/>
      <c r="AD764" s="1502"/>
      <c r="AE764" s="672"/>
      <c r="AF764" s="1474"/>
      <c r="AG764" s="1474"/>
      <c r="AH764" s="1474"/>
      <c r="AI764" s="1474"/>
      <c r="AJ764" s="1475">
        <f>DF764</f>
        <v>0</v>
      </c>
      <c r="AK764" s="1470" t="str">
        <f>IFERROR(ROUND(AJ764*AC765,0),"")</f>
        <v/>
      </c>
      <c r="AL764" s="1472">
        <f>IFERROR(IF(HW762=FALSE,0,AC765-AK764),0)</f>
        <v>0</v>
      </c>
      <c r="AM764" s="1441"/>
      <c r="AN764" s="1442"/>
      <c r="AO764" s="1447"/>
      <c r="AP764" s="1447"/>
      <c r="AQ764" s="1448"/>
      <c r="AR764" s="1452"/>
      <c r="AS764" s="1455"/>
      <c r="AT764" s="1458"/>
      <c r="AU764" s="516"/>
      <c r="AV764" s="1479"/>
      <c r="AW764" s="1479"/>
      <c r="BC764" s="38"/>
      <c r="BD764" s="38"/>
      <c r="BE764" s="38"/>
      <c r="BF764" s="38"/>
      <c r="BG764" s="38"/>
      <c r="BH764" s="38"/>
      <c r="BI764" s="38"/>
      <c r="BJ764" s="38"/>
      <c r="BK764" s="38"/>
      <c r="BL764" s="38"/>
      <c r="BM764" s="38"/>
      <c r="BN764" s="38"/>
      <c r="BO764" s="38"/>
      <c r="BP764" s="38"/>
      <c r="BQ764" s="38"/>
      <c r="BR764" s="38"/>
      <c r="BS764" s="38"/>
      <c r="BT764" s="38"/>
      <c r="BU764" s="38"/>
      <c r="BV764" s="38"/>
      <c r="BW764" s="38"/>
      <c r="BX764" s="38"/>
      <c r="BY764" s="38"/>
      <c r="BZ764" s="38"/>
      <c r="CA764" s="38"/>
      <c r="CB764" s="38"/>
      <c r="CC764" s="38"/>
      <c r="CD764" s="38"/>
      <c r="CE764" s="38"/>
      <c r="CF764" s="38"/>
      <c r="CG764" s="38"/>
      <c r="CH764" s="38"/>
      <c r="CI764" s="38"/>
      <c r="CM764" s="1352"/>
      <c r="CN764" s="1352"/>
      <c r="CO764" s="1415" t="str">
        <f>CN762</f>
        <v/>
      </c>
      <c r="CP764" s="1417" t="e">
        <f>CP762</f>
        <v>#N/A</v>
      </c>
      <c r="CR764" s="1386" t="s">
        <v>284</v>
      </c>
      <c r="CS764" s="1353">
        <f>IF(HW762=TRUE,T764,0)</f>
        <v>0</v>
      </c>
      <c r="CT764" s="1353" t="str">
        <f>IF(HW762=TRUE,U764,"")</f>
        <v/>
      </c>
      <c r="CU764" s="1373">
        <f>IF(HW762=TRUE,U765,0)</f>
        <v>0</v>
      </c>
      <c r="CV764" s="1370">
        <f>IF(HW762=TRUE,AB765,0)</f>
        <v>0</v>
      </c>
      <c r="CW764" s="1370">
        <f>IF(HW762=TRUE,AC765,0)</f>
        <v>0</v>
      </c>
      <c r="CX764" s="1371"/>
      <c r="CY764" s="1486"/>
      <c r="CZ764" s="1486"/>
      <c r="DA764" s="1486"/>
      <c r="DC764" s="1353">
        <f>IF(HW762=TRUE,AE764,0)</f>
        <v>0</v>
      </c>
      <c r="DD764" s="1353" t="str">
        <f>IF(HW762=TRUE,AF764,"")</f>
        <v/>
      </c>
      <c r="DE764" s="1373">
        <f>AF765</f>
        <v>0</v>
      </c>
      <c r="DF764" s="1406">
        <f>IFERROR(IF(FL764=3,IK764,IF(FL764=4,IL764,IF(FL764=5,IM764,IF(FL764=6,IN764,IF(FL764=7,IO764,IF(FL764=8,IP764,0)))))),0)</f>
        <v>0</v>
      </c>
      <c r="DG764" s="1370">
        <f>IF(HW762=TRUE,AK764,0)</f>
        <v>0</v>
      </c>
      <c r="DH764" s="1369"/>
      <c r="DK764" s="1483">
        <f>IFERROR(CW764-DG764,0)</f>
        <v>0</v>
      </c>
      <c r="DL764" s="1420"/>
      <c r="DN764" s="1403"/>
      <c r="DO764" s="1477" t="str">
        <f>DN762</f>
        <v/>
      </c>
      <c r="DP764" s="1354"/>
      <c r="DQ764" s="1477" t="str">
        <f>IF(DP762=7,"LLLC","")</f>
        <v/>
      </c>
      <c r="DR764" s="1403"/>
      <c r="DS764" s="1489"/>
      <c r="DU764" s="1403"/>
      <c r="DV764" s="1404" t="str">
        <f>DU762</f>
        <v/>
      </c>
      <c r="DW764" s="1403"/>
      <c r="DX764" s="1403"/>
      <c r="DZ764" s="1481"/>
      <c r="EA764" s="1481"/>
      <c r="EC764" s="1482"/>
      <c r="ED764" s="1369"/>
      <c r="EE764" s="1371"/>
      <c r="EF764" s="1369"/>
      <c r="EG764" s="1369"/>
      <c r="EH764" s="1374"/>
      <c r="EI764" s="1374"/>
      <c r="EJ764" s="1363"/>
      <c r="EK764" s="1376"/>
      <c r="EL764" s="1376"/>
      <c r="EM764" s="1362"/>
      <c r="EN764" s="1362"/>
      <c r="EO764" s="1363"/>
      <c r="EP764" s="1363"/>
      <c r="EQ764" s="1363"/>
      <c r="ES764" s="1403"/>
      <c r="EU764" s="1411" t="e">
        <f>VLOOKUP(CP764,'Space Table'!$B$3:$L$160,8,FALSE)</f>
        <v>#N/A</v>
      </c>
      <c r="EV764" s="1411" t="e">
        <f>IF(EY764="Yes",VLOOKUP(AF764,Lookup_Control_Type_Table2,4,FALSE),VLOOKUP(AF764,Lookup_Control_Type_Table2,3,FALSE))</f>
        <v>#N/A</v>
      </c>
      <c r="EW764" s="1411" t="e">
        <f>VLOOKUP(AF764,Lookup!AU$3:AV$15,2,FALSE)</f>
        <v>#N/A</v>
      </c>
      <c r="EX764" s="1411" t="e">
        <f>VLOOKUP(EU762,Lookup_Control_Type_Table,2,FALSE)</f>
        <v>#N/A</v>
      </c>
      <c r="EY764" s="1411" t="e">
        <f>VLOOKUP(CP764,'Space Table'!$B$3:$L$160,7,FALSE)</f>
        <v>#N/A</v>
      </c>
      <c r="EZ764" s="1413"/>
      <c r="FB764" s="1365" t="str">
        <f>CONCATENATE(CN762," - ",AF764)</f>
        <v xml:space="preserve"> - </v>
      </c>
      <c r="FD764" s="1354"/>
      <c r="FE764" s="1354"/>
      <c r="FF764" s="138"/>
      <c r="FI764" s="1356" t="str">
        <f>IF(CN762="Exterior","Not Daylighted",G765)</f>
        <v>Not Daylighted</v>
      </c>
      <c r="FJ764" s="1356">
        <f>VLOOKUP(FI764,_Daylight_Table_Codes,2,FALSE)</f>
        <v>0</v>
      </c>
      <c r="FK764" s="1365">
        <f>AF764</f>
        <v>0</v>
      </c>
      <c r="FL764" s="1365" t="e">
        <f>VLOOKUP(FK764,_Control_Table,2,FALSE)</f>
        <v>#N/A</v>
      </c>
      <c r="FM764" s="1365" t="e">
        <f>IF(AND(FP764&gt;0,FK764="Occupancy Sensor"),"Daylight + Occupancy",IF(AND(FP764&gt;0,FL764&lt;4),"Interior Daylight Dimming",FK764))</f>
        <v>#N/A</v>
      </c>
      <c r="FO764" s="1364">
        <f>IF(CN762="Interior",VLOOKUP(CP762,Control_Savings_Interior,5,FALSE),0)</f>
        <v>0</v>
      </c>
      <c r="FP764" s="1361">
        <f>IF(CN764="Exterior",0,IF(FJ764=2,0.5,IF(OR(FJ764=1,FJ764=3),1,0)))</f>
        <v>0</v>
      </c>
      <c r="FQ764" s="1366">
        <f>IF(R763&gt;FO$37,(FO764*(FO$37/R763)),FO764)*FP764</f>
        <v>0</v>
      </c>
      <c r="FR764" s="1364">
        <f>DF764</f>
        <v>0</v>
      </c>
      <c r="FS764" s="1364">
        <f>ROUND(FR764+((1-FR764)*FQ764),2)</f>
        <v>0</v>
      </c>
      <c r="FT764" s="1364">
        <f>IF(__Retrofit_TI_NC=2,FS764,FR764)</f>
        <v>0</v>
      </c>
      <c r="FU764" s="1360">
        <f>IF(CO764="Interior",VLOOKUP(CP764,Control_Savings_Interior,4,FALSE),0)</f>
        <v>0</v>
      </c>
      <c r="FW764" s="1352"/>
      <c r="FX764" s="1352"/>
      <c r="FY764" s="1352"/>
      <c r="FZ764" s="1352"/>
      <c r="GA764" s="1352"/>
      <c r="GB764" s="1352"/>
      <c r="GC764" s="1352"/>
      <c r="GD764" s="1352"/>
      <c r="GE764" s="759" t="b">
        <f>IF(ISNUMBER(SEARCH("TLED",U764)),TRUE,FALSE)</f>
        <v>0</v>
      </c>
      <c r="GF764" s="1035" t="str">
        <f>IFERROR(VLOOKUP(U764,Fixtures!DM$93:DR$142,6,FALSE),"")</f>
        <v/>
      </c>
      <c r="GG764" s="1385"/>
      <c r="GI764" s="1383"/>
      <c r="GJ764" s="1379"/>
      <c r="GL764" s="1379"/>
      <c r="GM764" s="1379"/>
      <c r="HC764" s="1379"/>
      <c r="HD764" s="1379"/>
      <c r="HE764" s="1379"/>
      <c r="HF764" s="1379"/>
      <c r="HG764" s="1379"/>
      <c r="HH764" s="1379"/>
      <c r="HI764" s="1383"/>
      <c r="HJ764" s="1383"/>
      <c r="HK764" s="1383"/>
      <c r="HL764" s="1379"/>
      <c r="HM764" s="1379"/>
      <c r="HN764" s="1379"/>
      <c r="HO764" s="1379"/>
      <c r="HP764" s="1379"/>
      <c r="HQ764" s="1379"/>
      <c r="HR764" s="1379"/>
      <c r="HS764" s="1379"/>
      <c r="HT764" s="1379"/>
      <c r="HU764" s="1379"/>
      <c r="HW764" s="1383"/>
      <c r="HX764" s="1384" t="b">
        <f>HW762</f>
        <v>0</v>
      </c>
      <c r="HY764" s="1378"/>
      <c r="HZ764" s="436"/>
      <c r="IA764" s="1386"/>
      <c r="IB764" s="1380">
        <f>IF(IA762=TRUE,AC765,0)</f>
        <v>0</v>
      </c>
      <c r="IC764" s="1379"/>
      <c r="IF764" s="1380" t="e">
        <f>ROUND(T764*AB765*N763*R763/1000,0)</f>
        <v>#VALUE!</v>
      </c>
      <c r="IG764" s="1382"/>
      <c r="IH764" s="1384" t="e">
        <f>ROUND(T764*AB765*N763*R763/1000,0)</f>
        <v>#VALUE!</v>
      </c>
      <c r="II764" s="1382"/>
      <c r="IK764" s="1351" t="e">
        <f>IF($CO764="interior",IL764/2,VLOOKUP($CP764,Control_Savings_Exterior,IK$30,FALSE))</f>
        <v>#N/A</v>
      </c>
      <c r="IL764" s="1351" t="e">
        <f>IF($CO764="interior",VLOOKUP($CP764,Control_Savings_Interior,IL$30,FALSE),VLOOKUP($CP764,Control_Savings_Exterior,IL$30,FALSE))</f>
        <v>#N/A</v>
      </c>
      <c r="IM764" s="1351" t="e">
        <f>IF($CO764="interior",IF(R763&gt;FO$37,(IM$28*(FO$37/R763)),IM$28)*FP764,VLOOKUP($CP764,Control_Savings_Exterior,IM$30,FALSE))</f>
        <v>#N/A</v>
      </c>
      <c r="IN764" s="1351" t="e">
        <f>IF($CO764="interior",ROUND(((1-IL764)*IM764)+IL764,2),VLOOKUP($CP764,Control_Savings_Exterior,IN$30,FALSE))</f>
        <v>#N/A</v>
      </c>
      <c r="IO764" s="1351" t="e">
        <f>IF($CO764="interior", ROUND(((1-IL764)*(IM764*(1-IP$28)))+IP764,2), VLOOKUP($CP764,Control_Savings_Exterior,IO$30,FALSE))</f>
        <v>#N/A</v>
      </c>
      <c r="IP764" s="1351">
        <f>IF($CO764="interior",ROUND(((1-IL764)*IP$28)+IL764,2),0)</f>
        <v>0</v>
      </c>
    </row>
    <row r="765" spans="1:250" s="82" customFormat="1" ht="14.95" customHeight="1" thickTop="1" thickBot="1">
      <c r="B765" s="1421"/>
      <c r="C765" s="1422"/>
      <c r="D765" s="1423"/>
      <c r="E765" s="1462" t="s">
        <v>357</v>
      </c>
      <c r="F765" s="1463"/>
      <c r="G765" s="1464" t="s">
        <v>362</v>
      </c>
      <c r="H765" s="1465"/>
      <c r="I765" s="1465"/>
      <c r="J765" s="1465"/>
      <c r="K765" s="1465"/>
      <c r="L765" s="1466"/>
      <c r="M765" s="669">
        <f>IFERROR(VLOOKUP(G765,_Daylight_Table[],2,FALSE),0)</f>
        <v>0</v>
      </c>
      <c r="N765" s="670"/>
      <c r="O765" s="669" t="e">
        <f>VLOOKUP(G764,'Space Table'!$B$3:$L$160,11,FALSE)</f>
        <v>#N/A</v>
      </c>
      <c r="P765" s="1408"/>
      <c r="Q765" s="1409"/>
      <c r="R765" s="1409"/>
      <c r="S765" s="1402"/>
      <c r="T765" s="671" t="s">
        <v>281</v>
      </c>
      <c r="U765" s="1467" t="str">
        <f>IFERROR(VLOOKUP(U764,Fixtures!DM$93:DP$142,4,FALSE),"")</f>
        <v/>
      </c>
      <c r="V765" s="1468"/>
      <c r="W765" s="1468"/>
      <c r="X765" s="1468"/>
      <c r="Y765" s="1468"/>
      <c r="Z765" s="1468"/>
      <c r="AA765" s="1468"/>
      <c r="AB765" s="1046" t="str">
        <f>IFERROR(VLOOKUP(U764,Fixtures_Proposed_List,2,FALSE),"")</f>
        <v/>
      </c>
      <c r="AC765" s="1036" t="str">
        <f>IFERROR(ROUND(T764*AB765*N763*R763/1000,0),"")</f>
        <v/>
      </c>
      <c r="AD765" s="1037" t="str">
        <f>IFERROR(ROUND(T764*AB765/1000,2),"")</f>
        <v/>
      </c>
      <c r="AE765" s="1045" t="s">
        <v>281</v>
      </c>
      <c r="AF765" s="1469"/>
      <c r="AG765" s="1469"/>
      <c r="AH765" s="1469"/>
      <c r="AI765" s="1469"/>
      <c r="AJ765" s="1476"/>
      <c r="AK765" s="1471"/>
      <c r="AL765" s="1473"/>
      <c r="AM765" s="1443"/>
      <c r="AN765" s="1444"/>
      <c r="AO765" s="1449"/>
      <c r="AP765" s="1449"/>
      <c r="AQ765" s="1450"/>
      <c r="AR765" s="1453"/>
      <c r="AS765" s="1456"/>
      <c r="AT765" s="1459"/>
      <c r="AU765" s="517"/>
      <c r="AV765" s="1480"/>
      <c r="AW765" s="1480"/>
      <c r="BC765" s="38"/>
      <c r="BD765" s="38"/>
      <c r="BE765" s="38"/>
      <c r="BF765" s="38"/>
      <c r="BG765" s="38"/>
      <c r="BH765" s="38"/>
      <c r="BI765" s="38"/>
      <c r="BJ765" s="38"/>
      <c r="BK765" s="38"/>
      <c r="BL765" s="38"/>
      <c r="BM765" s="38"/>
      <c r="BN765" s="38"/>
      <c r="BO765" s="38"/>
      <c r="BP765" s="38"/>
      <c r="BQ765" s="38"/>
      <c r="BR765" s="38"/>
      <c r="BS765" s="38"/>
      <c r="BT765" s="38"/>
      <c r="BU765" s="38"/>
      <c r="BV765" s="38"/>
      <c r="BW765" s="38"/>
      <c r="BX765" s="38"/>
      <c r="BY765" s="38"/>
      <c r="BZ765" s="38"/>
      <c r="CA765" s="38"/>
      <c r="CB765" s="38"/>
      <c r="CC765" s="38"/>
      <c r="CD765" s="38"/>
      <c r="CE765" s="38"/>
      <c r="CF765" s="38"/>
      <c r="CG765" s="38"/>
      <c r="CH765" s="38"/>
      <c r="CI765" s="38"/>
      <c r="CM765" s="1352"/>
      <c r="CN765" s="1352"/>
      <c r="CO765" s="1416"/>
      <c r="CP765" s="1418"/>
      <c r="CR765" s="1386"/>
      <c r="CS765" s="1355"/>
      <c r="CT765" s="1355"/>
      <c r="CU765" s="1375"/>
      <c r="CV765" s="1372"/>
      <c r="CW765" s="1372"/>
      <c r="CX765" s="1372"/>
      <c r="CY765" s="1487"/>
      <c r="CZ765" s="1487"/>
      <c r="DA765" s="1487"/>
      <c r="DC765" s="1355"/>
      <c r="DD765" s="1355"/>
      <c r="DE765" s="1375"/>
      <c r="DF765" s="1407"/>
      <c r="DG765" s="1372"/>
      <c r="DH765" s="1369"/>
      <c r="DK765" s="1484"/>
      <c r="DL765" s="1420"/>
      <c r="DN765" s="1403"/>
      <c r="DO765" s="1405"/>
      <c r="DP765" s="1355"/>
      <c r="DQ765" s="1405"/>
      <c r="DR765" s="1403"/>
      <c r="DS765" s="1489"/>
      <c r="DU765" s="1403"/>
      <c r="DV765" s="1405"/>
      <c r="DW765" s="1403"/>
      <c r="DX765" s="1403"/>
      <c r="DZ765" s="1481"/>
      <c r="EA765" s="1481"/>
      <c r="EC765" s="1482"/>
      <c r="ED765" s="1369"/>
      <c r="EE765" s="1372"/>
      <c r="EF765" s="1369"/>
      <c r="EG765" s="1369"/>
      <c r="EH765" s="1375"/>
      <c r="EI765" s="1375"/>
      <c r="EJ765" s="1363"/>
      <c r="EK765" s="1376"/>
      <c r="EL765" s="1376"/>
      <c r="EM765" s="1362"/>
      <c r="EN765" s="1362"/>
      <c r="EO765" s="1363"/>
      <c r="EP765" s="1363"/>
      <c r="EQ765" s="1363"/>
      <c r="ES765" s="1403"/>
      <c r="EU765" s="1488"/>
      <c r="EV765" s="1488"/>
      <c r="EW765" s="1488"/>
      <c r="EX765" s="1488"/>
      <c r="EY765" s="1488"/>
      <c r="EZ765" s="1414"/>
      <c r="FB765" s="1365"/>
      <c r="FD765" s="1355"/>
      <c r="FE765" s="1355"/>
      <c r="FF765" s="138"/>
      <c r="FI765" s="1357"/>
      <c r="FJ765" s="1357"/>
      <c r="FK765" s="1365"/>
      <c r="FL765" s="1365"/>
      <c r="FM765" s="1365"/>
      <c r="FO765" s="1361"/>
      <c r="FP765" s="1361"/>
      <c r="FQ765" s="1366"/>
      <c r="FR765" s="1361"/>
      <c r="FS765" s="1361"/>
      <c r="FT765" s="1361"/>
      <c r="FU765" s="1360"/>
      <c r="FW765" s="1352"/>
      <c r="FX765" s="1352"/>
      <c r="FY765" s="1352"/>
      <c r="FZ765" s="1352"/>
      <c r="GA765" s="1352"/>
      <c r="GB765" s="1352"/>
      <c r="GC765" s="1352"/>
      <c r="GD765" s="1352"/>
      <c r="GE765" s="759"/>
      <c r="GF765" s="1035"/>
      <c r="GG765" s="1385"/>
      <c r="GJ765" s="1034">
        <f>IF(GJ763=TRUE,0,GJ$16)</f>
        <v>0</v>
      </c>
      <c r="GL765" s="1034">
        <f>IF(GL763=TRUE,0,GL$16)</f>
        <v>36</v>
      </c>
      <c r="GM765" s="1034">
        <f>IF(GM763=TRUE,0,GM$16)</f>
        <v>35</v>
      </c>
      <c r="GN765" s="436"/>
      <c r="GO765" s="436"/>
      <c r="GP765" s="436"/>
      <c r="GQ765" s="436"/>
      <c r="GR765" s="436"/>
      <c r="HC765" s="1034">
        <f t="shared" ref="HC765:HH765" si="570">IF(HC763=TRUE,0,HC$16)</f>
        <v>19</v>
      </c>
      <c r="HD765" s="1034">
        <f t="shared" si="570"/>
        <v>18</v>
      </c>
      <c r="HE765" s="1034">
        <f t="shared" si="570"/>
        <v>17</v>
      </c>
      <c r="HF765" s="1034">
        <f t="shared" si="570"/>
        <v>16</v>
      </c>
      <c r="HG765" s="1034">
        <f t="shared" si="570"/>
        <v>0</v>
      </c>
      <c r="HH765" s="1034">
        <f t="shared" si="570"/>
        <v>0</v>
      </c>
      <c r="HI765" s="1034">
        <f>IF(HI763=TRUE,0,HI$16)</f>
        <v>13</v>
      </c>
      <c r="HJ765" s="1034">
        <f t="shared" ref="HJ765:HL765" si="571">IF(HJ763=TRUE,0,HJ$16)</f>
        <v>12</v>
      </c>
      <c r="HK765" s="1034">
        <f t="shared" si="571"/>
        <v>11</v>
      </c>
      <c r="HL765" s="1034">
        <f t="shared" si="571"/>
        <v>10</v>
      </c>
      <c r="HM765" s="1034">
        <f>IF(HM763=TRUE,0,HM$16)</f>
        <v>9</v>
      </c>
      <c r="HN765" s="1034">
        <f t="shared" ref="HN765:HR765" si="572">IF(HN763=TRUE,0,HN$16)</f>
        <v>0</v>
      </c>
      <c r="HO765" s="1034">
        <f t="shared" si="572"/>
        <v>0</v>
      </c>
      <c r="HP765" s="1034">
        <f t="shared" si="572"/>
        <v>0</v>
      </c>
      <c r="HQ765" s="1034">
        <f t="shared" si="572"/>
        <v>0</v>
      </c>
      <c r="HR765" s="1034">
        <f t="shared" si="572"/>
        <v>0</v>
      </c>
      <c r="HS765" s="1034">
        <f>IF(HS763=TRUE,0,HS$16)</f>
        <v>0</v>
      </c>
      <c r="HT765" s="1034">
        <f t="shared" ref="HT765" si="573">IF(HT763=TRUE,0,HT$16)</f>
        <v>0</v>
      </c>
      <c r="HU765" s="1034">
        <f>IF(HU763=TRUE,0,HU$16)</f>
        <v>1</v>
      </c>
      <c r="HW765" s="1034">
        <f>IF(GL763=FALSE,GL765,IF(GM763=FALSE,GM765,MAX(GJ765:HU765)))</f>
        <v>36</v>
      </c>
      <c r="HX765" s="1383"/>
      <c r="HY765" s="241" t="str">
        <f>VLOOKUP(HW765,_Error_Table,3,FALSE)</f>
        <v xml:space="preserve"> </v>
      </c>
      <c r="HZ765" s="241"/>
      <c r="IA765" s="1386"/>
      <c r="IB765" s="1380"/>
      <c r="IC765" s="1379"/>
      <c r="IF765" s="1380"/>
      <c r="IG765" s="1383"/>
      <c r="IH765" s="1383"/>
      <c r="II765" s="1383"/>
      <c r="IK765" s="1351"/>
      <c r="IL765" s="1351"/>
      <c r="IM765" s="1351"/>
      <c r="IN765" s="1351"/>
      <c r="IO765" s="1351"/>
      <c r="IP765" s="1351"/>
    </row>
    <row r="766" spans="1:250" s="82" customFormat="1" ht="5.0999999999999996" customHeight="1" thickBot="1">
      <c r="B766" s="763"/>
      <c r="C766" s="1038"/>
      <c r="D766" s="1038"/>
      <c r="E766" s="1490"/>
      <c r="F766" s="1490"/>
      <c r="G766" s="1490"/>
      <c r="H766" s="1490"/>
      <c r="I766" s="1490"/>
      <c r="J766" s="1490"/>
      <c r="K766" s="1490"/>
      <c r="L766" s="1490"/>
      <c r="M766" s="1490"/>
      <c r="N766" s="1490"/>
      <c r="O766" s="1490"/>
      <c r="P766" s="1490"/>
      <c r="Q766" s="1490"/>
      <c r="R766" s="1490"/>
      <c r="S766" s="1490"/>
      <c r="T766" s="1490"/>
      <c r="U766" s="1490"/>
      <c r="V766" s="1490"/>
      <c r="W766" s="1490"/>
      <c r="X766" s="1490"/>
      <c r="Y766" s="1490"/>
      <c r="Z766" s="1490"/>
      <c r="AA766" s="1490"/>
      <c r="AB766" s="1490"/>
      <c r="AC766" s="1490"/>
      <c r="AD766" s="1490"/>
      <c r="AE766" s="1490"/>
      <c r="AF766" s="1490"/>
      <c r="AG766" s="1490"/>
      <c r="AH766" s="1490"/>
      <c r="AI766" s="1490"/>
      <c r="AJ766" s="1490"/>
      <c r="AK766" s="1490"/>
      <c r="AL766" s="1490"/>
      <c r="AM766" s="1490"/>
      <c r="AN766" s="1490"/>
      <c r="AO766" s="1490"/>
      <c r="AP766" s="1490"/>
      <c r="AQ766" s="1490"/>
      <c r="AR766" s="1490"/>
      <c r="AS766" s="1490"/>
      <c r="AT766" s="1490"/>
      <c r="AU766" s="1041"/>
      <c r="BC766" s="38"/>
      <c r="BD766" s="38"/>
      <c r="BE766" s="38"/>
      <c r="BF766" s="38"/>
      <c r="BG766" s="38"/>
      <c r="BH766" s="38"/>
      <c r="BI766" s="38"/>
      <c r="BJ766" s="38"/>
      <c r="BK766" s="38"/>
      <c r="BL766" s="38"/>
      <c r="BM766" s="38"/>
      <c r="BN766" s="38"/>
      <c r="BO766" s="38"/>
      <c r="BP766" s="38"/>
      <c r="BQ766" s="38"/>
      <c r="BR766" s="38"/>
      <c r="BS766" s="38"/>
      <c r="BT766" s="38"/>
      <c r="BU766" s="38"/>
      <c r="BV766" s="38"/>
      <c r="BW766" s="38"/>
      <c r="BX766" s="38"/>
      <c r="BY766" s="38"/>
      <c r="BZ766" s="38"/>
      <c r="CA766" s="38"/>
      <c r="CB766" s="38"/>
      <c r="CC766" s="38"/>
      <c r="CD766" s="38"/>
      <c r="CE766" s="38"/>
      <c r="CF766" s="38"/>
      <c r="CG766" s="38"/>
      <c r="CH766" s="38"/>
      <c r="CI766" s="38"/>
      <c r="CM766" s="749"/>
      <c r="CN766" s="749"/>
      <c r="CO766" s="1043"/>
      <c r="CP766" s="749"/>
      <c r="CS766" s="436"/>
      <c r="CT766" s="436"/>
      <c r="CU766" s="243"/>
      <c r="CV766" s="244"/>
      <c r="CW766" s="244"/>
      <c r="CX766" s="244"/>
      <c r="CY766" s="245"/>
      <c r="CZ766" s="245"/>
      <c r="DA766" s="245"/>
      <c r="DC766" s="750"/>
      <c r="DD766" s="751"/>
      <c r="DE766" s="752"/>
      <c r="DF766" s="753"/>
      <c r="DG766" s="754"/>
      <c r="DH766" s="754"/>
      <c r="DK766" s="244"/>
      <c r="DL766" s="750"/>
      <c r="DN766" s="750"/>
      <c r="DO766" s="755"/>
      <c r="DP766" s="436"/>
      <c r="DQ766" s="750"/>
      <c r="DR766" s="750"/>
      <c r="DS766" s="750"/>
      <c r="DU766" s="750"/>
      <c r="DV766" s="750"/>
      <c r="DW766" s="750"/>
      <c r="DX766" s="750"/>
      <c r="DZ766" s="756"/>
      <c r="EA766" s="756"/>
      <c r="EC766" s="754"/>
      <c r="ED766" s="754"/>
      <c r="EE766" s="244"/>
      <c r="EF766" s="754"/>
      <c r="EG766" s="754"/>
      <c r="EH766" s="243"/>
      <c r="EI766" s="243"/>
      <c r="EJ766" s="752"/>
      <c r="EK766" s="757"/>
      <c r="EL766" s="757"/>
      <c r="EM766" s="758"/>
      <c r="EN766" s="758"/>
      <c r="EO766" s="752"/>
      <c r="EP766" s="752"/>
      <c r="EQ766" s="752"/>
      <c r="ES766" s="750"/>
      <c r="EU766" s="436"/>
      <c r="EV766" s="436"/>
      <c r="EW766" s="436"/>
      <c r="EX766" s="436"/>
      <c r="EY766" s="436"/>
      <c r="EZ766" s="436"/>
      <c r="FB766" s="643"/>
      <c r="FD766" s="436"/>
      <c r="FE766" s="436"/>
      <c r="FF766" s="436"/>
      <c r="FO766" s="750"/>
      <c r="FP766" s="436"/>
      <c r="FQ766" s="436"/>
      <c r="FR766" s="750"/>
      <c r="FS766" s="750"/>
      <c r="FW766" s="749"/>
      <c r="FX766" s="749"/>
      <c r="FY766" s="749"/>
      <c r="FZ766" s="749"/>
      <c r="GA766" s="749"/>
      <c r="GB766" s="749"/>
      <c r="GC766" s="749"/>
      <c r="GD766" s="749"/>
      <c r="GE766" s="751"/>
      <c r="GF766" s="750"/>
      <c r="GG766" s="750"/>
    </row>
    <row r="767" spans="1:250" s="82" customFormat="1" ht="14.95" customHeight="1" thickTop="1" thickBot="1">
      <c r="B767" s="1421" t="str">
        <f>HY770</f>
        <v xml:space="preserve"> </v>
      </c>
      <c r="C767" s="1422">
        <f>C762+1</f>
        <v>141</v>
      </c>
      <c r="D767" s="1423"/>
      <c r="E767" s="1424" t="s">
        <v>242</v>
      </c>
      <c r="F767" s="1425"/>
      <c r="G767" s="1426"/>
      <c r="H767" s="1427"/>
      <c r="I767" s="1427"/>
      <c r="J767" s="1427"/>
      <c r="K767" s="1427"/>
      <c r="L767" s="1427"/>
      <c r="M767" s="1427"/>
      <c r="N767" s="1427"/>
      <c r="O767" s="1427"/>
      <c r="P767" s="1427"/>
      <c r="Q767" s="1427"/>
      <c r="R767" s="1427"/>
      <c r="S767" s="1428" t="s">
        <v>283</v>
      </c>
      <c r="T767" s="668" t="s">
        <v>190</v>
      </c>
      <c r="U767" s="1430" t="s">
        <v>186</v>
      </c>
      <c r="V767" s="1431"/>
      <c r="W767" s="1431"/>
      <c r="X767" s="1431"/>
      <c r="Y767" s="1431"/>
      <c r="Z767" s="1431"/>
      <c r="AA767" s="1431"/>
      <c r="AB767" s="1047" t="str">
        <f>IFERROR(IF(__Retrofit_TI_NC=0,VLOOKUP(U768,Fixtures_Existing_List,2,FALSE),ROUND(N769*R769/T769,10)),"")</f>
        <v/>
      </c>
      <c r="AC767" s="1039" t="str">
        <f>IFERROR(IF(__Retrofit_TI_NC=0,ROUND(T768*AB767*N768*R768/1000,0),IF(CN767="Interior",N769*R769*R768*N768*_C406_reduction/1000,N769*R769*R768*N768/1000)),"")</f>
        <v/>
      </c>
      <c r="AD767" s="1040" t="str">
        <f>IFERROR(IF(C$36=0,ROUND(T768*AB767/1000,2),N769*R769/1000),"")</f>
        <v/>
      </c>
      <c r="AE767" s="1044" t="s">
        <v>190</v>
      </c>
      <c r="AF767" s="1432" t="str">
        <f>IF(__Retrofit_TI_NC=2,CONCATENATE("Code min = ",DD767),IF(__Retrofit_TI_NC=1,"Emter what you think the existing control was"," Control"))</f>
        <v xml:space="preserve"> Control</v>
      </c>
      <c r="AG767" s="1432"/>
      <c r="AH767" s="1432"/>
      <c r="AI767" s="1432"/>
      <c r="AJ767" s="1433">
        <f>DF767</f>
        <v>0</v>
      </c>
      <c r="AK767" s="1435" t="str">
        <f>IFERROR(ROUND(AJ767*AC767,0),"")</f>
        <v/>
      </c>
      <c r="AL767" s="1437">
        <f>IFERROR(IF(HW767=FALSE,0,AC767-AK767),0)</f>
        <v>0</v>
      </c>
      <c r="AM767" s="1439">
        <f>AL767-AL769</f>
        <v>0</v>
      </c>
      <c r="AN767" s="1440"/>
      <c r="AO767" s="1445">
        <f>IFERROR(IF(HW767=FALSE,0,(T769*U770)+(AE769*AF770)),0)</f>
        <v>0</v>
      </c>
      <c r="AP767" s="1445"/>
      <c r="AQ767" s="1446"/>
      <c r="AR767" s="1451" t="s">
        <v>157</v>
      </c>
      <c r="AS767" s="1454">
        <f>IF(AR767="Yes",1,0)</f>
        <v>1</v>
      </c>
      <c r="AT767" s="1457" t="str">
        <f>IF(OR(DN767=4,DN767=5,DN767=6,DN767=12),CONCATENATE("$",IF(GD767=TRUE,Lookup!$B$11,Lookup!$B$2)," /lamp"),CONCATENATE(EA767,"/ kWh"))</f>
        <v>0/ kWh</v>
      </c>
      <c r="AU767" s="516"/>
      <c r="AV767" s="1478">
        <f>IFERROR(IF(GI768=TRUE,(AB770*T769)/R769,0),"NA")</f>
        <v>0</v>
      </c>
      <c r="AW767" s="1478" t="str">
        <f>IFERROR(N769*_C406_reduction,"NA")</f>
        <v>NA</v>
      </c>
      <c r="BC767" s="38"/>
      <c r="BD767" s="38"/>
      <c r="BE767" s="38"/>
      <c r="BF767" s="38"/>
      <c r="BG767" s="38"/>
      <c r="BH767" s="38"/>
      <c r="BI767" s="38"/>
      <c r="BJ767" s="38"/>
      <c r="BK767" s="38"/>
      <c r="BL767" s="38"/>
      <c r="BM767" s="38"/>
      <c r="BN767" s="38"/>
      <c r="BO767" s="38"/>
      <c r="BP767" s="38"/>
      <c r="BQ767" s="38"/>
      <c r="BR767" s="38"/>
      <c r="BS767" s="38"/>
      <c r="BT767" s="38"/>
      <c r="BU767" s="38"/>
      <c r="BV767" s="38"/>
      <c r="BW767" s="38"/>
      <c r="BX767" s="38"/>
      <c r="BY767" s="38"/>
      <c r="BZ767" s="38"/>
      <c r="CA767" s="38"/>
      <c r="CB767" s="38"/>
      <c r="CC767" s="38"/>
      <c r="CD767" s="38"/>
      <c r="CE767" s="38"/>
      <c r="CF767" s="38"/>
      <c r="CG767" s="38"/>
      <c r="CH767" s="38"/>
      <c r="CI767" s="38"/>
      <c r="CM767" s="1352" t="str">
        <f>N768</f>
        <v/>
      </c>
      <c r="CN767" s="1352" t="str">
        <f>IFERROR(VLOOKUP(G768,_Lookup_Heat_Type_Table_New,3,FALSE),"")</f>
        <v/>
      </c>
      <c r="CO767" s="1415" t="str">
        <f>CN767</f>
        <v/>
      </c>
      <c r="CP767" s="1417" t="e">
        <f>VLOOKUP(G769,'Space Table'!$B$3:$L$160,9,FALSE)</f>
        <v>#N/A</v>
      </c>
      <c r="CR767" s="1386" t="s">
        <v>283</v>
      </c>
      <c r="CS767" s="1353">
        <f>IF(HW767=TRUE,T768,0)</f>
        <v>0</v>
      </c>
      <c r="CT767" s="1353" t="str">
        <f>IF(HW767=TRUE,U768,"")</f>
        <v/>
      </c>
      <c r="CU767" s="1353"/>
      <c r="CV767" s="1370">
        <f>IF(HW767=TRUE,AB767,0)</f>
        <v>0</v>
      </c>
      <c r="CW767" s="1370">
        <f>IF(HW767=TRUE,AC767,0)</f>
        <v>0</v>
      </c>
      <c r="CX767" s="1370">
        <f>IFERROR(IF(HW767=TRUE,CW767-CW769,0),0)</f>
        <v>0</v>
      </c>
      <c r="CY767" s="1485">
        <f>IF(HW767=TRUE,AD767,0)</f>
        <v>0</v>
      </c>
      <c r="CZ767" s="1485">
        <f>IF(HW767=TRUE,AD770,0)</f>
        <v>0</v>
      </c>
      <c r="DA767" s="1485">
        <f>IFERROR(CY767-CZ767,0)</f>
        <v>0</v>
      </c>
      <c r="DC767" s="1353">
        <f>IF(HW767=TRUE,AE768,0)</f>
        <v>0</v>
      </c>
      <c r="DD767" s="1460">
        <f>IF(__Retrofit_TI_NC=2,IF(CN767="Exterior",O770,FM767),FK767)</f>
        <v>0</v>
      </c>
      <c r="DE767" s="1353"/>
      <c r="DF767" s="1406">
        <f>IFERROR(IF(FL767=3,IK767,IF(FL767=4,IL767,IF(FL767=5,IM767,IF(FL767=6,IN767,IF(FL767=7,IO767,IF(FL767=8,IP767,0)))))),0)</f>
        <v>0</v>
      </c>
      <c r="DG767" s="1370">
        <f>IF(HW767=TRUE,AK767,0)</f>
        <v>0</v>
      </c>
      <c r="DH767" s="1369">
        <f>IFERROR(IF(HW767=TRUE,DG769-DG767,0),0)</f>
        <v>0</v>
      </c>
      <c r="DJ767" s="1483">
        <f>IFERROR(CW767-DG767,0)</f>
        <v>0</v>
      </c>
      <c r="DL767" s="1419">
        <f>DJ767-DK769</f>
        <v>0</v>
      </c>
      <c r="DN767" s="1403" t="str">
        <f>IFERROR(IF(AND(OR(FY767=4,FY767=5,FY767=6),OR(GB767=4,GB767=5,GB767=6)),FY767+8,VLOOKUP(CT769,Fixtures!R$31:Y$78,8,FALSE)),"")</f>
        <v/>
      </c>
      <c r="DO767" s="1404" t="str">
        <f>DN767</f>
        <v/>
      </c>
      <c r="DP767" s="1353" t="str">
        <f>IFERROR(VLOOKUP(DD769,Lookup!AU$3:AV$15,2,FALSE),"")</f>
        <v/>
      </c>
      <c r="DQ767" s="1404" t="str">
        <f>IF(DP767=7,"LLLC","")</f>
        <v/>
      </c>
      <c r="DR767" s="1403">
        <f>IFERROR(IF(OR(DN767=4,DN767=5,DN767=6,DN767=12,DN767=13,DN767=14),VLOOKUP(CT769,Fixtures!DN$27:EG$77,19,FALSE),1)*CS769,0)</f>
        <v>0</v>
      </c>
      <c r="DS767" s="1489">
        <f>IF(DP767=7,IF(DD767=DD769,0,DC769),0)</f>
        <v>0</v>
      </c>
      <c r="DU767" s="1403" t="str">
        <f>IFERROR(IF(EW767&lt;EW769,"Yes","No"),"")</f>
        <v/>
      </c>
      <c r="DV767" s="1404" t="str">
        <f>DU767</f>
        <v/>
      </c>
      <c r="DW767" s="1403">
        <f>IF(DU767="Yes",DC769,0)</f>
        <v>0</v>
      </c>
      <c r="DX767" s="1403">
        <f>DW767-DS767</f>
        <v>0</v>
      </c>
      <c r="DZ767" s="1481">
        <f>IFERROR(VLOOKUP(DN767,Lookup!AN$3:AO$16,2,FALSE),0)</f>
        <v>0</v>
      </c>
      <c r="EA767" s="1481">
        <f>IF(HW767=FALSE,0,IF(DU767="Yes",DZ767+Lookup!B$6,DZ767))</f>
        <v>0</v>
      </c>
      <c r="EC767" s="1482">
        <f>IF(HW767=TRUE,DJ767,0)</f>
        <v>0</v>
      </c>
      <c r="ED767" s="1369">
        <f>IF(HW767=TRUE,CW769,0)</f>
        <v>0</v>
      </c>
      <c r="EE767" s="1370">
        <f>IFERROR(EC767-ED767,0)</f>
        <v>0</v>
      </c>
      <c r="EF767" s="1369">
        <f>IF(HW767=TRUE,DG769,0)</f>
        <v>0</v>
      </c>
      <c r="EG767" s="1369">
        <f>IFERROR(EC767-ED767+EF767,0)</f>
        <v>0</v>
      </c>
      <c r="EH767" s="1373">
        <f>IF(HW767=TRUE,CS769*CU769,0)</f>
        <v>0</v>
      </c>
      <c r="EI767" s="1373">
        <f>IF(HW767=TRUE,DC769*DE769,0)</f>
        <v>0</v>
      </c>
      <c r="EJ767" s="1363">
        <f>AO767</f>
        <v>0</v>
      </c>
      <c r="EK767" s="1376" t="str">
        <f>IFERROR(IF(HW767=TRUE,VLOOKUP(DN767,Lookup!AN$3:AP$16,3,FALSE)*DR767,""),0)</f>
        <v/>
      </c>
      <c r="EL767" s="1376">
        <f>IF(HW767=TRUE,DW767*Lookup!AP$12,0)</f>
        <v>0</v>
      </c>
      <c r="EM767" s="1362">
        <f>IFERROR(IF(HW767=TRUE,EK767/EM$33,0),0)</f>
        <v>0</v>
      </c>
      <c r="EN767" s="1362">
        <f>IF(HW767=TRUE,EL767/EN$33,0)</f>
        <v>0</v>
      </c>
      <c r="EO767" s="1363">
        <f>IF(HW767=TRUE,EQ$33*EM767,0)</f>
        <v>0</v>
      </c>
      <c r="EP767" s="1363">
        <f>IF(HW767=TRUE,EQ$33*EN767,0)</f>
        <v>0</v>
      </c>
      <c r="EQ767" s="1363">
        <f>EO767+EP767</f>
        <v>0</v>
      </c>
      <c r="ES767" s="1403">
        <f>IF(G767="",0,1)</f>
        <v>0</v>
      </c>
      <c r="EU767" s="1410" t="e">
        <f>VLOOKUP(CP769,'Space Table'!$B$3:$L$160,8,FALSE)</f>
        <v>#N/A</v>
      </c>
      <c r="EV767" s="1410" t="e">
        <f>IF(EY767="Yes",VLOOKUP(DD767,Lookup_Control_Type_Table2,4,FALSE),VLOOKUP(DD767,Lookup_Control_Type_Table2,3,FALSE))</f>
        <v>#N/A</v>
      </c>
      <c r="EW767" s="1410" t="e">
        <f>VLOOKUP(DD767,Lookup!AU$3:AV$15,2,FALSE)</f>
        <v>#N/A</v>
      </c>
      <c r="EX767" s="1410" t="e">
        <f>VLOOKUP(EU767,Lookup_Control_Type_Table,2,FALSE)</f>
        <v>#N/A</v>
      </c>
      <c r="EY767" s="1410" t="e">
        <f>VLOOKUP(CP769,'Space Table'!$B$3:$L$160,7,FALSE)</f>
        <v>#N/A</v>
      </c>
      <c r="EZ767" s="1412" t="b">
        <f>ISNUMBER(SEARCH("TLED",U769))</f>
        <v>0</v>
      </c>
      <c r="FB767" s="1365" t="str">
        <f>CONCATENATE(CN767," - ",DD767)</f>
        <v xml:space="preserve"> - 0</v>
      </c>
      <c r="FD767" s="1353" t="str">
        <f>VLOOKUP(CT769,Fixtures!DN$27:EZ$77,38,FALSE)</f>
        <v/>
      </c>
      <c r="FE767" s="1353">
        <f>IFERROR(FD767*EE767,0)</f>
        <v>0</v>
      </c>
      <c r="FF767" s="138"/>
      <c r="FI767" s="1356" t="str">
        <f>IF(CN767="Exterior","Not Daylighted",G770)</f>
        <v>Not Daylighted</v>
      </c>
      <c r="FJ767" s="1356">
        <f>VLOOKUP(FI767,_Daylight_Table_Codes,2,FALSE)</f>
        <v>0</v>
      </c>
      <c r="FK767" s="1365">
        <f>IF(__Retrofit_TI_NC=2,VLOOKUP(G769,'Space Table'!$B$3:$L$160,11,FALSE),AF768)</f>
        <v>0</v>
      </c>
      <c r="FL767" s="1365" t="e">
        <f>VLOOKUP(FK767,_Control_Table,2,FALSE)</f>
        <v>#N/A</v>
      </c>
      <c r="FM767" s="1365" t="e">
        <f>IF(AND(FP767&gt;0,FK767="Occupancy Sensor"),"Daylight + Occupancy",IF(AND(FP767&gt;0,FL767&lt;4),"Interior Daylight Dimming",FK767))</f>
        <v>#N/A</v>
      </c>
      <c r="FO767" s="1364">
        <f>IF(CO767="Interior",VLOOKUP(CP767,Control_Savings_Interior,5,FALSE),0)</f>
        <v>0</v>
      </c>
      <c r="FP767" s="1361">
        <f>IF(CN767="Exterior",0,IF(FJ767=2,0.5,IF(OR(FJ767=1,FJ767=3),1,0)))</f>
        <v>0</v>
      </c>
      <c r="FQ767" s="1366"/>
      <c r="FR767" s="1367"/>
      <c r="FS767" s="1364"/>
      <c r="FT767" s="1367"/>
      <c r="FU767" s="1360"/>
      <c r="FW767" s="1352" t="str">
        <f>IFERROR(VLOOKUP(U768,_Exist_Fixture_Table,3,FALSE),"")</f>
        <v/>
      </c>
      <c r="FX767" s="1352" t="str">
        <f>VLOOKUP(CT767,_Exist_Fixture_Table,4,FALSE)</f>
        <v/>
      </c>
      <c r="FY767" s="1352">
        <f>IFERROR(VLOOKUP(FX767,Lookup!AM$6:AN$8,2,FALSE),0)</f>
        <v>0</v>
      </c>
      <c r="FZ767" s="1352" t="b">
        <f>IFERROR(IF(OR(GB767=4,GB767=5,GB767=6),TRUE,FALSE),"")</f>
        <v>0</v>
      </c>
      <c r="GA767" s="1352" t="str">
        <f>IFERROR(VLOOKUP(GB767,FY$6:FZ$10,2,FALSE),"")</f>
        <v/>
      </c>
      <c r="GB767" s="1352" t="str">
        <f>VLOOKUP(CT769,Fixtures!R$31:Y$78,8,FALSE)</f>
        <v/>
      </c>
      <c r="GC767" s="1352">
        <f>IF(AND(FW767=TRUE,FZ767=TRUE,OR(DN767=12,DN767=13,DN767=14)),FY767+8,0)</f>
        <v>0</v>
      </c>
      <c r="GD767" s="1352" t="b">
        <f>IF(OR(GC767=12,GC767=13,GC767=14),TRUE,FALSE)</f>
        <v>0</v>
      </c>
      <c r="GE767" s="759" t="b">
        <f>IF(ISNUMBER(SEARCH("TLED",U768)),TRUE,FALSE)</f>
        <v>0</v>
      </c>
      <c r="GF767" s="1035" t="str">
        <f>IFERROR(VLOOKUP(U768,Fixtures!BM$93:BR$142,6,FALSE),"")</f>
        <v/>
      </c>
      <c r="GG767" s="1385" t="b">
        <f>IF(OR(GE767=FALSE,GE769=FALSE),TRUE,IF(GF767-GF769&lt;5,FALSE,TRUE))</f>
        <v>1</v>
      </c>
      <c r="GK767" s="1034">
        <f>GL767</f>
        <v>0</v>
      </c>
      <c r="GL767" s="1034">
        <f>IF(G767="",0,1)</f>
        <v>0</v>
      </c>
      <c r="GM767" s="1034">
        <f>SUM(GN767:HB767)</f>
        <v>2</v>
      </c>
      <c r="GN767" s="1034">
        <f>IF(G768="",0,1)</f>
        <v>0</v>
      </c>
      <c r="GO767" s="1034">
        <f>IF(G769="",0,1)</f>
        <v>0</v>
      </c>
      <c r="GP767" s="1034">
        <f>IF(R768="",0,1)</f>
        <v>0</v>
      </c>
      <c r="GQ767" s="1034">
        <f>IF(__Retrofit_TI_NC=0,1,IF(R769="",0,1))</f>
        <v>1</v>
      </c>
      <c r="GR767" s="1034">
        <f>IF(CN767="Exterior",1,IF(G770="",0,1))</f>
        <v>1</v>
      </c>
      <c r="GS767" s="1034">
        <f>IF(__Retrofit_TI_NC&lt;&gt;0,1,IF(T768="",0,1))</f>
        <v>0</v>
      </c>
      <c r="GT767" s="1034">
        <f>IF(__Retrofit_TI_NC&lt;&gt;0,1,IF(U768="",0,1))</f>
        <v>0</v>
      </c>
      <c r="GU767" s="1034">
        <f>IF(T769="",0,1)</f>
        <v>0</v>
      </c>
      <c r="GV767" s="1034">
        <f>IF(U769="",0,1)</f>
        <v>0</v>
      </c>
      <c r="GW767" s="1034">
        <f>IF(__Retrofit_TI_NC=2,1,IF(U770="",0,1))</f>
        <v>0</v>
      </c>
      <c r="GX767" s="1034">
        <f>IF(__Retrofit_TI_NC&lt;&gt;0,1,IF(AE768="",0,1))</f>
        <v>0</v>
      </c>
      <c r="GY767" s="1034">
        <f>IF(__Retrofit_TI_NC&lt;&gt;0,1,IF(AF768="",0,1))</f>
        <v>0</v>
      </c>
      <c r="GZ767" s="1034">
        <f>IF(AE769="",0,1)</f>
        <v>0</v>
      </c>
      <c r="HA767" s="1034">
        <f>IF(AF769="",0,1)</f>
        <v>0</v>
      </c>
      <c r="HB767" s="1034">
        <f>IF(__Retrofit_TI_NC=2,1,IF(AF770="",0,1))</f>
        <v>0</v>
      </c>
      <c r="HV767" s="436"/>
      <c r="HW767" s="1384" t="b">
        <f>IF(OR(HW770=0,HW770=HT$16,HW770=HS$16,HW770=HU$16),TRUE,FALSE)</f>
        <v>0</v>
      </c>
      <c r="HX767" s="1377" t="b">
        <f>HW767</f>
        <v>0</v>
      </c>
      <c r="HY767" s="436"/>
      <c r="HZ767" s="436"/>
      <c r="IA767" s="1386" t="b">
        <f>IF(MAX(GJ770:HP770)&gt;5,FALSE,TRUE)</f>
        <v>0</v>
      </c>
      <c r="IB767" s="1380">
        <f>IF(IA767=TRUE,AC767,0)</f>
        <v>0</v>
      </c>
      <c r="IC767" s="1380">
        <f>IB767-IB769</f>
        <v>0</v>
      </c>
      <c r="IF767" s="1380" t="e">
        <f>ROUND(T768*VLOOKUP(U768,Fixtures_Existing_List,2,FALSE)*N768*R768/1000,0)</f>
        <v>#N/A</v>
      </c>
      <c r="IG767" s="1381" t="e">
        <f>IF767-IF769</f>
        <v>#N/A</v>
      </c>
      <c r="IH767" s="1384" t="e">
        <f>ROUND(IF(CN767="Interior",N769*R769*R768*N768*_C406_reduction/1000,N769*R769*R768*N768/1000),0)</f>
        <v>#N/A</v>
      </c>
      <c r="II767" s="1384" t="e">
        <f>IH767-IH769</f>
        <v>#N/A</v>
      </c>
      <c r="IK767" s="1351" t="e">
        <f>IF($CO767="interior",IL767/2,VLOOKUP($CP767,Control_Savings_Exterior,IK$30,FALSE))</f>
        <v>#N/A</v>
      </c>
      <c r="IL767" s="1351" t="e">
        <f>IF($CO767="interior",VLOOKUP($CP767,Control_Savings_Interior,IL$30,FALSE),VLOOKUP($CP767,Control_Savings_Exterior,IL$30,FALSE))</f>
        <v>#N/A</v>
      </c>
      <c r="IM767" s="1351" t="e">
        <f>IF($CO767="interior",IF(R768&gt;FO$37,(IM$28*(FO$37/R768)),IM$28)*FP767,VLOOKUP($CP767,Control_Savings_Exterior,IM$30,FALSE))</f>
        <v>#N/A</v>
      </c>
      <c r="IN767" s="1351" t="e">
        <f>IF($CO767="interior",ROUND(((1-IL767)*IM767)+IL767,2),VLOOKUP($CP767,Control_Savings_Exterior,IN$30,FALSE))</f>
        <v>#N/A</v>
      </c>
      <c r="IO767" s="1351" t="e">
        <f>IF($CO767="interior", ROUND(((1-IL767)*(IM767*(1-IP$28)))+IP767,2), VLOOKUP($CP767,Control_Savings_Exterior,IO$30,FALSE))</f>
        <v>#N/A</v>
      </c>
      <c r="IP767" s="1351">
        <f>IF($CO767="interior",ROUND(((1-IL767)*IP$28)+IL767,2),0)</f>
        <v>0</v>
      </c>
    </row>
    <row r="768" spans="1:250" s="82" customFormat="1" ht="14.95" customHeight="1" thickTop="1" thickBot="1">
      <c r="B768" s="1421"/>
      <c r="C768" s="1422"/>
      <c r="D768" s="1423"/>
      <c r="E768" s="1393" t="s">
        <v>244</v>
      </c>
      <c r="F768" s="1394"/>
      <c r="G768" s="1395"/>
      <c r="H768" s="1395"/>
      <c r="I768" s="1395"/>
      <c r="J768" s="1395"/>
      <c r="K768" s="1395"/>
      <c r="L768" s="1395"/>
      <c r="M768" s="509" t="e">
        <f>IF(__Retrofit_TI_NC&lt;&gt;0,IF(VLOOKUP(G769,'Space Table'!$B$3:$L$160,3,FALSE)&gt;0,1,0),IF(__Retrofit_TI_NC=VLOOKUP(G769,'Space Table'!$B$3:$L$160,3,FALSE),1,0))</f>
        <v>#N/A</v>
      </c>
      <c r="N768" s="509" t="str">
        <f>IFERROR(VLOOKUP(G768,_Lookup_Heat_Type_Table_New,2,FALSE),"")</f>
        <v/>
      </c>
      <c r="O768" s="509">
        <f>IF(__Retrofit_TI_NC=1,CONCATENATE("TI ",G768),IF(__Retrofit_TI_NC=2,CONCATENATE("NC ",G768),G768))</f>
        <v>0</v>
      </c>
      <c r="P768" s="1396" t="s">
        <v>352</v>
      </c>
      <c r="Q768" s="1396"/>
      <c r="R768" s="673"/>
      <c r="S768" s="1429"/>
      <c r="T768" s="675"/>
      <c r="U768" s="1496"/>
      <c r="V768" s="1497"/>
      <c r="W768" s="1497"/>
      <c r="X768" s="1497"/>
      <c r="Y768" s="1497"/>
      <c r="Z768" s="1497"/>
      <c r="AA768" s="1497"/>
      <c r="AB768" s="1497"/>
      <c r="AC768" s="1497"/>
      <c r="AD768" s="1498"/>
      <c r="AE768" s="675"/>
      <c r="AF768" s="1397"/>
      <c r="AG768" s="1397"/>
      <c r="AH768" s="1397"/>
      <c r="AI768" s="1397"/>
      <c r="AJ768" s="1434"/>
      <c r="AK768" s="1436"/>
      <c r="AL768" s="1438"/>
      <c r="AM768" s="1441"/>
      <c r="AN768" s="1442"/>
      <c r="AO768" s="1447"/>
      <c r="AP768" s="1447"/>
      <c r="AQ768" s="1448"/>
      <c r="AR768" s="1452"/>
      <c r="AS768" s="1455"/>
      <c r="AT768" s="1458"/>
      <c r="AU768" s="516"/>
      <c r="AV768" s="1479"/>
      <c r="AW768" s="1479"/>
      <c r="BC768" s="38"/>
      <c r="BD768" s="38"/>
      <c r="BE768" s="38"/>
      <c r="BF768" s="38"/>
      <c r="BG768" s="38"/>
      <c r="BH768" s="38"/>
      <c r="BI768" s="38"/>
      <c r="BJ768" s="38"/>
      <c r="BK768" s="38"/>
      <c r="BL768" s="38"/>
      <c r="BM768" s="38"/>
      <c r="BN768" s="38"/>
      <c r="BO768" s="38"/>
      <c r="BP768" s="38"/>
      <c r="BQ768" s="38"/>
      <c r="BR768" s="38"/>
      <c r="BS768" s="38"/>
      <c r="BT768" s="38"/>
      <c r="BU768" s="38"/>
      <c r="BV768" s="38"/>
      <c r="BW768" s="38"/>
      <c r="BX768" s="38"/>
      <c r="BY768" s="38"/>
      <c r="BZ768" s="38"/>
      <c r="CA768" s="38"/>
      <c r="CB768" s="38"/>
      <c r="CC768" s="38"/>
      <c r="CD768" s="38"/>
      <c r="CE768" s="38"/>
      <c r="CF768" s="38"/>
      <c r="CG768" s="38"/>
      <c r="CH768" s="38"/>
      <c r="CI768" s="38"/>
      <c r="CM768" s="1352"/>
      <c r="CN768" s="1352"/>
      <c r="CO768" s="1416"/>
      <c r="CP768" s="1418"/>
      <c r="CR768" s="1386"/>
      <c r="CS768" s="1355"/>
      <c r="CT768" s="1355"/>
      <c r="CU768" s="1355"/>
      <c r="CV768" s="1372"/>
      <c r="CW768" s="1372"/>
      <c r="CX768" s="1371"/>
      <c r="CY768" s="1486"/>
      <c r="CZ768" s="1486"/>
      <c r="DA768" s="1486"/>
      <c r="DC768" s="1355"/>
      <c r="DD768" s="1461"/>
      <c r="DE768" s="1355"/>
      <c r="DF768" s="1407"/>
      <c r="DG768" s="1372"/>
      <c r="DH768" s="1369"/>
      <c r="DJ768" s="1484"/>
      <c r="DL768" s="1419"/>
      <c r="DN768" s="1403"/>
      <c r="DO768" s="1405"/>
      <c r="DP768" s="1354"/>
      <c r="DQ768" s="1405"/>
      <c r="DR768" s="1403"/>
      <c r="DS768" s="1489"/>
      <c r="DU768" s="1403"/>
      <c r="DV768" s="1405"/>
      <c r="DW768" s="1403"/>
      <c r="DX768" s="1403"/>
      <c r="DZ768" s="1481"/>
      <c r="EA768" s="1481"/>
      <c r="EC768" s="1482"/>
      <c r="ED768" s="1369"/>
      <c r="EE768" s="1371"/>
      <c r="EF768" s="1369"/>
      <c r="EG768" s="1369"/>
      <c r="EH768" s="1374"/>
      <c r="EI768" s="1374"/>
      <c r="EJ768" s="1363"/>
      <c r="EK768" s="1376"/>
      <c r="EL768" s="1376"/>
      <c r="EM768" s="1362"/>
      <c r="EN768" s="1362"/>
      <c r="EO768" s="1363"/>
      <c r="EP768" s="1363"/>
      <c r="EQ768" s="1363"/>
      <c r="ES768" s="1403"/>
      <c r="EU768" s="1411"/>
      <c r="EV768" s="1411"/>
      <c r="EW768" s="1411"/>
      <c r="EX768" s="1411"/>
      <c r="EY768" s="1411"/>
      <c r="EZ768" s="1413"/>
      <c r="FB768" s="1365"/>
      <c r="FD768" s="1354"/>
      <c r="FE768" s="1354"/>
      <c r="FF768" s="138"/>
      <c r="FI768" s="1357"/>
      <c r="FJ768" s="1357"/>
      <c r="FK768" s="1365"/>
      <c r="FL768" s="1365"/>
      <c r="FM768" s="1365"/>
      <c r="FO768" s="1361"/>
      <c r="FP768" s="1361"/>
      <c r="FQ768" s="1366"/>
      <c r="FR768" s="1368"/>
      <c r="FS768" s="1361"/>
      <c r="FT768" s="1368"/>
      <c r="FU768" s="1360"/>
      <c r="FW768" s="1352"/>
      <c r="FX768" s="1352"/>
      <c r="FY768" s="1352"/>
      <c r="FZ768" s="1352"/>
      <c r="GA768" s="1352"/>
      <c r="GB768" s="1352"/>
      <c r="GC768" s="1352"/>
      <c r="GD768" s="1352"/>
      <c r="GE768" s="759"/>
      <c r="GF768" s="1035"/>
      <c r="GG768" s="1385"/>
      <c r="GI768" s="1384" t="b">
        <f>IF(AND(GL768=TRUE,GM768=TRUE),TRUE,FALSE)</f>
        <v>0</v>
      </c>
      <c r="GJ768" s="1379" t="b">
        <f>IFERROR(IF(__Retrofit_TI_NC=2,TRUE,IF(AR767="Yes",TRUE,FALSE)),FALSE)</f>
        <v>1</v>
      </c>
      <c r="GL768" s="1379" t="b">
        <f>IFERROR(IF(GL767=1,TRUE,FALSE),FALSE)</f>
        <v>0</v>
      </c>
      <c r="GM768" s="1379" t="b">
        <f>IFERROR(IF(GM767=GM$14,TRUE,FALSE),FALSE)</f>
        <v>0</v>
      </c>
      <c r="HC768" s="1379" t="b">
        <f>IFERROR(IF(M768=1,TRUE,FALSE),FALSE)</f>
        <v>0</v>
      </c>
      <c r="HD768" s="1379" t="b">
        <f>IFERROR(IF(M769=1,TRUE,FALSE),FALSE)</f>
        <v>0</v>
      </c>
      <c r="HE768" s="1379" t="b">
        <f>IFERROR(IF(__Retrofit_TI_NC&lt;&gt;0,TRUE,IFERROR(IF(VLOOKUP(U768,Fixtures_Existing_List,2,FALSE)&lt;&gt;"",TRUE,FALSE),FALSE)),FALSE)</f>
        <v>0</v>
      </c>
      <c r="HF768" s="1379" t="b">
        <f>IFERROR(IF(VLOOKUP(U769,Fixtures_Proposed_List,2,FALSE)&lt;&gt;"",TRUE,FALSE),FALSE)</f>
        <v>0</v>
      </c>
      <c r="HG768" s="1379" t="b">
        <f>IF(AND(__Retrofit_TI_NC=2,EZ767=TRUE),FALSE,TRUE)</f>
        <v>1</v>
      </c>
      <c r="HH768" s="1379" t="b">
        <f>GG767</f>
        <v>1</v>
      </c>
      <c r="HI768" s="1384" t="b">
        <f>IF(ISERROR(MATCH(FB767,_Control_Match[],0))=TRUE,FALSE,TRUE)</f>
        <v>0</v>
      </c>
      <c r="HJ768" s="1384" t="b">
        <f>IFERROR(IF(EU767&lt;&gt;EV767,FALSE,TRUE),FALSE)</f>
        <v>0</v>
      </c>
      <c r="HK768" s="1384" t="b">
        <f>IFERROR(IF(EU769&lt;&gt;EV769,FALSE,TRUE),FALSE)</f>
        <v>0</v>
      </c>
      <c r="HL768" s="1379" t="b">
        <f>IFERROR(IF(CN767="Exterior",TRUE,IF(OR(AND(FJ767=0,EW769&gt;4),AND(FJ767=4,EW769&gt;4,EW769&lt;7)),FALSE,TRUE)),FALSE)</f>
        <v>0</v>
      </c>
      <c r="HM768" s="1379" t="b">
        <f>IFERROR(IF(AND(FL769=7,EZ767=TRUE),FALSE,TRUE),FALSE)</f>
        <v>0</v>
      </c>
      <c r="HN768" s="1379" t="b">
        <f>IFERROR(IF(AND(T769&lt;&gt;AE769,AF769="Interior LLLC")=TRUE,FALSE,TRUE),FALSE)</f>
        <v>1</v>
      </c>
      <c r="HO768" s="1379" t="b">
        <f>IFERROR(IF(OR(AF769=Lookup!AU$13,AF769=Lookup!AU$14)=TRUE,IF(AE769&gt;T769,FALSE,TRUE),TRUE),FALSE)</f>
        <v>1</v>
      </c>
      <c r="HP768" s="1379" t="b">
        <f>IFERROR(IF(__Retrofit_TI_NC=2,IF(EW769&lt;EW767,FALSE,TRUE),TRUE),FALSE)</f>
        <v>1</v>
      </c>
      <c r="HQ768" s="1379" t="b">
        <f>IF(CN767="Interior",IG$6,TRUE)</f>
        <v>1</v>
      </c>
      <c r="HR768" s="1379" t="b">
        <f>IF(CN767="Exterior",IG$8,TRUE)</f>
        <v>1</v>
      </c>
      <c r="HS768" s="1379" t="b">
        <f>IFERROR(IF(__Retrofit_TI_NC&lt;&gt;0,IF(AW767&lt;AV767,FALSE,TRUE),TRUE),FALSE)</f>
        <v>1</v>
      </c>
      <c r="HT768" s="1379" t="b">
        <f>IFERROR(IF(AND(G768="Exterior",R768&gt;4200),FALSE,TRUE),FALSE)</f>
        <v>1</v>
      </c>
      <c r="HU768" s="1379" t="b">
        <f>IFERROR(IF(AB770/AB767&lt;HU$18,FALSE,TRUE),FALSE)</f>
        <v>0</v>
      </c>
      <c r="HW768" s="1382"/>
      <c r="HX768" s="1378"/>
      <c r="HY768" s="1377" t="str">
        <f>VLOOKUP(HW770,_Error_Table,4,FALSE)</f>
        <v>White</v>
      </c>
      <c r="HZ768" s="436"/>
      <c r="IA768" s="1386"/>
      <c r="IB768" s="1380"/>
      <c r="IC768" s="1379"/>
      <c r="IF768" s="1380"/>
      <c r="IG768" s="1382"/>
      <c r="IH768" s="1382"/>
      <c r="II768" s="1382"/>
      <c r="IK768" s="1351"/>
      <c r="IL768" s="1351"/>
      <c r="IM768" s="1351"/>
      <c r="IN768" s="1351"/>
      <c r="IO768" s="1351"/>
      <c r="IP768" s="1351"/>
    </row>
    <row r="769" spans="1:250" s="82" customFormat="1" ht="14.95" customHeight="1" thickTop="1" thickBot="1">
      <c r="A769" s="82">
        <f>ROW()</f>
        <v>769</v>
      </c>
      <c r="B769" s="1421"/>
      <c r="C769" s="1422"/>
      <c r="D769" s="1423"/>
      <c r="E769" s="1393" t="s">
        <v>245</v>
      </c>
      <c r="F769" s="1394"/>
      <c r="G769" s="1398"/>
      <c r="H769" s="1399"/>
      <c r="I769" s="1399"/>
      <c r="J769" s="1399"/>
      <c r="K769" s="1399"/>
      <c r="L769" s="1400"/>
      <c r="M769" s="509">
        <f>IFERROR(IF(IF(__Retrofit_TI_NC&lt;&gt;0,IF(CN767="Interior",MATCH(G769,Lookup_Interior_New,0),MATCH(G769,Lookup_Exterior_New,0)),IF(CN767="Interior",MATCH(G769,Lookup_Interior,0),MATCH(G769,Lookup_Exterior_Areas,0)))&gt;0,1,0),0)</f>
        <v>0</v>
      </c>
      <c r="N769" s="509" t="e">
        <f>IF(__Retrofit_TI_NC=1,
VLOOKUP(G769,'Space Table'!$B$3:$L$160,4,FALSE),
IF(__Retrofit_TI_NC=2,VLOOKUP(G769,'Space Table'!$B$3:$L$160,5,FALSE),VLOOKUP(G769,'Space Table'!$B$3:$L$160,5,FALSE)))</f>
        <v>#N/A</v>
      </c>
      <c r="O769" s="509">
        <f>G769</f>
        <v>0</v>
      </c>
      <c r="P769" s="1394" t="s">
        <v>355</v>
      </c>
      <c r="Q769" s="1394"/>
      <c r="R769" s="674"/>
      <c r="S769" s="1401" t="s">
        <v>284</v>
      </c>
      <c r="T769" s="672"/>
      <c r="U769" s="1499"/>
      <c r="V769" s="1500"/>
      <c r="W769" s="1500"/>
      <c r="X769" s="1500"/>
      <c r="Y769" s="1500"/>
      <c r="Z769" s="1500"/>
      <c r="AA769" s="1500"/>
      <c r="AB769" s="1501"/>
      <c r="AC769" s="1501"/>
      <c r="AD769" s="1502"/>
      <c r="AE769" s="672"/>
      <c r="AF769" s="1474"/>
      <c r="AG769" s="1474"/>
      <c r="AH769" s="1474"/>
      <c r="AI769" s="1474"/>
      <c r="AJ769" s="1475">
        <f>DF769</f>
        <v>0</v>
      </c>
      <c r="AK769" s="1470" t="str">
        <f>IFERROR(ROUND(AJ769*AC770,0),"")</f>
        <v/>
      </c>
      <c r="AL769" s="1472">
        <f>IFERROR(IF(HW767=FALSE,0,AC770-AK769),0)</f>
        <v>0</v>
      </c>
      <c r="AM769" s="1441"/>
      <c r="AN769" s="1442"/>
      <c r="AO769" s="1447"/>
      <c r="AP769" s="1447"/>
      <c r="AQ769" s="1448"/>
      <c r="AR769" s="1452"/>
      <c r="AS769" s="1455"/>
      <c r="AT769" s="1458"/>
      <c r="AU769" s="516"/>
      <c r="AV769" s="1479"/>
      <c r="AW769" s="1479"/>
      <c r="BC769" s="38"/>
      <c r="BD769" s="38"/>
      <c r="BE769" s="38"/>
      <c r="BF769" s="38"/>
      <c r="BG769" s="38"/>
      <c r="BH769" s="38"/>
      <c r="BI769" s="38"/>
      <c r="BJ769" s="38"/>
      <c r="BK769" s="38"/>
      <c r="BL769" s="38"/>
      <c r="BM769" s="38"/>
      <c r="BN769" s="38"/>
      <c r="BO769" s="38"/>
      <c r="BP769" s="38"/>
      <c r="BQ769" s="38"/>
      <c r="BR769" s="38"/>
      <c r="BS769" s="38"/>
      <c r="BT769" s="38"/>
      <c r="BU769" s="38"/>
      <c r="BV769" s="38"/>
      <c r="BW769" s="38"/>
      <c r="BX769" s="38"/>
      <c r="BY769" s="38"/>
      <c r="BZ769" s="38"/>
      <c r="CA769" s="38"/>
      <c r="CB769" s="38"/>
      <c r="CC769" s="38"/>
      <c r="CD769" s="38"/>
      <c r="CE769" s="38"/>
      <c r="CF769" s="38"/>
      <c r="CG769" s="38"/>
      <c r="CH769" s="38"/>
      <c r="CI769" s="38"/>
      <c r="CM769" s="1352"/>
      <c r="CN769" s="1352"/>
      <c r="CO769" s="1415" t="str">
        <f>CN767</f>
        <v/>
      </c>
      <c r="CP769" s="1417" t="e">
        <f>CP767</f>
        <v>#N/A</v>
      </c>
      <c r="CR769" s="1386" t="s">
        <v>284</v>
      </c>
      <c r="CS769" s="1353">
        <f>IF(HW767=TRUE,T769,0)</f>
        <v>0</v>
      </c>
      <c r="CT769" s="1353" t="str">
        <f>IF(HW767=TRUE,U769,"")</f>
        <v/>
      </c>
      <c r="CU769" s="1373">
        <f>IF(HW767=TRUE,U770,0)</f>
        <v>0</v>
      </c>
      <c r="CV769" s="1370">
        <f>IF(HW767=TRUE,AB770,0)</f>
        <v>0</v>
      </c>
      <c r="CW769" s="1370">
        <f>IF(HW767=TRUE,AC770,0)</f>
        <v>0</v>
      </c>
      <c r="CX769" s="1371"/>
      <c r="CY769" s="1486"/>
      <c r="CZ769" s="1486"/>
      <c r="DA769" s="1486"/>
      <c r="DC769" s="1353">
        <f>IF(HW767=TRUE,AE769,0)</f>
        <v>0</v>
      </c>
      <c r="DD769" s="1353" t="str">
        <f>IF(HW767=TRUE,AF769,"")</f>
        <v/>
      </c>
      <c r="DE769" s="1373">
        <f>AF770</f>
        <v>0</v>
      </c>
      <c r="DF769" s="1406">
        <f>IFERROR(IF(FL769=3,IK769,IF(FL769=4,IL769,IF(FL769=5,IM769,IF(FL769=6,IN769,IF(FL769=7,IO769,IF(FL769=8,IP769,0)))))),0)</f>
        <v>0</v>
      </c>
      <c r="DG769" s="1370">
        <f>IF(HW767=TRUE,AK769,0)</f>
        <v>0</v>
      </c>
      <c r="DH769" s="1369"/>
      <c r="DK769" s="1483">
        <f>IFERROR(CW769-DG769,0)</f>
        <v>0</v>
      </c>
      <c r="DL769" s="1420"/>
      <c r="DN769" s="1403"/>
      <c r="DO769" s="1477" t="str">
        <f>DN767</f>
        <v/>
      </c>
      <c r="DP769" s="1354"/>
      <c r="DQ769" s="1477" t="str">
        <f>IF(DP767=7,"LLLC","")</f>
        <v/>
      </c>
      <c r="DR769" s="1403"/>
      <c r="DS769" s="1489"/>
      <c r="DU769" s="1403"/>
      <c r="DV769" s="1404" t="str">
        <f>DU767</f>
        <v/>
      </c>
      <c r="DW769" s="1403"/>
      <c r="DX769" s="1403"/>
      <c r="DZ769" s="1481"/>
      <c r="EA769" s="1481"/>
      <c r="EC769" s="1482"/>
      <c r="ED769" s="1369"/>
      <c r="EE769" s="1371"/>
      <c r="EF769" s="1369"/>
      <c r="EG769" s="1369"/>
      <c r="EH769" s="1374"/>
      <c r="EI769" s="1374"/>
      <c r="EJ769" s="1363"/>
      <c r="EK769" s="1376"/>
      <c r="EL769" s="1376"/>
      <c r="EM769" s="1362"/>
      <c r="EN769" s="1362"/>
      <c r="EO769" s="1363"/>
      <c r="EP769" s="1363"/>
      <c r="EQ769" s="1363"/>
      <c r="ES769" s="1403"/>
      <c r="EU769" s="1411" t="e">
        <f>VLOOKUP(CP769,'Space Table'!$B$3:$L$160,8,FALSE)</f>
        <v>#N/A</v>
      </c>
      <c r="EV769" s="1411" t="e">
        <f>IF(EY769="Yes",VLOOKUP(AF769,Lookup_Control_Type_Table2,4,FALSE),VLOOKUP(AF769,Lookup_Control_Type_Table2,3,FALSE))</f>
        <v>#N/A</v>
      </c>
      <c r="EW769" s="1411" t="e">
        <f>VLOOKUP(AF769,Lookup!AU$3:AV$15,2,FALSE)</f>
        <v>#N/A</v>
      </c>
      <c r="EX769" s="1411" t="e">
        <f>VLOOKUP(EU767,Lookup_Control_Type_Table,2,FALSE)</f>
        <v>#N/A</v>
      </c>
      <c r="EY769" s="1411" t="e">
        <f>VLOOKUP(CP769,'Space Table'!$B$3:$L$160,7,FALSE)</f>
        <v>#N/A</v>
      </c>
      <c r="EZ769" s="1413"/>
      <c r="FB769" s="1365" t="str">
        <f>CONCATENATE(CN767," - ",AF769)</f>
        <v xml:space="preserve"> - </v>
      </c>
      <c r="FD769" s="1354"/>
      <c r="FE769" s="1354"/>
      <c r="FF769" s="138"/>
      <c r="FI769" s="1356" t="str">
        <f>IF(CN767="Exterior","Not Daylighted",G770)</f>
        <v>Not Daylighted</v>
      </c>
      <c r="FJ769" s="1356">
        <f>VLOOKUP(FI769,_Daylight_Table_Codes,2,FALSE)</f>
        <v>0</v>
      </c>
      <c r="FK769" s="1365">
        <f>AF769</f>
        <v>0</v>
      </c>
      <c r="FL769" s="1365" t="e">
        <f>VLOOKUP(FK769,_Control_Table,2,FALSE)</f>
        <v>#N/A</v>
      </c>
      <c r="FM769" s="1365" t="e">
        <f>IF(AND(FP769&gt;0,FK769="Occupancy Sensor"),"Daylight + Occupancy",IF(AND(FP769&gt;0,FL769&lt;4),"Interior Daylight Dimming",FK769))</f>
        <v>#N/A</v>
      </c>
      <c r="FO769" s="1364">
        <f>IF(CN767="Interior",VLOOKUP(CP767,Control_Savings_Interior,5,FALSE),0)</f>
        <v>0</v>
      </c>
      <c r="FP769" s="1361">
        <f>IF(CN769="Exterior",0,IF(FJ769=2,0.5,IF(OR(FJ769=1,FJ769=3),1,0)))</f>
        <v>0</v>
      </c>
      <c r="FQ769" s="1366">
        <f>IF(R768&gt;FO$37,(FO769*(FO$37/R768)),FO769)*FP769</f>
        <v>0</v>
      </c>
      <c r="FR769" s="1364">
        <f>DF769</f>
        <v>0</v>
      </c>
      <c r="FS769" s="1364">
        <f>ROUND(FR769+((1-FR769)*FQ769),2)</f>
        <v>0</v>
      </c>
      <c r="FT769" s="1364">
        <f>IF(__Retrofit_TI_NC=2,FS769,FR769)</f>
        <v>0</v>
      </c>
      <c r="FU769" s="1360">
        <f>IF(CO769="Interior",VLOOKUP(CP769,Control_Savings_Interior,4,FALSE),0)</f>
        <v>0</v>
      </c>
      <c r="FW769" s="1352"/>
      <c r="FX769" s="1352"/>
      <c r="FY769" s="1352"/>
      <c r="FZ769" s="1352"/>
      <c r="GA769" s="1352"/>
      <c r="GB769" s="1352"/>
      <c r="GC769" s="1352"/>
      <c r="GD769" s="1352"/>
      <c r="GE769" s="759" t="b">
        <f>IF(ISNUMBER(SEARCH("TLED",U769)),TRUE,FALSE)</f>
        <v>0</v>
      </c>
      <c r="GF769" s="1035" t="str">
        <f>IFERROR(VLOOKUP(U769,Fixtures!DM$93:DR$142,6,FALSE),"")</f>
        <v/>
      </c>
      <c r="GG769" s="1385"/>
      <c r="GI769" s="1383"/>
      <c r="GJ769" s="1379"/>
      <c r="GL769" s="1379"/>
      <c r="GM769" s="1379"/>
      <c r="HC769" s="1379"/>
      <c r="HD769" s="1379"/>
      <c r="HE769" s="1379"/>
      <c r="HF769" s="1379"/>
      <c r="HG769" s="1379"/>
      <c r="HH769" s="1379"/>
      <c r="HI769" s="1383"/>
      <c r="HJ769" s="1383"/>
      <c r="HK769" s="1383"/>
      <c r="HL769" s="1379"/>
      <c r="HM769" s="1379"/>
      <c r="HN769" s="1379"/>
      <c r="HO769" s="1379"/>
      <c r="HP769" s="1379"/>
      <c r="HQ769" s="1379"/>
      <c r="HR769" s="1379"/>
      <c r="HS769" s="1379"/>
      <c r="HT769" s="1379"/>
      <c r="HU769" s="1379"/>
      <c r="HW769" s="1383"/>
      <c r="HX769" s="1384" t="b">
        <f>HW767</f>
        <v>0</v>
      </c>
      <c r="HY769" s="1378"/>
      <c r="HZ769" s="436"/>
      <c r="IA769" s="1386"/>
      <c r="IB769" s="1380">
        <f>IF(IA767=TRUE,AC770,0)</f>
        <v>0</v>
      </c>
      <c r="IC769" s="1379"/>
      <c r="IF769" s="1380" t="e">
        <f>ROUND(T769*AB770*N768*R768/1000,0)</f>
        <v>#VALUE!</v>
      </c>
      <c r="IG769" s="1382"/>
      <c r="IH769" s="1384" t="e">
        <f>ROUND(T769*AB770*N768*R768/1000,0)</f>
        <v>#VALUE!</v>
      </c>
      <c r="II769" s="1382"/>
      <c r="IK769" s="1351" t="e">
        <f>IF($CO769="interior",IL769/2,VLOOKUP($CP769,Control_Savings_Exterior,IK$30,FALSE))</f>
        <v>#N/A</v>
      </c>
      <c r="IL769" s="1351" t="e">
        <f>IF($CO769="interior",VLOOKUP($CP769,Control_Savings_Interior,IL$30,FALSE),VLOOKUP($CP769,Control_Savings_Exterior,IL$30,FALSE))</f>
        <v>#N/A</v>
      </c>
      <c r="IM769" s="1351" t="e">
        <f>IF($CO769="interior",IF(R768&gt;FO$37,(IM$28*(FO$37/R768)),IM$28)*FP769,VLOOKUP($CP769,Control_Savings_Exterior,IM$30,FALSE))</f>
        <v>#N/A</v>
      </c>
      <c r="IN769" s="1351" t="e">
        <f>IF($CO769="interior",ROUND(((1-IL769)*IM769)+IL769,2),VLOOKUP($CP769,Control_Savings_Exterior,IN$30,FALSE))</f>
        <v>#N/A</v>
      </c>
      <c r="IO769" s="1351" t="e">
        <f>IF($CO769="interior", ROUND(((1-IL769)*(IM769*(1-IP$28)))+IP769,2), VLOOKUP($CP769,Control_Savings_Exterior,IO$30,FALSE))</f>
        <v>#N/A</v>
      </c>
      <c r="IP769" s="1351">
        <f>IF($CO769="interior",ROUND(((1-IL769)*IP$28)+IL769,2),0)</f>
        <v>0</v>
      </c>
    </row>
    <row r="770" spans="1:250" s="82" customFormat="1" ht="14.95" customHeight="1" thickTop="1" thickBot="1">
      <c r="B770" s="1421"/>
      <c r="C770" s="1422"/>
      <c r="D770" s="1423"/>
      <c r="E770" s="1462" t="s">
        <v>357</v>
      </c>
      <c r="F770" s="1463"/>
      <c r="G770" s="1464" t="s">
        <v>362</v>
      </c>
      <c r="H770" s="1465"/>
      <c r="I770" s="1465"/>
      <c r="J770" s="1465"/>
      <c r="K770" s="1465"/>
      <c r="L770" s="1466"/>
      <c r="M770" s="669">
        <f>IFERROR(VLOOKUP(G770,_Daylight_Table[],2,FALSE),0)</f>
        <v>0</v>
      </c>
      <c r="N770" s="670"/>
      <c r="O770" s="669" t="e">
        <f>VLOOKUP(G769,'Space Table'!$B$3:$L$160,11,FALSE)</f>
        <v>#N/A</v>
      </c>
      <c r="P770" s="1408"/>
      <c r="Q770" s="1409"/>
      <c r="R770" s="1409"/>
      <c r="S770" s="1402"/>
      <c r="T770" s="671" t="s">
        <v>281</v>
      </c>
      <c r="U770" s="1467" t="str">
        <f>IFERROR(VLOOKUP(U769,Fixtures!DM$93:DP$142,4,FALSE),"")</f>
        <v/>
      </c>
      <c r="V770" s="1468"/>
      <c r="W770" s="1468"/>
      <c r="X770" s="1468"/>
      <c r="Y770" s="1468"/>
      <c r="Z770" s="1468"/>
      <c r="AA770" s="1468"/>
      <c r="AB770" s="1046" t="str">
        <f>IFERROR(VLOOKUP(U769,Fixtures_Proposed_List,2,FALSE),"")</f>
        <v/>
      </c>
      <c r="AC770" s="1036" t="str">
        <f>IFERROR(ROUND(T769*AB770*N768*R768/1000,0),"")</f>
        <v/>
      </c>
      <c r="AD770" s="1037" t="str">
        <f>IFERROR(ROUND(T769*AB770/1000,2),"")</f>
        <v/>
      </c>
      <c r="AE770" s="1045" t="s">
        <v>281</v>
      </c>
      <c r="AF770" s="1469"/>
      <c r="AG770" s="1469"/>
      <c r="AH770" s="1469"/>
      <c r="AI770" s="1469"/>
      <c r="AJ770" s="1476"/>
      <c r="AK770" s="1471"/>
      <c r="AL770" s="1473"/>
      <c r="AM770" s="1443"/>
      <c r="AN770" s="1444"/>
      <c r="AO770" s="1449"/>
      <c r="AP770" s="1449"/>
      <c r="AQ770" s="1450"/>
      <c r="AR770" s="1453"/>
      <c r="AS770" s="1456"/>
      <c r="AT770" s="1459"/>
      <c r="AU770" s="517"/>
      <c r="AV770" s="1480"/>
      <c r="AW770" s="1480"/>
      <c r="BC770" s="38"/>
      <c r="BD770" s="38"/>
      <c r="BE770" s="38"/>
      <c r="BF770" s="38"/>
      <c r="BG770" s="38"/>
      <c r="BH770" s="38"/>
      <c r="BI770" s="38"/>
      <c r="BJ770" s="38"/>
      <c r="BK770" s="38"/>
      <c r="BL770" s="38"/>
      <c r="BM770" s="38"/>
      <c r="BN770" s="38"/>
      <c r="BO770" s="38"/>
      <c r="BP770" s="38"/>
      <c r="BQ770" s="38"/>
      <c r="BR770" s="38"/>
      <c r="BS770" s="38"/>
      <c r="BT770" s="38"/>
      <c r="BU770" s="38"/>
      <c r="BV770" s="38"/>
      <c r="BW770" s="38"/>
      <c r="BX770" s="38"/>
      <c r="BY770" s="38"/>
      <c r="BZ770" s="38"/>
      <c r="CA770" s="38"/>
      <c r="CB770" s="38"/>
      <c r="CC770" s="38"/>
      <c r="CD770" s="38"/>
      <c r="CE770" s="38"/>
      <c r="CF770" s="38"/>
      <c r="CG770" s="38"/>
      <c r="CH770" s="38"/>
      <c r="CI770" s="38"/>
      <c r="CM770" s="1352"/>
      <c r="CN770" s="1352"/>
      <c r="CO770" s="1416"/>
      <c r="CP770" s="1418"/>
      <c r="CR770" s="1386"/>
      <c r="CS770" s="1355"/>
      <c r="CT770" s="1355"/>
      <c r="CU770" s="1375"/>
      <c r="CV770" s="1372"/>
      <c r="CW770" s="1372"/>
      <c r="CX770" s="1372"/>
      <c r="CY770" s="1487"/>
      <c r="CZ770" s="1487"/>
      <c r="DA770" s="1487"/>
      <c r="DC770" s="1355"/>
      <c r="DD770" s="1355"/>
      <c r="DE770" s="1375"/>
      <c r="DF770" s="1407"/>
      <c r="DG770" s="1372"/>
      <c r="DH770" s="1369"/>
      <c r="DK770" s="1484"/>
      <c r="DL770" s="1420"/>
      <c r="DN770" s="1403"/>
      <c r="DO770" s="1405"/>
      <c r="DP770" s="1355"/>
      <c r="DQ770" s="1405"/>
      <c r="DR770" s="1403"/>
      <c r="DS770" s="1489"/>
      <c r="DU770" s="1403"/>
      <c r="DV770" s="1405"/>
      <c r="DW770" s="1403"/>
      <c r="DX770" s="1403"/>
      <c r="DZ770" s="1481"/>
      <c r="EA770" s="1481"/>
      <c r="EC770" s="1482"/>
      <c r="ED770" s="1369"/>
      <c r="EE770" s="1372"/>
      <c r="EF770" s="1369"/>
      <c r="EG770" s="1369"/>
      <c r="EH770" s="1375"/>
      <c r="EI770" s="1375"/>
      <c r="EJ770" s="1363"/>
      <c r="EK770" s="1376"/>
      <c r="EL770" s="1376"/>
      <c r="EM770" s="1362"/>
      <c r="EN770" s="1362"/>
      <c r="EO770" s="1363"/>
      <c r="EP770" s="1363"/>
      <c r="EQ770" s="1363"/>
      <c r="ES770" s="1403"/>
      <c r="EU770" s="1488"/>
      <c r="EV770" s="1488"/>
      <c r="EW770" s="1488"/>
      <c r="EX770" s="1488"/>
      <c r="EY770" s="1488"/>
      <c r="EZ770" s="1414"/>
      <c r="FB770" s="1365"/>
      <c r="FD770" s="1355"/>
      <c r="FE770" s="1355"/>
      <c r="FF770" s="138"/>
      <c r="FI770" s="1357"/>
      <c r="FJ770" s="1357"/>
      <c r="FK770" s="1365"/>
      <c r="FL770" s="1365"/>
      <c r="FM770" s="1365"/>
      <c r="FO770" s="1361"/>
      <c r="FP770" s="1361"/>
      <c r="FQ770" s="1366"/>
      <c r="FR770" s="1361"/>
      <c r="FS770" s="1361"/>
      <c r="FT770" s="1361"/>
      <c r="FU770" s="1360"/>
      <c r="FW770" s="1352"/>
      <c r="FX770" s="1352"/>
      <c r="FY770" s="1352"/>
      <c r="FZ770" s="1352"/>
      <c r="GA770" s="1352"/>
      <c r="GB770" s="1352"/>
      <c r="GC770" s="1352"/>
      <c r="GD770" s="1352"/>
      <c r="GE770" s="759"/>
      <c r="GF770" s="1035"/>
      <c r="GG770" s="1385"/>
      <c r="GJ770" s="1034">
        <f>IF(GJ768=TRUE,0,GJ$16)</f>
        <v>0</v>
      </c>
      <c r="GL770" s="1034">
        <f>IF(GL768=TRUE,0,GL$16)</f>
        <v>36</v>
      </c>
      <c r="GM770" s="1034">
        <f>IF(GM768=TRUE,0,GM$16)</f>
        <v>35</v>
      </c>
      <c r="GN770" s="436"/>
      <c r="GO770" s="436"/>
      <c r="GP770" s="436"/>
      <c r="GQ770" s="436"/>
      <c r="GR770" s="436"/>
      <c r="HC770" s="1034">
        <f t="shared" ref="HC770:HH770" si="574">IF(HC768=TRUE,0,HC$16)</f>
        <v>19</v>
      </c>
      <c r="HD770" s="1034">
        <f t="shared" si="574"/>
        <v>18</v>
      </c>
      <c r="HE770" s="1034">
        <f t="shared" si="574"/>
        <v>17</v>
      </c>
      <c r="HF770" s="1034">
        <f t="shared" si="574"/>
        <v>16</v>
      </c>
      <c r="HG770" s="1034">
        <f t="shared" si="574"/>
        <v>0</v>
      </c>
      <c r="HH770" s="1034">
        <f t="shared" si="574"/>
        <v>0</v>
      </c>
      <c r="HI770" s="1034">
        <f>IF(HI768=TRUE,0,HI$16)</f>
        <v>13</v>
      </c>
      <c r="HJ770" s="1034">
        <f t="shared" ref="HJ770:HL770" si="575">IF(HJ768=TRUE,0,HJ$16)</f>
        <v>12</v>
      </c>
      <c r="HK770" s="1034">
        <f t="shared" si="575"/>
        <v>11</v>
      </c>
      <c r="HL770" s="1034">
        <f t="shared" si="575"/>
        <v>10</v>
      </c>
      <c r="HM770" s="1034">
        <f>IF(HM768=TRUE,0,HM$16)</f>
        <v>9</v>
      </c>
      <c r="HN770" s="1034">
        <f t="shared" ref="HN770:HR770" si="576">IF(HN768=TRUE,0,HN$16)</f>
        <v>0</v>
      </c>
      <c r="HO770" s="1034">
        <f t="shared" si="576"/>
        <v>0</v>
      </c>
      <c r="HP770" s="1034">
        <f t="shared" si="576"/>
        <v>0</v>
      </c>
      <c r="HQ770" s="1034">
        <f t="shared" si="576"/>
        <v>0</v>
      </c>
      <c r="HR770" s="1034">
        <f t="shared" si="576"/>
        <v>0</v>
      </c>
      <c r="HS770" s="1034">
        <f>IF(HS768=TRUE,0,HS$16)</f>
        <v>0</v>
      </c>
      <c r="HT770" s="1034">
        <f t="shared" ref="HT770" si="577">IF(HT768=TRUE,0,HT$16)</f>
        <v>0</v>
      </c>
      <c r="HU770" s="1034">
        <f>IF(HU768=TRUE,0,HU$16)</f>
        <v>1</v>
      </c>
      <c r="HW770" s="1034">
        <f>IF(GL768=FALSE,GL770,IF(GM768=FALSE,GM770,MAX(GJ770:HU770)))</f>
        <v>36</v>
      </c>
      <c r="HX770" s="1383"/>
      <c r="HY770" s="241" t="str">
        <f>VLOOKUP(HW770,_Error_Table,3,FALSE)</f>
        <v xml:space="preserve"> </v>
      </c>
      <c r="HZ770" s="241"/>
      <c r="IA770" s="1386"/>
      <c r="IB770" s="1380"/>
      <c r="IC770" s="1379"/>
      <c r="IF770" s="1380"/>
      <c r="IG770" s="1383"/>
      <c r="IH770" s="1383"/>
      <c r="II770" s="1383"/>
      <c r="IK770" s="1351"/>
      <c r="IL770" s="1351"/>
      <c r="IM770" s="1351"/>
      <c r="IN770" s="1351"/>
      <c r="IO770" s="1351"/>
      <c r="IP770" s="1351"/>
    </row>
    <row r="771" spans="1:250" s="82" customFormat="1" ht="5.0999999999999996" customHeight="1" thickBot="1">
      <c r="B771" s="763"/>
      <c r="C771" s="1038"/>
      <c r="D771" s="1038"/>
      <c r="E771" s="1490"/>
      <c r="F771" s="1490"/>
      <c r="G771" s="1490"/>
      <c r="H771" s="1490"/>
      <c r="I771" s="1490"/>
      <c r="J771" s="1490"/>
      <c r="K771" s="1490"/>
      <c r="L771" s="1490"/>
      <c r="M771" s="1490"/>
      <c r="N771" s="1490"/>
      <c r="O771" s="1490"/>
      <c r="P771" s="1490"/>
      <c r="Q771" s="1490"/>
      <c r="R771" s="1490"/>
      <c r="S771" s="1490"/>
      <c r="T771" s="1490"/>
      <c r="U771" s="1490"/>
      <c r="V771" s="1490"/>
      <c r="W771" s="1490"/>
      <c r="X771" s="1490"/>
      <c r="Y771" s="1490"/>
      <c r="Z771" s="1490"/>
      <c r="AA771" s="1490"/>
      <c r="AB771" s="1490"/>
      <c r="AC771" s="1490"/>
      <c r="AD771" s="1490"/>
      <c r="AE771" s="1490"/>
      <c r="AF771" s="1490"/>
      <c r="AG771" s="1490"/>
      <c r="AH771" s="1490"/>
      <c r="AI771" s="1490"/>
      <c r="AJ771" s="1490"/>
      <c r="AK771" s="1490"/>
      <c r="AL771" s="1490"/>
      <c r="AM771" s="1490"/>
      <c r="AN771" s="1490"/>
      <c r="AO771" s="1490"/>
      <c r="AP771" s="1490"/>
      <c r="AQ771" s="1490"/>
      <c r="AR771" s="1490"/>
      <c r="AS771" s="1490"/>
      <c r="AT771" s="1490"/>
      <c r="AU771" s="1041"/>
      <c r="BC771" s="38"/>
      <c r="BD771" s="38"/>
      <c r="BE771" s="38"/>
      <c r="BF771" s="38"/>
      <c r="BG771" s="38"/>
      <c r="BH771" s="38"/>
      <c r="BI771" s="38"/>
      <c r="BJ771" s="38"/>
      <c r="BK771" s="38"/>
      <c r="BL771" s="38"/>
      <c r="BM771" s="38"/>
      <c r="BN771" s="38"/>
      <c r="BO771" s="38"/>
      <c r="BP771" s="38"/>
      <c r="BQ771" s="38"/>
      <c r="BR771" s="38"/>
      <c r="BS771" s="38"/>
      <c r="BT771" s="38"/>
      <c r="BU771" s="38"/>
      <c r="BV771" s="38"/>
      <c r="BW771" s="38"/>
      <c r="BX771" s="38"/>
      <c r="BY771" s="38"/>
      <c r="BZ771" s="38"/>
      <c r="CA771" s="38"/>
      <c r="CB771" s="38"/>
      <c r="CC771" s="38"/>
      <c r="CD771" s="38"/>
      <c r="CE771" s="38"/>
      <c r="CF771" s="38"/>
      <c r="CG771" s="38"/>
      <c r="CH771" s="38"/>
      <c r="CI771" s="38"/>
      <c r="CM771" s="749"/>
      <c r="CN771" s="749"/>
      <c r="CO771" s="1043"/>
      <c r="CP771" s="749"/>
      <c r="CS771" s="436"/>
      <c r="CT771" s="436"/>
      <c r="CU771" s="243"/>
      <c r="CV771" s="244"/>
      <c r="CW771" s="244"/>
      <c r="CX771" s="244"/>
      <c r="CY771" s="245"/>
      <c r="CZ771" s="245"/>
      <c r="DA771" s="245"/>
      <c r="DC771" s="750"/>
      <c r="DD771" s="751"/>
      <c r="DE771" s="752"/>
      <c r="DF771" s="753"/>
      <c r="DG771" s="754"/>
      <c r="DH771" s="754"/>
      <c r="DK771" s="244"/>
      <c r="DL771" s="750"/>
      <c r="DN771" s="750"/>
      <c r="DO771" s="755"/>
      <c r="DP771" s="436"/>
      <c r="DQ771" s="750"/>
      <c r="DR771" s="750"/>
      <c r="DS771" s="750"/>
      <c r="DU771" s="750"/>
      <c r="DV771" s="750"/>
      <c r="DW771" s="750"/>
      <c r="DX771" s="750"/>
      <c r="DZ771" s="756"/>
      <c r="EA771" s="756"/>
      <c r="EC771" s="754"/>
      <c r="ED771" s="754"/>
      <c r="EE771" s="244"/>
      <c r="EF771" s="754"/>
      <c r="EG771" s="754"/>
      <c r="EH771" s="243"/>
      <c r="EI771" s="243"/>
      <c r="EJ771" s="752"/>
      <c r="EK771" s="757"/>
      <c r="EL771" s="757"/>
      <c r="EM771" s="758"/>
      <c r="EN771" s="758"/>
      <c r="EO771" s="752"/>
      <c r="EP771" s="752"/>
      <c r="EQ771" s="752"/>
      <c r="ES771" s="750"/>
      <c r="EU771" s="436"/>
      <c r="EV771" s="436"/>
      <c r="EW771" s="436"/>
      <c r="EX771" s="436"/>
      <c r="EY771" s="436"/>
      <c r="EZ771" s="436"/>
      <c r="FB771" s="643"/>
      <c r="FD771" s="436"/>
      <c r="FE771" s="436"/>
      <c r="FF771" s="436"/>
      <c r="FO771" s="750"/>
      <c r="FP771" s="436"/>
      <c r="FQ771" s="436"/>
      <c r="FR771" s="750"/>
      <c r="FS771" s="750"/>
      <c r="FW771" s="749"/>
      <c r="FX771" s="749"/>
      <c r="FY771" s="749"/>
      <c r="FZ771" s="749"/>
      <c r="GA771" s="749"/>
      <c r="GB771" s="749"/>
      <c r="GC771" s="749"/>
      <c r="GD771" s="749"/>
      <c r="GE771" s="751"/>
      <c r="GF771" s="750"/>
      <c r="GG771" s="750"/>
    </row>
    <row r="772" spans="1:250" s="82" customFormat="1" ht="14.95" customHeight="1" thickTop="1" thickBot="1">
      <c r="B772" s="1421" t="str">
        <f>HY775</f>
        <v xml:space="preserve"> </v>
      </c>
      <c r="C772" s="1422">
        <f>C767+1</f>
        <v>142</v>
      </c>
      <c r="D772" s="1423"/>
      <c r="E772" s="1424" t="s">
        <v>242</v>
      </c>
      <c r="F772" s="1425"/>
      <c r="G772" s="1426"/>
      <c r="H772" s="1427"/>
      <c r="I772" s="1427"/>
      <c r="J772" s="1427"/>
      <c r="K772" s="1427"/>
      <c r="L772" s="1427"/>
      <c r="M772" s="1427"/>
      <c r="N772" s="1427"/>
      <c r="O772" s="1427"/>
      <c r="P772" s="1427"/>
      <c r="Q772" s="1427"/>
      <c r="R772" s="1427"/>
      <c r="S772" s="1428" t="s">
        <v>283</v>
      </c>
      <c r="T772" s="668" t="s">
        <v>190</v>
      </c>
      <c r="U772" s="1430" t="s">
        <v>186</v>
      </c>
      <c r="V772" s="1431"/>
      <c r="W772" s="1431"/>
      <c r="X772" s="1431"/>
      <c r="Y772" s="1431"/>
      <c r="Z772" s="1431"/>
      <c r="AA772" s="1431"/>
      <c r="AB772" s="1047" t="str">
        <f>IFERROR(IF(__Retrofit_TI_NC=0,VLOOKUP(U773,Fixtures_Existing_List,2,FALSE),ROUND(N774*R774/T774,10)),"")</f>
        <v/>
      </c>
      <c r="AC772" s="1039" t="str">
        <f>IFERROR(IF(__Retrofit_TI_NC=0,ROUND(T773*AB772*N773*R773/1000,0),IF(CN772="Interior",N774*R774*R773*N773*_C406_reduction/1000,N774*R774*R773*N773/1000)),"")</f>
        <v/>
      </c>
      <c r="AD772" s="1040" t="str">
        <f>IFERROR(IF(C$36=0,ROUND(T773*AB772/1000,2),N774*R774/1000),"")</f>
        <v/>
      </c>
      <c r="AE772" s="1044" t="s">
        <v>190</v>
      </c>
      <c r="AF772" s="1432" t="str">
        <f>IF(__Retrofit_TI_NC=2,CONCATENATE("Code min = ",DD772),IF(__Retrofit_TI_NC=1,"Emter what you think the existing control was"," Control"))</f>
        <v xml:space="preserve"> Control</v>
      </c>
      <c r="AG772" s="1432"/>
      <c r="AH772" s="1432"/>
      <c r="AI772" s="1432"/>
      <c r="AJ772" s="1433">
        <f>DF772</f>
        <v>0</v>
      </c>
      <c r="AK772" s="1435" t="str">
        <f>IFERROR(ROUND(AJ772*AC772,0),"")</f>
        <v/>
      </c>
      <c r="AL772" s="1437">
        <f>IFERROR(IF(HW772=FALSE,0,AC772-AK772),0)</f>
        <v>0</v>
      </c>
      <c r="AM772" s="1439">
        <f>AL772-AL774</f>
        <v>0</v>
      </c>
      <c r="AN772" s="1440"/>
      <c r="AO772" s="1445">
        <f>IFERROR(IF(HW772=FALSE,0,(T774*U775)+(AE774*AF775)),0)</f>
        <v>0</v>
      </c>
      <c r="AP772" s="1445"/>
      <c r="AQ772" s="1446"/>
      <c r="AR772" s="1451" t="s">
        <v>157</v>
      </c>
      <c r="AS772" s="1454">
        <f>IF(AR772="Yes",1,0)</f>
        <v>1</v>
      </c>
      <c r="AT772" s="1457" t="str">
        <f>IF(OR(DN772=4,DN772=5,DN772=6,DN772=12),CONCATENATE("$",IF(GD772=TRUE,Lookup!$B$11,Lookup!$B$2)," /lamp"),CONCATENATE(EA772,"/ kWh"))</f>
        <v>0/ kWh</v>
      </c>
      <c r="AU772" s="516"/>
      <c r="AV772" s="1478">
        <f>IFERROR(IF(GI773=TRUE,(AB775*T774)/R774,0),"NA")</f>
        <v>0</v>
      </c>
      <c r="AW772" s="1478" t="str">
        <f>IFERROR(N774*_C406_reduction,"NA")</f>
        <v>NA</v>
      </c>
      <c r="BC772" s="38"/>
      <c r="BD772" s="38"/>
      <c r="BE772" s="38"/>
      <c r="BF772" s="38"/>
      <c r="BG772" s="38"/>
      <c r="BH772" s="38"/>
      <c r="BI772" s="38"/>
      <c r="BJ772" s="38"/>
      <c r="BK772" s="38"/>
      <c r="BL772" s="38"/>
      <c r="BM772" s="38"/>
      <c r="BN772" s="38"/>
      <c r="BO772" s="38"/>
      <c r="BP772" s="38"/>
      <c r="BQ772" s="38"/>
      <c r="BR772" s="38"/>
      <c r="BS772" s="38"/>
      <c r="BT772" s="38"/>
      <c r="BU772" s="38"/>
      <c r="BV772" s="38"/>
      <c r="BW772" s="38"/>
      <c r="BX772" s="38"/>
      <c r="BY772" s="38"/>
      <c r="BZ772" s="38"/>
      <c r="CA772" s="38"/>
      <c r="CB772" s="38"/>
      <c r="CC772" s="38"/>
      <c r="CD772" s="38"/>
      <c r="CE772" s="38"/>
      <c r="CF772" s="38"/>
      <c r="CG772" s="38"/>
      <c r="CH772" s="38"/>
      <c r="CI772" s="38"/>
      <c r="CM772" s="1352" t="str">
        <f>N773</f>
        <v/>
      </c>
      <c r="CN772" s="1352" t="str">
        <f>IFERROR(VLOOKUP(G773,_Lookup_Heat_Type_Table_New,3,FALSE),"")</f>
        <v/>
      </c>
      <c r="CO772" s="1415" t="str">
        <f>CN772</f>
        <v/>
      </c>
      <c r="CP772" s="1417" t="e">
        <f>VLOOKUP(G774,'Space Table'!$B$3:$L$160,9,FALSE)</f>
        <v>#N/A</v>
      </c>
      <c r="CR772" s="1386" t="s">
        <v>283</v>
      </c>
      <c r="CS772" s="1353">
        <f>IF(HW772=TRUE,T773,0)</f>
        <v>0</v>
      </c>
      <c r="CT772" s="1353" t="str">
        <f>IF(HW772=TRUE,U773,"")</f>
        <v/>
      </c>
      <c r="CU772" s="1353"/>
      <c r="CV772" s="1370">
        <f>IF(HW772=TRUE,AB772,0)</f>
        <v>0</v>
      </c>
      <c r="CW772" s="1370">
        <f>IF(HW772=TRUE,AC772,0)</f>
        <v>0</v>
      </c>
      <c r="CX772" s="1370">
        <f>IFERROR(IF(HW772=TRUE,CW772-CW774,0),0)</f>
        <v>0</v>
      </c>
      <c r="CY772" s="1485">
        <f>IF(HW772=TRUE,AD772,0)</f>
        <v>0</v>
      </c>
      <c r="CZ772" s="1485">
        <f>IF(HW772=TRUE,AD775,0)</f>
        <v>0</v>
      </c>
      <c r="DA772" s="1485">
        <f>IFERROR(CY772-CZ772,0)</f>
        <v>0</v>
      </c>
      <c r="DC772" s="1353">
        <f>IF(HW772=TRUE,AE773,0)</f>
        <v>0</v>
      </c>
      <c r="DD772" s="1460">
        <f>IF(__Retrofit_TI_NC=2,IF(CN772="Exterior",O775,FM772),FK772)</f>
        <v>0</v>
      </c>
      <c r="DE772" s="1353"/>
      <c r="DF772" s="1406">
        <f>IFERROR(IF(FL772=3,IK772,IF(FL772=4,IL772,IF(FL772=5,IM772,IF(FL772=6,IN772,IF(FL772=7,IO772,IF(FL772=8,IP772,0)))))),0)</f>
        <v>0</v>
      </c>
      <c r="DG772" s="1370">
        <f>IF(HW772=TRUE,AK772,0)</f>
        <v>0</v>
      </c>
      <c r="DH772" s="1369">
        <f>IFERROR(IF(HW772=TRUE,DG774-DG772,0),0)</f>
        <v>0</v>
      </c>
      <c r="DJ772" s="1483">
        <f>IFERROR(CW772-DG772,0)</f>
        <v>0</v>
      </c>
      <c r="DL772" s="1419">
        <f>DJ772-DK774</f>
        <v>0</v>
      </c>
      <c r="DN772" s="1403" t="str">
        <f>IFERROR(IF(AND(OR(FY772=4,FY772=5,FY772=6),OR(GB772=4,GB772=5,GB772=6)),FY772+8,VLOOKUP(CT774,Fixtures!R$31:Y$78,8,FALSE)),"")</f>
        <v/>
      </c>
      <c r="DO772" s="1404" t="str">
        <f>DN772</f>
        <v/>
      </c>
      <c r="DP772" s="1353" t="str">
        <f>IFERROR(VLOOKUP(DD774,Lookup!AU$3:AV$15,2,FALSE),"")</f>
        <v/>
      </c>
      <c r="DQ772" s="1404" t="str">
        <f>IF(DP772=7,"LLLC","")</f>
        <v/>
      </c>
      <c r="DR772" s="1403">
        <f>IFERROR(IF(OR(DN772=4,DN772=5,DN772=6,DN772=12,DN772=13,DN772=14),VLOOKUP(CT774,Fixtures!DN$27:EG$77,19,FALSE),1)*CS774,0)</f>
        <v>0</v>
      </c>
      <c r="DS772" s="1489">
        <f>IF(DP772=7,IF(DD772=DD774,0,DC774),0)</f>
        <v>0</v>
      </c>
      <c r="DU772" s="1403" t="str">
        <f>IFERROR(IF(EW772&lt;EW774,"Yes","No"),"")</f>
        <v/>
      </c>
      <c r="DV772" s="1404" t="str">
        <f>DU772</f>
        <v/>
      </c>
      <c r="DW772" s="1403">
        <f>IF(DU772="Yes",DC774,0)</f>
        <v>0</v>
      </c>
      <c r="DX772" s="1403">
        <f>DW772-DS772</f>
        <v>0</v>
      </c>
      <c r="DZ772" s="1481">
        <f>IFERROR(VLOOKUP(DN772,Lookup!AN$3:AO$16,2,FALSE),0)</f>
        <v>0</v>
      </c>
      <c r="EA772" s="1481">
        <f>IF(HW772=FALSE,0,IF(DU772="Yes",DZ772+Lookup!B$6,DZ772))</f>
        <v>0</v>
      </c>
      <c r="EC772" s="1482">
        <f>IF(HW772=TRUE,DJ772,0)</f>
        <v>0</v>
      </c>
      <c r="ED772" s="1369">
        <f>IF(HW772=TRUE,CW774,0)</f>
        <v>0</v>
      </c>
      <c r="EE772" s="1370">
        <f>IFERROR(EC772-ED772,0)</f>
        <v>0</v>
      </c>
      <c r="EF772" s="1369">
        <f>IF(HW772=TRUE,DG774,0)</f>
        <v>0</v>
      </c>
      <c r="EG772" s="1369">
        <f>IFERROR(EC772-ED772+EF772,0)</f>
        <v>0</v>
      </c>
      <c r="EH772" s="1373">
        <f>IF(HW772=TRUE,CS774*CU774,0)</f>
        <v>0</v>
      </c>
      <c r="EI772" s="1373">
        <f>IF(HW772=TRUE,DC774*DE774,0)</f>
        <v>0</v>
      </c>
      <c r="EJ772" s="1363">
        <f>AO772</f>
        <v>0</v>
      </c>
      <c r="EK772" s="1376" t="str">
        <f>IFERROR(IF(HW772=TRUE,VLOOKUP(DN772,Lookup!AN$3:AP$16,3,FALSE)*DR772,""),0)</f>
        <v/>
      </c>
      <c r="EL772" s="1376">
        <f>IF(HW772=TRUE,DW772*Lookup!AP$12,0)</f>
        <v>0</v>
      </c>
      <c r="EM772" s="1362">
        <f>IFERROR(IF(HW772=TRUE,EK772/EM$33,0),0)</f>
        <v>0</v>
      </c>
      <c r="EN772" s="1362">
        <f>IF(HW772=TRUE,EL772/EN$33,0)</f>
        <v>0</v>
      </c>
      <c r="EO772" s="1363">
        <f>IF(HW772=TRUE,EQ$33*EM772,0)</f>
        <v>0</v>
      </c>
      <c r="EP772" s="1363">
        <f>IF(HW772=TRUE,EQ$33*EN772,0)</f>
        <v>0</v>
      </c>
      <c r="EQ772" s="1363">
        <f>EO772+EP772</f>
        <v>0</v>
      </c>
      <c r="ES772" s="1403">
        <f>IF(G772="",0,1)</f>
        <v>0</v>
      </c>
      <c r="EU772" s="1410" t="e">
        <f>VLOOKUP(CP774,'Space Table'!$B$3:$L$160,8,FALSE)</f>
        <v>#N/A</v>
      </c>
      <c r="EV772" s="1410" t="e">
        <f>IF(EY772="Yes",VLOOKUP(DD772,Lookup_Control_Type_Table2,4,FALSE),VLOOKUP(DD772,Lookup_Control_Type_Table2,3,FALSE))</f>
        <v>#N/A</v>
      </c>
      <c r="EW772" s="1410" t="e">
        <f>VLOOKUP(DD772,Lookup!AU$3:AV$15,2,FALSE)</f>
        <v>#N/A</v>
      </c>
      <c r="EX772" s="1410" t="e">
        <f>VLOOKUP(EU772,Lookup_Control_Type_Table,2,FALSE)</f>
        <v>#N/A</v>
      </c>
      <c r="EY772" s="1410" t="e">
        <f>VLOOKUP(CP774,'Space Table'!$B$3:$L$160,7,FALSE)</f>
        <v>#N/A</v>
      </c>
      <c r="EZ772" s="1412" t="b">
        <f>ISNUMBER(SEARCH("TLED",U774))</f>
        <v>0</v>
      </c>
      <c r="FB772" s="1365" t="str">
        <f>CONCATENATE(CN772," - ",DD772)</f>
        <v xml:space="preserve"> - 0</v>
      </c>
      <c r="FD772" s="1353" t="str">
        <f>VLOOKUP(CT774,Fixtures!DN$27:EZ$77,38,FALSE)</f>
        <v/>
      </c>
      <c r="FE772" s="1353">
        <f>IFERROR(FD772*EE772,0)</f>
        <v>0</v>
      </c>
      <c r="FF772" s="138"/>
      <c r="FI772" s="1356" t="str">
        <f>IF(CN772="Exterior","Not Daylighted",G775)</f>
        <v>Not Daylighted</v>
      </c>
      <c r="FJ772" s="1356">
        <f>VLOOKUP(FI772,_Daylight_Table_Codes,2,FALSE)</f>
        <v>0</v>
      </c>
      <c r="FK772" s="1365">
        <f>IF(__Retrofit_TI_NC=2,VLOOKUP(G774,'Space Table'!$B$3:$L$160,11,FALSE),AF773)</f>
        <v>0</v>
      </c>
      <c r="FL772" s="1365" t="e">
        <f>VLOOKUP(FK772,_Control_Table,2,FALSE)</f>
        <v>#N/A</v>
      </c>
      <c r="FM772" s="1365" t="e">
        <f>IF(AND(FP772&gt;0,FK772="Occupancy Sensor"),"Daylight + Occupancy",IF(AND(FP772&gt;0,FL772&lt;4),"Interior Daylight Dimming",FK772))</f>
        <v>#N/A</v>
      </c>
      <c r="FO772" s="1364">
        <f>IF(CO772="Interior",VLOOKUP(CP772,Control_Savings_Interior,5,FALSE),0)</f>
        <v>0</v>
      </c>
      <c r="FP772" s="1361">
        <f>IF(CN772="Exterior",0,IF(FJ772=2,0.5,IF(OR(FJ772=1,FJ772=3),1,0)))</f>
        <v>0</v>
      </c>
      <c r="FQ772" s="1366"/>
      <c r="FR772" s="1367"/>
      <c r="FS772" s="1364"/>
      <c r="FT772" s="1367"/>
      <c r="FU772" s="1360"/>
      <c r="FW772" s="1352" t="str">
        <f>IFERROR(VLOOKUP(U773,_Exist_Fixture_Table,3,FALSE),"")</f>
        <v/>
      </c>
      <c r="FX772" s="1352" t="str">
        <f>VLOOKUP(CT772,_Exist_Fixture_Table,4,FALSE)</f>
        <v/>
      </c>
      <c r="FY772" s="1352">
        <f>IFERROR(VLOOKUP(FX772,Lookup!AM$6:AN$8,2,FALSE),0)</f>
        <v>0</v>
      </c>
      <c r="FZ772" s="1352" t="b">
        <f>IFERROR(IF(OR(GB772=4,GB772=5,GB772=6),TRUE,FALSE),"")</f>
        <v>0</v>
      </c>
      <c r="GA772" s="1352" t="str">
        <f>IFERROR(VLOOKUP(GB772,FY$6:FZ$10,2,FALSE),"")</f>
        <v/>
      </c>
      <c r="GB772" s="1352" t="str">
        <f>VLOOKUP(CT774,Fixtures!R$31:Y$78,8,FALSE)</f>
        <v/>
      </c>
      <c r="GC772" s="1352">
        <f>IF(AND(FW772=TRUE,FZ772=TRUE,OR(DN772=12,DN772=13,DN772=14)),FY772+8,0)</f>
        <v>0</v>
      </c>
      <c r="GD772" s="1352" t="b">
        <f>IF(OR(GC772=12,GC772=13,GC772=14),TRUE,FALSE)</f>
        <v>0</v>
      </c>
      <c r="GE772" s="759" t="b">
        <f>IF(ISNUMBER(SEARCH("TLED",U773)),TRUE,FALSE)</f>
        <v>0</v>
      </c>
      <c r="GF772" s="1035" t="str">
        <f>IFERROR(VLOOKUP(U773,Fixtures!BM$93:BR$142,6,FALSE),"")</f>
        <v/>
      </c>
      <c r="GG772" s="1385" t="b">
        <f>IF(OR(GE772=FALSE,GE774=FALSE),TRUE,IF(GF772-GF774&lt;5,FALSE,TRUE))</f>
        <v>1</v>
      </c>
      <c r="GK772" s="1034">
        <f>GL772</f>
        <v>0</v>
      </c>
      <c r="GL772" s="1034">
        <f>IF(G772="",0,1)</f>
        <v>0</v>
      </c>
      <c r="GM772" s="1034">
        <f>SUM(GN772:HB772)</f>
        <v>2</v>
      </c>
      <c r="GN772" s="1034">
        <f>IF(G773="",0,1)</f>
        <v>0</v>
      </c>
      <c r="GO772" s="1034">
        <f>IF(G774="",0,1)</f>
        <v>0</v>
      </c>
      <c r="GP772" s="1034">
        <f>IF(R773="",0,1)</f>
        <v>0</v>
      </c>
      <c r="GQ772" s="1034">
        <f>IF(__Retrofit_TI_NC=0,1,IF(R774="",0,1))</f>
        <v>1</v>
      </c>
      <c r="GR772" s="1034">
        <f>IF(CN772="Exterior",1,IF(G775="",0,1))</f>
        <v>1</v>
      </c>
      <c r="GS772" s="1034">
        <f>IF(__Retrofit_TI_NC&lt;&gt;0,1,IF(T773="",0,1))</f>
        <v>0</v>
      </c>
      <c r="GT772" s="1034">
        <f>IF(__Retrofit_TI_NC&lt;&gt;0,1,IF(U773="",0,1))</f>
        <v>0</v>
      </c>
      <c r="GU772" s="1034">
        <f>IF(T774="",0,1)</f>
        <v>0</v>
      </c>
      <c r="GV772" s="1034">
        <f>IF(U774="",0,1)</f>
        <v>0</v>
      </c>
      <c r="GW772" s="1034">
        <f>IF(__Retrofit_TI_NC=2,1,IF(U775="",0,1))</f>
        <v>0</v>
      </c>
      <c r="GX772" s="1034">
        <f>IF(__Retrofit_TI_NC&lt;&gt;0,1,IF(AE773="",0,1))</f>
        <v>0</v>
      </c>
      <c r="GY772" s="1034">
        <f>IF(__Retrofit_TI_NC&lt;&gt;0,1,IF(AF773="",0,1))</f>
        <v>0</v>
      </c>
      <c r="GZ772" s="1034">
        <f>IF(AE774="",0,1)</f>
        <v>0</v>
      </c>
      <c r="HA772" s="1034">
        <f>IF(AF774="",0,1)</f>
        <v>0</v>
      </c>
      <c r="HB772" s="1034">
        <f>IF(__Retrofit_TI_NC=2,1,IF(AF775="",0,1))</f>
        <v>0</v>
      </c>
      <c r="HV772" s="436"/>
      <c r="HW772" s="1384" t="b">
        <f>IF(OR(HW775=0,HW775=HT$16,HW775=HS$16,HW775=HU$16),TRUE,FALSE)</f>
        <v>0</v>
      </c>
      <c r="HX772" s="1377" t="b">
        <f>HW772</f>
        <v>0</v>
      </c>
      <c r="HY772" s="436"/>
      <c r="HZ772" s="436"/>
      <c r="IA772" s="1386" t="b">
        <f>IF(MAX(GJ775:HP775)&gt;5,FALSE,TRUE)</f>
        <v>0</v>
      </c>
      <c r="IB772" s="1380">
        <f>IF(IA772=TRUE,AC772,0)</f>
        <v>0</v>
      </c>
      <c r="IC772" s="1380">
        <f>IB772-IB774</f>
        <v>0</v>
      </c>
      <c r="IF772" s="1380" t="e">
        <f>ROUND(T773*VLOOKUP(U773,Fixtures_Existing_List,2,FALSE)*N773*R773/1000,0)</f>
        <v>#N/A</v>
      </c>
      <c r="IG772" s="1381" t="e">
        <f>IF772-IF774</f>
        <v>#N/A</v>
      </c>
      <c r="IH772" s="1384" t="e">
        <f>ROUND(IF(CN772="Interior",N774*R774*R773*N773*_C406_reduction/1000,N774*R774*R773*N773/1000),0)</f>
        <v>#N/A</v>
      </c>
      <c r="II772" s="1384" t="e">
        <f>IH772-IH774</f>
        <v>#N/A</v>
      </c>
      <c r="IK772" s="1351" t="e">
        <f>IF($CO772="interior",IL772/2,VLOOKUP($CP772,Control_Savings_Exterior,IK$30,FALSE))</f>
        <v>#N/A</v>
      </c>
      <c r="IL772" s="1351" t="e">
        <f>IF($CO772="interior",VLOOKUP($CP772,Control_Savings_Interior,IL$30,FALSE),VLOOKUP($CP772,Control_Savings_Exterior,IL$30,FALSE))</f>
        <v>#N/A</v>
      </c>
      <c r="IM772" s="1351" t="e">
        <f>IF($CO772="interior",IF(R773&gt;FO$37,(IM$28*(FO$37/R773)),IM$28)*FP772,VLOOKUP($CP772,Control_Savings_Exterior,IM$30,FALSE))</f>
        <v>#N/A</v>
      </c>
      <c r="IN772" s="1351" t="e">
        <f>IF($CO772="interior",ROUND(((1-IL772)*IM772)+IL772,2),VLOOKUP($CP772,Control_Savings_Exterior,IN$30,FALSE))</f>
        <v>#N/A</v>
      </c>
      <c r="IO772" s="1351" t="e">
        <f>IF($CO772="interior", ROUND(((1-IL772)*(IM772*(1-IP$28)))+IP772,2), VLOOKUP($CP772,Control_Savings_Exterior,IO$30,FALSE))</f>
        <v>#N/A</v>
      </c>
      <c r="IP772" s="1351">
        <f>IF($CO772="interior",ROUND(((1-IL772)*IP$28)+IL772,2),0)</f>
        <v>0</v>
      </c>
    </row>
    <row r="773" spans="1:250" s="82" customFormat="1" ht="14.95" customHeight="1" thickTop="1" thickBot="1">
      <c r="B773" s="1421"/>
      <c r="C773" s="1422"/>
      <c r="D773" s="1423"/>
      <c r="E773" s="1393" t="s">
        <v>244</v>
      </c>
      <c r="F773" s="1394"/>
      <c r="G773" s="1395"/>
      <c r="H773" s="1395"/>
      <c r="I773" s="1395"/>
      <c r="J773" s="1395"/>
      <c r="K773" s="1395"/>
      <c r="L773" s="1395"/>
      <c r="M773" s="509" t="e">
        <f>IF(__Retrofit_TI_NC&lt;&gt;0,IF(VLOOKUP(G774,'Space Table'!$B$3:$L$160,3,FALSE)&gt;0,1,0),IF(__Retrofit_TI_NC=VLOOKUP(G774,'Space Table'!$B$3:$L$160,3,FALSE),1,0))</f>
        <v>#N/A</v>
      </c>
      <c r="N773" s="509" t="str">
        <f>IFERROR(VLOOKUP(G773,_Lookup_Heat_Type_Table_New,2,FALSE),"")</f>
        <v/>
      </c>
      <c r="O773" s="509">
        <f>IF(__Retrofit_TI_NC=1,CONCATENATE("TI ",G773),IF(__Retrofit_TI_NC=2,CONCATENATE("NC ",G773),G773))</f>
        <v>0</v>
      </c>
      <c r="P773" s="1396" t="s">
        <v>352</v>
      </c>
      <c r="Q773" s="1396"/>
      <c r="R773" s="673"/>
      <c r="S773" s="1429"/>
      <c r="T773" s="675"/>
      <c r="U773" s="1496"/>
      <c r="V773" s="1497"/>
      <c r="W773" s="1497"/>
      <c r="X773" s="1497"/>
      <c r="Y773" s="1497"/>
      <c r="Z773" s="1497"/>
      <c r="AA773" s="1497"/>
      <c r="AB773" s="1497"/>
      <c r="AC773" s="1497"/>
      <c r="AD773" s="1498"/>
      <c r="AE773" s="675"/>
      <c r="AF773" s="1397"/>
      <c r="AG773" s="1397"/>
      <c r="AH773" s="1397"/>
      <c r="AI773" s="1397"/>
      <c r="AJ773" s="1434"/>
      <c r="AK773" s="1436"/>
      <c r="AL773" s="1438"/>
      <c r="AM773" s="1441"/>
      <c r="AN773" s="1442"/>
      <c r="AO773" s="1447"/>
      <c r="AP773" s="1447"/>
      <c r="AQ773" s="1448"/>
      <c r="AR773" s="1452"/>
      <c r="AS773" s="1455"/>
      <c r="AT773" s="1458"/>
      <c r="AU773" s="516"/>
      <c r="AV773" s="1479"/>
      <c r="AW773" s="1479"/>
      <c r="BC773" s="38"/>
      <c r="BD773" s="38"/>
      <c r="BE773" s="38"/>
      <c r="BF773" s="38"/>
      <c r="BG773" s="38"/>
      <c r="BH773" s="38"/>
      <c r="BI773" s="38"/>
      <c r="BJ773" s="38"/>
      <c r="BK773" s="38"/>
      <c r="BL773" s="38"/>
      <c r="BM773" s="38"/>
      <c r="BN773" s="38"/>
      <c r="BO773" s="38"/>
      <c r="BP773" s="38"/>
      <c r="BQ773" s="38"/>
      <c r="BR773" s="38"/>
      <c r="BS773" s="38"/>
      <c r="BT773" s="38"/>
      <c r="BU773" s="38"/>
      <c r="BV773" s="38"/>
      <c r="BW773" s="38"/>
      <c r="BX773" s="38"/>
      <c r="BY773" s="38"/>
      <c r="BZ773" s="38"/>
      <c r="CA773" s="38"/>
      <c r="CB773" s="38"/>
      <c r="CC773" s="38"/>
      <c r="CD773" s="38"/>
      <c r="CE773" s="38"/>
      <c r="CF773" s="38"/>
      <c r="CG773" s="38"/>
      <c r="CH773" s="38"/>
      <c r="CI773" s="38"/>
      <c r="CM773" s="1352"/>
      <c r="CN773" s="1352"/>
      <c r="CO773" s="1416"/>
      <c r="CP773" s="1418"/>
      <c r="CR773" s="1386"/>
      <c r="CS773" s="1355"/>
      <c r="CT773" s="1355"/>
      <c r="CU773" s="1355"/>
      <c r="CV773" s="1372"/>
      <c r="CW773" s="1372"/>
      <c r="CX773" s="1371"/>
      <c r="CY773" s="1486"/>
      <c r="CZ773" s="1486"/>
      <c r="DA773" s="1486"/>
      <c r="DC773" s="1355"/>
      <c r="DD773" s="1461"/>
      <c r="DE773" s="1355"/>
      <c r="DF773" s="1407"/>
      <c r="DG773" s="1372"/>
      <c r="DH773" s="1369"/>
      <c r="DJ773" s="1484"/>
      <c r="DL773" s="1419"/>
      <c r="DN773" s="1403"/>
      <c r="DO773" s="1405"/>
      <c r="DP773" s="1354"/>
      <c r="DQ773" s="1405"/>
      <c r="DR773" s="1403"/>
      <c r="DS773" s="1489"/>
      <c r="DU773" s="1403"/>
      <c r="DV773" s="1405"/>
      <c r="DW773" s="1403"/>
      <c r="DX773" s="1403"/>
      <c r="DZ773" s="1481"/>
      <c r="EA773" s="1481"/>
      <c r="EC773" s="1482"/>
      <c r="ED773" s="1369"/>
      <c r="EE773" s="1371"/>
      <c r="EF773" s="1369"/>
      <c r="EG773" s="1369"/>
      <c r="EH773" s="1374"/>
      <c r="EI773" s="1374"/>
      <c r="EJ773" s="1363"/>
      <c r="EK773" s="1376"/>
      <c r="EL773" s="1376"/>
      <c r="EM773" s="1362"/>
      <c r="EN773" s="1362"/>
      <c r="EO773" s="1363"/>
      <c r="EP773" s="1363"/>
      <c r="EQ773" s="1363"/>
      <c r="ES773" s="1403"/>
      <c r="EU773" s="1411"/>
      <c r="EV773" s="1411"/>
      <c r="EW773" s="1411"/>
      <c r="EX773" s="1411"/>
      <c r="EY773" s="1411"/>
      <c r="EZ773" s="1413"/>
      <c r="FB773" s="1365"/>
      <c r="FD773" s="1354"/>
      <c r="FE773" s="1354"/>
      <c r="FF773" s="138"/>
      <c r="FI773" s="1357"/>
      <c r="FJ773" s="1357"/>
      <c r="FK773" s="1365"/>
      <c r="FL773" s="1365"/>
      <c r="FM773" s="1365"/>
      <c r="FO773" s="1361"/>
      <c r="FP773" s="1361"/>
      <c r="FQ773" s="1366"/>
      <c r="FR773" s="1368"/>
      <c r="FS773" s="1361"/>
      <c r="FT773" s="1368"/>
      <c r="FU773" s="1360"/>
      <c r="FW773" s="1352"/>
      <c r="FX773" s="1352"/>
      <c r="FY773" s="1352"/>
      <c r="FZ773" s="1352"/>
      <c r="GA773" s="1352"/>
      <c r="GB773" s="1352"/>
      <c r="GC773" s="1352"/>
      <c r="GD773" s="1352"/>
      <c r="GE773" s="759"/>
      <c r="GF773" s="1035"/>
      <c r="GG773" s="1385"/>
      <c r="GI773" s="1384" t="b">
        <f>IF(AND(GL773=TRUE,GM773=TRUE),TRUE,FALSE)</f>
        <v>0</v>
      </c>
      <c r="GJ773" s="1379" t="b">
        <f>IFERROR(IF(__Retrofit_TI_NC=2,TRUE,IF(AR772="Yes",TRUE,FALSE)),FALSE)</f>
        <v>1</v>
      </c>
      <c r="GL773" s="1379" t="b">
        <f>IFERROR(IF(GL772=1,TRUE,FALSE),FALSE)</f>
        <v>0</v>
      </c>
      <c r="GM773" s="1379" t="b">
        <f>IFERROR(IF(GM772=GM$14,TRUE,FALSE),FALSE)</f>
        <v>0</v>
      </c>
      <c r="HC773" s="1379" t="b">
        <f>IFERROR(IF(M773=1,TRUE,FALSE),FALSE)</f>
        <v>0</v>
      </c>
      <c r="HD773" s="1379" t="b">
        <f>IFERROR(IF(M774=1,TRUE,FALSE),FALSE)</f>
        <v>0</v>
      </c>
      <c r="HE773" s="1379" t="b">
        <f>IFERROR(IF(__Retrofit_TI_NC&lt;&gt;0,TRUE,IFERROR(IF(VLOOKUP(U773,Fixtures_Existing_List,2,FALSE)&lt;&gt;"",TRUE,FALSE),FALSE)),FALSE)</f>
        <v>0</v>
      </c>
      <c r="HF773" s="1379" t="b">
        <f>IFERROR(IF(VLOOKUP(U774,Fixtures_Proposed_List,2,FALSE)&lt;&gt;"",TRUE,FALSE),FALSE)</f>
        <v>0</v>
      </c>
      <c r="HG773" s="1379" t="b">
        <f>IF(AND(__Retrofit_TI_NC=2,EZ772=TRUE),FALSE,TRUE)</f>
        <v>1</v>
      </c>
      <c r="HH773" s="1379" t="b">
        <f>GG772</f>
        <v>1</v>
      </c>
      <c r="HI773" s="1384" t="b">
        <f>IF(ISERROR(MATCH(FB772,_Control_Match[],0))=TRUE,FALSE,TRUE)</f>
        <v>0</v>
      </c>
      <c r="HJ773" s="1384" t="b">
        <f>IFERROR(IF(EU772&lt;&gt;EV772,FALSE,TRUE),FALSE)</f>
        <v>0</v>
      </c>
      <c r="HK773" s="1384" t="b">
        <f>IFERROR(IF(EU774&lt;&gt;EV774,FALSE,TRUE),FALSE)</f>
        <v>0</v>
      </c>
      <c r="HL773" s="1379" t="b">
        <f>IFERROR(IF(CN772="Exterior",TRUE,IF(OR(AND(FJ772=0,EW774&gt;4),AND(FJ772=4,EW774&gt;4,EW774&lt;7)),FALSE,TRUE)),FALSE)</f>
        <v>0</v>
      </c>
      <c r="HM773" s="1379" t="b">
        <f>IFERROR(IF(AND(FL774=7,EZ772=TRUE),FALSE,TRUE),FALSE)</f>
        <v>0</v>
      </c>
      <c r="HN773" s="1379" t="b">
        <f>IFERROR(IF(AND(T774&lt;&gt;AE774,AF774="Interior LLLC")=TRUE,FALSE,TRUE),FALSE)</f>
        <v>1</v>
      </c>
      <c r="HO773" s="1379" t="b">
        <f>IFERROR(IF(OR(AF774=Lookup!AU$13,AF774=Lookup!AU$14)=TRUE,IF(AE774&gt;T774,FALSE,TRUE),TRUE),FALSE)</f>
        <v>1</v>
      </c>
      <c r="HP773" s="1379" t="b">
        <f>IFERROR(IF(__Retrofit_TI_NC=2,IF(EW774&lt;EW772,FALSE,TRUE),TRUE),FALSE)</f>
        <v>1</v>
      </c>
      <c r="HQ773" s="1379" t="b">
        <f>IF(CN772="Interior",IG$6,TRUE)</f>
        <v>1</v>
      </c>
      <c r="HR773" s="1379" t="b">
        <f>IF(CN772="Exterior",IG$8,TRUE)</f>
        <v>1</v>
      </c>
      <c r="HS773" s="1379" t="b">
        <f>IFERROR(IF(__Retrofit_TI_NC&lt;&gt;0,IF(AW772&lt;AV772,FALSE,TRUE),TRUE),FALSE)</f>
        <v>1</v>
      </c>
      <c r="HT773" s="1379" t="b">
        <f>IFERROR(IF(AND(G773="Exterior",R773&gt;4200),FALSE,TRUE),FALSE)</f>
        <v>1</v>
      </c>
      <c r="HU773" s="1379" t="b">
        <f>IFERROR(IF(AB775/AB772&lt;HU$18,FALSE,TRUE),FALSE)</f>
        <v>0</v>
      </c>
      <c r="HW773" s="1382"/>
      <c r="HX773" s="1378"/>
      <c r="HY773" s="1377" t="str">
        <f>VLOOKUP(HW775,_Error_Table,4,FALSE)</f>
        <v>White</v>
      </c>
      <c r="HZ773" s="436"/>
      <c r="IA773" s="1386"/>
      <c r="IB773" s="1380"/>
      <c r="IC773" s="1379"/>
      <c r="IF773" s="1380"/>
      <c r="IG773" s="1382"/>
      <c r="IH773" s="1382"/>
      <c r="II773" s="1382"/>
      <c r="IK773" s="1351"/>
      <c r="IL773" s="1351"/>
      <c r="IM773" s="1351"/>
      <c r="IN773" s="1351"/>
      <c r="IO773" s="1351"/>
      <c r="IP773" s="1351"/>
    </row>
    <row r="774" spans="1:250" s="82" customFormat="1" ht="14.95" customHeight="1" thickTop="1" thickBot="1">
      <c r="A774" s="82">
        <f>ROW()</f>
        <v>774</v>
      </c>
      <c r="B774" s="1421"/>
      <c r="C774" s="1422"/>
      <c r="D774" s="1423"/>
      <c r="E774" s="1393" t="s">
        <v>245</v>
      </c>
      <c r="F774" s="1394"/>
      <c r="G774" s="1398"/>
      <c r="H774" s="1399"/>
      <c r="I774" s="1399"/>
      <c r="J774" s="1399"/>
      <c r="K774" s="1399"/>
      <c r="L774" s="1400"/>
      <c r="M774" s="509">
        <f>IFERROR(IF(IF(__Retrofit_TI_NC&lt;&gt;0,IF(CN772="Interior",MATCH(G774,Lookup_Interior_New,0),MATCH(G774,Lookup_Exterior_New,0)),IF(CN772="Interior",MATCH(G774,Lookup_Interior,0),MATCH(G774,Lookup_Exterior_Areas,0)))&gt;0,1,0),0)</f>
        <v>0</v>
      </c>
      <c r="N774" s="509" t="e">
        <f>IF(__Retrofit_TI_NC=1,
VLOOKUP(G774,'Space Table'!$B$3:$L$160,4,FALSE),
IF(__Retrofit_TI_NC=2,VLOOKUP(G774,'Space Table'!$B$3:$L$160,5,FALSE),VLOOKUP(G774,'Space Table'!$B$3:$L$160,5,FALSE)))</f>
        <v>#N/A</v>
      </c>
      <c r="O774" s="509">
        <f>G774</f>
        <v>0</v>
      </c>
      <c r="P774" s="1394" t="s">
        <v>355</v>
      </c>
      <c r="Q774" s="1394"/>
      <c r="R774" s="674"/>
      <c r="S774" s="1401" t="s">
        <v>284</v>
      </c>
      <c r="T774" s="672"/>
      <c r="U774" s="1499"/>
      <c r="V774" s="1500"/>
      <c r="W774" s="1500"/>
      <c r="X774" s="1500"/>
      <c r="Y774" s="1500"/>
      <c r="Z774" s="1500"/>
      <c r="AA774" s="1500"/>
      <c r="AB774" s="1501"/>
      <c r="AC774" s="1501"/>
      <c r="AD774" s="1502"/>
      <c r="AE774" s="672"/>
      <c r="AF774" s="1474"/>
      <c r="AG774" s="1474"/>
      <c r="AH774" s="1474"/>
      <c r="AI774" s="1474"/>
      <c r="AJ774" s="1475">
        <f>DF774</f>
        <v>0</v>
      </c>
      <c r="AK774" s="1470" t="str">
        <f>IFERROR(ROUND(AJ774*AC775,0),"")</f>
        <v/>
      </c>
      <c r="AL774" s="1472">
        <f>IFERROR(IF(HW772=FALSE,0,AC775-AK774),0)</f>
        <v>0</v>
      </c>
      <c r="AM774" s="1441"/>
      <c r="AN774" s="1442"/>
      <c r="AO774" s="1447"/>
      <c r="AP774" s="1447"/>
      <c r="AQ774" s="1448"/>
      <c r="AR774" s="1452"/>
      <c r="AS774" s="1455"/>
      <c r="AT774" s="1458"/>
      <c r="AU774" s="516"/>
      <c r="AV774" s="1479"/>
      <c r="AW774" s="1479"/>
      <c r="BC774" s="38"/>
      <c r="BD774" s="38"/>
      <c r="BE774" s="38"/>
      <c r="BF774" s="38"/>
      <c r="BG774" s="38"/>
      <c r="BH774" s="38"/>
      <c r="BI774" s="38"/>
      <c r="BJ774" s="38"/>
      <c r="BK774" s="38"/>
      <c r="BL774" s="38"/>
      <c r="BM774" s="38"/>
      <c r="BN774" s="38"/>
      <c r="BO774" s="38"/>
      <c r="BP774" s="38"/>
      <c r="BQ774" s="38"/>
      <c r="BR774" s="38"/>
      <c r="BS774" s="38"/>
      <c r="BT774" s="38"/>
      <c r="BU774" s="38"/>
      <c r="BV774" s="38"/>
      <c r="BW774" s="38"/>
      <c r="BX774" s="38"/>
      <c r="BY774" s="38"/>
      <c r="BZ774" s="38"/>
      <c r="CA774" s="38"/>
      <c r="CB774" s="38"/>
      <c r="CC774" s="38"/>
      <c r="CD774" s="38"/>
      <c r="CE774" s="38"/>
      <c r="CF774" s="38"/>
      <c r="CG774" s="38"/>
      <c r="CH774" s="38"/>
      <c r="CI774" s="38"/>
      <c r="CM774" s="1352"/>
      <c r="CN774" s="1352"/>
      <c r="CO774" s="1415" t="str">
        <f>CN772</f>
        <v/>
      </c>
      <c r="CP774" s="1417" t="e">
        <f>CP772</f>
        <v>#N/A</v>
      </c>
      <c r="CR774" s="1386" t="s">
        <v>284</v>
      </c>
      <c r="CS774" s="1353">
        <f>IF(HW772=TRUE,T774,0)</f>
        <v>0</v>
      </c>
      <c r="CT774" s="1353" t="str">
        <f>IF(HW772=TRUE,U774,"")</f>
        <v/>
      </c>
      <c r="CU774" s="1373">
        <f>IF(HW772=TRUE,U775,0)</f>
        <v>0</v>
      </c>
      <c r="CV774" s="1370">
        <f>IF(HW772=TRUE,AB775,0)</f>
        <v>0</v>
      </c>
      <c r="CW774" s="1370">
        <f>IF(HW772=TRUE,AC775,0)</f>
        <v>0</v>
      </c>
      <c r="CX774" s="1371"/>
      <c r="CY774" s="1486"/>
      <c r="CZ774" s="1486"/>
      <c r="DA774" s="1486"/>
      <c r="DC774" s="1353">
        <f>IF(HW772=TRUE,AE774,0)</f>
        <v>0</v>
      </c>
      <c r="DD774" s="1353" t="str">
        <f>IF(HW772=TRUE,AF774,"")</f>
        <v/>
      </c>
      <c r="DE774" s="1373">
        <f>AF775</f>
        <v>0</v>
      </c>
      <c r="DF774" s="1406">
        <f>IFERROR(IF(FL774=3,IK774,IF(FL774=4,IL774,IF(FL774=5,IM774,IF(FL774=6,IN774,IF(FL774=7,IO774,IF(FL774=8,IP774,0)))))),0)</f>
        <v>0</v>
      </c>
      <c r="DG774" s="1370">
        <f>IF(HW772=TRUE,AK774,0)</f>
        <v>0</v>
      </c>
      <c r="DH774" s="1369"/>
      <c r="DK774" s="1483">
        <f>IFERROR(CW774-DG774,0)</f>
        <v>0</v>
      </c>
      <c r="DL774" s="1420"/>
      <c r="DN774" s="1403"/>
      <c r="DO774" s="1477" t="str">
        <f>DN772</f>
        <v/>
      </c>
      <c r="DP774" s="1354"/>
      <c r="DQ774" s="1477" t="str">
        <f>IF(DP772=7,"LLLC","")</f>
        <v/>
      </c>
      <c r="DR774" s="1403"/>
      <c r="DS774" s="1489"/>
      <c r="DU774" s="1403"/>
      <c r="DV774" s="1404" t="str">
        <f>DU772</f>
        <v/>
      </c>
      <c r="DW774" s="1403"/>
      <c r="DX774" s="1403"/>
      <c r="DZ774" s="1481"/>
      <c r="EA774" s="1481"/>
      <c r="EC774" s="1482"/>
      <c r="ED774" s="1369"/>
      <c r="EE774" s="1371"/>
      <c r="EF774" s="1369"/>
      <c r="EG774" s="1369"/>
      <c r="EH774" s="1374"/>
      <c r="EI774" s="1374"/>
      <c r="EJ774" s="1363"/>
      <c r="EK774" s="1376"/>
      <c r="EL774" s="1376"/>
      <c r="EM774" s="1362"/>
      <c r="EN774" s="1362"/>
      <c r="EO774" s="1363"/>
      <c r="EP774" s="1363"/>
      <c r="EQ774" s="1363"/>
      <c r="ES774" s="1403"/>
      <c r="EU774" s="1411" t="e">
        <f>VLOOKUP(CP774,'Space Table'!$B$3:$L$160,8,FALSE)</f>
        <v>#N/A</v>
      </c>
      <c r="EV774" s="1411" t="e">
        <f>IF(EY774="Yes",VLOOKUP(AF774,Lookup_Control_Type_Table2,4,FALSE),VLOOKUP(AF774,Lookup_Control_Type_Table2,3,FALSE))</f>
        <v>#N/A</v>
      </c>
      <c r="EW774" s="1411" t="e">
        <f>VLOOKUP(AF774,Lookup!AU$3:AV$15,2,FALSE)</f>
        <v>#N/A</v>
      </c>
      <c r="EX774" s="1411" t="e">
        <f>VLOOKUP(EU772,Lookup_Control_Type_Table,2,FALSE)</f>
        <v>#N/A</v>
      </c>
      <c r="EY774" s="1411" t="e">
        <f>VLOOKUP(CP774,'Space Table'!$B$3:$L$160,7,FALSE)</f>
        <v>#N/A</v>
      </c>
      <c r="EZ774" s="1413"/>
      <c r="FB774" s="1365" t="str">
        <f>CONCATENATE(CN772," - ",AF774)</f>
        <v xml:space="preserve"> - </v>
      </c>
      <c r="FD774" s="1354"/>
      <c r="FE774" s="1354"/>
      <c r="FF774" s="138"/>
      <c r="FI774" s="1356" t="str">
        <f>IF(CN772="Exterior","Not Daylighted",G775)</f>
        <v>Not Daylighted</v>
      </c>
      <c r="FJ774" s="1356">
        <f>VLOOKUP(FI774,_Daylight_Table_Codes,2,FALSE)</f>
        <v>0</v>
      </c>
      <c r="FK774" s="1365">
        <f>AF774</f>
        <v>0</v>
      </c>
      <c r="FL774" s="1365" t="e">
        <f>VLOOKUP(FK774,_Control_Table,2,FALSE)</f>
        <v>#N/A</v>
      </c>
      <c r="FM774" s="1365" t="e">
        <f>IF(AND(FP774&gt;0,FK774="Occupancy Sensor"),"Daylight + Occupancy",IF(AND(FP774&gt;0,FL774&lt;4),"Interior Daylight Dimming",FK774))</f>
        <v>#N/A</v>
      </c>
      <c r="FO774" s="1364">
        <f>IF(CN772="Interior",VLOOKUP(CP772,Control_Savings_Interior,5,FALSE),0)</f>
        <v>0</v>
      </c>
      <c r="FP774" s="1361">
        <f>IF(CN774="Exterior",0,IF(FJ774=2,0.5,IF(OR(FJ774=1,FJ774=3),1,0)))</f>
        <v>0</v>
      </c>
      <c r="FQ774" s="1366">
        <f>IF(R773&gt;FO$37,(FO774*(FO$37/R773)),FO774)*FP774</f>
        <v>0</v>
      </c>
      <c r="FR774" s="1364">
        <f>DF774</f>
        <v>0</v>
      </c>
      <c r="FS774" s="1364">
        <f>ROUND(FR774+((1-FR774)*FQ774),2)</f>
        <v>0</v>
      </c>
      <c r="FT774" s="1364">
        <f>IF(__Retrofit_TI_NC=2,FS774,FR774)</f>
        <v>0</v>
      </c>
      <c r="FU774" s="1360">
        <f>IF(CO774="Interior",VLOOKUP(CP774,Control_Savings_Interior,4,FALSE),0)</f>
        <v>0</v>
      </c>
      <c r="FW774" s="1352"/>
      <c r="FX774" s="1352"/>
      <c r="FY774" s="1352"/>
      <c r="FZ774" s="1352"/>
      <c r="GA774" s="1352"/>
      <c r="GB774" s="1352"/>
      <c r="GC774" s="1352"/>
      <c r="GD774" s="1352"/>
      <c r="GE774" s="759" t="b">
        <f>IF(ISNUMBER(SEARCH("TLED",U774)),TRUE,FALSE)</f>
        <v>0</v>
      </c>
      <c r="GF774" s="1035" t="str">
        <f>IFERROR(VLOOKUP(U774,Fixtures!DM$93:DR$142,6,FALSE),"")</f>
        <v/>
      </c>
      <c r="GG774" s="1385"/>
      <c r="GI774" s="1383"/>
      <c r="GJ774" s="1379"/>
      <c r="GL774" s="1379"/>
      <c r="GM774" s="1379"/>
      <c r="HC774" s="1379"/>
      <c r="HD774" s="1379"/>
      <c r="HE774" s="1379"/>
      <c r="HF774" s="1379"/>
      <c r="HG774" s="1379"/>
      <c r="HH774" s="1379"/>
      <c r="HI774" s="1383"/>
      <c r="HJ774" s="1383"/>
      <c r="HK774" s="1383"/>
      <c r="HL774" s="1379"/>
      <c r="HM774" s="1379"/>
      <c r="HN774" s="1379"/>
      <c r="HO774" s="1379"/>
      <c r="HP774" s="1379"/>
      <c r="HQ774" s="1379"/>
      <c r="HR774" s="1379"/>
      <c r="HS774" s="1379"/>
      <c r="HT774" s="1379"/>
      <c r="HU774" s="1379"/>
      <c r="HW774" s="1383"/>
      <c r="HX774" s="1384" t="b">
        <f>HW772</f>
        <v>0</v>
      </c>
      <c r="HY774" s="1378"/>
      <c r="HZ774" s="436"/>
      <c r="IA774" s="1386"/>
      <c r="IB774" s="1380">
        <f>IF(IA772=TRUE,AC775,0)</f>
        <v>0</v>
      </c>
      <c r="IC774" s="1379"/>
      <c r="IF774" s="1380" t="e">
        <f>ROUND(T774*AB775*N773*R773/1000,0)</f>
        <v>#VALUE!</v>
      </c>
      <c r="IG774" s="1382"/>
      <c r="IH774" s="1384" t="e">
        <f>ROUND(T774*AB775*N773*R773/1000,0)</f>
        <v>#VALUE!</v>
      </c>
      <c r="II774" s="1382"/>
      <c r="IK774" s="1351" t="e">
        <f>IF($CO774="interior",IL774/2,VLOOKUP($CP774,Control_Savings_Exterior,IK$30,FALSE))</f>
        <v>#N/A</v>
      </c>
      <c r="IL774" s="1351" t="e">
        <f>IF($CO774="interior",VLOOKUP($CP774,Control_Savings_Interior,IL$30,FALSE),VLOOKUP($CP774,Control_Savings_Exterior,IL$30,FALSE))</f>
        <v>#N/A</v>
      </c>
      <c r="IM774" s="1351" t="e">
        <f>IF($CO774="interior",IF(R773&gt;FO$37,(IM$28*(FO$37/R773)),IM$28)*FP774,VLOOKUP($CP774,Control_Savings_Exterior,IM$30,FALSE))</f>
        <v>#N/A</v>
      </c>
      <c r="IN774" s="1351" t="e">
        <f>IF($CO774="interior",ROUND(((1-IL774)*IM774)+IL774,2),VLOOKUP($CP774,Control_Savings_Exterior,IN$30,FALSE))</f>
        <v>#N/A</v>
      </c>
      <c r="IO774" s="1351" t="e">
        <f>IF($CO774="interior", ROUND(((1-IL774)*(IM774*(1-IP$28)))+IP774,2), VLOOKUP($CP774,Control_Savings_Exterior,IO$30,FALSE))</f>
        <v>#N/A</v>
      </c>
      <c r="IP774" s="1351">
        <f>IF($CO774="interior",ROUND(((1-IL774)*IP$28)+IL774,2),0)</f>
        <v>0</v>
      </c>
    </row>
    <row r="775" spans="1:250" s="82" customFormat="1" ht="14.95" customHeight="1" thickTop="1" thickBot="1">
      <c r="B775" s="1421"/>
      <c r="C775" s="1422"/>
      <c r="D775" s="1423"/>
      <c r="E775" s="1462" t="s">
        <v>357</v>
      </c>
      <c r="F775" s="1463"/>
      <c r="G775" s="1464" t="s">
        <v>362</v>
      </c>
      <c r="H775" s="1465"/>
      <c r="I775" s="1465"/>
      <c r="J775" s="1465"/>
      <c r="K775" s="1465"/>
      <c r="L775" s="1466"/>
      <c r="M775" s="669">
        <f>IFERROR(VLOOKUP(G775,_Daylight_Table[],2,FALSE),0)</f>
        <v>0</v>
      </c>
      <c r="N775" s="670"/>
      <c r="O775" s="669" t="e">
        <f>VLOOKUP(G774,'Space Table'!$B$3:$L$160,11,FALSE)</f>
        <v>#N/A</v>
      </c>
      <c r="P775" s="1408"/>
      <c r="Q775" s="1409"/>
      <c r="R775" s="1409"/>
      <c r="S775" s="1402"/>
      <c r="T775" s="671" t="s">
        <v>281</v>
      </c>
      <c r="U775" s="1467" t="str">
        <f>IFERROR(VLOOKUP(U774,Fixtures!DM$93:DP$142,4,FALSE),"")</f>
        <v/>
      </c>
      <c r="V775" s="1468"/>
      <c r="W775" s="1468"/>
      <c r="X775" s="1468"/>
      <c r="Y775" s="1468"/>
      <c r="Z775" s="1468"/>
      <c r="AA775" s="1468"/>
      <c r="AB775" s="1046" t="str">
        <f>IFERROR(VLOOKUP(U774,Fixtures_Proposed_List,2,FALSE),"")</f>
        <v/>
      </c>
      <c r="AC775" s="1036" t="str">
        <f>IFERROR(ROUND(T774*AB775*N773*R773/1000,0),"")</f>
        <v/>
      </c>
      <c r="AD775" s="1037" t="str">
        <f>IFERROR(ROUND(T774*AB775/1000,2),"")</f>
        <v/>
      </c>
      <c r="AE775" s="1045" t="s">
        <v>281</v>
      </c>
      <c r="AF775" s="1469"/>
      <c r="AG775" s="1469"/>
      <c r="AH775" s="1469"/>
      <c r="AI775" s="1469"/>
      <c r="AJ775" s="1476"/>
      <c r="AK775" s="1471"/>
      <c r="AL775" s="1473"/>
      <c r="AM775" s="1443"/>
      <c r="AN775" s="1444"/>
      <c r="AO775" s="1449"/>
      <c r="AP775" s="1449"/>
      <c r="AQ775" s="1450"/>
      <c r="AR775" s="1453"/>
      <c r="AS775" s="1456"/>
      <c r="AT775" s="1459"/>
      <c r="AU775" s="517"/>
      <c r="AV775" s="1480"/>
      <c r="AW775" s="1480"/>
      <c r="BC775" s="38"/>
      <c r="BD775" s="38"/>
      <c r="BE775" s="38"/>
      <c r="BF775" s="38"/>
      <c r="BG775" s="38"/>
      <c r="BH775" s="38"/>
      <c r="BI775" s="38"/>
      <c r="BJ775" s="38"/>
      <c r="BK775" s="38"/>
      <c r="BL775" s="38"/>
      <c r="BM775" s="38"/>
      <c r="BN775" s="38"/>
      <c r="BO775" s="38"/>
      <c r="BP775" s="38"/>
      <c r="BQ775" s="38"/>
      <c r="BR775" s="38"/>
      <c r="BS775" s="38"/>
      <c r="BT775" s="38"/>
      <c r="BU775" s="38"/>
      <c r="BV775" s="38"/>
      <c r="BW775" s="38"/>
      <c r="BX775" s="38"/>
      <c r="BY775" s="38"/>
      <c r="BZ775" s="38"/>
      <c r="CA775" s="38"/>
      <c r="CB775" s="38"/>
      <c r="CC775" s="38"/>
      <c r="CD775" s="38"/>
      <c r="CE775" s="38"/>
      <c r="CF775" s="38"/>
      <c r="CG775" s="38"/>
      <c r="CH775" s="38"/>
      <c r="CI775" s="38"/>
      <c r="CM775" s="1352"/>
      <c r="CN775" s="1352"/>
      <c r="CO775" s="1416"/>
      <c r="CP775" s="1418"/>
      <c r="CR775" s="1386"/>
      <c r="CS775" s="1355"/>
      <c r="CT775" s="1355"/>
      <c r="CU775" s="1375"/>
      <c r="CV775" s="1372"/>
      <c r="CW775" s="1372"/>
      <c r="CX775" s="1372"/>
      <c r="CY775" s="1487"/>
      <c r="CZ775" s="1487"/>
      <c r="DA775" s="1487"/>
      <c r="DC775" s="1355"/>
      <c r="DD775" s="1355"/>
      <c r="DE775" s="1375"/>
      <c r="DF775" s="1407"/>
      <c r="DG775" s="1372"/>
      <c r="DH775" s="1369"/>
      <c r="DK775" s="1484"/>
      <c r="DL775" s="1420"/>
      <c r="DN775" s="1403"/>
      <c r="DO775" s="1405"/>
      <c r="DP775" s="1355"/>
      <c r="DQ775" s="1405"/>
      <c r="DR775" s="1403"/>
      <c r="DS775" s="1489"/>
      <c r="DU775" s="1403"/>
      <c r="DV775" s="1405"/>
      <c r="DW775" s="1403"/>
      <c r="DX775" s="1403"/>
      <c r="DZ775" s="1481"/>
      <c r="EA775" s="1481"/>
      <c r="EC775" s="1482"/>
      <c r="ED775" s="1369"/>
      <c r="EE775" s="1372"/>
      <c r="EF775" s="1369"/>
      <c r="EG775" s="1369"/>
      <c r="EH775" s="1375"/>
      <c r="EI775" s="1375"/>
      <c r="EJ775" s="1363"/>
      <c r="EK775" s="1376"/>
      <c r="EL775" s="1376"/>
      <c r="EM775" s="1362"/>
      <c r="EN775" s="1362"/>
      <c r="EO775" s="1363"/>
      <c r="EP775" s="1363"/>
      <c r="EQ775" s="1363"/>
      <c r="ES775" s="1403"/>
      <c r="EU775" s="1488"/>
      <c r="EV775" s="1488"/>
      <c r="EW775" s="1488"/>
      <c r="EX775" s="1488"/>
      <c r="EY775" s="1488"/>
      <c r="EZ775" s="1414"/>
      <c r="FB775" s="1365"/>
      <c r="FD775" s="1355"/>
      <c r="FE775" s="1355"/>
      <c r="FF775" s="138"/>
      <c r="FI775" s="1357"/>
      <c r="FJ775" s="1357"/>
      <c r="FK775" s="1365"/>
      <c r="FL775" s="1365"/>
      <c r="FM775" s="1365"/>
      <c r="FO775" s="1361"/>
      <c r="FP775" s="1361"/>
      <c r="FQ775" s="1366"/>
      <c r="FR775" s="1361"/>
      <c r="FS775" s="1361"/>
      <c r="FT775" s="1361"/>
      <c r="FU775" s="1360"/>
      <c r="FW775" s="1352"/>
      <c r="FX775" s="1352"/>
      <c r="FY775" s="1352"/>
      <c r="FZ775" s="1352"/>
      <c r="GA775" s="1352"/>
      <c r="GB775" s="1352"/>
      <c r="GC775" s="1352"/>
      <c r="GD775" s="1352"/>
      <c r="GE775" s="759"/>
      <c r="GF775" s="1035"/>
      <c r="GG775" s="1385"/>
      <c r="GJ775" s="1034">
        <f>IF(GJ773=TRUE,0,GJ$16)</f>
        <v>0</v>
      </c>
      <c r="GL775" s="1034">
        <f>IF(GL773=TRUE,0,GL$16)</f>
        <v>36</v>
      </c>
      <c r="GM775" s="1034">
        <f>IF(GM773=TRUE,0,GM$16)</f>
        <v>35</v>
      </c>
      <c r="GN775" s="436"/>
      <c r="GO775" s="436"/>
      <c r="GP775" s="436"/>
      <c r="GQ775" s="436"/>
      <c r="GR775" s="436"/>
      <c r="HC775" s="1034">
        <f t="shared" ref="HC775:HH775" si="578">IF(HC773=TRUE,0,HC$16)</f>
        <v>19</v>
      </c>
      <c r="HD775" s="1034">
        <f t="shared" si="578"/>
        <v>18</v>
      </c>
      <c r="HE775" s="1034">
        <f t="shared" si="578"/>
        <v>17</v>
      </c>
      <c r="HF775" s="1034">
        <f t="shared" si="578"/>
        <v>16</v>
      </c>
      <c r="HG775" s="1034">
        <f t="shared" si="578"/>
        <v>0</v>
      </c>
      <c r="HH775" s="1034">
        <f t="shared" si="578"/>
        <v>0</v>
      </c>
      <c r="HI775" s="1034">
        <f>IF(HI773=TRUE,0,HI$16)</f>
        <v>13</v>
      </c>
      <c r="HJ775" s="1034">
        <f t="shared" ref="HJ775:HL775" si="579">IF(HJ773=TRUE,0,HJ$16)</f>
        <v>12</v>
      </c>
      <c r="HK775" s="1034">
        <f t="shared" si="579"/>
        <v>11</v>
      </c>
      <c r="HL775" s="1034">
        <f t="shared" si="579"/>
        <v>10</v>
      </c>
      <c r="HM775" s="1034">
        <f>IF(HM773=TRUE,0,HM$16)</f>
        <v>9</v>
      </c>
      <c r="HN775" s="1034">
        <f t="shared" ref="HN775:HR775" si="580">IF(HN773=TRUE,0,HN$16)</f>
        <v>0</v>
      </c>
      <c r="HO775" s="1034">
        <f t="shared" si="580"/>
        <v>0</v>
      </c>
      <c r="HP775" s="1034">
        <f t="shared" si="580"/>
        <v>0</v>
      </c>
      <c r="HQ775" s="1034">
        <f t="shared" si="580"/>
        <v>0</v>
      </c>
      <c r="HR775" s="1034">
        <f t="shared" si="580"/>
        <v>0</v>
      </c>
      <c r="HS775" s="1034">
        <f>IF(HS773=TRUE,0,HS$16)</f>
        <v>0</v>
      </c>
      <c r="HT775" s="1034">
        <f t="shared" ref="HT775" si="581">IF(HT773=TRUE,0,HT$16)</f>
        <v>0</v>
      </c>
      <c r="HU775" s="1034">
        <f>IF(HU773=TRUE,0,HU$16)</f>
        <v>1</v>
      </c>
      <c r="HW775" s="1034">
        <f>IF(GL773=FALSE,GL775,IF(GM773=FALSE,GM775,MAX(GJ775:HU775)))</f>
        <v>36</v>
      </c>
      <c r="HX775" s="1383"/>
      <c r="HY775" s="241" t="str">
        <f>VLOOKUP(HW775,_Error_Table,3,FALSE)</f>
        <v xml:space="preserve"> </v>
      </c>
      <c r="HZ775" s="241"/>
      <c r="IA775" s="1386"/>
      <c r="IB775" s="1380"/>
      <c r="IC775" s="1379"/>
      <c r="IF775" s="1380"/>
      <c r="IG775" s="1383"/>
      <c r="IH775" s="1383"/>
      <c r="II775" s="1383"/>
      <c r="IK775" s="1351"/>
      <c r="IL775" s="1351"/>
      <c r="IM775" s="1351"/>
      <c r="IN775" s="1351"/>
      <c r="IO775" s="1351"/>
      <c r="IP775" s="1351"/>
    </row>
    <row r="776" spans="1:250" s="82" customFormat="1" ht="5.0999999999999996" customHeight="1" thickBot="1">
      <c r="B776" s="763"/>
      <c r="C776" s="1038"/>
      <c r="D776" s="1038"/>
      <c r="E776" s="1490"/>
      <c r="F776" s="1490"/>
      <c r="G776" s="1490"/>
      <c r="H776" s="1490"/>
      <c r="I776" s="1490"/>
      <c r="J776" s="1490"/>
      <c r="K776" s="1490"/>
      <c r="L776" s="1490"/>
      <c r="M776" s="1490"/>
      <c r="N776" s="1490"/>
      <c r="O776" s="1490"/>
      <c r="P776" s="1490"/>
      <c r="Q776" s="1490"/>
      <c r="R776" s="1490"/>
      <c r="S776" s="1490"/>
      <c r="T776" s="1490"/>
      <c r="U776" s="1490"/>
      <c r="V776" s="1490"/>
      <c r="W776" s="1490"/>
      <c r="X776" s="1490"/>
      <c r="Y776" s="1490"/>
      <c r="Z776" s="1490"/>
      <c r="AA776" s="1490"/>
      <c r="AB776" s="1490"/>
      <c r="AC776" s="1490"/>
      <c r="AD776" s="1490"/>
      <c r="AE776" s="1490"/>
      <c r="AF776" s="1490"/>
      <c r="AG776" s="1490"/>
      <c r="AH776" s="1490"/>
      <c r="AI776" s="1490"/>
      <c r="AJ776" s="1490"/>
      <c r="AK776" s="1490"/>
      <c r="AL776" s="1490"/>
      <c r="AM776" s="1490"/>
      <c r="AN776" s="1490"/>
      <c r="AO776" s="1490"/>
      <c r="AP776" s="1490"/>
      <c r="AQ776" s="1490"/>
      <c r="AR776" s="1490"/>
      <c r="AS776" s="1490"/>
      <c r="AT776" s="1490"/>
      <c r="AU776" s="1041"/>
      <c r="BC776" s="38"/>
      <c r="BD776" s="38"/>
      <c r="BE776" s="38"/>
      <c r="BF776" s="38"/>
      <c r="BG776" s="38"/>
      <c r="BH776" s="38"/>
      <c r="BI776" s="38"/>
      <c r="BJ776" s="38"/>
      <c r="BK776" s="38"/>
      <c r="BL776" s="38"/>
      <c r="BM776" s="38"/>
      <c r="BN776" s="38"/>
      <c r="BO776" s="38"/>
      <c r="BP776" s="38"/>
      <c r="BQ776" s="38"/>
      <c r="BR776" s="38"/>
      <c r="BS776" s="38"/>
      <c r="BT776" s="38"/>
      <c r="BU776" s="38"/>
      <c r="BV776" s="38"/>
      <c r="BW776" s="38"/>
      <c r="BX776" s="38"/>
      <c r="BY776" s="38"/>
      <c r="BZ776" s="38"/>
      <c r="CA776" s="38"/>
      <c r="CB776" s="38"/>
      <c r="CC776" s="38"/>
      <c r="CD776" s="38"/>
      <c r="CE776" s="38"/>
      <c r="CF776" s="38"/>
      <c r="CG776" s="38"/>
      <c r="CH776" s="38"/>
      <c r="CI776" s="38"/>
      <c r="CM776" s="749"/>
      <c r="CN776" s="749"/>
      <c r="CO776" s="1043"/>
      <c r="CP776" s="749"/>
      <c r="CS776" s="436"/>
      <c r="CT776" s="436"/>
      <c r="CU776" s="243"/>
      <c r="CV776" s="244"/>
      <c r="CW776" s="244"/>
      <c r="CX776" s="244"/>
      <c r="CY776" s="245"/>
      <c r="CZ776" s="245"/>
      <c r="DA776" s="245"/>
      <c r="DC776" s="750"/>
      <c r="DD776" s="751"/>
      <c r="DE776" s="752"/>
      <c r="DF776" s="753"/>
      <c r="DG776" s="754"/>
      <c r="DH776" s="754"/>
      <c r="DK776" s="244"/>
      <c r="DL776" s="750"/>
      <c r="DN776" s="750"/>
      <c r="DO776" s="755"/>
      <c r="DP776" s="436"/>
      <c r="DQ776" s="750"/>
      <c r="DR776" s="750"/>
      <c r="DS776" s="750"/>
      <c r="DU776" s="750"/>
      <c r="DV776" s="750"/>
      <c r="DW776" s="750"/>
      <c r="DX776" s="750"/>
      <c r="DZ776" s="756"/>
      <c r="EA776" s="756"/>
      <c r="EC776" s="754"/>
      <c r="ED776" s="754"/>
      <c r="EE776" s="244"/>
      <c r="EF776" s="754"/>
      <c r="EG776" s="754"/>
      <c r="EH776" s="243"/>
      <c r="EI776" s="243"/>
      <c r="EJ776" s="752"/>
      <c r="EK776" s="757"/>
      <c r="EL776" s="757"/>
      <c r="EM776" s="758"/>
      <c r="EN776" s="758"/>
      <c r="EO776" s="752"/>
      <c r="EP776" s="752"/>
      <c r="EQ776" s="752"/>
      <c r="ES776" s="750"/>
      <c r="EU776" s="436"/>
      <c r="EV776" s="436"/>
      <c r="EW776" s="436"/>
      <c r="EX776" s="436"/>
      <c r="EY776" s="436"/>
      <c r="EZ776" s="436"/>
      <c r="FB776" s="643"/>
      <c r="FD776" s="436"/>
      <c r="FE776" s="436"/>
      <c r="FF776" s="436"/>
      <c r="FO776" s="750"/>
      <c r="FP776" s="436"/>
      <c r="FQ776" s="436"/>
      <c r="FR776" s="750"/>
      <c r="FS776" s="750"/>
      <c r="FW776" s="749"/>
      <c r="FX776" s="749"/>
      <c r="FY776" s="749"/>
      <c r="FZ776" s="749"/>
      <c r="GA776" s="749"/>
      <c r="GB776" s="749"/>
      <c r="GC776" s="749"/>
      <c r="GD776" s="749"/>
      <c r="GE776" s="751"/>
      <c r="GF776" s="750"/>
      <c r="GG776" s="750"/>
    </row>
    <row r="777" spans="1:250" s="82" customFormat="1" ht="14.95" customHeight="1" thickTop="1" thickBot="1">
      <c r="B777" s="1421" t="str">
        <f>HY780</f>
        <v xml:space="preserve"> </v>
      </c>
      <c r="C777" s="1422">
        <f>C772+1</f>
        <v>143</v>
      </c>
      <c r="D777" s="1423"/>
      <c r="E777" s="1424" t="s">
        <v>242</v>
      </c>
      <c r="F777" s="1425"/>
      <c r="G777" s="1426"/>
      <c r="H777" s="1427"/>
      <c r="I777" s="1427"/>
      <c r="J777" s="1427"/>
      <c r="K777" s="1427"/>
      <c r="L777" s="1427"/>
      <c r="M777" s="1427"/>
      <c r="N777" s="1427"/>
      <c r="O777" s="1427"/>
      <c r="P777" s="1427"/>
      <c r="Q777" s="1427"/>
      <c r="R777" s="1427"/>
      <c r="S777" s="1428" t="s">
        <v>283</v>
      </c>
      <c r="T777" s="668" t="s">
        <v>190</v>
      </c>
      <c r="U777" s="1430" t="s">
        <v>186</v>
      </c>
      <c r="V777" s="1431"/>
      <c r="W777" s="1431"/>
      <c r="X777" s="1431"/>
      <c r="Y777" s="1431"/>
      <c r="Z777" s="1431"/>
      <c r="AA777" s="1431"/>
      <c r="AB777" s="1047" t="str">
        <f>IFERROR(IF(__Retrofit_TI_NC=0,VLOOKUP(U778,Fixtures_Existing_List,2,FALSE),ROUND(N779*R779/T779,10)),"")</f>
        <v/>
      </c>
      <c r="AC777" s="1039" t="str">
        <f>IFERROR(IF(__Retrofit_TI_NC=0,ROUND(T778*AB777*N778*R778/1000,0),IF(CN777="Interior",N779*R779*R778*N778*_C406_reduction/1000,N779*R779*R778*N778/1000)),"")</f>
        <v/>
      </c>
      <c r="AD777" s="1040" t="str">
        <f>IFERROR(IF(C$36=0,ROUND(T778*AB777/1000,2),N779*R779/1000),"")</f>
        <v/>
      </c>
      <c r="AE777" s="1044" t="s">
        <v>190</v>
      </c>
      <c r="AF777" s="1432" t="str">
        <f>IF(__Retrofit_TI_NC=2,CONCATENATE("Code min = ",DD777),IF(__Retrofit_TI_NC=1,"Emter what you think the existing control was"," Control"))</f>
        <v xml:space="preserve"> Control</v>
      </c>
      <c r="AG777" s="1432"/>
      <c r="AH777" s="1432"/>
      <c r="AI777" s="1432"/>
      <c r="AJ777" s="1433">
        <f>DF777</f>
        <v>0</v>
      </c>
      <c r="AK777" s="1435" t="str">
        <f>IFERROR(ROUND(AJ777*AC777,0),"")</f>
        <v/>
      </c>
      <c r="AL777" s="1437">
        <f>IFERROR(IF(HW777=FALSE,0,AC777-AK777),0)</f>
        <v>0</v>
      </c>
      <c r="AM777" s="1439">
        <f>AL777-AL779</f>
        <v>0</v>
      </c>
      <c r="AN777" s="1440"/>
      <c r="AO777" s="1445">
        <f>IFERROR(IF(HW777=FALSE,0,(T779*U780)+(AE779*AF780)),0)</f>
        <v>0</v>
      </c>
      <c r="AP777" s="1445"/>
      <c r="AQ777" s="1446"/>
      <c r="AR777" s="1451" t="s">
        <v>157</v>
      </c>
      <c r="AS777" s="1454">
        <f>IF(AR777="Yes",1,0)</f>
        <v>1</v>
      </c>
      <c r="AT777" s="1457" t="str">
        <f>IF(OR(DN777=4,DN777=5,DN777=6,DN777=12),CONCATENATE("$",IF(GD777=TRUE,Lookup!$B$11,Lookup!$B$2)," /lamp"),CONCATENATE(EA777,"/ kWh"))</f>
        <v>0/ kWh</v>
      </c>
      <c r="AU777" s="516"/>
      <c r="AV777" s="1478">
        <f>IFERROR(IF(GI778=TRUE,(AB780*T779)/R779,0),"NA")</f>
        <v>0</v>
      </c>
      <c r="AW777" s="1478" t="str">
        <f>IFERROR(N779*_C406_reduction,"NA")</f>
        <v>NA</v>
      </c>
      <c r="BC777" s="38"/>
      <c r="BD777" s="38"/>
      <c r="BE777" s="38"/>
      <c r="BF777" s="38"/>
      <c r="BG777" s="38"/>
      <c r="BH777" s="38"/>
      <c r="BI777" s="38"/>
      <c r="BJ777" s="38"/>
      <c r="BK777" s="38"/>
      <c r="BL777" s="38"/>
      <c r="BM777" s="38"/>
      <c r="BN777" s="38"/>
      <c r="BO777" s="38"/>
      <c r="BP777" s="38"/>
      <c r="BQ777" s="38"/>
      <c r="BR777" s="38"/>
      <c r="BS777" s="38"/>
      <c r="BT777" s="38"/>
      <c r="BU777" s="38"/>
      <c r="BV777" s="38"/>
      <c r="BW777" s="38"/>
      <c r="BX777" s="38"/>
      <c r="BY777" s="38"/>
      <c r="BZ777" s="38"/>
      <c r="CA777" s="38"/>
      <c r="CB777" s="38"/>
      <c r="CC777" s="38"/>
      <c r="CD777" s="38"/>
      <c r="CE777" s="38"/>
      <c r="CF777" s="38"/>
      <c r="CG777" s="38"/>
      <c r="CH777" s="38"/>
      <c r="CI777" s="38"/>
      <c r="CM777" s="1352" t="str">
        <f>N778</f>
        <v/>
      </c>
      <c r="CN777" s="1352" t="str">
        <f>IFERROR(VLOOKUP(G778,_Lookup_Heat_Type_Table_New,3,FALSE),"")</f>
        <v/>
      </c>
      <c r="CO777" s="1415" t="str">
        <f>CN777</f>
        <v/>
      </c>
      <c r="CP777" s="1417" t="e">
        <f>VLOOKUP(G779,'Space Table'!$B$3:$L$160,9,FALSE)</f>
        <v>#N/A</v>
      </c>
      <c r="CR777" s="1386" t="s">
        <v>283</v>
      </c>
      <c r="CS777" s="1353">
        <f>IF(HW777=TRUE,T778,0)</f>
        <v>0</v>
      </c>
      <c r="CT777" s="1353" t="str">
        <f>IF(HW777=TRUE,U778,"")</f>
        <v/>
      </c>
      <c r="CU777" s="1353"/>
      <c r="CV777" s="1370">
        <f>IF(HW777=TRUE,AB777,0)</f>
        <v>0</v>
      </c>
      <c r="CW777" s="1370">
        <f>IF(HW777=TRUE,AC777,0)</f>
        <v>0</v>
      </c>
      <c r="CX777" s="1370">
        <f>IFERROR(IF(HW777=TRUE,CW777-CW779,0),0)</f>
        <v>0</v>
      </c>
      <c r="CY777" s="1485">
        <f>IF(HW777=TRUE,AD777,0)</f>
        <v>0</v>
      </c>
      <c r="CZ777" s="1485">
        <f>IF(HW777=TRUE,AD780,0)</f>
        <v>0</v>
      </c>
      <c r="DA777" s="1485">
        <f>IFERROR(CY777-CZ777,0)</f>
        <v>0</v>
      </c>
      <c r="DC777" s="1353">
        <f>IF(HW777=TRUE,AE778,0)</f>
        <v>0</v>
      </c>
      <c r="DD777" s="1460">
        <f>IF(__Retrofit_TI_NC=2,IF(CN777="Exterior",O780,FM777),FK777)</f>
        <v>0</v>
      </c>
      <c r="DE777" s="1353"/>
      <c r="DF777" s="1406">
        <f>IFERROR(IF(FL777=3,IK777,IF(FL777=4,IL777,IF(FL777=5,IM777,IF(FL777=6,IN777,IF(FL777=7,IO777,IF(FL777=8,IP777,0)))))),0)</f>
        <v>0</v>
      </c>
      <c r="DG777" s="1370">
        <f>IF(HW777=TRUE,AK777,0)</f>
        <v>0</v>
      </c>
      <c r="DH777" s="1369">
        <f>IFERROR(IF(HW777=TRUE,DG779-DG777,0),0)</f>
        <v>0</v>
      </c>
      <c r="DJ777" s="1483">
        <f>IFERROR(CW777-DG777,0)</f>
        <v>0</v>
      </c>
      <c r="DL777" s="1419">
        <f>DJ777-DK779</f>
        <v>0</v>
      </c>
      <c r="DN777" s="1403" t="str">
        <f>IFERROR(IF(AND(OR(FY777=4,FY777=5,FY777=6),OR(GB777=4,GB777=5,GB777=6)),FY777+8,VLOOKUP(CT779,Fixtures!R$31:Y$78,8,FALSE)),"")</f>
        <v/>
      </c>
      <c r="DO777" s="1404" t="str">
        <f>DN777</f>
        <v/>
      </c>
      <c r="DP777" s="1353" t="str">
        <f>IFERROR(VLOOKUP(DD779,Lookup!AU$3:AV$15,2,FALSE),"")</f>
        <v/>
      </c>
      <c r="DQ777" s="1404" t="str">
        <f>IF(DP777=7,"LLLC","")</f>
        <v/>
      </c>
      <c r="DR777" s="1403">
        <f>IFERROR(IF(OR(DN777=4,DN777=5,DN777=6,DN777=12,DN777=13,DN777=14),VLOOKUP(CT779,Fixtures!DN$27:EG$77,19,FALSE),1)*CS779,0)</f>
        <v>0</v>
      </c>
      <c r="DS777" s="1489">
        <f>IF(DP777=7,IF(DD777=DD779,0,DC779),0)</f>
        <v>0</v>
      </c>
      <c r="DU777" s="1403" t="str">
        <f>IFERROR(IF(EW777&lt;EW779,"Yes","No"),"")</f>
        <v/>
      </c>
      <c r="DV777" s="1404" t="str">
        <f>DU777</f>
        <v/>
      </c>
      <c r="DW777" s="1403">
        <f>IF(DU777="Yes",DC779,0)</f>
        <v>0</v>
      </c>
      <c r="DX777" s="1403">
        <f>DW777-DS777</f>
        <v>0</v>
      </c>
      <c r="DZ777" s="1481">
        <f>IFERROR(VLOOKUP(DN777,Lookup!AN$3:AO$16,2,FALSE),0)</f>
        <v>0</v>
      </c>
      <c r="EA777" s="1481">
        <f>IF(HW777=FALSE,0,IF(DU777="Yes",DZ777+Lookup!B$6,DZ777))</f>
        <v>0</v>
      </c>
      <c r="EC777" s="1482">
        <f>IF(HW777=TRUE,DJ777,0)</f>
        <v>0</v>
      </c>
      <c r="ED777" s="1369">
        <f>IF(HW777=TRUE,CW779,0)</f>
        <v>0</v>
      </c>
      <c r="EE777" s="1370">
        <f>IFERROR(EC777-ED777,0)</f>
        <v>0</v>
      </c>
      <c r="EF777" s="1369">
        <f>IF(HW777=TRUE,DG779,0)</f>
        <v>0</v>
      </c>
      <c r="EG777" s="1369">
        <f>IFERROR(EC777-ED777+EF777,0)</f>
        <v>0</v>
      </c>
      <c r="EH777" s="1373">
        <f>IF(HW777=TRUE,CS779*CU779,0)</f>
        <v>0</v>
      </c>
      <c r="EI777" s="1373">
        <f>IF(HW777=TRUE,DC779*DE779,0)</f>
        <v>0</v>
      </c>
      <c r="EJ777" s="1363">
        <f>AO777</f>
        <v>0</v>
      </c>
      <c r="EK777" s="1376" t="str">
        <f>IFERROR(IF(HW777=TRUE,VLOOKUP(DN777,Lookup!AN$3:AP$16,3,FALSE)*DR777,""),0)</f>
        <v/>
      </c>
      <c r="EL777" s="1376">
        <f>IF(HW777=TRUE,DW777*Lookup!AP$12,0)</f>
        <v>0</v>
      </c>
      <c r="EM777" s="1362">
        <f>IFERROR(IF(HW777=TRUE,EK777/EM$33,0),0)</f>
        <v>0</v>
      </c>
      <c r="EN777" s="1362">
        <f>IF(HW777=TRUE,EL777/EN$33,0)</f>
        <v>0</v>
      </c>
      <c r="EO777" s="1363">
        <f>IF(HW777=TRUE,EQ$33*EM777,0)</f>
        <v>0</v>
      </c>
      <c r="EP777" s="1363">
        <f>IF(HW777=TRUE,EQ$33*EN777,0)</f>
        <v>0</v>
      </c>
      <c r="EQ777" s="1363">
        <f>EO777+EP777</f>
        <v>0</v>
      </c>
      <c r="ES777" s="1403">
        <f>IF(G777="",0,1)</f>
        <v>0</v>
      </c>
      <c r="EU777" s="1410" t="e">
        <f>VLOOKUP(CP779,'Space Table'!$B$3:$L$160,8,FALSE)</f>
        <v>#N/A</v>
      </c>
      <c r="EV777" s="1410" t="e">
        <f>IF(EY777="Yes",VLOOKUP(DD777,Lookup_Control_Type_Table2,4,FALSE),VLOOKUP(DD777,Lookup_Control_Type_Table2,3,FALSE))</f>
        <v>#N/A</v>
      </c>
      <c r="EW777" s="1410" t="e">
        <f>VLOOKUP(DD777,Lookup!AU$3:AV$15,2,FALSE)</f>
        <v>#N/A</v>
      </c>
      <c r="EX777" s="1410" t="e">
        <f>VLOOKUP(EU777,Lookup_Control_Type_Table,2,FALSE)</f>
        <v>#N/A</v>
      </c>
      <c r="EY777" s="1410" t="e">
        <f>VLOOKUP(CP779,'Space Table'!$B$3:$L$160,7,FALSE)</f>
        <v>#N/A</v>
      </c>
      <c r="EZ777" s="1412" t="b">
        <f>ISNUMBER(SEARCH("TLED",U779))</f>
        <v>0</v>
      </c>
      <c r="FB777" s="1365" t="str">
        <f>CONCATENATE(CN777," - ",DD777)</f>
        <v xml:space="preserve"> - 0</v>
      </c>
      <c r="FD777" s="1353" t="str">
        <f>VLOOKUP(CT779,Fixtures!DN$27:EZ$77,38,FALSE)</f>
        <v/>
      </c>
      <c r="FE777" s="1353">
        <f>IFERROR(FD777*EE777,0)</f>
        <v>0</v>
      </c>
      <c r="FF777" s="138"/>
      <c r="FI777" s="1356" t="str">
        <f>IF(CN777="Exterior","Not Daylighted",G780)</f>
        <v>Not Daylighted</v>
      </c>
      <c r="FJ777" s="1356">
        <f>VLOOKUP(FI777,_Daylight_Table_Codes,2,FALSE)</f>
        <v>0</v>
      </c>
      <c r="FK777" s="1365">
        <f>IF(__Retrofit_TI_NC=2,VLOOKUP(G779,'Space Table'!$B$3:$L$160,11,FALSE),AF778)</f>
        <v>0</v>
      </c>
      <c r="FL777" s="1365" t="e">
        <f>VLOOKUP(FK777,_Control_Table,2,FALSE)</f>
        <v>#N/A</v>
      </c>
      <c r="FM777" s="1365" t="e">
        <f>IF(AND(FP777&gt;0,FK777="Occupancy Sensor"),"Daylight + Occupancy",IF(AND(FP777&gt;0,FL777&lt;4),"Interior Daylight Dimming",FK777))</f>
        <v>#N/A</v>
      </c>
      <c r="FO777" s="1364">
        <f>IF(CO777="Interior",VLOOKUP(CP777,Control_Savings_Interior,5,FALSE),0)</f>
        <v>0</v>
      </c>
      <c r="FP777" s="1361">
        <f>IF(CN777="Exterior",0,IF(FJ777=2,0.5,IF(OR(FJ777=1,FJ777=3),1,0)))</f>
        <v>0</v>
      </c>
      <c r="FQ777" s="1366"/>
      <c r="FR777" s="1367"/>
      <c r="FS777" s="1364"/>
      <c r="FT777" s="1367"/>
      <c r="FU777" s="1360"/>
      <c r="FW777" s="1352" t="str">
        <f>IFERROR(VLOOKUP(U778,_Exist_Fixture_Table,3,FALSE),"")</f>
        <v/>
      </c>
      <c r="FX777" s="1352" t="str">
        <f>VLOOKUP(CT777,_Exist_Fixture_Table,4,FALSE)</f>
        <v/>
      </c>
      <c r="FY777" s="1352">
        <f>IFERROR(VLOOKUP(FX777,Lookup!AM$6:AN$8,2,FALSE),0)</f>
        <v>0</v>
      </c>
      <c r="FZ777" s="1352" t="b">
        <f>IFERROR(IF(OR(GB777=4,GB777=5,GB777=6),TRUE,FALSE),"")</f>
        <v>0</v>
      </c>
      <c r="GA777" s="1352" t="str">
        <f>IFERROR(VLOOKUP(GB777,FY$6:FZ$10,2,FALSE),"")</f>
        <v/>
      </c>
      <c r="GB777" s="1352" t="str">
        <f>VLOOKUP(CT779,Fixtures!R$31:Y$78,8,FALSE)</f>
        <v/>
      </c>
      <c r="GC777" s="1352">
        <f>IF(AND(FW777=TRUE,FZ777=TRUE,OR(DN777=12,DN777=13,DN777=14)),FY777+8,0)</f>
        <v>0</v>
      </c>
      <c r="GD777" s="1352" t="b">
        <f>IF(OR(GC777=12,GC777=13,GC777=14),TRUE,FALSE)</f>
        <v>0</v>
      </c>
      <c r="GE777" s="759" t="b">
        <f>IF(ISNUMBER(SEARCH("TLED",U778)),TRUE,FALSE)</f>
        <v>0</v>
      </c>
      <c r="GF777" s="1035" t="str">
        <f>IFERROR(VLOOKUP(U778,Fixtures!BM$93:BR$142,6,FALSE),"")</f>
        <v/>
      </c>
      <c r="GG777" s="1385" t="b">
        <f>IF(OR(GE777=FALSE,GE779=FALSE),TRUE,IF(GF777-GF779&lt;5,FALSE,TRUE))</f>
        <v>1</v>
      </c>
      <c r="GK777" s="1034">
        <f>GL777</f>
        <v>0</v>
      </c>
      <c r="GL777" s="1034">
        <f>IF(G777="",0,1)</f>
        <v>0</v>
      </c>
      <c r="GM777" s="1034">
        <f>SUM(GN777:HB777)</f>
        <v>2</v>
      </c>
      <c r="GN777" s="1034">
        <f>IF(G778="",0,1)</f>
        <v>0</v>
      </c>
      <c r="GO777" s="1034">
        <f>IF(G779="",0,1)</f>
        <v>0</v>
      </c>
      <c r="GP777" s="1034">
        <f>IF(R778="",0,1)</f>
        <v>0</v>
      </c>
      <c r="GQ777" s="1034">
        <f>IF(__Retrofit_TI_NC=0,1,IF(R779="",0,1))</f>
        <v>1</v>
      </c>
      <c r="GR777" s="1034">
        <f>IF(CN777="Exterior",1,IF(G780="",0,1))</f>
        <v>1</v>
      </c>
      <c r="GS777" s="1034">
        <f>IF(__Retrofit_TI_NC&lt;&gt;0,1,IF(T778="",0,1))</f>
        <v>0</v>
      </c>
      <c r="GT777" s="1034">
        <f>IF(__Retrofit_TI_NC&lt;&gt;0,1,IF(U778="",0,1))</f>
        <v>0</v>
      </c>
      <c r="GU777" s="1034">
        <f>IF(T779="",0,1)</f>
        <v>0</v>
      </c>
      <c r="GV777" s="1034">
        <f>IF(U779="",0,1)</f>
        <v>0</v>
      </c>
      <c r="GW777" s="1034">
        <f>IF(__Retrofit_TI_NC=2,1,IF(U780="",0,1))</f>
        <v>0</v>
      </c>
      <c r="GX777" s="1034">
        <f>IF(__Retrofit_TI_NC&lt;&gt;0,1,IF(AE778="",0,1))</f>
        <v>0</v>
      </c>
      <c r="GY777" s="1034">
        <f>IF(__Retrofit_TI_NC&lt;&gt;0,1,IF(AF778="",0,1))</f>
        <v>0</v>
      </c>
      <c r="GZ777" s="1034">
        <f>IF(AE779="",0,1)</f>
        <v>0</v>
      </c>
      <c r="HA777" s="1034">
        <f>IF(AF779="",0,1)</f>
        <v>0</v>
      </c>
      <c r="HB777" s="1034">
        <f>IF(__Retrofit_TI_NC=2,1,IF(AF780="",0,1))</f>
        <v>0</v>
      </c>
      <c r="HV777" s="436"/>
      <c r="HW777" s="1384" t="b">
        <f>IF(OR(HW780=0,HW780=HT$16,HW780=HS$16,HW780=HU$16),TRUE,FALSE)</f>
        <v>0</v>
      </c>
      <c r="HX777" s="1377" t="b">
        <f>HW777</f>
        <v>0</v>
      </c>
      <c r="HY777" s="436"/>
      <c r="HZ777" s="436"/>
      <c r="IA777" s="1386" t="b">
        <f>IF(MAX(GJ780:HP780)&gt;5,FALSE,TRUE)</f>
        <v>0</v>
      </c>
      <c r="IB777" s="1380">
        <f>IF(IA777=TRUE,AC777,0)</f>
        <v>0</v>
      </c>
      <c r="IC777" s="1380">
        <f>IB777-IB779</f>
        <v>0</v>
      </c>
      <c r="IF777" s="1380" t="e">
        <f>ROUND(T778*VLOOKUP(U778,Fixtures_Existing_List,2,FALSE)*N778*R778/1000,0)</f>
        <v>#N/A</v>
      </c>
      <c r="IG777" s="1381" t="e">
        <f>IF777-IF779</f>
        <v>#N/A</v>
      </c>
      <c r="IH777" s="1384" t="e">
        <f>ROUND(IF(CN777="Interior",N779*R779*R778*N778*_C406_reduction/1000,N779*R779*R778*N778/1000),0)</f>
        <v>#N/A</v>
      </c>
      <c r="II777" s="1384" t="e">
        <f>IH777-IH779</f>
        <v>#N/A</v>
      </c>
      <c r="IK777" s="1351" t="e">
        <f>IF($CO777="interior",IL777/2,VLOOKUP($CP777,Control_Savings_Exterior,IK$30,FALSE))</f>
        <v>#N/A</v>
      </c>
      <c r="IL777" s="1351" t="e">
        <f>IF($CO777="interior",VLOOKUP($CP777,Control_Savings_Interior,IL$30,FALSE),VLOOKUP($CP777,Control_Savings_Exterior,IL$30,FALSE))</f>
        <v>#N/A</v>
      </c>
      <c r="IM777" s="1351" t="e">
        <f>IF($CO777="interior",IF(R778&gt;FO$37,(IM$28*(FO$37/R778)),IM$28)*FP777,VLOOKUP($CP777,Control_Savings_Exterior,IM$30,FALSE))</f>
        <v>#N/A</v>
      </c>
      <c r="IN777" s="1351" t="e">
        <f>IF($CO777="interior",ROUND(((1-IL777)*IM777)+IL777,2),VLOOKUP($CP777,Control_Savings_Exterior,IN$30,FALSE))</f>
        <v>#N/A</v>
      </c>
      <c r="IO777" s="1351" t="e">
        <f>IF($CO777="interior", ROUND(((1-IL777)*(IM777*(1-IP$28)))+IP777,2), VLOOKUP($CP777,Control_Savings_Exterior,IO$30,FALSE))</f>
        <v>#N/A</v>
      </c>
      <c r="IP777" s="1351">
        <f>IF($CO777="interior",ROUND(((1-IL777)*IP$28)+IL777,2),0)</f>
        <v>0</v>
      </c>
    </row>
    <row r="778" spans="1:250" s="82" customFormat="1" ht="14.95" customHeight="1" thickTop="1" thickBot="1">
      <c r="B778" s="1421"/>
      <c r="C778" s="1422"/>
      <c r="D778" s="1423"/>
      <c r="E778" s="1393" t="s">
        <v>244</v>
      </c>
      <c r="F778" s="1394"/>
      <c r="G778" s="1395"/>
      <c r="H778" s="1395"/>
      <c r="I778" s="1395"/>
      <c r="J778" s="1395"/>
      <c r="K778" s="1395"/>
      <c r="L778" s="1395"/>
      <c r="M778" s="509" t="e">
        <f>IF(__Retrofit_TI_NC&lt;&gt;0,IF(VLOOKUP(G779,'Space Table'!$B$3:$L$160,3,FALSE)&gt;0,1,0),IF(__Retrofit_TI_NC=VLOOKUP(G779,'Space Table'!$B$3:$L$160,3,FALSE),1,0))</f>
        <v>#N/A</v>
      </c>
      <c r="N778" s="509" t="str">
        <f>IFERROR(VLOOKUP(G778,_Lookup_Heat_Type_Table_New,2,FALSE),"")</f>
        <v/>
      </c>
      <c r="O778" s="509">
        <f>IF(__Retrofit_TI_NC=1,CONCATENATE("TI ",G778),IF(__Retrofit_TI_NC=2,CONCATENATE("NC ",G778),G778))</f>
        <v>0</v>
      </c>
      <c r="P778" s="1396" t="s">
        <v>352</v>
      </c>
      <c r="Q778" s="1396"/>
      <c r="R778" s="673"/>
      <c r="S778" s="1429"/>
      <c r="T778" s="675"/>
      <c r="U778" s="1496"/>
      <c r="V778" s="1497"/>
      <c r="W778" s="1497"/>
      <c r="X778" s="1497"/>
      <c r="Y778" s="1497"/>
      <c r="Z778" s="1497"/>
      <c r="AA778" s="1497"/>
      <c r="AB778" s="1497"/>
      <c r="AC778" s="1497"/>
      <c r="AD778" s="1498"/>
      <c r="AE778" s="675"/>
      <c r="AF778" s="1397"/>
      <c r="AG778" s="1397"/>
      <c r="AH778" s="1397"/>
      <c r="AI778" s="1397"/>
      <c r="AJ778" s="1434"/>
      <c r="AK778" s="1436"/>
      <c r="AL778" s="1438"/>
      <c r="AM778" s="1441"/>
      <c r="AN778" s="1442"/>
      <c r="AO778" s="1447"/>
      <c r="AP778" s="1447"/>
      <c r="AQ778" s="1448"/>
      <c r="AR778" s="1452"/>
      <c r="AS778" s="1455"/>
      <c r="AT778" s="1458"/>
      <c r="AU778" s="516"/>
      <c r="AV778" s="1479"/>
      <c r="AW778" s="1479"/>
      <c r="BC778" s="38"/>
      <c r="BD778" s="38"/>
      <c r="BE778" s="38"/>
      <c r="BF778" s="38"/>
      <c r="BG778" s="38"/>
      <c r="BH778" s="38"/>
      <c r="BI778" s="38"/>
      <c r="BJ778" s="38"/>
      <c r="BK778" s="38"/>
      <c r="BL778" s="38"/>
      <c r="BM778" s="38"/>
      <c r="BN778" s="38"/>
      <c r="BO778" s="38"/>
      <c r="BP778" s="38"/>
      <c r="BQ778" s="38"/>
      <c r="BR778" s="38"/>
      <c r="BS778" s="38"/>
      <c r="BT778" s="38"/>
      <c r="BU778" s="38"/>
      <c r="BV778" s="38"/>
      <c r="BW778" s="38"/>
      <c r="BX778" s="38"/>
      <c r="BY778" s="38"/>
      <c r="BZ778" s="38"/>
      <c r="CA778" s="38"/>
      <c r="CB778" s="38"/>
      <c r="CC778" s="38"/>
      <c r="CD778" s="38"/>
      <c r="CE778" s="38"/>
      <c r="CF778" s="38"/>
      <c r="CG778" s="38"/>
      <c r="CH778" s="38"/>
      <c r="CI778" s="38"/>
      <c r="CM778" s="1352"/>
      <c r="CN778" s="1352"/>
      <c r="CO778" s="1416"/>
      <c r="CP778" s="1418"/>
      <c r="CR778" s="1386"/>
      <c r="CS778" s="1355"/>
      <c r="CT778" s="1355"/>
      <c r="CU778" s="1355"/>
      <c r="CV778" s="1372"/>
      <c r="CW778" s="1372"/>
      <c r="CX778" s="1371"/>
      <c r="CY778" s="1486"/>
      <c r="CZ778" s="1486"/>
      <c r="DA778" s="1486"/>
      <c r="DC778" s="1355"/>
      <c r="DD778" s="1461"/>
      <c r="DE778" s="1355"/>
      <c r="DF778" s="1407"/>
      <c r="DG778" s="1372"/>
      <c r="DH778" s="1369"/>
      <c r="DJ778" s="1484"/>
      <c r="DL778" s="1419"/>
      <c r="DN778" s="1403"/>
      <c r="DO778" s="1405"/>
      <c r="DP778" s="1354"/>
      <c r="DQ778" s="1405"/>
      <c r="DR778" s="1403"/>
      <c r="DS778" s="1489"/>
      <c r="DU778" s="1403"/>
      <c r="DV778" s="1405"/>
      <c r="DW778" s="1403"/>
      <c r="DX778" s="1403"/>
      <c r="DZ778" s="1481"/>
      <c r="EA778" s="1481"/>
      <c r="EC778" s="1482"/>
      <c r="ED778" s="1369"/>
      <c r="EE778" s="1371"/>
      <c r="EF778" s="1369"/>
      <c r="EG778" s="1369"/>
      <c r="EH778" s="1374"/>
      <c r="EI778" s="1374"/>
      <c r="EJ778" s="1363"/>
      <c r="EK778" s="1376"/>
      <c r="EL778" s="1376"/>
      <c r="EM778" s="1362"/>
      <c r="EN778" s="1362"/>
      <c r="EO778" s="1363"/>
      <c r="EP778" s="1363"/>
      <c r="EQ778" s="1363"/>
      <c r="ES778" s="1403"/>
      <c r="EU778" s="1411"/>
      <c r="EV778" s="1411"/>
      <c r="EW778" s="1411"/>
      <c r="EX778" s="1411"/>
      <c r="EY778" s="1411"/>
      <c r="EZ778" s="1413"/>
      <c r="FB778" s="1365"/>
      <c r="FD778" s="1354"/>
      <c r="FE778" s="1354"/>
      <c r="FF778" s="138"/>
      <c r="FI778" s="1357"/>
      <c r="FJ778" s="1357"/>
      <c r="FK778" s="1365"/>
      <c r="FL778" s="1365"/>
      <c r="FM778" s="1365"/>
      <c r="FO778" s="1361"/>
      <c r="FP778" s="1361"/>
      <c r="FQ778" s="1366"/>
      <c r="FR778" s="1368"/>
      <c r="FS778" s="1361"/>
      <c r="FT778" s="1368"/>
      <c r="FU778" s="1360"/>
      <c r="FW778" s="1352"/>
      <c r="FX778" s="1352"/>
      <c r="FY778" s="1352"/>
      <c r="FZ778" s="1352"/>
      <c r="GA778" s="1352"/>
      <c r="GB778" s="1352"/>
      <c r="GC778" s="1352"/>
      <c r="GD778" s="1352"/>
      <c r="GE778" s="759"/>
      <c r="GF778" s="1035"/>
      <c r="GG778" s="1385"/>
      <c r="GI778" s="1384" t="b">
        <f>IF(AND(GL778=TRUE,GM778=TRUE),TRUE,FALSE)</f>
        <v>0</v>
      </c>
      <c r="GJ778" s="1379" t="b">
        <f>IFERROR(IF(__Retrofit_TI_NC=2,TRUE,IF(AR777="Yes",TRUE,FALSE)),FALSE)</f>
        <v>1</v>
      </c>
      <c r="GL778" s="1379" t="b">
        <f>IFERROR(IF(GL777=1,TRUE,FALSE),FALSE)</f>
        <v>0</v>
      </c>
      <c r="GM778" s="1379" t="b">
        <f>IFERROR(IF(GM777=GM$14,TRUE,FALSE),FALSE)</f>
        <v>0</v>
      </c>
      <c r="HC778" s="1379" t="b">
        <f>IFERROR(IF(M778=1,TRUE,FALSE),FALSE)</f>
        <v>0</v>
      </c>
      <c r="HD778" s="1379" t="b">
        <f>IFERROR(IF(M779=1,TRUE,FALSE),FALSE)</f>
        <v>0</v>
      </c>
      <c r="HE778" s="1379" t="b">
        <f>IFERROR(IF(__Retrofit_TI_NC&lt;&gt;0,TRUE,IFERROR(IF(VLOOKUP(U778,Fixtures_Existing_List,2,FALSE)&lt;&gt;"",TRUE,FALSE),FALSE)),FALSE)</f>
        <v>0</v>
      </c>
      <c r="HF778" s="1379" t="b">
        <f>IFERROR(IF(VLOOKUP(U779,Fixtures_Proposed_List,2,FALSE)&lt;&gt;"",TRUE,FALSE),FALSE)</f>
        <v>0</v>
      </c>
      <c r="HG778" s="1379" t="b">
        <f>IF(AND(__Retrofit_TI_NC=2,EZ777=TRUE),FALSE,TRUE)</f>
        <v>1</v>
      </c>
      <c r="HH778" s="1379" t="b">
        <f>GG777</f>
        <v>1</v>
      </c>
      <c r="HI778" s="1384" t="b">
        <f>IF(ISERROR(MATCH(FB777,_Control_Match[],0))=TRUE,FALSE,TRUE)</f>
        <v>0</v>
      </c>
      <c r="HJ778" s="1384" t="b">
        <f>IFERROR(IF(EU777&lt;&gt;EV777,FALSE,TRUE),FALSE)</f>
        <v>0</v>
      </c>
      <c r="HK778" s="1384" t="b">
        <f>IFERROR(IF(EU779&lt;&gt;EV779,FALSE,TRUE),FALSE)</f>
        <v>0</v>
      </c>
      <c r="HL778" s="1379" t="b">
        <f>IFERROR(IF(CN777="Exterior",TRUE,IF(OR(AND(FJ777=0,EW779&gt;4),AND(FJ777=4,EW779&gt;4,EW779&lt;7)),FALSE,TRUE)),FALSE)</f>
        <v>0</v>
      </c>
      <c r="HM778" s="1379" t="b">
        <f>IFERROR(IF(AND(FL779=7,EZ777=TRUE),FALSE,TRUE),FALSE)</f>
        <v>0</v>
      </c>
      <c r="HN778" s="1379" t="b">
        <f>IFERROR(IF(AND(T779&lt;&gt;AE779,AF779="Interior LLLC")=TRUE,FALSE,TRUE),FALSE)</f>
        <v>1</v>
      </c>
      <c r="HO778" s="1379" t="b">
        <f>IFERROR(IF(OR(AF779=Lookup!AU$13,AF779=Lookup!AU$14)=TRUE,IF(AE779&gt;T779,FALSE,TRUE),TRUE),FALSE)</f>
        <v>1</v>
      </c>
      <c r="HP778" s="1379" t="b">
        <f>IFERROR(IF(__Retrofit_TI_NC=2,IF(EW779&lt;EW777,FALSE,TRUE),TRUE),FALSE)</f>
        <v>1</v>
      </c>
      <c r="HQ778" s="1379" t="b">
        <f>IF(CN777="Interior",IG$6,TRUE)</f>
        <v>1</v>
      </c>
      <c r="HR778" s="1379" t="b">
        <f>IF(CN777="Exterior",IG$8,TRUE)</f>
        <v>1</v>
      </c>
      <c r="HS778" s="1379" t="b">
        <f>IFERROR(IF(__Retrofit_TI_NC&lt;&gt;0,IF(AW777&lt;AV777,FALSE,TRUE),TRUE),FALSE)</f>
        <v>1</v>
      </c>
      <c r="HT778" s="1379" t="b">
        <f>IFERROR(IF(AND(G778="Exterior",R778&gt;4200),FALSE,TRUE),FALSE)</f>
        <v>1</v>
      </c>
      <c r="HU778" s="1379" t="b">
        <f>IFERROR(IF(AB780/AB777&lt;HU$18,FALSE,TRUE),FALSE)</f>
        <v>0</v>
      </c>
      <c r="HW778" s="1382"/>
      <c r="HX778" s="1378"/>
      <c r="HY778" s="1377" t="str">
        <f>VLOOKUP(HW780,_Error_Table,4,FALSE)</f>
        <v>White</v>
      </c>
      <c r="HZ778" s="436"/>
      <c r="IA778" s="1386"/>
      <c r="IB778" s="1380"/>
      <c r="IC778" s="1379"/>
      <c r="IF778" s="1380"/>
      <c r="IG778" s="1382"/>
      <c r="IH778" s="1382"/>
      <c r="II778" s="1382"/>
      <c r="IK778" s="1351"/>
      <c r="IL778" s="1351"/>
      <c r="IM778" s="1351"/>
      <c r="IN778" s="1351"/>
      <c r="IO778" s="1351"/>
      <c r="IP778" s="1351"/>
    </row>
    <row r="779" spans="1:250" s="82" customFormat="1" ht="14.95" customHeight="1" thickTop="1" thickBot="1">
      <c r="A779" s="82">
        <f>ROW()</f>
        <v>779</v>
      </c>
      <c r="B779" s="1421"/>
      <c r="C779" s="1422"/>
      <c r="D779" s="1423"/>
      <c r="E779" s="1393" t="s">
        <v>245</v>
      </c>
      <c r="F779" s="1394"/>
      <c r="G779" s="1398"/>
      <c r="H779" s="1399"/>
      <c r="I779" s="1399"/>
      <c r="J779" s="1399"/>
      <c r="K779" s="1399"/>
      <c r="L779" s="1400"/>
      <c r="M779" s="509">
        <f>IFERROR(IF(IF(__Retrofit_TI_NC&lt;&gt;0,IF(CN777="Interior",MATCH(G779,Lookup_Interior_New,0),MATCH(G779,Lookup_Exterior_New,0)),IF(CN777="Interior",MATCH(G779,Lookup_Interior,0),MATCH(G779,Lookup_Exterior_Areas,0)))&gt;0,1,0),0)</f>
        <v>0</v>
      </c>
      <c r="N779" s="509" t="e">
        <f>IF(__Retrofit_TI_NC=1,
VLOOKUP(G779,'Space Table'!$B$3:$L$160,4,FALSE),
IF(__Retrofit_TI_NC=2,VLOOKUP(G779,'Space Table'!$B$3:$L$160,5,FALSE),VLOOKUP(G779,'Space Table'!$B$3:$L$160,5,FALSE)))</f>
        <v>#N/A</v>
      </c>
      <c r="O779" s="509">
        <f>G779</f>
        <v>0</v>
      </c>
      <c r="P779" s="1394" t="s">
        <v>355</v>
      </c>
      <c r="Q779" s="1394"/>
      <c r="R779" s="674"/>
      <c r="S779" s="1401" t="s">
        <v>284</v>
      </c>
      <c r="T779" s="672"/>
      <c r="U779" s="1499"/>
      <c r="V779" s="1500"/>
      <c r="W779" s="1500"/>
      <c r="X779" s="1500"/>
      <c r="Y779" s="1500"/>
      <c r="Z779" s="1500"/>
      <c r="AA779" s="1500"/>
      <c r="AB779" s="1501"/>
      <c r="AC779" s="1501"/>
      <c r="AD779" s="1502"/>
      <c r="AE779" s="672"/>
      <c r="AF779" s="1474"/>
      <c r="AG779" s="1474"/>
      <c r="AH779" s="1474"/>
      <c r="AI779" s="1474"/>
      <c r="AJ779" s="1475">
        <f>DF779</f>
        <v>0</v>
      </c>
      <c r="AK779" s="1470" t="str">
        <f>IFERROR(ROUND(AJ779*AC780,0),"")</f>
        <v/>
      </c>
      <c r="AL779" s="1472">
        <f>IFERROR(IF(HW777=FALSE,0,AC780-AK779),0)</f>
        <v>0</v>
      </c>
      <c r="AM779" s="1441"/>
      <c r="AN779" s="1442"/>
      <c r="AO779" s="1447"/>
      <c r="AP779" s="1447"/>
      <c r="AQ779" s="1448"/>
      <c r="AR779" s="1452"/>
      <c r="AS779" s="1455"/>
      <c r="AT779" s="1458"/>
      <c r="AU779" s="516"/>
      <c r="AV779" s="1479"/>
      <c r="AW779" s="1479"/>
      <c r="BC779" s="38"/>
      <c r="BD779" s="38"/>
      <c r="BE779" s="38"/>
      <c r="BF779" s="38"/>
      <c r="BG779" s="38"/>
      <c r="BH779" s="38"/>
      <c r="BI779" s="38"/>
      <c r="BJ779" s="38"/>
      <c r="BK779" s="38"/>
      <c r="BL779" s="38"/>
      <c r="BM779" s="38"/>
      <c r="BN779" s="38"/>
      <c r="BO779" s="38"/>
      <c r="BP779" s="38"/>
      <c r="BQ779" s="38"/>
      <c r="BR779" s="38"/>
      <c r="BS779" s="38"/>
      <c r="BT779" s="38"/>
      <c r="BU779" s="38"/>
      <c r="BV779" s="38"/>
      <c r="BW779" s="38"/>
      <c r="BX779" s="38"/>
      <c r="BY779" s="38"/>
      <c r="BZ779" s="38"/>
      <c r="CA779" s="38"/>
      <c r="CB779" s="38"/>
      <c r="CC779" s="38"/>
      <c r="CD779" s="38"/>
      <c r="CE779" s="38"/>
      <c r="CF779" s="38"/>
      <c r="CG779" s="38"/>
      <c r="CH779" s="38"/>
      <c r="CI779" s="38"/>
      <c r="CM779" s="1352"/>
      <c r="CN779" s="1352"/>
      <c r="CO779" s="1415" t="str">
        <f>CN777</f>
        <v/>
      </c>
      <c r="CP779" s="1417" t="e">
        <f>CP777</f>
        <v>#N/A</v>
      </c>
      <c r="CR779" s="1386" t="s">
        <v>284</v>
      </c>
      <c r="CS779" s="1353">
        <f>IF(HW777=TRUE,T779,0)</f>
        <v>0</v>
      </c>
      <c r="CT779" s="1353" t="str">
        <f>IF(HW777=TRUE,U779,"")</f>
        <v/>
      </c>
      <c r="CU779" s="1373">
        <f>IF(HW777=TRUE,U780,0)</f>
        <v>0</v>
      </c>
      <c r="CV779" s="1370">
        <f>IF(HW777=TRUE,AB780,0)</f>
        <v>0</v>
      </c>
      <c r="CW779" s="1370">
        <f>IF(HW777=TRUE,AC780,0)</f>
        <v>0</v>
      </c>
      <c r="CX779" s="1371"/>
      <c r="CY779" s="1486"/>
      <c r="CZ779" s="1486"/>
      <c r="DA779" s="1486"/>
      <c r="DC779" s="1353">
        <f>IF(HW777=TRUE,AE779,0)</f>
        <v>0</v>
      </c>
      <c r="DD779" s="1353" t="str">
        <f>IF(HW777=TRUE,AF779,"")</f>
        <v/>
      </c>
      <c r="DE779" s="1373">
        <f>AF780</f>
        <v>0</v>
      </c>
      <c r="DF779" s="1406">
        <f>IFERROR(IF(FL779=3,IK779,IF(FL779=4,IL779,IF(FL779=5,IM779,IF(FL779=6,IN779,IF(FL779=7,IO779,IF(FL779=8,IP779,0)))))),0)</f>
        <v>0</v>
      </c>
      <c r="DG779" s="1370">
        <f>IF(HW777=TRUE,AK779,0)</f>
        <v>0</v>
      </c>
      <c r="DH779" s="1369"/>
      <c r="DK779" s="1483">
        <f>IFERROR(CW779-DG779,0)</f>
        <v>0</v>
      </c>
      <c r="DL779" s="1420"/>
      <c r="DN779" s="1403"/>
      <c r="DO779" s="1477" t="str">
        <f>DN777</f>
        <v/>
      </c>
      <c r="DP779" s="1354"/>
      <c r="DQ779" s="1477" t="str">
        <f>IF(DP777=7,"LLLC","")</f>
        <v/>
      </c>
      <c r="DR779" s="1403"/>
      <c r="DS779" s="1489"/>
      <c r="DU779" s="1403"/>
      <c r="DV779" s="1404" t="str">
        <f>DU777</f>
        <v/>
      </c>
      <c r="DW779" s="1403"/>
      <c r="DX779" s="1403"/>
      <c r="DZ779" s="1481"/>
      <c r="EA779" s="1481"/>
      <c r="EC779" s="1482"/>
      <c r="ED779" s="1369"/>
      <c r="EE779" s="1371"/>
      <c r="EF779" s="1369"/>
      <c r="EG779" s="1369"/>
      <c r="EH779" s="1374"/>
      <c r="EI779" s="1374"/>
      <c r="EJ779" s="1363"/>
      <c r="EK779" s="1376"/>
      <c r="EL779" s="1376"/>
      <c r="EM779" s="1362"/>
      <c r="EN779" s="1362"/>
      <c r="EO779" s="1363"/>
      <c r="EP779" s="1363"/>
      <c r="EQ779" s="1363"/>
      <c r="ES779" s="1403"/>
      <c r="EU779" s="1411" t="e">
        <f>VLOOKUP(CP779,'Space Table'!$B$3:$L$160,8,FALSE)</f>
        <v>#N/A</v>
      </c>
      <c r="EV779" s="1411" t="e">
        <f>IF(EY779="Yes",VLOOKUP(AF779,Lookup_Control_Type_Table2,4,FALSE),VLOOKUP(AF779,Lookup_Control_Type_Table2,3,FALSE))</f>
        <v>#N/A</v>
      </c>
      <c r="EW779" s="1411" t="e">
        <f>VLOOKUP(AF779,Lookup!AU$3:AV$15,2,FALSE)</f>
        <v>#N/A</v>
      </c>
      <c r="EX779" s="1411" t="e">
        <f>VLOOKUP(EU777,Lookup_Control_Type_Table,2,FALSE)</f>
        <v>#N/A</v>
      </c>
      <c r="EY779" s="1411" t="e">
        <f>VLOOKUP(CP779,'Space Table'!$B$3:$L$160,7,FALSE)</f>
        <v>#N/A</v>
      </c>
      <c r="EZ779" s="1413"/>
      <c r="FB779" s="1365" t="str">
        <f>CONCATENATE(CN777," - ",AF779)</f>
        <v xml:space="preserve"> - </v>
      </c>
      <c r="FD779" s="1354"/>
      <c r="FE779" s="1354"/>
      <c r="FF779" s="138"/>
      <c r="FI779" s="1356" t="str">
        <f>IF(CN777="Exterior","Not Daylighted",G780)</f>
        <v>Not Daylighted</v>
      </c>
      <c r="FJ779" s="1356">
        <f>VLOOKUP(FI779,_Daylight_Table_Codes,2,FALSE)</f>
        <v>0</v>
      </c>
      <c r="FK779" s="1365">
        <f>AF779</f>
        <v>0</v>
      </c>
      <c r="FL779" s="1365" t="e">
        <f>VLOOKUP(FK779,_Control_Table,2,FALSE)</f>
        <v>#N/A</v>
      </c>
      <c r="FM779" s="1365" t="e">
        <f>IF(AND(FP779&gt;0,FK779="Occupancy Sensor"),"Daylight + Occupancy",IF(AND(FP779&gt;0,FL779&lt;4),"Interior Daylight Dimming",FK779))</f>
        <v>#N/A</v>
      </c>
      <c r="FO779" s="1364">
        <f>IF(CN777="Interior",VLOOKUP(CP777,Control_Savings_Interior,5,FALSE),0)</f>
        <v>0</v>
      </c>
      <c r="FP779" s="1361">
        <f>IF(CN779="Exterior",0,IF(FJ779=2,0.5,IF(OR(FJ779=1,FJ779=3),1,0)))</f>
        <v>0</v>
      </c>
      <c r="FQ779" s="1366">
        <f>IF(R778&gt;FO$37,(FO779*(FO$37/R778)),FO779)*FP779</f>
        <v>0</v>
      </c>
      <c r="FR779" s="1364">
        <f>DF779</f>
        <v>0</v>
      </c>
      <c r="FS779" s="1364">
        <f>ROUND(FR779+((1-FR779)*FQ779),2)</f>
        <v>0</v>
      </c>
      <c r="FT779" s="1364">
        <f>IF(__Retrofit_TI_NC=2,FS779,FR779)</f>
        <v>0</v>
      </c>
      <c r="FU779" s="1360">
        <f>IF(CO779="Interior",VLOOKUP(CP779,Control_Savings_Interior,4,FALSE),0)</f>
        <v>0</v>
      </c>
      <c r="FW779" s="1352"/>
      <c r="FX779" s="1352"/>
      <c r="FY779" s="1352"/>
      <c r="FZ779" s="1352"/>
      <c r="GA779" s="1352"/>
      <c r="GB779" s="1352"/>
      <c r="GC779" s="1352"/>
      <c r="GD779" s="1352"/>
      <c r="GE779" s="759" t="b">
        <f>IF(ISNUMBER(SEARCH("TLED",U779)),TRUE,FALSE)</f>
        <v>0</v>
      </c>
      <c r="GF779" s="1035" t="str">
        <f>IFERROR(VLOOKUP(U779,Fixtures!DM$93:DR$142,6,FALSE),"")</f>
        <v/>
      </c>
      <c r="GG779" s="1385"/>
      <c r="GI779" s="1383"/>
      <c r="GJ779" s="1379"/>
      <c r="GL779" s="1379"/>
      <c r="GM779" s="1379"/>
      <c r="HC779" s="1379"/>
      <c r="HD779" s="1379"/>
      <c r="HE779" s="1379"/>
      <c r="HF779" s="1379"/>
      <c r="HG779" s="1379"/>
      <c r="HH779" s="1379"/>
      <c r="HI779" s="1383"/>
      <c r="HJ779" s="1383"/>
      <c r="HK779" s="1383"/>
      <c r="HL779" s="1379"/>
      <c r="HM779" s="1379"/>
      <c r="HN779" s="1379"/>
      <c r="HO779" s="1379"/>
      <c r="HP779" s="1379"/>
      <c r="HQ779" s="1379"/>
      <c r="HR779" s="1379"/>
      <c r="HS779" s="1379"/>
      <c r="HT779" s="1379"/>
      <c r="HU779" s="1379"/>
      <c r="HW779" s="1383"/>
      <c r="HX779" s="1384" t="b">
        <f>HW777</f>
        <v>0</v>
      </c>
      <c r="HY779" s="1378"/>
      <c r="HZ779" s="436"/>
      <c r="IA779" s="1386"/>
      <c r="IB779" s="1380">
        <f>IF(IA777=TRUE,AC780,0)</f>
        <v>0</v>
      </c>
      <c r="IC779" s="1379"/>
      <c r="IF779" s="1380" t="e">
        <f>ROUND(T779*AB780*N778*R778/1000,0)</f>
        <v>#VALUE!</v>
      </c>
      <c r="IG779" s="1382"/>
      <c r="IH779" s="1384" t="e">
        <f>ROUND(T779*AB780*N778*R778/1000,0)</f>
        <v>#VALUE!</v>
      </c>
      <c r="II779" s="1382"/>
      <c r="IK779" s="1351" t="e">
        <f>IF($CO779="interior",IL779/2,VLOOKUP($CP779,Control_Savings_Exterior,IK$30,FALSE))</f>
        <v>#N/A</v>
      </c>
      <c r="IL779" s="1351" t="e">
        <f>IF($CO779="interior",VLOOKUP($CP779,Control_Savings_Interior,IL$30,FALSE),VLOOKUP($CP779,Control_Savings_Exterior,IL$30,FALSE))</f>
        <v>#N/A</v>
      </c>
      <c r="IM779" s="1351" t="e">
        <f>IF($CO779="interior",IF(R778&gt;FO$37,(IM$28*(FO$37/R778)),IM$28)*FP779,VLOOKUP($CP779,Control_Savings_Exterior,IM$30,FALSE))</f>
        <v>#N/A</v>
      </c>
      <c r="IN779" s="1351" t="e">
        <f>IF($CO779="interior",ROUND(((1-IL779)*IM779)+IL779,2),VLOOKUP($CP779,Control_Savings_Exterior,IN$30,FALSE))</f>
        <v>#N/A</v>
      </c>
      <c r="IO779" s="1351" t="e">
        <f>IF($CO779="interior", ROUND(((1-IL779)*(IM779*(1-IP$28)))+IP779,2), VLOOKUP($CP779,Control_Savings_Exterior,IO$30,FALSE))</f>
        <v>#N/A</v>
      </c>
      <c r="IP779" s="1351">
        <f>IF($CO779="interior",ROUND(((1-IL779)*IP$28)+IL779,2),0)</f>
        <v>0</v>
      </c>
    </row>
    <row r="780" spans="1:250" s="82" customFormat="1" ht="14.95" customHeight="1" thickTop="1" thickBot="1">
      <c r="B780" s="1421"/>
      <c r="C780" s="1422"/>
      <c r="D780" s="1423"/>
      <c r="E780" s="1462" t="s">
        <v>357</v>
      </c>
      <c r="F780" s="1463"/>
      <c r="G780" s="1464" t="s">
        <v>362</v>
      </c>
      <c r="H780" s="1465"/>
      <c r="I780" s="1465"/>
      <c r="J780" s="1465"/>
      <c r="K780" s="1465"/>
      <c r="L780" s="1466"/>
      <c r="M780" s="669">
        <f>IFERROR(VLOOKUP(G780,_Daylight_Table[],2,FALSE),0)</f>
        <v>0</v>
      </c>
      <c r="N780" s="670"/>
      <c r="O780" s="669" t="e">
        <f>VLOOKUP(G779,'Space Table'!$B$3:$L$160,11,FALSE)</f>
        <v>#N/A</v>
      </c>
      <c r="P780" s="1408"/>
      <c r="Q780" s="1409"/>
      <c r="R780" s="1409"/>
      <c r="S780" s="1402"/>
      <c r="T780" s="671" t="s">
        <v>281</v>
      </c>
      <c r="U780" s="1467" t="str">
        <f>IFERROR(VLOOKUP(U779,Fixtures!DM$93:DP$142,4,FALSE),"")</f>
        <v/>
      </c>
      <c r="V780" s="1468"/>
      <c r="W780" s="1468"/>
      <c r="X780" s="1468"/>
      <c r="Y780" s="1468"/>
      <c r="Z780" s="1468"/>
      <c r="AA780" s="1468"/>
      <c r="AB780" s="1046" t="str">
        <f>IFERROR(VLOOKUP(U779,Fixtures_Proposed_List,2,FALSE),"")</f>
        <v/>
      </c>
      <c r="AC780" s="1036" t="str">
        <f>IFERROR(ROUND(T779*AB780*N778*R778/1000,0),"")</f>
        <v/>
      </c>
      <c r="AD780" s="1037" t="str">
        <f>IFERROR(ROUND(T779*AB780/1000,2),"")</f>
        <v/>
      </c>
      <c r="AE780" s="1045" t="s">
        <v>281</v>
      </c>
      <c r="AF780" s="1469"/>
      <c r="AG780" s="1469"/>
      <c r="AH780" s="1469"/>
      <c r="AI780" s="1469"/>
      <c r="AJ780" s="1476"/>
      <c r="AK780" s="1471"/>
      <c r="AL780" s="1473"/>
      <c r="AM780" s="1443"/>
      <c r="AN780" s="1444"/>
      <c r="AO780" s="1449"/>
      <c r="AP780" s="1449"/>
      <c r="AQ780" s="1450"/>
      <c r="AR780" s="1453"/>
      <c r="AS780" s="1456"/>
      <c r="AT780" s="1459"/>
      <c r="AU780" s="517"/>
      <c r="AV780" s="1480"/>
      <c r="AW780" s="1480"/>
      <c r="BC780" s="38"/>
      <c r="BD780" s="38"/>
      <c r="BE780" s="38"/>
      <c r="BF780" s="38"/>
      <c r="BG780" s="38"/>
      <c r="BH780" s="38"/>
      <c r="BI780" s="38"/>
      <c r="BJ780" s="38"/>
      <c r="BK780" s="38"/>
      <c r="BL780" s="38"/>
      <c r="BM780" s="38"/>
      <c r="BN780" s="38"/>
      <c r="BO780" s="38"/>
      <c r="BP780" s="38"/>
      <c r="BQ780" s="38"/>
      <c r="BR780" s="38"/>
      <c r="BS780" s="38"/>
      <c r="BT780" s="38"/>
      <c r="BU780" s="38"/>
      <c r="BV780" s="38"/>
      <c r="BW780" s="38"/>
      <c r="BX780" s="38"/>
      <c r="BY780" s="38"/>
      <c r="BZ780" s="38"/>
      <c r="CA780" s="38"/>
      <c r="CB780" s="38"/>
      <c r="CC780" s="38"/>
      <c r="CD780" s="38"/>
      <c r="CE780" s="38"/>
      <c r="CF780" s="38"/>
      <c r="CG780" s="38"/>
      <c r="CH780" s="38"/>
      <c r="CI780" s="38"/>
      <c r="CM780" s="1352"/>
      <c r="CN780" s="1352"/>
      <c r="CO780" s="1416"/>
      <c r="CP780" s="1418"/>
      <c r="CR780" s="1386"/>
      <c r="CS780" s="1355"/>
      <c r="CT780" s="1355"/>
      <c r="CU780" s="1375"/>
      <c r="CV780" s="1372"/>
      <c r="CW780" s="1372"/>
      <c r="CX780" s="1372"/>
      <c r="CY780" s="1487"/>
      <c r="CZ780" s="1487"/>
      <c r="DA780" s="1487"/>
      <c r="DC780" s="1355"/>
      <c r="DD780" s="1355"/>
      <c r="DE780" s="1375"/>
      <c r="DF780" s="1407"/>
      <c r="DG780" s="1372"/>
      <c r="DH780" s="1369"/>
      <c r="DK780" s="1484"/>
      <c r="DL780" s="1420"/>
      <c r="DN780" s="1403"/>
      <c r="DO780" s="1405"/>
      <c r="DP780" s="1355"/>
      <c r="DQ780" s="1405"/>
      <c r="DR780" s="1403"/>
      <c r="DS780" s="1489"/>
      <c r="DU780" s="1403"/>
      <c r="DV780" s="1405"/>
      <c r="DW780" s="1403"/>
      <c r="DX780" s="1403"/>
      <c r="DZ780" s="1481"/>
      <c r="EA780" s="1481"/>
      <c r="EC780" s="1482"/>
      <c r="ED780" s="1369"/>
      <c r="EE780" s="1372"/>
      <c r="EF780" s="1369"/>
      <c r="EG780" s="1369"/>
      <c r="EH780" s="1375"/>
      <c r="EI780" s="1375"/>
      <c r="EJ780" s="1363"/>
      <c r="EK780" s="1376"/>
      <c r="EL780" s="1376"/>
      <c r="EM780" s="1362"/>
      <c r="EN780" s="1362"/>
      <c r="EO780" s="1363"/>
      <c r="EP780" s="1363"/>
      <c r="EQ780" s="1363"/>
      <c r="ES780" s="1403"/>
      <c r="EU780" s="1488"/>
      <c r="EV780" s="1488"/>
      <c r="EW780" s="1488"/>
      <c r="EX780" s="1488"/>
      <c r="EY780" s="1488"/>
      <c r="EZ780" s="1414"/>
      <c r="FB780" s="1365"/>
      <c r="FD780" s="1355"/>
      <c r="FE780" s="1355"/>
      <c r="FF780" s="138"/>
      <c r="FI780" s="1357"/>
      <c r="FJ780" s="1357"/>
      <c r="FK780" s="1365"/>
      <c r="FL780" s="1365"/>
      <c r="FM780" s="1365"/>
      <c r="FO780" s="1361"/>
      <c r="FP780" s="1361"/>
      <c r="FQ780" s="1366"/>
      <c r="FR780" s="1361"/>
      <c r="FS780" s="1361"/>
      <c r="FT780" s="1361"/>
      <c r="FU780" s="1360"/>
      <c r="FW780" s="1352"/>
      <c r="FX780" s="1352"/>
      <c r="FY780" s="1352"/>
      <c r="FZ780" s="1352"/>
      <c r="GA780" s="1352"/>
      <c r="GB780" s="1352"/>
      <c r="GC780" s="1352"/>
      <c r="GD780" s="1352"/>
      <c r="GE780" s="759"/>
      <c r="GF780" s="1035"/>
      <c r="GG780" s="1385"/>
      <c r="GJ780" s="1034">
        <f>IF(GJ778=TRUE,0,GJ$16)</f>
        <v>0</v>
      </c>
      <c r="GL780" s="1034">
        <f>IF(GL778=TRUE,0,GL$16)</f>
        <v>36</v>
      </c>
      <c r="GM780" s="1034">
        <f>IF(GM778=TRUE,0,GM$16)</f>
        <v>35</v>
      </c>
      <c r="GN780" s="436"/>
      <c r="GO780" s="436"/>
      <c r="GP780" s="436"/>
      <c r="GQ780" s="436"/>
      <c r="GR780" s="436"/>
      <c r="HC780" s="1034">
        <f t="shared" ref="HC780:HH780" si="582">IF(HC778=TRUE,0,HC$16)</f>
        <v>19</v>
      </c>
      <c r="HD780" s="1034">
        <f t="shared" si="582"/>
        <v>18</v>
      </c>
      <c r="HE780" s="1034">
        <f t="shared" si="582"/>
        <v>17</v>
      </c>
      <c r="HF780" s="1034">
        <f t="shared" si="582"/>
        <v>16</v>
      </c>
      <c r="HG780" s="1034">
        <f t="shared" si="582"/>
        <v>0</v>
      </c>
      <c r="HH780" s="1034">
        <f t="shared" si="582"/>
        <v>0</v>
      </c>
      <c r="HI780" s="1034">
        <f>IF(HI778=TRUE,0,HI$16)</f>
        <v>13</v>
      </c>
      <c r="HJ780" s="1034">
        <f t="shared" ref="HJ780:HL780" si="583">IF(HJ778=TRUE,0,HJ$16)</f>
        <v>12</v>
      </c>
      <c r="HK780" s="1034">
        <f t="shared" si="583"/>
        <v>11</v>
      </c>
      <c r="HL780" s="1034">
        <f t="shared" si="583"/>
        <v>10</v>
      </c>
      <c r="HM780" s="1034">
        <f>IF(HM778=TRUE,0,HM$16)</f>
        <v>9</v>
      </c>
      <c r="HN780" s="1034">
        <f t="shared" ref="HN780:HR780" si="584">IF(HN778=TRUE,0,HN$16)</f>
        <v>0</v>
      </c>
      <c r="HO780" s="1034">
        <f t="shared" si="584"/>
        <v>0</v>
      </c>
      <c r="HP780" s="1034">
        <f t="shared" si="584"/>
        <v>0</v>
      </c>
      <c r="HQ780" s="1034">
        <f t="shared" si="584"/>
        <v>0</v>
      </c>
      <c r="HR780" s="1034">
        <f t="shared" si="584"/>
        <v>0</v>
      </c>
      <c r="HS780" s="1034">
        <f>IF(HS778=TRUE,0,HS$16)</f>
        <v>0</v>
      </c>
      <c r="HT780" s="1034">
        <f t="shared" ref="HT780" si="585">IF(HT778=TRUE,0,HT$16)</f>
        <v>0</v>
      </c>
      <c r="HU780" s="1034">
        <f>IF(HU778=TRUE,0,HU$16)</f>
        <v>1</v>
      </c>
      <c r="HW780" s="1034">
        <f>IF(GL778=FALSE,GL780,IF(GM778=FALSE,GM780,MAX(GJ780:HU780)))</f>
        <v>36</v>
      </c>
      <c r="HX780" s="1383"/>
      <c r="HY780" s="241" t="str">
        <f>VLOOKUP(HW780,_Error_Table,3,FALSE)</f>
        <v xml:space="preserve"> </v>
      </c>
      <c r="HZ780" s="241"/>
      <c r="IA780" s="1386"/>
      <c r="IB780" s="1380"/>
      <c r="IC780" s="1379"/>
      <c r="IF780" s="1380"/>
      <c r="IG780" s="1383"/>
      <c r="IH780" s="1383"/>
      <c r="II780" s="1383"/>
      <c r="IK780" s="1351"/>
      <c r="IL780" s="1351"/>
      <c r="IM780" s="1351"/>
      <c r="IN780" s="1351"/>
      <c r="IO780" s="1351"/>
      <c r="IP780" s="1351"/>
    </row>
    <row r="781" spans="1:250" s="82" customFormat="1" ht="5.0999999999999996" customHeight="1" thickTop="1" thickBot="1">
      <c r="B781" s="763"/>
      <c r="C781" s="1038"/>
      <c r="D781" s="1038"/>
      <c r="E781" s="1562"/>
      <c r="F781" s="1563"/>
      <c r="G781" s="1563"/>
      <c r="H781" s="1563"/>
      <c r="I781" s="1563"/>
      <c r="J781" s="1563"/>
      <c r="K781" s="1563"/>
      <c r="L781" s="1563"/>
      <c r="M781" s="1563"/>
      <c r="N781" s="1563"/>
      <c r="O781" s="1563"/>
      <c r="P781" s="1563"/>
      <c r="Q781" s="1563"/>
      <c r="R781" s="1563"/>
      <c r="S781" s="1563"/>
      <c r="T781" s="1563"/>
      <c r="U781" s="1563"/>
      <c r="V781" s="1563"/>
      <c r="W781" s="1563"/>
      <c r="X781" s="1563"/>
      <c r="Y781" s="1563"/>
      <c r="Z781" s="1563"/>
      <c r="AA781" s="1563"/>
      <c r="AB781" s="1563"/>
      <c r="AC781" s="1563"/>
      <c r="AD781" s="1563"/>
      <c r="AE781" s="1563"/>
      <c r="AF781" s="1563"/>
      <c r="AG781" s="1563"/>
      <c r="AH781" s="1563"/>
      <c r="AI781" s="1563"/>
      <c r="AJ781" s="1563"/>
      <c r="AK781" s="1563"/>
      <c r="AL781" s="1563"/>
      <c r="AM781" s="1563"/>
      <c r="AN781" s="1563"/>
      <c r="AO781" s="1563"/>
      <c r="AP781" s="1563"/>
      <c r="AQ781" s="1563"/>
      <c r="AR781" s="1563"/>
      <c r="AS781" s="1563"/>
      <c r="AT781" s="1564"/>
      <c r="AU781" s="1041"/>
      <c r="BC781" s="38"/>
      <c r="BD781" s="38"/>
      <c r="BE781" s="38"/>
      <c r="BF781" s="38"/>
      <c r="BG781" s="38"/>
      <c r="BH781" s="38"/>
      <c r="BI781" s="38"/>
      <c r="BJ781" s="38"/>
      <c r="BK781" s="38"/>
      <c r="BL781" s="38"/>
      <c r="BM781" s="38"/>
      <c r="BN781" s="38"/>
      <c r="BO781" s="38"/>
      <c r="BP781" s="38"/>
      <c r="BQ781" s="38"/>
      <c r="BR781" s="38"/>
      <c r="BS781" s="38"/>
      <c r="BT781" s="38"/>
      <c r="BU781" s="38"/>
      <c r="BV781" s="38"/>
      <c r="BW781" s="38"/>
      <c r="BX781" s="38"/>
      <c r="BY781" s="38"/>
      <c r="BZ781" s="38"/>
      <c r="CA781" s="38"/>
      <c r="CB781" s="38"/>
      <c r="CC781" s="38"/>
      <c r="CD781" s="38"/>
      <c r="CE781" s="38"/>
      <c r="CF781" s="38"/>
      <c r="CG781" s="38"/>
      <c r="CH781" s="38"/>
      <c r="CI781" s="38"/>
      <c r="CM781" s="749"/>
      <c r="CN781" s="749"/>
      <c r="CO781" s="1043"/>
      <c r="CP781" s="749"/>
      <c r="CS781" s="436"/>
      <c r="CT781" s="436"/>
      <c r="CU781" s="243"/>
      <c r="CV781" s="244"/>
      <c r="CW781" s="244"/>
      <c r="CX781" s="244"/>
      <c r="CY781" s="245"/>
      <c r="CZ781" s="245"/>
      <c r="DA781" s="245"/>
      <c r="DC781" s="750"/>
      <c r="DD781" s="751"/>
      <c r="DE781" s="752"/>
      <c r="DF781" s="753"/>
      <c r="DG781" s="754"/>
      <c r="DH781" s="754"/>
      <c r="DK781" s="244"/>
      <c r="DL781" s="750"/>
      <c r="DN781" s="750"/>
      <c r="DO781" s="755"/>
      <c r="DP781" s="436"/>
      <c r="DQ781" s="750"/>
      <c r="DR781" s="750"/>
      <c r="DS781" s="750"/>
      <c r="DU781" s="750"/>
      <c r="DV781" s="750"/>
      <c r="DW781" s="750"/>
      <c r="DX781" s="750"/>
      <c r="DZ781" s="756"/>
      <c r="EA781" s="756"/>
      <c r="EC781" s="754"/>
      <c r="ED781" s="754"/>
      <c r="EE781" s="244"/>
      <c r="EF781" s="754"/>
      <c r="EG781" s="754"/>
      <c r="EH781" s="243"/>
      <c r="EI781" s="243"/>
      <c r="EJ781" s="752"/>
      <c r="EK781" s="757"/>
      <c r="EL781" s="757"/>
      <c r="EM781" s="758"/>
      <c r="EN781" s="758"/>
      <c r="EO781" s="752"/>
      <c r="EP781" s="752"/>
      <c r="EQ781" s="752"/>
      <c r="ES781" s="750"/>
      <c r="EU781" s="436"/>
      <c r="EV781" s="436"/>
      <c r="EW781" s="436"/>
      <c r="EX781" s="436"/>
      <c r="EY781" s="436"/>
      <c r="EZ781" s="436"/>
      <c r="FB781" s="643"/>
      <c r="FD781" s="436"/>
      <c r="FE781" s="436"/>
      <c r="FF781" s="436"/>
      <c r="FO781" s="750"/>
      <c r="FP781" s="436"/>
      <c r="FQ781" s="436"/>
      <c r="FR781" s="750"/>
      <c r="FS781" s="750"/>
      <c r="FW781" s="749"/>
      <c r="FX781" s="749"/>
      <c r="FY781" s="749"/>
      <c r="FZ781" s="749"/>
      <c r="GA781" s="749"/>
      <c r="GB781" s="749"/>
      <c r="GC781" s="749"/>
      <c r="GD781" s="749"/>
      <c r="GE781" s="751"/>
      <c r="GF781" s="750"/>
      <c r="GG781" s="750"/>
    </row>
    <row r="782" spans="1:250" s="82" customFormat="1" ht="14.95" customHeight="1" thickTop="1" thickBot="1">
      <c r="B782" s="1421" t="str">
        <f>HY785</f>
        <v xml:space="preserve"> </v>
      </c>
      <c r="C782" s="1422">
        <f>C777+1</f>
        <v>144</v>
      </c>
      <c r="D782" s="1423"/>
      <c r="E782" s="1424" t="s">
        <v>242</v>
      </c>
      <c r="F782" s="1425"/>
      <c r="G782" s="1426"/>
      <c r="H782" s="1427"/>
      <c r="I782" s="1427"/>
      <c r="J782" s="1427"/>
      <c r="K782" s="1427"/>
      <c r="L782" s="1427"/>
      <c r="M782" s="1427"/>
      <c r="N782" s="1427"/>
      <c r="O782" s="1427"/>
      <c r="P782" s="1427"/>
      <c r="Q782" s="1427"/>
      <c r="R782" s="1427"/>
      <c r="S782" s="1428" t="s">
        <v>283</v>
      </c>
      <c r="T782" s="668" t="s">
        <v>190</v>
      </c>
      <c r="U782" s="1430" t="s">
        <v>186</v>
      </c>
      <c r="V782" s="1431"/>
      <c r="W782" s="1431"/>
      <c r="X782" s="1431"/>
      <c r="Y782" s="1431"/>
      <c r="Z782" s="1431"/>
      <c r="AA782" s="1431"/>
      <c r="AB782" s="1047" t="str">
        <f>IFERROR(IF(__Retrofit_TI_NC=0,VLOOKUP(U783,Fixtures_Existing_List,2,FALSE),ROUND(N784*R784/T784,10)),"")</f>
        <v/>
      </c>
      <c r="AC782" s="1039" t="str">
        <f>IFERROR(IF(__Retrofit_TI_NC=0,ROUND(T783*AB782*N783*R783/1000,0),IF(CN782="Interior",N784*R784*R783*N783*_C406_reduction/1000,N784*R784*R783*N783/1000)),"")</f>
        <v/>
      </c>
      <c r="AD782" s="1040" t="str">
        <f>IFERROR(IF(C$36=0,ROUND(T783*AB782/1000,2),N784*R784/1000),"")</f>
        <v/>
      </c>
      <c r="AE782" s="1044" t="s">
        <v>190</v>
      </c>
      <c r="AF782" s="1432" t="str">
        <f>IF(__Retrofit_TI_NC=2,CONCATENATE("Code min = ",DD782),IF(__Retrofit_TI_NC=1,"Emter what you think the existing control was"," Control"))</f>
        <v xml:space="preserve"> Control</v>
      </c>
      <c r="AG782" s="1432"/>
      <c r="AH782" s="1432"/>
      <c r="AI782" s="1432"/>
      <c r="AJ782" s="1433">
        <f>DF782</f>
        <v>0</v>
      </c>
      <c r="AK782" s="1435" t="str">
        <f>IFERROR(ROUND(AJ782*AC782,0),"")</f>
        <v/>
      </c>
      <c r="AL782" s="1437">
        <f>IFERROR(IF(HW782=FALSE,0,AC782-AK782),0)</f>
        <v>0</v>
      </c>
      <c r="AM782" s="1439">
        <f>AL782-AL784</f>
        <v>0</v>
      </c>
      <c r="AN782" s="1440"/>
      <c r="AO782" s="1445">
        <f>IFERROR(IF(HW782=FALSE,0,(T784*U785)+(AE784*AF785)),0)</f>
        <v>0</v>
      </c>
      <c r="AP782" s="1445"/>
      <c r="AQ782" s="1446"/>
      <c r="AR782" s="1451" t="s">
        <v>157</v>
      </c>
      <c r="AS782" s="1454">
        <f>IF(AR782="Yes",1,0)</f>
        <v>1</v>
      </c>
      <c r="AT782" s="1457" t="str">
        <f>IF(OR(DN782=4,DN782=5,DN782=6,DN782=12),CONCATENATE("$",IF(GD782=TRUE,Lookup!$B$11,Lookup!$B$2)," /lamp"),CONCATENATE(EA782,"/ kWh"))</f>
        <v>0/ kWh</v>
      </c>
      <c r="AU782" s="516"/>
      <c r="AV782" s="1478">
        <f>IFERROR(IF(GI783=TRUE,(AB785*T784)/R784,0),"NA")</f>
        <v>0</v>
      </c>
      <c r="AW782" s="1478" t="str">
        <f>IFERROR(N784*_C406_reduction,"NA")</f>
        <v>NA</v>
      </c>
      <c r="BC782" s="38"/>
      <c r="BD782" s="38"/>
      <c r="BE782" s="38"/>
      <c r="BF782" s="38"/>
      <c r="BG782" s="38"/>
      <c r="BH782" s="38"/>
      <c r="BI782" s="38"/>
      <c r="BJ782" s="38"/>
      <c r="BK782" s="38"/>
      <c r="BL782" s="38"/>
      <c r="BM782" s="38"/>
      <c r="BN782" s="38"/>
      <c r="BO782" s="38"/>
      <c r="BP782" s="38"/>
      <c r="BQ782" s="38"/>
      <c r="BR782" s="38"/>
      <c r="BS782" s="38"/>
      <c r="BT782" s="38"/>
      <c r="BU782" s="38"/>
      <c r="BV782" s="38"/>
      <c r="BW782" s="38"/>
      <c r="BX782" s="38"/>
      <c r="BY782" s="38"/>
      <c r="BZ782" s="38"/>
      <c r="CA782" s="38"/>
      <c r="CB782" s="38"/>
      <c r="CC782" s="38"/>
      <c r="CD782" s="38"/>
      <c r="CE782" s="38"/>
      <c r="CF782" s="38"/>
      <c r="CG782" s="38"/>
      <c r="CH782" s="38"/>
      <c r="CI782" s="38"/>
      <c r="CM782" s="1352" t="str">
        <f>N783</f>
        <v/>
      </c>
      <c r="CN782" s="1352" t="str">
        <f>IFERROR(VLOOKUP(G783,_Lookup_Heat_Type_Table_New,3,FALSE),"")</f>
        <v/>
      </c>
      <c r="CO782" s="1415" t="str">
        <f>CN782</f>
        <v/>
      </c>
      <c r="CP782" s="1417" t="e">
        <f>VLOOKUP(G784,'Space Table'!$B$3:$L$160,9,FALSE)</f>
        <v>#N/A</v>
      </c>
      <c r="CR782" s="1386" t="s">
        <v>283</v>
      </c>
      <c r="CS782" s="1353">
        <f>IF(HW782=TRUE,T783,0)</f>
        <v>0</v>
      </c>
      <c r="CT782" s="1353" t="str">
        <f>IF(HW782=TRUE,U783,"")</f>
        <v/>
      </c>
      <c r="CU782" s="1353"/>
      <c r="CV782" s="1370">
        <f>IF(HW782=TRUE,AB782,0)</f>
        <v>0</v>
      </c>
      <c r="CW782" s="1370">
        <f>IF(HW782=TRUE,AC782,0)</f>
        <v>0</v>
      </c>
      <c r="CX782" s="1370">
        <f>IFERROR(IF(HW782=TRUE,CW782-CW784,0),0)</f>
        <v>0</v>
      </c>
      <c r="CY782" s="1485">
        <f>IF(HW782=TRUE,AD782,0)</f>
        <v>0</v>
      </c>
      <c r="CZ782" s="1485">
        <f>IF(HW782=TRUE,AD785,0)</f>
        <v>0</v>
      </c>
      <c r="DA782" s="1485">
        <f>IFERROR(CY782-CZ782,0)</f>
        <v>0</v>
      </c>
      <c r="DC782" s="1353">
        <f>IF(HW782=TRUE,AE783,0)</f>
        <v>0</v>
      </c>
      <c r="DD782" s="1460">
        <f>IF(__Retrofit_TI_NC=2,IF(CN782="Exterior",O785,FM782),FK782)</f>
        <v>0</v>
      </c>
      <c r="DE782" s="1353"/>
      <c r="DF782" s="1406">
        <f>IFERROR(IF(FL782=3,IK782,IF(FL782=4,IL782,IF(FL782=5,IM782,IF(FL782=6,IN782,IF(FL782=7,IO782,IF(FL782=8,IP782,0)))))),0)</f>
        <v>0</v>
      </c>
      <c r="DG782" s="1370">
        <f>IF(HW782=TRUE,AK782,0)</f>
        <v>0</v>
      </c>
      <c r="DH782" s="1369">
        <f>IFERROR(IF(HW782=TRUE,DG784-DG782,0),0)</f>
        <v>0</v>
      </c>
      <c r="DJ782" s="1483">
        <f>IFERROR(CW782-DG782,0)</f>
        <v>0</v>
      </c>
      <c r="DL782" s="1419">
        <f>DJ782-DK784</f>
        <v>0</v>
      </c>
      <c r="DN782" s="1403" t="str">
        <f>IFERROR(IF(AND(OR(FY782=4,FY782=5,FY782=6),OR(GB782=4,GB782=5,GB782=6)),FY782+8,VLOOKUP(CT784,Fixtures!R$31:Y$78,8,FALSE)),"")</f>
        <v/>
      </c>
      <c r="DO782" s="1404" t="str">
        <f>DN782</f>
        <v/>
      </c>
      <c r="DP782" s="1353" t="str">
        <f>IFERROR(VLOOKUP(DD784,Lookup!AU$3:AV$15,2,FALSE),"")</f>
        <v/>
      </c>
      <c r="DQ782" s="1404" t="str">
        <f>IF(DP782=7,"LLLC","")</f>
        <v/>
      </c>
      <c r="DR782" s="1403">
        <f>IFERROR(IF(OR(DN782=4,DN782=5,DN782=6,DN782=12,DN782=13,DN782=14),VLOOKUP(CT784,Fixtures!DN$27:EG$77,19,FALSE),1)*CS784,0)</f>
        <v>0</v>
      </c>
      <c r="DS782" s="1489">
        <f>IF(DP782=7,IF(DD782=DD784,0,DC784),0)</f>
        <v>0</v>
      </c>
      <c r="DU782" s="1403" t="str">
        <f>IFERROR(IF(EW782&lt;EW784,"Yes","No"),"")</f>
        <v/>
      </c>
      <c r="DV782" s="1404" t="str">
        <f>DU782</f>
        <v/>
      </c>
      <c r="DW782" s="1403">
        <f>IF(DU782="Yes",DC784,0)</f>
        <v>0</v>
      </c>
      <c r="DX782" s="1403">
        <f>DW782-DS782</f>
        <v>0</v>
      </c>
      <c r="DZ782" s="1481">
        <f>IFERROR(VLOOKUP(DN782,Lookup!AN$3:AO$16,2,FALSE),0)</f>
        <v>0</v>
      </c>
      <c r="EA782" s="1481">
        <f>IF(HW782=FALSE,0,IF(DU782="Yes",DZ782+Lookup!B$6,DZ782))</f>
        <v>0</v>
      </c>
      <c r="EC782" s="1482">
        <f>IF(HW782=TRUE,DJ782,0)</f>
        <v>0</v>
      </c>
      <c r="ED782" s="1369">
        <f>IF(HW782=TRUE,CW784,0)</f>
        <v>0</v>
      </c>
      <c r="EE782" s="1370">
        <f>IFERROR(EC782-ED782,0)</f>
        <v>0</v>
      </c>
      <c r="EF782" s="1369">
        <f>IF(HW782=TRUE,DG784,0)</f>
        <v>0</v>
      </c>
      <c r="EG782" s="1369">
        <f>IFERROR(EC782-ED782+EF782,0)</f>
        <v>0</v>
      </c>
      <c r="EH782" s="1373">
        <f>IF(HW782=TRUE,CS784*CU784,0)</f>
        <v>0</v>
      </c>
      <c r="EI782" s="1373">
        <f>IF(HW782=TRUE,DC784*DE784,0)</f>
        <v>0</v>
      </c>
      <c r="EJ782" s="1363">
        <f>AO782</f>
        <v>0</v>
      </c>
      <c r="EK782" s="1376" t="str">
        <f>IFERROR(IF(HW782=TRUE,VLOOKUP(DN782,Lookup!AN$3:AP$16,3,FALSE)*DR782,""),0)</f>
        <v/>
      </c>
      <c r="EL782" s="1376">
        <f>IF(HW782=TRUE,DW782*Lookup!AP$12,0)</f>
        <v>0</v>
      </c>
      <c r="EM782" s="1362">
        <f>IFERROR(IF(HW782=TRUE,EK782/EM$33,0),0)</f>
        <v>0</v>
      </c>
      <c r="EN782" s="1362">
        <f>IF(HW782=TRUE,EL782/EN$33,0)</f>
        <v>0</v>
      </c>
      <c r="EO782" s="1363">
        <f>IF(HW782=TRUE,EQ$33*EM782,0)</f>
        <v>0</v>
      </c>
      <c r="EP782" s="1363">
        <f>IF(HW782=TRUE,EQ$33*EN782,0)</f>
        <v>0</v>
      </c>
      <c r="EQ782" s="1363">
        <f>EO782+EP782</f>
        <v>0</v>
      </c>
      <c r="ES782" s="1403">
        <f>IF(G782="",0,1)</f>
        <v>0</v>
      </c>
      <c r="EU782" s="1410" t="e">
        <f>VLOOKUP(CP784,'Space Table'!$B$3:$L$160,8,FALSE)</f>
        <v>#N/A</v>
      </c>
      <c r="EV782" s="1410" t="e">
        <f>IF(EY782="Yes",VLOOKUP(DD782,Lookup_Control_Type_Table2,4,FALSE),VLOOKUP(DD782,Lookup_Control_Type_Table2,3,FALSE))</f>
        <v>#N/A</v>
      </c>
      <c r="EW782" s="1410" t="e">
        <f>VLOOKUP(DD782,Lookup!AU$3:AV$15,2,FALSE)</f>
        <v>#N/A</v>
      </c>
      <c r="EX782" s="1410" t="e">
        <f>VLOOKUP(EU782,Lookup_Control_Type_Table,2,FALSE)</f>
        <v>#N/A</v>
      </c>
      <c r="EY782" s="1410" t="e">
        <f>VLOOKUP(CP784,'Space Table'!$B$3:$L$160,7,FALSE)</f>
        <v>#N/A</v>
      </c>
      <c r="EZ782" s="1412" t="b">
        <f>ISNUMBER(SEARCH("TLED",U784))</f>
        <v>0</v>
      </c>
      <c r="FB782" s="1365" t="str">
        <f>CONCATENATE(CN782," - ",DD782)</f>
        <v xml:space="preserve"> - 0</v>
      </c>
      <c r="FD782" s="1353" t="str">
        <f>VLOOKUP(CT784,Fixtures!DN$27:EZ$77,38,FALSE)</f>
        <v/>
      </c>
      <c r="FE782" s="1353">
        <f>IFERROR(FD782*EE782,0)</f>
        <v>0</v>
      </c>
      <c r="FF782" s="138"/>
      <c r="FI782" s="1356" t="str">
        <f>IF(CN782="Exterior","Not Daylighted",G785)</f>
        <v>Not Daylighted</v>
      </c>
      <c r="FJ782" s="1356">
        <f>VLOOKUP(FI782,_Daylight_Table_Codes,2,FALSE)</f>
        <v>0</v>
      </c>
      <c r="FK782" s="1365">
        <f>IF(__Retrofit_TI_NC=2,VLOOKUP(G784,'Space Table'!$B$3:$L$160,11,FALSE),AF783)</f>
        <v>0</v>
      </c>
      <c r="FL782" s="1365" t="e">
        <f>VLOOKUP(FK782,_Control_Table,2,FALSE)</f>
        <v>#N/A</v>
      </c>
      <c r="FM782" s="1365" t="e">
        <f>IF(AND(FP782&gt;0,FK782="Occupancy Sensor"),"Daylight + Occupancy",IF(AND(FP782&gt;0,FL782&lt;4),"Interior Daylight Dimming",FK782))</f>
        <v>#N/A</v>
      </c>
      <c r="FO782" s="1364">
        <f>IF(CO782="Interior",VLOOKUP(CP782,Control_Savings_Interior,5,FALSE),0)</f>
        <v>0</v>
      </c>
      <c r="FP782" s="1361">
        <f>IF(CN782="Exterior",0,IF(FJ782=2,0.5,IF(OR(FJ782=1,FJ782=3),1,0)))</f>
        <v>0</v>
      </c>
      <c r="FQ782" s="1366"/>
      <c r="FR782" s="1367"/>
      <c r="FS782" s="1364"/>
      <c r="FT782" s="1367"/>
      <c r="FU782" s="1360"/>
      <c r="FW782" s="1352" t="str">
        <f>IFERROR(VLOOKUP(U783,_Exist_Fixture_Table,3,FALSE),"")</f>
        <v/>
      </c>
      <c r="FX782" s="1352" t="str">
        <f>VLOOKUP(CT782,_Exist_Fixture_Table,4,FALSE)</f>
        <v/>
      </c>
      <c r="FY782" s="1352">
        <f>IFERROR(VLOOKUP(FX782,Lookup!AM$6:AN$8,2,FALSE),0)</f>
        <v>0</v>
      </c>
      <c r="FZ782" s="1352" t="b">
        <f>IFERROR(IF(OR(GB782=4,GB782=5,GB782=6),TRUE,FALSE),"")</f>
        <v>0</v>
      </c>
      <c r="GA782" s="1352" t="str">
        <f>IFERROR(VLOOKUP(GB782,FY$6:FZ$10,2,FALSE),"")</f>
        <v/>
      </c>
      <c r="GB782" s="1352" t="str">
        <f>VLOOKUP(CT784,Fixtures!R$31:Y$78,8,FALSE)</f>
        <v/>
      </c>
      <c r="GC782" s="1352">
        <f>IF(AND(FW782=TRUE,FZ782=TRUE,OR(DN782=12,DN782=13,DN782=14)),FY782+8,0)</f>
        <v>0</v>
      </c>
      <c r="GD782" s="1352" t="b">
        <f>IF(OR(GC782=12,GC782=13,GC782=14),TRUE,FALSE)</f>
        <v>0</v>
      </c>
      <c r="GE782" s="759" t="b">
        <f>IF(ISNUMBER(SEARCH("TLED",U783)),TRUE,FALSE)</f>
        <v>0</v>
      </c>
      <c r="GF782" s="1035" t="str">
        <f>IFERROR(VLOOKUP(U783,Fixtures!BM$93:BR$142,6,FALSE),"")</f>
        <v/>
      </c>
      <c r="GG782" s="1385" t="b">
        <f>IF(OR(GE782=FALSE,GE784=FALSE),TRUE,IF(GF782-GF784&lt;5,FALSE,TRUE))</f>
        <v>1</v>
      </c>
      <c r="GK782" s="1034">
        <f>GL782</f>
        <v>0</v>
      </c>
      <c r="GL782" s="1034">
        <f>IF(G782="",0,1)</f>
        <v>0</v>
      </c>
      <c r="GM782" s="1034">
        <f>SUM(GN782:HB782)</f>
        <v>2</v>
      </c>
      <c r="GN782" s="1034">
        <f>IF(G783="",0,1)</f>
        <v>0</v>
      </c>
      <c r="GO782" s="1034">
        <f>IF(G784="",0,1)</f>
        <v>0</v>
      </c>
      <c r="GP782" s="1034">
        <f>IF(R783="",0,1)</f>
        <v>0</v>
      </c>
      <c r="GQ782" s="1034">
        <f>IF(__Retrofit_TI_NC=0,1,IF(R784="",0,1))</f>
        <v>1</v>
      </c>
      <c r="GR782" s="1034">
        <f>IF(CN782="Exterior",1,IF(G785="",0,1))</f>
        <v>1</v>
      </c>
      <c r="GS782" s="1034">
        <f>IF(__Retrofit_TI_NC&lt;&gt;0,1,IF(T783="",0,1))</f>
        <v>0</v>
      </c>
      <c r="GT782" s="1034">
        <f>IF(__Retrofit_TI_NC&lt;&gt;0,1,IF(U783="",0,1))</f>
        <v>0</v>
      </c>
      <c r="GU782" s="1034">
        <f>IF(T784="",0,1)</f>
        <v>0</v>
      </c>
      <c r="GV782" s="1034">
        <f>IF(U784="",0,1)</f>
        <v>0</v>
      </c>
      <c r="GW782" s="1034">
        <f>IF(__Retrofit_TI_NC=2,1,IF(U785="",0,1))</f>
        <v>0</v>
      </c>
      <c r="GX782" s="1034">
        <f>IF(__Retrofit_TI_NC&lt;&gt;0,1,IF(AE783="",0,1))</f>
        <v>0</v>
      </c>
      <c r="GY782" s="1034">
        <f>IF(__Retrofit_TI_NC&lt;&gt;0,1,IF(AF783="",0,1))</f>
        <v>0</v>
      </c>
      <c r="GZ782" s="1034">
        <f>IF(AE784="",0,1)</f>
        <v>0</v>
      </c>
      <c r="HA782" s="1034">
        <f>IF(AF784="",0,1)</f>
        <v>0</v>
      </c>
      <c r="HB782" s="1034">
        <f>IF(__Retrofit_TI_NC=2,1,IF(AF785="",0,1))</f>
        <v>0</v>
      </c>
      <c r="HV782" s="436"/>
      <c r="HW782" s="1384" t="b">
        <f>IF(OR(HW785=0,HW785=HT$16,HW785=HS$16,HW785=HU$16),TRUE,FALSE)</f>
        <v>0</v>
      </c>
      <c r="HX782" s="1377" t="b">
        <f>HW782</f>
        <v>0</v>
      </c>
      <c r="HY782" s="436"/>
      <c r="HZ782" s="436"/>
      <c r="IA782" s="1386" t="b">
        <f>IF(MAX(GJ785:HP785)&gt;5,FALSE,TRUE)</f>
        <v>0</v>
      </c>
      <c r="IB782" s="1380">
        <f>IF(IA782=TRUE,AC782,0)</f>
        <v>0</v>
      </c>
      <c r="IC782" s="1380">
        <f>IB782-IB784</f>
        <v>0</v>
      </c>
      <c r="IF782" s="1380" t="e">
        <f>ROUND(T783*VLOOKUP(U783,Fixtures_Existing_List,2,FALSE)*N783*R783/1000,0)</f>
        <v>#N/A</v>
      </c>
      <c r="IG782" s="1381" t="e">
        <f>IF782-IF784</f>
        <v>#N/A</v>
      </c>
      <c r="IH782" s="1384" t="e">
        <f>ROUND(IF(CN782="Interior",N784*R784*R783*N783*_C406_reduction/1000,N784*R784*R783*N783/1000),0)</f>
        <v>#N/A</v>
      </c>
      <c r="II782" s="1384" t="e">
        <f>IH782-IH784</f>
        <v>#N/A</v>
      </c>
      <c r="IK782" s="1351" t="e">
        <f>IF($CO782="interior",IL782/2,VLOOKUP($CP782,Control_Savings_Exterior,IK$30,FALSE))</f>
        <v>#N/A</v>
      </c>
      <c r="IL782" s="1351" t="e">
        <f>IF($CO782="interior",VLOOKUP($CP782,Control_Savings_Interior,IL$30,FALSE),VLOOKUP($CP782,Control_Savings_Exterior,IL$30,FALSE))</f>
        <v>#N/A</v>
      </c>
      <c r="IM782" s="1351" t="e">
        <f>IF($CO782="interior",IF(R783&gt;FO$37,(IM$28*(FO$37/R783)),IM$28)*FP782,VLOOKUP($CP782,Control_Savings_Exterior,IM$30,FALSE))</f>
        <v>#N/A</v>
      </c>
      <c r="IN782" s="1351" t="e">
        <f>IF($CO782="interior",ROUND(((1-IL782)*IM782)+IL782,2),VLOOKUP($CP782,Control_Savings_Exterior,IN$30,FALSE))</f>
        <v>#N/A</v>
      </c>
      <c r="IO782" s="1351" t="e">
        <f>IF($CO782="interior", ROUND(((1-IL782)*(IM782*(1-IP$28)))+IP782,2), VLOOKUP($CP782,Control_Savings_Exterior,IO$30,FALSE))</f>
        <v>#N/A</v>
      </c>
      <c r="IP782" s="1351">
        <f>IF($CO782="interior",ROUND(((1-IL782)*IP$28)+IL782,2),0)</f>
        <v>0</v>
      </c>
    </row>
    <row r="783" spans="1:250" s="82" customFormat="1" ht="14.95" customHeight="1" thickTop="1" thickBot="1">
      <c r="B783" s="1421"/>
      <c r="C783" s="1422"/>
      <c r="D783" s="1423"/>
      <c r="E783" s="1393" t="s">
        <v>244</v>
      </c>
      <c r="F783" s="1394"/>
      <c r="G783" s="1395"/>
      <c r="H783" s="1395"/>
      <c r="I783" s="1395"/>
      <c r="J783" s="1395"/>
      <c r="K783" s="1395"/>
      <c r="L783" s="1395"/>
      <c r="M783" s="509" t="e">
        <f>IF(__Retrofit_TI_NC&lt;&gt;0,IF(VLOOKUP(G784,'Space Table'!$B$3:$L$160,3,FALSE)&gt;0,1,0),IF(__Retrofit_TI_NC=VLOOKUP(G784,'Space Table'!$B$3:$L$160,3,FALSE),1,0))</f>
        <v>#N/A</v>
      </c>
      <c r="N783" s="509" t="str">
        <f>IFERROR(VLOOKUP(G783,_Lookup_Heat_Type_Table_New,2,FALSE),"")</f>
        <v/>
      </c>
      <c r="O783" s="509">
        <f>IF(__Retrofit_TI_NC=1,CONCATENATE("TI ",G783),IF(__Retrofit_TI_NC=2,CONCATENATE("NC ",G783),G783))</f>
        <v>0</v>
      </c>
      <c r="P783" s="1396" t="s">
        <v>352</v>
      </c>
      <c r="Q783" s="1396"/>
      <c r="R783" s="673"/>
      <c r="S783" s="1429"/>
      <c r="T783" s="675"/>
      <c r="U783" s="1496"/>
      <c r="V783" s="1497"/>
      <c r="W783" s="1497"/>
      <c r="X783" s="1497"/>
      <c r="Y783" s="1497"/>
      <c r="Z783" s="1497"/>
      <c r="AA783" s="1497"/>
      <c r="AB783" s="1497"/>
      <c r="AC783" s="1497"/>
      <c r="AD783" s="1498"/>
      <c r="AE783" s="675"/>
      <c r="AF783" s="1397"/>
      <c r="AG783" s="1397"/>
      <c r="AH783" s="1397"/>
      <c r="AI783" s="1397"/>
      <c r="AJ783" s="1434"/>
      <c r="AK783" s="1436"/>
      <c r="AL783" s="1438"/>
      <c r="AM783" s="1441"/>
      <c r="AN783" s="1442"/>
      <c r="AO783" s="1447"/>
      <c r="AP783" s="1447"/>
      <c r="AQ783" s="1448"/>
      <c r="AR783" s="1452"/>
      <c r="AS783" s="1455"/>
      <c r="AT783" s="1458"/>
      <c r="AU783" s="516"/>
      <c r="AV783" s="1479"/>
      <c r="AW783" s="1479"/>
      <c r="BC783" s="38"/>
      <c r="BD783" s="38"/>
      <c r="BE783" s="38"/>
      <c r="BF783" s="38"/>
      <c r="BG783" s="38"/>
      <c r="BH783" s="38"/>
      <c r="BI783" s="38"/>
      <c r="BJ783" s="38"/>
      <c r="BK783" s="38"/>
      <c r="BL783" s="38"/>
      <c r="BM783" s="38"/>
      <c r="BN783" s="38"/>
      <c r="BO783" s="38"/>
      <c r="BP783" s="38"/>
      <c r="BQ783" s="38"/>
      <c r="BR783" s="38"/>
      <c r="BS783" s="38"/>
      <c r="BT783" s="38"/>
      <c r="BU783" s="38"/>
      <c r="BV783" s="38"/>
      <c r="BW783" s="38"/>
      <c r="BX783" s="38"/>
      <c r="BY783" s="38"/>
      <c r="BZ783" s="38"/>
      <c r="CA783" s="38"/>
      <c r="CB783" s="38"/>
      <c r="CC783" s="38"/>
      <c r="CD783" s="38"/>
      <c r="CE783" s="38"/>
      <c r="CF783" s="38"/>
      <c r="CG783" s="38"/>
      <c r="CH783" s="38"/>
      <c r="CI783" s="38"/>
      <c r="CM783" s="1352"/>
      <c r="CN783" s="1352"/>
      <c r="CO783" s="1416"/>
      <c r="CP783" s="1418"/>
      <c r="CR783" s="1386"/>
      <c r="CS783" s="1355"/>
      <c r="CT783" s="1355"/>
      <c r="CU783" s="1355"/>
      <c r="CV783" s="1372"/>
      <c r="CW783" s="1372"/>
      <c r="CX783" s="1371"/>
      <c r="CY783" s="1486"/>
      <c r="CZ783" s="1486"/>
      <c r="DA783" s="1486"/>
      <c r="DC783" s="1355"/>
      <c r="DD783" s="1461"/>
      <c r="DE783" s="1355"/>
      <c r="DF783" s="1407"/>
      <c r="DG783" s="1372"/>
      <c r="DH783" s="1369"/>
      <c r="DJ783" s="1484"/>
      <c r="DL783" s="1419"/>
      <c r="DN783" s="1403"/>
      <c r="DO783" s="1405"/>
      <c r="DP783" s="1354"/>
      <c r="DQ783" s="1405"/>
      <c r="DR783" s="1403"/>
      <c r="DS783" s="1489"/>
      <c r="DU783" s="1403"/>
      <c r="DV783" s="1405"/>
      <c r="DW783" s="1403"/>
      <c r="DX783" s="1403"/>
      <c r="DZ783" s="1481"/>
      <c r="EA783" s="1481"/>
      <c r="EC783" s="1482"/>
      <c r="ED783" s="1369"/>
      <c r="EE783" s="1371"/>
      <c r="EF783" s="1369"/>
      <c r="EG783" s="1369"/>
      <c r="EH783" s="1374"/>
      <c r="EI783" s="1374"/>
      <c r="EJ783" s="1363"/>
      <c r="EK783" s="1376"/>
      <c r="EL783" s="1376"/>
      <c r="EM783" s="1362"/>
      <c r="EN783" s="1362"/>
      <c r="EO783" s="1363"/>
      <c r="EP783" s="1363"/>
      <c r="EQ783" s="1363"/>
      <c r="ES783" s="1403"/>
      <c r="EU783" s="1411"/>
      <c r="EV783" s="1411"/>
      <c r="EW783" s="1411"/>
      <c r="EX783" s="1411"/>
      <c r="EY783" s="1411"/>
      <c r="EZ783" s="1413"/>
      <c r="FB783" s="1365"/>
      <c r="FD783" s="1354"/>
      <c r="FE783" s="1354"/>
      <c r="FF783" s="138"/>
      <c r="FI783" s="1357"/>
      <c r="FJ783" s="1357"/>
      <c r="FK783" s="1365"/>
      <c r="FL783" s="1365"/>
      <c r="FM783" s="1365"/>
      <c r="FO783" s="1361"/>
      <c r="FP783" s="1361"/>
      <c r="FQ783" s="1366"/>
      <c r="FR783" s="1368"/>
      <c r="FS783" s="1361"/>
      <c r="FT783" s="1368"/>
      <c r="FU783" s="1360"/>
      <c r="FW783" s="1352"/>
      <c r="FX783" s="1352"/>
      <c r="FY783" s="1352"/>
      <c r="FZ783" s="1352"/>
      <c r="GA783" s="1352"/>
      <c r="GB783" s="1352"/>
      <c r="GC783" s="1352"/>
      <c r="GD783" s="1352"/>
      <c r="GE783" s="759"/>
      <c r="GF783" s="1035"/>
      <c r="GG783" s="1385"/>
      <c r="GI783" s="1384" t="b">
        <f>IF(AND(GL783=TRUE,GM783=TRUE),TRUE,FALSE)</f>
        <v>0</v>
      </c>
      <c r="GJ783" s="1379" t="b">
        <f>IFERROR(IF(__Retrofit_TI_NC=2,TRUE,IF(AR782="Yes",TRUE,FALSE)),FALSE)</f>
        <v>1</v>
      </c>
      <c r="GL783" s="1379" t="b">
        <f>IFERROR(IF(GL782=1,TRUE,FALSE),FALSE)</f>
        <v>0</v>
      </c>
      <c r="GM783" s="1379" t="b">
        <f>IFERROR(IF(GM782=GM$14,TRUE,FALSE),FALSE)</f>
        <v>0</v>
      </c>
      <c r="HC783" s="1379" t="b">
        <f>IFERROR(IF(M783=1,TRUE,FALSE),FALSE)</f>
        <v>0</v>
      </c>
      <c r="HD783" s="1379" t="b">
        <f>IFERROR(IF(M784=1,TRUE,FALSE),FALSE)</f>
        <v>0</v>
      </c>
      <c r="HE783" s="1379" t="b">
        <f>IFERROR(IF(__Retrofit_TI_NC&lt;&gt;0,TRUE,IFERROR(IF(VLOOKUP(U783,Fixtures_Existing_List,2,FALSE)&lt;&gt;"",TRUE,FALSE),FALSE)),FALSE)</f>
        <v>0</v>
      </c>
      <c r="HF783" s="1379" t="b">
        <f>IFERROR(IF(VLOOKUP(U784,Fixtures_Proposed_List,2,FALSE)&lt;&gt;"",TRUE,FALSE),FALSE)</f>
        <v>0</v>
      </c>
      <c r="HG783" s="1379" t="b">
        <f>IF(AND(__Retrofit_TI_NC=2,EZ782=TRUE),FALSE,TRUE)</f>
        <v>1</v>
      </c>
      <c r="HH783" s="1379" t="b">
        <f>GG782</f>
        <v>1</v>
      </c>
      <c r="HI783" s="1384" t="b">
        <f>IF(ISERROR(MATCH(FB782,_Control_Match[],0))=TRUE,FALSE,TRUE)</f>
        <v>0</v>
      </c>
      <c r="HJ783" s="1384" t="b">
        <f>IFERROR(IF(EU782&lt;&gt;EV782,FALSE,TRUE),FALSE)</f>
        <v>0</v>
      </c>
      <c r="HK783" s="1384" t="b">
        <f>IFERROR(IF(EU784&lt;&gt;EV784,FALSE,TRUE),FALSE)</f>
        <v>0</v>
      </c>
      <c r="HL783" s="1379" t="b">
        <f>IFERROR(IF(CN782="Exterior",TRUE,IF(OR(AND(FJ782=0,EW784&gt;4),AND(FJ782=4,EW784&gt;4,EW784&lt;7)),FALSE,TRUE)),FALSE)</f>
        <v>0</v>
      </c>
      <c r="HM783" s="1379" t="b">
        <f>IFERROR(IF(AND(FL784=7,EZ782=TRUE),FALSE,TRUE),FALSE)</f>
        <v>0</v>
      </c>
      <c r="HN783" s="1379" t="b">
        <f>IFERROR(IF(AND(T784&lt;&gt;AE784,AF784="Interior LLLC")=TRUE,FALSE,TRUE),FALSE)</f>
        <v>1</v>
      </c>
      <c r="HO783" s="1379" t="b">
        <f>IFERROR(IF(OR(AF784=Lookup!AU$13,AF784=Lookup!AU$14)=TRUE,IF(AE784&gt;T784,FALSE,TRUE),TRUE),FALSE)</f>
        <v>1</v>
      </c>
      <c r="HP783" s="1379" t="b">
        <f>IFERROR(IF(__Retrofit_TI_NC=2,IF(EW784&lt;EW782,FALSE,TRUE),TRUE),FALSE)</f>
        <v>1</v>
      </c>
      <c r="HQ783" s="1379" t="b">
        <f>IF(CN782="Interior",IG$6,TRUE)</f>
        <v>1</v>
      </c>
      <c r="HR783" s="1379" t="b">
        <f>IF(CN782="Exterior",IG$8,TRUE)</f>
        <v>1</v>
      </c>
      <c r="HS783" s="1379" t="b">
        <f>IFERROR(IF(__Retrofit_TI_NC&lt;&gt;0,IF(AW782&lt;AV782,FALSE,TRUE),TRUE),FALSE)</f>
        <v>1</v>
      </c>
      <c r="HT783" s="1379" t="b">
        <f>IFERROR(IF(AND(G783="Exterior",R783&gt;4200),FALSE,TRUE),FALSE)</f>
        <v>1</v>
      </c>
      <c r="HU783" s="1379" t="b">
        <f>IFERROR(IF(AB785/AB782&lt;HU$18,FALSE,TRUE),FALSE)</f>
        <v>0</v>
      </c>
      <c r="HW783" s="1382"/>
      <c r="HX783" s="1378"/>
      <c r="HY783" s="1377" t="str">
        <f>VLOOKUP(HW785,_Error_Table,4,FALSE)</f>
        <v>White</v>
      </c>
      <c r="HZ783" s="436"/>
      <c r="IA783" s="1386"/>
      <c r="IB783" s="1380"/>
      <c r="IC783" s="1379"/>
      <c r="IF783" s="1380"/>
      <c r="IG783" s="1382"/>
      <c r="IH783" s="1382"/>
      <c r="II783" s="1382"/>
      <c r="IK783" s="1351"/>
      <c r="IL783" s="1351"/>
      <c r="IM783" s="1351"/>
      <c r="IN783" s="1351"/>
      <c r="IO783" s="1351"/>
      <c r="IP783" s="1351"/>
    </row>
    <row r="784" spans="1:250" s="82" customFormat="1" ht="14.95" customHeight="1" thickTop="1" thickBot="1">
      <c r="A784" s="82">
        <f>ROW()</f>
        <v>784</v>
      </c>
      <c r="B784" s="1421"/>
      <c r="C784" s="1422"/>
      <c r="D784" s="1423"/>
      <c r="E784" s="1393" t="s">
        <v>245</v>
      </c>
      <c r="F784" s="1394"/>
      <c r="G784" s="1398"/>
      <c r="H784" s="1399"/>
      <c r="I784" s="1399"/>
      <c r="J784" s="1399"/>
      <c r="K784" s="1399"/>
      <c r="L784" s="1400"/>
      <c r="M784" s="509">
        <f>IFERROR(IF(IF(__Retrofit_TI_NC&lt;&gt;0,IF(CN782="Interior",MATCH(G784,Lookup_Interior_New,0),MATCH(G784,Lookup_Exterior_New,0)),IF(CN782="Interior",MATCH(G784,Lookup_Interior,0),MATCH(G784,Lookup_Exterior_Areas,0)))&gt;0,1,0),0)</f>
        <v>0</v>
      </c>
      <c r="N784" s="509" t="e">
        <f>IF(__Retrofit_TI_NC=1,
VLOOKUP(G784,'Space Table'!$B$3:$L$160,4,FALSE),
IF(__Retrofit_TI_NC=2,VLOOKUP(G784,'Space Table'!$B$3:$L$160,5,FALSE),VLOOKUP(G784,'Space Table'!$B$3:$L$160,5,FALSE)))</f>
        <v>#N/A</v>
      </c>
      <c r="O784" s="509">
        <f>G784</f>
        <v>0</v>
      </c>
      <c r="P784" s="1394" t="s">
        <v>355</v>
      </c>
      <c r="Q784" s="1394"/>
      <c r="R784" s="674"/>
      <c r="S784" s="1401" t="s">
        <v>284</v>
      </c>
      <c r="T784" s="672"/>
      <c r="U784" s="1499"/>
      <c r="V784" s="1500"/>
      <c r="W784" s="1500"/>
      <c r="X784" s="1500"/>
      <c r="Y784" s="1500"/>
      <c r="Z784" s="1500"/>
      <c r="AA784" s="1500"/>
      <c r="AB784" s="1501"/>
      <c r="AC784" s="1501"/>
      <c r="AD784" s="1502"/>
      <c r="AE784" s="672"/>
      <c r="AF784" s="1474"/>
      <c r="AG784" s="1474"/>
      <c r="AH784" s="1474"/>
      <c r="AI784" s="1474"/>
      <c r="AJ784" s="1475">
        <f>DF784</f>
        <v>0</v>
      </c>
      <c r="AK784" s="1470" t="str">
        <f>IFERROR(ROUND(AJ784*AC785,0),"")</f>
        <v/>
      </c>
      <c r="AL784" s="1472">
        <f>IFERROR(IF(HW782=FALSE,0,AC785-AK784),0)</f>
        <v>0</v>
      </c>
      <c r="AM784" s="1441"/>
      <c r="AN784" s="1442"/>
      <c r="AO784" s="1447"/>
      <c r="AP784" s="1447"/>
      <c r="AQ784" s="1448"/>
      <c r="AR784" s="1452"/>
      <c r="AS784" s="1455"/>
      <c r="AT784" s="1458"/>
      <c r="AU784" s="516"/>
      <c r="AV784" s="1479"/>
      <c r="AW784" s="1479"/>
      <c r="BC784" s="38"/>
      <c r="BD784" s="38"/>
      <c r="BE784" s="38"/>
      <c r="BF784" s="38"/>
      <c r="BG784" s="38"/>
      <c r="BH784" s="38"/>
      <c r="BI784" s="38"/>
      <c r="BJ784" s="38"/>
      <c r="BK784" s="38"/>
      <c r="BL784" s="38"/>
      <c r="BM784" s="38"/>
      <c r="BN784" s="38"/>
      <c r="BO784" s="38"/>
      <c r="BP784" s="38"/>
      <c r="BQ784" s="38"/>
      <c r="BR784" s="38"/>
      <c r="BS784" s="38"/>
      <c r="BT784" s="38"/>
      <c r="BU784" s="38"/>
      <c r="BV784" s="38"/>
      <c r="BW784" s="38"/>
      <c r="BX784" s="38"/>
      <c r="BY784" s="38"/>
      <c r="BZ784" s="38"/>
      <c r="CA784" s="38"/>
      <c r="CB784" s="38"/>
      <c r="CC784" s="38"/>
      <c r="CD784" s="38"/>
      <c r="CE784" s="38"/>
      <c r="CF784" s="38"/>
      <c r="CG784" s="38"/>
      <c r="CH784" s="38"/>
      <c r="CI784" s="38"/>
      <c r="CM784" s="1352"/>
      <c r="CN784" s="1352"/>
      <c r="CO784" s="1415" t="str">
        <f>CN782</f>
        <v/>
      </c>
      <c r="CP784" s="1417" t="e">
        <f>CP782</f>
        <v>#N/A</v>
      </c>
      <c r="CR784" s="1386" t="s">
        <v>284</v>
      </c>
      <c r="CS784" s="1353">
        <f>IF(HW782=TRUE,T784,0)</f>
        <v>0</v>
      </c>
      <c r="CT784" s="1353" t="str">
        <f>IF(HW782=TRUE,U784,"")</f>
        <v/>
      </c>
      <c r="CU784" s="1373">
        <f>IF(HW782=TRUE,U785,0)</f>
        <v>0</v>
      </c>
      <c r="CV784" s="1370">
        <f>IF(HW782=TRUE,AB785,0)</f>
        <v>0</v>
      </c>
      <c r="CW784" s="1370">
        <f>IF(HW782=TRUE,AC785,0)</f>
        <v>0</v>
      </c>
      <c r="CX784" s="1371"/>
      <c r="CY784" s="1486"/>
      <c r="CZ784" s="1486"/>
      <c r="DA784" s="1486"/>
      <c r="DC784" s="1353">
        <f>IF(HW782=TRUE,AE784,0)</f>
        <v>0</v>
      </c>
      <c r="DD784" s="1353" t="str">
        <f>IF(HW782=TRUE,AF784,"")</f>
        <v/>
      </c>
      <c r="DE784" s="1373">
        <f>AF785</f>
        <v>0</v>
      </c>
      <c r="DF784" s="1406">
        <f>IFERROR(IF(FL784=3,IK784,IF(FL784=4,IL784,IF(FL784=5,IM784,IF(FL784=6,IN784,IF(FL784=7,IO784,IF(FL784=8,IP784,0)))))),0)</f>
        <v>0</v>
      </c>
      <c r="DG784" s="1370">
        <f>IF(HW782=TRUE,AK784,0)</f>
        <v>0</v>
      </c>
      <c r="DH784" s="1369"/>
      <c r="DK784" s="1483">
        <f>IFERROR(CW784-DG784,0)</f>
        <v>0</v>
      </c>
      <c r="DL784" s="1420"/>
      <c r="DN784" s="1403"/>
      <c r="DO784" s="1477" t="str">
        <f>DN782</f>
        <v/>
      </c>
      <c r="DP784" s="1354"/>
      <c r="DQ784" s="1477" t="str">
        <f>IF(DP782=7,"LLLC","")</f>
        <v/>
      </c>
      <c r="DR784" s="1403"/>
      <c r="DS784" s="1489"/>
      <c r="DU784" s="1403"/>
      <c r="DV784" s="1404" t="str">
        <f>DU782</f>
        <v/>
      </c>
      <c r="DW784" s="1403"/>
      <c r="DX784" s="1403"/>
      <c r="DZ784" s="1481"/>
      <c r="EA784" s="1481"/>
      <c r="EC784" s="1482"/>
      <c r="ED784" s="1369"/>
      <c r="EE784" s="1371"/>
      <c r="EF784" s="1369"/>
      <c r="EG784" s="1369"/>
      <c r="EH784" s="1374"/>
      <c r="EI784" s="1374"/>
      <c r="EJ784" s="1363"/>
      <c r="EK784" s="1376"/>
      <c r="EL784" s="1376"/>
      <c r="EM784" s="1362"/>
      <c r="EN784" s="1362"/>
      <c r="EO784" s="1363"/>
      <c r="EP784" s="1363"/>
      <c r="EQ784" s="1363"/>
      <c r="ES784" s="1403"/>
      <c r="EU784" s="1411" t="e">
        <f>VLOOKUP(CP784,'Space Table'!$B$3:$L$160,8,FALSE)</f>
        <v>#N/A</v>
      </c>
      <c r="EV784" s="1411" t="e">
        <f>IF(EY784="Yes",VLOOKUP(AF784,Lookup_Control_Type_Table2,4,FALSE),VLOOKUP(AF784,Lookup_Control_Type_Table2,3,FALSE))</f>
        <v>#N/A</v>
      </c>
      <c r="EW784" s="1411" t="e">
        <f>VLOOKUP(AF784,Lookup!AU$3:AV$15,2,FALSE)</f>
        <v>#N/A</v>
      </c>
      <c r="EX784" s="1411" t="e">
        <f>VLOOKUP(EU782,Lookup_Control_Type_Table,2,FALSE)</f>
        <v>#N/A</v>
      </c>
      <c r="EY784" s="1411" t="e">
        <f>VLOOKUP(CP784,'Space Table'!$B$3:$L$160,7,FALSE)</f>
        <v>#N/A</v>
      </c>
      <c r="EZ784" s="1413"/>
      <c r="FB784" s="1365" t="str">
        <f>CONCATENATE(CN782," - ",AF784)</f>
        <v xml:space="preserve"> - </v>
      </c>
      <c r="FD784" s="1354"/>
      <c r="FE784" s="1354"/>
      <c r="FF784" s="138"/>
      <c r="FI784" s="1356" t="str">
        <f>IF(CN782="Exterior","Not Daylighted",G785)</f>
        <v>Not Daylighted</v>
      </c>
      <c r="FJ784" s="1356">
        <f>VLOOKUP(FI784,_Daylight_Table_Codes,2,FALSE)</f>
        <v>0</v>
      </c>
      <c r="FK784" s="1365">
        <f>AF784</f>
        <v>0</v>
      </c>
      <c r="FL784" s="1365" t="e">
        <f>VLOOKUP(FK784,_Control_Table,2,FALSE)</f>
        <v>#N/A</v>
      </c>
      <c r="FM784" s="1365" t="e">
        <f>IF(AND(FP784&gt;0,FK784="Occupancy Sensor"),"Daylight + Occupancy",IF(AND(FP784&gt;0,FL784&lt;4),"Interior Daylight Dimming",FK784))</f>
        <v>#N/A</v>
      </c>
      <c r="FO784" s="1364">
        <f>IF(CN782="Interior",VLOOKUP(CP782,Control_Savings_Interior,5,FALSE),0)</f>
        <v>0</v>
      </c>
      <c r="FP784" s="1361">
        <f>IF(CN784="Exterior",0,IF(FJ784=2,0.5,IF(OR(FJ784=1,FJ784=3),1,0)))</f>
        <v>0</v>
      </c>
      <c r="FQ784" s="1366">
        <f>IF(R783&gt;FO$37,(FO784*(FO$37/R783)),FO784)*FP784</f>
        <v>0</v>
      </c>
      <c r="FR784" s="1364">
        <f>DF784</f>
        <v>0</v>
      </c>
      <c r="FS784" s="1364">
        <f>ROUND(FR784+((1-FR784)*FQ784),2)</f>
        <v>0</v>
      </c>
      <c r="FT784" s="1364">
        <f>IF(__Retrofit_TI_NC=2,FS784,FR784)</f>
        <v>0</v>
      </c>
      <c r="FU784" s="1360">
        <f>IF(CO784="Interior",VLOOKUP(CP784,Control_Savings_Interior,4,FALSE),0)</f>
        <v>0</v>
      </c>
      <c r="FW784" s="1352"/>
      <c r="FX784" s="1352"/>
      <c r="FY784" s="1352"/>
      <c r="FZ784" s="1352"/>
      <c r="GA784" s="1352"/>
      <c r="GB784" s="1352"/>
      <c r="GC784" s="1352"/>
      <c r="GD784" s="1352"/>
      <c r="GE784" s="759" t="b">
        <f>IF(ISNUMBER(SEARCH("TLED",U784)),TRUE,FALSE)</f>
        <v>0</v>
      </c>
      <c r="GF784" s="1035" t="str">
        <f>IFERROR(VLOOKUP(U784,Fixtures!DM$93:DR$142,6,FALSE),"")</f>
        <v/>
      </c>
      <c r="GG784" s="1385"/>
      <c r="GI784" s="1383"/>
      <c r="GJ784" s="1379"/>
      <c r="GL784" s="1379"/>
      <c r="GM784" s="1379"/>
      <c r="HC784" s="1379"/>
      <c r="HD784" s="1379"/>
      <c r="HE784" s="1379"/>
      <c r="HF784" s="1379"/>
      <c r="HG784" s="1379"/>
      <c r="HH784" s="1379"/>
      <c r="HI784" s="1383"/>
      <c r="HJ784" s="1383"/>
      <c r="HK784" s="1383"/>
      <c r="HL784" s="1379"/>
      <c r="HM784" s="1379"/>
      <c r="HN784" s="1379"/>
      <c r="HO784" s="1379"/>
      <c r="HP784" s="1379"/>
      <c r="HQ784" s="1379"/>
      <c r="HR784" s="1379"/>
      <c r="HS784" s="1379"/>
      <c r="HT784" s="1379"/>
      <c r="HU784" s="1379"/>
      <c r="HW784" s="1383"/>
      <c r="HX784" s="1384" t="b">
        <f>HW782</f>
        <v>0</v>
      </c>
      <c r="HY784" s="1378"/>
      <c r="HZ784" s="436"/>
      <c r="IA784" s="1386"/>
      <c r="IB784" s="1380">
        <f>IF(IA782=TRUE,AC785,0)</f>
        <v>0</v>
      </c>
      <c r="IC784" s="1379"/>
      <c r="IF784" s="1380" t="e">
        <f>ROUND(T784*AB785*N783*R783/1000,0)</f>
        <v>#VALUE!</v>
      </c>
      <c r="IG784" s="1382"/>
      <c r="IH784" s="1384" t="e">
        <f>ROUND(T784*AB785*N783*R783/1000,0)</f>
        <v>#VALUE!</v>
      </c>
      <c r="II784" s="1382"/>
      <c r="IK784" s="1351" t="e">
        <f>IF($CO784="interior",IL784/2,VLOOKUP($CP784,Control_Savings_Exterior,IK$30,FALSE))</f>
        <v>#N/A</v>
      </c>
      <c r="IL784" s="1351" t="e">
        <f>IF($CO784="interior",VLOOKUP($CP784,Control_Savings_Interior,IL$30,FALSE),VLOOKUP($CP784,Control_Savings_Exterior,IL$30,FALSE))</f>
        <v>#N/A</v>
      </c>
      <c r="IM784" s="1351" t="e">
        <f>IF($CO784="interior",IF(R783&gt;FO$37,(IM$28*(FO$37/R783)),IM$28)*FP784,VLOOKUP($CP784,Control_Savings_Exterior,IM$30,FALSE))</f>
        <v>#N/A</v>
      </c>
      <c r="IN784" s="1351" t="e">
        <f>IF($CO784="interior",ROUND(((1-IL784)*IM784)+IL784,2),VLOOKUP($CP784,Control_Savings_Exterior,IN$30,FALSE))</f>
        <v>#N/A</v>
      </c>
      <c r="IO784" s="1351" t="e">
        <f>IF($CO784="interior", ROUND(((1-IL784)*(IM784*(1-IP$28)))+IP784,2), VLOOKUP($CP784,Control_Savings_Exterior,IO$30,FALSE))</f>
        <v>#N/A</v>
      </c>
      <c r="IP784" s="1351">
        <f>IF($CO784="interior",ROUND(((1-IL784)*IP$28)+IL784,2),0)</f>
        <v>0</v>
      </c>
    </row>
    <row r="785" spans="1:250" s="82" customFormat="1" ht="14.95" customHeight="1" thickTop="1" thickBot="1">
      <c r="B785" s="1421"/>
      <c r="C785" s="1422"/>
      <c r="D785" s="1423"/>
      <c r="E785" s="1462" t="s">
        <v>357</v>
      </c>
      <c r="F785" s="1463"/>
      <c r="G785" s="1464" t="s">
        <v>362</v>
      </c>
      <c r="H785" s="1465"/>
      <c r="I785" s="1465"/>
      <c r="J785" s="1465"/>
      <c r="K785" s="1465"/>
      <c r="L785" s="1466"/>
      <c r="M785" s="669">
        <f>IFERROR(VLOOKUP(G785,_Daylight_Table[],2,FALSE),0)</f>
        <v>0</v>
      </c>
      <c r="N785" s="670"/>
      <c r="O785" s="669" t="e">
        <f>VLOOKUP(G784,'Space Table'!$B$3:$L$160,11,FALSE)</f>
        <v>#N/A</v>
      </c>
      <c r="P785" s="1408"/>
      <c r="Q785" s="1409"/>
      <c r="R785" s="1409"/>
      <c r="S785" s="1402"/>
      <c r="T785" s="671" t="s">
        <v>281</v>
      </c>
      <c r="U785" s="1467" t="str">
        <f>IFERROR(VLOOKUP(U784,Fixtures!DM$93:DP$142,4,FALSE),"")</f>
        <v/>
      </c>
      <c r="V785" s="1468"/>
      <c r="W785" s="1468"/>
      <c r="X785" s="1468"/>
      <c r="Y785" s="1468"/>
      <c r="Z785" s="1468"/>
      <c r="AA785" s="1468"/>
      <c r="AB785" s="1046" t="str">
        <f>IFERROR(VLOOKUP(U784,Fixtures_Proposed_List,2,FALSE),"")</f>
        <v/>
      </c>
      <c r="AC785" s="1036" t="str">
        <f>IFERROR(ROUND(T784*AB785*N783*R783/1000,0),"")</f>
        <v/>
      </c>
      <c r="AD785" s="1037" t="str">
        <f>IFERROR(ROUND(T784*AB785/1000,2),"")</f>
        <v/>
      </c>
      <c r="AE785" s="1045" t="s">
        <v>281</v>
      </c>
      <c r="AF785" s="1469"/>
      <c r="AG785" s="1469"/>
      <c r="AH785" s="1469"/>
      <c r="AI785" s="1469"/>
      <c r="AJ785" s="1476"/>
      <c r="AK785" s="1471"/>
      <c r="AL785" s="1473"/>
      <c r="AM785" s="1443"/>
      <c r="AN785" s="1444"/>
      <c r="AO785" s="1449"/>
      <c r="AP785" s="1449"/>
      <c r="AQ785" s="1450"/>
      <c r="AR785" s="1453"/>
      <c r="AS785" s="1456"/>
      <c r="AT785" s="1459"/>
      <c r="AU785" s="517"/>
      <c r="AV785" s="1480"/>
      <c r="AW785" s="1480"/>
      <c r="BC785" s="38"/>
      <c r="BD785" s="38"/>
      <c r="BE785" s="38"/>
      <c r="BF785" s="38"/>
      <c r="BG785" s="38"/>
      <c r="BH785" s="38"/>
      <c r="BI785" s="38"/>
      <c r="BJ785" s="38"/>
      <c r="BK785" s="38"/>
      <c r="BL785" s="38"/>
      <c r="BM785" s="38"/>
      <c r="BN785" s="38"/>
      <c r="BO785" s="38"/>
      <c r="BP785" s="38"/>
      <c r="BQ785" s="38"/>
      <c r="BR785" s="38"/>
      <c r="BS785" s="38"/>
      <c r="BT785" s="38"/>
      <c r="BU785" s="38"/>
      <c r="BV785" s="38"/>
      <c r="BW785" s="38"/>
      <c r="BX785" s="38"/>
      <c r="BY785" s="38"/>
      <c r="BZ785" s="38"/>
      <c r="CA785" s="38"/>
      <c r="CB785" s="38"/>
      <c r="CC785" s="38"/>
      <c r="CD785" s="38"/>
      <c r="CE785" s="38"/>
      <c r="CF785" s="38"/>
      <c r="CG785" s="38"/>
      <c r="CH785" s="38"/>
      <c r="CI785" s="38"/>
      <c r="CM785" s="1352"/>
      <c r="CN785" s="1352"/>
      <c r="CO785" s="1416"/>
      <c r="CP785" s="1418"/>
      <c r="CR785" s="1386"/>
      <c r="CS785" s="1355"/>
      <c r="CT785" s="1355"/>
      <c r="CU785" s="1375"/>
      <c r="CV785" s="1372"/>
      <c r="CW785" s="1372"/>
      <c r="CX785" s="1372"/>
      <c r="CY785" s="1487"/>
      <c r="CZ785" s="1487"/>
      <c r="DA785" s="1487"/>
      <c r="DC785" s="1355"/>
      <c r="DD785" s="1355"/>
      <c r="DE785" s="1375"/>
      <c r="DF785" s="1407"/>
      <c r="DG785" s="1372"/>
      <c r="DH785" s="1369"/>
      <c r="DK785" s="1484"/>
      <c r="DL785" s="1420"/>
      <c r="DN785" s="1403"/>
      <c r="DO785" s="1405"/>
      <c r="DP785" s="1355"/>
      <c r="DQ785" s="1405"/>
      <c r="DR785" s="1403"/>
      <c r="DS785" s="1489"/>
      <c r="DU785" s="1403"/>
      <c r="DV785" s="1405"/>
      <c r="DW785" s="1403"/>
      <c r="DX785" s="1403"/>
      <c r="DZ785" s="1481"/>
      <c r="EA785" s="1481"/>
      <c r="EC785" s="1482"/>
      <c r="ED785" s="1369"/>
      <c r="EE785" s="1372"/>
      <c r="EF785" s="1369"/>
      <c r="EG785" s="1369"/>
      <c r="EH785" s="1375"/>
      <c r="EI785" s="1375"/>
      <c r="EJ785" s="1363"/>
      <c r="EK785" s="1376"/>
      <c r="EL785" s="1376"/>
      <c r="EM785" s="1362"/>
      <c r="EN785" s="1362"/>
      <c r="EO785" s="1363"/>
      <c r="EP785" s="1363"/>
      <c r="EQ785" s="1363"/>
      <c r="ES785" s="1403"/>
      <c r="EU785" s="1488"/>
      <c r="EV785" s="1488"/>
      <c r="EW785" s="1488"/>
      <c r="EX785" s="1488"/>
      <c r="EY785" s="1488"/>
      <c r="EZ785" s="1414"/>
      <c r="FB785" s="1365"/>
      <c r="FD785" s="1355"/>
      <c r="FE785" s="1355"/>
      <c r="FF785" s="138"/>
      <c r="FI785" s="1357"/>
      <c r="FJ785" s="1357"/>
      <c r="FK785" s="1365"/>
      <c r="FL785" s="1365"/>
      <c r="FM785" s="1365"/>
      <c r="FO785" s="1361"/>
      <c r="FP785" s="1361"/>
      <c r="FQ785" s="1366"/>
      <c r="FR785" s="1361"/>
      <c r="FS785" s="1361"/>
      <c r="FT785" s="1361"/>
      <c r="FU785" s="1360"/>
      <c r="FW785" s="1352"/>
      <c r="FX785" s="1352"/>
      <c r="FY785" s="1352"/>
      <c r="FZ785" s="1352"/>
      <c r="GA785" s="1352"/>
      <c r="GB785" s="1352"/>
      <c r="GC785" s="1352"/>
      <c r="GD785" s="1352"/>
      <c r="GE785" s="759"/>
      <c r="GF785" s="1035"/>
      <c r="GG785" s="1385"/>
      <c r="GJ785" s="1034">
        <f>IF(GJ783=TRUE,0,GJ$16)</f>
        <v>0</v>
      </c>
      <c r="GL785" s="1034">
        <f>IF(GL783=TRUE,0,GL$16)</f>
        <v>36</v>
      </c>
      <c r="GM785" s="1034">
        <f>IF(GM783=TRUE,0,GM$16)</f>
        <v>35</v>
      </c>
      <c r="GN785" s="436"/>
      <c r="GO785" s="436"/>
      <c r="GP785" s="436"/>
      <c r="GQ785" s="436"/>
      <c r="GR785" s="436"/>
      <c r="HC785" s="1034">
        <f t="shared" ref="HC785:HH785" si="586">IF(HC783=TRUE,0,HC$16)</f>
        <v>19</v>
      </c>
      <c r="HD785" s="1034">
        <f t="shared" si="586"/>
        <v>18</v>
      </c>
      <c r="HE785" s="1034">
        <f t="shared" si="586"/>
        <v>17</v>
      </c>
      <c r="HF785" s="1034">
        <f t="shared" si="586"/>
        <v>16</v>
      </c>
      <c r="HG785" s="1034">
        <f t="shared" si="586"/>
        <v>0</v>
      </c>
      <c r="HH785" s="1034">
        <f t="shared" si="586"/>
        <v>0</v>
      </c>
      <c r="HI785" s="1034">
        <f>IF(HI783=TRUE,0,HI$16)</f>
        <v>13</v>
      </c>
      <c r="HJ785" s="1034">
        <f t="shared" ref="HJ785:HL785" si="587">IF(HJ783=TRUE,0,HJ$16)</f>
        <v>12</v>
      </c>
      <c r="HK785" s="1034">
        <f t="shared" si="587"/>
        <v>11</v>
      </c>
      <c r="HL785" s="1034">
        <f t="shared" si="587"/>
        <v>10</v>
      </c>
      <c r="HM785" s="1034">
        <f>IF(HM783=TRUE,0,HM$16)</f>
        <v>9</v>
      </c>
      <c r="HN785" s="1034">
        <f t="shared" ref="HN785:HR785" si="588">IF(HN783=TRUE,0,HN$16)</f>
        <v>0</v>
      </c>
      <c r="HO785" s="1034">
        <f t="shared" si="588"/>
        <v>0</v>
      </c>
      <c r="HP785" s="1034">
        <f t="shared" si="588"/>
        <v>0</v>
      </c>
      <c r="HQ785" s="1034">
        <f t="shared" si="588"/>
        <v>0</v>
      </c>
      <c r="HR785" s="1034">
        <f t="shared" si="588"/>
        <v>0</v>
      </c>
      <c r="HS785" s="1034">
        <f>IF(HS783=TRUE,0,HS$16)</f>
        <v>0</v>
      </c>
      <c r="HT785" s="1034">
        <f t="shared" ref="HT785" si="589">IF(HT783=TRUE,0,HT$16)</f>
        <v>0</v>
      </c>
      <c r="HU785" s="1034">
        <f>IF(HU783=TRUE,0,HU$16)</f>
        <v>1</v>
      </c>
      <c r="HW785" s="1034">
        <f>IF(GL783=FALSE,GL785,IF(GM783=FALSE,GM785,MAX(GJ785:HU785)))</f>
        <v>36</v>
      </c>
      <c r="HX785" s="1383"/>
      <c r="HY785" s="241" t="str">
        <f>VLOOKUP(HW785,_Error_Table,3,FALSE)</f>
        <v xml:space="preserve"> </v>
      </c>
      <c r="HZ785" s="241"/>
      <c r="IA785" s="1386"/>
      <c r="IB785" s="1380"/>
      <c r="IC785" s="1379"/>
      <c r="IF785" s="1380"/>
      <c r="IG785" s="1383"/>
      <c r="IH785" s="1383"/>
      <c r="II785" s="1383"/>
      <c r="IK785" s="1351"/>
      <c r="IL785" s="1351"/>
      <c r="IM785" s="1351"/>
      <c r="IN785" s="1351"/>
      <c r="IO785" s="1351"/>
      <c r="IP785" s="1351"/>
    </row>
    <row r="786" spans="1:250" s="82" customFormat="1" ht="5.0999999999999996" customHeight="1" thickBot="1">
      <c r="B786" s="763"/>
      <c r="C786" s="1038"/>
      <c r="D786" s="1038"/>
      <c r="E786" s="1490"/>
      <c r="F786" s="1490"/>
      <c r="G786" s="1490"/>
      <c r="H786" s="1490"/>
      <c r="I786" s="1490"/>
      <c r="J786" s="1490"/>
      <c r="K786" s="1490"/>
      <c r="L786" s="1490"/>
      <c r="M786" s="1490"/>
      <c r="N786" s="1490"/>
      <c r="O786" s="1490"/>
      <c r="P786" s="1490"/>
      <c r="Q786" s="1490"/>
      <c r="R786" s="1490"/>
      <c r="S786" s="1490"/>
      <c r="T786" s="1490"/>
      <c r="U786" s="1490"/>
      <c r="V786" s="1490"/>
      <c r="W786" s="1490"/>
      <c r="X786" s="1490"/>
      <c r="Y786" s="1490"/>
      <c r="Z786" s="1490"/>
      <c r="AA786" s="1490"/>
      <c r="AB786" s="1490"/>
      <c r="AC786" s="1490"/>
      <c r="AD786" s="1490"/>
      <c r="AE786" s="1490"/>
      <c r="AF786" s="1490"/>
      <c r="AG786" s="1490"/>
      <c r="AH786" s="1490"/>
      <c r="AI786" s="1490"/>
      <c r="AJ786" s="1490"/>
      <c r="AK786" s="1490"/>
      <c r="AL786" s="1490"/>
      <c r="AM786" s="1490"/>
      <c r="AN786" s="1490"/>
      <c r="AO786" s="1490"/>
      <c r="AP786" s="1490"/>
      <c r="AQ786" s="1490"/>
      <c r="AR786" s="1490"/>
      <c r="AS786" s="1490"/>
      <c r="AT786" s="1490"/>
      <c r="AU786" s="1041"/>
      <c r="BC786" s="38"/>
      <c r="BD786" s="38"/>
      <c r="BE786" s="38"/>
      <c r="BF786" s="38"/>
      <c r="BG786" s="38"/>
      <c r="BH786" s="38"/>
      <c r="BI786" s="38"/>
      <c r="BJ786" s="38"/>
      <c r="BK786" s="38"/>
      <c r="BL786" s="38"/>
      <c r="BM786" s="38"/>
      <c r="BN786" s="38"/>
      <c r="BO786" s="38"/>
      <c r="BP786" s="38"/>
      <c r="BQ786" s="38"/>
      <c r="BR786" s="38"/>
      <c r="BS786" s="38"/>
      <c r="BT786" s="38"/>
      <c r="BU786" s="38"/>
      <c r="BV786" s="38"/>
      <c r="BW786" s="38"/>
      <c r="BX786" s="38"/>
      <c r="BY786" s="38"/>
      <c r="BZ786" s="38"/>
      <c r="CA786" s="38"/>
      <c r="CB786" s="38"/>
      <c r="CC786" s="38"/>
      <c r="CD786" s="38"/>
      <c r="CE786" s="38"/>
      <c r="CF786" s="38"/>
      <c r="CG786" s="38"/>
      <c r="CH786" s="38"/>
      <c r="CI786" s="38"/>
      <c r="CM786" s="749"/>
      <c r="CN786" s="749"/>
      <c r="CO786" s="1043"/>
      <c r="CP786" s="749"/>
      <c r="CS786" s="436"/>
      <c r="CT786" s="436"/>
      <c r="CU786" s="243"/>
      <c r="CV786" s="244"/>
      <c r="CW786" s="244"/>
      <c r="CX786" s="244"/>
      <c r="CY786" s="245"/>
      <c r="CZ786" s="245"/>
      <c r="DA786" s="245"/>
      <c r="DC786" s="750"/>
      <c r="DD786" s="751"/>
      <c r="DE786" s="752"/>
      <c r="DF786" s="753"/>
      <c r="DG786" s="754"/>
      <c r="DH786" s="754"/>
      <c r="DK786" s="244"/>
      <c r="DL786" s="750"/>
      <c r="DN786" s="750"/>
      <c r="DO786" s="755"/>
      <c r="DP786" s="436"/>
      <c r="DQ786" s="750"/>
      <c r="DR786" s="750"/>
      <c r="DS786" s="750"/>
      <c r="DU786" s="750"/>
      <c r="DV786" s="750"/>
      <c r="DW786" s="750"/>
      <c r="DX786" s="750"/>
      <c r="DZ786" s="756"/>
      <c r="EA786" s="756"/>
      <c r="EC786" s="754"/>
      <c r="ED786" s="754"/>
      <c r="EE786" s="244"/>
      <c r="EF786" s="754"/>
      <c r="EG786" s="754"/>
      <c r="EH786" s="243"/>
      <c r="EI786" s="243"/>
      <c r="EJ786" s="752"/>
      <c r="EK786" s="757"/>
      <c r="EL786" s="757"/>
      <c r="EM786" s="758"/>
      <c r="EN786" s="758"/>
      <c r="EO786" s="752"/>
      <c r="EP786" s="752"/>
      <c r="EQ786" s="752"/>
      <c r="ES786" s="750"/>
      <c r="EU786" s="436"/>
      <c r="EV786" s="436"/>
      <c r="EW786" s="436"/>
      <c r="EX786" s="436"/>
      <c r="EY786" s="436"/>
      <c r="EZ786" s="436"/>
      <c r="FB786" s="643"/>
      <c r="FD786" s="436"/>
      <c r="FE786" s="436"/>
      <c r="FF786" s="436"/>
      <c r="FO786" s="750"/>
      <c r="FP786" s="436"/>
      <c r="FQ786" s="436"/>
      <c r="FR786" s="750"/>
      <c r="FS786" s="750"/>
      <c r="FW786" s="749"/>
      <c r="FX786" s="749"/>
      <c r="FY786" s="749"/>
      <c r="FZ786" s="749"/>
      <c r="GA786" s="749"/>
      <c r="GB786" s="749"/>
      <c r="GC786" s="749"/>
      <c r="GD786" s="749"/>
      <c r="GE786" s="751"/>
      <c r="GF786" s="750"/>
      <c r="GG786" s="750"/>
    </row>
    <row r="787" spans="1:250" s="82" customFormat="1" ht="14.95" customHeight="1" thickTop="1" thickBot="1">
      <c r="B787" s="1421" t="str">
        <f>HY790</f>
        <v xml:space="preserve"> </v>
      </c>
      <c r="C787" s="1422">
        <f>C782+1</f>
        <v>145</v>
      </c>
      <c r="D787" s="1423"/>
      <c r="E787" s="1424" t="s">
        <v>242</v>
      </c>
      <c r="F787" s="1425"/>
      <c r="G787" s="1426"/>
      <c r="H787" s="1427"/>
      <c r="I787" s="1427"/>
      <c r="J787" s="1427"/>
      <c r="K787" s="1427"/>
      <c r="L787" s="1427"/>
      <c r="M787" s="1427"/>
      <c r="N787" s="1427"/>
      <c r="O787" s="1427"/>
      <c r="P787" s="1427"/>
      <c r="Q787" s="1427"/>
      <c r="R787" s="1427"/>
      <c r="S787" s="1428" t="s">
        <v>283</v>
      </c>
      <c r="T787" s="668" t="s">
        <v>190</v>
      </c>
      <c r="U787" s="1430" t="s">
        <v>186</v>
      </c>
      <c r="V787" s="1431"/>
      <c r="W787" s="1431"/>
      <c r="X787" s="1431"/>
      <c r="Y787" s="1431"/>
      <c r="Z787" s="1431"/>
      <c r="AA787" s="1431"/>
      <c r="AB787" s="1047" t="str">
        <f>IFERROR(IF(__Retrofit_TI_NC=0,VLOOKUP(U788,Fixtures_Existing_List,2,FALSE),ROUND(N789*R789/T789,10)),"")</f>
        <v/>
      </c>
      <c r="AC787" s="1039" t="str">
        <f>IFERROR(IF(__Retrofit_TI_NC=0,ROUND(T788*AB787*N788*R788/1000,0),IF(CN787="Interior",N789*R789*R788*N788*_C406_reduction/1000,N789*R789*R788*N788/1000)),"")</f>
        <v/>
      </c>
      <c r="AD787" s="1040" t="str">
        <f>IFERROR(IF(C$36=0,ROUND(T788*AB787/1000,2),N789*R789/1000),"")</f>
        <v/>
      </c>
      <c r="AE787" s="1044" t="s">
        <v>190</v>
      </c>
      <c r="AF787" s="1432" t="str">
        <f>IF(__Retrofit_TI_NC=2,CONCATENATE("Code min = ",DD787),IF(__Retrofit_TI_NC=1,"Emter what you think the existing control was"," Control"))</f>
        <v xml:space="preserve"> Control</v>
      </c>
      <c r="AG787" s="1432"/>
      <c r="AH787" s="1432"/>
      <c r="AI787" s="1432"/>
      <c r="AJ787" s="1433">
        <f>DF787</f>
        <v>0</v>
      </c>
      <c r="AK787" s="1435" t="str">
        <f>IFERROR(ROUND(AJ787*AC787,0),"")</f>
        <v/>
      </c>
      <c r="AL787" s="1437">
        <f>IFERROR(IF(HW787=FALSE,0,AC787-AK787),0)</f>
        <v>0</v>
      </c>
      <c r="AM787" s="1439">
        <f>AL787-AL789</f>
        <v>0</v>
      </c>
      <c r="AN787" s="1440"/>
      <c r="AO787" s="1445">
        <f>IFERROR(IF(HW787=FALSE,0,(T789*U790)+(AE789*AF790)),0)</f>
        <v>0</v>
      </c>
      <c r="AP787" s="1445"/>
      <c r="AQ787" s="1446"/>
      <c r="AR787" s="1451" t="s">
        <v>157</v>
      </c>
      <c r="AS787" s="1454">
        <f>IF(AR787="Yes",1,0)</f>
        <v>1</v>
      </c>
      <c r="AT787" s="1457" t="str">
        <f>IF(OR(DN787=4,DN787=5,DN787=6,DN787=12),CONCATENATE("$",IF(GD787=TRUE,Lookup!$B$11,Lookup!$B$2)," /lamp"),CONCATENATE(EA787,"/ kWh"))</f>
        <v>0/ kWh</v>
      </c>
      <c r="AU787" s="516"/>
      <c r="AV787" s="1478">
        <f>IFERROR(IF(GI788=TRUE,(AB790*T789)/R789,0),"NA")</f>
        <v>0</v>
      </c>
      <c r="AW787" s="1478" t="str">
        <f>IFERROR(N789*_C406_reduction,"NA")</f>
        <v>NA</v>
      </c>
      <c r="BC787" s="38"/>
      <c r="BD787" s="38"/>
      <c r="BE787" s="38"/>
      <c r="BF787" s="38"/>
      <c r="BG787" s="38"/>
      <c r="BH787" s="38"/>
      <c r="BI787" s="38"/>
      <c r="BJ787" s="38"/>
      <c r="BK787" s="38"/>
      <c r="BL787" s="38"/>
      <c r="BM787" s="38"/>
      <c r="BN787" s="38"/>
      <c r="BO787" s="38"/>
      <c r="BP787" s="38"/>
      <c r="BQ787" s="38"/>
      <c r="BR787" s="38"/>
      <c r="BS787" s="38"/>
      <c r="BT787" s="38"/>
      <c r="BU787" s="38"/>
      <c r="BV787" s="38"/>
      <c r="BW787" s="38"/>
      <c r="BX787" s="38"/>
      <c r="BY787" s="38"/>
      <c r="BZ787" s="38"/>
      <c r="CA787" s="38"/>
      <c r="CB787" s="38"/>
      <c r="CC787" s="38"/>
      <c r="CD787" s="38"/>
      <c r="CE787" s="38"/>
      <c r="CF787" s="38"/>
      <c r="CG787" s="38"/>
      <c r="CH787" s="38"/>
      <c r="CI787" s="38"/>
      <c r="CM787" s="1352" t="str">
        <f>N788</f>
        <v/>
      </c>
      <c r="CN787" s="1352" t="str">
        <f>IFERROR(VLOOKUP(G788,_Lookup_Heat_Type_Table_New,3,FALSE),"")</f>
        <v/>
      </c>
      <c r="CO787" s="1415" t="str">
        <f>CN787</f>
        <v/>
      </c>
      <c r="CP787" s="1417" t="e">
        <f>VLOOKUP(G789,'Space Table'!$B$3:$L$160,9,FALSE)</f>
        <v>#N/A</v>
      </c>
      <c r="CR787" s="1386" t="s">
        <v>283</v>
      </c>
      <c r="CS787" s="1353">
        <f>IF(HW787=TRUE,T788,0)</f>
        <v>0</v>
      </c>
      <c r="CT787" s="1353" t="str">
        <f>IF(HW787=TRUE,U788,"")</f>
        <v/>
      </c>
      <c r="CU787" s="1353"/>
      <c r="CV787" s="1370">
        <f>IF(HW787=TRUE,AB787,0)</f>
        <v>0</v>
      </c>
      <c r="CW787" s="1370">
        <f>IF(HW787=TRUE,AC787,0)</f>
        <v>0</v>
      </c>
      <c r="CX787" s="1370">
        <f>IFERROR(IF(HW787=TRUE,CW787-CW789,0),0)</f>
        <v>0</v>
      </c>
      <c r="CY787" s="1485">
        <f>IF(HW787=TRUE,AD787,0)</f>
        <v>0</v>
      </c>
      <c r="CZ787" s="1485">
        <f>IF(HW787=TRUE,AD790,0)</f>
        <v>0</v>
      </c>
      <c r="DA787" s="1485">
        <f>IFERROR(CY787-CZ787,0)</f>
        <v>0</v>
      </c>
      <c r="DC787" s="1353">
        <f>IF(HW787=TRUE,AE788,0)</f>
        <v>0</v>
      </c>
      <c r="DD787" s="1460">
        <f>IF(__Retrofit_TI_NC=2,IF(CN787="Exterior",O790,FM787),FK787)</f>
        <v>0</v>
      </c>
      <c r="DE787" s="1353"/>
      <c r="DF787" s="1406">
        <f>IFERROR(IF(FL787=3,IK787,IF(FL787=4,IL787,IF(FL787=5,IM787,IF(FL787=6,IN787,IF(FL787=7,IO787,IF(FL787=8,IP787,0)))))),0)</f>
        <v>0</v>
      </c>
      <c r="DG787" s="1370">
        <f>IF(HW787=TRUE,AK787,0)</f>
        <v>0</v>
      </c>
      <c r="DH787" s="1369">
        <f>IFERROR(IF(HW787=TRUE,DG789-DG787,0),0)</f>
        <v>0</v>
      </c>
      <c r="DJ787" s="1483">
        <f>IFERROR(CW787-DG787,0)</f>
        <v>0</v>
      </c>
      <c r="DL787" s="1419">
        <f>DJ787-DK789</f>
        <v>0</v>
      </c>
      <c r="DN787" s="1403" t="str">
        <f>IFERROR(IF(AND(OR(FY787=4,FY787=5,FY787=6),OR(GB787=4,GB787=5,GB787=6)),FY787+8,VLOOKUP(CT789,Fixtures!R$31:Y$78,8,FALSE)),"")</f>
        <v/>
      </c>
      <c r="DO787" s="1404" t="str">
        <f>DN787</f>
        <v/>
      </c>
      <c r="DP787" s="1353" t="str">
        <f>IFERROR(VLOOKUP(DD789,Lookup!AU$3:AV$15,2,FALSE),"")</f>
        <v/>
      </c>
      <c r="DQ787" s="1404" t="str">
        <f>IF(DP787=7,"LLLC","")</f>
        <v/>
      </c>
      <c r="DR787" s="1403">
        <f>IFERROR(IF(OR(DN787=4,DN787=5,DN787=6,DN787=12,DN787=13,DN787=14),VLOOKUP(CT789,Fixtures!DN$27:EG$77,19,FALSE),1)*CS789,0)</f>
        <v>0</v>
      </c>
      <c r="DS787" s="1489">
        <f>IF(DP787=7,IF(DD787=DD789,0,DC789),0)</f>
        <v>0</v>
      </c>
      <c r="DU787" s="1403" t="str">
        <f>IFERROR(IF(EW787&lt;EW789,"Yes","No"),"")</f>
        <v/>
      </c>
      <c r="DV787" s="1404" t="str">
        <f>DU787</f>
        <v/>
      </c>
      <c r="DW787" s="1403">
        <f>IF(DU787="Yes",DC789,0)</f>
        <v>0</v>
      </c>
      <c r="DX787" s="1403">
        <f>DW787-DS787</f>
        <v>0</v>
      </c>
      <c r="DZ787" s="1481">
        <f>IFERROR(VLOOKUP(DN787,Lookup!AN$3:AO$16,2,FALSE),0)</f>
        <v>0</v>
      </c>
      <c r="EA787" s="1481">
        <f>IF(HW787=FALSE,0,IF(DU787="Yes",DZ787+Lookup!B$6,DZ787))</f>
        <v>0</v>
      </c>
      <c r="EC787" s="1482">
        <f>IF(HW787=TRUE,DJ787,0)</f>
        <v>0</v>
      </c>
      <c r="ED787" s="1369">
        <f>IF(HW787=TRUE,CW789,0)</f>
        <v>0</v>
      </c>
      <c r="EE787" s="1370">
        <f>IFERROR(EC787-ED787,0)</f>
        <v>0</v>
      </c>
      <c r="EF787" s="1369">
        <f>IF(HW787=TRUE,DG789,0)</f>
        <v>0</v>
      </c>
      <c r="EG787" s="1369">
        <f>IFERROR(EC787-ED787+EF787,0)</f>
        <v>0</v>
      </c>
      <c r="EH787" s="1373">
        <f>IF(HW787=TRUE,CS789*CU789,0)</f>
        <v>0</v>
      </c>
      <c r="EI787" s="1373">
        <f>IF(HW787=TRUE,DC789*DE789,0)</f>
        <v>0</v>
      </c>
      <c r="EJ787" s="1363">
        <f>AO787</f>
        <v>0</v>
      </c>
      <c r="EK787" s="1376" t="str">
        <f>IFERROR(IF(HW787=TRUE,VLOOKUP(DN787,Lookup!AN$3:AP$16,3,FALSE)*DR787,""),0)</f>
        <v/>
      </c>
      <c r="EL787" s="1376">
        <f>IF(HW787=TRUE,DW787*Lookup!AP$12,0)</f>
        <v>0</v>
      </c>
      <c r="EM787" s="1362">
        <f>IFERROR(IF(HW787=TRUE,EK787/EM$33,0),0)</f>
        <v>0</v>
      </c>
      <c r="EN787" s="1362">
        <f>IF(HW787=TRUE,EL787/EN$33,0)</f>
        <v>0</v>
      </c>
      <c r="EO787" s="1363">
        <f>IF(HW787=TRUE,EQ$33*EM787,0)</f>
        <v>0</v>
      </c>
      <c r="EP787" s="1363">
        <f>IF(HW787=TRUE,EQ$33*EN787,0)</f>
        <v>0</v>
      </c>
      <c r="EQ787" s="1363">
        <f>EO787+EP787</f>
        <v>0</v>
      </c>
      <c r="ES787" s="1403">
        <f>IF(G787="",0,1)</f>
        <v>0</v>
      </c>
      <c r="EU787" s="1410" t="e">
        <f>VLOOKUP(CP789,'Space Table'!$B$3:$L$160,8,FALSE)</f>
        <v>#N/A</v>
      </c>
      <c r="EV787" s="1410" t="e">
        <f>IF(EY787="Yes",VLOOKUP(DD787,Lookup_Control_Type_Table2,4,FALSE),VLOOKUP(DD787,Lookup_Control_Type_Table2,3,FALSE))</f>
        <v>#N/A</v>
      </c>
      <c r="EW787" s="1410" t="e">
        <f>VLOOKUP(DD787,Lookup!AU$3:AV$15,2,FALSE)</f>
        <v>#N/A</v>
      </c>
      <c r="EX787" s="1410" t="e">
        <f>VLOOKUP(EU787,Lookup_Control_Type_Table,2,FALSE)</f>
        <v>#N/A</v>
      </c>
      <c r="EY787" s="1410" t="e">
        <f>VLOOKUP(CP789,'Space Table'!$B$3:$L$160,7,FALSE)</f>
        <v>#N/A</v>
      </c>
      <c r="EZ787" s="1412" t="b">
        <f>ISNUMBER(SEARCH("TLED",U789))</f>
        <v>0</v>
      </c>
      <c r="FB787" s="1365" t="str">
        <f>CONCATENATE(CN787," - ",DD787)</f>
        <v xml:space="preserve"> - 0</v>
      </c>
      <c r="FD787" s="1353" t="str">
        <f>VLOOKUP(CT789,Fixtures!DN$27:EZ$77,38,FALSE)</f>
        <v/>
      </c>
      <c r="FE787" s="1353">
        <f>IFERROR(FD787*EE787,0)</f>
        <v>0</v>
      </c>
      <c r="FF787" s="138"/>
      <c r="FI787" s="1356" t="str">
        <f>IF(CN787="Exterior","Not Daylighted",G790)</f>
        <v>Not Daylighted</v>
      </c>
      <c r="FJ787" s="1356">
        <f>VLOOKUP(FI787,_Daylight_Table_Codes,2,FALSE)</f>
        <v>0</v>
      </c>
      <c r="FK787" s="1365">
        <f>IF(__Retrofit_TI_NC=2,VLOOKUP(G789,'Space Table'!$B$3:$L$160,11,FALSE),AF788)</f>
        <v>0</v>
      </c>
      <c r="FL787" s="1365" t="e">
        <f>VLOOKUP(FK787,_Control_Table,2,FALSE)</f>
        <v>#N/A</v>
      </c>
      <c r="FM787" s="1365" t="e">
        <f>IF(AND(FP787&gt;0,FK787="Occupancy Sensor"),"Daylight + Occupancy",IF(AND(FP787&gt;0,FL787&lt;4),"Interior Daylight Dimming",FK787))</f>
        <v>#N/A</v>
      </c>
      <c r="FO787" s="1364">
        <f>IF(CO787="Interior",VLOOKUP(CP787,Control_Savings_Interior,5,FALSE),0)</f>
        <v>0</v>
      </c>
      <c r="FP787" s="1361">
        <f>IF(CN787="Exterior",0,IF(FJ787=2,0.5,IF(OR(FJ787=1,FJ787=3),1,0)))</f>
        <v>0</v>
      </c>
      <c r="FQ787" s="1366"/>
      <c r="FR787" s="1367"/>
      <c r="FS787" s="1364"/>
      <c r="FT787" s="1367"/>
      <c r="FU787" s="1360"/>
      <c r="FW787" s="1352" t="str">
        <f>IFERROR(VLOOKUP(U788,_Exist_Fixture_Table,3,FALSE),"")</f>
        <v/>
      </c>
      <c r="FX787" s="1352" t="str">
        <f>VLOOKUP(CT787,_Exist_Fixture_Table,4,FALSE)</f>
        <v/>
      </c>
      <c r="FY787" s="1352">
        <f>IFERROR(VLOOKUP(FX787,Lookup!AM$6:AN$8,2,FALSE),0)</f>
        <v>0</v>
      </c>
      <c r="FZ787" s="1352" t="b">
        <f>IFERROR(IF(OR(GB787=4,GB787=5,GB787=6),TRUE,FALSE),"")</f>
        <v>0</v>
      </c>
      <c r="GA787" s="1352" t="str">
        <f>IFERROR(VLOOKUP(GB787,FY$6:FZ$10,2,FALSE),"")</f>
        <v/>
      </c>
      <c r="GB787" s="1352" t="str">
        <f>VLOOKUP(CT789,Fixtures!R$31:Y$78,8,FALSE)</f>
        <v/>
      </c>
      <c r="GC787" s="1352">
        <f>IF(AND(FW787=TRUE,FZ787=TRUE,OR(DN787=12,DN787=13,DN787=14)),FY787+8,0)</f>
        <v>0</v>
      </c>
      <c r="GD787" s="1352" t="b">
        <f>IF(OR(GC787=12,GC787=13,GC787=14),TRUE,FALSE)</f>
        <v>0</v>
      </c>
      <c r="GE787" s="759" t="b">
        <f>IF(ISNUMBER(SEARCH("TLED",U788)),TRUE,FALSE)</f>
        <v>0</v>
      </c>
      <c r="GF787" s="1035" t="str">
        <f>IFERROR(VLOOKUP(U788,Fixtures!BM$93:BR$142,6,FALSE),"")</f>
        <v/>
      </c>
      <c r="GG787" s="1385" t="b">
        <f>IF(OR(GE787=FALSE,GE789=FALSE),TRUE,IF(GF787-GF789&lt;5,FALSE,TRUE))</f>
        <v>1</v>
      </c>
      <c r="GK787" s="1034">
        <f>GL787</f>
        <v>0</v>
      </c>
      <c r="GL787" s="1034">
        <f>IF(G787="",0,1)</f>
        <v>0</v>
      </c>
      <c r="GM787" s="1034">
        <f>SUM(GN787:HB787)</f>
        <v>2</v>
      </c>
      <c r="GN787" s="1034">
        <f>IF(G788="",0,1)</f>
        <v>0</v>
      </c>
      <c r="GO787" s="1034">
        <f>IF(G789="",0,1)</f>
        <v>0</v>
      </c>
      <c r="GP787" s="1034">
        <f>IF(R788="",0,1)</f>
        <v>0</v>
      </c>
      <c r="GQ787" s="1034">
        <f>IF(__Retrofit_TI_NC=0,1,IF(R789="",0,1))</f>
        <v>1</v>
      </c>
      <c r="GR787" s="1034">
        <f>IF(CN787="Exterior",1,IF(G790="",0,1))</f>
        <v>1</v>
      </c>
      <c r="GS787" s="1034">
        <f>IF(__Retrofit_TI_NC&lt;&gt;0,1,IF(T788="",0,1))</f>
        <v>0</v>
      </c>
      <c r="GT787" s="1034">
        <f>IF(__Retrofit_TI_NC&lt;&gt;0,1,IF(U788="",0,1))</f>
        <v>0</v>
      </c>
      <c r="GU787" s="1034">
        <f>IF(T789="",0,1)</f>
        <v>0</v>
      </c>
      <c r="GV787" s="1034">
        <f>IF(U789="",0,1)</f>
        <v>0</v>
      </c>
      <c r="GW787" s="1034">
        <f>IF(__Retrofit_TI_NC=2,1,IF(U790="",0,1))</f>
        <v>0</v>
      </c>
      <c r="GX787" s="1034">
        <f>IF(__Retrofit_TI_NC&lt;&gt;0,1,IF(AE788="",0,1))</f>
        <v>0</v>
      </c>
      <c r="GY787" s="1034">
        <f>IF(__Retrofit_TI_NC&lt;&gt;0,1,IF(AF788="",0,1))</f>
        <v>0</v>
      </c>
      <c r="GZ787" s="1034">
        <f>IF(AE789="",0,1)</f>
        <v>0</v>
      </c>
      <c r="HA787" s="1034">
        <f>IF(AF789="",0,1)</f>
        <v>0</v>
      </c>
      <c r="HB787" s="1034">
        <f>IF(__Retrofit_TI_NC=2,1,IF(AF790="",0,1))</f>
        <v>0</v>
      </c>
      <c r="HV787" s="436"/>
      <c r="HW787" s="1384" t="b">
        <f>IF(OR(HW790=0,HW790=HT$16,HW790=HS$16,HW790=HU$16),TRUE,FALSE)</f>
        <v>0</v>
      </c>
      <c r="HX787" s="1377" t="b">
        <f>HW787</f>
        <v>0</v>
      </c>
      <c r="HY787" s="436"/>
      <c r="HZ787" s="436"/>
      <c r="IA787" s="1386" t="b">
        <f>IF(MAX(GJ790:HP790)&gt;5,FALSE,TRUE)</f>
        <v>0</v>
      </c>
      <c r="IB787" s="1380">
        <f>IF(IA787=TRUE,AC787,0)</f>
        <v>0</v>
      </c>
      <c r="IC787" s="1380">
        <f>IB787-IB789</f>
        <v>0</v>
      </c>
      <c r="IF787" s="1380" t="e">
        <f>ROUND(T788*VLOOKUP(U788,Fixtures_Existing_List,2,FALSE)*N788*R788/1000,0)</f>
        <v>#N/A</v>
      </c>
      <c r="IG787" s="1381" t="e">
        <f>IF787-IF789</f>
        <v>#N/A</v>
      </c>
      <c r="IH787" s="1384" t="e">
        <f>ROUND(IF(CN787="Interior",N789*R789*R788*N788*_C406_reduction/1000,N789*R789*R788*N788/1000),0)</f>
        <v>#N/A</v>
      </c>
      <c r="II787" s="1384" t="e">
        <f>IH787-IH789</f>
        <v>#N/A</v>
      </c>
      <c r="IK787" s="1351" t="e">
        <f>IF($CO787="interior",IL787/2,VLOOKUP($CP787,Control_Savings_Exterior,IK$30,FALSE))</f>
        <v>#N/A</v>
      </c>
      <c r="IL787" s="1351" t="e">
        <f>IF($CO787="interior",VLOOKUP($CP787,Control_Savings_Interior,IL$30,FALSE),VLOOKUP($CP787,Control_Savings_Exterior,IL$30,FALSE))</f>
        <v>#N/A</v>
      </c>
      <c r="IM787" s="1351" t="e">
        <f>IF($CO787="interior",IF(R788&gt;FO$37,(IM$28*(FO$37/R788)),IM$28)*FP787,VLOOKUP($CP787,Control_Savings_Exterior,IM$30,FALSE))</f>
        <v>#N/A</v>
      </c>
      <c r="IN787" s="1351" t="e">
        <f>IF($CO787="interior",ROUND(((1-IL787)*IM787)+IL787,2),VLOOKUP($CP787,Control_Savings_Exterior,IN$30,FALSE))</f>
        <v>#N/A</v>
      </c>
      <c r="IO787" s="1351" t="e">
        <f>IF($CO787="interior", ROUND(((1-IL787)*(IM787*(1-IP$28)))+IP787,2), VLOOKUP($CP787,Control_Savings_Exterior,IO$30,FALSE))</f>
        <v>#N/A</v>
      </c>
      <c r="IP787" s="1351">
        <f>IF($CO787="interior",ROUND(((1-IL787)*IP$28)+IL787,2),0)</f>
        <v>0</v>
      </c>
    </row>
    <row r="788" spans="1:250" s="82" customFormat="1" ht="14.95" customHeight="1" thickTop="1" thickBot="1">
      <c r="B788" s="1421"/>
      <c r="C788" s="1422"/>
      <c r="D788" s="1423"/>
      <c r="E788" s="1393" t="s">
        <v>244</v>
      </c>
      <c r="F788" s="1394"/>
      <c r="G788" s="1395"/>
      <c r="H788" s="1395"/>
      <c r="I788" s="1395"/>
      <c r="J788" s="1395"/>
      <c r="K788" s="1395"/>
      <c r="L788" s="1395"/>
      <c r="M788" s="509" t="e">
        <f>IF(__Retrofit_TI_NC&lt;&gt;0,IF(VLOOKUP(G789,'Space Table'!$B$3:$L$160,3,FALSE)&gt;0,1,0),IF(__Retrofit_TI_NC=VLOOKUP(G789,'Space Table'!$B$3:$L$160,3,FALSE),1,0))</f>
        <v>#N/A</v>
      </c>
      <c r="N788" s="509" t="str">
        <f>IFERROR(VLOOKUP(G788,_Lookup_Heat_Type_Table_New,2,FALSE),"")</f>
        <v/>
      </c>
      <c r="O788" s="509">
        <f>IF(__Retrofit_TI_NC=1,CONCATENATE("TI ",G788),IF(__Retrofit_TI_NC=2,CONCATENATE("NC ",G788),G788))</f>
        <v>0</v>
      </c>
      <c r="P788" s="1396" t="s">
        <v>352</v>
      </c>
      <c r="Q788" s="1396"/>
      <c r="R788" s="673"/>
      <c r="S788" s="1429"/>
      <c r="T788" s="675"/>
      <c r="U788" s="1496"/>
      <c r="V788" s="1497"/>
      <c r="W788" s="1497"/>
      <c r="X788" s="1497"/>
      <c r="Y788" s="1497"/>
      <c r="Z788" s="1497"/>
      <c r="AA788" s="1497"/>
      <c r="AB788" s="1497"/>
      <c r="AC788" s="1497"/>
      <c r="AD788" s="1498"/>
      <c r="AE788" s="675"/>
      <c r="AF788" s="1397"/>
      <c r="AG788" s="1397"/>
      <c r="AH788" s="1397"/>
      <c r="AI788" s="1397"/>
      <c r="AJ788" s="1434"/>
      <c r="AK788" s="1436"/>
      <c r="AL788" s="1438"/>
      <c r="AM788" s="1441"/>
      <c r="AN788" s="1442"/>
      <c r="AO788" s="1447"/>
      <c r="AP788" s="1447"/>
      <c r="AQ788" s="1448"/>
      <c r="AR788" s="1452"/>
      <c r="AS788" s="1455"/>
      <c r="AT788" s="1458"/>
      <c r="AU788" s="516"/>
      <c r="AV788" s="1479"/>
      <c r="AW788" s="1479"/>
      <c r="BC788" s="38"/>
      <c r="BD788" s="38"/>
      <c r="BE788" s="38"/>
      <c r="BF788" s="38"/>
      <c r="BG788" s="38"/>
      <c r="BH788" s="38"/>
      <c r="BI788" s="38"/>
      <c r="BJ788" s="38"/>
      <c r="BK788" s="38"/>
      <c r="BL788" s="38"/>
      <c r="BM788" s="38"/>
      <c r="BN788" s="38"/>
      <c r="BO788" s="38"/>
      <c r="BP788" s="38"/>
      <c r="BQ788" s="38"/>
      <c r="BR788" s="38"/>
      <c r="BS788" s="38"/>
      <c r="BT788" s="38"/>
      <c r="BU788" s="38"/>
      <c r="BV788" s="38"/>
      <c r="BW788" s="38"/>
      <c r="BX788" s="38"/>
      <c r="BY788" s="38"/>
      <c r="BZ788" s="38"/>
      <c r="CA788" s="38"/>
      <c r="CB788" s="38"/>
      <c r="CC788" s="38"/>
      <c r="CD788" s="38"/>
      <c r="CE788" s="38"/>
      <c r="CF788" s="38"/>
      <c r="CG788" s="38"/>
      <c r="CH788" s="38"/>
      <c r="CI788" s="38"/>
      <c r="CM788" s="1352"/>
      <c r="CN788" s="1352"/>
      <c r="CO788" s="1416"/>
      <c r="CP788" s="1418"/>
      <c r="CR788" s="1386"/>
      <c r="CS788" s="1355"/>
      <c r="CT788" s="1355"/>
      <c r="CU788" s="1355"/>
      <c r="CV788" s="1372"/>
      <c r="CW788" s="1372"/>
      <c r="CX788" s="1371"/>
      <c r="CY788" s="1486"/>
      <c r="CZ788" s="1486"/>
      <c r="DA788" s="1486"/>
      <c r="DC788" s="1355"/>
      <c r="DD788" s="1461"/>
      <c r="DE788" s="1355"/>
      <c r="DF788" s="1407"/>
      <c r="DG788" s="1372"/>
      <c r="DH788" s="1369"/>
      <c r="DJ788" s="1484"/>
      <c r="DL788" s="1419"/>
      <c r="DN788" s="1403"/>
      <c r="DO788" s="1405"/>
      <c r="DP788" s="1354"/>
      <c r="DQ788" s="1405"/>
      <c r="DR788" s="1403"/>
      <c r="DS788" s="1489"/>
      <c r="DU788" s="1403"/>
      <c r="DV788" s="1405"/>
      <c r="DW788" s="1403"/>
      <c r="DX788" s="1403"/>
      <c r="DZ788" s="1481"/>
      <c r="EA788" s="1481"/>
      <c r="EC788" s="1482"/>
      <c r="ED788" s="1369"/>
      <c r="EE788" s="1371"/>
      <c r="EF788" s="1369"/>
      <c r="EG788" s="1369"/>
      <c r="EH788" s="1374"/>
      <c r="EI788" s="1374"/>
      <c r="EJ788" s="1363"/>
      <c r="EK788" s="1376"/>
      <c r="EL788" s="1376"/>
      <c r="EM788" s="1362"/>
      <c r="EN788" s="1362"/>
      <c r="EO788" s="1363"/>
      <c r="EP788" s="1363"/>
      <c r="EQ788" s="1363"/>
      <c r="ES788" s="1403"/>
      <c r="EU788" s="1411"/>
      <c r="EV788" s="1411"/>
      <c r="EW788" s="1411"/>
      <c r="EX788" s="1411"/>
      <c r="EY788" s="1411"/>
      <c r="EZ788" s="1413"/>
      <c r="FB788" s="1365"/>
      <c r="FD788" s="1354"/>
      <c r="FE788" s="1354"/>
      <c r="FF788" s="138"/>
      <c r="FI788" s="1357"/>
      <c r="FJ788" s="1357"/>
      <c r="FK788" s="1365"/>
      <c r="FL788" s="1365"/>
      <c r="FM788" s="1365"/>
      <c r="FO788" s="1361"/>
      <c r="FP788" s="1361"/>
      <c r="FQ788" s="1366"/>
      <c r="FR788" s="1368"/>
      <c r="FS788" s="1361"/>
      <c r="FT788" s="1368"/>
      <c r="FU788" s="1360"/>
      <c r="FW788" s="1352"/>
      <c r="FX788" s="1352"/>
      <c r="FY788" s="1352"/>
      <c r="FZ788" s="1352"/>
      <c r="GA788" s="1352"/>
      <c r="GB788" s="1352"/>
      <c r="GC788" s="1352"/>
      <c r="GD788" s="1352"/>
      <c r="GE788" s="759"/>
      <c r="GF788" s="1035"/>
      <c r="GG788" s="1385"/>
      <c r="GI788" s="1384" t="b">
        <f>IF(AND(GL788=TRUE,GM788=TRUE),TRUE,FALSE)</f>
        <v>0</v>
      </c>
      <c r="GJ788" s="1379" t="b">
        <f>IFERROR(IF(__Retrofit_TI_NC=2,TRUE,IF(AR787="Yes",TRUE,FALSE)),FALSE)</f>
        <v>1</v>
      </c>
      <c r="GL788" s="1379" t="b">
        <f>IFERROR(IF(GL787=1,TRUE,FALSE),FALSE)</f>
        <v>0</v>
      </c>
      <c r="GM788" s="1379" t="b">
        <f>IFERROR(IF(GM787=GM$14,TRUE,FALSE),FALSE)</f>
        <v>0</v>
      </c>
      <c r="HC788" s="1379" t="b">
        <f>IFERROR(IF(M788=1,TRUE,FALSE),FALSE)</f>
        <v>0</v>
      </c>
      <c r="HD788" s="1379" t="b">
        <f>IFERROR(IF(M789=1,TRUE,FALSE),FALSE)</f>
        <v>0</v>
      </c>
      <c r="HE788" s="1379" t="b">
        <f>IFERROR(IF(__Retrofit_TI_NC&lt;&gt;0,TRUE,IFERROR(IF(VLOOKUP(U788,Fixtures_Existing_List,2,FALSE)&lt;&gt;"",TRUE,FALSE),FALSE)),FALSE)</f>
        <v>0</v>
      </c>
      <c r="HF788" s="1379" t="b">
        <f>IFERROR(IF(VLOOKUP(U789,Fixtures_Proposed_List,2,FALSE)&lt;&gt;"",TRUE,FALSE),FALSE)</f>
        <v>0</v>
      </c>
      <c r="HG788" s="1379" t="b">
        <f>IF(AND(__Retrofit_TI_NC=2,EZ787=TRUE),FALSE,TRUE)</f>
        <v>1</v>
      </c>
      <c r="HH788" s="1379" t="b">
        <f>GG787</f>
        <v>1</v>
      </c>
      <c r="HI788" s="1384" t="b">
        <f>IF(ISERROR(MATCH(FB787,_Control_Match[],0))=TRUE,FALSE,TRUE)</f>
        <v>0</v>
      </c>
      <c r="HJ788" s="1384" t="b">
        <f>IFERROR(IF(EU787&lt;&gt;EV787,FALSE,TRUE),FALSE)</f>
        <v>0</v>
      </c>
      <c r="HK788" s="1384" t="b">
        <f>IFERROR(IF(EU789&lt;&gt;EV789,FALSE,TRUE),FALSE)</f>
        <v>0</v>
      </c>
      <c r="HL788" s="1379" t="b">
        <f>IFERROR(IF(CN787="Exterior",TRUE,IF(OR(AND(FJ787=0,EW789&gt;4),AND(FJ787=4,EW789&gt;4,EW789&lt;7)),FALSE,TRUE)),FALSE)</f>
        <v>0</v>
      </c>
      <c r="HM788" s="1379" t="b">
        <f>IFERROR(IF(AND(FL789=7,EZ787=TRUE),FALSE,TRUE),FALSE)</f>
        <v>0</v>
      </c>
      <c r="HN788" s="1379" t="b">
        <f>IFERROR(IF(AND(T789&lt;&gt;AE789,AF789="Interior LLLC")=TRUE,FALSE,TRUE),FALSE)</f>
        <v>1</v>
      </c>
      <c r="HO788" s="1379" t="b">
        <f>IFERROR(IF(OR(AF789=Lookup!AU$13,AF789=Lookup!AU$14)=TRUE,IF(AE789&gt;T789,FALSE,TRUE),TRUE),FALSE)</f>
        <v>1</v>
      </c>
      <c r="HP788" s="1379" t="b">
        <f>IFERROR(IF(__Retrofit_TI_NC=2,IF(EW789&lt;EW787,FALSE,TRUE),TRUE),FALSE)</f>
        <v>1</v>
      </c>
      <c r="HQ788" s="1379" t="b">
        <f>IF(CN787="Interior",IG$6,TRUE)</f>
        <v>1</v>
      </c>
      <c r="HR788" s="1379" t="b">
        <f>IF(CN787="Exterior",IG$8,TRUE)</f>
        <v>1</v>
      </c>
      <c r="HS788" s="1379" t="b">
        <f>IFERROR(IF(__Retrofit_TI_NC&lt;&gt;0,IF(AW787&lt;AV787,FALSE,TRUE),TRUE),FALSE)</f>
        <v>1</v>
      </c>
      <c r="HT788" s="1379" t="b">
        <f>IFERROR(IF(AND(G788="Exterior",R788&gt;4200),FALSE,TRUE),FALSE)</f>
        <v>1</v>
      </c>
      <c r="HU788" s="1379" t="b">
        <f>IFERROR(IF(AB790/AB787&lt;HU$18,FALSE,TRUE),FALSE)</f>
        <v>0</v>
      </c>
      <c r="HW788" s="1382"/>
      <c r="HX788" s="1378"/>
      <c r="HY788" s="1377" t="str">
        <f>VLOOKUP(HW790,_Error_Table,4,FALSE)</f>
        <v>White</v>
      </c>
      <c r="HZ788" s="436"/>
      <c r="IA788" s="1386"/>
      <c r="IB788" s="1380"/>
      <c r="IC788" s="1379"/>
      <c r="IF788" s="1380"/>
      <c r="IG788" s="1382"/>
      <c r="IH788" s="1382"/>
      <c r="II788" s="1382"/>
      <c r="IK788" s="1351"/>
      <c r="IL788" s="1351"/>
      <c r="IM788" s="1351"/>
      <c r="IN788" s="1351"/>
      <c r="IO788" s="1351"/>
      <c r="IP788" s="1351"/>
    </row>
    <row r="789" spans="1:250" s="82" customFormat="1" ht="14.95" customHeight="1" thickTop="1" thickBot="1">
      <c r="A789" s="82">
        <f>ROW()</f>
        <v>789</v>
      </c>
      <c r="B789" s="1421"/>
      <c r="C789" s="1422"/>
      <c r="D789" s="1423"/>
      <c r="E789" s="1393" t="s">
        <v>245</v>
      </c>
      <c r="F789" s="1394"/>
      <c r="G789" s="1398"/>
      <c r="H789" s="1399"/>
      <c r="I789" s="1399"/>
      <c r="J789" s="1399"/>
      <c r="K789" s="1399"/>
      <c r="L789" s="1400"/>
      <c r="M789" s="509">
        <f>IFERROR(IF(IF(__Retrofit_TI_NC&lt;&gt;0,IF(CN787="Interior",MATCH(G789,Lookup_Interior_New,0),MATCH(G789,Lookup_Exterior_New,0)),IF(CN787="Interior",MATCH(G789,Lookup_Interior,0),MATCH(G789,Lookup_Exterior_Areas,0)))&gt;0,1,0),0)</f>
        <v>0</v>
      </c>
      <c r="N789" s="509" t="e">
        <f>IF(__Retrofit_TI_NC=1,
VLOOKUP(G789,'Space Table'!$B$3:$L$160,4,FALSE),
IF(__Retrofit_TI_NC=2,VLOOKUP(G789,'Space Table'!$B$3:$L$160,5,FALSE),VLOOKUP(G789,'Space Table'!$B$3:$L$160,5,FALSE)))</f>
        <v>#N/A</v>
      </c>
      <c r="O789" s="509">
        <f>G789</f>
        <v>0</v>
      </c>
      <c r="P789" s="1394" t="s">
        <v>355</v>
      </c>
      <c r="Q789" s="1394"/>
      <c r="R789" s="674"/>
      <c r="S789" s="1401" t="s">
        <v>284</v>
      </c>
      <c r="T789" s="672"/>
      <c r="U789" s="1499"/>
      <c r="V789" s="1500"/>
      <c r="W789" s="1500"/>
      <c r="X789" s="1500"/>
      <c r="Y789" s="1500"/>
      <c r="Z789" s="1500"/>
      <c r="AA789" s="1500"/>
      <c r="AB789" s="1501"/>
      <c r="AC789" s="1501"/>
      <c r="AD789" s="1502"/>
      <c r="AE789" s="672"/>
      <c r="AF789" s="1474"/>
      <c r="AG789" s="1474"/>
      <c r="AH789" s="1474"/>
      <c r="AI789" s="1474"/>
      <c r="AJ789" s="1475">
        <f>DF789</f>
        <v>0</v>
      </c>
      <c r="AK789" s="1470" t="str">
        <f>IFERROR(ROUND(AJ789*AC790,0),"")</f>
        <v/>
      </c>
      <c r="AL789" s="1472">
        <f>IFERROR(IF(HW787=FALSE,0,AC790-AK789),0)</f>
        <v>0</v>
      </c>
      <c r="AM789" s="1441"/>
      <c r="AN789" s="1442"/>
      <c r="AO789" s="1447"/>
      <c r="AP789" s="1447"/>
      <c r="AQ789" s="1448"/>
      <c r="AR789" s="1452"/>
      <c r="AS789" s="1455"/>
      <c r="AT789" s="1458"/>
      <c r="AU789" s="516"/>
      <c r="AV789" s="1479"/>
      <c r="AW789" s="1479"/>
      <c r="BC789" s="38"/>
      <c r="BD789" s="38"/>
      <c r="BE789" s="38"/>
      <c r="BF789" s="38"/>
      <c r="BG789" s="38"/>
      <c r="BH789" s="38"/>
      <c r="BI789" s="38"/>
      <c r="BJ789" s="38"/>
      <c r="BK789" s="38"/>
      <c r="BL789" s="38"/>
      <c r="BM789" s="38"/>
      <c r="BN789" s="38"/>
      <c r="BO789" s="38"/>
      <c r="BP789" s="38"/>
      <c r="BQ789" s="38"/>
      <c r="BR789" s="38"/>
      <c r="BS789" s="38"/>
      <c r="BT789" s="38"/>
      <c r="BU789" s="38"/>
      <c r="BV789" s="38"/>
      <c r="BW789" s="38"/>
      <c r="BX789" s="38"/>
      <c r="BY789" s="38"/>
      <c r="BZ789" s="38"/>
      <c r="CA789" s="38"/>
      <c r="CB789" s="38"/>
      <c r="CC789" s="38"/>
      <c r="CD789" s="38"/>
      <c r="CE789" s="38"/>
      <c r="CF789" s="38"/>
      <c r="CG789" s="38"/>
      <c r="CH789" s="38"/>
      <c r="CI789" s="38"/>
      <c r="CM789" s="1352"/>
      <c r="CN789" s="1352"/>
      <c r="CO789" s="1415" t="str">
        <f>CN787</f>
        <v/>
      </c>
      <c r="CP789" s="1417" t="e">
        <f>CP787</f>
        <v>#N/A</v>
      </c>
      <c r="CR789" s="1386" t="s">
        <v>284</v>
      </c>
      <c r="CS789" s="1353">
        <f>IF(HW787=TRUE,T789,0)</f>
        <v>0</v>
      </c>
      <c r="CT789" s="1353" t="str">
        <f>IF(HW787=TRUE,U789,"")</f>
        <v/>
      </c>
      <c r="CU789" s="1373">
        <f>IF(HW787=TRUE,U790,0)</f>
        <v>0</v>
      </c>
      <c r="CV789" s="1370">
        <f>IF(HW787=TRUE,AB790,0)</f>
        <v>0</v>
      </c>
      <c r="CW789" s="1370">
        <f>IF(HW787=TRUE,AC790,0)</f>
        <v>0</v>
      </c>
      <c r="CX789" s="1371"/>
      <c r="CY789" s="1486"/>
      <c r="CZ789" s="1486"/>
      <c r="DA789" s="1486"/>
      <c r="DC789" s="1353">
        <f>IF(HW787=TRUE,AE789,0)</f>
        <v>0</v>
      </c>
      <c r="DD789" s="1353" t="str">
        <f>IF(HW787=TRUE,AF789,"")</f>
        <v/>
      </c>
      <c r="DE789" s="1373">
        <f>AF790</f>
        <v>0</v>
      </c>
      <c r="DF789" s="1406">
        <f>IFERROR(IF(FL789=3,IK789,IF(FL789=4,IL789,IF(FL789=5,IM789,IF(FL789=6,IN789,IF(FL789=7,IO789,IF(FL789=8,IP789,0)))))),0)</f>
        <v>0</v>
      </c>
      <c r="DG789" s="1370">
        <f>IF(HW787=TRUE,AK789,0)</f>
        <v>0</v>
      </c>
      <c r="DH789" s="1369"/>
      <c r="DK789" s="1483">
        <f>IFERROR(CW789-DG789,0)</f>
        <v>0</v>
      </c>
      <c r="DL789" s="1420"/>
      <c r="DN789" s="1403"/>
      <c r="DO789" s="1477" t="str">
        <f>DN787</f>
        <v/>
      </c>
      <c r="DP789" s="1354"/>
      <c r="DQ789" s="1477" t="str">
        <f>IF(DP787=7,"LLLC","")</f>
        <v/>
      </c>
      <c r="DR789" s="1403"/>
      <c r="DS789" s="1489"/>
      <c r="DU789" s="1403"/>
      <c r="DV789" s="1404" t="str">
        <f>DU787</f>
        <v/>
      </c>
      <c r="DW789" s="1403"/>
      <c r="DX789" s="1403"/>
      <c r="DZ789" s="1481"/>
      <c r="EA789" s="1481"/>
      <c r="EC789" s="1482"/>
      <c r="ED789" s="1369"/>
      <c r="EE789" s="1371"/>
      <c r="EF789" s="1369"/>
      <c r="EG789" s="1369"/>
      <c r="EH789" s="1374"/>
      <c r="EI789" s="1374"/>
      <c r="EJ789" s="1363"/>
      <c r="EK789" s="1376"/>
      <c r="EL789" s="1376"/>
      <c r="EM789" s="1362"/>
      <c r="EN789" s="1362"/>
      <c r="EO789" s="1363"/>
      <c r="EP789" s="1363"/>
      <c r="EQ789" s="1363"/>
      <c r="ES789" s="1403"/>
      <c r="EU789" s="1411" t="e">
        <f>VLOOKUP(CP789,'Space Table'!$B$3:$L$160,8,FALSE)</f>
        <v>#N/A</v>
      </c>
      <c r="EV789" s="1411" t="e">
        <f>IF(EY789="Yes",VLOOKUP(AF789,Lookup_Control_Type_Table2,4,FALSE),VLOOKUP(AF789,Lookup_Control_Type_Table2,3,FALSE))</f>
        <v>#N/A</v>
      </c>
      <c r="EW789" s="1411" t="e">
        <f>VLOOKUP(AF789,Lookup!AU$3:AV$15,2,FALSE)</f>
        <v>#N/A</v>
      </c>
      <c r="EX789" s="1411" t="e">
        <f>VLOOKUP(EU787,Lookup_Control_Type_Table,2,FALSE)</f>
        <v>#N/A</v>
      </c>
      <c r="EY789" s="1411" t="e">
        <f>VLOOKUP(CP789,'Space Table'!$B$3:$L$160,7,FALSE)</f>
        <v>#N/A</v>
      </c>
      <c r="EZ789" s="1413"/>
      <c r="FB789" s="1365" t="str">
        <f>CONCATENATE(CN787," - ",AF789)</f>
        <v xml:space="preserve"> - </v>
      </c>
      <c r="FD789" s="1354"/>
      <c r="FE789" s="1354"/>
      <c r="FF789" s="138"/>
      <c r="FI789" s="1356" t="str">
        <f>IF(CN787="Exterior","Not Daylighted",G790)</f>
        <v>Not Daylighted</v>
      </c>
      <c r="FJ789" s="1356">
        <f>VLOOKUP(FI789,_Daylight_Table_Codes,2,FALSE)</f>
        <v>0</v>
      </c>
      <c r="FK789" s="1365">
        <f>AF789</f>
        <v>0</v>
      </c>
      <c r="FL789" s="1365" t="e">
        <f>VLOOKUP(FK789,_Control_Table,2,FALSE)</f>
        <v>#N/A</v>
      </c>
      <c r="FM789" s="1365" t="e">
        <f>IF(AND(FP789&gt;0,FK789="Occupancy Sensor"),"Daylight + Occupancy",IF(AND(FP789&gt;0,FL789&lt;4),"Interior Daylight Dimming",FK789))</f>
        <v>#N/A</v>
      </c>
      <c r="FO789" s="1364">
        <f>IF(CN787="Interior",VLOOKUP(CP787,Control_Savings_Interior,5,FALSE),0)</f>
        <v>0</v>
      </c>
      <c r="FP789" s="1361">
        <f>IF(CN789="Exterior",0,IF(FJ789=2,0.5,IF(OR(FJ789=1,FJ789=3),1,0)))</f>
        <v>0</v>
      </c>
      <c r="FQ789" s="1366">
        <f>IF(R788&gt;FO$37,(FO789*(FO$37/R788)),FO789)*FP789</f>
        <v>0</v>
      </c>
      <c r="FR789" s="1364">
        <f>DF789</f>
        <v>0</v>
      </c>
      <c r="FS789" s="1364">
        <f>ROUND(FR789+((1-FR789)*FQ789),2)</f>
        <v>0</v>
      </c>
      <c r="FT789" s="1364">
        <f>IF(__Retrofit_TI_NC=2,FS789,FR789)</f>
        <v>0</v>
      </c>
      <c r="FU789" s="1360">
        <f>IF(CO789="Interior",VLOOKUP(CP789,Control_Savings_Interior,4,FALSE),0)</f>
        <v>0</v>
      </c>
      <c r="FW789" s="1352"/>
      <c r="FX789" s="1352"/>
      <c r="FY789" s="1352"/>
      <c r="FZ789" s="1352"/>
      <c r="GA789" s="1352"/>
      <c r="GB789" s="1352"/>
      <c r="GC789" s="1352"/>
      <c r="GD789" s="1352"/>
      <c r="GE789" s="759" t="b">
        <f>IF(ISNUMBER(SEARCH("TLED",U789)),TRUE,FALSE)</f>
        <v>0</v>
      </c>
      <c r="GF789" s="1035" t="str">
        <f>IFERROR(VLOOKUP(U789,Fixtures!DM$93:DR$142,6,FALSE),"")</f>
        <v/>
      </c>
      <c r="GG789" s="1385"/>
      <c r="GI789" s="1383"/>
      <c r="GJ789" s="1379"/>
      <c r="GL789" s="1379"/>
      <c r="GM789" s="1379"/>
      <c r="HC789" s="1379"/>
      <c r="HD789" s="1379"/>
      <c r="HE789" s="1379"/>
      <c r="HF789" s="1379"/>
      <c r="HG789" s="1379"/>
      <c r="HH789" s="1379"/>
      <c r="HI789" s="1383"/>
      <c r="HJ789" s="1383"/>
      <c r="HK789" s="1383"/>
      <c r="HL789" s="1379"/>
      <c r="HM789" s="1379"/>
      <c r="HN789" s="1379"/>
      <c r="HO789" s="1379"/>
      <c r="HP789" s="1379"/>
      <c r="HQ789" s="1379"/>
      <c r="HR789" s="1379"/>
      <c r="HS789" s="1379"/>
      <c r="HT789" s="1379"/>
      <c r="HU789" s="1379"/>
      <c r="HW789" s="1383"/>
      <c r="HX789" s="1384" t="b">
        <f>HW787</f>
        <v>0</v>
      </c>
      <c r="HY789" s="1378"/>
      <c r="HZ789" s="436"/>
      <c r="IA789" s="1386"/>
      <c r="IB789" s="1380">
        <f>IF(IA787=TRUE,AC790,0)</f>
        <v>0</v>
      </c>
      <c r="IC789" s="1379"/>
      <c r="IF789" s="1380" t="e">
        <f>ROUND(T789*AB790*N788*R788/1000,0)</f>
        <v>#VALUE!</v>
      </c>
      <c r="IG789" s="1382"/>
      <c r="IH789" s="1384" t="e">
        <f>ROUND(T789*AB790*N788*R788/1000,0)</f>
        <v>#VALUE!</v>
      </c>
      <c r="II789" s="1382"/>
      <c r="IK789" s="1351" t="e">
        <f>IF($CO789="interior",IL789/2,VLOOKUP($CP789,Control_Savings_Exterior,IK$30,FALSE))</f>
        <v>#N/A</v>
      </c>
      <c r="IL789" s="1351" t="e">
        <f>IF($CO789="interior",VLOOKUP($CP789,Control_Savings_Interior,IL$30,FALSE),VLOOKUP($CP789,Control_Savings_Exterior,IL$30,FALSE))</f>
        <v>#N/A</v>
      </c>
      <c r="IM789" s="1351" t="e">
        <f>IF($CO789="interior",IF(R788&gt;FO$37,(IM$28*(FO$37/R788)),IM$28)*FP789,VLOOKUP($CP789,Control_Savings_Exterior,IM$30,FALSE))</f>
        <v>#N/A</v>
      </c>
      <c r="IN789" s="1351" t="e">
        <f>IF($CO789="interior",ROUND(((1-IL789)*IM789)+IL789,2),VLOOKUP($CP789,Control_Savings_Exterior,IN$30,FALSE))</f>
        <v>#N/A</v>
      </c>
      <c r="IO789" s="1351" t="e">
        <f>IF($CO789="interior", ROUND(((1-IL789)*(IM789*(1-IP$28)))+IP789,2), VLOOKUP($CP789,Control_Savings_Exterior,IO$30,FALSE))</f>
        <v>#N/A</v>
      </c>
      <c r="IP789" s="1351">
        <f>IF($CO789="interior",ROUND(((1-IL789)*IP$28)+IL789,2),0)</f>
        <v>0</v>
      </c>
    </row>
    <row r="790" spans="1:250" s="82" customFormat="1" ht="14.95" customHeight="1" thickTop="1" thickBot="1">
      <c r="B790" s="1421"/>
      <c r="C790" s="1422"/>
      <c r="D790" s="1423"/>
      <c r="E790" s="1462" t="s">
        <v>357</v>
      </c>
      <c r="F790" s="1463"/>
      <c r="G790" s="1464" t="s">
        <v>362</v>
      </c>
      <c r="H790" s="1465"/>
      <c r="I790" s="1465"/>
      <c r="J790" s="1465"/>
      <c r="K790" s="1465"/>
      <c r="L790" s="1466"/>
      <c r="M790" s="669">
        <f>IFERROR(VLOOKUP(G790,_Daylight_Table[],2,FALSE),0)</f>
        <v>0</v>
      </c>
      <c r="N790" s="670"/>
      <c r="O790" s="669" t="e">
        <f>VLOOKUP(G789,'Space Table'!$B$3:$L$160,11,FALSE)</f>
        <v>#N/A</v>
      </c>
      <c r="P790" s="1408"/>
      <c r="Q790" s="1409"/>
      <c r="R790" s="1409"/>
      <c r="S790" s="1402"/>
      <c r="T790" s="671" t="s">
        <v>281</v>
      </c>
      <c r="U790" s="1467" t="str">
        <f>IFERROR(VLOOKUP(U789,Fixtures!DM$93:DP$142,4,FALSE),"")</f>
        <v/>
      </c>
      <c r="V790" s="1468"/>
      <c r="W790" s="1468"/>
      <c r="X790" s="1468"/>
      <c r="Y790" s="1468"/>
      <c r="Z790" s="1468"/>
      <c r="AA790" s="1468"/>
      <c r="AB790" s="1046" t="str">
        <f>IFERROR(VLOOKUP(U789,Fixtures_Proposed_List,2,FALSE),"")</f>
        <v/>
      </c>
      <c r="AC790" s="1036" t="str">
        <f>IFERROR(ROUND(T789*AB790*N788*R788/1000,0),"")</f>
        <v/>
      </c>
      <c r="AD790" s="1037" t="str">
        <f>IFERROR(ROUND(T789*AB790/1000,2),"")</f>
        <v/>
      </c>
      <c r="AE790" s="1045" t="s">
        <v>281</v>
      </c>
      <c r="AF790" s="1469"/>
      <c r="AG790" s="1469"/>
      <c r="AH790" s="1469"/>
      <c r="AI790" s="1469"/>
      <c r="AJ790" s="1476"/>
      <c r="AK790" s="1471"/>
      <c r="AL790" s="1473"/>
      <c r="AM790" s="1443"/>
      <c r="AN790" s="1444"/>
      <c r="AO790" s="1449"/>
      <c r="AP790" s="1449"/>
      <c r="AQ790" s="1450"/>
      <c r="AR790" s="1453"/>
      <c r="AS790" s="1456"/>
      <c r="AT790" s="1459"/>
      <c r="AU790" s="517"/>
      <c r="AV790" s="1480"/>
      <c r="AW790" s="1480"/>
      <c r="BC790" s="38"/>
      <c r="BD790" s="38"/>
      <c r="BE790" s="38"/>
      <c r="BF790" s="38"/>
      <c r="BG790" s="38"/>
      <c r="BH790" s="38"/>
      <c r="BI790" s="38"/>
      <c r="BJ790" s="38"/>
      <c r="BK790" s="38"/>
      <c r="BL790" s="38"/>
      <c r="BM790" s="38"/>
      <c r="BN790" s="38"/>
      <c r="BO790" s="38"/>
      <c r="BP790" s="38"/>
      <c r="BQ790" s="38"/>
      <c r="BR790" s="38"/>
      <c r="BS790" s="38"/>
      <c r="BT790" s="38"/>
      <c r="BU790" s="38"/>
      <c r="BV790" s="38"/>
      <c r="BW790" s="38"/>
      <c r="BX790" s="38"/>
      <c r="BY790" s="38"/>
      <c r="BZ790" s="38"/>
      <c r="CA790" s="38"/>
      <c r="CB790" s="38"/>
      <c r="CC790" s="38"/>
      <c r="CD790" s="38"/>
      <c r="CE790" s="38"/>
      <c r="CF790" s="38"/>
      <c r="CG790" s="38"/>
      <c r="CH790" s="38"/>
      <c r="CI790" s="38"/>
      <c r="CM790" s="1352"/>
      <c r="CN790" s="1352"/>
      <c r="CO790" s="1416"/>
      <c r="CP790" s="1418"/>
      <c r="CR790" s="1386"/>
      <c r="CS790" s="1355"/>
      <c r="CT790" s="1355"/>
      <c r="CU790" s="1375"/>
      <c r="CV790" s="1372"/>
      <c r="CW790" s="1372"/>
      <c r="CX790" s="1372"/>
      <c r="CY790" s="1487"/>
      <c r="CZ790" s="1487"/>
      <c r="DA790" s="1487"/>
      <c r="DC790" s="1355"/>
      <c r="DD790" s="1355"/>
      <c r="DE790" s="1375"/>
      <c r="DF790" s="1407"/>
      <c r="DG790" s="1372"/>
      <c r="DH790" s="1369"/>
      <c r="DK790" s="1484"/>
      <c r="DL790" s="1420"/>
      <c r="DN790" s="1403"/>
      <c r="DO790" s="1405"/>
      <c r="DP790" s="1355"/>
      <c r="DQ790" s="1405"/>
      <c r="DR790" s="1403"/>
      <c r="DS790" s="1489"/>
      <c r="DU790" s="1403"/>
      <c r="DV790" s="1405"/>
      <c r="DW790" s="1403"/>
      <c r="DX790" s="1403"/>
      <c r="DZ790" s="1481"/>
      <c r="EA790" s="1481"/>
      <c r="EC790" s="1482"/>
      <c r="ED790" s="1369"/>
      <c r="EE790" s="1372"/>
      <c r="EF790" s="1369"/>
      <c r="EG790" s="1369"/>
      <c r="EH790" s="1375"/>
      <c r="EI790" s="1375"/>
      <c r="EJ790" s="1363"/>
      <c r="EK790" s="1376"/>
      <c r="EL790" s="1376"/>
      <c r="EM790" s="1362"/>
      <c r="EN790" s="1362"/>
      <c r="EO790" s="1363"/>
      <c r="EP790" s="1363"/>
      <c r="EQ790" s="1363"/>
      <c r="ES790" s="1403"/>
      <c r="EU790" s="1488"/>
      <c r="EV790" s="1488"/>
      <c r="EW790" s="1488"/>
      <c r="EX790" s="1488"/>
      <c r="EY790" s="1488"/>
      <c r="EZ790" s="1414"/>
      <c r="FB790" s="1365"/>
      <c r="FD790" s="1355"/>
      <c r="FE790" s="1355"/>
      <c r="FF790" s="138"/>
      <c r="FI790" s="1357"/>
      <c r="FJ790" s="1357"/>
      <c r="FK790" s="1365"/>
      <c r="FL790" s="1365"/>
      <c r="FM790" s="1365"/>
      <c r="FO790" s="1361"/>
      <c r="FP790" s="1361"/>
      <c r="FQ790" s="1366"/>
      <c r="FR790" s="1361"/>
      <c r="FS790" s="1361"/>
      <c r="FT790" s="1361"/>
      <c r="FU790" s="1360"/>
      <c r="FW790" s="1352"/>
      <c r="FX790" s="1352"/>
      <c r="FY790" s="1352"/>
      <c r="FZ790" s="1352"/>
      <c r="GA790" s="1352"/>
      <c r="GB790" s="1352"/>
      <c r="GC790" s="1352"/>
      <c r="GD790" s="1352"/>
      <c r="GE790" s="759"/>
      <c r="GF790" s="1035"/>
      <c r="GG790" s="1385"/>
      <c r="GJ790" s="1034">
        <f>IF(GJ788=TRUE,0,GJ$16)</f>
        <v>0</v>
      </c>
      <c r="GL790" s="1034">
        <f>IF(GL788=TRUE,0,GL$16)</f>
        <v>36</v>
      </c>
      <c r="GM790" s="1034">
        <f>IF(GM788=TRUE,0,GM$16)</f>
        <v>35</v>
      </c>
      <c r="GN790" s="436"/>
      <c r="GO790" s="436"/>
      <c r="GP790" s="436"/>
      <c r="GQ790" s="436"/>
      <c r="GR790" s="436"/>
      <c r="HC790" s="1034">
        <f t="shared" ref="HC790:HH790" si="590">IF(HC788=TRUE,0,HC$16)</f>
        <v>19</v>
      </c>
      <c r="HD790" s="1034">
        <f t="shared" si="590"/>
        <v>18</v>
      </c>
      <c r="HE790" s="1034">
        <f t="shared" si="590"/>
        <v>17</v>
      </c>
      <c r="HF790" s="1034">
        <f t="shared" si="590"/>
        <v>16</v>
      </c>
      <c r="HG790" s="1034">
        <f t="shared" si="590"/>
        <v>0</v>
      </c>
      <c r="HH790" s="1034">
        <f t="shared" si="590"/>
        <v>0</v>
      </c>
      <c r="HI790" s="1034">
        <f>IF(HI788=TRUE,0,HI$16)</f>
        <v>13</v>
      </c>
      <c r="HJ790" s="1034">
        <f t="shared" ref="HJ790:HL790" si="591">IF(HJ788=TRUE,0,HJ$16)</f>
        <v>12</v>
      </c>
      <c r="HK790" s="1034">
        <f t="shared" si="591"/>
        <v>11</v>
      </c>
      <c r="HL790" s="1034">
        <f t="shared" si="591"/>
        <v>10</v>
      </c>
      <c r="HM790" s="1034">
        <f>IF(HM788=TRUE,0,HM$16)</f>
        <v>9</v>
      </c>
      <c r="HN790" s="1034">
        <f t="shared" ref="HN790:HR790" si="592">IF(HN788=TRUE,0,HN$16)</f>
        <v>0</v>
      </c>
      <c r="HO790" s="1034">
        <f t="shared" si="592"/>
        <v>0</v>
      </c>
      <c r="HP790" s="1034">
        <f t="shared" si="592"/>
        <v>0</v>
      </c>
      <c r="HQ790" s="1034">
        <f t="shared" si="592"/>
        <v>0</v>
      </c>
      <c r="HR790" s="1034">
        <f t="shared" si="592"/>
        <v>0</v>
      </c>
      <c r="HS790" s="1034">
        <f>IF(HS788=TRUE,0,HS$16)</f>
        <v>0</v>
      </c>
      <c r="HT790" s="1034">
        <f t="shared" ref="HT790" si="593">IF(HT788=TRUE,0,HT$16)</f>
        <v>0</v>
      </c>
      <c r="HU790" s="1034">
        <f>IF(HU788=TRUE,0,HU$16)</f>
        <v>1</v>
      </c>
      <c r="HW790" s="1034">
        <f>IF(GL788=FALSE,GL790,IF(GM788=FALSE,GM790,MAX(GJ790:HU790)))</f>
        <v>36</v>
      </c>
      <c r="HX790" s="1383"/>
      <c r="HY790" s="241" t="str">
        <f>VLOOKUP(HW790,_Error_Table,3,FALSE)</f>
        <v xml:space="preserve"> </v>
      </c>
      <c r="HZ790" s="241"/>
      <c r="IA790" s="1386"/>
      <c r="IB790" s="1380"/>
      <c r="IC790" s="1379"/>
      <c r="IF790" s="1380"/>
      <c r="IG790" s="1383"/>
      <c r="IH790" s="1383"/>
      <c r="II790" s="1383"/>
      <c r="IK790" s="1351"/>
      <c r="IL790" s="1351"/>
      <c r="IM790" s="1351"/>
      <c r="IN790" s="1351"/>
      <c r="IO790" s="1351"/>
      <c r="IP790" s="1351"/>
    </row>
    <row r="791" spans="1:250">
      <c r="BA791" s="82"/>
      <c r="BB791" s="82"/>
      <c r="CI791" s="82"/>
    </row>
    <row r="792" spans="1:250">
      <c r="BA792" s="82"/>
      <c r="BB792" s="82"/>
      <c r="CI792" s="82"/>
      <c r="ES792" s="38">
        <f>ROW()</f>
        <v>792</v>
      </c>
    </row>
    <row r="793" spans="1:250">
      <c r="BA793" s="82"/>
      <c r="BB793" s="82"/>
      <c r="CI793" s="82"/>
    </row>
    <row r="794" spans="1:250">
      <c r="BA794" s="82"/>
      <c r="BB794" s="82"/>
      <c r="CI794" s="82"/>
    </row>
    <row r="795" spans="1:250">
      <c r="BA795" s="82"/>
      <c r="BB795" s="82"/>
      <c r="CI795" s="82"/>
    </row>
    <row r="796" spans="1:250">
      <c r="BA796" s="82"/>
      <c r="BB796" s="82"/>
      <c r="CI796" s="82"/>
    </row>
    <row r="797" spans="1:250">
      <c r="BA797" s="82"/>
      <c r="BB797" s="82"/>
      <c r="CI797" s="82"/>
    </row>
    <row r="798" spans="1:250">
      <c r="BA798" s="82"/>
      <c r="BB798" s="82"/>
      <c r="CI798" s="82"/>
    </row>
    <row r="799" spans="1:250">
      <c r="BA799" s="82"/>
      <c r="BB799" s="82"/>
      <c r="CI799" s="82"/>
    </row>
    <row r="800" spans="1:250">
      <c r="BA800" s="82"/>
      <c r="BB800" s="82"/>
      <c r="CI800" s="82"/>
    </row>
    <row r="801" spans="53:87">
      <c r="BA801" s="82"/>
      <c r="BB801" s="82"/>
      <c r="CI801" s="82"/>
    </row>
    <row r="802" spans="53:87">
      <c r="BA802" s="82"/>
      <c r="BB802" s="82"/>
      <c r="CI802" s="82"/>
    </row>
    <row r="803" spans="53:87">
      <c r="BA803" s="82"/>
      <c r="BB803" s="82"/>
      <c r="CI803" s="82"/>
    </row>
    <row r="804" spans="53:87">
      <c r="BA804" s="82"/>
      <c r="BB804" s="82"/>
      <c r="CI804" s="82"/>
    </row>
    <row r="805" spans="53:87">
      <c r="BA805" s="82"/>
      <c r="BB805" s="82"/>
      <c r="CI805" s="82"/>
    </row>
    <row r="806" spans="53:87">
      <c r="BA806" s="82"/>
      <c r="BB806" s="82"/>
      <c r="CI806" s="82"/>
    </row>
    <row r="807" spans="53:87">
      <c r="BA807" s="82"/>
      <c r="BB807" s="82"/>
      <c r="CI807" s="82"/>
    </row>
    <row r="808" spans="53:87">
      <c r="BA808" s="82"/>
      <c r="BB808" s="82"/>
      <c r="CI808" s="82"/>
    </row>
    <row r="809" spans="53:87">
      <c r="BA809" s="82"/>
      <c r="BB809" s="82"/>
      <c r="CI809" s="82"/>
    </row>
    <row r="810" spans="53:87">
      <c r="BA810" s="82"/>
      <c r="BB810" s="82"/>
      <c r="CI810" s="82"/>
    </row>
    <row r="811" spans="53:87">
      <c r="BA811" s="82"/>
      <c r="BB811" s="82"/>
      <c r="CI811" s="82"/>
    </row>
    <row r="812" spans="53:87">
      <c r="BA812" s="82"/>
      <c r="BB812" s="82"/>
      <c r="CI812" s="82"/>
    </row>
    <row r="813" spans="53:87">
      <c r="BA813" s="82"/>
      <c r="BB813" s="82"/>
      <c r="CI813" s="82"/>
    </row>
    <row r="814" spans="53:87">
      <c r="BA814" s="82"/>
      <c r="BB814" s="82"/>
      <c r="CI814" s="82"/>
    </row>
    <row r="815" spans="53:87">
      <c r="BA815" s="82"/>
      <c r="BB815" s="82"/>
      <c r="CI815" s="82"/>
    </row>
    <row r="816" spans="53:87">
      <c r="BA816" s="82"/>
      <c r="BB816" s="82"/>
      <c r="CI816" s="82"/>
    </row>
    <row r="817" spans="53:87">
      <c r="BA817" s="82"/>
      <c r="BB817" s="82"/>
      <c r="CI817" s="82"/>
    </row>
    <row r="818" spans="53:87">
      <c r="BA818" s="82"/>
      <c r="BB818" s="82"/>
      <c r="CI818" s="82"/>
    </row>
    <row r="819" spans="53:87">
      <c r="BA819" s="82"/>
      <c r="BB819" s="82"/>
      <c r="CI819" s="82"/>
    </row>
    <row r="820" spans="53:87">
      <c r="BA820" s="82"/>
      <c r="BB820" s="82"/>
      <c r="CI820" s="82"/>
    </row>
    <row r="821" spans="53:87">
      <c r="BA821" s="82"/>
      <c r="BB821" s="82"/>
      <c r="CI821" s="82"/>
    </row>
    <row r="822" spans="53:87">
      <c r="BA822" s="82"/>
      <c r="BB822" s="82"/>
      <c r="CI822" s="82"/>
    </row>
    <row r="823" spans="53:87">
      <c r="BA823" s="82"/>
      <c r="BB823" s="82"/>
      <c r="CI823" s="82"/>
    </row>
    <row r="824" spans="53:87">
      <c r="BA824" s="82"/>
      <c r="BB824" s="82"/>
      <c r="CI824" s="82"/>
    </row>
    <row r="825" spans="53:87">
      <c r="BA825" s="82"/>
      <c r="BB825" s="82"/>
      <c r="CI825" s="82"/>
    </row>
    <row r="826" spans="53:87">
      <c r="BA826" s="82"/>
      <c r="BB826" s="82"/>
      <c r="CI826" s="82"/>
    </row>
    <row r="827" spans="53:87">
      <c r="BA827" s="82"/>
      <c r="BB827" s="82"/>
      <c r="CI827" s="82"/>
    </row>
    <row r="828" spans="53:87">
      <c r="BA828" s="82"/>
      <c r="BB828" s="82"/>
      <c r="CI828" s="82"/>
    </row>
    <row r="829" spans="53:87">
      <c r="BA829" s="82"/>
      <c r="BB829" s="82"/>
      <c r="CI829" s="82"/>
    </row>
    <row r="830" spans="53:87">
      <c r="BA830" s="82"/>
      <c r="BB830" s="82"/>
      <c r="CI830" s="82"/>
    </row>
    <row r="831" spans="53:87">
      <c r="BA831" s="82"/>
      <c r="BB831" s="82"/>
      <c r="CI831" s="82"/>
    </row>
    <row r="832" spans="53:87">
      <c r="BA832" s="82"/>
      <c r="BB832" s="82"/>
      <c r="CI832" s="82"/>
    </row>
    <row r="833" spans="53:87">
      <c r="BA833" s="82"/>
      <c r="BB833" s="82"/>
      <c r="CI833" s="82"/>
    </row>
    <row r="834" spans="53:87">
      <c r="BA834" s="82"/>
      <c r="BB834" s="82"/>
      <c r="CI834" s="82"/>
    </row>
    <row r="835" spans="53:87">
      <c r="BA835" s="82"/>
      <c r="BB835" s="82"/>
      <c r="CI835" s="82"/>
    </row>
    <row r="836" spans="53:87">
      <c r="BA836" s="82"/>
      <c r="BB836" s="82"/>
      <c r="CI836" s="82"/>
    </row>
    <row r="837" spans="53:87">
      <c r="BA837" s="82"/>
      <c r="BB837" s="82"/>
      <c r="CI837" s="82"/>
    </row>
    <row r="838" spans="53:87">
      <c r="BA838" s="82"/>
      <c r="BB838" s="82"/>
      <c r="CI838" s="82"/>
    </row>
    <row r="839" spans="53:87">
      <c r="BA839" s="82"/>
      <c r="BB839" s="82"/>
      <c r="CI839" s="82"/>
    </row>
    <row r="840" spans="53:87">
      <c r="BA840" s="82"/>
      <c r="BB840" s="82"/>
      <c r="CI840" s="82"/>
    </row>
    <row r="841" spans="53:87">
      <c r="BA841" s="82"/>
      <c r="BB841" s="82"/>
      <c r="CI841" s="82"/>
    </row>
    <row r="842" spans="53:87">
      <c r="BA842" s="82"/>
      <c r="BB842" s="82"/>
      <c r="CI842" s="82"/>
    </row>
    <row r="843" spans="53:87">
      <c r="BA843" s="82"/>
      <c r="BB843" s="82"/>
      <c r="CI843" s="82"/>
    </row>
    <row r="844" spans="53:87">
      <c r="BA844" s="82"/>
      <c r="BB844" s="82"/>
      <c r="CI844" s="82"/>
    </row>
    <row r="845" spans="53:87">
      <c r="BA845" s="82"/>
      <c r="BB845" s="82"/>
      <c r="CI845" s="82"/>
    </row>
    <row r="846" spans="53:87">
      <c r="BA846" s="82"/>
      <c r="BB846" s="82"/>
      <c r="CI846" s="82"/>
    </row>
    <row r="847" spans="53:87">
      <c r="BA847" s="82"/>
      <c r="BB847" s="82"/>
      <c r="CI847" s="82"/>
    </row>
    <row r="848" spans="53:87">
      <c r="BA848" s="82"/>
      <c r="BB848" s="82"/>
      <c r="CI848" s="82"/>
    </row>
    <row r="849" spans="53:87">
      <c r="BA849" s="82"/>
      <c r="BB849" s="82"/>
      <c r="CI849" s="82"/>
    </row>
    <row r="850" spans="53:87">
      <c r="BA850" s="82"/>
      <c r="BB850" s="82"/>
      <c r="CI850" s="82"/>
    </row>
    <row r="851" spans="53:87">
      <c r="BA851" s="82"/>
      <c r="BB851" s="82"/>
      <c r="CI851" s="82"/>
    </row>
    <row r="852" spans="53:87">
      <c r="BA852" s="82"/>
      <c r="BB852" s="82"/>
      <c r="BF852" s="38">
        <f>COUNT(BF853:BF868)</f>
        <v>0</v>
      </c>
      <c r="BG852" s="38">
        <v>5</v>
      </c>
      <c r="BH852" s="38">
        <v>6</v>
      </c>
      <c r="BI852" s="38">
        <v>7</v>
      </c>
      <c r="BJ852" s="38">
        <v>8</v>
      </c>
      <c r="BK852" s="38">
        <v>9</v>
      </c>
      <c r="BL852" s="38">
        <v>10</v>
      </c>
      <c r="BM852" s="38">
        <v>11</v>
      </c>
      <c r="BN852" s="38">
        <v>12</v>
      </c>
      <c r="BO852" s="38">
        <v>13</v>
      </c>
      <c r="BP852" s="38">
        <v>14</v>
      </c>
      <c r="BQ852" s="38">
        <v>15</v>
      </c>
      <c r="BR852" s="38">
        <v>16</v>
      </c>
      <c r="BS852" s="38">
        <v>17</v>
      </c>
      <c r="BT852" s="38">
        <v>18</v>
      </c>
      <c r="BU852" s="38">
        <v>19</v>
      </c>
      <c r="BV852" s="38">
        <v>20</v>
      </c>
      <c r="BW852" s="38">
        <v>21</v>
      </c>
      <c r="BX852" s="38">
        <v>22</v>
      </c>
      <c r="BY852" s="38">
        <v>23</v>
      </c>
      <c r="BZ852" s="38">
        <v>24</v>
      </c>
      <c r="CA852" s="38">
        <v>25</v>
      </c>
      <c r="CB852" s="38">
        <v>26</v>
      </c>
      <c r="CC852" s="38">
        <v>27</v>
      </c>
      <c r="CD852" s="38">
        <v>28</v>
      </c>
      <c r="CE852" s="38">
        <v>29</v>
      </c>
      <c r="CF852" s="38">
        <v>30</v>
      </c>
      <c r="CG852" s="38">
        <v>31</v>
      </c>
      <c r="CH852" s="38">
        <v>32</v>
      </c>
    </row>
    <row r="853" spans="53:87">
      <c r="BA853" s="82"/>
      <c r="BB853" s="38">
        <v>1</v>
      </c>
      <c r="BE853" s="228" t="str">
        <f t="array" ref="BE853">IFERROR(IF(ROWS(BD$877:BD877)&gt;COUNTA($BD$877:$BD$901),"",INDEX($BB$877:$BB$901,SMALL(IF($BD$877:$BD$901&lt;&gt;"",ROW($BD$877:$BD$901)-ROW($BD$877)+1),ROWS($BD$877:BD877)))),"")</f>
        <v/>
      </c>
      <c r="BF853" s="765" t="str">
        <f t="shared" ref="BF853:CG853" si="594">IF(BE853="","",VLOOKUP($BE853,$BB$877:$CG$901,BG$852,FALSE))</f>
        <v/>
      </c>
      <c r="BG853" s="765" t="str">
        <f t="shared" si="594"/>
        <v/>
      </c>
      <c r="BH853" s="765" t="str">
        <f t="shared" si="594"/>
        <v/>
      </c>
      <c r="BI853" s="765" t="str">
        <f t="shared" si="594"/>
        <v/>
      </c>
      <c r="BJ853" s="765" t="str">
        <f t="shared" si="594"/>
        <v/>
      </c>
      <c r="BK853" s="765" t="str">
        <f t="shared" si="594"/>
        <v/>
      </c>
      <c r="BL853" s="765" t="str">
        <f t="shared" si="594"/>
        <v/>
      </c>
      <c r="BM853" s="765" t="str">
        <f t="shared" si="594"/>
        <v/>
      </c>
      <c r="BN853" s="765" t="str">
        <f t="shared" si="594"/>
        <v/>
      </c>
      <c r="BO853" s="765" t="str">
        <f t="shared" si="594"/>
        <v/>
      </c>
      <c r="BP853" s="765" t="str">
        <f t="shared" si="594"/>
        <v/>
      </c>
      <c r="BQ853" s="765" t="str">
        <f t="shared" si="594"/>
        <v/>
      </c>
      <c r="BR853" s="765" t="str">
        <f t="shared" si="594"/>
        <v/>
      </c>
      <c r="BS853" s="765" t="str">
        <f t="shared" si="594"/>
        <v/>
      </c>
      <c r="BT853" s="765" t="str">
        <f t="shared" si="594"/>
        <v/>
      </c>
      <c r="BU853" s="765" t="str">
        <f t="shared" si="594"/>
        <v/>
      </c>
      <c r="BV853" s="765" t="str">
        <f t="shared" si="594"/>
        <v/>
      </c>
      <c r="BW853" s="765" t="str">
        <f t="shared" si="594"/>
        <v/>
      </c>
      <c r="BX853" s="765" t="str">
        <f t="shared" si="594"/>
        <v/>
      </c>
      <c r="BY853" s="765" t="str">
        <f t="shared" si="594"/>
        <v/>
      </c>
      <c r="BZ853" s="765" t="str">
        <f t="shared" si="594"/>
        <v/>
      </c>
      <c r="CA853" s="765" t="str">
        <f t="shared" si="594"/>
        <v/>
      </c>
      <c r="CB853" s="765" t="str">
        <f t="shared" si="594"/>
        <v/>
      </c>
      <c r="CC853" s="765" t="str">
        <f t="shared" si="594"/>
        <v/>
      </c>
      <c r="CD853" s="765" t="str">
        <f t="shared" si="594"/>
        <v/>
      </c>
      <c r="CE853" s="765" t="str">
        <f t="shared" si="594"/>
        <v/>
      </c>
      <c r="CF853" s="765" t="str">
        <f t="shared" si="594"/>
        <v/>
      </c>
      <c r="CG853" s="765" t="str">
        <f t="shared" si="594"/>
        <v/>
      </c>
      <c r="CH853" s="765" t="str">
        <f>IFERROR(VLOOKUP($BE853,$BB$145:$CG$178,CH$120,FALSE),"")</f>
        <v/>
      </c>
    </row>
    <row r="854" spans="53:87">
      <c r="BA854" s="82"/>
      <c r="BB854" s="38">
        <v>2</v>
      </c>
      <c r="BE854" s="228" t="str">
        <f t="array" ref="BE854">IFERROR(IF(ROWS(BD$877:BD878)&gt;COUNTA($BD$877:$BD$901),"",INDEX($BB$877:$BB$901,SMALL(IF($BD$877:$BD$901&lt;&gt;"",ROW($BD$877:$BD$901)-ROW($BD$877)+1),ROWS($BD$877:BD878)))),"")</f>
        <v/>
      </c>
      <c r="BF854" s="765" t="str">
        <f t="shared" ref="BF854:CG854" si="595">IF(BE854="","",VLOOKUP($BE854,$BB$877:$CG$901,BG$852,FALSE))</f>
        <v/>
      </c>
      <c r="BG854" s="765" t="str">
        <f t="shared" si="595"/>
        <v/>
      </c>
      <c r="BH854" s="765" t="str">
        <f t="shared" si="595"/>
        <v/>
      </c>
      <c r="BI854" s="765" t="str">
        <f t="shared" si="595"/>
        <v/>
      </c>
      <c r="BJ854" s="765" t="str">
        <f t="shared" si="595"/>
        <v/>
      </c>
      <c r="BK854" s="765" t="str">
        <f t="shared" si="595"/>
        <v/>
      </c>
      <c r="BL854" s="765" t="str">
        <f t="shared" si="595"/>
        <v/>
      </c>
      <c r="BM854" s="765" t="str">
        <f t="shared" si="595"/>
        <v/>
      </c>
      <c r="BN854" s="765" t="str">
        <f t="shared" si="595"/>
        <v/>
      </c>
      <c r="BO854" s="765" t="str">
        <f t="shared" si="595"/>
        <v/>
      </c>
      <c r="BP854" s="765" t="str">
        <f t="shared" si="595"/>
        <v/>
      </c>
      <c r="BQ854" s="765" t="str">
        <f t="shared" si="595"/>
        <v/>
      </c>
      <c r="BR854" s="765" t="str">
        <f t="shared" si="595"/>
        <v/>
      </c>
      <c r="BS854" s="765" t="str">
        <f t="shared" si="595"/>
        <v/>
      </c>
      <c r="BT854" s="765" t="str">
        <f t="shared" si="595"/>
        <v/>
      </c>
      <c r="BU854" s="765" t="str">
        <f t="shared" si="595"/>
        <v/>
      </c>
      <c r="BV854" s="765" t="str">
        <f t="shared" si="595"/>
        <v/>
      </c>
      <c r="BW854" s="765" t="str">
        <f t="shared" si="595"/>
        <v/>
      </c>
      <c r="BX854" s="765" t="str">
        <f t="shared" si="595"/>
        <v/>
      </c>
      <c r="BY854" s="765" t="str">
        <f t="shared" si="595"/>
        <v/>
      </c>
      <c r="BZ854" s="765" t="str">
        <f t="shared" si="595"/>
        <v/>
      </c>
      <c r="CA854" s="765" t="str">
        <f t="shared" si="595"/>
        <v/>
      </c>
      <c r="CB854" s="765" t="str">
        <f t="shared" si="595"/>
        <v/>
      </c>
      <c r="CC854" s="765" t="str">
        <f t="shared" si="595"/>
        <v/>
      </c>
      <c r="CD854" s="765" t="str">
        <f t="shared" si="595"/>
        <v/>
      </c>
      <c r="CE854" s="765" t="str">
        <f t="shared" si="595"/>
        <v/>
      </c>
      <c r="CF854" s="765" t="str">
        <f t="shared" si="595"/>
        <v/>
      </c>
      <c r="CG854" s="765" t="str">
        <f t="shared" si="595"/>
        <v/>
      </c>
      <c r="CH854" s="765" t="str">
        <f t="shared" ref="CH854:CH868" si="596">IFERROR(VLOOKUP($BE854,$BB$145:$CG$163,CH$120,FALSE),"")</f>
        <v/>
      </c>
    </row>
    <row r="855" spans="53:87">
      <c r="BA855" s="82"/>
      <c r="BB855" s="38">
        <v>3</v>
      </c>
      <c r="BE855" s="228" t="str">
        <f t="array" ref="BE855">IFERROR(IF(ROWS(BD$877:BD879)&gt;COUNTA($BD$877:$BD$901),"",INDEX($BB$877:$BB$901,SMALL(IF($BD$877:$BD$901&lt;&gt;"",ROW($BD$877:$BD$901)-ROW($BD$877)+1),ROWS($BD$877:BD879)))),"")</f>
        <v/>
      </c>
      <c r="BF855" s="765" t="str">
        <f t="shared" ref="BF855:CG855" si="597">IF(BE855="","",VLOOKUP($BE855,$BB$877:$CG$901,BG$852,FALSE))</f>
        <v/>
      </c>
      <c r="BG855" s="765" t="str">
        <f t="shared" si="597"/>
        <v/>
      </c>
      <c r="BH855" s="765" t="str">
        <f t="shared" si="597"/>
        <v/>
      </c>
      <c r="BI855" s="765" t="str">
        <f t="shared" si="597"/>
        <v/>
      </c>
      <c r="BJ855" s="765" t="str">
        <f t="shared" si="597"/>
        <v/>
      </c>
      <c r="BK855" s="765" t="str">
        <f t="shared" si="597"/>
        <v/>
      </c>
      <c r="BL855" s="765" t="str">
        <f t="shared" si="597"/>
        <v/>
      </c>
      <c r="BM855" s="765" t="str">
        <f t="shared" si="597"/>
        <v/>
      </c>
      <c r="BN855" s="765" t="str">
        <f t="shared" si="597"/>
        <v/>
      </c>
      <c r="BO855" s="765" t="str">
        <f t="shared" si="597"/>
        <v/>
      </c>
      <c r="BP855" s="765" t="str">
        <f t="shared" si="597"/>
        <v/>
      </c>
      <c r="BQ855" s="765" t="str">
        <f t="shared" si="597"/>
        <v/>
      </c>
      <c r="BR855" s="765" t="str">
        <f t="shared" si="597"/>
        <v/>
      </c>
      <c r="BS855" s="765" t="str">
        <f t="shared" si="597"/>
        <v/>
      </c>
      <c r="BT855" s="765" t="str">
        <f t="shared" si="597"/>
        <v/>
      </c>
      <c r="BU855" s="765" t="str">
        <f t="shared" si="597"/>
        <v/>
      </c>
      <c r="BV855" s="765" t="str">
        <f t="shared" si="597"/>
        <v/>
      </c>
      <c r="BW855" s="765" t="str">
        <f t="shared" si="597"/>
        <v/>
      </c>
      <c r="BX855" s="765" t="str">
        <f t="shared" si="597"/>
        <v/>
      </c>
      <c r="BY855" s="765" t="str">
        <f t="shared" si="597"/>
        <v/>
      </c>
      <c r="BZ855" s="765" t="str">
        <f t="shared" si="597"/>
        <v/>
      </c>
      <c r="CA855" s="765" t="str">
        <f t="shared" si="597"/>
        <v/>
      </c>
      <c r="CB855" s="765" t="str">
        <f t="shared" si="597"/>
        <v/>
      </c>
      <c r="CC855" s="765" t="str">
        <f t="shared" si="597"/>
        <v/>
      </c>
      <c r="CD855" s="765" t="str">
        <f t="shared" si="597"/>
        <v/>
      </c>
      <c r="CE855" s="765" t="str">
        <f t="shared" si="597"/>
        <v/>
      </c>
      <c r="CF855" s="765" t="str">
        <f t="shared" si="597"/>
        <v/>
      </c>
      <c r="CG855" s="765" t="str">
        <f t="shared" si="597"/>
        <v/>
      </c>
      <c r="CH855" s="765" t="str">
        <f t="shared" si="596"/>
        <v/>
      </c>
    </row>
    <row r="856" spans="53:87">
      <c r="BA856" s="82"/>
      <c r="BB856" s="38">
        <v>4</v>
      </c>
      <c r="BE856" s="228" t="str">
        <f t="array" ref="BE856">IFERROR(IF(ROWS(BD$877:BD880)&gt;COUNTA($BD$877:$BD$901),"",INDEX($BB$877:$BB$901,SMALL(IF($BD$877:$BD$901&lt;&gt;"",ROW($BD$877:$BD$901)-ROW($BD$877)+1),ROWS($BD$877:BD880)))),"")</f>
        <v/>
      </c>
      <c r="BF856" s="765" t="str">
        <f t="shared" ref="BF856:CG856" si="598">IF(BE856="","",VLOOKUP($BE856,$BB$877:$CG$901,BG$852,FALSE))</f>
        <v/>
      </c>
      <c r="BG856" s="765" t="str">
        <f t="shared" si="598"/>
        <v/>
      </c>
      <c r="BH856" s="765" t="str">
        <f t="shared" si="598"/>
        <v/>
      </c>
      <c r="BI856" s="765" t="str">
        <f t="shared" si="598"/>
        <v/>
      </c>
      <c r="BJ856" s="765" t="str">
        <f t="shared" si="598"/>
        <v/>
      </c>
      <c r="BK856" s="765" t="str">
        <f t="shared" si="598"/>
        <v/>
      </c>
      <c r="BL856" s="765" t="str">
        <f t="shared" si="598"/>
        <v/>
      </c>
      <c r="BM856" s="765" t="str">
        <f t="shared" si="598"/>
        <v/>
      </c>
      <c r="BN856" s="765" t="str">
        <f t="shared" si="598"/>
        <v/>
      </c>
      <c r="BO856" s="765" t="str">
        <f t="shared" si="598"/>
        <v/>
      </c>
      <c r="BP856" s="765" t="str">
        <f t="shared" si="598"/>
        <v/>
      </c>
      <c r="BQ856" s="765" t="str">
        <f t="shared" si="598"/>
        <v/>
      </c>
      <c r="BR856" s="765" t="str">
        <f t="shared" si="598"/>
        <v/>
      </c>
      <c r="BS856" s="765" t="str">
        <f t="shared" si="598"/>
        <v/>
      </c>
      <c r="BT856" s="765" t="str">
        <f t="shared" si="598"/>
        <v/>
      </c>
      <c r="BU856" s="765" t="str">
        <f t="shared" si="598"/>
        <v/>
      </c>
      <c r="BV856" s="765" t="str">
        <f t="shared" si="598"/>
        <v/>
      </c>
      <c r="BW856" s="765" t="str">
        <f t="shared" si="598"/>
        <v/>
      </c>
      <c r="BX856" s="765" t="str">
        <f t="shared" si="598"/>
        <v/>
      </c>
      <c r="BY856" s="765" t="str">
        <f t="shared" si="598"/>
        <v/>
      </c>
      <c r="BZ856" s="765" t="str">
        <f t="shared" si="598"/>
        <v/>
      </c>
      <c r="CA856" s="765" t="str">
        <f t="shared" si="598"/>
        <v/>
      </c>
      <c r="CB856" s="765" t="str">
        <f t="shared" si="598"/>
        <v/>
      </c>
      <c r="CC856" s="765" t="str">
        <f t="shared" si="598"/>
        <v/>
      </c>
      <c r="CD856" s="765" t="str">
        <f t="shared" si="598"/>
        <v/>
      </c>
      <c r="CE856" s="765" t="str">
        <f t="shared" si="598"/>
        <v/>
      </c>
      <c r="CF856" s="765" t="str">
        <f t="shared" si="598"/>
        <v/>
      </c>
      <c r="CG856" s="765" t="str">
        <f t="shared" si="598"/>
        <v/>
      </c>
      <c r="CH856" s="765" t="str">
        <f t="shared" si="596"/>
        <v/>
      </c>
    </row>
    <row r="857" spans="53:87">
      <c r="BA857" s="82"/>
      <c r="BB857" s="38">
        <v>5</v>
      </c>
      <c r="BE857" s="228" t="str">
        <f t="array" ref="BE857">IFERROR(IF(ROWS(BD$877:BD881)&gt;COUNTA($BD$877:$BD$901),"",INDEX($BB$877:$BB$901,SMALL(IF($BD$877:$BD$901&lt;&gt;"",ROW($BD$877:$BD$901)-ROW($BD$877)+1),ROWS($BD$877:BD881)))),"")</f>
        <v/>
      </c>
      <c r="BF857" s="765" t="str">
        <f t="shared" ref="BF857:CG857" si="599">IF(BE857="","",VLOOKUP($BE857,$BB$877:$CG$901,BG$852,FALSE))</f>
        <v/>
      </c>
      <c r="BG857" s="765" t="str">
        <f t="shared" si="599"/>
        <v/>
      </c>
      <c r="BH857" s="765" t="str">
        <f t="shared" si="599"/>
        <v/>
      </c>
      <c r="BI857" s="765" t="str">
        <f t="shared" si="599"/>
        <v/>
      </c>
      <c r="BJ857" s="765" t="str">
        <f t="shared" si="599"/>
        <v/>
      </c>
      <c r="BK857" s="765" t="str">
        <f t="shared" si="599"/>
        <v/>
      </c>
      <c r="BL857" s="765" t="str">
        <f t="shared" si="599"/>
        <v/>
      </c>
      <c r="BM857" s="765" t="str">
        <f t="shared" si="599"/>
        <v/>
      </c>
      <c r="BN857" s="765" t="str">
        <f t="shared" si="599"/>
        <v/>
      </c>
      <c r="BO857" s="765" t="str">
        <f t="shared" si="599"/>
        <v/>
      </c>
      <c r="BP857" s="765" t="str">
        <f t="shared" si="599"/>
        <v/>
      </c>
      <c r="BQ857" s="765" t="str">
        <f t="shared" si="599"/>
        <v/>
      </c>
      <c r="BR857" s="765" t="str">
        <f t="shared" si="599"/>
        <v/>
      </c>
      <c r="BS857" s="765" t="str">
        <f t="shared" si="599"/>
        <v/>
      </c>
      <c r="BT857" s="765" t="str">
        <f t="shared" si="599"/>
        <v/>
      </c>
      <c r="BU857" s="765" t="str">
        <f t="shared" si="599"/>
        <v/>
      </c>
      <c r="BV857" s="765" t="str">
        <f t="shared" si="599"/>
        <v/>
      </c>
      <c r="BW857" s="765" t="str">
        <f t="shared" si="599"/>
        <v/>
      </c>
      <c r="BX857" s="765" t="str">
        <f t="shared" si="599"/>
        <v/>
      </c>
      <c r="BY857" s="765" t="str">
        <f t="shared" si="599"/>
        <v/>
      </c>
      <c r="BZ857" s="765" t="str">
        <f t="shared" si="599"/>
        <v/>
      </c>
      <c r="CA857" s="765" t="str">
        <f t="shared" si="599"/>
        <v/>
      </c>
      <c r="CB857" s="765" t="str">
        <f t="shared" si="599"/>
        <v/>
      </c>
      <c r="CC857" s="765" t="str">
        <f t="shared" si="599"/>
        <v/>
      </c>
      <c r="CD857" s="765" t="str">
        <f t="shared" si="599"/>
        <v/>
      </c>
      <c r="CE857" s="765" t="str">
        <f t="shared" si="599"/>
        <v/>
      </c>
      <c r="CF857" s="765" t="str">
        <f t="shared" si="599"/>
        <v/>
      </c>
      <c r="CG857" s="765" t="str">
        <f t="shared" si="599"/>
        <v/>
      </c>
      <c r="CH857" s="765" t="str">
        <f t="shared" si="596"/>
        <v/>
      </c>
    </row>
    <row r="858" spans="53:87">
      <c r="BA858" s="82"/>
      <c r="BB858" s="38">
        <v>6</v>
      </c>
      <c r="BE858" s="228" t="str">
        <f t="array" ref="BE858">IFERROR(IF(ROWS(BD$877:BD882)&gt;COUNTA($BD$877:$BD$901),"",INDEX($BB$877:$BB$901,SMALL(IF($BD$877:$BD$901&lt;&gt;"",ROW($BD$877:$BD$901)-ROW($BD$877)+1),ROWS($BD$877:BD882)))),"")</f>
        <v/>
      </c>
      <c r="BF858" s="765" t="str">
        <f t="shared" ref="BF858:CG858" si="600">IF(BE858="","",VLOOKUP($BE858,$BB$877:$CG$901,BG$852,FALSE))</f>
        <v/>
      </c>
      <c r="BG858" s="765" t="str">
        <f t="shared" si="600"/>
        <v/>
      </c>
      <c r="BH858" s="765" t="str">
        <f t="shared" si="600"/>
        <v/>
      </c>
      <c r="BI858" s="765" t="str">
        <f t="shared" si="600"/>
        <v/>
      </c>
      <c r="BJ858" s="765" t="str">
        <f t="shared" si="600"/>
        <v/>
      </c>
      <c r="BK858" s="765" t="str">
        <f t="shared" si="600"/>
        <v/>
      </c>
      <c r="BL858" s="765" t="str">
        <f t="shared" si="600"/>
        <v/>
      </c>
      <c r="BM858" s="765" t="str">
        <f t="shared" si="600"/>
        <v/>
      </c>
      <c r="BN858" s="765" t="str">
        <f t="shared" si="600"/>
        <v/>
      </c>
      <c r="BO858" s="765" t="str">
        <f t="shared" si="600"/>
        <v/>
      </c>
      <c r="BP858" s="765" t="str">
        <f t="shared" si="600"/>
        <v/>
      </c>
      <c r="BQ858" s="765" t="str">
        <f t="shared" si="600"/>
        <v/>
      </c>
      <c r="BR858" s="765" t="str">
        <f t="shared" si="600"/>
        <v/>
      </c>
      <c r="BS858" s="765" t="str">
        <f t="shared" si="600"/>
        <v/>
      </c>
      <c r="BT858" s="765" t="str">
        <f t="shared" si="600"/>
        <v/>
      </c>
      <c r="BU858" s="765" t="str">
        <f t="shared" si="600"/>
        <v/>
      </c>
      <c r="BV858" s="765" t="str">
        <f t="shared" si="600"/>
        <v/>
      </c>
      <c r="BW858" s="765" t="str">
        <f t="shared" si="600"/>
        <v/>
      </c>
      <c r="BX858" s="765" t="str">
        <f t="shared" si="600"/>
        <v/>
      </c>
      <c r="BY858" s="765" t="str">
        <f t="shared" si="600"/>
        <v/>
      </c>
      <c r="BZ858" s="765" t="str">
        <f t="shared" si="600"/>
        <v/>
      </c>
      <c r="CA858" s="765" t="str">
        <f t="shared" si="600"/>
        <v/>
      </c>
      <c r="CB858" s="765" t="str">
        <f t="shared" si="600"/>
        <v/>
      </c>
      <c r="CC858" s="765" t="str">
        <f t="shared" si="600"/>
        <v/>
      </c>
      <c r="CD858" s="765" t="str">
        <f t="shared" si="600"/>
        <v/>
      </c>
      <c r="CE858" s="765" t="str">
        <f t="shared" si="600"/>
        <v/>
      </c>
      <c r="CF858" s="765" t="str">
        <f t="shared" si="600"/>
        <v/>
      </c>
      <c r="CG858" s="765" t="str">
        <f t="shared" si="600"/>
        <v/>
      </c>
      <c r="CH858" s="765" t="str">
        <f t="shared" si="596"/>
        <v/>
      </c>
    </row>
    <row r="859" spans="53:87">
      <c r="BA859" s="82"/>
      <c r="BB859" s="38">
        <v>7</v>
      </c>
      <c r="BE859" s="228" t="str">
        <f t="array" ref="BE859">IFERROR(IF(ROWS(BD$877:BD883)&gt;COUNTA($BD$877:$BD$901),"",INDEX($BB$877:$BB$901,SMALL(IF($BD$877:$BD$901&lt;&gt;"",ROW($BD$877:$BD$901)-ROW($BD$877)+1),ROWS($BD$877:BD883)))),"")</f>
        <v/>
      </c>
      <c r="BF859" s="765" t="str">
        <f t="shared" ref="BF859:CG859" si="601">IF(BE859="","",VLOOKUP($BE859,$BB$877:$CG$901,BG$852,FALSE))</f>
        <v/>
      </c>
      <c r="BG859" s="765" t="str">
        <f t="shared" si="601"/>
        <v/>
      </c>
      <c r="BH859" s="765" t="str">
        <f t="shared" si="601"/>
        <v/>
      </c>
      <c r="BI859" s="765" t="str">
        <f t="shared" si="601"/>
        <v/>
      </c>
      <c r="BJ859" s="765" t="str">
        <f t="shared" si="601"/>
        <v/>
      </c>
      <c r="BK859" s="765" t="str">
        <f t="shared" si="601"/>
        <v/>
      </c>
      <c r="BL859" s="765" t="str">
        <f t="shared" si="601"/>
        <v/>
      </c>
      <c r="BM859" s="765" t="str">
        <f t="shared" si="601"/>
        <v/>
      </c>
      <c r="BN859" s="765" t="str">
        <f t="shared" si="601"/>
        <v/>
      </c>
      <c r="BO859" s="765" t="str">
        <f t="shared" si="601"/>
        <v/>
      </c>
      <c r="BP859" s="765" t="str">
        <f t="shared" si="601"/>
        <v/>
      </c>
      <c r="BQ859" s="765" t="str">
        <f t="shared" si="601"/>
        <v/>
      </c>
      <c r="BR859" s="765" t="str">
        <f t="shared" si="601"/>
        <v/>
      </c>
      <c r="BS859" s="765" t="str">
        <f t="shared" si="601"/>
        <v/>
      </c>
      <c r="BT859" s="765" t="str">
        <f t="shared" si="601"/>
        <v/>
      </c>
      <c r="BU859" s="765" t="str">
        <f t="shared" si="601"/>
        <v/>
      </c>
      <c r="BV859" s="765" t="str">
        <f t="shared" si="601"/>
        <v/>
      </c>
      <c r="BW859" s="765" t="str">
        <f t="shared" si="601"/>
        <v/>
      </c>
      <c r="BX859" s="765" t="str">
        <f t="shared" si="601"/>
        <v/>
      </c>
      <c r="BY859" s="765" t="str">
        <f t="shared" si="601"/>
        <v/>
      </c>
      <c r="BZ859" s="765" t="str">
        <f t="shared" si="601"/>
        <v/>
      </c>
      <c r="CA859" s="765" t="str">
        <f t="shared" si="601"/>
        <v/>
      </c>
      <c r="CB859" s="765" t="str">
        <f t="shared" si="601"/>
        <v/>
      </c>
      <c r="CC859" s="765" t="str">
        <f t="shared" si="601"/>
        <v/>
      </c>
      <c r="CD859" s="765" t="str">
        <f t="shared" si="601"/>
        <v/>
      </c>
      <c r="CE859" s="765" t="str">
        <f t="shared" si="601"/>
        <v/>
      </c>
      <c r="CF859" s="765" t="str">
        <f t="shared" si="601"/>
        <v/>
      </c>
      <c r="CG859" s="765" t="str">
        <f t="shared" si="601"/>
        <v/>
      </c>
      <c r="CH859" s="765" t="str">
        <f t="shared" si="596"/>
        <v/>
      </c>
    </row>
    <row r="860" spans="53:87">
      <c r="BA860" s="82"/>
      <c r="BB860" s="38">
        <v>8</v>
      </c>
      <c r="BE860" s="228" t="str">
        <f t="array" ref="BE860">IFERROR(IF(ROWS(BD$877:BD884)&gt;COUNTA($BD$877:$BD$901),"",INDEX($BB$877:$BB$901,SMALL(IF($BD$877:$BD$901&lt;&gt;"",ROW($BD$877:$BD$901)-ROW($BD$877)+1),ROWS($BD$877:BD884)))),"")</f>
        <v/>
      </c>
      <c r="BF860" s="765" t="str">
        <f t="shared" ref="BF860:CG860" si="602">IF(BE860="","",VLOOKUP($BE860,$BB$877:$CG$901,BG$852,FALSE))</f>
        <v/>
      </c>
      <c r="BG860" s="765" t="str">
        <f t="shared" si="602"/>
        <v/>
      </c>
      <c r="BH860" s="765" t="str">
        <f t="shared" si="602"/>
        <v/>
      </c>
      <c r="BI860" s="765" t="str">
        <f t="shared" si="602"/>
        <v/>
      </c>
      <c r="BJ860" s="765" t="str">
        <f t="shared" si="602"/>
        <v/>
      </c>
      <c r="BK860" s="765" t="str">
        <f t="shared" si="602"/>
        <v/>
      </c>
      <c r="BL860" s="765" t="str">
        <f t="shared" si="602"/>
        <v/>
      </c>
      <c r="BM860" s="765" t="str">
        <f t="shared" si="602"/>
        <v/>
      </c>
      <c r="BN860" s="765" t="str">
        <f t="shared" si="602"/>
        <v/>
      </c>
      <c r="BO860" s="765" t="str">
        <f t="shared" si="602"/>
        <v/>
      </c>
      <c r="BP860" s="765" t="str">
        <f t="shared" si="602"/>
        <v/>
      </c>
      <c r="BQ860" s="765" t="str">
        <f t="shared" si="602"/>
        <v/>
      </c>
      <c r="BR860" s="765" t="str">
        <f t="shared" si="602"/>
        <v/>
      </c>
      <c r="BS860" s="765" t="str">
        <f t="shared" si="602"/>
        <v/>
      </c>
      <c r="BT860" s="765" t="str">
        <f t="shared" si="602"/>
        <v/>
      </c>
      <c r="BU860" s="765" t="str">
        <f t="shared" si="602"/>
        <v/>
      </c>
      <c r="BV860" s="765" t="str">
        <f t="shared" si="602"/>
        <v/>
      </c>
      <c r="BW860" s="765" t="str">
        <f t="shared" si="602"/>
        <v/>
      </c>
      <c r="BX860" s="765" t="str">
        <f t="shared" si="602"/>
        <v/>
      </c>
      <c r="BY860" s="765" t="str">
        <f t="shared" si="602"/>
        <v/>
      </c>
      <c r="BZ860" s="765" t="str">
        <f t="shared" si="602"/>
        <v/>
      </c>
      <c r="CA860" s="765" t="str">
        <f t="shared" si="602"/>
        <v/>
      </c>
      <c r="CB860" s="765" t="str">
        <f t="shared" si="602"/>
        <v/>
      </c>
      <c r="CC860" s="765" t="str">
        <f t="shared" si="602"/>
        <v/>
      </c>
      <c r="CD860" s="765" t="str">
        <f t="shared" si="602"/>
        <v/>
      </c>
      <c r="CE860" s="765" t="str">
        <f t="shared" si="602"/>
        <v/>
      </c>
      <c r="CF860" s="765" t="str">
        <f t="shared" si="602"/>
        <v/>
      </c>
      <c r="CG860" s="765" t="str">
        <f t="shared" si="602"/>
        <v/>
      </c>
      <c r="CH860" s="765" t="str">
        <f t="shared" si="596"/>
        <v/>
      </c>
    </row>
    <row r="861" spans="53:87">
      <c r="BA861" s="82"/>
      <c r="BB861" s="38">
        <v>9</v>
      </c>
      <c r="BE861" s="228" t="str">
        <f t="array" ref="BE861">IFERROR(IF(ROWS(BD$877:BD885)&gt;COUNTA($BD$877:$BD$901),"",INDEX($BB$877:$BB$901,SMALL(IF($BD$877:$BD$901&lt;&gt;"",ROW($BD$877:$BD$901)-ROW($BD$877)+1),ROWS($BD$877:BD885)))),"")</f>
        <v/>
      </c>
      <c r="BF861" s="765" t="str">
        <f t="shared" ref="BF861:CG861" si="603">IF(BE861="","",VLOOKUP($BE861,$BB$877:$CG$901,BG$852,FALSE))</f>
        <v/>
      </c>
      <c r="BG861" s="765" t="str">
        <f t="shared" si="603"/>
        <v/>
      </c>
      <c r="BH861" s="765" t="str">
        <f t="shared" si="603"/>
        <v/>
      </c>
      <c r="BI861" s="765" t="str">
        <f t="shared" si="603"/>
        <v/>
      </c>
      <c r="BJ861" s="765" t="str">
        <f t="shared" si="603"/>
        <v/>
      </c>
      <c r="BK861" s="765" t="str">
        <f t="shared" si="603"/>
        <v/>
      </c>
      <c r="BL861" s="765" t="str">
        <f t="shared" si="603"/>
        <v/>
      </c>
      <c r="BM861" s="765" t="str">
        <f t="shared" si="603"/>
        <v/>
      </c>
      <c r="BN861" s="765" t="str">
        <f t="shared" si="603"/>
        <v/>
      </c>
      <c r="BO861" s="765" t="str">
        <f t="shared" si="603"/>
        <v/>
      </c>
      <c r="BP861" s="765" t="str">
        <f t="shared" si="603"/>
        <v/>
      </c>
      <c r="BQ861" s="765" t="str">
        <f t="shared" si="603"/>
        <v/>
      </c>
      <c r="BR861" s="765" t="str">
        <f t="shared" si="603"/>
        <v/>
      </c>
      <c r="BS861" s="765" t="str">
        <f t="shared" si="603"/>
        <v/>
      </c>
      <c r="BT861" s="765" t="str">
        <f t="shared" si="603"/>
        <v/>
      </c>
      <c r="BU861" s="765" t="str">
        <f t="shared" si="603"/>
        <v/>
      </c>
      <c r="BV861" s="765" t="str">
        <f t="shared" si="603"/>
        <v/>
      </c>
      <c r="BW861" s="765" t="str">
        <f t="shared" si="603"/>
        <v/>
      </c>
      <c r="BX861" s="765" t="str">
        <f t="shared" si="603"/>
        <v/>
      </c>
      <c r="BY861" s="765" t="str">
        <f t="shared" si="603"/>
        <v/>
      </c>
      <c r="BZ861" s="765" t="str">
        <f t="shared" si="603"/>
        <v/>
      </c>
      <c r="CA861" s="765" t="str">
        <f t="shared" si="603"/>
        <v/>
      </c>
      <c r="CB861" s="765" t="str">
        <f t="shared" si="603"/>
        <v/>
      </c>
      <c r="CC861" s="765" t="str">
        <f t="shared" si="603"/>
        <v/>
      </c>
      <c r="CD861" s="765" t="str">
        <f t="shared" si="603"/>
        <v/>
      </c>
      <c r="CE861" s="765" t="str">
        <f t="shared" si="603"/>
        <v/>
      </c>
      <c r="CF861" s="765" t="str">
        <f t="shared" si="603"/>
        <v/>
      </c>
      <c r="CG861" s="765" t="str">
        <f t="shared" si="603"/>
        <v/>
      </c>
      <c r="CH861" s="765" t="str">
        <f t="shared" si="596"/>
        <v/>
      </c>
    </row>
    <row r="862" spans="53:87">
      <c r="BA862" s="82"/>
      <c r="BB862" s="38">
        <v>10</v>
      </c>
      <c r="BE862" s="228" t="str">
        <f t="array" ref="BE862">IFERROR(IF(ROWS(BD$877:BD886)&gt;COUNTA($BD$877:$BD$901),"",INDEX($BB$877:$BB$901,SMALL(IF($BD$877:$BD$901&lt;&gt;"",ROW($BD$877:$BD$901)-ROW($BD$877)+1),ROWS($BD$877:BD886)))),"")</f>
        <v/>
      </c>
      <c r="BF862" s="765" t="str">
        <f t="shared" ref="BF862:CG862" si="604">IF(BE862="","",VLOOKUP($BE862,$BB$877:$CG$901,BG$852,FALSE))</f>
        <v/>
      </c>
      <c r="BG862" s="765" t="str">
        <f t="shared" si="604"/>
        <v/>
      </c>
      <c r="BH862" s="765" t="str">
        <f t="shared" si="604"/>
        <v/>
      </c>
      <c r="BI862" s="765" t="str">
        <f t="shared" si="604"/>
        <v/>
      </c>
      <c r="BJ862" s="765" t="str">
        <f t="shared" si="604"/>
        <v/>
      </c>
      <c r="BK862" s="765" t="str">
        <f t="shared" si="604"/>
        <v/>
      </c>
      <c r="BL862" s="765" t="str">
        <f t="shared" si="604"/>
        <v/>
      </c>
      <c r="BM862" s="765" t="str">
        <f t="shared" si="604"/>
        <v/>
      </c>
      <c r="BN862" s="765" t="str">
        <f t="shared" si="604"/>
        <v/>
      </c>
      <c r="BO862" s="765" t="str">
        <f t="shared" si="604"/>
        <v/>
      </c>
      <c r="BP862" s="765" t="str">
        <f t="shared" si="604"/>
        <v/>
      </c>
      <c r="BQ862" s="765" t="str">
        <f t="shared" si="604"/>
        <v/>
      </c>
      <c r="BR862" s="765" t="str">
        <f t="shared" si="604"/>
        <v/>
      </c>
      <c r="BS862" s="765" t="str">
        <f t="shared" si="604"/>
        <v/>
      </c>
      <c r="BT862" s="765" t="str">
        <f t="shared" si="604"/>
        <v/>
      </c>
      <c r="BU862" s="765" t="str">
        <f t="shared" si="604"/>
        <v/>
      </c>
      <c r="BV862" s="765" t="str">
        <f t="shared" si="604"/>
        <v/>
      </c>
      <c r="BW862" s="765" t="str">
        <f t="shared" si="604"/>
        <v/>
      </c>
      <c r="BX862" s="765" t="str">
        <f t="shared" si="604"/>
        <v/>
      </c>
      <c r="BY862" s="765" t="str">
        <f t="shared" si="604"/>
        <v/>
      </c>
      <c r="BZ862" s="765" t="str">
        <f t="shared" si="604"/>
        <v/>
      </c>
      <c r="CA862" s="765" t="str">
        <f t="shared" si="604"/>
        <v/>
      </c>
      <c r="CB862" s="765" t="str">
        <f t="shared" si="604"/>
        <v/>
      </c>
      <c r="CC862" s="765" t="str">
        <f t="shared" si="604"/>
        <v/>
      </c>
      <c r="CD862" s="765" t="str">
        <f t="shared" si="604"/>
        <v/>
      </c>
      <c r="CE862" s="765" t="str">
        <f t="shared" si="604"/>
        <v/>
      </c>
      <c r="CF862" s="765" t="str">
        <f t="shared" si="604"/>
        <v/>
      </c>
      <c r="CG862" s="765" t="str">
        <f t="shared" si="604"/>
        <v/>
      </c>
      <c r="CH862" s="765" t="str">
        <f t="shared" si="596"/>
        <v/>
      </c>
    </row>
    <row r="863" spans="53:87">
      <c r="BA863" s="82"/>
      <c r="BB863" s="38">
        <v>11</v>
      </c>
      <c r="BE863" s="228" t="str">
        <f t="array" ref="BE863">IFERROR(IF(ROWS(BD$877:BD887)&gt;COUNTA($BD$877:$BD$901),"",INDEX($BB$877:$BB$901,SMALL(IF($BD$877:$BD$901&lt;&gt;"",ROW($BD$877:$BD$901)-ROW($BD$877)+1),ROWS($BD$877:BD887)))),"")</f>
        <v/>
      </c>
      <c r="BF863" s="765" t="str">
        <f t="shared" ref="BF863:CG863" si="605">IF(BE863="","",VLOOKUP($BE863,$BB$877:$CG$901,BG$852,FALSE))</f>
        <v/>
      </c>
      <c r="BG863" s="765" t="str">
        <f t="shared" si="605"/>
        <v/>
      </c>
      <c r="BH863" s="765" t="str">
        <f t="shared" si="605"/>
        <v/>
      </c>
      <c r="BI863" s="765" t="str">
        <f t="shared" si="605"/>
        <v/>
      </c>
      <c r="BJ863" s="765" t="str">
        <f t="shared" si="605"/>
        <v/>
      </c>
      <c r="BK863" s="765" t="str">
        <f t="shared" si="605"/>
        <v/>
      </c>
      <c r="BL863" s="765" t="str">
        <f t="shared" si="605"/>
        <v/>
      </c>
      <c r="BM863" s="765" t="str">
        <f t="shared" si="605"/>
        <v/>
      </c>
      <c r="BN863" s="765" t="str">
        <f t="shared" si="605"/>
        <v/>
      </c>
      <c r="BO863" s="765" t="str">
        <f t="shared" si="605"/>
        <v/>
      </c>
      <c r="BP863" s="765" t="str">
        <f t="shared" si="605"/>
        <v/>
      </c>
      <c r="BQ863" s="765" t="str">
        <f t="shared" si="605"/>
        <v/>
      </c>
      <c r="BR863" s="765" t="str">
        <f t="shared" si="605"/>
        <v/>
      </c>
      <c r="BS863" s="765" t="str">
        <f t="shared" si="605"/>
        <v/>
      </c>
      <c r="BT863" s="765" t="str">
        <f t="shared" si="605"/>
        <v/>
      </c>
      <c r="BU863" s="765" t="str">
        <f t="shared" si="605"/>
        <v/>
      </c>
      <c r="BV863" s="765" t="str">
        <f t="shared" si="605"/>
        <v/>
      </c>
      <c r="BW863" s="765" t="str">
        <f t="shared" si="605"/>
        <v/>
      </c>
      <c r="BX863" s="765" t="str">
        <f t="shared" si="605"/>
        <v/>
      </c>
      <c r="BY863" s="765" t="str">
        <f t="shared" si="605"/>
        <v/>
      </c>
      <c r="BZ863" s="765" t="str">
        <f t="shared" si="605"/>
        <v/>
      </c>
      <c r="CA863" s="765" t="str">
        <f t="shared" si="605"/>
        <v/>
      </c>
      <c r="CB863" s="765" t="str">
        <f t="shared" si="605"/>
        <v/>
      </c>
      <c r="CC863" s="765" t="str">
        <f t="shared" si="605"/>
        <v/>
      </c>
      <c r="CD863" s="765" t="str">
        <f t="shared" si="605"/>
        <v/>
      </c>
      <c r="CE863" s="765" t="str">
        <f t="shared" si="605"/>
        <v/>
      </c>
      <c r="CF863" s="765" t="str">
        <f t="shared" si="605"/>
        <v/>
      </c>
      <c r="CG863" s="765" t="str">
        <f t="shared" si="605"/>
        <v/>
      </c>
      <c r="CH863" s="765" t="str">
        <f t="shared" si="596"/>
        <v/>
      </c>
    </row>
    <row r="864" spans="53:87">
      <c r="BA864" s="82"/>
      <c r="BB864" s="38">
        <v>12</v>
      </c>
      <c r="BE864" s="228" t="str">
        <f t="array" ref="BE864">IFERROR(IF(ROWS(BD$877:BD888)&gt;COUNTA($BD$877:$BD$901),"",INDEX($BB$877:$BB$901,SMALL(IF($BD$877:$BD$901&lt;&gt;"",ROW($BD$877:$BD$901)-ROW($BD$877)+1),ROWS($BD$877:BD888)))),"")</f>
        <v/>
      </c>
      <c r="BF864" s="765" t="str">
        <f t="shared" ref="BF864:CG864" si="606">IF(BE864="","",VLOOKUP($BE864,$BB$877:$CG$901,BG$852,FALSE))</f>
        <v/>
      </c>
      <c r="BG864" s="765" t="str">
        <f t="shared" si="606"/>
        <v/>
      </c>
      <c r="BH864" s="765" t="str">
        <f t="shared" si="606"/>
        <v/>
      </c>
      <c r="BI864" s="765" t="str">
        <f t="shared" si="606"/>
        <v/>
      </c>
      <c r="BJ864" s="765" t="str">
        <f t="shared" si="606"/>
        <v/>
      </c>
      <c r="BK864" s="765" t="str">
        <f t="shared" si="606"/>
        <v/>
      </c>
      <c r="BL864" s="765" t="str">
        <f t="shared" si="606"/>
        <v/>
      </c>
      <c r="BM864" s="765" t="str">
        <f t="shared" si="606"/>
        <v/>
      </c>
      <c r="BN864" s="765" t="str">
        <f t="shared" si="606"/>
        <v/>
      </c>
      <c r="BO864" s="765" t="str">
        <f t="shared" si="606"/>
        <v/>
      </c>
      <c r="BP864" s="765" t="str">
        <f t="shared" si="606"/>
        <v/>
      </c>
      <c r="BQ864" s="765" t="str">
        <f t="shared" si="606"/>
        <v/>
      </c>
      <c r="BR864" s="765" t="str">
        <f t="shared" si="606"/>
        <v/>
      </c>
      <c r="BS864" s="765" t="str">
        <f t="shared" si="606"/>
        <v/>
      </c>
      <c r="BT864" s="765" t="str">
        <f t="shared" si="606"/>
        <v/>
      </c>
      <c r="BU864" s="765" t="str">
        <f t="shared" si="606"/>
        <v/>
      </c>
      <c r="BV864" s="765" t="str">
        <f t="shared" si="606"/>
        <v/>
      </c>
      <c r="BW864" s="765" t="str">
        <f t="shared" si="606"/>
        <v/>
      </c>
      <c r="BX864" s="765" t="str">
        <f t="shared" si="606"/>
        <v/>
      </c>
      <c r="BY864" s="765" t="str">
        <f t="shared" si="606"/>
        <v/>
      </c>
      <c r="BZ864" s="765" t="str">
        <f t="shared" si="606"/>
        <v/>
      </c>
      <c r="CA864" s="765" t="str">
        <f t="shared" si="606"/>
        <v/>
      </c>
      <c r="CB864" s="765" t="str">
        <f t="shared" si="606"/>
        <v/>
      </c>
      <c r="CC864" s="765" t="str">
        <f t="shared" si="606"/>
        <v/>
      </c>
      <c r="CD864" s="765" t="str">
        <f t="shared" si="606"/>
        <v/>
      </c>
      <c r="CE864" s="765" t="str">
        <f t="shared" si="606"/>
        <v/>
      </c>
      <c r="CF864" s="765" t="str">
        <f t="shared" si="606"/>
        <v/>
      </c>
      <c r="CG864" s="765" t="str">
        <f t="shared" si="606"/>
        <v/>
      </c>
      <c r="CH864" s="765" t="str">
        <f t="shared" si="596"/>
        <v/>
      </c>
    </row>
    <row r="865" spans="53:86">
      <c r="BA865" s="82"/>
      <c r="BB865" s="38">
        <v>13</v>
      </c>
      <c r="BE865" s="228" t="str">
        <f t="array" ref="BE865">IFERROR(IF(ROWS(BD$877:BD889)&gt;COUNTA($BD$877:$BD$901),"",INDEX($BB$877:$BB$901,SMALL(IF($BD$877:$BD$901&lt;&gt;"",ROW($BD$877:$BD$901)-ROW($BD$877)+1),ROWS($BD$877:BD889)))),"")</f>
        <v/>
      </c>
      <c r="BF865" s="765" t="str">
        <f t="shared" ref="BF865:CG865" si="607">IF(BE865="","",VLOOKUP($BE865,$BB$877:$CG$901,BG$852,FALSE))</f>
        <v/>
      </c>
      <c r="BG865" s="765" t="str">
        <f t="shared" si="607"/>
        <v/>
      </c>
      <c r="BH865" s="765" t="str">
        <f t="shared" si="607"/>
        <v/>
      </c>
      <c r="BI865" s="765" t="str">
        <f t="shared" si="607"/>
        <v/>
      </c>
      <c r="BJ865" s="765" t="str">
        <f t="shared" si="607"/>
        <v/>
      </c>
      <c r="BK865" s="765" t="str">
        <f t="shared" si="607"/>
        <v/>
      </c>
      <c r="BL865" s="765" t="str">
        <f t="shared" si="607"/>
        <v/>
      </c>
      <c r="BM865" s="765" t="str">
        <f t="shared" si="607"/>
        <v/>
      </c>
      <c r="BN865" s="765" t="str">
        <f t="shared" si="607"/>
        <v/>
      </c>
      <c r="BO865" s="765" t="str">
        <f t="shared" si="607"/>
        <v/>
      </c>
      <c r="BP865" s="765" t="str">
        <f t="shared" si="607"/>
        <v/>
      </c>
      <c r="BQ865" s="765" t="str">
        <f t="shared" si="607"/>
        <v/>
      </c>
      <c r="BR865" s="765" t="str">
        <f t="shared" si="607"/>
        <v/>
      </c>
      <c r="BS865" s="765" t="str">
        <f t="shared" si="607"/>
        <v/>
      </c>
      <c r="BT865" s="765" t="str">
        <f t="shared" si="607"/>
        <v/>
      </c>
      <c r="BU865" s="765" t="str">
        <f t="shared" si="607"/>
        <v/>
      </c>
      <c r="BV865" s="765" t="str">
        <f t="shared" si="607"/>
        <v/>
      </c>
      <c r="BW865" s="765" t="str">
        <f t="shared" si="607"/>
        <v/>
      </c>
      <c r="BX865" s="765" t="str">
        <f t="shared" si="607"/>
        <v/>
      </c>
      <c r="BY865" s="765" t="str">
        <f t="shared" si="607"/>
        <v/>
      </c>
      <c r="BZ865" s="765" t="str">
        <f t="shared" si="607"/>
        <v/>
      </c>
      <c r="CA865" s="765" t="str">
        <f t="shared" si="607"/>
        <v/>
      </c>
      <c r="CB865" s="765" t="str">
        <f t="shared" si="607"/>
        <v/>
      </c>
      <c r="CC865" s="765" t="str">
        <f t="shared" si="607"/>
        <v/>
      </c>
      <c r="CD865" s="765" t="str">
        <f t="shared" si="607"/>
        <v/>
      </c>
      <c r="CE865" s="765" t="str">
        <f t="shared" si="607"/>
        <v/>
      </c>
      <c r="CF865" s="765" t="str">
        <f t="shared" si="607"/>
        <v/>
      </c>
      <c r="CG865" s="765" t="str">
        <f t="shared" si="607"/>
        <v/>
      </c>
      <c r="CH865" s="765" t="str">
        <f t="shared" si="596"/>
        <v/>
      </c>
    </row>
    <row r="866" spans="53:86">
      <c r="BA866" s="82"/>
      <c r="BB866" s="38">
        <v>14</v>
      </c>
      <c r="BE866" s="228" t="str">
        <f t="array" ref="BE866">IFERROR(IF(ROWS(BD$877:BD890)&gt;COUNTA($BD$877:$BD$901),"",INDEX($BB$877:$BB$901,SMALL(IF($BD$877:$BD$901&lt;&gt;"",ROW($BD$877:$BD$901)-ROW($BD$877)+1),ROWS($BD$877:BD890)))),"")</f>
        <v/>
      </c>
      <c r="BF866" s="765" t="str">
        <f t="shared" ref="BF866:CG866" si="608">IF(BE866="","",VLOOKUP($BE866,$BB$877:$CG$901,BG$852,FALSE))</f>
        <v/>
      </c>
      <c r="BG866" s="765" t="str">
        <f t="shared" si="608"/>
        <v/>
      </c>
      <c r="BH866" s="765" t="str">
        <f t="shared" si="608"/>
        <v/>
      </c>
      <c r="BI866" s="765" t="str">
        <f t="shared" si="608"/>
        <v/>
      </c>
      <c r="BJ866" s="765" t="str">
        <f t="shared" si="608"/>
        <v/>
      </c>
      <c r="BK866" s="765" t="str">
        <f t="shared" si="608"/>
        <v/>
      </c>
      <c r="BL866" s="765" t="str">
        <f t="shared" si="608"/>
        <v/>
      </c>
      <c r="BM866" s="765" t="str">
        <f t="shared" si="608"/>
        <v/>
      </c>
      <c r="BN866" s="765" t="str">
        <f t="shared" si="608"/>
        <v/>
      </c>
      <c r="BO866" s="765" t="str">
        <f t="shared" si="608"/>
        <v/>
      </c>
      <c r="BP866" s="765" t="str">
        <f t="shared" si="608"/>
        <v/>
      </c>
      <c r="BQ866" s="765" t="str">
        <f t="shared" si="608"/>
        <v/>
      </c>
      <c r="BR866" s="765" t="str">
        <f t="shared" si="608"/>
        <v/>
      </c>
      <c r="BS866" s="765" t="str">
        <f t="shared" si="608"/>
        <v/>
      </c>
      <c r="BT866" s="765" t="str">
        <f t="shared" si="608"/>
        <v/>
      </c>
      <c r="BU866" s="765" t="str">
        <f t="shared" si="608"/>
        <v/>
      </c>
      <c r="BV866" s="765" t="str">
        <f t="shared" si="608"/>
        <v/>
      </c>
      <c r="BW866" s="765" t="str">
        <f t="shared" si="608"/>
        <v/>
      </c>
      <c r="BX866" s="765" t="str">
        <f t="shared" si="608"/>
        <v/>
      </c>
      <c r="BY866" s="765" t="str">
        <f t="shared" si="608"/>
        <v/>
      </c>
      <c r="BZ866" s="765" t="str">
        <f t="shared" si="608"/>
        <v/>
      </c>
      <c r="CA866" s="765" t="str">
        <f t="shared" si="608"/>
        <v/>
      </c>
      <c r="CB866" s="765" t="str">
        <f t="shared" si="608"/>
        <v/>
      </c>
      <c r="CC866" s="765" t="str">
        <f t="shared" si="608"/>
        <v/>
      </c>
      <c r="CD866" s="765" t="str">
        <f t="shared" si="608"/>
        <v/>
      </c>
      <c r="CE866" s="765" t="str">
        <f t="shared" si="608"/>
        <v/>
      </c>
      <c r="CF866" s="765" t="str">
        <f t="shared" si="608"/>
        <v/>
      </c>
      <c r="CG866" s="765" t="str">
        <f t="shared" si="608"/>
        <v/>
      </c>
      <c r="CH866" s="765" t="str">
        <f t="shared" si="596"/>
        <v/>
      </c>
    </row>
    <row r="867" spans="53:86">
      <c r="BA867" s="82"/>
      <c r="BB867" s="38">
        <v>15</v>
      </c>
      <c r="BE867" s="228" t="str">
        <f t="array" ref="BE867">IFERROR(IF(ROWS(BD$877:BD891)&gt;COUNTA($BD$877:$BD$901),"",INDEX($BB$877:$BB$901,SMALL(IF($BD$877:$BD$901&lt;&gt;"",ROW($BD$877:$BD$901)-ROW($BD$877)+1),ROWS($BD$877:BD891)))),"")</f>
        <v/>
      </c>
      <c r="BF867" s="765" t="str">
        <f t="shared" ref="BF867:CG867" si="609">IF(BE867="","",VLOOKUP($BE867,$BB$877:$CG$901,BG$852,FALSE))</f>
        <v/>
      </c>
      <c r="BG867" s="765" t="str">
        <f t="shared" si="609"/>
        <v/>
      </c>
      <c r="BH867" s="765" t="str">
        <f t="shared" si="609"/>
        <v/>
      </c>
      <c r="BI867" s="765" t="str">
        <f t="shared" si="609"/>
        <v/>
      </c>
      <c r="BJ867" s="765" t="str">
        <f t="shared" si="609"/>
        <v/>
      </c>
      <c r="BK867" s="765" t="str">
        <f t="shared" si="609"/>
        <v/>
      </c>
      <c r="BL867" s="765" t="str">
        <f t="shared" si="609"/>
        <v/>
      </c>
      <c r="BM867" s="765" t="str">
        <f t="shared" si="609"/>
        <v/>
      </c>
      <c r="BN867" s="765" t="str">
        <f t="shared" si="609"/>
        <v/>
      </c>
      <c r="BO867" s="765" t="str">
        <f t="shared" si="609"/>
        <v/>
      </c>
      <c r="BP867" s="765" t="str">
        <f t="shared" si="609"/>
        <v/>
      </c>
      <c r="BQ867" s="765" t="str">
        <f t="shared" si="609"/>
        <v/>
      </c>
      <c r="BR867" s="765" t="str">
        <f t="shared" si="609"/>
        <v/>
      </c>
      <c r="BS867" s="765" t="str">
        <f t="shared" si="609"/>
        <v/>
      </c>
      <c r="BT867" s="765" t="str">
        <f t="shared" si="609"/>
        <v/>
      </c>
      <c r="BU867" s="765" t="str">
        <f t="shared" si="609"/>
        <v/>
      </c>
      <c r="BV867" s="765" t="str">
        <f t="shared" si="609"/>
        <v/>
      </c>
      <c r="BW867" s="765" t="str">
        <f t="shared" si="609"/>
        <v/>
      </c>
      <c r="BX867" s="765" t="str">
        <f t="shared" si="609"/>
        <v/>
      </c>
      <c r="BY867" s="765" t="str">
        <f t="shared" si="609"/>
        <v/>
      </c>
      <c r="BZ867" s="765" t="str">
        <f t="shared" si="609"/>
        <v/>
      </c>
      <c r="CA867" s="765" t="str">
        <f t="shared" si="609"/>
        <v/>
      </c>
      <c r="CB867" s="765" t="str">
        <f t="shared" si="609"/>
        <v/>
      </c>
      <c r="CC867" s="765" t="str">
        <f t="shared" si="609"/>
        <v/>
      </c>
      <c r="CD867" s="765" t="str">
        <f t="shared" si="609"/>
        <v/>
      </c>
      <c r="CE867" s="765" t="str">
        <f t="shared" si="609"/>
        <v/>
      </c>
      <c r="CF867" s="765" t="str">
        <f t="shared" si="609"/>
        <v/>
      </c>
      <c r="CG867" s="765" t="str">
        <f t="shared" si="609"/>
        <v/>
      </c>
      <c r="CH867" s="765" t="str">
        <f t="shared" si="596"/>
        <v/>
      </c>
    </row>
    <row r="868" spans="53:86">
      <c r="BA868" s="82"/>
      <c r="BB868" s="38">
        <v>16</v>
      </c>
      <c r="BF868" s="765" t="str">
        <f t="shared" ref="BF868:CG868" si="610">IF(BE868="","",VLOOKUP($BE868,$BB$877:$CG$901,BG$852,FALSE))</f>
        <v/>
      </c>
      <c r="BG868" s="765" t="str">
        <f t="shared" si="610"/>
        <v/>
      </c>
      <c r="BH868" s="765" t="str">
        <f t="shared" si="610"/>
        <v/>
      </c>
      <c r="BI868" s="765" t="str">
        <f t="shared" si="610"/>
        <v/>
      </c>
      <c r="BJ868" s="765" t="str">
        <f t="shared" si="610"/>
        <v/>
      </c>
      <c r="BK868" s="765" t="str">
        <f t="shared" si="610"/>
        <v/>
      </c>
      <c r="BL868" s="765" t="str">
        <f t="shared" si="610"/>
        <v/>
      </c>
      <c r="BM868" s="765" t="str">
        <f t="shared" si="610"/>
        <v/>
      </c>
      <c r="BN868" s="765" t="str">
        <f t="shared" si="610"/>
        <v/>
      </c>
      <c r="BO868" s="765" t="str">
        <f t="shared" si="610"/>
        <v/>
      </c>
      <c r="BP868" s="765" t="str">
        <f t="shared" si="610"/>
        <v/>
      </c>
      <c r="BQ868" s="765" t="str">
        <f t="shared" si="610"/>
        <v/>
      </c>
      <c r="BR868" s="765" t="str">
        <f t="shared" si="610"/>
        <v/>
      </c>
      <c r="BS868" s="765" t="str">
        <f t="shared" si="610"/>
        <v/>
      </c>
      <c r="BT868" s="765" t="str">
        <f t="shared" si="610"/>
        <v/>
      </c>
      <c r="BU868" s="765" t="str">
        <f t="shared" si="610"/>
        <v/>
      </c>
      <c r="BV868" s="765" t="str">
        <f t="shared" si="610"/>
        <v/>
      </c>
      <c r="BW868" s="765" t="str">
        <f t="shared" si="610"/>
        <v/>
      </c>
      <c r="BX868" s="765" t="str">
        <f t="shared" si="610"/>
        <v/>
      </c>
      <c r="BY868" s="765" t="str">
        <f t="shared" si="610"/>
        <v/>
      </c>
      <c r="BZ868" s="765" t="str">
        <f t="shared" si="610"/>
        <v/>
      </c>
      <c r="CA868" s="765" t="str">
        <f t="shared" si="610"/>
        <v/>
      </c>
      <c r="CB868" s="765" t="str">
        <f t="shared" si="610"/>
        <v/>
      </c>
      <c r="CC868" s="765" t="str">
        <f t="shared" si="610"/>
        <v/>
      </c>
      <c r="CD868" s="765" t="str">
        <f t="shared" si="610"/>
        <v/>
      </c>
      <c r="CE868" s="765" t="str">
        <f t="shared" si="610"/>
        <v/>
      </c>
      <c r="CF868" s="765" t="str">
        <f t="shared" si="610"/>
        <v/>
      </c>
      <c r="CG868" s="765" t="str">
        <f t="shared" si="610"/>
        <v/>
      </c>
      <c r="CH868" s="765" t="str">
        <f t="shared" si="596"/>
        <v/>
      </c>
    </row>
    <row r="869" spans="53:86">
      <c r="BA869" s="82"/>
      <c r="BB869" s="38">
        <v>17</v>
      </c>
    </row>
    <row r="870" spans="53:86">
      <c r="BA870" s="82"/>
      <c r="BB870" s="38">
        <v>18</v>
      </c>
    </row>
    <row r="871" spans="53:86">
      <c r="BA871" s="82"/>
      <c r="BB871" s="82"/>
    </row>
    <row r="872" spans="53:86">
      <c r="BA872" s="82"/>
      <c r="BB872" s="82"/>
    </row>
    <row r="873" spans="53:86">
      <c r="BA873" s="82"/>
      <c r="BB873" s="82"/>
    </row>
    <row r="874" spans="53:86">
      <c r="BA874" s="82"/>
      <c r="BB874" s="82"/>
    </row>
    <row r="875" spans="53:86">
      <c r="BA875" s="1537"/>
      <c r="BB875" s="82"/>
      <c r="BF875" s="1387" t="s">
        <v>206</v>
      </c>
      <c r="BG875" s="1389" t="s">
        <v>207</v>
      </c>
      <c r="BH875" s="1387" t="s">
        <v>363</v>
      </c>
      <c r="BI875" s="1387" t="s">
        <v>209</v>
      </c>
      <c r="BJ875" s="1391" t="s">
        <v>210</v>
      </c>
      <c r="BK875" s="1391" t="s">
        <v>211</v>
      </c>
      <c r="BL875" s="1391" t="s">
        <v>330</v>
      </c>
      <c r="BM875" s="1391" t="s">
        <v>364</v>
      </c>
      <c r="BN875" s="1391" t="s">
        <v>365</v>
      </c>
      <c r="BO875" s="1387" t="s">
        <v>215</v>
      </c>
      <c r="BP875" s="1387" t="s">
        <v>216</v>
      </c>
      <c r="BQ875" s="1387" t="s">
        <v>217</v>
      </c>
      <c r="BR875" s="1387" t="s">
        <v>218</v>
      </c>
      <c r="BS875" s="44"/>
      <c r="BT875" s="1387" t="s">
        <v>219</v>
      </c>
      <c r="BU875" s="1387" t="s">
        <v>220</v>
      </c>
      <c r="BV875" s="1387" t="s">
        <v>221</v>
      </c>
      <c r="BW875" s="1387" t="s">
        <v>222</v>
      </c>
      <c r="BX875" s="1387" t="s">
        <v>223</v>
      </c>
      <c r="BY875" s="1389" t="s">
        <v>224</v>
      </c>
      <c r="BZ875" s="1391" t="s">
        <v>225</v>
      </c>
      <c r="CA875" s="1391" t="s">
        <v>366</v>
      </c>
      <c r="CB875" s="44"/>
      <c r="CC875" s="1387" t="s">
        <v>227</v>
      </c>
      <c r="CD875" s="1387" t="s">
        <v>228</v>
      </c>
      <c r="CE875" s="1387" t="s">
        <v>229</v>
      </c>
      <c r="CF875" s="44"/>
      <c r="CG875" s="1387" t="s">
        <v>143</v>
      </c>
    </row>
    <row r="876" spans="53:86">
      <c r="BA876" s="1537"/>
      <c r="BB876" s="38">
        <f>COUNT(BB877:BB892)</f>
        <v>16</v>
      </c>
      <c r="BF876" s="1388"/>
      <c r="BG876" s="1390"/>
      <c r="BH876" s="1388"/>
      <c r="BI876" s="1388"/>
      <c r="BJ876" s="1392"/>
      <c r="BK876" s="1392"/>
      <c r="BL876" s="1392"/>
      <c r="BM876" s="1392"/>
      <c r="BN876" s="1392"/>
      <c r="BO876" s="1388"/>
      <c r="BP876" s="1388"/>
      <c r="BQ876" s="1388"/>
      <c r="BR876" s="1388"/>
      <c r="BS876" s="44"/>
      <c r="BT876" s="1388"/>
      <c r="BU876" s="1388"/>
      <c r="BV876" s="1388"/>
      <c r="BW876" s="1388"/>
      <c r="BX876" s="1388"/>
      <c r="BY876" s="1390" t="s">
        <v>314</v>
      </c>
      <c r="BZ876" s="1392"/>
      <c r="CA876" s="1392"/>
      <c r="CB876" s="44"/>
      <c r="CC876" s="1388"/>
      <c r="CD876" s="1388"/>
      <c r="CE876" s="1388"/>
      <c r="CF876" s="44"/>
      <c r="CG876" s="1388"/>
    </row>
    <row r="877" spans="53:86">
      <c r="BA877" s="1537"/>
      <c r="BB877" s="82">
        <v>1</v>
      </c>
      <c r="BC877" s="110">
        <f>ROW()</f>
        <v>877</v>
      </c>
      <c r="BD877" s="38" t="str">
        <f>IF(BT877&gt;0,CONCATENATE(BG877," - ",BF877," Control Bonus"),"")</f>
        <v/>
      </c>
      <c r="BE877" s="110">
        <v>1</v>
      </c>
      <c r="BF877" s="761" t="s">
        <v>157</v>
      </c>
      <c r="BG877" s="766" t="s">
        <v>158</v>
      </c>
      <c r="BH877" s="761">
        <f>SUMIFS(DR$39:DR$800,$DN$39:$DN$800,$BE877,$HW$39:$HW$800,TRUE,DU$39:DU$800,BF877)</f>
        <v>0</v>
      </c>
      <c r="BI877" s="767">
        <f>ROUND(SUMIFS(CW$39:CW$800,$DN$39:$DN$800,$BE877,$HW$39:$HW$800,TRUE,DU$39:DU$800,BF877),0)</f>
        <v>0</v>
      </c>
      <c r="BJ877" s="768">
        <f t="shared" ref="BJ877:BJ881" si="611">BI877-BK877</f>
        <v>0</v>
      </c>
      <c r="BK877" s="768">
        <f>ROUND(SUMIFS(DJ$39:DJ$800,$DN$39:$DN$800,$BE877,$HW$39:$HW$800,TRUE,DU$39:DU$800,BF877),0)</f>
        <v>0</v>
      </c>
      <c r="BL877" s="768">
        <f>ROUND(SUMIFS(ED$39:ED$800,$DN$39:$DN$800,$BE877,$HW$39:$HW$800,TRUE,DU$39:DU$800,BF877),0)</f>
        <v>0</v>
      </c>
      <c r="BM877" s="768">
        <f>ROUND(SUMIFS(DG$39:DG$800,$DO$39:$DO$800,$BE877,$HX$39:$HX$800,TRUE,DV$39:DV$800,BF877,CR$39:CR$800,"New"),0)</f>
        <v>0</v>
      </c>
      <c r="BN877" s="768">
        <f>ROUND(SUMIFS(DK$39:DK$800,$DO$39:$DO$800,$BE877,$HX$39:$HX$800,TRUE,DV$39:DV$800,BF877,CR$39:CR$800,"New"),0)</f>
        <v>0</v>
      </c>
      <c r="BO877" s="767">
        <f t="shared" ref="BO877:BO881" si="612">BI877-BL877</f>
        <v>0</v>
      </c>
      <c r="BP877" s="769">
        <f>ROUND(SUMIFS(EH$39:EH$800,$DN$39:$DN$800,$BE877,$HW$39:$HW$800,TRUE,DU$39:DU$800,BF877),0)</f>
        <v>0</v>
      </c>
      <c r="BQ877" s="767">
        <f t="shared" ref="BQ877:BQ881" si="613">BM877-BJ877</f>
        <v>0</v>
      </c>
      <c r="BR877" s="769">
        <f>ROUND(SUMIFS(EI$39:EI$800,$DN$39:$DN$800,$BE877,$HW$39:$HW$800,TRUE,DU$39:DU$800,BF877),0)</f>
        <v>0</v>
      </c>
      <c r="BS877" s="82"/>
      <c r="BT877" s="767">
        <f t="shared" ref="BT877:BT881" si="614">BK877-BN877</f>
        <v>0</v>
      </c>
      <c r="BU877" s="769">
        <f t="shared" ref="BU877:BU881" si="615">BP877+BR877</f>
        <v>0</v>
      </c>
      <c r="BV877" s="769">
        <f>ROUND(SUMIFS(EP$39:EP$800,$DN$39:$DN$800,$BE877,$HW$39:$HW$800,TRUE,DU$39:DU$800,BF877),2)</f>
        <v>0</v>
      </c>
      <c r="BW877" s="769">
        <f>ROUND(SUMIFS(EO$39:EO$800,$DN$39:$DN$800,$BE877,$HW$39:$HW$800,TRUE,DU$39:DU$800,BF877),2)</f>
        <v>0</v>
      </c>
      <c r="BX877" s="769">
        <f>ROUND(SUMIFS(EQ$39:EQ$800,$DN$39:$DN$800,$BE877,$HW$39:$HW$800,TRUE,DU$39:DU$800,BF877),2)</f>
        <v>0</v>
      </c>
      <c r="BY877" s="761">
        <f>SUMIFS(DS$39:DS$800,DN$39:DN$800,BE877,DP$39:DP$800,7,HW$39:HW$800,TRUE,DU$39:DU$800,BF877)</f>
        <v>0</v>
      </c>
      <c r="BZ877" s="768">
        <f>ROUND(SUMIFS(CW$39:CW$800,$DO$39:$DO$800,$BE877,$HX$39:$HX$800,TRUE,DV$39:DV$800,BF877,CR$39:CR$800,"New",DQ$39:DQ$800,"LLLC"),0)</f>
        <v>0</v>
      </c>
      <c r="CA877" s="768">
        <f>ROUND(SUMIFS(DG$39:DG$800,$DO$39:$DO$800,$BE877,$HX$39:$HX$800,TRUE,DV$39:DV$800,BF877,CR$39:CR$800,"New",DQ$39:DQ$800,"LLLC"),0)</f>
        <v>0</v>
      </c>
      <c r="CB877" s="82"/>
      <c r="CC877" s="770">
        <f>ROUND(SUMIFS(CY$39:CY$800,$DN$39:$DN$800,$BE877,$HW$39:$HW$800,TRUE,DU$39:DU$800,BF877),2)</f>
        <v>0</v>
      </c>
      <c r="CD877" s="770">
        <f>ROUND(SUMIFS(CZ$39:CZ$800,$DN$39:$DN$800,$BE877,$HW$39:$HW$800,TRUE,DU$39:DU$800,BF877),2)</f>
        <v>0</v>
      </c>
      <c r="CE877" s="770">
        <f t="shared" ref="CE877:CE881" si="616">CC877-CD877</f>
        <v>0</v>
      </c>
      <c r="CG877" s="767" t="str">
        <f>IFERROR(ROUND(SUMIFS(FE$39:FE$800,$DN$39:$DN$800,$BE877,$HW$39:$HW$800,TRUE,DU$39:DU$800,BF877)/BO877,0),"")</f>
        <v/>
      </c>
    </row>
    <row r="878" spans="53:86">
      <c r="BA878" s="1537"/>
      <c r="BB878" s="82">
        <v>2</v>
      </c>
      <c r="BC878" s="110">
        <f>ROW()</f>
        <v>878</v>
      </c>
      <c r="BD878" s="38" t="str">
        <f t="shared" ref="BD878:BD901" si="617">IF(BT878&gt;0,CONCATENATE(BG878," - ",BF878," Control Bonus"),"")</f>
        <v/>
      </c>
      <c r="BE878" s="110">
        <v>1</v>
      </c>
      <c r="BF878" s="761" t="s">
        <v>166</v>
      </c>
      <c r="BG878" s="766" t="s">
        <v>158</v>
      </c>
      <c r="BH878" s="761">
        <f t="shared" ref="BH878:BH901" si="618">SUMIFS(DR$39:DR$800,$DN$39:$DN$800,$BE878,$HW$39:$HW$800,TRUE,DU$39:DU$800,BF878)</f>
        <v>0</v>
      </c>
      <c r="BI878" s="767">
        <f t="shared" ref="BI878:BI901" si="619">ROUND(SUMIFS(CW$39:CW$800,$DN$39:$DN$800,$BE878,$HW$39:$HW$800,TRUE,DU$39:DU$800,BF878),0)</f>
        <v>0</v>
      </c>
      <c r="BJ878" s="768">
        <f t="shared" si="611"/>
        <v>0</v>
      </c>
      <c r="BK878" s="768">
        <f t="shared" ref="BK878:BK901" si="620">ROUND(SUMIFS(DJ$39:DJ$800,$DN$39:$DN$800,$BE878,$HW$39:$HW$800,TRUE,DU$39:DU$800,BF878),0)</f>
        <v>0</v>
      </c>
      <c r="BL878" s="768">
        <f t="shared" ref="BL878:BL901" si="621">ROUND(SUMIFS(ED$39:ED$800,$DN$39:$DN$800,$BE878,$HW$39:$HW$800,TRUE,DU$39:DU$800,BF878),0)</f>
        <v>0</v>
      </c>
      <c r="BM878" s="768">
        <f t="shared" ref="BM878:BM901" si="622">ROUND(SUMIFS(DG$39:DG$800,$DO$39:$DO$800,$BE878,$HX$39:$HX$800,TRUE,DV$39:DV$800,BF878,CR$39:CR$800,"New"),0)</f>
        <v>0</v>
      </c>
      <c r="BN878" s="768">
        <f t="shared" ref="BN878:BN901" si="623">ROUND(SUMIFS(DK$39:DK$800,$DO$39:$DO$800,$BE878,$HX$39:$HX$800,TRUE,DV$39:DV$800,BF878,CR$39:CR$800,"New"),0)</f>
        <v>0</v>
      </c>
      <c r="BO878" s="767">
        <f t="shared" si="612"/>
        <v>0</v>
      </c>
      <c r="BP878" s="769">
        <f t="shared" ref="BP878:BP901" si="624">ROUND(SUMIFS(EH$39:EH$800,$DN$39:$DN$800,$BE878,$HW$39:$HW$800,TRUE,DU$39:DU$800,BF878),0)</f>
        <v>0</v>
      </c>
      <c r="BQ878" s="767">
        <f t="shared" si="613"/>
        <v>0</v>
      </c>
      <c r="BR878" s="769">
        <f t="shared" ref="BR878:BR901" si="625">ROUND(SUMIFS(EI$39:EI$800,$DN$39:$DN$800,$BE878,$HW$39:$HW$800,TRUE,DU$39:DU$800,BF878),0)</f>
        <v>0</v>
      </c>
      <c r="BS878" s="82"/>
      <c r="BT878" s="767">
        <f t="shared" si="614"/>
        <v>0</v>
      </c>
      <c r="BU878" s="769">
        <f t="shared" si="615"/>
        <v>0</v>
      </c>
      <c r="BV878" s="769">
        <f t="shared" ref="BV878:BV901" si="626">ROUND(SUMIFS(EP$39:EP$800,$DN$39:$DN$800,$BE878,$HW$39:$HW$800,TRUE,DU$39:DU$800,BF878),2)</f>
        <v>0</v>
      </c>
      <c r="BW878" s="769">
        <f>ROUND(SUMIFS(EO$39:EO$800,$DN$39:$DN$800,$BE878,$HW$39:$HW$800,TRUE,DU$39:DU$800,BF878),2)</f>
        <v>0</v>
      </c>
      <c r="BX878" s="769">
        <f t="shared" ref="BX878:BX901" si="627">ROUND(SUMIFS(EQ$39:EQ$800,$DN$39:$DN$800,$BE878,$HW$39:$HW$800,TRUE,DU$39:DU$800,BF878),2)</f>
        <v>0</v>
      </c>
      <c r="BY878" s="761">
        <f t="shared" ref="BY878:BY901" si="628">SUMIFS(DS$39:DS$800,DN$39:DN$800,BE878,DP$39:DP$800,7,HW$39:HW$800,TRUE,DU$39:DU$800,BF878)</f>
        <v>0</v>
      </c>
      <c r="BZ878" s="768">
        <f t="shared" ref="BZ878:BZ901" si="629">ROUND(SUMIFS(CW$39:CW$800,$DO$39:$DO$800,$BE878,$HX$39:$HX$800,TRUE,DV$39:DV$800,BF878,CR$39:CR$800,"New",DQ$39:DQ$800,"LLLC"),0)</f>
        <v>0</v>
      </c>
      <c r="CA878" s="768">
        <f t="shared" ref="CA878:CA901" si="630">ROUND(SUMIFS(DG$39:DG$800,$DO$39:$DO$800,$BE878,$HX$39:$HX$800,TRUE,DV$39:DV$800,BF878,CR$39:CR$800,"New",DQ$39:DQ$800,"LLLC"),0)</f>
        <v>0</v>
      </c>
      <c r="CB878" s="82"/>
      <c r="CC878" s="770">
        <f t="shared" ref="CC878:CC901" si="631">ROUND(SUMIFS(CY$39:CY$800,$DN$39:$DN$800,$BE878,$HW$39:$HW$800,TRUE,DU$39:DU$800,BF878),2)</f>
        <v>0</v>
      </c>
      <c r="CD878" s="770">
        <f t="shared" ref="CD878:CD901" si="632">ROUND(SUMIFS(CZ$39:CZ$800,$DN$39:$DN$800,$BE878,$HW$39:$HW$800,TRUE,DU$39:DU$800,BF878),2)</f>
        <v>0</v>
      </c>
      <c r="CE878" s="770">
        <f t="shared" si="616"/>
        <v>0</v>
      </c>
      <c r="CG878" s="767" t="str">
        <f t="shared" ref="CG878:CG901" si="633">IFERROR(ROUND(SUMIFS(FE$39:FE$800,$DN$39:$DN$800,$BE878,$HW$39:$HW$800,TRUE,DU$39:DU$800,BF878)/BO878,0),"")</f>
        <v/>
      </c>
    </row>
    <row r="879" spans="53:86">
      <c r="BA879" s="1537"/>
      <c r="BB879" s="82">
        <v>3</v>
      </c>
      <c r="BC879" s="110">
        <f>ROW()</f>
        <v>879</v>
      </c>
      <c r="BD879" s="38" t="str">
        <f t="shared" si="617"/>
        <v/>
      </c>
      <c r="BE879" s="110">
        <v>2</v>
      </c>
      <c r="BF879" s="761" t="s">
        <v>157</v>
      </c>
      <c r="BG879" s="766" t="s">
        <v>175</v>
      </c>
      <c r="BH879" s="761">
        <f t="shared" si="618"/>
        <v>0</v>
      </c>
      <c r="BI879" s="767">
        <f t="shared" si="619"/>
        <v>0</v>
      </c>
      <c r="BJ879" s="768">
        <f t="shared" si="611"/>
        <v>0</v>
      </c>
      <c r="BK879" s="768">
        <f t="shared" si="620"/>
        <v>0</v>
      </c>
      <c r="BL879" s="768">
        <f t="shared" si="621"/>
        <v>0</v>
      </c>
      <c r="BM879" s="768">
        <f t="shared" si="622"/>
        <v>0</v>
      </c>
      <c r="BN879" s="768">
        <f t="shared" si="623"/>
        <v>0</v>
      </c>
      <c r="BO879" s="767">
        <f t="shared" si="612"/>
        <v>0</v>
      </c>
      <c r="BP879" s="769">
        <f t="shared" si="624"/>
        <v>0</v>
      </c>
      <c r="BQ879" s="767">
        <f t="shared" si="613"/>
        <v>0</v>
      </c>
      <c r="BR879" s="769">
        <f t="shared" si="625"/>
        <v>0</v>
      </c>
      <c r="BS879" s="82"/>
      <c r="BT879" s="767">
        <f t="shared" si="614"/>
        <v>0</v>
      </c>
      <c r="BU879" s="769">
        <f t="shared" si="615"/>
        <v>0</v>
      </c>
      <c r="BV879" s="769">
        <f t="shared" si="626"/>
        <v>0</v>
      </c>
      <c r="BW879" s="769">
        <f t="shared" ref="BW879:BW901" si="634">ROUND(SUMIFS(EO$39:EO$800,$DN$39:$DN$800,$BE879,$HW$39:$HW$800,TRUE,DU$39:DU$800,BF879),2)</f>
        <v>0</v>
      </c>
      <c r="BX879" s="769">
        <f t="shared" si="627"/>
        <v>0</v>
      </c>
      <c r="BY879" s="761">
        <f t="shared" si="628"/>
        <v>0</v>
      </c>
      <c r="BZ879" s="768">
        <f t="shared" si="629"/>
        <v>0</v>
      </c>
      <c r="CA879" s="768">
        <f t="shared" si="630"/>
        <v>0</v>
      </c>
      <c r="CB879" s="82"/>
      <c r="CC879" s="770">
        <f t="shared" si="631"/>
        <v>0</v>
      </c>
      <c r="CD879" s="770">
        <f t="shared" si="632"/>
        <v>0</v>
      </c>
      <c r="CE879" s="770">
        <f t="shared" si="616"/>
        <v>0</v>
      </c>
      <c r="CG879" s="767" t="str">
        <f t="shared" si="633"/>
        <v/>
      </c>
    </row>
    <row r="880" spans="53:86">
      <c r="BA880" s="1537"/>
      <c r="BB880" s="82">
        <v>4</v>
      </c>
      <c r="BC880" s="110">
        <f>ROW()</f>
        <v>880</v>
      </c>
      <c r="BD880" s="38" t="str">
        <f t="shared" si="617"/>
        <v/>
      </c>
      <c r="BE880" s="110">
        <v>2</v>
      </c>
      <c r="BF880" s="761" t="s">
        <v>166</v>
      </c>
      <c r="BG880" s="766" t="s">
        <v>175</v>
      </c>
      <c r="BH880" s="761">
        <f t="shared" si="618"/>
        <v>0</v>
      </c>
      <c r="BI880" s="767">
        <f t="shared" si="619"/>
        <v>0</v>
      </c>
      <c r="BJ880" s="768">
        <f t="shared" si="611"/>
        <v>0</v>
      </c>
      <c r="BK880" s="768">
        <f t="shared" si="620"/>
        <v>0</v>
      </c>
      <c r="BL880" s="768">
        <f t="shared" si="621"/>
        <v>0</v>
      </c>
      <c r="BM880" s="768">
        <f t="shared" si="622"/>
        <v>0</v>
      </c>
      <c r="BN880" s="768">
        <f t="shared" si="623"/>
        <v>0</v>
      </c>
      <c r="BO880" s="767">
        <f t="shared" si="612"/>
        <v>0</v>
      </c>
      <c r="BP880" s="769">
        <f t="shared" si="624"/>
        <v>0</v>
      </c>
      <c r="BQ880" s="767">
        <f t="shared" si="613"/>
        <v>0</v>
      </c>
      <c r="BR880" s="769">
        <f t="shared" si="625"/>
        <v>0</v>
      </c>
      <c r="BS880" s="82"/>
      <c r="BT880" s="767">
        <f t="shared" si="614"/>
        <v>0</v>
      </c>
      <c r="BU880" s="769">
        <f t="shared" si="615"/>
        <v>0</v>
      </c>
      <c r="BV880" s="769">
        <f t="shared" si="626"/>
        <v>0</v>
      </c>
      <c r="BW880" s="769">
        <f t="shared" si="634"/>
        <v>0</v>
      </c>
      <c r="BX880" s="769">
        <f t="shared" si="627"/>
        <v>0</v>
      </c>
      <c r="BY880" s="761">
        <f t="shared" si="628"/>
        <v>0</v>
      </c>
      <c r="BZ880" s="768">
        <f t="shared" si="629"/>
        <v>0</v>
      </c>
      <c r="CA880" s="768">
        <f t="shared" si="630"/>
        <v>0</v>
      </c>
      <c r="CB880" s="82"/>
      <c r="CC880" s="770">
        <f t="shared" si="631"/>
        <v>0</v>
      </c>
      <c r="CD880" s="770">
        <f t="shared" si="632"/>
        <v>0</v>
      </c>
      <c r="CE880" s="770">
        <f t="shared" si="616"/>
        <v>0</v>
      </c>
      <c r="CG880" s="767" t="str">
        <f t="shared" si="633"/>
        <v/>
      </c>
    </row>
    <row r="881" spans="53:86">
      <c r="BA881" s="1537"/>
      <c r="BB881" s="82">
        <v>5</v>
      </c>
      <c r="BC881" s="110">
        <f>ROW()</f>
        <v>881</v>
      </c>
      <c r="BD881" s="38" t="str">
        <f t="shared" si="617"/>
        <v/>
      </c>
      <c r="BE881" s="110">
        <v>3</v>
      </c>
      <c r="BF881" s="761" t="s">
        <v>157</v>
      </c>
      <c r="BG881" s="766" t="s">
        <v>176</v>
      </c>
      <c r="BH881" s="761">
        <f t="shared" si="618"/>
        <v>0</v>
      </c>
      <c r="BI881" s="767">
        <f t="shared" si="619"/>
        <v>0</v>
      </c>
      <c r="BJ881" s="768">
        <f t="shared" si="611"/>
        <v>0</v>
      </c>
      <c r="BK881" s="768">
        <f t="shared" si="620"/>
        <v>0</v>
      </c>
      <c r="BL881" s="768">
        <f t="shared" si="621"/>
        <v>0</v>
      </c>
      <c r="BM881" s="768">
        <f t="shared" si="622"/>
        <v>0</v>
      </c>
      <c r="BN881" s="768">
        <f t="shared" si="623"/>
        <v>0</v>
      </c>
      <c r="BO881" s="767">
        <f t="shared" si="612"/>
        <v>0</v>
      </c>
      <c r="BP881" s="769">
        <f t="shared" si="624"/>
        <v>0</v>
      </c>
      <c r="BQ881" s="767">
        <f t="shared" si="613"/>
        <v>0</v>
      </c>
      <c r="BR881" s="769">
        <f t="shared" si="625"/>
        <v>0</v>
      </c>
      <c r="BS881" s="82"/>
      <c r="BT881" s="767">
        <f t="shared" si="614"/>
        <v>0</v>
      </c>
      <c r="BU881" s="769">
        <f t="shared" si="615"/>
        <v>0</v>
      </c>
      <c r="BV881" s="769">
        <f t="shared" si="626"/>
        <v>0</v>
      </c>
      <c r="BW881" s="769">
        <f t="shared" si="634"/>
        <v>0</v>
      </c>
      <c r="BX881" s="769">
        <f t="shared" si="627"/>
        <v>0</v>
      </c>
      <c r="BY881" s="761">
        <f t="shared" si="628"/>
        <v>0</v>
      </c>
      <c r="BZ881" s="768">
        <f t="shared" si="629"/>
        <v>0</v>
      </c>
      <c r="CA881" s="768">
        <f t="shared" si="630"/>
        <v>0</v>
      </c>
      <c r="CB881" s="82"/>
      <c r="CC881" s="770">
        <f t="shared" si="631"/>
        <v>0</v>
      </c>
      <c r="CD881" s="770">
        <f t="shared" si="632"/>
        <v>0</v>
      </c>
      <c r="CE881" s="770">
        <f t="shared" si="616"/>
        <v>0</v>
      </c>
      <c r="CG881" s="767" t="str">
        <f t="shared" si="633"/>
        <v/>
      </c>
    </row>
    <row r="882" spans="53:86">
      <c r="BA882" s="1537"/>
      <c r="BB882" s="82">
        <v>6</v>
      </c>
      <c r="BC882" s="110">
        <f>ROW()</f>
        <v>882</v>
      </c>
      <c r="BD882" s="38" t="str">
        <f t="shared" si="617"/>
        <v/>
      </c>
      <c r="BE882" s="110">
        <v>3</v>
      </c>
      <c r="BF882" s="761" t="s">
        <v>166</v>
      </c>
      <c r="BG882" s="766" t="s">
        <v>176</v>
      </c>
      <c r="BH882" s="761">
        <f t="shared" si="618"/>
        <v>0</v>
      </c>
      <c r="BI882" s="767">
        <f t="shared" si="619"/>
        <v>0</v>
      </c>
      <c r="BJ882" s="768">
        <f t="shared" ref="BJ882:BJ895" si="635">BI882-BK882</f>
        <v>0</v>
      </c>
      <c r="BK882" s="768">
        <f t="shared" si="620"/>
        <v>0</v>
      </c>
      <c r="BL882" s="768">
        <f t="shared" si="621"/>
        <v>0</v>
      </c>
      <c r="BM882" s="768">
        <f t="shared" si="622"/>
        <v>0</v>
      </c>
      <c r="BN882" s="768">
        <f t="shared" si="623"/>
        <v>0</v>
      </c>
      <c r="BO882" s="767">
        <f t="shared" ref="BO882:BO895" si="636">BI882-BL882</f>
        <v>0</v>
      </c>
      <c r="BP882" s="769">
        <f t="shared" si="624"/>
        <v>0</v>
      </c>
      <c r="BQ882" s="767">
        <f t="shared" ref="BQ882:BQ895" si="637">BM882-BJ882</f>
        <v>0</v>
      </c>
      <c r="BR882" s="769">
        <f t="shared" si="625"/>
        <v>0</v>
      </c>
      <c r="BS882" s="82"/>
      <c r="BT882" s="767">
        <f t="shared" ref="BT882:BT895" si="638">BK882-BN882</f>
        <v>0</v>
      </c>
      <c r="BU882" s="769">
        <f t="shared" ref="BU882:BU895" si="639">BP882+BR882</f>
        <v>0</v>
      </c>
      <c r="BV882" s="769">
        <f t="shared" si="626"/>
        <v>0</v>
      </c>
      <c r="BW882" s="769">
        <f t="shared" si="634"/>
        <v>0</v>
      </c>
      <c r="BX882" s="769">
        <f t="shared" si="627"/>
        <v>0</v>
      </c>
      <c r="BY882" s="761">
        <f t="shared" si="628"/>
        <v>0</v>
      </c>
      <c r="BZ882" s="768">
        <f t="shared" si="629"/>
        <v>0</v>
      </c>
      <c r="CA882" s="768">
        <f t="shared" si="630"/>
        <v>0</v>
      </c>
      <c r="CB882" s="82"/>
      <c r="CC882" s="770">
        <f t="shared" si="631"/>
        <v>0</v>
      </c>
      <c r="CD882" s="770">
        <f t="shared" si="632"/>
        <v>0</v>
      </c>
      <c r="CE882" s="770">
        <f t="shared" ref="CE882:CE891" si="640">CC882-CD882</f>
        <v>0</v>
      </c>
      <c r="CF882" s="82"/>
      <c r="CG882" s="767" t="str">
        <f t="shared" si="633"/>
        <v/>
      </c>
      <c r="CH882" s="82"/>
    </row>
    <row r="883" spans="53:86">
      <c r="BA883" s="1537"/>
      <c r="BB883" s="82">
        <v>7</v>
      </c>
      <c r="BC883" s="110">
        <f>ROW()</f>
        <v>883</v>
      </c>
      <c r="BD883" s="38" t="str">
        <f t="shared" si="617"/>
        <v/>
      </c>
      <c r="BE883" s="110">
        <v>4</v>
      </c>
      <c r="BF883" s="761" t="s">
        <v>157</v>
      </c>
      <c r="BG883" s="766" t="s">
        <v>167</v>
      </c>
      <c r="BH883" s="761">
        <f t="shared" si="618"/>
        <v>0</v>
      </c>
      <c r="BI883" s="767">
        <f t="shared" si="619"/>
        <v>0</v>
      </c>
      <c r="BJ883" s="768">
        <f t="shared" si="635"/>
        <v>0</v>
      </c>
      <c r="BK883" s="768">
        <f t="shared" si="620"/>
        <v>0</v>
      </c>
      <c r="BL883" s="768">
        <f t="shared" si="621"/>
        <v>0</v>
      </c>
      <c r="BM883" s="768">
        <f t="shared" si="622"/>
        <v>0</v>
      </c>
      <c r="BN883" s="768">
        <f t="shared" si="623"/>
        <v>0</v>
      </c>
      <c r="BO883" s="767">
        <f t="shared" si="636"/>
        <v>0</v>
      </c>
      <c r="BP883" s="769">
        <f t="shared" si="624"/>
        <v>0</v>
      </c>
      <c r="BQ883" s="767">
        <f t="shared" si="637"/>
        <v>0</v>
      </c>
      <c r="BR883" s="769">
        <f t="shared" si="625"/>
        <v>0</v>
      </c>
      <c r="BS883" s="82"/>
      <c r="BT883" s="767">
        <f t="shared" si="638"/>
        <v>0</v>
      </c>
      <c r="BU883" s="769">
        <f t="shared" si="639"/>
        <v>0</v>
      </c>
      <c r="BV883" s="769">
        <f t="shared" si="626"/>
        <v>0</v>
      </c>
      <c r="BW883" s="769">
        <f t="shared" si="634"/>
        <v>0</v>
      </c>
      <c r="BX883" s="769">
        <f t="shared" si="627"/>
        <v>0</v>
      </c>
      <c r="BY883" s="761">
        <f t="shared" si="628"/>
        <v>0</v>
      </c>
      <c r="BZ883" s="768">
        <f t="shared" si="629"/>
        <v>0</v>
      </c>
      <c r="CA883" s="768">
        <f t="shared" si="630"/>
        <v>0</v>
      </c>
      <c r="CB883" s="82"/>
      <c r="CC883" s="770">
        <f t="shared" si="631"/>
        <v>0</v>
      </c>
      <c r="CD883" s="770">
        <f t="shared" si="632"/>
        <v>0</v>
      </c>
      <c r="CE883" s="770">
        <f t="shared" si="640"/>
        <v>0</v>
      </c>
      <c r="CF883" s="82"/>
      <c r="CG883" s="767" t="str">
        <f t="shared" si="633"/>
        <v/>
      </c>
      <c r="CH883" s="82"/>
    </row>
    <row r="884" spans="53:86">
      <c r="BA884" s="1537"/>
      <c r="BB884" s="82">
        <v>8</v>
      </c>
      <c r="BC884" s="110">
        <f>ROW()</f>
        <v>884</v>
      </c>
      <c r="BD884" s="38" t="str">
        <f t="shared" si="617"/>
        <v/>
      </c>
      <c r="BE884" s="110">
        <v>4</v>
      </c>
      <c r="BF884" s="761" t="s">
        <v>166</v>
      </c>
      <c r="BG884" s="766" t="s">
        <v>167</v>
      </c>
      <c r="BH884" s="761">
        <f t="shared" si="618"/>
        <v>0</v>
      </c>
      <c r="BI884" s="767">
        <f t="shared" si="619"/>
        <v>0</v>
      </c>
      <c r="BJ884" s="768">
        <f t="shared" si="635"/>
        <v>0</v>
      </c>
      <c r="BK884" s="768">
        <f t="shared" si="620"/>
        <v>0</v>
      </c>
      <c r="BL884" s="768">
        <f t="shared" si="621"/>
        <v>0</v>
      </c>
      <c r="BM884" s="768">
        <f t="shared" si="622"/>
        <v>0</v>
      </c>
      <c r="BN884" s="768">
        <f t="shared" si="623"/>
        <v>0</v>
      </c>
      <c r="BO884" s="767">
        <f t="shared" si="636"/>
        <v>0</v>
      </c>
      <c r="BP884" s="769">
        <f t="shared" si="624"/>
        <v>0</v>
      </c>
      <c r="BQ884" s="767">
        <f t="shared" si="637"/>
        <v>0</v>
      </c>
      <c r="BR884" s="769">
        <f t="shared" si="625"/>
        <v>0</v>
      </c>
      <c r="BS884" s="82"/>
      <c r="BT884" s="767">
        <f t="shared" si="638"/>
        <v>0</v>
      </c>
      <c r="BU884" s="769">
        <f t="shared" si="639"/>
        <v>0</v>
      </c>
      <c r="BV884" s="769">
        <f t="shared" si="626"/>
        <v>0</v>
      </c>
      <c r="BW884" s="769">
        <f t="shared" si="634"/>
        <v>0</v>
      </c>
      <c r="BX884" s="769">
        <f t="shared" si="627"/>
        <v>0</v>
      </c>
      <c r="BY884" s="761">
        <f t="shared" si="628"/>
        <v>0</v>
      </c>
      <c r="BZ884" s="768">
        <f t="shared" si="629"/>
        <v>0</v>
      </c>
      <c r="CA884" s="768">
        <f t="shared" si="630"/>
        <v>0</v>
      </c>
      <c r="CB884" s="82"/>
      <c r="CC884" s="770">
        <f t="shared" si="631"/>
        <v>0</v>
      </c>
      <c r="CD884" s="770">
        <f t="shared" si="632"/>
        <v>0</v>
      </c>
      <c r="CE884" s="770">
        <f t="shared" si="640"/>
        <v>0</v>
      </c>
      <c r="CF884" s="82"/>
      <c r="CG884" s="767" t="str">
        <f t="shared" si="633"/>
        <v/>
      </c>
      <c r="CH884" s="82"/>
    </row>
    <row r="885" spans="53:86">
      <c r="BA885" s="1537"/>
      <c r="BB885" s="82">
        <v>9</v>
      </c>
      <c r="BC885" s="110">
        <f>ROW()</f>
        <v>885</v>
      </c>
      <c r="BD885" s="38" t="str">
        <f t="shared" si="617"/>
        <v/>
      </c>
      <c r="BE885" s="110">
        <v>5</v>
      </c>
      <c r="BF885" s="761" t="s">
        <v>157</v>
      </c>
      <c r="BG885" s="766" t="s">
        <v>367</v>
      </c>
      <c r="BH885" s="761">
        <f t="shared" si="618"/>
        <v>0</v>
      </c>
      <c r="BI885" s="767">
        <f t="shared" si="619"/>
        <v>0</v>
      </c>
      <c r="BJ885" s="768">
        <f t="shared" si="635"/>
        <v>0</v>
      </c>
      <c r="BK885" s="768">
        <f t="shared" si="620"/>
        <v>0</v>
      </c>
      <c r="BL885" s="768">
        <f t="shared" si="621"/>
        <v>0</v>
      </c>
      <c r="BM885" s="768">
        <f t="shared" si="622"/>
        <v>0</v>
      </c>
      <c r="BN885" s="768">
        <f t="shared" si="623"/>
        <v>0</v>
      </c>
      <c r="BO885" s="767">
        <f t="shared" si="636"/>
        <v>0</v>
      </c>
      <c r="BP885" s="769">
        <f t="shared" si="624"/>
        <v>0</v>
      </c>
      <c r="BQ885" s="767">
        <f t="shared" si="637"/>
        <v>0</v>
      </c>
      <c r="BR885" s="769">
        <f t="shared" si="625"/>
        <v>0</v>
      </c>
      <c r="BS885" s="82"/>
      <c r="BT885" s="767">
        <f t="shared" si="638"/>
        <v>0</v>
      </c>
      <c r="BU885" s="769">
        <f t="shared" si="639"/>
        <v>0</v>
      </c>
      <c r="BV885" s="769">
        <f t="shared" si="626"/>
        <v>0</v>
      </c>
      <c r="BW885" s="769">
        <f t="shared" si="634"/>
        <v>0</v>
      </c>
      <c r="BX885" s="769">
        <f t="shared" si="627"/>
        <v>0</v>
      </c>
      <c r="BY885" s="761">
        <f t="shared" si="628"/>
        <v>0</v>
      </c>
      <c r="BZ885" s="768">
        <f t="shared" si="629"/>
        <v>0</v>
      </c>
      <c r="CA885" s="768">
        <f t="shared" si="630"/>
        <v>0</v>
      </c>
      <c r="CB885" s="82"/>
      <c r="CC885" s="770">
        <f t="shared" si="631"/>
        <v>0</v>
      </c>
      <c r="CD885" s="770">
        <f t="shared" si="632"/>
        <v>0</v>
      </c>
      <c r="CE885" s="770">
        <f t="shared" si="640"/>
        <v>0</v>
      </c>
      <c r="CF885" s="82"/>
      <c r="CG885" s="767" t="str">
        <f t="shared" si="633"/>
        <v/>
      </c>
      <c r="CH885" s="82"/>
    </row>
    <row r="886" spans="53:86">
      <c r="BA886" s="1537"/>
      <c r="BB886" s="82">
        <v>10</v>
      </c>
      <c r="BC886" s="110">
        <f>ROW()</f>
        <v>886</v>
      </c>
      <c r="BD886" s="38" t="str">
        <f t="shared" si="617"/>
        <v/>
      </c>
      <c r="BE886" s="110">
        <v>5</v>
      </c>
      <c r="BF886" s="761" t="s">
        <v>166</v>
      </c>
      <c r="BG886" s="766" t="s">
        <v>367</v>
      </c>
      <c r="BH886" s="761">
        <f t="shared" si="618"/>
        <v>0</v>
      </c>
      <c r="BI886" s="767">
        <f t="shared" si="619"/>
        <v>0</v>
      </c>
      <c r="BJ886" s="768">
        <f t="shared" si="635"/>
        <v>0</v>
      </c>
      <c r="BK886" s="768">
        <f t="shared" si="620"/>
        <v>0</v>
      </c>
      <c r="BL886" s="768">
        <f t="shared" si="621"/>
        <v>0</v>
      </c>
      <c r="BM886" s="768">
        <f t="shared" si="622"/>
        <v>0</v>
      </c>
      <c r="BN886" s="768">
        <f t="shared" si="623"/>
        <v>0</v>
      </c>
      <c r="BO886" s="767">
        <f t="shared" si="636"/>
        <v>0</v>
      </c>
      <c r="BP886" s="769">
        <f t="shared" si="624"/>
        <v>0</v>
      </c>
      <c r="BQ886" s="767">
        <f t="shared" si="637"/>
        <v>0</v>
      </c>
      <c r="BR886" s="769">
        <f t="shared" si="625"/>
        <v>0</v>
      </c>
      <c r="BS886" s="82"/>
      <c r="BT886" s="767">
        <f t="shared" si="638"/>
        <v>0</v>
      </c>
      <c r="BU886" s="769">
        <f t="shared" si="639"/>
        <v>0</v>
      </c>
      <c r="BV886" s="769">
        <f t="shared" si="626"/>
        <v>0</v>
      </c>
      <c r="BW886" s="769">
        <f t="shared" si="634"/>
        <v>0</v>
      </c>
      <c r="BX886" s="769">
        <f t="shared" si="627"/>
        <v>0</v>
      </c>
      <c r="BY886" s="761">
        <f t="shared" si="628"/>
        <v>0</v>
      </c>
      <c r="BZ886" s="768">
        <f t="shared" si="629"/>
        <v>0</v>
      </c>
      <c r="CA886" s="768">
        <f t="shared" si="630"/>
        <v>0</v>
      </c>
      <c r="CB886" s="82"/>
      <c r="CC886" s="770">
        <f t="shared" si="631"/>
        <v>0</v>
      </c>
      <c r="CD886" s="770">
        <f t="shared" si="632"/>
        <v>0</v>
      </c>
      <c r="CE886" s="770">
        <f t="shared" si="640"/>
        <v>0</v>
      </c>
      <c r="CF886" s="82"/>
      <c r="CG886" s="767" t="str">
        <f t="shared" si="633"/>
        <v/>
      </c>
      <c r="CH886" s="82"/>
    </row>
    <row r="887" spans="53:86">
      <c r="BA887" s="1537"/>
      <c r="BB887" s="82">
        <v>11</v>
      </c>
      <c r="BC887" s="110">
        <f>ROW()</f>
        <v>887</v>
      </c>
      <c r="BD887" s="38" t="str">
        <f t="shared" si="617"/>
        <v/>
      </c>
      <c r="BE887" s="110">
        <v>6</v>
      </c>
      <c r="BF887" s="761" t="s">
        <v>157</v>
      </c>
      <c r="BG887" s="766" t="s">
        <v>368</v>
      </c>
      <c r="BH887" s="761">
        <f t="shared" si="618"/>
        <v>0</v>
      </c>
      <c r="BI887" s="767">
        <f t="shared" si="619"/>
        <v>0</v>
      </c>
      <c r="BJ887" s="768">
        <f t="shared" si="635"/>
        <v>0</v>
      </c>
      <c r="BK887" s="768">
        <f t="shared" si="620"/>
        <v>0</v>
      </c>
      <c r="BL887" s="768">
        <f t="shared" si="621"/>
        <v>0</v>
      </c>
      <c r="BM887" s="768">
        <f t="shared" si="622"/>
        <v>0</v>
      </c>
      <c r="BN887" s="768">
        <f t="shared" si="623"/>
        <v>0</v>
      </c>
      <c r="BO887" s="767">
        <f t="shared" si="636"/>
        <v>0</v>
      </c>
      <c r="BP887" s="769">
        <f t="shared" si="624"/>
        <v>0</v>
      </c>
      <c r="BQ887" s="767">
        <f t="shared" si="637"/>
        <v>0</v>
      </c>
      <c r="BR887" s="769">
        <f t="shared" si="625"/>
        <v>0</v>
      </c>
      <c r="BS887" s="82"/>
      <c r="BT887" s="767">
        <f t="shared" si="638"/>
        <v>0</v>
      </c>
      <c r="BU887" s="769">
        <f t="shared" si="639"/>
        <v>0</v>
      </c>
      <c r="BV887" s="769">
        <f t="shared" si="626"/>
        <v>0</v>
      </c>
      <c r="BW887" s="769">
        <f t="shared" si="634"/>
        <v>0</v>
      </c>
      <c r="BX887" s="769">
        <f t="shared" si="627"/>
        <v>0</v>
      </c>
      <c r="BY887" s="761">
        <f t="shared" si="628"/>
        <v>0</v>
      </c>
      <c r="BZ887" s="768">
        <f t="shared" si="629"/>
        <v>0</v>
      </c>
      <c r="CA887" s="768">
        <f t="shared" si="630"/>
        <v>0</v>
      </c>
      <c r="CB887" s="82"/>
      <c r="CC887" s="770">
        <f t="shared" si="631"/>
        <v>0</v>
      </c>
      <c r="CD887" s="770">
        <f t="shared" si="632"/>
        <v>0</v>
      </c>
      <c r="CE887" s="770">
        <f t="shared" si="640"/>
        <v>0</v>
      </c>
      <c r="CF887" s="82"/>
      <c r="CG887" s="767" t="str">
        <f t="shared" si="633"/>
        <v/>
      </c>
      <c r="CH887" s="82"/>
    </row>
    <row r="888" spans="53:86">
      <c r="BA888" s="1537"/>
      <c r="BB888" s="82">
        <v>12</v>
      </c>
      <c r="BC888" s="110">
        <f>ROW()</f>
        <v>888</v>
      </c>
      <c r="BD888" s="38" t="str">
        <f t="shared" si="617"/>
        <v/>
      </c>
      <c r="BE888" s="110">
        <v>6</v>
      </c>
      <c r="BF888" s="761" t="s">
        <v>166</v>
      </c>
      <c r="BG888" s="766" t="s">
        <v>368</v>
      </c>
      <c r="BH888" s="761">
        <f t="shared" si="618"/>
        <v>0</v>
      </c>
      <c r="BI888" s="767">
        <f t="shared" si="619"/>
        <v>0</v>
      </c>
      <c r="BJ888" s="768">
        <f t="shared" si="635"/>
        <v>0</v>
      </c>
      <c r="BK888" s="768">
        <f t="shared" si="620"/>
        <v>0</v>
      </c>
      <c r="BL888" s="768">
        <f t="shared" si="621"/>
        <v>0</v>
      </c>
      <c r="BM888" s="768">
        <f t="shared" si="622"/>
        <v>0</v>
      </c>
      <c r="BN888" s="768">
        <f t="shared" si="623"/>
        <v>0</v>
      </c>
      <c r="BO888" s="767">
        <f t="shared" si="636"/>
        <v>0</v>
      </c>
      <c r="BP888" s="769">
        <f t="shared" si="624"/>
        <v>0</v>
      </c>
      <c r="BQ888" s="767">
        <f t="shared" si="637"/>
        <v>0</v>
      </c>
      <c r="BR888" s="769">
        <f t="shared" si="625"/>
        <v>0</v>
      </c>
      <c r="BS888" s="82"/>
      <c r="BT888" s="767">
        <f t="shared" si="638"/>
        <v>0</v>
      </c>
      <c r="BU888" s="769">
        <f t="shared" si="639"/>
        <v>0</v>
      </c>
      <c r="BV888" s="769">
        <f t="shared" si="626"/>
        <v>0</v>
      </c>
      <c r="BW888" s="769">
        <f t="shared" si="634"/>
        <v>0</v>
      </c>
      <c r="BX888" s="769">
        <f t="shared" si="627"/>
        <v>0</v>
      </c>
      <c r="BY888" s="761">
        <f t="shared" si="628"/>
        <v>0</v>
      </c>
      <c r="BZ888" s="768">
        <f t="shared" si="629"/>
        <v>0</v>
      </c>
      <c r="CA888" s="768">
        <f t="shared" si="630"/>
        <v>0</v>
      </c>
      <c r="CB888" s="82"/>
      <c r="CC888" s="770">
        <f t="shared" si="631"/>
        <v>0</v>
      </c>
      <c r="CD888" s="770">
        <f t="shared" si="632"/>
        <v>0</v>
      </c>
      <c r="CE888" s="770">
        <f t="shared" si="640"/>
        <v>0</v>
      </c>
      <c r="CF888" s="82"/>
      <c r="CG888" s="767" t="str">
        <f t="shared" si="633"/>
        <v/>
      </c>
      <c r="CH888" s="82"/>
    </row>
    <row r="889" spans="53:86">
      <c r="BA889" s="1537"/>
      <c r="BB889" s="82">
        <v>13</v>
      </c>
      <c r="BC889" s="110">
        <f>ROW()</f>
        <v>889</v>
      </c>
      <c r="BD889" s="38" t="str">
        <f t="shared" si="617"/>
        <v/>
      </c>
      <c r="BE889" s="110">
        <v>7</v>
      </c>
      <c r="BF889" s="761" t="s">
        <v>157</v>
      </c>
      <c r="BG889" s="766" t="s">
        <v>369</v>
      </c>
      <c r="BH889" s="761">
        <f t="shared" si="618"/>
        <v>0</v>
      </c>
      <c r="BI889" s="767">
        <f t="shared" si="619"/>
        <v>0</v>
      </c>
      <c r="BJ889" s="768">
        <f t="shared" si="635"/>
        <v>0</v>
      </c>
      <c r="BK889" s="768">
        <f t="shared" si="620"/>
        <v>0</v>
      </c>
      <c r="BL889" s="768">
        <f t="shared" si="621"/>
        <v>0</v>
      </c>
      <c r="BM889" s="768">
        <f t="shared" si="622"/>
        <v>0</v>
      </c>
      <c r="BN889" s="768">
        <f t="shared" si="623"/>
        <v>0</v>
      </c>
      <c r="BO889" s="767">
        <f t="shared" si="636"/>
        <v>0</v>
      </c>
      <c r="BP889" s="769">
        <f t="shared" si="624"/>
        <v>0</v>
      </c>
      <c r="BQ889" s="767">
        <f t="shared" si="637"/>
        <v>0</v>
      </c>
      <c r="BR889" s="769">
        <f t="shared" si="625"/>
        <v>0</v>
      </c>
      <c r="BS889" s="82"/>
      <c r="BT889" s="767">
        <f t="shared" si="638"/>
        <v>0</v>
      </c>
      <c r="BU889" s="769">
        <f t="shared" si="639"/>
        <v>0</v>
      </c>
      <c r="BV889" s="769">
        <f t="shared" si="626"/>
        <v>0</v>
      </c>
      <c r="BW889" s="769">
        <f t="shared" si="634"/>
        <v>0</v>
      </c>
      <c r="BX889" s="769">
        <f t="shared" si="627"/>
        <v>0</v>
      </c>
      <c r="BY889" s="761">
        <f t="shared" si="628"/>
        <v>0</v>
      </c>
      <c r="BZ889" s="768">
        <f t="shared" si="629"/>
        <v>0</v>
      </c>
      <c r="CA889" s="768">
        <f t="shared" si="630"/>
        <v>0</v>
      </c>
      <c r="CB889" s="82"/>
      <c r="CC889" s="770">
        <f t="shared" si="631"/>
        <v>0</v>
      </c>
      <c r="CD889" s="770">
        <f t="shared" si="632"/>
        <v>0</v>
      </c>
      <c r="CE889" s="770">
        <f t="shared" si="640"/>
        <v>0</v>
      </c>
      <c r="CF889" s="82"/>
      <c r="CG889" s="767" t="str">
        <f t="shared" si="633"/>
        <v/>
      </c>
      <c r="CH889" s="82"/>
    </row>
    <row r="890" spans="53:86">
      <c r="BA890" s="1537"/>
      <c r="BB890" s="82">
        <v>14</v>
      </c>
      <c r="BC890" s="110">
        <f>ROW()</f>
        <v>890</v>
      </c>
      <c r="BD890" s="38" t="str">
        <f t="shared" si="617"/>
        <v/>
      </c>
      <c r="BE890" s="110">
        <v>7</v>
      </c>
      <c r="BF890" s="761" t="s">
        <v>166</v>
      </c>
      <c r="BG890" s="766" t="s">
        <v>369</v>
      </c>
      <c r="BH890" s="761">
        <f t="shared" si="618"/>
        <v>0</v>
      </c>
      <c r="BI890" s="767">
        <f t="shared" si="619"/>
        <v>0</v>
      </c>
      <c r="BJ890" s="768">
        <f t="shared" si="635"/>
        <v>0</v>
      </c>
      <c r="BK890" s="768">
        <f t="shared" si="620"/>
        <v>0</v>
      </c>
      <c r="BL890" s="768">
        <f t="shared" si="621"/>
        <v>0</v>
      </c>
      <c r="BM890" s="768">
        <f t="shared" si="622"/>
        <v>0</v>
      </c>
      <c r="BN890" s="768">
        <f t="shared" si="623"/>
        <v>0</v>
      </c>
      <c r="BO890" s="767">
        <f t="shared" si="636"/>
        <v>0</v>
      </c>
      <c r="BP890" s="769">
        <f t="shared" si="624"/>
        <v>0</v>
      </c>
      <c r="BQ890" s="767">
        <f t="shared" si="637"/>
        <v>0</v>
      </c>
      <c r="BR890" s="769">
        <f t="shared" si="625"/>
        <v>0</v>
      </c>
      <c r="BS890" s="82"/>
      <c r="BT890" s="767">
        <f t="shared" si="638"/>
        <v>0</v>
      </c>
      <c r="BU890" s="769">
        <f t="shared" si="639"/>
        <v>0</v>
      </c>
      <c r="BV890" s="769">
        <f t="shared" si="626"/>
        <v>0</v>
      </c>
      <c r="BW890" s="769">
        <f t="shared" si="634"/>
        <v>0</v>
      </c>
      <c r="BX890" s="769">
        <f t="shared" si="627"/>
        <v>0</v>
      </c>
      <c r="BY890" s="761">
        <f t="shared" si="628"/>
        <v>0</v>
      </c>
      <c r="BZ890" s="768">
        <f t="shared" si="629"/>
        <v>0</v>
      </c>
      <c r="CA890" s="768">
        <f t="shared" si="630"/>
        <v>0</v>
      </c>
      <c r="CB890" s="82"/>
      <c r="CC890" s="770">
        <f t="shared" si="631"/>
        <v>0</v>
      </c>
      <c r="CD890" s="770">
        <f t="shared" si="632"/>
        <v>0</v>
      </c>
      <c r="CE890" s="770">
        <f t="shared" si="640"/>
        <v>0</v>
      </c>
      <c r="CF890" s="82"/>
      <c r="CG890" s="767" t="str">
        <f t="shared" si="633"/>
        <v/>
      </c>
      <c r="CH890" s="82"/>
    </row>
    <row r="891" spans="53:86">
      <c r="BA891" s="1537"/>
      <c r="BB891" s="82">
        <v>15</v>
      </c>
      <c r="BC891" s="110">
        <f>ROW()</f>
        <v>891</v>
      </c>
      <c r="BD891" s="38" t="str">
        <f t="shared" si="617"/>
        <v/>
      </c>
      <c r="BE891" s="110">
        <v>8</v>
      </c>
      <c r="BF891" s="761" t="s">
        <v>157</v>
      </c>
      <c r="BG891" s="766" t="s">
        <v>370</v>
      </c>
      <c r="BH891" s="761">
        <f t="shared" si="618"/>
        <v>0</v>
      </c>
      <c r="BI891" s="767">
        <f t="shared" si="619"/>
        <v>0</v>
      </c>
      <c r="BJ891" s="768">
        <f t="shared" si="635"/>
        <v>0</v>
      </c>
      <c r="BK891" s="768">
        <f t="shared" si="620"/>
        <v>0</v>
      </c>
      <c r="BL891" s="768">
        <f t="shared" si="621"/>
        <v>0</v>
      </c>
      <c r="BM891" s="768">
        <f t="shared" si="622"/>
        <v>0</v>
      </c>
      <c r="BN891" s="768">
        <f t="shared" si="623"/>
        <v>0</v>
      </c>
      <c r="BO891" s="767">
        <f t="shared" si="636"/>
        <v>0</v>
      </c>
      <c r="BP891" s="769">
        <f t="shared" si="624"/>
        <v>0</v>
      </c>
      <c r="BQ891" s="767">
        <f t="shared" si="637"/>
        <v>0</v>
      </c>
      <c r="BR891" s="769">
        <f t="shared" si="625"/>
        <v>0</v>
      </c>
      <c r="BS891" s="82"/>
      <c r="BT891" s="767">
        <f t="shared" si="638"/>
        <v>0</v>
      </c>
      <c r="BU891" s="769">
        <f t="shared" si="639"/>
        <v>0</v>
      </c>
      <c r="BV891" s="769">
        <f t="shared" si="626"/>
        <v>0</v>
      </c>
      <c r="BW891" s="769">
        <f t="shared" si="634"/>
        <v>0</v>
      </c>
      <c r="BX891" s="769">
        <f t="shared" si="627"/>
        <v>0</v>
      </c>
      <c r="BY891" s="761">
        <f t="shared" si="628"/>
        <v>0</v>
      </c>
      <c r="BZ891" s="768">
        <f t="shared" si="629"/>
        <v>0</v>
      </c>
      <c r="CA891" s="768">
        <f t="shared" si="630"/>
        <v>0</v>
      </c>
      <c r="CB891" s="82"/>
      <c r="CC891" s="770">
        <f t="shared" si="631"/>
        <v>0</v>
      </c>
      <c r="CD891" s="770">
        <f t="shared" si="632"/>
        <v>0</v>
      </c>
      <c r="CE891" s="770">
        <f t="shared" si="640"/>
        <v>0</v>
      </c>
      <c r="CF891" s="82"/>
      <c r="CG891" s="767" t="str">
        <f t="shared" si="633"/>
        <v/>
      </c>
      <c r="CH891" s="82"/>
    </row>
    <row r="892" spans="53:86">
      <c r="BA892" s="1537"/>
      <c r="BB892" s="82">
        <v>16</v>
      </c>
      <c r="BC892" s="110">
        <f>ROW()</f>
        <v>892</v>
      </c>
      <c r="BD892" s="38" t="str">
        <f t="shared" si="617"/>
        <v/>
      </c>
      <c r="BE892" s="110">
        <v>8</v>
      </c>
      <c r="BF892" s="761" t="s">
        <v>166</v>
      </c>
      <c r="BG892" s="766" t="s">
        <v>370</v>
      </c>
      <c r="BH892" s="761">
        <f t="shared" si="618"/>
        <v>0</v>
      </c>
      <c r="BI892" s="767">
        <f t="shared" si="619"/>
        <v>0</v>
      </c>
      <c r="BJ892" s="768">
        <f t="shared" si="635"/>
        <v>0</v>
      </c>
      <c r="BK892" s="768">
        <f t="shared" si="620"/>
        <v>0</v>
      </c>
      <c r="BL892" s="768">
        <f t="shared" si="621"/>
        <v>0</v>
      </c>
      <c r="BM892" s="768">
        <f t="shared" si="622"/>
        <v>0</v>
      </c>
      <c r="BN892" s="768">
        <f t="shared" si="623"/>
        <v>0</v>
      </c>
      <c r="BO892" s="767">
        <f t="shared" si="636"/>
        <v>0</v>
      </c>
      <c r="BP892" s="769">
        <f t="shared" si="624"/>
        <v>0</v>
      </c>
      <c r="BQ892" s="767">
        <f t="shared" si="637"/>
        <v>0</v>
      </c>
      <c r="BR892" s="769">
        <f t="shared" si="625"/>
        <v>0</v>
      </c>
      <c r="BS892" s="82"/>
      <c r="BT892" s="767">
        <f t="shared" si="638"/>
        <v>0</v>
      </c>
      <c r="BU892" s="769">
        <f t="shared" si="639"/>
        <v>0</v>
      </c>
      <c r="BV892" s="769">
        <f t="shared" si="626"/>
        <v>0</v>
      </c>
      <c r="BW892" s="769">
        <f t="shared" si="634"/>
        <v>0</v>
      </c>
      <c r="BX892" s="769">
        <f t="shared" si="627"/>
        <v>0</v>
      </c>
      <c r="BY892" s="761">
        <f t="shared" si="628"/>
        <v>0</v>
      </c>
      <c r="BZ892" s="768">
        <f t="shared" si="629"/>
        <v>0</v>
      </c>
      <c r="CA892" s="768">
        <f t="shared" si="630"/>
        <v>0</v>
      </c>
      <c r="CB892" s="82"/>
      <c r="CC892" s="770">
        <f t="shared" si="631"/>
        <v>0</v>
      </c>
      <c r="CD892" s="770">
        <f t="shared" si="632"/>
        <v>0</v>
      </c>
      <c r="CE892" s="770">
        <f t="shared" ref="CE892:CE893" si="641">CC892-CD892</f>
        <v>0</v>
      </c>
      <c r="CF892" s="82"/>
      <c r="CG892" s="767" t="str">
        <f t="shared" si="633"/>
        <v/>
      </c>
      <c r="CH892" s="82"/>
    </row>
    <row r="893" spans="53:86">
      <c r="BA893" s="1537"/>
      <c r="BB893" s="82">
        <v>17</v>
      </c>
      <c r="BC893" s="110">
        <f>ROW()</f>
        <v>893</v>
      </c>
      <c r="BD893" s="38" t="str">
        <f t="shared" si="617"/>
        <v/>
      </c>
      <c r="BE893" s="110">
        <v>10</v>
      </c>
      <c r="BF893" s="761" t="s">
        <v>166</v>
      </c>
      <c r="BG893" s="766" t="s">
        <v>180</v>
      </c>
      <c r="BH893" s="761">
        <f t="shared" si="618"/>
        <v>0</v>
      </c>
      <c r="BI893" s="767">
        <f t="shared" si="619"/>
        <v>0</v>
      </c>
      <c r="BJ893" s="768">
        <f t="shared" si="635"/>
        <v>0</v>
      </c>
      <c r="BK893" s="768">
        <f t="shared" si="620"/>
        <v>0</v>
      </c>
      <c r="BL893" s="768">
        <f t="shared" si="621"/>
        <v>0</v>
      </c>
      <c r="BM893" s="768">
        <f t="shared" si="622"/>
        <v>0</v>
      </c>
      <c r="BN893" s="768">
        <f t="shared" si="623"/>
        <v>0</v>
      </c>
      <c r="BO893" s="767">
        <f t="shared" si="636"/>
        <v>0</v>
      </c>
      <c r="BP893" s="769">
        <f t="shared" si="624"/>
        <v>0</v>
      </c>
      <c r="BQ893" s="767">
        <f t="shared" si="637"/>
        <v>0</v>
      </c>
      <c r="BR893" s="769">
        <f t="shared" si="625"/>
        <v>0</v>
      </c>
      <c r="BS893" s="82"/>
      <c r="BT893" s="767">
        <f t="shared" si="638"/>
        <v>0</v>
      </c>
      <c r="BU893" s="769">
        <f t="shared" si="639"/>
        <v>0</v>
      </c>
      <c r="BV893" s="769">
        <f t="shared" si="626"/>
        <v>0</v>
      </c>
      <c r="BW893" s="769">
        <f t="shared" si="634"/>
        <v>0</v>
      </c>
      <c r="BX893" s="769">
        <f t="shared" si="627"/>
        <v>0</v>
      </c>
      <c r="BY893" s="761">
        <f t="shared" si="628"/>
        <v>0</v>
      </c>
      <c r="BZ893" s="768">
        <f t="shared" si="629"/>
        <v>0</v>
      </c>
      <c r="CA893" s="768">
        <f t="shared" si="630"/>
        <v>0</v>
      </c>
      <c r="CB893" s="82"/>
      <c r="CC893" s="770">
        <f t="shared" si="631"/>
        <v>0</v>
      </c>
      <c r="CD893" s="770">
        <f t="shared" si="632"/>
        <v>0</v>
      </c>
      <c r="CE893" s="770">
        <f t="shared" si="641"/>
        <v>0</v>
      </c>
      <c r="CF893" s="82"/>
      <c r="CG893" s="767" t="str">
        <f t="shared" si="633"/>
        <v/>
      </c>
      <c r="CH893" s="82"/>
    </row>
    <row r="894" spans="53:86">
      <c r="BA894" s="1537"/>
      <c r="BB894" s="82">
        <v>18</v>
      </c>
      <c r="BC894" s="110">
        <f>ROW()</f>
        <v>894</v>
      </c>
      <c r="BD894" s="38" t="str">
        <f t="shared" si="617"/>
        <v/>
      </c>
      <c r="BE894" s="110">
        <v>11</v>
      </c>
      <c r="BF894" s="761" t="s">
        <v>157</v>
      </c>
      <c r="BG894" s="766" t="s">
        <v>178</v>
      </c>
      <c r="BH894" s="761">
        <f t="shared" si="618"/>
        <v>0</v>
      </c>
      <c r="BI894" s="767">
        <f t="shared" si="619"/>
        <v>0</v>
      </c>
      <c r="BJ894" s="768">
        <f t="shared" si="635"/>
        <v>0</v>
      </c>
      <c r="BK894" s="768">
        <f t="shared" si="620"/>
        <v>0</v>
      </c>
      <c r="BL894" s="768">
        <f t="shared" si="621"/>
        <v>0</v>
      </c>
      <c r="BM894" s="768">
        <f t="shared" si="622"/>
        <v>0</v>
      </c>
      <c r="BN894" s="768">
        <f t="shared" si="623"/>
        <v>0</v>
      </c>
      <c r="BO894" s="767">
        <f t="shared" si="636"/>
        <v>0</v>
      </c>
      <c r="BP894" s="769">
        <f t="shared" si="624"/>
        <v>0</v>
      </c>
      <c r="BQ894" s="767">
        <f t="shared" si="637"/>
        <v>0</v>
      </c>
      <c r="BR894" s="769">
        <f t="shared" si="625"/>
        <v>0</v>
      </c>
      <c r="BS894" s="82"/>
      <c r="BT894" s="767">
        <f t="shared" si="638"/>
        <v>0</v>
      </c>
      <c r="BU894" s="769">
        <f t="shared" si="639"/>
        <v>0</v>
      </c>
      <c r="BV894" s="769">
        <f t="shared" si="626"/>
        <v>0</v>
      </c>
      <c r="BW894" s="769">
        <f t="shared" si="634"/>
        <v>0</v>
      </c>
      <c r="BX894" s="769">
        <f t="shared" si="627"/>
        <v>0</v>
      </c>
      <c r="BY894" s="761">
        <f t="shared" si="628"/>
        <v>0</v>
      </c>
      <c r="BZ894" s="768">
        <f t="shared" si="629"/>
        <v>0</v>
      </c>
      <c r="CA894" s="768">
        <f t="shared" si="630"/>
        <v>0</v>
      </c>
      <c r="CB894" s="82"/>
      <c r="CC894" s="770">
        <f t="shared" si="631"/>
        <v>0</v>
      </c>
      <c r="CD894" s="770">
        <f t="shared" si="632"/>
        <v>0</v>
      </c>
      <c r="CE894" s="770">
        <f t="shared" ref="CE894:CE895" si="642">CC894-CD894</f>
        <v>0</v>
      </c>
      <c r="CF894" s="82"/>
      <c r="CG894" s="767" t="str">
        <f t="shared" si="633"/>
        <v/>
      </c>
      <c r="CH894" s="82"/>
    </row>
    <row r="895" spans="53:86">
      <c r="BA895" s="1537"/>
      <c r="BB895" s="82">
        <v>19</v>
      </c>
      <c r="BC895" s="110">
        <f>ROW()</f>
        <v>895</v>
      </c>
      <c r="BD895" s="38" t="str">
        <f t="shared" si="617"/>
        <v/>
      </c>
      <c r="BE895" s="110">
        <v>11</v>
      </c>
      <c r="BF895" s="761" t="s">
        <v>166</v>
      </c>
      <c r="BG895" s="766" t="s">
        <v>178</v>
      </c>
      <c r="BH895" s="761">
        <f t="shared" si="618"/>
        <v>0</v>
      </c>
      <c r="BI895" s="767">
        <f t="shared" si="619"/>
        <v>0</v>
      </c>
      <c r="BJ895" s="768">
        <f t="shared" si="635"/>
        <v>0</v>
      </c>
      <c r="BK895" s="768">
        <f t="shared" si="620"/>
        <v>0</v>
      </c>
      <c r="BL895" s="768">
        <f t="shared" si="621"/>
        <v>0</v>
      </c>
      <c r="BM895" s="768">
        <f t="shared" si="622"/>
        <v>0</v>
      </c>
      <c r="BN895" s="768">
        <f t="shared" si="623"/>
        <v>0</v>
      </c>
      <c r="BO895" s="767">
        <f t="shared" si="636"/>
        <v>0</v>
      </c>
      <c r="BP895" s="769">
        <f t="shared" si="624"/>
        <v>0</v>
      </c>
      <c r="BQ895" s="767">
        <f t="shared" si="637"/>
        <v>0</v>
      </c>
      <c r="BR895" s="769">
        <f t="shared" si="625"/>
        <v>0</v>
      </c>
      <c r="BS895" s="82"/>
      <c r="BT895" s="767">
        <f t="shared" si="638"/>
        <v>0</v>
      </c>
      <c r="BU895" s="769">
        <f t="shared" si="639"/>
        <v>0</v>
      </c>
      <c r="BV895" s="769">
        <f t="shared" si="626"/>
        <v>0</v>
      </c>
      <c r="BW895" s="769">
        <f t="shared" si="634"/>
        <v>0</v>
      </c>
      <c r="BX895" s="769">
        <f t="shared" si="627"/>
        <v>0</v>
      </c>
      <c r="BY895" s="761">
        <f t="shared" si="628"/>
        <v>0</v>
      </c>
      <c r="BZ895" s="768">
        <f t="shared" si="629"/>
        <v>0</v>
      </c>
      <c r="CA895" s="768">
        <f t="shared" si="630"/>
        <v>0</v>
      </c>
      <c r="CB895" s="82"/>
      <c r="CC895" s="770">
        <f t="shared" si="631"/>
        <v>0</v>
      </c>
      <c r="CD895" s="770">
        <f t="shared" si="632"/>
        <v>0</v>
      </c>
      <c r="CE895" s="770">
        <f t="shared" si="642"/>
        <v>0</v>
      </c>
      <c r="CF895" s="82"/>
      <c r="CG895" s="767" t="str">
        <f t="shared" si="633"/>
        <v/>
      </c>
      <c r="CH895" s="82"/>
    </row>
    <row r="896" spans="53:86">
      <c r="BA896" s="1537"/>
      <c r="BB896" s="38">
        <v>20</v>
      </c>
      <c r="BC896" s="110">
        <f>ROW()</f>
        <v>896</v>
      </c>
      <c r="BD896" s="38" t="str">
        <f t="shared" si="617"/>
        <v/>
      </c>
      <c r="BE896" s="90">
        <v>12</v>
      </c>
      <c r="BF896" s="761" t="s">
        <v>157</v>
      </c>
      <c r="BG896" s="766" t="s">
        <v>371</v>
      </c>
      <c r="BH896" s="761">
        <f t="shared" si="618"/>
        <v>0</v>
      </c>
      <c r="BI896" s="767">
        <f t="shared" si="619"/>
        <v>0</v>
      </c>
      <c r="BJ896" s="768">
        <f t="shared" ref="BJ896" si="643">BI896-BK896</f>
        <v>0</v>
      </c>
      <c r="BK896" s="768">
        <f t="shared" si="620"/>
        <v>0</v>
      </c>
      <c r="BL896" s="768">
        <f t="shared" si="621"/>
        <v>0</v>
      </c>
      <c r="BM896" s="768">
        <f t="shared" si="622"/>
        <v>0</v>
      </c>
      <c r="BN896" s="768">
        <f t="shared" si="623"/>
        <v>0</v>
      </c>
      <c r="BO896" s="767">
        <f t="shared" ref="BO896" si="644">BK896-BL896</f>
        <v>0</v>
      </c>
      <c r="BP896" s="769">
        <f t="shared" si="624"/>
        <v>0</v>
      </c>
      <c r="BQ896" s="767">
        <f t="shared" ref="BQ896" si="645">BM896</f>
        <v>0</v>
      </c>
      <c r="BR896" s="769">
        <f t="shared" si="625"/>
        <v>0</v>
      </c>
      <c r="BS896" s="82"/>
      <c r="BT896" s="767">
        <f t="shared" ref="BT896" si="646">BK896-BN896</f>
        <v>0</v>
      </c>
      <c r="BU896" s="769">
        <f t="shared" ref="BU896" si="647">BP896+BR896</f>
        <v>0</v>
      </c>
      <c r="BV896" s="769">
        <f t="shared" si="626"/>
        <v>0</v>
      </c>
      <c r="BW896" s="769">
        <f t="shared" si="634"/>
        <v>0</v>
      </c>
      <c r="BX896" s="769">
        <f t="shared" si="627"/>
        <v>0</v>
      </c>
      <c r="BY896" s="761">
        <f t="shared" si="628"/>
        <v>0</v>
      </c>
      <c r="BZ896" s="768">
        <f t="shared" si="629"/>
        <v>0</v>
      </c>
      <c r="CA896" s="768">
        <f t="shared" si="630"/>
        <v>0</v>
      </c>
      <c r="CB896" s="82"/>
      <c r="CC896" s="770">
        <f t="shared" si="631"/>
        <v>0</v>
      </c>
      <c r="CD896" s="770">
        <f t="shared" si="632"/>
        <v>0</v>
      </c>
      <c r="CE896" s="770">
        <f t="shared" ref="CE896" si="648">CC896-CD896</f>
        <v>0</v>
      </c>
      <c r="CF896" s="82"/>
      <c r="CG896" s="767" t="str">
        <f t="shared" si="633"/>
        <v/>
      </c>
      <c r="CH896" s="82"/>
    </row>
    <row r="897" spans="53:86">
      <c r="BA897" s="1537"/>
      <c r="BB897" s="38">
        <v>21</v>
      </c>
      <c r="BC897" s="110">
        <f>ROW()</f>
        <v>897</v>
      </c>
      <c r="BD897" s="38" t="str">
        <f t="shared" si="617"/>
        <v/>
      </c>
      <c r="BE897" s="90">
        <v>12</v>
      </c>
      <c r="BF897" s="761" t="s">
        <v>166</v>
      </c>
      <c r="BG897" s="766" t="s">
        <v>371</v>
      </c>
      <c r="BH897" s="761">
        <f t="shared" si="618"/>
        <v>0</v>
      </c>
      <c r="BI897" s="767">
        <f t="shared" si="619"/>
        <v>0</v>
      </c>
      <c r="BJ897" s="768">
        <f t="shared" ref="BJ897:BJ901" si="649">BI897-BK897</f>
        <v>0</v>
      </c>
      <c r="BK897" s="768">
        <f t="shared" si="620"/>
        <v>0</v>
      </c>
      <c r="BL897" s="768">
        <f t="shared" si="621"/>
        <v>0</v>
      </c>
      <c r="BM897" s="768">
        <f t="shared" si="622"/>
        <v>0</v>
      </c>
      <c r="BN897" s="768">
        <f t="shared" si="623"/>
        <v>0</v>
      </c>
      <c r="BO897" s="767">
        <f t="shared" ref="BO897:BO901" si="650">BK897-BL897</f>
        <v>0</v>
      </c>
      <c r="BP897" s="769">
        <f t="shared" si="624"/>
        <v>0</v>
      </c>
      <c r="BQ897" s="767">
        <f t="shared" ref="BQ897:BQ901" si="651">BM897</f>
        <v>0</v>
      </c>
      <c r="BR897" s="769">
        <f t="shared" si="625"/>
        <v>0</v>
      </c>
      <c r="BS897" s="82"/>
      <c r="BT897" s="767">
        <f t="shared" ref="BT897:BT901" si="652">BK897-BN897</f>
        <v>0</v>
      </c>
      <c r="BU897" s="769">
        <f t="shared" ref="BU897:BU901" si="653">BP897+BR897</f>
        <v>0</v>
      </c>
      <c r="BV897" s="769">
        <f t="shared" si="626"/>
        <v>0</v>
      </c>
      <c r="BW897" s="769">
        <f t="shared" si="634"/>
        <v>0</v>
      </c>
      <c r="BX897" s="769">
        <f t="shared" si="627"/>
        <v>0</v>
      </c>
      <c r="BY897" s="761">
        <f t="shared" si="628"/>
        <v>0</v>
      </c>
      <c r="BZ897" s="768">
        <f t="shared" si="629"/>
        <v>0</v>
      </c>
      <c r="CA897" s="768">
        <f t="shared" si="630"/>
        <v>0</v>
      </c>
      <c r="CB897" s="82"/>
      <c r="CC897" s="770">
        <f t="shared" si="631"/>
        <v>0</v>
      </c>
      <c r="CD897" s="770">
        <f t="shared" si="632"/>
        <v>0</v>
      </c>
      <c r="CE897" s="770">
        <f t="shared" ref="CE897:CE901" si="654">CC897-CD897</f>
        <v>0</v>
      </c>
      <c r="CF897" s="82"/>
      <c r="CG897" s="767" t="str">
        <f t="shared" si="633"/>
        <v/>
      </c>
      <c r="CH897" s="82"/>
    </row>
    <row r="898" spans="53:86">
      <c r="BA898" s="1537"/>
      <c r="BB898" s="38">
        <v>22</v>
      </c>
      <c r="BC898" s="110">
        <f>ROW()</f>
        <v>898</v>
      </c>
      <c r="BD898" s="38" t="str">
        <f t="shared" si="617"/>
        <v/>
      </c>
      <c r="BE898" s="90">
        <v>13</v>
      </c>
      <c r="BF898" s="761" t="s">
        <v>157</v>
      </c>
      <c r="BG898" s="766" t="s">
        <v>372</v>
      </c>
      <c r="BH898" s="761">
        <f t="shared" si="618"/>
        <v>0</v>
      </c>
      <c r="BI898" s="767">
        <f t="shared" si="619"/>
        <v>0</v>
      </c>
      <c r="BJ898" s="768">
        <f t="shared" si="649"/>
        <v>0</v>
      </c>
      <c r="BK898" s="768">
        <f t="shared" si="620"/>
        <v>0</v>
      </c>
      <c r="BL898" s="768">
        <f t="shared" si="621"/>
        <v>0</v>
      </c>
      <c r="BM898" s="768">
        <f t="shared" si="622"/>
        <v>0</v>
      </c>
      <c r="BN898" s="768">
        <f t="shared" si="623"/>
        <v>0</v>
      </c>
      <c r="BO898" s="767">
        <f t="shared" si="650"/>
        <v>0</v>
      </c>
      <c r="BP898" s="769">
        <f t="shared" si="624"/>
        <v>0</v>
      </c>
      <c r="BQ898" s="767">
        <f t="shared" si="651"/>
        <v>0</v>
      </c>
      <c r="BR898" s="769">
        <f t="shared" si="625"/>
        <v>0</v>
      </c>
      <c r="BS898" s="82"/>
      <c r="BT898" s="767">
        <f t="shared" si="652"/>
        <v>0</v>
      </c>
      <c r="BU898" s="769">
        <f t="shared" si="653"/>
        <v>0</v>
      </c>
      <c r="BV898" s="769">
        <f t="shared" si="626"/>
        <v>0</v>
      </c>
      <c r="BW898" s="769">
        <f t="shared" si="634"/>
        <v>0</v>
      </c>
      <c r="BX898" s="769">
        <f t="shared" si="627"/>
        <v>0</v>
      </c>
      <c r="BY898" s="761">
        <f t="shared" si="628"/>
        <v>0</v>
      </c>
      <c r="BZ898" s="768">
        <f t="shared" si="629"/>
        <v>0</v>
      </c>
      <c r="CA898" s="768">
        <f t="shared" si="630"/>
        <v>0</v>
      </c>
      <c r="CB898" s="82"/>
      <c r="CC898" s="770">
        <f t="shared" si="631"/>
        <v>0</v>
      </c>
      <c r="CD898" s="770">
        <f t="shared" si="632"/>
        <v>0</v>
      </c>
      <c r="CE898" s="770">
        <f t="shared" si="654"/>
        <v>0</v>
      </c>
      <c r="CF898" s="82"/>
      <c r="CG898" s="767" t="str">
        <f t="shared" si="633"/>
        <v/>
      </c>
      <c r="CH898" s="82"/>
    </row>
    <row r="899" spans="53:86">
      <c r="BA899" s="1537"/>
      <c r="BB899" s="38">
        <v>23</v>
      </c>
      <c r="BC899" s="110">
        <f>ROW()</f>
        <v>899</v>
      </c>
      <c r="BD899" s="38" t="str">
        <f t="shared" si="617"/>
        <v/>
      </c>
      <c r="BE899" s="90">
        <v>13</v>
      </c>
      <c r="BF899" s="761" t="s">
        <v>166</v>
      </c>
      <c r="BG899" s="766" t="s">
        <v>372</v>
      </c>
      <c r="BH899" s="761">
        <f t="shared" si="618"/>
        <v>0</v>
      </c>
      <c r="BI899" s="767">
        <f t="shared" si="619"/>
        <v>0</v>
      </c>
      <c r="BJ899" s="768">
        <f t="shared" si="649"/>
        <v>0</v>
      </c>
      <c r="BK899" s="768">
        <f t="shared" si="620"/>
        <v>0</v>
      </c>
      <c r="BL899" s="768">
        <f t="shared" si="621"/>
        <v>0</v>
      </c>
      <c r="BM899" s="768">
        <f t="shared" si="622"/>
        <v>0</v>
      </c>
      <c r="BN899" s="768">
        <f t="shared" si="623"/>
        <v>0</v>
      </c>
      <c r="BO899" s="767">
        <f t="shared" si="650"/>
        <v>0</v>
      </c>
      <c r="BP899" s="769">
        <f t="shared" si="624"/>
        <v>0</v>
      </c>
      <c r="BQ899" s="767">
        <f t="shared" si="651"/>
        <v>0</v>
      </c>
      <c r="BR899" s="769">
        <f t="shared" si="625"/>
        <v>0</v>
      </c>
      <c r="BS899" s="82"/>
      <c r="BT899" s="767">
        <f t="shared" si="652"/>
        <v>0</v>
      </c>
      <c r="BU899" s="769">
        <f t="shared" si="653"/>
        <v>0</v>
      </c>
      <c r="BV899" s="769">
        <f t="shared" si="626"/>
        <v>0</v>
      </c>
      <c r="BW899" s="769">
        <f t="shared" si="634"/>
        <v>0</v>
      </c>
      <c r="BX899" s="769">
        <f t="shared" si="627"/>
        <v>0</v>
      </c>
      <c r="BY899" s="761">
        <f t="shared" si="628"/>
        <v>0</v>
      </c>
      <c r="BZ899" s="768">
        <f t="shared" si="629"/>
        <v>0</v>
      </c>
      <c r="CA899" s="768">
        <f t="shared" si="630"/>
        <v>0</v>
      </c>
      <c r="CB899" s="82"/>
      <c r="CC899" s="770">
        <f t="shared" si="631"/>
        <v>0</v>
      </c>
      <c r="CD899" s="770">
        <f t="shared" si="632"/>
        <v>0</v>
      </c>
      <c r="CE899" s="770">
        <f t="shared" si="654"/>
        <v>0</v>
      </c>
      <c r="CF899" s="82"/>
      <c r="CG899" s="767" t="str">
        <f t="shared" si="633"/>
        <v/>
      </c>
      <c r="CH899" s="82"/>
    </row>
    <row r="900" spans="53:86">
      <c r="BA900" s="1537"/>
      <c r="BB900" s="38">
        <v>24</v>
      </c>
      <c r="BC900" s="110">
        <f>ROW()</f>
        <v>900</v>
      </c>
      <c r="BD900" s="38" t="str">
        <f t="shared" si="617"/>
        <v/>
      </c>
      <c r="BE900" s="90">
        <v>14</v>
      </c>
      <c r="BF900" s="761" t="s">
        <v>157</v>
      </c>
      <c r="BG900" s="766" t="s">
        <v>373</v>
      </c>
      <c r="BH900" s="761">
        <f t="shared" si="618"/>
        <v>0</v>
      </c>
      <c r="BI900" s="767">
        <f t="shared" si="619"/>
        <v>0</v>
      </c>
      <c r="BJ900" s="768">
        <f t="shared" si="649"/>
        <v>0</v>
      </c>
      <c r="BK900" s="768">
        <f t="shared" si="620"/>
        <v>0</v>
      </c>
      <c r="BL900" s="768">
        <f t="shared" si="621"/>
        <v>0</v>
      </c>
      <c r="BM900" s="768">
        <f t="shared" si="622"/>
        <v>0</v>
      </c>
      <c r="BN900" s="768">
        <f t="shared" si="623"/>
        <v>0</v>
      </c>
      <c r="BO900" s="767">
        <f t="shared" si="650"/>
        <v>0</v>
      </c>
      <c r="BP900" s="769">
        <f t="shared" si="624"/>
        <v>0</v>
      </c>
      <c r="BQ900" s="767">
        <f t="shared" si="651"/>
        <v>0</v>
      </c>
      <c r="BR900" s="769">
        <f t="shared" si="625"/>
        <v>0</v>
      </c>
      <c r="BS900" s="82"/>
      <c r="BT900" s="767">
        <f t="shared" si="652"/>
        <v>0</v>
      </c>
      <c r="BU900" s="769">
        <f t="shared" si="653"/>
        <v>0</v>
      </c>
      <c r="BV900" s="769">
        <f t="shared" si="626"/>
        <v>0</v>
      </c>
      <c r="BW900" s="769">
        <f t="shared" si="634"/>
        <v>0</v>
      </c>
      <c r="BX900" s="769">
        <f t="shared" si="627"/>
        <v>0</v>
      </c>
      <c r="BY900" s="761">
        <f t="shared" si="628"/>
        <v>0</v>
      </c>
      <c r="BZ900" s="768">
        <f t="shared" si="629"/>
        <v>0</v>
      </c>
      <c r="CA900" s="768">
        <f t="shared" si="630"/>
        <v>0</v>
      </c>
      <c r="CB900" s="82"/>
      <c r="CC900" s="770">
        <f t="shared" si="631"/>
        <v>0</v>
      </c>
      <c r="CD900" s="770">
        <f t="shared" si="632"/>
        <v>0</v>
      </c>
      <c r="CE900" s="770">
        <f t="shared" si="654"/>
        <v>0</v>
      </c>
      <c r="CF900" s="82"/>
      <c r="CG900" s="767" t="str">
        <f t="shared" si="633"/>
        <v/>
      </c>
    </row>
    <row r="901" spans="53:86">
      <c r="BA901" s="1537"/>
      <c r="BB901" s="38">
        <v>25</v>
      </c>
      <c r="BC901" s="110">
        <f>ROW()</f>
        <v>901</v>
      </c>
      <c r="BD901" s="38" t="str">
        <f t="shared" si="617"/>
        <v/>
      </c>
      <c r="BE901" s="90">
        <v>14</v>
      </c>
      <c r="BF901" s="761" t="s">
        <v>166</v>
      </c>
      <c r="BG901" s="766" t="s">
        <v>373</v>
      </c>
      <c r="BH901" s="761">
        <f t="shared" si="618"/>
        <v>0</v>
      </c>
      <c r="BI901" s="767">
        <f t="shared" si="619"/>
        <v>0</v>
      </c>
      <c r="BJ901" s="768">
        <f t="shared" si="649"/>
        <v>0</v>
      </c>
      <c r="BK901" s="768">
        <f t="shared" si="620"/>
        <v>0</v>
      </c>
      <c r="BL901" s="768">
        <f t="shared" si="621"/>
        <v>0</v>
      </c>
      <c r="BM901" s="768">
        <f t="shared" si="622"/>
        <v>0</v>
      </c>
      <c r="BN901" s="768">
        <f t="shared" si="623"/>
        <v>0</v>
      </c>
      <c r="BO901" s="767">
        <f t="shared" si="650"/>
        <v>0</v>
      </c>
      <c r="BP901" s="769">
        <f t="shared" si="624"/>
        <v>0</v>
      </c>
      <c r="BQ901" s="767">
        <f t="shared" si="651"/>
        <v>0</v>
      </c>
      <c r="BR901" s="769">
        <f t="shared" si="625"/>
        <v>0</v>
      </c>
      <c r="BS901" s="82"/>
      <c r="BT901" s="767">
        <f t="shared" si="652"/>
        <v>0</v>
      </c>
      <c r="BU901" s="769">
        <f t="shared" si="653"/>
        <v>0</v>
      </c>
      <c r="BV901" s="769">
        <f t="shared" si="626"/>
        <v>0</v>
      </c>
      <c r="BW901" s="769">
        <f t="shared" si="634"/>
        <v>0</v>
      </c>
      <c r="BX901" s="769">
        <f t="shared" si="627"/>
        <v>0</v>
      </c>
      <c r="BY901" s="761">
        <f t="shared" si="628"/>
        <v>0</v>
      </c>
      <c r="BZ901" s="768">
        <f t="shared" si="629"/>
        <v>0</v>
      </c>
      <c r="CA901" s="768">
        <f t="shared" si="630"/>
        <v>0</v>
      </c>
      <c r="CB901" s="82"/>
      <c r="CC901" s="770">
        <f t="shared" si="631"/>
        <v>0</v>
      </c>
      <c r="CD901" s="770">
        <f t="shared" si="632"/>
        <v>0</v>
      </c>
      <c r="CE901" s="770">
        <f t="shared" si="654"/>
        <v>0</v>
      </c>
      <c r="CF901" s="82"/>
      <c r="CG901" s="767" t="str">
        <f t="shared" si="633"/>
        <v/>
      </c>
    </row>
    <row r="902" spans="53:86">
      <c r="BA902" s="1537"/>
      <c r="BC902" s="110">
        <f>ROW()</f>
        <v>902</v>
      </c>
      <c r="BD902" s="82"/>
      <c r="BE902" s="82"/>
      <c r="BG902" s="1570" t="s">
        <v>374</v>
      </c>
      <c r="BJ902" s="87"/>
      <c r="BK902" s="87"/>
      <c r="BL902" s="87"/>
      <c r="BM902" s="87"/>
      <c r="BN902" s="87"/>
    </row>
    <row r="903" spans="53:86">
      <c r="BA903" s="1537"/>
      <c r="BC903" s="110">
        <f>ROW()</f>
        <v>903</v>
      </c>
      <c r="BD903" s="82"/>
      <c r="BE903" s="82"/>
      <c r="BG903" s="1570"/>
      <c r="BH903" s="771">
        <f t="shared" ref="BH903:BO903" si="655">SUM(BH877:BH902)</f>
        <v>0</v>
      </c>
      <c r="BI903" s="771">
        <f t="shared" si="655"/>
        <v>0</v>
      </c>
      <c r="BJ903" s="772">
        <f t="shared" si="655"/>
        <v>0</v>
      </c>
      <c r="BK903" s="772">
        <f t="shared" si="655"/>
        <v>0</v>
      </c>
      <c r="BL903" s="772">
        <f t="shared" si="655"/>
        <v>0</v>
      </c>
      <c r="BM903" s="772">
        <f t="shared" si="655"/>
        <v>0</v>
      </c>
      <c r="BN903" s="772">
        <f t="shared" si="655"/>
        <v>0</v>
      </c>
      <c r="BO903" s="771">
        <f t="shared" si="655"/>
        <v>0</v>
      </c>
      <c r="BP903" s="773">
        <f>SUM(BP877:BP893)</f>
        <v>0</v>
      </c>
      <c r="BQ903" s="771">
        <f>SUM(BQ877:BQ893)</f>
        <v>0</v>
      </c>
      <c r="BR903" s="773">
        <f>SUM(BR877:BR893)</f>
        <v>0</v>
      </c>
      <c r="BS903" s="114"/>
      <c r="BT903" s="771">
        <f t="shared" ref="BT903:CA903" si="656">SUM(BT877:BT902)</f>
        <v>0</v>
      </c>
      <c r="BU903" s="773">
        <f t="shared" si="656"/>
        <v>0</v>
      </c>
      <c r="BV903" s="773">
        <f t="shared" si="656"/>
        <v>0</v>
      </c>
      <c r="BW903" s="773">
        <f t="shared" si="656"/>
        <v>0</v>
      </c>
      <c r="BX903" s="773">
        <f t="shared" si="656"/>
        <v>0</v>
      </c>
      <c r="BY903" s="771">
        <f t="shared" si="656"/>
        <v>0</v>
      </c>
      <c r="BZ903" s="771">
        <f t="shared" si="656"/>
        <v>0</v>
      </c>
      <c r="CA903" s="771">
        <f t="shared" si="656"/>
        <v>0</v>
      </c>
      <c r="CB903" s="114"/>
      <c r="CC903" s="774">
        <f>SUM(CC877:CC902)</f>
        <v>0</v>
      </c>
      <c r="CD903" s="774">
        <f>SUM(CD877:CD902)</f>
        <v>0</v>
      </c>
      <c r="CE903" s="774">
        <f>SUM(CE877:CE902)</f>
        <v>0</v>
      </c>
      <c r="CG903" s="771"/>
    </row>
    <row r="904" spans="53:86">
      <c r="BA904" s="1537"/>
      <c r="BC904" s="110">
        <f>ROW()</f>
        <v>904</v>
      </c>
      <c r="BD904" s="82"/>
      <c r="BE904" s="82"/>
      <c r="BG904" s="1570"/>
    </row>
    <row r="905" spans="53:86">
      <c r="BA905" s="1537"/>
      <c r="BC905" s="110">
        <f>ROW()</f>
        <v>905</v>
      </c>
      <c r="BD905" s="82"/>
      <c r="BE905" s="82"/>
      <c r="BH905" s="775"/>
      <c r="BI905" s="776"/>
      <c r="BJ905" s="776"/>
      <c r="BK905" s="776"/>
      <c r="BL905" s="776"/>
      <c r="BM905" s="776"/>
      <c r="BN905" s="776"/>
      <c r="BO905" s="776"/>
      <c r="BP905" s="776"/>
      <c r="BQ905" s="776"/>
      <c r="BR905" s="776"/>
      <c r="BS905" s="776"/>
      <c r="BT905" s="776"/>
      <c r="BU905" s="776"/>
      <c r="BV905" s="776"/>
      <c r="BW905" s="776"/>
      <c r="BX905" s="776"/>
      <c r="BY905" s="777" t="s">
        <v>375</v>
      </c>
      <c r="BZ905" s="778">
        <f>BZ903</f>
        <v>0</v>
      </c>
    </row>
    <row r="906" spans="53:86">
      <c r="BA906" s="1537"/>
      <c r="BE906" s="110">
        <v>1</v>
      </c>
      <c r="BF906" s="761" t="s">
        <v>157</v>
      </c>
      <c r="BG906" s="766" t="s">
        <v>356</v>
      </c>
      <c r="BH906" s="775"/>
      <c r="BI906" s="776"/>
      <c r="BJ906" s="776"/>
      <c r="BK906" s="776"/>
      <c r="BL906" s="776"/>
      <c r="BM906" s="776"/>
      <c r="BN906" s="776"/>
      <c r="BO906" s="776"/>
      <c r="BP906" s="776"/>
      <c r="BQ906" s="776"/>
      <c r="BR906" s="776"/>
      <c r="BS906" s="776"/>
      <c r="BT906" s="776"/>
      <c r="BU906" s="776"/>
      <c r="BV906" s="776"/>
      <c r="BW906" s="776"/>
      <c r="BX906" s="776"/>
      <c r="BY906" s="777" t="s">
        <v>376</v>
      </c>
      <c r="CA906" s="767">
        <f>CA903</f>
        <v>0</v>
      </c>
    </row>
    <row r="907" spans="53:86">
      <c r="BA907" s="1537"/>
      <c r="BE907" s="82"/>
    </row>
    <row r="908" spans="53:86">
      <c r="BA908" s="1537"/>
      <c r="BE908" s="82"/>
      <c r="BH908" s="38" t="s">
        <v>377</v>
      </c>
    </row>
    <row r="909" spans="53:86">
      <c r="BA909" s="1537"/>
      <c r="BE909" s="82"/>
      <c r="BG909" s="38" t="s">
        <v>378</v>
      </c>
      <c r="BH909" s="244">
        <f>BO903</f>
        <v>0</v>
      </c>
    </row>
    <row r="910" spans="53:86">
      <c r="BA910" s="1537"/>
      <c r="BE910" s="82"/>
      <c r="BG910" s="38" t="s">
        <v>170</v>
      </c>
      <c r="BH910" s="374">
        <f>SUM(BO883:BO888)</f>
        <v>0</v>
      </c>
    </row>
    <row r="911" spans="53:86">
      <c r="BA911" s="1537"/>
      <c r="BG911" s="38" t="s">
        <v>316</v>
      </c>
      <c r="BH911" s="374">
        <f>BQ903</f>
        <v>0</v>
      </c>
    </row>
    <row r="912" spans="53:86">
      <c r="BA912" s="1537"/>
    </row>
    <row r="913" spans="53:53">
      <c r="BA913" s="1537"/>
    </row>
  </sheetData>
  <sheetProtection algorithmName="SHA-512" hashValue="OiR0Hlh2r6gPtU6C0tf0v3ifAB16CJuz6DJrc3vc5h0p7IXtq8zj03e0Q7zyh3nM192Up98h6aFT9WBITv5SJA==" saltValue="jx1xRqhWmmm6OAwL3a06NQ==" spinCount="100000" sheet="1" selectLockedCells="1"/>
  <mergeCells count="29407">
    <mergeCell ref="U774:AD774"/>
    <mergeCell ref="U778:AD778"/>
    <mergeCell ref="U779:AD779"/>
    <mergeCell ref="U783:AD783"/>
    <mergeCell ref="U784:AD784"/>
    <mergeCell ref="U788:AD788"/>
    <mergeCell ref="U789:AD789"/>
    <mergeCell ref="U690:AD690"/>
    <mergeCell ref="U691:AD691"/>
    <mergeCell ref="U695:AD695"/>
    <mergeCell ref="U696:AD696"/>
    <mergeCell ref="U700:AD700"/>
    <mergeCell ref="U701:AD701"/>
    <mergeCell ref="U705:AD705"/>
    <mergeCell ref="U706:AD706"/>
    <mergeCell ref="U710:AD710"/>
    <mergeCell ref="U711:AD711"/>
    <mergeCell ref="U718:AD718"/>
    <mergeCell ref="U719:AD719"/>
    <mergeCell ref="U723:AD723"/>
    <mergeCell ref="U724:AD724"/>
    <mergeCell ref="U728:AD728"/>
    <mergeCell ref="U729:AD729"/>
    <mergeCell ref="U733:AD733"/>
    <mergeCell ref="U734:AD734"/>
    <mergeCell ref="U738:AD738"/>
    <mergeCell ref="U739:AD739"/>
    <mergeCell ref="U743:AD743"/>
    <mergeCell ref="U744:AD744"/>
    <mergeCell ref="U748:AD748"/>
    <mergeCell ref="U749:AD749"/>
    <mergeCell ref="U753:AD753"/>
    <mergeCell ref="U754:AD754"/>
    <mergeCell ref="U758:AD758"/>
    <mergeCell ref="U759:AD759"/>
    <mergeCell ref="U763:AD763"/>
    <mergeCell ref="U764:AD764"/>
    <mergeCell ref="U768:AD768"/>
    <mergeCell ref="U769:AD769"/>
    <mergeCell ref="U773:AD773"/>
    <mergeCell ref="E776:AT776"/>
    <mergeCell ref="G762:R762"/>
    <mergeCell ref="S762:S763"/>
    <mergeCell ref="U762:AA762"/>
    <mergeCell ref="AF762:AI762"/>
    <mergeCell ref="AJ762:AJ763"/>
    <mergeCell ref="AK762:AK763"/>
    <mergeCell ref="AL762:AL763"/>
    <mergeCell ref="AM762:AN765"/>
    <mergeCell ref="AO762:AQ765"/>
    <mergeCell ref="AR762:AR765"/>
    <mergeCell ref="AS762:AS765"/>
    <mergeCell ref="AT762:AT765"/>
    <mergeCell ref="E759:F759"/>
    <mergeCell ref="G759:L759"/>
    <mergeCell ref="P759:Q759"/>
    <mergeCell ref="S759:S760"/>
    <mergeCell ref="AF759:AI759"/>
    <mergeCell ref="AJ759:AJ760"/>
    <mergeCell ref="AK759:AK760"/>
    <mergeCell ref="AL759:AL760"/>
    <mergeCell ref="E758:F758"/>
    <mergeCell ref="G758:L758"/>
    <mergeCell ref="P758:Q758"/>
    <mergeCell ref="U613:AD613"/>
    <mergeCell ref="U617:AD617"/>
    <mergeCell ref="U618:AD618"/>
    <mergeCell ref="U622:AD622"/>
    <mergeCell ref="U623:AD623"/>
    <mergeCell ref="U627:AD627"/>
    <mergeCell ref="U628:AD628"/>
    <mergeCell ref="U632:AD632"/>
    <mergeCell ref="U633:AD633"/>
    <mergeCell ref="U640:AD640"/>
    <mergeCell ref="U641:AD641"/>
    <mergeCell ref="U645:AD645"/>
    <mergeCell ref="U646:AD646"/>
    <mergeCell ref="U650:AD650"/>
    <mergeCell ref="U651:AD651"/>
    <mergeCell ref="U655:AD655"/>
    <mergeCell ref="U656:AD656"/>
    <mergeCell ref="U660:AD660"/>
    <mergeCell ref="U661:AD661"/>
    <mergeCell ref="U665:AD665"/>
    <mergeCell ref="U666:AD666"/>
    <mergeCell ref="U670:AD670"/>
    <mergeCell ref="U671:AD671"/>
    <mergeCell ref="U675:AD675"/>
    <mergeCell ref="U676:AD676"/>
    <mergeCell ref="U680:AD680"/>
    <mergeCell ref="E668:AT668"/>
    <mergeCell ref="AF666:AI666"/>
    <mergeCell ref="AJ666:AJ667"/>
    <mergeCell ref="AK666:AK667"/>
    <mergeCell ref="AL666:AL667"/>
    <mergeCell ref="G661:L661"/>
    <mergeCell ref="P661:Q661"/>
    <mergeCell ref="S661:S662"/>
    <mergeCell ref="AF661:AI661"/>
    <mergeCell ref="AJ661:AJ662"/>
    <mergeCell ref="AK661:AK662"/>
    <mergeCell ref="AL661:AL662"/>
    <mergeCell ref="E657:F657"/>
    <mergeCell ref="G657:L657"/>
    <mergeCell ref="P657:R657"/>
    <mergeCell ref="U657:AA657"/>
    <mergeCell ref="AF657:AI657"/>
    <mergeCell ref="E658:AT658"/>
    <mergeCell ref="E647:F647"/>
    <mergeCell ref="G647:L647"/>
    <mergeCell ref="P647:R647"/>
    <mergeCell ref="U647:AA647"/>
    <mergeCell ref="AF647:AI647"/>
    <mergeCell ref="E648:AT648"/>
    <mergeCell ref="AF646:AI646"/>
    <mergeCell ref="AJ646:AJ647"/>
    <mergeCell ref="AK646:AK647"/>
    <mergeCell ref="AL646:AL647"/>
    <mergeCell ref="E634:F634"/>
    <mergeCell ref="G634:L634"/>
    <mergeCell ref="P634:R634"/>
    <mergeCell ref="E673:AT673"/>
    <mergeCell ref="U634:AA634"/>
    <mergeCell ref="E667:F667"/>
    <mergeCell ref="G667:L667"/>
    <mergeCell ref="P667:R667"/>
    <mergeCell ref="U667:AA667"/>
    <mergeCell ref="AF667:AI667"/>
    <mergeCell ref="E590:AT590"/>
    <mergeCell ref="AF588:AI588"/>
    <mergeCell ref="AJ588:AJ589"/>
    <mergeCell ref="AK588:AK589"/>
    <mergeCell ref="AL588:AL589"/>
    <mergeCell ref="G583:L583"/>
    <mergeCell ref="P583:Q583"/>
    <mergeCell ref="S583:S584"/>
    <mergeCell ref="AF583:AI583"/>
    <mergeCell ref="AJ583:AJ584"/>
    <mergeCell ref="AK583:AK584"/>
    <mergeCell ref="AL583:AL584"/>
    <mergeCell ref="E579:F579"/>
    <mergeCell ref="G579:L579"/>
    <mergeCell ref="P579:R579"/>
    <mergeCell ref="U579:AA579"/>
    <mergeCell ref="AF579:AI579"/>
    <mergeCell ref="E580:AT580"/>
    <mergeCell ref="E569:F569"/>
    <mergeCell ref="G569:L569"/>
    <mergeCell ref="P569:R569"/>
    <mergeCell ref="U569:AA569"/>
    <mergeCell ref="AF569:AI569"/>
    <mergeCell ref="E570:AT570"/>
    <mergeCell ref="AF568:AI568"/>
    <mergeCell ref="AJ568:AJ569"/>
    <mergeCell ref="AK568:AK569"/>
    <mergeCell ref="AL568:AL569"/>
    <mergeCell ref="U602:AD602"/>
    <mergeCell ref="U603:AD603"/>
    <mergeCell ref="U607:AD607"/>
    <mergeCell ref="U608:AD608"/>
    <mergeCell ref="U612:AD612"/>
    <mergeCell ref="G606:R606"/>
    <mergeCell ref="S606:S607"/>
    <mergeCell ref="U606:AA606"/>
    <mergeCell ref="AF606:AI606"/>
    <mergeCell ref="AJ606:AJ607"/>
    <mergeCell ref="AK606:AK607"/>
    <mergeCell ref="AL606:AL607"/>
    <mergeCell ref="AM606:AN609"/>
    <mergeCell ref="AO606:AQ609"/>
    <mergeCell ref="AR606:AR609"/>
    <mergeCell ref="AS606:AS609"/>
    <mergeCell ref="AT606:AT609"/>
    <mergeCell ref="E595:AT595"/>
    <mergeCell ref="E589:F589"/>
    <mergeCell ref="G589:L589"/>
    <mergeCell ref="P589:R589"/>
    <mergeCell ref="U589:AA589"/>
    <mergeCell ref="AF589:AI589"/>
    <mergeCell ref="U582:AD582"/>
    <mergeCell ref="U583:AD583"/>
    <mergeCell ref="U587:AD587"/>
    <mergeCell ref="U588:AD588"/>
    <mergeCell ref="AO581:AQ584"/>
    <mergeCell ref="AR581:AR584"/>
    <mergeCell ref="AS581:AS584"/>
    <mergeCell ref="AT581:AT584"/>
    <mergeCell ref="E572:F572"/>
    <mergeCell ref="G572:L572"/>
    <mergeCell ref="P572:Q572"/>
    <mergeCell ref="AF572:AI572"/>
    <mergeCell ref="E573:F573"/>
    <mergeCell ref="E371:AT371"/>
    <mergeCell ref="AF359:AI359"/>
    <mergeCell ref="AJ359:AJ360"/>
    <mergeCell ref="E429:AT429"/>
    <mergeCell ref="E423:F423"/>
    <mergeCell ref="G423:L423"/>
    <mergeCell ref="P423:R423"/>
    <mergeCell ref="U423:AA423"/>
    <mergeCell ref="AF423:AI423"/>
    <mergeCell ref="E424:AT424"/>
    <mergeCell ref="U509:AD509"/>
    <mergeCell ref="U510:AD510"/>
    <mergeCell ref="U514:AD514"/>
    <mergeCell ref="U515:AD515"/>
    <mergeCell ref="U519:AD519"/>
    <mergeCell ref="U520:AD520"/>
    <mergeCell ref="U524:AD524"/>
    <mergeCell ref="U525:AD525"/>
    <mergeCell ref="U529:AD529"/>
    <mergeCell ref="U530:AD530"/>
    <mergeCell ref="U534:AD534"/>
    <mergeCell ref="U535:AD535"/>
    <mergeCell ref="U539:AD539"/>
    <mergeCell ref="U540:AD540"/>
    <mergeCell ref="U544:AD544"/>
    <mergeCell ref="U545:AD545"/>
    <mergeCell ref="U549:AD549"/>
    <mergeCell ref="U550:AD550"/>
    <mergeCell ref="U554:AD554"/>
    <mergeCell ref="U555:AD555"/>
    <mergeCell ref="U562:AD562"/>
    <mergeCell ref="U563:AD563"/>
    <mergeCell ref="U567:AD567"/>
    <mergeCell ref="E556:F556"/>
    <mergeCell ref="G556:L556"/>
    <mergeCell ref="P556:R556"/>
    <mergeCell ref="U436:AD436"/>
    <mergeCell ref="U437:AD437"/>
    <mergeCell ref="U441:AD441"/>
    <mergeCell ref="U442:AD442"/>
    <mergeCell ref="U446:AD446"/>
    <mergeCell ref="U447:AD447"/>
    <mergeCell ref="U451:AD451"/>
    <mergeCell ref="U452:AD452"/>
    <mergeCell ref="U456:AD456"/>
    <mergeCell ref="U457:AD457"/>
    <mergeCell ref="U461:AD461"/>
    <mergeCell ref="U462:AD462"/>
    <mergeCell ref="U466:AD466"/>
    <mergeCell ref="U467:AD467"/>
    <mergeCell ref="U471:AD471"/>
    <mergeCell ref="U472:AD472"/>
    <mergeCell ref="U476:AD476"/>
    <mergeCell ref="U477:AD477"/>
    <mergeCell ref="U484:AD484"/>
    <mergeCell ref="U485:AD485"/>
    <mergeCell ref="U489:AD489"/>
    <mergeCell ref="U490:AD490"/>
    <mergeCell ref="U494:AD494"/>
    <mergeCell ref="U495:AD495"/>
    <mergeCell ref="U499:AD499"/>
    <mergeCell ref="U500:AD500"/>
    <mergeCell ref="U504:AD504"/>
    <mergeCell ref="U505:AD505"/>
    <mergeCell ref="E356:AT356"/>
    <mergeCell ref="AK354:AK355"/>
    <mergeCell ref="AL354:AL355"/>
    <mergeCell ref="E346:AT346"/>
    <mergeCell ref="S329:S330"/>
    <mergeCell ref="AF329:AI329"/>
    <mergeCell ref="AJ329:AJ330"/>
    <mergeCell ref="AK329:AK330"/>
    <mergeCell ref="AL329:AL330"/>
    <mergeCell ref="E464:AT464"/>
    <mergeCell ref="AF462:AI462"/>
    <mergeCell ref="AJ462:AJ463"/>
    <mergeCell ref="AK462:AK463"/>
    <mergeCell ref="AL462:AL463"/>
    <mergeCell ref="P457:Q457"/>
    <mergeCell ref="S457:S458"/>
    <mergeCell ref="AF457:AI457"/>
    <mergeCell ref="AJ457:AJ458"/>
    <mergeCell ref="AK457:AK458"/>
    <mergeCell ref="AL457:AL458"/>
    <mergeCell ref="E439:AT439"/>
    <mergeCell ref="U353:AD353"/>
    <mergeCell ref="U354:AD354"/>
    <mergeCell ref="U358:AD358"/>
    <mergeCell ref="U359:AD359"/>
    <mergeCell ref="U363:AD363"/>
    <mergeCell ref="U364:AD364"/>
    <mergeCell ref="U368:AD368"/>
    <mergeCell ref="U369:AD369"/>
    <mergeCell ref="U373:AD373"/>
    <mergeCell ref="U374:AD374"/>
    <mergeCell ref="U378:AD378"/>
    <mergeCell ref="U379:AD379"/>
    <mergeCell ref="U383:AD383"/>
    <mergeCell ref="U384:AD384"/>
    <mergeCell ref="U388:AD388"/>
    <mergeCell ref="U389:AD389"/>
    <mergeCell ref="U393:AD393"/>
    <mergeCell ref="U394:AD394"/>
    <mergeCell ref="U398:AD398"/>
    <mergeCell ref="U399:AD399"/>
    <mergeCell ref="U406:AD406"/>
    <mergeCell ref="U407:AD407"/>
    <mergeCell ref="U411:AD411"/>
    <mergeCell ref="U412:AD412"/>
    <mergeCell ref="U416:AD416"/>
    <mergeCell ref="U417:AD417"/>
    <mergeCell ref="U421:AD421"/>
    <mergeCell ref="E414:AT414"/>
    <mergeCell ref="AL407:AL408"/>
    <mergeCell ref="E408:F408"/>
    <mergeCell ref="G408:L408"/>
    <mergeCell ref="P408:R408"/>
    <mergeCell ref="E388:F388"/>
    <mergeCell ref="G388:L388"/>
    <mergeCell ref="P388:Q388"/>
    <mergeCell ref="AF388:AI388"/>
    <mergeCell ref="E381:AT381"/>
    <mergeCell ref="AK379:AK380"/>
    <mergeCell ref="AL379:AL380"/>
    <mergeCell ref="E375:F375"/>
    <mergeCell ref="G375:L375"/>
    <mergeCell ref="P375:R375"/>
    <mergeCell ref="U375:AA375"/>
    <mergeCell ref="P354:Q354"/>
    <mergeCell ref="S354:S355"/>
    <mergeCell ref="AF354:AI354"/>
    <mergeCell ref="AJ354:AJ355"/>
    <mergeCell ref="U250:AD250"/>
    <mergeCell ref="U251:AD251"/>
    <mergeCell ref="U255:AD255"/>
    <mergeCell ref="U256:AD256"/>
    <mergeCell ref="U260:AD260"/>
    <mergeCell ref="U261:AD261"/>
    <mergeCell ref="U265:AD265"/>
    <mergeCell ref="U266:AD266"/>
    <mergeCell ref="U270:AD270"/>
    <mergeCell ref="U271:AD271"/>
    <mergeCell ref="U275:AD275"/>
    <mergeCell ref="U276:AD276"/>
    <mergeCell ref="U280:AD280"/>
    <mergeCell ref="U281:AD281"/>
    <mergeCell ref="U285:AD285"/>
    <mergeCell ref="U286:AD286"/>
    <mergeCell ref="U290:AD290"/>
    <mergeCell ref="U291:AD291"/>
    <mergeCell ref="U295:AD295"/>
    <mergeCell ref="U296:AD296"/>
    <mergeCell ref="U300:AD300"/>
    <mergeCell ref="U301:AD301"/>
    <mergeCell ref="U305:AD305"/>
    <mergeCell ref="U306:AD306"/>
    <mergeCell ref="U310:AD310"/>
    <mergeCell ref="U311:AD311"/>
    <mergeCell ref="U315:AD315"/>
    <mergeCell ref="U316:AD316"/>
    <mergeCell ref="U320:AD320"/>
    <mergeCell ref="U321:AD321"/>
    <mergeCell ref="P321:Q321"/>
    <mergeCell ref="S321:S322"/>
    <mergeCell ref="AF321:AI321"/>
    <mergeCell ref="AJ321:AJ322"/>
    <mergeCell ref="U172:AD172"/>
    <mergeCell ref="U173:AD173"/>
    <mergeCell ref="U177:AD177"/>
    <mergeCell ref="U178:AD178"/>
    <mergeCell ref="U182:AD182"/>
    <mergeCell ref="U183:AD183"/>
    <mergeCell ref="U187:AD187"/>
    <mergeCell ref="U188:AD188"/>
    <mergeCell ref="U192:AD192"/>
    <mergeCell ref="U193:AD193"/>
    <mergeCell ref="U197:AD197"/>
    <mergeCell ref="U198:AD198"/>
    <mergeCell ref="U202:AD202"/>
    <mergeCell ref="U203:AD203"/>
    <mergeCell ref="U207:AD207"/>
    <mergeCell ref="U208:AD208"/>
    <mergeCell ref="U212:AD212"/>
    <mergeCell ref="U213:AD213"/>
    <mergeCell ref="U217:AD217"/>
    <mergeCell ref="U218:AD218"/>
    <mergeCell ref="U222:AD222"/>
    <mergeCell ref="U223:AD223"/>
    <mergeCell ref="U227:AD227"/>
    <mergeCell ref="U228:AD228"/>
    <mergeCell ref="U232:AD232"/>
    <mergeCell ref="U233:AD233"/>
    <mergeCell ref="U237:AD237"/>
    <mergeCell ref="U238:AD238"/>
    <mergeCell ref="U242:AD242"/>
    <mergeCell ref="U243:AD243"/>
    <mergeCell ref="E303:AT303"/>
    <mergeCell ref="AR304:AR307"/>
    <mergeCell ref="AS304:AS307"/>
    <mergeCell ref="AT304:AT307"/>
    <mergeCell ref="E297:F297"/>
    <mergeCell ref="G297:L297"/>
    <mergeCell ref="P297:R297"/>
    <mergeCell ref="U297:AA297"/>
    <mergeCell ref="AF297:AI297"/>
    <mergeCell ref="E298:AT298"/>
    <mergeCell ref="E278:AT278"/>
    <mergeCell ref="E268:AT268"/>
    <mergeCell ref="E263:AT263"/>
    <mergeCell ref="E253:AT253"/>
    <mergeCell ref="E240:AT240"/>
    <mergeCell ref="AF233:AI233"/>
    <mergeCell ref="AJ233:AJ234"/>
    <mergeCell ref="AK233:AK234"/>
    <mergeCell ref="AL233:AL234"/>
    <mergeCell ref="E225:AT225"/>
    <mergeCell ref="G209:L209"/>
    <mergeCell ref="P209:R209"/>
    <mergeCell ref="U209:AA209"/>
    <mergeCell ref="AF209:AI209"/>
    <mergeCell ref="E210:AT210"/>
    <mergeCell ref="AT211:AT214"/>
    <mergeCell ref="E209:F209"/>
    <mergeCell ref="E200:AT200"/>
    <mergeCell ref="P198:Q198"/>
    <mergeCell ref="S198:S199"/>
    <mergeCell ref="AF198:AI198"/>
    <mergeCell ref="AJ198:AJ199"/>
    <mergeCell ref="AK198:AK199"/>
    <mergeCell ref="AL198:AL199"/>
    <mergeCell ref="HY242:HY243"/>
    <mergeCell ref="U71:AD71"/>
    <mergeCell ref="U72:AD72"/>
    <mergeCell ref="U76:AD76"/>
    <mergeCell ref="U77:AD77"/>
    <mergeCell ref="U81:AD81"/>
    <mergeCell ref="U82:AD82"/>
    <mergeCell ref="U86:AD86"/>
    <mergeCell ref="U87:AD87"/>
    <mergeCell ref="U94:AD94"/>
    <mergeCell ref="U95:AD95"/>
    <mergeCell ref="U99:AD99"/>
    <mergeCell ref="U100:AD100"/>
    <mergeCell ref="U104:AD104"/>
    <mergeCell ref="U105:AD105"/>
    <mergeCell ref="U109:AD109"/>
    <mergeCell ref="U110:AD110"/>
    <mergeCell ref="U114:AD114"/>
    <mergeCell ref="U115:AD115"/>
    <mergeCell ref="U119:AD119"/>
    <mergeCell ref="U120:AD120"/>
    <mergeCell ref="U124:AD124"/>
    <mergeCell ref="U125:AD125"/>
    <mergeCell ref="U129:AD129"/>
    <mergeCell ref="U130:AD130"/>
    <mergeCell ref="U134:AD134"/>
    <mergeCell ref="U135:AD135"/>
    <mergeCell ref="U139:AD139"/>
    <mergeCell ref="U140:AD140"/>
    <mergeCell ref="U144:AD144"/>
    <mergeCell ref="U145:AD145"/>
    <mergeCell ref="U149:AD149"/>
    <mergeCell ref="U150:AD150"/>
    <mergeCell ref="U154:AD154"/>
    <mergeCell ref="E74:AT74"/>
    <mergeCell ref="U93:AA93"/>
    <mergeCell ref="AF93:AI93"/>
    <mergeCell ref="AF85:AI85"/>
    <mergeCell ref="AJ85:AJ86"/>
    <mergeCell ref="AK85:AK86"/>
    <mergeCell ref="AL85:AL86"/>
    <mergeCell ref="AM85:AN88"/>
    <mergeCell ref="AO85:AQ88"/>
    <mergeCell ref="AR85:AR88"/>
    <mergeCell ref="AS85:AS88"/>
    <mergeCell ref="AT85:AT88"/>
    <mergeCell ref="E86:F86"/>
    <mergeCell ref="G86:L86"/>
    <mergeCell ref="P86:Q86"/>
    <mergeCell ref="AF86:AI86"/>
    <mergeCell ref="E87:F87"/>
    <mergeCell ref="G87:L87"/>
    <mergeCell ref="P87:Q87"/>
    <mergeCell ref="S87:S88"/>
    <mergeCell ref="AF87:AI87"/>
    <mergeCell ref="AJ87:AJ88"/>
    <mergeCell ref="AK87:AK88"/>
    <mergeCell ref="AL87:AL88"/>
    <mergeCell ref="AK95:AK96"/>
    <mergeCell ref="AL95:AL96"/>
    <mergeCell ref="CR241:CR242"/>
    <mergeCell ref="CS241:CS242"/>
    <mergeCell ref="CT241:CT242"/>
    <mergeCell ref="CU241:CU242"/>
    <mergeCell ref="FX787:FX790"/>
    <mergeCell ref="FY787:FY790"/>
    <mergeCell ref="FZ787:FZ790"/>
    <mergeCell ref="AM248:AN248"/>
    <mergeCell ref="AO248:AQ248"/>
    <mergeCell ref="AM170:AN170"/>
    <mergeCell ref="AO170:AQ170"/>
    <mergeCell ref="IK40:IK41"/>
    <mergeCell ref="IL40:IL41"/>
    <mergeCell ref="IM40:IM41"/>
    <mergeCell ref="IN40:IN41"/>
    <mergeCell ref="IO40:IO41"/>
    <mergeCell ref="IP40:IP41"/>
    <mergeCell ref="IK42:IK43"/>
    <mergeCell ref="IL42:IL43"/>
    <mergeCell ref="IM42:IM43"/>
    <mergeCell ref="IN42:IN43"/>
    <mergeCell ref="IO42:IO43"/>
    <mergeCell ref="IP42:IP43"/>
    <mergeCell ref="IK45:IK46"/>
    <mergeCell ref="IL45:IL46"/>
    <mergeCell ref="IM45:IM46"/>
    <mergeCell ref="IN45:IN46"/>
    <mergeCell ref="IO45:IO46"/>
    <mergeCell ref="IP45:IP46"/>
    <mergeCell ref="IK47:IK48"/>
    <mergeCell ref="IL47:IL48"/>
    <mergeCell ref="IM47:IM48"/>
    <mergeCell ref="IN47:IN48"/>
    <mergeCell ref="IO47:IO48"/>
    <mergeCell ref="IP47:IP48"/>
    <mergeCell ref="IK50:IK51"/>
    <mergeCell ref="IL50:IL51"/>
    <mergeCell ref="IM50:IM51"/>
    <mergeCell ref="IN50:IN51"/>
    <mergeCell ref="IO50:IO51"/>
    <mergeCell ref="IP50:IP51"/>
    <mergeCell ref="IK52:IK53"/>
    <mergeCell ref="IL52:IL53"/>
    <mergeCell ref="IM52:IM53"/>
    <mergeCell ref="IN52:IN53"/>
    <mergeCell ref="IO52:IO53"/>
    <mergeCell ref="IP52:IP53"/>
    <mergeCell ref="GI242:GI243"/>
    <mergeCell ref="GJ242:GJ243"/>
    <mergeCell ref="GL242:GL243"/>
    <mergeCell ref="GM242:GM243"/>
    <mergeCell ref="HC242:HC243"/>
    <mergeCell ref="HD242:HD243"/>
    <mergeCell ref="HE242:HE243"/>
    <mergeCell ref="HF242:HF243"/>
    <mergeCell ref="HG242:HG243"/>
    <mergeCell ref="HH242:HH243"/>
    <mergeCell ref="HI242:HI243"/>
    <mergeCell ref="HJ242:HJ243"/>
    <mergeCell ref="HK242:HK243"/>
    <mergeCell ref="HL242:HL243"/>
    <mergeCell ref="HM242:HM243"/>
    <mergeCell ref="HN242:HN243"/>
    <mergeCell ref="HO242:HO243"/>
    <mergeCell ref="HP242:HP243"/>
    <mergeCell ref="HQ242:HQ243"/>
    <mergeCell ref="HR242:HR243"/>
    <mergeCell ref="HS242:HS243"/>
    <mergeCell ref="FP787:FP788"/>
    <mergeCell ref="FQ787:FQ788"/>
    <mergeCell ref="FR787:FR788"/>
    <mergeCell ref="FS789:FS790"/>
    <mergeCell ref="FT789:FT790"/>
    <mergeCell ref="HX789:HX790"/>
    <mergeCell ref="IB789:IB790"/>
    <mergeCell ref="ED787:ED790"/>
    <mergeCell ref="EE787:EE790"/>
    <mergeCell ref="EF787:EF790"/>
    <mergeCell ref="EG787:EG790"/>
    <mergeCell ref="EH787:EH790"/>
    <mergeCell ref="EI787:EI790"/>
    <mergeCell ref="EJ787:EJ790"/>
    <mergeCell ref="EK787:EK790"/>
    <mergeCell ref="EL787:EL790"/>
    <mergeCell ref="EM787:EM790"/>
    <mergeCell ref="EN787:EN790"/>
    <mergeCell ref="EO787:EO790"/>
    <mergeCell ref="EP787:EP790"/>
    <mergeCell ref="EQ787:EQ790"/>
    <mergeCell ref="ES787:ES790"/>
    <mergeCell ref="EU787:EU788"/>
    <mergeCell ref="EV787:EV788"/>
    <mergeCell ref="EW787:EW788"/>
    <mergeCell ref="EX787:EX788"/>
    <mergeCell ref="EY787:EY788"/>
    <mergeCell ref="EZ787:EZ790"/>
    <mergeCell ref="FB787:FB788"/>
    <mergeCell ref="FD787:FD790"/>
    <mergeCell ref="FE787:FE790"/>
    <mergeCell ref="G790:L790"/>
    <mergeCell ref="P790:R790"/>
    <mergeCell ref="U790:AA790"/>
    <mergeCell ref="AF790:AI790"/>
    <mergeCell ref="CS789:CS790"/>
    <mergeCell ref="CT789:CT790"/>
    <mergeCell ref="CU789:CU790"/>
    <mergeCell ref="CV789:CV790"/>
    <mergeCell ref="CW789:CW790"/>
    <mergeCell ref="DC789:DC790"/>
    <mergeCell ref="DD789:DD790"/>
    <mergeCell ref="DE789:DE790"/>
    <mergeCell ref="DF789:DF790"/>
    <mergeCell ref="DG789:DG790"/>
    <mergeCell ref="DK789:DK790"/>
    <mergeCell ref="DO789:DO790"/>
    <mergeCell ref="DQ789:DQ790"/>
    <mergeCell ref="DV789:DV790"/>
    <mergeCell ref="EU789:EU790"/>
    <mergeCell ref="EV789:EV790"/>
    <mergeCell ref="EW789:EW790"/>
    <mergeCell ref="EX789:EX790"/>
    <mergeCell ref="EY789:EY790"/>
    <mergeCell ref="FB789:FB790"/>
    <mergeCell ref="FI789:FI790"/>
    <mergeCell ref="FJ789:FJ790"/>
    <mergeCell ref="FK789:FK790"/>
    <mergeCell ref="FL789:FL790"/>
    <mergeCell ref="FM789:FM790"/>
    <mergeCell ref="FO789:FO790"/>
    <mergeCell ref="FP789:FP790"/>
    <mergeCell ref="FQ789:FQ790"/>
    <mergeCell ref="FR789:FR790"/>
    <mergeCell ref="DW787:DW790"/>
    <mergeCell ref="DX787:DX790"/>
    <mergeCell ref="DZ787:DZ790"/>
    <mergeCell ref="EA787:EA790"/>
    <mergeCell ref="EC787:EC790"/>
    <mergeCell ref="GA787:GA790"/>
    <mergeCell ref="GB787:GB790"/>
    <mergeCell ref="GC787:GC790"/>
    <mergeCell ref="GD787:GD790"/>
    <mergeCell ref="GG787:GG790"/>
    <mergeCell ref="HW787:HW789"/>
    <mergeCell ref="HX787:HX788"/>
    <mergeCell ref="IA787:IA790"/>
    <mergeCell ref="IB787:IB788"/>
    <mergeCell ref="IC787:IC790"/>
    <mergeCell ref="IF787:IF788"/>
    <mergeCell ref="IG787:IG790"/>
    <mergeCell ref="IH787:IH788"/>
    <mergeCell ref="II787:II790"/>
    <mergeCell ref="E788:F788"/>
    <mergeCell ref="G788:L788"/>
    <mergeCell ref="P788:Q788"/>
    <mergeCell ref="AF788:AI788"/>
    <mergeCell ref="GI788:GI789"/>
    <mergeCell ref="GJ788:GJ789"/>
    <mergeCell ref="GL788:GL789"/>
    <mergeCell ref="GM788:GM789"/>
    <mergeCell ref="HC788:HC789"/>
    <mergeCell ref="HD788:HD789"/>
    <mergeCell ref="HE788:HE789"/>
    <mergeCell ref="HF788:HF789"/>
    <mergeCell ref="HG788:HG789"/>
    <mergeCell ref="HH788:HH789"/>
    <mergeCell ref="HI788:HI789"/>
    <mergeCell ref="HJ788:HJ789"/>
    <mergeCell ref="HK788:HK789"/>
    <mergeCell ref="HL788:HL789"/>
    <mergeCell ref="HM788:HM789"/>
    <mergeCell ref="HN788:HN789"/>
    <mergeCell ref="HO788:HO789"/>
    <mergeCell ref="HP788:HP789"/>
    <mergeCell ref="HQ788:HQ789"/>
    <mergeCell ref="HR788:HR789"/>
    <mergeCell ref="HS788:HS789"/>
    <mergeCell ref="HT788:HT789"/>
    <mergeCell ref="HU788:HU789"/>
    <mergeCell ref="HY788:HY789"/>
    <mergeCell ref="E789:F789"/>
    <mergeCell ref="G789:L789"/>
    <mergeCell ref="P789:Q789"/>
    <mergeCell ref="S789:S790"/>
    <mergeCell ref="AF789:AI789"/>
    <mergeCell ref="AJ789:AJ790"/>
    <mergeCell ref="AK789:AK790"/>
    <mergeCell ref="AL789:AL790"/>
    <mergeCell ref="CO789:CO790"/>
    <mergeCell ref="CP789:CP790"/>
    <mergeCell ref="CR789:CR790"/>
    <mergeCell ref="IF789:IF790"/>
    <mergeCell ref="IH789:IH790"/>
    <mergeCell ref="E790:F790"/>
    <mergeCell ref="FL787:FL788"/>
    <mergeCell ref="FM787:FM788"/>
    <mergeCell ref="FO787:FO788"/>
    <mergeCell ref="FI787:FI788"/>
    <mergeCell ref="FJ787:FJ788"/>
    <mergeCell ref="FK787:FK788"/>
    <mergeCell ref="FL784:FL785"/>
    <mergeCell ref="FM784:FM785"/>
    <mergeCell ref="IB784:IB785"/>
    <mergeCell ref="IF784:IF785"/>
    <mergeCell ref="IH784:IH785"/>
    <mergeCell ref="E785:F785"/>
    <mergeCell ref="G785:L785"/>
    <mergeCell ref="P785:R785"/>
    <mergeCell ref="U785:AA785"/>
    <mergeCell ref="AF785:AI785"/>
    <mergeCell ref="E786:AT786"/>
    <mergeCell ref="B787:B790"/>
    <mergeCell ref="C787:D790"/>
    <mergeCell ref="E787:F787"/>
    <mergeCell ref="G787:R787"/>
    <mergeCell ref="S787:S788"/>
    <mergeCell ref="U787:AA787"/>
    <mergeCell ref="AF787:AI787"/>
    <mergeCell ref="AJ787:AJ788"/>
    <mergeCell ref="AK787:AK788"/>
    <mergeCell ref="AL787:AL788"/>
    <mergeCell ref="AM787:AN790"/>
    <mergeCell ref="AO787:AQ790"/>
    <mergeCell ref="AR787:AR790"/>
    <mergeCell ref="AS787:AS790"/>
    <mergeCell ref="AT787:AT790"/>
    <mergeCell ref="AV787:AV790"/>
    <mergeCell ref="AW787:AW790"/>
    <mergeCell ref="CM787:CM790"/>
    <mergeCell ref="CN787:CN790"/>
    <mergeCell ref="CO787:CO788"/>
    <mergeCell ref="CP787:CP788"/>
    <mergeCell ref="CR787:CR788"/>
    <mergeCell ref="CS787:CS788"/>
    <mergeCell ref="CT787:CT788"/>
    <mergeCell ref="CU787:CU788"/>
    <mergeCell ref="CV787:CV788"/>
    <mergeCell ref="CW787:CW788"/>
    <mergeCell ref="CX787:CX790"/>
    <mergeCell ref="CY787:CY790"/>
    <mergeCell ref="CZ787:CZ790"/>
    <mergeCell ref="DA787:DA790"/>
    <mergeCell ref="DC787:DC788"/>
    <mergeCell ref="DD787:DD788"/>
    <mergeCell ref="DE787:DE788"/>
    <mergeCell ref="DF787:DF788"/>
    <mergeCell ref="DG787:DG788"/>
    <mergeCell ref="DH787:DH790"/>
    <mergeCell ref="DJ787:DJ788"/>
    <mergeCell ref="DL787:DL790"/>
    <mergeCell ref="DN787:DN790"/>
    <mergeCell ref="DO787:DO788"/>
    <mergeCell ref="DP787:DP790"/>
    <mergeCell ref="DQ787:DQ788"/>
    <mergeCell ref="FS787:FS788"/>
    <mergeCell ref="FT787:FT788"/>
    <mergeCell ref="FW787:FW790"/>
    <mergeCell ref="DR787:DR790"/>
    <mergeCell ref="DS787:DS790"/>
    <mergeCell ref="DU787:DU790"/>
    <mergeCell ref="DV787:DV788"/>
    <mergeCell ref="IA782:IA785"/>
    <mergeCell ref="IB782:IB783"/>
    <mergeCell ref="IC782:IC785"/>
    <mergeCell ref="IF782:IF783"/>
    <mergeCell ref="IG782:IG785"/>
    <mergeCell ref="IH782:IH783"/>
    <mergeCell ref="II782:II785"/>
    <mergeCell ref="E783:F783"/>
    <mergeCell ref="G783:L783"/>
    <mergeCell ref="P783:Q783"/>
    <mergeCell ref="AF783:AI783"/>
    <mergeCell ref="GI783:GI784"/>
    <mergeCell ref="GJ783:GJ784"/>
    <mergeCell ref="GL783:GL784"/>
    <mergeCell ref="GM783:GM784"/>
    <mergeCell ref="HC783:HC784"/>
    <mergeCell ref="HD783:HD784"/>
    <mergeCell ref="HE783:HE784"/>
    <mergeCell ref="HF783:HF784"/>
    <mergeCell ref="HG783:HG784"/>
    <mergeCell ref="HH783:HH784"/>
    <mergeCell ref="HI783:HI784"/>
    <mergeCell ref="HJ783:HJ784"/>
    <mergeCell ref="HK783:HK784"/>
    <mergeCell ref="HL783:HL784"/>
    <mergeCell ref="HM783:HM784"/>
    <mergeCell ref="HN783:HN784"/>
    <mergeCell ref="HO783:HO784"/>
    <mergeCell ref="HP783:HP784"/>
    <mergeCell ref="HQ783:HQ784"/>
    <mergeCell ref="HR783:HR784"/>
    <mergeCell ref="HS783:HS784"/>
    <mergeCell ref="HT783:HT784"/>
    <mergeCell ref="HU783:HU784"/>
    <mergeCell ref="HY783:HY784"/>
    <mergeCell ref="E784:F784"/>
    <mergeCell ref="G784:L784"/>
    <mergeCell ref="P784:Q784"/>
    <mergeCell ref="S784:S785"/>
    <mergeCell ref="AF784:AI784"/>
    <mergeCell ref="AJ784:AJ785"/>
    <mergeCell ref="AK784:AK785"/>
    <mergeCell ref="AL784:AL785"/>
    <mergeCell ref="CR784:CR785"/>
    <mergeCell ref="CS784:CS785"/>
    <mergeCell ref="CT784:CT785"/>
    <mergeCell ref="CU784:CU785"/>
    <mergeCell ref="CV784:CV785"/>
    <mergeCell ref="CW784:CW785"/>
    <mergeCell ref="DC784:DC785"/>
    <mergeCell ref="DD784:DD785"/>
    <mergeCell ref="DE784:DE785"/>
    <mergeCell ref="DF784:DF785"/>
    <mergeCell ref="DG784:DG785"/>
    <mergeCell ref="DK784:DK785"/>
    <mergeCell ref="DO784:DO785"/>
    <mergeCell ref="DQ784:DQ785"/>
    <mergeCell ref="DV784:DV785"/>
    <mergeCell ref="EU784:EU785"/>
    <mergeCell ref="EV784:EV785"/>
    <mergeCell ref="EW784:EW785"/>
    <mergeCell ref="EX784:EX785"/>
    <mergeCell ref="EY784:EY785"/>
    <mergeCell ref="FB784:FB785"/>
    <mergeCell ref="EO782:EO785"/>
    <mergeCell ref="EP782:EP785"/>
    <mergeCell ref="EQ782:EQ785"/>
    <mergeCell ref="ES782:ES785"/>
    <mergeCell ref="EU782:EU783"/>
    <mergeCell ref="EV782:EV783"/>
    <mergeCell ref="EW782:EW783"/>
    <mergeCell ref="EX782:EX783"/>
    <mergeCell ref="EY782:EY783"/>
    <mergeCell ref="EZ782:EZ785"/>
    <mergeCell ref="FB782:FB783"/>
    <mergeCell ref="FD782:FD785"/>
    <mergeCell ref="DV782:DV783"/>
    <mergeCell ref="DW782:DW785"/>
    <mergeCell ref="DX782:DX785"/>
    <mergeCell ref="DZ782:DZ785"/>
    <mergeCell ref="EA782:EA785"/>
    <mergeCell ref="FL782:FL783"/>
    <mergeCell ref="FM782:FM783"/>
    <mergeCell ref="FO784:FO785"/>
    <mergeCell ref="FP784:FP785"/>
    <mergeCell ref="FQ784:FQ785"/>
    <mergeCell ref="FR784:FR785"/>
    <mergeCell ref="FS784:FS785"/>
    <mergeCell ref="FT784:FT785"/>
    <mergeCell ref="HX784:HX785"/>
    <mergeCell ref="FR782:FR783"/>
    <mergeCell ref="FS782:FS783"/>
    <mergeCell ref="FT782:FT783"/>
    <mergeCell ref="FW782:FW785"/>
    <mergeCell ref="FX782:FX785"/>
    <mergeCell ref="FY782:FY785"/>
    <mergeCell ref="FZ782:FZ785"/>
    <mergeCell ref="GA782:GA785"/>
    <mergeCell ref="GB782:GB785"/>
    <mergeCell ref="GC782:GC785"/>
    <mergeCell ref="GD782:GD785"/>
    <mergeCell ref="GG782:GG785"/>
    <mergeCell ref="HW782:HW784"/>
    <mergeCell ref="HX782:HX783"/>
    <mergeCell ref="FI784:FI785"/>
    <mergeCell ref="FJ784:FJ785"/>
    <mergeCell ref="FK784:FK785"/>
    <mergeCell ref="FE782:FE785"/>
    <mergeCell ref="FI782:FI783"/>
    <mergeCell ref="FJ782:FJ783"/>
    <mergeCell ref="FK782:FK783"/>
    <mergeCell ref="B782:B785"/>
    <mergeCell ref="C782:D785"/>
    <mergeCell ref="E782:F782"/>
    <mergeCell ref="G782:R782"/>
    <mergeCell ref="S782:S783"/>
    <mergeCell ref="U782:AA782"/>
    <mergeCell ref="AF782:AI782"/>
    <mergeCell ref="AJ782:AJ783"/>
    <mergeCell ref="AK782:AK783"/>
    <mergeCell ref="AL782:AL783"/>
    <mergeCell ref="AM782:AN785"/>
    <mergeCell ref="AO782:AQ785"/>
    <mergeCell ref="AR782:AR785"/>
    <mergeCell ref="AS782:AS785"/>
    <mergeCell ref="AT782:AT785"/>
    <mergeCell ref="AV782:AV785"/>
    <mergeCell ref="AW782:AW785"/>
    <mergeCell ref="CM782:CM785"/>
    <mergeCell ref="CN782:CN785"/>
    <mergeCell ref="CO782:CO783"/>
    <mergeCell ref="CP782:CP783"/>
    <mergeCell ref="CR782:CR783"/>
    <mergeCell ref="CS782:CS783"/>
    <mergeCell ref="CT782:CT783"/>
    <mergeCell ref="CU782:CU783"/>
    <mergeCell ref="CV782:CV783"/>
    <mergeCell ref="CW782:CW783"/>
    <mergeCell ref="CX782:CX785"/>
    <mergeCell ref="CY782:CY785"/>
    <mergeCell ref="CZ782:CZ785"/>
    <mergeCell ref="DA782:DA785"/>
    <mergeCell ref="DC782:DC783"/>
    <mergeCell ref="DD782:DD783"/>
    <mergeCell ref="CO784:CO785"/>
    <mergeCell ref="CP784:CP785"/>
    <mergeCell ref="AJ779:AJ780"/>
    <mergeCell ref="AK779:AK780"/>
    <mergeCell ref="AL779:AL780"/>
    <mergeCell ref="CO779:CO780"/>
    <mergeCell ref="CP779:CP780"/>
    <mergeCell ref="CR779:CR780"/>
    <mergeCell ref="CS779:CS780"/>
    <mergeCell ref="CT779:CT780"/>
    <mergeCell ref="CU779:CU780"/>
    <mergeCell ref="CV779:CV780"/>
    <mergeCell ref="CW779:CW780"/>
    <mergeCell ref="EI777:EI780"/>
    <mergeCell ref="EJ777:EJ780"/>
    <mergeCell ref="EK777:EK780"/>
    <mergeCell ref="EL777:EL780"/>
    <mergeCell ref="EM777:EM780"/>
    <mergeCell ref="EN777:EN780"/>
    <mergeCell ref="EO777:EO780"/>
    <mergeCell ref="EP777:EP780"/>
    <mergeCell ref="EQ777:EQ780"/>
    <mergeCell ref="ES777:ES780"/>
    <mergeCell ref="FO782:FO783"/>
    <mergeCell ref="FP782:FP783"/>
    <mergeCell ref="FQ782:FQ783"/>
    <mergeCell ref="HX779:HX780"/>
    <mergeCell ref="IB779:IB780"/>
    <mergeCell ref="IF779:IF780"/>
    <mergeCell ref="IH779:IH780"/>
    <mergeCell ref="E780:F780"/>
    <mergeCell ref="G780:L780"/>
    <mergeCell ref="P780:R780"/>
    <mergeCell ref="U780:AA780"/>
    <mergeCell ref="AF780:AI780"/>
    <mergeCell ref="E781:AT781"/>
    <mergeCell ref="DE782:DE783"/>
    <mergeCell ref="DF782:DF783"/>
    <mergeCell ref="DG782:DG783"/>
    <mergeCell ref="DH782:DH785"/>
    <mergeCell ref="DJ782:DJ783"/>
    <mergeCell ref="DL782:DL785"/>
    <mergeCell ref="DN782:DN785"/>
    <mergeCell ref="DO782:DO783"/>
    <mergeCell ref="DP782:DP785"/>
    <mergeCell ref="DQ782:DQ783"/>
    <mergeCell ref="DR782:DR785"/>
    <mergeCell ref="DS782:DS785"/>
    <mergeCell ref="DU782:DU785"/>
    <mergeCell ref="FZ777:FZ780"/>
    <mergeCell ref="GA777:GA780"/>
    <mergeCell ref="GB777:GB780"/>
    <mergeCell ref="GC777:GC780"/>
    <mergeCell ref="GD777:GD780"/>
    <mergeCell ref="EC782:EC785"/>
    <mergeCell ref="ED782:ED785"/>
    <mergeCell ref="EE782:EE785"/>
    <mergeCell ref="EF782:EF785"/>
    <mergeCell ref="EG782:EG785"/>
    <mergeCell ref="EH782:EH785"/>
    <mergeCell ref="EI782:EI785"/>
    <mergeCell ref="EJ782:EJ785"/>
    <mergeCell ref="EK782:EK785"/>
    <mergeCell ref="EL782:EL785"/>
    <mergeCell ref="EM782:EM785"/>
    <mergeCell ref="EN782:EN785"/>
    <mergeCell ref="FT777:FT778"/>
    <mergeCell ref="FW777:FW780"/>
    <mergeCell ref="FX777:FX780"/>
    <mergeCell ref="FY777:FY780"/>
    <mergeCell ref="EU779:EU780"/>
    <mergeCell ref="EV779:EV780"/>
    <mergeCell ref="EW779:EW780"/>
    <mergeCell ref="EX779:EX780"/>
    <mergeCell ref="EY779:EY780"/>
    <mergeCell ref="FB779:FB780"/>
    <mergeCell ref="FI779:FI780"/>
    <mergeCell ref="FJ779:FJ780"/>
    <mergeCell ref="FK779:FK780"/>
    <mergeCell ref="FL779:FL780"/>
    <mergeCell ref="FM779:FM780"/>
    <mergeCell ref="FO779:FO780"/>
    <mergeCell ref="FP779:FP780"/>
    <mergeCell ref="FQ779:FQ780"/>
    <mergeCell ref="FR779:FR780"/>
    <mergeCell ref="FS779:FS780"/>
    <mergeCell ref="FT779:FT780"/>
    <mergeCell ref="GG777:GG780"/>
    <mergeCell ref="HW777:HW779"/>
    <mergeCell ref="HX777:HX778"/>
    <mergeCell ref="IA777:IA780"/>
    <mergeCell ref="IB777:IB778"/>
    <mergeCell ref="IC777:IC780"/>
    <mergeCell ref="IF777:IF778"/>
    <mergeCell ref="IG777:IG780"/>
    <mergeCell ref="IH777:IH778"/>
    <mergeCell ref="II777:II780"/>
    <mergeCell ref="E778:F778"/>
    <mergeCell ref="G778:L778"/>
    <mergeCell ref="P778:Q778"/>
    <mergeCell ref="AF778:AI778"/>
    <mergeCell ref="GI778:GI779"/>
    <mergeCell ref="GJ778:GJ779"/>
    <mergeCell ref="GL778:GL779"/>
    <mergeCell ref="GM778:GM779"/>
    <mergeCell ref="HC778:HC779"/>
    <mergeCell ref="HD778:HD779"/>
    <mergeCell ref="HE778:HE779"/>
    <mergeCell ref="HF778:HF779"/>
    <mergeCell ref="HG778:HG779"/>
    <mergeCell ref="HH778:HH779"/>
    <mergeCell ref="HI778:HI779"/>
    <mergeCell ref="HJ778:HJ779"/>
    <mergeCell ref="HK778:HK779"/>
    <mergeCell ref="HL778:HL779"/>
    <mergeCell ref="HM778:HM779"/>
    <mergeCell ref="HN778:HN779"/>
    <mergeCell ref="HO778:HO779"/>
    <mergeCell ref="HP778:HP779"/>
    <mergeCell ref="HQ778:HQ779"/>
    <mergeCell ref="HR778:HR779"/>
    <mergeCell ref="HS778:HS779"/>
    <mergeCell ref="HT778:HT779"/>
    <mergeCell ref="HU778:HU779"/>
    <mergeCell ref="HY778:HY779"/>
    <mergeCell ref="E779:F779"/>
    <mergeCell ref="G779:L779"/>
    <mergeCell ref="P779:Q779"/>
    <mergeCell ref="S779:S780"/>
    <mergeCell ref="AF779:AI779"/>
    <mergeCell ref="ED777:ED780"/>
    <mergeCell ref="EE777:EE780"/>
    <mergeCell ref="EF777:EF780"/>
    <mergeCell ref="EG777:EG780"/>
    <mergeCell ref="EH777:EH780"/>
    <mergeCell ref="DC779:DC780"/>
    <mergeCell ref="DD779:DD780"/>
    <mergeCell ref="DE779:DE780"/>
    <mergeCell ref="DF779:DF780"/>
    <mergeCell ref="DG779:DG780"/>
    <mergeCell ref="DK779:DK780"/>
    <mergeCell ref="DO779:DO780"/>
    <mergeCell ref="DQ779:DQ780"/>
    <mergeCell ref="DV779:DV780"/>
    <mergeCell ref="EU777:EU778"/>
    <mergeCell ref="EV777:EV778"/>
    <mergeCell ref="EW777:EW778"/>
    <mergeCell ref="EX777:EX778"/>
    <mergeCell ref="EY777:EY778"/>
    <mergeCell ref="EZ777:EZ780"/>
    <mergeCell ref="FB777:FB778"/>
    <mergeCell ref="FD777:FD780"/>
    <mergeCell ref="FE777:FE780"/>
    <mergeCell ref="FI777:FI778"/>
    <mergeCell ref="FJ777:FJ778"/>
    <mergeCell ref="FK777:FK778"/>
    <mergeCell ref="FL777:FL778"/>
    <mergeCell ref="FM777:FM778"/>
    <mergeCell ref="FO777:FO778"/>
    <mergeCell ref="FP777:FP778"/>
    <mergeCell ref="FQ777:FQ778"/>
    <mergeCell ref="FR777:FR778"/>
    <mergeCell ref="FS777:FS778"/>
    <mergeCell ref="DP772:DP775"/>
    <mergeCell ref="DQ772:DQ773"/>
    <mergeCell ref="DR772:DR775"/>
    <mergeCell ref="DS772:DS775"/>
    <mergeCell ref="DU772:DU775"/>
    <mergeCell ref="DV772:DV773"/>
    <mergeCell ref="DW772:DW775"/>
    <mergeCell ref="DX772:DX775"/>
    <mergeCell ref="DZ772:DZ775"/>
    <mergeCell ref="EA772:EA775"/>
    <mergeCell ref="EC772:EC775"/>
    <mergeCell ref="CU774:CU775"/>
    <mergeCell ref="CV774:CV775"/>
    <mergeCell ref="CZ777:CZ780"/>
    <mergeCell ref="DA777:DA780"/>
    <mergeCell ref="DC777:DC778"/>
    <mergeCell ref="DD777:DD778"/>
    <mergeCell ref="DE777:DE778"/>
    <mergeCell ref="DF777:DF778"/>
    <mergeCell ref="DG777:DG778"/>
    <mergeCell ref="DH777:DH780"/>
    <mergeCell ref="DJ777:DJ778"/>
    <mergeCell ref="DL777:DL780"/>
    <mergeCell ref="DN777:DN780"/>
    <mergeCell ref="DO777:DO778"/>
    <mergeCell ref="DP777:DP780"/>
    <mergeCell ref="DQ777:DQ778"/>
    <mergeCell ref="DR777:DR780"/>
    <mergeCell ref="DS777:DS780"/>
    <mergeCell ref="DU777:DU780"/>
    <mergeCell ref="DV777:DV778"/>
    <mergeCell ref="DW777:DW780"/>
    <mergeCell ref="DX777:DX780"/>
    <mergeCell ref="DZ777:DZ780"/>
    <mergeCell ref="EA777:EA780"/>
    <mergeCell ref="EC777:EC780"/>
    <mergeCell ref="IG772:IG775"/>
    <mergeCell ref="IH772:IH773"/>
    <mergeCell ref="EY772:EY773"/>
    <mergeCell ref="EZ772:EZ775"/>
    <mergeCell ref="FB772:FB773"/>
    <mergeCell ref="FD772:FD775"/>
    <mergeCell ref="FE772:FE775"/>
    <mergeCell ref="FI772:FI773"/>
    <mergeCell ref="FJ772:FJ773"/>
    <mergeCell ref="FK772:FK773"/>
    <mergeCell ref="FL772:FL773"/>
    <mergeCell ref="FM772:FM773"/>
    <mergeCell ref="FO772:FO773"/>
    <mergeCell ref="FP772:FP773"/>
    <mergeCell ref="FQ772:FQ773"/>
    <mergeCell ref="FR772:FR773"/>
    <mergeCell ref="FQ774:FQ775"/>
    <mergeCell ref="FR774:FR775"/>
    <mergeCell ref="FS774:FS775"/>
    <mergeCell ref="FT774:FT775"/>
    <mergeCell ref="HX774:HX775"/>
    <mergeCell ref="B777:B780"/>
    <mergeCell ref="C777:D780"/>
    <mergeCell ref="E777:F777"/>
    <mergeCell ref="G777:R777"/>
    <mergeCell ref="S777:S778"/>
    <mergeCell ref="U777:AA777"/>
    <mergeCell ref="AF777:AI777"/>
    <mergeCell ref="AJ777:AJ778"/>
    <mergeCell ref="AK777:AK778"/>
    <mergeCell ref="AL777:AL778"/>
    <mergeCell ref="AM777:AN780"/>
    <mergeCell ref="AO777:AQ780"/>
    <mergeCell ref="AR777:AR780"/>
    <mergeCell ref="AS777:AS780"/>
    <mergeCell ref="AT777:AT780"/>
    <mergeCell ref="AV777:AV780"/>
    <mergeCell ref="AW777:AW780"/>
    <mergeCell ref="CM777:CM780"/>
    <mergeCell ref="CN777:CN780"/>
    <mergeCell ref="CO777:CO778"/>
    <mergeCell ref="CP777:CP778"/>
    <mergeCell ref="CR777:CR778"/>
    <mergeCell ref="CS777:CS778"/>
    <mergeCell ref="CT777:CT778"/>
    <mergeCell ref="CU777:CU778"/>
    <mergeCell ref="CV777:CV778"/>
    <mergeCell ref="CW777:CW778"/>
    <mergeCell ref="CX777:CX780"/>
    <mergeCell ref="CY777:CY780"/>
    <mergeCell ref="EL772:EL775"/>
    <mergeCell ref="EM772:EM775"/>
    <mergeCell ref="EN772:EN775"/>
    <mergeCell ref="EO772:EO775"/>
    <mergeCell ref="DC772:DC773"/>
    <mergeCell ref="DD772:DD773"/>
    <mergeCell ref="DE772:DE773"/>
    <mergeCell ref="DF772:DF773"/>
    <mergeCell ref="DG772:DG773"/>
    <mergeCell ref="DH772:DH775"/>
    <mergeCell ref="DJ772:DJ773"/>
    <mergeCell ref="DL772:DL775"/>
    <mergeCell ref="DN772:DN775"/>
    <mergeCell ref="DO772:DO773"/>
    <mergeCell ref="II772:II775"/>
    <mergeCell ref="E773:F773"/>
    <mergeCell ref="G773:L773"/>
    <mergeCell ref="P773:Q773"/>
    <mergeCell ref="AF773:AI773"/>
    <mergeCell ref="GI773:GI774"/>
    <mergeCell ref="GJ773:GJ774"/>
    <mergeCell ref="GL773:GL774"/>
    <mergeCell ref="GM773:GM774"/>
    <mergeCell ref="HC773:HC774"/>
    <mergeCell ref="HD773:HD774"/>
    <mergeCell ref="HE773:HE774"/>
    <mergeCell ref="HF773:HF774"/>
    <mergeCell ref="HG773:HG774"/>
    <mergeCell ref="HH773:HH774"/>
    <mergeCell ref="HI773:HI774"/>
    <mergeCell ref="HJ773:HJ774"/>
    <mergeCell ref="HK773:HK774"/>
    <mergeCell ref="HL773:HL774"/>
    <mergeCell ref="HM773:HM774"/>
    <mergeCell ref="HN773:HN774"/>
    <mergeCell ref="HO773:HO774"/>
    <mergeCell ref="HP773:HP774"/>
    <mergeCell ref="HQ773:HQ774"/>
    <mergeCell ref="HR773:HR774"/>
    <mergeCell ref="HS773:HS774"/>
    <mergeCell ref="HT773:HT774"/>
    <mergeCell ref="HU773:HU774"/>
    <mergeCell ref="HY773:HY774"/>
    <mergeCell ref="E774:F774"/>
    <mergeCell ref="G774:L774"/>
    <mergeCell ref="P774:Q774"/>
    <mergeCell ref="S774:S775"/>
    <mergeCell ref="EF772:EF775"/>
    <mergeCell ref="EG772:EG775"/>
    <mergeCell ref="EH772:EH775"/>
    <mergeCell ref="EI772:EI775"/>
    <mergeCell ref="EJ772:EJ775"/>
    <mergeCell ref="EK772:EK775"/>
    <mergeCell ref="EP772:EP775"/>
    <mergeCell ref="EQ772:EQ775"/>
    <mergeCell ref="ES772:ES775"/>
    <mergeCell ref="EU772:EU773"/>
    <mergeCell ref="EV772:EV773"/>
    <mergeCell ref="EW772:EW773"/>
    <mergeCell ref="EX772:EX773"/>
    <mergeCell ref="IB774:IB775"/>
    <mergeCell ref="IF774:IF775"/>
    <mergeCell ref="IH774:IH775"/>
    <mergeCell ref="FW772:FW775"/>
    <mergeCell ref="FX772:FX775"/>
    <mergeCell ref="FY772:FY775"/>
    <mergeCell ref="FZ772:FZ775"/>
    <mergeCell ref="GA772:GA775"/>
    <mergeCell ref="GB772:GB775"/>
    <mergeCell ref="GC772:GC775"/>
    <mergeCell ref="GD772:GD775"/>
    <mergeCell ref="GG772:GG775"/>
    <mergeCell ref="HW772:HW774"/>
    <mergeCell ref="HX772:HX773"/>
    <mergeCell ref="IA772:IA775"/>
    <mergeCell ref="IB772:IB773"/>
    <mergeCell ref="IC772:IC775"/>
    <mergeCell ref="IF772:IF773"/>
    <mergeCell ref="FU769:FU770"/>
    <mergeCell ref="G770:L770"/>
    <mergeCell ref="P770:R770"/>
    <mergeCell ref="U770:AA770"/>
    <mergeCell ref="AF770:AI770"/>
    <mergeCell ref="E771:AT771"/>
    <mergeCell ref="B772:B775"/>
    <mergeCell ref="C772:D775"/>
    <mergeCell ref="E772:F772"/>
    <mergeCell ref="G772:R772"/>
    <mergeCell ref="S772:S773"/>
    <mergeCell ref="U772:AA772"/>
    <mergeCell ref="AF772:AI772"/>
    <mergeCell ref="AJ772:AJ773"/>
    <mergeCell ref="AK772:AK773"/>
    <mergeCell ref="AL772:AL773"/>
    <mergeCell ref="AM772:AN775"/>
    <mergeCell ref="AO772:AQ775"/>
    <mergeCell ref="AR772:AR775"/>
    <mergeCell ref="AS772:AS775"/>
    <mergeCell ref="AT772:AT775"/>
    <mergeCell ref="AV772:AV775"/>
    <mergeCell ref="AW772:AW775"/>
    <mergeCell ref="CM772:CM775"/>
    <mergeCell ref="CN772:CN775"/>
    <mergeCell ref="CO772:CO773"/>
    <mergeCell ref="CP772:CP773"/>
    <mergeCell ref="CR772:CR773"/>
    <mergeCell ref="CS772:CS773"/>
    <mergeCell ref="CT772:CT773"/>
    <mergeCell ref="CU772:CU773"/>
    <mergeCell ref="AF774:AI774"/>
    <mergeCell ref="AJ774:AJ775"/>
    <mergeCell ref="AK774:AK775"/>
    <mergeCell ref="AL774:AL775"/>
    <mergeCell ref="CO774:CO775"/>
    <mergeCell ref="CP774:CP775"/>
    <mergeCell ref="CR774:CR775"/>
    <mergeCell ref="CS774:CS775"/>
    <mergeCell ref="CT774:CT775"/>
    <mergeCell ref="E775:F775"/>
    <mergeCell ref="G775:L775"/>
    <mergeCell ref="P775:R775"/>
    <mergeCell ref="U775:AA775"/>
    <mergeCell ref="AF775:AI775"/>
    <mergeCell ref="CR769:CR770"/>
    <mergeCell ref="CS769:CS770"/>
    <mergeCell ref="CV772:CV773"/>
    <mergeCell ref="CW772:CW773"/>
    <mergeCell ref="CX772:CX775"/>
    <mergeCell ref="CY772:CY775"/>
    <mergeCell ref="CZ772:CZ775"/>
    <mergeCell ref="DA772:DA775"/>
    <mergeCell ref="AK769:AK770"/>
    <mergeCell ref="AL769:AL770"/>
    <mergeCell ref="CO769:CO770"/>
    <mergeCell ref="CP769:CP770"/>
    <mergeCell ref="DZ767:DZ770"/>
    <mergeCell ref="FM767:FM768"/>
    <mergeCell ref="FO767:FO768"/>
    <mergeCell ref="FP767:FP768"/>
    <mergeCell ref="FQ767:FQ768"/>
    <mergeCell ref="EC767:EC770"/>
    <mergeCell ref="ED767:ED770"/>
    <mergeCell ref="IH769:IH770"/>
    <mergeCell ref="E770:F770"/>
    <mergeCell ref="ED772:ED775"/>
    <mergeCell ref="EE772:EE775"/>
    <mergeCell ref="CT769:CT770"/>
    <mergeCell ref="CU769:CU770"/>
    <mergeCell ref="CV769:CV770"/>
    <mergeCell ref="CW769:CW770"/>
    <mergeCell ref="DC769:DC770"/>
    <mergeCell ref="DD769:DD770"/>
    <mergeCell ref="DE769:DE770"/>
    <mergeCell ref="DF769:DF770"/>
    <mergeCell ref="DG769:DG770"/>
    <mergeCell ref="DK769:DK770"/>
    <mergeCell ref="DO769:DO770"/>
    <mergeCell ref="DQ769:DQ770"/>
    <mergeCell ref="DV769:DV770"/>
    <mergeCell ref="EU769:EU770"/>
    <mergeCell ref="EV769:EV770"/>
    <mergeCell ref="EW769:EW770"/>
    <mergeCell ref="EX769:EX770"/>
    <mergeCell ref="EY769:EY770"/>
    <mergeCell ref="FB769:FB770"/>
    <mergeCell ref="FI769:FI770"/>
    <mergeCell ref="FJ769:FJ770"/>
    <mergeCell ref="FK769:FK770"/>
    <mergeCell ref="FL769:FL770"/>
    <mergeCell ref="FM769:FM770"/>
    <mergeCell ref="FO769:FO770"/>
    <mergeCell ref="FP769:FP770"/>
    <mergeCell ref="FQ769:FQ770"/>
    <mergeCell ref="FR769:FR770"/>
    <mergeCell ref="FS769:FS770"/>
    <mergeCell ref="FT769:FT770"/>
    <mergeCell ref="HX769:HX770"/>
    <mergeCell ref="FS772:FS773"/>
    <mergeCell ref="FT772:FT773"/>
    <mergeCell ref="CW774:CW775"/>
    <mergeCell ref="DC774:DC775"/>
    <mergeCell ref="DD774:DD775"/>
    <mergeCell ref="DE774:DE775"/>
    <mergeCell ref="DF774:DF775"/>
    <mergeCell ref="DG774:DG775"/>
    <mergeCell ref="DK774:DK775"/>
    <mergeCell ref="DO774:DO775"/>
    <mergeCell ref="DQ774:DQ775"/>
    <mergeCell ref="DV774:DV775"/>
    <mergeCell ref="EU774:EU775"/>
    <mergeCell ref="EV774:EV775"/>
    <mergeCell ref="EW774:EW775"/>
    <mergeCell ref="EX774:EX775"/>
    <mergeCell ref="EY774:EY775"/>
    <mergeCell ref="FB774:FB775"/>
    <mergeCell ref="FI774:FI775"/>
    <mergeCell ref="FJ774:FJ775"/>
    <mergeCell ref="FK774:FK775"/>
    <mergeCell ref="FL774:FL775"/>
    <mergeCell ref="FM774:FM775"/>
    <mergeCell ref="FO774:FO775"/>
    <mergeCell ref="FP774:FP775"/>
    <mergeCell ref="DU767:DU770"/>
    <mergeCell ref="DV767:DV768"/>
    <mergeCell ref="DW767:DW770"/>
    <mergeCell ref="DX767:DX770"/>
    <mergeCell ref="FT767:FT768"/>
    <mergeCell ref="FW767:FW770"/>
    <mergeCell ref="FX767:FX770"/>
    <mergeCell ref="FY767:FY770"/>
    <mergeCell ref="FZ767:FZ770"/>
    <mergeCell ref="GA767:GA770"/>
    <mergeCell ref="GB767:GB770"/>
    <mergeCell ref="GC767:GC770"/>
    <mergeCell ref="GD767:GD770"/>
    <mergeCell ref="GG767:GG770"/>
    <mergeCell ref="HW767:HW769"/>
    <mergeCell ref="HX767:HX768"/>
    <mergeCell ref="IA767:IA770"/>
    <mergeCell ref="IB767:IB768"/>
    <mergeCell ref="IC767:IC770"/>
    <mergeCell ref="IF767:IF768"/>
    <mergeCell ref="IG767:IG770"/>
    <mergeCell ref="IH767:IH768"/>
    <mergeCell ref="II767:II770"/>
    <mergeCell ref="E768:F768"/>
    <mergeCell ref="G768:L768"/>
    <mergeCell ref="P768:Q768"/>
    <mergeCell ref="AF768:AI768"/>
    <mergeCell ref="GI768:GI769"/>
    <mergeCell ref="GJ768:GJ769"/>
    <mergeCell ref="GL768:GL769"/>
    <mergeCell ref="GM768:GM769"/>
    <mergeCell ref="HC768:HC769"/>
    <mergeCell ref="HD768:HD769"/>
    <mergeCell ref="HE768:HE769"/>
    <mergeCell ref="HF768:HF769"/>
    <mergeCell ref="HG768:HG769"/>
    <mergeCell ref="HH768:HH769"/>
    <mergeCell ref="HI768:HI769"/>
    <mergeCell ref="HJ768:HJ769"/>
    <mergeCell ref="HK768:HK769"/>
    <mergeCell ref="HL768:HL769"/>
    <mergeCell ref="HM768:HM769"/>
    <mergeCell ref="HN768:HN769"/>
    <mergeCell ref="HO768:HO769"/>
    <mergeCell ref="HP768:HP769"/>
    <mergeCell ref="HQ768:HQ769"/>
    <mergeCell ref="HR768:HR769"/>
    <mergeCell ref="HS768:HS769"/>
    <mergeCell ref="HT768:HT769"/>
    <mergeCell ref="HU768:HU769"/>
    <mergeCell ref="HY768:HY769"/>
    <mergeCell ref="E769:F769"/>
    <mergeCell ref="G769:L769"/>
    <mergeCell ref="P769:Q769"/>
    <mergeCell ref="S769:S770"/>
    <mergeCell ref="AF769:AI769"/>
    <mergeCell ref="AJ769:AJ770"/>
    <mergeCell ref="EA767:EA770"/>
    <mergeCell ref="EE767:EE770"/>
    <mergeCell ref="EF767:EF770"/>
    <mergeCell ref="EG767:EG770"/>
    <mergeCell ref="EH767:EH770"/>
    <mergeCell ref="EI767:EI770"/>
    <mergeCell ref="EJ767:EJ770"/>
    <mergeCell ref="EK767:EK770"/>
    <mergeCell ref="EL767:EL770"/>
    <mergeCell ref="EM767:EM770"/>
    <mergeCell ref="EN767:EN770"/>
    <mergeCell ref="EP762:EP765"/>
    <mergeCell ref="EQ762:EQ765"/>
    <mergeCell ref="ES762:ES765"/>
    <mergeCell ref="B762:B765"/>
    <mergeCell ref="C762:D765"/>
    <mergeCell ref="E762:F762"/>
    <mergeCell ref="EO767:EO770"/>
    <mergeCell ref="EP767:EP770"/>
    <mergeCell ref="EQ767:EQ770"/>
    <mergeCell ref="ES767:ES770"/>
    <mergeCell ref="EU767:EU768"/>
    <mergeCell ref="EV767:EV768"/>
    <mergeCell ref="EW767:EW768"/>
    <mergeCell ref="EX767:EX768"/>
    <mergeCell ref="EY767:EY768"/>
    <mergeCell ref="EZ767:EZ770"/>
    <mergeCell ref="FB767:FB768"/>
    <mergeCell ref="FD767:FD770"/>
    <mergeCell ref="FE767:FE770"/>
    <mergeCell ref="FI767:FI768"/>
    <mergeCell ref="FJ767:FJ768"/>
    <mergeCell ref="FK767:FK768"/>
    <mergeCell ref="FL767:FL768"/>
    <mergeCell ref="DV764:DV765"/>
    <mergeCell ref="EU764:EU765"/>
    <mergeCell ref="EV764:EV765"/>
    <mergeCell ref="EW764:EW765"/>
    <mergeCell ref="EX764:EX765"/>
    <mergeCell ref="EY764:EY765"/>
    <mergeCell ref="ED762:ED765"/>
    <mergeCell ref="EE762:EE765"/>
    <mergeCell ref="EF762:EF765"/>
    <mergeCell ref="EG762:EG765"/>
    <mergeCell ref="EH762:EH765"/>
    <mergeCell ref="EI762:EI765"/>
    <mergeCell ref="EJ762:EJ765"/>
    <mergeCell ref="EK762:EK765"/>
    <mergeCell ref="EL762:EL765"/>
    <mergeCell ref="FB764:FB765"/>
    <mergeCell ref="FI764:FI765"/>
    <mergeCell ref="FJ764:FJ765"/>
    <mergeCell ref="FK764:FK765"/>
    <mergeCell ref="FL764:FL765"/>
    <mergeCell ref="EA762:EA765"/>
    <mergeCell ref="EC762:EC765"/>
    <mergeCell ref="FJ762:FJ763"/>
    <mergeCell ref="FK762:FK763"/>
    <mergeCell ref="FL762:FL763"/>
    <mergeCell ref="G764:L764"/>
    <mergeCell ref="P764:Q764"/>
    <mergeCell ref="S764:S765"/>
    <mergeCell ref="AF764:AI764"/>
    <mergeCell ref="AJ764:AJ765"/>
    <mergeCell ref="AK764:AK765"/>
    <mergeCell ref="AL764:AL765"/>
    <mergeCell ref="DQ764:DQ765"/>
    <mergeCell ref="AV762:AV765"/>
    <mergeCell ref="AW762:AW765"/>
    <mergeCell ref="CM762:CM765"/>
    <mergeCell ref="CN762:CN765"/>
    <mergeCell ref="CO762:CO763"/>
    <mergeCell ref="CP762:CP763"/>
    <mergeCell ref="E763:F763"/>
    <mergeCell ref="G763:L763"/>
    <mergeCell ref="FR767:FR768"/>
    <mergeCell ref="FS767:FS768"/>
    <mergeCell ref="IF764:IF765"/>
    <mergeCell ref="IH764:IH765"/>
    <mergeCell ref="E765:F765"/>
    <mergeCell ref="G765:L765"/>
    <mergeCell ref="P765:R765"/>
    <mergeCell ref="U765:AA765"/>
    <mergeCell ref="AF765:AI765"/>
    <mergeCell ref="E766:AT766"/>
    <mergeCell ref="B767:B770"/>
    <mergeCell ref="C767:D770"/>
    <mergeCell ref="E767:F767"/>
    <mergeCell ref="G767:R767"/>
    <mergeCell ref="S767:S768"/>
    <mergeCell ref="U767:AA767"/>
    <mergeCell ref="AF767:AI767"/>
    <mergeCell ref="AJ767:AJ768"/>
    <mergeCell ref="AK767:AK768"/>
    <mergeCell ref="AL767:AL768"/>
    <mergeCell ref="AM767:AN770"/>
    <mergeCell ref="AO767:AQ770"/>
    <mergeCell ref="AR767:AR770"/>
    <mergeCell ref="AS767:AS770"/>
    <mergeCell ref="AT767:AT770"/>
    <mergeCell ref="AV767:AV770"/>
    <mergeCell ref="AW767:AW770"/>
    <mergeCell ref="CM767:CM770"/>
    <mergeCell ref="CN767:CN770"/>
    <mergeCell ref="CO767:CO768"/>
    <mergeCell ref="CP767:CP768"/>
    <mergeCell ref="CR767:CR768"/>
    <mergeCell ref="CS767:CS768"/>
    <mergeCell ref="CT767:CT768"/>
    <mergeCell ref="CU767:CU768"/>
    <mergeCell ref="CV767:CV768"/>
    <mergeCell ref="CW767:CW768"/>
    <mergeCell ref="CX767:CX770"/>
    <mergeCell ref="CY767:CY770"/>
    <mergeCell ref="CZ767:CZ770"/>
    <mergeCell ref="DA767:DA770"/>
    <mergeCell ref="DC767:DC768"/>
    <mergeCell ref="DD767:DD768"/>
    <mergeCell ref="DE767:DE768"/>
    <mergeCell ref="DF767:DF768"/>
    <mergeCell ref="DG767:DG768"/>
    <mergeCell ref="DH767:DH770"/>
    <mergeCell ref="DJ767:DJ768"/>
    <mergeCell ref="DL767:DL770"/>
    <mergeCell ref="DN767:DN770"/>
    <mergeCell ref="DO767:DO768"/>
    <mergeCell ref="DP767:DP770"/>
    <mergeCell ref="DQ767:DQ768"/>
    <mergeCell ref="DR767:DR770"/>
    <mergeCell ref="DS767:DS770"/>
    <mergeCell ref="EM762:EM765"/>
    <mergeCell ref="EN762:EN765"/>
    <mergeCell ref="DC764:DC765"/>
    <mergeCell ref="DD764:DD765"/>
    <mergeCell ref="DE764:DE765"/>
    <mergeCell ref="DF764:DF765"/>
    <mergeCell ref="DG764:DG765"/>
    <mergeCell ref="DK764:DK765"/>
    <mergeCell ref="DO764:DO765"/>
    <mergeCell ref="IH759:IH760"/>
    <mergeCell ref="IB759:IB760"/>
    <mergeCell ref="FT759:FT760"/>
    <mergeCell ref="HX759:HX760"/>
    <mergeCell ref="FR757:FR758"/>
    <mergeCell ref="FS757:FS758"/>
    <mergeCell ref="FT757:FT758"/>
    <mergeCell ref="FW757:FW760"/>
    <mergeCell ref="FX757:FX760"/>
    <mergeCell ref="FY757:FY760"/>
    <mergeCell ref="FZ757:FZ760"/>
    <mergeCell ref="GA757:GA760"/>
    <mergeCell ref="GB757:GB760"/>
    <mergeCell ref="GC757:GC760"/>
    <mergeCell ref="GD757:GD760"/>
    <mergeCell ref="E760:F760"/>
    <mergeCell ref="G760:L760"/>
    <mergeCell ref="P760:R760"/>
    <mergeCell ref="U760:AA760"/>
    <mergeCell ref="AF760:AI760"/>
    <mergeCell ref="E761:AT761"/>
    <mergeCell ref="DA762:DA765"/>
    <mergeCell ref="DC762:DC763"/>
    <mergeCell ref="DD762:DD763"/>
    <mergeCell ref="DE762:DE763"/>
    <mergeCell ref="DF762:DF763"/>
    <mergeCell ref="DG762:DG763"/>
    <mergeCell ref="DH762:DH765"/>
    <mergeCell ref="DJ762:DJ763"/>
    <mergeCell ref="DL762:DL765"/>
    <mergeCell ref="DN762:DN765"/>
    <mergeCell ref="DO762:DO763"/>
    <mergeCell ref="DP762:DP765"/>
    <mergeCell ref="DQ762:DQ763"/>
    <mergeCell ref="DR762:DR765"/>
    <mergeCell ref="DS762:DS765"/>
    <mergeCell ref="DU762:DU765"/>
    <mergeCell ref="DV762:DV763"/>
    <mergeCell ref="DW762:DW765"/>
    <mergeCell ref="DX762:DX765"/>
    <mergeCell ref="DZ762:DZ765"/>
    <mergeCell ref="FS762:FS763"/>
    <mergeCell ref="FT762:FT763"/>
    <mergeCell ref="IC762:IC765"/>
    <mergeCell ref="IF762:IF763"/>
    <mergeCell ref="IG762:IG765"/>
    <mergeCell ref="IH762:IH763"/>
    <mergeCell ref="GI763:GI764"/>
    <mergeCell ref="GJ763:GJ764"/>
    <mergeCell ref="EU762:EU763"/>
    <mergeCell ref="EV762:EV763"/>
    <mergeCell ref="EW762:EW763"/>
    <mergeCell ref="EX762:EX763"/>
    <mergeCell ref="EY762:EY763"/>
    <mergeCell ref="EZ762:EZ765"/>
    <mergeCell ref="FB762:FB763"/>
    <mergeCell ref="FD762:FD765"/>
    <mergeCell ref="FE762:FE765"/>
    <mergeCell ref="FI762:FI763"/>
    <mergeCell ref="HW762:HW764"/>
    <mergeCell ref="HX762:HX763"/>
    <mergeCell ref="FL759:FL760"/>
    <mergeCell ref="FM759:FM760"/>
    <mergeCell ref="FO759:FO760"/>
    <mergeCell ref="IF759:IF760"/>
    <mergeCell ref="FP759:FP760"/>
    <mergeCell ref="FQ759:FQ760"/>
    <mergeCell ref="FR759:FR760"/>
    <mergeCell ref="FS759:FS760"/>
    <mergeCell ref="EQ757:EQ760"/>
    <mergeCell ref="GI758:GI759"/>
    <mergeCell ref="GJ758:GJ759"/>
    <mergeCell ref="GL758:GL759"/>
    <mergeCell ref="GM758:GM759"/>
    <mergeCell ref="HC758:HC759"/>
    <mergeCell ref="HD758:HD759"/>
    <mergeCell ref="HE758:HE759"/>
    <mergeCell ref="HF758:HF759"/>
    <mergeCell ref="HG758:HG759"/>
    <mergeCell ref="HH758:HH759"/>
    <mergeCell ref="HI758:HI759"/>
    <mergeCell ref="HJ758:HJ759"/>
    <mergeCell ref="HK758:HK759"/>
    <mergeCell ref="HL758:HL759"/>
    <mergeCell ref="HM758:HM759"/>
    <mergeCell ref="HN758:HN759"/>
    <mergeCell ref="HO758:HO759"/>
    <mergeCell ref="HP758:HP759"/>
    <mergeCell ref="HQ758:HQ759"/>
    <mergeCell ref="HR758:HR759"/>
    <mergeCell ref="HS758:HS759"/>
    <mergeCell ref="HT758:HT759"/>
    <mergeCell ref="GL763:GL764"/>
    <mergeCell ref="IB764:IB765"/>
    <mergeCell ref="GM763:GM764"/>
    <mergeCell ref="FE757:FE760"/>
    <mergeCell ref="HX764:HX765"/>
    <mergeCell ref="HG763:HG764"/>
    <mergeCell ref="HH763:HH764"/>
    <mergeCell ref="FW762:FW765"/>
    <mergeCell ref="FX762:FX765"/>
    <mergeCell ref="FY762:FY765"/>
    <mergeCell ref="FZ762:FZ765"/>
    <mergeCell ref="GA762:GA765"/>
    <mergeCell ref="GB762:GB765"/>
    <mergeCell ref="GC762:GC765"/>
    <mergeCell ref="GD762:GD765"/>
    <mergeCell ref="GG762:GG765"/>
    <mergeCell ref="HC763:HC764"/>
    <mergeCell ref="HD763:HD764"/>
    <mergeCell ref="HE763:HE764"/>
    <mergeCell ref="FP757:FP758"/>
    <mergeCell ref="FQ757:FQ758"/>
    <mergeCell ref="FT764:FT765"/>
    <mergeCell ref="ES757:ES760"/>
    <mergeCell ref="EU757:EU758"/>
    <mergeCell ref="EV757:EV758"/>
    <mergeCell ref="EW757:EW758"/>
    <mergeCell ref="FM764:FM765"/>
    <mergeCell ref="FO764:FO765"/>
    <mergeCell ref="FP764:FP765"/>
    <mergeCell ref="FQ764:FQ765"/>
    <mergeCell ref="FR764:FR765"/>
    <mergeCell ref="EX757:EX758"/>
    <mergeCell ref="EY757:EY758"/>
    <mergeCell ref="FS764:FS765"/>
    <mergeCell ref="FI757:FI758"/>
    <mergeCell ref="FJ757:FJ758"/>
    <mergeCell ref="FK757:FK758"/>
    <mergeCell ref="FL757:FL758"/>
    <mergeCell ref="FU757:FU758"/>
    <mergeCell ref="FQ762:FQ763"/>
    <mergeCell ref="FR762:FR763"/>
    <mergeCell ref="EZ757:EZ760"/>
    <mergeCell ref="FB757:FB758"/>
    <mergeCell ref="FD757:FD760"/>
    <mergeCell ref="FM757:FM758"/>
    <mergeCell ref="FO757:FO758"/>
    <mergeCell ref="EU759:EU760"/>
    <mergeCell ref="EV759:EV760"/>
    <mergeCell ref="EW759:EW760"/>
    <mergeCell ref="EX759:EX760"/>
    <mergeCell ref="EY759:EY760"/>
    <mergeCell ref="FB759:FB760"/>
    <mergeCell ref="FI759:FI760"/>
    <mergeCell ref="FJ759:FJ760"/>
    <mergeCell ref="FK759:FK760"/>
    <mergeCell ref="FM762:FM763"/>
    <mergeCell ref="FO762:FO763"/>
    <mergeCell ref="FP762:FP763"/>
    <mergeCell ref="EI757:EI760"/>
    <mergeCell ref="EJ757:EJ760"/>
    <mergeCell ref="EK757:EK760"/>
    <mergeCell ref="EL757:EL760"/>
    <mergeCell ref="EM757:EM760"/>
    <mergeCell ref="EN757:EN760"/>
    <mergeCell ref="EO757:EO760"/>
    <mergeCell ref="EP757:EP760"/>
    <mergeCell ref="CR759:CR760"/>
    <mergeCell ref="CS759:CS760"/>
    <mergeCell ref="CT759:CT760"/>
    <mergeCell ref="CU759:CU760"/>
    <mergeCell ref="CV759:CV760"/>
    <mergeCell ref="CW759:CW760"/>
    <mergeCell ref="DC759:DC760"/>
    <mergeCell ref="DZ757:DZ760"/>
    <mergeCell ref="EA757:EA760"/>
    <mergeCell ref="DO757:DO758"/>
    <mergeCell ref="DP757:DP760"/>
    <mergeCell ref="DQ757:DQ758"/>
    <mergeCell ref="DR757:DR760"/>
    <mergeCell ref="DS757:DS760"/>
    <mergeCell ref="DU757:DU760"/>
    <mergeCell ref="DV757:DV758"/>
    <mergeCell ref="DW757:DW760"/>
    <mergeCell ref="DX757:DX760"/>
    <mergeCell ref="CR762:CR763"/>
    <mergeCell ref="CS762:CS763"/>
    <mergeCell ref="CT762:CT763"/>
    <mergeCell ref="CU762:CU763"/>
    <mergeCell ref="CV762:CV763"/>
    <mergeCell ref="CW762:CW763"/>
    <mergeCell ref="CX762:CX765"/>
    <mergeCell ref="CY762:CY765"/>
    <mergeCell ref="CZ762:CZ765"/>
    <mergeCell ref="CR764:CR765"/>
    <mergeCell ref="CS764:CS765"/>
    <mergeCell ref="CT764:CT765"/>
    <mergeCell ref="CU764:CU765"/>
    <mergeCell ref="CV764:CV765"/>
    <mergeCell ref="CW764:CW765"/>
    <mergeCell ref="EO762:EO765"/>
    <mergeCell ref="DD759:DD760"/>
    <mergeCell ref="DE759:DE760"/>
    <mergeCell ref="DF759:DF760"/>
    <mergeCell ref="DG759:DG760"/>
    <mergeCell ref="DK759:DK760"/>
    <mergeCell ref="DO759:DO760"/>
    <mergeCell ref="DQ759:DQ760"/>
    <mergeCell ref="DV759:DV760"/>
    <mergeCell ref="B757:B760"/>
    <mergeCell ref="C757:D760"/>
    <mergeCell ref="E757:F757"/>
    <mergeCell ref="G757:R757"/>
    <mergeCell ref="S757:S758"/>
    <mergeCell ref="U757:AA757"/>
    <mergeCell ref="AF757:AI757"/>
    <mergeCell ref="AJ757:AJ758"/>
    <mergeCell ref="AK757:AK758"/>
    <mergeCell ref="AL757:AL758"/>
    <mergeCell ref="AM757:AN760"/>
    <mergeCell ref="AO757:AQ760"/>
    <mergeCell ref="AR757:AR760"/>
    <mergeCell ref="AS757:AS760"/>
    <mergeCell ref="AT757:AT760"/>
    <mergeCell ref="AV757:AV760"/>
    <mergeCell ref="AW757:AW760"/>
    <mergeCell ref="CM757:CM760"/>
    <mergeCell ref="CN757:CN760"/>
    <mergeCell ref="CO757:CO758"/>
    <mergeCell ref="CP757:CP758"/>
    <mergeCell ref="CR757:CR758"/>
    <mergeCell ref="CS757:CS758"/>
    <mergeCell ref="CT757:CT758"/>
    <mergeCell ref="CU757:CU758"/>
    <mergeCell ref="CV757:CV758"/>
    <mergeCell ref="CW757:CW758"/>
    <mergeCell ref="CX757:CX760"/>
    <mergeCell ref="CY757:CY760"/>
    <mergeCell ref="CZ757:CZ760"/>
    <mergeCell ref="DA757:DA760"/>
    <mergeCell ref="DC757:DC758"/>
    <mergeCell ref="DD757:DD758"/>
    <mergeCell ref="CO759:CO760"/>
    <mergeCell ref="CP759:CP760"/>
    <mergeCell ref="P763:Q763"/>
    <mergeCell ref="CO764:CO765"/>
    <mergeCell ref="CP764:CP765"/>
    <mergeCell ref="AF763:AI763"/>
    <mergeCell ref="E764:F764"/>
    <mergeCell ref="FM752:FM753"/>
    <mergeCell ref="FO752:FO753"/>
    <mergeCell ref="FP752:FP753"/>
    <mergeCell ref="FQ752:FQ753"/>
    <mergeCell ref="FR752:FR753"/>
    <mergeCell ref="FS752:FS753"/>
    <mergeCell ref="FT752:FT753"/>
    <mergeCell ref="FW752:FW755"/>
    <mergeCell ref="FX752:FX755"/>
    <mergeCell ref="FY752:FY755"/>
    <mergeCell ref="EU754:EU755"/>
    <mergeCell ref="EV754:EV755"/>
    <mergeCell ref="EW754:EW755"/>
    <mergeCell ref="EX754:EX755"/>
    <mergeCell ref="EY754:EY755"/>
    <mergeCell ref="FB754:FB755"/>
    <mergeCell ref="FI754:FI755"/>
    <mergeCell ref="FJ754:FJ755"/>
    <mergeCell ref="FK754:FK755"/>
    <mergeCell ref="FL754:FL755"/>
    <mergeCell ref="FM754:FM755"/>
    <mergeCell ref="FO754:FO755"/>
    <mergeCell ref="FP754:FP755"/>
    <mergeCell ref="FQ754:FQ755"/>
    <mergeCell ref="FR754:FR755"/>
    <mergeCell ref="FS754:FS755"/>
    <mergeCell ref="FT754:FT755"/>
    <mergeCell ref="AF758:AI758"/>
    <mergeCell ref="FE752:FE755"/>
    <mergeCell ref="FI752:FI753"/>
    <mergeCell ref="FJ752:FJ753"/>
    <mergeCell ref="FK752:FK753"/>
    <mergeCell ref="FL752:FL753"/>
    <mergeCell ref="CO754:CO755"/>
    <mergeCell ref="CP754:CP755"/>
    <mergeCell ref="CR754:CR755"/>
    <mergeCell ref="CS754:CS755"/>
    <mergeCell ref="CT754:CT755"/>
    <mergeCell ref="CU754:CU755"/>
    <mergeCell ref="CV754:CV755"/>
    <mergeCell ref="CW754:CW755"/>
    <mergeCell ref="CZ752:CZ755"/>
    <mergeCell ref="DA752:DA755"/>
    <mergeCell ref="DC752:DC753"/>
    <mergeCell ref="DD752:DD753"/>
    <mergeCell ref="DE752:DE753"/>
    <mergeCell ref="DF752:DF753"/>
    <mergeCell ref="DG752:DG753"/>
    <mergeCell ref="DH752:DH755"/>
    <mergeCell ref="DJ752:DJ753"/>
    <mergeCell ref="DL752:DL755"/>
    <mergeCell ref="DN752:DN755"/>
    <mergeCell ref="DO752:DO753"/>
    <mergeCell ref="DP752:DP755"/>
    <mergeCell ref="DQ752:DQ753"/>
    <mergeCell ref="DR752:DR755"/>
    <mergeCell ref="DS752:DS755"/>
    <mergeCell ref="DU752:DU755"/>
    <mergeCell ref="DV752:DV753"/>
    <mergeCell ref="IF754:IF755"/>
    <mergeCell ref="IH754:IH755"/>
    <mergeCell ref="E755:F755"/>
    <mergeCell ref="G755:L755"/>
    <mergeCell ref="P755:R755"/>
    <mergeCell ref="U755:AA755"/>
    <mergeCell ref="AF755:AI755"/>
    <mergeCell ref="E756:AT756"/>
    <mergeCell ref="DE757:DE758"/>
    <mergeCell ref="DF757:DF758"/>
    <mergeCell ref="DG757:DG758"/>
    <mergeCell ref="DH757:DH760"/>
    <mergeCell ref="DJ757:DJ758"/>
    <mergeCell ref="DL757:DL760"/>
    <mergeCell ref="DN757:DN760"/>
    <mergeCell ref="FZ752:FZ755"/>
    <mergeCell ref="GA752:GA755"/>
    <mergeCell ref="IA757:IA760"/>
    <mergeCell ref="IB757:IB758"/>
    <mergeCell ref="HN753:HN754"/>
    <mergeCell ref="HO753:HO754"/>
    <mergeCell ref="HP753:HP754"/>
    <mergeCell ref="HQ753:HQ754"/>
    <mergeCell ref="HR753:HR754"/>
    <mergeCell ref="HS753:HS754"/>
    <mergeCell ref="HT753:HT754"/>
    <mergeCell ref="HU753:HU754"/>
    <mergeCell ref="HY753:HY754"/>
    <mergeCell ref="HX754:HX755"/>
    <mergeCell ref="IB754:IB755"/>
    <mergeCell ref="EC757:EC760"/>
    <mergeCell ref="ED757:ED760"/>
    <mergeCell ref="EE757:EE760"/>
    <mergeCell ref="EF757:EF760"/>
    <mergeCell ref="EG757:EG760"/>
    <mergeCell ref="EH757:EH760"/>
    <mergeCell ref="EF752:EF755"/>
    <mergeCell ref="EG752:EG755"/>
    <mergeCell ref="EH752:EH755"/>
    <mergeCell ref="DC754:DC755"/>
    <mergeCell ref="DD754:DD755"/>
    <mergeCell ref="DE754:DE755"/>
    <mergeCell ref="DF754:DF755"/>
    <mergeCell ref="DG754:DG755"/>
    <mergeCell ref="DK754:DK755"/>
    <mergeCell ref="DO754:DO755"/>
    <mergeCell ref="DQ754:DQ755"/>
    <mergeCell ref="DV754:DV755"/>
    <mergeCell ref="EK752:EK755"/>
    <mergeCell ref="EL752:EL755"/>
    <mergeCell ref="EM752:EM755"/>
    <mergeCell ref="EN752:EN755"/>
    <mergeCell ref="EO752:EO755"/>
    <mergeCell ref="EP752:EP755"/>
    <mergeCell ref="EQ752:EQ755"/>
    <mergeCell ref="ES752:ES755"/>
    <mergeCell ref="EU752:EU753"/>
    <mergeCell ref="EV752:EV753"/>
    <mergeCell ref="EW752:EW753"/>
    <mergeCell ref="EX752:EX753"/>
    <mergeCell ref="EY752:EY753"/>
    <mergeCell ref="EZ752:EZ755"/>
    <mergeCell ref="FB752:FB753"/>
    <mergeCell ref="FD752:FD755"/>
    <mergeCell ref="DW752:DW755"/>
    <mergeCell ref="DX752:DX755"/>
    <mergeCell ref="DZ752:DZ755"/>
    <mergeCell ref="EA752:EA755"/>
    <mergeCell ref="EC752:EC755"/>
    <mergeCell ref="ED752:ED755"/>
    <mergeCell ref="EE752:EE755"/>
    <mergeCell ref="IA747:IA750"/>
    <mergeCell ref="IB747:IB748"/>
    <mergeCell ref="IC747:IC750"/>
    <mergeCell ref="IF747:IF748"/>
    <mergeCell ref="IG747:IG750"/>
    <mergeCell ref="IH747:IH748"/>
    <mergeCell ref="EY747:EY748"/>
    <mergeCell ref="EZ747:EZ750"/>
    <mergeCell ref="FB747:FB748"/>
    <mergeCell ref="FD747:FD750"/>
    <mergeCell ref="FE747:FE750"/>
    <mergeCell ref="FI747:FI748"/>
    <mergeCell ref="FJ747:FJ748"/>
    <mergeCell ref="FK747:FK748"/>
    <mergeCell ref="FL747:FL748"/>
    <mergeCell ref="FM747:FM748"/>
    <mergeCell ref="FO747:FO748"/>
    <mergeCell ref="FP747:FP748"/>
    <mergeCell ref="FQ747:FQ748"/>
    <mergeCell ref="FR747:FR748"/>
    <mergeCell ref="EI752:EI755"/>
    <mergeCell ref="EJ752:EJ755"/>
    <mergeCell ref="E751:AT751"/>
    <mergeCell ref="B752:B755"/>
    <mergeCell ref="C752:D755"/>
    <mergeCell ref="E752:F752"/>
    <mergeCell ref="G752:R752"/>
    <mergeCell ref="S752:S753"/>
    <mergeCell ref="U752:AA752"/>
    <mergeCell ref="AF752:AI752"/>
    <mergeCell ref="AJ752:AJ753"/>
    <mergeCell ref="AK752:AK753"/>
    <mergeCell ref="AL752:AL753"/>
    <mergeCell ref="AM752:AN755"/>
    <mergeCell ref="AO752:AQ755"/>
    <mergeCell ref="AR752:AR755"/>
    <mergeCell ref="AS752:AS755"/>
    <mergeCell ref="AT752:AT755"/>
    <mergeCell ref="AV752:AV755"/>
    <mergeCell ref="AW752:AW755"/>
    <mergeCell ref="CM752:CM755"/>
    <mergeCell ref="CN752:CN755"/>
    <mergeCell ref="CO752:CO753"/>
    <mergeCell ref="CP752:CP753"/>
    <mergeCell ref="CR752:CR753"/>
    <mergeCell ref="CS752:CS753"/>
    <mergeCell ref="CT752:CT753"/>
    <mergeCell ref="CU752:CU753"/>
    <mergeCell ref="CV752:CV753"/>
    <mergeCell ref="CW752:CW753"/>
    <mergeCell ref="CX752:CX755"/>
    <mergeCell ref="CY752:CY755"/>
    <mergeCell ref="E753:F753"/>
    <mergeCell ref="G753:L753"/>
    <mergeCell ref="P753:Q753"/>
    <mergeCell ref="AF753:AI753"/>
    <mergeCell ref="E754:F754"/>
    <mergeCell ref="G754:L754"/>
    <mergeCell ref="P754:Q754"/>
    <mergeCell ref="S754:S755"/>
    <mergeCell ref="AF754:AI754"/>
    <mergeCell ref="AJ754:AJ755"/>
    <mergeCell ref="AK754:AK755"/>
    <mergeCell ref="AL754:AL755"/>
    <mergeCell ref="II747:II750"/>
    <mergeCell ref="E748:F748"/>
    <mergeCell ref="G748:L748"/>
    <mergeCell ref="P748:Q748"/>
    <mergeCell ref="AF748:AI748"/>
    <mergeCell ref="GI748:GI749"/>
    <mergeCell ref="GJ748:GJ749"/>
    <mergeCell ref="GL748:GL749"/>
    <mergeCell ref="GM748:GM749"/>
    <mergeCell ref="HC748:HC749"/>
    <mergeCell ref="HD748:HD749"/>
    <mergeCell ref="HE748:HE749"/>
    <mergeCell ref="HF748:HF749"/>
    <mergeCell ref="HG748:HG749"/>
    <mergeCell ref="HH748:HH749"/>
    <mergeCell ref="HI748:HI749"/>
    <mergeCell ref="HJ748:HJ749"/>
    <mergeCell ref="HK748:HK749"/>
    <mergeCell ref="HL748:HL749"/>
    <mergeCell ref="HM748:HM749"/>
    <mergeCell ref="HN748:HN749"/>
    <mergeCell ref="HO748:HO749"/>
    <mergeCell ref="HP748:HP749"/>
    <mergeCell ref="HQ748:HQ749"/>
    <mergeCell ref="HR748:HR749"/>
    <mergeCell ref="HS748:HS749"/>
    <mergeCell ref="HT748:HT749"/>
    <mergeCell ref="HU748:HU749"/>
    <mergeCell ref="HY748:HY749"/>
    <mergeCell ref="E749:F749"/>
    <mergeCell ref="G749:L749"/>
    <mergeCell ref="P749:Q749"/>
    <mergeCell ref="S749:S750"/>
    <mergeCell ref="ED747:ED750"/>
    <mergeCell ref="EE747:EE750"/>
    <mergeCell ref="EF747:EF750"/>
    <mergeCell ref="EG747:EG750"/>
    <mergeCell ref="EH747:EH750"/>
    <mergeCell ref="EI747:EI750"/>
    <mergeCell ref="EJ747:EJ750"/>
    <mergeCell ref="EK747:EK750"/>
    <mergeCell ref="EL747:EL750"/>
    <mergeCell ref="EM747:EM750"/>
    <mergeCell ref="EN747:EN750"/>
    <mergeCell ref="EO747:EO750"/>
    <mergeCell ref="EP747:EP750"/>
    <mergeCell ref="EQ747:EQ750"/>
    <mergeCell ref="ES747:ES750"/>
    <mergeCell ref="EU747:EU748"/>
    <mergeCell ref="EV747:EV748"/>
    <mergeCell ref="EW747:EW748"/>
    <mergeCell ref="EX747:EX748"/>
    <mergeCell ref="IB749:IB750"/>
    <mergeCell ref="IF749:IF750"/>
    <mergeCell ref="IH749:IH750"/>
    <mergeCell ref="FW747:FW750"/>
    <mergeCell ref="FX747:FX750"/>
    <mergeCell ref="FY747:FY750"/>
    <mergeCell ref="FZ747:FZ750"/>
    <mergeCell ref="GA747:GA750"/>
    <mergeCell ref="GB747:GB750"/>
    <mergeCell ref="GC747:GC750"/>
    <mergeCell ref="GD747:GD750"/>
    <mergeCell ref="GG747:GG750"/>
    <mergeCell ref="E746:AT746"/>
    <mergeCell ref="B747:B750"/>
    <mergeCell ref="C747:D750"/>
    <mergeCell ref="E747:F747"/>
    <mergeCell ref="G747:R747"/>
    <mergeCell ref="S747:S748"/>
    <mergeCell ref="U747:AA747"/>
    <mergeCell ref="AF747:AI747"/>
    <mergeCell ref="AJ747:AJ748"/>
    <mergeCell ref="AK747:AK748"/>
    <mergeCell ref="AL747:AL748"/>
    <mergeCell ref="AM747:AN750"/>
    <mergeCell ref="AO747:AQ750"/>
    <mergeCell ref="AR747:AR750"/>
    <mergeCell ref="AS747:AS750"/>
    <mergeCell ref="AT747:AT750"/>
    <mergeCell ref="AV747:AV750"/>
    <mergeCell ref="AW747:AW750"/>
    <mergeCell ref="CM747:CM750"/>
    <mergeCell ref="CN747:CN750"/>
    <mergeCell ref="CO747:CO748"/>
    <mergeCell ref="CP747:CP748"/>
    <mergeCell ref="CR747:CR748"/>
    <mergeCell ref="CS747:CS748"/>
    <mergeCell ref="CT747:CT748"/>
    <mergeCell ref="CU747:CU748"/>
    <mergeCell ref="AF749:AI749"/>
    <mergeCell ref="AJ749:AJ750"/>
    <mergeCell ref="AK749:AK750"/>
    <mergeCell ref="AL749:AL750"/>
    <mergeCell ref="CO749:CO750"/>
    <mergeCell ref="CP749:CP750"/>
    <mergeCell ref="CR749:CR750"/>
    <mergeCell ref="CS749:CS750"/>
    <mergeCell ref="CT749:CT750"/>
    <mergeCell ref="E750:F750"/>
    <mergeCell ref="G750:L750"/>
    <mergeCell ref="P750:R750"/>
    <mergeCell ref="U750:AA750"/>
    <mergeCell ref="AF750:AI750"/>
    <mergeCell ref="CU749:CU750"/>
    <mergeCell ref="DC749:DC750"/>
    <mergeCell ref="DD749:DD750"/>
    <mergeCell ref="DE749:DE750"/>
    <mergeCell ref="DF749:DF750"/>
    <mergeCell ref="DG749:DG750"/>
    <mergeCell ref="DK749:DK750"/>
    <mergeCell ref="DO749:DO750"/>
    <mergeCell ref="DQ749:DQ750"/>
    <mergeCell ref="DV749:DV750"/>
    <mergeCell ref="EU749:EU750"/>
    <mergeCell ref="EV749:EV750"/>
    <mergeCell ref="EW749:EW750"/>
    <mergeCell ref="EX749:EX750"/>
    <mergeCell ref="EY749:EY750"/>
    <mergeCell ref="FB749:FB750"/>
    <mergeCell ref="FI749:FI750"/>
    <mergeCell ref="CT744:CT745"/>
    <mergeCell ref="CU744:CU745"/>
    <mergeCell ref="CV744:CV745"/>
    <mergeCell ref="CW744:CW745"/>
    <mergeCell ref="DC744:DC745"/>
    <mergeCell ref="DD744:DD745"/>
    <mergeCell ref="DE744:DE745"/>
    <mergeCell ref="DF744:DF745"/>
    <mergeCell ref="DG744:DG745"/>
    <mergeCell ref="DK744:DK745"/>
    <mergeCell ref="DO744:DO745"/>
    <mergeCell ref="DQ744:DQ745"/>
    <mergeCell ref="DV744:DV745"/>
    <mergeCell ref="EU744:EU745"/>
    <mergeCell ref="EV744:EV745"/>
    <mergeCell ref="EW744:EW745"/>
    <mergeCell ref="EX744:EX745"/>
    <mergeCell ref="EY744:EY745"/>
    <mergeCell ref="FB744:FB745"/>
    <mergeCell ref="FI744:FI745"/>
    <mergeCell ref="FJ744:FJ745"/>
    <mergeCell ref="FK744:FK745"/>
    <mergeCell ref="FL744:FL745"/>
    <mergeCell ref="FM744:FM745"/>
    <mergeCell ref="FO744:FO745"/>
    <mergeCell ref="FP744:FP745"/>
    <mergeCell ref="FQ744:FQ745"/>
    <mergeCell ref="FR744:FR745"/>
    <mergeCell ref="FS744:FS745"/>
    <mergeCell ref="FT744:FT745"/>
    <mergeCell ref="HX744:HX745"/>
    <mergeCell ref="FS747:FS748"/>
    <mergeCell ref="FT747:FT748"/>
    <mergeCell ref="CV747:CV748"/>
    <mergeCell ref="CW747:CW748"/>
    <mergeCell ref="CX747:CX750"/>
    <mergeCell ref="CY747:CY750"/>
    <mergeCell ref="CZ747:CZ750"/>
    <mergeCell ref="DA747:DA750"/>
    <mergeCell ref="DC747:DC748"/>
    <mergeCell ref="DD747:DD748"/>
    <mergeCell ref="DE747:DE748"/>
    <mergeCell ref="DF747:DF748"/>
    <mergeCell ref="DG747:DG748"/>
    <mergeCell ref="DH747:DH750"/>
    <mergeCell ref="DJ747:DJ748"/>
    <mergeCell ref="DL747:DL750"/>
    <mergeCell ref="DN747:DN750"/>
    <mergeCell ref="DO747:DO748"/>
    <mergeCell ref="DP747:DP750"/>
    <mergeCell ref="DQ747:DQ748"/>
    <mergeCell ref="DR747:DR750"/>
    <mergeCell ref="DS747:DS750"/>
    <mergeCell ref="DU747:DU750"/>
    <mergeCell ref="DV747:DV748"/>
    <mergeCell ref="DW747:DW750"/>
    <mergeCell ref="DX747:DX750"/>
    <mergeCell ref="DZ747:DZ750"/>
    <mergeCell ref="EA747:EA750"/>
    <mergeCell ref="EC747:EC750"/>
    <mergeCell ref="CV749:CV750"/>
    <mergeCell ref="HW747:HW749"/>
    <mergeCell ref="HX747:HX748"/>
    <mergeCell ref="CW749:CW750"/>
    <mergeCell ref="FJ749:FJ750"/>
    <mergeCell ref="FK749:FK750"/>
    <mergeCell ref="FL749:FL750"/>
    <mergeCell ref="FM749:FM750"/>
    <mergeCell ref="FO749:FO750"/>
    <mergeCell ref="FP749:FP750"/>
    <mergeCell ref="FQ749:FQ750"/>
    <mergeCell ref="FR749:FR750"/>
    <mergeCell ref="FS749:FS750"/>
    <mergeCell ref="FT749:FT750"/>
    <mergeCell ref="HX749:HX750"/>
    <mergeCell ref="FU744:FU745"/>
    <mergeCell ref="IG742:IG745"/>
    <mergeCell ref="IH742:IH743"/>
    <mergeCell ref="II742:II745"/>
    <mergeCell ref="E743:F743"/>
    <mergeCell ref="G743:L743"/>
    <mergeCell ref="P743:Q743"/>
    <mergeCell ref="AF743:AI743"/>
    <mergeCell ref="GI743:GI744"/>
    <mergeCell ref="GJ743:GJ744"/>
    <mergeCell ref="GL743:GL744"/>
    <mergeCell ref="GM743:GM744"/>
    <mergeCell ref="HC743:HC744"/>
    <mergeCell ref="HD743:HD744"/>
    <mergeCell ref="HE743:HE744"/>
    <mergeCell ref="HF743:HF744"/>
    <mergeCell ref="HG743:HG744"/>
    <mergeCell ref="HH743:HH744"/>
    <mergeCell ref="HI743:HI744"/>
    <mergeCell ref="HJ743:HJ744"/>
    <mergeCell ref="HK743:HK744"/>
    <mergeCell ref="HL743:HL744"/>
    <mergeCell ref="HM743:HM744"/>
    <mergeCell ref="HN743:HN744"/>
    <mergeCell ref="HO743:HO744"/>
    <mergeCell ref="HP743:HP744"/>
    <mergeCell ref="HQ743:HQ744"/>
    <mergeCell ref="HR743:HR744"/>
    <mergeCell ref="HS743:HS744"/>
    <mergeCell ref="HT743:HT744"/>
    <mergeCell ref="HU743:HU744"/>
    <mergeCell ref="HY743:HY744"/>
    <mergeCell ref="E744:F744"/>
    <mergeCell ref="G744:L744"/>
    <mergeCell ref="P744:Q744"/>
    <mergeCell ref="S744:S745"/>
    <mergeCell ref="AF744:AI744"/>
    <mergeCell ref="AJ744:AJ745"/>
    <mergeCell ref="AK744:AK745"/>
    <mergeCell ref="AL744:AL745"/>
    <mergeCell ref="CO744:CO745"/>
    <mergeCell ref="CP744:CP745"/>
    <mergeCell ref="IH744:IH745"/>
    <mergeCell ref="E745:F745"/>
    <mergeCell ref="G745:L745"/>
    <mergeCell ref="P745:R745"/>
    <mergeCell ref="U745:AA745"/>
    <mergeCell ref="AF745:AI745"/>
    <mergeCell ref="CR744:CR745"/>
    <mergeCell ref="CS744:CS745"/>
    <mergeCell ref="EW742:EW743"/>
    <mergeCell ref="EX742:EX743"/>
    <mergeCell ref="EY742:EY743"/>
    <mergeCell ref="EZ742:EZ745"/>
    <mergeCell ref="FB742:FB743"/>
    <mergeCell ref="FD742:FD745"/>
    <mergeCell ref="FE742:FE745"/>
    <mergeCell ref="FI742:FI743"/>
    <mergeCell ref="FJ742:FJ743"/>
    <mergeCell ref="FK742:FK743"/>
    <mergeCell ref="HW742:HW744"/>
    <mergeCell ref="HX742:HX743"/>
    <mergeCell ref="IA742:IA745"/>
    <mergeCell ref="IB742:IB743"/>
    <mergeCell ref="IC742:IC745"/>
    <mergeCell ref="IF742:IF743"/>
    <mergeCell ref="DF742:DF743"/>
    <mergeCell ref="DG742:DG743"/>
    <mergeCell ref="DH742:DH745"/>
    <mergeCell ref="DJ742:DJ743"/>
    <mergeCell ref="DL742:DL745"/>
    <mergeCell ref="DN742:DN745"/>
    <mergeCell ref="DO742:DO743"/>
    <mergeCell ref="DP742:DP745"/>
    <mergeCell ref="DQ742:DQ743"/>
    <mergeCell ref="DR742:DR745"/>
    <mergeCell ref="DS742:DS745"/>
    <mergeCell ref="DU742:DU745"/>
    <mergeCell ref="DV742:DV743"/>
    <mergeCell ref="DW742:DW745"/>
    <mergeCell ref="DX742:DX745"/>
    <mergeCell ref="DZ742:DZ745"/>
    <mergeCell ref="EA742:EA745"/>
    <mergeCell ref="EE742:EE745"/>
    <mergeCell ref="EF742:EF745"/>
    <mergeCell ref="EG742:EG745"/>
    <mergeCell ref="EH742:EH745"/>
    <mergeCell ref="EI742:EI745"/>
    <mergeCell ref="EJ742:EJ745"/>
    <mergeCell ref="EK742:EK745"/>
    <mergeCell ref="EL742:EL745"/>
    <mergeCell ref="EM742:EM745"/>
    <mergeCell ref="EN742:EN745"/>
    <mergeCell ref="EO742:EO745"/>
    <mergeCell ref="EP742:EP745"/>
    <mergeCell ref="EQ742:EQ745"/>
    <mergeCell ref="ES742:ES745"/>
    <mergeCell ref="EU742:EU743"/>
    <mergeCell ref="EV742:EV743"/>
    <mergeCell ref="FR742:FR743"/>
    <mergeCell ref="FS742:FS743"/>
    <mergeCell ref="IF739:IF740"/>
    <mergeCell ref="IH739:IH740"/>
    <mergeCell ref="E740:F740"/>
    <mergeCell ref="G740:L740"/>
    <mergeCell ref="P740:R740"/>
    <mergeCell ref="U740:AA740"/>
    <mergeCell ref="AF740:AI740"/>
    <mergeCell ref="E741:AT741"/>
    <mergeCell ref="B742:B745"/>
    <mergeCell ref="C742:D745"/>
    <mergeCell ref="E742:F742"/>
    <mergeCell ref="G742:R742"/>
    <mergeCell ref="S742:S743"/>
    <mergeCell ref="U742:AA742"/>
    <mergeCell ref="AF742:AI742"/>
    <mergeCell ref="AJ742:AJ743"/>
    <mergeCell ref="AK742:AK743"/>
    <mergeCell ref="AL742:AL743"/>
    <mergeCell ref="AM742:AN745"/>
    <mergeCell ref="AO742:AQ745"/>
    <mergeCell ref="AR742:AR745"/>
    <mergeCell ref="AS742:AS745"/>
    <mergeCell ref="AT742:AT745"/>
    <mergeCell ref="AV742:AV745"/>
    <mergeCell ref="AW742:AW745"/>
    <mergeCell ref="CM742:CM745"/>
    <mergeCell ref="CN742:CN745"/>
    <mergeCell ref="CO742:CO743"/>
    <mergeCell ref="CP742:CP743"/>
    <mergeCell ref="CR742:CR743"/>
    <mergeCell ref="CS742:CS743"/>
    <mergeCell ref="CT742:CT743"/>
    <mergeCell ref="CU742:CU743"/>
    <mergeCell ref="CV742:CV743"/>
    <mergeCell ref="CW742:CW743"/>
    <mergeCell ref="CX742:CX745"/>
    <mergeCell ref="CY742:CY745"/>
    <mergeCell ref="CZ742:CZ745"/>
    <mergeCell ref="DA742:DA745"/>
    <mergeCell ref="DC742:DC743"/>
    <mergeCell ref="DD742:DD743"/>
    <mergeCell ref="DE742:DE743"/>
    <mergeCell ref="FL742:FL743"/>
    <mergeCell ref="FM742:FM743"/>
    <mergeCell ref="FO742:FO743"/>
    <mergeCell ref="FP742:FP743"/>
    <mergeCell ref="FQ742:FQ743"/>
    <mergeCell ref="EC742:EC745"/>
    <mergeCell ref="ED742:ED745"/>
    <mergeCell ref="FT742:FT743"/>
    <mergeCell ref="FW742:FW745"/>
    <mergeCell ref="FX742:FX745"/>
    <mergeCell ref="FY742:FY745"/>
    <mergeCell ref="FZ742:FZ745"/>
    <mergeCell ref="GA742:GA745"/>
    <mergeCell ref="GB742:GB745"/>
    <mergeCell ref="GC742:GC745"/>
    <mergeCell ref="GD742:GD745"/>
    <mergeCell ref="GG742:GG745"/>
    <mergeCell ref="EA737:EA740"/>
    <mergeCell ref="EC737:EC740"/>
    <mergeCell ref="CU739:CU740"/>
    <mergeCell ref="CV739:CV740"/>
    <mergeCell ref="DD739:DD740"/>
    <mergeCell ref="DE739:DE740"/>
    <mergeCell ref="DF739:DF740"/>
    <mergeCell ref="DG739:DG740"/>
    <mergeCell ref="DK739:DK740"/>
    <mergeCell ref="DO739:DO740"/>
    <mergeCell ref="DQ739:DQ740"/>
    <mergeCell ref="IB739:IB740"/>
    <mergeCell ref="ED737:ED740"/>
    <mergeCell ref="EE737:EE740"/>
    <mergeCell ref="EF737:EF740"/>
    <mergeCell ref="EG737:EG740"/>
    <mergeCell ref="EH737:EH740"/>
    <mergeCell ref="EI737:EI740"/>
    <mergeCell ref="EJ737:EJ740"/>
    <mergeCell ref="EK737:EK740"/>
    <mergeCell ref="EL737:EL740"/>
    <mergeCell ref="EM737:EM740"/>
    <mergeCell ref="EN737:EN740"/>
    <mergeCell ref="EO737:EO740"/>
    <mergeCell ref="EP737:EP740"/>
    <mergeCell ref="EQ737:EQ740"/>
    <mergeCell ref="ES737:ES740"/>
    <mergeCell ref="EU737:EU738"/>
    <mergeCell ref="EV737:EV738"/>
    <mergeCell ref="EW737:EW738"/>
    <mergeCell ref="EX737:EX738"/>
    <mergeCell ref="EY737:EY738"/>
    <mergeCell ref="EZ737:EZ740"/>
    <mergeCell ref="FB737:FB738"/>
    <mergeCell ref="FD737:FD740"/>
    <mergeCell ref="FE737:FE740"/>
    <mergeCell ref="FI737:FI738"/>
    <mergeCell ref="FJ737:FJ738"/>
    <mergeCell ref="FK737:FK738"/>
    <mergeCell ref="FL737:FL738"/>
    <mergeCell ref="FM737:FM738"/>
    <mergeCell ref="FO737:FO738"/>
    <mergeCell ref="FP737:FP738"/>
    <mergeCell ref="FW737:FW740"/>
    <mergeCell ref="FX737:FX740"/>
    <mergeCell ref="FY737:FY740"/>
    <mergeCell ref="FZ737:FZ740"/>
    <mergeCell ref="GA737:GA740"/>
    <mergeCell ref="GB737:GB740"/>
    <mergeCell ref="GC737:GC740"/>
    <mergeCell ref="GD737:GD740"/>
    <mergeCell ref="GG737:GG740"/>
    <mergeCell ref="HW737:HW739"/>
    <mergeCell ref="HX737:HX738"/>
    <mergeCell ref="IA737:IA740"/>
    <mergeCell ref="IB737:IB738"/>
    <mergeCell ref="DX737:DX740"/>
    <mergeCell ref="DZ737:DZ740"/>
    <mergeCell ref="FS737:FS738"/>
    <mergeCell ref="FT737:FT738"/>
    <mergeCell ref="HT738:HT739"/>
    <mergeCell ref="HU738:HU739"/>
    <mergeCell ref="HY738:HY739"/>
    <mergeCell ref="HM738:HM739"/>
    <mergeCell ref="HN738:HN739"/>
    <mergeCell ref="HO738:HO739"/>
    <mergeCell ref="HP738:HP739"/>
    <mergeCell ref="HQ738:HQ739"/>
    <mergeCell ref="HR738:HR739"/>
    <mergeCell ref="E736:AT736"/>
    <mergeCell ref="B737:B740"/>
    <mergeCell ref="C737:D740"/>
    <mergeCell ref="E737:F737"/>
    <mergeCell ref="G737:R737"/>
    <mergeCell ref="S737:S738"/>
    <mergeCell ref="U737:AA737"/>
    <mergeCell ref="AF737:AI737"/>
    <mergeCell ref="AJ737:AJ738"/>
    <mergeCell ref="AK737:AK738"/>
    <mergeCell ref="AL737:AL738"/>
    <mergeCell ref="AM737:AN740"/>
    <mergeCell ref="AO737:AQ740"/>
    <mergeCell ref="AR737:AR740"/>
    <mergeCell ref="AS737:AS740"/>
    <mergeCell ref="AT737:AT740"/>
    <mergeCell ref="AV737:AV740"/>
    <mergeCell ref="AW737:AW740"/>
    <mergeCell ref="CM737:CM740"/>
    <mergeCell ref="CN737:CN740"/>
    <mergeCell ref="CO737:CO738"/>
    <mergeCell ref="CP737:CP738"/>
    <mergeCell ref="CR737:CR738"/>
    <mergeCell ref="CS737:CS738"/>
    <mergeCell ref="CT737:CT738"/>
    <mergeCell ref="E738:F738"/>
    <mergeCell ref="G738:L738"/>
    <mergeCell ref="P738:Q738"/>
    <mergeCell ref="AF738:AI738"/>
    <mergeCell ref="E739:F739"/>
    <mergeCell ref="G739:L739"/>
    <mergeCell ref="P739:Q739"/>
    <mergeCell ref="S739:S740"/>
    <mergeCell ref="AF739:AI739"/>
    <mergeCell ref="AJ739:AJ740"/>
    <mergeCell ref="AK739:AK740"/>
    <mergeCell ref="AL739:AL740"/>
    <mergeCell ref="CO739:CO740"/>
    <mergeCell ref="CP739:CP740"/>
    <mergeCell ref="CR739:CR740"/>
    <mergeCell ref="CS739:CS740"/>
    <mergeCell ref="CT739:CT740"/>
    <mergeCell ref="FP732:FP733"/>
    <mergeCell ref="FQ732:FQ733"/>
    <mergeCell ref="FT739:FT740"/>
    <mergeCell ref="HX739:HX740"/>
    <mergeCell ref="FU732:FU733"/>
    <mergeCell ref="CR734:CR735"/>
    <mergeCell ref="CS734:CS735"/>
    <mergeCell ref="CT734:CT735"/>
    <mergeCell ref="CU734:CU735"/>
    <mergeCell ref="CV734:CV735"/>
    <mergeCell ref="CW734:CW735"/>
    <mergeCell ref="DC734:DC735"/>
    <mergeCell ref="DD734:DD735"/>
    <mergeCell ref="DE734:DE735"/>
    <mergeCell ref="DF734:DF735"/>
    <mergeCell ref="DG734:DG735"/>
    <mergeCell ref="DK734:DK735"/>
    <mergeCell ref="DO734:DO735"/>
    <mergeCell ref="DQ734:DQ735"/>
    <mergeCell ref="DV734:DV735"/>
    <mergeCell ref="EU734:EU735"/>
    <mergeCell ref="EV734:EV735"/>
    <mergeCell ref="EW734:EW735"/>
    <mergeCell ref="EX734:EX735"/>
    <mergeCell ref="EY734:EY735"/>
    <mergeCell ref="FB734:FB735"/>
    <mergeCell ref="FI734:FI735"/>
    <mergeCell ref="FJ734:FJ735"/>
    <mergeCell ref="FK734:FK735"/>
    <mergeCell ref="FL734:FL735"/>
    <mergeCell ref="FM734:FM735"/>
    <mergeCell ref="FO734:FO735"/>
    <mergeCell ref="FP734:FP735"/>
    <mergeCell ref="FQ734:FQ735"/>
    <mergeCell ref="FR734:FR735"/>
    <mergeCell ref="FS734:FS735"/>
    <mergeCell ref="FQ737:FQ738"/>
    <mergeCell ref="FR737:FR738"/>
    <mergeCell ref="CU737:CU738"/>
    <mergeCell ref="CV737:CV738"/>
    <mergeCell ref="CW737:CW738"/>
    <mergeCell ref="CX737:CX740"/>
    <mergeCell ref="CY737:CY740"/>
    <mergeCell ref="CZ737:CZ740"/>
    <mergeCell ref="DA737:DA740"/>
    <mergeCell ref="DC737:DC738"/>
    <mergeCell ref="DD737:DD738"/>
    <mergeCell ref="DE737:DE738"/>
    <mergeCell ref="DF737:DF738"/>
    <mergeCell ref="DG737:DG738"/>
    <mergeCell ref="DH737:DH740"/>
    <mergeCell ref="DJ737:DJ738"/>
    <mergeCell ref="DL737:DL740"/>
    <mergeCell ref="DN737:DN740"/>
    <mergeCell ref="DO737:DO738"/>
    <mergeCell ref="DP737:DP740"/>
    <mergeCell ref="DQ737:DQ738"/>
    <mergeCell ref="DR737:DR740"/>
    <mergeCell ref="DS737:DS740"/>
    <mergeCell ref="DU737:DU740"/>
    <mergeCell ref="DV737:DV738"/>
    <mergeCell ref="DW737:DW740"/>
    <mergeCell ref="CW739:CW740"/>
    <mergeCell ref="DC739:DC740"/>
    <mergeCell ref="EE732:EE735"/>
    <mergeCell ref="EF732:EF735"/>
    <mergeCell ref="EG732:EG735"/>
    <mergeCell ref="EH732:EH735"/>
    <mergeCell ref="EI732:EI735"/>
    <mergeCell ref="EJ732:EJ735"/>
    <mergeCell ref="EK732:EK735"/>
    <mergeCell ref="EL732:EL735"/>
    <mergeCell ref="EM732:EM735"/>
    <mergeCell ref="EN732:EN735"/>
    <mergeCell ref="EO732:EO735"/>
    <mergeCell ref="EP732:EP735"/>
    <mergeCell ref="DV739:DV740"/>
    <mergeCell ref="EU739:EU740"/>
    <mergeCell ref="EV739:EV740"/>
    <mergeCell ref="EW739:EW740"/>
    <mergeCell ref="EX739:EX740"/>
    <mergeCell ref="EY739:EY740"/>
    <mergeCell ref="FB739:FB740"/>
    <mergeCell ref="FI739:FI740"/>
    <mergeCell ref="FJ739:FJ740"/>
    <mergeCell ref="FK739:FK740"/>
    <mergeCell ref="FL739:FL740"/>
    <mergeCell ref="FM739:FM740"/>
    <mergeCell ref="FO739:FO740"/>
    <mergeCell ref="FP739:FP740"/>
    <mergeCell ref="FQ739:FQ740"/>
    <mergeCell ref="FR739:FR740"/>
    <mergeCell ref="FS739:FS740"/>
    <mergeCell ref="FT734:FT735"/>
    <mergeCell ref="HX734:HX735"/>
    <mergeCell ref="FR732:FR733"/>
    <mergeCell ref="FS732:FS733"/>
    <mergeCell ref="FT732:FT733"/>
    <mergeCell ref="FW732:FW735"/>
    <mergeCell ref="FX732:FX735"/>
    <mergeCell ref="FY732:FY735"/>
    <mergeCell ref="FZ732:FZ735"/>
    <mergeCell ref="GA732:GA735"/>
    <mergeCell ref="GB732:GB735"/>
    <mergeCell ref="GC732:GC735"/>
    <mergeCell ref="GD732:GD735"/>
    <mergeCell ref="GG732:GG735"/>
    <mergeCell ref="HW732:HW734"/>
    <mergeCell ref="HX732:HX733"/>
    <mergeCell ref="EQ732:EQ735"/>
    <mergeCell ref="ES732:ES735"/>
    <mergeCell ref="EU732:EU733"/>
    <mergeCell ref="EV732:EV733"/>
    <mergeCell ref="EW732:EW733"/>
    <mergeCell ref="EX732:EX733"/>
    <mergeCell ref="EY732:EY733"/>
    <mergeCell ref="EZ732:EZ735"/>
    <mergeCell ref="FB732:FB733"/>
    <mergeCell ref="FD732:FD735"/>
    <mergeCell ref="FE732:FE735"/>
    <mergeCell ref="FI732:FI733"/>
    <mergeCell ref="FJ732:FJ733"/>
    <mergeCell ref="FK732:FK733"/>
    <mergeCell ref="FL732:FL733"/>
    <mergeCell ref="FM732:FM733"/>
    <mergeCell ref="FO732:FO733"/>
    <mergeCell ref="DZ732:DZ735"/>
    <mergeCell ref="EA732:EA735"/>
    <mergeCell ref="DD732:DD733"/>
    <mergeCell ref="DE732:DE733"/>
    <mergeCell ref="DF732:DF733"/>
    <mergeCell ref="DG732:DG733"/>
    <mergeCell ref="DH732:DH735"/>
    <mergeCell ref="DN727:DN730"/>
    <mergeCell ref="DO727:DO728"/>
    <mergeCell ref="DP727:DP730"/>
    <mergeCell ref="DQ727:DQ728"/>
    <mergeCell ref="DR727:DR730"/>
    <mergeCell ref="DS727:DS730"/>
    <mergeCell ref="DU727:DU730"/>
    <mergeCell ref="DV727:DV728"/>
    <mergeCell ref="DJ732:DJ733"/>
    <mergeCell ref="DL732:DL735"/>
    <mergeCell ref="DN732:DN735"/>
    <mergeCell ref="DO732:DO733"/>
    <mergeCell ref="DP732:DP735"/>
    <mergeCell ref="DQ732:DQ733"/>
    <mergeCell ref="DR732:DR735"/>
    <mergeCell ref="DS732:DS735"/>
    <mergeCell ref="DU732:DU735"/>
    <mergeCell ref="DV732:DV733"/>
    <mergeCell ref="DW732:DW735"/>
    <mergeCell ref="DX732:DX735"/>
    <mergeCell ref="FR729:FR730"/>
    <mergeCell ref="FS729:FS730"/>
    <mergeCell ref="IA732:IA735"/>
    <mergeCell ref="IB732:IB733"/>
    <mergeCell ref="IC732:IC735"/>
    <mergeCell ref="IF732:IF733"/>
    <mergeCell ref="IG732:IG735"/>
    <mergeCell ref="IH732:IH733"/>
    <mergeCell ref="GI733:GI734"/>
    <mergeCell ref="GJ733:GJ734"/>
    <mergeCell ref="GL733:GL734"/>
    <mergeCell ref="GM733:GM734"/>
    <mergeCell ref="HC733:HC734"/>
    <mergeCell ref="HD733:HD734"/>
    <mergeCell ref="HE733:HE734"/>
    <mergeCell ref="HF733:HF734"/>
    <mergeCell ref="HG733:HG734"/>
    <mergeCell ref="HH733:HH734"/>
    <mergeCell ref="HI733:HI734"/>
    <mergeCell ref="HJ733:HJ734"/>
    <mergeCell ref="HK733:HK734"/>
    <mergeCell ref="HL733:HL734"/>
    <mergeCell ref="HM733:HM734"/>
    <mergeCell ref="HN733:HN734"/>
    <mergeCell ref="HO733:HO734"/>
    <mergeCell ref="HP733:HP734"/>
    <mergeCell ref="HQ733:HQ734"/>
    <mergeCell ref="HR733:HR734"/>
    <mergeCell ref="HS733:HS734"/>
    <mergeCell ref="HT733:HT734"/>
    <mergeCell ref="HU733:HU734"/>
    <mergeCell ref="HY733:HY734"/>
    <mergeCell ref="DZ727:DZ730"/>
    <mergeCell ref="FT729:FT730"/>
    <mergeCell ref="EA727:EA730"/>
    <mergeCell ref="EC727:EC730"/>
    <mergeCell ref="ED727:ED730"/>
    <mergeCell ref="EC732:EC735"/>
    <mergeCell ref="ED732:ED735"/>
    <mergeCell ref="E731:AT731"/>
    <mergeCell ref="B732:B735"/>
    <mergeCell ref="C732:D735"/>
    <mergeCell ref="E732:F732"/>
    <mergeCell ref="G732:R732"/>
    <mergeCell ref="S732:S733"/>
    <mergeCell ref="U732:AA732"/>
    <mergeCell ref="AF732:AI732"/>
    <mergeCell ref="AJ732:AJ733"/>
    <mergeCell ref="AK732:AK733"/>
    <mergeCell ref="AL732:AL733"/>
    <mergeCell ref="AM732:AN735"/>
    <mergeCell ref="AO732:AQ735"/>
    <mergeCell ref="AR732:AR735"/>
    <mergeCell ref="AS732:AS735"/>
    <mergeCell ref="AT732:AT735"/>
    <mergeCell ref="AV732:AV735"/>
    <mergeCell ref="AW732:AW735"/>
    <mergeCell ref="CM732:CM735"/>
    <mergeCell ref="CN732:CN735"/>
    <mergeCell ref="CO732:CO733"/>
    <mergeCell ref="CP732:CP733"/>
    <mergeCell ref="CR732:CR733"/>
    <mergeCell ref="CS732:CS733"/>
    <mergeCell ref="CT732:CT733"/>
    <mergeCell ref="CU732:CU733"/>
    <mergeCell ref="CV732:CV733"/>
    <mergeCell ref="CW732:CW733"/>
    <mergeCell ref="CX732:CX735"/>
    <mergeCell ref="CY732:CY735"/>
    <mergeCell ref="CZ732:CZ735"/>
    <mergeCell ref="DA732:DA735"/>
    <mergeCell ref="DC732:DC733"/>
    <mergeCell ref="E733:F733"/>
    <mergeCell ref="G733:L733"/>
    <mergeCell ref="P733:Q733"/>
    <mergeCell ref="AF733:AI733"/>
    <mergeCell ref="E734:F734"/>
    <mergeCell ref="G734:L734"/>
    <mergeCell ref="P734:Q734"/>
    <mergeCell ref="S734:S735"/>
    <mergeCell ref="AF734:AI734"/>
    <mergeCell ref="AJ734:AJ735"/>
    <mergeCell ref="AK734:AK735"/>
    <mergeCell ref="AL734:AL735"/>
    <mergeCell ref="CO734:CO735"/>
    <mergeCell ref="CP734:CP735"/>
    <mergeCell ref="E735:F735"/>
    <mergeCell ref="G735:L735"/>
    <mergeCell ref="P735:R735"/>
    <mergeCell ref="U735:AA735"/>
    <mergeCell ref="AF735:AI735"/>
    <mergeCell ref="GJ728:GJ729"/>
    <mergeCell ref="GL728:GL729"/>
    <mergeCell ref="GM728:GM729"/>
    <mergeCell ref="HC728:HC729"/>
    <mergeCell ref="HD728:HD729"/>
    <mergeCell ref="HE728:HE729"/>
    <mergeCell ref="HF728:HF729"/>
    <mergeCell ref="HG728:HG729"/>
    <mergeCell ref="HH728:HH729"/>
    <mergeCell ref="HI728:HI729"/>
    <mergeCell ref="HJ728:HJ729"/>
    <mergeCell ref="HK728:HK729"/>
    <mergeCell ref="HL728:HL729"/>
    <mergeCell ref="HM728:HM729"/>
    <mergeCell ref="HN728:HN729"/>
    <mergeCell ref="HO728:HO729"/>
    <mergeCell ref="HP728:HP729"/>
    <mergeCell ref="HQ728:HQ729"/>
    <mergeCell ref="HR728:HR729"/>
    <mergeCell ref="HS728:HS729"/>
    <mergeCell ref="HT728:HT729"/>
    <mergeCell ref="HU728:HU729"/>
    <mergeCell ref="HY728:HY729"/>
    <mergeCell ref="E729:F729"/>
    <mergeCell ref="G729:L729"/>
    <mergeCell ref="P729:Q729"/>
    <mergeCell ref="S729:S730"/>
    <mergeCell ref="AF729:AI729"/>
    <mergeCell ref="AJ729:AJ730"/>
    <mergeCell ref="AK729:AK730"/>
    <mergeCell ref="AL729:AL730"/>
    <mergeCell ref="CO729:CO730"/>
    <mergeCell ref="CP729:CP730"/>
    <mergeCell ref="CR729:CR730"/>
    <mergeCell ref="DX727:DX730"/>
    <mergeCell ref="FK729:FK730"/>
    <mergeCell ref="FL729:FL730"/>
    <mergeCell ref="FM729:FM730"/>
    <mergeCell ref="FO729:FO730"/>
    <mergeCell ref="FP729:FP730"/>
    <mergeCell ref="FQ729:FQ730"/>
    <mergeCell ref="EE727:EE730"/>
    <mergeCell ref="EF727:EF730"/>
    <mergeCell ref="EG727:EG730"/>
    <mergeCell ref="EH727:EH730"/>
    <mergeCell ref="EI727:EI730"/>
    <mergeCell ref="EJ727:EJ730"/>
    <mergeCell ref="EK727:EK730"/>
    <mergeCell ref="EL727:EL730"/>
    <mergeCell ref="EM727:EM730"/>
    <mergeCell ref="HX729:HX730"/>
    <mergeCell ref="E730:F730"/>
    <mergeCell ref="G730:L730"/>
    <mergeCell ref="P730:R730"/>
    <mergeCell ref="U730:AA730"/>
    <mergeCell ref="AF730:AI730"/>
    <mergeCell ref="FO727:FO728"/>
    <mergeCell ref="FP727:FP728"/>
    <mergeCell ref="FQ727:FQ728"/>
    <mergeCell ref="FR727:FR728"/>
    <mergeCell ref="CS729:CS730"/>
    <mergeCell ref="CT729:CT730"/>
    <mergeCell ref="CU729:CU730"/>
    <mergeCell ref="CV729:CV730"/>
    <mergeCell ref="E726:AT726"/>
    <mergeCell ref="B727:B730"/>
    <mergeCell ref="C727:D730"/>
    <mergeCell ref="E727:F727"/>
    <mergeCell ref="G727:R727"/>
    <mergeCell ref="S727:S728"/>
    <mergeCell ref="U727:AA727"/>
    <mergeCell ref="AF727:AI727"/>
    <mergeCell ref="AJ727:AJ728"/>
    <mergeCell ref="AK727:AK728"/>
    <mergeCell ref="AL727:AL728"/>
    <mergeCell ref="AM727:AN730"/>
    <mergeCell ref="AO727:AQ730"/>
    <mergeCell ref="AR727:AR730"/>
    <mergeCell ref="AS727:AS730"/>
    <mergeCell ref="AT727:AT730"/>
    <mergeCell ref="AV727:AV730"/>
    <mergeCell ref="AW727:AW730"/>
    <mergeCell ref="CM727:CM730"/>
    <mergeCell ref="CN727:CN730"/>
    <mergeCell ref="CO727:CO728"/>
    <mergeCell ref="CP727:CP728"/>
    <mergeCell ref="CR727:CR728"/>
    <mergeCell ref="CS727:CS728"/>
    <mergeCell ref="CT727:CT728"/>
    <mergeCell ref="FT724:FT725"/>
    <mergeCell ref="HX724:HX725"/>
    <mergeCell ref="IB724:IB725"/>
    <mergeCell ref="FZ727:FZ730"/>
    <mergeCell ref="GA727:GA730"/>
    <mergeCell ref="GB727:GB730"/>
    <mergeCell ref="GC727:GC730"/>
    <mergeCell ref="GD727:GD730"/>
    <mergeCell ref="GG727:GG730"/>
    <mergeCell ref="HW727:HW729"/>
    <mergeCell ref="HX727:HX728"/>
    <mergeCell ref="IA727:IA730"/>
    <mergeCell ref="IB727:IB728"/>
    <mergeCell ref="EN727:EN730"/>
    <mergeCell ref="EO727:EO730"/>
    <mergeCell ref="EP727:EP730"/>
    <mergeCell ref="EQ727:EQ730"/>
    <mergeCell ref="ES727:ES730"/>
    <mergeCell ref="EU727:EU728"/>
    <mergeCell ref="EV727:EV728"/>
    <mergeCell ref="EW727:EW728"/>
    <mergeCell ref="EX727:EX728"/>
    <mergeCell ref="EY727:EY728"/>
    <mergeCell ref="EZ727:EZ730"/>
    <mergeCell ref="FB727:FB728"/>
    <mergeCell ref="FD727:FD730"/>
    <mergeCell ref="FE727:FE730"/>
    <mergeCell ref="FI727:FI728"/>
    <mergeCell ref="FJ727:FJ728"/>
    <mergeCell ref="FK727:FK728"/>
    <mergeCell ref="FL727:FL728"/>
    <mergeCell ref="FM727:FM728"/>
    <mergeCell ref="FS727:FS728"/>
    <mergeCell ref="FT727:FT728"/>
    <mergeCell ref="E728:F728"/>
    <mergeCell ref="G728:L728"/>
    <mergeCell ref="P728:Q728"/>
    <mergeCell ref="AF728:AI728"/>
    <mergeCell ref="GI728:GI729"/>
    <mergeCell ref="FP722:FP723"/>
    <mergeCell ref="FQ722:FQ723"/>
    <mergeCell ref="FR722:FR723"/>
    <mergeCell ref="FS722:FS723"/>
    <mergeCell ref="EE722:EE725"/>
    <mergeCell ref="EF722:EF725"/>
    <mergeCell ref="EG722:EG725"/>
    <mergeCell ref="EH722:EH725"/>
    <mergeCell ref="EI722:EI725"/>
    <mergeCell ref="EJ722:EJ725"/>
    <mergeCell ref="EK722:EK725"/>
    <mergeCell ref="EL722:EL725"/>
    <mergeCell ref="EM722:EM725"/>
    <mergeCell ref="EN722:EN725"/>
    <mergeCell ref="EO722:EO725"/>
    <mergeCell ref="EP722:EP725"/>
    <mergeCell ref="EQ722:EQ725"/>
    <mergeCell ref="ES722:ES725"/>
    <mergeCell ref="EU722:EU723"/>
    <mergeCell ref="EV722:EV723"/>
    <mergeCell ref="EW722:EW723"/>
    <mergeCell ref="EX722:EX723"/>
    <mergeCell ref="EY722:EY723"/>
    <mergeCell ref="EZ722:EZ725"/>
    <mergeCell ref="FB722:FB723"/>
    <mergeCell ref="FD722:FD725"/>
    <mergeCell ref="FE722:FE725"/>
    <mergeCell ref="FI722:FI723"/>
    <mergeCell ref="FJ722:FJ723"/>
    <mergeCell ref="FK722:FK723"/>
    <mergeCell ref="FL722:FL723"/>
    <mergeCell ref="FM722:FM723"/>
    <mergeCell ref="EU724:EU725"/>
    <mergeCell ref="EV724:EV725"/>
    <mergeCell ref="EW724:EW725"/>
    <mergeCell ref="EX724:EX725"/>
    <mergeCell ref="EY724:EY725"/>
    <mergeCell ref="FB724:FB725"/>
    <mergeCell ref="FI724:FI725"/>
    <mergeCell ref="FJ724:FJ725"/>
    <mergeCell ref="FK724:FK725"/>
    <mergeCell ref="FL724:FL725"/>
    <mergeCell ref="FM724:FM725"/>
    <mergeCell ref="FO724:FO725"/>
    <mergeCell ref="FP724:FP725"/>
    <mergeCell ref="FQ724:FQ725"/>
    <mergeCell ref="FO722:FO723"/>
    <mergeCell ref="CW729:CW730"/>
    <mergeCell ref="DC729:DC730"/>
    <mergeCell ref="DD729:DD730"/>
    <mergeCell ref="DE729:DE730"/>
    <mergeCell ref="DF729:DF730"/>
    <mergeCell ref="DG729:DG730"/>
    <mergeCell ref="DK729:DK730"/>
    <mergeCell ref="DO729:DO730"/>
    <mergeCell ref="DQ729:DQ730"/>
    <mergeCell ref="DV729:DV730"/>
    <mergeCell ref="EU729:EU730"/>
    <mergeCell ref="EV729:EV730"/>
    <mergeCell ref="EW729:EW730"/>
    <mergeCell ref="EX729:EX730"/>
    <mergeCell ref="EY729:EY730"/>
    <mergeCell ref="FB729:FB730"/>
    <mergeCell ref="FI729:FI730"/>
    <mergeCell ref="FJ729:FJ730"/>
    <mergeCell ref="DW722:DW725"/>
    <mergeCell ref="DX722:DX725"/>
    <mergeCell ref="CS724:CS725"/>
    <mergeCell ref="CT724:CT725"/>
    <mergeCell ref="CU724:CU725"/>
    <mergeCell ref="CV724:CV725"/>
    <mergeCell ref="CW724:CW725"/>
    <mergeCell ref="DC724:DC725"/>
    <mergeCell ref="DD724:DD725"/>
    <mergeCell ref="DE724:DE725"/>
    <mergeCell ref="DF724:DF725"/>
    <mergeCell ref="DG724:DG725"/>
    <mergeCell ref="DK724:DK725"/>
    <mergeCell ref="DO724:DO725"/>
    <mergeCell ref="DQ724:DQ725"/>
    <mergeCell ref="DV724:DV725"/>
    <mergeCell ref="CU727:CU728"/>
    <mergeCell ref="CV727:CV728"/>
    <mergeCell ref="CW727:CW728"/>
    <mergeCell ref="CX727:CX730"/>
    <mergeCell ref="CY727:CY730"/>
    <mergeCell ref="CZ727:CZ730"/>
    <mergeCell ref="DA727:DA730"/>
    <mergeCell ref="DC727:DC728"/>
    <mergeCell ref="DD727:DD728"/>
    <mergeCell ref="DE727:DE728"/>
    <mergeCell ref="DF727:DF728"/>
    <mergeCell ref="DG727:DG728"/>
    <mergeCell ref="DH727:DH730"/>
    <mergeCell ref="DJ727:DJ728"/>
    <mergeCell ref="DL727:DL730"/>
    <mergeCell ref="DW727:DW730"/>
    <mergeCell ref="GB722:GB725"/>
    <mergeCell ref="GC722:GC725"/>
    <mergeCell ref="GD722:GD725"/>
    <mergeCell ref="GG722:GG725"/>
    <mergeCell ref="HW722:HW724"/>
    <mergeCell ref="HX722:HX723"/>
    <mergeCell ref="IA722:IA725"/>
    <mergeCell ref="IB722:IB723"/>
    <mergeCell ref="IC722:IC725"/>
    <mergeCell ref="IF722:IF723"/>
    <mergeCell ref="IG722:IG725"/>
    <mergeCell ref="IH722:IH723"/>
    <mergeCell ref="II722:II725"/>
    <mergeCell ref="E723:F723"/>
    <mergeCell ref="G723:L723"/>
    <mergeCell ref="P723:Q723"/>
    <mergeCell ref="AF723:AI723"/>
    <mergeCell ref="GI723:GI724"/>
    <mergeCell ref="GJ723:GJ724"/>
    <mergeCell ref="GL723:GL724"/>
    <mergeCell ref="GM723:GM724"/>
    <mergeCell ref="HC723:HC724"/>
    <mergeCell ref="HD723:HD724"/>
    <mergeCell ref="HE723:HE724"/>
    <mergeCell ref="HF723:HF724"/>
    <mergeCell ref="HG723:HG724"/>
    <mergeCell ref="HH723:HH724"/>
    <mergeCell ref="HI723:HI724"/>
    <mergeCell ref="HJ723:HJ724"/>
    <mergeCell ref="HK723:HK724"/>
    <mergeCell ref="HL723:HL724"/>
    <mergeCell ref="HM723:HM724"/>
    <mergeCell ref="HN723:HN724"/>
    <mergeCell ref="HO723:HO724"/>
    <mergeCell ref="HP723:HP724"/>
    <mergeCell ref="HQ723:HQ724"/>
    <mergeCell ref="HR723:HR724"/>
    <mergeCell ref="HS723:HS724"/>
    <mergeCell ref="HT723:HT724"/>
    <mergeCell ref="HU723:HU724"/>
    <mergeCell ref="HY723:HY724"/>
    <mergeCell ref="E724:F724"/>
    <mergeCell ref="G724:L724"/>
    <mergeCell ref="P724:Q724"/>
    <mergeCell ref="S724:S725"/>
    <mergeCell ref="ED722:ED725"/>
    <mergeCell ref="CO724:CO725"/>
    <mergeCell ref="CP724:CP725"/>
    <mergeCell ref="CR724:CR725"/>
    <mergeCell ref="FR724:FR725"/>
    <mergeCell ref="FS724:FS725"/>
    <mergeCell ref="E725:F725"/>
    <mergeCell ref="G725:L725"/>
    <mergeCell ref="P725:R725"/>
    <mergeCell ref="U725:AA725"/>
    <mergeCell ref="AF725:AI725"/>
    <mergeCell ref="DD722:DD723"/>
    <mergeCell ref="DE722:DE723"/>
    <mergeCell ref="DF722:DF723"/>
    <mergeCell ref="DG722:DG723"/>
    <mergeCell ref="DH722:DH725"/>
    <mergeCell ref="DJ722:DJ723"/>
    <mergeCell ref="DL722:DL725"/>
    <mergeCell ref="DN722:DN725"/>
    <mergeCell ref="DD719:DD720"/>
    <mergeCell ref="DE719:DE720"/>
    <mergeCell ref="DF719:DF720"/>
    <mergeCell ref="AF724:AI724"/>
    <mergeCell ref="AJ724:AJ725"/>
    <mergeCell ref="AK724:AK725"/>
    <mergeCell ref="AL724:AL725"/>
    <mergeCell ref="DZ722:DZ725"/>
    <mergeCell ref="EA722:EA725"/>
    <mergeCell ref="EC722:EC725"/>
    <mergeCell ref="DG719:DG720"/>
    <mergeCell ref="CO717:CO718"/>
    <mergeCell ref="CP717:CP718"/>
    <mergeCell ref="CR717:CR718"/>
    <mergeCell ref="DO722:DO723"/>
    <mergeCell ref="DP722:DP725"/>
    <mergeCell ref="DQ722:DQ723"/>
    <mergeCell ref="DR722:DR725"/>
    <mergeCell ref="DS722:DS725"/>
    <mergeCell ref="DU722:DU725"/>
    <mergeCell ref="DV722:DV723"/>
    <mergeCell ref="FQ719:FQ720"/>
    <mergeCell ref="FT722:FT723"/>
    <mergeCell ref="FW722:FW725"/>
    <mergeCell ref="FX722:FX725"/>
    <mergeCell ref="CW719:CW720"/>
    <mergeCell ref="DC719:DC720"/>
    <mergeCell ref="E721:AT721"/>
    <mergeCell ref="B722:B725"/>
    <mergeCell ref="C722:D725"/>
    <mergeCell ref="E722:F722"/>
    <mergeCell ref="G722:R722"/>
    <mergeCell ref="S722:S723"/>
    <mergeCell ref="U722:AA722"/>
    <mergeCell ref="AF722:AI722"/>
    <mergeCell ref="AJ722:AJ723"/>
    <mergeCell ref="AK722:AK723"/>
    <mergeCell ref="AL722:AL723"/>
    <mergeCell ref="AM722:AN725"/>
    <mergeCell ref="AO722:AQ725"/>
    <mergeCell ref="AR722:AR725"/>
    <mergeCell ref="AS722:AS725"/>
    <mergeCell ref="AT722:AT725"/>
    <mergeCell ref="AV722:AV725"/>
    <mergeCell ref="AW722:AW725"/>
    <mergeCell ref="CM722:CM725"/>
    <mergeCell ref="CN722:CN725"/>
    <mergeCell ref="CO722:CO723"/>
    <mergeCell ref="CP722:CP723"/>
    <mergeCell ref="CR722:CR723"/>
    <mergeCell ref="CS722:CS723"/>
    <mergeCell ref="CT722:CT723"/>
    <mergeCell ref="CU722:CU723"/>
    <mergeCell ref="CV722:CV723"/>
    <mergeCell ref="CW722:CW723"/>
    <mergeCell ref="CX722:CX725"/>
    <mergeCell ref="CY722:CY725"/>
    <mergeCell ref="CZ722:CZ725"/>
    <mergeCell ref="DA722:DA725"/>
    <mergeCell ref="DC722:DC723"/>
    <mergeCell ref="CS717:CS718"/>
    <mergeCell ref="CT717:CT718"/>
    <mergeCell ref="CU717:CU718"/>
    <mergeCell ref="CV717:CV718"/>
    <mergeCell ref="CW717:CW718"/>
    <mergeCell ref="CX717:CX720"/>
    <mergeCell ref="CY717:CY720"/>
    <mergeCell ref="CZ717:CZ720"/>
    <mergeCell ref="DA717:DA720"/>
    <mergeCell ref="DC717:DC718"/>
    <mergeCell ref="DD717:DD718"/>
    <mergeCell ref="DE717:DE718"/>
    <mergeCell ref="DF717:DF718"/>
    <mergeCell ref="DG717:DG718"/>
    <mergeCell ref="DH717:DH720"/>
    <mergeCell ref="DJ717:DJ718"/>
    <mergeCell ref="DL717:DL720"/>
    <mergeCell ref="DN717:DN720"/>
    <mergeCell ref="DO717:DO718"/>
    <mergeCell ref="DP717:DP720"/>
    <mergeCell ref="DQ717:DQ718"/>
    <mergeCell ref="DR717:DR720"/>
    <mergeCell ref="DS717:DS720"/>
    <mergeCell ref="DU717:DU720"/>
    <mergeCell ref="FO717:FO718"/>
    <mergeCell ref="FP717:FP718"/>
    <mergeCell ref="FX717:FX720"/>
    <mergeCell ref="FY717:FY720"/>
    <mergeCell ref="FZ717:FZ720"/>
    <mergeCell ref="GA717:GA720"/>
    <mergeCell ref="CO719:CO720"/>
    <mergeCell ref="CP719:CP720"/>
    <mergeCell ref="CR719:CR720"/>
    <mergeCell ref="CS719:CS720"/>
    <mergeCell ref="CT719:CT720"/>
    <mergeCell ref="DV717:DV718"/>
    <mergeCell ref="DX717:DX720"/>
    <mergeCell ref="DZ717:DZ720"/>
    <mergeCell ref="EA717:EA720"/>
    <mergeCell ref="EC717:EC720"/>
    <mergeCell ref="ED717:ED720"/>
    <mergeCell ref="EE717:EE720"/>
    <mergeCell ref="EF717:EF720"/>
    <mergeCell ref="EG717:EG720"/>
    <mergeCell ref="EH717:EH720"/>
    <mergeCell ref="EI717:EI720"/>
    <mergeCell ref="EJ717:EJ720"/>
    <mergeCell ref="EK717:EK720"/>
    <mergeCell ref="EL717:EL720"/>
    <mergeCell ref="EM717:EM720"/>
    <mergeCell ref="EN717:EN720"/>
    <mergeCell ref="EO717:EO720"/>
    <mergeCell ref="EP717:EP720"/>
    <mergeCell ref="EQ717:EQ720"/>
    <mergeCell ref="ES717:ES720"/>
    <mergeCell ref="EU717:EU718"/>
    <mergeCell ref="EV717:EV718"/>
    <mergeCell ref="EW717:EW718"/>
    <mergeCell ref="EX717:EX718"/>
    <mergeCell ref="EY717:EY718"/>
    <mergeCell ref="EZ717:EZ720"/>
    <mergeCell ref="DW717:DW720"/>
    <mergeCell ref="CU719:CU720"/>
    <mergeCell ref="CV719:CV720"/>
    <mergeCell ref="DK719:DK720"/>
    <mergeCell ref="DO719:DO720"/>
    <mergeCell ref="DQ719:DQ720"/>
    <mergeCell ref="DV719:DV720"/>
    <mergeCell ref="E712:F712"/>
    <mergeCell ref="G712:L712"/>
    <mergeCell ref="P712:R712"/>
    <mergeCell ref="U712:AA712"/>
    <mergeCell ref="AF712:AI712"/>
    <mergeCell ref="E713:AT713"/>
    <mergeCell ref="AM715:AN715"/>
    <mergeCell ref="AO715:AP715"/>
    <mergeCell ref="AQ715:AT715"/>
    <mergeCell ref="AR716:AT716"/>
    <mergeCell ref="B717:B720"/>
    <mergeCell ref="C717:D720"/>
    <mergeCell ref="E717:F717"/>
    <mergeCell ref="G717:R717"/>
    <mergeCell ref="S717:S718"/>
    <mergeCell ref="U717:AA717"/>
    <mergeCell ref="AF717:AI717"/>
    <mergeCell ref="AJ717:AJ718"/>
    <mergeCell ref="AK717:AK718"/>
    <mergeCell ref="AL717:AL718"/>
    <mergeCell ref="AM717:AN720"/>
    <mergeCell ref="AO717:AQ720"/>
    <mergeCell ref="AR717:AR720"/>
    <mergeCell ref="AS717:AS720"/>
    <mergeCell ref="AT717:AT720"/>
    <mergeCell ref="AV717:AV720"/>
    <mergeCell ref="AW717:AW720"/>
    <mergeCell ref="CM717:CM720"/>
    <mergeCell ref="CN717:CN720"/>
    <mergeCell ref="E718:F718"/>
    <mergeCell ref="G718:L718"/>
    <mergeCell ref="P718:Q718"/>
    <mergeCell ref="AF718:AI718"/>
    <mergeCell ref="E719:F719"/>
    <mergeCell ref="G719:L719"/>
    <mergeCell ref="P719:Q719"/>
    <mergeCell ref="S719:S720"/>
    <mergeCell ref="AF719:AI719"/>
    <mergeCell ref="AJ719:AJ720"/>
    <mergeCell ref="AK719:AK720"/>
    <mergeCell ref="AL719:AL720"/>
    <mergeCell ref="AM716:AN716"/>
    <mergeCell ref="AO716:AQ716"/>
    <mergeCell ref="E720:F720"/>
    <mergeCell ref="G720:L720"/>
    <mergeCell ref="P720:R720"/>
    <mergeCell ref="U720:AA720"/>
    <mergeCell ref="AF720:AI720"/>
    <mergeCell ref="GD709:GD712"/>
    <mergeCell ref="GG709:GG712"/>
    <mergeCell ref="HW709:HW711"/>
    <mergeCell ref="HX709:HX710"/>
    <mergeCell ref="IA709:IA712"/>
    <mergeCell ref="EW709:EW710"/>
    <mergeCell ref="EX709:EX710"/>
    <mergeCell ref="EY709:EY710"/>
    <mergeCell ref="EZ709:EZ712"/>
    <mergeCell ref="FB709:FB710"/>
    <mergeCell ref="FD709:FD712"/>
    <mergeCell ref="FE709:FE712"/>
    <mergeCell ref="FI709:FI710"/>
    <mergeCell ref="FJ709:FJ710"/>
    <mergeCell ref="FK709:FK710"/>
    <mergeCell ref="FL709:FL710"/>
    <mergeCell ref="FM709:FM710"/>
    <mergeCell ref="FO709:FO710"/>
    <mergeCell ref="FP709:FP710"/>
    <mergeCell ref="EA709:EA712"/>
    <mergeCell ref="EC709:EC712"/>
    <mergeCell ref="FQ709:FQ710"/>
    <mergeCell ref="FR709:FR710"/>
    <mergeCell ref="DN716:DO716"/>
    <mergeCell ref="DU716:DV716"/>
    <mergeCell ref="CS711:CS712"/>
    <mergeCell ref="CT711:CT712"/>
    <mergeCell ref="CU711:CU712"/>
    <mergeCell ref="CV711:CV712"/>
    <mergeCell ref="CW711:CW712"/>
    <mergeCell ref="DC711:DC712"/>
    <mergeCell ref="DD711:DD712"/>
    <mergeCell ref="DE711:DE712"/>
    <mergeCell ref="DF711:DF712"/>
    <mergeCell ref="DG711:DG712"/>
    <mergeCell ref="DK711:DK712"/>
    <mergeCell ref="DO711:DO712"/>
    <mergeCell ref="DQ711:DQ712"/>
    <mergeCell ref="DV711:DV712"/>
    <mergeCell ref="EU711:EU712"/>
    <mergeCell ref="EV711:EV712"/>
    <mergeCell ref="EW711:EW712"/>
    <mergeCell ref="EX711:EX712"/>
    <mergeCell ref="EY711:EY712"/>
    <mergeCell ref="FB711:FB712"/>
    <mergeCell ref="FI711:FI712"/>
    <mergeCell ref="FJ711:FJ712"/>
    <mergeCell ref="FK711:FK712"/>
    <mergeCell ref="FL711:FL712"/>
    <mergeCell ref="FM711:FM712"/>
    <mergeCell ref="FO711:FO712"/>
    <mergeCell ref="FP711:FP712"/>
    <mergeCell ref="FQ711:FQ712"/>
    <mergeCell ref="FR711:FR712"/>
    <mergeCell ref="FS711:FS712"/>
    <mergeCell ref="FT711:FT712"/>
    <mergeCell ref="EP709:EP712"/>
    <mergeCell ref="EQ709:EQ712"/>
    <mergeCell ref="ES709:ES712"/>
    <mergeCell ref="EU709:EU710"/>
    <mergeCell ref="EV709:EV710"/>
    <mergeCell ref="EU719:EU720"/>
    <mergeCell ref="EV719:EV720"/>
    <mergeCell ref="EW719:EW720"/>
    <mergeCell ref="EX719:EX720"/>
    <mergeCell ref="EY719:EY720"/>
    <mergeCell ref="FB719:FB720"/>
    <mergeCell ref="FI719:FI720"/>
    <mergeCell ref="FJ719:FJ720"/>
    <mergeCell ref="FK719:FK720"/>
    <mergeCell ref="FL719:FL720"/>
    <mergeCell ref="FM719:FM720"/>
    <mergeCell ref="FO719:FO720"/>
    <mergeCell ref="FP719:FP720"/>
    <mergeCell ref="FR719:FR720"/>
    <mergeCell ref="FS709:FS710"/>
    <mergeCell ref="FT709:FT710"/>
    <mergeCell ref="FW709:FW712"/>
    <mergeCell ref="FX709:FX712"/>
    <mergeCell ref="FY709:FY712"/>
    <mergeCell ref="FZ709:FZ712"/>
    <mergeCell ref="GA709:GA712"/>
    <mergeCell ref="GB709:GB712"/>
    <mergeCell ref="GC709:GC712"/>
    <mergeCell ref="FL717:FL718"/>
    <mergeCell ref="FM717:FM718"/>
    <mergeCell ref="FQ717:FQ718"/>
    <mergeCell ref="FR717:FR718"/>
    <mergeCell ref="FS717:FS718"/>
    <mergeCell ref="FT717:FT718"/>
    <mergeCell ref="FB717:FB718"/>
    <mergeCell ref="FD717:FD720"/>
    <mergeCell ref="FE717:FE720"/>
    <mergeCell ref="FI717:FI718"/>
    <mergeCell ref="FJ717:FJ718"/>
    <mergeCell ref="FK717:FK718"/>
    <mergeCell ref="FW717:FW720"/>
    <mergeCell ref="FS719:FS720"/>
    <mergeCell ref="FT719:FT720"/>
    <mergeCell ref="FU719:FU720"/>
    <mergeCell ref="DC706:DC707"/>
    <mergeCell ref="DD706:DD707"/>
    <mergeCell ref="DE706:DE707"/>
    <mergeCell ref="DF706:DF707"/>
    <mergeCell ref="DG706:DG707"/>
    <mergeCell ref="IB709:IB710"/>
    <mergeCell ref="IC709:IC712"/>
    <mergeCell ref="IF709:IF710"/>
    <mergeCell ref="IG709:IG712"/>
    <mergeCell ref="IH709:IH710"/>
    <mergeCell ref="II709:II712"/>
    <mergeCell ref="E710:F710"/>
    <mergeCell ref="G710:L710"/>
    <mergeCell ref="P710:Q710"/>
    <mergeCell ref="AF710:AI710"/>
    <mergeCell ref="GI710:GI711"/>
    <mergeCell ref="GJ710:GJ711"/>
    <mergeCell ref="GL710:GL711"/>
    <mergeCell ref="GM710:GM711"/>
    <mergeCell ref="HC710:HC711"/>
    <mergeCell ref="HD710:HD711"/>
    <mergeCell ref="HE710:HE711"/>
    <mergeCell ref="HF710:HF711"/>
    <mergeCell ref="HG710:HG711"/>
    <mergeCell ref="HH710:HH711"/>
    <mergeCell ref="HI710:HI711"/>
    <mergeCell ref="HJ710:HJ711"/>
    <mergeCell ref="HK710:HK711"/>
    <mergeCell ref="HL710:HL711"/>
    <mergeCell ref="HM710:HM711"/>
    <mergeCell ref="HN710:HN711"/>
    <mergeCell ref="HO710:HO711"/>
    <mergeCell ref="HP710:HP711"/>
    <mergeCell ref="HQ710:HQ711"/>
    <mergeCell ref="HR710:HR711"/>
    <mergeCell ref="HS710:HS711"/>
    <mergeCell ref="HT710:HT711"/>
    <mergeCell ref="HU710:HU711"/>
    <mergeCell ref="HY710:HY711"/>
    <mergeCell ref="E711:F711"/>
    <mergeCell ref="G711:L711"/>
    <mergeCell ref="P711:Q711"/>
    <mergeCell ref="S711:S712"/>
    <mergeCell ref="AF711:AI711"/>
    <mergeCell ref="AJ711:AJ712"/>
    <mergeCell ref="AK711:AK712"/>
    <mergeCell ref="AL711:AL712"/>
    <mergeCell ref="CO711:CO712"/>
    <mergeCell ref="IF711:IF712"/>
    <mergeCell ref="IH711:IH712"/>
    <mergeCell ref="CP711:CP712"/>
    <mergeCell ref="CR711:CR712"/>
    <mergeCell ref="ED709:ED712"/>
    <mergeCell ref="EE709:EE712"/>
    <mergeCell ref="EF709:EF712"/>
    <mergeCell ref="EG709:EG712"/>
    <mergeCell ref="EH709:EH712"/>
    <mergeCell ref="EI709:EI712"/>
    <mergeCell ref="EJ709:EJ712"/>
    <mergeCell ref="EK709:EK712"/>
    <mergeCell ref="EL709:EL712"/>
    <mergeCell ref="EM709:EM712"/>
    <mergeCell ref="EN709:EN712"/>
    <mergeCell ref="EO709:EO712"/>
    <mergeCell ref="EA704:EA707"/>
    <mergeCell ref="FP704:FP705"/>
    <mergeCell ref="FQ704:FQ705"/>
    <mergeCell ref="FY704:FY707"/>
    <mergeCell ref="FZ704:FZ707"/>
    <mergeCell ref="IB706:IB707"/>
    <mergeCell ref="IF706:IF707"/>
    <mergeCell ref="IH706:IH707"/>
    <mergeCell ref="E707:F707"/>
    <mergeCell ref="G707:L707"/>
    <mergeCell ref="P707:R707"/>
    <mergeCell ref="U707:AA707"/>
    <mergeCell ref="AF707:AI707"/>
    <mergeCell ref="E708:AT708"/>
    <mergeCell ref="B709:B712"/>
    <mergeCell ref="C709:D712"/>
    <mergeCell ref="E709:F709"/>
    <mergeCell ref="G709:R709"/>
    <mergeCell ref="S709:S710"/>
    <mergeCell ref="U709:AA709"/>
    <mergeCell ref="AF709:AI709"/>
    <mergeCell ref="AJ709:AJ710"/>
    <mergeCell ref="AK709:AK710"/>
    <mergeCell ref="AL709:AL710"/>
    <mergeCell ref="AM709:AN712"/>
    <mergeCell ref="AO709:AQ712"/>
    <mergeCell ref="AR709:AR712"/>
    <mergeCell ref="AS709:AS712"/>
    <mergeCell ref="AT709:AT712"/>
    <mergeCell ref="AV709:AV712"/>
    <mergeCell ref="AW709:AW712"/>
    <mergeCell ref="CM709:CM712"/>
    <mergeCell ref="CN709:CN712"/>
    <mergeCell ref="CO709:CO710"/>
    <mergeCell ref="CP709:CP710"/>
    <mergeCell ref="CR709:CR710"/>
    <mergeCell ref="CS709:CS710"/>
    <mergeCell ref="CT709:CT710"/>
    <mergeCell ref="CU709:CU710"/>
    <mergeCell ref="CV709:CV710"/>
    <mergeCell ref="CW709:CW710"/>
    <mergeCell ref="CX709:CX712"/>
    <mergeCell ref="CY709:CY712"/>
    <mergeCell ref="CZ709:CZ712"/>
    <mergeCell ref="DA709:DA712"/>
    <mergeCell ref="DC709:DC710"/>
    <mergeCell ref="DD709:DD710"/>
    <mergeCell ref="DE709:DE710"/>
    <mergeCell ref="DF709:DF710"/>
    <mergeCell ref="DG709:DG710"/>
    <mergeCell ref="DH709:DH712"/>
    <mergeCell ref="DJ709:DJ710"/>
    <mergeCell ref="DL709:DL712"/>
    <mergeCell ref="DN709:DN712"/>
    <mergeCell ref="DO709:DO710"/>
    <mergeCell ref="DP709:DP712"/>
    <mergeCell ref="DQ709:DQ710"/>
    <mergeCell ref="DR709:DR712"/>
    <mergeCell ref="DS709:DS712"/>
    <mergeCell ref="DU709:DU712"/>
    <mergeCell ref="DV709:DV710"/>
    <mergeCell ref="DW709:DW712"/>
    <mergeCell ref="DX709:DX712"/>
    <mergeCell ref="DZ709:DZ712"/>
    <mergeCell ref="EW706:EW707"/>
    <mergeCell ref="EX706:EX707"/>
    <mergeCell ref="EY706:EY707"/>
    <mergeCell ref="FB706:FB707"/>
    <mergeCell ref="FI706:FI707"/>
    <mergeCell ref="FJ706:FJ707"/>
    <mergeCell ref="FK706:FK707"/>
    <mergeCell ref="FL706:FL707"/>
    <mergeCell ref="FM706:FM707"/>
    <mergeCell ref="FO706:FO707"/>
    <mergeCell ref="FP706:FP707"/>
    <mergeCell ref="FQ706:FQ707"/>
    <mergeCell ref="FR706:FR707"/>
    <mergeCell ref="FS706:FS707"/>
    <mergeCell ref="FT706:FT707"/>
    <mergeCell ref="HX706:HX707"/>
    <mergeCell ref="EC704:EC707"/>
    <mergeCell ref="ED704:ED707"/>
    <mergeCell ref="EE704:EE707"/>
    <mergeCell ref="EF704:EF707"/>
    <mergeCell ref="EG704:EG707"/>
    <mergeCell ref="EH704:EH707"/>
    <mergeCell ref="EI704:EI707"/>
    <mergeCell ref="EJ704:EJ707"/>
    <mergeCell ref="EK704:EK707"/>
    <mergeCell ref="EL704:EL707"/>
    <mergeCell ref="EM704:EM707"/>
    <mergeCell ref="EN704:EN707"/>
    <mergeCell ref="EO704:EO707"/>
    <mergeCell ref="EP704:EP707"/>
    <mergeCell ref="EQ704:EQ707"/>
    <mergeCell ref="ES704:ES707"/>
    <mergeCell ref="EU704:EU705"/>
    <mergeCell ref="EV704:EV705"/>
    <mergeCell ref="EW704:EW705"/>
    <mergeCell ref="EX704:EX705"/>
    <mergeCell ref="EY704:EY705"/>
    <mergeCell ref="EZ704:EZ707"/>
    <mergeCell ref="FB704:FB705"/>
    <mergeCell ref="FD704:FD707"/>
    <mergeCell ref="FE704:FE707"/>
    <mergeCell ref="FI704:FI705"/>
    <mergeCell ref="FJ704:FJ705"/>
    <mergeCell ref="FK704:FK705"/>
    <mergeCell ref="FL704:FL705"/>
    <mergeCell ref="FM704:FM705"/>
    <mergeCell ref="FO704:FO705"/>
    <mergeCell ref="GA704:GA707"/>
    <mergeCell ref="GB704:GB707"/>
    <mergeCell ref="GC704:GC707"/>
    <mergeCell ref="GD704:GD707"/>
    <mergeCell ref="GG704:GG707"/>
    <mergeCell ref="HW704:HW706"/>
    <mergeCell ref="DG704:DG705"/>
    <mergeCell ref="DH704:DH707"/>
    <mergeCell ref="DJ704:DJ705"/>
    <mergeCell ref="DL704:DL707"/>
    <mergeCell ref="DN704:DN707"/>
    <mergeCell ref="DO704:DO705"/>
    <mergeCell ref="DP704:DP707"/>
    <mergeCell ref="DQ704:DQ705"/>
    <mergeCell ref="DR704:DR707"/>
    <mergeCell ref="DS704:DS707"/>
    <mergeCell ref="DU704:DU707"/>
    <mergeCell ref="DV704:DV705"/>
    <mergeCell ref="DW704:DW707"/>
    <mergeCell ref="DX704:DX707"/>
    <mergeCell ref="FR704:FR705"/>
    <mergeCell ref="FS704:FS705"/>
    <mergeCell ref="FT704:FT705"/>
    <mergeCell ref="FW704:FW707"/>
    <mergeCell ref="FX704:FX707"/>
    <mergeCell ref="IA704:IA707"/>
    <mergeCell ref="IB704:IB705"/>
    <mergeCell ref="IC704:IC707"/>
    <mergeCell ref="IF704:IF705"/>
    <mergeCell ref="IG704:IG707"/>
    <mergeCell ref="IH704:IH705"/>
    <mergeCell ref="II704:II707"/>
    <mergeCell ref="E705:F705"/>
    <mergeCell ref="G705:L705"/>
    <mergeCell ref="P705:Q705"/>
    <mergeCell ref="AF705:AI705"/>
    <mergeCell ref="GI705:GI706"/>
    <mergeCell ref="GJ705:GJ706"/>
    <mergeCell ref="GL705:GL706"/>
    <mergeCell ref="GM705:GM706"/>
    <mergeCell ref="HC705:HC706"/>
    <mergeCell ref="HD705:HD706"/>
    <mergeCell ref="HE705:HE706"/>
    <mergeCell ref="HF705:HF706"/>
    <mergeCell ref="HG705:HG706"/>
    <mergeCell ref="HH705:HH706"/>
    <mergeCell ref="HI705:HI706"/>
    <mergeCell ref="HJ705:HJ706"/>
    <mergeCell ref="HK705:HK706"/>
    <mergeCell ref="HL705:HL706"/>
    <mergeCell ref="HM705:HM706"/>
    <mergeCell ref="HN705:HN706"/>
    <mergeCell ref="HO705:HO706"/>
    <mergeCell ref="HP705:HP706"/>
    <mergeCell ref="HQ705:HQ706"/>
    <mergeCell ref="HR705:HR706"/>
    <mergeCell ref="HS705:HS706"/>
    <mergeCell ref="HT705:HT706"/>
    <mergeCell ref="HU705:HU706"/>
    <mergeCell ref="HY705:HY706"/>
    <mergeCell ref="E706:F706"/>
    <mergeCell ref="G706:L706"/>
    <mergeCell ref="P706:Q706"/>
    <mergeCell ref="DZ704:DZ707"/>
    <mergeCell ref="DK706:DK707"/>
    <mergeCell ref="DO706:DO707"/>
    <mergeCell ref="DQ706:DQ707"/>
    <mergeCell ref="DV706:DV707"/>
    <mergeCell ref="EU706:EU707"/>
    <mergeCell ref="EV706:EV707"/>
    <mergeCell ref="E703:AT703"/>
    <mergeCell ref="B704:B707"/>
    <mergeCell ref="C704:D707"/>
    <mergeCell ref="E704:F704"/>
    <mergeCell ref="G704:R704"/>
    <mergeCell ref="S704:S705"/>
    <mergeCell ref="U704:AA704"/>
    <mergeCell ref="AF704:AI704"/>
    <mergeCell ref="AJ704:AJ705"/>
    <mergeCell ref="AK704:AK705"/>
    <mergeCell ref="AL704:AL705"/>
    <mergeCell ref="AM704:AN707"/>
    <mergeCell ref="AO704:AQ707"/>
    <mergeCell ref="AR704:AR707"/>
    <mergeCell ref="AS704:AS707"/>
    <mergeCell ref="AT704:AT707"/>
    <mergeCell ref="AV704:AV707"/>
    <mergeCell ref="AW704:AW707"/>
    <mergeCell ref="CM704:CM707"/>
    <mergeCell ref="CN704:CN707"/>
    <mergeCell ref="CO704:CO705"/>
    <mergeCell ref="CP704:CP705"/>
    <mergeCell ref="CR704:CR705"/>
    <mergeCell ref="CS704:CS705"/>
    <mergeCell ref="CT704:CT705"/>
    <mergeCell ref="CU704:CU705"/>
    <mergeCell ref="CV704:CV705"/>
    <mergeCell ref="CW704:CW705"/>
    <mergeCell ref="CX704:CX707"/>
    <mergeCell ref="CY704:CY707"/>
    <mergeCell ref="S706:S707"/>
    <mergeCell ref="AF706:AI706"/>
    <mergeCell ref="AJ706:AJ707"/>
    <mergeCell ref="AK706:AK707"/>
    <mergeCell ref="AL706:AL707"/>
    <mergeCell ref="CO706:CO707"/>
    <mergeCell ref="CP706:CP707"/>
    <mergeCell ref="CR706:CR707"/>
    <mergeCell ref="CS706:CS707"/>
    <mergeCell ref="CT706:CT707"/>
    <mergeCell ref="CU706:CU707"/>
    <mergeCell ref="CV706:CV707"/>
    <mergeCell ref="CW706:CW707"/>
    <mergeCell ref="HM700:HM701"/>
    <mergeCell ref="HN700:HN701"/>
    <mergeCell ref="HO700:HO701"/>
    <mergeCell ref="HP700:HP701"/>
    <mergeCell ref="HQ700:HQ701"/>
    <mergeCell ref="HR700:HR701"/>
    <mergeCell ref="HS700:HS701"/>
    <mergeCell ref="HT700:HT701"/>
    <mergeCell ref="HU700:HU701"/>
    <mergeCell ref="HY700:HY701"/>
    <mergeCell ref="E701:F701"/>
    <mergeCell ref="G701:L701"/>
    <mergeCell ref="P701:Q701"/>
    <mergeCell ref="S701:S702"/>
    <mergeCell ref="AF701:AI701"/>
    <mergeCell ref="AJ701:AJ702"/>
    <mergeCell ref="AK701:AK702"/>
    <mergeCell ref="AL701:AL702"/>
    <mergeCell ref="CO701:CO702"/>
    <mergeCell ref="CP701:CP702"/>
    <mergeCell ref="CR701:CR702"/>
    <mergeCell ref="CS701:CS702"/>
    <mergeCell ref="CT701:CT702"/>
    <mergeCell ref="CU701:CU702"/>
    <mergeCell ref="HX701:HX702"/>
    <mergeCell ref="IB701:IB702"/>
    <mergeCell ref="IF701:IF702"/>
    <mergeCell ref="IH701:IH702"/>
    <mergeCell ref="E702:F702"/>
    <mergeCell ref="G702:L702"/>
    <mergeCell ref="P702:R702"/>
    <mergeCell ref="U702:AA702"/>
    <mergeCell ref="AF702:AI702"/>
    <mergeCell ref="EJ699:EJ702"/>
    <mergeCell ref="EK699:EK702"/>
    <mergeCell ref="EL699:EL702"/>
    <mergeCell ref="EM699:EM702"/>
    <mergeCell ref="EN699:EN702"/>
    <mergeCell ref="EO699:EO702"/>
    <mergeCell ref="EP699:EP702"/>
    <mergeCell ref="EQ699:EQ702"/>
    <mergeCell ref="ES699:ES702"/>
    <mergeCell ref="EU699:EU700"/>
    <mergeCell ref="EV699:EV700"/>
    <mergeCell ref="EW699:EW700"/>
    <mergeCell ref="EX699:EX700"/>
    <mergeCell ref="EY699:EY700"/>
    <mergeCell ref="EZ699:EZ702"/>
    <mergeCell ref="FB699:FB700"/>
    <mergeCell ref="FD699:FD702"/>
    <mergeCell ref="FE699:FE702"/>
    <mergeCell ref="FI699:FI700"/>
    <mergeCell ref="FJ699:FJ700"/>
    <mergeCell ref="FK699:FK700"/>
    <mergeCell ref="FL699:FL700"/>
    <mergeCell ref="FM699:FM700"/>
    <mergeCell ref="FO699:FO700"/>
    <mergeCell ref="FP699:FP700"/>
    <mergeCell ref="FQ699:FQ700"/>
    <mergeCell ref="FR699:FR700"/>
    <mergeCell ref="FS699:FS700"/>
    <mergeCell ref="FT699:FT700"/>
    <mergeCell ref="FW699:FW702"/>
    <mergeCell ref="FZ699:FZ702"/>
    <mergeCell ref="FX699:FX702"/>
    <mergeCell ref="FY699:FY702"/>
    <mergeCell ref="EU701:EU702"/>
    <mergeCell ref="EV701:EV702"/>
    <mergeCell ref="EW701:EW702"/>
    <mergeCell ref="EX701:EX702"/>
    <mergeCell ref="EY701:EY702"/>
    <mergeCell ref="FB701:FB702"/>
    <mergeCell ref="FI701:FI702"/>
    <mergeCell ref="FJ701:FJ702"/>
    <mergeCell ref="FK701:FK702"/>
    <mergeCell ref="FL701:FL702"/>
    <mergeCell ref="FM701:FM702"/>
    <mergeCell ref="FO701:FO702"/>
    <mergeCell ref="FP701:FP702"/>
    <mergeCell ref="FQ701:FQ702"/>
    <mergeCell ref="FR701:FR702"/>
    <mergeCell ref="FS701:FS702"/>
    <mergeCell ref="FT701:FT702"/>
    <mergeCell ref="EI699:EI702"/>
    <mergeCell ref="FU704:FU705"/>
    <mergeCell ref="CZ699:CZ702"/>
    <mergeCell ref="DA699:DA702"/>
    <mergeCell ref="DC699:DC700"/>
    <mergeCell ref="DD699:DD700"/>
    <mergeCell ref="DE699:DE700"/>
    <mergeCell ref="DF699:DF700"/>
    <mergeCell ref="DG699:DG700"/>
    <mergeCell ref="DH699:DH702"/>
    <mergeCell ref="DJ699:DJ700"/>
    <mergeCell ref="DL699:DL702"/>
    <mergeCell ref="DN699:DN702"/>
    <mergeCell ref="DO699:DO700"/>
    <mergeCell ref="DP699:DP702"/>
    <mergeCell ref="DQ699:DQ700"/>
    <mergeCell ref="DR699:DR702"/>
    <mergeCell ref="DS699:DS702"/>
    <mergeCell ref="DU699:DU702"/>
    <mergeCell ref="DV699:DV700"/>
    <mergeCell ref="DW699:DW702"/>
    <mergeCell ref="DX699:DX702"/>
    <mergeCell ref="DZ699:DZ702"/>
    <mergeCell ref="EA699:EA702"/>
    <mergeCell ref="EC699:EC702"/>
    <mergeCell ref="ED699:ED702"/>
    <mergeCell ref="EE699:EE702"/>
    <mergeCell ref="EF699:EF702"/>
    <mergeCell ref="EG699:EG702"/>
    <mergeCell ref="EH699:EH702"/>
    <mergeCell ref="DC701:DC702"/>
    <mergeCell ref="DD701:DD702"/>
    <mergeCell ref="DE701:DE702"/>
    <mergeCell ref="DF701:DF702"/>
    <mergeCell ref="DG701:DG702"/>
    <mergeCell ref="DK701:DK702"/>
    <mergeCell ref="DO701:DO702"/>
    <mergeCell ref="DQ701:DQ702"/>
    <mergeCell ref="DV701:DV702"/>
    <mergeCell ref="CZ704:CZ707"/>
    <mergeCell ref="DA704:DA707"/>
    <mergeCell ref="DC704:DC705"/>
    <mergeCell ref="DD704:DD705"/>
    <mergeCell ref="DE704:DE705"/>
    <mergeCell ref="DF704:DF705"/>
    <mergeCell ref="E698:AT698"/>
    <mergeCell ref="B699:B702"/>
    <mergeCell ref="C699:D702"/>
    <mergeCell ref="E699:F699"/>
    <mergeCell ref="G699:R699"/>
    <mergeCell ref="S699:S700"/>
    <mergeCell ref="U699:AA699"/>
    <mergeCell ref="AF699:AI699"/>
    <mergeCell ref="AJ699:AJ700"/>
    <mergeCell ref="AK699:AK700"/>
    <mergeCell ref="AL699:AL700"/>
    <mergeCell ref="AM699:AN702"/>
    <mergeCell ref="AO699:AQ702"/>
    <mergeCell ref="AR699:AR702"/>
    <mergeCell ref="AS699:AS702"/>
    <mergeCell ref="AT699:AT702"/>
    <mergeCell ref="AV699:AV702"/>
    <mergeCell ref="AW699:AW702"/>
    <mergeCell ref="CM699:CM702"/>
    <mergeCell ref="CN699:CN702"/>
    <mergeCell ref="CO699:CO700"/>
    <mergeCell ref="CP699:CP700"/>
    <mergeCell ref="CR699:CR700"/>
    <mergeCell ref="CS699:CS700"/>
    <mergeCell ref="CT699:CT700"/>
    <mergeCell ref="CU699:CU700"/>
    <mergeCell ref="CV699:CV700"/>
    <mergeCell ref="CW699:CW700"/>
    <mergeCell ref="CX699:CX702"/>
    <mergeCell ref="CY699:CY702"/>
    <mergeCell ref="CV701:CV702"/>
    <mergeCell ref="CW701:CW702"/>
    <mergeCell ref="E700:F700"/>
    <mergeCell ref="G700:L700"/>
    <mergeCell ref="P700:Q700"/>
    <mergeCell ref="AF700:AI700"/>
    <mergeCell ref="EN694:EN697"/>
    <mergeCell ref="EO694:EO697"/>
    <mergeCell ref="EP694:EP697"/>
    <mergeCell ref="EQ694:EQ697"/>
    <mergeCell ref="ES694:ES697"/>
    <mergeCell ref="EU694:EU695"/>
    <mergeCell ref="EV694:EV695"/>
    <mergeCell ref="EW694:EW695"/>
    <mergeCell ref="EX694:EX695"/>
    <mergeCell ref="IB696:IB697"/>
    <mergeCell ref="IF696:IF697"/>
    <mergeCell ref="IH696:IH697"/>
    <mergeCell ref="FW694:FW697"/>
    <mergeCell ref="FX694:FX697"/>
    <mergeCell ref="FY694:FY697"/>
    <mergeCell ref="FZ694:FZ697"/>
    <mergeCell ref="GA694:GA697"/>
    <mergeCell ref="GB694:GB697"/>
    <mergeCell ref="GC694:GC697"/>
    <mergeCell ref="GD694:GD697"/>
    <mergeCell ref="GG694:GG697"/>
    <mergeCell ref="HW694:HW696"/>
    <mergeCell ref="HX694:HX695"/>
    <mergeCell ref="IA694:IA697"/>
    <mergeCell ref="IB694:IB695"/>
    <mergeCell ref="IC694:IC697"/>
    <mergeCell ref="IF694:IF695"/>
    <mergeCell ref="IG694:IG697"/>
    <mergeCell ref="IH694:IH695"/>
    <mergeCell ref="EY694:EY695"/>
    <mergeCell ref="EZ694:EZ697"/>
    <mergeCell ref="FB694:FB695"/>
    <mergeCell ref="FD694:FD697"/>
    <mergeCell ref="FE694:FE697"/>
    <mergeCell ref="FI694:FI695"/>
    <mergeCell ref="FJ694:FJ695"/>
    <mergeCell ref="FK694:FK695"/>
    <mergeCell ref="FL694:FL695"/>
    <mergeCell ref="FM694:FM695"/>
    <mergeCell ref="FO694:FO695"/>
    <mergeCell ref="FP694:FP695"/>
    <mergeCell ref="FQ694:FQ695"/>
    <mergeCell ref="FR694:FR695"/>
    <mergeCell ref="FQ696:FQ697"/>
    <mergeCell ref="FR696:FR697"/>
    <mergeCell ref="FS696:FS697"/>
    <mergeCell ref="FT696:FT697"/>
    <mergeCell ref="HX696:HX697"/>
    <mergeCell ref="DC694:DC695"/>
    <mergeCell ref="DD694:DD695"/>
    <mergeCell ref="DE694:DE695"/>
    <mergeCell ref="DF694:DF695"/>
    <mergeCell ref="DG694:DG695"/>
    <mergeCell ref="DH694:DH697"/>
    <mergeCell ref="DJ694:DJ695"/>
    <mergeCell ref="DL694:DL697"/>
    <mergeCell ref="DN694:DN697"/>
    <mergeCell ref="DO694:DO695"/>
    <mergeCell ref="DP694:DP697"/>
    <mergeCell ref="DQ694:DQ695"/>
    <mergeCell ref="DR694:DR697"/>
    <mergeCell ref="DS694:DS697"/>
    <mergeCell ref="DU694:DU697"/>
    <mergeCell ref="DV694:DV695"/>
    <mergeCell ref="DW694:DW697"/>
    <mergeCell ref="DX694:DX697"/>
    <mergeCell ref="DZ694:DZ697"/>
    <mergeCell ref="EA694:EA697"/>
    <mergeCell ref="EC694:EC697"/>
    <mergeCell ref="CU696:CU697"/>
    <mergeCell ref="CV696:CV697"/>
    <mergeCell ref="II694:II697"/>
    <mergeCell ref="E695:F695"/>
    <mergeCell ref="G695:L695"/>
    <mergeCell ref="P695:Q695"/>
    <mergeCell ref="AF695:AI695"/>
    <mergeCell ref="GI695:GI696"/>
    <mergeCell ref="GJ695:GJ696"/>
    <mergeCell ref="GL695:GL696"/>
    <mergeCell ref="GM695:GM696"/>
    <mergeCell ref="HC695:HC696"/>
    <mergeCell ref="HD695:HD696"/>
    <mergeCell ref="HE695:HE696"/>
    <mergeCell ref="HF695:HF696"/>
    <mergeCell ref="HG695:HG696"/>
    <mergeCell ref="HH695:HH696"/>
    <mergeCell ref="HI695:HI696"/>
    <mergeCell ref="HJ695:HJ696"/>
    <mergeCell ref="HK695:HK696"/>
    <mergeCell ref="HL695:HL696"/>
    <mergeCell ref="HM695:HM696"/>
    <mergeCell ref="HN695:HN696"/>
    <mergeCell ref="HO695:HO696"/>
    <mergeCell ref="HP695:HP696"/>
    <mergeCell ref="HQ695:HQ696"/>
    <mergeCell ref="HR695:HR696"/>
    <mergeCell ref="HS695:HS696"/>
    <mergeCell ref="HT695:HT696"/>
    <mergeCell ref="HU695:HU696"/>
    <mergeCell ref="HY695:HY696"/>
    <mergeCell ref="E696:F696"/>
    <mergeCell ref="G696:L696"/>
    <mergeCell ref="P696:Q696"/>
    <mergeCell ref="S696:S697"/>
    <mergeCell ref="EF694:EF697"/>
    <mergeCell ref="EG694:EG697"/>
    <mergeCell ref="EH694:EH697"/>
    <mergeCell ref="EI694:EI697"/>
    <mergeCell ref="EJ694:EJ697"/>
    <mergeCell ref="EK694:EK697"/>
    <mergeCell ref="EL694:EL697"/>
    <mergeCell ref="EM694:EM697"/>
    <mergeCell ref="FU691:FU692"/>
    <mergeCell ref="G692:L692"/>
    <mergeCell ref="P692:R692"/>
    <mergeCell ref="U692:AA692"/>
    <mergeCell ref="AF692:AI692"/>
    <mergeCell ref="E693:AT693"/>
    <mergeCell ref="B694:B697"/>
    <mergeCell ref="C694:D697"/>
    <mergeCell ref="E694:F694"/>
    <mergeCell ref="G694:R694"/>
    <mergeCell ref="S694:S695"/>
    <mergeCell ref="U694:AA694"/>
    <mergeCell ref="AF694:AI694"/>
    <mergeCell ref="AJ694:AJ695"/>
    <mergeCell ref="AK694:AK695"/>
    <mergeCell ref="AL694:AL695"/>
    <mergeCell ref="AM694:AN697"/>
    <mergeCell ref="AO694:AQ697"/>
    <mergeCell ref="AR694:AR697"/>
    <mergeCell ref="AS694:AS697"/>
    <mergeCell ref="AT694:AT697"/>
    <mergeCell ref="AV694:AV697"/>
    <mergeCell ref="AW694:AW697"/>
    <mergeCell ref="CM694:CM697"/>
    <mergeCell ref="CN694:CN697"/>
    <mergeCell ref="CO694:CO695"/>
    <mergeCell ref="CP694:CP695"/>
    <mergeCell ref="CR694:CR695"/>
    <mergeCell ref="CS694:CS695"/>
    <mergeCell ref="CT694:CT695"/>
    <mergeCell ref="CU694:CU695"/>
    <mergeCell ref="AF696:AI696"/>
    <mergeCell ref="AJ696:AJ697"/>
    <mergeCell ref="AK696:AK697"/>
    <mergeCell ref="AL696:AL697"/>
    <mergeCell ref="CO696:CO697"/>
    <mergeCell ref="CP696:CP697"/>
    <mergeCell ref="CR696:CR697"/>
    <mergeCell ref="CS696:CS697"/>
    <mergeCell ref="CT696:CT697"/>
    <mergeCell ref="E697:F697"/>
    <mergeCell ref="G697:L697"/>
    <mergeCell ref="P697:R697"/>
    <mergeCell ref="U697:AA697"/>
    <mergeCell ref="AF697:AI697"/>
    <mergeCell ref="CR691:CR692"/>
    <mergeCell ref="CS691:CS692"/>
    <mergeCell ref="CV694:CV695"/>
    <mergeCell ref="CW694:CW695"/>
    <mergeCell ref="CX694:CX697"/>
    <mergeCell ref="CY694:CY697"/>
    <mergeCell ref="CZ694:CZ697"/>
    <mergeCell ref="DA694:DA697"/>
    <mergeCell ref="AK691:AK692"/>
    <mergeCell ref="AL691:AL692"/>
    <mergeCell ref="CO691:CO692"/>
    <mergeCell ref="CP691:CP692"/>
    <mergeCell ref="DZ689:DZ692"/>
    <mergeCell ref="FM689:FM690"/>
    <mergeCell ref="FO689:FO690"/>
    <mergeCell ref="FP689:FP690"/>
    <mergeCell ref="FQ689:FQ690"/>
    <mergeCell ref="EC689:EC692"/>
    <mergeCell ref="ED689:ED692"/>
    <mergeCell ref="IH691:IH692"/>
    <mergeCell ref="E692:F692"/>
    <mergeCell ref="ED694:ED697"/>
    <mergeCell ref="EE694:EE697"/>
    <mergeCell ref="CT691:CT692"/>
    <mergeCell ref="CU691:CU692"/>
    <mergeCell ref="CV691:CV692"/>
    <mergeCell ref="CW691:CW692"/>
    <mergeCell ref="DC691:DC692"/>
    <mergeCell ref="DD691:DD692"/>
    <mergeCell ref="DE691:DE692"/>
    <mergeCell ref="DF691:DF692"/>
    <mergeCell ref="DG691:DG692"/>
    <mergeCell ref="DK691:DK692"/>
    <mergeCell ref="DO691:DO692"/>
    <mergeCell ref="DQ691:DQ692"/>
    <mergeCell ref="DV691:DV692"/>
    <mergeCell ref="EU691:EU692"/>
    <mergeCell ref="EV691:EV692"/>
    <mergeCell ref="EW691:EW692"/>
    <mergeCell ref="EX691:EX692"/>
    <mergeCell ref="EY691:EY692"/>
    <mergeCell ref="FB691:FB692"/>
    <mergeCell ref="FI691:FI692"/>
    <mergeCell ref="FJ691:FJ692"/>
    <mergeCell ref="FK691:FK692"/>
    <mergeCell ref="FL691:FL692"/>
    <mergeCell ref="FM691:FM692"/>
    <mergeCell ref="FO691:FO692"/>
    <mergeCell ref="FP691:FP692"/>
    <mergeCell ref="FQ691:FQ692"/>
    <mergeCell ref="FR691:FR692"/>
    <mergeCell ref="FS691:FS692"/>
    <mergeCell ref="FT691:FT692"/>
    <mergeCell ref="HX691:HX692"/>
    <mergeCell ref="FS694:FS695"/>
    <mergeCell ref="FT694:FT695"/>
    <mergeCell ref="CW696:CW697"/>
    <mergeCell ref="DC696:DC697"/>
    <mergeCell ref="DD696:DD697"/>
    <mergeCell ref="DE696:DE697"/>
    <mergeCell ref="DF696:DF697"/>
    <mergeCell ref="DG696:DG697"/>
    <mergeCell ref="DK696:DK697"/>
    <mergeCell ref="DO696:DO697"/>
    <mergeCell ref="DQ696:DQ697"/>
    <mergeCell ref="DV696:DV697"/>
    <mergeCell ref="EU696:EU697"/>
    <mergeCell ref="EV696:EV697"/>
    <mergeCell ref="EW696:EW697"/>
    <mergeCell ref="EX696:EX697"/>
    <mergeCell ref="EY696:EY697"/>
    <mergeCell ref="FB696:FB697"/>
    <mergeCell ref="FI696:FI697"/>
    <mergeCell ref="FJ696:FJ697"/>
    <mergeCell ref="FK696:FK697"/>
    <mergeCell ref="FL696:FL697"/>
    <mergeCell ref="FM696:FM697"/>
    <mergeCell ref="FO696:FO697"/>
    <mergeCell ref="FP696:FP697"/>
    <mergeCell ref="DU689:DU692"/>
    <mergeCell ref="DV689:DV690"/>
    <mergeCell ref="DW689:DW692"/>
    <mergeCell ref="DX689:DX692"/>
    <mergeCell ref="FT689:FT690"/>
    <mergeCell ref="FW689:FW692"/>
    <mergeCell ref="FX689:FX692"/>
    <mergeCell ref="FY689:FY692"/>
    <mergeCell ref="FZ689:FZ692"/>
    <mergeCell ref="GA689:GA692"/>
    <mergeCell ref="GB689:GB692"/>
    <mergeCell ref="GC689:GC692"/>
    <mergeCell ref="GD689:GD692"/>
    <mergeCell ref="GG689:GG692"/>
    <mergeCell ref="HW689:HW691"/>
    <mergeCell ref="HX689:HX690"/>
    <mergeCell ref="IA689:IA692"/>
    <mergeCell ref="IB689:IB690"/>
    <mergeCell ref="IC689:IC692"/>
    <mergeCell ref="IF689:IF690"/>
    <mergeCell ref="IG689:IG692"/>
    <mergeCell ref="IH689:IH690"/>
    <mergeCell ref="II689:II692"/>
    <mergeCell ref="E690:F690"/>
    <mergeCell ref="G690:L690"/>
    <mergeCell ref="P690:Q690"/>
    <mergeCell ref="AF690:AI690"/>
    <mergeCell ref="GI690:GI691"/>
    <mergeCell ref="GJ690:GJ691"/>
    <mergeCell ref="GL690:GL691"/>
    <mergeCell ref="GM690:GM691"/>
    <mergeCell ref="HC690:HC691"/>
    <mergeCell ref="HD690:HD691"/>
    <mergeCell ref="HE690:HE691"/>
    <mergeCell ref="HF690:HF691"/>
    <mergeCell ref="HG690:HG691"/>
    <mergeCell ref="HH690:HH691"/>
    <mergeCell ref="HI690:HI691"/>
    <mergeCell ref="HJ690:HJ691"/>
    <mergeCell ref="HK690:HK691"/>
    <mergeCell ref="HL690:HL691"/>
    <mergeCell ref="HM690:HM691"/>
    <mergeCell ref="HN690:HN691"/>
    <mergeCell ref="HO690:HO691"/>
    <mergeCell ref="HP690:HP691"/>
    <mergeCell ref="HQ690:HQ691"/>
    <mergeCell ref="HR690:HR691"/>
    <mergeCell ref="HS690:HS691"/>
    <mergeCell ref="HT690:HT691"/>
    <mergeCell ref="HU690:HU691"/>
    <mergeCell ref="HY690:HY691"/>
    <mergeCell ref="E691:F691"/>
    <mergeCell ref="G691:L691"/>
    <mergeCell ref="P691:Q691"/>
    <mergeCell ref="S691:S692"/>
    <mergeCell ref="AF691:AI691"/>
    <mergeCell ref="AJ691:AJ692"/>
    <mergeCell ref="EA689:EA692"/>
    <mergeCell ref="EE689:EE692"/>
    <mergeCell ref="EF689:EF692"/>
    <mergeCell ref="EG689:EG692"/>
    <mergeCell ref="EH689:EH692"/>
    <mergeCell ref="EI689:EI692"/>
    <mergeCell ref="EJ689:EJ692"/>
    <mergeCell ref="EK689:EK692"/>
    <mergeCell ref="EL689:EL692"/>
    <mergeCell ref="EM689:EM692"/>
    <mergeCell ref="EN689:EN692"/>
    <mergeCell ref="EO689:EO692"/>
    <mergeCell ref="EP689:EP692"/>
    <mergeCell ref="EQ689:EQ692"/>
    <mergeCell ref="ES689:ES692"/>
    <mergeCell ref="EU689:EU690"/>
    <mergeCell ref="EV689:EV690"/>
    <mergeCell ref="EW689:EW690"/>
    <mergeCell ref="EX689:EX690"/>
    <mergeCell ref="EY689:EY690"/>
    <mergeCell ref="EZ689:EZ692"/>
    <mergeCell ref="FB689:FB690"/>
    <mergeCell ref="FD689:FD692"/>
    <mergeCell ref="FE689:FE692"/>
    <mergeCell ref="FI689:FI690"/>
    <mergeCell ref="FJ689:FJ690"/>
    <mergeCell ref="FK689:FK690"/>
    <mergeCell ref="FL689:FL690"/>
    <mergeCell ref="DV686:DV687"/>
    <mergeCell ref="EU686:EU687"/>
    <mergeCell ref="EV686:EV687"/>
    <mergeCell ref="EW686:EW687"/>
    <mergeCell ref="EX686:EX687"/>
    <mergeCell ref="EY686:EY687"/>
    <mergeCell ref="ED684:ED687"/>
    <mergeCell ref="EE684:EE687"/>
    <mergeCell ref="EF684:EF687"/>
    <mergeCell ref="EG684:EG687"/>
    <mergeCell ref="EH684:EH687"/>
    <mergeCell ref="EI684:EI687"/>
    <mergeCell ref="EJ684:EJ687"/>
    <mergeCell ref="EK684:EK687"/>
    <mergeCell ref="EL684:EL687"/>
    <mergeCell ref="FB686:FB687"/>
    <mergeCell ref="FI686:FI687"/>
    <mergeCell ref="FJ686:FJ687"/>
    <mergeCell ref="FK686:FK687"/>
    <mergeCell ref="FL686:FL687"/>
    <mergeCell ref="EA684:EA687"/>
    <mergeCell ref="EC684:EC687"/>
    <mergeCell ref="FJ684:FJ685"/>
    <mergeCell ref="FK684:FK685"/>
    <mergeCell ref="FL684:FL685"/>
    <mergeCell ref="FR689:FR690"/>
    <mergeCell ref="FS689:FS690"/>
    <mergeCell ref="IF686:IF687"/>
    <mergeCell ref="IH686:IH687"/>
    <mergeCell ref="E687:F687"/>
    <mergeCell ref="G687:L687"/>
    <mergeCell ref="P687:R687"/>
    <mergeCell ref="U687:AA687"/>
    <mergeCell ref="AF687:AI687"/>
    <mergeCell ref="E688:AT688"/>
    <mergeCell ref="B689:B692"/>
    <mergeCell ref="C689:D692"/>
    <mergeCell ref="E689:F689"/>
    <mergeCell ref="G689:R689"/>
    <mergeCell ref="S689:S690"/>
    <mergeCell ref="U689:AA689"/>
    <mergeCell ref="AF689:AI689"/>
    <mergeCell ref="AJ689:AJ690"/>
    <mergeCell ref="AK689:AK690"/>
    <mergeCell ref="AL689:AL690"/>
    <mergeCell ref="AM689:AN692"/>
    <mergeCell ref="AO689:AQ692"/>
    <mergeCell ref="AR689:AR692"/>
    <mergeCell ref="AS689:AS692"/>
    <mergeCell ref="AT689:AT692"/>
    <mergeCell ref="AV689:AV692"/>
    <mergeCell ref="AW689:AW692"/>
    <mergeCell ref="CM689:CM692"/>
    <mergeCell ref="CN689:CN692"/>
    <mergeCell ref="CO689:CO690"/>
    <mergeCell ref="CP689:CP690"/>
    <mergeCell ref="CR689:CR690"/>
    <mergeCell ref="CS689:CS690"/>
    <mergeCell ref="CT689:CT690"/>
    <mergeCell ref="CU689:CU690"/>
    <mergeCell ref="CV689:CV690"/>
    <mergeCell ref="CW689:CW690"/>
    <mergeCell ref="CX689:CX692"/>
    <mergeCell ref="CY689:CY692"/>
    <mergeCell ref="CZ689:CZ692"/>
    <mergeCell ref="DA689:DA692"/>
    <mergeCell ref="DC689:DC690"/>
    <mergeCell ref="DD689:DD690"/>
    <mergeCell ref="DE689:DE690"/>
    <mergeCell ref="DF689:DF690"/>
    <mergeCell ref="DG689:DG690"/>
    <mergeCell ref="DH689:DH692"/>
    <mergeCell ref="DJ689:DJ690"/>
    <mergeCell ref="DL689:DL692"/>
    <mergeCell ref="DN689:DN692"/>
    <mergeCell ref="DO689:DO690"/>
    <mergeCell ref="DP689:DP692"/>
    <mergeCell ref="DQ689:DQ690"/>
    <mergeCell ref="DR689:DR692"/>
    <mergeCell ref="DS689:DS692"/>
    <mergeCell ref="EM684:EM687"/>
    <mergeCell ref="EN684:EN687"/>
    <mergeCell ref="EO684:EO687"/>
    <mergeCell ref="EP684:EP687"/>
    <mergeCell ref="EQ684:EQ687"/>
    <mergeCell ref="ES684:ES687"/>
    <mergeCell ref="B684:B687"/>
    <mergeCell ref="C684:D687"/>
    <mergeCell ref="E684:F684"/>
    <mergeCell ref="G684:R684"/>
    <mergeCell ref="S684:S685"/>
    <mergeCell ref="U684:AA684"/>
    <mergeCell ref="AF684:AI684"/>
    <mergeCell ref="AJ684:AJ685"/>
    <mergeCell ref="AK684:AK685"/>
    <mergeCell ref="AL684:AL685"/>
    <mergeCell ref="AM684:AN687"/>
    <mergeCell ref="AO684:AQ687"/>
    <mergeCell ref="AR684:AR687"/>
    <mergeCell ref="AS684:AS687"/>
    <mergeCell ref="AT684:AT687"/>
    <mergeCell ref="AV684:AV687"/>
    <mergeCell ref="AW684:AW687"/>
    <mergeCell ref="CM684:CM687"/>
    <mergeCell ref="CN684:CN687"/>
    <mergeCell ref="CO684:CO685"/>
    <mergeCell ref="CP684:CP685"/>
    <mergeCell ref="CR684:CR685"/>
    <mergeCell ref="CS684:CS685"/>
    <mergeCell ref="CT684:CT685"/>
    <mergeCell ref="CU684:CU685"/>
    <mergeCell ref="CV684:CV685"/>
    <mergeCell ref="CW684:CW685"/>
    <mergeCell ref="CX684:CX687"/>
    <mergeCell ref="CY684:CY687"/>
    <mergeCell ref="CZ684:CZ687"/>
    <mergeCell ref="E685:F685"/>
    <mergeCell ref="G685:L685"/>
    <mergeCell ref="P685:Q685"/>
    <mergeCell ref="CO686:CO687"/>
    <mergeCell ref="CP686:CP687"/>
    <mergeCell ref="CR686:CR687"/>
    <mergeCell ref="CS686:CS687"/>
    <mergeCell ref="CT686:CT687"/>
    <mergeCell ref="CU686:CU687"/>
    <mergeCell ref="CV686:CV687"/>
    <mergeCell ref="CW686:CW687"/>
    <mergeCell ref="AF685:AI685"/>
    <mergeCell ref="E686:F686"/>
    <mergeCell ref="G686:L686"/>
    <mergeCell ref="P686:Q686"/>
    <mergeCell ref="S686:S687"/>
    <mergeCell ref="AF686:AI686"/>
    <mergeCell ref="AJ686:AJ687"/>
    <mergeCell ref="AK686:AK687"/>
    <mergeCell ref="AL686:AL687"/>
    <mergeCell ref="U685:AD685"/>
    <mergeCell ref="U686:AD686"/>
    <mergeCell ref="IH681:IH682"/>
    <mergeCell ref="IB681:IB682"/>
    <mergeCell ref="FT681:FT682"/>
    <mergeCell ref="HX681:HX682"/>
    <mergeCell ref="FR679:FR680"/>
    <mergeCell ref="FS679:FS680"/>
    <mergeCell ref="FT679:FT680"/>
    <mergeCell ref="FW679:FW682"/>
    <mergeCell ref="FX679:FX682"/>
    <mergeCell ref="FY679:FY682"/>
    <mergeCell ref="FZ679:FZ682"/>
    <mergeCell ref="GA679:GA682"/>
    <mergeCell ref="GB679:GB682"/>
    <mergeCell ref="GC679:GC682"/>
    <mergeCell ref="GD679:GD682"/>
    <mergeCell ref="E682:F682"/>
    <mergeCell ref="G682:L682"/>
    <mergeCell ref="P682:R682"/>
    <mergeCell ref="U682:AA682"/>
    <mergeCell ref="AF682:AI682"/>
    <mergeCell ref="E683:AT683"/>
    <mergeCell ref="DA684:DA687"/>
    <mergeCell ref="DC684:DC685"/>
    <mergeCell ref="DD684:DD685"/>
    <mergeCell ref="DE684:DE685"/>
    <mergeCell ref="DF684:DF685"/>
    <mergeCell ref="DG684:DG685"/>
    <mergeCell ref="DH684:DH687"/>
    <mergeCell ref="DJ684:DJ685"/>
    <mergeCell ref="DL684:DL687"/>
    <mergeCell ref="DN684:DN687"/>
    <mergeCell ref="DO684:DO685"/>
    <mergeCell ref="DP684:DP687"/>
    <mergeCell ref="DQ684:DQ685"/>
    <mergeCell ref="DR684:DR687"/>
    <mergeCell ref="DS684:DS687"/>
    <mergeCell ref="DU684:DU687"/>
    <mergeCell ref="DV684:DV685"/>
    <mergeCell ref="DW684:DW687"/>
    <mergeCell ref="DX684:DX687"/>
    <mergeCell ref="DZ684:DZ687"/>
    <mergeCell ref="FS684:FS685"/>
    <mergeCell ref="FT684:FT685"/>
    <mergeCell ref="IC684:IC687"/>
    <mergeCell ref="IF684:IF685"/>
    <mergeCell ref="IG684:IG687"/>
    <mergeCell ref="IH684:IH685"/>
    <mergeCell ref="GI685:GI686"/>
    <mergeCell ref="GJ685:GJ686"/>
    <mergeCell ref="EU684:EU685"/>
    <mergeCell ref="EV684:EV685"/>
    <mergeCell ref="EW684:EW685"/>
    <mergeCell ref="EX684:EX685"/>
    <mergeCell ref="EY684:EY685"/>
    <mergeCell ref="EZ684:EZ687"/>
    <mergeCell ref="FB684:FB685"/>
    <mergeCell ref="FD684:FD687"/>
    <mergeCell ref="FE684:FE687"/>
    <mergeCell ref="FI684:FI685"/>
    <mergeCell ref="HW684:HW686"/>
    <mergeCell ref="HX684:HX685"/>
    <mergeCell ref="FL681:FL682"/>
    <mergeCell ref="FM681:FM682"/>
    <mergeCell ref="FO681:FO682"/>
    <mergeCell ref="FM684:FM685"/>
    <mergeCell ref="FO684:FO685"/>
    <mergeCell ref="FP684:FP685"/>
    <mergeCell ref="IF681:IF682"/>
    <mergeCell ref="FP681:FP682"/>
    <mergeCell ref="FQ681:FQ682"/>
    <mergeCell ref="FR681:FR682"/>
    <mergeCell ref="FS681:FS682"/>
    <mergeCell ref="EQ679:EQ682"/>
    <mergeCell ref="GI680:GI681"/>
    <mergeCell ref="GJ680:GJ681"/>
    <mergeCell ref="GL680:GL681"/>
    <mergeCell ref="GM680:GM681"/>
    <mergeCell ref="HC680:HC681"/>
    <mergeCell ref="HD680:HD681"/>
    <mergeCell ref="HE680:HE681"/>
    <mergeCell ref="HF680:HF681"/>
    <mergeCell ref="HG680:HG681"/>
    <mergeCell ref="HH680:HH681"/>
    <mergeCell ref="HI680:HI681"/>
    <mergeCell ref="HJ680:HJ681"/>
    <mergeCell ref="HK680:HK681"/>
    <mergeCell ref="HL680:HL681"/>
    <mergeCell ref="HM680:HM681"/>
    <mergeCell ref="HN680:HN681"/>
    <mergeCell ref="HO680:HO681"/>
    <mergeCell ref="HP680:HP681"/>
    <mergeCell ref="HQ680:HQ681"/>
    <mergeCell ref="HR680:HR681"/>
    <mergeCell ref="HS680:HS681"/>
    <mergeCell ref="HT680:HT681"/>
    <mergeCell ref="GL685:GL686"/>
    <mergeCell ref="IB686:IB687"/>
    <mergeCell ref="GM685:GM686"/>
    <mergeCell ref="FE679:FE682"/>
    <mergeCell ref="HX686:HX687"/>
    <mergeCell ref="DC686:DC687"/>
    <mergeCell ref="DD686:DD687"/>
    <mergeCell ref="DE686:DE687"/>
    <mergeCell ref="DF686:DF687"/>
    <mergeCell ref="DG686:DG687"/>
    <mergeCell ref="DK686:DK687"/>
    <mergeCell ref="DO686:DO687"/>
    <mergeCell ref="DQ686:DQ687"/>
    <mergeCell ref="FW684:FW687"/>
    <mergeCell ref="FX684:FX687"/>
    <mergeCell ref="FY684:FY687"/>
    <mergeCell ref="FZ684:FZ687"/>
    <mergeCell ref="GA684:GA687"/>
    <mergeCell ref="GB684:GB687"/>
    <mergeCell ref="GC684:GC687"/>
    <mergeCell ref="GD684:GD687"/>
    <mergeCell ref="GG684:GG687"/>
    <mergeCell ref="HC685:HC686"/>
    <mergeCell ref="HD685:HD686"/>
    <mergeCell ref="HE685:HE686"/>
    <mergeCell ref="FP679:FP680"/>
    <mergeCell ref="FQ679:FQ680"/>
    <mergeCell ref="FT686:FT687"/>
    <mergeCell ref="ES679:ES682"/>
    <mergeCell ref="EU679:EU680"/>
    <mergeCell ref="EV679:EV680"/>
    <mergeCell ref="EW679:EW680"/>
    <mergeCell ref="FM686:FM687"/>
    <mergeCell ref="FO686:FO687"/>
    <mergeCell ref="FP686:FP687"/>
    <mergeCell ref="FQ686:FQ687"/>
    <mergeCell ref="FR686:FR687"/>
    <mergeCell ref="EX679:EX680"/>
    <mergeCell ref="EY679:EY680"/>
    <mergeCell ref="FS686:FS687"/>
    <mergeCell ref="FI679:FI680"/>
    <mergeCell ref="FJ679:FJ680"/>
    <mergeCell ref="FK679:FK680"/>
    <mergeCell ref="FL679:FL680"/>
    <mergeCell ref="FU679:FU680"/>
    <mergeCell ref="FQ684:FQ685"/>
    <mergeCell ref="FR684:FR685"/>
    <mergeCell ref="EZ679:EZ682"/>
    <mergeCell ref="FB679:FB680"/>
    <mergeCell ref="FD679:FD682"/>
    <mergeCell ref="FM679:FM680"/>
    <mergeCell ref="FO679:FO680"/>
    <mergeCell ref="DD681:DD682"/>
    <mergeCell ref="DE681:DE682"/>
    <mergeCell ref="DF681:DF682"/>
    <mergeCell ref="DG681:DG682"/>
    <mergeCell ref="DK681:DK682"/>
    <mergeCell ref="DO681:DO682"/>
    <mergeCell ref="DQ681:DQ682"/>
    <mergeCell ref="DV681:DV682"/>
    <mergeCell ref="EU681:EU682"/>
    <mergeCell ref="EV681:EV682"/>
    <mergeCell ref="EW681:EW682"/>
    <mergeCell ref="EX681:EX682"/>
    <mergeCell ref="EY681:EY682"/>
    <mergeCell ref="FB681:FB682"/>
    <mergeCell ref="FI681:FI682"/>
    <mergeCell ref="FJ681:FJ682"/>
    <mergeCell ref="FK681:FK682"/>
    <mergeCell ref="DN679:DN682"/>
    <mergeCell ref="FZ674:FZ677"/>
    <mergeCell ref="GA674:GA677"/>
    <mergeCell ref="IA679:IA682"/>
    <mergeCell ref="IB679:IB680"/>
    <mergeCell ref="HN675:HN676"/>
    <mergeCell ref="HO675:HO676"/>
    <mergeCell ref="HP675:HP676"/>
    <mergeCell ref="HQ675:HQ676"/>
    <mergeCell ref="HR675:HR676"/>
    <mergeCell ref="HS675:HS676"/>
    <mergeCell ref="HT675:HT676"/>
    <mergeCell ref="HU675:HU676"/>
    <mergeCell ref="HY675:HY676"/>
    <mergeCell ref="HX676:HX677"/>
    <mergeCell ref="IB676:IB677"/>
    <mergeCell ref="EK674:EK677"/>
    <mergeCell ref="E681:F681"/>
    <mergeCell ref="G681:L681"/>
    <mergeCell ref="P681:Q681"/>
    <mergeCell ref="S681:S682"/>
    <mergeCell ref="AF681:AI681"/>
    <mergeCell ref="AJ681:AJ682"/>
    <mergeCell ref="AK681:AK682"/>
    <mergeCell ref="AL681:AL682"/>
    <mergeCell ref="CO681:CO682"/>
    <mergeCell ref="CP681:CP682"/>
    <mergeCell ref="EC679:EC682"/>
    <mergeCell ref="ED679:ED682"/>
    <mergeCell ref="EE679:EE682"/>
    <mergeCell ref="EF679:EF682"/>
    <mergeCell ref="EG679:EG682"/>
    <mergeCell ref="EH679:EH682"/>
    <mergeCell ref="EI679:EI682"/>
    <mergeCell ref="EJ679:EJ682"/>
    <mergeCell ref="EK679:EK682"/>
    <mergeCell ref="EL679:EL682"/>
    <mergeCell ref="EM679:EM682"/>
    <mergeCell ref="EN679:EN682"/>
    <mergeCell ref="EO679:EO682"/>
    <mergeCell ref="EP679:EP682"/>
    <mergeCell ref="CR681:CR682"/>
    <mergeCell ref="CS681:CS682"/>
    <mergeCell ref="CT681:CT682"/>
    <mergeCell ref="CU681:CU682"/>
    <mergeCell ref="CV681:CV682"/>
    <mergeCell ref="CW681:CW682"/>
    <mergeCell ref="DC681:DC682"/>
    <mergeCell ref="DZ679:DZ682"/>
    <mergeCell ref="EA679:EA682"/>
    <mergeCell ref="DO679:DO680"/>
    <mergeCell ref="DP679:DP682"/>
    <mergeCell ref="DQ679:DQ680"/>
    <mergeCell ref="DR679:DR682"/>
    <mergeCell ref="DS679:DS682"/>
    <mergeCell ref="DU679:DU682"/>
    <mergeCell ref="DV679:DV680"/>
    <mergeCell ref="DW679:DW682"/>
    <mergeCell ref="DX679:DX682"/>
    <mergeCell ref="E680:F680"/>
    <mergeCell ref="G680:L680"/>
    <mergeCell ref="P680:Q680"/>
    <mergeCell ref="AF680:AI680"/>
    <mergeCell ref="U681:AD681"/>
    <mergeCell ref="EU676:EU677"/>
    <mergeCell ref="EV676:EV677"/>
    <mergeCell ref="EW676:EW677"/>
    <mergeCell ref="EX676:EX677"/>
    <mergeCell ref="EY676:EY677"/>
    <mergeCell ref="FB676:FB677"/>
    <mergeCell ref="FI676:FI677"/>
    <mergeCell ref="FJ676:FJ677"/>
    <mergeCell ref="FK676:FK677"/>
    <mergeCell ref="FL676:FL677"/>
    <mergeCell ref="FM676:FM677"/>
    <mergeCell ref="FO676:FO677"/>
    <mergeCell ref="FP676:FP677"/>
    <mergeCell ref="FQ676:FQ677"/>
    <mergeCell ref="FR676:FR677"/>
    <mergeCell ref="FS676:FS677"/>
    <mergeCell ref="FT676:FT677"/>
    <mergeCell ref="IF676:IF677"/>
    <mergeCell ref="IH676:IH677"/>
    <mergeCell ref="E677:F677"/>
    <mergeCell ref="G677:L677"/>
    <mergeCell ref="P677:R677"/>
    <mergeCell ref="U677:AA677"/>
    <mergeCell ref="AF677:AI677"/>
    <mergeCell ref="E678:AT678"/>
    <mergeCell ref="B679:B682"/>
    <mergeCell ref="C679:D682"/>
    <mergeCell ref="E679:F679"/>
    <mergeCell ref="G679:R679"/>
    <mergeCell ref="S679:S680"/>
    <mergeCell ref="U679:AA679"/>
    <mergeCell ref="AF679:AI679"/>
    <mergeCell ref="AJ679:AJ680"/>
    <mergeCell ref="AK679:AK680"/>
    <mergeCell ref="AL679:AL680"/>
    <mergeCell ref="AM679:AN682"/>
    <mergeCell ref="AO679:AQ682"/>
    <mergeCell ref="AR679:AR682"/>
    <mergeCell ref="AS679:AS682"/>
    <mergeCell ref="AT679:AT682"/>
    <mergeCell ref="AV679:AV682"/>
    <mergeCell ref="AW679:AW682"/>
    <mergeCell ref="CM679:CM682"/>
    <mergeCell ref="CN679:CN682"/>
    <mergeCell ref="CO679:CO680"/>
    <mergeCell ref="CP679:CP680"/>
    <mergeCell ref="CR679:CR680"/>
    <mergeCell ref="CS679:CS680"/>
    <mergeCell ref="CT679:CT680"/>
    <mergeCell ref="CU679:CU680"/>
    <mergeCell ref="CV679:CV680"/>
    <mergeCell ref="CW679:CW680"/>
    <mergeCell ref="CX679:CX682"/>
    <mergeCell ref="CY679:CY682"/>
    <mergeCell ref="CZ679:CZ682"/>
    <mergeCell ref="DA679:DA682"/>
    <mergeCell ref="DC679:DC680"/>
    <mergeCell ref="DD679:DD680"/>
    <mergeCell ref="DE679:DE680"/>
    <mergeCell ref="DF679:DF680"/>
    <mergeCell ref="DG679:DG680"/>
    <mergeCell ref="DH679:DH682"/>
    <mergeCell ref="DJ679:DJ680"/>
    <mergeCell ref="DL679:DL682"/>
    <mergeCell ref="CZ674:CZ677"/>
    <mergeCell ref="DA674:DA677"/>
    <mergeCell ref="DC674:DC675"/>
    <mergeCell ref="DD674:DD675"/>
    <mergeCell ref="DE674:DE675"/>
    <mergeCell ref="DF674:DF675"/>
    <mergeCell ref="DG674:DG675"/>
    <mergeCell ref="DH674:DH677"/>
    <mergeCell ref="DJ674:DJ675"/>
    <mergeCell ref="DL674:DL677"/>
    <mergeCell ref="DN674:DN677"/>
    <mergeCell ref="DO674:DO675"/>
    <mergeCell ref="DP674:DP677"/>
    <mergeCell ref="DQ674:DQ675"/>
    <mergeCell ref="DR674:DR677"/>
    <mergeCell ref="DS674:DS677"/>
    <mergeCell ref="DU674:DU677"/>
    <mergeCell ref="DV674:DV675"/>
    <mergeCell ref="DW674:DW677"/>
    <mergeCell ref="DX674:DX677"/>
    <mergeCell ref="DZ674:DZ677"/>
    <mergeCell ref="EA674:EA677"/>
    <mergeCell ref="EC674:EC677"/>
    <mergeCell ref="ED674:ED677"/>
    <mergeCell ref="EE674:EE677"/>
    <mergeCell ref="EF674:EF677"/>
    <mergeCell ref="EG674:EG677"/>
    <mergeCell ref="EH674:EH677"/>
    <mergeCell ref="DC676:DC677"/>
    <mergeCell ref="DD676:DD677"/>
    <mergeCell ref="DE676:DE677"/>
    <mergeCell ref="DF676:DF677"/>
    <mergeCell ref="DG676:DG677"/>
    <mergeCell ref="DK676:DK677"/>
    <mergeCell ref="DO676:DO677"/>
    <mergeCell ref="DQ676:DQ677"/>
    <mergeCell ref="DV676:DV677"/>
    <mergeCell ref="B674:B677"/>
    <mergeCell ref="C674:D677"/>
    <mergeCell ref="E674:F674"/>
    <mergeCell ref="G674:R674"/>
    <mergeCell ref="S674:S675"/>
    <mergeCell ref="U674:AA674"/>
    <mergeCell ref="AF674:AI674"/>
    <mergeCell ref="AJ674:AJ675"/>
    <mergeCell ref="AK674:AK675"/>
    <mergeCell ref="AL674:AL675"/>
    <mergeCell ref="AM674:AN677"/>
    <mergeCell ref="AO674:AQ677"/>
    <mergeCell ref="AR674:AR677"/>
    <mergeCell ref="AS674:AS677"/>
    <mergeCell ref="AT674:AT677"/>
    <mergeCell ref="AV674:AV677"/>
    <mergeCell ref="AW674:AW677"/>
    <mergeCell ref="CM674:CM677"/>
    <mergeCell ref="CN674:CN677"/>
    <mergeCell ref="CO674:CO675"/>
    <mergeCell ref="CP674:CP675"/>
    <mergeCell ref="CR674:CR675"/>
    <mergeCell ref="CS674:CS675"/>
    <mergeCell ref="CT674:CT675"/>
    <mergeCell ref="CU674:CU675"/>
    <mergeCell ref="CV674:CV675"/>
    <mergeCell ref="CW674:CW675"/>
    <mergeCell ref="CX674:CX677"/>
    <mergeCell ref="CY674:CY677"/>
    <mergeCell ref="E675:F675"/>
    <mergeCell ref="G675:L675"/>
    <mergeCell ref="P675:Q675"/>
    <mergeCell ref="AF675:AI675"/>
    <mergeCell ref="E676:F676"/>
    <mergeCell ref="G676:L676"/>
    <mergeCell ref="P676:Q676"/>
    <mergeCell ref="S676:S677"/>
    <mergeCell ref="AF676:AI676"/>
    <mergeCell ref="AJ676:AJ677"/>
    <mergeCell ref="AK676:AK677"/>
    <mergeCell ref="AL676:AL677"/>
    <mergeCell ref="CO676:CO677"/>
    <mergeCell ref="CP676:CP677"/>
    <mergeCell ref="CR676:CR677"/>
    <mergeCell ref="CS676:CS677"/>
    <mergeCell ref="CT676:CT677"/>
    <mergeCell ref="CU676:CU677"/>
    <mergeCell ref="CV676:CV677"/>
    <mergeCell ref="CW676:CW677"/>
    <mergeCell ref="IH671:IH672"/>
    <mergeCell ref="FW669:FW672"/>
    <mergeCell ref="FX669:FX672"/>
    <mergeCell ref="FY669:FY672"/>
    <mergeCell ref="FZ669:FZ672"/>
    <mergeCell ref="GA669:GA672"/>
    <mergeCell ref="GB669:GB672"/>
    <mergeCell ref="GC669:GC672"/>
    <mergeCell ref="GD669:GD672"/>
    <mergeCell ref="GG669:GG672"/>
    <mergeCell ref="HW669:HW671"/>
    <mergeCell ref="HX669:HX670"/>
    <mergeCell ref="IA669:IA672"/>
    <mergeCell ref="IB669:IB670"/>
    <mergeCell ref="IC669:IC672"/>
    <mergeCell ref="IF669:IF670"/>
    <mergeCell ref="IG669:IG672"/>
    <mergeCell ref="IH669:IH670"/>
    <mergeCell ref="EY669:EY670"/>
    <mergeCell ref="EZ669:EZ672"/>
    <mergeCell ref="FB669:FB670"/>
    <mergeCell ref="FD669:FD672"/>
    <mergeCell ref="FE669:FE672"/>
    <mergeCell ref="FI669:FI670"/>
    <mergeCell ref="FJ669:FJ670"/>
    <mergeCell ref="FK669:FK670"/>
    <mergeCell ref="FL669:FL670"/>
    <mergeCell ref="FM669:FM670"/>
    <mergeCell ref="FO669:FO670"/>
    <mergeCell ref="FP669:FP670"/>
    <mergeCell ref="FQ669:FQ670"/>
    <mergeCell ref="FR669:FR670"/>
    <mergeCell ref="EI674:EI677"/>
    <mergeCell ref="EJ674:EJ677"/>
    <mergeCell ref="EL674:EL677"/>
    <mergeCell ref="EM674:EM677"/>
    <mergeCell ref="EN674:EN677"/>
    <mergeCell ref="EO674:EO677"/>
    <mergeCell ref="EP674:EP677"/>
    <mergeCell ref="EQ674:EQ677"/>
    <mergeCell ref="ES674:ES677"/>
    <mergeCell ref="EU674:EU675"/>
    <mergeCell ref="EV674:EV675"/>
    <mergeCell ref="EW674:EW675"/>
    <mergeCell ref="EX674:EX675"/>
    <mergeCell ref="EY674:EY675"/>
    <mergeCell ref="EZ674:EZ677"/>
    <mergeCell ref="FB674:FB675"/>
    <mergeCell ref="FD674:FD677"/>
    <mergeCell ref="FE674:FE677"/>
    <mergeCell ref="FI674:FI675"/>
    <mergeCell ref="FJ674:FJ675"/>
    <mergeCell ref="FK674:FK675"/>
    <mergeCell ref="FL674:FL675"/>
    <mergeCell ref="FM674:FM675"/>
    <mergeCell ref="FO674:FO675"/>
    <mergeCell ref="FP674:FP675"/>
    <mergeCell ref="FQ674:FQ675"/>
    <mergeCell ref="FR674:FR675"/>
    <mergeCell ref="FS674:FS675"/>
    <mergeCell ref="FT674:FT675"/>
    <mergeCell ref="FW674:FW677"/>
    <mergeCell ref="FX674:FX677"/>
    <mergeCell ref="FY674:FY677"/>
    <mergeCell ref="DS669:DS672"/>
    <mergeCell ref="DU669:DU672"/>
    <mergeCell ref="DV669:DV670"/>
    <mergeCell ref="DW669:DW672"/>
    <mergeCell ref="DX669:DX672"/>
    <mergeCell ref="DZ669:DZ672"/>
    <mergeCell ref="EA669:EA672"/>
    <mergeCell ref="EC669:EC672"/>
    <mergeCell ref="CU671:CU672"/>
    <mergeCell ref="CV671:CV672"/>
    <mergeCell ref="II669:II672"/>
    <mergeCell ref="E670:F670"/>
    <mergeCell ref="G670:L670"/>
    <mergeCell ref="P670:Q670"/>
    <mergeCell ref="AF670:AI670"/>
    <mergeCell ref="GI670:GI671"/>
    <mergeCell ref="GJ670:GJ671"/>
    <mergeCell ref="GL670:GL671"/>
    <mergeCell ref="GM670:GM671"/>
    <mergeCell ref="HC670:HC671"/>
    <mergeCell ref="HD670:HD671"/>
    <mergeCell ref="HE670:HE671"/>
    <mergeCell ref="HF670:HF671"/>
    <mergeCell ref="HG670:HG671"/>
    <mergeCell ref="HH670:HH671"/>
    <mergeCell ref="HI670:HI671"/>
    <mergeCell ref="HJ670:HJ671"/>
    <mergeCell ref="HK670:HK671"/>
    <mergeCell ref="HL670:HL671"/>
    <mergeCell ref="HM670:HM671"/>
    <mergeCell ref="HN670:HN671"/>
    <mergeCell ref="HO670:HO671"/>
    <mergeCell ref="HP670:HP671"/>
    <mergeCell ref="HQ670:HQ671"/>
    <mergeCell ref="HR670:HR671"/>
    <mergeCell ref="HS670:HS671"/>
    <mergeCell ref="HT670:HT671"/>
    <mergeCell ref="HU670:HU671"/>
    <mergeCell ref="HY670:HY671"/>
    <mergeCell ref="E671:F671"/>
    <mergeCell ref="G671:L671"/>
    <mergeCell ref="P671:Q671"/>
    <mergeCell ref="S671:S672"/>
    <mergeCell ref="ED669:ED672"/>
    <mergeCell ref="EE669:EE672"/>
    <mergeCell ref="EF669:EF672"/>
    <mergeCell ref="EG669:EG672"/>
    <mergeCell ref="EH669:EH672"/>
    <mergeCell ref="EI669:EI672"/>
    <mergeCell ref="EJ669:EJ672"/>
    <mergeCell ref="EK669:EK672"/>
    <mergeCell ref="EL669:EL672"/>
    <mergeCell ref="EM669:EM672"/>
    <mergeCell ref="EN669:EN672"/>
    <mergeCell ref="EO669:EO672"/>
    <mergeCell ref="EP669:EP672"/>
    <mergeCell ref="EQ669:EQ672"/>
    <mergeCell ref="ES669:ES672"/>
    <mergeCell ref="EU669:EU670"/>
    <mergeCell ref="EV669:EV670"/>
    <mergeCell ref="EW669:EW670"/>
    <mergeCell ref="EX669:EX670"/>
    <mergeCell ref="IB671:IB672"/>
    <mergeCell ref="IF671:IF672"/>
    <mergeCell ref="CV669:CV670"/>
    <mergeCell ref="CW669:CW670"/>
    <mergeCell ref="CX669:CX672"/>
    <mergeCell ref="CY669:CY672"/>
    <mergeCell ref="CZ669:CZ672"/>
    <mergeCell ref="DA669:DA672"/>
    <mergeCell ref="DC669:DC670"/>
    <mergeCell ref="DD669:DD670"/>
    <mergeCell ref="DE669:DE670"/>
    <mergeCell ref="DF669:DF670"/>
    <mergeCell ref="DG669:DG670"/>
    <mergeCell ref="DH669:DH672"/>
    <mergeCell ref="DJ669:DJ670"/>
    <mergeCell ref="DL669:DL672"/>
    <mergeCell ref="DN669:DN672"/>
    <mergeCell ref="DO669:DO670"/>
    <mergeCell ref="DP669:DP672"/>
    <mergeCell ref="DQ669:DQ670"/>
    <mergeCell ref="DR669:DR672"/>
    <mergeCell ref="B669:B672"/>
    <mergeCell ref="C669:D672"/>
    <mergeCell ref="E669:F669"/>
    <mergeCell ref="G669:R669"/>
    <mergeCell ref="S669:S670"/>
    <mergeCell ref="U669:AA669"/>
    <mergeCell ref="AF669:AI669"/>
    <mergeCell ref="AJ669:AJ670"/>
    <mergeCell ref="AK669:AK670"/>
    <mergeCell ref="AL669:AL670"/>
    <mergeCell ref="AM669:AN672"/>
    <mergeCell ref="AO669:AQ672"/>
    <mergeCell ref="AR669:AR672"/>
    <mergeCell ref="AS669:AS672"/>
    <mergeCell ref="AT669:AT672"/>
    <mergeCell ref="AV669:AV672"/>
    <mergeCell ref="AW669:AW672"/>
    <mergeCell ref="CM669:CM672"/>
    <mergeCell ref="CN669:CN672"/>
    <mergeCell ref="CO669:CO670"/>
    <mergeCell ref="CP669:CP670"/>
    <mergeCell ref="CR669:CR670"/>
    <mergeCell ref="CS669:CS670"/>
    <mergeCell ref="CT669:CT670"/>
    <mergeCell ref="CU669:CU670"/>
    <mergeCell ref="AF671:AI671"/>
    <mergeCell ref="AJ671:AJ672"/>
    <mergeCell ref="AK671:AK672"/>
    <mergeCell ref="AL671:AL672"/>
    <mergeCell ref="CO671:CO672"/>
    <mergeCell ref="CP671:CP672"/>
    <mergeCell ref="CR671:CR672"/>
    <mergeCell ref="CS671:CS672"/>
    <mergeCell ref="CT671:CT672"/>
    <mergeCell ref="E672:F672"/>
    <mergeCell ref="G672:L672"/>
    <mergeCell ref="P672:R672"/>
    <mergeCell ref="U672:AA672"/>
    <mergeCell ref="AF672:AI672"/>
    <mergeCell ref="IG664:IG667"/>
    <mergeCell ref="IH664:IH665"/>
    <mergeCell ref="II664:II667"/>
    <mergeCell ref="E665:F665"/>
    <mergeCell ref="G665:L665"/>
    <mergeCell ref="P665:Q665"/>
    <mergeCell ref="AF665:AI665"/>
    <mergeCell ref="GI665:GI666"/>
    <mergeCell ref="GJ665:GJ666"/>
    <mergeCell ref="GL665:GL666"/>
    <mergeCell ref="GM665:GM666"/>
    <mergeCell ref="HC665:HC666"/>
    <mergeCell ref="HD665:HD666"/>
    <mergeCell ref="HE665:HE666"/>
    <mergeCell ref="HF665:HF666"/>
    <mergeCell ref="HG665:HG666"/>
    <mergeCell ref="HH665:HH666"/>
    <mergeCell ref="HI665:HI666"/>
    <mergeCell ref="HJ665:HJ666"/>
    <mergeCell ref="HK665:HK666"/>
    <mergeCell ref="HL665:HL666"/>
    <mergeCell ref="HM665:HM666"/>
    <mergeCell ref="HN665:HN666"/>
    <mergeCell ref="HO665:HO666"/>
    <mergeCell ref="HP665:HP666"/>
    <mergeCell ref="HQ665:HQ666"/>
    <mergeCell ref="HR665:HR666"/>
    <mergeCell ref="HS665:HS666"/>
    <mergeCell ref="HT665:HT666"/>
    <mergeCell ref="HU665:HU666"/>
    <mergeCell ref="HY665:HY666"/>
    <mergeCell ref="E666:F666"/>
    <mergeCell ref="G666:L666"/>
    <mergeCell ref="P666:Q666"/>
    <mergeCell ref="S666:S667"/>
    <mergeCell ref="CT666:CT667"/>
    <mergeCell ref="CU666:CU667"/>
    <mergeCell ref="CV666:CV667"/>
    <mergeCell ref="CW666:CW667"/>
    <mergeCell ref="DC666:DC667"/>
    <mergeCell ref="DD666:DD667"/>
    <mergeCell ref="DE666:DE667"/>
    <mergeCell ref="DF666:DF667"/>
    <mergeCell ref="DG666:DG667"/>
    <mergeCell ref="DK666:DK667"/>
    <mergeCell ref="DO666:DO667"/>
    <mergeCell ref="DQ666:DQ667"/>
    <mergeCell ref="DV666:DV667"/>
    <mergeCell ref="EU666:EU667"/>
    <mergeCell ref="EV666:EV667"/>
    <mergeCell ref="EW666:EW667"/>
    <mergeCell ref="EX666:EX667"/>
    <mergeCell ref="EY666:EY667"/>
    <mergeCell ref="FB666:FB667"/>
    <mergeCell ref="FI666:FI667"/>
    <mergeCell ref="FJ666:FJ667"/>
    <mergeCell ref="FK666:FK667"/>
    <mergeCell ref="FL666:FL667"/>
    <mergeCell ref="FM666:FM667"/>
    <mergeCell ref="FO666:FO667"/>
    <mergeCell ref="FP666:FP667"/>
    <mergeCell ref="FQ666:FQ667"/>
    <mergeCell ref="FR666:FR667"/>
    <mergeCell ref="FS666:FS667"/>
    <mergeCell ref="IC664:IC667"/>
    <mergeCell ref="IF664:IF665"/>
    <mergeCell ref="DF664:DF665"/>
    <mergeCell ref="DG664:DG665"/>
    <mergeCell ref="DH664:DH667"/>
    <mergeCell ref="DJ664:DJ665"/>
    <mergeCell ref="DL664:DL667"/>
    <mergeCell ref="DN664:DN667"/>
    <mergeCell ref="DO664:DO665"/>
    <mergeCell ref="DP664:DP667"/>
    <mergeCell ref="DQ664:DQ665"/>
    <mergeCell ref="DR664:DR667"/>
    <mergeCell ref="DS664:DS667"/>
    <mergeCell ref="DU664:DU667"/>
    <mergeCell ref="DV664:DV665"/>
    <mergeCell ref="DW664:DW667"/>
    <mergeCell ref="DX664:DX667"/>
    <mergeCell ref="DZ664:DZ667"/>
    <mergeCell ref="EA664:EA667"/>
    <mergeCell ref="EE664:EE667"/>
    <mergeCell ref="EF664:EF667"/>
    <mergeCell ref="EG664:EG667"/>
    <mergeCell ref="EH664:EH667"/>
    <mergeCell ref="FR664:FR665"/>
    <mergeCell ref="FS664:FS665"/>
    <mergeCell ref="CW671:CW672"/>
    <mergeCell ref="DC671:DC672"/>
    <mergeCell ref="DD671:DD672"/>
    <mergeCell ref="DE671:DE672"/>
    <mergeCell ref="DF671:DF672"/>
    <mergeCell ref="DG671:DG672"/>
    <mergeCell ref="DK671:DK672"/>
    <mergeCell ref="DO671:DO672"/>
    <mergeCell ref="DQ671:DQ672"/>
    <mergeCell ref="DV671:DV672"/>
    <mergeCell ref="EU671:EU672"/>
    <mergeCell ref="EV671:EV672"/>
    <mergeCell ref="EW671:EW672"/>
    <mergeCell ref="EX671:EX672"/>
    <mergeCell ref="EY671:EY672"/>
    <mergeCell ref="FB671:FB672"/>
    <mergeCell ref="FI671:FI672"/>
    <mergeCell ref="FJ671:FJ672"/>
    <mergeCell ref="FK671:FK672"/>
    <mergeCell ref="FL671:FL672"/>
    <mergeCell ref="FM671:FM672"/>
    <mergeCell ref="FO671:FO672"/>
    <mergeCell ref="FP671:FP672"/>
    <mergeCell ref="FQ671:FQ672"/>
    <mergeCell ref="FR671:FR672"/>
    <mergeCell ref="FS671:FS672"/>
    <mergeCell ref="FT671:FT672"/>
    <mergeCell ref="HX671:HX672"/>
    <mergeCell ref="FU666:FU667"/>
    <mergeCell ref="FT666:FT667"/>
    <mergeCell ref="HX666:HX667"/>
    <mergeCell ref="FS669:FS670"/>
    <mergeCell ref="FT669:FT670"/>
    <mergeCell ref="EI664:EI667"/>
    <mergeCell ref="EJ664:EJ667"/>
    <mergeCell ref="EK664:EK667"/>
    <mergeCell ref="EL664:EL667"/>
    <mergeCell ref="EM664:EM667"/>
    <mergeCell ref="EN664:EN667"/>
    <mergeCell ref="CR666:CR667"/>
    <mergeCell ref="CS666:CS667"/>
    <mergeCell ref="EW664:EW665"/>
    <mergeCell ref="EX664:EX665"/>
    <mergeCell ref="EY664:EY665"/>
    <mergeCell ref="EZ664:EZ667"/>
    <mergeCell ref="FB664:FB665"/>
    <mergeCell ref="FD664:FD667"/>
    <mergeCell ref="FE664:FE667"/>
    <mergeCell ref="IB661:IB662"/>
    <mergeCell ref="ED659:ED662"/>
    <mergeCell ref="FI664:FI665"/>
    <mergeCell ref="FJ664:FJ665"/>
    <mergeCell ref="FK664:FK665"/>
    <mergeCell ref="FL664:FL665"/>
    <mergeCell ref="FM664:FM665"/>
    <mergeCell ref="FO664:FO665"/>
    <mergeCell ref="FP664:FP665"/>
    <mergeCell ref="FQ664:FQ665"/>
    <mergeCell ref="EC664:EC667"/>
    <mergeCell ref="ED664:ED667"/>
    <mergeCell ref="FT664:FT665"/>
    <mergeCell ref="FW664:FW667"/>
    <mergeCell ref="FX664:FX667"/>
    <mergeCell ref="FY664:FY667"/>
    <mergeCell ref="FZ664:FZ667"/>
    <mergeCell ref="GA664:GA667"/>
    <mergeCell ref="GB664:GB667"/>
    <mergeCell ref="GC664:GC667"/>
    <mergeCell ref="GD664:GD667"/>
    <mergeCell ref="GG664:GG667"/>
    <mergeCell ref="HW664:HW666"/>
    <mergeCell ref="HX664:HX665"/>
    <mergeCell ref="IA664:IA667"/>
    <mergeCell ref="IB664:IB665"/>
    <mergeCell ref="EO664:EO667"/>
    <mergeCell ref="EP664:EP667"/>
    <mergeCell ref="EQ664:EQ667"/>
    <mergeCell ref="ES664:ES667"/>
    <mergeCell ref="EU664:EU665"/>
    <mergeCell ref="EV664:EV665"/>
    <mergeCell ref="FL659:FL660"/>
    <mergeCell ref="FM659:FM660"/>
    <mergeCell ref="FO659:FO660"/>
    <mergeCell ref="FP659:FP660"/>
    <mergeCell ref="HX661:HX662"/>
    <mergeCell ref="FW659:FW662"/>
    <mergeCell ref="FX659:FX662"/>
    <mergeCell ref="FY659:FY662"/>
    <mergeCell ref="FZ659:FZ662"/>
    <mergeCell ref="GA659:GA662"/>
    <mergeCell ref="GB659:GB662"/>
    <mergeCell ref="GC659:GC662"/>
    <mergeCell ref="GD659:GD662"/>
    <mergeCell ref="GG659:GG662"/>
    <mergeCell ref="HW659:HW661"/>
    <mergeCell ref="HX659:HX660"/>
    <mergeCell ref="IF661:IF662"/>
    <mergeCell ref="IH661:IH662"/>
    <mergeCell ref="E662:F662"/>
    <mergeCell ref="G662:L662"/>
    <mergeCell ref="P662:R662"/>
    <mergeCell ref="U662:AA662"/>
    <mergeCell ref="AF662:AI662"/>
    <mergeCell ref="E663:AT663"/>
    <mergeCell ref="B664:B667"/>
    <mergeCell ref="C664:D667"/>
    <mergeCell ref="E664:F664"/>
    <mergeCell ref="G664:R664"/>
    <mergeCell ref="S664:S665"/>
    <mergeCell ref="U664:AA664"/>
    <mergeCell ref="AF664:AI664"/>
    <mergeCell ref="AJ664:AJ665"/>
    <mergeCell ref="AK664:AK665"/>
    <mergeCell ref="AL664:AL665"/>
    <mergeCell ref="AM664:AN667"/>
    <mergeCell ref="AO664:AQ667"/>
    <mergeCell ref="AR664:AR667"/>
    <mergeCell ref="AS664:AS667"/>
    <mergeCell ref="AT664:AT667"/>
    <mergeCell ref="AV664:AV667"/>
    <mergeCell ref="AW664:AW667"/>
    <mergeCell ref="CM664:CM667"/>
    <mergeCell ref="CN664:CN667"/>
    <mergeCell ref="CO664:CO665"/>
    <mergeCell ref="CP664:CP665"/>
    <mergeCell ref="CR664:CR665"/>
    <mergeCell ref="CS664:CS665"/>
    <mergeCell ref="CT664:CT665"/>
    <mergeCell ref="CU664:CU665"/>
    <mergeCell ref="CV664:CV665"/>
    <mergeCell ref="CW664:CW665"/>
    <mergeCell ref="CX664:CX667"/>
    <mergeCell ref="CY664:CY667"/>
    <mergeCell ref="CZ664:CZ667"/>
    <mergeCell ref="DA664:DA667"/>
    <mergeCell ref="DC664:DC665"/>
    <mergeCell ref="DD664:DD665"/>
    <mergeCell ref="DE664:DE665"/>
    <mergeCell ref="HU660:HU661"/>
    <mergeCell ref="HY660:HY661"/>
    <mergeCell ref="E661:F661"/>
    <mergeCell ref="CO666:CO667"/>
    <mergeCell ref="CP666:CP667"/>
    <mergeCell ref="IH666:IH667"/>
    <mergeCell ref="IA659:IA662"/>
    <mergeCell ref="IB659:IB660"/>
    <mergeCell ref="FS659:FS660"/>
    <mergeCell ref="FT659:FT660"/>
    <mergeCell ref="FT661:FT662"/>
    <mergeCell ref="B659:B662"/>
    <mergeCell ref="C659:D662"/>
    <mergeCell ref="E659:F659"/>
    <mergeCell ref="G659:R659"/>
    <mergeCell ref="S659:S660"/>
    <mergeCell ref="U659:AA659"/>
    <mergeCell ref="AF659:AI659"/>
    <mergeCell ref="AJ659:AJ660"/>
    <mergeCell ref="AK659:AK660"/>
    <mergeCell ref="AL659:AL660"/>
    <mergeCell ref="AM659:AN662"/>
    <mergeCell ref="EI654:EI657"/>
    <mergeCell ref="EJ654:EJ657"/>
    <mergeCell ref="EK654:EK657"/>
    <mergeCell ref="EL654:EL657"/>
    <mergeCell ref="EM654:EM657"/>
    <mergeCell ref="EN654:EN657"/>
    <mergeCell ref="EO654:EO657"/>
    <mergeCell ref="EP654:EP657"/>
    <mergeCell ref="DV661:DV662"/>
    <mergeCell ref="EU661:EU662"/>
    <mergeCell ref="EV661:EV662"/>
    <mergeCell ref="EW661:EW662"/>
    <mergeCell ref="EX661:EX662"/>
    <mergeCell ref="EY661:EY662"/>
    <mergeCell ref="FB661:FB662"/>
    <mergeCell ref="FI661:FI662"/>
    <mergeCell ref="FJ661:FJ662"/>
    <mergeCell ref="FK661:FK662"/>
    <mergeCell ref="FL661:FL662"/>
    <mergeCell ref="FM661:FM662"/>
    <mergeCell ref="FO661:FO662"/>
    <mergeCell ref="FP661:FP662"/>
    <mergeCell ref="FQ661:FQ662"/>
    <mergeCell ref="FR661:FR662"/>
    <mergeCell ref="FS661:FS662"/>
    <mergeCell ref="FT656:FT657"/>
    <mergeCell ref="CO661:CO662"/>
    <mergeCell ref="CP661:CP662"/>
    <mergeCell ref="CR661:CR662"/>
    <mergeCell ref="CS661:CS662"/>
    <mergeCell ref="CT661:CT662"/>
    <mergeCell ref="EA659:EA662"/>
    <mergeCell ref="EC659:EC662"/>
    <mergeCell ref="CU661:CU662"/>
    <mergeCell ref="CV661:CV662"/>
    <mergeCell ref="CW661:CW662"/>
    <mergeCell ref="DC661:DC662"/>
    <mergeCell ref="DD661:DD662"/>
    <mergeCell ref="DE661:DE662"/>
    <mergeCell ref="DF661:DF662"/>
    <mergeCell ref="DG661:DG662"/>
    <mergeCell ref="DK661:DK662"/>
    <mergeCell ref="DO661:DO662"/>
    <mergeCell ref="DQ661:DQ662"/>
    <mergeCell ref="DX659:DX662"/>
    <mergeCell ref="DZ659:DZ662"/>
    <mergeCell ref="FQ659:FQ660"/>
    <mergeCell ref="FR659:FR660"/>
    <mergeCell ref="CU659:CU660"/>
    <mergeCell ref="CV659:CV660"/>
    <mergeCell ref="CW659:CW660"/>
    <mergeCell ref="CX659:CX662"/>
    <mergeCell ref="CY659:CY662"/>
    <mergeCell ref="CZ659:CZ662"/>
    <mergeCell ref="DA659:DA662"/>
    <mergeCell ref="DC659:DC660"/>
    <mergeCell ref="DD659:DD660"/>
    <mergeCell ref="DE659:DE660"/>
    <mergeCell ref="DF659:DF660"/>
    <mergeCell ref="FB656:FB657"/>
    <mergeCell ref="FI656:FI657"/>
    <mergeCell ref="FJ656:FJ657"/>
    <mergeCell ref="FK656:FK657"/>
    <mergeCell ref="FL656:FL657"/>
    <mergeCell ref="AO659:AQ662"/>
    <mergeCell ref="AR659:AR662"/>
    <mergeCell ref="AS659:AS662"/>
    <mergeCell ref="AT659:AT662"/>
    <mergeCell ref="AV659:AV662"/>
    <mergeCell ref="AW659:AW662"/>
    <mergeCell ref="CM659:CM662"/>
    <mergeCell ref="CN659:CN662"/>
    <mergeCell ref="CO659:CO660"/>
    <mergeCell ref="CP659:CP660"/>
    <mergeCell ref="CR659:CR660"/>
    <mergeCell ref="CS659:CS660"/>
    <mergeCell ref="CT659:CT660"/>
    <mergeCell ref="E660:F660"/>
    <mergeCell ref="G660:L660"/>
    <mergeCell ref="P660:Q660"/>
    <mergeCell ref="AF660:AI660"/>
    <mergeCell ref="DZ654:DZ657"/>
    <mergeCell ref="EA654:EA657"/>
    <mergeCell ref="S654:S655"/>
    <mergeCell ref="U654:AA654"/>
    <mergeCell ref="AF654:AI654"/>
    <mergeCell ref="AJ654:AJ655"/>
    <mergeCell ref="AK654:AK655"/>
    <mergeCell ref="AL654:AL655"/>
    <mergeCell ref="AM654:AN657"/>
    <mergeCell ref="AO654:AQ657"/>
    <mergeCell ref="AR654:AR657"/>
    <mergeCell ref="AS654:AS657"/>
    <mergeCell ref="AT654:AT657"/>
    <mergeCell ref="AV654:AV657"/>
    <mergeCell ref="AW654:AW657"/>
    <mergeCell ref="CM654:CM657"/>
    <mergeCell ref="CN654:CN657"/>
    <mergeCell ref="CO654:CO655"/>
    <mergeCell ref="CP654:CP655"/>
    <mergeCell ref="CR654:CR655"/>
    <mergeCell ref="CS654:CS655"/>
    <mergeCell ref="CT654:CT655"/>
    <mergeCell ref="CU654:CU655"/>
    <mergeCell ref="CV654:CV655"/>
    <mergeCell ref="CW654:CW655"/>
    <mergeCell ref="CX654:CX657"/>
    <mergeCell ref="CY654:CY657"/>
    <mergeCell ref="CU656:CU657"/>
    <mergeCell ref="CV656:CV657"/>
    <mergeCell ref="CW656:CW657"/>
    <mergeCell ref="DK656:DK657"/>
    <mergeCell ref="DO656:DO657"/>
    <mergeCell ref="DQ656:DQ657"/>
    <mergeCell ref="DV656:DV657"/>
    <mergeCell ref="FM656:FM657"/>
    <mergeCell ref="FO656:FO657"/>
    <mergeCell ref="FP656:FP657"/>
    <mergeCell ref="FQ656:FQ657"/>
    <mergeCell ref="FR656:FR657"/>
    <mergeCell ref="FS656:FS657"/>
    <mergeCell ref="CZ654:CZ657"/>
    <mergeCell ref="DA654:DA657"/>
    <mergeCell ref="DC654:DC655"/>
    <mergeCell ref="DD654:DD655"/>
    <mergeCell ref="DE654:DE655"/>
    <mergeCell ref="DF654:DF655"/>
    <mergeCell ref="DG654:DG655"/>
    <mergeCell ref="DH654:DH657"/>
    <mergeCell ref="DG659:DG660"/>
    <mergeCell ref="DH659:DH662"/>
    <mergeCell ref="DJ659:DJ660"/>
    <mergeCell ref="DL659:DL662"/>
    <mergeCell ref="DN659:DN662"/>
    <mergeCell ref="DO659:DO660"/>
    <mergeCell ref="DP659:DP662"/>
    <mergeCell ref="DQ659:DQ660"/>
    <mergeCell ref="DR659:DR662"/>
    <mergeCell ref="DS659:DS662"/>
    <mergeCell ref="DU659:DU662"/>
    <mergeCell ref="DV659:DV660"/>
    <mergeCell ref="DW659:DW662"/>
    <mergeCell ref="EC654:EC657"/>
    <mergeCell ref="ED654:ED657"/>
    <mergeCell ref="EE654:EE657"/>
    <mergeCell ref="EF654:EF657"/>
    <mergeCell ref="EG654:EG657"/>
    <mergeCell ref="EH654:EH657"/>
    <mergeCell ref="EE659:EE662"/>
    <mergeCell ref="EF659:EF662"/>
    <mergeCell ref="EG659:EG662"/>
    <mergeCell ref="EH659:EH662"/>
    <mergeCell ref="EI659:EI662"/>
    <mergeCell ref="EJ659:EJ662"/>
    <mergeCell ref="EK659:EK662"/>
    <mergeCell ref="EL659:EL662"/>
    <mergeCell ref="EM659:EM662"/>
    <mergeCell ref="EN659:EN662"/>
    <mergeCell ref="EO659:EO662"/>
    <mergeCell ref="EP659:EP662"/>
    <mergeCell ref="EQ659:EQ662"/>
    <mergeCell ref="ES659:ES662"/>
    <mergeCell ref="EU659:EU660"/>
    <mergeCell ref="EV659:EV660"/>
    <mergeCell ref="EW659:EW660"/>
    <mergeCell ref="EX659:EX660"/>
    <mergeCell ref="EY659:EY660"/>
    <mergeCell ref="EZ659:EZ662"/>
    <mergeCell ref="FB659:FB660"/>
    <mergeCell ref="FD659:FD662"/>
    <mergeCell ref="FE659:FE662"/>
    <mergeCell ref="FI659:FI660"/>
    <mergeCell ref="FJ659:FJ660"/>
    <mergeCell ref="FK659:FK660"/>
    <mergeCell ref="DC656:DC657"/>
    <mergeCell ref="DD656:DD657"/>
    <mergeCell ref="DE656:DE657"/>
    <mergeCell ref="DF656:DF657"/>
    <mergeCell ref="DG656:DG657"/>
    <mergeCell ref="II654:II657"/>
    <mergeCell ref="E655:F655"/>
    <mergeCell ref="G655:L655"/>
    <mergeCell ref="P655:Q655"/>
    <mergeCell ref="AF655:AI655"/>
    <mergeCell ref="GI655:GI656"/>
    <mergeCell ref="GJ655:GJ656"/>
    <mergeCell ref="GL655:GL656"/>
    <mergeCell ref="GM655:GM656"/>
    <mergeCell ref="HC655:HC656"/>
    <mergeCell ref="HD655:HD656"/>
    <mergeCell ref="HE655:HE656"/>
    <mergeCell ref="HF655:HF656"/>
    <mergeCell ref="HG655:HG656"/>
    <mergeCell ref="HH655:HH656"/>
    <mergeCell ref="HI655:HI656"/>
    <mergeCell ref="HJ655:HJ656"/>
    <mergeCell ref="HK655:HK656"/>
    <mergeCell ref="HL655:HL656"/>
    <mergeCell ref="HM655:HM656"/>
    <mergeCell ref="HN655:HN656"/>
    <mergeCell ref="HO655:HO656"/>
    <mergeCell ref="HP655:HP656"/>
    <mergeCell ref="HQ655:HQ656"/>
    <mergeCell ref="HR655:HR656"/>
    <mergeCell ref="HS655:HS656"/>
    <mergeCell ref="HT655:HT656"/>
    <mergeCell ref="HU655:HU656"/>
    <mergeCell ref="HY655:HY656"/>
    <mergeCell ref="E656:F656"/>
    <mergeCell ref="G656:L656"/>
    <mergeCell ref="P656:Q656"/>
    <mergeCell ref="S656:S657"/>
    <mergeCell ref="AF656:AI656"/>
    <mergeCell ref="AJ656:AJ657"/>
    <mergeCell ref="AK656:AK657"/>
    <mergeCell ref="AL656:AL657"/>
    <mergeCell ref="CO656:CO657"/>
    <mergeCell ref="CP656:CP657"/>
    <mergeCell ref="HX656:HX657"/>
    <mergeCell ref="FR654:FR655"/>
    <mergeCell ref="FS654:FS655"/>
    <mergeCell ref="FT654:FT655"/>
    <mergeCell ref="FW654:FW657"/>
    <mergeCell ref="FX654:FX657"/>
    <mergeCell ref="FY654:FY657"/>
    <mergeCell ref="FZ654:FZ657"/>
    <mergeCell ref="GA654:GA657"/>
    <mergeCell ref="GB654:GB657"/>
    <mergeCell ref="GC654:GC657"/>
    <mergeCell ref="GD654:GD657"/>
    <mergeCell ref="GG654:GG657"/>
    <mergeCell ref="HW654:HW656"/>
    <mergeCell ref="HX654:HX655"/>
    <mergeCell ref="EQ654:EQ657"/>
    <mergeCell ref="ES654:ES657"/>
    <mergeCell ref="EU654:EU655"/>
    <mergeCell ref="EV654:EV655"/>
    <mergeCell ref="EW654:EW655"/>
    <mergeCell ref="EX654:EX655"/>
    <mergeCell ref="EY654:EY655"/>
    <mergeCell ref="EZ654:EZ657"/>
    <mergeCell ref="FB654:FB655"/>
    <mergeCell ref="FD654:FD657"/>
    <mergeCell ref="IC649:IC652"/>
    <mergeCell ref="IF649:IF650"/>
    <mergeCell ref="IG649:IG652"/>
    <mergeCell ref="IH649:IH650"/>
    <mergeCell ref="B649:B652"/>
    <mergeCell ref="C649:D652"/>
    <mergeCell ref="FR651:FR652"/>
    <mergeCell ref="FS651:FS652"/>
    <mergeCell ref="IA654:IA657"/>
    <mergeCell ref="IB654:IB655"/>
    <mergeCell ref="IC654:IC657"/>
    <mergeCell ref="IF654:IF655"/>
    <mergeCell ref="IG654:IG657"/>
    <mergeCell ref="IH654:IH655"/>
    <mergeCell ref="DZ649:DZ652"/>
    <mergeCell ref="FT651:FT652"/>
    <mergeCell ref="EA649:EA652"/>
    <mergeCell ref="EC649:EC652"/>
    <mergeCell ref="ED649:ED652"/>
    <mergeCell ref="EE649:EE652"/>
    <mergeCell ref="EF649:EF652"/>
    <mergeCell ref="EG649:EG652"/>
    <mergeCell ref="EH649:EH652"/>
    <mergeCell ref="EI649:EI652"/>
    <mergeCell ref="EJ649:EJ652"/>
    <mergeCell ref="EK649:EK652"/>
    <mergeCell ref="EL649:EL652"/>
    <mergeCell ref="EM649:EM652"/>
    <mergeCell ref="HX651:HX652"/>
    <mergeCell ref="IB651:IB652"/>
    <mergeCell ref="IF651:IF652"/>
    <mergeCell ref="FE654:FE657"/>
    <mergeCell ref="FI654:FI655"/>
    <mergeCell ref="FJ654:FJ655"/>
    <mergeCell ref="FK654:FK655"/>
    <mergeCell ref="FL654:FL655"/>
    <mergeCell ref="FM654:FM655"/>
    <mergeCell ref="FO654:FO655"/>
    <mergeCell ref="DJ654:DJ655"/>
    <mergeCell ref="DL654:DL657"/>
    <mergeCell ref="DN654:DN657"/>
    <mergeCell ref="DO654:DO655"/>
    <mergeCell ref="P652:R652"/>
    <mergeCell ref="U652:AA652"/>
    <mergeCell ref="AF652:AI652"/>
    <mergeCell ref="E653:AT653"/>
    <mergeCell ref="B654:B657"/>
    <mergeCell ref="C654:D657"/>
    <mergeCell ref="E654:F654"/>
    <mergeCell ref="G654:R654"/>
    <mergeCell ref="FP654:FP655"/>
    <mergeCell ref="FQ654:FQ655"/>
    <mergeCell ref="DP654:DP657"/>
    <mergeCell ref="DQ654:DQ655"/>
    <mergeCell ref="DR654:DR657"/>
    <mergeCell ref="DS654:DS657"/>
    <mergeCell ref="DU654:DU657"/>
    <mergeCell ref="DV654:DV655"/>
    <mergeCell ref="DW654:DW657"/>
    <mergeCell ref="DX654:DX657"/>
    <mergeCell ref="FU654:FU655"/>
    <mergeCell ref="CR656:CR657"/>
    <mergeCell ref="CS656:CS657"/>
    <mergeCell ref="CT656:CT657"/>
    <mergeCell ref="E650:F650"/>
    <mergeCell ref="G650:L650"/>
    <mergeCell ref="P650:Q650"/>
    <mergeCell ref="AF650:AI650"/>
    <mergeCell ref="GI650:GI651"/>
    <mergeCell ref="GJ650:GJ651"/>
    <mergeCell ref="GL650:GL651"/>
    <mergeCell ref="GM650:GM651"/>
    <mergeCell ref="HC650:HC651"/>
    <mergeCell ref="HD650:HD651"/>
    <mergeCell ref="HE650:HE651"/>
    <mergeCell ref="HF650:HF651"/>
    <mergeCell ref="HG650:HG651"/>
    <mergeCell ref="HH650:HH651"/>
    <mergeCell ref="HI650:HI651"/>
    <mergeCell ref="HJ650:HJ651"/>
    <mergeCell ref="HK650:HK651"/>
    <mergeCell ref="HL650:HL651"/>
    <mergeCell ref="HM650:HM651"/>
    <mergeCell ref="HN650:HN651"/>
    <mergeCell ref="HO650:HO651"/>
    <mergeCell ref="HP650:HP651"/>
    <mergeCell ref="HQ650:HQ651"/>
    <mergeCell ref="DN649:DN652"/>
    <mergeCell ref="DO649:DO650"/>
    <mergeCell ref="DP649:DP652"/>
    <mergeCell ref="DQ649:DQ650"/>
    <mergeCell ref="DR649:DR652"/>
    <mergeCell ref="DS649:DS652"/>
    <mergeCell ref="DU649:DU652"/>
    <mergeCell ref="DV649:DV650"/>
    <mergeCell ref="DW649:DW652"/>
    <mergeCell ref="FQ649:FQ650"/>
    <mergeCell ref="FR649:FR650"/>
    <mergeCell ref="FW649:FW652"/>
    <mergeCell ref="FX649:FX652"/>
    <mergeCell ref="FY649:FY652"/>
    <mergeCell ref="DE649:DE650"/>
    <mergeCell ref="DF649:DF650"/>
    <mergeCell ref="DG649:DG650"/>
    <mergeCell ref="DH649:DH652"/>
    <mergeCell ref="DJ649:DJ650"/>
    <mergeCell ref="DL649:DL652"/>
    <mergeCell ref="EU656:EU657"/>
    <mergeCell ref="EV656:EV657"/>
    <mergeCell ref="EW656:EW657"/>
    <mergeCell ref="EX656:EX657"/>
    <mergeCell ref="EY656:EY657"/>
    <mergeCell ref="E651:F651"/>
    <mergeCell ref="G651:L651"/>
    <mergeCell ref="P651:Q651"/>
    <mergeCell ref="S651:S652"/>
    <mergeCell ref="AF651:AI651"/>
    <mergeCell ref="AJ651:AJ652"/>
    <mergeCell ref="AK651:AK652"/>
    <mergeCell ref="AL651:AL652"/>
    <mergeCell ref="CO651:CO652"/>
    <mergeCell ref="CP651:CP652"/>
    <mergeCell ref="CR651:CR652"/>
    <mergeCell ref="DX649:DX652"/>
    <mergeCell ref="E649:F649"/>
    <mergeCell ref="G649:R649"/>
    <mergeCell ref="S649:S650"/>
    <mergeCell ref="U649:AA649"/>
    <mergeCell ref="AF649:AI649"/>
    <mergeCell ref="AJ649:AJ650"/>
    <mergeCell ref="AK649:AK650"/>
    <mergeCell ref="AL649:AL650"/>
    <mergeCell ref="AM649:AN652"/>
    <mergeCell ref="AO649:AQ652"/>
    <mergeCell ref="AR649:AR652"/>
    <mergeCell ref="AS649:AS652"/>
    <mergeCell ref="AT649:AT652"/>
    <mergeCell ref="AV649:AV652"/>
    <mergeCell ref="AW649:AW652"/>
    <mergeCell ref="CM649:CM652"/>
    <mergeCell ref="CN649:CN652"/>
    <mergeCell ref="CO649:CO650"/>
    <mergeCell ref="CP649:CP650"/>
    <mergeCell ref="CR649:CR650"/>
    <mergeCell ref="CS649:CS650"/>
    <mergeCell ref="CT649:CT650"/>
    <mergeCell ref="E652:F652"/>
    <mergeCell ref="G652:L652"/>
    <mergeCell ref="CS651:CS652"/>
    <mergeCell ref="CT651:CT652"/>
    <mergeCell ref="CU651:CU652"/>
    <mergeCell ref="CV651:CV652"/>
    <mergeCell ref="CW651:CW652"/>
    <mergeCell ref="DC651:DC652"/>
    <mergeCell ref="DD651:DD652"/>
    <mergeCell ref="DE651:DE652"/>
    <mergeCell ref="DF651:DF652"/>
    <mergeCell ref="DG651:DG652"/>
    <mergeCell ref="DK651:DK652"/>
    <mergeCell ref="DO651:DO652"/>
    <mergeCell ref="DQ651:DQ652"/>
    <mergeCell ref="DV651:DV652"/>
    <mergeCell ref="CU649:CU650"/>
    <mergeCell ref="CV649:CV650"/>
    <mergeCell ref="CW649:CW650"/>
    <mergeCell ref="CX649:CX652"/>
    <mergeCell ref="CY649:CY652"/>
    <mergeCell ref="CZ649:CZ652"/>
    <mergeCell ref="DA649:DA652"/>
    <mergeCell ref="DC649:DC650"/>
    <mergeCell ref="DD649:DD650"/>
    <mergeCell ref="IB646:IB647"/>
    <mergeCell ref="FZ649:FZ652"/>
    <mergeCell ref="GA649:GA652"/>
    <mergeCell ref="GB649:GB652"/>
    <mergeCell ref="GC649:GC652"/>
    <mergeCell ref="GD649:GD652"/>
    <mergeCell ref="GG649:GG652"/>
    <mergeCell ref="HW649:HW651"/>
    <mergeCell ref="HX649:HX650"/>
    <mergeCell ref="IA649:IA652"/>
    <mergeCell ref="IB649:IB650"/>
    <mergeCell ref="EN649:EN652"/>
    <mergeCell ref="EO649:EO652"/>
    <mergeCell ref="EP649:EP652"/>
    <mergeCell ref="EQ649:EQ652"/>
    <mergeCell ref="ES649:ES652"/>
    <mergeCell ref="EU649:EU650"/>
    <mergeCell ref="EV649:EV650"/>
    <mergeCell ref="EW649:EW650"/>
    <mergeCell ref="EX649:EX650"/>
    <mergeCell ref="EY649:EY650"/>
    <mergeCell ref="EZ649:EZ652"/>
    <mergeCell ref="FB649:FB650"/>
    <mergeCell ref="FD649:FD652"/>
    <mergeCell ref="FE649:FE652"/>
    <mergeCell ref="FI649:FI650"/>
    <mergeCell ref="FJ649:FJ650"/>
    <mergeCell ref="FK649:FK650"/>
    <mergeCell ref="FL649:FL650"/>
    <mergeCell ref="FM649:FM650"/>
    <mergeCell ref="FS649:FS650"/>
    <mergeCell ref="FT649:FT650"/>
    <mergeCell ref="FK651:FK652"/>
    <mergeCell ref="FL651:FL652"/>
    <mergeCell ref="FM651:FM652"/>
    <mergeCell ref="FO651:FO652"/>
    <mergeCell ref="FP651:FP652"/>
    <mergeCell ref="FQ651:FQ652"/>
    <mergeCell ref="FR646:FR647"/>
    <mergeCell ref="FS646:FS647"/>
    <mergeCell ref="FO649:FO650"/>
    <mergeCell ref="FP649:FP650"/>
    <mergeCell ref="EU651:EU652"/>
    <mergeCell ref="EV651:EV652"/>
    <mergeCell ref="EW651:EW652"/>
    <mergeCell ref="EX651:EX652"/>
    <mergeCell ref="EY651:EY652"/>
    <mergeCell ref="FB651:FB652"/>
    <mergeCell ref="FI651:FI652"/>
    <mergeCell ref="FJ651:FJ652"/>
    <mergeCell ref="HR650:HR651"/>
    <mergeCell ref="HS650:HS651"/>
    <mergeCell ref="HT650:HT651"/>
    <mergeCell ref="HU650:HU651"/>
    <mergeCell ref="HY650:HY651"/>
    <mergeCell ref="GJ645:GJ646"/>
    <mergeCell ref="GL645:GL646"/>
    <mergeCell ref="GM645:GM646"/>
    <mergeCell ref="HC645:HC646"/>
    <mergeCell ref="HD645:HD646"/>
    <mergeCell ref="HE645:HE646"/>
    <mergeCell ref="HF645:HF646"/>
    <mergeCell ref="HG645:HG646"/>
    <mergeCell ref="HH645:HH646"/>
    <mergeCell ref="DO644:DO645"/>
    <mergeCell ref="DP644:DP647"/>
    <mergeCell ref="DQ644:DQ645"/>
    <mergeCell ref="DR644:DR647"/>
    <mergeCell ref="FP644:FP645"/>
    <mergeCell ref="FQ644:FQ645"/>
    <mergeCell ref="FR644:FR645"/>
    <mergeCell ref="FS644:FS645"/>
    <mergeCell ref="EE644:EE647"/>
    <mergeCell ref="EF644:EF647"/>
    <mergeCell ref="EG644:EG647"/>
    <mergeCell ref="EH644:EH647"/>
    <mergeCell ref="EI644:EI647"/>
    <mergeCell ref="EJ644:EJ647"/>
    <mergeCell ref="EK644:EK647"/>
    <mergeCell ref="EL644:EL647"/>
    <mergeCell ref="EM644:EM647"/>
    <mergeCell ref="EN644:EN647"/>
    <mergeCell ref="EO644:EO647"/>
    <mergeCell ref="EP644:EP647"/>
    <mergeCell ref="EQ644:EQ647"/>
    <mergeCell ref="ES644:ES647"/>
    <mergeCell ref="EU644:EU645"/>
    <mergeCell ref="EV644:EV645"/>
    <mergeCell ref="EW644:EW645"/>
    <mergeCell ref="EX644:EX645"/>
    <mergeCell ref="EY644:EY645"/>
    <mergeCell ref="EZ644:EZ647"/>
    <mergeCell ref="FB644:FB645"/>
    <mergeCell ref="FD644:FD647"/>
    <mergeCell ref="FE644:FE647"/>
    <mergeCell ref="FI644:FI645"/>
    <mergeCell ref="FJ644:FJ645"/>
    <mergeCell ref="FK644:FK645"/>
    <mergeCell ref="FL644:FL645"/>
    <mergeCell ref="FM644:FM645"/>
    <mergeCell ref="EU646:EU647"/>
    <mergeCell ref="EV646:EV647"/>
    <mergeCell ref="EW646:EW647"/>
    <mergeCell ref="EX646:EX647"/>
    <mergeCell ref="EY646:EY647"/>
    <mergeCell ref="FB646:FB647"/>
    <mergeCell ref="FI646:FI647"/>
    <mergeCell ref="FJ646:FJ647"/>
    <mergeCell ref="FK646:FK647"/>
    <mergeCell ref="FL646:FL647"/>
    <mergeCell ref="FM646:FM647"/>
    <mergeCell ref="FO646:FO647"/>
    <mergeCell ref="FP646:FP647"/>
    <mergeCell ref="HI645:HI646"/>
    <mergeCell ref="HJ645:HJ646"/>
    <mergeCell ref="HK645:HK646"/>
    <mergeCell ref="HL645:HL646"/>
    <mergeCell ref="HM645:HM646"/>
    <mergeCell ref="HN645:HN646"/>
    <mergeCell ref="HO645:HO646"/>
    <mergeCell ref="HP645:HP646"/>
    <mergeCell ref="HQ645:HQ646"/>
    <mergeCell ref="HR645:HR646"/>
    <mergeCell ref="HS645:HS646"/>
    <mergeCell ref="HT645:HT646"/>
    <mergeCell ref="HU645:HU646"/>
    <mergeCell ref="HY645:HY646"/>
    <mergeCell ref="E646:F646"/>
    <mergeCell ref="G646:L646"/>
    <mergeCell ref="P646:Q646"/>
    <mergeCell ref="S646:S647"/>
    <mergeCell ref="CW641:CW642"/>
    <mergeCell ref="DC641:DC642"/>
    <mergeCell ref="DD641:DD642"/>
    <mergeCell ref="DE641:DE642"/>
    <mergeCell ref="DF641:DF642"/>
    <mergeCell ref="DG641:DG642"/>
    <mergeCell ref="DW644:DW647"/>
    <mergeCell ref="DX644:DX647"/>
    <mergeCell ref="CS646:CS647"/>
    <mergeCell ref="CT646:CT647"/>
    <mergeCell ref="CU646:CU647"/>
    <mergeCell ref="CV646:CV647"/>
    <mergeCell ref="CW646:CW647"/>
    <mergeCell ref="DC646:DC647"/>
    <mergeCell ref="DD646:DD647"/>
    <mergeCell ref="DE646:DE647"/>
    <mergeCell ref="DF646:DF647"/>
    <mergeCell ref="DG646:DG647"/>
    <mergeCell ref="DK646:DK647"/>
    <mergeCell ref="DO646:DO647"/>
    <mergeCell ref="DQ646:DQ647"/>
    <mergeCell ref="DV646:DV647"/>
    <mergeCell ref="FQ646:FQ647"/>
    <mergeCell ref="FO644:FO645"/>
    <mergeCell ref="FT646:FT647"/>
    <mergeCell ref="HX646:HX647"/>
    <mergeCell ref="DD644:DD645"/>
    <mergeCell ref="DE644:DE645"/>
    <mergeCell ref="DF644:DF645"/>
    <mergeCell ref="DG644:DG645"/>
    <mergeCell ref="DH644:DH647"/>
    <mergeCell ref="DJ644:DJ645"/>
    <mergeCell ref="DL644:DL647"/>
    <mergeCell ref="DN644:DN647"/>
    <mergeCell ref="DK641:DK642"/>
    <mergeCell ref="DO641:DO642"/>
    <mergeCell ref="DQ641:DQ642"/>
    <mergeCell ref="DZ644:DZ647"/>
    <mergeCell ref="EA644:EA647"/>
    <mergeCell ref="EC644:EC647"/>
    <mergeCell ref="ED644:ED647"/>
    <mergeCell ref="CO646:CO647"/>
    <mergeCell ref="CP646:CP647"/>
    <mergeCell ref="CR646:CR647"/>
    <mergeCell ref="DV641:DV642"/>
    <mergeCell ref="FR641:FR642"/>
    <mergeCell ref="CO639:CO640"/>
    <mergeCell ref="CP639:CP640"/>
    <mergeCell ref="CR639:CR640"/>
    <mergeCell ref="DS644:DS647"/>
    <mergeCell ref="DU644:DU647"/>
    <mergeCell ref="DV644:DV645"/>
    <mergeCell ref="FQ641:FQ642"/>
    <mergeCell ref="FT644:FT645"/>
    <mergeCell ref="FW644:FW647"/>
    <mergeCell ref="FX644:FX647"/>
    <mergeCell ref="FY644:FY647"/>
    <mergeCell ref="FZ644:FZ647"/>
    <mergeCell ref="GA644:GA647"/>
    <mergeCell ref="GB644:GB647"/>
    <mergeCell ref="E643:AT643"/>
    <mergeCell ref="B644:B647"/>
    <mergeCell ref="C644:D647"/>
    <mergeCell ref="E644:F644"/>
    <mergeCell ref="G644:R644"/>
    <mergeCell ref="S644:S645"/>
    <mergeCell ref="U644:AA644"/>
    <mergeCell ref="AF644:AI644"/>
    <mergeCell ref="AJ644:AJ645"/>
    <mergeCell ref="AK644:AK645"/>
    <mergeCell ref="AL644:AL645"/>
    <mergeCell ref="AM644:AN647"/>
    <mergeCell ref="AO644:AQ647"/>
    <mergeCell ref="AR644:AR647"/>
    <mergeCell ref="AS644:AS647"/>
    <mergeCell ref="AT644:AT647"/>
    <mergeCell ref="AV644:AV647"/>
    <mergeCell ref="AW644:AW647"/>
    <mergeCell ref="CM644:CM647"/>
    <mergeCell ref="CN644:CN647"/>
    <mergeCell ref="CO644:CO645"/>
    <mergeCell ref="CP644:CP645"/>
    <mergeCell ref="CR644:CR645"/>
    <mergeCell ref="CS644:CS645"/>
    <mergeCell ref="CT644:CT645"/>
    <mergeCell ref="CU644:CU645"/>
    <mergeCell ref="CV644:CV645"/>
    <mergeCell ref="CW644:CW645"/>
    <mergeCell ref="CX644:CX647"/>
    <mergeCell ref="CY644:CY647"/>
    <mergeCell ref="CZ644:CZ647"/>
    <mergeCell ref="DA644:DA647"/>
    <mergeCell ref="DC644:DC645"/>
    <mergeCell ref="E645:F645"/>
    <mergeCell ref="G645:L645"/>
    <mergeCell ref="P645:Q645"/>
    <mergeCell ref="AF645:AI645"/>
    <mergeCell ref="CS639:CS640"/>
    <mergeCell ref="CT639:CT640"/>
    <mergeCell ref="CU639:CU640"/>
    <mergeCell ref="CV639:CV640"/>
    <mergeCell ref="CW639:CW640"/>
    <mergeCell ref="CX639:CX642"/>
    <mergeCell ref="CY639:CY642"/>
    <mergeCell ref="CZ639:CZ642"/>
    <mergeCell ref="DA639:DA642"/>
    <mergeCell ref="DC639:DC640"/>
    <mergeCell ref="DD639:DD640"/>
    <mergeCell ref="DE639:DE640"/>
    <mergeCell ref="DF639:DF640"/>
    <mergeCell ref="DG639:DG640"/>
    <mergeCell ref="DH639:DH642"/>
    <mergeCell ref="DJ639:DJ640"/>
    <mergeCell ref="DL639:DL642"/>
    <mergeCell ref="DN639:DN642"/>
    <mergeCell ref="DO639:DO640"/>
    <mergeCell ref="DP639:DP642"/>
    <mergeCell ref="DQ639:DQ640"/>
    <mergeCell ref="DR639:DR642"/>
    <mergeCell ref="DS639:DS642"/>
    <mergeCell ref="DU639:DU642"/>
    <mergeCell ref="FO639:FO640"/>
    <mergeCell ref="FP639:FP640"/>
    <mergeCell ref="FX639:FX642"/>
    <mergeCell ref="FY639:FY642"/>
    <mergeCell ref="FZ639:FZ642"/>
    <mergeCell ref="GA639:GA642"/>
    <mergeCell ref="CO641:CO642"/>
    <mergeCell ref="CP641:CP642"/>
    <mergeCell ref="CR641:CR642"/>
    <mergeCell ref="CS641:CS642"/>
    <mergeCell ref="CT641:CT642"/>
    <mergeCell ref="DV639:DV640"/>
    <mergeCell ref="DX639:DX642"/>
    <mergeCell ref="DZ639:DZ642"/>
    <mergeCell ref="EA639:EA642"/>
    <mergeCell ref="EC639:EC642"/>
    <mergeCell ref="ED639:ED642"/>
    <mergeCell ref="EE639:EE642"/>
    <mergeCell ref="EF639:EF642"/>
    <mergeCell ref="EG639:EG642"/>
    <mergeCell ref="EH639:EH642"/>
    <mergeCell ref="EI639:EI642"/>
    <mergeCell ref="EJ639:EJ642"/>
    <mergeCell ref="EK639:EK642"/>
    <mergeCell ref="EL639:EL642"/>
    <mergeCell ref="EM639:EM642"/>
    <mergeCell ref="EN639:EN642"/>
    <mergeCell ref="EO639:EO642"/>
    <mergeCell ref="EP639:EP642"/>
    <mergeCell ref="EQ639:EQ642"/>
    <mergeCell ref="ES639:ES642"/>
    <mergeCell ref="EU639:EU640"/>
    <mergeCell ref="EV639:EV640"/>
    <mergeCell ref="EW639:EW640"/>
    <mergeCell ref="EX639:EX640"/>
    <mergeCell ref="EY639:EY640"/>
    <mergeCell ref="EZ639:EZ642"/>
    <mergeCell ref="DW639:DW642"/>
    <mergeCell ref="CU641:CU642"/>
    <mergeCell ref="CV641:CV642"/>
    <mergeCell ref="EU641:EU642"/>
    <mergeCell ref="EV641:EV642"/>
    <mergeCell ref="EW641:EW642"/>
    <mergeCell ref="EX641:EX642"/>
    <mergeCell ref="EY641:EY642"/>
    <mergeCell ref="FB641:FB642"/>
    <mergeCell ref="FI641:FI642"/>
    <mergeCell ref="FJ641:FJ642"/>
    <mergeCell ref="FK641:FK642"/>
    <mergeCell ref="FL641:FL642"/>
    <mergeCell ref="FM641:FM642"/>
    <mergeCell ref="FO641:FO642"/>
    <mergeCell ref="FP641:FP642"/>
    <mergeCell ref="AF634:AI634"/>
    <mergeCell ref="E635:AT635"/>
    <mergeCell ref="AM637:AN637"/>
    <mergeCell ref="AO637:AP637"/>
    <mergeCell ref="AQ637:AT637"/>
    <mergeCell ref="AR638:AT638"/>
    <mergeCell ref="B639:B642"/>
    <mergeCell ref="C639:D642"/>
    <mergeCell ref="E639:F639"/>
    <mergeCell ref="G639:R639"/>
    <mergeCell ref="S639:S640"/>
    <mergeCell ref="U639:AA639"/>
    <mergeCell ref="AF639:AI639"/>
    <mergeCell ref="AJ639:AJ640"/>
    <mergeCell ref="AK639:AK640"/>
    <mergeCell ref="AL639:AL640"/>
    <mergeCell ref="AM639:AN642"/>
    <mergeCell ref="AO639:AQ642"/>
    <mergeCell ref="AR639:AR642"/>
    <mergeCell ref="AS639:AS642"/>
    <mergeCell ref="AT639:AT642"/>
    <mergeCell ref="AV639:AV642"/>
    <mergeCell ref="AW639:AW642"/>
    <mergeCell ref="CM639:CM642"/>
    <mergeCell ref="CN639:CN642"/>
    <mergeCell ref="E640:F640"/>
    <mergeCell ref="G640:L640"/>
    <mergeCell ref="P640:Q640"/>
    <mergeCell ref="AF640:AI640"/>
    <mergeCell ref="E641:F641"/>
    <mergeCell ref="G641:L641"/>
    <mergeCell ref="P641:Q641"/>
    <mergeCell ref="S641:S642"/>
    <mergeCell ref="AF641:AI641"/>
    <mergeCell ref="AJ641:AJ642"/>
    <mergeCell ref="AK641:AK642"/>
    <mergeCell ref="AL641:AL642"/>
    <mergeCell ref="AM638:AN638"/>
    <mergeCell ref="AO638:AQ638"/>
    <mergeCell ref="E642:F642"/>
    <mergeCell ref="G642:L642"/>
    <mergeCell ref="P642:R642"/>
    <mergeCell ref="U642:AA642"/>
    <mergeCell ref="AF642:AI642"/>
    <mergeCell ref="B631:B634"/>
    <mergeCell ref="C631:D634"/>
    <mergeCell ref="IA631:IA634"/>
    <mergeCell ref="IB631:IB632"/>
    <mergeCell ref="IC631:IC634"/>
    <mergeCell ref="IF631:IF632"/>
    <mergeCell ref="IG631:IG634"/>
    <mergeCell ref="FB631:FB632"/>
    <mergeCell ref="FD631:FD634"/>
    <mergeCell ref="FE631:FE634"/>
    <mergeCell ref="FI631:FI632"/>
    <mergeCell ref="FJ631:FJ632"/>
    <mergeCell ref="FK631:FK632"/>
    <mergeCell ref="FL631:FL632"/>
    <mergeCell ref="FM631:FM632"/>
    <mergeCell ref="FO631:FO632"/>
    <mergeCell ref="FP631:FP632"/>
    <mergeCell ref="EA631:EA634"/>
    <mergeCell ref="EC631:EC634"/>
    <mergeCell ref="FQ631:FQ632"/>
    <mergeCell ref="FR631:FR632"/>
    <mergeCell ref="CS633:CS634"/>
    <mergeCell ref="CT633:CT634"/>
    <mergeCell ref="CU633:CU634"/>
    <mergeCell ref="CV633:CV634"/>
    <mergeCell ref="CW633:CW634"/>
    <mergeCell ref="DC633:DC634"/>
    <mergeCell ref="DD633:DD634"/>
    <mergeCell ref="DE633:DE634"/>
    <mergeCell ref="DF633:DF634"/>
    <mergeCell ref="DG633:DG634"/>
    <mergeCell ref="DK633:DK634"/>
    <mergeCell ref="DO633:DO634"/>
    <mergeCell ref="DQ633:DQ634"/>
    <mergeCell ref="DV633:DV634"/>
    <mergeCell ref="EU633:EU634"/>
    <mergeCell ref="EV633:EV634"/>
    <mergeCell ref="EW633:EW634"/>
    <mergeCell ref="EX633:EX634"/>
    <mergeCell ref="EY633:EY634"/>
    <mergeCell ref="FB633:FB634"/>
    <mergeCell ref="FI633:FI634"/>
    <mergeCell ref="FJ633:FJ634"/>
    <mergeCell ref="FK633:FK634"/>
    <mergeCell ref="FL633:FL634"/>
    <mergeCell ref="FM633:FM634"/>
    <mergeCell ref="FO633:FO634"/>
    <mergeCell ref="FP633:FP634"/>
    <mergeCell ref="FQ633:FQ634"/>
    <mergeCell ref="FR633:FR634"/>
    <mergeCell ref="FS633:FS634"/>
    <mergeCell ref="FT633:FT634"/>
    <mergeCell ref="EV631:EV632"/>
    <mergeCell ref="EW631:EW632"/>
    <mergeCell ref="EX631:EX632"/>
    <mergeCell ref="EY631:EY632"/>
    <mergeCell ref="EZ631:EZ634"/>
    <mergeCell ref="FS631:FS632"/>
    <mergeCell ref="FT631:FT632"/>
    <mergeCell ref="FW631:FW634"/>
    <mergeCell ref="FX631:FX634"/>
    <mergeCell ref="FY631:FY634"/>
    <mergeCell ref="FZ631:FZ634"/>
    <mergeCell ref="GA631:GA634"/>
    <mergeCell ref="GB631:GB634"/>
    <mergeCell ref="GC631:GC634"/>
    <mergeCell ref="GD631:GD634"/>
    <mergeCell ref="GG631:GG634"/>
    <mergeCell ref="HW631:HW633"/>
    <mergeCell ref="HX631:HX632"/>
    <mergeCell ref="FL639:FL640"/>
    <mergeCell ref="FM639:FM640"/>
    <mergeCell ref="FQ639:FQ640"/>
    <mergeCell ref="FR639:FR640"/>
    <mergeCell ref="FS639:FS640"/>
    <mergeCell ref="FT639:FT640"/>
    <mergeCell ref="FB639:FB640"/>
    <mergeCell ref="FD639:FD642"/>
    <mergeCell ref="FE639:FE642"/>
    <mergeCell ref="FI639:FI640"/>
    <mergeCell ref="FJ639:FJ640"/>
    <mergeCell ref="FK639:FK640"/>
    <mergeCell ref="FW639:FW642"/>
    <mergeCell ref="FS641:FS642"/>
    <mergeCell ref="FT641:FT642"/>
    <mergeCell ref="FU641:FU642"/>
    <mergeCell ref="HX641:HX642"/>
    <mergeCell ref="DC628:DC629"/>
    <mergeCell ref="DD628:DD629"/>
    <mergeCell ref="DE628:DE629"/>
    <mergeCell ref="DF628:DF629"/>
    <mergeCell ref="DG628:DG629"/>
    <mergeCell ref="IH631:IH632"/>
    <mergeCell ref="II631:II634"/>
    <mergeCell ref="E632:F632"/>
    <mergeCell ref="G632:L632"/>
    <mergeCell ref="P632:Q632"/>
    <mergeCell ref="AF632:AI632"/>
    <mergeCell ref="GI632:GI633"/>
    <mergeCell ref="GJ632:GJ633"/>
    <mergeCell ref="GL632:GL633"/>
    <mergeCell ref="GM632:GM633"/>
    <mergeCell ref="HC632:HC633"/>
    <mergeCell ref="HD632:HD633"/>
    <mergeCell ref="HE632:HE633"/>
    <mergeCell ref="HF632:HF633"/>
    <mergeCell ref="HG632:HG633"/>
    <mergeCell ref="HH632:HH633"/>
    <mergeCell ref="HI632:HI633"/>
    <mergeCell ref="HJ632:HJ633"/>
    <mergeCell ref="HK632:HK633"/>
    <mergeCell ref="HL632:HL633"/>
    <mergeCell ref="HM632:HM633"/>
    <mergeCell ref="HN632:HN633"/>
    <mergeCell ref="HO632:HO633"/>
    <mergeCell ref="HP632:HP633"/>
    <mergeCell ref="HQ632:HQ633"/>
    <mergeCell ref="HR632:HR633"/>
    <mergeCell ref="HS632:HS633"/>
    <mergeCell ref="HT632:HT633"/>
    <mergeCell ref="HU632:HU633"/>
    <mergeCell ref="HY632:HY633"/>
    <mergeCell ref="E633:F633"/>
    <mergeCell ref="G633:L633"/>
    <mergeCell ref="P633:Q633"/>
    <mergeCell ref="S633:S634"/>
    <mergeCell ref="AF633:AI633"/>
    <mergeCell ref="AJ633:AJ634"/>
    <mergeCell ref="AK633:AK634"/>
    <mergeCell ref="AL633:AL634"/>
    <mergeCell ref="CO633:CO634"/>
    <mergeCell ref="IF633:IF634"/>
    <mergeCell ref="IH633:IH634"/>
    <mergeCell ref="CP633:CP634"/>
    <mergeCell ref="CR633:CR634"/>
    <mergeCell ref="ED631:ED634"/>
    <mergeCell ref="EE631:EE634"/>
    <mergeCell ref="EF631:EF634"/>
    <mergeCell ref="EG631:EG634"/>
    <mergeCell ref="EH631:EH634"/>
    <mergeCell ref="EI631:EI634"/>
    <mergeCell ref="EJ631:EJ634"/>
    <mergeCell ref="EK631:EK634"/>
    <mergeCell ref="EL631:EL634"/>
    <mergeCell ref="EM631:EM634"/>
    <mergeCell ref="EN631:EN634"/>
    <mergeCell ref="EO631:EO634"/>
    <mergeCell ref="EP631:EP634"/>
    <mergeCell ref="EQ631:EQ634"/>
    <mergeCell ref="ES631:ES634"/>
    <mergeCell ref="EU631:EU632"/>
    <mergeCell ref="EA626:EA629"/>
    <mergeCell ref="FP626:FP627"/>
    <mergeCell ref="FQ626:FQ627"/>
    <mergeCell ref="FY626:FY629"/>
    <mergeCell ref="FZ626:FZ629"/>
    <mergeCell ref="IB628:IB629"/>
    <mergeCell ref="IF628:IF629"/>
    <mergeCell ref="IH628:IH629"/>
    <mergeCell ref="E629:F629"/>
    <mergeCell ref="G629:L629"/>
    <mergeCell ref="P629:R629"/>
    <mergeCell ref="U629:AA629"/>
    <mergeCell ref="AF629:AI629"/>
    <mergeCell ref="E630:AT630"/>
    <mergeCell ref="E631:F631"/>
    <mergeCell ref="G631:R631"/>
    <mergeCell ref="S631:S632"/>
    <mergeCell ref="U631:AA631"/>
    <mergeCell ref="AF631:AI631"/>
    <mergeCell ref="AJ631:AJ632"/>
    <mergeCell ref="AK631:AK632"/>
    <mergeCell ref="AL631:AL632"/>
    <mergeCell ref="AM631:AN634"/>
    <mergeCell ref="AO631:AQ634"/>
    <mergeCell ref="AR631:AR634"/>
    <mergeCell ref="AS631:AS634"/>
    <mergeCell ref="AT631:AT634"/>
    <mergeCell ref="AV631:AV634"/>
    <mergeCell ref="AW631:AW634"/>
    <mergeCell ref="CM631:CM634"/>
    <mergeCell ref="CN631:CN634"/>
    <mergeCell ref="CO631:CO632"/>
    <mergeCell ref="CP631:CP632"/>
    <mergeCell ref="CR631:CR632"/>
    <mergeCell ref="CS631:CS632"/>
    <mergeCell ref="CT631:CT632"/>
    <mergeCell ref="CU631:CU632"/>
    <mergeCell ref="CV631:CV632"/>
    <mergeCell ref="CW631:CW632"/>
    <mergeCell ref="CX631:CX634"/>
    <mergeCell ref="CY631:CY634"/>
    <mergeCell ref="CZ631:CZ634"/>
    <mergeCell ref="DA631:DA634"/>
    <mergeCell ref="DC631:DC632"/>
    <mergeCell ref="DD631:DD632"/>
    <mergeCell ref="DE631:DE632"/>
    <mergeCell ref="DF631:DF632"/>
    <mergeCell ref="DG631:DG632"/>
    <mergeCell ref="DH631:DH634"/>
    <mergeCell ref="DJ631:DJ632"/>
    <mergeCell ref="DL631:DL634"/>
    <mergeCell ref="DN631:DN634"/>
    <mergeCell ref="DO631:DO632"/>
    <mergeCell ref="DP631:DP634"/>
    <mergeCell ref="DQ631:DQ632"/>
    <mergeCell ref="DR631:DR634"/>
    <mergeCell ref="DS631:DS634"/>
    <mergeCell ref="DU631:DU634"/>
    <mergeCell ref="DV631:DV632"/>
    <mergeCell ref="DW631:DW634"/>
    <mergeCell ref="DX631:DX634"/>
    <mergeCell ref="DZ631:DZ634"/>
    <mergeCell ref="EW628:EW629"/>
    <mergeCell ref="EX628:EX629"/>
    <mergeCell ref="EY628:EY629"/>
    <mergeCell ref="FB628:FB629"/>
    <mergeCell ref="FI628:FI629"/>
    <mergeCell ref="FJ628:FJ629"/>
    <mergeCell ref="FK628:FK629"/>
    <mergeCell ref="FL628:FL629"/>
    <mergeCell ref="FM628:FM629"/>
    <mergeCell ref="FO628:FO629"/>
    <mergeCell ref="FP628:FP629"/>
    <mergeCell ref="FQ628:FQ629"/>
    <mergeCell ref="FR628:FR629"/>
    <mergeCell ref="FS628:FS629"/>
    <mergeCell ref="FT628:FT629"/>
    <mergeCell ref="HX628:HX629"/>
    <mergeCell ref="EC626:EC629"/>
    <mergeCell ref="ED626:ED629"/>
    <mergeCell ref="EE626:EE629"/>
    <mergeCell ref="EF626:EF629"/>
    <mergeCell ref="EG626:EG629"/>
    <mergeCell ref="EH626:EH629"/>
    <mergeCell ref="EI626:EI629"/>
    <mergeCell ref="EJ626:EJ629"/>
    <mergeCell ref="EK626:EK629"/>
    <mergeCell ref="EL626:EL629"/>
    <mergeCell ref="EM626:EM629"/>
    <mergeCell ref="EN626:EN629"/>
    <mergeCell ref="EO626:EO629"/>
    <mergeCell ref="EP626:EP629"/>
    <mergeCell ref="EQ626:EQ629"/>
    <mergeCell ref="ES626:ES629"/>
    <mergeCell ref="EU626:EU627"/>
    <mergeCell ref="EV626:EV627"/>
    <mergeCell ref="EW626:EW627"/>
    <mergeCell ref="EX626:EX627"/>
    <mergeCell ref="EY626:EY627"/>
    <mergeCell ref="EZ626:EZ629"/>
    <mergeCell ref="FB626:FB627"/>
    <mergeCell ref="FD626:FD629"/>
    <mergeCell ref="FE626:FE629"/>
    <mergeCell ref="FI626:FI627"/>
    <mergeCell ref="FJ626:FJ627"/>
    <mergeCell ref="FK626:FK627"/>
    <mergeCell ref="FL626:FL627"/>
    <mergeCell ref="FM626:FM627"/>
    <mergeCell ref="FO626:FO627"/>
    <mergeCell ref="GA626:GA629"/>
    <mergeCell ref="GB626:GB629"/>
    <mergeCell ref="GC626:GC629"/>
    <mergeCell ref="GD626:GD629"/>
    <mergeCell ref="GG626:GG629"/>
    <mergeCell ref="HW626:HW628"/>
    <mergeCell ref="DG626:DG627"/>
    <mergeCell ref="DH626:DH629"/>
    <mergeCell ref="DJ626:DJ627"/>
    <mergeCell ref="DL626:DL629"/>
    <mergeCell ref="DN626:DN629"/>
    <mergeCell ref="DO626:DO627"/>
    <mergeCell ref="DP626:DP629"/>
    <mergeCell ref="DQ626:DQ627"/>
    <mergeCell ref="DR626:DR629"/>
    <mergeCell ref="DS626:DS629"/>
    <mergeCell ref="DU626:DU629"/>
    <mergeCell ref="DV626:DV627"/>
    <mergeCell ref="DW626:DW629"/>
    <mergeCell ref="DX626:DX629"/>
    <mergeCell ref="FR626:FR627"/>
    <mergeCell ref="FS626:FS627"/>
    <mergeCell ref="FT626:FT627"/>
    <mergeCell ref="FW626:FW629"/>
    <mergeCell ref="FX626:FX629"/>
    <mergeCell ref="IA626:IA629"/>
    <mergeCell ref="IB626:IB627"/>
    <mergeCell ref="IC626:IC629"/>
    <mergeCell ref="IF626:IF627"/>
    <mergeCell ref="IG626:IG629"/>
    <mergeCell ref="IH626:IH627"/>
    <mergeCell ref="II626:II629"/>
    <mergeCell ref="E627:F627"/>
    <mergeCell ref="G627:L627"/>
    <mergeCell ref="P627:Q627"/>
    <mergeCell ref="AF627:AI627"/>
    <mergeCell ref="GI627:GI628"/>
    <mergeCell ref="GJ627:GJ628"/>
    <mergeCell ref="GL627:GL628"/>
    <mergeCell ref="GM627:GM628"/>
    <mergeCell ref="HC627:HC628"/>
    <mergeCell ref="HD627:HD628"/>
    <mergeCell ref="HE627:HE628"/>
    <mergeCell ref="HF627:HF628"/>
    <mergeCell ref="HG627:HG628"/>
    <mergeCell ref="HH627:HH628"/>
    <mergeCell ref="HI627:HI628"/>
    <mergeCell ref="HJ627:HJ628"/>
    <mergeCell ref="HK627:HK628"/>
    <mergeCell ref="HL627:HL628"/>
    <mergeCell ref="HM627:HM628"/>
    <mergeCell ref="HN627:HN628"/>
    <mergeCell ref="HO627:HO628"/>
    <mergeCell ref="HP627:HP628"/>
    <mergeCell ref="HQ627:HQ628"/>
    <mergeCell ref="HR627:HR628"/>
    <mergeCell ref="HS627:HS628"/>
    <mergeCell ref="HT627:HT628"/>
    <mergeCell ref="HU627:HU628"/>
    <mergeCell ref="HY627:HY628"/>
    <mergeCell ref="E628:F628"/>
    <mergeCell ref="G628:L628"/>
    <mergeCell ref="P628:Q628"/>
    <mergeCell ref="DZ626:DZ629"/>
    <mergeCell ref="DK628:DK629"/>
    <mergeCell ref="DO628:DO629"/>
    <mergeCell ref="DQ628:DQ629"/>
    <mergeCell ref="DV628:DV629"/>
    <mergeCell ref="EU628:EU629"/>
    <mergeCell ref="EV628:EV629"/>
    <mergeCell ref="E625:AT625"/>
    <mergeCell ref="B626:B629"/>
    <mergeCell ref="C626:D629"/>
    <mergeCell ref="E626:F626"/>
    <mergeCell ref="G626:R626"/>
    <mergeCell ref="S626:S627"/>
    <mergeCell ref="U626:AA626"/>
    <mergeCell ref="AF626:AI626"/>
    <mergeCell ref="AJ626:AJ627"/>
    <mergeCell ref="AK626:AK627"/>
    <mergeCell ref="AL626:AL627"/>
    <mergeCell ref="AM626:AN629"/>
    <mergeCell ref="AO626:AQ629"/>
    <mergeCell ref="AR626:AR629"/>
    <mergeCell ref="AS626:AS629"/>
    <mergeCell ref="AT626:AT629"/>
    <mergeCell ref="AV626:AV629"/>
    <mergeCell ref="AW626:AW629"/>
    <mergeCell ref="CM626:CM629"/>
    <mergeCell ref="CN626:CN629"/>
    <mergeCell ref="CO626:CO627"/>
    <mergeCell ref="CP626:CP627"/>
    <mergeCell ref="CR626:CR627"/>
    <mergeCell ref="CS626:CS627"/>
    <mergeCell ref="CT626:CT627"/>
    <mergeCell ref="CU626:CU627"/>
    <mergeCell ref="CV626:CV627"/>
    <mergeCell ref="CW626:CW627"/>
    <mergeCell ref="CX626:CX629"/>
    <mergeCell ref="CY626:CY629"/>
    <mergeCell ref="S628:S629"/>
    <mergeCell ref="AF628:AI628"/>
    <mergeCell ref="AJ628:AJ629"/>
    <mergeCell ref="AK628:AK629"/>
    <mergeCell ref="AL628:AL629"/>
    <mergeCell ref="CO628:CO629"/>
    <mergeCell ref="CP628:CP629"/>
    <mergeCell ref="CR628:CR629"/>
    <mergeCell ref="CS628:CS629"/>
    <mergeCell ref="CT628:CT629"/>
    <mergeCell ref="CU628:CU629"/>
    <mergeCell ref="CV628:CV629"/>
    <mergeCell ref="CW628:CW629"/>
    <mergeCell ref="HM622:HM623"/>
    <mergeCell ref="HN622:HN623"/>
    <mergeCell ref="HO622:HO623"/>
    <mergeCell ref="HP622:HP623"/>
    <mergeCell ref="HQ622:HQ623"/>
    <mergeCell ref="HR622:HR623"/>
    <mergeCell ref="HS622:HS623"/>
    <mergeCell ref="HT622:HT623"/>
    <mergeCell ref="HU622:HU623"/>
    <mergeCell ref="HY622:HY623"/>
    <mergeCell ref="E623:F623"/>
    <mergeCell ref="G623:L623"/>
    <mergeCell ref="P623:Q623"/>
    <mergeCell ref="S623:S624"/>
    <mergeCell ref="AF623:AI623"/>
    <mergeCell ref="AJ623:AJ624"/>
    <mergeCell ref="AK623:AK624"/>
    <mergeCell ref="AL623:AL624"/>
    <mergeCell ref="CO623:CO624"/>
    <mergeCell ref="CP623:CP624"/>
    <mergeCell ref="CR623:CR624"/>
    <mergeCell ref="CS623:CS624"/>
    <mergeCell ref="CT623:CT624"/>
    <mergeCell ref="CU623:CU624"/>
    <mergeCell ref="HX623:HX624"/>
    <mergeCell ref="IB623:IB624"/>
    <mergeCell ref="IF623:IF624"/>
    <mergeCell ref="IH623:IH624"/>
    <mergeCell ref="E624:F624"/>
    <mergeCell ref="G624:L624"/>
    <mergeCell ref="P624:R624"/>
    <mergeCell ref="U624:AA624"/>
    <mergeCell ref="AF624:AI624"/>
    <mergeCell ref="EJ621:EJ624"/>
    <mergeCell ref="EK621:EK624"/>
    <mergeCell ref="EL621:EL624"/>
    <mergeCell ref="EM621:EM624"/>
    <mergeCell ref="EN621:EN624"/>
    <mergeCell ref="EO621:EO624"/>
    <mergeCell ref="EP621:EP624"/>
    <mergeCell ref="EQ621:EQ624"/>
    <mergeCell ref="ES621:ES624"/>
    <mergeCell ref="EU621:EU622"/>
    <mergeCell ref="EV621:EV622"/>
    <mergeCell ref="EW621:EW622"/>
    <mergeCell ref="EX621:EX622"/>
    <mergeCell ref="EY621:EY622"/>
    <mergeCell ref="EZ621:EZ624"/>
    <mergeCell ref="FB621:FB622"/>
    <mergeCell ref="FD621:FD624"/>
    <mergeCell ref="FE621:FE624"/>
    <mergeCell ref="FI621:FI622"/>
    <mergeCell ref="FJ621:FJ622"/>
    <mergeCell ref="FK621:FK622"/>
    <mergeCell ref="FL621:FL622"/>
    <mergeCell ref="FM621:FM622"/>
    <mergeCell ref="FO621:FO622"/>
    <mergeCell ref="FP621:FP622"/>
    <mergeCell ref="FQ621:FQ622"/>
    <mergeCell ref="FR621:FR622"/>
    <mergeCell ref="FS621:FS622"/>
    <mergeCell ref="FT621:FT622"/>
    <mergeCell ref="FW621:FW624"/>
    <mergeCell ref="FZ621:FZ624"/>
    <mergeCell ref="FX621:FX624"/>
    <mergeCell ref="FY621:FY624"/>
    <mergeCell ref="EU623:EU624"/>
    <mergeCell ref="EV623:EV624"/>
    <mergeCell ref="EW623:EW624"/>
    <mergeCell ref="EX623:EX624"/>
    <mergeCell ref="EY623:EY624"/>
    <mergeCell ref="FB623:FB624"/>
    <mergeCell ref="FI623:FI624"/>
    <mergeCell ref="FJ623:FJ624"/>
    <mergeCell ref="FK623:FK624"/>
    <mergeCell ref="FL623:FL624"/>
    <mergeCell ref="FM623:FM624"/>
    <mergeCell ref="FO623:FO624"/>
    <mergeCell ref="FP623:FP624"/>
    <mergeCell ref="FQ623:FQ624"/>
    <mergeCell ref="FR623:FR624"/>
    <mergeCell ref="FS623:FS624"/>
    <mergeCell ref="FT623:FT624"/>
    <mergeCell ref="EI621:EI624"/>
    <mergeCell ref="FU626:FU627"/>
    <mergeCell ref="CZ621:CZ624"/>
    <mergeCell ref="DA621:DA624"/>
    <mergeCell ref="DC621:DC622"/>
    <mergeCell ref="DD621:DD622"/>
    <mergeCell ref="DE621:DE622"/>
    <mergeCell ref="DF621:DF622"/>
    <mergeCell ref="DG621:DG622"/>
    <mergeCell ref="DH621:DH624"/>
    <mergeCell ref="DJ621:DJ622"/>
    <mergeCell ref="DL621:DL624"/>
    <mergeCell ref="DN621:DN624"/>
    <mergeCell ref="DO621:DO622"/>
    <mergeCell ref="DP621:DP624"/>
    <mergeCell ref="DQ621:DQ622"/>
    <mergeCell ref="DR621:DR624"/>
    <mergeCell ref="DS621:DS624"/>
    <mergeCell ref="DU621:DU624"/>
    <mergeCell ref="DV621:DV622"/>
    <mergeCell ref="DW621:DW624"/>
    <mergeCell ref="DX621:DX624"/>
    <mergeCell ref="DZ621:DZ624"/>
    <mergeCell ref="EA621:EA624"/>
    <mergeCell ref="EC621:EC624"/>
    <mergeCell ref="ED621:ED624"/>
    <mergeCell ref="EE621:EE624"/>
    <mergeCell ref="EF621:EF624"/>
    <mergeCell ref="EG621:EG624"/>
    <mergeCell ref="EH621:EH624"/>
    <mergeCell ref="DC623:DC624"/>
    <mergeCell ref="DD623:DD624"/>
    <mergeCell ref="DE623:DE624"/>
    <mergeCell ref="DF623:DF624"/>
    <mergeCell ref="DG623:DG624"/>
    <mergeCell ref="DK623:DK624"/>
    <mergeCell ref="DO623:DO624"/>
    <mergeCell ref="DQ623:DQ624"/>
    <mergeCell ref="DV623:DV624"/>
    <mergeCell ref="CZ626:CZ629"/>
    <mergeCell ref="DA626:DA629"/>
    <mergeCell ref="DC626:DC627"/>
    <mergeCell ref="DD626:DD627"/>
    <mergeCell ref="DE626:DE627"/>
    <mergeCell ref="DF626:DF627"/>
    <mergeCell ref="E620:AT620"/>
    <mergeCell ref="B621:B624"/>
    <mergeCell ref="C621:D624"/>
    <mergeCell ref="E621:F621"/>
    <mergeCell ref="G621:R621"/>
    <mergeCell ref="S621:S622"/>
    <mergeCell ref="U621:AA621"/>
    <mergeCell ref="AF621:AI621"/>
    <mergeCell ref="AJ621:AJ622"/>
    <mergeCell ref="AK621:AK622"/>
    <mergeCell ref="AL621:AL622"/>
    <mergeCell ref="AM621:AN624"/>
    <mergeCell ref="AO621:AQ624"/>
    <mergeCell ref="AR621:AR624"/>
    <mergeCell ref="AS621:AS624"/>
    <mergeCell ref="AT621:AT624"/>
    <mergeCell ref="AV621:AV624"/>
    <mergeCell ref="AW621:AW624"/>
    <mergeCell ref="CM621:CM624"/>
    <mergeCell ref="CN621:CN624"/>
    <mergeCell ref="CO621:CO622"/>
    <mergeCell ref="CP621:CP622"/>
    <mergeCell ref="CR621:CR622"/>
    <mergeCell ref="CS621:CS622"/>
    <mergeCell ref="CT621:CT622"/>
    <mergeCell ref="CU621:CU622"/>
    <mergeCell ref="CV621:CV622"/>
    <mergeCell ref="CW621:CW622"/>
    <mergeCell ref="CX621:CX624"/>
    <mergeCell ref="CY621:CY624"/>
    <mergeCell ref="CV623:CV624"/>
    <mergeCell ref="CW623:CW624"/>
    <mergeCell ref="E622:F622"/>
    <mergeCell ref="G622:L622"/>
    <mergeCell ref="P622:Q622"/>
    <mergeCell ref="AF622:AI622"/>
    <mergeCell ref="EN616:EN619"/>
    <mergeCell ref="EO616:EO619"/>
    <mergeCell ref="EP616:EP619"/>
    <mergeCell ref="EQ616:EQ619"/>
    <mergeCell ref="ES616:ES619"/>
    <mergeCell ref="EU616:EU617"/>
    <mergeCell ref="EV616:EV617"/>
    <mergeCell ref="EW616:EW617"/>
    <mergeCell ref="EX616:EX617"/>
    <mergeCell ref="IB618:IB619"/>
    <mergeCell ref="IF618:IF619"/>
    <mergeCell ref="IH618:IH619"/>
    <mergeCell ref="FW616:FW619"/>
    <mergeCell ref="FX616:FX619"/>
    <mergeCell ref="FY616:FY619"/>
    <mergeCell ref="FZ616:FZ619"/>
    <mergeCell ref="GA616:GA619"/>
    <mergeCell ref="GB616:GB619"/>
    <mergeCell ref="GC616:GC619"/>
    <mergeCell ref="GD616:GD619"/>
    <mergeCell ref="GG616:GG619"/>
    <mergeCell ref="HW616:HW618"/>
    <mergeCell ref="HX616:HX617"/>
    <mergeCell ref="IA616:IA619"/>
    <mergeCell ref="IB616:IB617"/>
    <mergeCell ref="IC616:IC619"/>
    <mergeCell ref="IF616:IF617"/>
    <mergeCell ref="IG616:IG619"/>
    <mergeCell ref="IH616:IH617"/>
    <mergeCell ref="EY616:EY617"/>
    <mergeCell ref="EZ616:EZ619"/>
    <mergeCell ref="FB616:FB617"/>
    <mergeCell ref="FD616:FD619"/>
    <mergeCell ref="FE616:FE619"/>
    <mergeCell ref="FI616:FI617"/>
    <mergeCell ref="FJ616:FJ617"/>
    <mergeCell ref="FK616:FK617"/>
    <mergeCell ref="FL616:FL617"/>
    <mergeCell ref="FM616:FM617"/>
    <mergeCell ref="FO616:FO617"/>
    <mergeCell ref="FP616:FP617"/>
    <mergeCell ref="FQ616:FQ617"/>
    <mergeCell ref="FR616:FR617"/>
    <mergeCell ref="FQ618:FQ619"/>
    <mergeCell ref="FR618:FR619"/>
    <mergeCell ref="FS618:FS619"/>
    <mergeCell ref="FT618:FT619"/>
    <mergeCell ref="HX618:HX619"/>
    <mergeCell ref="DC616:DC617"/>
    <mergeCell ref="DD616:DD617"/>
    <mergeCell ref="DE616:DE617"/>
    <mergeCell ref="DF616:DF617"/>
    <mergeCell ref="DG616:DG617"/>
    <mergeCell ref="DH616:DH619"/>
    <mergeCell ref="DJ616:DJ617"/>
    <mergeCell ref="DL616:DL619"/>
    <mergeCell ref="DN616:DN619"/>
    <mergeCell ref="DO616:DO617"/>
    <mergeCell ref="DP616:DP619"/>
    <mergeCell ref="DQ616:DQ617"/>
    <mergeCell ref="DR616:DR619"/>
    <mergeCell ref="DS616:DS619"/>
    <mergeCell ref="DU616:DU619"/>
    <mergeCell ref="DV616:DV617"/>
    <mergeCell ref="DW616:DW619"/>
    <mergeCell ref="DX616:DX619"/>
    <mergeCell ref="DZ616:DZ619"/>
    <mergeCell ref="EA616:EA619"/>
    <mergeCell ref="EC616:EC619"/>
    <mergeCell ref="CU618:CU619"/>
    <mergeCell ref="CV618:CV619"/>
    <mergeCell ref="II616:II619"/>
    <mergeCell ref="E617:F617"/>
    <mergeCell ref="G617:L617"/>
    <mergeCell ref="P617:Q617"/>
    <mergeCell ref="AF617:AI617"/>
    <mergeCell ref="GI617:GI618"/>
    <mergeCell ref="GJ617:GJ618"/>
    <mergeCell ref="GL617:GL618"/>
    <mergeCell ref="GM617:GM618"/>
    <mergeCell ref="HC617:HC618"/>
    <mergeCell ref="HD617:HD618"/>
    <mergeCell ref="HE617:HE618"/>
    <mergeCell ref="HF617:HF618"/>
    <mergeCell ref="HG617:HG618"/>
    <mergeCell ref="HH617:HH618"/>
    <mergeCell ref="HI617:HI618"/>
    <mergeCell ref="HJ617:HJ618"/>
    <mergeCell ref="HK617:HK618"/>
    <mergeCell ref="HL617:HL618"/>
    <mergeCell ref="HM617:HM618"/>
    <mergeCell ref="HN617:HN618"/>
    <mergeCell ref="HO617:HO618"/>
    <mergeCell ref="HP617:HP618"/>
    <mergeCell ref="HQ617:HQ618"/>
    <mergeCell ref="HR617:HR618"/>
    <mergeCell ref="HS617:HS618"/>
    <mergeCell ref="HT617:HT618"/>
    <mergeCell ref="HU617:HU618"/>
    <mergeCell ref="HY617:HY618"/>
    <mergeCell ref="E618:F618"/>
    <mergeCell ref="G618:L618"/>
    <mergeCell ref="P618:Q618"/>
    <mergeCell ref="S618:S619"/>
    <mergeCell ref="EF616:EF619"/>
    <mergeCell ref="EG616:EG619"/>
    <mergeCell ref="EH616:EH619"/>
    <mergeCell ref="EI616:EI619"/>
    <mergeCell ref="EJ616:EJ619"/>
    <mergeCell ref="EK616:EK619"/>
    <mergeCell ref="EL616:EL619"/>
    <mergeCell ref="EM616:EM619"/>
    <mergeCell ref="FU613:FU614"/>
    <mergeCell ref="G614:L614"/>
    <mergeCell ref="P614:R614"/>
    <mergeCell ref="U614:AA614"/>
    <mergeCell ref="AF614:AI614"/>
    <mergeCell ref="E615:AT615"/>
    <mergeCell ref="B616:B619"/>
    <mergeCell ref="C616:D619"/>
    <mergeCell ref="E616:F616"/>
    <mergeCell ref="G616:R616"/>
    <mergeCell ref="S616:S617"/>
    <mergeCell ref="U616:AA616"/>
    <mergeCell ref="AF616:AI616"/>
    <mergeCell ref="AJ616:AJ617"/>
    <mergeCell ref="AK616:AK617"/>
    <mergeCell ref="AL616:AL617"/>
    <mergeCell ref="AM616:AN619"/>
    <mergeCell ref="AO616:AQ619"/>
    <mergeCell ref="AR616:AR619"/>
    <mergeCell ref="AS616:AS619"/>
    <mergeCell ref="AT616:AT619"/>
    <mergeCell ref="AV616:AV619"/>
    <mergeCell ref="AW616:AW619"/>
    <mergeCell ref="CM616:CM619"/>
    <mergeCell ref="CN616:CN619"/>
    <mergeCell ref="CO616:CO617"/>
    <mergeCell ref="CP616:CP617"/>
    <mergeCell ref="CR616:CR617"/>
    <mergeCell ref="CS616:CS617"/>
    <mergeCell ref="CT616:CT617"/>
    <mergeCell ref="CU616:CU617"/>
    <mergeCell ref="AF618:AI618"/>
    <mergeCell ref="AJ618:AJ619"/>
    <mergeCell ref="AK618:AK619"/>
    <mergeCell ref="AL618:AL619"/>
    <mergeCell ref="CO618:CO619"/>
    <mergeCell ref="CP618:CP619"/>
    <mergeCell ref="CR618:CR619"/>
    <mergeCell ref="CS618:CS619"/>
    <mergeCell ref="CT618:CT619"/>
    <mergeCell ref="E619:F619"/>
    <mergeCell ref="G619:L619"/>
    <mergeCell ref="P619:R619"/>
    <mergeCell ref="U619:AA619"/>
    <mergeCell ref="AF619:AI619"/>
    <mergeCell ref="CR613:CR614"/>
    <mergeCell ref="CS613:CS614"/>
    <mergeCell ref="CV616:CV617"/>
    <mergeCell ref="CW616:CW617"/>
    <mergeCell ref="CX616:CX619"/>
    <mergeCell ref="CY616:CY619"/>
    <mergeCell ref="CZ616:CZ619"/>
    <mergeCell ref="DA616:DA619"/>
    <mergeCell ref="AK613:AK614"/>
    <mergeCell ref="AL613:AL614"/>
    <mergeCell ref="CO613:CO614"/>
    <mergeCell ref="CP613:CP614"/>
    <mergeCell ref="DZ611:DZ614"/>
    <mergeCell ref="FM611:FM612"/>
    <mergeCell ref="FO611:FO612"/>
    <mergeCell ref="FP611:FP612"/>
    <mergeCell ref="FQ611:FQ612"/>
    <mergeCell ref="EC611:EC614"/>
    <mergeCell ref="ED611:ED614"/>
    <mergeCell ref="IH613:IH614"/>
    <mergeCell ref="E614:F614"/>
    <mergeCell ref="ED616:ED619"/>
    <mergeCell ref="EE616:EE619"/>
    <mergeCell ref="CT613:CT614"/>
    <mergeCell ref="CU613:CU614"/>
    <mergeCell ref="CV613:CV614"/>
    <mergeCell ref="CW613:CW614"/>
    <mergeCell ref="DC613:DC614"/>
    <mergeCell ref="DD613:DD614"/>
    <mergeCell ref="DE613:DE614"/>
    <mergeCell ref="DF613:DF614"/>
    <mergeCell ref="DG613:DG614"/>
    <mergeCell ref="DK613:DK614"/>
    <mergeCell ref="DO613:DO614"/>
    <mergeCell ref="DQ613:DQ614"/>
    <mergeCell ref="DV613:DV614"/>
    <mergeCell ref="EU613:EU614"/>
    <mergeCell ref="EV613:EV614"/>
    <mergeCell ref="EW613:EW614"/>
    <mergeCell ref="EX613:EX614"/>
    <mergeCell ref="EY613:EY614"/>
    <mergeCell ref="FB613:FB614"/>
    <mergeCell ref="FI613:FI614"/>
    <mergeCell ref="FJ613:FJ614"/>
    <mergeCell ref="FK613:FK614"/>
    <mergeCell ref="FL613:FL614"/>
    <mergeCell ref="FM613:FM614"/>
    <mergeCell ref="FO613:FO614"/>
    <mergeCell ref="FP613:FP614"/>
    <mergeCell ref="FQ613:FQ614"/>
    <mergeCell ref="FR613:FR614"/>
    <mergeCell ref="FS613:FS614"/>
    <mergeCell ref="FT613:FT614"/>
    <mergeCell ref="HX613:HX614"/>
    <mergeCell ref="FS616:FS617"/>
    <mergeCell ref="FT616:FT617"/>
    <mergeCell ref="CW618:CW619"/>
    <mergeCell ref="DC618:DC619"/>
    <mergeCell ref="DD618:DD619"/>
    <mergeCell ref="DE618:DE619"/>
    <mergeCell ref="DF618:DF619"/>
    <mergeCell ref="DG618:DG619"/>
    <mergeCell ref="DK618:DK619"/>
    <mergeCell ref="DO618:DO619"/>
    <mergeCell ref="DQ618:DQ619"/>
    <mergeCell ref="DV618:DV619"/>
    <mergeCell ref="EU618:EU619"/>
    <mergeCell ref="EV618:EV619"/>
    <mergeCell ref="EW618:EW619"/>
    <mergeCell ref="EX618:EX619"/>
    <mergeCell ref="EY618:EY619"/>
    <mergeCell ref="FB618:FB619"/>
    <mergeCell ref="FI618:FI619"/>
    <mergeCell ref="FJ618:FJ619"/>
    <mergeCell ref="FK618:FK619"/>
    <mergeCell ref="FL618:FL619"/>
    <mergeCell ref="FM618:FM619"/>
    <mergeCell ref="FO618:FO619"/>
    <mergeCell ref="FP618:FP619"/>
    <mergeCell ref="DU611:DU614"/>
    <mergeCell ref="DV611:DV612"/>
    <mergeCell ref="DW611:DW614"/>
    <mergeCell ref="DX611:DX614"/>
    <mergeCell ref="FT611:FT612"/>
    <mergeCell ref="FW611:FW614"/>
    <mergeCell ref="FX611:FX614"/>
    <mergeCell ref="FY611:FY614"/>
    <mergeCell ref="FZ611:FZ614"/>
    <mergeCell ref="GA611:GA614"/>
    <mergeCell ref="GB611:GB614"/>
    <mergeCell ref="GC611:GC614"/>
    <mergeCell ref="GD611:GD614"/>
    <mergeCell ref="GG611:GG614"/>
    <mergeCell ref="HW611:HW613"/>
    <mergeCell ref="HX611:HX612"/>
    <mergeCell ref="IA611:IA614"/>
    <mergeCell ref="IB611:IB612"/>
    <mergeCell ref="IC611:IC614"/>
    <mergeCell ref="IF611:IF612"/>
    <mergeCell ref="IG611:IG614"/>
    <mergeCell ref="IH611:IH612"/>
    <mergeCell ref="II611:II614"/>
    <mergeCell ref="E612:F612"/>
    <mergeCell ref="G612:L612"/>
    <mergeCell ref="P612:Q612"/>
    <mergeCell ref="AF612:AI612"/>
    <mergeCell ref="GI612:GI613"/>
    <mergeCell ref="GJ612:GJ613"/>
    <mergeCell ref="GL612:GL613"/>
    <mergeCell ref="GM612:GM613"/>
    <mergeCell ref="HC612:HC613"/>
    <mergeCell ref="HD612:HD613"/>
    <mergeCell ref="HE612:HE613"/>
    <mergeCell ref="HF612:HF613"/>
    <mergeCell ref="HG612:HG613"/>
    <mergeCell ref="HH612:HH613"/>
    <mergeCell ref="HI612:HI613"/>
    <mergeCell ref="HJ612:HJ613"/>
    <mergeCell ref="HK612:HK613"/>
    <mergeCell ref="HL612:HL613"/>
    <mergeCell ref="HM612:HM613"/>
    <mergeCell ref="HN612:HN613"/>
    <mergeCell ref="HO612:HO613"/>
    <mergeCell ref="HP612:HP613"/>
    <mergeCell ref="HQ612:HQ613"/>
    <mergeCell ref="HR612:HR613"/>
    <mergeCell ref="HS612:HS613"/>
    <mergeCell ref="HT612:HT613"/>
    <mergeCell ref="HU612:HU613"/>
    <mergeCell ref="HY612:HY613"/>
    <mergeCell ref="E613:F613"/>
    <mergeCell ref="G613:L613"/>
    <mergeCell ref="P613:Q613"/>
    <mergeCell ref="S613:S614"/>
    <mergeCell ref="AF613:AI613"/>
    <mergeCell ref="AJ613:AJ614"/>
    <mergeCell ref="EA611:EA614"/>
    <mergeCell ref="EE611:EE614"/>
    <mergeCell ref="EF611:EF614"/>
    <mergeCell ref="EG611:EG614"/>
    <mergeCell ref="EH611:EH614"/>
    <mergeCell ref="EI611:EI614"/>
    <mergeCell ref="EJ611:EJ614"/>
    <mergeCell ref="EK611:EK614"/>
    <mergeCell ref="EL611:EL614"/>
    <mergeCell ref="EM611:EM614"/>
    <mergeCell ref="EN611:EN614"/>
    <mergeCell ref="EO611:EO614"/>
    <mergeCell ref="EP611:EP614"/>
    <mergeCell ref="EQ611:EQ614"/>
    <mergeCell ref="ES611:ES614"/>
    <mergeCell ref="EU611:EU612"/>
    <mergeCell ref="EV611:EV612"/>
    <mergeCell ref="EW611:EW612"/>
    <mergeCell ref="EX611:EX612"/>
    <mergeCell ref="EY611:EY612"/>
    <mergeCell ref="EZ611:EZ614"/>
    <mergeCell ref="FB611:FB612"/>
    <mergeCell ref="FD611:FD614"/>
    <mergeCell ref="FE611:FE614"/>
    <mergeCell ref="FI611:FI612"/>
    <mergeCell ref="FJ611:FJ612"/>
    <mergeCell ref="FK611:FK612"/>
    <mergeCell ref="FL611:FL612"/>
    <mergeCell ref="DV608:DV609"/>
    <mergeCell ref="EU608:EU609"/>
    <mergeCell ref="EV608:EV609"/>
    <mergeCell ref="EW608:EW609"/>
    <mergeCell ref="EX608:EX609"/>
    <mergeCell ref="EY608:EY609"/>
    <mergeCell ref="ED606:ED609"/>
    <mergeCell ref="EE606:EE609"/>
    <mergeCell ref="EF606:EF609"/>
    <mergeCell ref="EG606:EG609"/>
    <mergeCell ref="EH606:EH609"/>
    <mergeCell ref="EI606:EI609"/>
    <mergeCell ref="EJ606:EJ609"/>
    <mergeCell ref="EK606:EK609"/>
    <mergeCell ref="EL606:EL609"/>
    <mergeCell ref="FB608:FB609"/>
    <mergeCell ref="FI608:FI609"/>
    <mergeCell ref="FJ608:FJ609"/>
    <mergeCell ref="FK608:FK609"/>
    <mergeCell ref="FL608:FL609"/>
    <mergeCell ref="EA606:EA609"/>
    <mergeCell ref="EC606:EC609"/>
    <mergeCell ref="FJ606:FJ607"/>
    <mergeCell ref="FK606:FK607"/>
    <mergeCell ref="FL606:FL607"/>
    <mergeCell ref="FR611:FR612"/>
    <mergeCell ref="FS611:FS612"/>
    <mergeCell ref="IF608:IF609"/>
    <mergeCell ref="IH608:IH609"/>
    <mergeCell ref="E609:F609"/>
    <mergeCell ref="G609:L609"/>
    <mergeCell ref="P609:R609"/>
    <mergeCell ref="U609:AA609"/>
    <mergeCell ref="AF609:AI609"/>
    <mergeCell ref="E610:AT610"/>
    <mergeCell ref="B611:B614"/>
    <mergeCell ref="C611:D614"/>
    <mergeCell ref="E611:F611"/>
    <mergeCell ref="G611:R611"/>
    <mergeCell ref="S611:S612"/>
    <mergeCell ref="U611:AA611"/>
    <mergeCell ref="AF611:AI611"/>
    <mergeCell ref="AJ611:AJ612"/>
    <mergeCell ref="AK611:AK612"/>
    <mergeCell ref="AL611:AL612"/>
    <mergeCell ref="AM611:AN614"/>
    <mergeCell ref="AO611:AQ614"/>
    <mergeCell ref="AR611:AR614"/>
    <mergeCell ref="AS611:AS614"/>
    <mergeCell ref="AT611:AT614"/>
    <mergeCell ref="AV611:AV614"/>
    <mergeCell ref="AW611:AW614"/>
    <mergeCell ref="CM611:CM614"/>
    <mergeCell ref="CN611:CN614"/>
    <mergeCell ref="CO611:CO612"/>
    <mergeCell ref="CP611:CP612"/>
    <mergeCell ref="CR611:CR612"/>
    <mergeCell ref="CS611:CS612"/>
    <mergeCell ref="CT611:CT612"/>
    <mergeCell ref="CU611:CU612"/>
    <mergeCell ref="CV611:CV612"/>
    <mergeCell ref="CW611:CW612"/>
    <mergeCell ref="CX611:CX614"/>
    <mergeCell ref="CY611:CY614"/>
    <mergeCell ref="CZ611:CZ614"/>
    <mergeCell ref="DA611:DA614"/>
    <mergeCell ref="DC611:DC612"/>
    <mergeCell ref="DD611:DD612"/>
    <mergeCell ref="DE611:DE612"/>
    <mergeCell ref="DF611:DF612"/>
    <mergeCell ref="DG611:DG612"/>
    <mergeCell ref="DH611:DH614"/>
    <mergeCell ref="DJ611:DJ612"/>
    <mergeCell ref="DL611:DL614"/>
    <mergeCell ref="DN611:DN614"/>
    <mergeCell ref="DO611:DO612"/>
    <mergeCell ref="DP611:DP614"/>
    <mergeCell ref="DQ611:DQ612"/>
    <mergeCell ref="DR611:DR614"/>
    <mergeCell ref="DS611:DS614"/>
    <mergeCell ref="EM606:EM609"/>
    <mergeCell ref="EN606:EN609"/>
    <mergeCell ref="EO606:EO609"/>
    <mergeCell ref="EP606:EP609"/>
    <mergeCell ref="EQ606:EQ609"/>
    <mergeCell ref="ES606:ES609"/>
    <mergeCell ref="B606:B609"/>
    <mergeCell ref="C606:D609"/>
    <mergeCell ref="E606:F606"/>
    <mergeCell ref="AV606:AV609"/>
    <mergeCell ref="AW606:AW609"/>
    <mergeCell ref="CM606:CM609"/>
    <mergeCell ref="CN606:CN609"/>
    <mergeCell ref="CO606:CO607"/>
    <mergeCell ref="CP606:CP607"/>
    <mergeCell ref="CR606:CR607"/>
    <mergeCell ref="CS606:CS607"/>
    <mergeCell ref="CT606:CT607"/>
    <mergeCell ref="CU606:CU607"/>
    <mergeCell ref="CV606:CV607"/>
    <mergeCell ref="CW606:CW607"/>
    <mergeCell ref="CX606:CX609"/>
    <mergeCell ref="CY606:CY609"/>
    <mergeCell ref="CZ606:CZ609"/>
    <mergeCell ref="E607:F607"/>
    <mergeCell ref="G607:L607"/>
    <mergeCell ref="P607:Q607"/>
    <mergeCell ref="CO608:CO609"/>
    <mergeCell ref="CP608:CP609"/>
    <mergeCell ref="CR608:CR609"/>
    <mergeCell ref="CS608:CS609"/>
    <mergeCell ref="CT608:CT609"/>
    <mergeCell ref="CU608:CU609"/>
    <mergeCell ref="CV608:CV609"/>
    <mergeCell ref="CW608:CW609"/>
    <mergeCell ref="AF607:AI607"/>
    <mergeCell ref="E608:F608"/>
    <mergeCell ref="G608:L608"/>
    <mergeCell ref="P608:Q608"/>
    <mergeCell ref="S608:S609"/>
    <mergeCell ref="AF608:AI608"/>
    <mergeCell ref="AJ608:AJ609"/>
    <mergeCell ref="AK608:AK609"/>
    <mergeCell ref="AL608:AL609"/>
    <mergeCell ref="IH603:IH604"/>
    <mergeCell ref="IB603:IB604"/>
    <mergeCell ref="FT603:FT604"/>
    <mergeCell ref="HX603:HX604"/>
    <mergeCell ref="FR601:FR602"/>
    <mergeCell ref="FS601:FS602"/>
    <mergeCell ref="FT601:FT602"/>
    <mergeCell ref="FW601:FW604"/>
    <mergeCell ref="FX601:FX604"/>
    <mergeCell ref="FY601:FY604"/>
    <mergeCell ref="FZ601:FZ604"/>
    <mergeCell ref="GA601:GA604"/>
    <mergeCell ref="GB601:GB604"/>
    <mergeCell ref="GC601:GC604"/>
    <mergeCell ref="GD601:GD604"/>
    <mergeCell ref="E604:F604"/>
    <mergeCell ref="G604:L604"/>
    <mergeCell ref="P604:R604"/>
    <mergeCell ref="U604:AA604"/>
    <mergeCell ref="AF604:AI604"/>
    <mergeCell ref="E605:AT605"/>
    <mergeCell ref="DA606:DA609"/>
    <mergeCell ref="DC606:DC607"/>
    <mergeCell ref="DD606:DD607"/>
    <mergeCell ref="DE606:DE607"/>
    <mergeCell ref="DF606:DF607"/>
    <mergeCell ref="DG606:DG607"/>
    <mergeCell ref="DH606:DH609"/>
    <mergeCell ref="DJ606:DJ607"/>
    <mergeCell ref="DL606:DL609"/>
    <mergeCell ref="DN606:DN609"/>
    <mergeCell ref="DO606:DO607"/>
    <mergeCell ref="DP606:DP609"/>
    <mergeCell ref="DQ606:DQ607"/>
    <mergeCell ref="DR606:DR609"/>
    <mergeCell ref="DS606:DS609"/>
    <mergeCell ref="DU606:DU609"/>
    <mergeCell ref="DV606:DV607"/>
    <mergeCell ref="DW606:DW609"/>
    <mergeCell ref="DX606:DX609"/>
    <mergeCell ref="DZ606:DZ609"/>
    <mergeCell ref="FS606:FS607"/>
    <mergeCell ref="FT606:FT607"/>
    <mergeCell ref="IC606:IC609"/>
    <mergeCell ref="IF606:IF607"/>
    <mergeCell ref="IG606:IG609"/>
    <mergeCell ref="IH606:IH607"/>
    <mergeCell ref="GI607:GI608"/>
    <mergeCell ref="GJ607:GJ608"/>
    <mergeCell ref="EU606:EU607"/>
    <mergeCell ref="EV606:EV607"/>
    <mergeCell ref="EW606:EW607"/>
    <mergeCell ref="EX606:EX607"/>
    <mergeCell ref="EY606:EY607"/>
    <mergeCell ref="EZ606:EZ609"/>
    <mergeCell ref="FB606:FB607"/>
    <mergeCell ref="FD606:FD609"/>
    <mergeCell ref="FE606:FE609"/>
    <mergeCell ref="FI606:FI607"/>
    <mergeCell ref="HW606:HW608"/>
    <mergeCell ref="HX606:HX607"/>
    <mergeCell ref="FL603:FL604"/>
    <mergeCell ref="FM603:FM604"/>
    <mergeCell ref="FO603:FO604"/>
    <mergeCell ref="FM606:FM607"/>
    <mergeCell ref="FO606:FO607"/>
    <mergeCell ref="FP606:FP607"/>
    <mergeCell ref="IF603:IF604"/>
    <mergeCell ref="FP603:FP604"/>
    <mergeCell ref="FQ603:FQ604"/>
    <mergeCell ref="FR603:FR604"/>
    <mergeCell ref="FS603:FS604"/>
    <mergeCell ref="EQ601:EQ604"/>
    <mergeCell ref="GI602:GI603"/>
    <mergeCell ref="GJ602:GJ603"/>
    <mergeCell ref="GL602:GL603"/>
    <mergeCell ref="GM602:GM603"/>
    <mergeCell ref="HC602:HC603"/>
    <mergeCell ref="HD602:HD603"/>
    <mergeCell ref="HE602:HE603"/>
    <mergeCell ref="HF602:HF603"/>
    <mergeCell ref="HG602:HG603"/>
    <mergeCell ref="HH602:HH603"/>
    <mergeCell ref="HI602:HI603"/>
    <mergeCell ref="HJ602:HJ603"/>
    <mergeCell ref="HK602:HK603"/>
    <mergeCell ref="HL602:HL603"/>
    <mergeCell ref="HM602:HM603"/>
    <mergeCell ref="HN602:HN603"/>
    <mergeCell ref="HO602:HO603"/>
    <mergeCell ref="HP602:HP603"/>
    <mergeCell ref="HQ602:HQ603"/>
    <mergeCell ref="HR602:HR603"/>
    <mergeCell ref="HS602:HS603"/>
    <mergeCell ref="HT602:HT603"/>
    <mergeCell ref="GL607:GL608"/>
    <mergeCell ref="IB608:IB609"/>
    <mergeCell ref="GM607:GM608"/>
    <mergeCell ref="FE601:FE604"/>
    <mergeCell ref="HX608:HX609"/>
    <mergeCell ref="DC608:DC609"/>
    <mergeCell ref="DD608:DD609"/>
    <mergeCell ref="DE608:DE609"/>
    <mergeCell ref="DF608:DF609"/>
    <mergeCell ref="DG608:DG609"/>
    <mergeCell ref="DK608:DK609"/>
    <mergeCell ref="DO608:DO609"/>
    <mergeCell ref="DQ608:DQ609"/>
    <mergeCell ref="FW606:FW609"/>
    <mergeCell ref="FX606:FX609"/>
    <mergeCell ref="FY606:FY609"/>
    <mergeCell ref="FZ606:FZ609"/>
    <mergeCell ref="GA606:GA609"/>
    <mergeCell ref="GB606:GB609"/>
    <mergeCell ref="GC606:GC609"/>
    <mergeCell ref="GD606:GD609"/>
    <mergeCell ref="GG606:GG609"/>
    <mergeCell ref="HC607:HC608"/>
    <mergeCell ref="HD607:HD608"/>
    <mergeCell ref="HE607:HE608"/>
    <mergeCell ref="FP601:FP602"/>
    <mergeCell ref="FQ601:FQ602"/>
    <mergeCell ref="FT608:FT609"/>
    <mergeCell ref="ES601:ES604"/>
    <mergeCell ref="EU601:EU602"/>
    <mergeCell ref="EV601:EV602"/>
    <mergeCell ref="EW601:EW602"/>
    <mergeCell ref="FM608:FM609"/>
    <mergeCell ref="FO608:FO609"/>
    <mergeCell ref="FP608:FP609"/>
    <mergeCell ref="FQ608:FQ609"/>
    <mergeCell ref="FR608:FR609"/>
    <mergeCell ref="EX601:EX602"/>
    <mergeCell ref="EY601:EY602"/>
    <mergeCell ref="FS608:FS609"/>
    <mergeCell ref="FI601:FI602"/>
    <mergeCell ref="FJ601:FJ602"/>
    <mergeCell ref="FK601:FK602"/>
    <mergeCell ref="FL601:FL602"/>
    <mergeCell ref="FU601:FU602"/>
    <mergeCell ref="FQ606:FQ607"/>
    <mergeCell ref="FR606:FR607"/>
    <mergeCell ref="EZ601:EZ604"/>
    <mergeCell ref="FB601:FB602"/>
    <mergeCell ref="FD601:FD604"/>
    <mergeCell ref="FM601:FM602"/>
    <mergeCell ref="FO601:FO602"/>
    <mergeCell ref="DD603:DD604"/>
    <mergeCell ref="DE603:DE604"/>
    <mergeCell ref="DF603:DF604"/>
    <mergeCell ref="DG603:DG604"/>
    <mergeCell ref="DK603:DK604"/>
    <mergeCell ref="DO603:DO604"/>
    <mergeCell ref="DQ603:DQ604"/>
    <mergeCell ref="DV603:DV604"/>
    <mergeCell ref="EU603:EU604"/>
    <mergeCell ref="EV603:EV604"/>
    <mergeCell ref="EW603:EW604"/>
    <mergeCell ref="EX603:EX604"/>
    <mergeCell ref="EY603:EY604"/>
    <mergeCell ref="FB603:FB604"/>
    <mergeCell ref="FI603:FI604"/>
    <mergeCell ref="FJ603:FJ604"/>
    <mergeCell ref="FK603:FK604"/>
    <mergeCell ref="DN601:DN604"/>
    <mergeCell ref="FZ596:FZ599"/>
    <mergeCell ref="GA596:GA599"/>
    <mergeCell ref="IA601:IA604"/>
    <mergeCell ref="IB601:IB602"/>
    <mergeCell ref="HN597:HN598"/>
    <mergeCell ref="HO597:HO598"/>
    <mergeCell ref="HP597:HP598"/>
    <mergeCell ref="HQ597:HQ598"/>
    <mergeCell ref="HR597:HR598"/>
    <mergeCell ref="HS597:HS598"/>
    <mergeCell ref="HT597:HT598"/>
    <mergeCell ref="HU597:HU598"/>
    <mergeCell ref="HY597:HY598"/>
    <mergeCell ref="HX598:HX599"/>
    <mergeCell ref="IB598:IB599"/>
    <mergeCell ref="EK596:EK599"/>
    <mergeCell ref="E603:F603"/>
    <mergeCell ref="G603:L603"/>
    <mergeCell ref="P603:Q603"/>
    <mergeCell ref="S603:S604"/>
    <mergeCell ref="AF603:AI603"/>
    <mergeCell ref="AJ603:AJ604"/>
    <mergeCell ref="AK603:AK604"/>
    <mergeCell ref="AL603:AL604"/>
    <mergeCell ref="CO603:CO604"/>
    <mergeCell ref="CP603:CP604"/>
    <mergeCell ref="EC601:EC604"/>
    <mergeCell ref="ED601:ED604"/>
    <mergeCell ref="EE601:EE604"/>
    <mergeCell ref="EF601:EF604"/>
    <mergeCell ref="EG601:EG604"/>
    <mergeCell ref="EH601:EH604"/>
    <mergeCell ref="EI601:EI604"/>
    <mergeCell ref="EJ601:EJ604"/>
    <mergeCell ref="EK601:EK604"/>
    <mergeCell ref="EL601:EL604"/>
    <mergeCell ref="EM601:EM604"/>
    <mergeCell ref="EN601:EN604"/>
    <mergeCell ref="EO601:EO604"/>
    <mergeCell ref="EP601:EP604"/>
    <mergeCell ref="CR603:CR604"/>
    <mergeCell ref="CS603:CS604"/>
    <mergeCell ref="CT603:CT604"/>
    <mergeCell ref="CU603:CU604"/>
    <mergeCell ref="CV603:CV604"/>
    <mergeCell ref="CW603:CW604"/>
    <mergeCell ref="DC603:DC604"/>
    <mergeCell ref="DZ601:DZ604"/>
    <mergeCell ref="EA601:EA604"/>
    <mergeCell ref="DO601:DO602"/>
    <mergeCell ref="DP601:DP604"/>
    <mergeCell ref="DQ601:DQ602"/>
    <mergeCell ref="DR601:DR604"/>
    <mergeCell ref="DS601:DS604"/>
    <mergeCell ref="DU601:DU604"/>
    <mergeCell ref="DV601:DV602"/>
    <mergeCell ref="DW601:DW604"/>
    <mergeCell ref="DX601:DX604"/>
    <mergeCell ref="E602:F602"/>
    <mergeCell ref="G602:L602"/>
    <mergeCell ref="P602:Q602"/>
    <mergeCell ref="AF602:AI602"/>
    <mergeCell ref="U597:AD597"/>
    <mergeCell ref="EU598:EU599"/>
    <mergeCell ref="EV598:EV599"/>
    <mergeCell ref="EW598:EW599"/>
    <mergeCell ref="EX598:EX599"/>
    <mergeCell ref="EY598:EY599"/>
    <mergeCell ref="FB598:FB599"/>
    <mergeCell ref="FI598:FI599"/>
    <mergeCell ref="FJ598:FJ599"/>
    <mergeCell ref="FK598:FK599"/>
    <mergeCell ref="FL598:FL599"/>
    <mergeCell ref="FM598:FM599"/>
    <mergeCell ref="FO598:FO599"/>
    <mergeCell ref="FP598:FP599"/>
    <mergeCell ref="FQ598:FQ599"/>
    <mergeCell ref="FR598:FR599"/>
    <mergeCell ref="FS598:FS599"/>
    <mergeCell ref="FT598:FT599"/>
    <mergeCell ref="IF598:IF599"/>
    <mergeCell ref="IH598:IH599"/>
    <mergeCell ref="E599:F599"/>
    <mergeCell ref="G599:L599"/>
    <mergeCell ref="P599:R599"/>
    <mergeCell ref="U599:AA599"/>
    <mergeCell ref="AF599:AI599"/>
    <mergeCell ref="E600:AT600"/>
    <mergeCell ref="B601:B604"/>
    <mergeCell ref="C601:D604"/>
    <mergeCell ref="E601:F601"/>
    <mergeCell ref="G601:R601"/>
    <mergeCell ref="S601:S602"/>
    <mergeCell ref="U601:AA601"/>
    <mergeCell ref="AF601:AI601"/>
    <mergeCell ref="AJ601:AJ602"/>
    <mergeCell ref="AK601:AK602"/>
    <mergeCell ref="AL601:AL602"/>
    <mergeCell ref="AM601:AN604"/>
    <mergeCell ref="AO601:AQ604"/>
    <mergeCell ref="AR601:AR604"/>
    <mergeCell ref="AS601:AS604"/>
    <mergeCell ref="AT601:AT604"/>
    <mergeCell ref="AV601:AV604"/>
    <mergeCell ref="AW601:AW604"/>
    <mergeCell ref="CM601:CM604"/>
    <mergeCell ref="CN601:CN604"/>
    <mergeCell ref="CO601:CO602"/>
    <mergeCell ref="CP601:CP602"/>
    <mergeCell ref="CR601:CR602"/>
    <mergeCell ref="CS601:CS602"/>
    <mergeCell ref="CT601:CT602"/>
    <mergeCell ref="CU601:CU602"/>
    <mergeCell ref="CV601:CV602"/>
    <mergeCell ref="CW601:CW602"/>
    <mergeCell ref="CX601:CX604"/>
    <mergeCell ref="CY601:CY604"/>
    <mergeCell ref="CZ601:CZ604"/>
    <mergeCell ref="DA601:DA604"/>
    <mergeCell ref="DC601:DC602"/>
    <mergeCell ref="DD601:DD602"/>
    <mergeCell ref="DE601:DE602"/>
    <mergeCell ref="DF601:DF602"/>
    <mergeCell ref="DG601:DG602"/>
    <mergeCell ref="DH601:DH604"/>
    <mergeCell ref="DJ601:DJ602"/>
    <mergeCell ref="DL601:DL604"/>
    <mergeCell ref="CZ596:CZ599"/>
    <mergeCell ref="DA596:DA599"/>
    <mergeCell ref="DC596:DC597"/>
    <mergeCell ref="DD596:DD597"/>
    <mergeCell ref="DE596:DE597"/>
    <mergeCell ref="DF596:DF597"/>
    <mergeCell ref="DG596:DG597"/>
    <mergeCell ref="DH596:DH599"/>
    <mergeCell ref="DJ596:DJ597"/>
    <mergeCell ref="DL596:DL599"/>
    <mergeCell ref="DN596:DN599"/>
    <mergeCell ref="DO596:DO597"/>
    <mergeCell ref="DP596:DP599"/>
    <mergeCell ref="DQ596:DQ597"/>
    <mergeCell ref="DR596:DR599"/>
    <mergeCell ref="DS596:DS599"/>
    <mergeCell ref="DU596:DU599"/>
    <mergeCell ref="DV596:DV597"/>
    <mergeCell ref="DW596:DW599"/>
    <mergeCell ref="DX596:DX599"/>
    <mergeCell ref="DZ596:DZ599"/>
    <mergeCell ref="EA596:EA599"/>
    <mergeCell ref="EC596:EC599"/>
    <mergeCell ref="ED596:ED599"/>
    <mergeCell ref="EE596:EE599"/>
    <mergeCell ref="EF596:EF599"/>
    <mergeCell ref="EG596:EG599"/>
    <mergeCell ref="EH596:EH599"/>
    <mergeCell ref="DC598:DC599"/>
    <mergeCell ref="DD598:DD599"/>
    <mergeCell ref="DE598:DE599"/>
    <mergeCell ref="DF598:DF599"/>
    <mergeCell ref="DG598:DG599"/>
    <mergeCell ref="DK598:DK599"/>
    <mergeCell ref="DO598:DO599"/>
    <mergeCell ref="DQ598:DQ599"/>
    <mergeCell ref="DV598:DV599"/>
    <mergeCell ref="B596:B599"/>
    <mergeCell ref="C596:D599"/>
    <mergeCell ref="E596:F596"/>
    <mergeCell ref="G596:R596"/>
    <mergeCell ref="S596:S597"/>
    <mergeCell ref="U596:AA596"/>
    <mergeCell ref="AF596:AI596"/>
    <mergeCell ref="AJ596:AJ597"/>
    <mergeCell ref="AK596:AK597"/>
    <mergeCell ref="AL596:AL597"/>
    <mergeCell ref="AM596:AN599"/>
    <mergeCell ref="AO596:AQ599"/>
    <mergeCell ref="AR596:AR599"/>
    <mergeCell ref="AS596:AS599"/>
    <mergeCell ref="AT596:AT599"/>
    <mergeCell ref="AV596:AV599"/>
    <mergeCell ref="AW596:AW599"/>
    <mergeCell ref="CM596:CM599"/>
    <mergeCell ref="CN596:CN599"/>
    <mergeCell ref="CO596:CO597"/>
    <mergeCell ref="CP596:CP597"/>
    <mergeCell ref="CR596:CR597"/>
    <mergeCell ref="CS596:CS597"/>
    <mergeCell ref="CT596:CT597"/>
    <mergeCell ref="CU596:CU597"/>
    <mergeCell ref="CV596:CV597"/>
    <mergeCell ref="CW596:CW597"/>
    <mergeCell ref="CX596:CX599"/>
    <mergeCell ref="CY596:CY599"/>
    <mergeCell ref="E597:F597"/>
    <mergeCell ref="G597:L597"/>
    <mergeCell ref="P597:Q597"/>
    <mergeCell ref="AF597:AI597"/>
    <mergeCell ref="E598:F598"/>
    <mergeCell ref="G598:L598"/>
    <mergeCell ref="P598:Q598"/>
    <mergeCell ref="S598:S599"/>
    <mergeCell ref="AF598:AI598"/>
    <mergeCell ref="AJ598:AJ599"/>
    <mergeCell ref="AK598:AK599"/>
    <mergeCell ref="AL598:AL599"/>
    <mergeCell ref="CO598:CO599"/>
    <mergeCell ref="CP598:CP599"/>
    <mergeCell ref="CR598:CR599"/>
    <mergeCell ref="CS598:CS599"/>
    <mergeCell ref="CT598:CT599"/>
    <mergeCell ref="CU598:CU599"/>
    <mergeCell ref="CV598:CV599"/>
    <mergeCell ref="CW598:CW599"/>
    <mergeCell ref="U598:AD598"/>
    <mergeCell ref="IH593:IH594"/>
    <mergeCell ref="FW591:FW594"/>
    <mergeCell ref="FX591:FX594"/>
    <mergeCell ref="FY591:FY594"/>
    <mergeCell ref="FZ591:FZ594"/>
    <mergeCell ref="GA591:GA594"/>
    <mergeCell ref="GB591:GB594"/>
    <mergeCell ref="GC591:GC594"/>
    <mergeCell ref="GD591:GD594"/>
    <mergeCell ref="GG591:GG594"/>
    <mergeCell ref="HW591:HW593"/>
    <mergeCell ref="HX591:HX592"/>
    <mergeCell ref="IA591:IA594"/>
    <mergeCell ref="IB591:IB592"/>
    <mergeCell ref="IC591:IC594"/>
    <mergeCell ref="IF591:IF592"/>
    <mergeCell ref="IG591:IG594"/>
    <mergeCell ref="IH591:IH592"/>
    <mergeCell ref="EY591:EY592"/>
    <mergeCell ref="EZ591:EZ594"/>
    <mergeCell ref="FB591:FB592"/>
    <mergeCell ref="FD591:FD594"/>
    <mergeCell ref="FE591:FE594"/>
    <mergeCell ref="FI591:FI592"/>
    <mergeCell ref="FJ591:FJ592"/>
    <mergeCell ref="FK591:FK592"/>
    <mergeCell ref="FL591:FL592"/>
    <mergeCell ref="FM591:FM592"/>
    <mergeCell ref="FO591:FO592"/>
    <mergeCell ref="FP591:FP592"/>
    <mergeCell ref="FQ591:FQ592"/>
    <mergeCell ref="FR591:FR592"/>
    <mergeCell ref="EI596:EI599"/>
    <mergeCell ref="EJ596:EJ599"/>
    <mergeCell ref="EL596:EL599"/>
    <mergeCell ref="EM596:EM599"/>
    <mergeCell ref="EN596:EN599"/>
    <mergeCell ref="EO596:EO599"/>
    <mergeCell ref="EP596:EP599"/>
    <mergeCell ref="EQ596:EQ599"/>
    <mergeCell ref="ES596:ES599"/>
    <mergeCell ref="EU596:EU597"/>
    <mergeCell ref="EV596:EV597"/>
    <mergeCell ref="EW596:EW597"/>
    <mergeCell ref="EX596:EX597"/>
    <mergeCell ref="EY596:EY597"/>
    <mergeCell ref="EZ596:EZ599"/>
    <mergeCell ref="FB596:FB597"/>
    <mergeCell ref="FD596:FD599"/>
    <mergeCell ref="FE596:FE599"/>
    <mergeCell ref="FI596:FI597"/>
    <mergeCell ref="FJ596:FJ597"/>
    <mergeCell ref="FK596:FK597"/>
    <mergeCell ref="FL596:FL597"/>
    <mergeCell ref="FM596:FM597"/>
    <mergeCell ref="FO596:FO597"/>
    <mergeCell ref="FP596:FP597"/>
    <mergeCell ref="FQ596:FQ597"/>
    <mergeCell ref="FR596:FR597"/>
    <mergeCell ref="FS596:FS597"/>
    <mergeCell ref="FT596:FT597"/>
    <mergeCell ref="FW596:FW599"/>
    <mergeCell ref="FX596:FX599"/>
    <mergeCell ref="FY596:FY599"/>
    <mergeCell ref="DS591:DS594"/>
    <mergeCell ref="DU591:DU594"/>
    <mergeCell ref="DV591:DV592"/>
    <mergeCell ref="DW591:DW594"/>
    <mergeCell ref="DX591:DX594"/>
    <mergeCell ref="DZ591:DZ594"/>
    <mergeCell ref="EA591:EA594"/>
    <mergeCell ref="EC591:EC594"/>
    <mergeCell ref="CU593:CU594"/>
    <mergeCell ref="CV593:CV594"/>
    <mergeCell ref="II591:II594"/>
    <mergeCell ref="E592:F592"/>
    <mergeCell ref="G592:L592"/>
    <mergeCell ref="P592:Q592"/>
    <mergeCell ref="AF592:AI592"/>
    <mergeCell ref="GI592:GI593"/>
    <mergeCell ref="GJ592:GJ593"/>
    <mergeCell ref="GL592:GL593"/>
    <mergeCell ref="GM592:GM593"/>
    <mergeCell ref="HC592:HC593"/>
    <mergeCell ref="HD592:HD593"/>
    <mergeCell ref="HE592:HE593"/>
    <mergeCell ref="HF592:HF593"/>
    <mergeCell ref="HG592:HG593"/>
    <mergeCell ref="HH592:HH593"/>
    <mergeCell ref="HI592:HI593"/>
    <mergeCell ref="HJ592:HJ593"/>
    <mergeCell ref="HK592:HK593"/>
    <mergeCell ref="HL592:HL593"/>
    <mergeCell ref="HM592:HM593"/>
    <mergeCell ref="HN592:HN593"/>
    <mergeCell ref="HO592:HO593"/>
    <mergeCell ref="HP592:HP593"/>
    <mergeCell ref="HQ592:HQ593"/>
    <mergeCell ref="HR592:HR593"/>
    <mergeCell ref="HS592:HS593"/>
    <mergeCell ref="HT592:HT593"/>
    <mergeCell ref="HU592:HU593"/>
    <mergeCell ref="HY592:HY593"/>
    <mergeCell ref="E593:F593"/>
    <mergeCell ref="G593:L593"/>
    <mergeCell ref="P593:Q593"/>
    <mergeCell ref="S593:S594"/>
    <mergeCell ref="ED591:ED594"/>
    <mergeCell ref="EE591:EE594"/>
    <mergeCell ref="EF591:EF594"/>
    <mergeCell ref="EG591:EG594"/>
    <mergeCell ref="EH591:EH594"/>
    <mergeCell ref="EI591:EI594"/>
    <mergeCell ref="EJ591:EJ594"/>
    <mergeCell ref="EK591:EK594"/>
    <mergeCell ref="EL591:EL594"/>
    <mergeCell ref="EM591:EM594"/>
    <mergeCell ref="EN591:EN594"/>
    <mergeCell ref="EO591:EO594"/>
    <mergeCell ref="EP591:EP594"/>
    <mergeCell ref="EQ591:EQ594"/>
    <mergeCell ref="ES591:ES594"/>
    <mergeCell ref="EU591:EU592"/>
    <mergeCell ref="EV591:EV592"/>
    <mergeCell ref="EW591:EW592"/>
    <mergeCell ref="EX591:EX592"/>
    <mergeCell ref="IB593:IB594"/>
    <mergeCell ref="IF593:IF594"/>
    <mergeCell ref="CV591:CV592"/>
    <mergeCell ref="CW591:CW592"/>
    <mergeCell ref="CX591:CX594"/>
    <mergeCell ref="CY591:CY594"/>
    <mergeCell ref="CZ591:CZ594"/>
    <mergeCell ref="DA591:DA594"/>
    <mergeCell ref="DC591:DC592"/>
    <mergeCell ref="DD591:DD592"/>
    <mergeCell ref="DE591:DE592"/>
    <mergeCell ref="DF591:DF592"/>
    <mergeCell ref="DG591:DG592"/>
    <mergeCell ref="DH591:DH594"/>
    <mergeCell ref="DJ591:DJ592"/>
    <mergeCell ref="DL591:DL594"/>
    <mergeCell ref="DN591:DN594"/>
    <mergeCell ref="DO591:DO592"/>
    <mergeCell ref="DP591:DP594"/>
    <mergeCell ref="DQ591:DQ592"/>
    <mergeCell ref="DR591:DR594"/>
    <mergeCell ref="B591:B594"/>
    <mergeCell ref="C591:D594"/>
    <mergeCell ref="E591:F591"/>
    <mergeCell ref="G591:R591"/>
    <mergeCell ref="S591:S592"/>
    <mergeCell ref="U591:AA591"/>
    <mergeCell ref="AF591:AI591"/>
    <mergeCell ref="AJ591:AJ592"/>
    <mergeCell ref="AK591:AK592"/>
    <mergeCell ref="AL591:AL592"/>
    <mergeCell ref="AM591:AN594"/>
    <mergeCell ref="AO591:AQ594"/>
    <mergeCell ref="AR591:AR594"/>
    <mergeCell ref="AS591:AS594"/>
    <mergeCell ref="AT591:AT594"/>
    <mergeCell ref="AV591:AV594"/>
    <mergeCell ref="AW591:AW594"/>
    <mergeCell ref="CM591:CM594"/>
    <mergeCell ref="CN591:CN594"/>
    <mergeCell ref="CO591:CO592"/>
    <mergeCell ref="CP591:CP592"/>
    <mergeCell ref="CR591:CR592"/>
    <mergeCell ref="CS591:CS592"/>
    <mergeCell ref="CT591:CT592"/>
    <mergeCell ref="CU591:CU592"/>
    <mergeCell ref="AF593:AI593"/>
    <mergeCell ref="AJ593:AJ594"/>
    <mergeCell ref="AK593:AK594"/>
    <mergeCell ref="AL593:AL594"/>
    <mergeCell ref="CO593:CO594"/>
    <mergeCell ref="CP593:CP594"/>
    <mergeCell ref="CR593:CR594"/>
    <mergeCell ref="CS593:CS594"/>
    <mergeCell ref="CT593:CT594"/>
    <mergeCell ref="E594:F594"/>
    <mergeCell ref="G594:L594"/>
    <mergeCell ref="P594:R594"/>
    <mergeCell ref="U594:AA594"/>
    <mergeCell ref="AF594:AI594"/>
    <mergeCell ref="U593:AD593"/>
    <mergeCell ref="U592:AD592"/>
    <mergeCell ref="IG586:IG589"/>
    <mergeCell ref="IH586:IH587"/>
    <mergeCell ref="II586:II589"/>
    <mergeCell ref="E587:F587"/>
    <mergeCell ref="G587:L587"/>
    <mergeCell ref="P587:Q587"/>
    <mergeCell ref="AF587:AI587"/>
    <mergeCell ref="GI587:GI588"/>
    <mergeCell ref="GJ587:GJ588"/>
    <mergeCell ref="GL587:GL588"/>
    <mergeCell ref="GM587:GM588"/>
    <mergeCell ref="HC587:HC588"/>
    <mergeCell ref="HD587:HD588"/>
    <mergeCell ref="HE587:HE588"/>
    <mergeCell ref="HF587:HF588"/>
    <mergeCell ref="HG587:HG588"/>
    <mergeCell ref="HH587:HH588"/>
    <mergeCell ref="HI587:HI588"/>
    <mergeCell ref="HJ587:HJ588"/>
    <mergeCell ref="HK587:HK588"/>
    <mergeCell ref="HL587:HL588"/>
    <mergeCell ref="HM587:HM588"/>
    <mergeCell ref="HN587:HN588"/>
    <mergeCell ref="HO587:HO588"/>
    <mergeCell ref="HP587:HP588"/>
    <mergeCell ref="HQ587:HQ588"/>
    <mergeCell ref="HR587:HR588"/>
    <mergeCell ref="HS587:HS588"/>
    <mergeCell ref="HT587:HT588"/>
    <mergeCell ref="HU587:HU588"/>
    <mergeCell ref="HY587:HY588"/>
    <mergeCell ref="E588:F588"/>
    <mergeCell ref="G588:L588"/>
    <mergeCell ref="P588:Q588"/>
    <mergeCell ref="S588:S589"/>
    <mergeCell ref="CT588:CT589"/>
    <mergeCell ref="CU588:CU589"/>
    <mergeCell ref="CV588:CV589"/>
    <mergeCell ref="CW588:CW589"/>
    <mergeCell ref="DC588:DC589"/>
    <mergeCell ref="DD588:DD589"/>
    <mergeCell ref="DE588:DE589"/>
    <mergeCell ref="DF588:DF589"/>
    <mergeCell ref="DG588:DG589"/>
    <mergeCell ref="DK588:DK589"/>
    <mergeCell ref="DO588:DO589"/>
    <mergeCell ref="DQ588:DQ589"/>
    <mergeCell ref="DV588:DV589"/>
    <mergeCell ref="EU588:EU589"/>
    <mergeCell ref="EV588:EV589"/>
    <mergeCell ref="EW588:EW589"/>
    <mergeCell ref="EX588:EX589"/>
    <mergeCell ref="EY588:EY589"/>
    <mergeCell ref="FB588:FB589"/>
    <mergeCell ref="FI588:FI589"/>
    <mergeCell ref="FJ588:FJ589"/>
    <mergeCell ref="FK588:FK589"/>
    <mergeCell ref="FL588:FL589"/>
    <mergeCell ref="FM588:FM589"/>
    <mergeCell ref="FO588:FO589"/>
    <mergeCell ref="FP588:FP589"/>
    <mergeCell ref="FQ588:FQ589"/>
    <mergeCell ref="FR588:FR589"/>
    <mergeCell ref="FS588:FS589"/>
    <mergeCell ref="IC586:IC589"/>
    <mergeCell ref="IF586:IF587"/>
    <mergeCell ref="DF586:DF587"/>
    <mergeCell ref="DG586:DG587"/>
    <mergeCell ref="DH586:DH589"/>
    <mergeCell ref="DJ586:DJ587"/>
    <mergeCell ref="DL586:DL589"/>
    <mergeCell ref="DN586:DN589"/>
    <mergeCell ref="DO586:DO587"/>
    <mergeCell ref="DP586:DP589"/>
    <mergeCell ref="DQ586:DQ587"/>
    <mergeCell ref="DR586:DR589"/>
    <mergeCell ref="DS586:DS589"/>
    <mergeCell ref="DU586:DU589"/>
    <mergeCell ref="DV586:DV587"/>
    <mergeCell ref="DW586:DW589"/>
    <mergeCell ref="DX586:DX589"/>
    <mergeCell ref="DZ586:DZ589"/>
    <mergeCell ref="EA586:EA589"/>
    <mergeCell ref="EE586:EE589"/>
    <mergeCell ref="EF586:EF589"/>
    <mergeCell ref="EG586:EG589"/>
    <mergeCell ref="EH586:EH589"/>
    <mergeCell ref="FR586:FR587"/>
    <mergeCell ref="FS586:FS587"/>
    <mergeCell ref="CW593:CW594"/>
    <mergeCell ref="DC593:DC594"/>
    <mergeCell ref="DD593:DD594"/>
    <mergeCell ref="DE593:DE594"/>
    <mergeCell ref="DF593:DF594"/>
    <mergeCell ref="DG593:DG594"/>
    <mergeCell ref="DK593:DK594"/>
    <mergeCell ref="DO593:DO594"/>
    <mergeCell ref="DQ593:DQ594"/>
    <mergeCell ref="DV593:DV594"/>
    <mergeCell ref="EU593:EU594"/>
    <mergeCell ref="EV593:EV594"/>
    <mergeCell ref="EW593:EW594"/>
    <mergeCell ref="EX593:EX594"/>
    <mergeCell ref="EY593:EY594"/>
    <mergeCell ref="FB593:FB594"/>
    <mergeCell ref="FI593:FI594"/>
    <mergeCell ref="FJ593:FJ594"/>
    <mergeCell ref="FK593:FK594"/>
    <mergeCell ref="FL593:FL594"/>
    <mergeCell ref="FM593:FM594"/>
    <mergeCell ref="FO593:FO594"/>
    <mergeCell ref="FP593:FP594"/>
    <mergeCell ref="FQ593:FQ594"/>
    <mergeCell ref="FR593:FR594"/>
    <mergeCell ref="FS593:FS594"/>
    <mergeCell ref="FT593:FT594"/>
    <mergeCell ref="HX593:HX594"/>
    <mergeCell ref="FU588:FU589"/>
    <mergeCell ref="FT588:FT589"/>
    <mergeCell ref="HX588:HX589"/>
    <mergeCell ref="FS591:FS592"/>
    <mergeCell ref="FT591:FT592"/>
    <mergeCell ref="EI586:EI589"/>
    <mergeCell ref="EJ586:EJ589"/>
    <mergeCell ref="EK586:EK589"/>
    <mergeCell ref="EL586:EL589"/>
    <mergeCell ref="EM586:EM589"/>
    <mergeCell ref="EN586:EN589"/>
    <mergeCell ref="CR588:CR589"/>
    <mergeCell ref="CS588:CS589"/>
    <mergeCell ref="EW586:EW587"/>
    <mergeCell ref="EX586:EX587"/>
    <mergeCell ref="EY586:EY587"/>
    <mergeCell ref="EZ586:EZ589"/>
    <mergeCell ref="FB586:FB587"/>
    <mergeCell ref="FD586:FD589"/>
    <mergeCell ref="FE586:FE589"/>
    <mergeCell ref="IB583:IB584"/>
    <mergeCell ref="ED581:ED584"/>
    <mergeCell ref="FI586:FI587"/>
    <mergeCell ref="FJ586:FJ587"/>
    <mergeCell ref="FK586:FK587"/>
    <mergeCell ref="FL586:FL587"/>
    <mergeCell ref="FM586:FM587"/>
    <mergeCell ref="FO586:FO587"/>
    <mergeCell ref="FP586:FP587"/>
    <mergeCell ref="FQ586:FQ587"/>
    <mergeCell ref="EC586:EC589"/>
    <mergeCell ref="ED586:ED589"/>
    <mergeCell ref="FT586:FT587"/>
    <mergeCell ref="FW586:FW589"/>
    <mergeCell ref="FX586:FX589"/>
    <mergeCell ref="FY586:FY589"/>
    <mergeCell ref="FZ586:FZ589"/>
    <mergeCell ref="GA586:GA589"/>
    <mergeCell ref="GB586:GB589"/>
    <mergeCell ref="GC586:GC589"/>
    <mergeCell ref="GD586:GD589"/>
    <mergeCell ref="GG586:GG589"/>
    <mergeCell ref="HW586:HW588"/>
    <mergeCell ref="HX586:HX587"/>
    <mergeCell ref="IA586:IA589"/>
    <mergeCell ref="IB586:IB587"/>
    <mergeCell ref="EO586:EO589"/>
    <mergeCell ref="EP586:EP589"/>
    <mergeCell ref="EQ586:EQ589"/>
    <mergeCell ref="ES586:ES589"/>
    <mergeCell ref="EU586:EU587"/>
    <mergeCell ref="EV586:EV587"/>
    <mergeCell ref="FL581:FL582"/>
    <mergeCell ref="FM581:FM582"/>
    <mergeCell ref="FO581:FO582"/>
    <mergeCell ref="FP581:FP582"/>
    <mergeCell ref="HX583:HX584"/>
    <mergeCell ref="FW581:FW584"/>
    <mergeCell ref="FX581:FX584"/>
    <mergeCell ref="FY581:FY584"/>
    <mergeCell ref="FZ581:FZ584"/>
    <mergeCell ref="GA581:GA584"/>
    <mergeCell ref="GB581:GB584"/>
    <mergeCell ref="GC581:GC584"/>
    <mergeCell ref="GD581:GD584"/>
    <mergeCell ref="GG581:GG584"/>
    <mergeCell ref="HW581:HW583"/>
    <mergeCell ref="HX581:HX582"/>
    <mergeCell ref="EU583:EU584"/>
    <mergeCell ref="EV583:EV584"/>
    <mergeCell ref="EW583:EW584"/>
    <mergeCell ref="EX583:EX584"/>
    <mergeCell ref="EY583:EY584"/>
    <mergeCell ref="FB583:FB584"/>
    <mergeCell ref="FI583:FI584"/>
    <mergeCell ref="IF583:IF584"/>
    <mergeCell ref="IH583:IH584"/>
    <mergeCell ref="E584:F584"/>
    <mergeCell ref="G584:L584"/>
    <mergeCell ref="P584:R584"/>
    <mergeCell ref="U584:AA584"/>
    <mergeCell ref="AF584:AI584"/>
    <mergeCell ref="E585:AT585"/>
    <mergeCell ref="B586:B589"/>
    <mergeCell ref="C586:D589"/>
    <mergeCell ref="E586:F586"/>
    <mergeCell ref="G586:R586"/>
    <mergeCell ref="S586:S587"/>
    <mergeCell ref="U586:AA586"/>
    <mergeCell ref="AF586:AI586"/>
    <mergeCell ref="AJ586:AJ587"/>
    <mergeCell ref="AK586:AK587"/>
    <mergeCell ref="AL586:AL587"/>
    <mergeCell ref="AM586:AN589"/>
    <mergeCell ref="AO586:AQ589"/>
    <mergeCell ref="AR586:AR589"/>
    <mergeCell ref="AS586:AS589"/>
    <mergeCell ref="AT586:AT589"/>
    <mergeCell ref="AV586:AV589"/>
    <mergeCell ref="AW586:AW589"/>
    <mergeCell ref="CM586:CM589"/>
    <mergeCell ref="CN586:CN589"/>
    <mergeCell ref="CO586:CO587"/>
    <mergeCell ref="CP586:CP587"/>
    <mergeCell ref="CR586:CR587"/>
    <mergeCell ref="CS586:CS587"/>
    <mergeCell ref="CT586:CT587"/>
    <mergeCell ref="CU586:CU587"/>
    <mergeCell ref="CV586:CV587"/>
    <mergeCell ref="CW586:CW587"/>
    <mergeCell ref="CX586:CX589"/>
    <mergeCell ref="CY586:CY589"/>
    <mergeCell ref="CZ586:CZ589"/>
    <mergeCell ref="DA586:DA589"/>
    <mergeCell ref="DC586:DC587"/>
    <mergeCell ref="DD586:DD587"/>
    <mergeCell ref="DE586:DE587"/>
    <mergeCell ref="HU582:HU583"/>
    <mergeCell ref="HY582:HY583"/>
    <mergeCell ref="E583:F583"/>
    <mergeCell ref="CO588:CO589"/>
    <mergeCell ref="CP588:CP589"/>
    <mergeCell ref="IH588:IH589"/>
    <mergeCell ref="IA581:IA584"/>
    <mergeCell ref="IB581:IB582"/>
    <mergeCell ref="FS581:FS582"/>
    <mergeCell ref="FT581:FT582"/>
    <mergeCell ref="FT583:FT584"/>
    <mergeCell ref="B581:B584"/>
    <mergeCell ref="C581:D584"/>
    <mergeCell ref="E581:F581"/>
    <mergeCell ref="G581:R581"/>
    <mergeCell ref="S581:S582"/>
    <mergeCell ref="U581:AA581"/>
    <mergeCell ref="AF581:AI581"/>
    <mergeCell ref="AJ581:AJ582"/>
    <mergeCell ref="AK581:AK582"/>
    <mergeCell ref="AL581:AL582"/>
    <mergeCell ref="AM581:AN584"/>
    <mergeCell ref="FK583:FK584"/>
    <mergeCell ref="FL583:FL584"/>
    <mergeCell ref="FM583:FM584"/>
    <mergeCell ref="FO583:FO584"/>
    <mergeCell ref="FP583:FP584"/>
    <mergeCell ref="FQ583:FQ584"/>
    <mergeCell ref="FR583:FR584"/>
    <mergeCell ref="FS583:FS584"/>
    <mergeCell ref="FT578:FT579"/>
    <mergeCell ref="CO583:CO584"/>
    <mergeCell ref="CP583:CP584"/>
    <mergeCell ref="CR583:CR584"/>
    <mergeCell ref="CS583:CS584"/>
    <mergeCell ref="CT583:CT584"/>
    <mergeCell ref="EA581:EA584"/>
    <mergeCell ref="EC581:EC584"/>
    <mergeCell ref="CU583:CU584"/>
    <mergeCell ref="CV583:CV584"/>
    <mergeCell ref="CW583:CW584"/>
    <mergeCell ref="DC583:DC584"/>
    <mergeCell ref="DD583:DD584"/>
    <mergeCell ref="DE583:DE584"/>
    <mergeCell ref="DF583:DF584"/>
    <mergeCell ref="DG583:DG584"/>
    <mergeCell ref="DK583:DK584"/>
    <mergeCell ref="DO583:DO584"/>
    <mergeCell ref="DQ583:DQ584"/>
    <mergeCell ref="DX581:DX584"/>
    <mergeCell ref="DZ581:DZ584"/>
    <mergeCell ref="FQ581:FQ582"/>
    <mergeCell ref="FR581:FR582"/>
    <mergeCell ref="CU581:CU582"/>
    <mergeCell ref="CV581:CV582"/>
    <mergeCell ref="CW581:CW582"/>
    <mergeCell ref="CX581:CX584"/>
    <mergeCell ref="CY581:CY584"/>
    <mergeCell ref="CZ581:CZ584"/>
    <mergeCell ref="DA581:DA584"/>
    <mergeCell ref="DC581:DC582"/>
    <mergeCell ref="DD581:DD582"/>
    <mergeCell ref="DE581:DE582"/>
    <mergeCell ref="DF581:DF582"/>
    <mergeCell ref="FK578:FK579"/>
    <mergeCell ref="FL578:FL579"/>
    <mergeCell ref="FM578:FM579"/>
    <mergeCell ref="FO578:FO579"/>
    <mergeCell ref="FP578:FP579"/>
    <mergeCell ref="EU581:EU582"/>
    <mergeCell ref="EV581:EV582"/>
    <mergeCell ref="EW581:EW582"/>
    <mergeCell ref="EX581:EX582"/>
    <mergeCell ref="EY581:EY582"/>
    <mergeCell ref="EZ581:EZ584"/>
    <mergeCell ref="FB581:FB582"/>
    <mergeCell ref="FD581:FD584"/>
    <mergeCell ref="FE581:FE584"/>
    <mergeCell ref="FI581:FI582"/>
    <mergeCell ref="FJ581:FJ582"/>
    <mergeCell ref="FK581:FK582"/>
    <mergeCell ref="DW581:DW584"/>
    <mergeCell ref="EC576:EC579"/>
    <mergeCell ref="ED576:ED579"/>
    <mergeCell ref="EE576:EE579"/>
    <mergeCell ref="EG581:EG584"/>
    <mergeCell ref="CN581:CN584"/>
    <mergeCell ref="CO581:CO582"/>
    <mergeCell ref="CP581:CP582"/>
    <mergeCell ref="CR581:CR582"/>
    <mergeCell ref="CS581:CS582"/>
    <mergeCell ref="CT581:CT582"/>
    <mergeCell ref="E582:F582"/>
    <mergeCell ref="G582:L582"/>
    <mergeCell ref="P582:Q582"/>
    <mergeCell ref="AF582:AI582"/>
    <mergeCell ref="DZ576:DZ579"/>
    <mergeCell ref="EA576:EA579"/>
    <mergeCell ref="S576:S577"/>
    <mergeCell ref="U576:AA576"/>
    <mergeCell ref="AF576:AI576"/>
    <mergeCell ref="AJ576:AJ577"/>
    <mergeCell ref="AK576:AK577"/>
    <mergeCell ref="AL576:AL577"/>
    <mergeCell ref="AM576:AN579"/>
    <mergeCell ref="AO576:AQ579"/>
    <mergeCell ref="AR576:AR579"/>
    <mergeCell ref="AS576:AS579"/>
    <mergeCell ref="AT576:AT579"/>
    <mergeCell ref="AV576:AV579"/>
    <mergeCell ref="AW576:AW579"/>
    <mergeCell ref="CM576:CM579"/>
    <mergeCell ref="CN576:CN579"/>
    <mergeCell ref="FB578:FB579"/>
    <mergeCell ref="FI578:FI579"/>
    <mergeCell ref="FJ578:FJ579"/>
    <mergeCell ref="CO576:CO577"/>
    <mergeCell ref="CP576:CP577"/>
    <mergeCell ref="CR576:CR577"/>
    <mergeCell ref="CS576:CS577"/>
    <mergeCell ref="CT576:CT577"/>
    <mergeCell ref="CU576:CU577"/>
    <mergeCell ref="CV576:CV577"/>
    <mergeCell ref="CW576:CW577"/>
    <mergeCell ref="CX576:CX579"/>
    <mergeCell ref="CY576:CY579"/>
    <mergeCell ref="U577:AD577"/>
    <mergeCell ref="U578:AD578"/>
    <mergeCell ref="EI576:EI579"/>
    <mergeCell ref="EJ576:EJ579"/>
    <mergeCell ref="EK576:EK579"/>
    <mergeCell ref="EL576:EL579"/>
    <mergeCell ref="EM576:EM579"/>
    <mergeCell ref="EN576:EN579"/>
    <mergeCell ref="EO576:EO579"/>
    <mergeCell ref="DG581:DG582"/>
    <mergeCell ref="DH581:DH584"/>
    <mergeCell ref="DJ581:DJ582"/>
    <mergeCell ref="DL581:DL584"/>
    <mergeCell ref="DN581:DN584"/>
    <mergeCell ref="DO581:DO582"/>
    <mergeCell ref="DP581:DP584"/>
    <mergeCell ref="DQ581:DQ582"/>
    <mergeCell ref="DR581:DR584"/>
    <mergeCell ref="DS581:DS584"/>
    <mergeCell ref="DU581:DU584"/>
    <mergeCell ref="DV581:DV582"/>
    <mergeCell ref="FJ583:FJ584"/>
    <mergeCell ref="EE581:EE584"/>
    <mergeCell ref="EF581:EF584"/>
    <mergeCell ref="EH581:EH584"/>
    <mergeCell ref="EI581:EI584"/>
    <mergeCell ref="EJ581:EJ584"/>
    <mergeCell ref="EK581:EK584"/>
    <mergeCell ref="EL581:EL584"/>
    <mergeCell ref="EM581:EM584"/>
    <mergeCell ref="EN581:EN584"/>
    <mergeCell ref="EO581:EO584"/>
    <mergeCell ref="EP581:EP584"/>
    <mergeCell ref="EQ581:EQ584"/>
    <mergeCell ref="ES581:ES584"/>
    <mergeCell ref="EP576:EP579"/>
    <mergeCell ref="DV583:DV584"/>
    <mergeCell ref="II576:II579"/>
    <mergeCell ref="E577:F577"/>
    <mergeCell ref="G577:L577"/>
    <mergeCell ref="P577:Q577"/>
    <mergeCell ref="AF577:AI577"/>
    <mergeCell ref="GI577:GI578"/>
    <mergeCell ref="GJ577:GJ578"/>
    <mergeCell ref="GL577:GL578"/>
    <mergeCell ref="GM577:GM578"/>
    <mergeCell ref="HC577:HC578"/>
    <mergeCell ref="HD577:HD578"/>
    <mergeCell ref="HE577:HE578"/>
    <mergeCell ref="HF577:HF578"/>
    <mergeCell ref="HG577:HG578"/>
    <mergeCell ref="HH577:HH578"/>
    <mergeCell ref="HI577:HI578"/>
    <mergeCell ref="HJ577:HJ578"/>
    <mergeCell ref="HK577:HK578"/>
    <mergeCell ref="HL577:HL578"/>
    <mergeCell ref="HM577:HM578"/>
    <mergeCell ref="HN577:HN578"/>
    <mergeCell ref="HO577:HO578"/>
    <mergeCell ref="HP577:HP578"/>
    <mergeCell ref="HQ577:HQ578"/>
    <mergeCell ref="HR577:HR578"/>
    <mergeCell ref="HS577:HS578"/>
    <mergeCell ref="HT577:HT578"/>
    <mergeCell ref="HU577:HU578"/>
    <mergeCell ref="HY577:HY578"/>
    <mergeCell ref="E578:F578"/>
    <mergeCell ref="G578:L578"/>
    <mergeCell ref="P578:Q578"/>
    <mergeCell ref="S578:S579"/>
    <mergeCell ref="AF578:AI578"/>
    <mergeCell ref="AJ578:AJ579"/>
    <mergeCell ref="AK578:AK579"/>
    <mergeCell ref="AL578:AL579"/>
    <mergeCell ref="CO578:CO579"/>
    <mergeCell ref="CP578:CP579"/>
    <mergeCell ref="HX578:HX579"/>
    <mergeCell ref="FR576:FR577"/>
    <mergeCell ref="FS576:FS577"/>
    <mergeCell ref="FT576:FT577"/>
    <mergeCell ref="FW576:FW579"/>
    <mergeCell ref="FX576:FX579"/>
    <mergeCell ref="AV581:AV584"/>
    <mergeCell ref="AW581:AW584"/>
    <mergeCell ref="CM581:CM584"/>
    <mergeCell ref="HW576:HW578"/>
    <mergeCell ref="HX576:HX577"/>
    <mergeCell ref="EQ576:EQ579"/>
    <mergeCell ref="IC571:IC574"/>
    <mergeCell ref="IF571:IF572"/>
    <mergeCell ref="IG571:IG574"/>
    <mergeCell ref="IH571:IH572"/>
    <mergeCell ref="B571:B574"/>
    <mergeCell ref="C571:D574"/>
    <mergeCell ref="FR573:FR574"/>
    <mergeCell ref="FS573:FS574"/>
    <mergeCell ref="IA576:IA579"/>
    <mergeCell ref="IB576:IB577"/>
    <mergeCell ref="IC576:IC579"/>
    <mergeCell ref="IF576:IF577"/>
    <mergeCell ref="IG576:IG579"/>
    <mergeCell ref="IH576:IH577"/>
    <mergeCell ref="DZ571:DZ574"/>
    <mergeCell ref="FT573:FT574"/>
    <mergeCell ref="EA571:EA574"/>
    <mergeCell ref="EC571:EC574"/>
    <mergeCell ref="ED571:ED574"/>
    <mergeCell ref="EE571:EE574"/>
    <mergeCell ref="EF571:EF574"/>
    <mergeCell ref="EG571:EG574"/>
    <mergeCell ref="EH571:EH574"/>
    <mergeCell ref="EI571:EI574"/>
    <mergeCell ref="EJ571:EJ574"/>
    <mergeCell ref="EK571:EK574"/>
    <mergeCell ref="EL571:EL574"/>
    <mergeCell ref="EM571:EM574"/>
    <mergeCell ref="HX573:HX574"/>
    <mergeCell ref="IB573:IB574"/>
    <mergeCell ref="IF573:IF574"/>
    <mergeCell ref="FE576:FE579"/>
    <mergeCell ref="FI576:FI577"/>
    <mergeCell ref="FJ576:FJ577"/>
    <mergeCell ref="FK576:FK577"/>
    <mergeCell ref="FL576:FL577"/>
    <mergeCell ref="FM576:FM577"/>
    <mergeCell ref="FO576:FO577"/>
    <mergeCell ref="DJ576:DJ577"/>
    <mergeCell ref="DL576:DL579"/>
    <mergeCell ref="DN576:DN579"/>
    <mergeCell ref="DO576:DO577"/>
    <mergeCell ref="P574:R574"/>
    <mergeCell ref="U574:AA574"/>
    <mergeCell ref="AF574:AI574"/>
    <mergeCell ref="EF576:EF579"/>
    <mergeCell ref="EG576:EG579"/>
    <mergeCell ref="EH576:EH579"/>
    <mergeCell ref="E575:AT575"/>
    <mergeCell ref="B576:B579"/>
    <mergeCell ref="C576:D579"/>
    <mergeCell ref="E576:F576"/>
    <mergeCell ref="G576:R576"/>
    <mergeCell ref="FP576:FP577"/>
    <mergeCell ref="FQ576:FQ577"/>
    <mergeCell ref="CR578:CR579"/>
    <mergeCell ref="CS578:CS579"/>
    <mergeCell ref="CT578:CT579"/>
    <mergeCell ref="GI572:GI573"/>
    <mergeCell ref="GJ572:GJ573"/>
    <mergeCell ref="GL572:GL573"/>
    <mergeCell ref="GM572:GM573"/>
    <mergeCell ref="HC572:HC573"/>
    <mergeCell ref="HD572:HD573"/>
    <mergeCell ref="HE572:HE573"/>
    <mergeCell ref="HF572:HF573"/>
    <mergeCell ref="HG572:HG573"/>
    <mergeCell ref="HH572:HH573"/>
    <mergeCell ref="HI572:HI573"/>
    <mergeCell ref="HJ572:HJ573"/>
    <mergeCell ref="HK572:HK573"/>
    <mergeCell ref="HL572:HL573"/>
    <mergeCell ref="G573:L573"/>
    <mergeCell ref="P573:Q573"/>
    <mergeCell ref="S573:S574"/>
    <mergeCell ref="AF573:AI573"/>
    <mergeCell ref="AJ573:AJ574"/>
    <mergeCell ref="AK573:AK574"/>
    <mergeCell ref="AL573:AL574"/>
    <mergeCell ref="CO573:CO574"/>
    <mergeCell ref="CP573:CP574"/>
    <mergeCell ref="CR573:CR574"/>
    <mergeCell ref="FY576:FY579"/>
    <mergeCell ref="FZ576:FZ579"/>
    <mergeCell ref="GA576:GA579"/>
    <mergeCell ref="GB576:GB579"/>
    <mergeCell ref="GC576:GC579"/>
    <mergeCell ref="GD576:GD579"/>
    <mergeCell ref="GG576:GG579"/>
    <mergeCell ref="ES576:ES579"/>
    <mergeCell ref="EU576:EU577"/>
    <mergeCell ref="EV576:EV577"/>
    <mergeCell ref="EW576:EW577"/>
    <mergeCell ref="EX576:EX577"/>
    <mergeCell ref="EY576:EY577"/>
    <mergeCell ref="EZ576:EZ579"/>
    <mergeCell ref="FB576:FB577"/>
    <mergeCell ref="FD576:FD579"/>
    <mergeCell ref="HM572:HM573"/>
    <mergeCell ref="HN572:HN573"/>
    <mergeCell ref="HO572:HO573"/>
    <mergeCell ref="DN571:DN574"/>
    <mergeCell ref="DO571:DO572"/>
    <mergeCell ref="DP571:DP574"/>
    <mergeCell ref="DQ571:DQ572"/>
    <mergeCell ref="DR571:DR574"/>
    <mergeCell ref="DS571:DS574"/>
    <mergeCell ref="DU571:DU574"/>
    <mergeCell ref="DV571:DV572"/>
    <mergeCell ref="DW571:DW574"/>
    <mergeCell ref="FQ571:FQ572"/>
    <mergeCell ref="FR571:FR572"/>
    <mergeCell ref="FW571:FW574"/>
    <mergeCell ref="FX571:FX574"/>
    <mergeCell ref="FY571:FY574"/>
    <mergeCell ref="CU578:CU579"/>
    <mergeCell ref="CV578:CV579"/>
    <mergeCell ref="CW578:CW579"/>
    <mergeCell ref="DC578:DC579"/>
    <mergeCell ref="DD578:DD579"/>
    <mergeCell ref="DE578:DE579"/>
    <mergeCell ref="DF578:DF579"/>
    <mergeCell ref="DG578:DG579"/>
    <mergeCell ref="DK578:DK579"/>
    <mergeCell ref="DO578:DO579"/>
    <mergeCell ref="DQ578:DQ579"/>
    <mergeCell ref="DV578:DV579"/>
    <mergeCell ref="EU578:EU579"/>
    <mergeCell ref="EV578:EV579"/>
    <mergeCell ref="EW578:EW579"/>
    <mergeCell ref="EX578:EX579"/>
    <mergeCell ref="EY578:EY579"/>
    <mergeCell ref="DJ571:DJ572"/>
    <mergeCell ref="DL571:DL574"/>
    <mergeCell ref="FQ578:FQ579"/>
    <mergeCell ref="FR578:FR579"/>
    <mergeCell ref="FS578:FS579"/>
    <mergeCell ref="CZ576:CZ579"/>
    <mergeCell ref="DA576:DA579"/>
    <mergeCell ref="DC576:DC577"/>
    <mergeCell ref="DD576:DD577"/>
    <mergeCell ref="DE576:DE577"/>
    <mergeCell ref="DF576:DF577"/>
    <mergeCell ref="DG576:DG577"/>
    <mergeCell ref="DH576:DH579"/>
    <mergeCell ref="DX571:DX574"/>
    <mergeCell ref="DG573:DG574"/>
    <mergeCell ref="DK573:DK574"/>
    <mergeCell ref="DO573:DO574"/>
    <mergeCell ref="DQ573:DQ574"/>
    <mergeCell ref="DV573:DV574"/>
    <mergeCell ref="DG571:DG572"/>
    <mergeCell ref="DH571:DH574"/>
    <mergeCell ref="DP576:DP579"/>
    <mergeCell ref="DQ576:DQ577"/>
    <mergeCell ref="DR576:DR579"/>
    <mergeCell ref="DS576:DS579"/>
    <mergeCell ref="DU576:DU579"/>
    <mergeCell ref="DV576:DV577"/>
    <mergeCell ref="DW576:DW579"/>
    <mergeCell ref="DX576:DX579"/>
    <mergeCell ref="FU576:FU577"/>
    <mergeCell ref="E571:F571"/>
    <mergeCell ref="G571:R571"/>
    <mergeCell ref="S571:S572"/>
    <mergeCell ref="U571:AA571"/>
    <mergeCell ref="AF571:AI571"/>
    <mergeCell ref="AJ571:AJ572"/>
    <mergeCell ref="AK571:AK572"/>
    <mergeCell ref="AL571:AL572"/>
    <mergeCell ref="AM571:AN574"/>
    <mergeCell ref="AO571:AQ574"/>
    <mergeCell ref="AR571:AR574"/>
    <mergeCell ref="AS571:AS574"/>
    <mergeCell ref="AT571:AT574"/>
    <mergeCell ref="AV571:AV574"/>
    <mergeCell ref="AW571:AW574"/>
    <mergeCell ref="CM571:CM574"/>
    <mergeCell ref="CN571:CN574"/>
    <mergeCell ref="CO571:CO572"/>
    <mergeCell ref="CP571:CP572"/>
    <mergeCell ref="CR571:CR572"/>
    <mergeCell ref="CS571:CS572"/>
    <mergeCell ref="CT571:CT572"/>
    <mergeCell ref="E574:F574"/>
    <mergeCell ref="G574:L574"/>
    <mergeCell ref="CS573:CS574"/>
    <mergeCell ref="CT573:CT574"/>
    <mergeCell ref="CU573:CU574"/>
    <mergeCell ref="CV573:CV574"/>
    <mergeCell ref="CW573:CW574"/>
    <mergeCell ref="DC573:DC574"/>
    <mergeCell ref="DD573:DD574"/>
    <mergeCell ref="DE573:DE574"/>
    <mergeCell ref="DF573:DF574"/>
    <mergeCell ref="U572:AD572"/>
    <mergeCell ref="U573:AD573"/>
    <mergeCell ref="CU571:CU572"/>
    <mergeCell ref="CV571:CV572"/>
    <mergeCell ref="CW571:CW572"/>
    <mergeCell ref="CX571:CX574"/>
    <mergeCell ref="CY571:CY574"/>
    <mergeCell ref="CZ571:CZ574"/>
    <mergeCell ref="DA571:DA574"/>
    <mergeCell ref="DC571:DC572"/>
    <mergeCell ref="DD571:DD572"/>
    <mergeCell ref="DE571:DE572"/>
    <mergeCell ref="DF571:DF572"/>
    <mergeCell ref="IB568:IB569"/>
    <mergeCell ref="FZ571:FZ574"/>
    <mergeCell ref="GA571:GA574"/>
    <mergeCell ref="GB571:GB574"/>
    <mergeCell ref="GC571:GC574"/>
    <mergeCell ref="GD571:GD574"/>
    <mergeCell ref="GG571:GG574"/>
    <mergeCell ref="HW571:HW573"/>
    <mergeCell ref="HX571:HX572"/>
    <mergeCell ref="IA571:IA574"/>
    <mergeCell ref="IB571:IB572"/>
    <mergeCell ref="EN571:EN574"/>
    <mergeCell ref="EO571:EO574"/>
    <mergeCell ref="EP571:EP574"/>
    <mergeCell ref="EQ571:EQ574"/>
    <mergeCell ref="ES571:ES574"/>
    <mergeCell ref="EU571:EU572"/>
    <mergeCell ref="EV571:EV572"/>
    <mergeCell ref="EW571:EW572"/>
    <mergeCell ref="EX571:EX572"/>
    <mergeCell ref="EY571:EY572"/>
    <mergeCell ref="EZ571:EZ574"/>
    <mergeCell ref="FB571:FB572"/>
    <mergeCell ref="FD571:FD574"/>
    <mergeCell ref="FE571:FE574"/>
    <mergeCell ref="FI571:FI572"/>
    <mergeCell ref="FJ571:FJ572"/>
    <mergeCell ref="FK571:FK572"/>
    <mergeCell ref="FL571:FL572"/>
    <mergeCell ref="FM571:FM572"/>
    <mergeCell ref="FS571:FS572"/>
    <mergeCell ref="FT571:FT572"/>
    <mergeCell ref="FK573:FK574"/>
    <mergeCell ref="FL573:FL574"/>
    <mergeCell ref="FM573:FM574"/>
    <mergeCell ref="FO573:FO574"/>
    <mergeCell ref="FP573:FP574"/>
    <mergeCell ref="FQ573:FQ574"/>
    <mergeCell ref="FR568:FR569"/>
    <mergeCell ref="FS568:FS569"/>
    <mergeCell ref="FO571:FO572"/>
    <mergeCell ref="FP571:FP572"/>
    <mergeCell ref="EU573:EU574"/>
    <mergeCell ref="EV573:EV574"/>
    <mergeCell ref="EW573:EW574"/>
    <mergeCell ref="EX573:EX574"/>
    <mergeCell ref="EY573:EY574"/>
    <mergeCell ref="FB573:FB574"/>
    <mergeCell ref="FI573:FI574"/>
    <mergeCell ref="FJ573:FJ574"/>
    <mergeCell ref="HP572:HP573"/>
    <mergeCell ref="HQ572:HQ573"/>
    <mergeCell ref="HR572:HR573"/>
    <mergeCell ref="HS572:HS573"/>
    <mergeCell ref="HT572:HT573"/>
    <mergeCell ref="HU572:HU573"/>
    <mergeCell ref="HY572:HY573"/>
    <mergeCell ref="GJ567:GJ568"/>
    <mergeCell ref="GL567:GL568"/>
    <mergeCell ref="GM567:GM568"/>
    <mergeCell ref="HC567:HC568"/>
    <mergeCell ref="HD567:HD568"/>
    <mergeCell ref="HE567:HE568"/>
    <mergeCell ref="HF567:HF568"/>
    <mergeCell ref="DO566:DO567"/>
    <mergeCell ref="DP566:DP569"/>
    <mergeCell ref="DQ566:DQ567"/>
    <mergeCell ref="DR566:DR569"/>
    <mergeCell ref="FP566:FP567"/>
    <mergeCell ref="FQ566:FQ567"/>
    <mergeCell ref="FR566:FR567"/>
    <mergeCell ref="FS566:FS567"/>
    <mergeCell ref="EE566:EE569"/>
    <mergeCell ref="EF566:EF569"/>
    <mergeCell ref="EG566:EG569"/>
    <mergeCell ref="EH566:EH569"/>
    <mergeCell ref="EI566:EI569"/>
    <mergeCell ref="EJ566:EJ569"/>
    <mergeCell ref="EK566:EK569"/>
    <mergeCell ref="EL566:EL569"/>
    <mergeCell ref="EM566:EM569"/>
    <mergeCell ref="EN566:EN569"/>
    <mergeCell ref="EO566:EO569"/>
    <mergeCell ref="EP566:EP569"/>
    <mergeCell ref="EQ566:EQ569"/>
    <mergeCell ref="ES566:ES569"/>
    <mergeCell ref="EU566:EU567"/>
    <mergeCell ref="EV566:EV567"/>
    <mergeCell ref="EW566:EW567"/>
    <mergeCell ref="EX566:EX567"/>
    <mergeCell ref="EY566:EY567"/>
    <mergeCell ref="EZ566:EZ569"/>
    <mergeCell ref="FB566:FB567"/>
    <mergeCell ref="FD566:FD569"/>
    <mergeCell ref="FE566:FE569"/>
    <mergeCell ref="FI566:FI567"/>
    <mergeCell ref="FJ566:FJ567"/>
    <mergeCell ref="FK566:FK567"/>
    <mergeCell ref="FL566:FL567"/>
    <mergeCell ref="FM566:FM567"/>
    <mergeCell ref="EU568:EU569"/>
    <mergeCell ref="EV568:EV569"/>
    <mergeCell ref="EW568:EW569"/>
    <mergeCell ref="EX568:EX569"/>
    <mergeCell ref="EY568:EY569"/>
    <mergeCell ref="FB568:FB569"/>
    <mergeCell ref="FI568:FI569"/>
    <mergeCell ref="FJ568:FJ569"/>
    <mergeCell ref="FK568:FK569"/>
    <mergeCell ref="FL568:FL569"/>
    <mergeCell ref="FM568:FM569"/>
    <mergeCell ref="FO568:FO569"/>
    <mergeCell ref="FP568:FP569"/>
    <mergeCell ref="HG567:HG568"/>
    <mergeCell ref="HH567:HH568"/>
    <mergeCell ref="HI567:HI568"/>
    <mergeCell ref="HJ567:HJ568"/>
    <mergeCell ref="HK567:HK568"/>
    <mergeCell ref="HL567:HL568"/>
    <mergeCell ref="HM567:HM568"/>
    <mergeCell ref="HN567:HN568"/>
    <mergeCell ref="HO567:HO568"/>
    <mergeCell ref="HP567:HP568"/>
    <mergeCell ref="HQ567:HQ568"/>
    <mergeCell ref="HR567:HR568"/>
    <mergeCell ref="HS567:HS568"/>
    <mergeCell ref="HT567:HT568"/>
    <mergeCell ref="HU567:HU568"/>
    <mergeCell ref="HY567:HY568"/>
    <mergeCell ref="E568:F568"/>
    <mergeCell ref="G568:L568"/>
    <mergeCell ref="P568:Q568"/>
    <mergeCell ref="S568:S569"/>
    <mergeCell ref="CW563:CW564"/>
    <mergeCell ref="DC563:DC564"/>
    <mergeCell ref="DD563:DD564"/>
    <mergeCell ref="DE563:DE564"/>
    <mergeCell ref="DF563:DF564"/>
    <mergeCell ref="DG563:DG564"/>
    <mergeCell ref="DW566:DW569"/>
    <mergeCell ref="DX566:DX569"/>
    <mergeCell ref="CS568:CS569"/>
    <mergeCell ref="CT568:CT569"/>
    <mergeCell ref="CU568:CU569"/>
    <mergeCell ref="CV568:CV569"/>
    <mergeCell ref="CW568:CW569"/>
    <mergeCell ref="DC568:DC569"/>
    <mergeCell ref="DD568:DD569"/>
    <mergeCell ref="DE568:DE569"/>
    <mergeCell ref="DF568:DF569"/>
    <mergeCell ref="DG568:DG569"/>
    <mergeCell ref="DK568:DK569"/>
    <mergeCell ref="DO568:DO569"/>
    <mergeCell ref="DQ568:DQ569"/>
    <mergeCell ref="DV568:DV569"/>
    <mergeCell ref="FQ568:FQ569"/>
    <mergeCell ref="FO566:FO567"/>
    <mergeCell ref="FT568:FT569"/>
    <mergeCell ref="HX568:HX569"/>
    <mergeCell ref="U568:AD568"/>
    <mergeCell ref="DD566:DD567"/>
    <mergeCell ref="DE566:DE567"/>
    <mergeCell ref="DF566:DF567"/>
    <mergeCell ref="DG566:DG567"/>
    <mergeCell ref="DH566:DH569"/>
    <mergeCell ref="DJ566:DJ567"/>
    <mergeCell ref="DL566:DL569"/>
    <mergeCell ref="DN566:DN569"/>
    <mergeCell ref="DK563:DK564"/>
    <mergeCell ref="DO563:DO564"/>
    <mergeCell ref="DQ563:DQ564"/>
    <mergeCell ref="DZ566:DZ569"/>
    <mergeCell ref="EA566:EA569"/>
    <mergeCell ref="EC566:EC569"/>
    <mergeCell ref="ED566:ED569"/>
    <mergeCell ref="CO568:CO569"/>
    <mergeCell ref="CP568:CP569"/>
    <mergeCell ref="CR568:CR569"/>
    <mergeCell ref="DV563:DV564"/>
    <mergeCell ref="CO561:CO562"/>
    <mergeCell ref="CP561:CP562"/>
    <mergeCell ref="CR561:CR562"/>
    <mergeCell ref="DS566:DS569"/>
    <mergeCell ref="DU566:DU569"/>
    <mergeCell ref="DV566:DV567"/>
    <mergeCell ref="FQ563:FQ564"/>
    <mergeCell ref="FT566:FT567"/>
    <mergeCell ref="FW566:FW569"/>
    <mergeCell ref="FX566:FX569"/>
    <mergeCell ref="FY566:FY569"/>
    <mergeCell ref="FZ566:FZ569"/>
    <mergeCell ref="GA566:GA569"/>
    <mergeCell ref="GB566:GB569"/>
    <mergeCell ref="E565:AT565"/>
    <mergeCell ref="B566:B569"/>
    <mergeCell ref="C566:D569"/>
    <mergeCell ref="E566:F566"/>
    <mergeCell ref="G566:R566"/>
    <mergeCell ref="S566:S567"/>
    <mergeCell ref="U566:AA566"/>
    <mergeCell ref="AF566:AI566"/>
    <mergeCell ref="AJ566:AJ567"/>
    <mergeCell ref="AK566:AK567"/>
    <mergeCell ref="AL566:AL567"/>
    <mergeCell ref="AM566:AN569"/>
    <mergeCell ref="AO566:AQ569"/>
    <mergeCell ref="AR566:AR569"/>
    <mergeCell ref="AS566:AS569"/>
    <mergeCell ref="AT566:AT569"/>
    <mergeCell ref="AV566:AV569"/>
    <mergeCell ref="AW566:AW569"/>
    <mergeCell ref="CM566:CM569"/>
    <mergeCell ref="CN566:CN569"/>
    <mergeCell ref="CO566:CO567"/>
    <mergeCell ref="CP566:CP567"/>
    <mergeCell ref="CR566:CR567"/>
    <mergeCell ref="CS566:CS567"/>
    <mergeCell ref="CT566:CT567"/>
    <mergeCell ref="CU566:CU567"/>
    <mergeCell ref="CV566:CV567"/>
    <mergeCell ref="CW566:CW567"/>
    <mergeCell ref="CX566:CX569"/>
    <mergeCell ref="CY566:CY569"/>
    <mergeCell ref="CZ566:CZ569"/>
    <mergeCell ref="DA566:DA569"/>
    <mergeCell ref="DC566:DC567"/>
    <mergeCell ref="E567:F567"/>
    <mergeCell ref="G567:L567"/>
    <mergeCell ref="P567:Q567"/>
    <mergeCell ref="AF567:AI567"/>
    <mergeCell ref="CS561:CS562"/>
    <mergeCell ref="CT561:CT562"/>
    <mergeCell ref="CU561:CU562"/>
    <mergeCell ref="CV561:CV562"/>
    <mergeCell ref="CW561:CW562"/>
    <mergeCell ref="CX561:CX564"/>
    <mergeCell ref="CY561:CY564"/>
    <mergeCell ref="CZ561:CZ564"/>
    <mergeCell ref="DA561:DA564"/>
    <mergeCell ref="DC561:DC562"/>
    <mergeCell ref="DD561:DD562"/>
    <mergeCell ref="DE561:DE562"/>
    <mergeCell ref="DF561:DF562"/>
    <mergeCell ref="DG561:DG562"/>
    <mergeCell ref="DH561:DH564"/>
    <mergeCell ref="DJ561:DJ562"/>
    <mergeCell ref="DL561:DL564"/>
    <mergeCell ref="DN561:DN564"/>
    <mergeCell ref="DO561:DO562"/>
    <mergeCell ref="DP561:DP564"/>
    <mergeCell ref="DQ561:DQ562"/>
    <mergeCell ref="DR561:DR564"/>
    <mergeCell ref="DS561:DS564"/>
    <mergeCell ref="DU561:DU564"/>
    <mergeCell ref="FO561:FO562"/>
    <mergeCell ref="FP561:FP562"/>
    <mergeCell ref="FX561:FX564"/>
    <mergeCell ref="FY561:FY564"/>
    <mergeCell ref="FZ561:FZ564"/>
    <mergeCell ref="GA561:GA564"/>
    <mergeCell ref="CO563:CO564"/>
    <mergeCell ref="CP563:CP564"/>
    <mergeCell ref="CR563:CR564"/>
    <mergeCell ref="CS563:CS564"/>
    <mergeCell ref="CT563:CT564"/>
    <mergeCell ref="DV561:DV562"/>
    <mergeCell ref="DX561:DX564"/>
    <mergeCell ref="DZ561:DZ564"/>
    <mergeCell ref="EA561:EA564"/>
    <mergeCell ref="EC561:EC564"/>
    <mergeCell ref="ED561:ED564"/>
    <mergeCell ref="EE561:EE564"/>
    <mergeCell ref="EF561:EF564"/>
    <mergeCell ref="EG561:EG564"/>
    <mergeCell ref="EH561:EH564"/>
    <mergeCell ref="EI561:EI564"/>
    <mergeCell ref="EJ561:EJ564"/>
    <mergeCell ref="EK561:EK564"/>
    <mergeCell ref="EL561:EL564"/>
    <mergeCell ref="EM561:EM564"/>
    <mergeCell ref="EN561:EN564"/>
    <mergeCell ref="EO561:EO564"/>
    <mergeCell ref="EP561:EP564"/>
    <mergeCell ref="EQ561:EQ564"/>
    <mergeCell ref="ES561:ES564"/>
    <mergeCell ref="EU561:EU562"/>
    <mergeCell ref="EV561:EV562"/>
    <mergeCell ref="EW561:EW562"/>
    <mergeCell ref="EX561:EX562"/>
    <mergeCell ref="EY561:EY562"/>
    <mergeCell ref="EZ561:EZ564"/>
    <mergeCell ref="DW561:DW564"/>
    <mergeCell ref="CU563:CU564"/>
    <mergeCell ref="CV563:CV564"/>
    <mergeCell ref="EU563:EU564"/>
    <mergeCell ref="EV563:EV564"/>
    <mergeCell ref="EW563:EW564"/>
    <mergeCell ref="EX563:EX564"/>
    <mergeCell ref="EY563:EY564"/>
    <mergeCell ref="FB563:FB564"/>
    <mergeCell ref="FI563:FI564"/>
    <mergeCell ref="FJ563:FJ564"/>
    <mergeCell ref="FK563:FK564"/>
    <mergeCell ref="FL563:FL564"/>
    <mergeCell ref="FM563:FM564"/>
    <mergeCell ref="U556:AA556"/>
    <mergeCell ref="AF556:AI556"/>
    <mergeCell ref="E557:AT557"/>
    <mergeCell ref="AM559:AN559"/>
    <mergeCell ref="AO559:AP559"/>
    <mergeCell ref="AQ559:AT559"/>
    <mergeCell ref="AR560:AT560"/>
    <mergeCell ref="B561:B564"/>
    <mergeCell ref="C561:D564"/>
    <mergeCell ref="E561:F561"/>
    <mergeCell ref="G561:R561"/>
    <mergeCell ref="S561:S562"/>
    <mergeCell ref="U561:AA561"/>
    <mergeCell ref="AF561:AI561"/>
    <mergeCell ref="AJ561:AJ562"/>
    <mergeCell ref="AK561:AK562"/>
    <mergeCell ref="AL561:AL562"/>
    <mergeCell ref="AM561:AN564"/>
    <mergeCell ref="AO561:AQ564"/>
    <mergeCell ref="AR561:AR564"/>
    <mergeCell ref="AS561:AS564"/>
    <mergeCell ref="AT561:AT564"/>
    <mergeCell ref="AV561:AV564"/>
    <mergeCell ref="AW561:AW564"/>
    <mergeCell ref="CM561:CM564"/>
    <mergeCell ref="CN561:CN564"/>
    <mergeCell ref="E562:F562"/>
    <mergeCell ref="G562:L562"/>
    <mergeCell ref="P562:Q562"/>
    <mergeCell ref="AF562:AI562"/>
    <mergeCell ref="E563:F563"/>
    <mergeCell ref="G563:L563"/>
    <mergeCell ref="P563:Q563"/>
    <mergeCell ref="S563:S564"/>
    <mergeCell ref="AF563:AI563"/>
    <mergeCell ref="AJ563:AJ564"/>
    <mergeCell ref="AK563:AK564"/>
    <mergeCell ref="AL563:AL564"/>
    <mergeCell ref="AM560:AN560"/>
    <mergeCell ref="AO560:AQ560"/>
    <mergeCell ref="E564:F564"/>
    <mergeCell ref="G564:L564"/>
    <mergeCell ref="P564:R564"/>
    <mergeCell ref="U564:AA564"/>
    <mergeCell ref="AF564:AI564"/>
    <mergeCell ref="IA553:IA556"/>
    <mergeCell ref="IB553:IB554"/>
    <mergeCell ref="IC553:IC556"/>
    <mergeCell ref="IF553:IF554"/>
    <mergeCell ref="IG553:IG556"/>
    <mergeCell ref="FB553:FB554"/>
    <mergeCell ref="FD553:FD556"/>
    <mergeCell ref="FE553:FE556"/>
    <mergeCell ref="FI553:FI554"/>
    <mergeCell ref="FJ553:FJ554"/>
    <mergeCell ref="FK553:FK554"/>
    <mergeCell ref="FL553:FL554"/>
    <mergeCell ref="FM553:FM554"/>
    <mergeCell ref="FO553:FO554"/>
    <mergeCell ref="FP553:FP554"/>
    <mergeCell ref="EA553:EA556"/>
    <mergeCell ref="EC553:EC556"/>
    <mergeCell ref="FQ553:FQ554"/>
    <mergeCell ref="FR553:FR554"/>
    <mergeCell ref="CS555:CS556"/>
    <mergeCell ref="CT555:CT556"/>
    <mergeCell ref="CU555:CU556"/>
    <mergeCell ref="CV555:CV556"/>
    <mergeCell ref="CW555:CW556"/>
    <mergeCell ref="DC555:DC556"/>
    <mergeCell ref="DD555:DD556"/>
    <mergeCell ref="DE555:DE556"/>
    <mergeCell ref="DF555:DF556"/>
    <mergeCell ref="DG555:DG556"/>
    <mergeCell ref="DK555:DK556"/>
    <mergeCell ref="DO555:DO556"/>
    <mergeCell ref="DQ555:DQ556"/>
    <mergeCell ref="DV555:DV556"/>
    <mergeCell ref="EU555:EU556"/>
    <mergeCell ref="EV555:EV556"/>
    <mergeCell ref="EW555:EW556"/>
    <mergeCell ref="EX555:EX556"/>
    <mergeCell ref="EY555:EY556"/>
    <mergeCell ref="FB555:FB556"/>
    <mergeCell ref="FI555:FI556"/>
    <mergeCell ref="FJ555:FJ556"/>
    <mergeCell ref="FK555:FK556"/>
    <mergeCell ref="FL555:FL556"/>
    <mergeCell ref="FM555:FM556"/>
    <mergeCell ref="FO555:FO556"/>
    <mergeCell ref="FP555:FP556"/>
    <mergeCell ref="FQ555:FQ556"/>
    <mergeCell ref="FR555:FR556"/>
    <mergeCell ref="FS555:FS556"/>
    <mergeCell ref="FT555:FT556"/>
    <mergeCell ref="EV553:EV554"/>
    <mergeCell ref="EW553:EW554"/>
    <mergeCell ref="EX553:EX554"/>
    <mergeCell ref="EY553:EY554"/>
    <mergeCell ref="EZ553:EZ556"/>
    <mergeCell ref="FO563:FO564"/>
    <mergeCell ref="FP563:FP564"/>
    <mergeCell ref="FR563:FR564"/>
    <mergeCell ref="FS553:FS554"/>
    <mergeCell ref="FT553:FT554"/>
    <mergeCell ref="FW553:FW556"/>
    <mergeCell ref="FX553:FX556"/>
    <mergeCell ref="FY553:FY556"/>
    <mergeCell ref="FZ553:FZ556"/>
    <mergeCell ref="GA553:GA556"/>
    <mergeCell ref="GB553:GB556"/>
    <mergeCell ref="GC553:GC556"/>
    <mergeCell ref="GD553:GD556"/>
    <mergeCell ref="GG553:GG556"/>
    <mergeCell ref="HW553:HW555"/>
    <mergeCell ref="HX553:HX554"/>
    <mergeCell ref="FL561:FL562"/>
    <mergeCell ref="FM561:FM562"/>
    <mergeCell ref="FQ561:FQ562"/>
    <mergeCell ref="FR561:FR562"/>
    <mergeCell ref="FS561:FS562"/>
    <mergeCell ref="FT561:FT562"/>
    <mergeCell ref="FB561:FB562"/>
    <mergeCell ref="FD561:FD564"/>
    <mergeCell ref="FE561:FE564"/>
    <mergeCell ref="FI561:FI562"/>
    <mergeCell ref="FJ561:FJ562"/>
    <mergeCell ref="FK561:FK562"/>
    <mergeCell ref="FW561:FW564"/>
    <mergeCell ref="FS563:FS564"/>
    <mergeCell ref="FT563:FT564"/>
    <mergeCell ref="FU563:FU564"/>
    <mergeCell ref="HX563:HX564"/>
    <mergeCell ref="DC550:DC551"/>
    <mergeCell ref="DD550:DD551"/>
    <mergeCell ref="DE550:DE551"/>
    <mergeCell ref="DF550:DF551"/>
    <mergeCell ref="DG550:DG551"/>
    <mergeCell ref="IH553:IH554"/>
    <mergeCell ref="II553:II556"/>
    <mergeCell ref="E554:F554"/>
    <mergeCell ref="G554:L554"/>
    <mergeCell ref="P554:Q554"/>
    <mergeCell ref="AF554:AI554"/>
    <mergeCell ref="GI554:GI555"/>
    <mergeCell ref="GJ554:GJ555"/>
    <mergeCell ref="GL554:GL555"/>
    <mergeCell ref="GM554:GM555"/>
    <mergeCell ref="HC554:HC555"/>
    <mergeCell ref="HD554:HD555"/>
    <mergeCell ref="HE554:HE555"/>
    <mergeCell ref="HF554:HF555"/>
    <mergeCell ref="HG554:HG555"/>
    <mergeCell ref="HH554:HH555"/>
    <mergeCell ref="HI554:HI555"/>
    <mergeCell ref="HJ554:HJ555"/>
    <mergeCell ref="HK554:HK555"/>
    <mergeCell ref="HL554:HL555"/>
    <mergeCell ref="HM554:HM555"/>
    <mergeCell ref="HN554:HN555"/>
    <mergeCell ref="HO554:HO555"/>
    <mergeCell ref="HP554:HP555"/>
    <mergeCell ref="HQ554:HQ555"/>
    <mergeCell ref="HR554:HR555"/>
    <mergeCell ref="HS554:HS555"/>
    <mergeCell ref="HT554:HT555"/>
    <mergeCell ref="HU554:HU555"/>
    <mergeCell ref="HY554:HY555"/>
    <mergeCell ref="E555:F555"/>
    <mergeCell ref="G555:L555"/>
    <mergeCell ref="P555:Q555"/>
    <mergeCell ref="S555:S556"/>
    <mergeCell ref="AF555:AI555"/>
    <mergeCell ref="AJ555:AJ556"/>
    <mergeCell ref="AK555:AK556"/>
    <mergeCell ref="AL555:AL556"/>
    <mergeCell ref="CO555:CO556"/>
    <mergeCell ref="IF555:IF556"/>
    <mergeCell ref="IH555:IH556"/>
    <mergeCell ref="CP555:CP556"/>
    <mergeCell ref="CR555:CR556"/>
    <mergeCell ref="ED553:ED556"/>
    <mergeCell ref="EE553:EE556"/>
    <mergeCell ref="EF553:EF556"/>
    <mergeCell ref="EG553:EG556"/>
    <mergeCell ref="EH553:EH556"/>
    <mergeCell ref="EI553:EI556"/>
    <mergeCell ref="EJ553:EJ556"/>
    <mergeCell ref="EK553:EK556"/>
    <mergeCell ref="EL553:EL556"/>
    <mergeCell ref="EM553:EM556"/>
    <mergeCell ref="EN553:EN556"/>
    <mergeCell ref="EO553:EO556"/>
    <mergeCell ref="EP553:EP556"/>
    <mergeCell ref="EQ553:EQ556"/>
    <mergeCell ref="ES553:ES556"/>
    <mergeCell ref="EU553:EU554"/>
    <mergeCell ref="EA548:EA551"/>
    <mergeCell ref="FP548:FP549"/>
    <mergeCell ref="FQ548:FQ549"/>
    <mergeCell ref="FY548:FY551"/>
    <mergeCell ref="FZ548:FZ551"/>
    <mergeCell ref="IB550:IB551"/>
    <mergeCell ref="IF550:IF551"/>
    <mergeCell ref="IH550:IH551"/>
    <mergeCell ref="E551:F551"/>
    <mergeCell ref="G551:L551"/>
    <mergeCell ref="P551:R551"/>
    <mergeCell ref="U551:AA551"/>
    <mergeCell ref="AF551:AI551"/>
    <mergeCell ref="E552:AT552"/>
    <mergeCell ref="B553:B556"/>
    <mergeCell ref="C553:D556"/>
    <mergeCell ref="E553:F553"/>
    <mergeCell ref="G553:R553"/>
    <mergeCell ref="S553:S554"/>
    <mergeCell ref="U553:AA553"/>
    <mergeCell ref="AF553:AI553"/>
    <mergeCell ref="AJ553:AJ554"/>
    <mergeCell ref="AK553:AK554"/>
    <mergeCell ref="AL553:AL554"/>
    <mergeCell ref="AM553:AN556"/>
    <mergeCell ref="AO553:AQ556"/>
    <mergeCell ref="AR553:AR556"/>
    <mergeCell ref="AS553:AS556"/>
    <mergeCell ref="AT553:AT556"/>
    <mergeCell ref="AV553:AV556"/>
    <mergeCell ref="AW553:AW556"/>
    <mergeCell ref="CM553:CM556"/>
    <mergeCell ref="CN553:CN556"/>
    <mergeCell ref="CO553:CO554"/>
    <mergeCell ref="CP553:CP554"/>
    <mergeCell ref="CR553:CR554"/>
    <mergeCell ref="CS553:CS554"/>
    <mergeCell ref="CT553:CT554"/>
    <mergeCell ref="CU553:CU554"/>
    <mergeCell ref="CV553:CV554"/>
    <mergeCell ref="CW553:CW554"/>
    <mergeCell ref="CX553:CX556"/>
    <mergeCell ref="CY553:CY556"/>
    <mergeCell ref="CZ553:CZ556"/>
    <mergeCell ref="DA553:DA556"/>
    <mergeCell ref="DC553:DC554"/>
    <mergeCell ref="DD553:DD554"/>
    <mergeCell ref="DE553:DE554"/>
    <mergeCell ref="DF553:DF554"/>
    <mergeCell ref="DG553:DG554"/>
    <mergeCell ref="DH553:DH556"/>
    <mergeCell ref="DJ553:DJ554"/>
    <mergeCell ref="DL553:DL556"/>
    <mergeCell ref="DN553:DN556"/>
    <mergeCell ref="DO553:DO554"/>
    <mergeCell ref="DP553:DP556"/>
    <mergeCell ref="DQ553:DQ554"/>
    <mergeCell ref="DR553:DR556"/>
    <mergeCell ref="DS553:DS556"/>
    <mergeCell ref="DU553:DU556"/>
    <mergeCell ref="DV553:DV554"/>
    <mergeCell ref="DW553:DW556"/>
    <mergeCell ref="DX553:DX556"/>
    <mergeCell ref="DZ553:DZ556"/>
    <mergeCell ref="EW550:EW551"/>
    <mergeCell ref="EX550:EX551"/>
    <mergeCell ref="EY550:EY551"/>
    <mergeCell ref="FB550:FB551"/>
    <mergeCell ref="FI550:FI551"/>
    <mergeCell ref="FJ550:FJ551"/>
    <mergeCell ref="FK550:FK551"/>
    <mergeCell ref="FL550:FL551"/>
    <mergeCell ref="FM550:FM551"/>
    <mergeCell ref="FO550:FO551"/>
    <mergeCell ref="FP550:FP551"/>
    <mergeCell ref="FQ550:FQ551"/>
    <mergeCell ref="FR550:FR551"/>
    <mergeCell ref="FS550:FS551"/>
    <mergeCell ref="FT550:FT551"/>
    <mergeCell ref="HX550:HX551"/>
    <mergeCell ref="EC548:EC551"/>
    <mergeCell ref="ED548:ED551"/>
    <mergeCell ref="EE548:EE551"/>
    <mergeCell ref="EF548:EF551"/>
    <mergeCell ref="EG548:EG551"/>
    <mergeCell ref="EH548:EH551"/>
    <mergeCell ref="EI548:EI551"/>
    <mergeCell ref="EJ548:EJ551"/>
    <mergeCell ref="EK548:EK551"/>
    <mergeCell ref="EL548:EL551"/>
    <mergeCell ref="EM548:EM551"/>
    <mergeCell ref="EN548:EN551"/>
    <mergeCell ref="EO548:EO551"/>
    <mergeCell ref="EP548:EP551"/>
    <mergeCell ref="EQ548:EQ551"/>
    <mergeCell ref="ES548:ES551"/>
    <mergeCell ref="EU548:EU549"/>
    <mergeCell ref="EV548:EV549"/>
    <mergeCell ref="EW548:EW549"/>
    <mergeCell ref="EX548:EX549"/>
    <mergeCell ref="EY548:EY549"/>
    <mergeCell ref="EZ548:EZ551"/>
    <mergeCell ref="FB548:FB549"/>
    <mergeCell ref="FD548:FD551"/>
    <mergeCell ref="FE548:FE551"/>
    <mergeCell ref="FI548:FI549"/>
    <mergeCell ref="FJ548:FJ549"/>
    <mergeCell ref="FK548:FK549"/>
    <mergeCell ref="FL548:FL549"/>
    <mergeCell ref="FM548:FM549"/>
    <mergeCell ref="FO548:FO549"/>
    <mergeCell ref="GA548:GA551"/>
    <mergeCell ref="GB548:GB551"/>
    <mergeCell ref="GC548:GC551"/>
    <mergeCell ref="GD548:GD551"/>
    <mergeCell ref="GG548:GG551"/>
    <mergeCell ref="HW548:HW550"/>
    <mergeCell ref="DG548:DG549"/>
    <mergeCell ref="DH548:DH551"/>
    <mergeCell ref="DJ548:DJ549"/>
    <mergeCell ref="DL548:DL551"/>
    <mergeCell ref="DN548:DN551"/>
    <mergeCell ref="DO548:DO549"/>
    <mergeCell ref="DP548:DP551"/>
    <mergeCell ref="DQ548:DQ549"/>
    <mergeCell ref="DR548:DR551"/>
    <mergeCell ref="DS548:DS551"/>
    <mergeCell ref="DU548:DU551"/>
    <mergeCell ref="DV548:DV549"/>
    <mergeCell ref="DW548:DW551"/>
    <mergeCell ref="DX548:DX551"/>
    <mergeCell ref="FR548:FR549"/>
    <mergeCell ref="FS548:FS549"/>
    <mergeCell ref="FT548:FT549"/>
    <mergeCell ref="FW548:FW551"/>
    <mergeCell ref="FX548:FX551"/>
    <mergeCell ref="IA548:IA551"/>
    <mergeCell ref="IB548:IB549"/>
    <mergeCell ref="IC548:IC551"/>
    <mergeCell ref="IF548:IF549"/>
    <mergeCell ref="IG548:IG551"/>
    <mergeCell ref="IH548:IH549"/>
    <mergeCell ref="II548:II551"/>
    <mergeCell ref="E549:F549"/>
    <mergeCell ref="G549:L549"/>
    <mergeCell ref="P549:Q549"/>
    <mergeCell ref="AF549:AI549"/>
    <mergeCell ref="GI549:GI550"/>
    <mergeCell ref="GJ549:GJ550"/>
    <mergeCell ref="GL549:GL550"/>
    <mergeCell ref="GM549:GM550"/>
    <mergeCell ref="HC549:HC550"/>
    <mergeCell ref="HD549:HD550"/>
    <mergeCell ref="HE549:HE550"/>
    <mergeCell ref="HF549:HF550"/>
    <mergeCell ref="HG549:HG550"/>
    <mergeCell ref="HH549:HH550"/>
    <mergeCell ref="HI549:HI550"/>
    <mergeCell ref="HJ549:HJ550"/>
    <mergeCell ref="HK549:HK550"/>
    <mergeCell ref="HL549:HL550"/>
    <mergeCell ref="HM549:HM550"/>
    <mergeCell ref="HN549:HN550"/>
    <mergeCell ref="HO549:HO550"/>
    <mergeCell ref="HP549:HP550"/>
    <mergeCell ref="HQ549:HQ550"/>
    <mergeCell ref="HR549:HR550"/>
    <mergeCell ref="HS549:HS550"/>
    <mergeCell ref="HT549:HT550"/>
    <mergeCell ref="HU549:HU550"/>
    <mergeCell ref="HY549:HY550"/>
    <mergeCell ref="E550:F550"/>
    <mergeCell ref="G550:L550"/>
    <mergeCell ref="P550:Q550"/>
    <mergeCell ref="DZ548:DZ551"/>
    <mergeCell ref="DK550:DK551"/>
    <mergeCell ref="DO550:DO551"/>
    <mergeCell ref="DQ550:DQ551"/>
    <mergeCell ref="DV550:DV551"/>
    <mergeCell ref="EU550:EU551"/>
    <mergeCell ref="EV550:EV551"/>
    <mergeCell ref="E547:AT547"/>
    <mergeCell ref="B548:B551"/>
    <mergeCell ref="C548:D551"/>
    <mergeCell ref="E548:F548"/>
    <mergeCell ref="G548:R548"/>
    <mergeCell ref="S548:S549"/>
    <mergeCell ref="U548:AA548"/>
    <mergeCell ref="AF548:AI548"/>
    <mergeCell ref="AJ548:AJ549"/>
    <mergeCell ref="AK548:AK549"/>
    <mergeCell ref="AL548:AL549"/>
    <mergeCell ref="AM548:AN551"/>
    <mergeCell ref="AO548:AQ551"/>
    <mergeCell ref="AR548:AR551"/>
    <mergeCell ref="AS548:AS551"/>
    <mergeCell ref="AT548:AT551"/>
    <mergeCell ref="AV548:AV551"/>
    <mergeCell ref="AW548:AW551"/>
    <mergeCell ref="CM548:CM551"/>
    <mergeCell ref="CN548:CN551"/>
    <mergeCell ref="CO548:CO549"/>
    <mergeCell ref="CP548:CP549"/>
    <mergeCell ref="CR548:CR549"/>
    <mergeCell ref="CS548:CS549"/>
    <mergeCell ref="CT548:CT549"/>
    <mergeCell ref="CU548:CU549"/>
    <mergeCell ref="CV548:CV549"/>
    <mergeCell ref="CW548:CW549"/>
    <mergeCell ref="CX548:CX551"/>
    <mergeCell ref="CY548:CY551"/>
    <mergeCell ref="S550:S551"/>
    <mergeCell ref="AF550:AI550"/>
    <mergeCell ref="AJ550:AJ551"/>
    <mergeCell ref="AK550:AK551"/>
    <mergeCell ref="AL550:AL551"/>
    <mergeCell ref="CO550:CO551"/>
    <mergeCell ref="CP550:CP551"/>
    <mergeCell ref="CR550:CR551"/>
    <mergeCell ref="CS550:CS551"/>
    <mergeCell ref="CT550:CT551"/>
    <mergeCell ref="CU550:CU551"/>
    <mergeCell ref="CV550:CV551"/>
    <mergeCell ref="CW550:CW551"/>
    <mergeCell ref="HM544:HM545"/>
    <mergeCell ref="HN544:HN545"/>
    <mergeCell ref="HO544:HO545"/>
    <mergeCell ref="HP544:HP545"/>
    <mergeCell ref="HQ544:HQ545"/>
    <mergeCell ref="HR544:HR545"/>
    <mergeCell ref="HS544:HS545"/>
    <mergeCell ref="HT544:HT545"/>
    <mergeCell ref="HU544:HU545"/>
    <mergeCell ref="HY544:HY545"/>
    <mergeCell ref="E545:F545"/>
    <mergeCell ref="G545:L545"/>
    <mergeCell ref="P545:Q545"/>
    <mergeCell ref="S545:S546"/>
    <mergeCell ref="AF545:AI545"/>
    <mergeCell ref="AJ545:AJ546"/>
    <mergeCell ref="AK545:AK546"/>
    <mergeCell ref="AL545:AL546"/>
    <mergeCell ref="CO545:CO546"/>
    <mergeCell ref="CP545:CP546"/>
    <mergeCell ref="CR545:CR546"/>
    <mergeCell ref="CS545:CS546"/>
    <mergeCell ref="CT545:CT546"/>
    <mergeCell ref="CU545:CU546"/>
    <mergeCell ref="HX545:HX546"/>
    <mergeCell ref="IB545:IB546"/>
    <mergeCell ref="IF545:IF546"/>
    <mergeCell ref="IH545:IH546"/>
    <mergeCell ref="E546:F546"/>
    <mergeCell ref="G546:L546"/>
    <mergeCell ref="P546:R546"/>
    <mergeCell ref="U546:AA546"/>
    <mergeCell ref="AF546:AI546"/>
    <mergeCell ref="EJ543:EJ546"/>
    <mergeCell ref="EK543:EK546"/>
    <mergeCell ref="EL543:EL546"/>
    <mergeCell ref="EM543:EM546"/>
    <mergeCell ref="EN543:EN546"/>
    <mergeCell ref="EO543:EO546"/>
    <mergeCell ref="EP543:EP546"/>
    <mergeCell ref="EQ543:EQ546"/>
    <mergeCell ref="ES543:ES546"/>
    <mergeCell ref="EU543:EU544"/>
    <mergeCell ref="EV543:EV544"/>
    <mergeCell ref="EW543:EW544"/>
    <mergeCell ref="EX543:EX544"/>
    <mergeCell ref="EY543:EY544"/>
    <mergeCell ref="EZ543:EZ546"/>
    <mergeCell ref="FB543:FB544"/>
    <mergeCell ref="FD543:FD546"/>
    <mergeCell ref="FE543:FE546"/>
    <mergeCell ref="FI543:FI544"/>
    <mergeCell ref="FJ543:FJ544"/>
    <mergeCell ref="FK543:FK544"/>
    <mergeCell ref="FL543:FL544"/>
    <mergeCell ref="FM543:FM544"/>
    <mergeCell ref="FO543:FO544"/>
    <mergeCell ref="FP543:FP544"/>
    <mergeCell ref="FQ543:FQ544"/>
    <mergeCell ref="FR543:FR544"/>
    <mergeCell ref="FS543:FS544"/>
    <mergeCell ref="FT543:FT544"/>
    <mergeCell ref="FW543:FW546"/>
    <mergeCell ref="FZ543:FZ546"/>
    <mergeCell ref="FX543:FX546"/>
    <mergeCell ref="FY543:FY546"/>
    <mergeCell ref="EU545:EU546"/>
    <mergeCell ref="EV545:EV546"/>
    <mergeCell ref="EW545:EW546"/>
    <mergeCell ref="EX545:EX546"/>
    <mergeCell ref="EY545:EY546"/>
    <mergeCell ref="FB545:FB546"/>
    <mergeCell ref="FI545:FI546"/>
    <mergeCell ref="FJ545:FJ546"/>
    <mergeCell ref="FK545:FK546"/>
    <mergeCell ref="FL545:FL546"/>
    <mergeCell ref="FM545:FM546"/>
    <mergeCell ref="FO545:FO546"/>
    <mergeCell ref="FP545:FP546"/>
    <mergeCell ref="FQ545:FQ546"/>
    <mergeCell ref="FR545:FR546"/>
    <mergeCell ref="FS545:FS546"/>
    <mergeCell ref="FT545:FT546"/>
    <mergeCell ref="EI543:EI546"/>
    <mergeCell ref="FU548:FU549"/>
    <mergeCell ref="CZ543:CZ546"/>
    <mergeCell ref="DA543:DA546"/>
    <mergeCell ref="DC543:DC544"/>
    <mergeCell ref="DD543:DD544"/>
    <mergeCell ref="DE543:DE544"/>
    <mergeCell ref="DF543:DF544"/>
    <mergeCell ref="DG543:DG544"/>
    <mergeCell ref="DH543:DH546"/>
    <mergeCell ref="DJ543:DJ544"/>
    <mergeCell ref="DL543:DL546"/>
    <mergeCell ref="DN543:DN546"/>
    <mergeCell ref="DO543:DO544"/>
    <mergeCell ref="DP543:DP546"/>
    <mergeCell ref="DQ543:DQ544"/>
    <mergeCell ref="DR543:DR546"/>
    <mergeCell ref="DS543:DS546"/>
    <mergeCell ref="DU543:DU546"/>
    <mergeCell ref="DV543:DV544"/>
    <mergeCell ref="DW543:DW546"/>
    <mergeCell ref="DX543:DX546"/>
    <mergeCell ref="DZ543:DZ546"/>
    <mergeCell ref="EA543:EA546"/>
    <mergeCell ref="EC543:EC546"/>
    <mergeCell ref="ED543:ED546"/>
    <mergeCell ref="EE543:EE546"/>
    <mergeCell ref="EF543:EF546"/>
    <mergeCell ref="EG543:EG546"/>
    <mergeCell ref="EH543:EH546"/>
    <mergeCell ref="DC545:DC546"/>
    <mergeCell ref="DD545:DD546"/>
    <mergeCell ref="DE545:DE546"/>
    <mergeCell ref="DF545:DF546"/>
    <mergeCell ref="DG545:DG546"/>
    <mergeCell ref="DK545:DK546"/>
    <mergeCell ref="DO545:DO546"/>
    <mergeCell ref="DQ545:DQ546"/>
    <mergeCell ref="DV545:DV546"/>
    <mergeCell ref="CZ548:CZ551"/>
    <mergeCell ref="DA548:DA551"/>
    <mergeCell ref="DC548:DC549"/>
    <mergeCell ref="DD548:DD549"/>
    <mergeCell ref="DE548:DE549"/>
    <mergeCell ref="DF548:DF549"/>
    <mergeCell ref="E542:AT542"/>
    <mergeCell ref="B543:B546"/>
    <mergeCell ref="C543:D546"/>
    <mergeCell ref="E543:F543"/>
    <mergeCell ref="G543:R543"/>
    <mergeCell ref="S543:S544"/>
    <mergeCell ref="U543:AA543"/>
    <mergeCell ref="AF543:AI543"/>
    <mergeCell ref="AJ543:AJ544"/>
    <mergeCell ref="AK543:AK544"/>
    <mergeCell ref="AL543:AL544"/>
    <mergeCell ref="AM543:AN546"/>
    <mergeCell ref="AO543:AQ546"/>
    <mergeCell ref="AR543:AR546"/>
    <mergeCell ref="AS543:AS546"/>
    <mergeCell ref="AT543:AT546"/>
    <mergeCell ref="AV543:AV546"/>
    <mergeCell ref="AW543:AW546"/>
    <mergeCell ref="CM543:CM546"/>
    <mergeCell ref="CN543:CN546"/>
    <mergeCell ref="CO543:CO544"/>
    <mergeCell ref="CP543:CP544"/>
    <mergeCell ref="CR543:CR544"/>
    <mergeCell ref="CS543:CS544"/>
    <mergeCell ref="CT543:CT544"/>
    <mergeCell ref="CU543:CU544"/>
    <mergeCell ref="CV543:CV544"/>
    <mergeCell ref="CW543:CW544"/>
    <mergeCell ref="CX543:CX546"/>
    <mergeCell ref="CY543:CY546"/>
    <mergeCell ref="CV545:CV546"/>
    <mergeCell ref="CW545:CW546"/>
    <mergeCell ref="E544:F544"/>
    <mergeCell ref="G544:L544"/>
    <mergeCell ref="P544:Q544"/>
    <mergeCell ref="AF544:AI544"/>
    <mergeCell ref="EN538:EN541"/>
    <mergeCell ref="EO538:EO541"/>
    <mergeCell ref="EP538:EP541"/>
    <mergeCell ref="EQ538:EQ541"/>
    <mergeCell ref="ES538:ES541"/>
    <mergeCell ref="EU538:EU539"/>
    <mergeCell ref="EV538:EV539"/>
    <mergeCell ref="EW538:EW539"/>
    <mergeCell ref="EX538:EX539"/>
    <mergeCell ref="IB540:IB541"/>
    <mergeCell ref="IF540:IF541"/>
    <mergeCell ref="IH540:IH541"/>
    <mergeCell ref="FW538:FW541"/>
    <mergeCell ref="FX538:FX541"/>
    <mergeCell ref="FY538:FY541"/>
    <mergeCell ref="FZ538:FZ541"/>
    <mergeCell ref="GA538:GA541"/>
    <mergeCell ref="GB538:GB541"/>
    <mergeCell ref="GC538:GC541"/>
    <mergeCell ref="GD538:GD541"/>
    <mergeCell ref="GG538:GG541"/>
    <mergeCell ref="HW538:HW540"/>
    <mergeCell ref="HX538:HX539"/>
    <mergeCell ref="IA538:IA541"/>
    <mergeCell ref="IB538:IB539"/>
    <mergeCell ref="IC538:IC541"/>
    <mergeCell ref="IF538:IF539"/>
    <mergeCell ref="IG538:IG541"/>
    <mergeCell ref="IH538:IH539"/>
    <mergeCell ref="EY538:EY539"/>
    <mergeCell ref="EZ538:EZ541"/>
    <mergeCell ref="FB538:FB539"/>
    <mergeCell ref="FD538:FD541"/>
    <mergeCell ref="FE538:FE541"/>
    <mergeCell ref="FI538:FI539"/>
    <mergeCell ref="FJ538:FJ539"/>
    <mergeCell ref="FK538:FK539"/>
    <mergeCell ref="FL538:FL539"/>
    <mergeCell ref="FM538:FM539"/>
    <mergeCell ref="FO538:FO539"/>
    <mergeCell ref="FP538:FP539"/>
    <mergeCell ref="FQ538:FQ539"/>
    <mergeCell ref="FR538:FR539"/>
    <mergeCell ref="FQ540:FQ541"/>
    <mergeCell ref="FR540:FR541"/>
    <mergeCell ref="FS540:FS541"/>
    <mergeCell ref="FT540:FT541"/>
    <mergeCell ref="HX540:HX541"/>
    <mergeCell ref="DC538:DC539"/>
    <mergeCell ref="DD538:DD539"/>
    <mergeCell ref="DE538:DE539"/>
    <mergeCell ref="DF538:DF539"/>
    <mergeCell ref="DG538:DG539"/>
    <mergeCell ref="DH538:DH541"/>
    <mergeCell ref="DJ538:DJ539"/>
    <mergeCell ref="DL538:DL541"/>
    <mergeCell ref="DN538:DN541"/>
    <mergeCell ref="DO538:DO539"/>
    <mergeCell ref="DP538:DP541"/>
    <mergeCell ref="DQ538:DQ539"/>
    <mergeCell ref="DR538:DR541"/>
    <mergeCell ref="DS538:DS541"/>
    <mergeCell ref="DU538:DU541"/>
    <mergeCell ref="DV538:DV539"/>
    <mergeCell ref="DW538:DW541"/>
    <mergeCell ref="DX538:DX541"/>
    <mergeCell ref="DZ538:DZ541"/>
    <mergeCell ref="EA538:EA541"/>
    <mergeCell ref="EC538:EC541"/>
    <mergeCell ref="CU540:CU541"/>
    <mergeCell ref="CV540:CV541"/>
    <mergeCell ref="II538:II541"/>
    <mergeCell ref="E539:F539"/>
    <mergeCell ref="G539:L539"/>
    <mergeCell ref="P539:Q539"/>
    <mergeCell ref="AF539:AI539"/>
    <mergeCell ref="GI539:GI540"/>
    <mergeCell ref="GJ539:GJ540"/>
    <mergeCell ref="GL539:GL540"/>
    <mergeCell ref="GM539:GM540"/>
    <mergeCell ref="HC539:HC540"/>
    <mergeCell ref="HD539:HD540"/>
    <mergeCell ref="HE539:HE540"/>
    <mergeCell ref="HF539:HF540"/>
    <mergeCell ref="HG539:HG540"/>
    <mergeCell ref="HH539:HH540"/>
    <mergeCell ref="HI539:HI540"/>
    <mergeCell ref="HJ539:HJ540"/>
    <mergeCell ref="HK539:HK540"/>
    <mergeCell ref="HL539:HL540"/>
    <mergeCell ref="HM539:HM540"/>
    <mergeCell ref="HN539:HN540"/>
    <mergeCell ref="HO539:HO540"/>
    <mergeCell ref="HP539:HP540"/>
    <mergeCell ref="HQ539:HQ540"/>
    <mergeCell ref="HR539:HR540"/>
    <mergeCell ref="HS539:HS540"/>
    <mergeCell ref="HT539:HT540"/>
    <mergeCell ref="HU539:HU540"/>
    <mergeCell ref="HY539:HY540"/>
    <mergeCell ref="E540:F540"/>
    <mergeCell ref="G540:L540"/>
    <mergeCell ref="P540:Q540"/>
    <mergeCell ref="S540:S541"/>
    <mergeCell ref="EF538:EF541"/>
    <mergeCell ref="EG538:EG541"/>
    <mergeCell ref="EH538:EH541"/>
    <mergeCell ref="EI538:EI541"/>
    <mergeCell ref="EJ538:EJ541"/>
    <mergeCell ref="EK538:EK541"/>
    <mergeCell ref="EL538:EL541"/>
    <mergeCell ref="EM538:EM541"/>
    <mergeCell ref="FU535:FU536"/>
    <mergeCell ref="G536:L536"/>
    <mergeCell ref="P536:R536"/>
    <mergeCell ref="U536:AA536"/>
    <mergeCell ref="AF536:AI536"/>
    <mergeCell ref="E537:AT537"/>
    <mergeCell ref="B538:B541"/>
    <mergeCell ref="C538:D541"/>
    <mergeCell ref="E538:F538"/>
    <mergeCell ref="G538:R538"/>
    <mergeCell ref="S538:S539"/>
    <mergeCell ref="U538:AA538"/>
    <mergeCell ref="AF538:AI538"/>
    <mergeCell ref="AJ538:AJ539"/>
    <mergeCell ref="AK538:AK539"/>
    <mergeCell ref="AL538:AL539"/>
    <mergeCell ref="AM538:AN541"/>
    <mergeCell ref="AO538:AQ541"/>
    <mergeCell ref="AR538:AR541"/>
    <mergeCell ref="AS538:AS541"/>
    <mergeCell ref="AT538:AT541"/>
    <mergeCell ref="AV538:AV541"/>
    <mergeCell ref="AW538:AW541"/>
    <mergeCell ref="CM538:CM541"/>
    <mergeCell ref="CN538:CN541"/>
    <mergeCell ref="CO538:CO539"/>
    <mergeCell ref="CP538:CP539"/>
    <mergeCell ref="CR538:CR539"/>
    <mergeCell ref="CS538:CS539"/>
    <mergeCell ref="CT538:CT539"/>
    <mergeCell ref="CU538:CU539"/>
    <mergeCell ref="AF540:AI540"/>
    <mergeCell ref="AJ540:AJ541"/>
    <mergeCell ref="AK540:AK541"/>
    <mergeCell ref="AL540:AL541"/>
    <mergeCell ref="CO540:CO541"/>
    <mergeCell ref="CP540:CP541"/>
    <mergeCell ref="CR540:CR541"/>
    <mergeCell ref="CS540:CS541"/>
    <mergeCell ref="CT540:CT541"/>
    <mergeCell ref="E541:F541"/>
    <mergeCell ref="G541:L541"/>
    <mergeCell ref="P541:R541"/>
    <mergeCell ref="U541:AA541"/>
    <mergeCell ref="AF541:AI541"/>
    <mergeCell ref="CR535:CR536"/>
    <mergeCell ref="CS535:CS536"/>
    <mergeCell ref="CV538:CV539"/>
    <mergeCell ref="CW538:CW539"/>
    <mergeCell ref="CX538:CX541"/>
    <mergeCell ref="CY538:CY541"/>
    <mergeCell ref="CZ538:CZ541"/>
    <mergeCell ref="DA538:DA541"/>
    <mergeCell ref="AK535:AK536"/>
    <mergeCell ref="AL535:AL536"/>
    <mergeCell ref="CO535:CO536"/>
    <mergeCell ref="CP535:CP536"/>
    <mergeCell ref="DZ533:DZ536"/>
    <mergeCell ref="FM533:FM534"/>
    <mergeCell ref="FO533:FO534"/>
    <mergeCell ref="FP533:FP534"/>
    <mergeCell ref="FQ533:FQ534"/>
    <mergeCell ref="EC533:EC536"/>
    <mergeCell ref="ED533:ED536"/>
    <mergeCell ref="IH535:IH536"/>
    <mergeCell ref="E536:F536"/>
    <mergeCell ref="ED538:ED541"/>
    <mergeCell ref="EE538:EE541"/>
    <mergeCell ref="CT535:CT536"/>
    <mergeCell ref="CU535:CU536"/>
    <mergeCell ref="CV535:CV536"/>
    <mergeCell ref="CW535:CW536"/>
    <mergeCell ref="DC535:DC536"/>
    <mergeCell ref="DD535:DD536"/>
    <mergeCell ref="DE535:DE536"/>
    <mergeCell ref="DF535:DF536"/>
    <mergeCell ref="DG535:DG536"/>
    <mergeCell ref="DK535:DK536"/>
    <mergeCell ref="DO535:DO536"/>
    <mergeCell ref="DQ535:DQ536"/>
    <mergeCell ref="DV535:DV536"/>
    <mergeCell ref="EU535:EU536"/>
    <mergeCell ref="EV535:EV536"/>
    <mergeCell ref="EW535:EW536"/>
    <mergeCell ref="EX535:EX536"/>
    <mergeCell ref="EY535:EY536"/>
    <mergeCell ref="FB535:FB536"/>
    <mergeCell ref="FI535:FI536"/>
    <mergeCell ref="FJ535:FJ536"/>
    <mergeCell ref="FK535:FK536"/>
    <mergeCell ref="FL535:FL536"/>
    <mergeCell ref="FM535:FM536"/>
    <mergeCell ref="FO535:FO536"/>
    <mergeCell ref="FP535:FP536"/>
    <mergeCell ref="FQ535:FQ536"/>
    <mergeCell ref="FR535:FR536"/>
    <mergeCell ref="FS535:FS536"/>
    <mergeCell ref="FT535:FT536"/>
    <mergeCell ref="HX535:HX536"/>
    <mergeCell ref="FS538:FS539"/>
    <mergeCell ref="FT538:FT539"/>
    <mergeCell ref="CW540:CW541"/>
    <mergeCell ref="DC540:DC541"/>
    <mergeCell ref="DD540:DD541"/>
    <mergeCell ref="DE540:DE541"/>
    <mergeCell ref="DF540:DF541"/>
    <mergeCell ref="DG540:DG541"/>
    <mergeCell ref="DK540:DK541"/>
    <mergeCell ref="DO540:DO541"/>
    <mergeCell ref="DQ540:DQ541"/>
    <mergeCell ref="DV540:DV541"/>
    <mergeCell ref="EU540:EU541"/>
    <mergeCell ref="EV540:EV541"/>
    <mergeCell ref="EW540:EW541"/>
    <mergeCell ref="EX540:EX541"/>
    <mergeCell ref="EY540:EY541"/>
    <mergeCell ref="FB540:FB541"/>
    <mergeCell ref="FI540:FI541"/>
    <mergeCell ref="FJ540:FJ541"/>
    <mergeCell ref="FK540:FK541"/>
    <mergeCell ref="FL540:FL541"/>
    <mergeCell ref="FM540:FM541"/>
    <mergeCell ref="FO540:FO541"/>
    <mergeCell ref="FP540:FP541"/>
    <mergeCell ref="DU533:DU536"/>
    <mergeCell ref="DV533:DV534"/>
    <mergeCell ref="DW533:DW536"/>
    <mergeCell ref="DX533:DX536"/>
    <mergeCell ref="FT533:FT534"/>
    <mergeCell ref="FW533:FW536"/>
    <mergeCell ref="FX533:FX536"/>
    <mergeCell ref="FY533:FY536"/>
    <mergeCell ref="FZ533:FZ536"/>
    <mergeCell ref="GA533:GA536"/>
    <mergeCell ref="GB533:GB536"/>
    <mergeCell ref="GC533:GC536"/>
    <mergeCell ref="GD533:GD536"/>
    <mergeCell ref="GG533:GG536"/>
    <mergeCell ref="HW533:HW535"/>
    <mergeCell ref="HX533:HX534"/>
    <mergeCell ref="IA533:IA536"/>
    <mergeCell ref="IB533:IB534"/>
    <mergeCell ref="IC533:IC536"/>
    <mergeCell ref="IF533:IF534"/>
    <mergeCell ref="IG533:IG536"/>
    <mergeCell ref="IH533:IH534"/>
    <mergeCell ref="II533:II536"/>
    <mergeCell ref="E534:F534"/>
    <mergeCell ref="G534:L534"/>
    <mergeCell ref="P534:Q534"/>
    <mergeCell ref="AF534:AI534"/>
    <mergeCell ref="GI534:GI535"/>
    <mergeCell ref="GJ534:GJ535"/>
    <mergeCell ref="GL534:GL535"/>
    <mergeCell ref="GM534:GM535"/>
    <mergeCell ref="HC534:HC535"/>
    <mergeCell ref="HD534:HD535"/>
    <mergeCell ref="HE534:HE535"/>
    <mergeCell ref="HF534:HF535"/>
    <mergeCell ref="HG534:HG535"/>
    <mergeCell ref="HH534:HH535"/>
    <mergeCell ref="HI534:HI535"/>
    <mergeCell ref="HJ534:HJ535"/>
    <mergeCell ref="HK534:HK535"/>
    <mergeCell ref="HL534:HL535"/>
    <mergeCell ref="HM534:HM535"/>
    <mergeCell ref="HN534:HN535"/>
    <mergeCell ref="HO534:HO535"/>
    <mergeCell ref="HP534:HP535"/>
    <mergeCell ref="HQ534:HQ535"/>
    <mergeCell ref="HR534:HR535"/>
    <mergeCell ref="HS534:HS535"/>
    <mergeCell ref="HT534:HT535"/>
    <mergeCell ref="HU534:HU535"/>
    <mergeCell ref="HY534:HY535"/>
    <mergeCell ref="E535:F535"/>
    <mergeCell ref="G535:L535"/>
    <mergeCell ref="P535:Q535"/>
    <mergeCell ref="S535:S536"/>
    <mergeCell ref="AF535:AI535"/>
    <mergeCell ref="AJ535:AJ536"/>
    <mergeCell ref="EA533:EA536"/>
    <mergeCell ref="EE533:EE536"/>
    <mergeCell ref="EF533:EF536"/>
    <mergeCell ref="EG533:EG536"/>
    <mergeCell ref="EH533:EH536"/>
    <mergeCell ref="EI533:EI536"/>
    <mergeCell ref="EJ533:EJ536"/>
    <mergeCell ref="EK533:EK536"/>
    <mergeCell ref="EL533:EL536"/>
    <mergeCell ref="EM533:EM536"/>
    <mergeCell ref="EN533:EN536"/>
    <mergeCell ref="EO533:EO536"/>
    <mergeCell ref="EP533:EP536"/>
    <mergeCell ref="EQ533:EQ536"/>
    <mergeCell ref="ES533:ES536"/>
    <mergeCell ref="EU533:EU534"/>
    <mergeCell ref="EV533:EV534"/>
    <mergeCell ref="EW533:EW534"/>
    <mergeCell ref="EX533:EX534"/>
    <mergeCell ref="EY533:EY534"/>
    <mergeCell ref="EZ533:EZ536"/>
    <mergeCell ref="FB533:FB534"/>
    <mergeCell ref="FD533:FD536"/>
    <mergeCell ref="FE533:FE536"/>
    <mergeCell ref="FI533:FI534"/>
    <mergeCell ref="FJ533:FJ534"/>
    <mergeCell ref="FK533:FK534"/>
    <mergeCell ref="FL533:FL534"/>
    <mergeCell ref="DV530:DV531"/>
    <mergeCell ref="EU530:EU531"/>
    <mergeCell ref="EV530:EV531"/>
    <mergeCell ref="EW530:EW531"/>
    <mergeCell ref="EX530:EX531"/>
    <mergeCell ref="EY530:EY531"/>
    <mergeCell ref="ED528:ED531"/>
    <mergeCell ref="EE528:EE531"/>
    <mergeCell ref="EF528:EF531"/>
    <mergeCell ref="EG528:EG531"/>
    <mergeCell ref="EH528:EH531"/>
    <mergeCell ref="EI528:EI531"/>
    <mergeCell ref="EJ528:EJ531"/>
    <mergeCell ref="EK528:EK531"/>
    <mergeCell ref="EL528:EL531"/>
    <mergeCell ref="FB530:FB531"/>
    <mergeCell ref="FI530:FI531"/>
    <mergeCell ref="FJ530:FJ531"/>
    <mergeCell ref="FK530:FK531"/>
    <mergeCell ref="FL530:FL531"/>
    <mergeCell ref="EA528:EA531"/>
    <mergeCell ref="EC528:EC531"/>
    <mergeCell ref="FJ528:FJ529"/>
    <mergeCell ref="FK528:FK529"/>
    <mergeCell ref="FL528:FL529"/>
    <mergeCell ref="FR533:FR534"/>
    <mergeCell ref="FS533:FS534"/>
    <mergeCell ref="IF530:IF531"/>
    <mergeCell ref="IH530:IH531"/>
    <mergeCell ref="E531:F531"/>
    <mergeCell ref="G531:L531"/>
    <mergeCell ref="P531:R531"/>
    <mergeCell ref="U531:AA531"/>
    <mergeCell ref="AF531:AI531"/>
    <mergeCell ref="E532:AT532"/>
    <mergeCell ref="B533:B536"/>
    <mergeCell ref="C533:D536"/>
    <mergeCell ref="E533:F533"/>
    <mergeCell ref="G533:R533"/>
    <mergeCell ref="S533:S534"/>
    <mergeCell ref="U533:AA533"/>
    <mergeCell ref="AF533:AI533"/>
    <mergeCell ref="AJ533:AJ534"/>
    <mergeCell ref="AK533:AK534"/>
    <mergeCell ref="AL533:AL534"/>
    <mergeCell ref="AM533:AN536"/>
    <mergeCell ref="AO533:AQ536"/>
    <mergeCell ref="AR533:AR536"/>
    <mergeCell ref="AS533:AS536"/>
    <mergeCell ref="AT533:AT536"/>
    <mergeCell ref="AV533:AV536"/>
    <mergeCell ref="AW533:AW536"/>
    <mergeCell ref="CM533:CM536"/>
    <mergeCell ref="CN533:CN536"/>
    <mergeCell ref="CO533:CO534"/>
    <mergeCell ref="CP533:CP534"/>
    <mergeCell ref="CR533:CR534"/>
    <mergeCell ref="CS533:CS534"/>
    <mergeCell ref="CT533:CT534"/>
    <mergeCell ref="CU533:CU534"/>
    <mergeCell ref="CV533:CV534"/>
    <mergeCell ref="CW533:CW534"/>
    <mergeCell ref="CX533:CX536"/>
    <mergeCell ref="CY533:CY536"/>
    <mergeCell ref="CZ533:CZ536"/>
    <mergeCell ref="DA533:DA536"/>
    <mergeCell ref="DC533:DC534"/>
    <mergeCell ref="DD533:DD534"/>
    <mergeCell ref="DE533:DE534"/>
    <mergeCell ref="DF533:DF534"/>
    <mergeCell ref="DG533:DG534"/>
    <mergeCell ref="DH533:DH536"/>
    <mergeCell ref="DJ533:DJ534"/>
    <mergeCell ref="DL533:DL536"/>
    <mergeCell ref="DN533:DN536"/>
    <mergeCell ref="DO533:DO534"/>
    <mergeCell ref="DP533:DP536"/>
    <mergeCell ref="DQ533:DQ534"/>
    <mergeCell ref="DR533:DR536"/>
    <mergeCell ref="DS533:DS536"/>
    <mergeCell ref="EM528:EM531"/>
    <mergeCell ref="EN528:EN531"/>
    <mergeCell ref="EO528:EO531"/>
    <mergeCell ref="EP528:EP531"/>
    <mergeCell ref="EQ528:EQ531"/>
    <mergeCell ref="ES528:ES531"/>
    <mergeCell ref="B528:B531"/>
    <mergeCell ref="C528:D531"/>
    <mergeCell ref="E528:F528"/>
    <mergeCell ref="G528:R528"/>
    <mergeCell ref="S528:S529"/>
    <mergeCell ref="U528:AA528"/>
    <mergeCell ref="AF528:AI528"/>
    <mergeCell ref="AJ528:AJ529"/>
    <mergeCell ref="AK528:AK529"/>
    <mergeCell ref="AL528:AL529"/>
    <mergeCell ref="AM528:AN531"/>
    <mergeCell ref="AO528:AQ531"/>
    <mergeCell ref="AR528:AR531"/>
    <mergeCell ref="AS528:AS531"/>
    <mergeCell ref="AT528:AT531"/>
    <mergeCell ref="AV528:AV531"/>
    <mergeCell ref="AW528:AW531"/>
    <mergeCell ref="CM528:CM531"/>
    <mergeCell ref="CN528:CN531"/>
    <mergeCell ref="CO528:CO529"/>
    <mergeCell ref="CP528:CP529"/>
    <mergeCell ref="CR528:CR529"/>
    <mergeCell ref="CS528:CS529"/>
    <mergeCell ref="CT528:CT529"/>
    <mergeCell ref="CU528:CU529"/>
    <mergeCell ref="CV528:CV529"/>
    <mergeCell ref="CW528:CW529"/>
    <mergeCell ref="CX528:CX531"/>
    <mergeCell ref="CY528:CY531"/>
    <mergeCell ref="CZ528:CZ531"/>
    <mergeCell ref="E529:F529"/>
    <mergeCell ref="G529:L529"/>
    <mergeCell ref="P529:Q529"/>
    <mergeCell ref="CO530:CO531"/>
    <mergeCell ref="CP530:CP531"/>
    <mergeCell ref="CR530:CR531"/>
    <mergeCell ref="CS530:CS531"/>
    <mergeCell ref="CT530:CT531"/>
    <mergeCell ref="CU530:CU531"/>
    <mergeCell ref="CV530:CV531"/>
    <mergeCell ref="CW530:CW531"/>
    <mergeCell ref="AF529:AI529"/>
    <mergeCell ref="E530:F530"/>
    <mergeCell ref="G530:L530"/>
    <mergeCell ref="P530:Q530"/>
    <mergeCell ref="S530:S531"/>
    <mergeCell ref="AF530:AI530"/>
    <mergeCell ref="AJ530:AJ531"/>
    <mergeCell ref="AK530:AK531"/>
    <mergeCell ref="AL530:AL531"/>
    <mergeCell ref="IH525:IH526"/>
    <mergeCell ref="IB525:IB526"/>
    <mergeCell ref="FT525:FT526"/>
    <mergeCell ref="HX525:HX526"/>
    <mergeCell ref="FR523:FR524"/>
    <mergeCell ref="FS523:FS524"/>
    <mergeCell ref="FT523:FT524"/>
    <mergeCell ref="FW523:FW526"/>
    <mergeCell ref="FX523:FX526"/>
    <mergeCell ref="FY523:FY526"/>
    <mergeCell ref="FZ523:FZ526"/>
    <mergeCell ref="GA523:GA526"/>
    <mergeCell ref="GB523:GB526"/>
    <mergeCell ref="GC523:GC526"/>
    <mergeCell ref="GD523:GD526"/>
    <mergeCell ref="E526:F526"/>
    <mergeCell ref="G526:L526"/>
    <mergeCell ref="P526:R526"/>
    <mergeCell ref="U526:AA526"/>
    <mergeCell ref="AF526:AI526"/>
    <mergeCell ref="E527:AT527"/>
    <mergeCell ref="DA528:DA531"/>
    <mergeCell ref="DC528:DC529"/>
    <mergeCell ref="DD528:DD529"/>
    <mergeCell ref="DE528:DE529"/>
    <mergeCell ref="DF528:DF529"/>
    <mergeCell ref="DG528:DG529"/>
    <mergeCell ref="DH528:DH531"/>
    <mergeCell ref="DJ528:DJ529"/>
    <mergeCell ref="DL528:DL531"/>
    <mergeCell ref="DN528:DN531"/>
    <mergeCell ref="DO528:DO529"/>
    <mergeCell ref="DP528:DP531"/>
    <mergeCell ref="DQ528:DQ529"/>
    <mergeCell ref="DR528:DR531"/>
    <mergeCell ref="DS528:DS531"/>
    <mergeCell ref="DU528:DU531"/>
    <mergeCell ref="DV528:DV529"/>
    <mergeCell ref="DW528:DW531"/>
    <mergeCell ref="DX528:DX531"/>
    <mergeCell ref="DZ528:DZ531"/>
    <mergeCell ref="FS528:FS529"/>
    <mergeCell ref="FT528:FT529"/>
    <mergeCell ref="IC528:IC531"/>
    <mergeCell ref="IF528:IF529"/>
    <mergeCell ref="IG528:IG531"/>
    <mergeCell ref="IH528:IH529"/>
    <mergeCell ref="GI529:GI530"/>
    <mergeCell ref="GJ529:GJ530"/>
    <mergeCell ref="EU528:EU529"/>
    <mergeCell ref="EV528:EV529"/>
    <mergeCell ref="EW528:EW529"/>
    <mergeCell ref="EX528:EX529"/>
    <mergeCell ref="EY528:EY529"/>
    <mergeCell ref="EZ528:EZ531"/>
    <mergeCell ref="FB528:FB529"/>
    <mergeCell ref="FD528:FD531"/>
    <mergeCell ref="FE528:FE531"/>
    <mergeCell ref="FI528:FI529"/>
    <mergeCell ref="HW528:HW530"/>
    <mergeCell ref="HX528:HX529"/>
    <mergeCell ref="FL525:FL526"/>
    <mergeCell ref="FM525:FM526"/>
    <mergeCell ref="FO525:FO526"/>
    <mergeCell ref="FM528:FM529"/>
    <mergeCell ref="FO528:FO529"/>
    <mergeCell ref="FP528:FP529"/>
    <mergeCell ref="IF525:IF526"/>
    <mergeCell ref="FP525:FP526"/>
    <mergeCell ref="FQ525:FQ526"/>
    <mergeCell ref="FR525:FR526"/>
    <mergeCell ref="FS525:FS526"/>
    <mergeCell ref="EQ523:EQ526"/>
    <mergeCell ref="GI524:GI525"/>
    <mergeCell ref="GJ524:GJ525"/>
    <mergeCell ref="GL524:GL525"/>
    <mergeCell ref="GM524:GM525"/>
    <mergeCell ref="HC524:HC525"/>
    <mergeCell ref="HD524:HD525"/>
    <mergeCell ref="HE524:HE525"/>
    <mergeCell ref="HF524:HF525"/>
    <mergeCell ref="HG524:HG525"/>
    <mergeCell ref="HH524:HH525"/>
    <mergeCell ref="HI524:HI525"/>
    <mergeCell ref="HJ524:HJ525"/>
    <mergeCell ref="HK524:HK525"/>
    <mergeCell ref="HL524:HL525"/>
    <mergeCell ref="HM524:HM525"/>
    <mergeCell ref="HN524:HN525"/>
    <mergeCell ref="HO524:HO525"/>
    <mergeCell ref="HP524:HP525"/>
    <mergeCell ref="HQ524:HQ525"/>
    <mergeCell ref="HR524:HR525"/>
    <mergeCell ref="HS524:HS525"/>
    <mergeCell ref="HT524:HT525"/>
    <mergeCell ref="GL529:GL530"/>
    <mergeCell ref="IB530:IB531"/>
    <mergeCell ref="GM529:GM530"/>
    <mergeCell ref="FE523:FE526"/>
    <mergeCell ref="HX530:HX531"/>
    <mergeCell ref="DC530:DC531"/>
    <mergeCell ref="DD530:DD531"/>
    <mergeCell ref="DE530:DE531"/>
    <mergeCell ref="DF530:DF531"/>
    <mergeCell ref="DG530:DG531"/>
    <mergeCell ref="DK530:DK531"/>
    <mergeCell ref="DO530:DO531"/>
    <mergeCell ref="DQ530:DQ531"/>
    <mergeCell ref="FW528:FW531"/>
    <mergeCell ref="FX528:FX531"/>
    <mergeCell ref="FY528:FY531"/>
    <mergeCell ref="FZ528:FZ531"/>
    <mergeCell ref="GA528:GA531"/>
    <mergeCell ref="GB528:GB531"/>
    <mergeCell ref="GC528:GC531"/>
    <mergeCell ref="GD528:GD531"/>
    <mergeCell ref="GG528:GG531"/>
    <mergeCell ref="HC529:HC530"/>
    <mergeCell ref="HD529:HD530"/>
    <mergeCell ref="HE529:HE530"/>
    <mergeCell ref="FP523:FP524"/>
    <mergeCell ref="FQ523:FQ524"/>
    <mergeCell ref="FT530:FT531"/>
    <mergeCell ref="ES523:ES526"/>
    <mergeCell ref="EU523:EU524"/>
    <mergeCell ref="EV523:EV524"/>
    <mergeCell ref="EW523:EW524"/>
    <mergeCell ref="FM530:FM531"/>
    <mergeCell ref="FO530:FO531"/>
    <mergeCell ref="FP530:FP531"/>
    <mergeCell ref="FQ530:FQ531"/>
    <mergeCell ref="FR530:FR531"/>
    <mergeCell ref="EX523:EX524"/>
    <mergeCell ref="EY523:EY524"/>
    <mergeCell ref="FS530:FS531"/>
    <mergeCell ref="FI523:FI524"/>
    <mergeCell ref="FJ523:FJ524"/>
    <mergeCell ref="FK523:FK524"/>
    <mergeCell ref="FL523:FL524"/>
    <mergeCell ref="FU523:FU524"/>
    <mergeCell ref="FQ528:FQ529"/>
    <mergeCell ref="FR528:FR529"/>
    <mergeCell ref="EZ523:EZ526"/>
    <mergeCell ref="FB523:FB524"/>
    <mergeCell ref="FD523:FD526"/>
    <mergeCell ref="FM523:FM524"/>
    <mergeCell ref="FO523:FO524"/>
    <mergeCell ref="DD525:DD526"/>
    <mergeCell ref="DE525:DE526"/>
    <mergeCell ref="DF525:DF526"/>
    <mergeCell ref="DG525:DG526"/>
    <mergeCell ref="DK525:DK526"/>
    <mergeCell ref="DO525:DO526"/>
    <mergeCell ref="DQ525:DQ526"/>
    <mergeCell ref="DV525:DV526"/>
    <mergeCell ref="EU525:EU526"/>
    <mergeCell ref="EV525:EV526"/>
    <mergeCell ref="EW525:EW526"/>
    <mergeCell ref="EX525:EX526"/>
    <mergeCell ref="EY525:EY526"/>
    <mergeCell ref="FB525:FB526"/>
    <mergeCell ref="FI525:FI526"/>
    <mergeCell ref="FJ525:FJ526"/>
    <mergeCell ref="FK525:FK526"/>
    <mergeCell ref="E525:F525"/>
    <mergeCell ref="G525:L525"/>
    <mergeCell ref="P525:Q525"/>
    <mergeCell ref="S525:S526"/>
    <mergeCell ref="AF525:AI525"/>
    <mergeCell ref="AJ525:AJ526"/>
    <mergeCell ref="AK525:AK526"/>
    <mergeCell ref="AL525:AL526"/>
    <mergeCell ref="CO525:CO526"/>
    <mergeCell ref="CP525:CP526"/>
    <mergeCell ref="EC523:EC526"/>
    <mergeCell ref="ED523:ED526"/>
    <mergeCell ref="EE523:EE526"/>
    <mergeCell ref="EF523:EF526"/>
    <mergeCell ref="EG523:EG526"/>
    <mergeCell ref="EH523:EH526"/>
    <mergeCell ref="EI523:EI526"/>
    <mergeCell ref="EJ523:EJ526"/>
    <mergeCell ref="EK523:EK526"/>
    <mergeCell ref="EL523:EL526"/>
    <mergeCell ref="EM523:EM526"/>
    <mergeCell ref="EN523:EN526"/>
    <mergeCell ref="EO523:EO526"/>
    <mergeCell ref="EP523:EP526"/>
    <mergeCell ref="CR525:CR526"/>
    <mergeCell ref="CS525:CS526"/>
    <mergeCell ref="CT525:CT526"/>
    <mergeCell ref="CU525:CU526"/>
    <mergeCell ref="CV525:CV526"/>
    <mergeCell ref="CW525:CW526"/>
    <mergeCell ref="DC525:DC526"/>
    <mergeCell ref="DZ523:DZ526"/>
    <mergeCell ref="EA523:EA526"/>
    <mergeCell ref="DO523:DO524"/>
    <mergeCell ref="DP523:DP526"/>
    <mergeCell ref="DQ523:DQ524"/>
    <mergeCell ref="DR523:DR526"/>
    <mergeCell ref="DS523:DS526"/>
    <mergeCell ref="DU523:DU526"/>
    <mergeCell ref="DV523:DV524"/>
    <mergeCell ref="DW523:DW526"/>
    <mergeCell ref="DX523:DX526"/>
    <mergeCell ref="E524:F524"/>
    <mergeCell ref="G524:L524"/>
    <mergeCell ref="P524:Q524"/>
    <mergeCell ref="AF524:AI524"/>
    <mergeCell ref="IF520:IF521"/>
    <mergeCell ref="IH520:IH521"/>
    <mergeCell ref="E521:F521"/>
    <mergeCell ref="G521:L521"/>
    <mergeCell ref="P521:R521"/>
    <mergeCell ref="U521:AA521"/>
    <mergeCell ref="AF521:AI521"/>
    <mergeCell ref="E522:AT522"/>
    <mergeCell ref="B523:B526"/>
    <mergeCell ref="C523:D526"/>
    <mergeCell ref="E523:F523"/>
    <mergeCell ref="G523:R523"/>
    <mergeCell ref="S523:S524"/>
    <mergeCell ref="U523:AA523"/>
    <mergeCell ref="AF523:AI523"/>
    <mergeCell ref="AJ523:AJ524"/>
    <mergeCell ref="AK523:AK524"/>
    <mergeCell ref="AL523:AL524"/>
    <mergeCell ref="AM523:AN526"/>
    <mergeCell ref="AO523:AQ526"/>
    <mergeCell ref="AR523:AR526"/>
    <mergeCell ref="AS523:AS526"/>
    <mergeCell ref="AT523:AT526"/>
    <mergeCell ref="AV523:AV526"/>
    <mergeCell ref="AW523:AW526"/>
    <mergeCell ref="CM523:CM526"/>
    <mergeCell ref="CN523:CN526"/>
    <mergeCell ref="CO523:CO524"/>
    <mergeCell ref="CP523:CP524"/>
    <mergeCell ref="CR523:CR524"/>
    <mergeCell ref="CS523:CS524"/>
    <mergeCell ref="CT523:CT524"/>
    <mergeCell ref="CU523:CU524"/>
    <mergeCell ref="CV523:CV524"/>
    <mergeCell ref="CW523:CW524"/>
    <mergeCell ref="CX523:CX526"/>
    <mergeCell ref="CY523:CY526"/>
    <mergeCell ref="CZ523:CZ526"/>
    <mergeCell ref="DA523:DA526"/>
    <mergeCell ref="DC523:DC524"/>
    <mergeCell ref="DD523:DD524"/>
    <mergeCell ref="DE523:DE524"/>
    <mergeCell ref="DF523:DF524"/>
    <mergeCell ref="DG523:DG524"/>
    <mergeCell ref="DH523:DH526"/>
    <mergeCell ref="DJ523:DJ524"/>
    <mergeCell ref="DL523:DL526"/>
    <mergeCell ref="DN523:DN526"/>
    <mergeCell ref="FZ518:FZ521"/>
    <mergeCell ref="GA518:GA521"/>
    <mergeCell ref="IA523:IA526"/>
    <mergeCell ref="IB523:IB524"/>
    <mergeCell ref="HN519:HN520"/>
    <mergeCell ref="HO519:HO520"/>
    <mergeCell ref="HP519:HP520"/>
    <mergeCell ref="HQ519:HQ520"/>
    <mergeCell ref="HR519:HR520"/>
    <mergeCell ref="HS519:HS520"/>
    <mergeCell ref="HT519:HT520"/>
    <mergeCell ref="HU519:HU520"/>
    <mergeCell ref="HY519:HY520"/>
    <mergeCell ref="HX520:HX521"/>
    <mergeCell ref="IB520:IB521"/>
    <mergeCell ref="EK518:EK521"/>
    <mergeCell ref="EV518:EV519"/>
    <mergeCell ref="EW518:EW519"/>
    <mergeCell ref="EX518:EX519"/>
    <mergeCell ref="EY518:EY519"/>
    <mergeCell ref="EZ518:EZ521"/>
    <mergeCell ref="FB518:FB519"/>
    <mergeCell ref="FD518:FD521"/>
    <mergeCell ref="FE518:FE521"/>
    <mergeCell ref="FI518:FI519"/>
    <mergeCell ref="FJ518:FJ519"/>
    <mergeCell ref="FK518:FK519"/>
    <mergeCell ref="FL518:FL519"/>
    <mergeCell ref="FM518:FM519"/>
    <mergeCell ref="FO518:FO519"/>
    <mergeCell ref="FP518:FP519"/>
    <mergeCell ref="FQ518:FQ519"/>
    <mergeCell ref="FR518:FR519"/>
    <mergeCell ref="FS518:FS519"/>
    <mergeCell ref="FT518:FT519"/>
    <mergeCell ref="FW518:FW521"/>
    <mergeCell ref="FX518:FX521"/>
    <mergeCell ref="FY518:FY521"/>
    <mergeCell ref="EU520:EU521"/>
    <mergeCell ref="EV520:EV521"/>
    <mergeCell ref="EW520:EW521"/>
    <mergeCell ref="EX520:EX521"/>
    <mergeCell ref="EY520:EY521"/>
    <mergeCell ref="FB520:FB521"/>
    <mergeCell ref="FI520:FI521"/>
    <mergeCell ref="FJ520:FJ521"/>
    <mergeCell ref="FK520:FK521"/>
    <mergeCell ref="FL520:FL521"/>
    <mergeCell ref="FM520:FM521"/>
    <mergeCell ref="FO520:FO521"/>
    <mergeCell ref="FP520:FP521"/>
    <mergeCell ref="FQ520:FQ521"/>
    <mergeCell ref="FR520:FR521"/>
    <mergeCell ref="FS520:FS521"/>
    <mergeCell ref="FT520:FT521"/>
    <mergeCell ref="DP518:DP521"/>
    <mergeCell ref="DQ518:DQ519"/>
    <mergeCell ref="DR518:DR521"/>
    <mergeCell ref="DS518:DS521"/>
    <mergeCell ref="DU518:DU521"/>
    <mergeCell ref="DV518:DV519"/>
    <mergeCell ref="DW518:DW521"/>
    <mergeCell ref="DX518:DX521"/>
    <mergeCell ref="DZ518:DZ521"/>
    <mergeCell ref="EA518:EA521"/>
    <mergeCell ref="EC518:EC521"/>
    <mergeCell ref="ED518:ED521"/>
    <mergeCell ref="EE518:EE521"/>
    <mergeCell ref="EF518:EF521"/>
    <mergeCell ref="EG518:EG521"/>
    <mergeCell ref="EH518:EH521"/>
    <mergeCell ref="DC520:DC521"/>
    <mergeCell ref="DD520:DD521"/>
    <mergeCell ref="DE520:DE521"/>
    <mergeCell ref="DF520:DF521"/>
    <mergeCell ref="DG520:DG521"/>
    <mergeCell ref="DK520:DK521"/>
    <mergeCell ref="DO520:DO521"/>
    <mergeCell ref="DQ520:DQ521"/>
    <mergeCell ref="DV520:DV521"/>
    <mergeCell ref="EL518:EL521"/>
    <mergeCell ref="EM518:EM521"/>
    <mergeCell ref="EN518:EN521"/>
    <mergeCell ref="EO518:EO521"/>
    <mergeCell ref="EP518:EP521"/>
    <mergeCell ref="EQ518:EQ521"/>
    <mergeCell ref="ES518:ES521"/>
    <mergeCell ref="EU518:EU519"/>
    <mergeCell ref="EI518:EI521"/>
    <mergeCell ref="EJ518:EJ521"/>
    <mergeCell ref="E517:AT517"/>
    <mergeCell ref="B518:B521"/>
    <mergeCell ref="C518:D521"/>
    <mergeCell ref="E518:F518"/>
    <mergeCell ref="G518:R518"/>
    <mergeCell ref="S518:S519"/>
    <mergeCell ref="U518:AA518"/>
    <mergeCell ref="AF518:AI518"/>
    <mergeCell ref="AJ518:AJ519"/>
    <mergeCell ref="AK518:AK519"/>
    <mergeCell ref="AL518:AL519"/>
    <mergeCell ref="AM518:AN521"/>
    <mergeCell ref="AO518:AQ521"/>
    <mergeCell ref="AR518:AR521"/>
    <mergeCell ref="AS518:AS521"/>
    <mergeCell ref="AT518:AT521"/>
    <mergeCell ref="AV518:AV521"/>
    <mergeCell ref="AW518:AW521"/>
    <mergeCell ref="CM518:CM521"/>
    <mergeCell ref="CN518:CN521"/>
    <mergeCell ref="CO518:CO519"/>
    <mergeCell ref="CP518:CP519"/>
    <mergeCell ref="CR518:CR519"/>
    <mergeCell ref="CS518:CS519"/>
    <mergeCell ref="CT518:CT519"/>
    <mergeCell ref="CU518:CU519"/>
    <mergeCell ref="CV518:CV519"/>
    <mergeCell ref="CW518:CW519"/>
    <mergeCell ref="CX518:CX521"/>
    <mergeCell ref="CY518:CY521"/>
    <mergeCell ref="E519:F519"/>
    <mergeCell ref="G519:L519"/>
    <mergeCell ref="P519:Q519"/>
    <mergeCell ref="AF519:AI519"/>
    <mergeCell ref="E520:F520"/>
    <mergeCell ref="G520:L520"/>
    <mergeCell ref="P520:Q520"/>
    <mergeCell ref="S520:S521"/>
    <mergeCell ref="AF520:AI520"/>
    <mergeCell ref="AJ520:AJ521"/>
    <mergeCell ref="AK520:AK521"/>
    <mergeCell ref="AL520:AL521"/>
    <mergeCell ref="CO520:CO521"/>
    <mergeCell ref="CP520:CP521"/>
    <mergeCell ref="CR520:CR521"/>
    <mergeCell ref="CS520:CS521"/>
    <mergeCell ref="CT520:CT521"/>
    <mergeCell ref="CU520:CU521"/>
    <mergeCell ref="CV520:CV521"/>
    <mergeCell ref="CW520:CW521"/>
    <mergeCell ref="CZ518:CZ521"/>
    <mergeCell ref="DA518:DA521"/>
    <mergeCell ref="DC518:DC519"/>
    <mergeCell ref="DD518:DD519"/>
    <mergeCell ref="DE518:DE519"/>
    <mergeCell ref="DF518:DF519"/>
    <mergeCell ref="DG518:DG519"/>
    <mergeCell ref="DH518:DH521"/>
    <mergeCell ref="DJ518:DJ519"/>
    <mergeCell ref="DL518:DL521"/>
    <mergeCell ref="DN518:DN521"/>
    <mergeCell ref="DO518:DO519"/>
    <mergeCell ref="EN513:EN516"/>
    <mergeCell ref="EO513:EO516"/>
    <mergeCell ref="EP513:EP516"/>
    <mergeCell ref="EQ513:EQ516"/>
    <mergeCell ref="ES513:ES516"/>
    <mergeCell ref="EU513:EU514"/>
    <mergeCell ref="EV513:EV514"/>
    <mergeCell ref="EW513:EW514"/>
    <mergeCell ref="EX513:EX514"/>
    <mergeCell ref="IB515:IB516"/>
    <mergeCell ref="IF515:IF516"/>
    <mergeCell ref="IH515:IH516"/>
    <mergeCell ref="FW513:FW516"/>
    <mergeCell ref="FX513:FX516"/>
    <mergeCell ref="FY513:FY516"/>
    <mergeCell ref="FZ513:FZ516"/>
    <mergeCell ref="GA513:GA516"/>
    <mergeCell ref="GB513:GB516"/>
    <mergeCell ref="GC513:GC516"/>
    <mergeCell ref="GD513:GD516"/>
    <mergeCell ref="GG513:GG516"/>
    <mergeCell ref="HW513:HW515"/>
    <mergeCell ref="HX513:HX514"/>
    <mergeCell ref="IA513:IA516"/>
    <mergeCell ref="IB513:IB514"/>
    <mergeCell ref="IC513:IC516"/>
    <mergeCell ref="IF513:IF514"/>
    <mergeCell ref="IG513:IG516"/>
    <mergeCell ref="IH513:IH514"/>
    <mergeCell ref="EY513:EY514"/>
    <mergeCell ref="EZ513:EZ516"/>
    <mergeCell ref="FB513:FB514"/>
    <mergeCell ref="FD513:FD516"/>
    <mergeCell ref="FE513:FE516"/>
    <mergeCell ref="FI513:FI514"/>
    <mergeCell ref="FJ513:FJ514"/>
    <mergeCell ref="FK513:FK514"/>
    <mergeCell ref="FL513:FL514"/>
    <mergeCell ref="FM513:FM514"/>
    <mergeCell ref="FO513:FO514"/>
    <mergeCell ref="FP513:FP514"/>
    <mergeCell ref="FQ513:FQ514"/>
    <mergeCell ref="FR513:FR514"/>
    <mergeCell ref="FQ515:FQ516"/>
    <mergeCell ref="FR515:FR516"/>
    <mergeCell ref="FS515:FS516"/>
    <mergeCell ref="FT515:FT516"/>
    <mergeCell ref="HX515:HX516"/>
    <mergeCell ref="DC513:DC514"/>
    <mergeCell ref="DD513:DD514"/>
    <mergeCell ref="DE513:DE514"/>
    <mergeCell ref="DF513:DF514"/>
    <mergeCell ref="DG513:DG514"/>
    <mergeCell ref="DH513:DH516"/>
    <mergeCell ref="DJ513:DJ514"/>
    <mergeCell ref="DL513:DL516"/>
    <mergeCell ref="DN513:DN516"/>
    <mergeCell ref="DO513:DO514"/>
    <mergeCell ref="DP513:DP516"/>
    <mergeCell ref="DQ513:DQ514"/>
    <mergeCell ref="DR513:DR516"/>
    <mergeCell ref="DS513:DS516"/>
    <mergeCell ref="DU513:DU516"/>
    <mergeCell ref="DV513:DV514"/>
    <mergeCell ref="DW513:DW516"/>
    <mergeCell ref="DX513:DX516"/>
    <mergeCell ref="DZ513:DZ516"/>
    <mergeCell ref="EA513:EA516"/>
    <mergeCell ref="EC513:EC516"/>
    <mergeCell ref="CU515:CU516"/>
    <mergeCell ref="CV515:CV516"/>
    <mergeCell ref="II513:II516"/>
    <mergeCell ref="E514:F514"/>
    <mergeCell ref="G514:L514"/>
    <mergeCell ref="P514:Q514"/>
    <mergeCell ref="AF514:AI514"/>
    <mergeCell ref="GI514:GI515"/>
    <mergeCell ref="GJ514:GJ515"/>
    <mergeCell ref="GL514:GL515"/>
    <mergeCell ref="GM514:GM515"/>
    <mergeCell ref="HC514:HC515"/>
    <mergeCell ref="HD514:HD515"/>
    <mergeCell ref="HE514:HE515"/>
    <mergeCell ref="HF514:HF515"/>
    <mergeCell ref="HG514:HG515"/>
    <mergeCell ref="HH514:HH515"/>
    <mergeCell ref="HI514:HI515"/>
    <mergeCell ref="HJ514:HJ515"/>
    <mergeCell ref="HK514:HK515"/>
    <mergeCell ref="HL514:HL515"/>
    <mergeCell ref="HM514:HM515"/>
    <mergeCell ref="HN514:HN515"/>
    <mergeCell ref="HO514:HO515"/>
    <mergeCell ref="HP514:HP515"/>
    <mergeCell ref="HQ514:HQ515"/>
    <mergeCell ref="HR514:HR515"/>
    <mergeCell ref="HS514:HS515"/>
    <mergeCell ref="HT514:HT515"/>
    <mergeCell ref="HU514:HU515"/>
    <mergeCell ref="HY514:HY515"/>
    <mergeCell ref="E515:F515"/>
    <mergeCell ref="G515:L515"/>
    <mergeCell ref="P515:Q515"/>
    <mergeCell ref="S515:S516"/>
    <mergeCell ref="EF513:EF516"/>
    <mergeCell ref="EG513:EG516"/>
    <mergeCell ref="EH513:EH516"/>
    <mergeCell ref="EI513:EI516"/>
    <mergeCell ref="EJ513:EJ516"/>
    <mergeCell ref="EK513:EK516"/>
    <mergeCell ref="EL513:EL516"/>
    <mergeCell ref="EM513:EM516"/>
    <mergeCell ref="FU510:FU511"/>
    <mergeCell ref="G511:L511"/>
    <mergeCell ref="P511:R511"/>
    <mergeCell ref="U511:AA511"/>
    <mergeCell ref="AF511:AI511"/>
    <mergeCell ref="E512:AT512"/>
    <mergeCell ref="B513:B516"/>
    <mergeCell ref="C513:D516"/>
    <mergeCell ref="E513:F513"/>
    <mergeCell ref="G513:R513"/>
    <mergeCell ref="S513:S514"/>
    <mergeCell ref="U513:AA513"/>
    <mergeCell ref="AF513:AI513"/>
    <mergeCell ref="AJ513:AJ514"/>
    <mergeCell ref="AK513:AK514"/>
    <mergeCell ref="AL513:AL514"/>
    <mergeCell ref="AM513:AN516"/>
    <mergeCell ref="AO513:AQ516"/>
    <mergeCell ref="AR513:AR516"/>
    <mergeCell ref="AS513:AS516"/>
    <mergeCell ref="AT513:AT516"/>
    <mergeCell ref="AV513:AV516"/>
    <mergeCell ref="AW513:AW516"/>
    <mergeCell ref="CM513:CM516"/>
    <mergeCell ref="CN513:CN516"/>
    <mergeCell ref="CO513:CO514"/>
    <mergeCell ref="CP513:CP514"/>
    <mergeCell ref="CR513:CR514"/>
    <mergeCell ref="CS513:CS514"/>
    <mergeCell ref="CT513:CT514"/>
    <mergeCell ref="CU513:CU514"/>
    <mergeCell ref="AF515:AI515"/>
    <mergeCell ref="AJ515:AJ516"/>
    <mergeCell ref="AK515:AK516"/>
    <mergeCell ref="AL515:AL516"/>
    <mergeCell ref="CO515:CO516"/>
    <mergeCell ref="CP515:CP516"/>
    <mergeCell ref="CR515:CR516"/>
    <mergeCell ref="CS515:CS516"/>
    <mergeCell ref="CT515:CT516"/>
    <mergeCell ref="E516:F516"/>
    <mergeCell ref="G516:L516"/>
    <mergeCell ref="P516:R516"/>
    <mergeCell ref="U516:AA516"/>
    <mergeCell ref="AF516:AI516"/>
    <mergeCell ref="CR510:CR511"/>
    <mergeCell ref="CS510:CS511"/>
    <mergeCell ref="CV513:CV514"/>
    <mergeCell ref="CW513:CW514"/>
    <mergeCell ref="CX513:CX516"/>
    <mergeCell ref="CY513:CY516"/>
    <mergeCell ref="CZ513:CZ516"/>
    <mergeCell ref="DA513:DA516"/>
    <mergeCell ref="AK510:AK511"/>
    <mergeCell ref="AL510:AL511"/>
    <mergeCell ref="CO510:CO511"/>
    <mergeCell ref="CP510:CP511"/>
    <mergeCell ref="DZ508:DZ511"/>
    <mergeCell ref="FM508:FM509"/>
    <mergeCell ref="FO508:FO509"/>
    <mergeCell ref="FP508:FP509"/>
    <mergeCell ref="FQ508:FQ509"/>
    <mergeCell ref="EC508:EC511"/>
    <mergeCell ref="ED508:ED511"/>
    <mergeCell ref="IH510:IH511"/>
    <mergeCell ref="E511:F511"/>
    <mergeCell ref="ED513:ED516"/>
    <mergeCell ref="EE513:EE516"/>
    <mergeCell ref="CT510:CT511"/>
    <mergeCell ref="CU510:CU511"/>
    <mergeCell ref="CV510:CV511"/>
    <mergeCell ref="CW510:CW511"/>
    <mergeCell ref="DC510:DC511"/>
    <mergeCell ref="DD510:DD511"/>
    <mergeCell ref="DE510:DE511"/>
    <mergeCell ref="DF510:DF511"/>
    <mergeCell ref="DG510:DG511"/>
    <mergeCell ref="DK510:DK511"/>
    <mergeCell ref="DO510:DO511"/>
    <mergeCell ref="DQ510:DQ511"/>
    <mergeCell ref="DV510:DV511"/>
    <mergeCell ref="EU510:EU511"/>
    <mergeCell ref="EV510:EV511"/>
    <mergeCell ref="EW510:EW511"/>
    <mergeCell ref="EX510:EX511"/>
    <mergeCell ref="EY510:EY511"/>
    <mergeCell ref="FB510:FB511"/>
    <mergeCell ref="FI510:FI511"/>
    <mergeCell ref="FJ510:FJ511"/>
    <mergeCell ref="FK510:FK511"/>
    <mergeCell ref="FL510:FL511"/>
    <mergeCell ref="FM510:FM511"/>
    <mergeCell ref="FO510:FO511"/>
    <mergeCell ref="FP510:FP511"/>
    <mergeCell ref="FQ510:FQ511"/>
    <mergeCell ref="FR510:FR511"/>
    <mergeCell ref="FS510:FS511"/>
    <mergeCell ref="FT510:FT511"/>
    <mergeCell ref="HX510:HX511"/>
    <mergeCell ref="FS513:FS514"/>
    <mergeCell ref="FT513:FT514"/>
    <mergeCell ref="CW515:CW516"/>
    <mergeCell ref="DC515:DC516"/>
    <mergeCell ref="DD515:DD516"/>
    <mergeCell ref="DE515:DE516"/>
    <mergeCell ref="DF515:DF516"/>
    <mergeCell ref="DG515:DG516"/>
    <mergeCell ref="DK515:DK516"/>
    <mergeCell ref="DO515:DO516"/>
    <mergeCell ref="DQ515:DQ516"/>
    <mergeCell ref="DV515:DV516"/>
    <mergeCell ref="EU515:EU516"/>
    <mergeCell ref="EV515:EV516"/>
    <mergeCell ref="EW515:EW516"/>
    <mergeCell ref="EX515:EX516"/>
    <mergeCell ref="EY515:EY516"/>
    <mergeCell ref="FB515:FB516"/>
    <mergeCell ref="FI515:FI516"/>
    <mergeCell ref="FJ515:FJ516"/>
    <mergeCell ref="FK515:FK516"/>
    <mergeCell ref="FL515:FL516"/>
    <mergeCell ref="FM515:FM516"/>
    <mergeCell ref="FO515:FO516"/>
    <mergeCell ref="FP515:FP516"/>
    <mergeCell ref="DU508:DU511"/>
    <mergeCell ref="DV508:DV509"/>
    <mergeCell ref="DW508:DW511"/>
    <mergeCell ref="DX508:DX511"/>
    <mergeCell ref="FT508:FT509"/>
    <mergeCell ref="FW508:FW511"/>
    <mergeCell ref="FX508:FX511"/>
    <mergeCell ref="FY508:FY511"/>
    <mergeCell ref="FZ508:FZ511"/>
    <mergeCell ref="GA508:GA511"/>
    <mergeCell ref="GB508:GB511"/>
    <mergeCell ref="GC508:GC511"/>
    <mergeCell ref="GD508:GD511"/>
    <mergeCell ref="GG508:GG511"/>
    <mergeCell ref="HW508:HW510"/>
    <mergeCell ref="HX508:HX509"/>
    <mergeCell ref="IA508:IA511"/>
    <mergeCell ref="IB508:IB509"/>
    <mergeCell ref="IC508:IC511"/>
    <mergeCell ref="IF508:IF509"/>
    <mergeCell ref="IG508:IG511"/>
    <mergeCell ref="IH508:IH509"/>
    <mergeCell ref="II508:II511"/>
    <mergeCell ref="E509:F509"/>
    <mergeCell ref="G509:L509"/>
    <mergeCell ref="P509:Q509"/>
    <mergeCell ref="AF509:AI509"/>
    <mergeCell ref="GI509:GI510"/>
    <mergeCell ref="GJ509:GJ510"/>
    <mergeCell ref="GL509:GL510"/>
    <mergeCell ref="GM509:GM510"/>
    <mergeCell ref="HC509:HC510"/>
    <mergeCell ref="HD509:HD510"/>
    <mergeCell ref="HE509:HE510"/>
    <mergeCell ref="HF509:HF510"/>
    <mergeCell ref="HG509:HG510"/>
    <mergeCell ref="HH509:HH510"/>
    <mergeCell ref="HI509:HI510"/>
    <mergeCell ref="HJ509:HJ510"/>
    <mergeCell ref="HK509:HK510"/>
    <mergeCell ref="HL509:HL510"/>
    <mergeCell ref="HM509:HM510"/>
    <mergeCell ref="HN509:HN510"/>
    <mergeCell ref="HO509:HO510"/>
    <mergeCell ref="HP509:HP510"/>
    <mergeCell ref="HQ509:HQ510"/>
    <mergeCell ref="HR509:HR510"/>
    <mergeCell ref="HS509:HS510"/>
    <mergeCell ref="HT509:HT510"/>
    <mergeCell ref="HU509:HU510"/>
    <mergeCell ref="HY509:HY510"/>
    <mergeCell ref="E510:F510"/>
    <mergeCell ref="G510:L510"/>
    <mergeCell ref="P510:Q510"/>
    <mergeCell ref="S510:S511"/>
    <mergeCell ref="AF510:AI510"/>
    <mergeCell ref="AJ510:AJ511"/>
    <mergeCell ref="EA508:EA511"/>
    <mergeCell ref="EE508:EE511"/>
    <mergeCell ref="EF508:EF511"/>
    <mergeCell ref="EG508:EG511"/>
    <mergeCell ref="EH508:EH511"/>
    <mergeCell ref="EI508:EI511"/>
    <mergeCell ref="EJ508:EJ511"/>
    <mergeCell ref="EK508:EK511"/>
    <mergeCell ref="EL508:EL511"/>
    <mergeCell ref="EM508:EM511"/>
    <mergeCell ref="EN508:EN511"/>
    <mergeCell ref="EO508:EO511"/>
    <mergeCell ref="EP508:EP511"/>
    <mergeCell ref="EQ508:EQ511"/>
    <mergeCell ref="ES508:ES511"/>
    <mergeCell ref="EU508:EU509"/>
    <mergeCell ref="EV508:EV509"/>
    <mergeCell ref="EW508:EW509"/>
    <mergeCell ref="EX508:EX509"/>
    <mergeCell ref="EY508:EY509"/>
    <mergeCell ref="EZ508:EZ511"/>
    <mergeCell ref="FB508:FB509"/>
    <mergeCell ref="FD508:FD511"/>
    <mergeCell ref="FE508:FE511"/>
    <mergeCell ref="FI508:FI509"/>
    <mergeCell ref="FJ508:FJ509"/>
    <mergeCell ref="FK508:FK509"/>
    <mergeCell ref="FL508:FL509"/>
    <mergeCell ref="DV505:DV506"/>
    <mergeCell ref="EU505:EU506"/>
    <mergeCell ref="EV505:EV506"/>
    <mergeCell ref="EW505:EW506"/>
    <mergeCell ref="EX505:EX506"/>
    <mergeCell ref="EY505:EY506"/>
    <mergeCell ref="ED503:ED506"/>
    <mergeCell ref="EE503:EE506"/>
    <mergeCell ref="EF503:EF506"/>
    <mergeCell ref="EG503:EG506"/>
    <mergeCell ref="EH503:EH506"/>
    <mergeCell ref="EI503:EI506"/>
    <mergeCell ref="EJ503:EJ506"/>
    <mergeCell ref="EK503:EK506"/>
    <mergeCell ref="EL503:EL506"/>
    <mergeCell ref="FB505:FB506"/>
    <mergeCell ref="FI505:FI506"/>
    <mergeCell ref="FJ505:FJ506"/>
    <mergeCell ref="FK505:FK506"/>
    <mergeCell ref="FL505:FL506"/>
    <mergeCell ref="EA503:EA506"/>
    <mergeCell ref="EC503:EC506"/>
    <mergeCell ref="FJ503:FJ504"/>
    <mergeCell ref="FK503:FK504"/>
    <mergeCell ref="FL503:FL504"/>
    <mergeCell ref="FR508:FR509"/>
    <mergeCell ref="FS508:FS509"/>
    <mergeCell ref="IF505:IF506"/>
    <mergeCell ref="IH505:IH506"/>
    <mergeCell ref="E506:F506"/>
    <mergeCell ref="G506:L506"/>
    <mergeCell ref="P506:R506"/>
    <mergeCell ref="U506:AA506"/>
    <mergeCell ref="AF506:AI506"/>
    <mergeCell ref="E507:AT507"/>
    <mergeCell ref="B508:B511"/>
    <mergeCell ref="C508:D511"/>
    <mergeCell ref="E508:F508"/>
    <mergeCell ref="G508:R508"/>
    <mergeCell ref="S508:S509"/>
    <mergeCell ref="U508:AA508"/>
    <mergeCell ref="AF508:AI508"/>
    <mergeCell ref="AJ508:AJ509"/>
    <mergeCell ref="AK508:AK509"/>
    <mergeCell ref="AL508:AL509"/>
    <mergeCell ref="AM508:AN511"/>
    <mergeCell ref="AO508:AQ511"/>
    <mergeCell ref="AR508:AR511"/>
    <mergeCell ref="AS508:AS511"/>
    <mergeCell ref="AT508:AT511"/>
    <mergeCell ref="AV508:AV511"/>
    <mergeCell ref="AW508:AW511"/>
    <mergeCell ref="CM508:CM511"/>
    <mergeCell ref="CN508:CN511"/>
    <mergeCell ref="CO508:CO509"/>
    <mergeCell ref="CP508:CP509"/>
    <mergeCell ref="CR508:CR509"/>
    <mergeCell ref="CS508:CS509"/>
    <mergeCell ref="CT508:CT509"/>
    <mergeCell ref="CU508:CU509"/>
    <mergeCell ref="CV508:CV509"/>
    <mergeCell ref="CW508:CW509"/>
    <mergeCell ref="CX508:CX511"/>
    <mergeCell ref="CY508:CY511"/>
    <mergeCell ref="CZ508:CZ511"/>
    <mergeCell ref="DA508:DA511"/>
    <mergeCell ref="DC508:DC509"/>
    <mergeCell ref="DD508:DD509"/>
    <mergeCell ref="DE508:DE509"/>
    <mergeCell ref="DF508:DF509"/>
    <mergeCell ref="DG508:DG509"/>
    <mergeCell ref="DH508:DH511"/>
    <mergeCell ref="DJ508:DJ509"/>
    <mergeCell ref="DL508:DL511"/>
    <mergeCell ref="DN508:DN511"/>
    <mergeCell ref="DO508:DO509"/>
    <mergeCell ref="DP508:DP511"/>
    <mergeCell ref="DQ508:DQ509"/>
    <mergeCell ref="DR508:DR511"/>
    <mergeCell ref="DS508:DS511"/>
    <mergeCell ref="EM503:EM506"/>
    <mergeCell ref="EN503:EN506"/>
    <mergeCell ref="EO503:EO506"/>
    <mergeCell ref="EP503:EP506"/>
    <mergeCell ref="EQ503:EQ506"/>
    <mergeCell ref="ES503:ES506"/>
    <mergeCell ref="B503:B506"/>
    <mergeCell ref="C503:D506"/>
    <mergeCell ref="E503:F503"/>
    <mergeCell ref="G503:R503"/>
    <mergeCell ref="S503:S504"/>
    <mergeCell ref="U503:AA503"/>
    <mergeCell ref="AF503:AI503"/>
    <mergeCell ref="AJ503:AJ504"/>
    <mergeCell ref="AK503:AK504"/>
    <mergeCell ref="AL503:AL504"/>
    <mergeCell ref="AM503:AN506"/>
    <mergeCell ref="AO503:AQ506"/>
    <mergeCell ref="AR503:AR506"/>
    <mergeCell ref="AS503:AS506"/>
    <mergeCell ref="AT503:AT506"/>
    <mergeCell ref="AV503:AV506"/>
    <mergeCell ref="AW503:AW506"/>
    <mergeCell ref="CM503:CM506"/>
    <mergeCell ref="CN503:CN506"/>
    <mergeCell ref="CO503:CO504"/>
    <mergeCell ref="CP503:CP504"/>
    <mergeCell ref="CR503:CR504"/>
    <mergeCell ref="CS503:CS504"/>
    <mergeCell ref="CT503:CT504"/>
    <mergeCell ref="CU503:CU504"/>
    <mergeCell ref="CV503:CV504"/>
    <mergeCell ref="CW503:CW504"/>
    <mergeCell ref="CX503:CX506"/>
    <mergeCell ref="CY503:CY506"/>
    <mergeCell ref="CZ503:CZ506"/>
    <mergeCell ref="E504:F504"/>
    <mergeCell ref="G504:L504"/>
    <mergeCell ref="P504:Q504"/>
    <mergeCell ref="CO505:CO506"/>
    <mergeCell ref="CP505:CP506"/>
    <mergeCell ref="CR505:CR506"/>
    <mergeCell ref="CS505:CS506"/>
    <mergeCell ref="CT505:CT506"/>
    <mergeCell ref="CU505:CU506"/>
    <mergeCell ref="CV505:CV506"/>
    <mergeCell ref="CW505:CW506"/>
    <mergeCell ref="AF504:AI504"/>
    <mergeCell ref="E505:F505"/>
    <mergeCell ref="G505:L505"/>
    <mergeCell ref="P505:Q505"/>
    <mergeCell ref="S505:S506"/>
    <mergeCell ref="AF505:AI505"/>
    <mergeCell ref="AJ505:AJ506"/>
    <mergeCell ref="AK505:AK506"/>
    <mergeCell ref="AL505:AL506"/>
    <mergeCell ref="IH500:IH501"/>
    <mergeCell ref="IB500:IB501"/>
    <mergeCell ref="FT500:FT501"/>
    <mergeCell ref="HX500:HX501"/>
    <mergeCell ref="FR498:FR499"/>
    <mergeCell ref="FS498:FS499"/>
    <mergeCell ref="FT498:FT499"/>
    <mergeCell ref="FW498:FW501"/>
    <mergeCell ref="FX498:FX501"/>
    <mergeCell ref="FY498:FY501"/>
    <mergeCell ref="FZ498:FZ501"/>
    <mergeCell ref="GA498:GA501"/>
    <mergeCell ref="GB498:GB501"/>
    <mergeCell ref="GC498:GC501"/>
    <mergeCell ref="GD498:GD501"/>
    <mergeCell ref="E501:F501"/>
    <mergeCell ref="G501:L501"/>
    <mergeCell ref="P501:R501"/>
    <mergeCell ref="U501:AA501"/>
    <mergeCell ref="AF501:AI501"/>
    <mergeCell ref="E502:AT502"/>
    <mergeCell ref="DA503:DA506"/>
    <mergeCell ref="DC503:DC504"/>
    <mergeCell ref="DD503:DD504"/>
    <mergeCell ref="DE503:DE504"/>
    <mergeCell ref="DF503:DF504"/>
    <mergeCell ref="DG503:DG504"/>
    <mergeCell ref="DH503:DH506"/>
    <mergeCell ref="DJ503:DJ504"/>
    <mergeCell ref="DL503:DL506"/>
    <mergeCell ref="DN503:DN506"/>
    <mergeCell ref="DO503:DO504"/>
    <mergeCell ref="DP503:DP506"/>
    <mergeCell ref="DQ503:DQ504"/>
    <mergeCell ref="DR503:DR506"/>
    <mergeCell ref="DS503:DS506"/>
    <mergeCell ref="DU503:DU506"/>
    <mergeCell ref="DV503:DV504"/>
    <mergeCell ref="DW503:DW506"/>
    <mergeCell ref="DX503:DX506"/>
    <mergeCell ref="DZ503:DZ506"/>
    <mergeCell ref="FS503:FS504"/>
    <mergeCell ref="FT503:FT504"/>
    <mergeCell ref="IC503:IC506"/>
    <mergeCell ref="IF503:IF504"/>
    <mergeCell ref="IG503:IG506"/>
    <mergeCell ref="IH503:IH504"/>
    <mergeCell ref="GI504:GI505"/>
    <mergeCell ref="GJ504:GJ505"/>
    <mergeCell ref="EU503:EU504"/>
    <mergeCell ref="EV503:EV504"/>
    <mergeCell ref="EW503:EW504"/>
    <mergeCell ref="EX503:EX504"/>
    <mergeCell ref="EY503:EY504"/>
    <mergeCell ref="EZ503:EZ506"/>
    <mergeCell ref="FB503:FB504"/>
    <mergeCell ref="FD503:FD506"/>
    <mergeCell ref="FE503:FE506"/>
    <mergeCell ref="FI503:FI504"/>
    <mergeCell ref="HW503:HW505"/>
    <mergeCell ref="HX503:HX504"/>
    <mergeCell ref="FL500:FL501"/>
    <mergeCell ref="FM500:FM501"/>
    <mergeCell ref="FO500:FO501"/>
    <mergeCell ref="FM503:FM504"/>
    <mergeCell ref="FO503:FO504"/>
    <mergeCell ref="FP503:FP504"/>
    <mergeCell ref="IF500:IF501"/>
    <mergeCell ref="FP500:FP501"/>
    <mergeCell ref="FQ500:FQ501"/>
    <mergeCell ref="FR500:FR501"/>
    <mergeCell ref="FS500:FS501"/>
    <mergeCell ref="EQ498:EQ501"/>
    <mergeCell ref="GI499:GI500"/>
    <mergeCell ref="GJ499:GJ500"/>
    <mergeCell ref="GL499:GL500"/>
    <mergeCell ref="GM499:GM500"/>
    <mergeCell ref="HC499:HC500"/>
    <mergeCell ref="HD499:HD500"/>
    <mergeCell ref="HE499:HE500"/>
    <mergeCell ref="HF499:HF500"/>
    <mergeCell ref="HG499:HG500"/>
    <mergeCell ref="HH499:HH500"/>
    <mergeCell ref="HI499:HI500"/>
    <mergeCell ref="HJ499:HJ500"/>
    <mergeCell ref="HK499:HK500"/>
    <mergeCell ref="HL499:HL500"/>
    <mergeCell ref="HM499:HM500"/>
    <mergeCell ref="HN499:HN500"/>
    <mergeCell ref="HO499:HO500"/>
    <mergeCell ref="HP499:HP500"/>
    <mergeCell ref="HQ499:HQ500"/>
    <mergeCell ref="HR499:HR500"/>
    <mergeCell ref="HS499:HS500"/>
    <mergeCell ref="HT499:HT500"/>
    <mergeCell ref="GL504:GL505"/>
    <mergeCell ref="IB505:IB506"/>
    <mergeCell ref="GM504:GM505"/>
    <mergeCell ref="FE498:FE501"/>
    <mergeCell ref="HX505:HX506"/>
    <mergeCell ref="DC505:DC506"/>
    <mergeCell ref="DD505:DD506"/>
    <mergeCell ref="DE505:DE506"/>
    <mergeCell ref="DF505:DF506"/>
    <mergeCell ref="DG505:DG506"/>
    <mergeCell ref="DK505:DK506"/>
    <mergeCell ref="DO505:DO506"/>
    <mergeCell ref="DQ505:DQ506"/>
    <mergeCell ref="FW503:FW506"/>
    <mergeCell ref="FX503:FX506"/>
    <mergeCell ref="FY503:FY506"/>
    <mergeCell ref="FZ503:FZ506"/>
    <mergeCell ref="GA503:GA506"/>
    <mergeCell ref="GB503:GB506"/>
    <mergeCell ref="GC503:GC506"/>
    <mergeCell ref="GD503:GD506"/>
    <mergeCell ref="GG503:GG506"/>
    <mergeCell ref="HC504:HC505"/>
    <mergeCell ref="HD504:HD505"/>
    <mergeCell ref="HE504:HE505"/>
    <mergeCell ref="FP498:FP499"/>
    <mergeCell ref="FQ498:FQ499"/>
    <mergeCell ref="FT505:FT506"/>
    <mergeCell ref="ES498:ES501"/>
    <mergeCell ref="EU498:EU499"/>
    <mergeCell ref="EV498:EV499"/>
    <mergeCell ref="EW498:EW499"/>
    <mergeCell ref="FM505:FM506"/>
    <mergeCell ref="FO505:FO506"/>
    <mergeCell ref="FP505:FP506"/>
    <mergeCell ref="FQ505:FQ506"/>
    <mergeCell ref="FR505:FR506"/>
    <mergeCell ref="EX498:EX499"/>
    <mergeCell ref="EY498:EY499"/>
    <mergeCell ref="FS505:FS506"/>
    <mergeCell ref="FI498:FI499"/>
    <mergeCell ref="FJ498:FJ499"/>
    <mergeCell ref="FK498:FK499"/>
    <mergeCell ref="FL498:FL499"/>
    <mergeCell ref="FU498:FU499"/>
    <mergeCell ref="FQ503:FQ504"/>
    <mergeCell ref="FR503:FR504"/>
    <mergeCell ref="EZ498:EZ501"/>
    <mergeCell ref="FB498:FB499"/>
    <mergeCell ref="FD498:FD501"/>
    <mergeCell ref="FM498:FM499"/>
    <mergeCell ref="FO498:FO499"/>
    <mergeCell ref="DD500:DD501"/>
    <mergeCell ref="DE500:DE501"/>
    <mergeCell ref="DF500:DF501"/>
    <mergeCell ref="DG500:DG501"/>
    <mergeCell ref="DK500:DK501"/>
    <mergeCell ref="DO500:DO501"/>
    <mergeCell ref="DQ500:DQ501"/>
    <mergeCell ref="DV500:DV501"/>
    <mergeCell ref="EU500:EU501"/>
    <mergeCell ref="EV500:EV501"/>
    <mergeCell ref="EW500:EW501"/>
    <mergeCell ref="EX500:EX501"/>
    <mergeCell ref="EY500:EY501"/>
    <mergeCell ref="FB500:FB501"/>
    <mergeCell ref="FI500:FI501"/>
    <mergeCell ref="FJ500:FJ501"/>
    <mergeCell ref="FK500:FK501"/>
    <mergeCell ref="E500:F500"/>
    <mergeCell ref="G500:L500"/>
    <mergeCell ref="P500:Q500"/>
    <mergeCell ref="S500:S501"/>
    <mergeCell ref="AF500:AI500"/>
    <mergeCell ref="AJ500:AJ501"/>
    <mergeCell ref="AK500:AK501"/>
    <mergeCell ref="AL500:AL501"/>
    <mergeCell ref="CO500:CO501"/>
    <mergeCell ref="CP500:CP501"/>
    <mergeCell ref="EC498:EC501"/>
    <mergeCell ref="ED498:ED501"/>
    <mergeCell ref="EE498:EE501"/>
    <mergeCell ref="EF498:EF501"/>
    <mergeCell ref="EG498:EG501"/>
    <mergeCell ref="EH498:EH501"/>
    <mergeCell ref="EI498:EI501"/>
    <mergeCell ref="EJ498:EJ501"/>
    <mergeCell ref="EK498:EK501"/>
    <mergeCell ref="EL498:EL501"/>
    <mergeCell ref="EM498:EM501"/>
    <mergeCell ref="EN498:EN501"/>
    <mergeCell ref="EO498:EO501"/>
    <mergeCell ref="EP498:EP501"/>
    <mergeCell ref="CR500:CR501"/>
    <mergeCell ref="CS500:CS501"/>
    <mergeCell ref="CT500:CT501"/>
    <mergeCell ref="CU500:CU501"/>
    <mergeCell ref="CV500:CV501"/>
    <mergeCell ref="CW500:CW501"/>
    <mergeCell ref="DC500:DC501"/>
    <mergeCell ref="DZ498:DZ501"/>
    <mergeCell ref="EA498:EA501"/>
    <mergeCell ref="DO498:DO499"/>
    <mergeCell ref="DP498:DP501"/>
    <mergeCell ref="DQ498:DQ499"/>
    <mergeCell ref="DR498:DR501"/>
    <mergeCell ref="DS498:DS501"/>
    <mergeCell ref="DU498:DU501"/>
    <mergeCell ref="DV498:DV499"/>
    <mergeCell ref="DW498:DW501"/>
    <mergeCell ref="DX498:DX501"/>
    <mergeCell ref="E499:F499"/>
    <mergeCell ref="G499:L499"/>
    <mergeCell ref="P499:Q499"/>
    <mergeCell ref="AF499:AI499"/>
    <mergeCell ref="IF495:IF496"/>
    <mergeCell ref="IH495:IH496"/>
    <mergeCell ref="E496:F496"/>
    <mergeCell ref="G496:L496"/>
    <mergeCell ref="P496:R496"/>
    <mergeCell ref="U496:AA496"/>
    <mergeCell ref="AF496:AI496"/>
    <mergeCell ref="E497:AT497"/>
    <mergeCell ref="B498:B501"/>
    <mergeCell ref="C498:D501"/>
    <mergeCell ref="E498:F498"/>
    <mergeCell ref="G498:R498"/>
    <mergeCell ref="S498:S499"/>
    <mergeCell ref="U498:AA498"/>
    <mergeCell ref="AF498:AI498"/>
    <mergeCell ref="AJ498:AJ499"/>
    <mergeCell ref="AK498:AK499"/>
    <mergeCell ref="AL498:AL499"/>
    <mergeCell ref="AM498:AN501"/>
    <mergeCell ref="AO498:AQ501"/>
    <mergeCell ref="AR498:AR501"/>
    <mergeCell ref="AS498:AS501"/>
    <mergeCell ref="AT498:AT501"/>
    <mergeCell ref="AV498:AV501"/>
    <mergeCell ref="AW498:AW501"/>
    <mergeCell ref="CM498:CM501"/>
    <mergeCell ref="CN498:CN501"/>
    <mergeCell ref="CO498:CO499"/>
    <mergeCell ref="CP498:CP499"/>
    <mergeCell ref="CR498:CR499"/>
    <mergeCell ref="CS498:CS499"/>
    <mergeCell ref="CT498:CT499"/>
    <mergeCell ref="CU498:CU499"/>
    <mergeCell ref="CV498:CV499"/>
    <mergeCell ref="CW498:CW499"/>
    <mergeCell ref="CX498:CX501"/>
    <mergeCell ref="CY498:CY501"/>
    <mergeCell ref="CZ498:CZ501"/>
    <mergeCell ref="DA498:DA501"/>
    <mergeCell ref="DC498:DC499"/>
    <mergeCell ref="DD498:DD499"/>
    <mergeCell ref="DE498:DE499"/>
    <mergeCell ref="DF498:DF499"/>
    <mergeCell ref="DG498:DG499"/>
    <mergeCell ref="DH498:DH501"/>
    <mergeCell ref="DJ498:DJ499"/>
    <mergeCell ref="DL498:DL501"/>
    <mergeCell ref="DN498:DN501"/>
    <mergeCell ref="FZ493:FZ496"/>
    <mergeCell ref="GA493:GA496"/>
    <mergeCell ref="IA498:IA501"/>
    <mergeCell ref="IB498:IB499"/>
    <mergeCell ref="HS494:HS495"/>
    <mergeCell ref="HT494:HT495"/>
    <mergeCell ref="HU494:HU495"/>
    <mergeCell ref="HY494:HY495"/>
    <mergeCell ref="E495:F495"/>
    <mergeCell ref="G495:L495"/>
    <mergeCell ref="P495:Q495"/>
    <mergeCell ref="S495:S496"/>
    <mergeCell ref="HX495:HX496"/>
    <mergeCell ref="IB495:IB496"/>
    <mergeCell ref="EK493:EK496"/>
    <mergeCell ref="EL493:EL496"/>
    <mergeCell ref="CU495:CU496"/>
    <mergeCell ref="CV495:CV496"/>
    <mergeCell ref="CW495:CW496"/>
    <mergeCell ref="EM493:EM496"/>
    <mergeCell ref="EN493:EN496"/>
    <mergeCell ref="EO493:EO496"/>
    <mergeCell ref="EP493:EP496"/>
    <mergeCell ref="EQ493:EQ496"/>
    <mergeCell ref="ES493:ES496"/>
    <mergeCell ref="EU493:EU494"/>
    <mergeCell ref="EV493:EV494"/>
    <mergeCell ref="EW493:EW494"/>
    <mergeCell ref="EX493:EX494"/>
    <mergeCell ref="EY493:EY494"/>
    <mergeCell ref="EZ493:EZ496"/>
    <mergeCell ref="FB493:FB494"/>
    <mergeCell ref="FD493:FD496"/>
    <mergeCell ref="FE493:FE496"/>
    <mergeCell ref="FI493:FI494"/>
    <mergeCell ref="FJ493:FJ494"/>
    <mergeCell ref="FK493:FK494"/>
    <mergeCell ref="FL493:FL494"/>
    <mergeCell ref="FM493:FM494"/>
    <mergeCell ref="FO493:FO494"/>
    <mergeCell ref="FP493:FP494"/>
    <mergeCell ref="FQ493:FQ494"/>
    <mergeCell ref="FR493:FR494"/>
    <mergeCell ref="FS493:FS494"/>
    <mergeCell ref="FT493:FT494"/>
    <mergeCell ref="FW493:FW496"/>
    <mergeCell ref="FX493:FX496"/>
    <mergeCell ref="FY493:FY496"/>
    <mergeCell ref="EU495:EU496"/>
    <mergeCell ref="EV495:EV496"/>
    <mergeCell ref="EW495:EW496"/>
    <mergeCell ref="EX495:EX496"/>
    <mergeCell ref="EY495:EY496"/>
    <mergeCell ref="FB495:FB496"/>
    <mergeCell ref="FI495:FI496"/>
    <mergeCell ref="FJ495:FJ496"/>
    <mergeCell ref="FK495:FK496"/>
    <mergeCell ref="FL495:FL496"/>
    <mergeCell ref="FM495:FM496"/>
    <mergeCell ref="FO495:FO496"/>
    <mergeCell ref="FP495:FP496"/>
    <mergeCell ref="FQ495:FQ496"/>
    <mergeCell ref="FR495:FR496"/>
    <mergeCell ref="FS495:FS496"/>
    <mergeCell ref="FT495:FT496"/>
    <mergeCell ref="DC493:DC494"/>
    <mergeCell ref="DD493:DD494"/>
    <mergeCell ref="DE493:DE494"/>
    <mergeCell ref="DF493:DF494"/>
    <mergeCell ref="DG493:DG494"/>
    <mergeCell ref="DH493:DH496"/>
    <mergeCell ref="DJ493:DJ494"/>
    <mergeCell ref="DL493:DL496"/>
    <mergeCell ref="DN493:DN496"/>
    <mergeCell ref="DO493:DO494"/>
    <mergeCell ref="DP493:DP496"/>
    <mergeCell ref="DQ493:DQ494"/>
    <mergeCell ref="DR493:DR496"/>
    <mergeCell ref="DS493:DS496"/>
    <mergeCell ref="DU493:DU496"/>
    <mergeCell ref="DV493:DV494"/>
    <mergeCell ref="DW493:DW496"/>
    <mergeCell ref="DX493:DX496"/>
    <mergeCell ref="DZ493:DZ496"/>
    <mergeCell ref="EA493:EA496"/>
    <mergeCell ref="EC493:EC496"/>
    <mergeCell ref="ED493:ED496"/>
    <mergeCell ref="EE493:EE496"/>
    <mergeCell ref="EF493:EF496"/>
    <mergeCell ref="EG493:EG496"/>
    <mergeCell ref="EH493:EH496"/>
    <mergeCell ref="DC495:DC496"/>
    <mergeCell ref="DD495:DD496"/>
    <mergeCell ref="DE495:DE496"/>
    <mergeCell ref="DF495:DF496"/>
    <mergeCell ref="DG495:DG496"/>
    <mergeCell ref="DK495:DK496"/>
    <mergeCell ref="DO495:DO496"/>
    <mergeCell ref="DQ495:DQ496"/>
    <mergeCell ref="DV495:DV496"/>
    <mergeCell ref="EI493:EI496"/>
    <mergeCell ref="EJ493:EJ496"/>
    <mergeCell ref="E491:F491"/>
    <mergeCell ref="G491:L491"/>
    <mergeCell ref="P491:R491"/>
    <mergeCell ref="U491:AA491"/>
    <mergeCell ref="AF491:AI491"/>
    <mergeCell ref="E492:AT492"/>
    <mergeCell ref="B493:B496"/>
    <mergeCell ref="C493:D496"/>
    <mergeCell ref="E493:F493"/>
    <mergeCell ref="G493:R493"/>
    <mergeCell ref="S493:S494"/>
    <mergeCell ref="U493:AA493"/>
    <mergeCell ref="AF493:AI493"/>
    <mergeCell ref="AJ493:AJ494"/>
    <mergeCell ref="AK493:AK494"/>
    <mergeCell ref="AL493:AL494"/>
    <mergeCell ref="AM493:AN496"/>
    <mergeCell ref="AO493:AQ496"/>
    <mergeCell ref="AR493:AR496"/>
    <mergeCell ref="AS493:AS496"/>
    <mergeCell ref="AT493:AT496"/>
    <mergeCell ref="AV493:AV496"/>
    <mergeCell ref="AW493:AW496"/>
    <mergeCell ref="CM493:CM496"/>
    <mergeCell ref="CN493:CN496"/>
    <mergeCell ref="CO493:CO494"/>
    <mergeCell ref="CP493:CP494"/>
    <mergeCell ref="CR493:CR494"/>
    <mergeCell ref="CS493:CS494"/>
    <mergeCell ref="CT493:CT494"/>
    <mergeCell ref="E494:F494"/>
    <mergeCell ref="G494:L494"/>
    <mergeCell ref="P494:Q494"/>
    <mergeCell ref="AF494:AI494"/>
    <mergeCell ref="AF495:AI495"/>
    <mergeCell ref="AJ495:AJ496"/>
    <mergeCell ref="AK495:AK496"/>
    <mergeCell ref="AL495:AL496"/>
    <mergeCell ref="CO495:CO496"/>
    <mergeCell ref="CP495:CP496"/>
    <mergeCell ref="CR495:CR496"/>
    <mergeCell ref="CS495:CS496"/>
    <mergeCell ref="CT495:CT496"/>
    <mergeCell ref="DC490:DC491"/>
    <mergeCell ref="DD490:DD491"/>
    <mergeCell ref="DE490:DE491"/>
    <mergeCell ref="DF490:DF491"/>
    <mergeCell ref="DG490:DG491"/>
    <mergeCell ref="DK490:DK491"/>
    <mergeCell ref="DO490:DO491"/>
    <mergeCell ref="DQ490:DQ491"/>
    <mergeCell ref="DV490:DV491"/>
    <mergeCell ref="E490:F490"/>
    <mergeCell ref="G490:L490"/>
    <mergeCell ref="DH488:DH491"/>
    <mergeCell ref="CU493:CU494"/>
    <mergeCell ref="CV493:CV494"/>
    <mergeCell ref="CW493:CW494"/>
    <mergeCell ref="CX493:CX496"/>
    <mergeCell ref="CY493:CY496"/>
    <mergeCell ref="CZ493:CZ496"/>
    <mergeCell ref="DA493:DA496"/>
    <mergeCell ref="FO490:FO491"/>
    <mergeCell ref="FP490:FP491"/>
    <mergeCell ref="FQ490:FQ491"/>
    <mergeCell ref="FR490:FR491"/>
    <mergeCell ref="FS490:FS491"/>
    <mergeCell ref="FT490:FT491"/>
    <mergeCell ref="HX490:HX491"/>
    <mergeCell ref="IB490:IB491"/>
    <mergeCell ref="IF490:IF491"/>
    <mergeCell ref="IH490:IH491"/>
    <mergeCell ref="FW488:FW491"/>
    <mergeCell ref="FX488:FX491"/>
    <mergeCell ref="FY488:FY491"/>
    <mergeCell ref="FZ488:FZ491"/>
    <mergeCell ref="GA488:GA491"/>
    <mergeCell ref="GB488:GB491"/>
    <mergeCell ref="GC488:GC491"/>
    <mergeCell ref="GD488:GD491"/>
    <mergeCell ref="GG488:GG491"/>
    <mergeCell ref="HW488:HW490"/>
    <mergeCell ref="HX488:HX489"/>
    <mergeCell ref="IA488:IA491"/>
    <mergeCell ref="IB488:IB489"/>
    <mergeCell ref="IC488:IC491"/>
    <mergeCell ref="IF488:IF489"/>
    <mergeCell ref="IG488:IG491"/>
    <mergeCell ref="IH488:IH489"/>
    <mergeCell ref="EY488:EY489"/>
    <mergeCell ref="EZ488:EZ491"/>
    <mergeCell ref="FB488:FB489"/>
    <mergeCell ref="FD488:FD491"/>
    <mergeCell ref="FE488:FE491"/>
    <mergeCell ref="FI488:FI489"/>
    <mergeCell ref="FJ488:FJ489"/>
    <mergeCell ref="FK488:FK489"/>
    <mergeCell ref="FL488:FL489"/>
    <mergeCell ref="FM488:FM489"/>
    <mergeCell ref="FO488:FO489"/>
    <mergeCell ref="FP488:FP489"/>
    <mergeCell ref="FQ488:FQ489"/>
    <mergeCell ref="FR488:FR489"/>
    <mergeCell ref="HE489:HE490"/>
    <mergeCell ref="HF489:HF490"/>
    <mergeCell ref="HG489:HG490"/>
    <mergeCell ref="HM489:HM490"/>
    <mergeCell ref="HN489:HN490"/>
    <mergeCell ref="HO489:HO490"/>
    <mergeCell ref="HP489:HP490"/>
    <mergeCell ref="HQ489:HQ490"/>
    <mergeCell ref="HR489:HR490"/>
    <mergeCell ref="HS489:HS490"/>
    <mergeCell ref="HT489:HT490"/>
    <mergeCell ref="HU489:HU490"/>
    <mergeCell ref="HY489:HY490"/>
    <mergeCell ref="EU490:EU491"/>
    <mergeCell ref="EV490:EV491"/>
    <mergeCell ref="EW490:EW491"/>
    <mergeCell ref="EX490:EX491"/>
    <mergeCell ref="EY490:EY491"/>
    <mergeCell ref="FB490:FB491"/>
    <mergeCell ref="FI490:FI491"/>
    <mergeCell ref="DL488:DL491"/>
    <mergeCell ref="DN488:DN491"/>
    <mergeCell ref="DO488:DO489"/>
    <mergeCell ref="DP488:DP491"/>
    <mergeCell ref="DQ488:DQ489"/>
    <mergeCell ref="DR488:DR491"/>
    <mergeCell ref="DS488:DS491"/>
    <mergeCell ref="DU488:DU491"/>
    <mergeCell ref="DV488:DV489"/>
    <mergeCell ref="DW488:DW491"/>
    <mergeCell ref="DX488:DX491"/>
    <mergeCell ref="DZ488:DZ491"/>
    <mergeCell ref="EA488:EA491"/>
    <mergeCell ref="EC488:EC491"/>
    <mergeCell ref="FJ490:FJ491"/>
    <mergeCell ref="FK490:FK491"/>
    <mergeCell ref="FL490:FL491"/>
    <mergeCell ref="AK490:AK491"/>
    <mergeCell ref="AL490:AL491"/>
    <mergeCell ref="CO490:CO491"/>
    <mergeCell ref="CP490:CP491"/>
    <mergeCell ref="CR490:CR491"/>
    <mergeCell ref="CS490:CS491"/>
    <mergeCell ref="CT490:CT491"/>
    <mergeCell ref="EF488:EF491"/>
    <mergeCell ref="EG488:EG491"/>
    <mergeCell ref="EH488:EH491"/>
    <mergeCell ref="EI488:EI491"/>
    <mergeCell ref="EJ488:EJ491"/>
    <mergeCell ref="EK488:EK491"/>
    <mergeCell ref="EL488:EL491"/>
    <mergeCell ref="EM488:EM491"/>
    <mergeCell ref="EN488:EN491"/>
    <mergeCell ref="EO488:EO491"/>
    <mergeCell ref="EP488:EP491"/>
    <mergeCell ref="EQ488:EQ491"/>
    <mergeCell ref="ES488:ES491"/>
    <mergeCell ref="EU488:EU489"/>
    <mergeCell ref="EV488:EV489"/>
    <mergeCell ref="EW488:EW489"/>
    <mergeCell ref="EX488:EX489"/>
    <mergeCell ref="CU490:CU491"/>
    <mergeCell ref="CV490:CV491"/>
    <mergeCell ref="CW490:CW491"/>
    <mergeCell ref="FM490:FM491"/>
    <mergeCell ref="HH489:HH490"/>
    <mergeCell ref="HI489:HI490"/>
    <mergeCell ref="HJ489:HJ490"/>
    <mergeCell ref="HK489:HK490"/>
    <mergeCell ref="HL489:HL490"/>
    <mergeCell ref="FS488:FS489"/>
    <mergeCell ref="FT488:FT489"/>
    <mergeCell ref="IH485:IH486"/>
    <mergeCell ref="E486:F486"/>
    <mergeCell ref="G486:L486"/>
    <mergeCell ref="P486:R486"/>
    <mergeCell ref="U486:AA486"/>
    <mergeCell ref="AF486:AI486"/>
    <mergeCell ref="E487:AT487"/>
    <mergeCell ref="B488:B491"/>
    <mergeCell ref="C488:D491"/>
    <mergeCell ref="E488:F488"/>
    <mergeCell ref="G488:R488"/>
    <mergeCell ref="S488:S489"/>
    <mergeCell ref="U488:AA488"/>
    <mergeCell ref="AF488:AI488"/>
    <mergeCell ref="AJ488:AJ489"/>
    <mergeCell ref="AK488:AK489"/>
    <mergeCell ref="AL488:AL489"/>
    <mergeCell ref="AM488:AN491"/>
    <mergeCell ref="AO488:AQ491"/>
    <mergeCell ref="AR488:AR491"/>
    <mergeCell ref="AS488:AS491"/>
    <mergeCell ref="AT488:AT491"/>
    <mergeCell ref="AV488:AV491"/>
    <mergeCell ref="AW488:AW491"/>
    <mergeCell ref="CM488:CM491"/>
    <mergeCell ref="CN488:CN491"/>
    <mergeCell ref="CO488:CO489"/>
    <mergeCell ref="CP488:CP489"/>
    <mergeCell ref="CR488:CR489"/>
    <mergeCell ref="CS488:CS489"/>
    <mergeCell ref="CT488:CT489"/>
    <mergeCell ref="CU488:CU489"/>
    <mergeCell ref="CV488:CV489"/>
    <mergeCell ref="CW488:CW489"/>
    <mergeCell ref="CX488:CX491"/>
    <mergeCell ref="CY488:CY491"/>
    <mergeCell ref="CZ488:CZ491"/>
    <mergeCell ref="DA488:DA491"/>
    <mergeCell ref="DC488:DC489"/>
    <mergeCell ref="DD488:DD489"/>
    <mergeCell ref="DE488:DE489"/>
    <mergeCell ref="DF488:DF489"/>
    <mergeCell ref="DG488:DG489"/>
    <mergeCell ref="DJ488:DJ489"/>
    <mergeCell ref="E489:F489"/>
    <mergeCell ref="G489:L489"/>
    <mergeCell ref="DL483:DL486"/>
    <mergeCell ref="DN483:DN486"/>
    <mergeCell ref="DO483:DO484"/>
    <mergeCell ref="DP483:DP486"/>
    <mergeCell ref="P489:Q489"/>
    <mergeCell ref="AF489:AI489"/>
    <mergeCell ref="GI489:GI490"/>
    <mergeCell ref="GJ489:GJ490"/>
    <mergeCell ref="GL489:GL490"/>
    <mergeCell ref="GM489:GM490"/>
    <mergeCell ref="HC489:HC490"/>
    <mergeCell ref="HD489:HD490"/>
    <mergeCell ref="P490:Q490"/>
    <mergeCell ref="S490:S491"/>
    <mergeCell ref="AF490:AI490"/>
    <mergeCell ref="AJ490:AJ491"/>
    <mergeCell ref="FQ483:FQ484"/>
    <mergeCell ref="FR483:FR484"/>
    <mergeCell ref="FS483:FS484"/>
    <mergeCell ref="FT483:FT484"/>
    <mergeCell ref="FW483:FW486"/>
    <mergeCell ref="FX483:FX486"/>
    <mergeCell ref="FY483:FY486"/>
    <mergeCell ref="FZ483:FZ486"/>
    <mergeCell ref="GA483:GA486"/>
    <mergeCell ref="GB483:GB486"/>
    <mergeCell ref="GC483:GC486"/>
    <mergeCell ref="GD483:GD486"/>
    <mergeCell ref="GG483:GG486"/>
    <mergeCell ref="HW483:HW485"/>
    <mergeCell ref="HX483:HX484"/>
    <mergeCell ref="IA483:IA486"/>
    <mergeCell ref="IB483:IB484"/>
    <mergeCell ref="IC483:IC486"/>
    <mergeCell ref="ED488:ED491"/>
    <mergeCell ref="EE488:EE491"/>
    <mergeCell ref="IH483:IH484"/>
    <mergeCell ref="II483:II486"/>
    <mergeCell ref="E484:F484"/>
    <mergeCell ref="G484:L484"/>
    <mergeCell ref="P484:Q484"/>
    <mergeCell ref="AF484:AI484"/>
    <mergeCell ref="GI484:GI485"/>
    <mergeCell ref="GJ484:GJ485"/>
    <mergeCell ref="GL484:GL485"/>
    <mergeCell ref="GM484:GM485"/>
    <mergeCell ref="HC484:HC485"/>
    <mergeCell ref="HD484:HD485"/>
    <mergeCell ref="HE484:HE485"/>
    <mergeCell ref="HF484:HF485"/>
    <mergeCell ref="HG484:HG485"/>
    <mergeCell ref="HH484:HH485"/>
    <mergeCell ref="HI484:HI485"/>
    <mergeCell ref="HJ484:HJ485"/>
    <mergeCell ref="HK484:HK485"/>
    <mergeCell ref="HL484:HL485"/>
    <mergeCell ref="HM484:HM485"/>
    <mergeCell ref="HN484:HN485"/>
    <mergeCell ref="HO484:HO485"/>
    <mergeCell ref="HP484:HP485"/>
    <mergeCell ref="HQ484:HQ485"/>
    <mergeCell ref="HR484:HR485"/>
    <mergeCell ref="HS484:HS485"/>
    <mergeCell ref="HT484:HT485"/>
    <mergeCell ref="HU484:HU485"/>
    <mergeCell ref="HY484:HY485"/>
    <mergeCell ref="E485:F485"/>
    <mergeCell ref="G485:L485"/>
    <mergeCell ref="P485:Q485"/>
    <mergeCell ref="S485:S486"/>
    <mergeCell ref="AF485:AI485"/>
    <mergeCell ref="AJ485:AJ486"/>
    <mergeCell ref="FQ485:FQ486"/>
    <mergeCell ref="FR485:FR486"/>
    <mergeCell ref="FS485:FS486"/>
    <mergeCell ref="FT485:FT486"/>
    <mergeCell ref="HX485:HX486"/>
    <mergeCell ref="IB485:IB486"/>
    <mergeCell ref="IF485:IF486"/>
    <mergeCell ref="DJ483:DJ484"/>
    <mergeCell ref="AK485:AK486"/>
    <mergeCell ref="CU485:CU486"/>
    <mergeCell ref="CV485:CV486"/>
    <mergeCell ref="EY485:EY486"/>
    <mergeCell ref="FB485:FB486"/>
    <mergeCell ref="FI485:FI486"/>
    <mergeCell ref="FJ485:FJ486"/>
    <mergeCell ref="FK485:FK486"/>
    <mergeCell ref="FL485:FL486"/>
    <mergeCell ref="FM485:FM486"/>
    <mergeCell ref="FO485:FO486"/>
    <mergeCell ref="FP485:FP486"/>
    <mergeCell ref="CU483:CU484"/>
    <mergeCell ref="CV483:CV484"/>
    <mergeCell ref="CW483:CW484"/>
    <mergeCell ref="CX483:CX486"/>
    <mergeCell ref="CY483:CY486"/>
    <mergeCell ref="CZ483:CZ486"/>
    <mergeCell ref="DA483:DA486"/>
    <mergeCell ref="DQ483:DQ484"/>
    <mergeCell ref="DR483:DR486"/>
    <mergeCell ref="DS483:DS486"/>
    <mergeCell ref="DU483:DU486"/>
    <mergeCell ref="DV483:DV484"/>
    <mergeCell ref="DW483:DW486"/>
    <mergeCell ref="DX483:DX486"/>
    <mergeCell ref="DZ483:DZ486"/>
    <mergeCell ref="EA483:EA486"/>
    <mergeCell ref="EC483:EC486"/>
    <mergeCell ref="ED483:ED486"/>
    <mergeCell ref="EE483:EE486"/>
    <mergeCell ref="EF483:EF486"/>
    <mergeCell ref="EG483:EG486"/>
    <mergeCell ref="EH483:EH486"/>
    <mergeCell ref="EI483:EI486"/>
    <mergeCell ref="EJ483:EJ486"/>
    <mergeCell ref="EK483:EK486"/>
    <mergeCell ref="EL483:EL486"/>
    <mergeCell ref="EM483:EM486"/>
    <mergeCell ref="EN483:EN486"/>
    <mergeCell ref="EO483:EO486"/>
    <mergeCell ref="EP483:EP486"/>
    <mergeCell ref="EQ483:EQ486"/>
    <mergeCell ref="ES483:ES486"/>
    <mergeCell ref="EU483:EU484"/>
    <mergeCell ref="EV483:EV484"/>
    <mergeCell ref="EW483:EW484"/>
    <mergeCell ref="EW485:EW486"/>
    <mergeCell ref="EX485:EX486"/>
    <mergeCell ref="EX483:EX484"/>
    <mergeCell ref="EY483:EY484"/>
    <mergeCell ref="EZ483:EZ486"/>
    <mergeCell ref="CW485:CW486"/>
    <mergeCell ref="DC485:DC486"/>
    <mergeCell ref="DD485:DD486"/>
    <mergeCell ref="DE485:DE486"/>
    <mergeCell ref="DF485:DF486"/>
    <mergeCell ref="DG485:DG486"/>
    <mergeCell ref="DK485:DK486"/>
    <mergeCell ref="DO485:DO486"/>
    <mergeCell ref="DQ485:DQ486"/>
    <mergeCell ref="DV485:DV486"/>
    <mergeCell ref="EU485:EU486"/>
    <mergeCell ref="EV485:EV486"/>
    <mergeCell ref="DC475:DC476"/>
    <mergeCell ref="ES475:ES478"/>
    <mergeCell ref="EU475:EU476"/>
    <mergeCell ref="EV475:EV476"/>
    <mergeCell ref="EW475:EW476"/>
    <mergeCell ref="EX475:EX476"/>
    <mergeCell ref="EY475:EY476"/>
    <mergeCell ref="EZ475:EZ478"/>
    <mergeCell ref="FB475:FB476"/>
    <mergeCell ref="FD475:FD478"/>
    <mergeCell ref="FE475:FE478"/>
    <mergeCell ref="FI475:FI476"/>
    <mergeCell ref="FJ475:FJ476"/>
    <mergeCell ref="FK475:FK476"/>
    <mergeCell ref="FL475:FL476"/>
    <mergeCell ref="FM475:FM476"/>
    <mergeCell ref="FO475:FO476"/>
    <mergeCell ref="FP475:FP476"/>
    <mergeCell ref="EU477:EU478"/>
    <mergeCell ref="FB483:FB484"/>
    <mergeCell ref="FD483:FD486"/>
    <mergeCell ref="FE483:FE486"/>
    <mergeCell ref="FI483:FI484"/>
    <mergeCell ref="FJ483:FJ484"/>
    <mergeCell ref="FK483:FK484"/>
    <mergeCell ref="FL483:FL484"/>
    <mergeCell ref="FM483:FM484"/>
    <mergeCell ref="FO483:FO484"/>
    <mergeCell ref="FP483:FP484"/>
    <mergeCell ref="AO481:AP481"/>
    <mergeCell ref="AQ481:AT481"/>
    <mergeCell ref="AR482:AT482"/>
    <mergeCell ref="B483:B486"/>
    <mergeCell ref="C483:D486"/>
    <mergeCell ref="E483:F483"/>
    <mergeCell ref="G483:R483"/>
    <mergeCell ref="S483:S484"/>
    <mergeCell ref="U483:AA483"/>
    <mergeCell ref="AF483:AI483"/>
    <mergeCell ref="AJ483:AJ484"/>
    <mergeCell ref="AK483:AK484"/>
    <mergeCell ref="AL483:AL484"/>
    <mergeCell ref="AM483:AN486"/>
    <mergeCell ref="AO483:AQ486"/>
    <mergeCell ref="AR483:AR486"/>
    <mergeCell ref="AS483:AS486"/>
    <mergeCell ref="AT483:AT486"/>
    <mergeCell ref="AV483:AV486"/>
    <mergeCell ref="AW483:AW486"/>
    <mergeCell ref="CM483:CM486"/>
    <mergeCell ref="CN483:CN486"/>
    <mergeCell ref="CO483:CO484"/>
    <mergeCell ref="CP483:CP484"/>
    <mergeCell ref="CR483:CR484"/>
    <mergeCell ref="CS483:CS484"/>
    <mergeCell ref="CT483:CT484"/>
    <mergeCell ref="AL485:AL486"/>
    <mergeCell ref="CO485:CO486"/>
    <mergeCell ref="CP485:CP486"/>
    <mergeCell ref="CR485:CR486"/>
    <mergeCell ref="CS485:CS486"/>
    <mergeCell ref="CT485:CT486"/>
    <mergeCell ref="AM482:AN482"/>
    <mergeCell ref="AO482:AQ482"/>
    <mergeCell ref="E479:AT479"/>
    <mergeCell ref="AM481:AN481"/>
    <mergeCell ref="IC475:IC478"/>
    <mergeCell ref="IF475:IF476"/>
    <mergeCell ref="IG475:IG478"/>
    <mergeCell ref="IH475:IH476"/>
    <mergeCell ref="II475:II478"/>
    <mergeCell ref="E476:F476"/>
    <mergeCell ref="G476:L476"/>
    <mergeCell ref="P476:Q476"/>
    <mergeCell ref="AF476:AI476"/>
    <mergeCell ref="GI476:GI477"/>
    <mergeCell ref="GJ476:GJ477"/>
    <mergeCell ref="GL476:GL477"/>
    <mergeCell ref="GM476:GM477"/>
    <mergeCell ref="HC476:HC477"/>
    <mergeCell ref="HD476:HD477"/>
    <mergeCell ref="HE476:HE477"/>
    <mergeCell ref="HF476:HF477"/>
    <mergeCell ref="HG476:HG477"/>
    <mergeCell ref="HH476:HH477"/>
    <mergeCell ref="HI476:HI477"/>
    <mergeCell ref="HJ476:HJ477"/>
    <mergeCell ref="HK476:HK477"/>
    <mergeCell ref="HL476:HL477"/>
    <mergeCell ref="HM476:HM477"/>
    <mergeCell ref="HN476:HN477"/>
    <mergeCell ref="HO476:HO477"/>
    <mergeCell ref="HP476:HP477"/>
    <mergeCell ref="HQ476:HQ477"/>
    <mergeCell ref="HR476:HR477"/>
    <mergeCell ref="HS476:HS477"/>
    <mergeCell ref="HT476:HT477"/>
    <mergeCell ref="FQ475:FQ476"/>
    <mergeCell ref="FR475:FR476"/>
    <mergeCell ref="FS475:FS476"/>
    <mergeCell ref="FT475:FT476"/>
    <mergeCell ref="FW475:FW478"/>
    <mergeCell ref="FX475:FX478"/>
    <mergeCell ref="FY475:FY478"/>
    <mergeCell ref="FZ475:FZ478"/>
    <mergeCell ref="FQ477:FQ478"/>
    <mergeCell ref="FR477:FR478"/>
    <mergeCell ref="FS477:FS478"/>
    <mergeCell ref="FT477:FT478"/>
    <mergeCell ref="HX477:HX478"/>
    <mergeCell ref="E478:F478"/>
    <mergeCell ref="G478:L478"/>
    <mergeCell ref="P478:R478"/>
    <mergeCell ref="U478:AA478"/>
    <mergeCell ref="AF478:AI478"/>
    <mergeCell ref="AF477:AI477"/>
    <mergeCell ref="AJ477:AJ478"/>
    <mergeCell ref="AK477:AK478"/>
    <mergeCell ref="AL477:AL478"/>
    <mergeCell ref="CO477:CO478"/>
    <mergeCell ref="CP477:CP478"/>
    <mergeCell ref="CR477:CR478"/>
    <mergeCell ref="CS477:CS478"/>
    <mergeCell ref="CT477:CT478"/>
    <mergeCell ref="CU477:CU478"/>
    <mergeCell ref="CV477:CV478"/>
    <mergeCell ref="CW477:CW478"/>
    <mergeCell ref="IB477:IB478"/>
    <mergeCell ref="BA875:BA913"/>
    <mergeCell ref="BG902:BG904"/>
    <mergeCell ref="BF875:BF876"/>
    <mergeCell ref="BG875:BG876"/>
    <mergeCell ref="BH875:BH876"/>
    <mergeCell ref="BI875:BI876"/>
    <mergeCell ref="BJ875:BJ876"/>
    <mergeCell ref="BK875:BK876"/>
    <mergeCell ref="BL875:BL876"/>
    <mergeCell ref="BM875:BM876"/>
    <mergeCell ref="BN875:BN876"/>
    <mergeCell ref="BO875:BO876"/>
    <mergeCell ref="BP875:BP876"/>
    <mergeCell ref="DZ475:DZ478"/>
    <mergeCell ref="EA475:EA478"/>
    <mergeCell ref="EC475:EC478"/>
    <mergeCell ref="ED475:ED478"/>
    <mergeCell ref="EE475:EE478"/>
    <mergeCell ref="EF475:EF478"/>
    <mergeCell ref="EG475:EG478"/>
    <mergeCell ref="EH475:EH478"/>
    <mergeCell ref="EI475:EI478"/>
    <mergeCell ref="EJ475:EJ478"/>
    <mergeCell ref="EK475:EK478"/>
    <mergeCell ref="EL475:EL478"/>
    <mergeCell ref="EM475:EM478"/>
    <mergeCell ref="EN475:EN478"/>
    <mergeCell ref="EO475:EO478"/>
    <mergeCell ref="EP475:EP478"/>
    <mergeCell ref="EQ475:EQ478"/>
    <mergeCell ref="DD475:DD476"/>
    <mergeCell ref="DE475:DE476"/>
    <mergeCell ref="DF475:DF476"/>
    <mergeCell ref="DG475:DG476"/>
    <mergeCell ref="DH475:DH478"/>
    <mergeCell ref="DJ475:DJ476"/>
    <mergeCell ref="DL475:DL478"/>
    <mergeCell ref="CT475:CT476"/>
    <mergeCell ref="CU475:CU476"/>
    <mergeCell ref="CV475:CV476"/>
    <mergeCell ref="CW475:CW476"/>
    <mergeCell ref="CX475:CX478"/>
    <mergeCell ref="CY475:CY478"/>
    <mergeCell ref="CZ475:CZ478"/>
    <mergeCell ref="DA475:DA478"/>
    <mergeCell ref="DC483:DC484"/>
    <mergeCell ref="DD483:DD484"/>
    <mergeCell ref="DE483:DE484"/>
    <mergeCell ref="DF483:DF484"/>
    <mergeCell ref="DG483:DG484"/>
    <mergeCell ref="DH483:DH486"/>
    <mergeCell ref="DC477:DC478"/>
    <mergeCell ref="DD477:DD478"/>
    <mergeCell ref="DE477:DE478"/>
    <mergeCell ref="DF477:DF478"/>
    <mergeCell ref="DG477:DG478"/>
    <mergeCell ref="DW475:DW478"/>
    <mergeCell ref="DX475:DX478"/>
    <mergeCell ref="DK477:DK478"/>
    <mergeCell ref="DO477:DO478"/>
    <mergeCell ref="DQ477:DQ478"/>
    <mergeCell ref="DV477:DV478"/>
    <mergeCell ref="DN475:DN478"/>
    <mergeCell ref="DO475:DO476"/>
    <mergeCell ref="HW470:HW472"/>
    <mergeCell ref="CN470:CN473"/>
    <mergeCell ref="E472:F472"/>
    <mergeCell ref="G472:L472"/>
    <mergeCell ref="DJ470:DJ471"/>
    <mergeCell ref="E473:F473"/>
    <mergeCell ref="G473:L473"/>
    <mergeCell ref="P473:R473"/>
    <mergeCell ref="U473:AA473"/>
    <mergeCell ref="AF473:AI473"/>
    <mergeCell ref="E474:AT474"/>
    <mergeCell ref="B475:B478"/>
    <mergeCell ref="C475:D478"/>
    <mergeCell ref="E475:F475"/>
    <mergeCell ref="G475:R475"/>
    <mergeCell ref="S475:S476"/>
    <mergeCell ref="U475:AA475"/>
    <mergeCell ref="AF475:AI475"/>
    <mergeCell ref="AJ475:AJ476"/>
    <mergeCell ref="AK475:AK476"/>
    <mergeCell ref="AL475:AL476"/>
    <mergeCell ref="AM475:AN478"/>
    <mergeCell ref="AO475:AQ478"/>
    <mergeCell ref="AR475:AR478"/>
    <mergeCell ref="AS475:AS478"/>
    <mergeCell ref="AT475:AT478"/>
    <mergeCell ref="E477:F477"/>
    <mergeCell ref="G477:L477"/>
    <mergeCell ref="P477:Q477"/>
    <mergeCell ref="S477:S478"/>
    <mergeCell ref="B470:B473"/>
    <mergeCell ref="C470:D473"/>
    <mergeCell ref="P472:Q472"/>
    <mergeCell ref="S472:S473"/>
    <mergeCell ref="AF472:AI472"/>
    <mergeCell ref="AJ472:AJ473"/>
    <mergeCell ref="AK472:AK473"/>
    <mergeCell ref="AL472:AL473"/>
    <mergeCell ref="EV477:EV478"/>
    <mergeCell ref="EW477:EW478"/>
    <mergeCell ref="EX477:EX478"/>
    <mergeCell ref="EY477:EY478"/>
    <mergeCell ref="FB477:FB478"/>
    <mergeCell ref="FI477:FI478"/>
    <mergeCell ref="FJ477:FJ478"/>
    <mergeCell ref="FK477:FK478"/>
    <mergeCell ref="FL477:FL478"/>
    <mergeCell ref="FM477:FM478"/>
    <mergeCell ref="FO477:FO478"/>
    <mergeCell ref="DP475:DP478"/>
    <mergeCell ref="DQ475:DQ476"/>
    <mergeCell ref="DR475:DR478"/>
    <mergeCell ref="DS475:DS478"/>
    <mergeCell ref="DU475:DU478"/>
    <mergeCell ref="DV475:DV476"/>
    <mergeCell ref="FP477:FP478"/>
    <mergeCell ref="AV475:AV478"/>
    <mergeCell ref="AW475:AW478"/>
    <mergeCell ref="CM475:CM478"/>
    <mergeCell ref="CN475:CN478"/>
    <mergeCell ref="CO475:CO476"/>
    <mergeCell ref="CP475:CP476"/>
    <mergeCell ref="CR475:CR476"/>
    <mergeCell ref="CS475:CS476"/>
    <mergeCell ref="GB470:GB473"/>
    <mergeCell ref="GC470:GC473"/>
    <mergeCell ref="GD470:GD473"/>
    <mergeCell ref="GG470:GG473"/>
    <mergeCell ref="EI470:EI473"/>
    <mergeCell ref="EJ470:EJ473"/>
    <mergeCell ref="EK470:EK473"/>
    <mergeCell ref="EM470:EM473"/>
    <mergeCell ref="EN470:EN473"/>
    <mergeCell ref="EO470:EO473"/>
    <mergeCell ref="EP470:EP473"/>
    <mergeCell ref="EQ470:EQ473"/>
    <mergeCell ref="ES470:ES473"/>
    <mergeCell ref="EU470:EU471"/>
    <mergeCell ref="EV470:EV471"/>
    <mergeCell ref="EW470:EW471"/>
    <mergeCell ref="EU472:EU473"/>
    <mergeCell ref="EV472:EV473"/>
    <mergeCell ref="EW472:EW473"/>
    <mergeCell ref="DL470:DL473"/>
    <mergeCell ref="DN470:DN473"/>
    <mergeCell ref="DO470:DO471"/>
    <mergeCell ref="FK467:FK468"/>
    <mergeCell ref="FL467:FL468"/>
    <mergeCell ref="FM467:FM468"/>
    <mergeCell ref="FO467:FO468"/>
    <mergeCell ref="FP467:FP468"/>
    <mergeCell ref="EN465:EN468"/>
    <mergeCell ref="EO465:EO468"/>
    <mergeCell ref="EP465:EP468"/>
    <mergeCell ref="EQ465:EQ468"/>
    <mergeCell ref="ES465:ES468"/>
    <mergeCell ref="EU465:EU466"/>
    <mergeCell ref="HY471:HY472"/>
    <mergeCell ref="DQ465:DQ466"/>
    <mergeCell ref="DR465:DR468"/>
    <mergeCell ref="DS465:DS468"/>
    <mergeCell ref="DU465:DU468"/>
    <mergeCell ref="DV465:DV466"/>
    <mergeCell ref="E469:AT469"/>
    <mergeCell ref="E470:F470"/>
    <mergeCell ref="G470:R470"/>
    <mergeCell ref="FW470:FW473"/>
    <mergeCell ref="FX470:FX473"/>
    <mergeCell ref="AL470:AL471"/>
    <mergeCell ref="AM470:AN473"/>
    <mergeCell ref="AO470:AQ473"/>
    <mergeCell ref="AR470:AR473"/>
    <mergeCell ref="AS470:AS473"/>
    <mergeCell ref="AT470:AT473"/>
    <mergeCell ref="AV470:AV473"/>
    <mergeCell ref="AW470:AW473"/>
    <mergeCell ref="CM470:CM473"/>
    <mergeCell ref="HX470:HX471"/>
    <mergeCell ref="HX472:HX473"/>
    <mergeCell ref="EX470:EX471"/>
    <mergeCell ref="EY470:EY471"/>
    <mergeCell ref="EZ470:EZ473"/>
    <mergeCell ref="FB470:FB471"/>
    <mergeCell ref="FD470:FD473"/>
    <mergeCell ref="FE470:FE473"/>
    <mergeCell ref="FI470:FI471"/>
    <mergeCell ref="FJ470:FJ471"/>
    <mergeCell ref="FK470:FK471"/>
    <mergeCell ref="FL470:FL471"/>
    <mergeCell ref="FM470:FM471"/>
    <mergeCell ref="FO470:FO471"/>
    <mergeCell ref="FP470:FP471"/>
    <mergeCell ref="FQ470:FQ471"/>
    <mergeCell ref="FR470:FR471"/>
    <mergeCell ref="FS470:FS471"/>
    <mergeCell ref="FT470:FT471"/>
    <mergeCell ref="EX472:EX473"/>
    <mergeCell ref="EY472:EY473"/>
    <mergeCell ref="FB472:FB473"/>
    <mergeCell ref="FI472:FI473"/>
    <mergeCell ref="FR472:FR473"/>
    <mergeCell ref="FS472:FS473"/>
    <mergeCell ref="FT472:FT473"/>
    <mergeCell ref="HM466:HM467"/>
    <mergeCell ref="HN466:HN467"/>
    <mergeCell ref="HO466:HO467"/>
    <mergeCell ref="HP466:HP467"/>
    <mergeCell ref="HQ466:HQ467"/>
    <mergeCell ref="HR466:HR467"/>
    <mergeCell ref="HS466:HS467"/>
    <mergeCell ref="HT466:HT467"/>
    <mergeCell ref="HU466:HU467"/>
    <mergeCell ref="HL466:HL467"/>
    <mergeCell ref="CO472:CO473"/>
    <mergeCell ref="CP472:CP473"/>
    <mergeCell ref="CR472:CR473"/>
    <mergeCell ref="E471:F471"/>
    <mergeCell ref="G471:L471"/>
    <mergeCell ref="P471:Q471"/>
    <mergeCell ref="AF471:AI471"/>
    <mergeCell ref="DC470:DC471"/>
    <mergeCell ref="DH470:DH473"/>
    <mergeCell ref="CT467:CT468"/>
    <mergeCell ref="CU467:CU468"/>
    <mergeCell ref="CV467:CV468"/>
    <mergeCell ref="EL470:EL473"/>
    <mergeCell ref="DP465:DP468"/>
    <mergeCell ref="DZ470:DZ473"/>
    <mergeCell ref="EA470:EA473"/>
    <mergeCell ref="EC470:EC473"/>
    <mergeCell ref="ED470:ED473"/>
    <mergeCell ref="DK472:DK473"/>
    <mergeCell ref="DO472:DO473"/>
    <mergeCell ref="DQ472:DQ473"/>
    <mergeCell ref="DV472:DV473"/>
    <mergeCell ref="GI471:GI472"/>
    <mergeCell ref="HW465:HW467"/>
    <mergeCell ref="HX465:HX466"/>
    <mergeCell ref="GJ471:GJ472"/>
    <mergeCell ref="GL471:GL472"/>
    <mergeCell ref="GM471:GM472"/>
    <mergeCell ref="HC471:HC472"/>
    <mergeCell ref="HD471:HD472"/>
    <mergeCell ref="HE471:HE472"/>
    <mergeCell ref="HF471:HF472"/>
    <mergeCell ref="HG471:HG472"/>
    <mergeCell ref="HH471:HH472"/>
    <mergeCell ref="HI471:HI472"/>
    <mergeCell ref="HJ471:HJ472"/>
    <mergeCell ref="HK471:HK472"/>
    <mergeCell ref="HL471:HL472"/>
    <mergeCell ref="S470:S471"/>
    <mergeCell ref="U470:AA470"/>
    <mergeCell ref="AF470:AI470"/>
    <mergeCell ref="AJ470:AJ471"/>
    <mergeCell ref="AK470:AK471"/>
    <mergeCell ref="HM471:HM472"/>
    <mergeCell ref="HN471:HN472"/>
    <mergeCell ref="HO471:HO472"/>
    <mergeCell ref="HP471:HP472"/>
    <mergeCell ref="HQ471:HQ472"/>
    <mergeCell ref="HR471:HR472"/>
    <mergeCell ref="HS471:HS472"/>
    <mergeCell ref="HT471:HT472"/>
    <mergeCell ref="HU471:HU472"/>
    <mergeCell ref="DD470:DD471"/>
    <mergeCell ref="DE470:DE471"/>
    <mergeCell ref="DF470:DF471"/>
    <mergeCell ref="DG470:DG471"/>
    <mergeCell ref="CW472:CW473"/>
    <mergeCell ref="DC472:DC473"/>
    <mergeCell ref="DD472:DD473"/>
    <mergeCell ref="DE472:DE473"/>
    <mergeCell ref="DF472:DF473"/>
    <mergeCell ref="DG472:DG473"/>
    <mergeCell ref="CS472:CS473"/>
    <mergeCell ref="CT472:CT473"/>
    <mergeCell ref="CU472:CU473"/>
    <mergeCell ref="CV472:CV473"/>
    <mergeCell ref="CO470:CO471"/>
    <mergeCell ref="CP470:CP471"/>
    <mergeCell ref="CR470:CR471"/>
    <mergeCell ref="FY470:FY473"/>
    <mergeCell ref="FZ470:FZ473"/>
    <mergeCell ref="GA470:GA473"/>
    <mergeCell ref="IH467:IH468"/>
    <mergeCell ref="E468:F468"/>
    <mergeCell ref="G468:L468"/>
    <mergeCell ref="P468:R468"/>
    <mergeCell ref="U468:AA468"/>
    <mergeCell ref="AF468:AI468"/>
    <mergeCell ref="IF467:IF468"/>
    <mergeCell ref="IB467:IB468"/>
    <mergeCell ref="CS470:CS471"/>
    <mergeCell ref="CT470:CT471"/>
    <mergeCell ref="CU470:CU471"/>
    <mergeCell ref="CV470:CV471"/>
    <mergeCell ref="CW470:CW471"/>
    <mergeCell ref="CX470:CX473"/>
    <mergeCell ref="CY470:CY473"/>
    <mergeCell ref="CZ470:CZ473"/>
    <mergeCell ref="DA470:DA473"/>
    <mergeCell ref="HX467:HX468"/>
    <mergeCell ref="IA465:IA468"/>
    <mergeCell ref="IB465:IB466"/>
    <mergeCell ref="IC465:IC468"/>
    <mergeCell ref="IF465:IF466"/>
    <mergeCell ref="IG465:IG468"/>
    <mergeCell ref="IH465:IH466"/>
    <mergeCell ref="DK467:DK468"/>
    <mergeCell ref="DO467:DO468"/>
    <mergeCell ref="DQ467:DQ468"/>
    <mergeCell ref="DV467:DV468"/>
    <mergeCell ref="EU467:EU468"/>
    <mergeCell ref="EV467:EV468"/>
    <mergeCell ref="EW467:EW468"/>
    <mergeCell ref="EX467:EX468"/>
    <mergeCell ref="FJ472:FJ473"/>
    <mergeCell ref="FK472:FK473"/>
    <mergeCell ref="FL472:FL473"/>
    <mergeCell ref="FM472:FM473"/>
    <mergeCell ref="FO472:FO473"/>
    <mergeCell ref="FP472:FP473"/>
    <mergeCell ref="FQ472:FQ473"/>
    <mergeCell ref="DW465:DW468"/>
    <mergeCell ref="DX465:DX468"/>
    <mergeCell ref="DZ465:DZ468"/>
    <mergeCell ref="EA465:EA468"/>
    <mergeCell ref="EC465:EC468"/>
    <mergeCell ref="ED465:ED468"/>
    <mergeCell ref="EE465:EE468"/>
    <mergeCell ref="EF465:EF468"/>
    <mergeCell ref="EE470:EE473"/>
    <mergeCell ref="EF470:EF473"/>
    <mergeCell ref="DP470:DP473"/>
    <mergeCell ref="DQ470:DQ471"/>
    <mergeCell ref="DR470:DR473"/>
    <mergeCell ref="DS470:DS473"/>
    <mergeCell ref="DU470:DU473"/>
    <mergeCell ref="DV470:DV471"/>
    <mergeCell ref="DW470:DW473"/>
    <mergeCell ref="DX470:DX473"/>
    <mergeCell ref="EG470:EG473"/>
    <mergeCell ref="EH470:EH473"/>
    <mergeCell ref="HY466:HY467"/>
    <mergeCell ref="E467:F467"/>
    <mergeCell ref="G467:L467"/>
    <mergeCell ref="P467:Q467"/>
    <mergeCell ref="S467:S468"/>
    <mergeCell ref="II465:II468"/>
    <mergeCell ref="E466:F466"/>
    <mergeCell ref="G466:L466"/>
    <mergeCell ref="P466:Q466"/>
    <mergeCell ref="AF466:AI466"/>
    <mergeCell ref="GI466:GI467"/>
    <mergeCell ref="GJ466:GJ467"/>
    <mergeCell ref="GL466:GL467"/>
    <mergeCell ref="GM466:GM467"/>
    <mergeCell ref="HC466:HC467"/>
    <mergeCell ref="HD466:HD467"/>
    <mergeCell ref="HE466:HE467"/>
    <mergeCell ref="HF466:HF467"/>
    <mergeCell ref="HG466:HG467"/>
    <mergeCell ref="HH466:HH467"/>
    <mergeCell ref="HI466:HI467"/>
    <mergeCell ref="EZ465:EZ468"/>
    <mergeCell ref="FB465:FB466"/>
    <mergeCell ref="FD465:FD468"/>
    <mergeCell ref="FE465:FE468"/>
    <mergeCell ref="FI465:FI466"/>
    <mergeCell ref="FJ465:FJ466"/>
    <mergeCell ref="FK465:FK466"/>
    <mergeCell ref="FL465:FL466"/>
    <mergeCell ref="FM465:FM466"/>
    <mergeCell ref="FO465:FO466"/>
    <mergeCell ref="FP465:FP466"/>
    <mergeCell ref="FQ465:FQ466"/>
    <mergeCell ref="FR465:FR466"/>
    <mergeCell ref="FS465:FS466"/>
    <mergeCell ref="FT465:FT466"/>
    <mergeCell ref="FW465:FW468"/>
    <mergeCell ref="FX465:FX468"/>
    <mergeCell ref="FQ467:FQ468"/>
    <mergeCell ref="FR467:FR468"/>
    <mergeCell ref="FS467:FS468"/>
    <mergeCell ref="FT467:FT468"/>
    <mergeCell ref="EG465:EG468"/>
    <mergeCell ref="EH465:EH468"/>
    <mergeCell ref="EI465:EI468"/>
    <mergeCell ref="EV465:EV466"/>
    <mergeCell ref="EW465:EW466"/>
    <mergeCell ref="EX465:EX466"/>
    <mergeCell ref="EY465:EY466"/>
    <mergeCell ref="DL465:DL468"/>
    <mergeCell ref="DN465:DN468"/>
    <mergeCell ref="DO465:DO466"/>
    <mergeCell ref="FY465:FY468"/>
    <mergeCell ref="FZ465:FZ468"/>
    <mergeCell ref="GA465:GA468"/>
    <mergeCell ref="GB465:GB468"/>
    <mergeCell ref="GC465:GC468"/>
    <mergeCell ref="GD465:GD468"/>
    <mergeCell ref="GG465:GG468"/>
    <mergeCell ref="EJ465:EJ468"/>
    <mergeCell ref="EK465:EK468"/>
    <mergeCell ref="EL465:EL468"/>
    <mergeCell ref="EM465:EM468"/>
    <mergeCell ref="EY467:EY468"/>
    <mergeCell ref="FB467:FB468"/>
    <mergeCell ref="FI467:FI468"/>
    <mergeCell ref="FJ467:FJ468"/>
    <mergeCell ref="HJ466:HJ467"/>
    <mergeCell ref="HK466:HK467"/>
    <mergeCell ref="B465:B468"/>
    <mergeCell ref="C465:D468"/>
    <mergeCell ref="E465:F465"/>
    <mergeCell ref="G465:R465"/>
    <mergeCell ref="S465:S466"/>
    <mergeCell ref="U465:AA465"/>
    <mergeCell ref="AF465:AI465"/>
    <mergeCell ref="AJ465:AJ466"/>
    <mergeCell ref="AK465:AK466"/>
    <mergeCell ref="AL465:AL466"/>
    <mergeCell ref="AM465:AN468"/>
    <mergeCell ref="AO465:AQ468"/>
    <mergeCell ref="AR465:AR468"/>
    <mergeCell ref="AS465:AS468"/>
    <mergeCell ref="AT465:AT468"/>
    <mergeCell ref="AV465:AV468"/>
    <mergeCell ref="AW465:AW468"/>
    <mergeCell ref="CM465:CM468"/>
    <mergeCell ref="CN465:CN468"/>
    <mergeCell ref="CO465:CO466"/>
    <mergeCell ref="CP465:CP466"/>
    <mergeCell ref="DD465:DD466"/>
    <mergeCell ref="DE465:DE466"/>
    <mergeCell ref="DF465:DF466"/>
    <mergeCell ref="DG465:DG466"/>
    <mergeCell ref="DH465:DH468"/>
    <mergeCell ref="DJ465:DJ466"/>
    <mergeCell ref="CW467:CW468"/>
    <mergeCell ref="DC467:DC468"/>
    <mergeCell ref="DD467:DD468"/>
    <mergeCell ref="DE467:DE468"/>
    <mergeCell ref="DF467:DF468"/>
    <mergeCell ref="DG467:DG468"/>
    <mergeCell ref="AF467:AI467"/>
    <mergeCell ref="AJ467:AJ468"/>
    <mergeCell ref="AK467:AK468"/>
    <mergeCell ref="AL467:AL468"/>
    <mergeCell ref="CO467:CO468"/>
    <mergeCell ref="CP467:CP468"/>
    <mergeCell ref="CR467:CR468"/>
    <mergeCell ref="CS467:CS468"/>
    <mergeCell ref="CR465:CR466"/>
    <mergeCell ref="CS465:CS466"/>
    <mergeCell ref="CT465:CT466"/>
    <mergeCell ref="CU465:CU466"/>
    <mergeCell ref="CV465:CV466"/>
    <mergeCell ref="CW465:CW466"/>
    <mergeCell ref="CX465:CX468"/>
    <mergeCell ref="CY465:CY468"/>
    <mergeCell ref="CZ465:CZ468"/>
    <mergeCell ref="DA465:DA468"/>
    <mergeCell ref="DC465:DC466"/>
    <mergeCell ref="CX460:CX463"/>
    <mergeCell ref="CY460:CY463"/>
    <mergeCell ref="CZ460:CZ463"/>
    <mergeCell ref="DA460:DA463"/>
    <mergeCell ref="DC460:DC461"/>
    <mergeCell ref="DC462:DC463"/>
    <mergeCell ref="FQ460:FQ461"/>
    <mergeCell ref="FR460:FR461"/>
    <mergeCell ref="FS460:FS461"/>
    <mergeCell ref="FT460:FT461"/>
    <mergeCell ref="FW460:FW463"/>
    <mergeCell ref="FX460:FX463"/>
    <mergeCell ref="FY460:FY463"/>
    <mergeCell ref="FZ460:FZ463"/>
    <mergeCell ref="GA460:GA463"/>
    <mergeCell ref="GB460:GB463"/>
    <mergeCell ref="GC460:GC463"/>
    <mergeCell ref="GD460:GD463"/>
    <mergeCell ref="GG460:GG463"/>
    <mergeCell ref="DZ460:DZ463"/>
    <mergeCell ref="EA460:EA463"/>
    <mergeCell ref="EC460:EC463"/>
    <mergeCell ref="ED460:ED463"/>
    <mergeCell ref="EE460:EE463"/>
    <mergeCell ref="EF460:EF463"/>
    <mergeCell ref="EG460:EG463"/>
    <mergeCell ref="EH460:EH463"/>
    <mergeCell ref="EI460:EI463"/>
    <mergeCell ref="EJ460:EJ463"/>
    <mergeCell ref="EK460:EK463"/>
    <mergeCell ref="EL460:EL463"/>
    <mergeCell ref="EM460:EM463"/>
    <mergeCell ref="EN460:EN463"/>
    <mergeCell ref="EO460:EO463"/>
    <mergeCell ref="EP460:EP463"/>
    <mergeCell ref="EQ460:EQ463"/>
    <mergeCell ref="DD460:DD461"/>
    <mergeCell ref="DE460:DE461"/>
    <mergeCell ref="DF460:DF461"/>
    <mergeCell ref="DG460:DG461"/>
    <mergeCell ref="DH460:DH463"/>
    <mergeCell ref="DJ460:DJ461"/>
    <mergeCell ref="DL460:DL463"/>
    <mergeCell ref="DN460:DN463"/>
    <mergeCell ref="DO460:DO461"/>
    <mergeCell ref="DP460:DP463"/>
    <mergeCell ref="DQ460:DQ461"/>
    <mergeCell ref="DR460:DR463"/>
    <mergeCell ref="DS460:DS463"/>
    <mergeCell ref="DU460:DU463"/>
    <mergeCell ref="DV460:DV461"/>
    <mergeCell ref="DW460:DW463"/>
    <mergeCell ref="DX460:DX463"/>
    <mergeCell ref="DK462:DK463"/>
    <mergeCell ref="DO462:DO463"/>
    <mergeCell ref="DQ462:DQ463"/>
    <mergeCell ref="DV462:DV463"/>
    <mergeCell ref="DD462:DD463"/>
    <mergeCell ref="DE462:DE463"/>
    <mergeCell ref="DF462:DF463"/>
    <mergeCell ref="DG462:DG463"/>
    <mergeCell ref="HW460:HW462"/>
    <mergeCell ref="HX460:HX461"/>
    <mergeCell ref="IA460:IA463"/>
    <mergeCell ref="IB460:IB461"/>
    <mergeCell ref="HU461:HU462"/>
    <mergeCell ref="HY461:HY462"/>
    <mergeCell ref="FQ462:FQ463"/>
    <mergeCell ref="FR462:FR463"/>
    <mergeCell ref="FS462:FS463"/>
    <mergeCell ref="FT462:FT463"/>
    <mergeCell ref="HX462:HX463"/>
    <mergeCell ref="IB462:IB463"/>
    <mergeCell ref="ES460:ES463"/>
    <mergeCell ref="EU460:EU461"/>
    <mergeCell ref="EV460:EV461"/>
    <mergeCell ref="EW460:EW461"/>
    <mergeCell ref="EX460:EX461"/>
    <mergeCell ref="EY460:EY461"/>
    <mergeCell ref="EZ460:EZ463"/>
    <mergeCell ref="FB460:FB461"/>
    <mergeCell ref="FD460:FD463"/>
    <mergeCell ref="FE460:FE463"/>
    <mergeCell ref="FI460:FI461"/>
    <mergeCell ref="FJ460:FJ461"/>
    <mergeCell ref="FK460:FK461"/>
    <mergeCell ref="FL460:FL461"/>
    <mergeCell ref="FM460:FM461"/>
    <mergeCell ref="FO460:FO461"/>
    <mergeCell ref="FP460:FP461"/>
    <mergeCell ref="EU462:EU463"/>
    <mergeCell ref="EV462:EV463"/>
    <mergeCell ref="EW462:EW463"/>
    <mergeCell ref="EX462:EX463"/>
    <mergeCell ref="EY462:EY463"/>
    <mergeCell ref="FB462:FB463"/>
    <mergeCell ref="FI462:FI463"/>
    <mergeCell ref="FJ462:FJ463"/>
    <mergeCell ref="FK462:FK463"/>
    <mergeCell ref="FL462:FL463"/>
    <mergeCell ref="FM462:FM463"/>
    <mergeCell ref="FO462:FO463"/>
    <mergeCell ref="FP462:FP463"/>
    <mergeCell ref="E459:AT459"/>
    <mergeCell ref="B460:B463"/>
    <mergeCell ref="C460:D463"/>
    <mergeCell ref="E460:F460"/>
    <mergeCell ref="G460:R460"/>
    <mergeCell ref="S460:S461"/>
    <mergeCell ref="U460:AA460"/>
    <mergeCell ref="AF460:AI460"/>
    <mergeCell ref="AJ460:AJ461"/>
    <mergeCell ref="AK460:AK461"/>
    <mergeCell ref="AL460:AL461"/>
    <mergeCell ref="AM460:AN463"/>
    <mergeCell ref="AO460:AQ463"/>
    <mergeCell ref="AR460:AR463"/>
    <mergeCell ref="AS460:AS463"/>
    <mergeCell ref="AT460:AT463"/>
    <mergeCell ref="E462:F462"/>
    <mergeCell ref="G462:L462"/>
    <mergeCell ref="P462:Q462"/>
    <mergeCell ref="S462:S463"/>
    <mergeCell ref="E461:F461"/>
    <mergeCell ref="G461:L461"/>
    <mergeCell ref="P461:Q461"/>
    <mergeCell ref="AF461:AI461"/>
    <mergeCell ref="E463:F463"/>
    <mergeCell ref="G463:L463"/>
    <mergeCell ref="P463:R463"/>
    <mergeCell ref="U463:AA463"/>
    <mergeCell ref="AF463:AI463"/>
    <mergeCell ref="CT462:CT463"/>
    <mergeCell ref="CU462:CU463"/>
    <mergeCell ref="CV462:CV463"/>
    <mergeCell ref="CW462:CW463"/>
    <mergeCell ref="CO462:CO463"/>
    <mergeCell ref="CP462:CP463"/>
    <mergeCell ref="CR462:CR463"/>
    <mergeCell ref="CS462:CS463"/>
    <mergeCell ref="AV460:AV463"/>
    <mergeCell ref="AW460:AW463"/>
    <mergeCell ref="CM460:CM463"/>
    <mergeCell ref="CN460:CN463"/>
    <mergeCell ref="CO460:CO461"/>
    <mergeCell ref="CP460:CP461"/>
    <mergeCell ref="CR460:CR461"/>
    <mergeCell ref="CS460:CS461"/>
    <mergeCell ref="CT460:CT461"/>
    <mergeCell ref="CU460:CU461"/>
    <mergeCell ref="CV460:CV461"/>
    <mergeCell ref="CW460:CW461"/>
    <mergeCell ref="II455:II458"/>
    <mergeCell ref="E456:F456"/>
    <mergeCell ref="G456:L456"/>
    <mergeCell ref="P456:Q456"/>
    <mergeCell ref="AF456:AI456"/>
    <mergeCell ref="GI456:GI457"/>
    <mergeCell ref="GJ456:GJ457"/>
    <mergeCell ref="GL456:GL457"/>
    <mergeCell ref="GM456:GM457"/>
    <mergeCell ref="HC456:HC457"/>
    <mergeCell ref="HD456:HD457"/>
    <mergeCell ref="HE456:HE457"/>
    <mergeCell ref="HF456:HF457"/>
    <mergeCell ref="HG456:HG457"/>
    <mergeCell ref="HH456:HH457"/>
    <mergeCell ref="HI456:HI457"/>
    <mergeCell ref="HJ456:HJ457"/>
    <mergeCell ref="HK456:HK457"/>
    <mergeCell ref="HL456:HL457"/>
    <mergeCell ref="HM456:HM457"/>
    <mergeCell ref="HN456:HN457"/>
    <mergeCell ref="HO456:HO457"/>
    <mergeCell ref="HP456:HP457"/>
    <mergeCell ref="HQ456:HQ457"/>
    <mergeCell ref="HR456:HR457"/>
    <mergeCell ref="HS456:HS457"/>
    <mergeCell ref="HT456:HT457"/>
    <mergeCell ref="HU456:HU457"/>
    <mergeCell ref="HY456:HY457"/>
    <mergeCell ref="E457:F457"/>
    <mergeCell ref="G457:L457"/>
    <mergeCell ref="FW455:FW458"/>
    <mergeCell ref="FX455:FX458"/>
    <mergeCell ref="FY455:FY458"/>
    <mergeCell ref="FZ455:FZ458"/>
    <mergeCell ref="GA455:GA458"/>
    <mergeCell ref="GB455:GB458"/>
    <mergeCell ref="GC455:GC458"/>
    <mergeCell ref="GD455:GD458"/>
    <mergeCell ref="GG455:GG458"/>
    <mergeCell ref="HW455:HW457"/>
    <mergeCell ref="HX455:HX456"/>
    <mergeCell ref="IA455:IA458"/>
    <mergeCell ref="IB455:IB456"/>
    <mergeCell ref="IC455:IC458"/>
    <mergeCell ref="IF455:IF456"/>
    <mergeCell ref="IG455:IG458"/>
    <mergeCell ref="IB457:IB458"/>
    <mergeCell ref="IF457:IF458"/>
    <mergeCell ref="IH457:IH458"/>
    <mergeCell ref="EX455:EX456"/>
    <mergeCell ref="EY455:EY456"/>
    <mergeCell ref="EZ455:EZ458"/>
    <mergeCell ref="FB455:FB456"/>
    <mergeCell ref="E458:F458"/>
    <mergeCell ref="G458:L458"/>
    <mergeCell ref="P458:R458"/>
    <mergeCell ref="U458:AA458"/>
    <mergeCell ref="AF458:AI458"/>
    <mergeCell ref="FD455:FD458"/>
    <mergeCell ref="FE455:FE458"/>
    <mergeCell ref="FI455:FI456"/>
    <mergeCell ref="FJ455:FJ456"/>
    <mergeCell ref="FK455:FK456"/>
    <mergeCell ref="FL455:FL456"/>
    <mergeCell ref="FM455:FM456"/>
    <mergeCell ref="FO455:FO456"/>
    <mergeCell ref="FP455:FP456"/>
    <mergeCell ref="FQ455:FQ456"/>
    <mergeCell ref="FR455:FR456"/>
    <mergeCell ref="FS455:FS456"/>
    <mergeCell ref="FT455:FT456"/>
    <mergeCell ref="EX457:EX458"/>
    <mergeCell ref="EY457:EY458"/>
    <mergeCell ref="FB457:FB458"/>
    <mergeCell ref="FI457:FI458"/>
    <mergeCell ref="FJ457:FJ458"/>
    <mergeCell ref="FK457:FK458"/>
    <mergeCell ref="FL457:FL458"/>
    <mergeCell ref="FM457:FM458"/>
    <mergeCell ref="FO457:FO458"/>
    <mergeCell ref="FP457:FP458"/>
    <mergeCell ref="FQ457:FQ458"/>
    <mergeCell ref="FR457:FR458"/>
    <mergeCell ref="FS457:FS458"/>
    <mergeCell ref="FT457:FT458"/>
    <mergeCell ref="EE455:EE458"/>
    <mergeCell ref="EF455:EF458"/>
    <mergeCell ref="EG455:EG458"/>
    <mergeCell ref="EH455:EH458"/>
    <mergeCell ref="EI455:EI458"/>
    <mergeCell ref="EJ455:EJ458"/>
    <mergeCell ref="EK455:EK458"/>
    <mergeCell ref="EL455:EL458"/>
    <mergeCell ref="EM455:EM458"/>
    <mergeCell ref="EN455:EN458"/>
    <mergeCell ref="EO455:EO458"/>
    <mergeCell ref="EP455:EP458"/>
    <mergeCell ref="EQ455:EQ458"/>
    <mergeCell ref="ES455:ES458"/>
    <mergeCell ref="EU455:EU456"/>
    <mergeCell ref="EV455:EV456"/>
    <mergeCell ref="EW455:EW456"/>
    <mergeCell ref="EU457:EU458"/>
    <mergeCell ref="EV457:EV458"/>
    <mergeCell ref="EW457:EW458"/>
    <mergeCell ref="DO455:DO456"/>
    <mergeCell ref="DP455:DP458"/>
    <mergeCell ref="DQ455:DQ456"/>
    <mergeCell ref="DR455:DR458"/>
    <mergeCell ref="DS455:DS458"/>
    <mergeCell ref="DU455:DU458"/>
    <mergeCell ref="DH455:DH458"/>
    <mergeCell ref="DV455:DV456"/>
    <mergeCell ref="DW455:DW458"/>
    <mergeCell ref="DX455:DX458"/>
    <mergeCell ref="DZ455:DZ458"/>
    <mergeCell ref="EA455:EA458"/>
    <mergeCell ref="EC455:EC458"/>
    <mergeCell ref="ED455:ED458"/>
    <mergeCell ref="DK457:DK458"/>
    <mergeCell ref="DO457:DO458"/>
    <mergeCell ref="DQ457:DQ458"/>
    <mergeCell ref="DV457:DV458"/>
    <mergeCell ref="CO455:CO456"/>
    <mergeCell ref="CP455:CP456"/>
    <mergeCell ref="CR455:CR456"/>
    <mergeCell ref="CS455:CS456"/>
    <mergeCell ref="CT455:CT456"/>
    <mergeCell ref="CU455:CU456"/>
    <mergeCell ref="CV455:CV456"/>
    <mergeCell ref="CW455:CW456"/>
    <mergeCell ref="CX455:CX458"/>
    <mergeCell ref="CY455:CY458"/>
    <mergeCell ref="CZ455:CZ458"/>
    <mergeCell ref="DA455:DA458"/>
    <mergeCell ref="DC455:DC456"/>
    <mergeCell ref="DD455:DD456"/>
    <mergeCell ref="DE455:DE456"/>
    <mergeCell ref="DF455:DF456"/>
    <mergeCell ref="DG455:DG456"/>
    <mergeCell ref="CW457:CW458"/>
    <mergeCell ref="DC457:DC458"/>
    <mergeCell ref="DD457:DD458"/>
    <mergeCell ref="DE457:DE458"/>
    <mergeCell ref="DF457:DF458"/>
    <mergeCell ref="DG457:DG458"/>
    <mergeCell ref="CO457:CO458"/>
    <mergeCell ref="CP457:CP458"/>
    <mergeCell ref="CR457:CR458"/>
    <mergeCell ref="CS457:CS458"/>
    <mergeCell ref="CT457:CT458"/>
    <mergeCell ref="CU457:CU458"/>
    <mergeCell ref="CV457:CV458"/>
    <mergeCell ref="HX452:HX453"/>
    <mergeCell ref="IB452:IB453"/>
    <mergeCell ref="IF452:IF453"/>
    <mergeCell ref="IH452:IH453"/>
    <mergeCell ref="E453:F453"/>
    <mergeCell ref="G453:L453"/>
    <mergeCell ref="P453:R453"/>
    <mergeCell ref="U453:AA453"/>
    <mergeCell ref="AF453:AI453"/>
    <mergeCell ref="E454:AT454"/>
    <mergeCell ref="B455:B458"/>
    <mergeCell ref="C455:D458"/>
    <mergeCell ref="E455:F455"/>
    <mergeCell ref="G455:R455"/>
    <mergeCell ref="S455:S456"/>
    <mergeCell ref="U455:AA455"/>
    <mergeCell ref="AF455:AI455"/>
    <mergeCell ref="AJ455:AJ456"/>
    <mergeCell ref="AK455:AK456"/>
    <mergeCell ref="AL455:AL456"/>
    <mergeCell ref="AM455:AN458"/>
    <mergeCell ref="AO455:AQ458"/>
    <mergeCell ref="AR455:AR458"/>
    <mergeCell ref="AS455:AS458"/>
    <mergeCell ref="AT455:AT458"/>
    <mergeCell ref="AV455:AV458"/>
    <mergeCell ref="AW455:AW458"/>
    <mergeCell ref="CM455:CM458"/>
    <mergeCell ref="CN455:CN458"/>
    <mergeCell ref="DK452:DK453"/>
    <mergeCell ref="DO452:DO453"/>
    <mergeCell ref="DQ452:DQ453"/>
    <mergeCell ref="DV452:DV453"/>
    <mergeCell ref="EU452:EU453"/>
    <mergeCell ref="EV452:EV453"/>
    <mergeCell ref="EW452:EW453"/>
    <mergeCell ref="EX452:EX453"/>
    <mergeCell ref="EY452:EY453"/>
    <mergeCell ref="FB452:FB453"/>
    <mergeCell ref="FI452:FI453"/>
    <mergeCell ref="FJ452:FJ453"/>
    <mergeCell ref="FK452:FK453"/>
    <mergeCell ref="FL452:FL453"/>
    <mergeCell ref="FM452:FM453"/>
    <mergeCell ref="FO452:FO453"/>
    <mergeCell ref="FP452:FP453"/>
    <mergeCell ref="HJ451:HJ452"/>
    <mergeCell ref="HK451:HK452"/>
    <mergeCell ref="HL451:HL452"/>
    <mergeCell ref="HM451:HM452"/>
    <mergeCell ref="HN451:HN452"/>
    <mergeCell ref="HO451:HO452"/>
    <mergeCell ref="HP451:HP452"/>
    <mergeCell ref="HQ451:HQ452"/>
    <mergeCell ref="HR451:HR452"/>
    <mergeCell ref="HS451:HS452"/>
    <mergeCell ref="HT451:HT452"/>
    <mergeCell ref="HU451:HU452"/>
    <mergeCell ref="EN450:EN453"/>
    <mergeCell ref="EO450:EO453"/>
    <mergeCell ref="EP450:EP453"/>
    <mergeCell ref="DJ455:DJ456"/>
    <mergeCell ref="DL455:DL458"/>
    <mergeCell ref="DN455:DN458"/>
    <mergeCell ref="EX450:EX451"/>
    <mergeCell ref="EY450:EY451"/>
    <mergeCell ref="DL450:DL453"/>
    <mergeCell ref="DN450:DN453"/>
    <mergeCell ref="DO450:DO451"/>
    <mergeCell ref="DP450:DP453"/>
    <mergeCell ref="DQ450:DQ451"/>
    <mergeCell ref="DR450:DR453"/>
    <mergeCell ref="DS450:DS453"/>
    <mergeCell ref="DU450:DU453"/>
    <mergeCell ref="DV450:DV451"/>
    <mergeCell ref="DW450:DW453"/>
    <mergeCell ref="P452:Q452"/>
    <mergeCell ref="S452:S453"/>
    <mergeCell ref="AF452:AI452"/>
    <mergeCell ref="AJ452:AJ453"/>
    <mergeCell ref="AK452:AK453"/>
    <mergeCell ref="AL452:AL453"/>
    <mergeCell ref="CO452:CO453"/>
    <mergeCell ref="CP452:CP453"/>
    <mergeCell ref="CR452:CR453"/>
    <mergeCell ref="CS452:CS453"/>
    <mergeCell ref="CT452:CT453"/>
    <mergeCell ref="CU452:CU453"/>
    <mergeCell ref="CV452:CV453"/>
    <mergeCell ref="DX450:DX453"/>
    <mergeCell ref="DZ450:DZ453"/>
    <mergeCell ref="EA450:EA453"/>
    <mergeCell ref="EC450:EC453"/>
    <mergeCell ref="ED450:ED453"/>
    <mergeCell ref="EE450:EE453"/>
    <mergeCell ref="EF450:EF453"/>
    <mergeCell ref="CR450:CR451"/>
    <mergeCell ref="CS450:CS451"/>
    <mergeCell ref="CT450:CT451"/>
    <mergeCell ref="CU450:CU451"/>
    <mergeCell ref="CV450:CV451"/>
    <mergeCell ref="CW450:CW451"/>
    <mergeCell ref="CX450:CX453"/>
    <mergeCell ref="CY450:CY453"/>
    <mergeCell ref="CZ450:CZ453"/>
    <mergeCell ref="DA450:DA453"/>
    <mergeCell ref="DC450:DC451"/>
    <mergeCell ref="DD450:DD451"/>
    <mergeCell ref="DE450:DE451"/>
    <mergeCell ref="DF450:DF451"/>
    <mergeCell ref="DG450:DG451"/>
    <mergeCell ref="DH450:DH453"/>
    <mergeCell ref="DJ450:DJ451"/>
    <mergeCell ref="CW452:CW453"/>
    <mergeCell ref="DC452:DC453"/>
    <mergeCell ref="DD452:DD453"/>
    <mergeCell ref="DE452:DE453"/>
    <mergeCell ref="DF452:DF453"/>
    <mergeCell ref="DG452:DG453"/>
    <mergeCell ref="IC445:IC448"/>
    <mergeCell ref="IF445:IF446"/>
    <mergeCell ref="IG445:IG448"/>
    <mergeCell ref="IH445:IH446"/>
    <mergeCell ref="FJ445:FJ446"/>
    <mergeCell ref="FK445:FK446"/>
    <mergeCell ref="FL445:FL446"/>
    <mergeCell ref="FM445:FM446"/>
    <mergeCell ref="FO445:FO446"/>
    <mergeCell ref="FP445:FP446"/>
    <mergeCell ref="EU447:EU448"/>
    <mergeCell ref="EV447:EV448"/>
    <mergeCell ref="EW447:EW448"/>
    <mergeCell ref="EX447:EX448"/>
    <mergeCell ref="EY447:EY448"/>
    <mergeCell ref="E451:F451"/>
    <mergeCell ref="G451:L451"/>
    <mergeCell ref="P451:Q451"/>
    <mergeCell ref="AF451:AI451"/>
    <mergeCell ref="GI451:GI452"/>
    <mergeCell ref="GJ451:GJ452"/>
    <mergeCell ref="GL451:GL452"/>
    <mergeCell ref="GM451:GM452"/>
    <mergeCell ref="HC451:HC452"/>
    <mergeCell ref="HD451:HD452"/>
    <mergeCell ref="HE451:HE452"/>
    <mergeCell ref="HF451:HF452"/>
    <mergeCell ref="HG451:HG452"/>
    <mergeCell ref="HH451:HH452"/>
    <mergeCell ref="HI451:HI452"/>
    <mergeCell ref="EZ450:EZ453"/>
    <mergeCell ref="FB450:FB451"/>
    <mergeCell ref="FD450:FD453"/>
    <mergeCell ref="FE450:FE453"/>
    <mergeCell ref="FI450:FI451"/>
    <mergeCell ref="FJ450:FJ451"/>
    <mergeCell ref="FK450:FK451"/>
    <mergeCell ref="FL450:FL451"/>
    <mergeCell ref="FM450:FM451"/>
    <mergeCell ref="FO450:FO451"/>
    <mergeCell ref="FP450:FP451"/>
    <mergeCell ref="FQ450:FQ451"/>
    <mergeCell ref="FR450:FR451"/>
    <mergeCell ref="FS450:FS451"/>
    <mergeCell ref="FT450:FT451"/>
    <mergeCell ref="FW450:FW453"/>
    <mergeCell ref="FX450:FX453"/>
    <mergeCell ref="FQ452:FQ453"/>
    <mergeCell ref="FR452:FR453"/>
    <mergeCell ref="FS452:FS453"/>
    <mergeCell ref="FT452:FT453"/>
    <mergeCell ref="EG450:EG453"/>
    <mergeCell ref="EH450:EH453"/>
    <mergeCell ref="EI450:EI453"/>
    <mergeCell ref="EJ450:EJ453"/>
    <mergeCell ref="EK450:EK453"/>
    <mergeCell ref="EL450:EL453"/>
    <mergeCell ref="EM450:EM453"/>
    <mergeCell ref="E449:AT449"/>
    <mergeCell ref="EQ450:EQ453"/>
    <mergeCell ref="ES450:ES453"/>
    <mergeCell ref="EU450:EU451"/>
    <mergeCell ref="EV450:EV451"/>
    <mergeCell ref="EW450:EW451"/>
    <mergeCell ref="B450:B453"/>
    <mergeCell ref="C450:D453"/>
    <mergeCell ref="E450:F450"/>
    <mergeCell ref="G450:R450"/>
    <mergeCell ref="S450:S451"/>
    <mergeCell ref="U450:AA450"/>
    <mergeCell ref="AF450:AI450"/>
    <mergeCell ref="AJ450:AJ451"/>
    <mergeCell ref="AK450:AK451"/>
    <mergeCell ref="AL450:AL451"/>
    <mergeCell ref="AM450:AN453"/>
    <mergeCell ref="AO450:AQ453"/>
    <mergeCell ref="AR450:AR453"/>
    <mergeCell ref="AS450:AS453"/>
    <mergeCell ref="AT450:AT453"/>
    <mergeCell ref="AV450:AV453"/>
    <mergeCell ref="AW450:AW453"/>
    <mergeCell ref="CM450:CM453"/>
    <mergeCell ref="CN450:CN453"/>
    <mergeCell ref="CO450:CO451"/>
    <mergeCell ref="CP450:CP451"/>
    <mergeCell ref="AF447:AI447"/>
    <mergeCell ref="AJ447:AJ448"/>
    <mergeCell ref="AK447:AK448"/>
    <mergeCell ref="AL447:AL448"/>
    <mergeCell ref="CO447:CO448"/>
    <mergeCell ref="CP447:CP448"/>
    <mergeCell ref="CR447:CR448"/>
    <mergeCell ref="CS447:CS448"/>
    <mergeCell ref="E452:F452"/>
    <mergeCell ref="G452:L452"/>
    <mergeCell ref="AV445:AV448"/>
    <mergeCell ref="AW445:AW448"/>
    <mergeCell ref="CM445:CM448"/>
    <mergeCell ref="CN445:CN448"/>
    <mergeCell ref="CO445:CO446"/>
    <mergeCell ref="CP445:CP446"/>
    <mergeCell ref="CR445:CR446"/>
    <mergeCell ref="CS445:CS446"/>
    <mergeCell ref="E446:F446"/>
    <mergeCell ref="G446:L446"/>
    <mergeCell ref="P446:Q446"/>
    <mergeCell ref="AF446:AI446"/>
    <mergeCell ref="GJ446:GJ447"/>
    <mergeCell ref="GL446:GL447"/>
    <mergeCell ref="GM446:GM447"/>
    <mergeCell ref="HC446:HC447"/>
    <mergeCell ref="HD446:HD447"/>
    <mergeCell ref="HE446:HE447"/>
    <mergeCell ref="HF446:HF447"/>
    <mergeCell ref="HG446:HG447"/>
    <mergeCell ref="HH446:HH447"/>
    <mergeCell ref="HI446:HI447"/>
    <mergeCell ref="HJ446:HJ447"/>
    <mergeCell ref="HK446:HK447"/>
    <mergeCell ref="HL446:HL447"/>
    <mergeCell ref="HM446:HM447"/>
    <mergeCell ref="HN446:HN447"/>
    <mergeCell ref="HO446:HO447"/>
    <mergeCell ref="HP446:HP447"/>
    <mergeCell ref="HQ446:HQ447"/>
    <mergeCell ref="HR446:HR447"/>
    <mergeCell ref="HS446:HS447"/>
    <mergeCell ref="HT446:HT447"/>
    <mergeCell ref="FQ445:FQ446"/>
    <mergeCell ref="FR445:FR446"/>
    <mergeCell ref="FS445:FS446"/>
    <mergeCell ref="FT445:FT446"/>
    <mergeCell ref="FW445:FW448"/>
    <mergeCell ref="FX445:FX448"/>
    <mergeCell ref="FY445:FY448"/>
    <mergeCell ref="FZ445:FZ448"/>
    <mergeCell ref="GA445:GA448"/>
    <mergeCell ref="GB445:GB448"/>
    <mergeCell ref="GC445:GC448"/>
    <mergeCell ref="GD445:GD448"/>
    <mergeCell ref="GG445:GG448"/>
    <mergeCell ref="FQ447:FQ448"/>
    <mergeCell ref="FR447:FR448"/>
    <mergeCell ref="FS447:FS448"/>
    <mergeCell ref="FT447:FT448"/>
    <mergeCell ref="FU445:FU446"/>
    <mergeCell ref="ES445:ES448"/>
    <mergeCell ref="EU445:EU446"/>
    <mergeCell ref="EV445:EV446"/>
    <mergeCell ref="EW445:EW446"/>
    <mergeCell ref="EX445:EX446"/>
    <mergeCell ref="EY445:EY446"/>
    <mergeCell ref="EZ445:EZ448"/>
    <mergeCell ref="FB445:FB446"/>
    <mergeCell ref="FD445:FD448"/>
    <mergeCell ref="FE445:FE448"/>
    <mergeCell ref="FI445:FI446"/>
    <mergeCell ref="E448:F448"/>
    <mergeCell ref="G448:L448"/>
    <mergeCell ref="P448:R448"/>
    <mergeCell ref="U448:AA448"/>
    <mergeCell ref="AF448:AI448"/>
    <mergeCell ref="CT447:CT448"/>
    <mergeCell ref="CU447:CU448"/>
    <mergeCell ref="CV447:CV448"/>
    <mergeCell ref="CW447:CW448"/>
    <mergeCell ref="FB447:FB448"/>
    <mergeCell ref="FI447:FI448"/>
    <mergeCell ref="FJ447:FJ448"/>
    <mergeCell ref="FK447:FK448"/>
    <mergeCell ref="FL447:FL448"/>
    <mergeCell ref="FM447:FM448"/>
    <mergeCell ref="FO447:FO448"/>
    <mergeCell ref="FP447:FP448"/>
    <mergeCell ref="DZ445:DZ448"/>
    <mergeCell ref="EA445:EA448"/>
    <mergeCell ref="EC445:EC448"/>
    <mergeCell ref="ED445:ED448"/>
    <mergeCell ref="EE445:EE448"/>
    <mergeCell ref="EF445:EF448"/>
    <mergeCell ref="EG445:EG448"/>
    <mergeCell ref="EH445:EH448"/>
    <mergeCell ref="EI445:EI448"/>
    <mergeCell ref="EJ445:EJ448"/>
    <mergeCell ref="EK445:EK448"/>
    <mergeCell ref="EL445:EL448"/>
    <mergeCell ref="EM445:EM448"/>
    <mergeCell ref="EN445:EN448"/>
    <mergeCell ref="EO445:EO448"/>
    <mergeCell ref="EP445:EP448"/>
    <mergeCell ref="EQ445:EQ448"/>
    <mergeCell ref="DD445:DD446"/>
    <mergeCell ref="DE445:DE446"/>
    <mergeCell ref="DF445:DF446"/>
    <mergeCell ref="DG445:DG446"/>
    <mergeCell ref="DH445:DH448"/>
    <mergeCell ref="DJ445:DJ446"/>
    <mergeCell ref="DL445:DL448"/>
    <mergeCell ref="DN445:DN448"/>
    <mergeCell ref="DO445:DO446"/>
    <mergeCell ref="DP445:DP448"/>
    <mergeCell ref="DQ445:DQ446"/>
    <mergeCell ref="DR445:DR448"/>
    <mergeCell ref="DS445:DS448"/>
    <mergeCell ref="DU445:DU448"/>
    <mergeCell ref="DV445:DV446"/>
    <mergeCell ref="DW445:DW448"/>
    <mergeCell ref="DX445:DX448"/>
    <mergeCell ref="DK447:DK448"/>
    <mergeCell ref="DO447:DO448"/>
    <mergeCell ref="DQ447:DQ448"/>
    <mergeCell ref="DV447:DV448"/>
    <mergeCell ref="CT445:CT446"/>
    <mergeCell ref="CU445:CU446"/>
    <mergeCell ref="CV445:CV446"/>
    <mergeCell ref="CW445:CW446"/>
    <mergeCell ref="CX445:CX448"/>
    <mergeCell ref="CY445:CY448"/>
    <mergeCell ref="CZ445:CZ448"/>
    <mergeCell ref="DA445:DA448"/>
    <mergeCell ref="DC445:DC446"/>
    <mergeCell ref="E443:F443"/>
    <mergeCell ref="G443:L443"/>
    <mergeCell ref="P443:R443"/>
    <mergeCell ref="U443:AA443"/>
    <mergeCell ref="AF443:AI443"/>
    <mergeCell ref="E444:AT444"/>
    <mergeCell ref="B445:B448"/>
    <mergeCell ref="C445:D448"/>
    <mergeCell ref="E445:F445"/>
    <mergeCell ref="G445:R445"/>
    <mergeCell ref="S445:S446"/>
    <mergeCell ref="U445:AA445"/>
    <mergeCell ref="AF445:AI445"/>
    <mergeCell ref="AJ445:AJ446"/>
    <mergeCell ref="AK445:AK446"/>
    <mergeCell ref="AL445:AL446"/>
    <mergeCell ref="AM445:AN448"/>
    <mergeCell ref="AO445:AQ448"/>
    <mergeCell ref="AR445:AR448"/>
    <mergeCell ref="AS445:AS448"/>
    <mergeCell ref="AT445:AT448"/>
    <mergeCell ref="E447:F447"/>
    <mergeCell ref="G447:L447"/>
    <mergeCell ref="P447:Q447"/>
    <mergeCell ref="S447:S448"/>
    <mergeCell ref="B440:B443"/>
    <mergeCell ref="C440:D443"/>
    <mergeCell ref="P442:Q442"/>
    <mergeCell ref="S442:S443"/>
    <mergeCell ref="AF442:AI442"/>
    <mergeCell ref="AJ442:AJ443"/>
    <mergeCell ref="AK442:AK443"/>
    <mergeCell ref="AL442:AL443"/>
    <mergeCell ref="CO442:CO443"/>
    <mergeCell ref="CP442:CP443"/>
    <mergeCell ref="CR442:CR443"/>
    <mergeCell ref="E441:F441"/>
    <mergeCell ref="G441:L441"/>
    <mergeCell ref="P441:Q441"/>
    <mergeCell ref="AF441:AI441"/>
    <mergeCell ref="CO440:CO441"/>
    <mergeCell ref="CP440:CP441"/>
    <mergeCell ref="CR440:CR441"/>
    <mergeCell ref="DC447:DC448"/>
    <mergeCell ref="DD447:DD448"/>
    <mergeCell ref="DE447:DE448"/>
    <mergeCell ref="DF447:DF448"/>
    <mergeCell ref="DG447:DG448"/>
    <mergeCell ref="HU441:HU442"/>
    <mergeCell ref="HY441:HY442"/>
    <mergeCell ref="E442:F442"/>
    <mergeCell ref="G442:L442"/>
    <mergeCell ref="FW440:FW443"/>
    <mergeCell ref="FX440:FX443"/>
    <mergeCell ref="FY440:FY443"/>
    <mergeCell ref="FZ440:FZ443"/>
    <mergeCell ref="GA440:GA443"/>
    <mergeCell ref="GB440:GB443"/>
    <mergeCell ref="GC440:GC443"/>
    <mergeCell ref="GD440:GD443"/>
    <mergeCell ref="GG440:GG443"/>
    <mergeCell ref="HW440:HW442"/>
    <mergeCell ref="HX440:HX441"/>
    <mergeCell ref="HX442:HX443"/>
    <mergeCell ref="EX440:EX441"/>
    <mergeCell ref="EY440:EY441"/>
    <mergeCell ref="EZ440:EZ443"/>
    <mergeCell ref="FB440:FB441"/>
    <mergeCell ref="FD440:FD443"/>
    <mergeCell ref="FE440:FE443"/>
    <mergeCell ref="FI440:FI441"/>
    <mergeCell ref="FJ440:FJ441"/>
    <mergeCell ref="FK440:FK441"/>
    <mergeCell ref="FL440:FL441"/>
    <mergeCell ref="FM440:FM441"/>
    <mergeCell ref="FO440:FO441"/>
    <mergeCell ref="FP440:FP441"/>
    <mergeCell ref="FQ440:FQ441"/>
    <mergeCell ref="FR440:FR441"/>
    <mergeCell ref="FS440:FS441"/>
    <mergeCell ref="FT440:FT441"/>
    <mergeCell ref="EX442:EX443"/>
    <mergeCell ref="EY442:EY443"/>
    <mergeCell ref="FB442:FB443"/>
    <mergeCell ref="FI442:FI443"/>
    <mergeCell ref="FJ442:FJ443"/>
    <mergeCell ref="FK442:FK443"/>
    <mergeCell ref="FL442:FL443"/>
    <mergeCell ref="FM442:FM443"/>
    <mergeCell ref="FO442:FO443"/>
    <mergeCell ref="E440:F440"/>
    <mergeCell ref="G440:R440"/>
    <mergeCell ref="S440:S441"/>
    <mergeCell ref="U440:AA440"/>
    <mergeCell ref="AF440:AI440"/>
    <mergeCell ref="AJ440:AJ441"/>
    <mergeCell ref="AK440:AK441"/>
    <mergeCell ref="AL440:AL441"/>
    <mergeCell ref="AM440:AN443"/>
    <mergeCell ref="AO440:AQ443"/>
    <mergeCell ref="AR440:AR443"/>
    <mergeCell ref="AS440:AS443"/>
    <mergeCell ref="AT440:AT443"/>
    <mergeCell ref="AV440:AV443"/>
    <mergeCell ref="AW440:AW443"/>
    <mergeCell ref="CM440:CM443"/>
    <mergeCell ref="CN440:CN443"/>
    <mergeCell ref="HX437:HX438"/>
    <mergeCell ref="IB437:IB438"/>
    <mergeCell ref="IF437:IF438"/>
    <mergeCell ref="FP442:FP443"/>
    <mergeCell ref="FQ442:FQ443"/>
    <mergeCell ref="FR442:FR443"/>
    <mergeCell ref="FS442:FS443"/>
    <mergeCell ref="FT442:FT443"/>
    <mergeCell ref="EE440:EE443"/>
    <mergeCell ref="EF440:EF443"/>
    <mergeCell ref="EG440:EG443"/>
    <mergeCell ref="EH440:EH443"/>
    <mergeCell ref="EI440:EI443"/>
    <mergeCell ref="EJ440:EJ443"/>
    <mergeCell ref="EK440:EK443"/>
    <mergeCell ref="EL440:EL443"/>
    <mergeCell ref="EM440:EM443"/>
    <mergeCell ref="EN440:EN443"/>
    <mergeCell ref="EO440:EO443"/>
    <mergeCell ref="EP440:EP443"/>
    <mergeCell ref="EQ440:EQ443"/>
    <mergeCell ref="ES440:ES443"/>
    <mergeCell ref="EU440:EU441"/>
    <mergeCell ref="EV440:EV441"/>
    <mergeCell ref="EW440:EW441"/>
    <mergeCell ref="EU442:EU443"/>
    <mergeCell ref="EV442:EV443"/>
    <mergeCell ref="EW442:EW443"/>
    <mergeCell ref="DH440:DH443"/>
    <mergeCell ref="DJ440:DJ441"/>
    <mergeCell ref="DL440:DL443"/>
    <mergeCell ref="DN440:DN443"/>
    <mergeCell ref="DO440:DO441"/>
    <mergeCell ref="DP440:DP443"/>
    <mergeCell ref="DQ440:DQ441"/>
    <mergeCell ref="DR440:DR443"/>
    <mergeCell ref="DS440:DS443"/>
    <mergeCell ref="DU440:DU443"/>
    <mergeCell ref="DV440:DV441"/>
    <mergeCell ref="DW440:DW443"/>
    <mergeCell ref="DX440:DX443"/>
    <mergeCell ref="DZ440:DZ443"/>
    <mergeCell ref="EA440:EA443"/>
    <mergeCell ref="EC440:EC443"/>
    <mergeCell ref="ED440:ED443"/>
    <mergeCell ref="DK442:DK443"/>
    <mergeCell ref="DO442:DO443"/>
    <mergeCell ref="DQ442:DQ443"/>
    <mergeCell ref="DV442:DV443"/>
    <mergeCell ref="GI441:GI442"/>
    <mergeCell ref="GJ441:GJ442"/>
    <mergeCell ref="GL441:GL442"/>
    <mergeCell ref="GM441:GM442"/>
    <mergeCell ref="HC441:HC442"/>
    <mergeCell ref="HD441:HD442"/>
    <mergeCell ref="HE441:HE442"/>
    <mergeCell ref="HF441:HF442"/>
    <mergeCell ref="HG441:HG442"/>
    <mergeCell ref="HH441:HH442"/>
    <mergeCell ref="HI441:HI442"/>
    <mergeCell ref="HJ441:HJ442"/>
    <mergeCell ref="HK441:HK442"/>
    <mergeCell ref="HL441:HL442"/>
    <mergeCell ref="HM441:HM442"/>
    <mergeCell ref="HP436:HP437"/>
    <mergeCell ref="HQ436:HQ437"/>
    <mergeCell ref="HR436:HR437"/>
    <mergeCell ref="HS436:HS437"/>
    <mergeCell ref="HT436:HT437"/>
    <mergeCell ref="EN435:EN438"/>
    <mergeCell ref="EO435:EO438"/>
    <mergeCell ref="EP435:EP438"/>
    <mergeCell ref="EQ435:EQ438"/>
    <mergeCell ref="ES435:ES438"/>
    <mergeCell ref="EU435:EU436"/>
    <mergeCell ref="EV435:EV436"/>
    <mergeCell ref="EW435:EW436"/>
    <mergeCell ref="EX435:EX436"/>
    <mergeCell ref="CS440:CS441"/>
    <mergeCell ref="CT440:CT441"/>
    <mergeCell ref="CU440:CU441"/>
    <mergeCell ref="CV440:CV441"/>
    <mergeCell ref="CW440:CW441"/>
    <mergeCell ref="CX440:CX443"/>
    <mergeCell ref="CY440:CY443"/>
    <mergeCell ref="CZ440:CZ443"/>
    <mergeCell ref="DA440:DA443"/>
    <mergeCell ref="DC440:DC441"/>
    <mergeCell ref="DD440:DD441"/>
    <mergeCell ref="DE440:DE441"/>
    <mergeCell ref="DF440:DF441"/>
    <mergeCell ref="DG440:DG441"/>
    <mergeCell ref="CW442:CW443"/>
    <mergeCell ref="DC442:DC443"/>
    <mergeCell ref="DD442:DD443"/>
    <mergeCell ref="DE442:DE443"/>
    <mergeCell ref="DF442:DF443"/>
    <mergeCell ref="DG442:DG443"/>
    <mergeCell ref="CS442:CS443"/>
    <mergeCell ref="CT442:CT443"/>
    <mergeCell ref="CU442:CU443"/>
    <mergeCell ref="CV442:CV443"/>
    <mergeCell ref="CW437:CW438"/>
    <mergeCell ref="DC437:DC438"/>
    <mergeCell ref="DD437:DD438"/>
    <mergeCell ref="DE437:DE438"/>
    <mergeCell ref="DF437:DF438"/>
    <mergeCell ref="DG437:DG438"/>
    <mergeCell ref="HN441:HN442"/>
    <mergeCell ref="HO441:HO442"/>
    <mergeCell ref="HP441:HP442"/>
    <mergeCell ref="HQ441:HQ442"/>
    <mergeCell ref="HR441:HR442"/>
    <mergeCell ref="HS441:HS442"/>
    <mergeCell ref="HT441:HT442"/>
    <mergeCell ref="EY435:EY436"/>
    <mergeCell ref="FY435:FY438"/>
    <mergeCell ref="FZ435:FZ438"/>
    <mergeCell ref="GA435:GA438"/>
    <mergeCell ref="GB435:GB438"/>
    <mergeCell ref="GC435:GC438"/>
    <mergeCell ref="EF435:EF438"/>
    <mergeCell ref="DF435:DF436"/>
    <mergeCell ref="DG435:DG436"/>
    <mergeCell ref="DH435:DH438"/>
    <mergeCell ref="DJ435:DJ436"/>
    <mergeCell ref="FK437:FK438"/>
    <mergeCell ref="FL437:FL438"/>
    <mergeCell ref="DO437:DO438"/>
    <mergeCell ref="DQ437:DQ438"/>
    <mergeCell ref="DV437:DV438"/>
    <mergeCell ref="EU437:EU438"/>
    <mergeCell ref="EV437:EV438"/>
    <mergeCell ref="EW437:EW438"/>
    <mergeCell ref="EX437:EX438"/>
    <mergeCell ref="EY437:EY438"/>
    <mergeCell ref="FB437:FB438"/>
    <mergeCell ref="FI437:FI438"/>
    <mergeCell ref="FJ437:FJ438"/>
    <mergeCell ref="DL435:DL438"/>
    <mergeCell ref="DN435:DN438"/>
    <mergeCell ref="DO435:DO436"/>
    <mergeCell ref="AF437:AI437"/>
    <mergeCell ref="AJ437:AJ438"/>
    <mergeCell ref="AK437:AK438"/>
    <mergeCell ref="AL437:AL438"/>
    <mergeCell ref="CO437:CO438"/>
    <mergeCell ref="CP437:CP438"/>
    <mergeCell ref="CR437:CR438"/>
    <mergeCell ref="CS437:CS438"/>
    <mergeCell ref="CT437:CT438"/>
    <mergeCell ref="CU437:CU438"/>
    <mergeCell ref="CV437:CV438"/>
    <mergeCell ref="DP435:DP438"/>
    <mergeCell ref="DQ435:DQ436"/>
    <mergeCell ref="DR435:DR438"/>
    <mergeCell ref="DS435:DS438"/>
    <mergeCell ref="DU435:DU438"/>
    <mergeCell ref="DV435:DV436"/>
    <mergeCell ref="DW435:DW438"/>
    <mergeCell ref="DX435:DX438"/>
    <mergeCell ref="DZ435:DZ438"/>
    <mergeCell ref="EA435:EA438"/>
    <mergeCell ref="EC435:EC438"/>
    <mergeCell ref="ED435:ED438"/>
    <mergeCell ref="EE435:EE438"/>
    <mergeCell ref="FO437:FO438"/>
    <mergeCell ref="FP437:FP438"/>
    <mergeCell ref="FM430:FM431"/>
    <mergeCell ref="FO430:FO431"/>
    <mergeCell ref="FP430:FP431"/>
    <mergeCell ref="EU432:EU433"/>
    <mergeCell ref="EV432:EV433"/>
    <mergeCell ref="EW432:EW433"/>
    <mergeCell ref="EX432:EX433"/>
    <mergeCell ref="EY432:EY433"/>
    <mergeCell ref="FB432:FB433"/>
    <mergeCell ref="FI432:FI433"/>
    <mergeCell ref="FJ432:FJ433"/>
    <mergeCell ref="FK432:FK433"/>
    <mergeCell ref="FL432:FL433"/>
    <mergeCell ref="CU432:CU433"/>
    <mergeCell ref="CV432:CV433"/>
    <mergeCell ref="CW432:CW433"/>
    <mergeCell ref="E434:AT434"/>
    <mergeCell ref="DV430:DV431"/>
    <mergeCell ref="DW430:DW433"/>
    <mergeCell ref="DX430:DX433"/>
    <mergeCell ref="E431:F431"/>
    <mergeCell ref="G431:L431"/>
    <mergeCell ref="P431:Q431"/>
    <mergeCell ref="AF431:AI431"/>
    <mergeCell ref="ES430:ES433"/>
    <mergeCell ref="EU430:EU431"/>
    <mergeCell ref="EV430:EV431"/>
    <mergeCell ref="EW430:EW431"/>
    <mergeCell ref="EX430:EX431"/>
    <mergeCell ref="EY430:EY431"/>
    <mergeCell ref="EZ430:EZ433"/>
    <mergeCell ref="FB430:FB431"/>
    <mergeCell ref="FD430:FD433"/>
    <mergeCell ref="FE430:FE433"/>
    <mergeCell ref="FI430:FI431"/>
    <mergeCell ref="CT432:CT433"/>
    <mergeCell ref="FJ430:FJ431"/>
    <mergeCell ref="FK430:FK431"/>
    <mergeCell ref="FL430:FL431"/>
    <mergeCell ref="FM432:FM433"/>
    <mergeCell ref="FO432:FO433"/>
    <mergeCell ref="FP432:FP433"/>
    <mergeCell ref="DZ430:DZ433"/>
    <mergeCell ref="EA430:EA433"/>
    <mergeCell ref="EC430:EC433"/>
    <mergeCell ref="ED430:ED433"/>
    <mergeCell ref="EE430:EE433"/>
    <mergeCell ref="EF430:EF433"/>
    <mergeCell ref="EG430:EG433"/>
    <mergeCell ref="EH430:EH433"/>
    <mergeCell ref="EI430:EI433"/>
    <mergeCell ref="EJ430:EJ433"/>
    <mergeCell ref="EK430:EK433"/>
    <mergeCell ref="EL430:EL433"/>
    <mergeCell ref="EM430:EM433"/>
    <mergeCell ref="EN430:EN433"/>
    <mergeCell ref="EO430:EO433"/>
    <mergeCell ref="EP430:EP433"/>
    <mergeCell ref="EQ430:EQ433"/>
    <mergeCell ref="DD430:DD431"/>
    <mergeCell ref="DE430:DE431"/>
    <mergeCell ref="DK437:DK438"/>
    <mergeCell ref="IA435:IA438"/>
    <mergeCell ref="IB435:IB436"/>
    <mergeCell ref="IC435:IC438"/>
    <mergeCell ref="IF435:IF436"/>
    <mergeCell ref="IG435:IG438"/>
    <mergeCell ref="IH435:IH436"/>
    <mergeCell ref="II435:II438"/>
    <mergeCell ref="E436:F436"/>
    <mergeCell ref="G436:L436"/>
    <mergeCell ref="P436:Q436"/>
    <mergeCell ref="AF436:AI436"/>
    <mergeCell ref="GI436:GI437"/>
    <mergeCell ref="GJ436:GJ437"/>
    <mergeCell ref="GL436:GL437"/>
    <mergeCell ref="GM436:GM437"/>
    <mergeCell ref="HC436:HC437"/>
    <mergeCell ref="HD436:HD437"/>
    <mergeCell ref="HE436:HE437"/>
    <mergeCell ref="HF436:HF437"/>
    <mergeCell ref="HG436:HG437"/>
    <mergeCell ref="HH436:HH437"/>
    <mergeCell ref="HI436:HI437"/>
    <mergeCell ref="EZ435:EZ438"/>
    <mergeCell ref="FB435:FB436"/>
    <mergeCell ref="FD435:FD438"/>
    <mergeCell ref="FE435:FE438"/>
    <mergeCell ref="FI435:FI436"/>
    <mergeCell ref="FJ435:FJ436"/>
    <mergeCell ref="FK435:FK436"/>
    <mergeCell ref="FL435:FL436"/>
    <mergeCell ref="FM435:FM436"/>
    <mergeCell ref="FO435:FO436"/>
    <mergeCell ref="FP435:FP436"/>
    <mergeCell ref="FQ435:FQ436"/>
    <mergeCell ref="FR435:FR436"/>
    <mergeCell ref="FS435:FS436"/>
    <mergeCell ref="FT435:FT436"/>
    <mergeCell ref="FW435:FW438"/>
    <mergeCell ref="FX435:FX438"/>
    <mergeCell ref="FQ437:FQ438"/>
    <mergeCell ref="FR437:FR438"/>
    <mergeCell ref="FS437:FS438"/>
    <mergeCell ref="FT437:FT438"/>
    <mergeCell ref="EG435:EG438"/>
    <mergeCell ref="EH435:EH438"/>
    <mergeCell ref="EI435:EI438"/>
    <mergeCell ref="EJ435:EJ438"/>
    <mergeCell ref="EK435:EK438"/>
    <mergeCell ref="EL435:EL438"/>
    <mergeCell ref="EM435:EM438"/>
    <mergeCell ref="CR435:CR436"/>
    <mergeCell ref="CS435:CS436"/>
    <mergeCell ref="CT435:CT436"/>
    <mergeCell ref="CU435:CU436"/>
    <mergeCell ref="CV435:CV436"/>
    <mergeCell ref="CW435:CW436"/>
    <mergeCell ref="CX435:CX438"/>
    <mergeCell ref="CY435:CY438"/>
    <mergeCell ref="CZ435:CZ438"/>
    <mergeCell ref="DA435:DA438"/>
    <mergeCell ref="DC435:DC436"/>
    <mergeCell ref="DD435:DD436"/>
    <mergeCell ref="DE435:DE436"/>
    <mergeCell ref="FM437:FM438"/>
    <mergeCell ref="B435:B438"/>
    <mergeCell ref="C435:D438"/>
    <mergeCell ref="E435:F435"/>
    <mergeCell ref="G435:R435"/>
    <mergeCell ref="S435:S436"/>
    <mergeCell ref="U435:AA435"/>
    <mergeCell ref="AF435:AI435"/>
    <mergeCell ref="AJ435:AJ436"/>
    <mergeCell ref="AK435:AK436"/>
    <mergeCell ref="AL435:AL436"/>
    <mergeCell ref="AM435:AN438"/>
    <mergeCell ref="AO435:AQ438"/>
    <mergeCell ref="AR435:AR438"/>
    <mergeCell ref="AS435:AS438"/>
    <mergeCell ref="AT435:AT438"/>
    <mergeCell ref="AV435:AV438"/>
    <mergeCell ref="AW435:AW438"/>
    <mergeCell ref="CM435:CM438"/>
    <mergeCell ref="CN435:CN438"/>
    <mergeCell ref="CO435:CO436"/>
    <mergeCell ref="CP435:CP436"/>
    <mergeCell ref="AF432:AI432"/>
    <mergeCell ref="AJ432:AJ433"/>
    <mergeCell ref="AK432:AK433"/>
    <mergeCell ref="AL432:AL433"/>
    <mergeCell ref="CO432:CO433"/>
    <mergeCell ref="CP432:CP433"/>
    <mergeCell ref="CR432:CR433"/>
    <mergeCell ref="CS432:CS433"/>
    <mergeCell ref="E437:F437"/>
    <mergeCell ref="G437:L437"/>
    <mergeCell ref="P437:Q437"/>
    <mergeCell ref="S437:S438"/>
    <mergeCell ref="E438:F438"/>
    <mergeCell ref="G438:L438"/>
    <mergeCell ref="P438:R438"/>
    <mergeCell ref="E433:F433"/>
    <mergeCell ref="G433:L433"/>
    <mergeCell ref="P433:R433"/>
    <mergeCell ref="U433:AA433"/>
    <mergeCell ref="AF433:AI433"/>
    <mergeCell ref="U438:AA438"/>
    <mergeCell ref="AF438:AI438"/>
    <mergeCell ref="B430:B433"/>
    <mergeCell ref="C430:D433"/>
    <mergeCell ref="E430:F430"/>
    <mergeCell ref="G430:R430"/>
    <mergeCell ref="S430:S431"/>
    <mergeCell ref="U430:AA430"/>
    <mergeCell ref="AF430:AI430"/>
    <mergeCell ref="AJ430:AJ431"/>
    <mergeCell ref="AK430:AK431"/>
    <mergeCell ref="AL430:AL431"/>
    <mergeCell ref="AM430:AN433"/>
    <mergeCell ref="AO430:AQ433"/>
    <mergeCell ref="AR430:AR433"/>
    <mergeCell ref="AS430:AS433"/>
    <mergeCell ref="AT430:AT433"/>
    <mergeCell ref="E432:F432"/>
    <mergeCell ref="G432:L432"/>
    <mergeCell ref="P432:Q432"/>
    <mergeCell ref="S432:S433"/>
    <mergeCell ref="U431:AD431"/>
    <mergeCell ref="U432:AD432"/>
    <mergeCell ref="HE431:HE432"/>
    <mergeCell ref="HF431:HF432"/>
    <mergeCell ref="HG431:HG432"/>
    <mergeCell ref="HH431:HH432"/>
    <mergeCell ref="HI431:HI432"/>
    <mergeCell ref="HJ431:HJ432"/>
    <mergeCell ref="HK431:HK432"/>
    <mergeCell ref="HL431:HL432"/>
    <mergeCell ref="HM431:HM432"/>
    <mergeCell ref="HN431:HN432"/>
    <mergeCell ref="HO431:HO432"/>
    <mergeCell ref="HP431:HP432"/>
    <mergeCell ref="HQ431:HQ432"/>
    <mergeCell ref="HR431:HR432"/>
    <mergeCell ref="HS431:HS432"/>
    <mergeCell ref="HT431:HT432"/>
    <mergeCell ref="FQ430:FQ431"/>
    <mergeCell ref="FR430:FR431"/>
    <mergeCell ref="FS430:FS431"/>
    <mergeCell ref="FT430:FT431"/>
    <mergeCell ref="FW430:FW433"/>
    <mergeCell ref="FX430:FX433"/>
    <mergeCell ref="FY430:FY433"/>
    <mergeCell ref="FZ430:FZ433"/>
    <mergeCell ref="GA430:GA433"/>
    <mergeCell ref="GB430:GB433"/>
    <mergeCell ref="GC430:GC433"/>
    <mergeCell ref="GD430:GD433"/>
    <mergeCell ref="GG430:GG433"/>
    <mergeCell ref="FQ432:FQ433"/>
    <mergeCell ref="FR432:FR433"/>
    <mergeCell ref="FS432:FS433"/>
    <mergeCell ref="FT432:FT433"/>
    <mergeCell ref="FU432:FU433"/>
    <mergeCell ref="DF430:DF431"/>
    <mergeCell ref="DG430:DG431"/>
    <mergeCell ref="DH430:DH433"/>
    <mergeCell ref="DJ430:DJ431"/>
    <mergeCell ref="DL430:DL433"/>
    <mergeCell ref="DN430:DN433"/>
    <mergeCell ref="DO430:DO431"/>
    <mergeCell ref="DP430:DP433"/>
    <mergeCell ref="DQ430:DQ431"/>
    <mergeCell ref="DR430:DR433"/>
    <mergeCell ref="DS430:DS433"/>
    <mergeCell ref="DU430:DU433"/>
    <mergeCell ref="DJ425:DJ426"/>
    <mergeCell ref="DL425:DL428"/>
    <mergeCell ref="DN425:DN428"/>
    <mergeCell ref="DO425:DO426"/>
    <mergeCell ref="DP425:DP428"/>
    <mergeCell ref="DQ425:DQ426"/>
    <mergeCell ref="DR425:DR428"/>
    <mergeCell ref="DS425:DS428"/>
    <mergeCell ref="DU425:DU428"/>
    <mergeCell ref="FX425:FX428"/>
    <mergeCell ref="FY425:FY428"/>
    <mergeCell ref="FZ425:FZ428"/>
    <mergeCell ref="GA425:GA428"/>
    <mergeCell ref="GB425:GB428"/>
    <mergeCell ref="GC425:GC428"/>
    <mergeCell ref="GD425:GD428"/>
    <mergeCell ref="GG425:GG428"/>
    <mergeCell ref="HW425:HW427"/>
    <mergeCell ref="HX425:HX426"/>
    <mergeCell ref="IA425:IA428"/>
    <mergeCell ref="IB425:IB426"/>
    <mergeCell ref="FO427:FO428"/>
    <mergeCell ref="FP427:FP428"/>
    <mergeCell ref="FQ427:FQ428"/>
    <mergeCell ref="FR427:FR428"/>
    <mergeCell ref="FS427:FS428"/>
    <mergeCell ref="FT427:FT428"/>
    <mergeCell ref="EE425:EE428"/>
    <mergeCell ref="EF425:EF428"/>
    <mergeCell ref="EG425:EG428"/>
    <mergeCell ref="EH425:EH428"/>
    <mergeCell ref="EI425:EI428"/>
    <mergeCell ref="EJ425:EJ428"/>
    <mergeCell ref="EK425:EK428"/>
    <mergeCell ref="EL425:EL428"/>
    <mergeCell ref="EM425:EM428"/>
    <mergeCell ref="EN425:EN428"/>
    <mergeCell ref="EO425:EO428"/>
    <mergeCell ref="EP425:EP428"/>
    <mergeCell ref="EQ425:EQ428"/>
    <mergeCell ref="ES425:ES428"/>
    <mergeCell ref="EU425:EU426"/>
    <mergeCell ref="EV425:EV426"/>
    <mergeCell ref="EW425:EW426"/>
    <mergeCell ref="EU427:EU428"/>
    <mergeCell ref="EV427:EV428"/>
    <mergeCell ref="EW427:EW428"/>
    <mergeCell ref="GJ431:GJ432"/>
    <mergeCell ref="GL431:GL432"/>
    <mergeCell ref="GM431:GM432"/>
    <mergeCell ref="HC431:HC432"/>
    <mergeCell ref="HD431:HD432"/>
    <mergeCell ref="IC425:IC428"/>
    <mergeCell ref="IF425:IF426"/>
    <mergeCell ref="IG425:IG428"/>
    <mergeCell ref="IH425:IH426"/>
    <mergeCell ref="HX427:HX428"/>
    <mergeCell ref="IB427:IB428"/>
    <mergeCell ref="IF427:IF428"/>
    <mergeCell ref="IH427:IH428"/>
    <mergeCell ref="EX425:EX426"/>
    <mergeCell ref="AV430:AV433"/>
    <mergeCell ref="AW430:AW433"/>
    <mergeCell ref="CM430:CM433"/>
    <mergeCell ref="CN430:CN433"/>
    <mergeCell ref="CO430:CO431"/>
    <mergeCell ref="CP430:CP431"/>
    <mergeCell ref="CR430:CR431"/>
    <mergeCell ref="CS430:CS431"/>
    <mergeCell ref="CT430:CT431"/>
    <mergeCell ref="CU430:CU431"/>
    <mergeCell ref="CV430:CV431"/>
    <mergeCell ref="CW430:CW431"/>
    <mergeCell ref="CX430:CX433"/>
    <mergeCell ref="CY430:CY433"/>
    <mergeCell ref="CZ430:CZ433"/>
    <mergeCell ref="DA430:DA433"/>
    <mergeCell ref="DC430:DC431"/>
    <mergeCell ref="DC432:DC433"/>
    <mergeCell ref="DD432:DD433"/>
    <mergeCell ref="DE432:DE433"/>
    <mergeCell ref="DF432:DF433"/>
    <mergeCell ref="DG432:DG433"/>
    <mergeCell ref="DK432:DK433"/>
    <mergeCell ref="DO432:DO433"/>
    <mergeCell ref="DQ432:DQ433"/>
    <mergeCell ref="DV432:DV433"/>
    <mergeCell ref="HW430:HW432"/>
    <mergeCell ref="HX430:HX431"/>
    <mergeCell ref="IA430:IA433"/>
    <mergeCell ref="IB430:IB431"/>
    <mergeCell ref="HU431:HU432"/>
    <mergeCell ref="HY431:HY432"/>
    <mergeCell ref="HX432:HX433"/>
    <mergeCell ref="IB432:IB433"/>
    <mergeCell ref="FD425:FD428"/>
    <mergeCell ref="FE425:FE428"/>
    <mergeCell ref="FI425:FI426"/>
    <mergeCell ref="FJ425:FJ426"/>
    <mergeCell ref="FK425:FK426"/>
    <mergeCell ref="FL425:FL426"/>
    <mergeCell ref="FM425:FM426"/>
    <mergeCell ref="FO425:FO426"/>
    <mergeCell ref="FP425:FP426"/>
    <mergeCell ref="FQ425:FQ426"/>
    <mergeCell ref="FR425:FR426"/>
    <mergeCell ref="FS425:FS426"/>
    <mergeCell ref="FT425:FT426"/>
    <mergeCell ref="EX427:EX428"/>
    <mergeCell ref="EY427:EY428"/>
    <mergeCell ref="FB427:FB428"/>
    <mergeCell ref="FI427:FI428"/>
    <mergeCell ref="FJ427:FJ428"/>
    <mergeCell ref="FK427:FK428"/>
    <mergeCell ref="FL427:FL428"/>
    <mergeCell ref="FM427:FM428"/>
    <mergeCell ref="HU421:HU422"/>
    <mergeCell ref="HY421:HY422"/>
    <mergeCell ref="E422:F422"/>
    <mergeCell ref="G422:L422"/>
    <mergeCell ref="DH425:DH428"/>
    <mergeCell ref="DV425:DV426"/>
    <mergeCell ref="DW425:DW428"/>
    <mergeCell ref="DX425:DX428"/>
    <mergeCell ref="DZ425:DZ428"/>
    <mergeCell ref="EA425:EA428"/>
    <mergeCell ref="EC425:EC428"/>
    <mergeCell ref="ED425:ED428"/>
    <mergeCell ref="DK427:DK428"/>
    <mergeCell ref="DO427:DO428"/>
    <mergeCell ref="DQ427:DQ428"/>
    <mergeCell ref="DV427:DV428"/>
    <mergeCell ref="CO425:CO426"/>
    <mergeCell ref="CP425:CP426"/>
    <mergeCell ref="CR425:CR426"/>
    <mergeCell ref="CS425:CS426"/>
    <mergeCell ref="CT425:CT426"/>
    <mergeCell ref="CU425:CU426"/>
    <mergeCell ref="CV425:CV426"/>
    <mergeCell ref="CW425:CW426"/>
    <mergeCell ref="CX425:CX428"/>
    <mergeCell ref="CY425:CY428"/>
    <mergeCell ref="CZ425:CZ428"/>
    <mergeCell ref="DA425:DA428"/>
    <mergeCell ref="DC425:DC426"/>
    <mergeCell ref="DD425:DD426"/>
    <mergeCell ref="DE425:DE426"/>
    <mergeCell ref="DF425:DF426"/>
    <mergeCell ref="DG425:DG426"/>
    <mergeCell ref="CW427:CW428"/>
    <mergeCell ref="DC427:DC428"/>
    <mergeCell ref="DD427:DD428"/>
    <mergeCell ref="DE427:DE428"/>
    <mergeCell ref="DF427:DF428"/>
    <mergeCell ref="DG427:DG428"/>
    <mergeCell ref="CO427:CO428"/>
    <mergeCell ref="CP427:CP428"/>
    <mergeCell ref="EY425:EY426"/>
    <mergeCell ref="EZ425:EZ428"/>
    <mergeCell ref="FB425:FB426"/>
    <mergeCell ref="E428:F428"/>
    <mergeCell ref="G428:L428"/>
    <mergeCell ref="P428:R428"/>
    <mergeCell ref="U428:AA428"/>
    <mergeCell ref="AF428:AI428"/>
    <mergeCell ref="U422:AD422"/>
    <mergeCell ref="U426:AD426"/>
    <mergeCell ref="U427:AD427"/>
    <mergeCell ref="FZ420:FZ423"/>
    <mergeCell ref="GA420:GA423"/>
    <mergeCell ref="GB420:GB423"/>
    <mergeCell ref="GC420:GC423"/>
    <mergeCell ref="GD420:GD423"/>
    <mergeCell ref="GG420:GG423"/>
    <mergeCell ref="HW420:HW422"/>
    <mergeCell ref="HX420:HX421"/>
    <mergeCell ref="E421:F421"/>
    <mergeCell ref="G421:L421"/>
    <mergeCell ref="P421:Q421"/>
    <mergeCell ref="AF421:AI421"/>
    <mergeCell ref="B425:B428"/>
    <mergeCell ref="C425:D428"/>
    <mergeCell ref="E425:F425"/>
    <mergeCell ref="G425:R425"/>
    <mergeCell ref="S425:S426"/>
    <mergeCell ref="U425:AA425"/>
    <mergeCell ref="AF425:AI425"/>
    <mergeCell ref="AJ425:AJ426"/>
    <mergeCell ref="AK425:AK426"/>
    <mergeCell ref="AL425:AL426"/>
    <mergeCell ref="AM425:AN428"/>
    <mergeCell ref="AO425:AQ428"/>
    <mergeCell ref="AR425:AR428"/>
    <mergeCell ref="AS425:AS428"/>
    <mergeCell ref="AT425:AT428"/>
    <mergeCell ref="AV425:AV428"/>
    <mergeCell ref="AW425:AW428"/>
    <mergeCell ref="CM425:CM428"/>
    <mergeCell ref="CN425:CN428"/>
    <mergeCell ref="DK422:DK423"/>
    <mergeCell ref="DO422:DO423"/>
    <mergeCell ref="DQ422:DQ423"/>
    <mergeCell ref="DV422:DV423"/>
    <mergeCell ref="EU422:EU423"/>
    <mergeCell ref="CR427:CR428"/>
    <mergeCell ref="CS427:CS428"/>
    <mergeCell ref="CT427:CT428"/>
    <mergeCell ref="CU427:CU428"/>
    <mergeCell ref="CV427:CV428"/>
    <mergeCell ref="P427:Q427"/>
    <mergeCell ref="S427:S428"/>
    <mergeCell ref="AF427:AI427"/>
    <mergeCell ref="AJ427:AJ428"/>
    <mergeCell ref="AK427:AK428"/>
    <mergeCell ref="AL427:AL428"/>
    <mergeCell ref="E426:F426"/>
    <mergeCell ref="G426:L426"/>
    <mergeCell ref="P426:Q426"/>
    <mergeCell ref="AF426:AI426"/>
    <mergeCell ref="E427:F427"/>
    <mergeCell ref="G427:L427"/>
    <mergeCell ref="P422:Q422"/>
    <mergeCell ref="S422:S423"/>
    <mergeCell ref="AF422:AI422"/>
    <mergeCell ref="AJ422:AJ423"/>
    <mergeCell ref="AK422:AK423"/>
    <mergeCell ref="AL422:AL423"/>
    <mergeCell ref="CO422:CO423"/>
    <mergeCell ref="CP422:CP423"/>
    <mergeCell ref="CR422:CR423"/>
    <mergeCell ref="CS422:CS423"/>
    <mergeCell ref="CT422:CT423"/>
    <mergeCell ref="CU422:CU423"/>
    <mergeCell ref="CV422:CV423"/>
    <mergeCell ref="DL420:DL423"/>
    <mergeCell ref="DN420:DN423"/>
    <mergeCell ref="DO420:DO421"/>
    <mergeCell ref="DP420:DP423"/>
    <mergeCell ref="DQ420:DQ421"/>
    <mergeCell ref="DR420:DR423"/>
    <mergeCell ref="DS420:DS423"/>
    <mergeCell ref="DU420:DU423"/>
    <mergeCell ref="DV420:DV421"/>
    <mergeCell ref="DW420:DW423"/>
    <mergeCell ref="IA420:IA423"/>
    <mergeCell ref="IB420:IB421"/>
    <mergeCell ref="IC420:IC423"/>
    <mergeCell ref="IF420:IF421"/>
    <mergeCell ref="IG420:IG423"/>
    <mergeCell ref="IH420:IH421"/>
    <mergeCell ref="II420:II423"/>
    <mergeCell ref="DX420:DX423"/>
    <mergeCell ref="DZ420:DZ423"/>
    <mergeCell ref="EA420:EA423"/>
    <mergeCell ref="EC420:EC423"/>
    <mergeCell ref="ED420:ED423"/>
    <mergeCell ref="EE420:EE423"/>
    <mergeCell ref="EF420:EF423"/>
    <mergeCell ref="CR420:CR421"/>
    <mergeCell ref="CS420:CS421"/>
    <mergeCell ref="CT420:CT421"/>
    <mergeCell ref="CU420:CU421"/>
    <mergeCell ref="CV420:CV421"/>
    <mergeCell ref="CW420:CW421"/>
    <mergeCell ref="CX420:CX423"/>
    <mergeCell ref="CY420:CY423"/>
    <mergeCell ref="CZ420:CZ423"/>
    <mergeCell ref="DA420:DA423"/>
    <mergeCell ref="DC420:DC421"/>
    <mergeCell ref="DD420:DD421"/>
    <mergeCell ref="DE420:DE421"/>
    <mergeCell ref="DF420:DF421"/>
    <mergeCell ref="DG420:DG421"/>
    <mergeCell ref="DH420:DH423"/>
    <mergeCell ref="DJ420:DJ421"/>
    <mergeCell ref="CW422:CW423"/>
    <mergeCell ref="DC422:DC423"/>
    <mergeCell ref="DD422:DD423"/>
    <mergeCell ref="DE422:DE423"/>
    <mergeCell ref="DF422:DF423"/>
    <mergeCell ref="DG422:DG423"/>
    <mergeCell ref="HX422:HX423"/>
    <mergeCell ref="FU420:FU421"/>
    <mergeCell ref="EV422:EV423"/>
    <mergeCell ref="EW422:EW423"/>
    <mergeCell ref="EX422:EX423"/>
    <mergeCell ref="EY422:EY423"/>
    <mergeCell ref="FB422:FB423"/>
    <mergeCell ref="FI422:FI423"/>
    <mergeCell ref="FJ422:FJ423"/>
    <mergeCell ref="FK422:FK423"/>
    <mergeCell ref="FL422:FL423"/>
    <mergeCell ref="FM422:FM423"/>
    <mergeCell ref="FO422:FO423"/>
    <mergeCell ref="FP422:FP423"/>
    <mergeCell ref="HJ421:HJ422"/>
    <mergeCell ref="HK421:HK422"/>
    <mergeCell ref="HL421:HL422"/>
    <mergeCell ref="HM421:HM422"/>
    <mergeCell ref="HN421:HN422"/>
    <mergeCell ref="HO421:HO422"/>
    <mergeCell ref="HP421:HP422"/>
    <mergeCell ref="HQ421:HQ422"/>
    <mergeCell ref="HR421:HR422"/>
    <mergeCell ref="HS421:HS422"/>
    <mergeCell ref="HT421:HT422"/>
    <mergeCell ref="GI421:GI422"/>
    <mergeCell ref="GJ421:GJ422"/>
    <mergeCell ref="GL421:GL422"/>
    <mergeCell ref="GM421:GM422"/>
    <mergeCell ref="HC421:HC422"/>
    <mergeCell ref="HD421:HD422"/>
    <mergeCell ref="HE421:HE422"/>
    <mergeCell ref="HF421:HF422"/>
    <mergeCell ref="HG421:HG422"/>
    <mergeCell ref="HH421:HH422"/>
    <mergeCell ref="HI421:HI422"/>
    <mergeCell ref="EZ420:EZ423"/>
    <mergeCell ref="FB420:FB421"/>
    <mergeCell ref="FD420:FD423"/>
    <mergeCell ref="FE420:FE423"/>
    <mergeCell ref="FI420:FI421"/>
    <mergeCell ref="FJ420:FJ421"/>
    <mergeCell ref="FK420:FK421"/>
    <mergeCell ref="FL420:FL421"/>
    <mergeCell ref="FM420:FM421"/>
    <mergeCell ref="FO420:FO421"/>
    <mergeCell ref="FP420:FP421"/>
    <mergeCell ref="FQ420:FQ421"/>
    <mergeCell ref="FR420:FR421"/>
    <mergeCell ref="FS420:FS421"/>
    <mergeCell ref="FT420:FT421"/>
    <mergeCell ref="FW420:FW423"/>
    <mergeCell ref="FX420:FX423"/>
    <mergeCell ref="FQ422:FQ423"/>
    <mergeCell ref="FR422:FR423"/>
    <mergeCell ref="FS422:FS423"/>
    <mergeCell ref="FT422:FT423"/>
    <mergeCell ref="EG420:EG423"/>
    <mergeCell ref="EH420:EH423"/>
    <mergeCell ref="EI420:EI423"/>
    <mergeCell ref="EJ420:EJ423"/>
    <mergeCell ref="EK420:EK423"/>
    <mergeCell ref="EL420:EL423"/>
    <mergeCell ref="EM420:EM423"/>
    <mergeCell ref="EN420:EN423"/>
    <mergeCell ref="EO420:EO423"/>
    <mergeCell ref="EP420:EP423"/>
    <mergeCell ref="EQ420:EQ423"/>
    <mergeCell ref="ES420:ES423"/>
    <mergeCell ref="EU420:EU421"/>
    <mergeCell ref="EV420:EV421"/>
    <mergeCell ref="EW420:EW421"/>
    <mergeCell ref="EX420:EX421"/>
    <mergeCell ref="EY420:EY421"/>
    <mergeCell ref="FY420:FY423"/>
    <mergeCell ref="IF417:IF418"/>
    <mergeCell ref="IH417:IH418"/>
    <mergeCell ref="E418:F418"/>
    <mergeCell ref="G418:L418"/>
    <mergeCell ref="P418:R418"/>
    <mergeCell ref="U418:AA418"/>
    <mergeCell ref="AF418:AI418"/>
    <mergeCell ref="E419:AT419"/>
    <mergeCell ref="B420:B423"/>
    <mergeCell ref="C420:D423"/>
    <mergeCell ref="E420:F420"/>
    <mergeCell ref="G420:R420"/>
    <mergeCell ref="S420:S421"/>
    <mergeCell ref="U420:AA420"/>
    <mergeCell ref="AF420:AI420"/>
    <mergeCell ref="AJ420:AJ421"/>
    <mergeCell ref="AK420:AK421"/>
    <mergeCell ref="AL420:AL421"/>
    <mergeCell ref="AM420:AN423"/>
    <mergeCell ref="AO420:AQ423"/>
    <mergeCell ref="AR420:AR423"/>
    <mergeCell ref="AS420:AS423"/>
    <mergeCell ref="AT420:AT423"/>
    <mergeCell ref="AV420:AV423"/>
    <mergeCell ref="AW420:AW423"/>
    <mergeCell ref="CM420:CM423"/>
    <mergeCell ref="CN420:CN423"/>
    <mergeCell ref="CO420:CO421"/>
    <mergeCell ref="CP420:CP421"/>
    <mergeCell ref="IC415:IC418"/>
    <mergeCell ref="IF415:IF416"/>
    <mergeCell ref="IG415:IG418"/>
    <mergeCell ref="IH415:IH416"/>
    <mergeCell ref="FJ415:FJ416"/>
    <mergeCell ref="FK415:FK416"/>
    <mergeCell ref="FL415:FL416"/>
    <mergeCell ref="FM415:FM416"/>
    <mergeCell ref="FO415:FO416"/>
    <mergeCell ref="FP415:FP416"/>
    <mergeCell ref="EU417:EU418"/>
    <mergeCell ref="EV417:EV418"/>
    <mergeCell ref="EW417:EW418"/>
    <mergeCell ref="EX417:EX418"/>
    <mergeCell ref="EY417:EY418"/>
    <mergeCell ref="FB417:FB418"/>
    <mergeCell ref="FI417:FI418"/>
    <mergeCell ref="FJ417:FJ418"/>
    <mergeCell ref="FK417:FK418"/>
    <mergeCell ref="FL417:FL418"/>
    <mergeCell ref="FM417:FM418"/>
    <mergeCell ref="FO417:FO418"/>
    <mergeCell ref="FP417:FP418"/>
    <mergeCell ref="DZ415:DZ418"/>
    <mergeCell ref="EA415:EA418"/>
    <mergeCell ref="EC415:EC418"/>
    <mergeCell ref="ED415:ED418"/>
    <mergeCell ref="EE415:EE418"/>
    <mergeCell ref="EF415:EF418"/>
    <mergeCell ref="EG415:EG418"/>
    <mergeCell ref="EH415:EH418"/>
    <mergeCell ref="EI415:EI418"/>
    <mergeCell ref="EK415:EK418"/>
    <mergeCell ref="EL415:EL418"/>
    <mergeCell ref="EM415:EM418"/>
    <mergeCell ref="II415:II418"/>
    <mergeCell ref="E416:F416"/>
    <mergeCell ref="G416:L416"/>
    <mergeCell ref="P416:Q416"/>
    <mergeCell ref="AF416:AI416"/>
    <mergeCell ref="GI416:GI417"/>
    <mergeCell ref="GJ416:GJ417"/>
    <mergeCell ref="GL416:GL417"/>
    <mergeCell ref="GM416:GM417"/>
    <mergeCell ref="HC416:HC417"/>
    <mergeCell ref="HD416:HD417"/>
    <mergeCell ref="HE416:HE417"/>
    <mergeCell ref="HF416:HF417"/>
    <mergeCell ref="HG416:HG417"/>
    <mergeCell ref="HH416:HH417"/>
    <mergeCell ref="HI416:HI417"/>
    <mergeCell ref="HJ416:HJ417"/>
    <mergeCell ref="HK416:HK417"/>
    <mergeCell ref="HL416:HL417"/>
    <mergeCell ref="HM416:HM417"/>
    <mergeCell ref="HN416:HN417"/>
    <mergeCell ref="HO416:HO417"/>
    <mergeCell ref="HP416:HP417"/>
    <mergeCell ref="HQ416:HQ417"/>
    <mergeCell ref="HR416:HR417"/>
    <mergeCell ref="HS416:HS417"/>
    <mergeCell ref="HT416:HT417"/>
    <mergeCell ref="FQ415:FQ416"/>
    <mergeCell ref="FR415:FR416"/>
    <mergeCell ref="FS415:FS416"/>
    <mergeCell ref="FT415:FT416"/>
    <mergeCell ref="FW415:FW418"/>
    <mergeCell ref="FX415:FX418"/>
    <mergeCell ref="FY415:FY418"/>
    <mergeCell ref="FZ415:FZ418"/>
    <mergeCell ref="GA415:GA418"/>
    <mergeCell ref="GB415:GB418"/>
    <mergeCell ref="GC415:GC418"/>
    <mergeCell ref="GD415:GD418"/>
    <mergeCell ref="GG415:GG418"/>
    <mergeCell ref="HW415:HW417"/>
    <mergeCell ref="HX415:HX416"/>
    <mergeCell ref="IA415:IA418"/>
    <mergeCell ref="IB415:IB416"/>
    <mergeCell ref="HU416:HU417"/>
    <mergeCell ref="HY416:HY417"/>
    <mergeCell ref="FQ417:FQ418"/>
    <mergeCell ref="FR417:FR418"/>
    <mergeCell ref="FS417:FS418"/>
    <mergeCell ref="FT417:FT418"/>
    <mergeCell ref="HX417:HX418"/>
    <mergeCell ref="IB417:IB418"/>
    <mergeCell ref="ES415:ES418"/>
    <mergeCell ref="EU415:EU416"/>
    <mergeCell ref="EV415:EV416"/>
    <mergeCell ref="EW415:EW416"/>
    <mergeCell ref="EX415:EX416"/>
    <mergeCell ref="EY415:EY416"/>
    <mergeCell ref="EZ415:EZ418"/>
    <mergeCell ref="FB415:FB416"/>
    <mergeCell ref="FD415:FD418"/>
    <mergeCell ref="FE415:FE418"/>
    <mergeCell ref="FI415:FI416"/>
    <mergeCell ref="EJ415:EJ418"/>
    <mergeCell ref="EN415:EN418"/>
    <mergeCell ref="EO415:EO418"/>
    <mergeCell ref="EP415:EP418"/>
    <mergeCell ref="EQ415:EQ418"/>
    <mergeCell ref="DD415:DD416"/>
    <mergeCell ref="DE415:DE416"/>
    <mergeCell ref="DF415:DF416"/>
    <mergeCell ref="DG415:DG416"/>
    <mergeCell ref="DH415:DH418"/>
    <mergeCell ref="DJ415:DJ416"/>
    <mergeCell ref="DL415:DL418"/>
    <mergeCell ref="DN415:DN418"/>
    <mergeCell ref="DO415:DO416"/>
    <mergeCell ref="DP415:DP418"/>
    <mergeCell ref="DQ415:DQ416"/>
    <mergeCell ref="DR415:DR418"/>
    <mergeCell ref="DS415:DS418"/>
    <mergeCell ref="DU415:DU418"/>
    <mergeCell ref="DV415:DV416"/>
    <mergeCell ref="DW415:DW418"/>
    <mergeCell ref="DX415:DX418"/>
    <mergeCell ref="DD417:DD418"/>
    <mergeCell ref="DE417:DE418"/>
    <mergeCell ref="DF417:DF418"/>
    <mergeCell ref="DG417:DG418"/>
    <mergeCell ref="DK417:DK418"/>
    <mergeCell ref="DO417:DO418"/>
    <mergeCell ref="DQ417:DQ418"/>
    <mergeCell ref="DV417:DV418"/>
    <mergeCell ref="AV415:AV418"/>
    <mergeCell ref="AW415:AW418"/>
    <mergeCell ref="CM415:CM418"/>
    <mergeCell ref="CN415:CN418"/>
    <mergeCell ref="CO415:CO416"/>
    <mergeCell ref="CP415:CP416"/>
    <mergeCell ref="CR415:CR416"/>
    <mergeCell ref="CS415:CS416"/>
    <mergeCell ref="CT415:CT416"/>
    <mergeCell ref="CU415:CU416"/>
    <mergeCell ref="CV415:CV416"/>
    <mergeCell ref="CW415:CW416"/>
    <mergeCell ref="CX415:CX418"/>
    <mergeCell ref="CY415:CY418"/>
    <mergeCell ref="CZ415:CZ418"/>
    <mergeCell ref="DA415:DA418"/>
    <mergeCell ref="DC415:DC416"/>
    <mergeCell ref="CO417:CO418"/>
    <mergeCell ref="CP417:CP418"/>
    <mergeCell ref="CR417:CR418"/>
    <mergeCell ref="CS417:CS418"/>
    <mergeCell ref="CT417:CT418"/>
    <mergeCell ref="CU417:CU418"/>
    <mergeCell ref="CV417:CV418"/>
    <mergeCell ref="CW417:CW418"/>
    <mergeCell ref="DC417:DC418"/>
    <mergeCell ref="B415:B418"/>
    <mergeCell ref="C415:D418"/>
    <mergeCell ref="E415:F415"/>
    <mergeCell ref="G415:R415"/>
    <mergeCell ref="S415:S416"/>
    <mergeCell ref="U415:AA415"/>
    <mergeCell ref="AF415:AI415"/>
    <mergeCell ref="AJ415:AJ416"/>
    <mergeCell ref="AK415:AK416"/>
    <mergeCell ref="AL415:AL416"/>
    <mergeCell ref="AM415:AN418"/>
    <mergeCell ref="AO415:AQ418"/>
    <mergeCell ref="AR415:AR418"/>
    <mergeCell ref="AS415:AS418"/>
    <mergeCell ref="AT415:AT418"/>
    <mergeCell ref="E417:F417"/>
    <mergeCell ref="G417:L417"/>
    <mergeCell ref="P417:Q417"/>
    <mergeCell ref="S417:S418"/>
    <mergeCell ref="AF417:AI417"/>
    <mergeCell ref="AJ417:AJ418"/>
    <mergeCell ref="AK417:AK418"/>
    <mergeCell ref="AL417:AL418"/>
    <mergeCell ref="CU412:CU413"/>
    <mergeCell ref="CV412:CV413"/>
    <mergeCell ref="CW412:CW413"/>
    <mergeCell ref="DC412:DC413"/>
    <mergeCell ref="DD412:DD413"/>
    <mergeCell ref="DE412:DE413"/>
    <mergeCell ref="DF412:DF413"/>
    <mergeCell ref="DG412:DG413"/>
    <mergeCell ref="DK412:DK413"/>
    <mergeCell ref="DO412:DO413"/>
    <mergeCell ref="B410:B413"/>
    <mergeCell ref="C410:D413"/>
    <mergeCell ref="S410:S411"/>
    <mergeCell ref="E411:F411"/>
    <mergeCell ref="G411:L411"/>
    <mergeCell ref="P411:Q411"/>
    <mergeCell ref="AF411:AI411"/>
    <mergeCell ref="AJ410:AJ411"/>
    <mergeCell ref="AK410:AK411"/>
    <mergeCell ref="AF410:AI410"/>
    <mergeCell ref="E410:F410"/>
    <mergeCell ref="G410:R410"/>
    <mergeCell ref="IB410:IB411"/>
    <mergeCell ref="IC410:IC413"/>
    <mergeCell ref="FR412:FR413"/>
    <mergeCell ref="FS412:FS413"/>
    <mergeCell ref="FT412:FT413"/>
    <mergeCell ref="DQ412:DQ413"/>
    <mergeCell ref="DV412:DV413"/>
    <mergeCell ref="EU412:EU413"/>
    <mergeCell ref="EV412:EV413"/>
    <mergeCell ref="EW412:EW413"/>
    <mergeCell ref="EX412:EX413"/>
    <mergeCell ref="EY412:EY413"/>
    <mergeCell ref="E412:F412"/>
    <mergeCell ref="G412:L412"/>
    <mergeCell ref="P412:Q412"/>
    <mergeCell ref="S412:S413"/>
    <mergeCell ref="AF412:AI412"/>
    <mergeCell ref="AJ412:AJ413"/>
    <mergeCell ref="AK412:AK413"/>
    <mergeCell ref="AL412:AL413"/>
    <mergeCell ref="CO412:CO413"/>
    <mergeCell ref="CP412:CP413"/>
    <mergeCell ref="CR412:CR413"/>
    <mergeCell ref="CS412:CS413"/>
    <mergeCell ref="CT412:CT413"/>
    <mergeCell ref="E413:F413"/>
    <mergeCell ref="G413:L413"/>
    <mergeCell ref="P413:R413"/>
    <mergeCell ref="U413:AA413"/>
    <mergeCell ref="AF413:AI413"/>
    <mergeCell ref="HD411:HD412"/>
    <mergeCell ref="HE411:HE412"/>
    <mergeCell ref="HF411:HF412"/>
    <mergeCell ref="HG411:HG412"/>
    <mergeCell ref="HH411:HH412"/>
    <mergeCell ref="HI411:HI412"/>
    <mergeCell ref="HJ411:HJ412"/>
    <mergeCell ref="HK411:HK412"/>
    <mergeCell ref="EU410:EU411"/>
    <mergeCell ref="EV410:EV411"/>
    <mergeCell ref="EW410:EW411"/>
    <mergeCell ref="EX410:EX411"/>
    <mergeCell ref="EY410:EY411"/>
    <mergeCell ref="EZ410:EZ413"/>
    <mergeCell ref="FB410:FB411"/>
    <mergeCell ref="FD410:FD413"/>
    <mergeCell ref="FE410:FE413"/>
    <mergeCell ref="FI410:FI411"/>
    <mergeCell ref="FJ410:FJ411"/>
    <mergeCell ref="FK410:FK411"/>
    <mergeCell ref="FL410:FL411"/>
    <mergeCell ref="FM410:FM411"/>
    <mergeCell ref="FO410:FO411"/>
    <mergeCell ref="FP410:FP411"/>
    <mergeCell ref="FQ410:FQ411"/>
    <mergeCell ref="FB412:FB413"/>
    <mergeCell ref="FI412:FI413"/>
    <mergeCell ref="FJ412:FJ413"/>
    <mergeCell ref="FK412:FK413"/>
    <mergeCell ref="FL412:FL413"/>
    <mergeCell ref="FM412:FM413"/>
    <mergeCell ref="FO412:FO413"/>
    <mergeCell ref="FP412:FP413"/>
    <mergeCell ref="FQ412:FQ413"/>
    <mergeCell ref="IF407:IF408"/>
    <mergeCell ref="IH407:IH408"/>
    <mergeCell ref="U408:AA408"/>
    <mergeCell ref="AF408:AI408"/>
    <mergeCell ref="E409:AT409"/>
    <mergeCell ref="U410:AA410"/>
    <mergeCell ref="AL410:AL411"/>
    <mergeCell ref="AM410:AN413"/>
    <mergeCell ref="AO410:AQ413"/>
    <mergeCell ref="AR410:AR413"/>
    <mergeCell ref="AS410:AS413"/>
    <mergeCell ref="AT410:AT413"/>
    <mergeCell ref="AV410:AV413"/>
    <mergeCell ref="AW410:AW413"/>
    <mergeCell ref="CM410:CM413"/>
    <mergeCell ref="CN410:CN413"/>
    <mergeCell ref="CO410:CO411"/>
    <mergeCell ref="CP410:CP411"/>
    <mergeCell ref="CR410:CR411"/>
    <mergeCell ref="CS410:CS411"/>
    <mergeCell ref="CT410:CT411"/>
    <mergeCell ref="CU410:CU411"/>
    <mergeCell ref="CV410:CV411"/>
    <mergeCell ref="CW410:CW411"/>
    <mergeCell ref="CX410:CX413"/>
    <mergeCell ref="CY410:CY413"/>
    <mergeCell ref="CZ410:CZ413"/>
    <mergeCell ref="DA410:DA413"/>
    <mergeCell ref="DC410:DC411"/>
    <mergeCell ref="DD410:DD411"/>
    <mergeCell ref="IC405:IC408"/>
    <mergeCell ref="IF405:IF406"/>
    <mergeCell ref="IG405:IG408"/>
    <mergeCell ref="IH405:IH406"/>
    <mergeCell ref="HL411:HL412"/>
    <mergeCell ref="HM411:HM412"/>
    <mergeCell ref="HN411:HN412"/>
    <mergeCell ref="HO411:HO412"/>
    <mergeCell ref="HP411:HP412"/>
    <mergeCell ref="HQ411:HQ412"/>
    <mergeCell ref="HR411:HR412"/>
    <mergeCell ref="HS411:HS412"/>
    <mergeCell ref="HT411:HT412"/>
    <mergeCell ref="HU411:HU412"/>
    <mergeCell ref="HY411:HY412"/>
    <mergeCell ref="HX412:HX413"/>
    <mergeCell ref="IB412:IB413"/>
    <mergeCell ref="IF412:IF413"/>
    <mergeCell ref="IH412:IH413"/>
    <mergeCell ref="FR410:FR411"/>
    <mergeCell ref="FS410:FS411"/>
    <mergeCell ref="FT410:FT411"/>
    <mergeCell ref="FW410:FW413"/>
    <mergeCell ref="FX410:FX413"/>
    <mergeCell ref="FY410:FY413"/>
    <mergeCell ref="FZ410:FZ413"/>
    <mergeCell ref="GA410:GA413"/>
    <mergeCell ref="GB410:GB413"/>
    <mergeCell ref="GC410:GC413"/>
    <mergeCell ref="GD410:GD413"/>
    <mergeCell ref="GG410:GG413"/>
    <mergeCell ref="HW410:HW412"/>
    <mergeCell ref="HX410:HX411"/>
    <mergeCell ref="IA410:IA413"/>
    <mergeCell ref="DZ405:DZ408"/>
    <mergeCell ref="EA405:EA408"/>
    <mergeCell ref="EC405:EC408"/>
    <mergeCell ref="ED405:ED408"/>
    <mergeCell ref="EE405:EE408"/>
    <mergeCell ref="EF405:EF408"/>
    <mergeCell ref="EG405:EG408"/>
    <mergeCell ref="EH405:EH408"/>
    <mergeCell ref="EI405:EI408"/>
    <mergeCell ref="EJ405:EJ408"/>
    <mergeCell ref="EO405:EO408"/>
    <mergeCell ref="EP405:EP408"/>
    <mergeCell ref="FL405:FL406"/>
    <mergeCell ref="EK405:EK408"/>
    <mergeCell ref="EL405:EL408"/>
    <mergeCell ref="EM405:EM408"/>
    <mergeCell ref="EG410:EG413"/>
    <mergeCell ref="EH410:EH413"/>
    <mergeCell ref="EI410:EI413"/>
    <mergeCell ref="EJ410:EJ413"/>
    <mergeCell ref="EK410:EK413"/>
    <mergeCell ref="EL410:EL413"/>
    <mergeCell ref="EM410:EM413"/>
    <mergeCell ref="EN410:EN413"/>
    <mergeCell ref="EO410:EO413"/>
    <mergeCell ref="EP410:EP413"/>
    <mergeCell ref="EQ410:EQ413"/>
    <mergeCell ref="ES410:ES413"/>
    <mergeCell ref="DE410:DE411"/>
    <mergeCell ref="DF410:DF411"/>
    <mergeCell ref="DG410:DG411"/>
    <mergeCell ref="DH410:DH413"/>
    <mergeCell ref="DJ410:DJ411"/>
    <mergeCell ref="DL410:DL413"/>
    <mergeCell ref="DN410:DN413"/>
    <mergeCell ref="DO410:DO411"/>
    <mergeCell ref="DP410:DP413"/>
    <mergeCell ref="DQ410:DQ411"/>
    <mergeCell ref="DR410:DR413"/>
    <mergeCell ref="DS410:DS413"/>
    <mergeCell ref="DU410:DU413"/>
    <mergeCell ref="DV410:DV411"/>
    <mergeCell ref="DW410:DW413"/>
    <mergeCell ref="DX410:DX413"/>
    <mergeCell ref="DZ410:DZ413"/>
    <mergeCell ref="EN405:EN408"/>
    <mergeCell ref="EA410:EA413"/>
    <mergeCell ref="EC410:EC413"/>
    <mergeCell ref="ED410:ED413"/>
    <mergeCell ref="EE410:EE413"/>
    <mergeCell ref="EF410:EF413"/>
    <mergeCell ref="FW405:FW408"/>
    <mergeCell ref="FX405:FX408"/>
    <mergeCell ref="FY405:FY408"/>
    <mergeCell ref="FZ405:FZ408"/>
    <mergeCell ref="GA405:GA408"/>
    <mergeCell ref="GB405:GB408"/>
    <mergeCell ref="GC405:GC408"/>
    <mergeCell ref="GD405:GD408"/>
    <mergeCell ref="GG405:GG408"/>
    <mergeCell ref="HW405:HW407"/>
    <mergeCell ref="HX405:HX406"/>
    <mergeCell ref="IA405:IA408"/>
    <mergeCell ref="IB405:IB406"/>
    <mergeCell ref="FQ407:FQ408"/>
    <mergeCell ref="FR407:FR408"/>
    <mergeCell ref="FS407:FS408"/>
    <mergeCell ref="FT407:FT408"/>
    <mergeCell ref="HX407:HX408"/>
    <mergeCell ref="IB407:IB408"/>
    <mergeCell ref="ES405:ES408"/>
    <mergeCell ref="EU405:EU406"/>
    <mergeCell ref="EV405:EV406"/>
    <mergeCell ref="EW405:EW406"/>
    <mergeCell ref="EX405:EX406"/>
    <mergeCell ref="EY405:EY406"/>
    <mergeCell ref="EZ405:EZ408"/>
    <mergeCell ref="FB405:FB406"/>
    <mergeCell ref="FD405:FD408"/>
    <mergeCell ref="FE405:FE408"/>
    <mergeCell ref="FI405:FI406"/>
    <mergeCell ref="FJ405:FJ406"/>
    <mergeCell ref="FK405:FK406"/>
    <mergeCell ref="FJ407:FJ408"/>
    <mergeCell ref="FK407:FK408"/>
    <mergeCell ref="FL407:FL408"/>
    <mergeCell ref="FM407:FM408"/>
    <mergeCell ref="FO407:FO408"/>
    <mergeCell ref="FP407:FP408"/>
    <mergeCell ref="HS398:HS399"/>
    <mergeCell ref="HT398:HT399"/>
    <mergeCell ref="HU398:HU399"/>
    <mergeCell ref="HY398:HY399"/>
    <mergeCell ref="E399:F399"/>
    <mergeCell ref="G399:L399"/>
    <mergeCell ref="FW397:FW400"/>
    <mergeCell ref="AV405:AV408"/>
    <mergeCell ref="AW405:AW408"/>
    <mergeCell ref="CM405:CM408"/>
    <mergeCell ref="CN405:CN408"/>
    <mergeCell ref="CO405:CO406"/>
    <mergeCell ref="CP405:CP406"/>
    <mergeCell ref="CR405:CR406"/>
    <mergeCell ref="CS405:CS406"/>
    <mergeCell ref="CT405:CT406"/>
    <mergeCell ref="CU405:CU406"/>
    <mergeCell ref="CV405:CV406"/>
    <mergeCell ref="CW405:CW406"/>
    <mergeCell ref="CX405:CX408"/>
    <mergeCell ref="CY405:CY408"/>
    <mergeCell ref="CZ405:CZ408"/>
    <mergeCell ref="DA405:DA408"/>
    <mergeCell ref="DC405:DC406"/>
    <mergeCell ref="CO407:CO408"/>
    <mergeCell ref="CP407:CP408"/>
    <mergeCell ref="CR407:CR408"/>
    <mergeCell ref="CS407:CS408"/>
    <mergeCell ref="CT407:CT408"/>
    <mergeCell ref="CU407:CU408"/>
    <mergeCell ref="CV407:CV408"/>
    <mergeCell ref="CW407:CW408"/>
    <mergeCell ref="DC407:DC408"/>
    <mergeCell ref="E400:F400"/>
    <mergeCell ref="G400:L400"/>
    <mergeCell ref="P400:R400"/>
    <mergeCell ref="U400:AA400"/>
    <mergeCell ref="AF400:AI400"/>
    <mergeCell ref="E401:AT401"/>
    <mergeCell ref="AM403:AN403"/>
    <mergeCell ref="AO403:AP403"/>
    <mergeCell ref="AQ403:AT403"/>
    <mergeCell ref="AR404:AT404"/>
    <mergeCell ref="AK407:AK408"/>
    <mergeCell ref="EO397:EO400"/>
    <mergeCell ref="EP397:EP400"/>
    <mergeCell ref="EQ405:EQ408"/>
    <mergeCell ref="DD405:DD406"/>
    <mergeCell ref="DE405:DE406"/>
    <mergeCell ref="DF405:DF406"/>
    <mergeCell ref="DG405:DG406"/>
    <mergeCell ref="EV397:EV398"/>
    <mergeCell ref="EW397:EW398"/>
    <mergeCell ref="EU399:EU400"/>
    <mergeCell ref="EV399:EV400"/>
    <mergeCell ref="EW399:EW400"/>
    <mergeCell ref="FP405:FP406"/>
    <mergeCell ref="EU407:EU408"/>
    <mergeCell ref="EV407:EV408"/>
    <mergeCell ref="EW407:EW408"/>
    <mergeCell ref="EX407:EX408"/>
    <mergeCell ref="EY407:EY408"/>
    <mergeCell ref="FB407:FB408"/>
    <mergeCell ref="FI407:FI408"/>
    <mergeCell ref="DN397:DN400"/>
    <mergeCell ref="DO397:DO398"/>
    <mergeCell ref="DP397:DP400"/>
    <mergeCell ref="DQ397:DQ398"/>
    <mergeCell ref="DR397:DR400"/>
    <mergeCell ref="DS397:DS400"/>
    <mergeCell ref="DU397:DU400"/>
    <mergeCell ref="DV397:DV398"/>
    <mergeCell ref="DW397:DW400"/>
    <mergeCell ref="DX397:DX400"/>
    <mergeCell ref="DZ397:DZ400"/>
    <mergeCell ref="EA397:EA400"/>
    <mergeCell ref="EC397:EC400"/>
    <mergeCell ref="ED397:ED400"/>
    <mergeCell ref="DK399:DK400"/>
    <mergeCell ref="DO399:DO400"/>
    <mergeCell ref="DQ399:DQ400"/>
    <mergeCell ref="DV399:DV400"/>
    <mergeCell ref="DD399:DD400"/>
    <mergeCell ref="DE399:DE400"/>
    <mergeCell ref="DF399:DF400"/>
    <mergeCell ref="DG399:DG400"/>
    <mergeCell ref="P398:Q398"/>
    <mergeCell ref="AF398:AI398"/>
    <mergeCell ref="GL398:GL399"/>
    <mergeCell ref="GM398:GM399"/>
    <mergeCell ref="HC398:HC399"/>
    <mergeCell ref="DH405:DH408"/>
    <mergeCell ref="DJ405:DJ406"/>
    <mergeCell ref="DL405:DL408"/>
    <mergeCell ref="DN405:DN408"/>
    <mergeCell ref="DO405:DO406"/>
    <mergeCell ref="DP405:DP408"/>
    <mergeCell ref="DQ405:DQ406"/>
    <mergeCell ref="DR405:DR408"/>
    <mergeCell ref="DS405:DS408"/>
    <mergeCell ref="DU405:DU408"/>
    <mergeCell ref="DV405:DV406"/>
    <mergeCell ref="DW405:DW408"/>
    <mergeCell ref="DX405:DX408"/>
    <mergeCell ref="DD407:DD408"/>
    <mergeCell ref="DE407:DE408"/>
    <mergeCell ref="DF407:DF408"/>
    <mergeCell ref="DG407:DG408"/>
    <mergeCell ref="DK407:DK408"/>
    <mergeCell ref="DO407:DO408"/>
    <mergeCell ref="DQ407:DQ408"/>
    <mergeCell ref="DV407:DV408"/>
    <mergeCell ref="AF406:AI406"/>
    <mergeCell ref="AF407:AI407"/>
    <mergeCell ref="AJ407:AJ408"/>
    <mergeCell ref="FM405:FM406"/>
    <mergeCell ref="FO405:FO406"/>
    <mergeCell ref="GI398:GI399"/>
    <mergeCell ref="GJ398:GJ399"/>
    <mergeCell ref="EQ397:EQ400"/>
    <mergeCell ref="ES397:ES400"/>
    <mergeCell ref="EU397:EU398"/>
    <mergeCell ref="AM404:AN404"/>
    <mergeCell ref="AO404:AQ404"/>
    <mergeCell ref="FQ405:FQ406"/>
    <mergeCell ref="FR405:FR406"/>
    <mergeCell ref="FS405:FS406"/>
    <mergeCell ref="FT405:FT406"/>
    <mergeCell ref="IH394:IH395"/>
    <mergeCell ref="IA392:IA395"/>
    <mergeCell ref="IB392:IB393"/>
    <mergeCell ref="IC392:IC395"/>
    <mergeCell ref="HC393:HC394"/>
    <mergeCell ref="HD393:HD394"/>
    <mergeCell ref="HE393:HE394"/>
    <mergeCell ref="HF393:HF394"/>
    <mergeCell ref="HG393:HG394"/>
    <mergeCell ref="HH393:HH394"/>
    <mergeCell ref="HI393:HI394"/>
    <mergeCell ref="EZ392:EZ395"/>
    <mergeCell ref="FB392:FB393"/>
    <mergeCell ref="FD392:FD395"/>
    <mergeCell ref="FE392:FE395"/>
    <mergeCell ref="FI392:FI393"/>
    <mergeCell ref="FJ392:FJ393"/>
    <mergeCell ref="FK392:FK393"/>
    <mergeCell ref="FL392:FL393"/>
    <mergeCell ref="FM392:FM393"/>
    <mergeCell ref="FO392:FO393"/>
    <mergeCell ref="FP392:FP393"/>
    <mergeCell ref="FQ392:FQ393"/>
    <mergeCell ref="FR392:FR393"/>
    <mergeCell ref="FS392:FS393"/>
    <mergeCell ref="FT392:FT393"/>
    <mergeCell ref="FW392:FW395"/>
    <mergeCell ref="FX392:FX395"/>
    <mergeCell ref="FQ394:FQ395"/>
    <mergeCell ref="FR394:FR395"/>
    <mergeCell ref="FS394:FS395"/>
    <mergeCell ref="FT394:FT395"/>
    <mergeCell ref="B405:B408"/>
    <mergeCell ref="C405:D408"/>
    <mergeCell ref="U405:AA405"/>
    <mergeCell ref="AF405:AI405"/>
    <mergeCell ref="AJ405:AJ406"/>
    <mergeCell ref="AM405:AN408"/>
    <mergeCell ref="AO405:AQ408"/>
    <mergeCell ref="AR405:AR408"/>
    <mergeCell ref="P399:Q399"/>
    <mergeCell ref="S399:S400"/>
    <mergeCell ref="AF399:AI399"/>
    <mergeCell ref="AJ399:AJ400"/>
    <mergeCell ref="AK399:AK400"/>
    <mergeCell ref="AL399:AL400"/>
    <mergeCell ref="CO399:CO400"/>
    <mergeCell ref="CP399:CP400"/>
    <mergeCell ref="CR399:CR400"/>
    <mergeCell ref="CS399:CS400"/>
    <mergeCell ref="CT399:CT400"/>
    <mergeCell ref="CU399:CU400"/>
    <mergeCell ref="CV399:CV400"/>
    <mergeCell ref="E398:F398"/>
    <mergeCell ref="G398:L398"/>
    <mergeCell ref="EE397:EE400"/>
    <mergeCell ref="EF397:EF400"/>
    <mergeCell ref="EG397:EG400"/>
    <mergeCell ref="EH397:EH400"/>
    <mergeCell ref="EI397:EI400"/>
    <mergeCell ref="EJ397:EJ400"/>
    <mergeCell ref="EK397:EK400"/>
    <mergeCell ref="EL397:EL400"/>
    <mergeCell ref="EM397:EM400"/>
    <mergeCell ref="CR394:CR395"/>
    <mergeCell ref="CS394:CS395"/>
    <mergeCell ref="CT394:CT395"/>
    <mergeCell ref="CU394:CU395"/>
    <mergeCell ref="CV394:CV395"/>
    <mergeCell ref="DS392:DS395"/>
    <mergeCell ref="DU392:DU395"/>
    <mergeCell ref="HX394:HX395"/>
    <mergeCell ref="CR392:CR393"/>
    <mergeCell ref="DL392:DL395"/>
    <mergeCell ref="DN392:DN395"/>
    <mergeCell ref="DO392:DO393"/>
    <mergeCell ref="EY397:EY398"/>
    <mergeCell ref="EZ397:EZ400"/>
    <mergeCell ref="FB397:FB398"/>
    <mergeCell ref="FD397:FD400"/>
    <mergeCell ref="FE397:FE400"/>
    <mergeCell ref="FI397:FI398"/>
    <mergeCell ref="FJ397:FJ398"/>
    <mergeCell ref="FK397:FK398"/>
    <mergeCell ref="FL397:FL398"/>
    <mergeCell ref="FM397:FM398"/>
    <mergeCell ref="FO397:FO398"/>
    <mergeCell ref="FP397:FP398"/>
    <mergeCell ref="FQ397:FQ398"/>
    <mergeCell ref="FR397:FR398"/>
    <mergeCell ref="FS397:FS398"/>
    <mergeCell ref="FT397:FT398"/>
    <mergeCell ref="EX399:EX400"/>
    <mergeCell ref="EY399:EY400"/>
    <mergeCell ref="FB399:FB400"/>
    <mergeCell ref="FI399:FI400"/>
    <mergeCell ref="FJ399:FJ400"/>
    <mergeCell ref="FK399:FK400"/>
    <mergeCell ref="FL399:FL400"/>
    <mergeCell ref="FM399:FM400"/>
    <mergeCell ref="FO399:FO400"/>
    <mergeCell ref="FP399:FP400"/>
    <mergeCell ref="FQ399:FQ400"/>
    <mergeCell ref="FR399:FR400"/>
    <mergeCell ref="FS399:FS400"/>
    <mergeCell ref="FT399:FT400"/>
    <mergeCell ref="GJ393:GJ394"/>
    <mergeCell ref="GL393:GL394"/>
    <mergeCell ref="EN397:EN400"/>
    <mergeCell ref="HD398:HD399"/>
    <mergeCell ref="HE398:HE399"/>
    <mergeCell ref="EX397:EX398"/>
    <mergeCell ref="HF398:HF399"/>
    <mergeCell ref="HG398:HG399"/>
    <mergeCell ref="HH398:HH399"/>
    <mergeCell ref="HI398:HI399"/>
    <mergeCell ref="HJ398:HJ399"/>
    <mergeCell ref="HK398:HK399"/>
    <mergeCell ref="HL398:HL399"/>
    <mergeCell ref="HM398:HM399"/>
    <mergeCell ref="HN398:HN399"/>
    <mergeCell ref="HO398:HO399"/>
    <mergeCell ref="HP398:HP399"/>
    <mergeCell ref="HQ398:HQ399"/>
    <mergeCell ref="HR398:HR399"/>
    <mergeCell ref="DH397:DH400"/>
    <mergeCell ref="DJ397:DJ398"/>
    <mergeCell ref="DL397:DL400"/>
    <mergeCell ref="HU393:HU394"/>
    <mergeCell ref="HY393:HY394"/>
    <mergeCell ref="FY392:FY395"/>
    <mergeCell ref="FZ392:FZ395"/>
    <mergeCell ref="GA392:GA395"/>
    <mergeCell ref="GB392:GB395"/>
    <mergeCell ref="GC392:GC395"/>
    <mergeCell ref="GD392:GD395"/>
    <mergeCell ref="GG392:GG395"/>
    <mergeCell ref="HW392:HW394"/>
    <mergeCell ref="HX392:HX393"/>
    <mergeCell ref="DV394:DV395"/>
    <mergeCell ref="EU394:EU395"/>
    <mergeCell ref="EV394:EV395"/>
    <mergeCell ref="EW394:EW395"/>
    <mergeCell ref="EX394:EX395"/>
    <mergeCell ref="EY394:EY395"/>
    <mergeCell ref="FB394:FB395"/>
    <mergeCell ref="FI394:FI395"/>
    <mergeCell ref="EG392:EG395"/>
    <mergeCell ref="EH392:EH395"/>
    <mergeCell ref="EI392:EI395"/>
    <mergeCell ref="EJ392:EJ395"/>
    <mergeCell ref="EK392:EK395"/>
    <mergeCell ref="EL392:EL395"/>
    <mergeCell ref="EM392:EM395"/>
    <mergeCell ref="EN392:EN395"/>
    <mergeCell ref="EO392:EO395"/>
    <mergeCell ref="EP392:EP395"/>
    <mergeCell ref="EQ392:EQ395"/>
    <mergeCell ref="ES392:ES395"/>
    <mergeCell ref="EU392:EU393"/>
    <mergeCell ref="EV392:EV393"/>
    <mergeCell ref="EW392:EW393"/>
    <mergeCell ref="EX392:EX393"/>
    <mergeCell ref="EY392:EY393"/>
    <mergeCell ref="CS392:CS393"/>
    <mergeCell ref="CT392:CT393"/>
    <mergeCell ref="CU392:CU393"/>
    <mergeCell ref="CV392:CV393"/>
    <mergeCell ref="CW392:CW393"/>
    <mergeCell ref="CX392:CX395"/>
    <mergeCell ref="CY392:CY395"/>
    <mergeCell ref="B397:B400"/>
    <mergeCell ref="C397:D400"/>
    <mergeCell ref="E397:F397"/>
    <mergeCell ref="G397:R397"/>
    <mergeCell ref="S397:S398"/>
    <mergeCell ref="U397:AA397"/>
    <mergeCell ref="AF397:AI397"/>
    <mergeCell ref="AJ397:AJ398"/>
    <mergeCell ref="AK397:AK398"/>
    <mergeCell ref="AL397:AL398"/>
    <mergeCell ref="AM397:AN400"/>
    <mergeCell ref="AO397:AQ400"/>
    <mergeCell ref="AR397:AR400"/>
    <mergeCell ref="AS397:AS400"/>
    <mergeCell ref="AT397:AT400"/>
    <mergeCell ref="AV397:AV400"/>
    <mergeCell ref="AW397:AW400"/>
    <mergeCell ref="CM397:CM400"/>
    <mergeCell ref="CN397:CN400"/>
    <mergeCell ref="DK394:DK395"/>
    <mergeCell ref="DO394:DO395"/>
    <mergeCell ref="DQ394:DQ395"/>
    <mergeCell ref="CO397:CO398"/>
    <mergeCell ref="CP397:CP398"/>
    <mergeCell ref="CR397:CR398"/>
    <mergeCell ref="CS397:CS398"/>
    <mergeCell ref="CT397:CT398"/>
    <mergeCell ref="CU397:CU398"/>
    <mergeCell ref="CV397:CV398"/>
    <mergeCell ref="CW397:CW398"/>
    <mergeCell ref="CX397:CX400"/>
    <mergeCell ref="CY397:CY400"/>
    <mergeCell ref="CZ397:CZ400"/>
    <mergeCell ref="DA397:DA400"/>
    <mergeCell ref="DC397:DC398"/>
    <mergeCell ref="DD397:DD398"/>
    <mergeCell ref="DE397:DE398"/>
    <mergeCell ref="DF397:DF398"/>
    <mergeCell ref="DG397:DG398"/>
    <mergeCell ref="CW399:CW400"/>
    <mergeCell ref="DC399:DC400"/>
    <mergeCell ref="E395:F395"/>
    <mergeCell ref="G395:L395"/>
    <mergeCell ref="P395:R395"/>
    <mergeCell ref="U395:AA395"/>
    <mergeCell ref="AF395:AI395"/>
    <mergeCell ref="E396:AT396"/>
    <mergeCell ref="E394:F394"/>
    <mergeCell ref="G394:L394"/>
    <mergeCell ref="P394:Q394"/>
    <mergeCell ref="S394:S395"/>
    <mergeCell ref="AF394:AI394"/>
    <mergeCell ref="AJ394:AJ395"/>
    <mergeCell ref="AK394:AK395"/>
    <mergeCell ref="AL394:AL395"/>
    <mergeCell ref="CO394:CO395"/>
    <mergeCell ref="CP394:CP395"/>
    <mergeCell ref="IF389:IF390"/>
    <mergeCell ref="FX387:FX390"/>
    <mergeCell ref="FY387:FY390"/>
    <mergeCell ref="FZ387:FZ390"/>
    <mergeCell ref="GA387:GA390"/>
    <mergeCell ref="GB387:GB390"/>
    <mergeCell ref="GC387:GC390"/>
    <mergeCell ref="GD387:GD390"/>
    <mergeCell ref="GG387:GG390"/>
    <mergeCell ref="FQ389:FQ390"/>
    <mergeCell ref="FR389:FR390"/>
    <mergeCell ref="FS389:FS390"/>
    <mergeCell ref="FT389:FT390"/>
    <mergeCell ref="ES387:ES390"/>
    <mergeCell ref="EU387:EU388"/>
    <mergeCell ref="EV387:EV388"/>
    <mergeCell ref="EW387:EW388"/>
    <mergeCell ref="EX387:EX388"/>
    <mergeCell ref="EY387:EY388"/>
    <mergeCell ref="EZ387:EZ390"/>
    <mergeCell ref="DV392:DV393"/>
    <mergeCell ref="DW392:DW395"/>
    <mergeCell ref="DX392:DX395"/>
    <mergeCell ref="DZ392:DZ395"/>
    <mergeCell ref="EA392:EA395"/>
    <mergeCell ref="EC392:EC395"/>
    <mergeCell ref="ED392:ED395"/>
    <mergeCell ref="EE392:EE395"/>
    <mergeCell ref="EF392:EF395"/>
    <mergeCell ref="IF394:IF395"/>
    <mergeCell ref="IB394:IB395"/>
    <mergeCell ref="GM393:GM394"/>
    <mergeCell ref="FJ387:FJ388"/>
    <mergeCell ref="FK387:FK388"/>
    <mergeCell ref="FL387:FL388"/>
    <mergeCell ref="FM387:FM388"/>
    <mergeCell ref="FO387:FO388"/>
    <mergeCell ref="FP387:FP388"/>
    <mergeCell ref="EU389:EU390"/>
    <mergeCell ref="EV389:EV390"/>
    <mergeCell ref="EW389:EW390"/>
    <mergeCell ref="EX389:EX390"/>
    <mergeCell ref="EY389:EY390"/>
    <mergeCell ref="FB389:FB390"/>
    <mergeCell ref="FI389:FI390"/>
    <mergeCell ref="FJ389:FJ390"/>
    <mergeCell ref="FK389:FK390"/>
    <mergeCell ref="FL389:FL390"/>
    <mergeCell ref="FM389:FM390"/>
    <mergeCell ref="FJ394:FJ395"/>
    <mergeCell ref="FK394:FK395"/>
    <mergeCell ref="FL394:FL395"/>
    <mergeCell ref="FM394:FM395"/>
    <mergeCell ref="FO394:FO395"/>
    <mergeCell ref="FP394:FP395"/>
    <mergeCell ref="HJ393:HJ394"/>
    <mergeCell ref="HK393:HK394"/>
    <mergeCell ref="HL393:HL394"/>
    <mergeCell ref="HM393:HM394"/>
    <mergeCell ref="HN393:HN394"/>
    <mergeCell ref="HO393:HO394"/>
    <mergeCell ref="HP393:HP394"/>
    <mergeCell ref="HQ393:HQ394"/>
    <mergeCell ref="HR393:HR394"/>
    <mergeCell ref="FR387:FR388"/>
    <mergeCell ref="FS387:FS388"/>
    <mergeCell ref="FT387:FT388"/>
    <mergeCell ref="FW387:FW390"/>
    <mergeCell ref="CZ392:CZ395"/>
    <mergeCell ref="DA392:DA395"/>
    <mergeCell ref="DC392:DC393"/>
    <mergeCell ref="DD392:DD393"/>
    <mergeCell ref="DE392:DE393"/>
    <mergeCell ref="DF392:DF393"/>
    <mergeCell ref="DG392:DG393"/>
    <mergeCell ref="DH392:DH395"/>
    <mergeCell ref="DJ392:DJ393"/>
    <mergeCell ref="CW394:CW395"/>
    <mergeCell ref="DC394:DC395"/>
    <mergeCell ref="DD394:DD395"/>
    <mergeCell ref="DE394:DE395"/>
    <mergeCell ref="DF394:DF395"/>
    <mergeCell ref="DG394:DG395"/>
    <mergeCell ref="DP392:DP395"/>
    <mergeCell ref="DQ392:DQ393"/>
    <mergeCell ref="DR392:DR395"/>
    <mergeCell ref="HS393:HS394"/>
    <mergeCell ref="HT393:HT394"/>
    <mergeCell ref="FB387:FB388"/>
    <mergeCell ref="FD387:FD390"/>
    <mergeCell ref="FE387:FE390"/>
    <mergeCell ref="FI387:FI388"/>
    <mergeCell ref="EC387:EC390"/>
    <mergeCell ref="ED387:ED390"/>
    <mergeCell ref="EE387:EE390"/>
    <mergeCell ref="EF387:EF390"/>
    <mergeCell ref="EG387:EG390"/>
    <mergeCell ref="EH387:EH390"/>
    <mergeCell ref="EI387:EI390"/>
    <mergeCell ref="EJ387:EJ390"/>
    <mergeCell ref="EK387:EK390"/>
    <mergeCell ref="EL387:EL390"/>
    <mergeCell ref="EM387:EM390"/>
    <mergeCell ref="EN387:EN390"/>
    <mergeCell ref="EO387:EO390"/>
    <mergeCell ref="EP387:EP390"/>
    <mergeCell ref="EQ387:EQ390"/>
    <mergeCell ref="DD387:DD388"/>
    <mergeCell ref="DE387:DE388"/>
    <mergeCell ref="DF387:DF388"/>
    <mergeCell ref="DG387:DG388"/>
    <mergeCell ref="DH387:DH390"/>
    <mergeCell ref="DJ387:DJ388"/>
    <mergeCell ref="DL387:DL390"/>
    <mergeCell ref="DN387:DN390"/>
    <mergeCell ref="DK389:DK390"/>
    <mergeCell ref="IH389:IH390"/>
    <mergeCell ref="E390:F390"/>
    <mergeCell ref="G390:L390"/>
    <mergeCell ref="P390:R390"/>
    <mergeCell ref="U390:AA390"/>
    <mergeCell ref="AF390:AI390"/>
    <mergeCell ref="E391:AT391"/>
    <mergeCell ref="B392:B395"/>
    <mergeCell ref="C392:D395"/>
    <mergeCell ref="E392:F392"/>
    <mergeCell ref="G392:R392"/>
    <mergeCell ref="S392:S393"/>
    <mergeCell ref="U392:AA392"/>
    <mergeCell ref="AF392:AI392"/>
    <mergeCell ref="AJ392:AJ393"/>
    <mergeCell ref="AK392:AK393"/>
    <mergeCell ref="AL392:AL393"/>
    <mergeCell ref="AM392:AN395"/>
    <mergeCell ref="AO392:AQ395"/>
    <mergeCell ref="AR392:AR395"/>
    <mergeCell ref="AS392:AS395"/>
    <mergeCell ref="AT392:AT395"/>
    <mergeCell ref="AV392:AV395"/>
    <mergeCell ref="AW392:AW395"/>
    <mergeCell ref="CM392:CM395"/>
    <mergeCell ref="CN392:CN395"/>
    <mergeCell ref="CO392:CO393"/>
    <mergeCell ref="CP392:CP393"/>
    <mergeCell ref="AF389:AI389"/>
    <mergeCell ref="AJ389:AJ390"/>
    <mergeCell ref="AK389:AK390"/>
    <mergeCell ref="AL389:AL390"/>
    <mergeCell ref="CO389:CO390"/>
    <mergeCell ref="CP389:CP390"/>
    <mergeCell ref="CR389:CR390"/>
    <mergeCell ref="CS389:CS390"/>
    <mergeCell ref="CT389:CT390"/>
    <mergeCell ref="CU389:CU390"/>
    <mergeCell ref="FU392:FU393"/>
    <mergeCell ref="E393:F393"/>
    <mergeCell ref="G393:L393"/>
    <mergeCell ref="P393:Q393"/>
    <mergeCell ref="AF393:AI393"/>
    <mergeCell ref="GI393:GI394"/>
    <mergeCell ref="FO389:FO390"/>
    <mergeCell ref="FP389:FP390"/>
    <mergeCell ref="DZ387:DZ390"/>
    <mergeCell ref="EA387:EA390"/>
    <mergeCell ref="GI388:GI389"/>
    <mergeCell ref="GJ388:GJ389"/>
    <mergeCell ref="GL388:GL389"/>
    <mergeCell ref="GM388:GM389"/>
    <mergeCell ref="HC388:HC389"/>
    <mergeCell ref="HD388:HD389"/>
    <mergeCell ref="HE388:HE389"/>
    <mergeCell ref="HF388:HF389"/>
    <mergeCell ref="HG388:HG389"/>
    <mergeCell ref="HH388:HH389"/>
    <mergeCell ref="HI388:HI389"/>
    <mergeCell ref="HJ388:HJ389"/>
    <mergeCell ref="HK388:HK389"/>
    <mergeCell ref="HL388:HL389"/>
    <mergeCell ref="HT388:HT389"/>
    <mergeCell ref="FQ387:FQ388"/>
    <mergeCell ref="AV387:AV390"/>
    <mergeCell ref="AW387:AW390"/>
    <mergeCell ref="CM387:CM390"/>
    <mergeCell ref="FD382:FD385"/>
    <mergeCell ref="FE382:FE385"/>
    <mergeCell ref="DO387:DO388"/>
    <mergeCell ref="DP387:DP390"/>
    <mergeCell ref="DQ387:DQ388"/>
    <mergeCell ref="DR387:DR390"/>
    <mergeCell ref="DS387:DS390"/>
    <mergeCell ref="DU387:DU390"/>
    <mergeCell ref="DV387:DV388"/>
    <mergeCell ref="DW387:DW390"/>
    <mergeCell ref="DX387:DX390"/>
    <mergeCell ref="DO389:DO390"/>
    <mergeCell ref="DQ389:DQ390"/>
    <mergeCell ref="DV389:DV390"/>
    <mergeCell ref="EU384:EU385"/>
    <mergeCell ref="EV384:EV385"/>
    <mergeCell ref="EW384:EW385"/>
    <mergeCell ref="DC382:DC383"/>
    <mergeCell ref="DD382:DD383"/>
    <mergeCell ref="DE382:DE383"/>
    <mergeCell ref="DF382:DF383"/>
    <mergeCell ref="DG382:DG383"/>
    <mergeCell ref="FI382:FI383"/>
    <mergeCell ref="FJ382:FJ383"/>
    <mergeCell ref="FK382:FK383"/>
    <mergeCell ref="FL382:FL383"/>
    <mergeCell ref="FJ384:FJ385"/>
    <mergeCell ref="FK384:FK385"/>
    <mergeCell ref="FL384:FL385"/>
    <mergeCell ref="CW384:CW385"/>
    <mergeCell ref="DC384:DC385"/>
    <mergeCell ref="DD384:DD385"/>
    <mergeCell ref="DE384:DE385"/>
    <mergeCell ref="DF384:DF385"/>
    <mergeCell ref="DG384:DG385"/>
    <mergeCell ref="CO384:CO385"/>
    <mergeCell ref="CP384:CP385"/>
    <mergeCell ref="CR384:CR385"/>
    <mergeCell ref="CS384:CS385"/>
    <mergeCell ref="CN387:CN390"/>
    <mergeCell ref="CT384:CT385"/>
    <mergeCell ref="CU384:CU385"/>
    <mergeCell ref="CV384:CV385"/>
    <mergeCell ref="CT387:CT388"/>
    <mergeCell ref="B382:B385"/>
    <mergeCell ref="C382:D385"/>
    <mergeCell ref="E382:F382"/>
    <mergeCell ref="G382:R382"/>
    <mergeCell ref="S382:S383"/>
    <mergeCell ref="U382:AA382"/>
    <mergeCell ref="AF382:AI382"/>
    <mergeCell ref="AJ382:AJ383"/>
    <mergeCell ref="AK382:AK383"/>
    <mergeCell ref="AL382:AL383"/>
    <mergeCell ref="AM382:AN385"/>
    <mergeCell ref="AO382:AQ385"/>
    <mergeCell ref="AR382:AR385"/>
    <mergeCell ref="AS382:AS385"/>
    <mergeCell ref="CU387:CU388"/>
    <mergeCell ref="CV387:CV388"/>
    <mergeCell ref="CW387:CW388"/>
    <mergeCell ref="CX387:CX390"/>
    <mergeCell ref="CY387:CY390"/>
    <mergeCell ref="CZ387:CZ390"/>
    <mergeCell ref="DA387:DA390"/>
    <mergeCell ref="DC387:DC388"/>
    <mergeCell ref="CV389:CV390"/>
    <mergeCell ref="CW389:CW390"/>
    <mergeCell ref="DC389:DC390"/>
    <mergeCell ref="DD389:DD390"/>
    <mergeCell ref="DE389:DE390"/>
    <mergeCell ref="DF389:DF390"/>
    <mergeCell ref="DG389:DG390"/>
    <mergeCell ref="AF385:AI385"/>
    <mergeCell ref="B387:B390"/>
    <mergeCell ref="C387:D390"/>
    <mergeCell ref="E387:F387"/>
    <mergeCell ref="G387:R387"/>
    <mergeCell ref="S387:S388"/>
    <mergeCell ref="U387:AA387"/>
    <mergeCell ref="AF387:AI387"/>
    <mergeCell ref="AJ387:AJ388"/>
    <mergeCell ref="AK387:AK388"/>
    <mergeCell ref="AL387:AL388"/>
    <mergeCell ref="AM387:AN390"/>
    <mergeCell ref="AO387:AQ390"/>
    <mergeCell ref="AR387:AR390"/>
    <mergeCell ref="AS387:AS390"/>
    <mergeCell ref="AT387:AT390"/>
    <mergeCell ref="E389:F389"/>
    <mergeCell ref="G389:L389"/>
    <mergeCell ref="P389:Q389"/>
    <mergeCell ref="S389:S390"/>
    <mergeCell ref="E386:AT386"/>
    <mergeCell ref="AT382:AT385"/>
    <mergeCell ref="E383:F383"/>
    <mergeCell ref="G383:L383"/>
    <mergeCell ref="P383:Q383"/>
    <mergeCell ref="P384:Q384"/>
    <mergeCell ref="S384:S385"/>
    <mergeCell ref="AF384:AI384"/>
    <mergeCell ref="AJ384:AJ385"/>
    <mergeCell ref="AK384:AK385"/>
    <mergeCell ref="AL384:AL385"/>
    <mergeCell ref="CO387:CO388"/>
    <mergeCell ref="CP387:CP388"/>
    <mergeCell ref="CR387:CR388"/>
    <mergeCell ref="CS387:CS388"/>
    <mergeCell ref="GI383:GI384"/>
    <mergeCell ref="GJ383:GJ384"/>
    <mergeCell ref="GL383:GL384"/>
    <mergeCell ref="GM383:GM384"/>
    <mergeCell ref="HC383:HC384"/>
    <mergeCell ref="HD383:HD384"/>
    <mergeCell ref="HE383:HE384"/>
    <mergeCell ref="HF383:HF384"/>
    <mergeCell ref="HG383:HG384"/>
    <mergeCell ref="HH383:HH384"/>
    <mergeCell ref="HI383:HI384"/>
    <mergeCell ref="HJ383:HJ384"/>
    <mergeCell ref="HK383:HK384"/>
    <mergeCell ref="HL383:HL384"/>
    <mergeCell ref="HM383:HM384"/>
    <mergeCell ref="HN383:HN384"/>
    <mergeCell ref="HO383:HO384"/>
    <mergeCell ref="HP383:HP384"/>
    <mergeCell ref="HQ383:HQ384"/>
    <mergeCell ref="HR383:HR384"/>
    <mergeCell ref="HS383:HS384"/>
    <mergeCell ref="HT383:HT384"/>
    <mergeCell ref="HU383:HU384"/>
    <mergeCell ref="HY383:HY384"/>
    <mergeCell ref="E384:F384"/>
    <mergeCell ref="G384:L384"/>
    <mergeCell ref="FW382:FW385"/>
    <mergeCell ref="FX382:FX385"/>
    <mergeCell ref="FY382:FY385"/>
    <mergeCell ref="FZ382:FZ385"/>
    <mergeCell ref="GA382:GA385"/>
    <mergeCell ref="GB382:GB385"/>
    <mergeCell ref="GC382:GC385"/>
    <mergeCell ref="GD382:GD385"/>
    <mergeCell ref="GG382:GG385"/>
    <mergeCell ref="HW382:HW384"/>
    <mergeCell ref="HX382:HX383"/>
    <mergeCell ref="HX384:HX385"/>
    <mergeCell ref="EX382:EX383"/>
    <mergeCell ref="EY382:EY383"/>
    <mergeCell ref="EZ382:EZ385"/>
    <mergeCell ref="FB382:FB383"/>
    <mergeCell ref="E385:F385"/>
    <mergeCell ref="G385:L385"/>
    <mergeCell ref="P385:R385"/>
    <mergeCell ref="U385:AA385"/>
    <mergeCell ref="CX382:CX385"/>
    <mergeCell ref="CY382:CY385"/>
    <mergeCell ref="CZ382:CZ385"/>
    <mergeCell ref="DA382:DA385"/>
    <mergeCell ref="FQ382:FQ383"/>
    <mergeCell ref="FR382:FR383"/>
    <mergeCell ref="FS382:FS383"/>
    <mergeCell ref="FT382:FT383"/>
    <mergeCell ref="EX384:EX385"/>
    <mergeCell ref="EY384:EY385"/>
    <mergeCell ref="FB384:FB385"/>
    <mergeCell ref="FI384:FI385"/>
    <mergeCell ref="FM382:FM383"/>
    <mergeCell ref="FM384:FM385"/>
    <mergeCell ref="FO384:FO385"/>
    <mergeCell ref="FP384:FP385"/>
    <mergeCell ref="FQ384:FQ385"/>
    <mergeCell ref="FR384:FR385"/>
    <mergeCell ref="FS384:FS385"/>
    <mergeCell ref="FT384:FT385"/>
    <mergeCell ref="EE382:EE385"/>
    <mergeCell ref="EF382:EF385"/>
    <mergeCell ref="EG382:EG385"/>
    <mergeCell ref="EH382:EH385"/>
    <mergeCell ref="EI382:EI385"/>
    <mergeCell ref="EJ382:EJ385"/>
    <mergeCell ref="EK382:EK385"/>
    <mergeCell ref="EL382:EL385"/>
    <mergeCell ref="EM382:EM385"/>
    <mergeCell ref="EN382:EN385"/>
    <mergeCell ref="EO382:EO385"/>
    <mergeCell ref="EP382:EP385"/>
    <mergeCell ref="EQ382:EQ385"/>
    <mergeCell ref="ES382:ES385"/>
    <mergeCell ref="EU382:EU383"/>
    <mergeCell ref="EV382:EV383"/>
    <mergeCell ref="EW382:EW383"/>
    <mergeCell ref="CN382:CN385"/>
    <mergeCell ref="DK379:DK380"/>
    <mergeCell ref="DO379:DO380"/>
    <mergeCell ref="DQ379:DQ380"/>
    <mergeCell ref="DV379:DV380"/>
    <mergeCell ref="EU379:EU380"/>
    <mergeCell ref="EV379:EV380"/>
    <mergeCell ref="EW379:EW380"/>
    <mergeCell ref="EX379:EX380"/>
    <mergeCell ref="EY379:EY380"/>
    <mergeCell ref="FB379:FB380"/>
    <mergeCell ref="ES377:ES380"/>
    <mergeCell ref="EU377:EU378"/>
    <mergeCell ref="EV377:EV378"/>
    <mergeCell ref="EW377:EW378"/>
    <mergeCell ref="EX377:EX378"/>
    <mergeCell ref="EY377:EY378"/>
    <mergeCell ref="FO382:FO383"/>
    <mergeCell ref="FP382:FP383"/>
    <mergeCell ref="G379:L379"/>
    <mergeCell ref="DH382:DH385"/>
    <mergeCell ref="DJ382:DJ383"/>
    <mergeCell ref="DL382:DL385"/>
    <mergeCell ref="DN382:DN385"/>
    <mergeCell ref="DO382:DO383"/>
    <mergeCell ref="DP382:DP385"/>
    <mergeCell ref="DQ382:DQ383"/>
    <mergeCell ref="DR382:DR385"/>
    <mergeCell ref="DS382:DS385"/>
    <mergeCell ref="DU382:DU385"/>
    <mergeCell ref="DV382:DV383"/>
    <mergeCell ref="DW382:DW385"/>
    <mergeCell ref="DX382:DX385"/>
    <mergeCell ref="DZ382:DZ385"/>
    <mergeCell ref="EA382:EA385"/>
    <mergeCell ref="EC382:EC385"/>
    <mergeCell ref="ED382:ED385"/>
    <mergeCell ref="DK384:DK385"/>
    <mergeCell ref="DO384:DO385"/>
    <mergeCell ref="DQ384:DQ385"/>
    <mergeCell ref="DV384:DV385"/>
    <mergeCell ref="CO382:CO383"/>
    <mergeCell ref="CP382:CP383"/>
    <mergeCell ref="CR382:CR383"/>
    <mergeCell ref="CS382:CS383"/>
    <mergeCell ref="CT382:CT383"/>
    <mergeCell ref="CU382:CU383"/>
    <mergeCell ref="CV382:CV383"/>
    <mergeCell ref="CW382:CW383"/>
    <mergeCell ref="EP377:EP380"/>
    <mergeCell ref="EQ377:EQ380"/>
    <mergeCell ref="DL377:DL380"/>
    <mergeCell ref="DN377:DN380"/>
    <mergeCell ref="DO377:DO378"/>
    <mergeCell ref="DP377:DP380"/>
    <mergeCell ref="DQ377:DQ378"/>
    <mergeCell ref="DR377:DR380"/>
    <mergeCell ref="DS377:DS380"/>
    <mergeCell ref="DU377:DU380"/>
    <mergeCell ref="DV377:DV378"/>
    <mergeCell ref="DW377:DW380"/>
    <mergeCell ref="P379:Q379"/>
    <mergeCell ref="S379:S380"/>
    <mergeCell ref="AF379:AI379"/>
    <mergeCell ref="AJ379:AJ380"/>
    <mergeCell ref="CO379:CO380"/>
    <mergeCell ref="CP379:CP380"/>
    <mergeCell ref="CR379:CR380"/>
    <mergeCell ref="CS379:CS380"/>
    <mergeCell ref="CT379:CT380"/>
    <mergeCell ref="CU379:CU380"/>
    <mergeCell ref="CV379:CV380"/>
    <mergeCell ref="P380:R380"/>
    <mergeCell ref="U380:AA380"/>
    <mergeCell ref="AF380:AI380"/>
    <mergeCell ref="AF383:AI383"/>
    <mergeCell ref="AV382:AV385"/>
    <mergeCell ref="AW382:AW385"/>
    <mergeCell ref="CM382:CM385"/>
    <mergeCell ref="HX377:HX378"/>
    <mergeCell ref="IA377:IA380"/>
    <mergeCell ref="IB377:IB378"/>
    <mergeCell ref="IC377:IC380"/>
    <mergeCell ref="IF377:IF378"/>
    <mergeCell ref="IG377:IG380"/>
    <mergeCell ref="IH377:IH378"/>
    <mergeCell ref="II377:II380"/>
    <mergeCell ref="DX377:DX380"/>
    <mergeCell ref="DZ377:DZ380"/>
    <mergeCell ref="EA377:EA380"/>
    <mergeCell ref="EC377:EC380"/>
    <mergeCell ref="ED377:ED380"/>
    <mergeCell ref="EE377:EE380"/>
    <mergeCell ref="EF377:EF380"/>
    <mergeCell ref="CR377:CR378"/>
    <mergeCell ref="CS377:CS378"/>
    <mergeCell ref="CT377:CT378"/>
    <mergeCell ref="CU377:CU378"/>
    <mergeCell ref="CV377:CV378"/>
    <mergeCell ref="CW377:CW378"/>
    <mergeCell ref="CX377:CX380"/>
    <mergeCell ref="CY377:CY380"/>
    <mergeCell ref="CZ377:CZ380"/>
    <mergeCell ref="DA377:DA380"/>
    <mergeCell ref="DC377:DC378"/>
    <mergeCell ref="DD377:DD378"/>
    <mergeCell ref="DE377:DE378"/>
    <mergeCell ref="DF377:DF378"/>
    <mergeCell ref="DG377:DG378"/>
    <mergeCell ref="DH377:DH380"/>
    <mergeCell ref="DJ377:DJ378"/>
    <mergeCell ref="CW379:CW380"/>
    <mergeCell ref="DC379:DC380"/>
    <mergeCell ref="DD379:DD380"/>
    <mergeCell ref="DE379:DE380"/>
    <mergeCell ref="DF379:DF380"/>
    <mergeCell ref="DG379:DG380"/>
    <mergeCell ref="HX379:HX380"/>
    <mergeCell ref="IB379:IB380"/>
    <mergeCell ref="IF379:IF380"/>
    <mergeCell ref="IH379:IH380"/>
    <mergeCell ref="FI379:FI380"/>
    <mergeCell ref="FJ379:FJ380"/>
    <mergeCell ref="FK379:FK380"/>
    <mergeCell ref="FL379:FL380"/>
    <mergeCell ref="FM379:FM380"/>
    <mergeCell ref="FO379:FO380"/>
    <mergeCell ref="FP379:FP380"/>
    <mergeCell ref="HJ378:HJ379"/>
    <mergeCell ref="HK378:HK379"/>
    <mergeCell ref="HL378:HL379"/>
    <mergeCell ref="HM378:HM379"/>
    <mergeCell ref="HN378:HN379"/>
    <mergeCell ref="HO378:HO379"/>
    <mergeCell ref="HP378:HP379"/>
    <mergeCell ref="HQ378:HQ379"/>
    <mergeCell ref="HR378:HR379"/>
    <mergeCell ref="HS378:HS379"/>
    <mergeCell ref="HT378:HT379"/>
    <mergeCell ref="HU378:HU379"/>
    <mergeCell ref="HY378:HY379"/>
    <mergeCell ref="EN377:EN380"/>
    <mergeCell ref="EO377:EO380"/>
    <mergeCell ref="DC374:DC375"/>
    <mergeCell ref="DD374:DD375"/>
    <mergeCell ref="DE374:DE375"/>
    <mergeCell ref="DF374:DF375"/>
    <mergeCell ref="DG374:DG375"/>
    <mergeCell ref="CT374:CT375"/>
    <mergeCell ref="CU374:CU375"/>
    <mergeCell ref="CV374:CV375"/>
    <mergeCell ref="CW374:CW375"/>
    <mergeCell ref="DZ372:DZ375"/>
    <mergeCell ref="EA372:EA375"/>
    <mergeCell ref="EC372:EC375"/>
    <mergeCell ref="ED372:ED375"/>
    <mergeCell ref="EE372:EE375"/>
    <mergeCell ref="EF372:EF375"/>
    <mergeCell ref="EG372:EG375"/>
    <mergeCell ref="EH372:EH375"/>
    <mergeCell ref="EI372:EI375"/>
    <mergeCell ref="EJ372:EJ375"/>
    <mergeCell ref="EK372:EK375"/>
    <mergeCell ref="EL372:EL375"/>
    <mergeCell ref="EM372:EM375"/>
    <mergeCell ref="EN372:EN375"/>
    <mergeCell ref="EO372:EO375"/>
    <mergeCell ref="EP372:EP375"/>
    <mergeCell ref="EQ372:EQ375"/>
    <mergeCell ref="DD372:DD373"/>
    <mergeCell ref="DE372:DE373"/>
    <mergeCell ref="DF372:DF373"/>
    <mergeCell ref="DG372:DG373"/>
    <mergeCell ref="DH372:DH375"/>
    <mergeCell ref="DJ372:DJ373"/>
    <mergeCell ref="DL372:DL375"/>
    <mergeCell ref="DN372:DN375"/>
    <mergeCell ref="DO372:DO373"/>
    <mergeCell ref="DP372:DP375"/>
    <mergeCell ref="DQ372:DQ373"/>
    <mergeCell ref="DR372:DR375"/>
    <mergeCell ref="DS372:DS375"/>
    <mergeCell ref="DU372:DU375"/>
    <mergeCell ref="DV372:DV373"/>
    <mergeCell ref="DW372:DW375"/>
    <mergeCell ref="DX372:DX375"/>
    <mergeCell ref="DK374:DK375"/>
    <mergeCell ref="DO374:DO375"/>
    <mergeCell ref="DQ374:DQ375"/>
    <mergeCell ref="DV374:DV375"/>
    <mergeCell ref="CT372:CT373"/>
    <mergeCell ref="CU372:CU373"/>
    <mergeCell ref="CV372:CV373"/>
    <mergeCell ref="CW372:CW373"/>
    <mergeCell ref="CX372:CX375"/>
    <mergeCell ref="CY372:CY375"/>
    <mergeCell ref="CZ372:CZ375"/>
    <mergeCell ref="DA372:DA375"/>
    <mergeCell ref="DC372:DC373"/>
    <mergeCell ref="IC372:IC375"/>
    <mergeCell ref="IF372:IF373"/>
    <mergeCell ref="IG372:IG375"/>
    <mergeCell ref="IH372:IH373"/>
    <mergeCell ref="FJ372:FJ373"/>
    <mergeCell ref="FK372:FK373"/>
    <mergeCell ref="FL372:FL373"/>
    <mergeCell ref="FM372:FM373"/>
    <mergeCell ref="FO372:FO373"/>
    <mergeCell ref="FP372:FP373"/>
    <mergeCell ref="EU374:EU375"/>
    <mergeCell ref="EV374:EV375"/>
    <mergeCell ref="EW374:EW375"/>
    <mergeCell ref="EX374:EX375"/>
    <mergeCell ref="EY374:EY375"/>
    <mergeCell ref="E378:F378"/>
    <mergeCell ref="G378:L378"/>
    <mergeCell ref="P378:Q378"/>
    <mergeCell ref="AF378:AI378"/>
    <mergeCell ref="GI378:GI379"/>
    <mergeCell ref="GJ378:GJ379"/>
    <mergeCell ref="GL378:GL379"/>
    <mergeCell ref="GM378:GM379"/>
    <mergeCell ref="HC378:HC379"/>
    <mergeCell ref="HD378:HD379"/>
    <mergeCell ref="HE378:HE379"/>
    <mergeCell ref="HF378:HF379"/>
    <mergeCell ref="HG378:HG379"/>
    <mergeCell ref="HH378:HH379"/>
    <mergeCell ref="HI378:HI379"/>
    <mergeCell ref="EZ377:EZ380"/>
    <mergeCell ref="FB377:FB378"/>
    <mergeCell ref="FD377:FD380"/>
    <mergeCell ref="FE377:FE380"/>
    <mergeCell ref="FI377:FI378"/>
    <mergeCell ref="FJ377:FJ378"/>
    <mergeCell ref="FK377:FK378"/>
    <mergeCell ref="FL377:FL378"/>
    <mergeCell ref="FM377:FM378"/>
    <mergeCell ref="FO377:FO378"/>
    <mergeCell ref="FP377:FP378"/>
    <mergeCell ref="FQ377:FQ378"/>
    <mergeCell ref="FR377:FR378"/>
    <mergeCell ref="FS377:FS378"/>
    <mergeCell ref="FT377:FT378"/>
    <mergeCell ref="FW377:FW380"/>
    <mergeCell ref="FX377:FX380"/>
    <mergeCell ref="FQ379:FQ380"/>
    <mergeCell ref="FR379:FR380"/>
    <mergeCell ref="FS379:FS380"/>
    <mergeCell ref="FT379:FT380"/>
    <mergeCell ref="EG377:EG380"/>
    <mergeCell ref="EH377:EH380"/>
    <mergeCell ref="EI377:EI380"/>
    <mergeCell ref="EJ377:EJ380"/>
    <mergeCell ref="EK377:EK380"/>
    <mergeCell ref="EL377:EL380"/>
    <mergeCell ref="EM377:EM380"/>
    <mergeCell ref="E376:AT376"/>
    <mergeCell ref="ES372:ES375"/>
    <mergeCell ref="EU372:EU373"/>
    <mergeCell ref="EV372:EV373"/>
    <mergeCell ref="EW372:EW373"/>
    <mergeCell ref="EX372:EX373"/>
    <mergeCell ref="B377:B380"/>
    <mergeCell ref="C377:D380"/>
    <mergeCell ref="E377:F377"/>
    <mergeCell ref="G377:R377"/>
    <mergeCell ref="S377:S378"/>
    <mergeCell ref="U377:AA377"/>
    <mergeCell ref="AF377:AI377"/>
    <mergeCell ref="AJ377:AJ378"/>
    <mergeCell ref="AK377:AK378"/>
    <mergeCell ref="AL377:AL378"/>
    <mergeCell ref="AM377:AN380"/>
    <mergeCell ref="AO377:AQ380"/>
    <mergeCell ref="AR377:AR380"/>
    <mergeCell ref="AS377:AS380"/>
    <mergeCell ref="AT377:AT380"/>
    <mergeCell ref="AV377:AV380"/>
    <mergeCell ref="AW377:AW380"/>
    <mergeCell ref="CM377:CM380"/>
    <mergeCell ref="CN377:CN380"/>
    <mergeCell ref="CO377:CO378"/>
    <mergeCell ref="CP377:CP378"/>
    <mergeCell ref="AF374:AI374"/>
    <mergeCell ref="AJ374:AJ375"/>
    <mergeCell ref="AK374:AK375"/>
    <mergeCell ref="AL374:AL375"/>
    <mergeCell ref="CO374:CO375"/>
    <mergeCell ref="CP374:CP375"/>
    <mergeCell ref="CR374:CR375"/>
    <mergeCell ref="CS374:CS375"/>
    <mergeCell ref="E380:F380"/>
    <mergeCell ref="G380:L380"/>
    <mergeCell ref="AV372:AV375"/>
    <mergeCell ref="AW372:AW375"/>
    <mergeCell ref="CM372:CM375"/>
    <mergeCell ref="CN372:CN375"/>
    <mergeCell ref="CO372:CO373"/>
    <mergeCell ref="CP372:CP373"/>
    <mergeCell ref="CR372:CR373"/>
    <mergeCell ref="CS372:CS373"/>
    <mergeCell ref="E373:F373"/>
    <mergeCell ref="G373:L373"/>
    <mergeCell ref="P373:Q373"/>
    <mergeCell ref="AF373:AI373"/>
    <mergeCell ref="AF375:AI375"/>
    <mergeCell ref="B372:B375"/>
    <mergeCell ref="C372:D375"/>
    <mergeCell ref="E372:F372"/>
    <mergeCell ref="G372:R372"/>
    <mergeCell ref="S372:S373"/>
    <mergeCell ref="U372:AA372"/>
    <mergeCell ref="AF372:AI372"/>
    <mergeCell ref="AJ372:AJ373"/>
    <mergeCell ref="AK372:AK373"/>
    <mergeCell ref="AL372:AL373"/>
    <mergeCell ref="AM372:AN375"/>
    <mergeCell ref="AO372:AQ375"/>
    <mergeCell ref="AR372:AR375"/>
    <mergeCell ref="AS372:AS375"/>
    <mergeCell ref="AT372:AT375"/>
    <mergeCell ref="E374:F374"/>
    <mergeCell ref="G374:L374"/>
    <mergeCell ref="P374:Q374"/>
    <mergeCell ref="S374:S375"/>
    <mergeCell ref="E379:F379"/>
    <mergeCell ref="EY372:EY373"/>
    <mergeCell ref="EZ372:EZ375"/>
    <mergeCell ref="FB372:FB373"/>
    <mergeCell ref="FD372:FD375"/>
    <mergeCell ref="FE372:FE375"/>
    <mergeCell ref="FI372:FI373"/>
    <mergeCell ref="GJ373:GJ374"/>
    <mergeCell ref="GL373:GL374"/>
    <mergeCell ref="GM373:GM374"/>
    <mergeCell ref="HC373:HC374"/>
    <mergeCell ref="HD373:HD374"/>
    <mergeCell ref="HE373:HE374"/>
    <mergeCell ref="HF373:HF374"/>
    <mergeCell ref="HG373:HG374"/>
    <mergeCell ref="HH373:HH374"/>
    <mergeCell ref="HI373:HI374"/>
    <mergeCell ref="HJ373:HJ374"/>
    <mergeCell ref="HK373:HK374"/>
    <mergeCell ref="HL373:HL374"/>
    <mergeCell ref="HM373:HM374"/>
    <mergeCell ref="HN373:HN374"/>
    <mergeCell ref="HO373:HO374"/>
    <mergeCell ref="HP373:HP374"/>
    <mergeCell ref="HQ373:HQ374"/>
    <mergeCell ref="HR373:HR374"/>
    <mergeCell ref="HS373:HS374"/>
    <mergeCell ref="HT373:HT374"/>
    <mergeCell ref="FQ372:FQ373"/>
    <mergeCell ref="FR372:FR373"/>
    <mergeCell ref="FS372:FS373"/>
    <mergeCell ref="FT372:FT373"/>
    <mergeCell ref="FW372:FW375"/>
    <mergeCell ref="FX372:FX375"/>
    <mergeCell ref="FY372:FY375"/>
    <mergeCell ref="FZ372:FZ375"/>
    <mergeCell ref="GA372:GA375"/>
    <mergeCell ref="GB372:GB375"/>
    <mergeCell ref="GC372:GC375"/>
    <mergeCell ref="GD372:GD375"/>
    <mergeCell ref="GG372:GG375"/>
    <mergeCell ref="FQ374:FQ375"/>
    <mergeCell ref="FR374:FR375"/>
    <mergeCell ref="FS374:FS375"/>
    <mergeCell ref="FT374:FT375"/>
    <mergeCell ref="FB374:FB375"/>
    <mergeCell ref="FI374:FI375"/>
    <mergeCell ref="FJ374:FJ375"/>
    <mergeCell ref="FK374:FK375"/>
    <mergeCell ref="FL374:FL375"/>
    <mergeCell ref="FM374:FM375"/>
    <mergeCell ref="FO374:FO375"/>
    <mergeCell ref="FP374:FP375"/>
    <mergeCell ref="HG368:HG369"/>
    <mergeCell ref="HH368:HH369"/>
    <mergeCell ref="HI368:HI369"/>
    <mergeCell ref="HJ368:HJ369"/>
    <mergeCell ref="HK368:HK369"/>
    <mergeCell ref="HL368:HL369"/>
    <mergeCell ref="HM368:HM369"/>
    <mergeCell ref="EW369:EW370"/>
    <mergeCell ref="DJ367:DJ368"/>
    <mergeCell ref="DL367:DL370"/>
    <mergeCell ref="DN367:DN370"/>
    <mergeCell ref="DO367:DO368"/>
    <mergeCell ref="DP367:DP370"/>
    <mergeCell ref="DQ367:DQ368"/>
    <mergeCell ref="DR367:DR370"/>
    <mergeCell ref="DS367:DS370"/>
    <mergeCell ref="DU367:DU370"/>
    <mergeCell ref="DV367:DV368"/>
    <mergeCell ref="DW367:DW370"/>
    <mergeCell ref="DX367:DX370"/>
    <mergeCell ref="DZ367:DZ370"/>
    <mergeCell ref="EA367:EA370"/>
    <mergeCell ref="EC367:EC370"/>
    <mergeCell ref="ED367:ED370"/>
    <mergeCell ref="DK369:DK370"/>
    <mergeCell ref="DO369:DO370"/>
    <mergeCell ref="DQ369:DQ370"/>
    <mergeCell ref="DV369:DV370"/>
    <mergeCell ref="DC367:DC368"/>
    <mergeCell ref="DD367:DD368"/>
    <mergeCell ref="DE367:DE368"/>
    <mergeCell ref="DF367:DF368"/>
    <mergeCell ref="DG367:DG368"/>
    <mergeCell ref="DC369:DC370"/>
    <mergeCell ref="DD369:DD370"/>
    <mergeCell ref="DE369:DE370"/>
    <mergeCell ref="DF369:DF370"/>
    <mergeCell ref="P370:R370"/>
    <mergeCell ref="U370:AA370"/>
    <mergeCell ref="AF370:AI370"/>
    <mergeCell ref="DH367:DH370"/>
    <mergeCell ref="CS367:CS368"/>
    <mergeCell ref="CT367:CT368"/>
    <mergeCell ref="B367:B370"/>
    <mergeCell ref="C367:D370"/>
    <mergeCell ref="P369:Q369"/>
    <mergeCell ref="S369:S370"/>
    <mergeCell ref="AF369:AI369"/>
    <mergeCell ref="AJ369:AJ370"/>
    <mergeCell ref="AK369:AK370"/>
    <mergeCell ref="AL369:AL370"/>
    <mergeCell ref="CO369:CO370"/>
    <mergeCell ref="CP369:CP370"/>
    <mergeCell ref="CR369:CR370"/>
    <mergeCell ref="E368:F368"/>
    <mergeCell ref="G368:L368"/>
    <mergeCell ref="P368:Q368"/>
    <mergeCell ref="AF368:AI368"/>
    <mergeCell ref="CO367:CO368"/>
    <mergeCell ref="CP367:CP368"/>
    <mergeCell ref="CR367:CR368"/>
    <mergeCell ref="GI368:GI369"/>
    <mergeCell ref="GJ368:GJ369"/>
    <mergeCell ref="GL368:GL369"/>
    <mergeCell ref="GM368:GM369"/>
    <mergeCell ref="HC368:HC369"/>
    <mergeCell ref="HD368:HD369"/>
    <mergeCell ref="HE368:HE369"/>
    <mergeCell ref="HF368:HF369"/>
    <mergeCell ref="CW369:CW370"/>
    <mergeCell ref="CU367:CU368"/>
    <mergeCell ref="CV367:CV368"/>
    <mergeCell ref="CW367:CW368"/>
    <mergeCell ref="CX367:CX370"/>
    <mergeCell ref="CY367:CY370"/>
    <mergeCell ref="CZ367:CZ370"/>
    <mergeCell ref="DA367:DA370"/>
    <mergeCell ref="HN368:HN369"/>
    <mergeCell ref="HO368:HO369"/>
    <mergeCell ref="HP368:HP369"/>
    <mergeCell ref="HQ368:HQ369"/>
    <mergeCell ref="HR368:HR369"/>
    <mergeCell ref="HS368:HS369"/>
    <mergeCell ref="HY368:HY369"/>
    <mergeCell ref="E369:F369"/>
    <mergeCell ref="G369:L369"/>
    <mergeCell ref="FW367:FW370"/>
    <mergeCell ref="FX367:FX370"/>
    <mergeCell ref="FY367:FY370"/>
    <mergeCell ref="FZ367:FZ370"/>
    <mergeCell ref="GA367:GA370"/>
    <mergeCell ref="GB367:GB370"/>
    <mergeCell ref="GC367:GC370"/>
    <mergeCell ref="GD367:GD370"/>
    <mergeCell ref="GG367:GG370"/>
    <mergeCell ref="HW367:HW369"/>
    <mergeCell ref="HX367:HX368"/>
    <mergeCell ref="HX369:HX370"/>
    <mergeCell ref="EX367:EX368"/>
    <mergeCell ref="EY367:EY368"/>
    <mergeCell ref="EZ367:EZ370"/>
    <mergeCell ref="FB367:FB368"/>
    <mergeCell ref="FD367:FD370"/>
    <mergeCell ref="FE367:FE370"/>
    <mergeCell ref="FI367:FI368"/>
    <mergeCell ref="FJ367:FJ368"/>
    <mergeCell ref="FK367:FK368"/>
    <mergeCell ref="FL367:FL368"/>
    <mergeCell ref="FM367:FM368"/>
    <mergeCell ref="FO367:FO368"/>
    <mergeCell ref="FP367:FP368"/>
    <mergeCell ref="FQ367:FQ368"/>
    <mergeCell ref="FR367:FR368"/>
    <mergeCell ref="FS367:FS368"/>
    <mergeCell ref="FT367:FT368"/>
    <mergeCell ref="EX369:EX370"/>
    <mergeCell ref="EY369:EY370"/>
    <mergeCell ref="FB369:FB370"/>
    <mergeCell ref="FI369:FI370"/>
    <mergeCell ref="FJ369:FJ370"/>
    <mergeCell ref="FK369:FK370"/>
    <mergeCell ref="FL369:FL370"/>
    <mergeCell ref="FM369:FM370"/>
    <mergeCell ref="FO369:FO370"/>
    <mergeCell ref="EI367:EI370"/>
    <mergeCell ref="EJ367:EJ370"/>
    <mergeCell ref="EK367:EK370"/>
    <mergeCell ref="EL367:EL370"/>
    <mergeCell ref="EM367:EM370"/>
    <mergeCell ref="EN367:EN370"/>
    <mergeCell ref="EO367:EO370"/>
    <mergeCell ref="EP367:EP370"/>
    <mergeCell ref="EQ367:EQ370"/>
    <mergeCell ref="ES367:ES370"/>
    <mergeCell ref="EU367:EU368"/>
    <mergeCell ref="EV367:EV368"/>
    <mergeCell ref="EW367:EW368"/>
    <mergeCell ref="EU369:EU370"/>
    <mergeCell ref="EV369:EV370"/>
    <mergeCell ref="E370:F370"/>
    <mergeCell ref="G370:L370"/>
    <mergeCell ref="FO364:FO365"/>
    <mergeCell ref="FP364:FP365"/>
    <mergeCell ref="HJ363:HJ364"/>
    <mergeCell ref="HK363:HK364"/>
    <mergeCell ref="HL363:HL364"/>
    <mergeCell ref="EQ362:EQ365"/>
    <mergeCell ref="ES362:ES365"/>
    <mergeCell ref="IF364:IF365"/>
    <mergeCell ref="IH364:IH365"/>
    <mergeCell ref="E365:F365"/>
    <mergeCell ref="G365:L365"/>
    <mergeCell ref="P365:R365"/>
    <mergeCell ref="U365:AA365"/>
    <mergeCell ref="AF365:AI365"/>
    <mergeCell ref="E366:AT366"/>
    <mergeCell ref="E367:F367"/>
    <mergeCell ref="G367:R367"/>
    <mergeCell ref="S367:S368"/>
    <mergeCell ref="U367:AA367"/>
    <mergeCell ref="AF367:AI367"/>
    <mergeCell ref="AJ367:AJ368"/>
    <mergeCell ref="AK367:AK368"/>
    <mergeCell ref="AL367:AL368"/>
    <mergeCell ref="AM367:AN370"/>
    <mergeCell ref="AO367:AQ370"/>
    <mergeCell ref="AR367:AR370"/>
    <mergeCell ref="AS367:AS370"/>
    <mergeCell ref="AT367:AT370"/>
    <mergeCell ref="AV367:AV370"/>
    <mergeCell ref="AW367:AW370"/>
    <mergeCell ref="CM367:CM370"/>
    <mergeCell ref="CN367:CN370"/>
    <mergeCell ref="DK364:DK365"/>
    <mergeCell ref="DO364:DO365"/>
    <mergeCell ref="DQ364:DQ365"/>
    <mergeCell ref="DV364:DV365"/>
    <mergeCell ref="EU364:EU365"/>
    <mergeCell ref="EV364:EV365"/>
    <mergeCell ref="EW364:EW365"/>
    <mergeCell ref="EX364:EX365"/>
    <mergeCell ref="EY364:EY365"/>
    <mergeCell ref="FB364:FB365"/>
    <mergeCell ref="FI364:FI365"/>
    <mergeCell ref="FP369:FP370"/>
    <mergeCell ref="FQ369:FQ370"/>
    <mergeCell ref="FR369:FR370"/>
    <mergeCell ref="FS369:FS370"/>
    <mergeCell ref="FT369:FT370"/>
    <mergeCell ref="EE367:EE370"/>
    <mergeCell ref="EF367:EF370"/>
    <mergeCell ref="EG367:EG370"/>
    <mergeCell ref="EH367:EH370"/>
    <mergeCell ref="HM363:HM364"/>
    <mergeCell ref="HN363:HN364"/>
    <mergeCell ref="HO363:HO364"/>
    <mergeCell ref="HP363:HP364"/>
    <mergeCell ref="HQ363:HQ364"/>
    <mergeCell ref="HR363:HR364"/>
    <mergeCell ref="HS363:HS364"/>
    <mergeCell ref="HT363:HT364"/>
    <mergeCell ref="HU363:HU364"/>
    <mergeCell ref="HY363:HY364"/>
    <mergeCell ref="E364:F364"/>
    <mergeCell ref="G364:L364"/>
    <mergeCell ref="DV362:DV363"/>
    <mergeCell ref="DW362:DW365"/>
    <mergeCell ref="DX362:DX365"/>
    <mergeCell ref="DZ362:DZ365"/>
    <mergeCell ref="EA362:EA365"/>
    <mergeCell ref="EC362:EC365"/>
    <mergeCell ref="ED362:ED365"/>
    <mergeCell ref="EE362:EE365"/>
    <mergeCell ref="EF362:EF365"/>
    <mergeCell ref="CR362:CR363"/>
    <mergeCell ref="CS362:CS363"/>
    <mergeCell ref="CT362:CT363"/>
    <mergeCell ref="CU362:CU363"/>
    <mergeCell ref="CV362:CV363"/>
    <mergeCell ref="CW362:CW363"/>
    <mergeCell ref="CX362:CX365"/>
    <mergeCell ref="CY362:CY365"/>
    <mergeCell ref="CZ362:CZ365"/>
    <mergeCell ref="DA362:DA365"/>
    <mergeCell ref="DC362:DC363"/>
    <mergeCell ref="DD362:DD363"/>
    <mergeCell ref="DE362:DE363"/>
    <mergeCell ref="DF362:DF363"/>
    <mergeCell ref="EK362:EK365"/>
    <mergeCell ref="EL362:EL365"/>
    <mergeCell ref="EM362:EM365"/>
    <mergeCell ref="EN362:EN365"/>
    <mergeCell ref="EO362:EO365"/>
    <mergeCell ref="EP362:EP365"/>
    <mergeCell ref="FJ364:FJ365"/>
    <mergeCell ref="FK364:FK365"/>
    <mergeCell ref="FL364:FL365"/>
    <mergeCell ref="FM364:FM365"/>
    <mergeCell ref="HX364:HX365"/>
    <mergeCell ref="EU362:EU363"/>
    <mergeCell ref="EV362:EV363"/>
    <mergeCell ref="DN362:DN365"/>
    <mergeCell ref="DO362:DO363"/>
    <mergeCell ref="DG369:DG370"/>
    <mergeCell ref="CS369:CS370"/>
    <mergeCell ref="CT369:CT370"/>
    <mergeCell ref="CU369:CU370"/>
    <mergeCell ref="CV369:CV370"/>
    <mergeCell ref="HT368:HT369"/>
    <mergeCell ref="HU368:HU369"/>
    <mergeCell ref="IC362:IC365"/>
    <mergeCell ref="IF362:IF363"/>
    <mergeCell ref="IG362:IG365"/>
    <mergeCell ref="IH362:IH363"/>
    <mergeCell ref="II362:II365"/>
    <mergeCell ref="E363:F363"/>
    <mergeCell ref="G363:L363"/>
    <mergeCell ref="P363:Q363"/>
    <mergeCell ref="AF363:AI363"/>
    <mergeCell ref="GI363:GI364"/>
    <mergeCell ref="GJ363:GJ364"/>
    <mergeCell ref="GL363:GL364"/>
    <mergeCell ref="GM363:GM364"/>
    <mergeCell ref="HC363:HC364"/>
    <mergeCell ref="HD363:HD364"/>
    <mergeCell ref="HE363:HE364"/>
    <mergeCell ref="HF363:HF364"/>
    <mergeCell ref="HG363:HG364"/>
    <mergeCell ref="HH363:HH364"/>
    <mergeCell ref="HI363:HI364"/>
    <mergeCell ref="EZ362:EZ365"/>
    <mergeCell ref="FB362:FB363"/>
    <mergeCell ref="FD362:FD365"/>
    <mergeCell ref="FE362:FE365"/>
    <mergeCell ref="FI362:FI363"/>
    <mergeCell ref="FJ362:FJ363"/>
    <mergeCell ref="FK362:FK363"/>
    <mergeCell ref="FL362:FL363"/>
    <mergeCell ref="FM362:FM363"/>
    <mergeCell ref="FO362:FO363"/>
    <mergeCell ref="FP362:FP363"/>
    <mergeCell ref="FQ362:FQ363"/>
    <mergeCell ref="FR362:FR363"/>
    <mergeCell ref="FS362:FS363"/>
    <mergeCell ref="FT362:FT363"/>
    <mergeCell ref="FW362:FW365"/>
    <mergeCell ref="FX362:FX365"/>
    <mergeCell ref="FQ364:FQ365"/>
    <mergeCell ref="FR364:FR365"/>
    <mergeCell ref="FS364:FS365"/>
    <mergeCell ref="FT364:FT365"/>
    <mergeCell ref="EG362:EG365"/>
    <mergeCell ref="EH362:EH365"/>
    <mergeCell ref="EI362:EI365"/>
    <mergeCell ref="EJ362:EJ365"/>
    <mergeCell ref="S364:S365"/>
    <mergeCell ref="IB364:IB365"/>
    <mergeCell ref="EW362:EW363"/>
    <mergeCell ref="EX362:EX363"/>
    <mergeCell ref="EY362:EY363"/>
    <mergeCell ref="DL362:DL365"/>
    <mergeCell ref="IA362:IA365"/>
    <mergeCell ref="E361:AT361"/>
    <mergeCell ref="B362:B365"/>
    <mergeCell ref="C362:D365"/>
    <mergeCell ref="E362:F362"/>
    <mergeCell ref="G362:R362"/>
    <mergeCell ref="S362:S363"/>
    <mergeCell ref="U362:AA362"/>
    <mergeCell ref="AF362:AI362"/>
    <mergeCell ref="AJ362:AJ363"/>
    <mergeCell ref="AK362:AK363"/>
    <mergeCell ref="AL362:AL363"/>
    <mergeCell ref="AM362:AN365"/>
    <mergeCell ref="AO362:AQ365"/>
    <mergeCell ref="AR362:AR365"/>
    <mergeCell ref="AS362:AS365"/>
    <mergeCell ref="AT362:AT365"/>
    <mergeCell ref="AV362:AV365"/>
    <mergeCell ref="AW362:AW365"/>
    <mergeCell ref="CM362:CM365"/>
    <mergeCell ref="CN362:CN365"/>
    <mergeCell ref="CO362:CO363"/>
    <mergeCell ref="CP362:CP363"/>
    <mergeCell ref="DG362:DG363"/>
    <mergeCell ref="DH362:DH365"/>
    <mergeCell ref="DJ362:DJ363"/>
    <mergeCell ref="CW364:CW365"/>
    <mergeCell ref="DC364:DC365"/>
    <mergeCell ref="DD364:DD365"/>
    <mergeCell ref="DE364:DE365"/>
    <mergeCell ref="DF364:DF365"/>
    <mergeCell ref="DG364:DG365"/>
    <mergeCell ref="AF364:AI364"/>
    <mergeCell ref="AJ364:AJ365"/>
    <mergeCell ref="AK364:AK365"/>
    <mergeCell ref="AL364:AL365"/>
    <mergeCell ref="CO364:CO365"/>
    <mergeCell ref="CP364:CP365"/>
    <mergeCell ref="CR364:CR365"/>
    <mergeCell ref="CS364:CS365"/>
    <mergeCell ref="P364:Q364"/>
    <mergeCell ref="IB362:IB363"/>
    <mergeCell ref="CT364:CT365"/>
    <mergeCell ref="CU364:CU365"/>
    <mergeCell ref="CV364:CV365"/>
    <mergeCell ref="FY362:FY365"/>
    <mergeCell ref="FZ362:FZ365"/>
    <mergeCell ref="GA362:GA365"/>
    <mergeCell ref="GB362:GB365"/>
    <mergeCell ref="GC362:GC365"/>
    <mergeCell ref="GD362:GD365"/>
    <mergeCell ref="GG362:GG365"/>
    <mergeCell ref="HW362:HW364"/>
    <mergeCell ref="HX362:HX363"/>
    <mergeCell ref="DP362:DP365"/>
    <mergeCell ref="DQ362:DQ363"/>
    <mergeCell ref="DR362:DR365"/>
    <mergeCell ref="DS362:DS365"/>
    <mergeCell ref="DU362:DU365"/>
    <mergeCell ref="CX357:CX360"/>
    <mergeCell ref="CY357:CY360"/>
    <mergeCell ref="CZ357:CZ360"/>
    <mergeCell ref="DA357:DA360"/>
    <mergeCell ref="DC357:DC358"/>
    <mergeCell ref="DC359:DC360"/>
    <mergeCell ref="DD359:DD360"/>
    <mergeCell ref="FQ357:FQ358"/>
    <mergeCell ref="FR357:FR358"/>
    <mergeCell ref="FS357:FS358"/>
    <mergeCell ref="FT357:FT358"/>
    <mergeCell ref="FW357:FW360"/>
    <mergeCell ref="FX357:FX360"/>
    <mergeCell ref="FY357:FY360"/>
    <mergeCell ref="FZ357:FZ360"/>
    <mergeCell ref="GA357:GA360"/>
    <mergeCell ref="GB357:GB360"/>
    <mergeCell ref="GC357:GC360"/>
    <mergeCell ref="GD357:GD360"/>
    <mergeCell ref="GG357:GG360"/>
    <mergeCell ref="DZ357:DZ360"/>
    <mergeCell ref="EA357:EA360"/>
    <mergeCell ref="EC357:EC360"/>
    <mergeCell ref="ED357:ED360"/>
    <mergeCell ref="EE357:EE360"/>
    <mergeCell ref="EF357:EF360"/>
    <mergeCell ref="EG357:EG360"/>
    <mergeCell ref="EH357:EH360"/>
    <mergeCell ref="EI357:EI360"/>
    <mergeCell ref="EJ357:EJ360"/>
    <mergeCell ref="EK357:EK360"/>
    <mergeCell ref="EL357:EL360"/>
    <mergeCell ref="EM357:EM360"/>
    <mergeCell ref="EN357:EN360"/>
    <mergeCell ref="EO357:EO360"/>
    <mergeCell ref="EP357:EP360"/>
    <mergeCell ref="EQ357:EQ360"/>
    <mergeCell ref="DD357:DD358"/>
    <mergeCell ref="DE357:DE358"/>
    <mergeCell ref="DF357:DF358"/>
    <mergeCell ref="DG357:DG358"/>
    <mergeCell ref="DH357:DH360"/>
    <mergeCell ref="DJ357:DJ358"/>
    <mergeCell ref="DL357:DL360"/>
    <mergeCell ref="DN357:DN360"/>
    <mergeCell ref="DO357:DO358"/>
    <mergeCell ref="DP357:DP360"/>
    <mergeCell ref="DQ357:DQ358"/>
    <mergeCell ref="DR357:DR360"/>
    <mergeCell ref="DS357:DS360"/>
    <mergeCell ref="DU357:DU360"/>
    <mergeCell ref="DV357:DV358"/>
    <mergeCell ref="DW357:DW360"/>
    <mergeCell ref="DX357:DX360"/>
    <mergeCell ref="DK359:DK360"/>
    <mergeCell ref="DO359:DO360"/>
    <mergeCell ref="DQ359:DQ360"/>
    <mergeCell ref="DV359:DV360"/>
    <mergeCell ref="DE359:DE360"/>
    <mergeCell ref="DF359:DF360"/>
    <mergeCell ref="DG359:DG360"/>
    <mergeCell ref="HX357:HX358"/>
    <mergeCell ref="IA357:IA360"/>
    <mergeCell ref="IB357:IB358"/>
    <mergeCell ref="HU358:HU359"/>
    <mergeCell ref="HY358:HY359"/>
    <mergeCell ref="FQ359:FQ360"/>
    <mergeCell ref="FR359:FR360"/>
    <mergeCell ref="FS359:FS360"/>
    <mergeCell ref="FT359:FT360"/>
    <mergeCell ref="HX359:HX360"/>
    <mergeCell ref="IB359:IB360"/>
    <mergeCell ref="ES357:ES360"/>
    <mergeCell ref="EU357:EU358"/>
    <mergeCell ref="EV357:EV358"/>
    <mergeCell ref="EW357:EW358"/>
    <mergeCell ref="EX357:EX358"/>
    <mergeCell ref="EY357:EY358"/>
    <mergeCell ref="EZ357:EZ360"/>
    <mergeCell ref="FB357:FB358"/>
    <mergeCell ref="FD357:FD360"/>
    <mergeCell ref="FE357:FE360"/>
    <mergeCell ref="FI357:FI358"/>
    <mergeCell ref="FJ357:FJ358"/>
    <mergeCell ref="FK357:FK358"/>
    <mergeCell ref="FL357:FL358"/>
    <mergeCell ref="FM357:FM358"/>
    <mergeCell ref="FO357:FO358"/>
    <mergeCell ref="FP357:FP358"/>
    <mergeCell ref="EU359:EU360"/>
    <mergeCell ref="EV359:EV360"/>
    <mergeCell ref="EW359:EW360"/>
    <mergeCell ref="EX359:EX360"/>
    <mergeCell ref="EY359:EY360"/>
    <mergeCell ref="FB359:FB360"/>
    <mergeCell ref="FI359:FI360"/>
    <mergeCell ref="FJ359:FJ360"/>
    <mergeCell ref="FK359:FK360"/>
    <mergeCell ref="FL359:FL360"/>
    <mergeCell ref="FM359:FM360"/>
    <mergeCell ref="FO359:FO360"/>
    <mergeCell ref="FP359:FP360"/>
    <mergeCell ref="B357:B360"/>
    <mergeCell ref="C357:D360"/>
    <mergeCell ref="E357:F357"/>
    <mergeCell ref="G357:R357"/>
    <mergeCell ref="S357:S358"/>
    <mergeCell ref="U357:AA357"/>
    <mergeCell ref="AF357:AI357"/>
    <mergeCell ref="AJ357:AJ358"/>
    <mergeCell ref="AK357:AK358"/>
    <mergeCell ref="AL357:AL358"/>
    <mergeCell ref="AM357:AN360"/>
    <mergeCell ref="AO357:AQ360"/>
    <mergeCell ref="AR357:AR360"/>
    <mergeCell ref="AS357:AS360"/>
    <mergeCell ref="AT357:AT360"/>
    <mergeCell ref="E359:F359"/>
    <mergeCell ref="G359:L359"/>
    <mergeCell ref="P359:Q359"/>
    <mergeCell ref="S359:S360"/>
    <mergeCell ref="E358:F358"/>
    <mergeCell ref="G358:L358"/>
    <mergeCell ref="P358:Q358"/>
    <mergeCell ref="AF358:AI358"/>
    <mergeCell ref="E360:F360"/>
    <mergeCell ref="G360:L360"/>
    <mergeCell ref="P360:R360"/>
    <mergeCell ref="U360:AA360"/>
    <mergeCell ref="AF360:AI360"/>
    <mergeCell ref="CT359:CT360"/>
    <mergeCell ref="CU359:CU360"/>
    <mergeCell ref="CV359:CV360"/>
    <mergeCell ref="CW359:CW360"/>
    <mergeCell ref="CO359:CO360"/>
    <mergeCell ref="CP359:CP360"/>
    <mergeCell ref="CR359:CR360"/>
    <mergeCell ref="CS359:CS360"/>
    <mergeCell ref="AV357:AV360"/>
    <mergeCell ref="AW357:AW360"/>
    <mergeCell ref="CM357:CM360"/>
    <mergeCell ref="CN357:CN360"/>
    <mergeCell ref="CO357:CO358"/>
    <mergeCell ref="CP357:CP358"/>
    <mergeCell ref="CR357:CR358"/>
    <mergeCell ref="CS357:CS358"/>
    <mergeCell ref="CT357:CT358"/>
    <mergeCell ref="CU357:CU358"/>
    <mergeCell ref="CV357:CV358"/>
    <mergeCell ref="CW357:CW358"/>
    <mergeCell ref="AK359:AK360"/>
    <mergeCell ref="AL359:AL360"/>
    <mergeCell ref="II352:II355"/>
    <mergeCell ref="E353:F353"/>
    <mergeCell ref="G353:L353"/>
    <mergeCell ref="P353:Q353"/>
    <mergeCell ref="AF353:AI353"/>
    <mergeCell ref="GI353:GI354"/>
    <mergeCell ref="GJ353:GJ354"/>
    <mergeCell ref="GL353:GL354"/>
    <mergeCell ref="GM353:GM354"/>
    <mergeCell ref="HC353:HC354"/>
    <mergeCell ref="HD353:HD354"/>
    <mergeCell ref="HE353:HE354"/>
    <mergeCell ref="HF353:HF354"/>
    <mergeCell ref="HG353:HG354"/>
    <mergeCell ref="HH353:HH354"/>
    <mergeCell ref="HI353:HI354"/>
    <mergeCell ref="HJ353:HJ354"/>
    <mergeCell ref="HK353:HK354"/>
    <mergeCell ref="HL353:HL354"/>
    <mergeCell ref="HM353:HM354"/>
    <mergeCell ref="HN353:HN354"/>
    <mergeCell ref="HO353:HO354"/>
    <mergeCell ref="HP353:HP354"/>
    <mergeCell ref="HQ353:HQ354"/>
    <mergeCell ref="HR353:HR354"/>
    <mergeCell ref="HS353:HS354"/>
    <mergeCell ref="HT353:HT354"/>
    <mergeCell ref="HU353:HU354"/>
    <mergeCell ref="HY353:HY354"/>
    <mergeCell ref="E354:F354"/>
    <mergeCell ref="G354:L354"/>
    <mergeCell ref="FW352:FW355"/>
    <mergeCell ref="FX352:FX355"/>
    <mergeCell ref="FY352:FY355"/>
    <mergeCell ref="FZ352:FZ355"/>
    <mergeCell ref="GA352:GA355"/>
    <mergeCell ref="GB352:GB355"/>
    <mergeCell ref="GC352:GC355"/>
    <mergeCell ref="GD352:GD355"/>
    <mergeCell ref="GG352:GG355"/>
    <mergeCell ref="HW352:HW354"/>
    <mergeCell ref="HX352:HX353"/>
    <mergeCell ref="IA352:IA355"/>
    <mergeCell ref="IB352:IB353"/>
    <mergeCell ref="IC352:IC355"/>
    <mergeCell ref="IF352:IF353"/>
    <mergeCell ref="IG352:IG355"/>
    <mergeCell ref="IH352:IH353"/>
    <mergeCell ref="HX354:HX355"/>
    <mergeCell ref="IB354:IB355"/>
    <mergeCell ref="IF354:IF355"/>
    <mergeCell ref="IH354:IH355"/>
    <mergeCell ref="EX352:EX353"/>
    <mergeCell ref="EY352:EY353"/>
    <mergeCell ref="EZ352:EZ355"/>
    <mergeCell ref="FB352:FB353"/>
    <mergeCell ref="E355:F355"/>
    <mergeCell ref="G355:L355"/>
    <mergeCell ref="P355:R355"/>
    <mergeCell ref="U355:AA355"/>
    <mergeCell ref="AF355:AI355"/>
    <mergeCell ref="FD352:FD355"/>
    <mergeCell ref="FE352:FE355"/>
    <mergeCell ref="FI352:FI353"/>
    <mergeCell ref="FJ352:FJ353"/>
    <mergeCell ref="FK352:FK353"/>
    <mergeCell ref="FL352:FL353"/>
    <mergeCell ref="FM352:FM353"/>
    <mergeCell ref="FO352:FO353"/>
    <mergeCell ref="FP352:FP353"/>
    <mergeCell ref="FQ352:FQ353"/>
    <mergeCell ref="FR352:FR353"/>
    <mergeCell ref="FS352:FS353"/>
    <mergeCell ref="FT352:FT353"/>
    <mergeCell ref="EX354:EX355"/>
    <mergeCell ref="EY354:EY355"/>
    <mergeCell ref="FB354:FB355"/>
    <mergeCell ref="FI354:FI355"/>
    <mergeCell ref="FJ354:FJ355"/>
    <mergeCell ref="FK354:FK355"/>
    <mergeCell ref="FL354:FL355"/>
    <mergeCell ref="FM354:FM355"/>
    <mergeCell ref="FO354:FO355"/>
    <mergeCell ref="FP354:FP355"/>
    <mergeCell ref="FQ354:FQ355"/>
    <mergeCell ref="FR354:FR355"/>
    <mergeCell ref="FS354:FS355"/>
    <mergeCell ref="FT354:FT355"/>
    <mergeCell ref="EE352:EE355"/>
    <mergeCell ref="EF352:EF355"/>
    <mergeCell ref="EG352:EG355"/>
    <mergeCell ref="EH352:EH355"/>
    <mergeCell ref="EI352:EI355"/>
    <mergeCell ref="EJ352:EJ355"/>
    <mergeCell ref="EK352:EK355"/>
    <mergeCell ref="EL352:EL355"/>
    <mergeCell ref="EM352:EM355"/>
    <mergeCell ref="EN352:EN355"/>
    <mergeCell ref="EO352:EO355"/>
    <mergeCell ref="EP352:EP355"/>
    <mergeCell ref="EQ352:EQ355"/>
    <mergeCell ref="ES352:ES355"/>
    <mergeCell ref="EU352:EU353"/>
    <mergeCell ref="EV352:EV353"/>
    <mergeCell ref="EW352:EW353"/>
    <mergeCell ref="EU354:EU355"/>
    <mergeCell ref="EV354:EV355"/>
    <mergeCell ref="EW354:EW355"/>
    <mergeCell ref="DO352:DO353"/>
    <mergeCell ref="DP352:DP355"/>
    <mergeCell ref="DQ352:DQ353"/>
    <mergeCell ref="DR352:DR355"/>
    <mergeCell ref="DS352:DS355"/>
    <mergeCell ref="DU352:DU355"/>
    <mergeCell ref="DH352:DH355"/>
    <mergeCell ref="DV352:DV353"/>
    <mergeCell ref="DW352:DW355"/>
    <mergeCell ref="DX352:DX355"/>
    <mergeCell ref="DZ352:DZ355"/>
    <mergeCell ref="EA352:EA355"/>
    <mergeCell ref="EC352:EC355"/>
    <mergeCell ref="ED352:ED355"/>
    <mergeCell ref="DK354:DK355"/>
    <mergeCell ref="DO354:DO355"/>
    <mergeCell ref="DQ354:DQ355"/>
    <mergeCell ref="DV354:DV355"/>
    <mergeCell ref="CO352:CO353"/>
    <mergeCell ref="CP352:CP353"/>
    <mergeCell ref="CR352:CR353"/>
    <mergeCell ref="CS352:CS353"/>
    <mergeCell ref="CT352:CT353"/>
    <mergeCell ref="CU352:CU353"/>
    <mergeCell ref="CV352:CV353"/>
    <mergeCell ref="CW352:CW353"/>
    <mergeCell ref="CX352:CX355"/>
    <mergeCell ref="CY352:CY355"/>
    <mergeCell ref="CZ352:CZ355"/>
    <mergeCell ref="DA352:DA355"/>
    <mergeCell ref="DC352:DC353"/>
    <mergeCell ref="DD352:DD353"/>
    <mergeCell ref="DE352:DE353"/>
    <mergeCell ref="DF352:DF353"/>
    <mergeCell ref="DG352:DG353"/>
    <mergeCell ref="CW354:CW355"/>
    <mergeCell ref="DC354:DC355"/>
    <mergeCell ref="DD354:DD355"/>
    <mergeCell ref="DE354:DE355"/>
    <mergeCell ref="DF354:DF355"/>
    <mergeCell ref="DG354:DG355"/>
    <mergeCell ref="CO354:CO355"/>
    <mergeCell ref="CP354:CP355"/>
    <mergeCell ref="CR354:CR355"/>
    <mergeCell ref="CS354:CS355"/>
    <mergeCell ref="CT354:CT355"/>
    <mergeCell ref="CU354:CU355"/>
    <mergeCell ref="CV354:CV355"/>
    <mergeCell ref="HX349:HX350"/>
    <mergeCell ref="IB349:IB350"/>
    <mergeCell ref="IF349:IF350"/>
    <mergeCell ref="IH349:IH350"/>
    <mergeCell ref="E350:F350"/>
    <mergeCell ref="G350:L350"/>
    <mergeCell ref="P350:R350"/>
    <mergeCell ref="U350:AA350"/>
    <mergeCell ref="AF350:AI350"/>
    <mergeCell ref="E351:AT351"/>
    <mergeCell ref="B352:B355"/>
    <mergeCell ref="C352:D355"/>
    <mergeCell ref="E352:F352"/>
    <mergeCell ref="G352:R352"/>
    <mergeCell ref="S352:S353"/>
    <mergeCell ref="U352:AA352"/>
    <mergeCell ref="AF352:AI352"/>
    <mergeCell ref="AJ352:AJ353"/>
    <mergeCell ref="AK352:AK353"/>
    <mergeCell ref="AL352:AL353"/>
    <mergeCell ref="AM352:AN355"/>
    <mergeCell ref="AO352:AQ355"/>
    <mergeCell ref="AR352:AR355"/>
    <mergeCell ref="AS352:AS355"/>
    <mergeCell ref="AT352:AT355"/>
    <mergeCell ref="AV352:AV355"/>
    <mergeCell ref="AW352:AW355"/>
    <mergeCell ref="CM352:CM355"/>
    <mergeCell ref="CN352:CN355"/>
    <mergeCell ref="DK349:DK350"/>
    <mergeCell ref="DO349:DO350"/>
    <mergeCell ref="DQ349:DQ350"/>
    <mergeCell ref="DV349:DV350"/>
    <mergeCell ref="EU349:EU350"/>
    <mergeCell ref="EV349:EV350"/>
    <mergeCell ref="EW349:EW350"/>
    <mergeCell ref="EX349:EX350"/>
    <mergeCell ref="EY349:EY350"/>
    <mergeCell ref="FB349:FB350"/>
    <mergeCell ref="FI349:FI350"/>
    <mergeCell ref="FJ349:FJ350"/>
    <mergeCell ref="FK349:FK350"/>
    <mergeCell ref="FL349:FL350"/>
    <mergeCell ref="FM349:FM350"/>
    <mergeCell ref="FO349:FO350"/>
    <mergeCell ref="FP349:FP350"/>
    <mergeCell ref="HJ348:HJ349"/>
    <mergeCell ref="HK348:HK349"/>
    <mergeCell ref="HL348:HL349"/>
    <mergeCell ref="HM348:HM349"/>
    <mergeCell ref="HN348:HN349"/>
    <mergeCell ref="HO348:HO349"/>
    <mergeCell ref="HP348:HP349"/>
    <mergeCell ref="HQ348:HQ349"/>
    <mergeCell ref="HR348:HR349"/>
    <mergeCell ref="HS348:HS349"/>
    <mergeCell ref="HT348:HT349"/>
    <mergeCell ref="HU348:HU349"/>
    <mergeCell ref="EN347:EN350"/>
    <mergeCell ref="EO347:EO350"/>
    <mergeCell ref="EP347:EP350"/>
    <mergeCell ref="DJ352:DJ353"/>
    <mergeCell ref="DL352:DL355"/>
    <mergeCell ref="DN352:DN355"/>
    <mergeCell ref="EX347:EX348"/>
    <mergeCell ref="EY347:EY348"/>
    <mergeCell ref="DL347:DL350"/>
    <mergeCell ref="DN347:DN350"/>
    <mergeCell ref="DO347:DO348"/>
    <mergeCell ref="DP347:DP350"/>
    <mergeCell ref="DQ347:DQ348"/>
    <mergeCell ref="DR347:DR350"/>
    <mergeCell ref="DS347:DS350"/>
    <mergeCell ref="DU347:DU350"/>
    <mergeCell ref="DV347:DV348"/>
    <mergeCell ref="DW347:DW350"/>
    <mergeCell ref="P349:Q349"/>
    <mergeCell ref="S349:S350"/>
    <mergeCell ref="AF349:AI349"/>
    <mergeCell ref="AJ349:AJ350"/>
    <mergeCell ref="AK349:AK350"/>
    <mergeCell ref="AL349:AL350"/>
    <mergeCell ref="CO349:CO350"/>
    <mergeCell ref="CP349:CP350"/>
    <mergeCell ref="CR349:CR350"/>
    <mergeCell ref="CS349:CS350"/>
    <mergeCell ref="CT349:CT350"/>
    <mergeCell ref="CU349:CU350"/>
    <mergeCell ref="CV349:CV350"/>
    <mergeCell ref="DX347:DX350"/>
    <mergeCell ref="DZ347:DZ350"/>
    <mergeCell ref="EA347:EA350"/>
    <mergeCell ref="EC347:EC350"/>
    <mergeCell ref="ED347:ED350"/>
    <mergeCell ref="EE347:EE350"/>
    <mergeCell ref="EF347:EF350"/>
    <mergeCell ref="CR347:CR348"/>
    <mergeCell ref="CS347:CS348"/>
    <mergeCell ref="CT347:CT348"/>
    <mergeCell ref="CU347:CU348"/>
    <mergeCell ref="CV347:CV348"/>
    <mergeCell ref="CW347:CW348"/>
    <mergeCell ref="CX347:CX350"/>
    <mergeCell ref="CY347:CY350"/>
    <mergeCell ref="CZ347:CZ350"/>
    <mergeCell ref="DA347:DA350"/>
    <mergeCell ref="DC347:DC348"/>
    <mergeCell ref="DD347:DD348"/>
    <mergeCell ref="DE347:DE348"/>
    <mergeCell ref="DF347:DF348"/>
    <mergeCell ref="DG347:DG348"/>
    <mergeCell ref="DH347:DH350"/>
    <mergeCell ref="DJ347:DJ348"/>
    <mergeCell ref="CW349:CW350"/>
    <mergeCell ref="DC349:DC350"/>
    <mergeCell ref="DD349:DD350"/>
    <mergeCell ref="DE349:DE350"/>
    <mergeCell ref="DF349:DF350"/>
    <mergeCell ref="DG349:DG350"/>
    <mergeCell ref="U348:AD348"/>
    <mergeCell ref="U349:AD349"/>
    <mergeCell ref="IC342:IC345"/>
    <mergeCell ref="IF342:IF343"/>
    <mergeCell ref="IG342:IG345"/>
    <mergeCell ref="IH342:IH343"/>
    <mergeCell ref="FJ342:FJ343"/>
    <mergeCell ref="FK342:FK343"/>
    <mergeCell ref="FL342:FL343"/>
    <mergeCell ref="FM342:FM343"/>
    <mergeCell ref="FO342:FO343"/>
    <mergeCell ref="FP342:FP343"/>
    <mergeCell ref="EU344:EU345"/>
    <mergeCell ref="EV344:EV345"/>
    <mergeCell ref="EW344:EW345"/>
    <mergeCell ref="EX344:EX345"/>
    <mergeCell ref="EY344:EY345"/>
    <mergeCell ref="E348:F348"/>
    <mergeCell ref="G348:L348"/>
    <mergeCell ref="P348:Q348"/>
    <mergeCell ref="AF348:AI348"/>
    <mergeCell ref="GI348:GI349"/>
    <mergeCell ref="GJ348:GJ349"/>
    <mergeCell ref="GL348:GL349"/>
    <mergeCell ref="GM348:GM349"/>
    <mergeCell ref="HC348:HC349"/>
    <mergeCell ref="HD348:HD349"/>
    <mergeCell ref="HE348:HE349"/>
    <mergeCell ref="HF348:HF349"/>
    <mergeCell ref="HG348:HG349"/>
    <mergeCell ref="HH348:HH349"/>
    <mergeCell ref="HI348:HI349"/>
    <mergeCell ref="EZ347:EZ350"/>
    <mergeCell ref="FB347:FB348"/>
    <mergeCell ref="FD347:FD350"/>
    <mergeCell ref="FE347:FE350"/>
    <mergeCell ref="FI347:FI348"/>
    <mergeCell ref="FJ347:FJ348"/>
    <mergeCell ref="FK347:FK348"/>
    <mergeCell ref="FL347:FL348"/>
    <mergeCell ref="FM347:FM348"/>
    <mergeCell ref="FO347:FO348"/>
    <mergeCell ref="FP347:FP348"/>
    <mergeCell ref="FQ347:FQ348"/>
    <mergeCell ref="FR347:FR348"/>
    <mergeCell ref="FS347:FS348"/>
    <mergeCell ref="FT347:FT348"/>
    <mergeCell ref="FW347:FW350"/>
    <mergeCell ref="FX347:FX350"/>
    <mergeCell ref="FQ349:FQ350"/>
    <mergeCell ref="FR349:FR350"/>
    <mergeCell ref="FS349:FS350"/>
    <mergeCell ref="FT349:FT350"/>
    <mergeCell ref="EG347:EG350"/>
    <mergeCell ref="EH347:EH350"/>
    <mergeCell ref="EI347:EI350"/>
    <mergeCell ref="EJ347:EJ350"/>
    <mergeCell ref="EK347:EK350"/>
    <mergeCell ref="EL347:EL350"/>
    <mergeCell ref="EM347:EM350"/>
    <mergeCell ref="CV344:CV345"/>
    <mergeCell ref="EQ347:EQ350"/>
    <mergeCell ref="ES347:ES350"/>
    <mergeCell ref="EU347:EU348"/>
    <mergeCell ref="EV347:EV348"/>
    <mergeCell ref="EW347:EW348"/>
    <mergeCell ref="B347:B350"/>
    <mergeCell ref="C347:D350"/>
    <mergeCell ref="E347:F347"/>
    <mergeCell ref="G347:R347"/>
    <mergeCell ref="S347:S348"/>
    <mergeCell ref="U347:AA347"/>
    <mergeCell ref="AF347:AI347"/>
    <mergeCell ref="AJ347:AJ348"/>
    <mergeCell ref="AK347:AK348"/>
    <mergeCell ref="AL347:AL348"/>
    <mergeCell ref="AM347:AN350"/>
    <mergeCell ref="AO347:AQ350"/>
    <mergeCell ref="AR347:AR350"/>
    <mergeCell ref="AS347:AS350"/>
    <mergeCell ref="AT347:AT350"/>
    <mergeCell ref="AV347:AV350"/>
    <mergeCell ref="AW347:AW350"/>
    <mergeCell ref="CM347:CM350"/>
    <mergeCell ref="CN347:CN350"/>
    <mergeCell ref="CO347:CO348"/>
    <mergeCell ref="CP347:CP348"/>
    <mergeCell ref="AF344:AI344"/>
    <mergeCell ref="AJ344:AJ345"/>
    <mergeCell ref="AK344:AK345"/>
    <mergeCell ref="AL344:AL345"/>
    <mergeCell ref="CO344:CO345"/>
    <mergeCell ref="CP344:CP345"/>
    <mergeCell ref="CR344:CR345"/>
    <mergeCell ref="CS344:CS345"/>
    <mergeCell ref="E349:F349"/>
    <mergeCell ref="G349:L349"/>
    <mergeCell ref="AV342:AV345"/>
    <mergeCell ref="AW342:AW345"/>
    <mergeCell ref="CM342:CM345"/>
    <mergeCell ref="CN342:CN345"/>
    <mergeCell ref="CO342:CO343"/>
    <mergeCell ref="CP342:CP343"/>
    <mergeCell ref="CR342:CR343"/>
    <mergeCell ref="CS342:CS343"/>
    <mergeCell ref="U343:AD343"/>
    <mergeCell ref="U344:AD344"/>
    <mergeCell ref="GL343:GL344"/>
    <mergeCell ref="GM343:GM344"/>
    <mergeCell ref="HC343:HC344"/>
    <mergeCell ref="HD343:HD344"/>
    <mergeCell ref="HE343:HE344"/>
    <mergeCell ref="HF343:HF344"/>
    <mergeCell ref="HG343:HG344"/>
    <mergeCell ref="HH343:HH344"/>
    <mergeCell ref="HI343:HI344"/>
    <mergeCell ref="HJ343:HJ344"/>
    <mergeCell ref="HK343:HK344"/>
    <mergeCell ref="HL343:HL344"/>
    <mergeCell ref="HM343:HM344"/>
    <mergeCell ref="HN343:HN344"/>
    <mergeCell ref="HO343:HO344"/>
    <mergeCell ref="HP343:HP344"/>
    <mergeCell ref="HQ343:HQ344"/>
    <mergeCell ref="HR343:HR344"/>
    <mergeCell ref="HS343:HS344"/>
    <mergeCell ref="HT343:HT344"/>
    <mergeCell ref="FQ342:FQ343"/>
    <mergeCell ref="FR342:FR343"/>
    <mergeCell ref="FS342:FS343"/>
    <mergeCell ref="FT342:FT343"/>
    <mergeCell ref="FW342:FW345"/>
    <mergeCell ref="FX342:FX345"/>
    <mergeCell ref="FY342:FY345"/>
    <mergeCell ref="FZ342:FZ345"/>
    <mergeCell ref="GA342:GA345"/>
    <mergeCell ref="GB342:GB345"/>
    <mergeCell ref="GC342:GC345"/>
    <mergeCell ref="GD342:GD345"/>
    <mergeCell ref="GG342:GG345"/>
    <mergeCell ref="FQ344:FQ345"/>
    <mergeCell ref="FR344:FR345"/>
    <mergeCell ref="FS344:FS345"/>
    <mergeCell ref="FT344:FT345"/>
    <mergeCell ref="FB344:FB345"/>
    <mergeCell ref="FI344:FI345"/>
    <mergeCell ref="FJ344:FJ345"/>
    <mergeCell ref="FK344:FK345"/>
    <mergeCell ref="FL344:FL345"/>
    <mergeCell ref="FM344:FM345"/>
    <mergeCell ref="FO344:FO345"/>
    <mergeCell ref="FP344:FP345"/>
    <mergeCell ref="DZ342:DZ345"/>
    <mergeCell ref="EA342:EA345"/>
    <mergeCell ref="EC342:EC345"/>
    <mergeCell ref="ED342:ED345"/>
    <mergeCell ref="EE342:EE345"/>
    <mergeCell ref="EF342:EF345"/>
    <mergeCell ref="EG342:EG345"/>
    <mergeCell ref="EH342:EH345"/>
    <mergeCell ref="EI342:EI345"/>
    <mergeCell ref="EJ342:EJ345"/>
    <mergeCell ref="EK342:EK345"/>
    <mergeCell ref="EL342:EL345"/>
    <mergeCell ref="EM342:EM345"/>
    <mergeCell ref="EN342:EN345"/>
    <mergeCell ref="EO342:EO345"/>
    <mergeCell ref="EP342:EP345"/>
    <mergeCell ref="EQ342:EQ345"/>
    <mergeCell ref="DD342:DD343"/>
    <mergeCell ref="DE342:DE343"/>
    <mergeCell ref="DF342:DF343"/>
    <mergeCell ref="DG342:DG343"/>
    <mergeCell ref="DH342:DH345"/>
    <mergeCell ref="DJ342:DJ343"/>
    <mergeCell ref="DL342:DL345"/>
    <mergeCell ref="DN342:DN345"/>
    <mergeCell ref="DO342:DO343"/>
    <mergeCell ref="DP342:DP345"/>
    <mergeCell ref="DQ342:DQ343"/>
    <mergeCell ref="DR342:DR345"/>
    <mergeCell ref="DS342:DS345"/>
    <mergeCell ref="DU342:DU345"/>
    <mergeCell ref="DV342:DV343"/>
    <mergeCell ref="DW342:DW345"/>
    <mergeCell ref="DX342:DX345"/>
    <mergeCell ref="DK344:DK345"/>
    <mergeCell ref="DO344:DO345"/>
    <mergeCell ref="DQ344:DQ345"/>
    <mergeCell ref="DV344:DV345"/>
    <mergeCell ref="ES342:ES345"/>
    <mergeCell ref="EU342:EU343"/>
    <mergeCell ref="EV342:EV343"/>
    <mergeCell ref="EW342:EW343"/>
    <mergeCell ref="EX342:EX343"/>
    <mergeCell ref="EY342:EY343"/>
    <mergeCell ref="EZ342:EZ345"/>
    <mergeCell ref="FB342:FB343"/>
    <mergeCell ref="FD342:FD345"/>
    <mergeCell ref="FE342:FE345"/>
    <mergeCell ref="FI342:FI343"/>
    <mergeCell ref="DD344:DD345"/>
    <mergeCell ref="DE344:DE345"/>
    <mergeCell ref="DF344:DF345"/>
    <mergeCell ref="DG344:DG345"/>
    <mergeCell ref="CX342:CX345"/>
    <mergeCell ref="CY342:CY345"/>
    <mergeCell ref="CZ342:CZ345"/>
    <mergeCell ref="DA342:DA345"/>
    <mergeCell ref="DC342:DC343"/>
    <mergeCell ref="E340:F340"/>
    <mergeCell ref="G340:L340"/>
    <mergeCell ref="P340:R340"/>
    <mergeCell ref="U340:AA340"/>
    <mergeCell ref="AF340:AI340"/>
    <mergeCell ref="E341:AT341"/>
    <mergeCell ref="B342:B345"/>
    <mergeCell ref="C342:D345"/>
    <mergeCell ref="E342:F342"/>
    <mergeCell ref="G342:R342"/>
    <mergeCell ref="S342:S343"/>
    <mergeCell ref="U342:AA342"/>
    <mergeCell ref="AF342:AI342"/>
    <mergeCell ref="AJ342:AJ343"/>
    <mergeCell ref="AK342:AK343"/>
    <mergeCell ref="AL342:AL343"/>
    <mergeCell ref="AM342:AN345"/>
    <mergeCell ref="AO342:AQ345"/>
    <mergeCell ref="AR342:AR345"/>
    <mergeCell ref="AS342:AS345"/>
    <mergeCell ref="AT342:AT345"/>
    <mergeCell ref="E344:F344"/>
    <mergeCell ref="G344:L344"/>
    <mergeCell ref="P344:Q344"/>
    <mergeCell ref="S344:S345"/>
    <mergeCell ref="B337:B340"/>
    <mergeCell ref="C337:D340"/>
    <mergeCell ref="P339:Q339"/>
    <mergeCell ref="S339:S340"/>
    <mergeCell ref="AF339:AI339"/>
    <mergeCell ref="AJ339:AJ340"/>
    <mergeCell ref="AK339:AK340"/>
    <mergeCell ref="AL339:AL340"/>
    <mergeCell ref="CO339:CO340"/>
    <mergeCell ref="CP339:CP340"/>
    <mergeCell ref="CR339:CR340"/>
    <mergeCell ref="E343:F343"/>
    <mergeCell ref="G343:L343"/>
    <mergeCell ref="P343:Q343"/>
    <mergeCell ref="AF343:AI343"/>
    <mergeCell ref="E345:F345"/>
    <mergeCell ref="G345:L345"/>
    <mergeCell ref="P345:R345"/>
    <mergeCell ref="U345:AA345"/>
    <mergeCell ref="AF345:AI345"/>
    <mergeCell ref="CT344:CT345"/>
    <mergeCell ref="CU344:CU345"/>
    <mergeCell ref="CW344:CW345"/>
    <mergeCell ref="CT342:CT343"/>
    <mergeCell ref="CU342:CU343"/>
    <mergeCell ref="CV342:CV343"/>
    <mergeCell ref="CW342:CW343"/>
    <mergeCell ref="DC344:DC345"/>
    <mergeCell ref="U338:AD338"/>
    <mergeCell ref="U339:AD339"/>
    <mergeCell ref="II337:II340"/>
    <mergeCell ref="E338:F338"/>
    <mergeCell ref="G338:L338"/>
    <mergeCell ref="P338:Q338"/>
    <mergeCell ref="AF338:AI338"/>
    <mergeCell ref="GI338:GI339"/>
    <mergeCell ref="GJ338:GJ339"/>
    <mergeCell ref="GL338:GL339"/>
    <mergeCell ref="GM338:GM339"/>
    <mergeCell ref="HC338:HC339"/>
    <mergeCell ref="HD338:HD339"/>
    <mergeCell ref="HE338:HE339"/>
    <mergeCell ref="HF338:HF339"/>
    <mergeCell ref="HG338:HG339"/>
    <mergeCell ref="HH338:HH339"/>
    <mergeCell ref="HI338:HI339"/>
    <mergeCell ref="HJ338:HJ339"/>
    <mergeCell ref="HK338:HK339"/>
    <mergeCell ref="HL338:HL339"/>
    <mergeCell ref="HM338:HM339"/>
    <mergeCell ref="HN338:HN339"/>
    <mergeCell ref="HO338:HO339"/>
    <mergeCell ref="HP338:HP339"/>
    <mergeCell ref="HQ338:HQ339"/>
    <mergeCell ref="HR338:HR339"/>
    <mergeCell ref="HS338:HS339"/>
    <mergeCell ref="HT338:HT339"/>
    <mergeCell ref="HU338:HU339"/>
    <mergeCell ref="HY338:HY339"/>
    <mergeCell ref="E339:F339"/>
    <mergeCell ref="G339:L339"/>
    <mergeCell ref="FW337:FW340"/>
    <mergeCell ref="FX337:FX340"/>
    <mergeCell ref="FY337:FY340"/>
    <mergeCell ref="FZ337:FZ340"/>
    <mergeCell ref="GA337:GA340"/>
    <mergeCell ref="GB337:GB340"/>
    <mergeCell ref="GC337:GC340"/>
    <mergeCell ref="GD337:GD340"/>
    <mergeCell ref="GG337:GG340"/>
    <mergeCell ref="HW337:HW339"/>
    <mergeCell ref="HX337:HX338"/>
    <mergeCell ref="IA337:IA340"/>
    <mergeCell ref="IB337:IB338"/>
    <mergeCell ref="IC337:IC340"/>
    <mergeCell ref="IF337:IF338"/>
    <mergeCell ref="IG337:IG340"/>
    <mergeCell ref="IH337:IH338"/>
    <mergeCell ref="HX339:HX340"/>
    <mergeCell ref="IB339:IB340"/>
    <mergeCell ref="IF339:IF340"/>
    <mergeCell ref="IH339:IH340"/>
    <mergeCell ref="EX337:EX338"/>
    <mergeCell ref="EY337:EY338"/>
    <mergeCell ref="EZ337:EZ340"/>
    <mergeCell ref="FB337:FB338"/>
    <mergeCell ref="FD337:FD340"/>
    <mergeCell ref="FE337:FE340"/>
    <mergeCell ref="FI337:FI338"/>
    <mergeCell ref="FJ337:FJ338"/>
    <mergeCell ref="FK337:FK338"/>
    <mergeCell ref="FL337:FL338"/>
    <mergeCell ref="FM337:FM338"/>
    <mergeCell ref="FO337:FO338"/>
    <mergeCell ref="FP337:FP338"/>
    <mergeCell ref="FQ337:FQ338"/>
    <mergeCell ref="FR337:FR338"/>
    <mergeCell ref="FS337:FS338"/>
    <mergeCell ref="FT337:FT338"/>
    <mergeCell ref="EX339:EX340"/>
    <mergeCell ref="EY339:EY340"/>
    <mergeCell ref="FB339:FB340"/>
    <mergeCell ref="FI339:FI340"/>
    <mergeCell ref="FJ339:FJ340"/>
    <mergeCell ref="FK339:FK340"/>
    <mergeCell ref="FL339:FL340"/>
    <mergeCell ref="FM339:FM340"/>
    <mergeCell ref="FO339:FO340"/>
    <mergeCell ref="FP339:FP340"/>
    <mergeCell ref="FQ339:FQ340"/>
    <mergeCell ref="FR339:FR340"/>
    <mergeCell ref="FS339:FS340"/>
    <mergeCell ref="FT339:FT340"/>
    <mergeCell ref="EE337:EE340"/>
    <mergeCell ref="EF337:EF340"/>
    <mergeCell ref="EG337:EG340"/>
    <mergeCell ref="EH337:EH340"/>
    <mergeCell ref="EI337:EI340"/>
    <mergeCell ref="EJ337:EJ340"/>
    <mergeCell ref="EK337:EK340"/>
    <mergeCell ref="EL337:EL340"/>
    <mergeCell ref="EM337:EM340"/>
    <mergeCell ref="EN337:EN340"/>
    <mergeCell ref="EO337:EO340"/>
    <mergeCell ref="EP337:EP340"/>
    <mergeCell ref="EQ337:EQ340"/>
    <mergeCell ref="ES337:ES340"/>
    <mergeCell ref="EU337:EU338"/>
    <mergeCell ref="EV337:EV338"/>
    <mergeCell ref="EW337:EW338"/>
    <mergeCell ref="EU339:EU340"/>
    <mergeCell ref="EV339:EV340"/>
    <mergeCell ref="EW339:EW340"/>
    <mergeCell ref="DJ337:DJ338"/>
    <mergeCell ref="DL337:DL340"/>
    <mergeCell ref="DN337:DN340"/>
    <mergeCell ref="DO337:DO338"/>
    <mergeCell ref="DP337:DP340"/>
    <mergeCell ref="DQ337:DQ338"/>
    <mergeCell ref="DR337:DR340"/>
    <mergeCell ref="DS337:DS340"/>
    <mergeCell ref="DU337:DU340"/>
    <mergeCell ref="DV337:DV338"/>
    <mergeCell ref="DW337:DW340"/>
    <mergeCell ref="DX337:DX340"/>
    <mergeCell ref="DZ337:DZ340"/>
    <mergeCell ref="EA337:EA340"/>
    <mergeCell ref="EC337:EC340"/>
    <mergeCell ref="ED337:ED340"/>
    <mergeCell ref="DK339:DK340"/>
    <mergeCell ref="DO339:DO340"/>
    <mergeCell ref="DQ339:DQ340"/>
    <mergeCell ref="DV339:DV340"/>
    <mergeCell ref="CO337:CO338"/>
    <mergeCell ref="CP337:CP338"/>
    <mergeCell ref="CR337:CR338"/>
    <mergeCell ref="CS337:CS338"/>
    <mergeCell ref="CT337:CT338"/>
    <mergeCell ref="CU337:CU338"/>
    <mergeCell ref="CV337:CV338"/>
    <mergeCell ref="CW337:CW338"/>
    <mergeCell ref="CX337:CX340"/>
    <mergeCell ref="CY337:CY340"/>
    <mergeCell ref="CZ337:CZ340"/>
    <mergeCell ref="DA337:DA340"/>
    <mergeCell ref="DC337:DC338"/>
    <mergeCell ref="DD337:DD338"/>
    <mergeCell ref="DE337:DE338"/>
    <mergeCell ref="DF337:DF338"/>
    <mergeCell ref="DG337:DG338"/>
    <mergeCell ref="CW339:CW340"/>
    <mergeCell ref="DC339:DC340"/>
    <mergeCell ref="DD339:DD340"/>
    <mergeCell ref="DE339:DE340"/>
    <mergeCell ref="DF339:DF340"/>
    <mergeCell ref="DG339:DG340"/>
    <mergeCell ref="CS339:CS340"/>
    <mergeCell ref="CT339:CT340"/>
    <mergeCell ref="CU339:CU340"/>
    <mergeCell ref="CV339:CV340"/>
    <mergeCell ref="IB334:IB335"/>
    <mergeCell ref="IF334:IF335"/>
    <mergeCell ref="IH334:IH335"/>
    <mergeCell ref="E335:F335"/>
    <mergeCell ref="G335:L335"/>
    <mergeCell ref="P335:R335"/>
    <mergeCell ref="U335:AA335"/>
    <mergeCell ref="AF335:AI335"/>
    <mergeCell ref="E336:AT336"/>
    <mergeCell ref="E337:F337"/>
    <mergeCell ref="G337:R337"/>
    <mergeCell ref="S337:S338"/>
    <mergeCell ref="U337:AA337"/>
    <mergeCell ref="AF337:AI337"/>
    <mergeCell ref="AJ337:AJ338"/>
    <mergeCell ref="AK337:AK338"/>
    <mergeCell ref="AL337:AL338"/>
    <mergeCell ref="AM337:AN340"/>
    <mergeCell ref="AO337:AQ340"/>
    <mergeCell ref="AR337:AR340"/>
    <mergeCell ref="AS337:AS340"/>
    <mergeCell ref="AT337:AT340"/>
    <mergeCell ref="AV337:AV340"/>
    <mergeCell ref="AW337:AW340"/>
    <mergeCell ref="CM337:CM340"/>
    <mergeCell ref="CN337:CN340"/>
    <mergeCell ref="DK334:DK335"/>
    <mergeCell ref="DO334:DO335"/>
    <mergeCell ref="DQ334:DQ335"/>
    <mergeCell ref="DV334:DV335"/>
    <mergeCell ref="EU334:EU335"/>
    <mergeCell ref="EV334:EV335"/>
    <mergeCell ref="EW334:EW335"/>
    <mergeCell ref="EX334:EX335"/>
    <mergeCell ref="EY334:EY335"/>
    <mergeCell ref="FB334:FB335"/>
    <mergeCell ref="FI334:FI335"/>
    <mergeCell ref="FJ334:FJ335"/>
    <mergeCell ref="FK334:FK335"/>
    <mergeCell ref="FL334:FL335"/>
    <mergeCell ref="FM334:FM335"/>
    <mergeCell ref="FO334:FO335"/>
    <mergeCell ref="FP334:FP335"/>
    <mergeCell ref="HJ333:HJ334"/>
    <mergeCell ref="HK333:HK334"/>
    <mergeCell ref="HL333:HL334"/>
    <mergeCell ref="HM333:HM334"/>
    <mergeCell ref="HN333:HN334"/>
    <mergeCell ref="HO333:HO334"/>
    <mergeCell ref="HP333:HP334"/>
    <mergeCell ref="HQ333:HQ334"/>
    <mergeCell ref="HR333:HR334"/>
    <mergeCell ref="HS333:HS334"/>
    <mergeCell ref="HT333:HT334"/>
    <mergeCell ref="HU333:HU334"/>
    <mergeCell ref="HY333:HY334"/>
    <mergeCell ref="E334:F334"/>
    <mergeCell ref="G334:L334"/>
    <mergeCell ref="P334:Q334"/>
    <mergeCell ref="S334:S335"/>
    <mergeCell ref="DL332:DL335"/>
    <mergeCell ref="DN332:DN335"/>
    <mergeCell ref="DO332:DO333"/>
    <mergeCell ref="DH337:DH340"/>
    <mergeCell ref="FY332:FY335"/>
    <mergeCell ref="FZ332:FZ335"/>
    <mergeCell ref="GA332:GA335"/>
    <mergeCell ref="GB332:GB335"/>
    <mergeCell ref="GC332:GC335"/>
    <mergeCell ref="GD332:GD335"/>
    <mergeCell ref="GG332:GG335"/>
    <mergeCell ref="HW332:HW334"/>
    <mergeCell ref="HX332:HX333"/>
    <mergeCell ref="DP332:DP335"/>
    <mergeCell ref="DQ332:DQ333"/>
    <mergeCell ref="DR332:DR335"/>
    <mergeCell ref="DS332:DS335"/>
    <mergeCell ref="DU332:DU335"/>
    <mergeCell ref="DV332:DV333"/>
    <mergeCell ref="DW332:DW335"/>
    <mergeCell ref="DX332:DX335"/>
    <mergeCell ref="DZ332:DZ335"/>
    <mergeCell ref="EA332:EA335"/>
    <mergeCell ref="EC332:EC335"/>
    <mergeCell ref="ED332:ED335"/>
    <mergeCell ref="EE332:EE335"/>
    <mergeCell ref="EF332:EF335"/>
    <mergeCell ref="CR332:CR333"/>
    <mergeCell ref="CS332:CS333"/>
    <mergeCell ref="CT332:CT333"/>
    <mergeCell ref="CU332:CU333"/>
    <mergeCell ref="CV332:CV333"/>
    <mergeCell ref="CW332:CW333"/>
    <mergeCell ref="CX332:CX335"/>
    <mergeCell ref="CY332:CY335"/>
    <mergeCell ref="CZ332:CZ335"/>
    <mergeCell ref="DA332:DA335"/>
    <mergeCell ref="DC332:DC333"/>
    <mergeCell ref="DD332:DD333"/>
    <mergeCell ref="DE332:DE333"/>
    <mergeCell ref="DF332:DF333"/>
    <mergeCell ref="DG332:DG333"/>
    <mergeCell ref="DH332:DH335"/>
    <mergeCell ref="DJ332:DJ333"/>
    <mergeCell ref="CW334:CW335"/>
    <mergeCell ref="DC334:DC335"/>
    <mergeCell ref="DD334:DD335"/>
    <mergeCell ref="DE334:DE335"/>
    <mergeCell ref="DF334:DF335"/>
    <mergeCell ref="DG334:DG335"/>
    <mergeCell ref="HE333:HE334"/>
    <mergeCell ref="HF333:HF334"/>
    <mergeCell ref="HG333:HG334"/>
    <mergeCell ref="HH333:HH334"/>
    <mergeCell ref="HI333:HI334"/>
    <mergeCell ref="EZ332:EZ335"/>
    <mergeCell ref="FB332:FB333"/>
    <mergeCell ref="HX334:HX335"/>
    <mergeCell ref="FD332:FD335"/>
    <mergeCell ref="FE332:FE335"/>
    <mergeCell ref="FI332:FI333"/>
    <mergeCell ref="FJ332:FJ333"/>
    <mergeCell ref="FK332:FK333"/>
    <mergeCell ref="FO332:FO333"/>
    <mergeCell ref="FP332:FP333"/>
    <mergeCell ref="FQ332:FQ333"/>
    <mergeCell ref="FR332:FR333"/>
    <mergeCell ref="FS332:FS333"/>
    <mergeCell ref="FQ334:FQ335"/>
    <mergeCell ref="FR334:FR335"/>
    <mergeCell ref="FS334:FS335"/>
    <mergeCell ref="FT334:FT335"/>
    <mergeCell ref="EG332:EG335"/>
    <mergeCell ref="EH332:EH335"/>
    <mergeCell ref="EI332:EI335"/>
    <mergeCell ref="EJ332:EJ335"/>
    <mergeCell ref="EK332:EK335"/>
    <mergeCell ref="EL332:EL335"/>
    <mergeCell ref="EM332:EM335"/>
    <mergeCell ref="EN332:EN335"/>
    <mergeCell ref="EO332:EO335"/>
    <mergeCell ref="EP332:EP335"/>
    <mergeCell ref="EQ332:EQ335"/>
    <mergeCell ref="ES332:ES335"/>
    <mergeCell ref="EU332:EU333"/>
    <mergeCell ref="EV332:EV333"/>
    <mergeCell ref="EW332:EW333"/>
    <mergeCell ref="EX332:EX333"/>
    <mergeCell ref="EY332:EY333"/>
    <mergeCell ref="E331:AT331"/>
    <mergeCell ref="B332:B335"/>
    <mergeCell ref="C332:D335"/>
    <mergeCell ref="E332:F332"/>
    <mergeCell ref="G332:R332"/>
    <mergeCell ref="S332:S333"/>
    <mergeCell ref="U332:AA332"/>
    <mergeCell ref="AF332:AI332"/>
    <mergeCell ref="AJ332:AJ333"/>
    <mergeCell ref="AK332:AK333"/>
    <mergeCell ref="AL332:AL333"/>
    <mergeCell ref="AM332:AN335"/>
    <mergeCell ref="AO332:AQ335"/>
    <mergeCell ref="AR332:AR335"/>
    <mergeCell ref="AS332:AS335"/>
    <mergeCell ref="AT332:AT335"/>
    <mergeCell ref="AV332:AV335"/>
    <mergeCell ref="AW332:AW335"/>
    <mergeCell ref="CM332:CM335"/>
    <mergeCell ref="CN332:CN335"/>
    <mergeCell ref="CO332:CO333"/>
    <mergeCell ref="CP332:CP333"/>
    <mergeCell ref="CR334:CR335"/>
    <mergeCell ref="CS334:CS335"/>
    <mergeCell ref="CT334:CT335"/>
    <mergeCell ref="CU334:CU335"/>
    <mergeCell ref="CV334:CV335"/>
    <mergeCell ref="E333:F333"/>
    <mergeCell ref="G333:L333"/>
    <mergeCell ref="P333:Q333"/>
    <mergeCell ref="AF333:AI333"/>
    <mergeCell ref="CN327:CN330"/>
    <mergeCell ref="CO327:CO328"/>
    <mergeCell ref="CP327:CP328"/>
    <mergeCell ref="U328:AD328"/>
    <mergeCell ref="U329:AD329"/>
    <mergeCell ref="U333:AD333"/>
    <mergeCell ref="U334:AD334"/>
    <mergeCell ref="AF334:AI334"/>
    <mergeCell ref="AJ334:AJ335"/>
    <mergeCell ref="AK334:AK335"/>
    <mergeCell ref="AL334:AL335"/>
    <mergeCell ref="CO334:CO335"/>
    <mergeCell ref="CP334:CP335"/>
    <mergeCell ref="FQ327:FQ328"/>
    <mergeCell ref="FR327:FR328"/>
    <mergeCell ref="FS327:FS328"/>
    <mergeCell ref="FT327:FT328"/>
    <mergeCell ref="FW327:FW330"/>
    <mergeCell ref="FX327:FX330"/>
    <mergeCell ref="FY327:FY330"/>
    <mergeCell ref="FZ327:FZ330"/>
    <mergeCell ref="GA327:GA330"/>
    <mergeCell ref="GB327:GB330"/>
    <mergeCell ref="GC327:GC330"/>
    <mergeCell ref="DZ327:DZ330"/>
    <mergeCell ref="EA327:EA330"/>
    <mergeCell ref="EC327:EC330"/>
    <mergeCell ref="ED327:ED330"/>
    <mergeCell ref="EE327:EE330"/>
    <mergeCell ref="EF327:EF330"/>
    <mergeCell ref="EG327:EG330"/>
    <mergeCell ref="EH327:EH330"/>
    <mergeCell ref="EI327:EI330"/>
    <mergeCell ref="EJ327:EJ330"/>
    <mergeCell ref="EK327:EK330"/>
    <mergeCell ref="EL327:EL330"/>
    <mergeCell ref="EM327:EM330"/>
    <mergeCell ref="EN327:EN330"/>
    <mergeCell ref="EO327:EO330"/>
    <mergeCell ref="EP327:EP330"/>
    <mergeCell ref="EQ327:EQ330"/>
    <mergeCell ref="DD327:DD328"/>
    <mergeCell ref="DE327:DE328"/>
    <mergeCell ref="DF327:DF328"/>
    <mergeCell ref="DG327:DG328"/>
    <mergeCell ref="DH327:DH330"/>
    <mergeCell ref="DJ327:DJ328"/>
    <mergeCell ref="DL327:DL330"/>
    <mergeCell ref="DN327:DN330"/>
    <mergeCell ref="DO327:DO328"/>
    <mergeCell ref="DP327:DP330"/>
    <mergeCell ref="DQ327:DQ328"/>
    <mergeCell ref="DR327:DR330"/>
    <mergeCell ref="DS327:DS330"/>
    <mergeCell ref="DU327:DU330"/>
    <mergeCell ref="FL332:FL333"/>
    <mergeCell ref="FM332:FM333"/>
    <mergeCell ref="DV327:DV328"/>
    <mergeCell ref="DW327:DW330"/>
    <mergeCell ref="DX327:DX330"/>
    <mergeCell ref="DD329:DD330"/>
    <mergeCell ref="FT332:FT333"/>
    <mergeCell ref="FW332:FW335"/>
    <mergeCell ref="FX332:FX335"/>
    <mergeCell ref="HW327:HW329"/>
    <mergeCell ref="HX327:HX328"/>
    <mergeCell ref="IA327:IA330"/>
    <mergeCell ref="IB327:IB328"/>
    <mergeCell ref="HU328:HU329"/>
    <mergeCell ref="HY328:HY329"/>
    <mergeCell ref="FQ329:FQ330"/>
    <mergeCell ref="FR329:FR330"/>
    <mergeCell ref="FS329:FS330"/>
    <mergeCell ref="FT329:FT330"/>
    <mergeCell ref="HX329:HX330"/>
    <mergeCell ref="IB329:IB330"/>
    <mergeCell ref="ES327:ES330"/>
    <mergeCell ref="EU327:EU328"/>
    <mergeCell ref="EV327:EV328"/>
    <mergeCell ref="EW327:EW328"/>
    <mergeCell ref="EX327:EX328"/>
    <mergeCell ref="EY327:EY328"/>
    <mergeCell ref="EZ327:EZ330"/>
    <mergeCell ref="FB327:FB328"/>
    <mergeCell ref="FD327:FD330"/>
    <mergeCell ref="FE327:FE330"/>
    <mergeCell ref="FI327:FI328"/>
    <mergeCell ref="FJ327:FJ328"/>
    <mergeCell ref="FK327:FK328"/>
    <mergeCell ref="FL327:FL328"/>
    <mergeCell ref="FM327:FM328"/>
    <mergeCell ref="FO327:FO328"/>
    <mergeCell ref="FP327:FP328"/>
    <mergeCell ref="EU329:EU330"/>
    <mergeCell ref="EV329:EV330"/>
    <mergeCell ref="EW329:EW330"/>
    <mergeCell ref="EX329:EX330"/>
    <mergeCell ref="EY329:EY330"/>
    <mergeCell ref="FB329:FB330"/>
    <mergeCell ref="FI329:FI330"/>
    <mergeCell ref="FJ329:FJ330"/>
    <mergeCell ref="FK329:FK330"/>
    <mergeCell ref="FL329:FL330"/>
    <mergeCell ref="FM329:FM330"/>
    <mergeCell ref="FO329:FO330"/>
    <mergeCell ref="FP329:FP330"/>
    <mergeCell ref="HI328:HI329"/>
    <mergeCell ref="FU329:FU330"/>
    <mergeCell ref="DE329:DE330"/>
    <mergeCell ref="DF329:DF330"/>
    <mergeCell ref="DG329:DG330"/>
    <mergeCell ref="DK329:DK330"/>
    <mergeCell ref="DO329:DO330"/>
    <mergeCell ref="DQ329:DQ330"/>
    <mergeCell ref="DV329:DV330"/>
    <mergeCell ref="CR327:CR328"/>
    <mergeCell ref="CS327:CS328"/>
    <mergeCell ref="CT327:CT328"/>
    <mergeCell ref="CU327:CU328"/>
    <mergeCell ref="CV327:CV328"/>
    <mergeCell ref="CW327:CW328"/>
    <mergeCell ref="CX327:CX330"/>
    <mergeCell ref="CY327:CY330"/>
    <mergeCell ref="CZ327:CZ330"/>
    <mergeCell ref="DA327:DA330"/>
    <mergeCell ref="DC327:DC328"/>
    <mergeCell ref="DC329:DC330"/>
    <mergeCell ref="CS329:CS330"/>
    <mergeCell ref="CT329:CT330"/>
    <mergeCell ref="CU329:CU330"/>
    <mergeCell ref="CV329:CV330"/>
    <mergeCell ref="CW329:CW330"/>
    <mergeCell ref="E323:AT323"/>
    <mergeCell ref="AM325:AN325"/>
    <mergeCell ref="AO325:AP325"/>
    <mergeCell ref="AQ325:AT325"/>
    <mergeCell ref="AR326:AT326"/>
    <mergeCell ref="CO329:CO330"/>
    <mergeCell ref="CP329:CP330"/>
    <mergeCell ref="B327:B330"/>
    <mergeCell ref="C327:D330"/>
    <mergeCell ref="E327:F327"/>
    <mergeCell ref="G327:R327"/>
    <mergeCell ref="S327:S328"/>
    <mergeCell ref="U327:AA327"/>
    <mergeCell ref="AF327:AI327"/>
    <mergeCell ref="AJ327:AJ328"/>
    <mergeCell ref="AK327:AK328"/>
    <mergeCell ref="AL327:AL328"/>
    <mergeCell ref="AM327:AN330"/>
    <mergeCell ref="AO327:AQ330"/>
    <mergeCell ref="AR327:AR330"/>
    <mergeCell ref="AS327:AS330"/>
    <mergeCell ref="AT327:AT330"/>
    <mergeCell ref="E329:F329"/>
    <mergeCell ref="G329:L329"/>
    <mergeCell ref="P329:Q329"/>
    <mergeCell ref="E328:F328"/>
    <mergeCell ref="G328:L328"/>
    <mergeCell ref="P328:Q328"/>
    <mergeCell ref="AF328:AI328"/>
    <mergeCell ref="E330:F330"/>
    <mergeCell ref="G330:L330"/>
    <mergeCell ref="P330:R330"/>
    <mergeCell ref="U330:AA330"/>
    <mergeCell ref="AF330:AI330"/>
    <mergeCell ref="CR329:CR330"/>
    <mergeCell ref="AM326:AN326"/>
    <mergeCell ref="AO326:AQ326"/>
    <mergeCell ref="AV327:AV330"/>
    <mergeCell ref="AW327:AW330"/>
    <mergeCell ref="CM327:CM330"/>
    <mergeCell ref="AK321:AK322"/>
    <mergeCell ref="AL321:AL322"/>
    <mergeCell ref="II319:II322"/>
    <mergeCell ref="E320:F320"/>
    <mergeCell ref="G320:L320"/>
    <mergeCell ref="P320:Q320"/>
    <mergeCell ref="AF320:AI320"/>
    <mergeCell ref="GI320:GI321"/>
    <mergeCell ref="GJ320:GJ321"/>
    <mergeCell ref="GL320:GL321"/>
    <mergeCell ref="GM320:GM321"/>
    <mergeCell ref="HC320:HC321"/>
    <mergeCell ref="HD320:HD321"/>
    <mergeCell ref="HE320:HE321"/>
    <mergeCell ref="HF320:HF321"/>
    <mergeCell ref="HG320:HG321"/>
    <mergeCell ref="HH320:HH321"/>
    <mergeCell ref="HI320:HI321"/>
    <mergeCell ref="HJ320:HJ321"/>
    <mergeCell ref="HK320:HK321"/>
    <mergeCell ref="HL320:HL321"/>
    <mergeCell ref="HM320:HM321"/>
    <mergeCell ref="HN320:HN321"/>
    <mergeCell ref="HO320:HO321"/>
    <mergeCell ref="HP320:HP321"/>
    <mergeCell ref="HQ320:HQ321"/>
    <mergeCell ref="HR320:HR321"/>
    <mergeCell ref="HS320:HS321"/>
    <mergeCell ref="HT320:HT321"/>
    <mergeCell ref="HU320:HU321"/>
    <mergeCell ref="HY320:HY321"/>
    <mergeCell ref="E321:F321"/>
    <mergeCell ref="G321:L321"/>
    <mergeCell ref="FW319:FW322"/>
    <mergeCell ref="FX319:FX322"/>
    <mergeCell ref="FY319:FY322"/>
    <mergeCell ref="FZ319:FZ322"/>
    <mergeCell ref="GA319:GA322"/>
    <mergeCell ref="GB319:GB322"/>
    <mergeCell ref="GC319:GC322"/>
    <mergeCell ref="GD319:GD322"/>
    <mergeCell ref="GG319:GG322"/>
    <mergeCell ref="HW319:HW321"/>
    <mergeCell ref="HX319:HX320"/>
    <mergeCell ref="IA319:IA322"/>
    <mergeCell ref="IB319:IB320"/>
    <mergeCell ref="IC319:IC322"/>
    <mergeCell ref="IF319:IF320"/>
    <mergeCell ref="IG319:IG322"/>
    <mergeCell ref="IH319:IH320"/>
    <mergeCell ref="HX321:HX322"/>
    <mergeCell ref="IB321:IB322"/>
    <mergeCell ref="IF321:IF322"/>
    <mergeCell ref="IH321:IH322"/>
    <mergeCell ref="EX319:EX320"/>
    <mergeCell ref="EY319:EY320"/>
    <mergeCell ref="EZ319:EZ322"/>
    <mergeCell ref="FB319:FB320"/>
    <mergeCell ref="E322:F322"/>
    <mergeCell ref="G322:L322"/>
    <mergeCell ref="P322:R322"/>
    <mergeCell ref="U322:AA322"/>
    <mergeCell ref="AF322:AI322"/>
    <mergeCell ref="FD319:FD322"/>
    <mergeCell ref="FE319:FE322"/>
    <mergeCell ref="FI319:FI320"/>
    <mergeCell ref="FJ319:FJ320"/>
    <mergeCell ref="FK319:FK320"/>
    <mergeCell ref="FL319:FL320"/>
    <mergeCell ref="FM319:FM320"/>
    <mergeCell ref="FO319:FO320"/>
    <mergeCell ref="FP319:FP320"/>
    <mergeCell ref="FQ319:FQ320"/>
    <mergeCell ref="FR319:FR320"/>
    <mergeCell ref="FS319:FS320"/>
    <mergeCell ref="FT319:FT320"/>
    <mergeCell ref="EX321:EX322"/>
    <mergeCell ref="EY321:EY322"/>
    <mergeCell ref="FB321:FB322"/>
    <mergeCell ref="FI321:FI322"/>
    <mergeCell ref="FJ321:FJ322"/>
    <mergeCell ref="FK321:FK322"/>
    <mergeCell ref="FL321:FL322"/>
    <mergeCell ref="FM321:FM322"/>
    <mergeCell ref="FO321:FO322"/>
    <mergeCell ref="FP321:FP322"/>
    <mergeCell ref="FQ321:FQ322"/>
    <mergeCell ref="FR321:FR322"/>
    <mergeCell ref="FS321:FS322"/>
    <mergeCell ref="FT321:FT322"/>
    <mergeCell ref="EE319:EE322"/>
    <mergeCell ref="EF319:EF322"/>
    <mergeCell ref="EG319:EG322"/>
    <mergeCell ref="EH319:EH322"/>
    <mergeCell ref="EI319:EI322"/>
    <mergeCell ref="EJ319:EJ322"/>
    <mergeCell ref="EK319:EK322"/>
    <mergeCell ref="EL319:EL322"/>
    <mergeCell ref="EM319:EM322"/>
    <mergeCell ref="EN319:EN322"/>
    <mergeCell ref="EO319:EO322"/>
    <mergeCell ref="EP319:EP322"/>
    <mergeCell ref="EQ319:EQ322"/>
    <mergeCell ref="ES319:ES322"/>
    <mergeCell ref="EU319:EU320"/>
    <mergeCell ref="EV319:EV320"/>
    <mergeCell ref="EW319:EW320"/>
    <mergeCell ref="EU321:EU322"/>
    <mergeCell ref="EV321:EV322"/>
    <mergeCell ref="EW321:EW322"/>
    <mergeCell ref="DJ319:DJ320"/>
    <mergeCell ref="DL319:DL322"/>
    <mergeCell ref="DN319:DN322"/>
    <mergeCell ref="DO319:DO320"/>
    <mergeCell ref="DP319:DP322"/>
    <mergeCell ref="DQ319:DQ320"/>
    <mergeCell ref="DR319:DR322"/>
    <mergeCell ref="DS319:DS322"/>
    <mergeCell ref="DU319:DU322"/>
    <mergeCell ref="DH319:DH322"/>
    <mergeCell ref="DV319:DV320"/>
    <mergeCell ref="DW319:DW322"/>
    <mergeCell ref="DX319:DX322"/>
    <mergeCell ref="DZ319:DZ322"/>
    <mergeCell ref="DK321:DK322"/>
    <mergeCell ref="DO321:DO322"/>
    <mergeCell ref="DQ321:DQ322"/>
    <mergeCell ref="DV321:DV322"/>
    <mergeCell ref="CO319:CO320"/>
    <mergeCell ref="CP319:CP320"/>
    <mergeCell ref="CR319:CR320"/>
    <mergeCell ref="CS319:CS320"/>
    <mergeCell ref="CT319:CT320"/>
    <mergeCell ref="CU319:CU320"/>
    <mergeCell ref="CV319:CV320"/>
    <mergeCell ref="CW319:CW320"/>
    <mergeCell ref="CX319:CX322"/>
    <mergeCell ref="CY319:CY322"/>
    <mergeCell ref="CZ319:CZ322"/>
    <mergeCell ref="DA319:DA322"/>
    <mergeCell ref="DC319:DC320"/>
    <mergeCell ref="DD319:DD320"/>
    <mergeCell ref="DE319:DE320"/>
    <mergeCell ref="DF319:DF320"/>
    <mergeCell ref="DG319:DG320"/>
    <mergeCell ref="CW321:CW322"/>
    <mergeCell ref="DC321:DC322"/>
    <mergeCell ref="DD321:DD322"/>
    <mergeCell ref="DE321:DE322"/>
    <mergeCell ref="DF321:DF322"/>
    <mergeCell ref="DG321:DG322"/>
    <mergeCell ref="CO321:CO322"/>
    <mergeCell ref="CP321:CP322"/>
    <mergeCell ref="CR321:CR322"/>
    <mergeCell ref="CS321:CS322"/>
    <mergeCell ref="CT321:CT322"/>
    <mergeCell ref="CU321:CU322"/>
    <mergeCell ref="CV321:CV322"/>
    <mergeCell ref="HX316:HX317"/>
    <mergeCell ref="IB316:IB317"/>
    <mergeCell ref="IF316:IF317"/>
    <mergeCell ref="IH316:IH317"/>
    <mergeCell ref="E317:F317"/>
    <mergeCell ref="G317:L317"/>
    <mergeCell ref="P317:R317"/>
    <mergeCell ref="U317:AA317"/>
    <mergeCell ref="AF317:AI317"/>
    <mergeCell ref="E318:AT318"/>
    <mergeCell ref="B319:B322"/>
    <mergeCell ref="C319:D322"/>
    <mergeCell ref="E319:F319"/>
    <mergeCell ref="G319:R319"/>
    <mergeCell ref="S319:S320"/>
    <mergeCell ref="U319:AA319"/>
    <mergeCell ref="AF319:AI319"/>
    <mergeCell ref="AJ319:AJ320"/>
    <mergeCell ref="AK319:AK320"/>
    <mergeCell ref="AL319:AL320"/>
    <mergeCell ref="AM319:AN322"/>
    <mergeCell ref="AO319:AQ322"/>
    <mergeCell ref="AR319:AR322"/>
    <mergeCell ref="AS319:AS322"/>
    <mergeCell ref="AT319:AT322"/>
    <mergeCell ref="AV319:AV322"/>
    <mergeCell ref="AW319:AW322"/>
    <mergeCell ref="CM319:CM322"/>
    <mergeCell ref="CN319:CN322"/>
    <mergeCell ref="DK316:DK317"/>
    <mergeCell ref="DO316:DO317"/>
    <mergeCell ref="DQ316:DQ317"/>
    <mergeCell ref="DV316:DV317"/>
    <mergeCell ref="EU316:EU317"/>
    <mergeCell ref="EV316:EV317"/>
    <mergeCell ref="EW316:EW317"/>
    <mergeCell ref="EX316:EX317"/>
    <mergeCell ref="EY316:EY317"/>
    <mergeCell ref="FB316:FB317"/>
    <mergeCell ref="FI316:FI317"/>
    <mergeCell ref="FJ316:FJ317"/>
    <mergeCell ref="FK316:FK317"/>
    <mergeCell ref="FL316:FL317"/>
    <mergeCell ref="FM316:FM317"/>
    <mergeCell ref="FO316:FO317"/>
    <mergeCell ref="FP316:FP317"/>
    <mergeCell ref="HJ315:HJ316"/>
    <mergeCell ref="HK315:HK316"/>
    <mergeCell ref="HL315:HL316"/>
    <mergeCell ref="HM315:HM316"/>
    <mergeCell ref="HN315:HN316"/>
    <mergeCell ref="HO315:HO316"/>
    <mergeCell ref="HP315:HP316"/>
    <mergeCell ref="HQ315:HQ316"/>
    <mergeCell ref="HR315:HR316"/>
    <mergeCell ref="HS315:HS316"/>
    <mergeCell ref="HT315:HT316"/>
    <mergeCell ref="HU315:HU316"/>
    <mergeCell ref="EN314:EN317"/>
    <mergeCell ref="EO314:EO317"/>
    <mergeCell ref="EP314:EP317"/>
    <mergeCell ref="EA319:EA322"/>
    <mergeCell ref="EC319:EC322"/>
    <mergeCell ref="ED319:ED322"/>
    <mergeCell ref="EQ314:EQ317"/>
    <mergeCell ref="ES314:ES317"/>
    <mergeCell ref="EU314:EU315"/>
    <mergeCell ref="EV314:EV315"/>
    <mergeCell ref="EW314:EW315"/>
    <mergeCell ref="EX314:EX315"/>
    <mergeCell ref="EY314:EY315"/>
    <mergeCell ref="DL314:DL317"/>
    <mergeCell ref="DN314:DN317"/>
    <mergeCell ref="DO314:DO315"/>
    <mergeCell ref="DP314:DP317"/>
    <mergeCell ref="DQ314:DQ315"/>
    <mergeCell ref="DR314:DR317"/>
    <mergeCell ref="DS314:DS317"/>
    <mergeCell ref="DU314:DU317"/>
    <mergeCell ref="DV314:DV315"/>
    <mergeCell ref="DW314:DW317"/>
    <mergeCell ref="P316:Q316"/>
    <mergeCell ref="S316:S317"/>
    <mergeCell ref="AF316:AI316"/>
    <mergeCell ref="AJ316:AJ317"/>
    <mergeCell ref="AK316:AK317"/>
    <mergeCell ref="AL316:AL317"/>
    <mergeCell ref="CO316:CO317"/>
    <mergeCell ref="CP316:CP317"/>
    <mergeCell ref="CR316:CR317"/>
    <mergeCell ref="CS316:CS317"/>
    <mergeCell ref="CT316:CT317"/>
    <mergeCell ref="CU316:CU317"/>
    <mergeCell ref="CV316:CV317"/>
    <mergeCell ref="DX314:DX317"/>
    <mergeCell ref="DZ314:DZ317"/>
    <mergeCell ref="EA314:EA317"/>
    <mergeCell ref="EC314:EC317"/>
    <mergeCell ref="ED314:ED317"/>
    <mergeCell ref="EE314:EE317"/>
    <mergeCell ref="EF314:EF317"/>
    <mergeCell ref="CR314:CR315"/>
    <mergeCell ref="CS314:CS315"/>
    <mergeCell ref="CT314:CT315"/>
    <mergeCell ref="CU314:CU315"/>
    <mergeCell ref="CV314:CV315"/>
    <mergeCell ref="CW314:CW315"/>
    <mergeCell ref="CX314:CX317"/>
    <mergeCell ref="CY314:CY317"/>
    <mergeCell ref="CZ314:CZ317"/>
    <mergeCell ref="DA314:DA317"/>
    <mergeCell ref="DC314:DC315"/>
    <mergeCell ref="DD314:DD315"/>
    <mergeCell ref="DE314:DE315"/>
    <mergeCell ref="DF314:DF315"/>
    <mergeCell ref="DG314:DG315"/>
    <mergeCell ref="DH314:DH317"/>
    <mergeCell ref="DJ314:DJ315"/>
    <mergeCell ref="CW316:CW317"/>
    <mergeCell ref="DC316:DC317"/>
    <mergeCell ref="DD316:DD317"/>
    <mergeCell ref="DE316:DE317"/>
    <mergeCell ref="DF316:DF317"/>
    <mergeCell ref="DG316:DG317"/>
    <mergeCell ref="DC311:DC312"/>
    <mergeCell ref="DD311:DD312"/>
    <mergeCell ref="DE311:DE312"/>
    <mergeCell ref="DF311:DF312"/>
    <mergeCell ref="DG311:DG312"/>
    <mergeCell ref="IC309:IC312"/>
    <mergeCell ref="IF309:IF310"/>
    <mergeCell ref="IG309:IG312"/>
    <mergeCell ref="IH309:IH310"/>
    <mergeCell ref="FJ309:FJ310"/>
    <mergeCell ref="FK309:FK310"/>
    <mergeCell ref="FL309:FL310"/>
    <mergeCell ref="FM309:FM310"/>
    <mergeCell ref="FO309:FO310"/>
    <mergeCell ref="FP309:FP310"/>
    <mergeCell ref="EU311:EU312"/>
    <mergeCell ref="EV311:EV312"/>
    <mergeCell ref="EW311:EW312"/>
    <mergeCell ref="EX311:EX312"/>
    <mergeCell ref="EY311:EY312"/>
    <mergeCell ref="E315:F315"/>
    <mergeCell ref="G315:L315"/>
    <mergeCell ref="P315:Q315"/>
    <mergeCell ref="AF315:AI315"/>
    <mergeCell ref="GI315:GI316"/>
    <mergeCell ref="GJ315:GJ316"/>
    <mergeCell ref="GL315:GL316"/>
    <mergeCell ref="GM315:GM316"/>
    <mergeCell ref="HC315:HC316"/>
    <mergeCell ref="HD315:HD316"/>
    <mergeCell ref="HE315:HE316"/>
    <mergeCell ref="HF315:HF316"/>
    <mergeCell ref="HG315:HG316"/>
    <mergeCell ref="HH315:HH316"/>
    <mergeCell ref="HI315:HI316"/>
    <mergeCell ref="EZ314:EZ317"/>
    <mergeCell ref="FB314:FB315"/>
    <mergeCell ref="FD314:FD317"/>
    <mergeCell ref="FE314:FE317"/>
    <mergeCell ref="FI314:FI315"/>
    <mergeCell ref="FJ314:FJ315"/>
    <mergeCell ref="FK314:FK315"/>
    <mergeCell ref="FL314:FL315"/>
    <mergeCell ref="FM314:FM315"/>
    <mergeCell ref="FO314:FO315"/>
    <mergeCell ref="FP314:FP315"/>
    <mergeCell ref="FQ314:FQ315"/>
    <mergeCell ref="FR314:FR315"/>
    <mergeCell ref="FS314:FS315"/>
    <mergeCell ref="FT314:FT315"/>
    <mergeCell ref="FW314:FW317"/>
    <mergeCell ref="FX314:FX317"/>
    <mergeCell ref="FQ316:FQ317"/>
    <mergeCell ref="FR316:FR317"/>
    <mergeCell ref="FS316:FS317"/>
    <mergeCell ref="FT316:FT317"/>
    <mergeCell ref="EG314:EG317"/>
    <mergeCell ref="EH314:EH317"/>
    <mergeCell ref="EI314:EI317"/>
    <mergeCell ref="EJ314:EJ317"/>
    <mergeCell ref="EK314:EK317"/>
    <mergeCell ref="EL314:EL317"/>
    <mergeCell ref="EM314:EM317"/>
    <mergeCell ref="E313:AT313"/>
    <mergeCell ref="B314:B317"/>
    <mergeCell ref="C314:D317"/>
    <mergeCell ref="E314:F314"/>
    <mergeCell ref="G314:R314"/>
    <mergeCell ref="S314:S315"/>
    <mergeCell ref="U314:AA314"/>
    <mergeCell ref="AF314:AI314"/>
    <mergeCell ref="AJ314:AJ315"/>
    <mergeCell ref="AK314:AK315"/>
    <mergeCell ref="AL314:AL315"/>
    <mergeCell ref="AM314:AN317"/>
    <mergeCell ref="AO314:AQ317"/>
    <mergeCell ref="AR314:AR317"/>
    <mergeCell ref="AS314:AS317"/>
    <mergeCell ref="AT314:AT317"/>
    <mergeCell ref="AV314:AV317"/>
    <mergeCell ref="AW314:AW317"/>
    <mergeCell ref="CM314:CM317"/>
    <mergeCell ref="CN314:CN317"/>
    <mergeCell ref="CO314:CO315"/>
    <mergeCell ref="CP314:CP315"/>
    <mergeCell ref="AF311:AI311"/>
    <mergeCell ref="AJ311:AJ312"/>
    <mergeCell ref="AK311:AK312"/>
    <mergeCell ref="AL311:AL312"/>
    <mergeCell ref="CO311:CO312"/>
    <mergeCell ref="CP311:CP312"/>
    <mergeCell ref="CR311:CR312"/>
    <mergeCell ref="CS311:CS312"/>
    <mergeCell ref="E316:F316"/>
    <mergeCell ref="G316:L316"/>
    <mergeCell ref="AV309:AV312"/>
    <mergeCell ref="AW309:AW312"/>
    <mergeCell ref="CM309:CM312"/>
    <mergeCell ref="CN309:CN312"/>
    <mergeCell ref="CO309:CO310"/>
    <mergeCell ref="CP309:CP310"/>
    <mergeCell ref="CR309:CR310"/>
    <mergeCell ref="CS309:CS310"/>
    <mergeCell ref="E310:F310"/>
    <mergeCell ref="G310:L310"/>
    <mergeCell ref="P310:Q310"/>
    <mergeCell ref="AF310:AI310"/>
    <mergeCell ref="GI310:GI311"/>
    <mergeCell ref="GJ310:GJ311"/>
    <mergeCell ref="GL310:GL311"/>
    <mergeCell ref="GM310:GM311"/>
    <mergeCell ref="HC310:HC311"/>
    <mergeCell ref="HD310:HD311"/>
    <mergeCell ref="HE310:HE311"/>
    <mergeCell ref="HF310:HF311"/>
    <mergeCell ref="HG310:HG311"/>
    <mergeCell ref="HH310:HH311"/>
    <mergeCell ref="HI310:HI311"/>
    <mergeCell ref="HJ310:HJ311"/>
    <mergeCell ref="HK310:HK311"/>
    <mergeCell ref="HL310:HL311"/>
    <mergeCell ref="HM310:HM311"/>
    <mergeCell ref="HN310:HN311"/>
    <mergeCell ref="HO310:HO311"/>
    <mergeCell ref="HP310:HP311"/>
    <mergeCell ref="HQ310:HQ311"/>
    <mergeCell ref="HR310:HR311"/>
    <mergeCell ref="HS310:HS311"/>
    <mergeCell ref="HT310:HT311"/>
    <mergeCell ref="FQ309:FQ310"/>
    <mergeCell ref="FR309:FR310"/>
    <mergeCell ref="FS309:FS310"/>
    <mergeCell ref="FT309:FT310"/>
    <mergeCell ref="FW309:FW312"/>
    <mergeCell ref="FX309:FX312"/>
    <mergeCell ref="FY309:FY312"/>
    <mergeCell ref="FZ309:FZ312"/>
    <mergeCell ref="GA309:GA312"/>
    <mergeCell ref="GB309:GB312"/>
    <mergeCell ref="GC309:GC312"/>
    <mergeCell ref="GD309:GD312"/>
    <mergeCell ref="GG309:GG312"/>
    <mergeCell ref="FQ311:FQ312"/>
    <mergeCell ref="FR311:FR312"/>
    <mergeCell ref="FS311:FS312"/>
    <mergeCell ref="FT311:FT312"/>
    <mergeCell ref="ES309:ES312"/>
    <mergeCell ref="EU309:EU310"/>
    <mergeCell ref="EV309:EV310"/>
    <mergeCell ref="EW309:EW310"/>
    <mergeCell ref="EX309:EX310"/>
    <mergeCell ref="EY309:EY310"/>
    <mergeCell ref="EZ309:EZ312"/>
    <mergeCell ref="FB309:FB310"/>
    <mergeCell ref="FD309:FD312"/>
    <mergeCell ref="FE309:FE312"/>
    <mergeCell ref="FI309:FI310"/>
    <mergeCell ref="E312:F312"/>
    <mergeCell ref="G312:L312"/>
    <mergeCell ref="P312:R312"/>
    <mergeCell ref="U312:AA312"/>
    <mergeCell ref="AF312:AI312"/>
    <mergeCell ref="CT311:CT312"/>
    <mergeCell ref="CU311:CU312"/>
    <mergeCell ref="CV311:CV312"/>
    <mergeCell ref="CW311:CW312"/>
    <mergeCell ref="FB311:FB312"/>
    <mergeCell ref="FI311:FI312"/>
    <mergeCell ref="FJ311:FJ312"/>
    <mergeCell ref="FK311:FK312"/>
    <mergeCell ref="FL311:FL312"/>
    <mergeCell ref="FM311:FM312"/>
    <mergeCell ref="FO311:FO312"/>
    <mergeCell ref="FP311:FP312"/>
    <mergeCell ref="DZ309:DZ312"/>
    <mergeCell ref="EA309:EA312"/>
    <mergeCell ref="EC309:EC312"/>
    <mergeCell ref="ED309:ED312"/>
    <mergeCell ref="EE309:EE312"/>
    <mergeCell ref="EF309:EF312"/>
    <mergeCell ref="EG309:EG312"/>
    <mergeCell ref="EH309:EH312"/>
    <mergeCell ref="EI309:EI312"/>
    <mergeCell ref="EJ309:EJ312"/>
    <mergeCell ref="EK309:EK312"/>
    <mergeCell ref="EL309:EL312"/>
    <mergeCell ref="EM309:EM312"/>
    <mergeCell ref="EN309:EN312"/>
    <mergeCell ref="EO309:EO312"/>
    <mergeCell ref="EP309:EP312"/>
    <mergeCell ref="EQ309:EQ312"/>
    <mergeCell ref="DD309:DD310"/>
    <mergeCell ref="DE309:DE310"/>
    <mergeCell ref="DF309:DF310"/>
    <mergeCell ref="DG309:DG310"/>
    <mergeCell ref="DH309:DH312"/>
    <mergeCell ref="DJ309:DJ310"/>
    <mergeCell ref="DL309:DL312"/>
    <mergeCell ref="DN309:DN312"/>
    <mergeCell ref="DO309:DO310"/>
    <mergeCell ref="DP309:DP312"/>
    <mergeCell ref="DQ309:DQ310"/>
    <mergeCell ref="DR309:DR312"/>
    <mergeCell ref="DS309:DS312"/>
    <mergeCell ref="DU309:DU312"/>
    <mergeCell ref="DV309:DV310"/>
    <mergeCell ref="DW309:DW312"/>
    <mergeCell ref="DX309:DX312"/>
    <mergeCell ref="DK311:DK312"/>
    <mergeCell ref="DO311:DO312"/>
    <mergeCell ref="DQ311:DQ312"/>
    <mergeCell ref="DV311:DV312"/>
    <mergeCell ref="CT309:CT310"/>
    <mergeCell ref="CU309:CU310"/>
    <mergeCell ref="CV309:CV310"/>
    <mergeCell ref="CW309:CW310"/>
    <mergeCell ref="CX309:CX312"/>
    <mergeCell ref="CY309:CY312"/>
    <mergeCell ref="CZ309:CZ312"/>
    <mergeCell ref="DA309:DA312"/>
    <mergeCell ref="DC309:DC310"/>
    <mergeCell ref="E307:F307"/>
    <mergeCell ref="G307:L307"/>
    <mergeCell ref="P307:R307"/>
    <mergeCell ref="U307:AA307"/>
    <mergeCell ref="AF307:AI307"/>
    <mergeCell ref="E308:AT308"/>
    <mergeCell ref="B309:B312"/>
    <mergeCell ref="C309:D312"/>
    <mergeCell ref="E309:F309"/>
    <mergeCell ref="G309:R309"/>
    <mergeCell ref="S309:S310"/>
    <mergeCell ref="U309:AA309"/>
    <mergeCell ref="AF309:AI309"/>
    <mergeCell ref="AJ309:AJ310"/>
    <mergeCell ref="AK309:AK310"/>
    <mergeCell ref="AL309:AL310"/>
    <mergeCell ref="AM309:AN312"/>
    <mergeCell ref="AO309:AQ312"/>
    <mergeCell ref="AR309:AR312"/>
    <mergeCell ref="AS309:AS312"/>
    <mergeCell ref="AT309:AT312"/>
    <mergeCell ref="E311:F311"/>
    <mergeCell ref="G311:L311"/>
    <mergeCell ref="P311:Q311"/>
    <mergeCell ref="S311:S312"/>
    <mergeCell ref="B304:B307"/>
    <mergeCell ref="C304:D307"/>
    <mergeCell ref="P306:Q306"/>
    <mergeCell ref="S306:S307"/>
    <mergeCell ref="AF306:AI306"/>
    <mergeCell ref="AJ306:AJ307"/>
    <mergeCell ref="AK306:AK307"/>
    <mergeCell ref="AL306:AL307"/>
    <mergeCell ref="CO306:CO307"/>
    <mergeCell ref="CP306:CP307"/>
    <mergeCell ref="CR306:CR307"/>
    <mergeCell ref="E305:F305"/>
    <mergeCell ref="G305:L305"/>
    <mergeCell ref="P305:Q305"/>
    <mergeCell ref="AF305:AI305"/>
    <mergeCell ref="CO304:CO305"/>
    <mergeCell ref="CP304:CP305"/>
    <mergeCell ref="CR304:CR305"/>
    <mergeCell ref="E304:F304"/>
    <mergeCell ref="G304:R304"/>
    <mergeCell ref="S304:S305"/>
    <mergeCell ref="U304:AA304"/>
    <mergeCell ref="AF304:AI304"/>
    <mergeCell ref="AJ304:AJ305"/>
    <mergeCell ref="AK304:AK305"/>
    <mergeCell ref="AL304:AL305"/>
    <mergeCell ref="AM304:AN307"/>
    <mergeCell ref="AO304:AQ307"/>
    <mergeCell ref="GL305:GL306"/>
    <mergeCell ref="GM305:GM306"/>
    <mergeCell ref="HC305:HC306"/>
    <mergeCell ref="HD305:HD306"/>
    <mergeCell ref="HE305:HE306"/>
    <mergeCell ref="HF305:HF306"/>
    <mergeCell ref="HG305:HG306"/>
    <mergeCell ref="HH305:HH306"/>
    <mergeCell ref="HI305:HI306"/>
    <mergeCell ref="HJ305:HJ306"/>
    <mergeCell ref="HK305:HK306"/>
    <mergeCell ref="HL305:HL306"/>
    <mergeCell ref="HM305:HM306"/>
    <mergeCell ref="HN305:HN306"/>
    <mergeCell ref="HO305:HO306"/>
    <mergeCell ref="HP305:HP306"/>
    <mergeCell ref="HQ305:HQ306"/>
    <mergeCell ref="HR305:HR306"/>
    <mergeCell ref="HS305:HS306"/>
    <mergeCell ref="HT305:HT306"/>
    <mergeCell ref="HU305:HU306"/>
    <mergeCell ref="HY305:HY306"/>
    <mergeCell ref="E306:F306"/>
    <mergeCell ref="G306:L306"/>
    <mergeCell ref="FW304:FW307"/>
    <mergeCell ref="FX304:FX307"/>
    <mergeCell ref="FY304:FY307"/>
    <mergeCell ref="FZ304:FZ307"/>
    <mergeCell ref="GA304:GA307"/>
    <mergeCell ref="GB304:GB307"/>
    <mergeCell ref="GC304:GC307"/>
    <mergeCell ref="GD304:GD307"/>
    <mergeCell ref="GG304:GG307"/>
    <mergeCell ref="HW304:HW306"/>
    <mergeCell ref="HX304:HX305"/>
    <mergeCell ref="HX306:HX307"/>
    <mergeCell ref="EX304:EX305"/>
    <mergeCell ref="EY304:EY305"/>
    <mergeCell ref="EZ304:EZ307"/>
    <mergeCell ref="FB304:FB305"/>
    <mergeCell ref="FD304:FD307"/>
    <mergeCell ref="FE304:FE307"/>
    <mergeCell ref="FI304:FI305"/>
    <mergeCell ref="FJ304:FJ305"/>
    <mergeCell ref="FK304:FK305"/>
    <mergeCell ref="FL304:FL305"/>
    <mergeCell ref="FM304:FM305"/>
    <mergeCell ref="FO304:FO305"/>
    <mergeCell ref="FP304:FP305"/>
    <mergeCell ref="FQ304:FQ305"/>
    <mergeCell ref="FR304:FR305"/>
    <mergeCell ref="FS304:FS305"/>
    <mergeCell ref="FT304:FT305"/>
    <mergeCell ref="EX306:EX307"/>
    <mergeCell ref="EY306:EY307"/>
    <mergeCell ref="FB306:FB307"/>
    <mergeCell ref="FI306:FI307"/>
    <mergeCell ref="FJ306:FJ307"/>
    <mergeCell ref="FK306:FK307"/>
    <mergeCell ref="FL306:FL307"/>
    <mergeCell ref="FM306:FM307"/>
    <mergeCell ref="FO306:FO307"/>
    <mergeCell ref="FP306:FP307"/>
    <mergeCell ref="FQ306:FQ307"/>
    <mergeCell ref="FR306:FR307"/>
    <mergeCell ref="FS306:FS307"/>
    <mergeCell ref="FT306:FT307"/>
    <mergeCell ref="EE304:EE307"/>
    <mergeCell ref="EF304:EF307"/>
    <mergeCell ref="EG304:EG307"/>
    <mergeCell ref="EH304:EH307"/>
    <mergeCell ref="EI304:EI307"/>
    <mergeCell ref="EJ304:EJ307"/>
    <mergeCell ref="EK304:EK307"/>
    <mergeCell ref="EL304:EL307"/>
    <mergeCell ref="EM304:EM307"/>
    <mergeCell ref="EN304:EN307"/>
    <mergeCell ref="EO304:EO307"/>
    <mergeCell ref="EP304:EP307"/>
    <mergeCell ref="EQ304:EQ307"/>
    <mergeCell ref="ES304:ES307"/>
    <mergeCell ref="EU304:EU305"/>
    <mergeCell ref="EV304:EV305"/>
    <mergeCell ref="EW304:EW305"/>
    <mergeCell ref="EU306:EU307"/>
    <mergeCell ref="EV306:EV307"/>
    <mergeCell ref="EW306:EW307"/>
    <mergeCell ref="DH304:DH307"/>
    <mergeCell ref="DJ304:DJ305"/>
    <mergeCell ref="DL304:DL307"/>
    <mergeCell ref="DN304:DN307"/>
    <mergeCell ref="DO304:DO305"/>
    <mergeCell ref="DP304:DP307"/>
    <mergeCell ref="DQ304:DQ305"/>
    <mergeCell ref="DR304:DR307"/>
    <mergeCell ref="DS304:DS307"/>
    <mergeCell ref="DU304:DU307"/>
    <mergeCell ref="DV304:DV305"/>
    <mergeCell ref="DW304:DW307"/>
    <mergeCell ref="DX304:DX307"/>
    <mergeCell ref="DZ304:DZ307"/>
    <mergeCell ref="EA304:EA307"/>
    <mergeCell ref="EC304:EC307"/>
    <mergeCell ref="ED304:ED307"/>
    <mergeCell ref="DK306:DK307"/>
    <mergeCell ref="DO306:DO307"/>
    <mergeCell ref="DQ306:DQ307"/>
    <mergeCell ref="DV306:DV307"/>
    <mergeCell ref="EW299:EW300"/>
    <mergeCell ref="EX299:EX300"/>
    <mergeCell ref="EY299:EY300"/>
    <mergeCell ref="DL299:DL302"/>
    <mergeCell ref="DN299:DN302"/>
    <mergeCell ref="DO299:DO300"/>
    <mergeCell ref="CS304:CS305"/>
    <mergeCell ref="CT304:CT305"/>
    <mergeCell ref="CU304:CU305"/>
    <mergeCell ref="CV304:CV305"/>
    <mergeCell ref="CW304:CW305"/>
    <mergeCell ref="CX304:CX307"/>
    <mergeCell ref="CY304:CY307"/>
    <mergeCell ref="CZ304:CZ307"/>
    <mergeCell ref="DA304:DA307"/>
    <mergeCell ref="DC304:DC305"/>
    <mergeCell ref="DD304:DD305"/>
    <mergeCell ref="DE304:DE305"/>
    <mergeCell ref="DF304:DF305"/>
    <mergeCell ref="DG304:DG305"/>
    <mergeCell ref="CW306:CW307"/>
    <mergeCell ref="DC306:DC307"/>
    <mergeCell ref="DD306:DD307"/>
    <mergeCell ref="DE306:DE307"/>
    <mergeCell ref="DF306:DF307"/>
    <mergeCell ref="DG306:DG307"/>
    <mergeCell ref="CS306:CS307"/>
    <mergeCell ref="CT306:CT307"/>
    <mergeCell ref="CU306:CU307"/>
    <mergeCell ref="CV306:CV307"/>
    <mergeCell ref="DC301:DC302"/>
    <mergeCell ref="DD301:DD302"/>
    <mergeCell ref="DE301:DE302"/>
    <mergeCell ref="DF301:DF302"/>
    <mergeCell ref="DG301:DG302"/>
    <mergeCell ref="EK299:EK302"/>
    <mergeCell ref="EL299:EL302"/>
    <mergeCell ref="EM299:EM302"/>
    <mergeCell ref="EN299:EN302"/>
    <mergeCell ref="EO299:EO302"/>
    <mergeCell ref="EP299:EP302"/>
    <mergeCell ref="EQ299:EQ302"/>
    <mergeCell ref="ES299:ES302"/>
    <mergeCell ref="AV304:AV307"/>
    <mergeCell ref="AW304:AW307"/>
    <mergeCell ref="CM304:CM307"/>
    <mergeCell ref="CN304:CN307"/>
    <mergeCell ref="DK301:DK302"/>
    <mergeCell ref="DO301:DO302"/>
    <mergeCell ref="DQ301:DQ302"/>
    <mergeCell ref="DV301:DV302"/>
    <mergeCell ref="EU301:EU302"/>
    <mergeCell ref="EV301:EV302"/>
    <mergeCell ref="EW301:EW302"/>
    <mergeCell ref="EX301:EX302"/>
    <mergeCell ref="EY301:EY302"/>
    <mergeCell ref="FB301:FB302"/>
    <mergeCell ref="FI301:FI302"/>
    <mergeCell ref="FJ301:FJ302"/>
    <mergeCell ref="CR301:CR302"/>
    <mergeCell ref="CS301:CS302"/>
    <mergeCell ref="CT301:CT302"/>
    <mergeCell ref="CU301:CU302"/>
    <mergeCell ref="CV301:CV302"/>
    <mergeCell ref="FY299:FY302"/>
    <mergeCell ref="FZ299:FZ302"/>
    <mergeCell ref="GA299:GA302"/>
    <mergeCell ref="GB299:GB302"/>
    <mergeCell ref="GC299:GC302"/>
    <mergeCell ref="GD299:GD302"/>
    <mergeCell ref="GG299:GG302"/>
    <mergeCell ref="HW299:HW301"/>
    <mergeCell ref="HX299:HX300"/>
    <mergeCell ref="DP299:DP302"/>
    <mergeCell ref="DQ299:DQ300"/>
    <mergeCell ref="DR299:DR302"/>
    <mergeCell ref="DS299:DS302"/>
    <mergeCell ref="DU299:DU302"/>
    <mergeCell ref="DV299:DV300"/>
    <mergeCell ref="DW299:DW302"/>
    <mergeCell ref="DX299:DX302"/>
    <mergeCell ref="DZ299:DZ302"/>
    <mergeCell ref="EA299:EA302"/>
    <mergeCell ref="EC299:EC302"/>
    <mergeCell ref="ED299:ED302"/>
    <mergeCell ref="EE299:EE302"/>
    <mergeCell ref="EF299:EF302"/>
    <mergeCell ref="CR299:CR300"/>
    <mergeCell ref="CS299:CS300"/>
    <mergeCell ref="CT299:CT300"/>
    <mergeCell ref="CU299:CU300"/>
    <mergeCell ref="CV299:CV300"/>
    <mergeCell ref="CW299:CW300"/>
    <mergeCell ref="CX299:CX302"/>
    <mergeCell ref="CY299:CY302"/>
    <mergeCell ref="CZ299:CZ302"/>
    <mergeCell ref="DA299:DA302"/>
    <mergeCell ref="DC299:DC300"/>
    <mergeCell ref="DD299:DD300"/>
    <mergeCell ref="DE299:DE300"/>
    <mergeCell ref="DF299:DF300"/>
    <mergeCell ref="DG299:DG300"/>
    <mergeCell ref="DH299:DH302"/>
    <mergeCell ref="DJ299:DJ300"/>
    <mergeCell ref="CW301:CW302"/>
    <mergeCell ref="FK301:FK302"/>
    <mergeCell ref="FL301:FL302"/>
    <mergeCell ref="FM301:FM302"/>
    <mergeCell ref="FO301:FO302"/>
    <mergeCell ref="FP301:FP302"/>
    <mergeCell ref="HJ300:HJ301"/>
    <mergeCell ref="HK300:HK301"/>
    <mergeCell ref="HL300:HL301"/>
    <mergeCell ref="HM300:HM301"/>
    <mergeCell ref="HN300:HN301"/>
    <mergeCell ref="HO300:HO301"/>
    <mergeCell ref="HP300:HP301"/>
    <mergeCell ref="HQ300:HQ301"/>
    <mergeCell ref="HR300:HR301"/>
    <mergeCell ref="HS300:HS301"/>
    <mergeCell ref="HT300:HT301"/>
    <mergeCell ref="EU299:EU300"/>
    <mergeCell ref="EV299:EV300"/>
    <mergeCell ref="EX296:EX297"/>
    <mergeCell ref="EY296:EY297"/>
    <mergeCell ref="FB296:FB297"/>
    <mergeCell ref="FI296:FI297"/>
    <mergeCell ref="FJ296:FJ297"/>
    <mergeCell ref="FK296:FK297"/>
    <mergeCell ref="FL296:FL297"/>
    <mergeCell ref="IA299:IA302"/>
    <mergeCell ref="IB299:IB300"/>
    <mergeCell ref="IC299:IC302"/>
    <mergeCell ref="IF299:IF300"/>
    <mergeCell ref="IG299:IG302"/>
    <mergeCell ref="IH299:IH300"/>
    <mergeCell ref="II299:II302"/>
    <mergeCell ref="E300:F300"/>
    <mergeCell ref="G300:L300"/>
    <mergeCell ref="P300:Q300"/>
    <mergeCell ref="AF300:AI300"/>
    <mergeCell ref="GI300:GI301"/>
    <mergeCell ref="GJ300:GJ301"/>
    <mergeCell ref="GL300:GL301"/>
    <mergeCell ref="GM300:GM301"/>
    <mergeCell ref="HC300:HC301"/>
    <mergeCell ref="HD300:HD301"/>
    <mergeCell ref="HE300:HE301"/>
    <mergeCell ref="HF300:HF301"/>
    <mergeCell ref="HG300:HG301"/>
    <mergeCell ref="HH300:HH301"/>
    <mergeCell ref="HI300:HI301"/>
    <mergeCell ref="EZ299:EZ302"/>
    <mergeCell ref="FB299:FB300"/>
    <mergeCell ref="FD299:FD302"/>
    <mergeCell ref="FE299:FE302"/>
    <mergeCell ref="FI299:FI300"/>
    <mergeCell ref="FJ299:FJ300"/>
    <mergeCell ref="FK299:FK300"/>
    <mergeCell ref="FL299:FL300"/>
    <mergeCell ref="FM299:FM300"/>
    <mergeCell ref="FO299:FO300"/>
    <mergeCell ref="FP299:FP300"/>
    <mergeCell ref="FQ299:FQ300"/>
    <mergeCell ref="FR299:FR300"/>
    <mergeCell ref="FS299:FS300"/>
    <mergeCell ref="FT299:FT300"/>
    <mergeCell ref="FW299:FW302"/>
    <mergeCell ref="FX299:FX302"/>
    <mergeCell ref="FQ301:FQ302"/>
    <mergeCell ref="FR301:FR302"/>
    <mergeCell ref="B299:B302"/>
    <mergeCell ref="C299:D302"/>
    <mergeCell ref="E299:F299"/>
    <mergeCell ref="G299:R299"/>
    <mergeCell ref="S299:S300"/>
    <mergeCell ref="U299:AA299"/>
    <mergeCell ref="AF299:AI299"/>
    <mergeCell ref="AJ299:AJ300"/>
    <mergeCell ref="AK299:AK300"/>
    <mergeCell ref="AL299:AL300"/>
    <mergeCell ref="AM299:AN302"/>
    <mergeCell ref="AO299:AQ302"/>
    <mergeCell ref="AR299:AR302"/>
    <mergeCell ref="AS299:AS302"/>
    <mergeCell ref="AT299:AT302"/>
    <mergeCell ref="AV299:AV302"/>
    <mergeCell ref="AW299:AW302"/>
    <mergeCell ref="CM299:CM302"/>
    <mergeCell ref="CN299:CN302"/>
    <mergeCell ref="CO299:CO300"/>
    <mergeCell ref="CP299:CP300"/>
    <mergeCell ref="EL294:EL297"/>
    <mergeCell ref="EM294:EM297"/>
    <mergeCell ref="EN294:EN297"/>
    <mergeCell ref="EO294:EO297"/>
    <mergeCell ref="EP294:EP297"/>
    <mergeCell ref="EQ294:EQ297"/>
    <mergeCell ref="DD294:DD295"/>
    <mergeCell ref="DE294:DE295"/>
    <mergeCell ref="DF294:DF295"/>
    <mergeCell ref="DG294:DG295"/>
    <mergeCell ref="DH294:DH297"/>
    <mergeCell ref="DJ294:DJ295"/>
    <mergeCell ref="DL294:DL297"/>
    <mergeCell ref="DN294:DN297"/>
    <mergeCell ref="DO294:DO295"/>
    <mergeCell ref="DP294:DP297"/>
    <mergeCell ref="DQ294:DQ295"/>
    <mergeCell ref="DR294:DR297"/>
    <mergeCell ref="DS294:DS297"/>
    <mergeCell ref="DU294:DU297"/>
    <mergeCell ref="DV294:DV295"/>
    <mergeCell ref="DW294:DW297"/>
    <mergeCell ref="DX294:DX297"/>
    <mergeCell ref="E301:F301"/>
    <mergeCell ref="G301:L301"/>
    <mergeCell ref="P301:Q301"/>
    <mergeCell ref="S301:S302"/>
    <mergeCell ref="AF301:AI301"/>
    <mergeCell ref="AJ301:AJ302"/>
    <mergeCell ref="AK301:AK302"/>
    <mergeCell ref="AL301:AL302"/>
    <mergeCell ref="CO301:CO302"/>
    <mergeCell ref="CP301:CP302"/>
    <mergeCell ref="E302:F302"/>
    <mergeCell ref="G302:L302"/>
    <mergeCell ref="P302:R302"/>
    <mergeCell ref="U302:AA302"/>
    <mergeCell ref="AF302:AI302"/>
    <mergeCell ref="II294:II297"/>
    <mergeCell ref="E295:F295"/>
    <mergeCell ref="G295:L295"/>
    <mergeCell ref="P295:Q295"/>
    <mergeCell ref="AF295:AI295"/>
    <mergeCell ref="GI295:GI296"/>
    <mergeCell ref="GJ295:GJ296"/>
    <mergeCell ref="GL295:GL296"/>
    <mergeCell ref="GM295:GM296"/>
    <mergeCell ref="HC295:HC296"/>
    <mergeCell ref="HD295:HD296"/>
    <mergeCell ref="HE295:HE296"/>
    <mergeCell ref="HF295:HF296"/>
    <mergeCell ref="HG295:HG296"/>
    <mergeCell ref="HH295:HH296"/>
    <mergeCell ref="HI295:HI296"/>
    <mergeCell ref="HJ295:HJ296"/>
    <mergeCell ref="HK295:HK296"/>
    <mergeCell ref="HL295:HL296"/>
    <mergeCell ref="HM295:HM296"/>
    <mergeCell ref="HN295:HN296"/>
    <mergeCell ref="HO295:HO296"/>
    <mergeCell ref="HP295:HP296"/>
    <mergeCell ref="HQ295:HQ296"/>
    <mergeCell ref="HR295:HR296"/>
    <mergeCell ref="HS295:HS296"/>
    <mergeCell ref="HT295:HT296"/>
    <mergeCell ref="FQ294:FQ295"/>
    <mergeCell ref="FR294:FR295"/>
    <mergeCell ref="FS294:FS295"/>
    <mergeCell ref="FT294:FT295"/>
    <mergeCell ref="FW294:FW297"/>
    <mergeCell ref="FX294:FX297"/>
    <mergeCell ref="FY294:FY297"/>
    <mergeCell ref="FZ294:FZ297"/>
    <mergeCell ref="GA294:GA297"/>
    <mergeCell ref="GB294:GB297"/>
    <mergeCell ref="GC294:GC297"/>
    <mergeCell ref="GD294:GD297"/>
    <mergeCell ref="GG294:GG297"/>
    <mergeCell ref="HW294:HW296"/>
    <mergeCell ref="HX294:HX295"/>
    <mergeCell ref="IA294:IA297"/>
    <mergeCell ref="CO296:CO297"/>
    <mergeCell ref="CP296:CP297"/>
    <mergeCell ref="FS301:FS302"/>
    <mergeCell ref="FT301:FT302"/>
    <mergeCell ref="EG299:EG302"/>
    <mergeCell ref="EH299:EH302"/>
    <mergeCell ref="EI299:EI302"/>
    <mergeCell ref="EJ299:EJ302"/>
    <mergeCell ref="IB294:IB295"/>
    <mergeCell ref="HU295:HU296"/>
    <mergeCell ref="HY295:HY296"/>
    <mergeCell ref="FQ296:FQ297"/>
    <mergeCell ref="FR296:FR297"/>
    <mergeCell ref="FS296:FS297"/>
    <mergeCell ref="FT296:FT297"/>
    <mergeCell ref="HX296:HX297"/>
    <mergeCell ref="IB296:IB297"/>
    <mergeCell ref="ES294:ES297"/>
    <mergeCell ref="EU294:EU295"/>
    <mergeCell ref="EV294:EV295"/>
    <mergeCell ref="EW294:EW295"/>
    <mergeCell ref="EX294:EX295"/>
    <mergeCell ref="EY294:EY295"/>
    <mergeCell ref="EZ294:EZ297"/>
    <mergeCell ref="FB294:FB295"/>
    <mergeCell ref="FD294:FD297"/>
    <mergeCell ref="FE294:FE297"/>
    <mergeCell ref="FI294:FI295"/>
    <mergeCell ref="E293:AT293"/>
    <mergeCell ref="B294:B297"/>
    <mergeCell ref="C294:D297"/>
    <mergeCell ref="E294:F294"/>
    <mergeCell ref="G294:R294"/>
    <mergeCell ref="S294:S295"/>
    <mergeCell ref="U294:AA294"/>
    <mergeCell ref="AF294:AI294"/>
    <mergeCell ref="AJ294:AJ295"/>
    <mergeCell ref="AK294:AK295"/>
    <mergeCell ref="AL294:AL295"/>
    <mergeCell ref="AM294:AN297"/>
    <mergeCell ref="AO294:AQ297"/>
    <mergeCell ref="AR294:AR297"/>
    <mergeCell ref="AS294:AS297"/>
    <mergeCell ref="AT294:AT297"/>
    <mergeCell ref="E296:F296"/>
    <mergeCell ref="G296:L296"/>
    <mergeCell ref="P296:Q296"/>
    <mergeCell ref="S296:S297"/>
    <mergeCell ref="FM296:FM297"/>
    <mergeCell ref="FO296:FO297"/>
    <mergeCell ref="FP296:FP297"/>
    <mergeCell ref="DZ294:DZ297"/>
    <mergeCell ref="EA294:EA297"/>
    <mergeCell ref="EC294:EC297"/>
    <mergeCell ref="ED294:ED297"/>
    <mergeCell ref="EE294:EE297"/>
    <mergeCell ref="EF294:EF297"/>
    <mergeCell ref="EG294:EG297"/>
    <mergeCell ref="EH294:EH297"/>
    <mergeCell ref="EI294:EI297"/>
    <mergeCell ref="EJ294:EJ297"/>
    <mergeCell ref="EK294:EK297"/>
    <mergeCell ref="AF296:AI296"/>
    <mergeCell ref="AJ296:AJ297"/>
    <mergeCell ref="AK296:AK297"/>
    <mergeCell ref="AL296:AL297"/>
    <mergeCell ref="GB289:GB292"/>
    <mergeCell ref="GC289:GC292"/>
    <mergeCell ref="GD289:GD292"/>
    <mergeCell ref="GG289:GG292"/>
    <mergeCell ref="HW289:HW291"/>
    <mergeCell ref="HX289:HX290"/>
    <mergeCell ref="IA289:IA292"/>
    <mergeCell ref="IB289:IB290"/>
    <mergeCell ref="IC289:IC292"/>
    <mergeCell ref="IF289:IF290"/>
    <mergeCell ref="IG289:IG292"/>
    <mergeCell ref="IH289:IH290"/>
    <mergeCell ref="HX291:HX292"/>
    <mergeCell ref="IB291:IB292"/>
    <mergeCell ref="IF291:IF292"/>
    <mergeCell ref="IH291:IH292"/>
    <mergeCell ref="EX289:EX290"/>
    <mergeCell ref="AV294:AV297"/>
    <mergeCell ref="AW294:AW297"/>
    <mergeCell ref="CM294:CM297"/>
    <mergeCell ref="CN294:CN297"/>
    <mergeCell ref="CO294:CO295"/>
    <mergeCell ref="CP294:CP295"/>
    <mergeCell ref="CR294:CR295"/>
    <mergeCell ref="CS294:CS295"/>
    <mergeCell ref="CT294:CT295"/>
    <mergeCell ref="CU294:CU295"/>
    <mergeCell ref="CV294:CV295"/>
    <mergeCell ref="CW294:CW295"/>
    <mergeCell ref="CX294:CX297"/>
    <mergeCell ref="CY294:CY297"/>
    <mergeCell ref="CZ294:CZ297"/>
    <mergeCell ref="DA294:DA297"/>
    <mergeCell ref="DC294:DC295"/>
    <mergeCell ref="DC296:DC297"/>
    <mergeCell ref="DD296:DD297"/>
    <mergeCell ref="DE296:DE297"/>
    <mergeCell ref="DF296:DF297"/>
    <mergeCell ref="DG296:DG297"/>
    <mergeCell ref="DK296:DK297"/>
    <mergeCell ref="DO296:DO297"/>
    <mergeCell ref="DQ296:DQ297"/>
    <mergeCell ref="DV296:DV297"/>
    <mergeCell ref="IF296:IF297"/>
    <mergeCell ref="IH296:IH297"/>
    <mergeCell ref="CR296:CR297"/>
    <mergeCell ref="CS296:CS297"/>
    <mergeCell ref="CT296:CT297"/>
    <mergeCell ref="CU296:CU297"/>
    <mergeCell ref="CV296:CV297"/>
    <mergeCell ref="CW296:CW297"/>
    <mergeCell ref="IC294:IC297"/>
    <mergeCell ref="IF294:IF295"/>
    <mergeCell ref="IG294:IG297"/>
    <mergeCell ref="IH294:IH295"/>
    <mergeCell ref="FJ294:FJ295"/>
    <mergeCell ref="FK294:FK295"/>
    <mergeCell ref="FL294:FL295"/>
    <mergeCell ref="FM294:FM295"/>
    <mergeCell ref="FO294:FO295"/>
    <mergeCell ref="FP294:FP295"/>
    <mergeCell ref="EU296:EU297"/>
    <mergeCell ref="EV296:EV297"/>
    <mergeCell ref="EW296:EW297"/>
    <mergeCell ref="FD289:FD292"/>
    <mergeCell ref="FE289:FE292"/>
    <mergeCell ref="FI289:FI290"/>
    <mergeCell ref="FJ289:FJ290"/>
    <mergeCell ref="FK289:FK290"/>
    <mergeCell ref="FL289:FL290"/>
    <mergeCell ref="FM289:FM290"/>
    <mergeCell ref="FO289:FO290"/>
    <mergeCell ref="FP289:FP290"/>
    <mergeCell ref="FQ289:FQ290"/>
    <mergeCell ref="FR289:FR290"/>
    <mergeCell ref="FS289:FS290"/>
    <mergeCell ref="FT289:FT290"/>
    <mergeCell ref="EX291:EX292"/>
    <mergeCell ref="EY291:EY292"/>
    <mergeCell ref="FB291:FB292"/>
    <mergeCell ref="FI291:FI292"/>
    <mergeCell ref="FJ291:FJ292"/>
    <mergeCell ref="FK291:FK292"/>
    <mergeCell ref="FL291:FL292"/>
    <mergeCell ref="FM291:FM292"/>
    <mergeCell ref="FO291:FO292"/>
    <mergeCell ref="FP291:FP292"/>
    <mergeCell ref="FQ291:FQ292"/>
    <mergeCell ref="FR291:FR292"/>
    <mergeCell ref="FS291:FS292"/>
    <mergeCell ref="FT291:FT292"/>
    <mergeCell ref="EE289:EE292"/>
    <mergeCell ref="EF289:EF292"/>
    <mergeCell ref="EG289:EG292"/>
    <mergeCell ref="EH289:EH292"/>
    <mergeCell ref="EI289:EI292"/>
    <mergeCell ref="EJ289:EJ292"/>
    <mergeCell ref="EK289:EK292"/>
    <mergeCell ref="EL289:EL292"/>
    <mergeCell ref="EM289:EM292"/>
    <mergeCell ref="EN289:EN292"/>
    <mergeCell ref="EO289:EO292"/>
    <mergeCell ref="EP289:EP292"/>
    <mergeCell ref="EQ289:EQ292"/>
    <mergeCell ref="ES289:ES292"/>
    <mergeCell ref="EU289:EU290"/>
    <mergeCell ref="EV289:EV290"/>
    <mergeCell ref="EW289:EW290"/>
    <mergeCell ref="EU291:EU292"/>
    <mergeCell ref="EV291:EV292"/>
    <mergeCell ref="EW291:EW292"/>
    <mergeCell ref="DG291:DG292"/>
    <mergeCell ref="CO291:CO292"/>
    <mergeCell ref="CP291:CP292"/>
    <mergeCell ref="CR291:CR292"/>
    <mergeCell ref="CS291:CS292"/>
    <mergeCell ref="CT291:CT292"/>
    <mergeCell ref="CU291:CU292"/>
    <mergeCell ref="CV291:CV292"/>
    <mergeCell ref="E288:AT288"/>
    <mergeCell ref="B289:B292"/>
    <mergeCell ref="C289:D292"/>
    <mergeCell ref="E289:F289"/>
    <mergeCell ref="G289:R289"/>
    <mergeCell ref="S289:S290"/>
    <mergeCell ref="U289:AA289"/>
    <mergeCell ref="AF289:AI289"/>
    <mergeCell ref="AJ289:AJ290"/>
    <mergeCell ref="AK289:AK290"/>
    <mergeCell ref="AL289:AL290"/>
    <mergeCell ref="AM289:AN292"/>
    <mergeCell ref="AO289:AQ292"/>
    <mergeCell ref="AR289:AR292"/>
    <mergeCell ref="AS289:AS292"/>
    <mergeCell ref="AT289:AT292"/>
    <mergeCell ref="AV289:AV292"/>
    <mergeCell ref="AW289:AW292"/>
    <mergeCell ref="CM289:CM292"/>
    <mergeCell ref="CN289:CN292"/>
    <mergeCell ref="EY289:EY290"/>
    <mergeCell ref="EZ289:EZ292"/>
    <mergeCell ref="FB289:FB290"/>
    <mergeCell ref="E292:F292"/>
    <mergeCell ref="G292:L292"/>
    <mergeCell ref="P292:R292"/>
    <mergeCell ref="U292:AA292"/>
    <mergeCell ref="AF292:AI292"/>
    <mergeCell ref="DO291:DO292"/>
    <mergeCell ref="DQ291:DQ292"/>
    <mergeCell ref="DV291:DV292"/>
    <mergeCell ref="CO289:CO290"/>
    <mergeCell ref="CP289:CP290"/>
    <mergeCell ref="CR289:CR290"/>
    <mergeCell ref="CS289:CS290"/>
    <mergeCell ref="CT289:CT290"/>
    <mergeCell ref="CU289:CU290"/>
    <mergeCell ref="DK286:DK287"/>
    <mergeCell ref="DO286:DO287"/>
    <mergeCell ref="DQ286:DQ287"/>
    <mergeCell ref="DV286:DV287"/>
    <mergeCell ref="EU286:EU287"/>
    <mergeCell ref="DJ289:DJ290"/>
    <mergeCell ref="DL289:DL292"/>
    <mergeCell ref="DN289:DN292"/>
    <mergeCell ref="DO289:DO290"/>
    <mergeCell ref="DP289:DP292"/>
    <mergeCell ref="DQ289:DQ290"/>
    <mergeCell ref="DR289:DR292"/>
    <mergeCell ref="DS289:DS292"/>
    <mergeCell ref="DU289:DU292"/>
    <mergeCell ref="P291:Q291"/>
    <mergeCell ref="S291:S292"/>
    <mergeCell ref="AF291:AI291"/>
    <mergeCell ref="AJ291:AJ292"/>
    <mergeCell ref="AK291:AK292"/>
    <mergeCell ref="AL291:AL292"/>
    <mergeCell ref="E290:F290"/>
    <mergeCell ref="G290:L290"/>
    <mergeCell ref="P290:Q290"/>
    <mergeCell ref="AF290:AI290"/>
    <mergeCell ref="E291:F291"/>
    <mergeCell ref="G291:L291"/>
    <mergeCell ref="EL284:EL287"/>
    <mergeCell ref="EM284:EM287"/>
    <mergeCell ref="EN284:EN287"/>
    <mergeCell ref="EO284:EO287"/>
    <mergeCell ref="EP284:EP287"/>
    <mergeCell ref="ES284:ES287"/>
    <mergeCell ref="EU284:EU285"/>
    <mergeCell ref="E286:F286"/>
    <mergeCell ref="G286:L286"/>
    <mergeCell ref="DH289:DH292"/>
    <mergeCell ref="DV289:DV290"/>
    <mergeCell ref="DW289:DW292"/>
    <mergeCell ref="DX289:DX292"/>
    <mergeCell ref="DZ289:DZ292"/>
    <mergeCell ref="EA289:EA292"/>
    <mergeCell ref="EC289:EC292"/>
    <mergeCell ref="ED289:ED292"/>
    <mergeCell ref="DK291:DK292"/>
    <mergeCell ref="E285:F285"/>
    <mergeCell ref="G285:L285"/>
    <mergeCell ref="E287:F287"/>
    <mergeCell ref="G287:L287"/>
    <mergeCell ref="CV289:CV290"/>
    <mergeCell ref="CW289:CW290"/>
    <mergeCell ref="CX289:CX292"/>
    <mergeCell ref="CY289:CY292"/>
    <mergeCell ref="CZ289:CZ292"/>
    <mergeCell ref="DA289:DA292"/>
    <mergeCell ref="DC289:DC290"/>
    <mergeCell ref="DD289:DD290"/>
    <mergeCell ref="DE289:DE290"/>
    <mergeCell ref="DF289:DF290"/>
    <mergeCell ref="DG289:DG290"/>
    <mergeCell ref="CW291:CW292"/>
    <mergeCell ref="DC291:DC292"/>
    <mergeCell ref="DD291:DD292"/>
    <mergeCell ref="DE291:DE292"/>
    <mergeCell ref="DF291:DF292"/>
    <mergeCell ref="IC284:IC287"/>
    <mergeCell ref="IF284:IF285"/>
    <mergeCell ref="IG284:IG287"/>
    <mergeCell ref="IH284:IH285"/>
    <mergeCell ref="II284:II287"/>
    <mergeCell ref="DX284:DX287"/>
    <mergeCell ref="DZ284:DZ287"/>
    <mergeCell ref="EA284:EA287"/>
    <mergeCell ref="EC284:EC287"/>
    <mergeCell ref="ED284:ED287"/>
    <mergeCell ref="EE284:EE287"/>
    <mergeCell ref="EF284:EF287"/>
    <mergeCell ref="CR284:CR285"/>
    <mergeCell ref="CS284:CS285"/>
    <mergeCell ref="CT284:CT285"/>
    <mergeCell ref="CU284:CU285"/>
    <mergeCell ref="CV284:CV285"/>
    <mergeCell ref="CW284:CW285"/>
    <mergeCell ref="CX284:CX287"/>
    <mergeCell ref="CY284:CY287"/>
    <mergeCell ref="CZ284:CZ287"/>
    <mergeCell ref="DA284:DA287"/>
    <mergeCell ref="DC284:DC285"/>
    <mergeCell ref="DD284:DD285"/>
    <mergeCell ref="DE284:DE285"/>
    <mergeCell ref="DF284:DF285"/>
    <mergeCell ref="DG284:DG285"/>
    <mergeCell ref="DH284:DH287"/>
    <mergeCell ref="DJ284:DJ285"/>
    <mergeCell ref="CW286:CW287"/>
    <mergeCell ref="DC286:DC287"/>
    <mergeCell ref="DD286:DD287"/>
    <mergeCell ref="DE286:DE287"/>
    <mergeCell ref="DF286:DF287"/>
    <mergeCell ref="DG286:DG287"/>
    <mergeCell ref="HX286:HX287"/>
    <mergeCell ref="IB286:IB287"/>
    <mergeCell ref="IF286:IF287"/>
    <mergeCell ref="IH286:IH287"/>
    <mergeCell ref="EV286:EV287"/>
    <mergeCell ref="EW286:EW287"/>
    <mergeCell ref="EX286:EX287"/>
    <mergeCell ref="EY286:EY287"/>
    <mergeCell ref="FB286:FB287"/>
    <mergeCell ref="FI286:FI287"/>
    <mergeCell ref="FJ286:FJ287"/>
    <mergeCell ref="FK286:FK287"/>
    <mergeCell ref="FL286:FL287"/>
    <mergeCell ref="FM286:FM287"/>
    <mergeCell ref="FO286:FO287"/>
    <mergeCell ref="FP286:FP287"/>
    <mergeCell ref="HJ285:HJ286"/>
    <mergeCell ref="HK285:HK286"/>
    <mergeCell ref="HL285:HL286"/>
    <mergeCell ref="HM285:HM286"/>
    <mergeCell ref="HN285:HN286"/>
    <mergeCell ref="HO285:HO286"/>
    <mergeCell ref="HP285:HP286"/>
    <mergeCell ref="HQ285:HQ286"/>
    <mergeCell ref="HR285:HR286"/>
    <mergeCell ref="HS285:HS286"/>
    <mergeCell ref="HT285:HT286"/>
    <mergeCell ref="HU285:HU286"/>
    <mergeCell ref="HY285:HY286"/>
    <mergeCell ref="IA279:IA282"/>
    <mergeCell ref="IB279:IB280"/>
    <mergeCell ref="HU280:HU281"/>
    <mergeCell ref="HY280:HY281"/>
    <mergeCell ref="FQ281:FQ282"/>
    <mergeCell ref="FR281:FR282"/>
    <mergeCell ref="FS281:FS282"/>
    <mergeCell ref="EV284:EV285"/>
    <mergeCell ref="EW284:EW285"/>
    <mergeCell ref="EX284:EX285"/>
    <mergeCell ref="EY284:EY285"/>
    <mergeCell ref="DL284:DL287"/>
    <mergeCell ref="DN284:DN287"/>
    <mergeCell ref="DO284:DO285"/>
    <mergeCell ref="DP284:DP287"/>
    <mergeCell ref="DQ284:DQ285"/>
    <mergeCell ref="DR284:DR287"/>
    <mergeCell ref="DS284:DS287"/>
    <mergeCell ref="DU284:DU287"/>
    <mergeCell ref="DV284:DV285"/>
    <mergeCell ref="DW284:DW287"/>
    <mergeCell ref="P286:Q286"/>
    <mergeCell ref="S286:S287"/>
    <mergeCell ref="AF286:AI286"/>
    <mergeCell ref="AJ286:AJ287"/>
    <mergeCell ref="AK286:AK287"/>
    <mergeCell ref="AL286:AL287"/>
    <mergeCell ref="CO286:CO287"/>
    <mergeCell ref="CP286:CP287"/>
    <mergeCell ref="CR286:CR287"/>
    <mergeCell ref="CS286:CS287"/>
    <mergeCell ref="CT286:CT287"/>
    <mergeCell ref="CU286:CU287"/>
    <mergeCell ref="CV286:CV287"/>
    <mergeCell ref="CW281:CW282"/>
    <mergeCell ref="DC281:DC282"/>
    <mergeCell ref="DD281:DD282"/>
    <mergeCell ref="DE281:DE282"/>
    <mergeCell ref="DF281:DF282"/>
    <mergeCell ref="DG281:DG282"/>
    <mergeCell ref="FY284:FY287"/>
    <mergeCell ref="FZ284:FZ287"/>
    <mergeCell ref="GA284:GA287"/>
    <mergeCell ref="GB284:GB287"/>
    <mergeCell ref="GC284:GC287"/>
    <mergeCell ref="GD284:GD287"/>
    <mergeCell ref="GG284:GG287"/>
    <mergeCell ref="HW284:HW286"/>
    <mergeCell ref="HX284:HX285"/>
    <mergeCell ref="IA284:IA287"/>
    <mergeCell ref="IB284:IB285"/>
    <mergeCell ref="P287:R287"/>
    <mergeCell ref="U287:AA287"/>
    <mergeCell ref="AF287:AI287"/>
    <mergeCell ref="EV281:EV282"/>
    <mergeCell ref="EW281:EW282"/>
    <mergeCell ref="EX281:EX282"/>
    <mergeCell ref="EY281:EY282"/>
    <mergeCell ref="P285:Q285"/>
    <mergeCell ref="AF285:AI285"/>
    <mergeCell ref="GI285:GI286"/>
    <mergeCell ref="GJ285:GJ286"/>
    <mergeCell ref="GL285:GL286"/>
    <mergeCell ref="GM285:GM286"/>
    <mergeCell ref="HC285:HC286"/>
    <mergeCell ref="HD285:HD286"/>
    <mergeCell ref="HE285:HE286"/>
    <mergeCell ref="HF285:HF286"/>
    <mergeCell ref="HG285:HG286"/>
    <mergeCell ref="HH285:HH286"/>
    <mergeCell ref="HI285:HI286"/>
    <mergeCell ref="EZ284:EZ287"/>
    <mergeCell ref="FB284:FB285"/>
    <mergeCell ref="FD284:FD287"/>
    <mergeCell ref="FE284:FE287"/>
    <mergeCell ref="FI284:FI285"/>
    <mergeCell ref="FJ284:FJ285"/>
    <mergeCell ref="FK284:FK285"/>
    <mergeCell ref="FL284:FL285"/>
    <mergeCell ref="FM284:FM285"/>
    <mergeCell ref="FO284:FO285"/>
    <mergeCell ref="FP284:FP285"/>
    <mergeCell ref="FQ284:FQ285"/>
    <mergeCell ref="FR284:FR285"/>
    <mergeCell ref="FS284:FS285"/>
    <mergeCell ref="FT284:FT285"/>
    <mergeCell ref="FW284:FW287"/>
    <mergeCell ref="FX284:FX287"/>
    <mergeCell ref="FQ286:FQ287"/>
    <mergeCell ref="FR286:FR287"/>
    <mergeCell ref="FS286:FS287"/>
    <mergeCell ref="FT286:FT287"/>
    <mergeCell ref="EG284:EG287"/>
    <mergeCell ref="EH284:EH287"/>
    <mergeCell ref="EI284:EI287"/>
    <mergeCell ref="EJ284:EJ287"/>
    <mergeCell ref="EK284:EK287"/>
    <mergeCell ref="EQ284:EQ287"/>
    <mergeCell ref="FD279:FD282"/>
    <mergeCell ref="FE279:FE282"/>
    <mergeCell ref="FI279:FI280"/>
    <mergeCell ref="IF281:IF282"/>
    <mergeCell ref="IH281:IH282"/>
    <mergeCell ref="E282:F282"/>
    <mergeCell ref="G282:L282"/>
    <mergeCell ref="P282:R282"/>
    <mergeCell ref="U282:AA282"/>
    <mergeCell ref="AF282:AI282"/>
    <mergeCell ref="E283:AT283"/>
    <mergeCell ref="B284:B287"/>
    <mergeCell ref="C284:D287"/>
    <mergeCell ref="E284:F284"/>
    <mergeCell ref="G284:R284"/>
    <mergeCell ref="S284:S285"/>
    <mergeCell ref="U284:AA284"/>
    <mergeCell ref="AF284:AI284"/>
    <mergeCell ref="AJ284:AJ285"/>
    <mergeCell ref="AK284:AK285"/>
    <mergeCell ref="AL284:AL285"/>
    <mergeCell ref="AM284:AN287"/>
    <mergeCell ref="AO284:AQ287"/>
    <mergeCell ref="AR284:AR287"/>
    <mergeCell ref="AS284:AS287"/>
    <mergeCell ref="AT284:AT287"/>
    <mergeCell ref="AV284:AV287"/>
    <mergeCell ref="AW284:AW287"/>
    <mergeCell ref="CM284:CM287"/>
    <mergeCell ref="CN284:CN287"/>
    <mergeCell ref="CO284:CO285"/>
    <mergeCell ref="CP284:CP285"/>
    <mergeCell ref="AF281:AI281"/>
    <mergeCell ref="AJ281:AJ282"/>
    <mergeCell ref="AK281:AK282"/>
    <mergeCell ref="AL281:AL282"/>
    <mergeCell ref="CO281:CO282"/>
    <mergeCell ref="CP281:CP282"/>
    <mergeCell ref="CR281:CR282"/>
    <mergeCell ref="CS281:CS282"/>
    <mergeCell ref="CT281:CT282"/>
    <mergeCell ref="CU281:CU282"/>
    <mergeCell ref="CV281:CV282"/>
    <mergeCell ref="DD279:DD280"/>
    <mergeCell ref="DE279:DE280"/>
    <mergeCell ref="DF279:DF280"/>
    <mergeCell ref="DG279:DG280"/>
    <mergeCell ref="DH279:DH282"/>
    <mergeCell ref="DJ279:DJ280"/>
    <mergeCell ref="DL279:DL282"/>
    <mergeCell ref="DN279:DN282"/>
    <mergeCell ref="DO279:DO280"/>
    <mergeCell ref="DP279:DP282"/>
    <mergeCell ref="IC279:IC282"/>
    <mergeCell ref="IF279:IF280"/>
    <mergeCell ref="IG279:IG282"/>
    <mergeCell ref="IH279:IH280"/>
    <mergeCell ref="FJ279:FJ280"/>
    <mergeCell ref="FK279:FK280"/>
    <mergeCell ref="FL279:FL280"/>
    <mergeCell ref="FM279:FM280"/>
    <mergeCell ref="FO279:FO280"/>
    <mergeCell ref="FP279:FP280"/>
    <mergeCell ref="EU281:EU282"/>
    <mergeCell ref="DQ279:DQ280"/>
    <mergeCell ref="DR279:DR282"/>
    <mergeCell ref="DS279:DS282"/>
    <mergeCell ref="DU279:DU282"/>
    <mergeCell ref="DV279:DV280"/>
    <mergeCell ref="DW279:DW282"/>
    <mergeCell ref="DX279:DX282"/>
    <mergeCell ref="DK281:DK282"/>
    <mergeCell ref="DO281:DO282"/>
    <mergeCell ref="DQ281:DQ282"/>
    <mergeCell ref="DV281:DV282"/>
    <mergeCell ref="II279:II282"/>
    <mergeCell ref="E280:F280"/>
    <mergeCell ref="G280:L280"/>
    <mergeCell ref="P280:Q280"/>
    <mergeCell ref="AF280:AI280"/>
    <mergeCell ref="GI280:GI281"/>
    <mergeCell ref="GJ280:GJ281"/>
    <mergeCell ref="GL280:GL281"/>
    <mergeCell ref="GM280:GM281"/>
    <mergeCell ref="HC280:HC281"/>
    <mergeCell ref="HD280:HD281"/>
    <mergeCell ref="HE280:HE281"/>
    <mergeCell ref="HF280:HF281"/>
    <mergeCell ref="HG280:HG281"/>
    <mergeCell ref="HH280:HH281"/>
    <mergeCell ref="HI280:HI281"/>
    <mergeCell ref="HJ280:HJ281"/>
    <mergeCell ref="HK280:HK281"/>
    <mergeCell ref="HL280:HL281"/>
    <mergeCell ref="HM280:HM281"/>
    <mergeCell ref="HN280:HN281"/>
    <mergeCell ref="HO280:HO281"/>
    <mergeCell ref="HP280:HP281"/>
    <mergeCell ref="HQ280:HQ281"/>
    <mergeCell ref="HR280:HR281"/>
    <mergeCell ref="HS280:HS281"/>
    <mergeCell ref="HT280:HT281"/>
    <mergeCell ref="FQ279:FQ280"/>
    <mergeCell ref="FR279:FR280"/>
    <mergeCell ref="FS279:FS280"/>
    <mergeCell ref="FT279:FT280"/>
    <mergeCell ref="FW279:FW282"/>
    <mergeCell ref="FX279:FX282"/>
    <mergeCell ref="FY279:FY282"/>
    <mergeCell ref="FZ279:FZ282"/>
    <mergeCell ref="GA279:GA282"/>
    <mergeCell ref="GB279:GB282"/>
    <mergeCell ref="GC279:GC282"/>
    <mergeCell ref="GD279:GD282"/>
    <mergeCell ref="GG279:GG282"/>
    <mergeCell ref="HW279:HW281"/>
    <mergeCell ref="HX279:HX280"/>
    <mergeCell ref="FT281:FT282"/>
    <mergeCell ref="HX281:HX282"/>
    <mergeCell ref="IB281:IB282"/>
    <mergeCell ref="ES279:ES282"/>
    <mergeCell ref="EU279:EU280"/>
    <mergeCell ref="EV279:EV280"/>
    <mergeCell ref="EW279:EW280"/>
    <mergeCell ref="EX279:EX280"/>
    <mergeCell ref="EY279:EY280"/>
    <mergeCell ref="EZ279:EZ282"/>
    <mergeCell ref="FB279:FB280"/>
    <mergeCell ref="B279:B282"/>
    <mergeCell ref="C279:D282"/>
    <mergeCell ref="E279:F279"/>
    <mergeCell ref="G279:R279"/>
    <mergeCell ref="S279:S280"/>
    <mergeCell ref="U279:AA279"/>
    <mergeCell ref="AF279:AI279"/>
    <mergeCell ref="AJ279:AJ280"/>
    <mergeCell ref="AK279:AK280"/>
    <mergeCell ref="AL279:AL280"/>
    <mergeCell ref="AM279:AN282"/>
    <mergeCell ref="AO279:AQ282"/>
    <mergeCell ref="AR279:AR282"/>
    <mergeCell ref="AS279:AS282"/>
    <mergeCell ref="AT279:AT282"/>
    <mergeCell ref="E281:F281"/>
    <mergeCell ref="G281:L281"/>
    <mergeCell ref="P281:Q281"/>
    <mergeCell ref="S281:S282"/>
    <mergeCell ref="B274:B277"/>
    <mergeCell ref="C274:D277"/>
    <mergeCell ref="P276:Q276"/>
    <mergeCell ref="S276:S277"/>
    <mergeCell ref="AF276:AI276"/>
    <mergeCell ref="AJ276:AJ277"/>
    <mergeCell ref="AK276:AK277"/>
    <mergeCell ref="AL276:AL277"/>
    <mergeCell ref="E275:F275"/>
    <mergeCell ref="G275:L275"/>
    <mergeCell ref="P275:Q275"/>
    <mergeCell ref="AF275:AI275"/>
    <mergeCell ref="E276:F276"/>
    <mergeCell ref="G276:L276"/>
    <mergeCell ref="E277:F277"/>
    <mergeCell ref="G277:L277"/>
    <mergeCell ref="P277:R277"/>
    <mergeCell ref="U277:AA277"/>
    <mergeCell ref="AF277:AI277"/>
    <mergeCell ref="IC274:IC277"/>
    <mergeCell ref="IF274:IF275"/>
    <mergeCell ref="IG274:IG277"/>
    <mergeCell ref="IH274:IH275"/>
    <mergeCell ref="HX276:HX277"/>
    <mergeCell ref="IB276:IB277"/>
    <mergeCell ref="IF276:IF277"/>
    <mergeCell ref="IH276:IH277"/>
    <mergeCell ref="EX274:EX275"/>
    <mergeCell ref="EY274:EY275"/>
    <mergeCell ref="EZ274:EZ277"/>
    <mergeCell ref="FB274:FB275"/>
    <mergeCell ref="FD274:FD277"/>
    <mergeCell ref="FE274:FE277"/>
    <mergeCell ref="FI274:FI275"/>
    <mergeCell ref="FJ274:FJ275"/>
    <mergeCell ref="FK274:FK275"/>
    <mergeCell ref="FL274:FL275"/>
    <mergeCell ref="FM274:FM275"/>
    <mergeCell ref="AV279:AV282"/>
    <mergeCell ref="AW279:AW282"/>
    <mergeCell ref="CM279:CM282"/>
    <mergeCell ref="CN279:CN282"/>
    <mergeCell ref="CO279:CO280"/>
    <mergeCell ref="CP279:CP280"/>
    <mergeCell ref="CR279:CR280"/>
    <mergeCell ref="CS279:CS280"/>
    <mergeCell ref="CT279:CT280"/>
    <mergeCell ref="CU279:CU280"/>
    <mergeCell ref="CV279:CV280"/>
    <mergeCell ref="CW279:CW280"/>
    <mergeCell ref="CX279:CX282"/>
    <mergeCell ref="CY279:CY282"/>
    <mergeCell ref="CZ279:CZ282"/>
    <mergeCell ref="DA279:DA282"/>
    <mergeCell ref="DC279:DC280"/>
    <mergeCell ref="CO276:CO277"/>
    <mergeCell ref="CP276:CP277"/>
    <mergeCell ref="CR276:CR277"/>
    <mergeCell ref="FB281:FB282"/>
    <mergeCell ref="FI281:FI282"/>
    <mergeCell ref="FJ281:FJ282"/>
    <mergeCell ref="FK281:FK282"/>
    <mergeCell ref="FL281:FL282"/>
    <mergeCell ref="FM281:FM282"/>
    <mergeCell ref="FO281:FO282"/>
    <mergeCell ref="FP281:FP282"/>
    <mergeCell ref="DZ279:DZ282"/>
    <mergeCell ref="EA279:EA282"/>
    <mergeCell ref="EC279:EC282"/>
    <mergeCell ref="ED279:ED282"/>
    <mergeCell ref="EE279:EE282"/>
    <mergeCell ref="EF279:EF282"/>
    <mergeCell ref="EG279:EG282"/>
    <mergeCell ref="EH279:EH282"/>
    <mergeCell ref="EI279:EI282"/>
    <mergeCell ref="EJ279:EJ282"/>
    <mergeCell ref="EK279:EK282"/>
    <mergeCell ref="EL279:EL282"/>
    <mergeCell ref="EM279:EM282"/>
    <mergeCell ref="EN279:EN282"/>
    <mergeCell ref="EO279:EO282"/>
    <mergeCell ref="EP279:EP282"/>
    <mergeCell ref="EQ279:EQ282"/>
    <mergeCell ref="FO274:FO275"/>
    <mergeCell ref="FP274:FP275"/>
    <mergeCell ref="FQ274:FQ275"/>
    <mergeCell ref="FR274:FR275"/>
    <mergeCell ref="FS274:FS275"/>
    <mergeCell ref="FT274:FT275"/>
    <mergeCell ref="EX276:EX277"/>
    <mergeCell ref="EY276:EY277"/>
    <mergeCell ref="FB276:FB277"/>
    <mergeCell ref="FI276:FI277"/>
    <mergeCell ref="FJ276:FJ277"/>
    <mergeCell ref="FK276:FK277"/>
    <mergeCell ref="FL276:FL277"/>
    <mergeCell ref="FM276:FM277"/>
    <mergeCell ref="FO276:FO277"/>
    <mergeCell ref="FP276:FP277"/>
    <mergeCell ref="FQ276:FQ277"/>
    <mergeCell ref="FR276:FR277"/>
    <mergeCell ref="FS276:FS277"/>
    <mergeCell ref="FT276:FT277"/>
    <mergeCell ref="EE274:EE277"/>
    <mergeCell ref="EF274:EF277"/>
    <mergeCell ref="EG274:EG277"/>
    <mergeCell ref="EH274:EH277"/>
    <mergeCell ref="EI274:EI277"/>
    <mergeCell ref="EJ274:EJ277"/>
    <mergeCell ref="EK274:EK277"/>
    <mergeCell ref="EL274:EL277"/>
    <mergeCell ref="EM274:EM277"/>
    <mergeCell ref="EN274:EN277"/>
    <mergeCell ref="EO274:EO277"/>
    <mergeCell ref="EP274:EP277"/>
    <mergeCell ref="EQ274:EQ277"/>
    <mergeCell ref="ES274:ES277"/>
    <mergeCell ref="EU274:EU275"/>
    <mergeCell ref="EV274:EV275"/>
    <mergeCell ref="EW274:EW275"/>
    <mergeCell ref="EU276:EU277"/>
    <mergeCell ref="EV276:EV277"/>
    <mergeCell ref="EW276:EW277"/>
    <mergeCell ref="DL274:DL277"/>
    <mergeCell ref="DN274:DN277"/>
    <mergeCell ref="DO274:DO275"/>
    <mergeCell ref="DP274:DP277"/>
    <mergeCell ref="DQ274:DQ275"/>
    <mergeCell ref="DR274:DR277"/>
    <mergeCell ref="DS274:DS277"/>
    <mergeCell ref="DU274:DU277"/>
    <mergeCell ref="DV274:DV275"/>
    <mergeCell ref="DW274:DW277"/>
    <mergeCell ref="DX274:DX277"/>
    <mergeCell ref="DZ274:DZ277"/>
    <mergeCell ref="EA274:EA277"/>
    <mergeCell ref="EC274:EC277"/>
    <mergeCell ref="ED274:ED277"/>
    <mergeCell ref="DK276:DK277"/>
    <mergeCell ref="DO276:DO277"/>
    <mergeCell ref="DQ276:DQ277"/>
    <mergeCell ref="DV276:DV277"/>
    <mergeCell ref="CO274:CO275"/>
    <mergeCell ref="CP274:CP275"/>
    <mergeCell ref="CR274:CR275"/>
    <mergeCell ref="CS274:CS275"/>
    <mergeCell ref="CT274:CT275"/>
    <mergeCell ref="CU274:CU275"/>
    <mergeCell ref="CV274:CV275"/>
    <mergeCell ref="CW274:CW275"/>
    <mergeCell ref="CX274:CX277"/>
    <mergeCell ref="CY274:CY277"/>
    <mergeCell ref="CZ274:CZ277"/>
    <mergeCell ref="DA274:DA277"/>
    <mergeCell ref="DC274:DC275"/>
    <mergeCell ref="DD274:DD275"/>
    <mergeCell ref="DE274:DE275"/>
    <mergeCell ref="DF274:DF275"/>
    <mergeCell ref="DG274:DG275"/>
    <mergeCell ref="CW276:CW277"/>
    <mergeCell ref="DC276:DC277"/>
    <mergeCell ref="DD276:DD277"/>
    <mergeCell ref="DE276:DE277"/>
    <mergeCell ref="DF276:DF277"/>
    <mergeCell ref="DG276:DG277"/>
    <mergeCell ref="CS276:CS277"/>
    <mergeCell ref="CT276:CT277"/>
    <mergeCell ref="CU276:CU277"/>
    <mergeCell ref="CV276:CV277"/>
    <mergeCell ref="HX271:HX272"/>
    <mergeCell ref="IB271:IB272"/>
    <mergeCell ref="IF271:IF272"/>
    <mergeCell ref="IH271:IH272"/>
    <mergeCell ref="E272:F272"/>
    <mergeCell ref="G272:L272"/>
    <mergeCell ref="P272:R272"/>
    <mergeCell ref="U272:AA272"/>
    <mergeCell ref="AF272:AI272"/>
    <mergeCell ref="E273:AT273"/>
    <mergeCell ref="E274:F274"/>
    <mergeCell ref="G274:R274"/>
    <mergeCell ref="S274:S275"/>
    <mergeCell ref="U274:AA274"/>
    <mergeCell ref="AF274:AI274"/>
    <mergeCell ref="AJ274:AJ275"/>
    <mergeCell ref="AK274:AK275"/>
    <mergeCell ref="AL274:AL275"/>
    <mergeCell ref="AM274:AN277"/>
    <mergeCell ref="AO274:AQ277"/>
    <mergeCell ref="AR274:AR277"/>
    <mergeCell ref="AS274:AS277"/>
    <mergeCell ref="AT274:AT277"/>
    <mergeCell ref="AV274:AV277"/>
    <mergeCell ref="AW274:AW277"/>
    <mergeCell ref="CM274:CM277"/>
    <mergeCell ref="CN274:CN277"/>
    <mergeCell ref="DK271:DK272"/>
    <mergeCell ref="DO271:DO272"/>
    <mergeCell ref="DQ271:DQ272"/>
    <mergeCell ref="DV271:DV272"/>
    <mergeCell ref="EU271:EU272"/>
    <mergeCell ref="EV271:EV272"/>
    <mergeCell ref="EW271:EW272"/>
    <mergeCell ref="EX271:EX272"/>
    <mergeCell ref="EY271:EY272"/>
    <mergeCell ref="FB271:FB272"/>
    <mergeCell ref="FI271:FI272"/>
    <mergeCell ref="FJ271:FJ272"/>
    <mergeCell ref="FK271:FK272"/>
    <mergeCell ref="FL271:FL272"/>
    <mergeCell ref="FM271:FM272"/>
    <mergeCell ref="FO271:FO272"/>
    <mergeCell ref="FP271:FP272"/>
    <mergeCell ref="HJ270:HJ271"/>
    <mergeCell ref="HK270:HK271"/>
    <mergeCell ref="HL270:HL271"/>
    <mergeCell ref="HM270:HM271"/>
    <mergeCell ref="HN270:HN271"/>
    <mergeCell ref="HO270:HO271"/>
    <mergeCell ref="HP270:HP271"/>
    <mergeCell ref="HQ270:HQ271"/>
    <mergeCell ref="HR270:HR271"/>
    <mergeCell ref="HS270:HS271"/>
    <mergeCell ref="HT270:HT271"/>
    <mergeCell ref="E271:F271"/>
    <mergeCell ref="G271:L271"/>
    <mergeCell ref="P271:Q271"/>
    <mergeCell ref="S271:S272"/>
    <mergeCell ref="DH274:DH277"/>
    <mergeCell ref="DJ274:DJ275"/>
    <mergeCell ref="CT271:CT272"/>
    <mergeCell ref="CU271:CU272"/>
    <mergeCell ref="CV271:CV272"/>
    <mergeCell ref="FZ269:FZ272"/>
    <mergeCell ref="DP269:DP272"/>
    <mergeCell ref="DQ269:DQ270"/>
    <mergeCell ref="DR269:DR272"/>
    <mergeCell ref="DS269:DS272"/>
    <mergeCell ref="DU269:DU272"/>
    <mergeCell ref="DV269:DV270"/>
    <mergeCell ref="DW269:DW272"/>
    <mergeCell ref="DX269:DX272"/>
    <mergeCell ref="DZ269:DZ272"/>
    <mergeCell ref="EA269:EA272"/>
    <mergeCell ref="EC269:EC272"/>
    <mergeCell ref="ED269:ED272"/>
    <mergeCell ref="EE269:EE272"/>
    <mergeCell ref="EF269:EF272"/>
    <mergeCell ref="CR269:CR270"/>
    <mergeCell ref="CS269:CS270"/>
    <mergeCell ref="CT269:CT270"/>
    <mergeCell ref="CU269:CU270"/>
    <mergeCell ref="CV269:CV270"/>
    <mergeCell ref="CW269:CW270"/>
    <mergeCell ref="CX269:CX272"/>
    <mergeCell ref="CY269:CY272"/>
    <mergeCell ref="CZ269:CZ272"/>
    <mergeCell ref="DA269:DA272"/>
    <mergeCell ref="DC269:DC270"/>
    <mergeCell ref="DD269:DD270"/>
    <mergeCell ref="DE269:DE270"/>
    <mergeCell ref="DF269:DF270"/>
    <mergeCell ref="DG269:DG270"/>
    <mergeCell ref="DH269:DH272"/>
    <mergeCell ref="DJ269:DJ270"/>
    <mergeCell ref="CW271:CW272"/>
    <mergeCell ref="DC271:DC272"/>
    <mergeCell ref="DD271:DD272"/>
    <mergeCell ref="DE271:DE272"/>
    <mergeCell ref="DF271:DF272"/>
    <mergeCell ref="DG271:DG272"/>
    <mergeCell ref="IA269:IA272"/>
    <mergeCell ref="IB269:IB270"/>
    <mergeCell ref="IC269:IC272"/>
    <mergeCell ref="IF269:IF270"/>
    <mergeCell ref="IG269:IG272"/>
    <mergeCell ref="IH269:IH270"/>
    <mergeCell ref="II269:II272"/>
    <mergeCell ref="E270:F270"/>
    <mergeCell ref="G270:L270"/>
    <mergeCell ref="P270:Q270"/>
    <mergeCell ref="AF270:AI270"/>
    <mergeCell ref="GI270:GI271"/>
    <mergeCell ref="GJ270:GJ271"/>
    <mergeCell ref="GL270:GL271"/>
    <mergeCell ref="GM270:GM271"/>
    <mergeCell ref="HC270:HC271"/>
    <mergeCell ref="HD270:HD271"/>
    <mergeCell ref="HE270:HE271"/>
    <mergeCell ref="HF270:HF271"/>
    <mergeCell ref="HG270:HG271"/>
    <mergeCell ref="HH270:HH271"/>
    <mergeCell ref="HI270:HI271"/>
    <mergeCell ref="EZ269:EZ272"/>
    <mergeCell ref="FB269:FB270"/>
    <mergeCell ref="FD269:FD272"/>
    <mergeCell ref="FE269:FE272"/>
    <mergeCell ref="FI269:FI270"/>
    <mergeCell ref="FJ269:FJ270"/>
    <mergeCell ref="FK269:FK270"/>
    <mergeCell ref="FL269:FL270"/>
    <mergeCell ref="FM269:FM270"/>
    <mergeCell ref="FO269:FO270"/>
    <mergeCell ref="FP269:FP270"/>
    <mergeCell ref="FQ269:FQ270"/>
    <mergeCell ref="FR269:FR270"/>
    <mergeCell ref="FS269:FS270"/>
    <mergeCell ref="FT269:FT270"/>
    <mergeCell ref="FW269:FW272"/>
    <mergeCell ref="FX269:FX272"/>
    <mergeCell ref="FQ271:FQ272"/>
    <mergeCell ref="FR271:FR272"/>
    <mergeCell ref="FS271:FS272"/>
    <mergeCell ref="FT271:FT272"/>
    <mergeCell ref="EG269:EG272"/>
    <mergeCell ref="EH269:EH272"/>
    <mergeCell ref="EI269:EI272"/>
    <mergeCell ref="EJ269:EJ272"/>
    <mergeCell ref="EK269:EK272"/>
    <mergeCell ref="EL269:EL272"/>
    <mergeCell ref="EM269:EM272"/>
    <mergeCell ref="EN269:EN272"/>
    <mergeCell ref="EO269:EO272"/>
    <mergeCell ref="EP269:EP272"/>
    <mergeCell ref="EQ269:EQ272"/>
    <mergeCell ref="ES269:ES272"/>
    <mergeCell ref="EU269:EU270"/>
    <mergeCell ref="EV269:EV270"/>
    <mergeCell ref="EW269:EW270"/>
    <mergeCell ref="EX269:EX270"/>
    <mergeCell ref="EY269:EY270"/>
    <mergeCell ref="DL269:DL272"/>
    <mergeCell ref="DN269:DN272"/>
    <mergeCell ref="DO269:DO270"/>
    <mergeCell ref="FY269:FY272"/>
    <mergeCell ref="B269:B272"/>
    <mergeCell ref="C269:D272"/>
    <mergeCell ref="E269:F269"/>
    <mergeCell ref="G269:R269"/>
    <mergeCell ref="S269:S270"/>
    <mergeCell ref="U269:AA269"/>
    <mergeCell ref="AF269:AI269"/>
    <mergeCell ref="AJ269:AJ270"/>
    <mergeCell ref="AK269:AK270"/>
    <mergeCell ref="AL269:AL270"/>
    <mergeCell ref="AM269:AN272"/>
    <mergeCell ref="AO269:AQ272"/>
    <mergeCell ref="AR269:AR272"/>
    <mergeCell ref="AS269:AS272"/>
    <mergeCell ref="AT269:AT272"/>
    <mergeCell ref="AV269:AV272"/>
    <mergeCell ref="AW269:AW272"/>
    <mergeCell ref="CM269:CM272"/>
    <mergeCell ref="CN269:CN272"/>
    <mergeCell ref="CO269:CO270"/>
    <mergeCell ref="CP269:CP270"/>
    <mergeCell ref="AF266:AI266"/>
    <mergeCell ref="AJ266:AJ267"/>
    <mergeCell ref="AK266:AK267"/>
    <mergeCell ref="AL266:AL267"/>
    <mergeCell ref="CO266:CO267"/>
    <mergeCell ref="CP266:CP267"/>
    <mergeCell ref="CR266:CR267"/>
    <mergeCell ref="CS266:CS267"/>
    <mergeCell ref="AF271:AI271"/>
    <mergeCell ref="AJ271:AJ272"/>
    <mergeCell ref="AK271:AK272"/>
    <mergeCell ref="AL271:AL272"/>
    <mergeCell ref="CO271:CO272"/>
    <mergeCell ref="CP271:CP272"/>
    <mergeCell ref="CR271:CR272"/>
    <mergeCell ref="CS271:CS272"/>
    <mergeCell ref="B264:B267"/>
    <mergeCell ref="C264:D267"/>
    <mergeCell ref="G264:R264"/>
    <mergeCell ref="S264:S265"/>
    <mergeCell ref="U264:AA264"/>
    <mergeCell ref="AF264:AI264"/>
    <mergeCell ref="AJ264:AJ265"/>
    <mergeCell ref="AK264:AK265"/>
    <mergeCell ref="AL264:AL265"/>
    <mergeCell ref="AM264:AN267"/>
    <mergeCell ref="AO264:AQ267"/>
    <mergeCell ref="AR264:AR267"/>
    <mergeCell ref="AS264:AS267"/>
    <mergeCell ref="AT264:AT267"/>
    <mergeCell ref="E266:F266"/>
    <mergeCell ref="G266:L266"/>
    <mergeCell ref="P266:Q266"/>
    <mergeCell ref="S266:S267"/>
    <mergeCell ref="II264:II267"/>
    <mergeCell ref="E265:F265"/>
    <mergeCell ref="G265:L265"/>
    <mergeCell ref="P265:Q265"/>
    <mergeCell ref="AF265:AI265"/>
    <mergeCell ref="GI265:GI266"/>
    <mergeCell ref="GJ265:GJ266"/>
    <mergeCell ref="GL265:GL266"/>
    <mergeCell ref="GM265:GM266"/>
    <mergeCell ref="HC265:HC266"/>
    <mergeCell ref="HD265:HD266"/>
    <mergeCell ref="HE265:HE266"/>
    <mergeCell ref="HF265:HF266"/>
    <mergeCell ref="HG265:HG266"/>
    <mergeCell ref="HH265:HH266"/>
    <mergeCell ref="HI265:HI266"/>
    <mergeCell ref="HJ265:HJ266"/>
    <mergeCell ref="HK265:HK266"/>
    <mergeCell ref="HL265:HL266"/>
    <mergeCell ref="HM265:HM266"/>
    <mergeCell ref="HN265:HN266"/>
    <mergeCell ref="HO265:HO266"/>
    <mergeCell ref="HP265:HP266"/>
    <mergeCell ref="HQ265:HQ266"/>
    <mergeCell ref="HR265:HR266"/>
    <mergeCell ref="HS265:HS266"/>
    <mergeCell ref="HT265:HT266"/>
    <mergeCell ref="FQ264:FQ265"/>
    <mergeCell ref="FR264:FR265"/>
    <mergeCell ref="FS264:FS265"/>
    <mergeCell ref="FT264:FT265"/>
    <mergeCell ref="FW264:FW267"/>
    <mergeCell ref="FX264:FX267"/>
    <mergeCell ref="FY264:FY267"/>
    <mergeCell ref="FZ264:FZ267"/>
    <mergeCell ref="FQ266:FQ267"/>
    <mergeCell ref="FR266:FR267"/>
    <mergeCell ref="FS266:FS267"/>
    <mergeCell ref="FT266:FT267"/>
    <mergeCell ref="HX266:HX267"/>
    <mergeCell ref="IB266:IB267"/>
    <mergeCell ref="ES264:ES267"/>
    <mergeCell ref="EU264:EU265"/>
    <mergeCell ref="EV264:EV265"/>
    <mergeCell ref="EW264:EW265"/>
    <mergeCell ref="EX264:EX265"/>
    <mergeCell ref="EY264:EY265"/>
    <mergeCell ref="EZ264:EZ267"/>
    <mergeCell ref="FB264:FB265"/>
    <mergeCell ref="FD264:FD267"/>
    <mergeCell ref="FE264:FE267"/>
    <mergeCell ref="FI264:FI265"/>
    <mergeCell ref="IF266:IF267"/>
    <mergeCell ref="IH266:IH267"/>
    <mergeCell ref="E267:F267"/>
    <mergeCell ref="G267:L267"/>
    <mergeCell ref="P267:R267"/>
    <mergeCell ref="U267:AA267"/>
    <mergeCell ref="AF267:AI267"/>
    <mergeCell ref="CT266:CT267"/>
    <mergeCell ref="CU266:CU267"/>
    <mergeCell ref="CV266:CV267"/>
    <mergeCell ref="CW266:CW267"/>
    <mergeCell ref="E264:F264"/>
    <mergeCell ref="FP266:FP267"/>
    <mergeCell ref="DZ264:DZ267"/>
    <mergeCell ref="EA264:EA267"/>
    <mergeCell ref="EC264:EC267"/>
    <mergeCell ref="ED264:ED267"/>
    <mergeCell ref="EE264:EE267"/>
    <mergeCell ref="EF264:EF267"/>
    <mergeCell ref="EG264:EG267"/>
    <mergeCell ref="EH264:EH267"/>
    <mergeCell ref="EI264:EI267"/>
    <mergeCell ref="EJ264:EJ267"/>
    <mergeCell ref="EK264:EK267"/>
    <mergeCell ref="EL264:EL267"/>
    <mergeCell ref="EM264:EM267"/>
    <mergeCell ref="EN264:EN267"/>
    <mergeCell ref="EO264:EO267"/>
    <mergeCell ref="EP264:EP267"/>
    <mergeCell ref="EQ264:EQ267"/>
    <mergeCell ref="DD264:DD265"/>
    <mergeCell ref="DE264:DE265"/>
    <mergeCell ref="DF264:DF265"/>
    <mergeCell ref="DG264:DG265"/>
    <mergeCell ref="DH264:DH267"/>
    <mergeCell ref="DJ264:DJ265"/>
    <mergeCell ref="DL264:DL267"/>
    <mergeCell ref="DN264:DN267"/>
    <mergeCell ref="DO264:DO265"/>
    <mergeCell ref="DP264:DP267"/>
    <mergeCell ref="DQ264:DQ265"/>
    <mergeCell ref="DR264:DR267"/>
    <mergeCell ref="DS264:DS267"/>
    <mergeCell ref="DU264:DU267"/>
    <mergeCell ref="DV264:DV265"/>
    <mergeCell ref="DW264:DW267"/>
    <mergeCell ref="DX264:DX267"/>
    <mergeCell ref="EN259:EN262"/>
    <mergeCell ref="EO259:EO262"/>
    <mergeCell ref="EP259:EP262"/>
    <mergeCell ref="EQ259:EQ262"/>
    <mergeCell ref="ES259:ES262"/>
    <mergeCell ref="EU259:EU260"/>
    <mergeCell ref="EV259:EV260"/>
    <mergeCell ref="EW259:EW260"/>
    <mergeCell ref="EU261:EU262"/>
    <mergeCell ref="EV261:EV262"/>
    <mergeCell ref="EW261:EW262"/>
    <mergeCell ref="DG261:DG262"/>
    <mergeCell ref="CO261:CO262"/>
    <mergeCell ref="IH261:IH262"/>
    <mergeCell ref="EX259:EX260"/>
    <mergeCell ref="AV264:AV267"/>
    <mergeCell ref="AW264:AW267"/>
    <mergeCell ref="CM264:CM267"/>
    <mergeCell ref="CN264:CN267"/>
    <mergeCell ref="CO264:CO265"/>
    <mergeCell ref="CP264:CP265"/>
    <mergeCell ref="CR264:CR265"/>
    <mergeCell ref="CS264:CS265"/>
    <mergeCell ref="CT264:CT265"/>
    <mergeCell ref="CU264:CU265"/>
    <mergeCell ref="CV264:CV265"/>
    <mergeCell ref="CW264:CW265"/>
    <mergeCell ref="CX264:CX267"/>
    <mergeCell ref="CY264:CY267"/>
    <mergeCell ref="CZ264:CZ267"/>
    <mergeCell ref="DA264:DA267"/>
    <mergeCell ref="DC264:DC265"/>
    <mergeCell ref="DC266:DC267"/>
    <mergeCell ref="DD266:DD267"/>
    <mergeCell ref="DE266:DE267"/>
    <mergeCell ref="DF266:DF267"/>
    <mergeCell ref="DG266:DG267"/>
    <mergeCell ref="DK266:DK267"/>
    <mergeCell ref="DO266:DO267"/>
    <mergeCell ref="DQ266:DQ267"/>
    <mergeCell ref="DV266:DV267"/>
    <mergeCell ref="IC264:IC267"/>
    <mergeCell ref="IF264:IF265"/>
    <mergeCell ref="IG264:IG267"/>
    <mergeCell ref="FJ264:FJ265"/>
    <mergeCell ref="FK264:FK265"/>
    <mergeCell ref="FL264:FL265"/>
    <mergeCell ref="FM264:FM265"/>
    <mergeCell ref="FO264:FO265"/>
    <mergeCell ref="FP264:FP265"/>
    <mergeCell ref="EU266:EU267"/>
    <mergeCell ref="EV266:EV267"/>
    <mergeCell ref="EW266:EW267"/>
    <mergeCell ref="EX266:EX267"/>
    <mergeCell ref="EY266:EY267"/>
    <mergeCell ref="FB266:FB267"/>
    <mergeCell ref="FI266:FI267"/>
    <mergeCell ref="FJ266:FJ267"/>
    <mergeCell ref="FK266:FK267"/>
    <mergeCell ref="FL266:FL267"/>
    <mergeCell ref="FW259:FW262"/>
    <mergeCell ref="FY259:FY262"/>
    <mergeCell ref="FM266:FM267"/>
    <mergeCell ref="FO266:FO267"/>
    <mergeCell ref="FZ259:FZ262"/>
    <mergeCell ref="GA259:GA262"/>
    <mergeCell ref="GB259:GB262"/>
    <mergeCell ref="GC259:GC262"/>
    <mergeCell ref="GD259:GD262"/>
    <mergeCell ref="GG259:GG262"/>
    <mergeCell ref="HW259:HW261"/>
    <mergeCell ref="HX259:HX260"/>
    <mergeCell ref="HX261:HX262"/>
    <mergeCell ref="FD259:FD262"/>
    <mergeCell ref="FE259:FE262"/>
    <mergeCell ref="FI259:FI260"/>
    <mergeCell ref="FJ259:FJ260"/>
    <mergeCell ref="FK259:FK260"/>
    <mergeCell ref="FL259:FL260"/>
    <mergeCell ref="FM259:FM260"/>
    <mergeCell ref="FO259:FO260"/>
    <mergeCell ref="FP259:FP260"/>
    <mergeCell ref="FQ259:FQ260"/>
    <mergeCell ref="FR259:FR260"/>
    <mergeCell ref="FS259:FS260"/>
    <mergeCell ref="FT259:FT260"/>
    <mergeCell ref="EX261:EX262"/>
    <mergeCell ref="EY261:EY262"/>
    <mergeCell ref="FB261:FB262"/>
    <mergeCell ref="FI261:FI262"/>
    <mergeCell ref="FJ261:FJ262"/>
    <mergeCell ref="FK261:FK262"/>
    <mergeCell ref="FL261:FL262"/>
    <mergeCell ref="FM261:FM262"/>
    <mergeCell ref="FO261:FO262"/>
    <mergeCell ref="FP261:FP262"/>
    <mergeCell ref="FQ261:FQ262"/>
    <mergeCell ref="FR261:FR262"/>
    <mergeCell ref="GI260:GI261"/>
    <mergeCell ref="GJ260:GJ261"/>
    <mergeCell ref="GL260:GL261"/>
    <mergeCell ref="GM260:GM261"/>
    <mergeCell ref="HC260:HC261"/>
    <mergeCell ref="HD260:HD261"/>
    <mergeCell ref="HE260:HE261"/>
    <mergeCell ref="HF260:HF261"/>
    <mergeCell ref="HG260:HG261"/>
    <mergeCell ref="HH260:HH261"/>
    <mergeCell ref="HI260:HI261"/>
    <mergeCell ref="HJ260:HJ261"/>
    <mergeCell ref="HK260:HK261"/>
    <mergeCell ref="HL260:HL261"/>
    <mergeCell ref="HM260:HM261"/>
    <mergeCell ref="FS261:FS262"/>
    <mergeCell ref="FT261:FT262"/>
    <mergeCell ref="EY259:EY260"/>
    <mergeCell ref="EZ259:EZ262"/>
    <mergeCell ref="FB259:FB260"/>
    <mergeCell ref="HY255:HY256"/>
    <mergeCell ref="E256:F256"/>
    <mergeCell ref="G256:L256"/>
    <mergeCell ref="DH259:DH262"/>
    <mergeCell ref="DV259:DV260"/>
    <mergeCell ref="DW259:DW262"/>
    <mergeCell ref="DX259:DX262"/>
    <mergeCell ref="DZ259:DZ262"/>
    <mergeCell ref="EA259:EA262"/>
    <mergeCell ref="EC259:EC262"/>
    <mergeCell ref="ED259:ED262"/>
    <mergeCell ref="DK261:DK262"/>
    <mergeCell ref="DO261:DO262"/>
    <mergeCell ref="DQ261:DQ262"/>
    <mergeCell ref="DV261:DV262"/>
    <mergeCell ref="CO259:CO260"/>
    <mergeCell ref="CP259:CP260"/>
    <mergeCell ref="CR259:CR260"/>
    <mergeCell ref="CS259:CS260"/>
    <mergeCell ref="CT259:CT260"/>
    <mergeCell ref="CU259:CU260"/>
    <mergeCell ref="CV259:CV260"/>
    <mergeCell ref="CW259:CW260"/>
    <mergeCell ref="CX259:CX262"/>
    <mergeCell ref="CY259:CY262"/>
    <mergeCell ref="CZ259:CZ262"/>
    <mergeCell ref="DA259:DA262"/>
    <mergeCell ref="DC259:DC260"/>
    <mergeCell ref="DD259:DD260"/>
    <mergeCell ref="DE259:DE260"/>
    <mergeCell ref="DF259:DF260"/>
    <mergeCell ref="DG259:DG260"/>
    <mergeCell ref="CW261:CW262"/>
    <mergeCell ref="DC261:DC262"/>
    <mergeCell ref="DD261:DD262"/>
    <mergeCell ref="DE261:DE262"/>
    <mergeCell ref="DF261:DF262"/>
    <mergeCell ref="HN260:HN261"/>
    <mergeCell ref="HO260:HO261"/>
    <mergeCell ref="HP260:HP261"/>
    <mergeCell ref="HQ260:HQ261"/>
    <mergeCell ref="HR260:HR261"/>
    <mergeCell ref="HS260:HS261"/>
    <mergeCell ref="HT260:HT261"/>
    <mergeCell ref="HU260:HU261"/>
    <mergeCell ref="HY260:HY261"/>
    <mergeCell ref="E261:F261"/>
    <mergeCell ref="G261:L261"/>
    <mergeCell ref="FX259:FX262"/>
    <mergeCell ref="CS261:CS262"/>
    <mergeCell ref="CT261:CT262"/>
    <mergeCell ref="CU261:CU262"/>
    <mergeCell ref="CV261:CV262"/>
    <mergeCell ref="E258:AT258"/>
    <mergeCell ref="ES254:ES257"/>
    <mergeCell ref="EU254:EU255"/>
    <mergeCell ref="EV254:EV255"/>
    <mergeCell ref="EW254:EW255"/>
    <mergeCell ref="EX254:EX255"/>
    <mergeCell ref="EY254:EY255"/>
    <mergeCell ref="DL254:DL257"/>
    <mergeCell ref="DN254:DN257"/>
    <mergeCell ref="DO254:DO255"/>
    <mergeCell ref="DP254:DP257"/>
    <mergeCell ref="EG259:EG262"/>
    <mergeCell ref="EH259:EH262"/>
    <mergeCell ref="EI259:EI262"/>
    <mergeCell ref="EJ259:EJ262"/>
    <mergeCell ref="B259:B262"/>
    <mergeCell ref="C259:D262"/>
    <mergeCell ref="E259:F259"/>
    <mergeCell ref="G259:R259"/>
    <mergeCell ref="S259:S260"/>
    <mergeCell ref="U259:AA259"/>
    <mergeCell ref="AF259:AI259"/>
    <mergeCell ref="AJ259:AJ260"/>
    <mergeCell ref="AK259:AK260"/>
    <mergeCell ref="AL259:AL260"/>
    <mergeCell ref="AM259:AN262"/>
    <mergeCell ref="AO259:AQ262"/>
    <mergeCell ref="AR259:AR262"/>
    <mergeCell ref="AS259:AS262"/>
    <mergeCell ref="AT259:AT262"/>
    <mergeCell ref="AV259:AV262"/>
    <mergeCell ref="AW259:AW262"/>
    <mergeCell ref="CM259:CM262"/>
    <mergeCell ref="CN259:CN262"/>
    <mergeCell ref="DK256:DK257"/>
    <mergeCell ref="DO256:DO257"/>
    <mergeCell ref="DQ256:DQ257"/>
    <mergeCell ref="DV256:DV257"/>
    <mergeCell ref="EU256:EU257"/>
    <mergeCell ref="EV256:EV257"/>
    <mergeCell ref="EW256:EW257"/>
    <mergeCell ref="EX256:EX257"/>
    <mergeCell ref="CY254:CY257"/>
    <mergeCell ref="CZ254:CZ257"/>
    <mergeCell ref="EG254:EG257"/>
    <mergeCell ref="EH254:EH257"/>
    <mergeCell ref="EI254:EI257"/>
    <mergeCell ref="EJ254:EJ257"/>
    <mergeCell ref="EK254:EK257"/>
    <mergeCell ref="EL254:EL257"/>
    <mergeCell ref="EM254:EM257"/>
    <mergeCell ref="EN254:EN257"/>
    <mergeCell ref="EO254:EO257"/>
    <mergeCell ref="EP254:EP257"/>
    <mergeCell ref="CP261:CP262"/>
    <mergeCell ref="CR261:CR262"/>
    <mergeCell ref="B254:B257"/>
    <mergeCell ref="C254:D257"/>
    <mergeCell ref="E254:F254"/>
    <mergeCell ref="G254:R254"/>
    <mergeCell ref="S254:S255"/>
    <mergeCell ref="U254:AA254"/>
    <mergeCell ref="AF254:AI254"/>
    <mergeCell ref="AJ254:AJ255"/>
    <mergeCell ref="AK254:AK255"/>
    <mergeCell ref="AL254:AL255"/>
    <mergeCell ref="AM254:AN257"/>
    <mergeCell ref="AO254:AQ257"/>
    <mergeCell ref="AR254:AR257"/>
    <mergeCell ref="AS254:AS257"/>
    <mergeCell ref="AT254:AT257"/>
    <mergeCell ref="AV254:AV257"/>
    <mergeCell ref="AW254:AW257"/>
    <mergeCell ref="EL259:EL262"/>
    <mergeCell ref="EM259:EM262"/>
    <mergeCell ref="E262:F262"/>
    <mergeCell ref="G262:L262"/>
    <mergeCell ref="P262:R262"/>
    <mergeCell ref="U262:AA262"/>
    <mergeCell ref="AF262:AI262"/>
    <mergeCell ref="DJ259:DJ260"/>
    <mergeCell ref="DL259:DL262"/>
    <mergeCell ref="AF260:AI260"/>
    <mergeCell ref="EK259:EK262"/>
    <mergeCell ref="DN259:DN262"/>
    <mergeCell ref="DO259:DO260"/>
    <mergeCell ref="DP259:DP262"/>
    <mergeCell ref="DQ259:DQ260"/>
    <mergeCell ref="DR259:DR262"/>
    <mergeCell ref="DS259:DS262"/>
    <mergeCell ref="DU259:DU262"/>
    <mergeCell ref="P261:Q261"/>
    <mergeCell ref="S261:S262"/>
    <mergeCell ref="AF261:AI261"/>
    <mergeCell ref="AJ261:AJ262"/>
    <mergeCell ref="AK261:AK262"/>
    <mergeCell ref="AL261:AL262"/>
    <mergeCell ref="E260:F260"/>
    <mergeCell ref="G260:L260"/>
    <mergeCell ref="P260:Q260"/>
    <mergeCell ref="EQ254:EQ257"/>
    <mergeCell ref="DQ254:DQ255"/>
    <mergeCell ref="DR254:DR257"/>
    <mergeCell ref="DS254:DS257"/>
    <mergeCell ref="DU254:DU257"/>
    <mergeCell ref="DV254:DV255"/>
    <mergeCell ref="DW254:DW257"/>
    <mergeCell ref="P256:Q256"/>
    <mergeCell ref="S256:S257"/>
    <mergeCell ref="AF256:AI256"/>
    <mergeCell ref="AJ256:AJ257"/>
    <mergeCell ref="AK256:AK257"/>
    <mergeCell ref="AL256:AL257"/>
    <mergeCell ref="CO256:CO257"/>
    <mergeCell ref="CP256:CP257"/>
    <mergeCell ref="CR256:CR257"/>
    <mergeCell ref="CS256:CS257"/>
    <mergeCell ref="CT256:CT257"/>
    <mergeCell ref="CU256:CU257"/>
    <mergeCell ref="CV256:CV257"/>
    <mergeCell ref="DX254:DX257"/>
    <mergeCell ref="DZ254:DZ257"/>
    <mergeCell ref="EA254:EA257"/>
    <mergeCell ref="EC254:EC257"/>
    <mergeCell ref="ED254:ED257"/>
    <mergeCell ref="EE254:EE257"/>
    <mergeCell ref="EF254:EF257"/>
    <mergeCell ref="CR254:CR255"/>
    <mergeCell ref="CS254:CS255"/>
    <mergeCell ref="CT254:CT255"/>
    <mergeCell ref="CU254:CU255"/>
    <mergeCell ref="CV254:CV255"/>
    <mergeCell ref="CW254:CW255"/>
    <mergeCell ref="CX254:CX257"/>
    <mergeCell ref="EE259:EE262"/>
    <mergeCell ref="EF259:EF262"/>
    <mergeCell ref="CM254:CM257"/>
    <mergeCell ref="CN254:CN257"/>
    <mergeCell ref="CO254:CO255"/>
    <mergeCell ref="IC249:IC252"/>
    <mergeCell ref="IF249:IF250"/>
    <mergeCell ref="IG249:IG252"/>
    <mergeCell ref="IH249:IH250"/>
    <mergeCell ref="FJ249:FJ250"/>
    <mergeCell ref="FK249:FK250"/>
    <mergeCell ref="FL249:FL250"/>
    <mergeCell ref="FM249:FM250"/>
    <mergeCell ref="FO249:FO250"/>
    <mergeCell ref="FP249:FP250"/>
    <mergeCell ref="EU251:EU252"/>
    <mergeCell ref="EV251:EV252"/>
    <mergeCell ref="EW251:EW252"/>
    <mergeCell ref="EX251:EX252"/>
    <mergeCell ref="EY251:EY252"/>
    <mergeCell ref="E255:F255"/>
    <mergeCell ref="G255:L255"/>
    <mergeCell ref="P255:Q255"/>
    <mergeCell ref="AF255:AI255"/>
    <mergeCell ref="GI255:GI256"/>
    <mergeCell ref="GJ255:GJ256"/>
    <mergeCell ref="GL255:GL256"/>
    <mergeCell ref="GM255:GM256"/>
    <mergeCell ref="HC255:HC256"/>
    <mergeCell ref="HD255:HD256"/>
    <mergeCell ref="HE255:HE256"/>
    <mergeCell ref="HF255:HF256"/>
    <mergeCell ref="HG255:HG256"/>
    <mergeCell ref="HH255:HH256"/>
    <mergeCell ref="HI255:HI256"/>
    <mergeCell ref="EZ254:EZ257"/>
    <mergeCell ref="FB254:FB255"/>
    <mergeCell ref="FD254:FD257"/>
    <mergeCell ref="FE254:FE257"/>
    <mergeCell ref="FI254:FI255"/>
    <mergeCell ref="FJ254:FJ255"/>
    <mergeCell ref="FK254:FK255"/>
    <mergeCell ref="FL254:FL255"/>
    <mergeCell ref="FM254:FM255"/>
    <mergeCell ref="FO254:FO255"/>
    <mergeCell ref="FP254:FP255"/>
    <mergeCell ref="FQ254:FQ255"/>
    <mergeCell ref="FR254:FR255"/>
    <mergeCell ref="FS254:FS255"/>
    <mergeCell ref="FT254:FT255"/>
    <mergeCell ref="FW254:FW257"/>
    <mergeCell ref="FX254:FX257"/>
    <mergeCell ref="FI256:FI257"/>
    <mergeCell ref="FJ256:FJ257"/>
    <mergeCell ref="FK256:FK257"/>
    <mergeCell ref="FL256:FL257"/>
    <mergeCell ref="FM256:FM257"/>
    <mergeCell ref="FO256:FO257"/>
    <mergeCell ref="FP256:FP257"/>
    <mergeCell ref="HJ255:HJ256"/>
    <mergeCell ref="HK255:HK256"/>
    <mergeCell ref="HL255:HL256"/>
    <mergeCell ref="HM255:HM256"/>
    <mergeCell ref="FQ256:FQ257"/>
    <mergeCell ref="FR256:FR257"/>
    <mergeCell ref="FS256:FS257"/>
    <mergeCell ref="FT256:FT257"/>
    <mergeCell ref="EY256:EY257"/>
    <mergeCell ref="FB256:FB257"/>
    <mergeCell ref="CP254:CP255"/>
    <mergeCell ref="DA254:DA257"/>
    <mergeCell ref="DC254:DC255"/>
    <mergeCell ref="DD254:DD255"/>
    <mergeCell ref="DE254:DE255"/>
    <mergeCell ref="DF254:DF255"/>
    <mergeCell ref="DG254:DG255"/>
    <mergeCell ref="DH254:DH257"/>
    <mergeCell ref="DJ254:DJ255"/>
    <mergeCell ref="CW256:CW257"/>
    <mergeCell ref="DC256:DC257"/>
    <mergeCell ref="DD256:DD257"/>
    <mergeCell ref="DE256:DE257"/>
    <mergeCell ref="DF256:DF257"/>
    <mergeCell ref="DG256:DG257"/>
    <mergeCell ref="S251:S252"/>
    <mergeCell ref="AF251:AI251"/>
    <mergeCell ref="AJ251:AJ252"/>
    <mergeCell ref="AK251:AK252"/>
    <mergeCell ref="AL251:AL252"/>
    <mergeCell ref="CO251:CO252"/>
    <mergeCell ref="CP251:CP252"/>
    <mergeCell ref="E257:F257"/>
    <mergeCell ref="G257:L257"/>
    <mergeCell ref="P257:R257"/>
    <mergeCell ref="U257:AA257"/>
    <mergeCell ref="AF257:AI257"/>
    <mergeCell ref="AV249:AV252"/>
    <mergeCell ref="AW249:AW252"/>
    <mergeCell ref="CM249:CM252"/>
    <mergeCell ref="CN249:CN252"/>
    <mergeCell ref="CO249:CO250"/>
    <mergeCell ref="CP249:CP250"/>
    <mergeCell ref="E250:F250"/>
    <mergeCell ref="G250:L250"/>
    <mergeCell ref="P250:Q250"/>
    <mergeCell ref="AF250:AI250"/>
    <mergeCell ref="CV251:CV252"/>
    <mergeCell ref="CW251:CW252"/>
    <mergeCell ref="DF251:DF252"/>
    <mergeCell ref="DG251:DG252"/>
    <mergeCell ref="ES249:ES252"/>
    <mergeCell ref="EU249:EU250"/>
    <mergeCell ref="EV249:EV250"/>
    <mergeCell ref="EW249:EW250"/>
    <mergeCell ref="EX249:EX250"/>
    <mergeCell ref="EY249:EY250"/>
    <mergeCell ref="EZ249:EZ252"/>
    <mergeCell ref="FB249:FB250"/>
    <mergeCell ref="FD249:FD252"/>
    <mergeCell ref="FE249:FE252"/>
    <mergeCell ref="FI249:FI250"/>
    <mergeCell ref="E252:F252"/>
    <mergeCell ref="G252:L252"/>
    <mergeCell ref="P252:R252"/>
    <mergeCell ref="U252:AA252"/>
    <mergeCell ref="AF252:AI252"/>
    <mergeCell ref="CR251:CR252"/>
    <mergeCell ref="CS251:CS252"/>
    <mergeCell ref="CT251:CT252"/>
    <mergeCell ref="CU251:CU252"/>
    <mergeCell ref="FB251:FB252"/>
    <mergeCell ref="FI251:FI252"/>
    <mergeCell ref="FJ251:FJ252"/>
    <mergeCell ref="FK251:FK252"/>
    <mergeCell ref="FL251:FL252"/>
    <mergeCell ref="FM251:FM252"/>
    <mergeCell ref="FO251:FO252"/>
    <mergeCell ref="FP251:FP252"/>
    <mergeCell ref="DZ249:DZ252"/>
    <mergeCell ref="EA249:EA252"/>
    <mergeCell ref="EC249:EC252"/>
    <mergeCell ref="ED249:ED252"/>
    <mergeCell ref="EE249:EE252"/>
    <mergeCell ref="EF249:EF252"/>
    <mergeCell ref="EG249:EG252"/>
    <mergeCell ref="EH249:EH252"/>
    <mergeCell ref="EI249:EI252"/>
    <mergeCell ref="EJ249:EJ252"/>
    <mergeCell ref="EK249:EK252"/>
    <mergeCell ref="EL249:EL252"/>
    <mergeCell ref="EM249:EM252"/>
    <mergeCell ref="EN249:EN252"/>
    <mergeCell ref="EO249:EO252"/>
    <mergeCell ref="EP249:EP252"/>
    <mergeCell ref="EQ249:EQ252"/>
    <mergeCell ref="DD249:DD250"/>
    <mergeCell ref="DE249:DE250"/>
    <mergeCell ref="DF249:DF250"/>
    <mergeCell ref="DG249:DG250"/>
    <mergeCell ref="DH249:DH252"/>
    <mergeCell ref="DJ249:DJ250"/>
    <mergeCell ref="DL249:DL252"/>
    <mergeCell ref="DN249:DN252"/>
    <mergeCell ref="DO249:DO250"/>
    <mergeCell ref="DP249:DP252"/>
    <mergeCell ref="DQ249:DQ250"/>
    <mergeCell ref="DR249:DR252"/>
    <mergeCell ref="DS249:DS252"/>
    <mergeCell ref="DU249:DU252"/>
    <mergeCell ref="DV249:DV250"/>
    <mergeCell ref="DW249:DW252"/>
    <mergeCell ref="DX249:DX252"/>
    <mergeCell ref="DD251:DD252"/>
    <mergeCell ref="DE251:DE252"/>
    <mergeCell ref="HE250:HE251"/>
    <mergeCell ref="HF250:HF251"/>
    <mergeCell ref="HG250:HG251"/>
    <mergeCell ref="HH250:HH251"/>
    <mergeCell ref="HI250:HI251"/>
    <mergeCell ref="HJ250:HJ251"/>
    <mergeCell ref="HK250:HK251"/>
    <mergeCell ref="HL250:HL251"/>
    <mergeCell ref="HM250:HM251"/>
    <mergeCell ref="HN250:HN251"/>
    <mergeCell ref="HO250:HO251"/>
    <mergeCell ref="HP250:HP251"/>
    <mergeCell ref="HQ250:HQ251"/>
    <mergeCell ref="HR250:HR251"/>
    <mergeCell ref="HS250:HS251"/>
    <mergeCell ref="HT250:HT251"/>
    <mergeCell ref="FQ249:FQ250"/>
    <mergeCell ref="FR249:FR250"/>
    <mergeCell ref="FS249:FS250"/>
    <mergeCell ref="FT249:FT250"/>
    <mergeCell ref="FW249:FW252"/>
    <mergeCell ref="FX249:FX252"/>
    <mergeCell ref="FY249:FY252"/>
    <mergeCell ref="FZ249:FZ252"/>
    <mergeCell ref="GA249:GA252"/>
    <mergeCell ref="GB249:GB252"/>
    <mergeCell ref="GC249:GC252"/>
    <mergeCell ref="GD249:GD252"/>
    <mergeCell ref="GG249:GG252"/>
    <mergeCell ref="FQ251:FQ252"/>
    <mergeCell ref="FR251:FR252"/>
    <mergeCell ref="FS251:FS252"/>
    <mergeCell ref="FT251:FT252"/>
    <mergeCell ref="GI250:GI251"/>
    <mergeCell ref="GJ250:GJ251"/>
    <mergeCell ref="GL250:GL251"/>
    <mergeCell ref="GM250:GM251"/>
    <mergeCell ref="HC250:HC251"/>
    <mergeCell ref="HD250:HD251"/>
    <mergeCell ref="DK251:DK252"/>
    <mergeCell ref="DO251:DO252"/>
    <mergeCell ref="DQ251:DQ252"/>
    <mergeCell ref="DV251:DV252"/>
    <mergeCell ref="CR249:CR250"/>
    <mergeCell ref="CS249:CS250"/>
    <mergeCell ref="CT249:CT250"/>
    <mergeCell ref="CU249:CU250"/>
    <mergeCell ref="CV249:CV250"/>
    <mergeCell ref="CW249:CW250"/>
    <mergeCell ref="CX249:CX252"/>
    <mergeCell ref="CY249:CY252"/>
    <mergeCell ref="CZ249:CZ252"/>
    <mergeCell ref="DA249:DA252"/>
    <mergeCell ref="DC249:DC250"/>
    <mergeCell ref="DC251:DC252"/>
    <mergeCell ref="E244:F244"/>
    <mergeCell ref="G244:L244"/>
    <mergeCell ref="P244:R244"/>
    <mergeCell ref="U244:AA244"/>
    <mergeCell ref="AF244:AI244"/>
    <mergeCell ref="E245:AT245"/>
    <mergeCell ref="AM247:AN247"/>
    <mergeCell ref="AO247:AP247"/>
    <mergeCell ref="AQ247:AT247"/>
    <mergeCell ref="AR248:AT248"/>
    <mergeCell ref="B249:B252"/>
    <mergeCell ref="C249:D252"/>
    <mergeCell ref="E249:F249"/>
    <mergeCell ref="G249:R249"/>
    <mergeCell ref="S249:S250"/>
    <mergeCell ref="U249:AA249"/>
    <mergeCell ref="AF249:AI249"/>
    <mergeCell ref="AJ249:AJ250"/>
    <mergeCell ref="AK249:AK250"/>
    <mergeCell ref="AL249:AL250"/>
    <mergeCell ref="AM249:AN252"/>
    <mergeCell ref="AO249:AQ252"/>
    <mergeCell ref="AR249:AR252"/>
    <mergeCell ref="AS249:AS252"/>
    <mergeCell ref="AT249:AT252"/>
    <mergeCell ref="E251:F251"/>
    <mergeCell ref="G251:L251"/>
    <mergeCell ref="P251:Q251"/>
    <mergeCell ref="B241:B244"/>
    <mergeCell ref="C241:D244"/>
    <mergeCell ref="P243:Q243"/>
    <mergeCell ref="S243:S244"/>
    <mergeCell ref="AF243:AI243"/>
    <mergeCell ref="AJ243:AJ244"/>
    <mergeCell ref="AK243:AK244"/>
    <mergeCell ref="AL243:AL244"/>
    <mergeCell ref="CO243:CO244"/>
    <mergeCell ref="CP243:CP244"/>
    <mergeCell ref="E242:F242"/>
    <mergeCell ref="G242:L242"/>
    <mergeCell ref="P242:Q242"/>
    <mergeCell ref="AF242:AI242"/>
    <mergeCell ref="E243:F243"/>
    <mergeCell ref="G243:L243"/>
    <mergeCell ref="E241:F241"/>
    <mergeCell ref="G241:R241"/>
    <mergeCell ref="S241:S242"/>
    <mergeCell ref="U241:AA241"/>
    <mergeCell ref="AF241:AI241"/>
    <mergeCell ref="AJ241:AJ242"/>
    <mergeCell ref="AK241:AK242"/>
    <mergeCell ref="AL241:AL242"/>
    <mergeCell ref="AM241:AN244"/>
    <mergeCell ref="AO241:AQ244"/>
    <mergeCell ref="AR241:AR244"/>
    <mergeCell ref="AS241:AS244"/>
    <mergeCell ref="AT241:AT244"/>
    <mergeCell ref="AV241:AV244"/>
    <mergeCell ref="AW241:AW244"/>
    <mergeCell ref="CM241:CM244"/>
    <mergeCell ref="CN241:CN244"/>
    <mergeCell ref="CX241:CX244"/>
    <mergeCell ref="CY241:CY244"/>
    <mergeCell ref="FX241:FX244"/>
    <mergeCell ref="FY241:FY244"/>
    <mergeCell ref="FZ241:FZ244"/>
    <mergeCell ref="GA241:GA244"/>
    <mergeCell ref="GB241:GB244"/>
    <mergeCell ref="GC241:GC244"/>
    <mergeCell ref="GD241:GD244"/>
    <mergeCell ref="GG241:GG244"/>
    <mergeCell ref="HW241:HW243"/>
    <mergeCell ref="HX241:HX242"/>
    <mergeCell ref="HX243:HX244"/>
    <mergeCell ref="EX241:EX242"/>
    <mergeCell ref="EY241:EY242"/>
    <mergeCell ref="EZ241:EZ244"/>
    <mergeCell ref="FB241:FB242"/>
    <mergeCell ref="FD241:FD244"/>
    <mergeCell ref="FE241:FE244"/>
    <mergeCell ref="FI241:FI242"/>
    <mergeCell ref="FJ241:FJ242"/>
    <mergeCell ref="FK241:FK242"/>
    <mergeCell ref="FL241:FL242"/>
    <mergeCell ref="FM241:FM242"/>
    <mergeCell ref="FO241:FO242"/>
    <mergeCell ref="FP241:FP242"/>
    <mergeCell ref="FQ241:FQ242"/>
    <mergeCell ref="FR241:FR242"/>
    <mergeCell ref="FS241:FS242"/>
    <mergeCell ref="FT241:FT242"/>
    <mergeCell ref="EX243:EX244"/>
    <mergeCell ref="EY243:EY244"/>
    <mergeCell ref="FB243:FB244"/>
    <mergeCell ref="FI243:FI244"/>
    <mergeCell ref="FJ243:FJ244"/>
    <mergeCell ref="FK243:FK244"/>
    <mergeCell ref="FL243:FL244"/>
    <mergeCell ref="FM243:FM244"/>
    <mergeCell ref="FO243:FO244"/>
    <mergeCell ref="FP243:FP244"/>
    <mergeCell ref="FQ243:FQ244"/>
    <mergeCell ref="FR243:FR244"/>
    <mergeCell ref="FS243:FS244"/>
    <mergeCell ref="FT243:FT244"/>
    <mergeCell ref="HT242:HT243"/>
    <mergeCell ref="HU242:HU243"/>
    <mergeCell ref="IB238:IB239"/>
    <mergeCell ref="GC236:GC239"/>
    <mergeCell ref="GD236:GD239"/>
    <mergeCell ref="GG236:GG239"/>
    <mergeCell ref="HW236:HW238"/>
    <mergeCell ref="HX236:HX237"/>
    <mergeCell ref="DP236:DP239"/>
    <mergeCell ref="DQ236:DQ237"/>
    <mergeCell ref="DR236:DR239"/>
    <mergeCell ref="DS236:DS239"/>
    <mergeCell ref="DU236:DU239"/>
    <mergeCell ref="DV236:DV237"/>
    <mergeCell ref="DW236:DW239"/>
    <mergeCell ref="DX236:DX239"/>
    <mergeCell ref="DZ236:DZ239"/>
    <mergeCell ref="EA236:EA239"/>
    <mergeCell ref="EC236:EC239"/>
    <mergeCell ref="ED236:ED239"/>
    <mergeCell ref="EE236:EE239"/>
    <mergeCell ref="EF236:EF239"/>
    <mergeCell ref="CR236:CR237"/>
    <mergeCell ref="CS236:CS237"/>
    <mergeCell ref="CT236:CT237"/>
    <mergeCell ref="CU236:CU237"/>
    <mergeCell ref="CV236:CV237"/>
    <mergeCell ref="CW236:CW237"/>
    <mergeCell ref="CX236:CX239"/>
    <mergeCell ref="CY236:CY239"/>
    <mergeCell ref="CZ236:CZ239"/>
    <mergeCell ref="DA236:DA239"/>
    <mergeCell ref="DC236:DC237"/>
    <mergeCell ref="DD236:DD237"/>
    <mergeCell ref="EG241:EG244"/>
    <mergeCell ref="EH241:EH244"/>
    <mergeCell ref="EI241:EI244"/>
    <mergeCell ref="EJ241:EJ244"/>
    <mergeCell ref="EK241:EK244"/>
    <mergeCell ref="EL241:EL244"/>
    <mergeCell ref="EM241:EM244"/>
    <mergeCell ref="EN241:EN244"/>
    <mergeCell ref="EO241:EO244"/>
    <mergeCell ref="EP241:EP244"/>
    <mergeCell ref="EQ241:EQ244"/>
    <mergeCell ref="ES241:ES244"/>
    <mergeCell ref="EU241:EU242"/>
    <mergeCell ref="EV241:EV242"/>
    <mergeCell ref="EW241:EW242"/>
    <mergeCell ref="EU243:EU244"/>
    <mergeCell ref="EV243:EV244"/>
    <mergeCell ref="EW243:EW244"/>
    <mergeCell ref="DH241:DH244"/>
    <mergeCell ref="DJ241:DJ242"/>
    <mergeCell ref="DL241:DL244"/>
    <mergeCell ref="DN241:DN244"/>
    <mergeCell ref="DO241:DO242"/>
    <mergeCell ref="DP241:DP244"/>
    <mergeCell ref="DQ241:DQ242"/>
    <mergeCell ref="DR241:DR244"/>
    <mergeCell ref="DS241:DS244"/>
    <mergeCell ref="DU241:DU244"/>
    <mergeCell ref="DV241:DV242"/>
    <mergeCell ref="DW241:DW244"/>
    <mergeCell ref="DX241:DX244"/>
    <mergeCell ref="DZ241:DZ244"/>
    <mergeCell ref="HJ237:HJ238"/>
    <mergeCell ref="HK237:HK238"/>
    <mergeCell ref="HL237:HL238"/>
    <mergeCell ref="HM237:HM238"/>
    <mergeCell ref="HN237:HN238"/>
    <mergeCell ref="HO237:HO238"/>
    <mergeCell ref="HP237:HP238"/>
    <mergeCell ref="HQ237:HQ238"/>
    <mergeCell ref="HR237:HR238"/>
    <mergeCell ref="HS237:HS238"/>
    <mergeCell ref="HT237:HT238"/>
    <mergeCell ref="EU236:EU237"/>
    <mergeCell ref="EV236:EV237"/>
    <mergeCell ref="EW236:EW237"/>
    <mergeCell ref="EX236:EX237"/>
    <mergeCell ref="EY236:EY237"/>
    <mergeCell ref="CO241:CO242"/>
    <mergeCell ref="CP241:CP242"/>
    <mergeCell ref="FY236:FY239"/>
    <mergeCell ref="FZ236:FZ239"/>
    <mergeCell ref="GA236:GA239"/>
    <mergeCell ref="GB236:GB239"/>
    <mergeCell ref="CZ241:CZ244"/>
    <mergeCell ref="DA241:DA244"/>
    <mergeCell ref="DC241:DC242"/>
    <mergeCell ref="DD241:DD242"/>
    <mergeCell ref="DE241:DE242"/>
    <mergeCell ref="DF241:DF242"/>
    <mergeCell ref="DG241:DG242"/>
    <mergeCell ref="CW243:CW244"/>
    <mergeCell ref="DC243:DC244"/>
    <mergeCell ref="DD243:DD244"/>
    <mergeCell ref="DE243:DE244"/>
    <mergeCell ref="DF243:DF244"/>
    <mergeCell ref="DG243:DG244"/>
    <mergeCell ref="CR243:CR244"/>
    <mergeCell ref="CS243:CS244"/>
    <mergeCell ref="CT243:CT244"/>
    <mergeCell ref="CU243:CU244"/>
    <mergeCell ref="CV243:CV244"/>
    <mergeCell ref="DC238:DC239"/>
    <mergeCell ref="DD238:DD239"/>
    <mergeCell ref="DE238:DE239"/>
    <mergeCell ref="DF238:DF239"/>
    <mergeCell ref="DG238:DG239"/>
    <mergeCell ref="EE241:EE244"/>
    <mergeCell ref="EF241:EF244"/>
    <mergeCell ref="DN236:DN239"/>
    <mergeCell ref="DO236:DO237"/>
    <mergeCell ref="CR238:CR239"/>
    <mergeCell ref="CS238:CS239"/>
    <mergeCell ref="CT238:CT239"/>
    <mergeCell ref="CU238:CU239"/>
    <mergeCell ref="CV238:CV239"/>
    <mergeCell ref="EA241:EA244"/>
    <mergeCell ref="EC241:EC244"/>
    <mergeCell ref="ED241:ED244"/>
    <mergeCell ref="DK243:DK244"/>
    <mergeCell ref="DO243:DO244"/>
    <mergeCell ref="DQ243:DQ244"/>
    <mergeCell ref="DV243:DV244"/>
    <mergeCell ref="FW241:FW244"/>
    <mergeCell ref="CV241:CV242"/>
    <mergeCell ref="CW241:CW242"/>
    <mergeCell ref="DQ238:DQ239"/>
    <mergeCell ref="DV238:DV239"/>
    <mergeCell ref="EU238:EU239"/>
    <mergeCell ref="EV238:EV239"/>
    <mergeCell ref="EW238:EW239"/>
    <mergeCell ref="EX238:EX239"/>
    <mergeCell ref="EY238:EY239"/>
    <mergeCell ref="FB238:FB239"/>
    <mergeCell ref="FI238:FI239"/>
    <mergeCell ref="FJ238:FJ239"/>
    <mergeCell ref="FK238:FK239"/>
    <mergeCell ref="FL238:FL239"/>
    <mergeCell ref="FM238:FM239"/>
    <mergeCell ref="HX238:HX239"/>
    <mergeCell ref="FU236:FU237"/>
    <mergeCell ref="EX233:EX234"/>
    <mergeCell ref="EY233:EY234"/>
    <mergeCell ref="FB233:FB234"/>
    <mergeCell ref="FI233:FI234"/>
    <mergeCell ref="FJ233:FJ234"/>
    <mergeCell ref="FK233:FK234"/>
    <mergeCell ref="FL233:FL234"/>
    <mergeCell ref="IA236:IA239"/>
    <mergeCell ref="IB236:IB237"/>
    <mergeCell ref="IC236:IC239"/>
    <mergeCell ref="IF236:IF237"/>
    <mergeCell ref="IG236:IG239"/>
    <mergeCell ref="IH236:IH237"/>
    <mergeCell ref="II236:II239"/>
    <mergeCell ref="E237:F237"/>
    <mergeCell ref="G237:L237"/>
    <mergeCell ref="P237:Q237"/>
    <mergeCell ref="AF237:AI237"/>
    <mergeCell ref="GI237:GI238"/>
    <mergeCell ref="GJ237:GJ238"/>
    <mergeCell ref="GL237:GL238"/>
    <mergeCell ref="GM237:GM238"/>
    <mergeCell ref="HC237:HC238"/>
    <mergeCell ref="HD237:HD238"/>
    <mergeCell ref="HE237:HE238"/>
    <mergeCell ref="HF237:HF238"/>
    <mergeCell ref="HG237:HG238"/>
    <mergeCell ref="HH237:HH238"/>
    <mergeCell ref="HI237:HI238"/>
    <mergeCell ref="EZ236:EZ239"/>
    <mergeCell ref="FB236:FB237"/>
    <mergeCell ref="FD236:FD239"/>
    <mergeCell ref="FE236:FE239"/>
    <mergeCell ref="FI236:FI237"/>
    <mergeCell ref="FJ236:FJ237"/>
    <mergeCell ref="FK236:FK237"/>
    <mergeCell ref="FL236:FL237"/>
    <mergeCell ref="FM236:FM237"/>
    <mergeCell ref="FO236:FO237"/>
    <mergeCell ref="FP236:FP237"/>
    <mergeCell ref="FQ236:FQ237"/>
    <mergeCell ref="FR236:FR237"/>
    <mergeCell ref="FS236:FS237"/>
    <mergeCell ref="FT236:FT237"/>
    <mergeCell ref="FW236:FW239"/>
    <mergeCell ref="FX236:FX239"/>
    <mergeCell ref="FQ238:FQ239"/>
    <mergeCell ref="FO238:FO239"/>
    <mergeCell ref="FP238:FP239"/>
    <mergeCell ref="FT238:FT239"/>
    <mergeCell ref="EG236:EG239"/>
    <mergeCell ref="EH236:EH239"/>
    <mergeCell ref="EI236:EI239"/>
    <mergeCell ref="EJ236:EJ239"/>
    <mergeCell ref="EK236:EK239"/>
    <mergeCell ref="EL236:EL239"/>
    <mergeCell ref="IF238:IF239"/>
    <mergeCell ref="IH238:IH239"/>
    <mergeCell ref="E239:F239"/>
    <mergeCell ref="G239:L239"/>
    <mergeCell ref="P239:R239"/>
    <mergeCell ref="U239:AA239"/>
    <mergeCell ref="EM236:EM239"/>
    <mergeCell ref="EN236:EN239"/>
    <mergeCell ref="EO236:EO239"/>
    <mergeCell ref="EP236:EP239"/>
    <mergeCell ref="EQ236:EQ239"/>
    <mergeCell ref="ES236:ES239"/>
    <mergeCell ref="DL236:DL239"/>
    <mergeCell ref="E234:F234"/>
    <mergeCell ref="G234:L234"/>
    <mergeCell ref="P234:R234"/>
    <mergeCell ref="U234:AA234"/>
    <mergeCell ref="AF234:AI234"/>
    <mergeCell ref="E235:AT235"/>
    <mergeCell ref="B236:B239"/>
    <mergeCell ref="C236:D239"/>
    <mergeCell ref="E236:F236"/>
    <mergeCell ref="G236:R236"/>
    <mergeCell ref="S236:S237"/>
    <mergeCell ref="U236:AA236"/>
    <mergeCell ref="AF236:AI236"/>
    <mergeCell ref="AJ236:AJ237"/>
    <mergeCell ref="AK236:AK237"/>
    <mergeCell ref="AL236:AL237"/>
    <mergeCell ref="AM236:AN239"/>
    <mergeCell ref="AO236:AQ239"/>
    <mergeCell ref="AR236:AR239"/>
    <mergeCell ref="AS236:AS239"/>
    <mergeCell ref="AT236:AT239"/>
    <mergeCell ref="AV236:AV239"/>
    <mergeCell ref="AW236:AW239"/>
    <mergeCell ref="CM236:CM239"/>
    <mergeCell ref="CN236:CN239"/>
    <mergeCell ref="CO236:CO237"/>
    <mergeCell ref="CP236:CP237"/>
    <mergeCell ref="DP231:DP234"/>
    <mergeCell ref="DQ231:DQ232"/>
    <mergeCell ref="DR231:DR234"/>
    <mergeCell ref="DS231:DS234"/>
    <mergeCell ref="DU231:DU234"/>
    <mergeCell ref="DV231:DV232"/>
    <mergeCell ref="DW231:DW234"/>
    <mergeCell ref="DX231:DX234"/>
    <mergeCell ref="DE236:DE237"/>
    <mergeCell ref="DF236:DF237"/>
    <mergeCell ref="DG236:DG237"/>
    <mergeCell ref="DH236:DH239"/>
    <mergeCell ref="DJ236:DJ237"/>
    <mergeCell ref="CW238:CW239"/>
    <mergeCell ref="AF239:AI239"/>
    <mergeCell ref="DK238:DK239"/>
    <mergeCell ref="DO238:DO239"/>
    <mergeCell ref="E238:F238"/>
    <mergeCell ref="G238:L238"/>
    <mergeCell ref="P238:Q238"/>
    <mergeCell ref="S238:S239"/>
    <mergeCell ref="AF238:AI238"/>
    <mergeCell ref="AJ238:AJ239"/>
    <mergeCell ref="AK238:AK239"/>
    <mergeCell ref="AL238:AL239"/>
    <mergeCell ref="CO238:CO239"/>
    <mergeCell ref="CP238:CP239"/>
    <mergeCell ref="II231:II234"/>
    <mergeCell ref="E232:F232"/>
    <mergeCell ref="G232:L232"/>
    <mergeCell ref="P232:Q232"/>
    <mergeCell ref="AF232:AI232"/>
    <mergeCell ref="GI232:GI233"/>
    <mergeCell ref="GJ232:GJ233"/>
    <mergeCell ref="GL232:GL233"/>
    <mergeCell ref="GM232:GM233"/>
    <mergeCell ref="HC232:HC233"/>
    <mergeCell ref="HD232:HD233"/>
    <mergeCell ref="HE232:HE233"/>
    <mergeCell ref="HF232:HF233"/>
    <mergeCell ref="HG232:HG233"/>
    <mergeCell ref="HH232:HH233"/>
    <mergeCell ref="HI232:HI233"/>
    <mergeCell ref="HJ232:HJ233"/>
    <mergeCell ref="HK232:HK233"/>
    <mergeCell ref="HL232:HL233"/>
    <mergeCell ref="HM232:HM233"/>
    <mergeCell ref="HN232:HN233"/>
    <mergeCell ref="HO232:HO233"/>
    <mergeCell ref="HP232:HP233"/>
    <mergeCell ref="HQ232:HQ233"/>
    <mergeCell ref="HR232:HR233"/>
    <mergeCell ref="HS232:HS233"/>
    <mergeCell ref="HT232:HT233"/>
    <mergeCell ref="FQ231:FQ232"/>
    <mergeCell ref="FR231:FR232"/>
    <mergeCell ref="FS231:FS232"/>
    <mergeCell ref="FT231:FT232"/>
    <mergeCell ref="FW231:FW234"/>
    <mergeCell ref="FX231:FX234"/>
    <mergeCell ref="FY231:FY234"/>
    <mergeCell ref="FZ231:FZ234"/>
    <mergeCell ref="GA231:GA234"/>
    <mergeCell ref="GB231:GB234"/>
    <mergeCell ref="GC231:GC234"/>
    <mergeCell ref="GD231:GD234"/>
    <mergeCell ref="GG231:GG234"/>
    <mergeCell ref="HW231:HW233"/>
    <mergeCell ref="HX231:HX232"/>
    <mergeCell ref="IA231:IA234"/>
    <mergeCell ref="IB231:IB232"/>
    <mergeCell ref="HU232:HU233"/>
    <mergeCell ref="HY232:HY233"/>
    <mergeCell ref="FQ233:FQ234"/>
    <mergeCell ref="FR233:FR234"/>
    <mergeCell ref="FS233:FS234"/>
    <mergeCell ref="FT233:FT234"/>
    <mergeCell ref="HX233:HX234"/>
    <mergeCell ref="IB233:IB234"/>
    <mergeCell ref="FR238:FR239"/>
    <mergeCell ref="FS238:FS239"/>
    <mergeCell ref="ES231:ES234"/>
    <mergeCell ref="EU231:EU232"/>
    <mergeCell ref="EV231:EV232"/>
    <mergeCell ref="EW231:EW232"/>
    <mergeCell ref="EX231:EX232"/>
    <mergeCell ref="EY231:EY232"/>
    <mergeCell ref="EZ231:EZ234"/>
    <mergeCell ref="FB231:FB232"/>
    <mergeCell ref="FD231:FD234"/>
    <mergeCell ref="FE231:FE234"/>
    <mergeCell ref="FI231:FI232"/>
    <mergeCell ref="E230:AT230"/>
    <mergeCell ref="B231:B234"/>
    <mergeCell ref="C231:D234"/>
    <mergeCell ref="E231:F231"/>
    <mergeCell ref="G231:R231"/>
    <mergeCell ref="S231:S232"/>
    <mergeCell ref="U231:AA231"/>
    <mergeCell ref="AF231:AI231"/>
    <mergeCell ref="AJ231:AJ232"/>
    <mergeCell ref="AK231:AK232"/>
    <mergeCell ref="AL231:AL232"/>
    <mergeCell ref="AM231:AN234"/>
    <mergeCell ref="AO231:AQ234"/>
    <mergeCell ref="AR231:AR234"/>
    <mergeCell ref="AS231:AS234"/>
    <mergeCell ref="AT231:AT234"/>
    <mergeCell ref="E233:F233"/>
    <mergeCell ref="G233:L233"/>
    <mergeCell ref="P233:Q233"/>
    <mergeCell ref="S233:S234"/>
    <mergeCell ref="FM233:FM234"/>
    <mergeCell ref="FO233:FO234"/>
    <mergeCell ref="CO233:CO234"/>
    <mergeCell ref="CP233:CP234"/>
    <mergeCell ref="FP233:FP234"/>
    <mergeCell ref="DZ231:DZ234"/>
    <mergeCell ref="EA231:EA234"/>
    <mergeCell ref="EC231:EC234"/>
    <mergeCell ref="ED231:ED234"/>
    <mergeCell ref="EE231:EE234"/>
    <mergeCell ref="EF231:EF234"/>
    <mergeCell ref="EG231:EG234"/>
    <mergeCell ref="EH231:EH234"/>
    <mergeCell ref="EI231:EI234"/>
    <mergeCell ref="EJ231:EJ234"/>
    <mergeCell ref="EK231:EK234"/>
    <mergeCell ref="EL231:EL234"/>
    <mergeCell ref="EM231:EM234"/>
    <mergeCell ref="EN231:EN234"/>
    <mergeCell ref="EO231:EO234"/>
    <mergeCell ref="EP231:EP234"/>
    <mergeCell ref="EQ231:EQ234"/>
    <mergeCell ref="DD231:DD232"/>
    <mergeCell ref="DE231:DE232"/>
    <mergeCell ref="DF231:DF232"/>
    <mergeCell ref="DG231:DG232"/>
    <mergeCell ref="DH231:DH234"/>
    <mergeCell ref="DJ231:DJ232"/>
    <mergeCell ref="DL231:DL234"/>
    <mergeCell ref="DN231:DN234"/>
    <mergeCell ref="DO231:DO232"/>
    <mergeCell ref="GB226:GB229"/>
    <mergeCell ref="GC226:GC229"/>
    <mergeCell ref="GD226:GD229"/>
    <mergeCell ref="GG226:GG229"/>
    <mergeCell ref="HW226:HW228"/>
    <mergeCell ref="HX226:HX227"/>
    <mergeCell ref="FK228:FK229"/>
    <mergeCell ref="FL228:FL229"/>
    <mergeCell ref="FM228:FM229"/>
    <mergeCell ref="FO228:FO229"/>
    <mergeCell ref="FP228:FP229"/>
    <mergeCell ref="FQ228:FQ229"/>
    <mergeCell ref="FR228:FR229"/>
    <mergeCell ref="FS228:FS229"/>
    <mergeCell ref="FT228:FT229"/>
    <mergeCell ref="EE226:EE229"/>
    <mergeCell ref="EF226:EF229"/>
    <mergeCell ref="EG226:EG229"/>
    <mergeCell ref="EH226:EH229"/>
    <mergeCell ref="EI226:EI229"/>
    <mergeCell ref="EJ226:EJ229"/>
    <mergeCell ref="EK226:EK229"/>
    <mergeCell ref="EL226:EL229"/>
    <mergeCell ref="EM226:EM229"/>
    <mergeCell ref="EN226:EN229"/>
    <mergeCell ref="EO226:EO229"/>
    <mergeCell ref="EP226:EP229"/>
    <mergeCell ref="EQ226:EQ229"/>
    <mergeCell ref="ES226:ES229"/>
    <mergeCell ref="EU226:EU227"/>
    <mergeCell ref="EV226:EV227"/>
    <mergeCell ref="EW226:EW227"/>
    <mergeCell ref="EU228:EU229"/>
    <mergeCell ref="EV228:EV229"/>
    <mergeCell ref="EW228:EW229"/>
    <mergeCell ref="DE228:DE229"/>
    <mergeCell ref="DF228:DF229"/>
    <mergeCell ref="IA226:IA229"/>
    <mergeCell ref="IB226:IB227"/>
    <mergeCell ref="IC226:IC229"/>
    <mergeCell ref="IF226:IF227"/>
    <mergeCell ref="IG226:IG229"/>
    <mergeCell ref="IH226:IH227"/>
    <mergeCell ref="HX228:HX229"/>
    <mergeCell ref="IB228:IB229"/>
    <mergeCell ref="IF228:IF229"/>
    <mergeCell ref="IH228:IH229"/>
    <mergeCell ref="EX226:EX227"/>
    <mergeCell ref="AV231:AV234"/>
    <mergeCell ref="AW231:AW234"/>
    <mergeCell ref="CM231:CM234"/>
    <mergeCell ref="CN231:CN234"/>
    <mergeCell ref="CO231:CO232"/>
    <mergeCell ref="CP231:CP232"/>
    <mergeCell ref="CR231:CR232"/>
    <mergeCell ref="CS231:CS232"/>
    <mergeCell ref="CT231:CT232"/>
    <mergeCell ref="CU231:CU232"/>
    <mergeCell ref="CV231:CV232"/>
    <mergeCell ref="CW231:CW232"/>
    <mergeCell ref="CX231:CX234"/>
    <mergeCell ref="CY231:CY234"/>
    <mergeCell ref="CZ231:CZ234"/>
    <mergeCell ref="DA231:DA234"/>
    <mergeCell ref="DC231:DC232"/>
    <mergeCell ref="DC233:DC234"/>
    <mergeCell ref="DD233:DD234"/>
    <mergeCell ref="DE233:DE234"/>
    <mergeCell ref="DF233:DF234"/>
    <mergeCell ref="DG233:DG234"/>
    <mergeCell ref="DK233:DK234"/>
    <mergeCell ref="DO233:DO234"/>
    <mergeCell ref="DQ233:DQ234"/>
    <mergeCell ref="DV233:DV234"/>
    <mergeCell ref="IF233:IF234"/>
    <mergeCell ref="IH233:IH234"/>
    <mergeCell ref="CR233:CR234"/>
    <mergeCell ref="CS233:CS234"/>
    <mergeCell ref="CT233:CT234"/>
    <mergeCell ref="CU233:CU234"/>
    <mergeCell ref="CV233:CV234"/>
    <mergeCell ref="CW233:CW234"/>
    <mergeCell ref="IC231:IC234"/>
    <mergeCell ref="IF231:IF232"/>
    <mergeCell ref="IG231:IG234"/>
    <mergeCell ref="IH231:IH232"/>
    <mergeCell ref="FJ231:FJ232"/>
    <mergeCell ref="FK231:FK232"/>
    <mergeCell ref="FL231:FL232"/>
    <mergeCell ref="FM231:FM232"/>
    <mergeCell ref="FO231:FO232"/>
    <mergeCell ref="FP231:FP232"/>
    <mergeCell ref="EU233:EU234"/>
    <mergeCell ref="EV233:EV234"/>
    <mergeCell ref="EW233:EW234"/>
    <mergeCell ref="FT226:FT227"/>
    <mergeCell ref="EX228:EX229"/>
    <mergeCell ref="EY228:EY229"/>
    <mergeCell ref="FB228:FB229"/>
    <mergeCell ref="FI228:FI229"/>
    <mergeCell ref="FJ228:FJ229"/>
    <mergeCell ref="DG228:DG229"/>
    <mergeCell ref="CO228:CO229"/>
    <mergeCell ref="CP228:CP229"/>
    <mergeCell ref="CR228:CR229"/>
    <mergeCell ref="CS228:CS229"/>
    <mergeCell ref="CT228:CT229"/>
    <mergeCell ref="CU228:CU229"/>
    <mergeCell ref="CV228:CV229"/>
    <mergeCell ref="EY226:EY227"/>
    <mergeCell ref="EZ226:EZ229"/>
    <mergeCell ref="FB226:FB227"/>
    <mergeCell ref="E229:F229"/>
    <mergeCell ref="G229:L229"/>
    <mergeCell ref="P229:R229"/>
    <mergeCell ref="U229:AA229"/>
    <mergeCell ref="AF229:AI229"/>
    <mergeCell ref="FD226:FD229"/>
    <mergeCell ref="FE226:FE229"/>
    <mergeCell ref="FI226:FI227"/>
    <mergeCell ref="FJ226:FJ227"/>
    <mergeCell ref="FK226:FK227"/>
    <mergeCell ref="FL226:FL227"/>
    <mergeCell ref="FM226:FM227"/>
    <mergeCell ref="FO226:FO227"/>
    <mergeCell ref="FP226:FP227"/>
    <mergeCell ref="FQ226:FQ227"/>
    <mergeCell ref="FR226:FR227"/>
    <mergeCell ref="FS226:FS227"/>
    <mergeCell ref="DJ226:DJ227"/>
    <mergeCell ref="DL226:DL229"/>
    <mergeCell ref="DN226:DN229"/>
    <mergeCell ref="DO226:DO227"/>
    <mergeCell ref="DP226:DP229"/>
    <mergeCell ref="DQ226:DQ227"/>
    <mergeCell ref="DR226:DR229"/>
    <mergeCell ref="DS226:DS229"/>
    <mergeCell ref="DU226:DU229"/>
    <mergeCell ref="P228:Q228"/>
    <mergeCell ref="S228:S229"/>
    <mergeCell ref="AF228:AI228"/>
    <mergeCell ref="AJ228:AJ229"/>
    <mergeCell ref="AK228:AK229"/>
    <mergeCell ref="AL228:AL229"/>
    <mergeCell ref="E227:F227"/>
    <mergeCell ref="G227:L227"/>
    <mergeCell ref="P227:Q227"/>
    <mergeCell ref="AF227:AI227"/>
    <mergeCell ref="E228:F228"/>
    <mergeCell ref="G228:L228"/>
    <mergeCell ref="B226:B229"/>
    <mergeCell ref="C226:D229"/>
    <mergeCell ref="E226:F226"/>
    <mergeCell ref="G226:R226"/>
    <mergeCell ref="S226:S227"/>
    <mergeCell ref="U226:AA226"/>
    <mergeCell ref="AF226:AI226"/>
    <mergeCell ref="AJ226:AJ227"/>
    <mergeCell ref="AK226:AK227"/>
    <mergeCell ref="AL226:AL227"/>
    <mergeCell ref="AM226:AN229"/>
    <mergeCell ref="AO226:AQ229"/>
    <mergeCell ref="AR226:AR229"/>
    <mergeCell ref="AS226:AS229"/>
    <mergeCell ref="AT226:AT229"/>
    <mergeCell ref="AV226:AV229"/>
    <mergeCell ref="AW226:AW229"/>
    <mergeCell ref="CM226:CM229"/>
    <mergeCell ref="CN226:CN229"/>
    <mergeCell ref="DK223:DK224"/>
    <mergeCell ref="DO223:DO224"/>
    <mergeCell ref="DQ223:DQ224"/>
    <mergeCell ref="DV223:DV224"/>
    <mergeCell ref="EU223:EU224"/>
    <mergeCell ref="EV223:EV224"/>
    <mergeCell ref="EW223:EW224"/>
    <mergeCell ref="EX223:EX224"/>
    <mergeCell ref="EY223:EY224"/>
    <mergeCell ref="FB223:FB224"/>
    <mergeCell ref="E223:F223"/>
    <mergeCell ref="G223:L223"/>
    <mergeCell ref="DH226:DH229"/>
    <mergeCell ref="DV226:DV227"/>
    <mergeCell ref="DW226:DW229"/>
    <mergeCell ref="DX226:DX229"/>
    <mergeCell ref="DZ226:DZ229"/>
    <mergeCell ref="EA226:EA229"/>
    <mergeCell ref="EC226:EC229"/>
    <mergeCell ref="ED226:ED229"/>
    <mergeCell ref="DK228:DK229"/>
    <mergeCell ref="DO228:DO229"/>
    <mergeCell ref="DQ228:DQ229"/>
    <mergeCell ref="DV228:DV229"/>
    <mergeCell ref="CO226:CO227"/>
    <mergeCell ref="CP226:CP227"/>
    <mergeCell ref="CR226:CR227"/>
    <mergeCell ref="CS226:CS227"/>
    <mergeCell ref="CT226:CT227"/>
    <mergeCell ref="CU226:CU227"/>
    <mergeCell ref="CV226:CV227"/>
    <mergeCell ref="CW226:CW227"/>
    <mergeCell ref="CX226:CX229"/>
    <mergeCell ref="CY226:CY229"/>
    <mergeCell ref="CZ226:CZ229"/>
    <mergeCell ref="DA226:DA229"/>
    <mergeCell ref="DC226:DC227"/>
    <mergeCell ref="DD226:DD227"/>
    <mergeCell ref="DE226:DE227"/>
    <mergeCell ref="DF226:DF227"/>
    <mergeCell ref="DG226:DG227"/>
    <mergeCell ref="CW228:CW229"/>
    <mergeCell ref="DC228:DC229"/>
    <mergeCell ref="DD228:DD229"/>
    <mergeCell ref="DP221:DP224"/>
    <mergeCell ref="IC221:IC224"/>
    <mergeCell ref="IF221:IF222"/>
    <mergeCell ref="IG221:IG224"/>
    <mergeCell ref="IH221:IH222"/>
    <mergeCell ref="II221:II224"/>
    <mergeCell ref="DX221:DX224"/>
    <mergeCell ref="DZ221:DZ224"/>
    <mergeCell ref="EA221:EA224"/>
    <mergeCell ref="EC221:EC224"/>
    <mergeCell ref="ED221:ED224"/>
    <mergeCell ref="EE221:EE224"/>
    <mergeCell ref="EF221:EF224"/>
    <mergeCell ref="CR221:CR222"/>
    <mergeCell ref="CS221:CS222"/>
    <mergeCell ref="CT221:CT222"/>
    <mergeCell ref="CU221:CU222"/>
    <mergeCell ref="CV221:CV222"/>
    <mergeCell ref="CW221:CW222"/>
    <mergeCell ref="CX221:CX224"/>
    <mergeCell ref="CY221:CY224"/>
    <mergeCell ref="CZ221:CZ224"/>
    <mergeCell ref="DA221:DA224"/>
    <mergeCell ref="DC221:DC222"/>
    <mergeCell ref="DD221:DD222"/>
    <mergeCell ref="DE221:DE222"/>
    <mergeCell ref="DF221:DF222"/>
    <mergeCell ref="DG221:DG222"/>
    <mergeCell ref="DH221:DH224"/>
    <mergeCell ref="DJ221:DJ222"/>
    <mergeCell ref="CW223:CW224"/>
    <mergeCell ref="DC223:DC224"/>
    <mergeCell ref="DD223:DD224"/>
    <mergeCell ref="DE223:DE224"/>
    <mergeCell ref="DF223:DF224"/>
    <mergeCell ref="DG223:DG224"/>
    <mergeCell ref="HX223:HX224"/>
    <mergeCell ref="IB223:IB224"/>
    <mergeCell ref="IF223:IF224"/>
    <mergeCell ref="IH223:IH224"/>
    <mergeCell ref="FI223:FI224"/>
    <mergeCell ref="FJ223:FJ224"/>
    <mergeCell ref="FK223:FK224"/>
    <mergeCell ref="FL223:FL224"/>
    <mergeCell ref="FM223:FM224"/>
    <mergeCell ref="FO223:FO224"/>
    <mergeCell ref="FP223:FP224"/>
    <mergeCell ref="HJ222:HJ223"/>
    <mergeCell ref="HK222:HK223"/>
    <mergeCell ref="HL222:HL223"/>
    <mergeCell ref="HM222:HM223"/>
    <mergeCell ref="HN222:HN223"/>
    <mergeCell ref="HO222:HO223"/>
    <mergeCell ref="HP222:HP223"/>
    <mergeCell ref="HQ222:HQ223"/>
    <mergeCell ref="HR222:HR223"/>
    <mergeCell ref="HS222:HS223"/>
    <mergeCell ref="HT222:HT223"/>
    <mergeCell ref="HU222:HU223"/>
    <mergeCell ref="HY222:HY223"/>
    <mergeCell ref="EN221:EN224"/>
    <mergeCell ref="EO221:EO224"/>
    <mergeCell ref="DL221:DL224"/>
    <mergeCell ref="DN221:DN224"/>
    <mergeCell ref="DO221:DO222"/>
    <mergeCell ref="DQ221:DQ222"/>
    <mergeCell ref="DR221:DR224"/>
    <mergeCell ref="DS221:DS224"/>
    <mergeCell ref="DU221:DU224"/>
    <mergeCell ref="DV221:DV222"/>
    <mergeCell ref="DW221:DW224"/>
    <mergeCell ref="P223:Q223"/>
    <mergeCell ref="S223:S224"/>
    <mergeCell ref="AF223:AI223"/>
    <mergeCell ref="AJ223:AJ224"/>
    <mergeCell ref="AK223:AK224"/>
    <mergeCell ref="AL223:AL224"/>
    <mergeCell ref="CO223:CO224"/>
    <mergeCell ref="CP223:CP224"/>
    <mergeCell ref="CR223:CR224"/>
    <mergeCell ref="CS223:CS224"/>
    <mergeCell ref="CT223:CT224"/>
    <mergeCell ref="CU223:CU224"/>
    <mergeCell ref="CV223:CV224"/>
    <mergeCell ref="P224:R224"/>
    <mergeCell ref="U224:AA224"/>
    <mergeCell ref="AF224:AI224"/>
    <mergeCell ref="IC216:IC219"/>
    <mergeCell ref="IF216:IF217"/>
    <mergeCell ref="IG216:IG219"/>
    <mergeCell ref="IH216:IH217"/>
    <mergeCell ref="FJ216:FJ217"/>
    <mergeCell ref="FK216:FK217"/>
    <mergeCell ref="FL216:FL217"/>
    <mergeCell ref="FM216:FM217"/>
    <mergeCell ref="FO216:FO217"/>
    <mergeCell ref="FP216:FP217"/>
    <mergeCell ref="EU218:EU219"/>
    <mergeCell ref="EV218:EV219"/>
    <mergeCell ref="EW218:EW219"/>
    <mergeCell ref="EX218:EX219"/>
    <mergeCell ref="EY218:EY219"/>
    <mergeCell ref="DX216:DX219"/>
    <mergeCell ref="DK218:DK219"/>
    <mergeCell ref="DO218:DO219"/>
    <mergeCell ref="DQ218:DQ219"/>
    <mergeCell ref="DV218:DV219"/>
    <mergeCell ref="GI217:GI218"/>
    <mergeCell ref="GJ217:GJ218"/>
    <mergeCell ref="GL217:GL218"/>
    <mergeCell ref="GM217:GM218"/>
    <mergeCell ref="HC217:HC218"/>
    <mergeCell ref="HD217:HD218"/>
    <mergeCell ref="HE217:HE218"/>
    <mergeCell ref="HF217:HF218"/>
    <mergeCell ref="HG217:HG218"/>
    <mergeCell ref="HH217:HH218"/>
    <mergeCell ref="HI217:HI218"/>
    <mergeCell ref="HJ217:HJ218"/>
    <mergeCell ref="HK217:HK218"/>
    <mergeCell ref="HL217:HL218"/>
    <mergeCell ref="HM217:HM218"/>
    <mergeCell ref="HX221:HX222"/>
    <mergeCell ref="IA221:IA224"/>
    <mergeCell ref="IB221:IB222"/>
    <mergeCell ref="GI222:GI223"/>
    <mergeCell ref="GJ222:GJ223"/>
    <mergeCell ref="GL222:GL223"/>
    <mergeCell ref="GM222:GM223"/>
    <mergeCell ref="HC222:HC223"/>
    <mergeCell ref="HD222:HD223"/>
    <mergeCell ref="HE222:HE223"/>
    <mergeCell ref="HF222:HF223"/>
    <mergeCell ref="HG222:HG223"/>
    <mergeCell ref="HH222:HH223"/>
    <mergeCell ref="HI222:HI223"/>
    <mergeCell ref="EZ221:EZ224"/>
    <mergeCell ref="FB221:FB222"/>
    <mergeCell ref="FD221:FD224"/>
    <mergeCell ref="FE221:FE224"/>
    <mergeCell ref="FI221:FI222"/>
    <mergeCell ref="FJ221:FJ222"/>
    <mergeCell ref="FK221:FK222"/>
    <mergeCell ref="FL221:FL222"/>
    <mergeCell ref="FM221:FM222"/>
    <mergeCell ref="FO221:FO222"/>
    <mergeCell ref="FP221:FP222"/>
    <mergeCell ref="FQ221:FQ222"/>
    <mergeCell ref="FR221:FR222"/>
    <mergeCell ref="FS221:FS222"/>
    <mergeCell ref="FT221:FT222"/>
    <mergeCell ref="FW221:FW224"/>
    <mergeCell ref="FX221:FX224"/>
    <mergeCell ref="FQ223:FQ224"/>
    <mergeCell ref="FR223:FR224"/>
    <mergeCell ref="FS223:FS224"/>
    <mergeCell ref="FT223:FT224"/>
    <mergeCell ref="EG221:EG224"/>
    <mergeCell ref="EH221:EH224"/>
    <mergeCell ref="EI221:EI224"/>
    <mergeCell ref="EJ221:EJ224"/>
    <mergeCell ref="EK221:EK224"/>
    <mergeCell ref="EL221:EL224"/>
    <mergeCell ref="EM221:EM224"/>
    <mergeCell ref="EP221:EP224"/>
    <mergeCell ref="EQ221:EQ224"/>
    <mergeCell ref="ES221:ES224"/>
    <mergeCell ref="EU221:EU222"/>
    <mergeCell ref="EV221:EV222"/>
    <mergeCell ref="EW221:EW222"/>
    <mergeCell ref="EX221:EX222"/>
    <mergeCell ref="EY221:EY222"/>
    <mergeCell ref="CW218:CW219"/>
    <mergeCell ref="E220:AT220"/>
    <mergeCell ref="B221:B224"/>
    <mergeCell ref="C221:D224"/>
    <mergeCell ref="E221:F221"/>
    <mergeCell ref="G221:R221"/>
    <mergeCell ref="S221:S222"/>
    <mergeCell ref="U221:AA221"/>
    <mergeCell ref="AF221:AI221"/>
    <mergeCell ref="AJ221:AJ222"/>
    <mergeCell ref="AK221:AK222"/>
    <mergeCell ref="AL221:AL222"/>
    <mergeCell ref="AM221:AN224"/>
    <mergeCell ref="AO221:AQ224"/>
    <mergeCell ref="AR221:AR224"/>
    <mergeCell ref="AS221:AS224"/>
    <mergeCell ref="AT221:AT224"/>
    <mergeCell ref="AV221:AV224"/>
    <mergeCell ref="AW221:AW224"/>
    <mergeCell ref="CM221:CM224"/>
    <mergeCell ref="CN221:CN224"/>
    <mergeCell ref="CO221:CO222"/>
    <mergeCell ref="CP221:CP222"/>
    <mergeCell ref="AF218:AI218"/>
    <mergeCell ref="AJ218:AJ219"/>
    <mergeCell ref="AK218:AK219"/>
    <mergeCell ref="AL218:AL219"/>
    <mergeCell ref="CO218:CO219"/>
    <mergeCell ref="CP218:CP219"/>
    <mergeCell ref="CR218:CR219"/>
    <mergeCell ref="CS218:CS219"/>
    <mergeCell ref="E224:F224"/>
    <mergeCell ref="G224:L224"/>
    <mergeCell ref="AV216:AV219"/>
    <mergeCell ref="AW216:AW219"/>
    <mergeCell ref="CM216:CM219"/>
    <mergeCell ref="CN216:CN219"/>
    <mergeCell ref="CO216:CO217"/>
    <mergeCell ref="CP216:CP217"/>
    <mergeCell ref="CR216:CR217"/>
    <mergeCell ref="CS216:CS217"/>
    <mergeCell ref="AF217:AI217"/>
    <mergeCell ref="CT216:CT217"/>
    <mergeCell ref="CU216:CU217"/>
    <mergeCell ref="CV216:CV217"/>
    <mergeCell ref="CW216:CW217"/>
    <mergeCell ref="E222:F222"/>
    <mergeCell ref="G222:L222"/>
    <mergeCell ref="P222:Q222"/>
    <mergeCell ref="AF222:AI222"/>
    <mergeCell ref="HN217:HN218"/>
    <mergeCell ref="HO217:HO218"/>
    <mergeCell ref="HP217:HP218"/>
    <mergeCell ref="HQ217:HQ218"/>
    <mergeCell ref="HR217:HR218"/>
    <mergeCell ref="HS217:HS218"/>
    <mergeCell ref="HT217:HT218"/>
    <mergeCell ref="FQ216:FQ217"/>
    <mergeCell ref="FR216:FR217"/>
    <mergeCell ref="FS216:FS217"/>
    <mergeCell ref="FT216:FT217"/>
    <mergeCell ref="FW216:FW219"/>
    <mergeCell ref="FX216:FX219"/>
    <mergeCell ref="FY216:FY219"/>
    <mergeCell ref="FZ216:FZ219"/>
    <mergeCell ref="GA216:GA219"/>
    <mergeCell ref="GB216:GB219"/>
    <mergeCell ref="GC216:GC219"/>
    <mergeCell ref="GD216:GD219"/>
    <mergeCell ref="GG216:GG219"/>
    <mergeCell ref="FQ218:FQ219"/>
    <mergeCell ref="FR218:FR219"/>
    <mergeCell ref="FS218:FS219"/>
    <mergeCell ref="FT218:FT219"/>
    <mergeCell ref="G212:L212"/>
    <mergeCell ref="P212:Q212"/>
    <mergeCell ref="AF212:AI212"/>
    <mergeCell ref="E217:F217"/>
    <mergeCell ref="G217:L217"/>
    <mergeCell ref="P217:Q217"/>
    <mergeCell ref="ES216:ES219"/>
    <mergeCell ref="EU216:EU217"/>
    <mergeCell ref="EV216:EV217"/>
    <mergeCell ref="EW216:EW217"/>
    <mergeCell ref="EX216:EX217"/>
    <mergeCell ref="EY216:EY217"/>
    <mergeCell ref="EZ216:EZ219"/>
    <mergeCell ref="FB216:FB217"/>
    <mergeCell ref="FD216:FD219"/>
    <mergeCell ref="FE216:FE219"/>
    <mergeCell ref="FI216:FI217"/>
    <mergeCell ref="DC218:DC219"/>
    <mergeCell ref="DD218:DD219"/>
    <mergeCell ref="DE218:DE219"/>
    <mergeCell ref="DF218:DF219"/>
    <mergeCell ref="DG218:DG219"/>
    <mergeCell ref="FB218:FB219"/>
    <mergeCell ref="FI218:FI219"/>
    <mergeCell ref="FJ218:FJ219"/>
    <mergeCell ref="FK218:FK219"/>
    <mergeCell ref="FL218:FL219"/>
    <mergeCell ref="FM218:FM219"/>
    <mergeCell ref="FO218:FO219"/>
    <mergeCell ref="FP218:FP219"/>
    <mergeCell ref="DZ216:DZ219"/>
    <mergeCell ref="EA216:EA219"/>
    <mergeCell ref="EC216:EC219"/>
    <mergeCell ref="ED216:ED219"/>
    <mergeCell ref="EE216:EE219"/>
    <mergeCell ref="EF216:EF219"/>
    <mergeCell ref="EG216:EG219"/>
    <mergeCell ref="EH216:EH219"/>
    <mergeCell ref="EI216:EI219"/>
    <mergeCell ref="EJ216:EJ219"/>
    <mergeCell ref="EK216:EK219"/>
    <mergeCell ref="EL216:EL219"/>
    <mergeCell ref="EM216:EM219"/>
    <mergeCell ref="EN216:EN219"/>
    <mergeCell ref="EO216:EO219"/>
    <mergeCell ref="EP216:EP219"/>
    <mergeCell ref="EQ216:EQ219"/>
    <mergeCell ref="DD216:DD217"/>
    <mergeCell ref="DE216:DE217"/>
    <mergeCell ref="DF216:DF217"/>
    <mergeCell ref="DG216:DG217"/>
    <mergeCell ref="DH216:DH219"/>
    <mergeCell ref="DJ216:DJ217"/>
    <mergeCell ref="DL216:DL219"/>
    <mergeCell ref="DN216:DN219"/>
    <mergeCell ref="DO216:DO217"/>
    <mergeCell ref="DP216:DP219"/>
    <mergeCell ref="DQ216:DQ217"/>
    <mergeCell ref="DR216:DR219"/>
    <mergeCell ref="DS216:DS219"/>
    <mergeCell ref="DU216:DU219"/>
    <mergeCell ref="DV216:DV217"/>
    <mergeCell ref="DW216:DW219"/>
    <mergeCell ref="DU211:DU214"/>
    <mergeCell ref="DV211:DV212"/>
    <mergeCell ref="DW211:DW214"/>
    <mergeCell ref="DX211:DX214"/>
    <mergeCell ref="DZ211:DZ214"/>
    <mergeCell ref="EA211:EA214"/>
    <mergeCell ref="EC211:EC214"/>
    <mergeCell ref="ED211:ED214"/>
    <mergeCell ref="GI212:GI213"/>
    <mergeCell ref="GJ212:GJ213"/>
    <mergeCell ref="DG213:DG214"/>
    <mergeCell ref="DQ213:DQ214"/>
    <mergeCell ref="EN211:EN214"/>
    <mergeCell ref="EO211:EO214"/>
    <mergeCell ref="EP211:EP214"/>
    <mergeCell ref="EQ211:EQ214"/>
    <mergeCell ref="ES211:ES214"/>
    <mergeCell ref="CX216:CX219"/>
    <mergeCell ref="CY216:CY219"/>
    <mergeCell ref="CZ216:CZ219"/>
    <mergeCell ref="DA216:DA219"/>
    <mergeCell ref="DC216:DC217"/>
    <mergeCell ref="E214:F214"/>
    <mergeCell ref="G214:L214"/>
    <mergeCell ref="P214:R214"/>
    <mergeCell ref="U214:AA214"/>
    <mergeCell ref="AF214:AI214"/>
    <mergeCell ref="E215:AT215"/>
    <mergeCell ref="B216:B219"/>
    <mergeCell ref="C216:D219"/>
    <mergeCell ref="E216:F216"/>
    <mergeCell ref="G216:R216"/>
    <mergeCell ref="S216:S217"/>
    <mergeCell ref="U216:AA216"/>
    <mergeCell ref="AF216:AI216"/>
    <mergeCell ref="AJ216:AJ217"/>
    <mergeCell ref="AK216:AK217"/>
    <mergeCell ref="AL216:AL217"/>
    <mergeCell ref="AM216:AN219"/>
    <mergeCell ref="AO216:AQ219"/>
    <mergeCell ref="AR216:AR219"/>
    <mergeCell ref="AS216:AS219"/>
    <mergeCell ref="AT216:AT219"/>
    <mergeCell ref="E218:F218"/>
    <mergeCell ref="G218:L218"/>
    <mergeCell ref="P218:Q218"/>
    <mergeCell ref="S218:S219"/>
    <mergeCell ref="B211:B214"/>
    <mergeCell ref="C211:D214"/>
    <mergeCell ref="P213:Q213"/>
    <mergeCell ref="S213:S214"/>
    <mergeCell ref="AF213:AI213"/>
    <mergeCell ref="AJ213:AJ214"/>
    <mergeCell ref="AK213:AK214"/>
    <mergeCell ref="AL213:AL214"/>
    <mergeCell ref="CO213:CO214"/>
    <mergeCell ref="CP213:CP214"/>
    <mergeCell ref="CR213:CR214"/>
    <mergeCell ref="E212:F212"/>
    <mergeCell ref="CP211:CP212"/>
    <mergeCell ref="CR211:CR212"/>
    <mergeCell ref="CS211:CS212"/>
    <mergeCell ref="CT211:CT212"/>
    <mergeCell ref="CU211:CU212"/>
    <mergeCell ref="CV211:CV212"/>
    <mergeCell ref="CW211:CW212"/>
    <mergeCell ref="CX211:CX214"/>
    <mergeCell ref="CY211:CY214"/>
    <mergeCell ref="CZ211:CZ214"/>
    <mergeCell ref="DA211:DA214"/>
    <mergeCell ref="DC211:DC212"/>
    <mergeCell ref="CW213:CW214"/>
    <mergeCell ref="DC213:DC214"/>
    <mergeCell ref="E219:F219"/>
    <mergeCell ref="G219:L219"/>
    <mergeCell ref="P219:R219"/>
    <mergeCell ref="U219:AA219"/>
    <mergeCell ref="AF219:AI219"/>
    <mergeCell ref="CT218:CT219"/>
    <mergeCell ref="CU218:CU219"/>
    <mergeCell ref="CV218:CV219"/>
    <mergeCell ref="CS213:CS214"/>
    <mergeCell ref="CT213:CT214"/>
    <mergeCell ref="CU213:CU214"/>
    <mergeCell ref="CV213:CV214"/>
    <mergeCell ref="HQ212:HQ213"/>
    <mergeCell ref="HR212:HR213"/>
    <mergeCell ref="HS212:HS213"/>
    <mergeCell ref="HT212:HT213"/>
    <mergeCell ref="HU212:HU213"/>
    <mergeCell ref="HY212:HY213"/>
    <mergeCell ref="E213:F213"/>
    <mergeCell ref="G213:L213"/>
    <mergeCell ref="FW211:FW214"/>
    <mergeCell ref="FX211:FX214"/>
    <mergeCell ref="FY211:FY214"/>
    <mergeCell ref="FZ211:FZ214"/>
    <mergeCell ref="GA211:GA214"/>
    <mergeCell ref="GB211:GB214"/>
    <mergeCell ref="GC211:GC214"/>
    <mergeCell ref="GD211:GD214"/>
    <mergeCell ref="GG211:GG214"/>
    <mergeCell ref="HW211:HW213"/>
    <mergeCell ref="HX211:HX212"/>
    <mergeCell ref="HX213:HX214"/>
    <mergeCell ref="EX211:EX212"/>
    <mergeCell ref="EY211:EY212"/>
    <mergeCell ref="EZ211:EZ214"/>
    <mergeCell ref="FB211:FB212"/>
    <mergeCell ref="FD211:FD214"/>
    <mergeCell ref="FE211:FE214"/>
    <mergeCell ref="FI211:FI212"/>
    <mergeCell ref="FJ211:FJ212"/>
    <mergeCell ref="FK211:FK212"/>
    <mergeCell ref="FL211:FL212"/>
    <mergeCell ref="FM211:FM212"/>
    <mergeCell ref="FO211:FO212"/>
    <mergeCell ref="FP211:FP212"/>
    <mergeCell ref="FQ211:FQ212"/>
    <mergeCell ref="FR211:FR212"/>
    <mergeCell ref="FS211:FS212"/>
    <mergeCell ref="FT211:FT212"/>
    <mergeCell ref="EX213:EX214"/>
    <mergeCell ref="DV213:DV214"/>
    <mergeCell ref="GL212:GL213"/>
    <mergeCell ref="DD211:DD212"/>
    <mergeCell ref="DE211:DE212"/>
    <mergeCell ref="DF211:DF212"/>
    <mergeCell ref="DG211:DG212"/>
    <mergeCell ref="DD213:DD214"/>
    <mergeCell ref="DE213:DE214"/>
    <mergeCell ref="DF213:DF214"/>
    <mergeCell ref="EW213:EW214"/>
    <mergeCell ref="E211:F211"/>
    <mergeCell ref="G211:R211"/>
    <mergeCell ref="S211:S212"/>
    <mergeCell ref="U211:AA211"/>
    <mergeCell ref="AF211:AI211"/>
    <mergeCell ref="AJ211:AJ212"/>
    <mergeCell ref="AK211:AK212"/>
    <mergeCell ref="AL211:AL212"/>
    <mergeCell ref="AM211:AN214"/>
    <mergeCell ref="AO211:AQ214"/>
    <mergeCell ref="AR211:AR214"/>
    <mergeCell ref="AS211:AS214"/>
    <mergeCell ref="AV211:AV214"/>
    <mergeCell ref="AW211:AW214"/>
    <mergeCell ref="CM211:CM214"/>
    <mergeCell ref="CN211:CN214"/>
    <mergeCell ref="CT208:CT209"/>
    <mergeCell ref="CU208:CU209"/>
    <mergeCell ref="CV208:CV209"/>
    <mergeCell ref="CW208:CW209"/>
    <mergeCell ref="FZ206:FZ209"/>
    <mergeCell ref="GA206:GA209"/>
    <mergeCell ref="DH211:DH214"/>
    <mergeCell ref="DJ211:DJ212"/>
    <mergeCell ref="DL211:DL214"/>
    <mergeCell ref="DN211:DN214"/>
    <mergeCell ref="DO211:DO212"/>
    <mergeCell ref="DP211:DP214"/>
    <mergeCell ref="DQ211:DQ212"/>
    <mergeCell ref="DR211:DR214"/>
    <mergeCell ref="DS211:DS214"/>
    <mergeCell ref="EY206:EY207"/>
    <mergeCell ref="EZ206:EZ209"/>
    <mergeCell ref="EU208:EU209"/>
    <mergeCell ref="EV208:EV209"/>
    <mergeCell ref="EW208:EW209"/>
    <mergeCell ref="EX208:EX209"/>
    <mergeCell ref="EY208:EY209"/>
    <mergeCell ref="DN206:DN209"/>
    <mergeCell ref="DO206:DO207"/>
    <mergeCell ref="DP206:DP209"/>
    <mergeCell ref="DQ206:DQ207"/>
    <mergeCell ref="DR206:DR209"/>
    <mergeCell ref="DS206:DS209"/>
    <mergeCell ref="DU206:DU209"/>
    <mergeCell ref="DV206:DV207"/>
    <mergeCell ref="DW206:DW209"/>
    <mergeCell ref="DX206:DX209"/>
    <mergeCell ref="DZ206:DZ209"/>
    <mergeCell ref="EA206:EA209"/>
    <mergeCell ref="EC206:EC209"/>
    <mergeCell ref="ED206:ED209"/>
    <mergeCell ref="EE206:EE209"/>
    <mergeCell ref="EF206:EF209"/>
    <mergeCell ref="CO211:CO212"/>
    <mergeCell ref="DK213:DK214"/>
    <mergeCell ref="DO213:DO214"/>
    <mergeCell ref="EG206:EG209"/>
    <mergeCell ref="DO208:DO209"/>
    <mergeCell ref="DQ208:DQ209"/>
    <mergeCell ref="DA206:DA209"/>
    <mergeCell ref="DV208:DV209"/>
    <mergeCell ref="FP213:FP214"/>
    <mergeCell ref="FQ213:FQ214"/>
    <mergeCell ref="FR213:FR214"/>
    <mergeCell ref="FS213:FS214"/>
    <mergeCell ref="FT213:FT214"/>
    <mergeCell ref="EE211:EE214"/>
    <mergeCell ref="EF211:EF214"/>
    <mergeCell ref="EG211:EG214"/>
    <mergeCell ref="EH211:EH214"/>
    <mergeCell ref="EI211:EI214"/>
    <mergeCell ref="EJ211:EJ214"/>
    <mergeCell ref="EK211:EK214"/>
    <mergeCell ref="EL211:EL214"/>
    <mergeCell ref="EM211:EM214"/>
    <mergeCell ref="EU206:EU207"/>
    <mergeCell ref="EV206:EV207"/>
    <mergeCell ref="EW206:EW207"/>
    <mergeCell ref="EX206:EX207"/>
    <mergeCell ref="HX208:HX209"/>
    <mergeCell ref="IB208:IB209"/>
    <mergeCell ref="HR207:HR208"/>
    <mergeCell ref="HS207:HS208"/>
    <mergeCell ref="HT207:HT208"/>
    <mergeCell ref="HU207:HU208"/>
    <mergeCell ref="HY207:HY208"/>
    <mergeCell ref="GM212:GM213"/>
    <mergeCell ref="HC212:HC213"/>
    <mergeCell ref="HD212:HD213"/>
    <mergeCell ref="HE212:HE213"/>
    <mergeCell ref="HF212:HF213"/>
    <mergeCell ref="HG212:HG213"/>
    <mergeCell ref="HH212:HH213"/>
    <mergeCell ref="HI212:HI213"/>
    <mergeCell ref="HJ212:HJ213"/>
    <mergeCell ref="HK212:HK213"/>
    <mergeCell ref="HL212:HL213"/>
    <mergeCell ref="HM212:HM213"/>
    <mergeCell ref="HN212:HN213"/>
    <mergeCell ref="HO212:HO213"/>
    <mergeCell ref="HP212:HP213"/>
    <mergeCell ref="EY213:EY214"/>
    <mergeCell ref="FB213:FB214"/>
    <mergeCell ref="FI213:FI214"/>
    <mergeCell ref="FJ213:FJ214"/>
    <mergeCell ref="FK213:FK214"/>
    <mergeCell ref="FL213:FL214"/>
    <mergeCell ref="FM213:FM214"/>
    <mergeCell ref="FO213:FO214"/>
    <mergeCell ref="EU211:EU212"/>
    <mergeCell ref="EV211:EV212"/>
    <mergeCell ref="EW211:EW212"/>
    <mergeCell ref="EU213:EU214"/>
    <mergeCell ref="EV213:EV214"/>
    <mergeCell ref="HO207:HO208"/>
    <mergeCell ref="HP207:HP208"/>
    <mergeCell ref="HQ207:HQ208"/>
    <mergeCell ref="CT206:CT207"/>
    <mergeCell ref="CU206:CU207"/>
    <mergeCell ref="CV206:CV207"/>
    <mergeCell ref="FZ201:FZ204"/>
    <mergeCell ref="GA201:GA204"/>
    <mergeCell ref="IG206:IG209"/>
    <mergeCell ref="IH206:IH207"/>
    <mergeCell ref="II206:II209"/>
    <mergeCell ref="E207:F207"/>
    <mergeCell ref="G207:L207"/>
    <mergeCell ref="P207:Q207"/>
    <mergeCell ref="AF207:AI207"/>
    <mergeCell ref="GI207:GI208"/>
    <mergeCell ref="GJ207:GJ208"/>
    <mergeCell ref="GL207:GL208"/>
    <mergeCell ref="GM207:GM208"/>
    <mergeCell ref="HC207:HC208"/>
    <mergeCell ref="HD207:HD208"/>
    <mergeCell ref="HE207:HE208"/>
    <mergeCell ref="HF207:HF208"/>
    <mergeCell ref="HG207:HG208"/>
    <mergeCell ref="HH207:HH208"/>
    <mergeCell ref="HI207:HI208"/>
    <mergeCell ref="HJ207:HJ208"/>
    <mergeCell ref="FB206:FB207"/>
    <mergeCell ref="FD206:FD209"/>
    <mergeCell ref="FE206:FE209"/>
    <mergeCell ref="FI206:FI207"/>
    <mergeCell ref="FJ206:FJ207"/>
    <mergeCell ref="FK206:FK207"/>
    <mergeCell ref="FL206:FL207"/>
    <mergeCell ref="FM206:FM207"/>
    <mergeCell ref="FO206:FO207"/>
    <mergeCell ref="FP206:FP207"/>
    <mergeCell ref="FQ206:FQ207"/>
    <mergeCell ref="FR206:FR207"/>
    <mergeCell ref="FS206:FS207"/>
    <mergeCell ref="FT206:FT207"/>
    <mergeCell ref="FW206:FW209"/>
    <mergeCell ref="FX206:FX209"/>
    <mergeCell ref="FY206:FY209"/>
    <mergeCell ref="FB208:FB209"/>
    <mergeCell ref="FI208:FI209"/>
    <mergeCell ref="FJ208:FJ209"/>
    <mergeCell ref="FK208:FK209"/>
    <mergeCell ref="FL208:FL209"/>
    <mergeCell ref="FM208:FM209"/>
    <mergeCell ref="FO208:FO209"/>
    <mergeCell ref="FP208:FP209"/>
    <mergeCell ref="FQ208:FQ209"/>
    <mergeCell ref="FR208:FR209"/>
    <mergeCell ref="FS208:FS209"/>
    <mergeCell ref="FT208:FT209"/>
    <mergeCell ref="EH206:EH209"/>
    <mergeCell ref="EI206:EI209"/>
    <mergeCell ref="EJ206:EJ209"/>
    <mergeCell ref="EK206:EK209"/>
    <mergeCell ref="EL206:EL209"/>
    <mergeCell ref="EM206:EM209"/>
    <mergeCell ref="EN206:EN209"/>
    <mergeCell ref="EO206:EO209"/>
    <mergeCell ref="EP206:EP209"/>
    <mergeCell ref="EQ206:EQ209"/>
    <mergeCell ref="ES206:ES209"/>
    <mergeCell ref="CW206:CW207"/>
    <mergeCell ref="CX206:CX209"/>
    <mergeCell ref="CY206:CY209"/>
    <mergeCell ref="CZ206:CZ209"/>
    <mergeCell ref="DF201:DF202"/>
    <mergeCell ref="DG201:DG202"/>
    <mergeCell ref="DH201:DH204"/>
    <mergeCell ref="DJ201:DJ202"/>
    <mergeCell ref="DL201:DL204"/>
    <mergeCell ref="DC206:DC207"/>
    <mergeCell ref="DD206:DD207"/>
    <mergeCell ref="DE206:DE207"/>
    <mergeCell ref="DF206:DF207"/>
    <mergeCell ref="DG206:DG207"/>
    <mergeCell ref="DH206:DH209"/>
    <mergeCell ref="DJ206:DJ207"/>
    <mergeCell ref="DL206:DL209"/>
    <mergeCell ref="DC208:DC209"/>
    <mergeCell ref="DD208:DD209"/>
    <mergeCell ref="DE208:DE209"/>
    <mergeCell ref="DF208:DF209"/>
    <mergeCell ref="DG208:DG209"/>
    <mergeCell ref="DK208:DK209"/>
    <mergeCell ref="IH203:IH204"/>
    <mergeCell ref="E204:F204"/>
    <mergeCell ref="G204:L204"/>
    <mergeCell ref="P204:R204"/>
    <mergeCell ref="U204:AA204"/>
    <mergeCell ref="AF204:AI204"/>
    <mergeCell ref="E205:AT205"/>
    <mergeCell ref="CT203:CT204"/>
    <mergeCell ref="CU203:CU204"/>
    <mergeCell ref="CV203:CV204"/>
    <mergeCell ref="CW203:CW204"/>
    <mergeCell ref="DC203:DC204"/>
    <mergeCell ref="EX203:EX204"/>
    <mergeCell ref="EY203:EY204"/>
    <mergeCell ref="FB203:FB204"/>
    <mergeCell ref="FI203:FI204"/>
    <mergeCell ref="FJ203:FJ204"/>
    <mergeCell ref="FK203:FK204"/>
    <mergeCell ref="FL203:FL204"/>
    <mergeCell ref="FM203:FM204"/>
    <mergeCell ref="FO203:FO204"/>
    <mergeCell ref="FP203:FP204"/>
    <mergeCell ref="FQ203:FQ204"/>
    <mergeCell ref="FR203:FR204"/>
    <mergeCell ref="EC201:EC204"/>
    <mergeCell ref="ED201:ED204"/>
    <mergeCell ref="EE201:EE204"/>
    <mergeCell ref="EF201:EF204"/>
    <mergeCell ref="EG201:EG204"/>
    <mergeCell ref="EH201:EH204"/>
    <mergeCell ref="EI201:EI204"/>
    <mergeCell ref="EJ201:EJ204"/>
    <mergeCell ref="EK201:EK204"/>
    <mergeCell ref="EL201:EL204"/>
    <mergeCell ref="E202:F202"/>
    <mergeCell ref="G202:L202"/>
    <mergeCell ref="P202:Q202"/>
    <mergeCell ref="AF202:AI202"/>
    <mergeCell ref="GI202:GI203"/>
    <mergeCell ref="GJ202:GJ203"/>
    <mergeCell ref="GL202:GL203"/>
    <mergeCell ref="B206:B209"/>
    <mergeCell ref="C206:D209"/>
    <mergeCell ref="E206:F206"/>
    <mergeCell ref="G206:R206"/>
    <mergeCell ref="S206:S207"/>
    <mergeCell ref="U206:AA206"/>
    <mergeCell ref="AF206:AI206"/>
    <mergeCell ref="AJ206:AJ207"/>
    <mergeCell ref="AK206:AK207"/>
    <mergeCell ref="AL206:AL207"/>
    <mergeCell ref="AM206:AN209"/>
    <mergeCell ref="AO206:AQ209"/>
    <mergeCell ref="AR206:AR209"/>
    <mergeCell ref="AS206:AS209"/>
    <mergeCell ref="AT206:AT209"/>
    <mergeCell ref="AV206:AV209"/>
    <mergeCell ref="AW206:AW209"/>
    <mergeCell ref="CM206:CM209"/>
    <mergeCell ref="CN206:CN209"/>
    <mergeCell ref="CO206:CO207"/>
    <mergeCell ref="CP206:CP207"/>
    <mergeCell ref="CR206:CR207"/>
    <mergeCell ref="AF203:AI203"/>
    <mergeCell ref="AJ203:AJ204"/>
    <mergeCell ref="AK203:AK204"/>
    <mergeCell ref="AL203:AL204"/>
    <mergeCell ref="CO203:CO204"/>
    <mergeCell ref="CP203:CP204"/>
    <mergeCell ref="CR203:CR204"/>
    <mergeCell ref="CS203:CS204"/>
    <mergeCell ref="E208:F208"/>
    <mergeCell ref="G208:L208"/>
    <mergeCell ref="P208:Q208"/>
    <mergeCell ref="S208:S209"/>
    <mergeCell ref="AF208:AI208"/>
    <mergeCell ref="AJ208:AJ209"/>
    <mergeCell ref="AK208:AK209"/>
    <mergeCell ref="AL208:AL209"/>
    <mergeCell ref="CO208:CO209"/>
    <mergeCell ref="CP208:CP209"/>
    <mergeCell ref="CR208:CR209"/>
    <mergeCell ref="CS208:CS209"/>
    <mergeCell ref="CS206:CS207"/>
    <mergeCell ref="B201:B204"/>
    <mergeCell ref="C201:D204"/>
    <mergeCell ref="E201:F201"/>
    <mergeCell ref="G201:R201"/>
    <mergeCell ref="S201:S202"/>
    <mergeCell ref="U201:AA201"/>
    <mergeCell ref="AF201:AI201"/>
    <mergeCell ref="AJ201:AJ202"/>
    <mergeCell ref="AK201:AK202"/>
    <mergeCell ref="AL201:AL202"/>
    <mergeCell ref="AM201:AN204"/>
    <mergeCell ref="AO201:AQ204"/>
    <mergeCell ref="AR201:AR204"/>
    <mergeCell ref="AS201:AS204"/>
    <mergeCell ref="AT201:AT204"/>
    <mergeCell ref="E203:F203"/>
    <mergeCell ref="G203:L203"/>
    <mergeCell ref="P203:Q203"/>
    <mergeCell ref="S203:S204"/>
    <mergeCell ref="IF198:IF199"/>
    <mergeCell ref="IH198:IH199"/>
    <mergeCell ref="EX196:EX197"/>
    <mergeCell ref="EY196:EY197"/>
    <mergeCell ref="EZ196:EZ199"/>
    <mergeCell ref="FB196:FB197"/>
    <mergeCell ref="FS198:FS199"/>
    <mergeCell ref="FT198:FT199"/>
    <mergeCell ref="EV196:EV197"/>
    <mergeCell ref="EW196:EW197"/>
    <mergeCell ref="EU198:EU199"/>
    <mergeCell ref="EV198:EV199"/>
    <mergeCell ref="EW198:EW199"/>
    <mergeCell ref="EV201:EV202"/>
    <mergeCell ref="EW201:EW202"/>
    <mergeCell ref="EX201:EX202"/>
    <mergeCell ref="EY201:EY202"/>
    <mergeCell ref="EZ201:EZ204"/>
    <mergeCell ref="FB201:FB202"/>
    <mergeCell ref="FD201:FD204"/>
    <mergeCell ref="FE201:FE204"/>
    <mergeCell ref="FI201:FI202"/>
    <mergeCell ref="FJ201:FJ202"/>
    <mergeCell ref="FK201:FK202"/>
    <mergeCell ref="FL201:FL202"/>
    <mergeCell ref="FM201:FM202"/>
    <mergeCell ref="FO201:FO202"/>
    <mergeCell ref="FP201:FP202"/>
    <mergeCell ref="FQ201:FQ202"/>
    <mergeCell ref="FR201:FR202"/>
    <mergeCell ref="EV203:EV204"/>
    <mergeCell ref="EW203:EW204"/>
    <mergeCell ref="EU201:EU202"/>
    <mergeCell ref="EU203:EU204"/>
    <mergeCell ref="HE202:HE203"/>
    <mergeCell ref="HF202:HF203"/>
    <mergeCell ref="HG202:HG203"/>
    <mergeCell ref="HH202:HH203"/>
    <mergeCell ref="HI202:HI203"/>
    <mergeCell ref="HJ202:HJ203"/>
    <mergeCell ref="HK202:HK203"/>
    <mergeCell ref="HL202:HL203"/>
    <mergeCell ref="HM202:HM203"/>
    <mergeCell ref="HN202:HN203"/>
    <mergeCell ref="HO202:HO203"/>
    <mergeCell ref="HP202:HP203"/>
    <mergeCell ref="HQ202:HQ203"/>
    <mergeCell ref="HR202:HR203"/>
    <mergeCell ref="HS202:HS203"/>
    <mergeCell ref="HT202:HT203"/>
    <mergeCell ref="HU202:HU203"/>
    <mergeCell ref="HY202:HY203"/>
    <mergeCell ref="FS201:FS202"/>
    <mergeCell ref="FT201:FT202"/>
    <mergeCell ref="FW201:FW204"/>
    <mergeCell ref="FX201:FX204"/>
    <mergeCell ref="FY201:FY204"/>
    <mergeCell ref="GB201:GB204"/>
    <mergeCell ref="GC201:GC204"/>
    <mergeCell ref="GD201:GD204"/>
    <mergeCell ref="GG201:GG204"/>
    <mergeCell ref="CX201:CX204"/>
    <mergeCell ref="CY201:CY204"/>
    <mergeCell ref="CZ201:CZ204"/>
    <mergeCell ref="DA201:DA204"/>
    <mergeCell ref="DC201:DC202"/>
    <mergeCell ref="DD201:DD202"/>
    <mergeCell ref="DE201:DE202"/>
    <mergeCell ref="DD203:DD204"/>
    <mergeCell ref="DE203:DE204"/>
    <mergeCell ref="DF203:DF204"/>
    <mergeCell ref="DG203:DG204"/>
    <mergeCell ref="EM201:EM204"/>
    <mergeCell ref="EN201:EN204"/>
    <mergeCell ref="EO201:EO204"/>
    <mergeCell ref="EP201:EP204"/>
    <mergeCell ref="EQ201:EQ204"/>
    <mergeCell ref="ES201:ES204"/>
    <mergeCell ref="DN201:DN204"/>
    <mergeCell ref="DO201:DO202"/>
    <mergeCell ref="DP201:DP204"/>
    <mergeCell ref="DQ201:DQ202"/>
    <mergeCell ref="DR201:DR204"/>
    <mergeCell ref="DS201:DS204"/>
    <mergeCell ref="DU201:DU204"/>
    <mergeCell ref="DV201:DV202"/>
    <mergeCell ref="DW201:DW204"/>
    <mergeCell ref="DX201:DX204"/>
    <mergeCell ref="DZ201:DZ204"/>
    <mergeCell ref="EA201:EA204"/>
    <mergeCell ref="IB196:IB197"/>
    <mergeCell ref="IC196:IC199"/>
    <mergeCell ref="IF196:IF197"/>
    <mergeCell ref="IG196:IG199"/>
    <mergeCell ref="HW201:HW203"/>
    <mergeCell ref="HX201:HX202"/>
    <mergeCell ref="FS203:FS204"/>
    <mergeCell ref="FT203:FT204"/>
    <mergeCell ref="HX203:HX204"/>
    <mergeCell ref="GM202:GM203"/>
    <mergeCell ref="HC202:HC203"/>
    <mergeCell ref="HD202:HD203"/>
    <mergeCell ref="GM197:GM198"/>
    <mergeCell ref="HC197:HC198"/>
    <mergeCell ref="HD197:HD198"/>
    <mergeCell ref="HE197:HE198"/>
    <mergeCell ref="HF197:HF198"/>
    <mergeCell ref="HG197:HG198"/>
    <mergeCell ref="HH197:HH198"/>
    <mergeCell ref="HI197:HI198"/>
    <mergeCell ref="HJ197:HJ198"/>
    <mergeCell ref="HK197:HK198"/>
    <mergeCell ref="HL197:HL198"/>
    <mergeCell ref="HM197:HM198"/>
    <mergeCell ref="HN197:HN198"/>
    <mergeCell ref="HO197:HO198"/>
    <mergeCell ref="HP197:HP198"/>
    <mergeCell ref="HQ197:HQ198"/>
    <mergeCell ref="HR197:HR198"/>
    <mergeCell ref="HS197:HS198"/>
    <mergeCell ref="HT197:HT198"/>
    <mergeCell ref="HU197:HU198"/>
    <mergeCell ref="HY197:HY198"/>
    <mergeCell ref="HW196:HW198"/>
    <mergeCell ref="HX196:HX197"/>
    <mergeCell ref="E197:F197"/>
    <mergeCell ref="G197:L197"/>
    <mergeCell ref="P197:Q197"/>
    <mergeCell ref="AF197:AI197"/>
    <mergeCell ref="GI197:GI198"/>
    <mergeCell ref="GJ197:GJ198"/>
    <mergeCell ref="GL197:GL198"/>
    <mergeCell ref="B196:B199"/>
    <mergeCell ref="C196:D199"/>
    <mergeCell ref="EE196:EE199"/>
    <mergeCell ref="EF196:EF199"/>
    <mergeCell ref="EG196:EG199"/>
    <mergeCell ref="EH196:EH199"/>
    <mergeCell ref="EI196:EI199"/>
    <mergeCell ref="EJ196:EJ199"/>
    <mergeCell ref="EK196:EK199"/>
    <mergeCell ref="EL196:EL199"/>
    <mergeCell ref="EM196:EM199"/>
    <mergeCell ref="EN196:EN199"/>
    <mergeCell ref="EO196:EO199"/>
    <mergeCell ref="EP196:EP199"/>
    <mergeCell ref="EQ196:EQ199"/>
    <mergeCell ref="ES196:ES199"/>
    <mergeCell ref="EU196:EU197"/>
    <mergeCell ref="DK203:DK204"/>
    <mergeCell ref="DO203:DO204"/>
    <mergeCell ref="DQ203:DQ204"/>
    <mergeCell ref="DV203:DV204"/>
    <mergeCell ref="CM201:CM204"/>
    <mergeCell ref="CN201:CN204"/>
    <mergeCell ref="CO201:CO202"/>
    <mergeCell ref="CP201:CP202"/>
    <mergeCell ref="CR201:CR202"/>
    <mergeCell ref="CS201:CS202"/>
    <mergeCell ref="CT201:CT202"/>
    <mergeCell ref="CU201:CU202"/>
    <mergeCell ref="CV201:CV202"/>
    <mergeCell ref="CW201:CW202"/>
    <mergeCell ref="E198:F198"/>
    <mergeCell ref="G198:L198"/>
    <mergeCell ref="FW196:FW199"/>
    <mergeCell ref="FX196:FX199"/>
    <mergeCell ref="FY196:FY199"/>
    <mergeCell ref="FZ196:FZ199"/>
    <mergeCell ref="GA196:GA199"/>
    <mergeCell ref="GB196:GB199"/>
    <mergeCell ref="GC196:GC199"/>
    <mergeCell ref="GD196:GD199"/>
    <mergeCell ref="GG196:GG199"/>
    <mergeCell ref="E199:F199"/>
    <mergeCell ref="G199:L199"/>
    <mergeCell ref="P199:R199"/>
    <mergeCell ref="U199:AA199"/>
    <mergeCell ref="AF199:AI199"/>
    <mergeCell ref="FD196:FD199"/>
    <mergeCell ref="FE196:FE199"/>
    <mergeCell ref="U196:AA196"/>
    <mergeCell ref="AF196:AI196"/>
    <mergeCell ref="AJ196:AJ197"/>
    <mergeCell ref="AK196:AK197"/>
    <mergeCell ref="AL196:AL197"/>
    <mergeCell ref="AM196:AN199"/>
    <mergeCell ref="AO196:AQ199"/>
    <mergeCell ref="AR196:AR199"/>
    <mergeCell ref="AS196:AS199"/>
    <mergeCell ref="AT196:AT199"/>
    <mergeCell ref="AV196:AV199"/>
    <mergeCell ref="AW196:AW199"/>
    <mergeCell ref="CM196:CM199"/>
    <mergeCell ref="CN196:CN199"/>
    <mergeCell ref="HY192:HY193"/>
    <mergeCell ref="E193:F193"/>
    <mergeCell ref="G193:L193"/>
    <mergeCell ref="P193:Q193"/>
    <mergeCell ref="S193:S194"/>
    <mergeCell ref="AF193:AI193"/>
    <mergeCell ref="AJ193:AJ194"/>
    <mergeCell ref="AK193:AK194"/>
    <mergeCell ref="AL193:AL194"/>
    <mergeCell ref="CO193:CO194"/>
    <mergeCell ref="CP193:CP194"/>
    <mergeCell ref="CR193:CR194"/>
    <mergeCell ref="CS193:CS194"/>
    <mergeCell ref="CT193:CT194"/>
    <mergeCell ref="CU193:CU194"/>
    <mergeCell ref="CV193:CV194"/>
    <mergeCell ref="CW193:CW194"/>
    <mergeCell ref="DH196:DH199"/>
    <mergeCell ref="DJ196:DJ197"/>
    <mergeCell ref="DL196:DL199"/>
    <mergeCell ref="DN196:DN199"/>
    <mergeCell ref="DO196:DO197"/>
    <mergeCell ref="DP196:DP199"/>
    <mergeCell ref="DQ196:DQ197"/>
    <mergeCell ref="DR196:DR199"/>
    <mergeCell ref="DS196:DS199"/>
    <mergeCell ref="DU196:DU199"/>
    <mergeCell ref="DV196:DV197"/>
    <mergeCell ref="DW196:DW199"/>
    <mergeCell ref="DX196:DX199"/>
    <mergeCell ref="DZ196:DZ199"/>
    <mergeCell ref="EA196:EA199"/>
    <mergeCell ref="EC196:EC199"/>
    <mergeCell ref="ED196:ED199"/>
    <mergeCell ref="DK198:DK199"/>
    <mergeCell ref="DO198:DO199"/>
    <mergeCell ref="DQ198:DQ199"/>
    <mergeCell ref="DV198:DV199"/>
    <mergeCell ref="CO196:CO197"/>
    <mergeCell ref="CP196:CP197"/>
    <mergeCell ref="CR196:CR197"/>
    <mergeCell ref="CS196:CS197"/>
    <mergeCell ref="CT196:CT197"/>
    <mergeCell ref="CU196:CU197"/>
    <mergeCell ref="CV196:CV197"/>
    <mergeCell ref="CW196:CW197"/>
    <mergeCell ref="CX196:CX199"/>
    <mergeCell ref="CY196:CY199"/>
    <mergeCell ref="CZ196:CZ199"/>
    <mergeCell ref="DA196:DA199"/>
    <mergeCell ref="DC196:DC197"/>
    <mergeCell ref="DD196:DD197"/>
    <mergeCell ref="DE196:DE197"/>
    <mergeCell ref="DF196:DF197"/>
    <mergeCell ref="DG196:DG197"/>
    <mergeCell ref="CW198:CW199"/>
    <mergeCell ref="DC198:DC199"/>
    <mergeCell ref="DD198:DD199"/>
    <mergeCell ref="DE198:DE199"/>
    <mergeCell ref="DF198:DF199"/>
    <mergeCell ref="E195:AT195"/>
    <mergeCell ref="E196:F196"/>
    <mergeCell ref="G196:R196"/>
    <mergeCell ref="S196:S197"/>
    <mergeCell ref="HK192:HK193"/>
    <mergeCell ref="HL192:HL193"/>
    <mergeCell ref="HM192:HM193"/>
    <mergeCell ref="HN192:HN193"/>
    <mergeCell ref="HO192:HO193"/>
    <mergeCell ref="HP192:HP193"/>
    <mergeCell ref="HQ192:HQ193"/>
    <mergeCell ref="HR192:HR193"/>
    <mergeCell ref="HS192:HS193"/>
    <mergeCell ref="HT192:HT193"/>
    <mergeCell ref="DG198:DG199"/>
    <mergeCell ref="CO198:CO199"/>
    <mergeCell ref="CP198:CP199"/>
    <mergeCell ref="CR198:CR199"/>
    <mergeCell ref="CS198:CS199"/>
    <mergeCell ref="CT198:CT199"/>
    <mergeCell ref="CU198:CU199"/>
    <mergeCell ref="CV198:CV199"/>
    <mergeCell ref="FI196:FI197"/>
    <mergeCell ref="FJ196:FJ197"/>
    <mergeCell ref="FK196:FK197"/>
    <mergeCell ref="FL196:FL197"/>
    <mergeCell ref="FM196:FM197"/>
    <mergeCell ref="FO196:FO197"/>
    <mergeCell ref="FP196:FP197"/>
    <mergeCell ref="FQ196:FQ197"/>
    <mergeCell ref="FR196:FR197"/>
    <mergeCell ref="FS196:FS197"/>
    <mergeCell ref="FT196:FT197"/>
    <mergeCell ref="EX198:EX199"/>
    <mergeCell ref="EY198:EY199"/>
    <mergeCell ref="FB198:FB199"/>
    <mergeCell ref="FI198:FI199"/>
    <mergeCell ref="FJ198:FJ199"/>
    <mergeCell ref="FK198:FK199"/>
    <mergeCell ref="FL198:FL199"/>
    <mergeCell ref="FM198:FM199"/>
    <mergeCell ref="FO198:FO199"/>
    <mergeCell ref="FP198:FP199"/>
    <mergeCell ref="FQ198:FQ199"/>
    <mergeCell ref="FR198:FR199"/>
    <mergeCell ref="HD192:HD193"/>
    <mergeCell ref="HE192:HE193"/>
    <mergeCell ref="HF192:HF193"/>
    <mergeCell ref="HG192:HG193"/>
    <mergeCell ref="HH192:HH193"/>
    <mergeCell ref="HI192:HI193"/>
    <mergeCell ref="HJ192:HJ193"/>
    <mergeCell ref="FB191:FB192"/>
    <mergeCell ref="FD191:FD194"/>
    <mergeCell ref="FE191:FE194"/>
    <mergeCell ref="FI191:FI192"/>
    <mergeCell ref="FJ191:FJ192"/>
    <mergeCell ref="FK191:FK192"/>
    <mergeCell ref="FL191:FL192"/>
    <mergeCell ref="FM191:FM192"/>
    <mergeCell ref="FO191:FO192"/>
    <mergeCell ref="FP191:FP192"/>
    <mergeCell ref="FQ191:FQ192"/>
    <mergeCell ref="FR191:FR192"/>
    <mergeCell ref="FS191:FS192"/>
    <mergeCell ref="FT191:FT192"/>
    <mergeCell ref="FW191:FW194"/>
    <mergeCell ref="FX191:FX194"/>
    <mergeCell ref="FK193:FK194"/>
    <mergeCell ref="FL193:FL194"/>
    <mergeCell ref="FM193:FM194"/>
    <mergeCell ref="FO193:FO194"/>
    <mergeCell ref="FP193:FP194"/>
    <mergeCell ref="FQ193:FQ194"/>
    <mergeCell ref="FR193:FR194"/>
    <mergeCell ref="FS193:FS194"/>
    <mergeCell ref="FT193:FT194"/>
    <mergeCell ref="CS191:CS192"/>
    <mergeCell ref="CT191:CT192"/>
    <mergeCell ref="CU191:CU192"/>
    <mergeCell ref="CV191:CV192"/>
    <mergeCell ref="CW191:CW192"/>
    <mergeCell ref="CX191:CX194"/>
    <mergeCell ref="CY191:CY194"/>
    <mergeCell ref="CZ191:CZ194"/>
    <mergeCell ref="DA191:DA194"/>
    <mergeCell ref="DC191:DC192"/>
    <mergeCell ref="DD191:DD192"/>
    <mergeCell ref="DE191:DE192"/>
    <mergeCell ref="DF191:DF192"/>
    <mergeCell ref="DG191:DG192"/>
    <mergeCell ref="DH191:DH194"/>
    <mergeCell ref="DJ191:DJ192"/>
    <mergeCell ref="DL191:DL194"/>
    <mergeCell ref="DC193:DC194"/>
    <mergeCell ref="DD193:DD194"/>
    <mergeCell ref="DE193:DE194"/>
    <mergeCell ref="DF193:DF194"/>
    <mergeCell ref="DG193:DG194"/>
    <mergeCell ref="DK193:DK194"/>
    <mergeCell ref="DZ191:DZ194"/>
    <mergeCell ref="EA191:EA194"/>
    <mergeCell ref="EC191:EC194"/>
    <mergeCell ref="ED191:ED194"/>
    <mergeCell ref="EE191:EE194"/>
    <mergeCell ref="EF191:EF194"/>
    <mergeCell ref="EG191:EG194"/>
    <mergeCell ref="DO193:DO194"/>
    <mergeCell ref="DQ193:DQ194"/>
    <mergeCell ref="DV193:DV194"/>
    <mergeCell ref="GI192:GI193"/>
    <mergeCell ref="GJ192:GJ193"/>
    <mergeCell ref="GL192:GL193"/>
    <mergeCell ref="GM192:GM193"/>
    <mergeCell ref="HC192:HC193"/>
    <mergeCell ref="EH191:EH194"/>
    <mergeCell ref="EI191:EI194"/>
    <mergeCell ref="EJ191:EJ194"/>
    <mergeCell ref="E194:F194"/>
    <mergeCell ref="G194:L194"/>
    <mergeCell ref="P194:R194"/>
    <mergeCell ref="U194:AA194"/>
    <mergeCell ref="AF194:AI194"/>
    <mergeCell ref="EK191:EK194"/>
    <mergeCell ref="EL191:EL194"/>
    <mergeCell ref="EM191:EM194"/>
    <mergeCell ref="EN191:EN194"/>
    <mergeCell ref="EO191:EO194"/>
    <mergeCell ref="EP191:EP194"/>
    <mergeCell ref="EQ191:EQ194"/>
    <mergeCell ref="ES191:ES194"/>
    <mergeCell ref="EU191:EU192"/>
    <mergeCell ref="EV191:EV192"/>
    <mergeCell ref="FL188:FL189"/>
    <mergeCell ref="FM188:FM189"/>
    <mergeCell ref="FO188:FO189"/>
    <mergeCell ref="FP188:FP189"/>
    <mergeCell ref="FQ188:FQ189"/>
    <mergeCell ref="FR188:FR189"/>
    <mergeCell ref="EC186:EC189"/>
    <mergeCell ref="ED186:ED189"/>
    <mergeCell ref="EE186:EE189"/>
    <mergeCell ref="EF186:EF189"/>
    <mergeCell ref="EG186:EG189"/>
    <mergeCell ref="EH186:EH189"/>
    <mergeCell ref="EI186:EI189"/>
    <mergeCell ref="EJ186:EJ189"/>
    <mergeCell ref="EK186:EK189"/>
    <mergeCell ref="EL186:EL189"/>
    <mergeCell ref="EM186:EM189"/>
    <mergeCell ref="EN186:EN189"/>
    <mergeCell ref="EW191:EW192"/>
    <mergeCell ref="EX191:EX192"/>
    <mergeCell ref="EY191:EY192"/>
    <mergeCell ref="EZ191:EZ194"/>
    <mergeCell ref="EU193:EU194"/>
    <mergeCell ref="EV193:EV194"/>
    <mergeCell ref="EW193:EW194"/>
    <mergeCell ref="EX193:EX194"/>
    <mergeCell ref="EY193:EY194"/>
    <mergeCell ref="DN191:DN194"/>
    <mergeCell ref="DO191:DO192"/>
    <mergeCell ref="DP191:DP194"/>
    <mergeCell ref="DQ191:DQ192"/>
    <mergeCell ref="DR191:DR194"/>
    <mergeCell ref="DS191:DS194"/>
    <mergeCell ref="DU191:DU194"/>
    <mergeCell ref="DV191:DV192"/>
    <mergeCell ref="DW191:DW194"/>
    <mergeCell ref="DX191:DX194"/>
    <mergeCell ref="FY191:FY194"/>
    <mergeCell ref="FB193:FB194"/>
    <mergeCell ref="FI193:FI194"/>
    <mergeCell ref="FJ193:FJ194"/>
    <mergeCell ref="DZ186:DZ189"/>
    <mergeCell ref="EA186:EA189"/>
    <mergeCell ref="E189:F189"/>
    <mergeCell ref="G189:L189"/>
    <mergeCell ref="P189:R189"/>
    <mergeCell ref="U189:AA189"/>
    <mergeCell ref="AF189:AI189"/>
    <mergeCell ref="E190:AT190"/>
    <mergeCell ref="B191:B194"/>
    <mergeCell ref="C191:D194"/>
    <mergeCell ref="E191:F191"/>
    <mergeCell ref="G191:R191"/>
    <mergeCell ref="S191:S192"/>
    <mergeCell ref="U191:AA191"/>
    <mergeCell ref="AF191:AI191"/>
    <mergeCell ref="AJ191:AJ192"/>
    <mergeCell ref="AK191:AK192"/>
    <mergeCell ref="AL191:AL192"/>
    <mergeCell ref="AM191:AN194"/>
    <mergeCell ref="AO191:AQ194"/>
    <mergeCell ref="AR191:AR194"/>
    <mergeCell ref="AS191:AS194"/>
    <mergeCell ref="AT191:AT194"/>
    <mergeCell ref="AV191:AV194"/>
    <mergeCell ref="AW191:AW194"/>
    <mergeCell ref="CM191:CM194"/>
    <mergeCell ref="CN191:CN194"/>
    <mergeCell ref="CO191:CO192"/>
    <mergeCell ref="CP191:CP192"/>
    <mergeCell ref="CR191:CR192"/>
    <mergeCell ref="AF188:AI188"/>
    <mergeCell ref="AJ188:AJ189"/>
    <mergeCell ref="AK188:AK189"/>
    <mergeCell ref="AL188:AL189"/>
    <mergeCell ref="CO188:CO189"/>
    <mergeCell ref="CP188:CP189"/>
    <mergeCell ref="CR188:CR189"/>
    <mergeCell ref="E187:F187"/>
    <mergeCell ref="G187:L187"/>
    <mergeCell ref="P187:Q187"/>
    <mergeCell ref="AF187:AI187"/>
    <mergeCell ref="E192:F192"/>
    <mergeCell ref="G192:L192"/>
    <mergeCell ref="P192:Q192"/>
    <mergeCell ref="AF192:AI192"/>
    <mergeCell ref="GI187:GI188"/>
    <mergeCell ref="GJ187:GJ188"/>
    <mergeCell ref="GL187:GL188"/>
    <mergeCell ref="GM187:GM188"/>
    <mergeCell ref="HC187:HC188"/>
    <mergeCell ref="HD187:HD188"/>
    <mergeCell ref="HE187:HE188"/>
    <mergeCell ref="HF187:HF188"/>
    <mergeCell ref="HG187:HG188"/>
    <mergeCell ref="HH187:HH188"/>
    <mergeCell ref="HI187:HI188"/>
    <mergeCell ref="HJ187:HJ188"/>
    <mergeCell ref="HK187:HK188"/>
    <mergeCell ref="HL187:HL188"/>
    <mergeCell ref="HM187:HM188"/>
    <mergeCell ref="HN187:HN188"/>
    <mergeCell ref="HO187:HO188"/>
    <mergeCell ref="HP187:HP188"/>
    <mergeCell ref="HQ187:HQ188"/>
    <mergeCell ref="HR187:HR188"/>
    <mergeCell ref="HS187:HS188"/>
    <mergeCell ref="HT187:HT188"/>
    <mergeCell ref="HU187:HU188"/>
    <mergeCell ref="HY187:HY188"/>
    <mergeCell ref="FS186:FS187"/>
    <mergeCell ref="FT186:FT187"/>
    <mergeCell ref="FW186:FW189"/>
    <mergeCell ref="FX186:FX189"/>
    <mergeCell ref="FY186:FY189"/>
    <mergeCell ref="FZ186:FZ189"/>
    <mergeCell ref="GA186:GA189"/>
    <mergeCell ref="GB186:GB189"/>
    <mergeCell ref="GC186:GC189"/>
    <mergeCell ref="GD186:GD189"/>
    <mergeCell ref="GG186:GG189"/>
    <mergeCell ref="HW186:HW188"/>
    <mergeCell ref="HX186:HX187"/>
    <mergeCell ref="FS188:FS189"/>
    <mergeCell ref="FT188:FT189"/>
    <mergeCell ref="HX188:HX189"/>
    <mergeCell ref="EV186:EV187"/>
    <mergeCell ref="EW186:EW187"/>
    <mergeCell ref="EX186:EX187"/>
    <mergeCell ref="EY186:EY187"/>
    <mergeCell ref="EZ186:EZ189"/>
    <mergeCell ref="FB186:FB187"/>
    <mergeCell ref="FD186:FD189"/>
    <mergeCell ref="FE186:FE189"/>
    <mergeCell ref="FI186:FI187"/>
    <mergeCell ref="FJ186:FJ187"/>
    <mergeCell ref="FL186:FL187"/>
    <mergeCell ref="FM186:FM187"/>
    <mergeCell ref="FO186:FO187"/>
    <mergeCell ref="FP186:FP187"/>
    <mergeCell ref="FQ186:FQ187"/>
    <mergeCell ref="FR186:FR187"/>
    <mergeCell ref="EV188:EV189"/>
    <mergeCell ref="EW188:EW189"/>
    <mergeCell ref="EX188:EX189"/>
    <mergeCell ref="DK188:DK189"/>
    <mergeCell ref="DO188:DO189"/>
    <mergeCell ref="DQ188:DQ189"/>
    <mergeCell ref="DV188:DV189"/>
    <mergeCell ref="CM186:CM189"/>
    <mergeCell ref="CN186:CN189"/>
    <mergeCell ref="CO186:CO187"/>
    <mergeCell ref="CP186:CP187"/>
    <mergeCell ref="CR186:CR187"/>
    <mergeCell ref="CS186:CS187"/>
    <mergeCell ref="CT186:CT187"/>
    <mergeCell ref="CU186:CU187"/>
    <mergeCell ref="CV186:CV187"/>
    <mergeCell ref="CW186:CW187"/>
    <mergeCell ref="CX186:CX189"/>
    <mergeCell ref="CY186:CY189"/>
    <mergeCell ref="CZ186:CZ189"/>
    <mergeCell ref="DA186:DA189"/>
    <mergeCell ref="DC186:DC187"/>
    <mergeCell ref="DD186:DD187"/>
    <mergeCell ref="DE186:DE187"/>
    <mergeCell ref="CU188:CU189"/>
    <mergeCell ref="CV188:CV189"/>
    <mergeCell ref="CW188:CW189"/>
    <mergeCell ref="DC188:DC189"/>
    <mergeCell ref="DD188:DD189"/>
    <mergeCell ref="DE188:DE189"/>
    <mergeCell ref="DF188:DF189"/>
    <mergeCell ref="DG188:DG189"/>
    <mergeCell ref="DW186:DW189"/>
    <mergeCell ref="CS188:CS189"/>
    <mergeCell ref="CT188:CT189"/>
    <mergeCell ref="FK186:FK187"/>
    <mergeCell ref="EY188:EY189"/>
    <mergeCell ref="FB188:FB189"/>
    <mergeCell ref="FI188:FI189"/>
    <mergeCell ref="FJ188:FJ189"/>
    <mergeCell ref="FK188:FK189"/>
    <mergeCell ref="EO186:EO189"/>
    <mergeCell ref="EP186:EP189"/>
    <mergeCell ref="EQ186:EQ189"/>
    <mergeCell ref="ES186:ES189"/>
    <mergeCell ref="EU186:EU187"/>
    <mergeCell ref="EU188:EU189"/>
    <mergeCell ref="DX186:DX189"/>
    <mergeCell ref="IF183:IF184"/>
    <mergeCell ref="IH183:IH184"/>
    <mergeCell ref="EX181:EX182"/>
    <mergeCell ref="EY181:EY182"/>
    <mergeCell ref="EZ181:EZ184"/>
    <mergeCell ref="FB181:FB182"/>
    <mergeCell ref="E184:F184"/>
    <mergeCell ref="G184:L184"/>
    <mergeCell ref="P184:R184"/>
    <mergeCell ref="U184:AA184"/>
    <mergeCell ref="AF184:AI184"/>
    <mergeCell ref="FD181:FD184"/>
    <mergeCell ref="FE181:FE184"/>
    <mergeCell ref="E185:AT185"/>
    <mergeCell ref="B186:B189"/>
    <mergeCell ref="C186:D189"/>
    <mergeCell ref="E186:F186"/>
    <mergeCell ref="G186:R186"/>
    <mergeCell ref="S186:S187"/>
    <mergeCell ref="U186:AA186"/>
    <mergeCell ref="AF186:AI186"/>
    <mergeCell ref="AJ186:AJ187"/>
    <mergeCell ref="AK186:AK187"/>
    <mergeCell ref="AL186:AL187"/>
    <mergeCell ref="AM186:AN189"/>
    <mergeCell ref="AO186:AQ189"/>
    <mergeCell ref="AR186:AR189"/>
    <mergeCell ref="AS186:AS189"/>
    <mergeCell ref="AT186:AT189"/>
    <mergeCell ref="E188:F188"/>
    <mergeCell ref="G188:L188"/>
    <mergeCell ref="P188:Q188"/>
    <mergeCell ref="S188:S189"/>
    <mergeCell ref="P183:Q183"/>
    <mergeCell ref="S183:S184"/>
    <mergeCell ref="AF183:AI183"/>
    <mergeCell ref="AJ183:AJ184"/>
    <mergeCell ref="AK183:AK184"/>
    <mergeCell ref="AL183:AL184"/>
    <mergeCell ref="DF186:DF187"/>
    <mergeCell ref="DG186:DG187"/>
    <mergeCell ref="DH186:DH189"/>
    <mergeCell ref="DJ186:DJ187"/>
    <mergeCell ref="DL186:DL189"/>
    <mergeCell ref="DN186:DN189"/>
    <mergeCell ref="DO186:DO187"/>
    <mergeCell ref="DP186:DP189"/>
    <mergeCell ref="DQ186:DQ187"/>
    <mergeCell ref="DR186:DR189"/>
    <mergeCell ref="DS186:DS189"/>
    <mergeCell ref="DU186:DU189"/>
    <mergeCell ref="DV186:DV187"/>
    <mergeCell ref="GI182:GI183"/>
    <mergeCell ref="GJ182:GJ183"/>
    <mergeCell ref="GL182:GL183"/>
    <mergeCell ref="GM182:GM183"/>
    <mergeCell ref="HC182:HC183"/>
    <mergeCell ref="HD182:HD183"/>
    <mergeCell ref="HE182:HE183"/>
    <mergeCell ref="HF182:HF183"/>
    <mergeCell ref="HG182:HG183"/>
    <mergeCell ref="HH182:HH183"/>
    <mergeCell ref="HI182:HI183"/>
    <mergeCell ref="HJ182:HJ183"/>
    <mergeCell ref="HU182:HU183"/>
    <mergeCell ref="HY182:HY183"/>
    <mergeCell ref="E183:F183"/>
    <mergeCell ref="G183:L183"/>
    <mergeCell ref="FW181:FW184"/>
    <mergeCell ref="FX181:FX184"/>
    <mergeCell ref="FY181:FY184"/>
    <mergeCell ref="FZ181:FZ184"/>
    <mergeCell ref="GA181:GA184"/>
    <mergeCell ref="GB181:GB184"/>
    <mergeCell ref="GC181:GC184"/>
    <mergeCell ref="GD181:GD184"/>
    <mergeCell ref="GG181:GG184"/>
    <mergeCell ref="HW181:HW183"/>
    <mergeCell ref="HX181:HX182"/>
    <mergeCell ref="HX183:HX184"/>
    <mergeCell ref="FI181:FI182"/>
    <mergeCell ref="FJ181:FJ182"/>
    <mergeCell ref="FK181:FK182"/>
    <mergeCell ref="FL181:FL182"/>
    <mergeCell ref="FM181:FM182"/>
    <mergeCell ref="FO181:FO182"/>
    <mergeCell ref="FP181:FP182"/>
    <mergeCell ref="FQ181:FQ182"/>
    <mergeCell ref="FR181:FR182"/>
    <mergeCell ref="FS181:FS182"/>
    <mergeCell ref="FT181:FT182"/>
    <mergeCell ref="EX183:EX184"/>
    <mergeCell ref="EY183:EY184"/>
    <mergeCell ref="FB183:FB184"/>
    <mergeCell ref="FI183:FI184"/>
    <mergeCell ref="FJ183:FJ184"/>
    <mergeCell ref="FK183:FK184"/>
    <mergeCell ref="FL183:FL184"/>
    <mergeCell ref="FM183:FM184"/>
    <mergeCell ref="FO183:FO184"/>
    <mergeCell ref="FP183:FP184"/>
    <mergeCell ref="FQ183:FQ184"/>
    <mergeCell ref="FR183:FR184"/>
    <mergeCell ref="FS183:FS184"/>
    <mergeCell ref="FT183:FT184"/>
    <mergeCell ref="EE181:EE184"/>
    <mergeCell ref="EF181:EF184"/>
    <mergeCell ref="EG181:EG184"/>
    <mergeCell ref="EH181:EH184"/>
    <mergeCell ref="EI181:EI184"/>
    <mergeCell ref="EJ181:EJ184"/>
    <mergeCell ref="EK181:EK184"/>
    <mergeCell ref="EL181:EL184"/>
    <mergeCell ref="EM181:EM184"/>
    <mergeCell ref="EN181:EN184"/>
    <mergeCell ref="EO181:EO184"/>
    <mergeCell ref="EP181:EP184"/>
    <mergeCell ref="EQ181:EQ184"/>
    <mergeCell ref="DV183:DV184"/>
    <mergeCell ref="CX181:CX184"/>
    <mergeCell ref="CY181:CY184"/>
    <mergeCell ref="CZ181:CZ184"/>
    <mergeCell ref="DA181:DA184"/>
    <mergeCell ref="DC181:DC182"/>
    <mergeCell ref="DD181:DD182"/>
    <mergeCell ref="DE181:DE182"/>
    <mergeCell ref="DF181:DF182"/>
    <mergeCell ref="DG181:DG182"/>
    <mergeCell ref="CW183:CW184"/>
    <mergeCell ref="DC183:DC184"/>
    <mergeCell ref="DD183:DD184"/>
    <mergeCell ref="DE183:DE184"/>
    <mergeCell ref="DF183:DF184"/>
    <mergeCell ref="DG183:DG184"/>
    <mergeCell ref="CO183:CO184"/>
    <mergeCell ref="CP183:CP184"/>
    <mergeCell ref="CR183:CR184"/>
    <mergeCell ref="CS183:CS184"/>
    <mergeCell ref="CT183:CT184"/>
    <mergeCell ref="CU183:CU184"/>
    <mergeCell ref="CV183:CV184"/>
    <mergeCell ref="HK182:HK183"/>
    <mergeCell ref="HL182:HL183"/>
    <mergeCell ref="HM182:HM183"/>
    <mergeCell ref="HN182:HN183"/>
    <mergeCell ref="HO182:HO183"/>
    <mergeCell ref="HP182:HP183"/>
    <mergeCell ref="HQ182:HQ183"/>
    <mergeCell ref="HR182:HR183"/>
    <mergeCell ref="HS182:HS183"/>
    <mergeCell ref="HT182:HT183"/>
    <mergeCell ref="E180:AT180"/>
    <mergeCell ref="B181:B184"/>
    <mergeCell ref="C181:D184"/>
    <mergeCell ref="E181:F181"/>
    <mergeCell ref="G181:R181"/>
    <mergeCell ref="S181:S182"/>
    <mergeCell ref="U181:AA181"/>
    <mergeCell ref="AF181:AI181"/>
    <mergeCell ref="AJ181:AJ182"/>
    <mergeCell ref="AK181:AK182"/>
    <mergeCell ref="AL181:AL182"/>
    <mergeCell ref="AM181:AN184"/>
    <mergeCell ref="AO181:AQ184"/>
    <mergeCell ref="AR181:AR184"/>
    <mergeCell ref="AS181:AS184"/>
    <mergeCell ref="AT181:AT184"/>
    <mergeCell ref="AV181:AV184"/>
    <mergeCell ref="AW181:AW184"/>
    <mergeCell ref="CM181:CM184"/>
    <mergeCell ref="CN181:CN184"/>
    <mergeCell ref="E182:F182"/>
    <mergeCell ref="G182:L182"/>
    <mergeCell ref="P182:Q182"/>
    <mergeCell ref="AF182:AI182"/>
    <mergeCell ref="HS177:HS178"/>
    <mergeCell ref="HT177:HT178"/>
    <mergeCell ref="E178:F178"/>
    <mergeCell ref="G178:L178"/>
    <mergeCell ref="P178:Q178"/>
    <mergeCell ref="S178:S179"/>
    <mergeCell ref="AF178:AI178"/>
    <mergeCell ref="AJ178:AJ179"/>
    <mergeCell ref="AK178:AK179"/>
    <mergeCell ref="AL178:AL179"/>
    <mergeCell ref="CO178:CO179"/>
    <mergeCell ref="CP178:CP179"/>
    <mergeCell ref="CR178:CR179"/>
    <mergeCell ref="CS178:CS179"/>
    <mergeCell ref="CT178:CT179"/>
    <mergeCell ref="CU178:CU179"/>
    <mergeCell ref="CV178:CV179"/>
    <mergeCell ref="CW178:CW179"/>
    <mergeCell ref="DH181:DH184"/>
    <mergeCell ref="DJ181:DJ182"/>
    <mergeCell ref="DL181:DL184"/>
    <mergeCell ref="DN181:DN184"/>
    <mergeCell ref="DO181:DO182"/>
    <mergeCell ref="DP181:DP184"/>
    <mergeCell ref="DQ181:DQ182"/>
    <mergeCell ref="DR181:DR184"/>
    <mergeCell ref="DS181:DS184"/>
    <mergeCell ref="DU181:DU184"/>
    <mergeCell ref="DV181:DV182"/>
    <mergeCell ref="E177:F177"/>
    <mergeCell ref="G177:L177"/>
    <mergeCell ref="P177:Q177"/>
    <mergeCell ref="AF177:AI177"/>
    <mergeCell ref="GI177:GI178"/>
    <mergeCell ref="GJ177:GJ178"/>
    <mergeCell ref="GL177:GL178"/>
    <mergeCell ref="GM177:GM178"/>
    <mergeCell ref="HC177:HC178"/>
    <mergeCell ref="HD177:HD178"/>
    <mergeCell ref="HE177:HE178"/>
    <mergeCell ref="HF177:HF178"/>
    <mergeCell ref="HG177:HG178"/>
    <mergeCell ref="HH177:HH178"/>
    <mergeCell ref="HI177:HI178"/>
    <mergeCell ref="HJ177:HJ178"/>
    <mergeCell ref="FB176:FB177"/>
    <mergeCell ref="FD176:FD179"/>
    <mergeCell ref="FE176:FE179"/>
    <mergeCell ref="FI176:FI177"/>
    <mergeCell ref="FJ176:FJ177"/>
    <mergeCell ref="FK176:FK177"/>
    <mergeCell ref="CO181:CO182"/>
    <mergeCell ref="CP181:CP182"/>
    <mergeCell ref="CR181:CR182"/>
    <mergeCell ref="CS181:CS182"/>
    <mergeCell ref="CT181:CT182"/>
    <mergeCell ref="CU181:CU182"/>
    <mergeCell ref="CV181:CV182"/>
    <mergeCell ref="CW181:CW182"/>
    <mergeCell ref="FL176:FL177"/>
    <mergeCell ref="FM176:FM177"/>
    <mergeCell ref="FO176:FO177"/>
    <mergeCell ref="FP176:FP177"/>
    <mergeCell ref="FQ176:FQ177"/>
    <mergeCell ref="FR176:FR177"/>
    <mergeCell ref="FS176:FS177"/>
    <mergeCell ref="FT176:FT177"/>
    <mergeCell ref="FW176:FW179"/>
    <mergeCell ref="FX176:FX179"/>
    <mergeCell ref="FY176:FY179"/>
    <mergeCell ref="FB178:FB179"/>
    <mergeCell ref="FI178:FI179"/>
    <mergeCell ref="FJ178:FJ179"/>
    <mergeCell ref="FK178:FK179"/>
    <mergeCell ref="FL178:FL179"/>
    <mergeCell ref="FM178:FM179"/>
    <mergeCell ref="FO178:FO179"/>
    <mergeCell ref="FP178:FP179"/>
    <mergeCell ref="FQ178:FQ179"/>
    <mergeCell ref="FR178:FR179"/>
    <mergeCell ref="FS178:FS179"/>
    <mergeCell ref="FT178:FT179"/>
    <mergeCell ref="EH176:EH179"/>
    <mergeCell ref="EI176:EI179"/>
    <mergeCell ref="EJ176:EJ179"/>
    <mergeCell ref="DF178:DF179"/>
    <mergeCell ref="DG178:DG179"/>
    <mergeCell ref="DK178:DK179"/>
    <mergeCell ref="ES181:ES184"/>
    <mergeCell ref="EU181:EU182"/>
    <mergeCell ref="EV181:EV182"/>
    <mergeCell ref="EW181:EW182"/>
    <mergeCell ref="EU183:EU184"/>
    <mergeCell ref="EV183:EV184"/>
    <mergeCell ref="EW183:EW184"/>
    <mergeCell ref="DW181:DW184"/>
    <mergeCell ref="DX181:DX184"/>
    <mergeCell ref="DZ181:DZ184"/>
    <mergeCell ref="EA181:EA184"/>
    <mergeCell ref="EC181:EC184"/>
    <mergeCell ref="ED181:ED184"/>
    <mergeCell ref="DK183:DK184"/>
    <mergeCell ref="DO183:DO184"/>
    <mergeCell ref="DQ183:DQ184"/>
    <mergeCell ref="E179:F179"/>
    <mergeCell ref="G179:L179"/>
    <mergeCell ref="P179:R179"/>
    <mergeCell ref="U179:AA179"/>
    <mergeCell ref="AF179:AI179"/>
    <mergeCell ref="EK176:EK179"/>
    <mergeCell ref="EL176:EL179"/>
    <mergeCell ref="EM176:EM179"/>
    <mergeCell ref="EN176:EN179"/>
    <mergeCell ref="EO176:EO179"/>
    <mergeCell ref="EP176:EP179"/>
    <mergeCell ref="EQ176:EQ179"/>
    <mergeCell ref="ES176:ES179"/>
    <mergeCell ref="EU176:EU177"/>
    <mergeCell ref="EV176:EV177"/>
    <mergeCell ref="EW176:EW177"/>
    <mergeCell ref="EX176:EX177"/>
    <mergeCell ref="EY176:EY177"/>
    <mergeCell ref="EZ176:EZ179"/>
    <mergeCell ref="EU178:EU179"/>
    <mergeCell ref="EV178:EV179"/>
    <mergeCell ref="EW178:EW179"/>
    <mergeCell ref="EX178:EX179"/>
    <mergeCell ref="EY178:EY179"/>
    <mergeCell ref="DN176:DN179"/>
    <mergeCell ref="DO176:DO177"/>
    <mergeCell ref="DP176:DP179"/>
    <mergeCell ref="DQ176:DQ177"/>
    <mergeCell ref="DR176:DR179"/>
    <mergeCell ref="DS176:DS179"/>
    <mergeCell ref="DU176:DU179"/>
    <mergeCell ref="DV176:DV177"/>
    <mergeCell ref="DW176:DW179"/>
    <mergeCell ref="DX176:DX179"/>
    <mergeCell ref="DZ176:DZ179"/>
    <mergeCell ref="EA176:EA179"/>
    <mergeCell ref="EC176:EC179"/>
    <mergeCell ref="ED176:ED179"/>
    <mergeCell ref="EE176:EE179"/>
    <mergeCell ref="EF176:EF179"/>
    <mergeCell ref="EG176:EG179"/>
    <mergeCell ref="DO178:DO179"/>
    <mergeCell ref="DQ178:DQ179"/>
    <mergeCell ref="DV178:DV179"/>
    <mergeCell ref="CS176:CS177"/>
    <mergeCell ref="CT176:CT177"/>
    <mergeCell ref="CU176:CU177"/>
    <mergeCell ref="CV176:CV177"/>
    <mergeCell ref="CW176:CW177"/>
    <mergeCell ref="CX176:CX179"/>
    <mergeCell ref="CY176:CY179"/>
    <mergeCell ref="CZ176:CZ179"/>
    <mergeCell ref="DA176:DA179"/>
    <mergeCell ref="DC176:DC177"/>
    <mergeCell ref="DD176:DD177"/>
    <mergeCell ref="DE176:DE177"/>
    <mergeCell ref="DF176:DF177"/>
    <mergeCell ref="DG176:DG177"/>
    <mergeCell ref="DH176:DH179"/>
    <mergeCell ref="DJ176:DJ177"/>
    <mergeCell ref="DL176:DL179"/>
    <mergeCell ref="DC178:DC179"/>
    <mergeCell ref="DD178:DD179"/>
    <mergeCell ref="DE178:DE179"/>
    <mergeCell ref="IH173:IH174"/>
    <mergeCell ref="E174:F174"/>
    <mergeCell ref="G174:L174"/>
    <mergeCell ref="P174:R174"/>
    <mergeCell ref="U174:AA174"/>
    <mergeCell ref="AF174:AI174"/>
    <mergeCell ref="E175:AT175"/>
    <mergeCell ref="FZ171:FZ174"/>
    <mergeCell ref="GA171:GA174"/>
    <mergeCell ref="GB171:GB174"/>
    <mergeCell ref="GC171:GC174"/>
    <mergeCell ref="GD171:GD174"/>
    <mergeCell ref="GG171:GG174"/>
    <mergeCell ref="HW171:HW173"/>
    <mergeCell ref="HX171:HX172"/>
    <mergeCell ref="FS173:FS174"/>
    <mergeCell ref="FT173:FT174"/>
    <mergeCell ref="HX173:HX174"/>
    <mergeCell ref="EV171:EV172"/>
    <mergeCell ref="EW171:EW172"/>
    <mergeCell ref="EX171:EX172"/>
    <mergeCell ref="EY171:EY172"/>
    <mergeCell ref="EZ171:EZ174"/>
    <mergeCell ref="FB171:FB172"/>
    <mergeCell ref="FD171:FD174"/>
    <mergeCell ref="FE171:FE174"/>
    <mergeCell ref="FI171:FI172"/>
    <mergeCell ref="FJ171:FJ172"/>
    <mergeCell ref="FK171:FK172"/>
    <mergeCell ref="FL171:FL172"/>
    <mergeCell ref="EX173:EX174"/>
    <mergeCell ref="EY173:EY174"/>
    <mergeCell ref="FB173:FB174"/>
    <mergeCell ref="FI173:FI174"/>
    <mergeCell ref="FJ173:FJ174"/>
    <mergeCell ref="FO173:FO174"/>
    <mergeCell ref="FP173:FP174"/>
    <mergeCell ref="FQ173:FQ174"/>
    <mergeCell ref="FR173:FR174"/>
    <mergeCell ref="EC171:EC174"/>
    <mergeCell ref="ED171:ED174"/>
    <mergeCell ref="EE171:EE174"/>
    <mergeCell ref="EF171:EF174"/>
    <mergeCell ref="EG171:EG174"/>
    <mergeCell ref="EH171:EH174"/>
    <mergeCell ref="EI171:EI174"/>
    <mergeCell ref="EJ171:EJ174"/>
    <mergeCell ref="EK171:EK174"/>
    <mergeCell ref="EL171:EL174"/>
    <mergeCell ref="EM171:EM174"/>
    <mergeCell ref="EN171:EN174"/>
    <mergeCell ref="EO171:EO174"/>
    <mergeCell ref="EP171:EP174"/>
    <mergeCell ref="EQ171:EQ174"/>
    <mergeCell ref="ES171:ES174"/>
    <mergeCell ref="EU171:EU172"/>
    <mergeCell ref="EU173:EU174"/>
    <mergeCell ref="DF171:DF172"/>
    <mergeCell ref="DG171:DG172"/>
    <mergeCell ref="DH171:DH174"/>
    <mergeCell ref="DJ171:DJ172"/>
    <mergeCell ref="DL171:DL174"/>
    <mergeCell ref="DN171:DN174"/>
    <mergeCell ref="DO171:DO172"/>
    <mergeCell ref="B176:B179"/>
    <mergeCell ref="C176:D179"/>
    <mergeCell ref="E176:F176"/>
    <mergeCell ref="G176:R176"/>
    <mergeCell ref="S176:S177"/>
    <mergeCell ref="U176:AA176"/>
    <mergeCell ref="AF176:AI176"/>
    <mergeCell ref="AJ176:AJ177"/>
    <mergeCell ref="AK176:AK177"/>
    <mergeCell ref="AL176:AL177"/>
    <mergeCell ref="AM176:AN179"/>
    <mergeCell ref="AO176:AQ179"/>
    <mergeCell ref="AR176:AR179"/>
    <mergeCell ref="AS176:AS179"/>
    <mergeCell ref="AT176:AT179"/>
    <mergeCell ref="AV176:AV179"/>
    <mergeCell ref="AW176:AW179"/>
    <mergeCell ref="CM176:CM179"/>
    <mergeCell ref="CN176:CN179"/>
    <mergeCell ref="CO176:CO177"/>
    <mergeCell ref="CP176:CP177"/>
    <mergeCell ref="CR176:CR177"/>
    <mergeCell ref="IG171:IG174"/>
    <mergeCell ref="IH171:IH172"/>
    <mergeCell ref="FM171:FM172"/>
    <mergeCell ref="FO171:FO172"/>
    <mergeCell ref="FP171:FP172"/>
    <mergeCell ref="FQ171:FQ172"/>
    <mergeCell ref="FR171:FR172"/>
    <mergeCell ref="EV173:EV174"/>
    <mergeCell ref="EW173:EW174"/>
    <mergeCell ref="AF172:AI172"/>
    <mergeCell ref="GI172:GI173"/>
    <mergeCell ref="GJ172:GJ173"/>
    <mergeCell ref="GL172:GL173"/>
    <mergeCell ref="GM172:GM173"/>
    <mergeCell ref="HC172:HC173"/>
    <mergeCell ref="HD172:HD173"/>
    <mergeCell ref="HE172:HE173"/>
    <mergeCell ref="HF172:HF173"/>
    <mergeCell ref="HG172:HG173"/>
    <mergeCell ref="HH172:HH173"/>
    <mergeCell ref="HI172:HI173"/>
    <mergeCell ref="HJ172:HJ173"/>
    <mergeCell ref="HK172:HK173"/>
    <mergeCell ref="HL172:HL173"/>
    <mergeCell ref="HM172:HM173"/>
    <mergeCell ref="HN172:HN173"/>
    <mergeCell ref="HO172:HO173"/>
    <mergeCell ref="HP172:HP173"/>
    <mergeCell ref="HQ172:HQ173"/>
    <mergeCell ref="HR172:HR173"/>
    <mergeCell ref="HS172:HS173"/>
    <mergeCell ref="HT172:HT173"/>
    <mergeCell ref="HU172:HU173"/>
    <mergeCell ref="HY172:HY173"/>
    <mergeCell ref="FS171:FS172"/>
    <mergeCell ref="FT171:FT172"/>
    <mergeCell ref="FW171:FW174"/>
    <mergeCell ref="FX171:FX174"/>
    <mergeCell ref="FY171:FY174"/>
    <mergeCell ref="FK173:FK174"/>
    <mergeCell ref="FL173:FL174"/>
    <mergeCell ref="FM173:FM174"/>
    <mergeCell ref="DP171:DP174"/>
    <mergeCell ref="DQ171:DQ172"/>
    <mergeCell ref="DR171:DR174"/>
    <mergeCell ref="DS171:DS174"/>
    <mergeCell ref="DU171:DU174"/>
    <mergeCell ref="DV171:DV172"/>
    <mergeCell ref="DW171:DW174"/>
    <mergeCell ref="DX171:DX174"/>
    <mergeCell ref="DZ171:DZ174"/>
    <mergeCell ref="EA171:EA174"/>
    <mergeCell ref="DF173:DF174"/>
    <mergeCell ref="DG173:DG174"/>
    <mergeCell ref="DK173:DK174"/>
    <mergeCell ref="DO173:DO174"/>
    <mergeCell ref="DQ173:DQ174"/>
    <mergeCell ref="DV173:DV174"/>
    <mergeCell ref="CM171:CM174"/>
    <mergeCell ref="CN171:CN174"/>
    <mergeCell ref="CO171:CO172"/>
    <mergeCell ref="CP171:CP172"/>
    <mergeCell ref="CR171:CR172"/>
    <mergeCell ref="CS171:CS172"/>
    <mergeCell ref="CT171:CT172"/>
    <mergeCell ref="CU171:CU172"/>
    <mergeCell ref="CV171:CV172"/>
    <mergeCell ref="CW171:CW172"/>
    <mergeCell ref="CX171:CX174"/>
    <mergeCell ref="CY171:CY174"/>
    <mergeCell ref="CZ171:CZ174"/>
    <mergeCell ref="DA171:DA174"/>
    <mergeCell ref="DC171:DC172"/>
    <mergeCell ref="DD171:DD172"/>
    <mergeCell ref="DE171:DE172"/>
    <mergeCell ref="CO173:CO174"/>
    <mergeCell ref="CP173:CP174"/>
    <mergeCell ref="CR173:CR174"/>
    <mergeCell ref="CS173:CS174"/>
    <mergeCell ref="CT173:CT174"/>
    <mergeCell ref="CU173:CU174"/>
    <mergeCell ref="CV173:CV174"/>
    <mergeCell ref="CW173:CW174"/>
    <mergeCell ref="DC173:DC174"/>
    <mergeCell ref="DD173:DD174"/>
    <mergeCell ref="DE173:DE174"/>
    <mergeCell ref="AR170:AT170"/>
    <mergeCell ref="B171:B174"/>
    <mergeCell ref="C171:D174"/>
    <mergeCell ref="E171:F171"/>
    <mergeCell ref="G171:R171"/>
    <mergeCell ref="S171:S172"/>
    <mergeCell ref="U171:AA171"/>
    <mergeCell ref="AF171:AI171"/>
    <mergeCell ref="AJ171:AJ172"/>
    <mergeCell ref="AK171:AK172"/>
    <mergeCell ref="AL171:AL172"/>
    <mergeCell ref="AM171:AN174"/>
    <mergeCell ref="AO171:AQ174"/>
    <mergeCell ref="AR171:AR174"/>
    <mergeCell ref="AS171:AS174"/>
    <mergeCell ref="AT171:AT174"/>
    <mergeCell ref="E173:F173"/>
    <mergeCell ref="G173:L173"/>
    <mergeCell ref="P173:Q173"/>
    <mergeCell ref="S173:S174"/>
    <mergeCell ref="AF173:AI173"/>
    <mergeCell ref="AJ173:AJ174"/>
    <mergeCell ref="AK173:AK174"/>
    <mergeCell ref="AL173:AL174"/>
    <mergeCell ref="E172:F172"/>
    <mergeCell ref="G172:L172"/>
    <mergeCell ref="P172:Q172"/>
    <mergeCell ref="E167:AT167"/>
    <mergeCell ref="AM91:AN91"/>
    <mergeCell ref="AO91:AP91"/>
    <mergeCell ref="AQ91:AT91"/>
    <mergeCell ref="AM169:AN169"/>
    <mergeCell ref="AO169:AP169"/>
    <mergeCell ref="AQ169:AT169"/>
    <mergeCell ref="AM92:AN92"/>
    <mergeCell ref="AO92:AQ92"/>
    <mergeCell ref="B158:B161"/>
    <mergeCell ref="C158:D161"/>
    <mergeCell ref="AF158:AI158"/>
    <mergeCell ref="AJ158:AJ159"/>
    <mergeCell ref="AK158:AK159"/>
    <mergeCell ref="AL158:AL159"/>
    <mergeCell ref="AM158:AN161"/>
    <mergeCell ref="AO158:AQ161"/>
    <mergeCell ref="AR158:AR161"/>
    <mergeCell ref="AS158:AS161"/>
    <mergeCell ref="AT158:AT161"/>
    <mergeCell ref="E160:F160"/>
    <mergeCell ref="G160:L160"/>
    <mergeCell ref="P160:Q160"/>
    <mergeCell ref="S160:S161"/>
    <mergeCell ref="B153:B156"/>
    <mergeCell ref="C153:D156"/>
    <mergeCell ref="P155:Q155"/>
    <mergeCell ref="S155:S156"/>
    <mergeCell ref="AF155:AI155"/>
    <mergeCell ref="AJ155:AJ156"/>
    <mergeCell ref="AK155:AK156"/>
    <mergeCell ref="AL155:AL156"/>
    <mergeCell ref="E154:F154"/>
    <mergeCell ref="G154:L154"/>
    <mergeCell ref="P154:Q154"/>
    <mergeCell ref="AF154:AI154"/>
    <mergeCell ref="U155:AD155"/>
    <mergeCell ref="HN164:HN165"/>
    <mergeCell ref="HO164:HO165"/>
    <mergeCell ref="HP164:HP165"/>
    <mergeCell ref="HQ164:HQ165"/>
    <mergeCell ref="HR164:HR165"/>
    <mergeCell ref="HS164:HS165"/>
    <mergeCell ref="HT164:HT165"/>
    <mergeCell ref="HU164:HU165"/>
    <mergeCell ref="HY164:HY165"/>
    <mergeCell ref="E165:F165"/>
    <mergeCell ref="G165:L165"/>
    <mergeCell ref="P165:Q165"/>
    <mergeCell ref="S165:S166"/>
    <mergeCell ref="AF165:AI165"/>
    <mergeCell ref="AJ165:AJ166"/>
    <mergeCell ref="AK165:AK166"/>
    <mergeCell ref="AL165:AL166"/>
    <mergeCell ref="CO165:CO166"/>
    <mergeCell ref="CP165:CP166"/>
    <mergeCell ref="CR165:CR166"/>
    <mergeCell ref="CS165:CS166"/>
    <mergeCell ref="CT165:CT166"/>
    <mergeCell ref="CU165:CU166"/>
    <mergeCell ref="CV165:CV166"/>
    <mergeCell ref="CW165:CW166"/>
    <mergeCell ref="FZ163:FZ166"/>
    <mergeCell ref="GA163:GA166"/>
    <mergeCell ref="GB163:GB166"/>
    <mergeCell ref="GC163:GC166"/>
    <mergeCell ref="GD163:GD166"/>
    <mergeCell ref="GG163:GG166"/>
    <mergeCell ref="HW163:HW165"/>
    <mergeCell ref="HX163:HX164"/>
    <mergeCell ref="EU165:EU166"/>
    <mergeCell ref="EV165:EV166"/>
    <mergeCell ref="CS163:CS164"/>
    <mergeCell ref="CT163:CT164"/>
    <mergeCell ref="CU163:CU164"/>
    <mergeCell ref="CV163:CV164"/>
    <mergeCell ref="CW163:CW164"/>
    <mergeCell ref="CX163:CX166"/>
    <mergeCell ref="CY163:CY166"/>
    <mergeCell ref="CZ163:CZ166"/>
    <mergeCell ref="DA163:DA166"/>
    <mergeCell ref="DC163:DC164"/>
    <mergeCell ref="DD163:DD164"/>
    <mergeCell ref="DE163:DE164"/>
    <mergeCell ref="DF163:DF164"/>
    <mergeCell ref="DG163:DG164"/>
    <mergeCell ref="DH163:DH166"/>
    <mergeCell ref="DJ163:DJ164"/>
    <mergeCell ref="DL163:DL166"/>
    <mergeCell ref="DC165:DC166"/>
    <mergeCell ref="DD165:DD166"/>
    <mergeCell ref="DE165:DE166"/>
    <mergeCell ref="DF165:DF166"/>
    <mergeCell ref="DG165:DG166"/>
    <mergeCell ref="DK165:DK166"/>
    <mergeCell ref="E164:F164"/>
    <mergeCell ref="G164:L164"/>
    <mergeCell ref="P164:Q164"/>
    <mergeCell ref="AF164:AI164"/>
    <mergeCell ref="GI164:GI165"/>
    <mergeCell ref="GJ164:GJ165"/>
    <mergeCell ref="GL164:GL165"/>
    <mergeCell ref="GM164:GM165"/>
    <mergeCell ref="HC164:HC165"/>
    <mergeCell ref="HD164:HD165"/>
    <mergeCell ref="HE164:HE165"/>
    <mergeCell ref="HF164:HF165"/>
    <mergeCell ref="HG164:HG165"/>
    <mergeCell ref="HH164:HH165"/>
    <mergeCell ref="HI164:HI165"/>
    <mergeCell ref="HJ164:HJ165"/>
    <mergeCell ref="FB163:FB164"/>
    <mergeCell ref="FD163:FD166"/>
    <mergeCell ref="FE163:FE166"/>
    <mergeCell ref="FI163:FI164"/>
    <mergeCell ref="FJ163:FJ164"/>
    <mergeCell ref="FK163:FK164"/>
    <mergeCell ref="FL163:FL164"/>
    <mergeCell ref="FM163:FM164"/>
    <mergeCell ref="FO163:FO164"/>
    <mergeCell ref="FP163:FP164"/>
    <mergeCell ref="FQ163:FQ164"/>
    <mergeCell ref="FR163:FR164"/>
    <mergeCell ref="FS163:FS164"/>
    <mergeCell ref="FT163:FT164"/>
    <mergeCell ref="FW163:FW166"/>
    <mergeCell ref="FX163:FX166"/>
    <mergeCell ref="FY163:FY166"/>
    <mergeCell ref="FB165:FB166"/>
    <mergeCell ref="FI165:FI166"/>
    <mergeCell ref="FJ165:FJ166"/>
    <mergeCell ref="FK165:FK166"/>
    <mergeCell ref="FL165:FL166"/>
    <mergeCell ref="FM165:FM166"/>
    <mergeCell ref="E166:F166"/>
    <mergeCell ref="G166:L166"/>
    <mergeCell ref="P166:R166"/>
    <mergeCell ref="U166:AA166"/>
    <mergeCell ref="AF166:AI166"/>
    <mergeCell ref="U164:AD164"/>
    <mergeCell ref="U165:AD165"/>
    <mergeCell ref="DF160:DF161"/>
    <mergeCell ref="DG160:DG161"/>
    <mergeCell ref="IG158:IG161"/>
    <mergeCell ref="IH158:IH159"/>
    <mergeCell ref="FM158:FM159"/>
    <mergeCell ref="FO158:FO159"/>
    <mergeCell ref="FP158:FP159"/>
    <mergeCell ref="FQ158:FQ159"/>
    <mergeCell ref="FR158:FR159"/>
    <mergeCell ref="EV160:EV161"/>
    <mergeCell ref="EW160:EW161"/>
    <mergeCell ref="EX160:EX161"/>
    <mergeCell ref="EY160:EY161"/>
    <mergeCell ref="FB160:FB161"/>
    <mergeCell ref="FI160:FI161"/>
    <mergeCell ref="FJ160:FJ161"/>
    <mergeCell ref="FK160:FK161"/>
    <mergeCell ref="EW165:EW166"/>
    <mergeCell ref="EX165:EX166"/>
    <mergeCell ref="EY165:EY166"/>
    <mergeCell ref="DN163:DN166"/>
    <mergeCell ref="DO163:DO164"/>
    <mergeCell ref="DP163:DP166"/>
    <mergeCell ref="DQ163:DQ164"/>
    <mergeCell ref="DR163:DR166"/>
    <mergeCell ref="DS163:DS166"/>
    <mergeCell ref="DU163:DU166"/>
    <mergeCell ref="DV163:DV164"/>
    <mergeCell ref="DW163:DW166"/>
    <mergeCell ref="DX163:DX166"/>
    <mergeCell ref="DZ163:DZ166"/>
    <mergeCell ref="EA163:EA166"/>
    <mergeCell ref="EC163:EC166"/>
    <mergeCell ref="ED163:ED166"/>
    <mergeCell ref="EE163:EE166"/>
    <mergeCell ref="EF163:EF166"/>
    <mergeCell ref="EG163:EG166"/>
    <mergeCell ref="DO165:DO166"/>
    <mergeCell ref="DQ165:DQ166"/>
    <mergeCell ref="DV165:DV166"/>
    <mergeCell ref="FO165:FO166"/>
    <mergeCell ref="FP165:FP166"/>
    <mergeCell ref="FQ165:FQ166"/>
    <mergeCell ref="FR165:FR166"/>
    <mergeCell ref="FS165:FS166"/>
    <mergeCell ref="FT165:FT166"/>
    <mergeCell ref="EH163:EH166"/>
    <mergeCell ref="EI163:EI166"/>
    <mergeCell ref="EJ163:EJ166"/>
    <mergeCell ref="EK163:EK166"/>
    <mergeCell ref="EL163:EL166"/>
    <mergeCell ref="EM163:EM166"/>
    <mergeCell ref="EN163:EN166"/>
    <mergeCell ref="EO163:EO166"/>
    <mergeCell ref="EP163:EP166"/>
    <mergeCell ref="EQ163:EQ166"/>
    <mergeCell ref="ES163:ES166"/>
    <mergeCell ref="EU163:EU164"/>
    <mergeCell ref="EV163:EV164"/>
    <mergeCell ref="EW163:EW164"/>
    <mergeCell ref="EX163:EX164"/>
    <mergeCell ref="EY163:EY164"/>
    <mergeCell ref="EZ163:EZ166"/>
    <mergeCell ref="HX165:HX166"/>
    <mergeCell ref="FS160:FS161"/>
    <mergeCell ref="FT160:FT161"/>
    <mergeCell ref="HX160:HX161"/>
    <mergeCell ref="IB160:IB161"/>
    <mergeCell ref="IF160:IF161"/>
    <mergeCell ref="EV158:EV159"/>
    <mergeCell ref="EW158:EW159"/>
    <mergeCell ref="EX158:EX159"/>
    <mergeCell ref="EY158:EY159"/>
    <mergeCell ref="EZ158:EZ161"/>
    <mergeCell ref="FB158:FB159"/>
    <mergeCell ref="FD158:FD161"/>
    <mergeCell ref="FE158:FE161"/>
    <mergeCell ref="FI158:FI159"/>
    <mergeCell ref="FJ158:FJ159"/>
    <mergeCell ref="FK158:FK159"/>
    <mergeCell ref="FL158:FL159"/>
    <mergeCell ref="IH160:IH161"/>
    <mergeCell ref="E161:F161"/>
    <mergeCell ref="G161:L161"/>
    <mergeCell ref="P161:R161"/>
    <mergeCell ref="U161:AA161"/>
    <mergeCell ref="AF161:AI161"/>
    <mergeCell ref="E162:AT162"/>
    <mergeCell ref="B163:B166"/>
    <mergeCell ref="C163:D166"/>
    <mergeCell ref="E163:F163"/>
    <mergeCell ref="G163:R163"/>
    <mergeCell ref="S163:S164"/>
    <mergeCell ref="U163:AA163"/>
    <mergeCell ref="AF163:AI163"/>
    <mergeCell ref="AJ163:AJ164"/>
    <mergeCell ref="AK163:AK164"/>
    <mergeCell ref="AL163:AL164"/>
    <mergeCell ref="AM163:AN166"/>
    <mergeCell ref="AO163:AQ166"/>
    <mergeCell ref="AR163:AR166"/>
    <mergeCell ref="AS163:AS166"/>
    <mergeCell ref="AT163:AT166"/>
    <mergeCell ref="AV163:AV166"/>
    <mergeCell ref="AW163:AW166"/>
    <mergeCell ref="CM163:CM166"/>
    <mergeCell ref="CN163:CN166"/>
    <mergeCell ref="CO163:CO164"/>
    <mergeCell ref="CP163:CP164"/>
    <mergeCell ref="CR163:CR164"/>
    <mergeCell ref="AF160:AI160"/>
    <mergeCell ref="AJ160:AJ161"/>
    <mergeCell ref="AK160:AK161"/>
    <mergeCell ref="AL160:AL161"/>
    <mergeCell ref="CO160:CO161"/>
    <mergeCell ref="CP160:CP161"/>
    <mergeCell ref="CR160:CR161"/>
    <mergeCell ref="CS160:CS161"/>
    <mergeCell ref="CT160:CT161"/>
    <mergeCell ref="CU160:CU161"/>
    <mergeCell ref="CV160:CV161"/>
    <mergeCell ref="CW160:CW161"/>
    <mergeCell ref="DC160:DC161"/>
    <mergeCell ref="DD160:DD161"/>
    <mergeCell ref="DE160:DE161"/>
    <mergeCell ref="DG158:DG159"/>
    <mergeCell ref="DH158:DH161"/>
    <mergeCell ref="DJ158:DJ159"/>
    <mergeCell ref="DL158:DL161"/>
    <mergeCell ref="DN158:DN161"/>
    <mergeCell ref="DO158:DO159"/>
    <mergeCell ref="DP158:DP161"/>
    <mergeCell ref="DQ158:DQ159"/>
    <mergeCell ref="DR158:DR161"/>
    <mergeCell ref="DS158:DS161"/>
    <mergeCell ref="DU158:DU161"/>
    <mergeCell ref="DV158:DV159"/>
    <mergeCell ref="DW158:DW161"/>
    <mergeCell ref="DX158:DX161"/>
    <mergeCell ref="DZ158:DZ161"/>
    <mergeCell ref="EA158:EA161"/>
    <mergeCell ref="DK160:DK161"/>
    <mergeCell ref="DO160:DO161"/>
    <mergeCell ref="DQ160:DQ161"/>
    <mergeCell ref="DV160:DV161"/>
    <mergeCell ref="II158:II161"/>
    <mergeCell ref="E159:F159"/>
    <mergeCell ref="G159:L159"/>
    <mergeCell ref="P159:Q159"/>
    <mergeCell ref="AF159:AI159"/>
    <mergeCell ref="GI159:GI160"/>
    <mergeCell ref="GJ159:GJ160"/>
    <mergeCell ref="GL159:GL160"/>
    <mergeCell ref="GM159:GM160"/>
    <mergeCell ref="HC159:HC160"/>
    <mergeCell ref="HD159:HD160"/>
    <mergeCell ref="HE159:HE160"/>
    <mergeCell ref="HF159:HF160"/>
    <mergeCell ref="HG159:HG160"/>
    <mergeCell ref="HH159:HH160"/>
    <mergeCell ref="HI159:HI160"/>
    <mergeCell ref="HJ159:HJ160"/>
    <mergeCell ref="HK159:HK160"/>
    <mergeCell ref="HL159:HL160"/>
    <mergeCell ref="HM159:HM160"/>
    <mergeCell ref="HN159:HN160"/>
    <mergeCell ref="HO159:HO160"/>
    <mergeCell ref="HP159:HP160"/>
    <mergeCell ref="HQ159:HQ160"/>
    <mergeCell ref="HR159:HR160"/>
    <mergeCell ref="HS159:HS160"/>
    <mergeCell ref="HT159:HT160"/>
    <mergeCell ref="HU159:HU160"/>
    <mergeCell ref="HY159:HY160"/>
    <mergeCell ref="FS158:FS159"/>
    <mergeCell ref="FT158:FT159"/>
    <mergeCell ref="FW158:FW161"/>
    <mergeCell ref="FX158:FX161"/>
    <mergeCell ref="FY158:FY161"/>
    <mergeCell ref="FZ158:FZ161"/>
    <mergeCell ref="GA158:GA161"/>
    <mergeCell ref="GB158:GB161"/>
    <mergeCell ref="GC158:GC161"/>
    <mergeCell ref="GD158:GD161"/>
    <mergeCell ref="GG158:GG161"/>
    <mergeCell ref="HW158:HW160"/>
    <mergeCell ref="HX158:HX159"/>
    <mergeCell ref="IA158:IA161"/>
    <mergeCell ref="E158:F158"/>
    <mergeCell ref="G158:R158"/>
    <mergeCell ref="S158:S159"/>
    <mergeCell ref="U158:AA158"/>
    <mergeCell ref="U159:AD159"/>
    <mergeCell ref="U160:AD160"/>
    <mergeCell ref="IF155:IF156"/>
    <mergeCell ref="IH155:IH156"/>
    <mergeCell ref="EX153:EX154"/>
    <mergeCell ref="EY153:EY154"/>
    <mergeCell ref="EZ153:EZ156"/>
    <mergeCell ref="FB153:FB154"/>
    <mergeCell ref="FD153:FD156"/>
    <mergeCell ref="FE153:FE156"/>
    <mergeCell ref="FI153:FI154"/>
    <mergeCell ref="FJ153:FJ154"/>
    <mergeCell ref="FK153:FK154"/>
    <mergeCell ref="FL153:FL154"/>
    <mergeCell ref="FM153:FM154"/>
    <mergeCell ref="CM158:CM161"/>
    <mergeCell ref="CN158:CN161"/>
    <mergeCell ref="CO158:CO159"/>
    <mergeCell ref="CP158:CP159"/>
    <mergeCell ref="CR158:CR159"/>
    <mergeCell ref="CS158:CS159"/>
    <mergeCell ref="CT158:CT159"/>
    <mergeCell ref="CU158:CU159"/>
    <mergeCell ref="CV158:CV159"/>
    <mergeCell ref="CW158:CW159"/>
    <mergeCell ref="CX158:CX161"/>
    <mergeCell ref="CY158:CY161"/>
    <mergeCell ref="CZ158:CZ161"/>
    <mergeCell ref="DA158:DA161"/>
    <mergeCell ref="DC158:DC159"/>
    <mergeCell ref="DD158:DD159"/>
    <mergeCell ref="DE158:DE159"/>
    <mergeCell ref="E156:F156"/>
    <mergeCell ref="G156:L156"/>
    <mergeCell ref="P156:R156"/>
    <mergeCell ref="U156:AA156"/>
    <mergeCell ref="AF156:AI156"/>
    <mergeCell ref="E157:AT157"/>
    <mergeCell ref="CO155:CO156"/>
    <mergeCell ref="CP155:CP156"/>
    <mergeCell ref="CR155:CR156"/>
    <mergeCell ref="FL160:FL161"/>
    <mergeCell ref="FM160:FM161"/>
    <mergeCell ref="FO160:FO161"/>
    <mergeCell ref="FP160:FP161"/>
    <mergeCell ref="FQ160:FQ161"/>
    <mergeCell ref="FR160:FR161"/>
    <mergeCell ref="EC158:EC161"/>
    <mergeCell ref="ED158:ED161"/>
    <mergeCell ref="EE158:EE161"/>
    <mergeCell ref="EF158:EF161"/>
    <mergeCell ref="EG158:EG161"/>
    <mergeCell ref="EH158:EH161"/>
    <mergeCell ref="EI158:EI161"/>
    <mergeCell ref="EJ158:EJ161"/>
    <mergeCell ref="EK158:EK161"/>
    <mergeCell ref="EL158:EL161"/>
    <mergeCell ref="EM158:EM161"/>
    <mergeCell ref="EN158:EN161"/>
    <mergeCell ref="EO158:EO161"/>
    <mergeCell ref="EP158:EP161"/>
    <mergeCell ref="EQ158:EQ161"/>
    <mergeCell ref="ES158:ES161"/>
    <mergeCell ref="EU158:EU159"/>
    <mergeCell ref="EU160:EU161"/>
    <mergeCell ref="DF158:DF159"/>
    <mergeCell ref="GJ154:GJ155"/>
    <mergeCell ref="GL154:GL155"/>
    <mergeCell ref="GM154:GM155"/>
    <mergeCell ref="HC154:HC155"/>
    <mergeCell ref="HD154:HD155"/>
    <mergeCell ref="HE154:HE155"/>
    <mergeCell ref="HF154:HF155"/>
    <mergeCell ref="HG154:HG155"/>
    <mergeCell ref="HH154:HH155"/>
    <mergeCell ref="HI154:HI155"/>
    <mergeCell ref="HJ154:HJ155"/>
    <mergeCell ref="HK154:HK155"/>
    <mergeCell ref="HL154:HL155"/>
    <mergeCell ref="HM154:HM155"/>
    <mergeCell ref="HN154:HN155"/>
    <mergeCell ref="HO154:HO155"/>
    <mergeCell ref="HP154:HP155"/>
    <mergeCell ref="HQ154:HQ155"/>
    <mergeCell ref="HR154:HR155"/>
    <mergeCell ref="HS154:HS155"/>
    <mergeCell ref="HT154:HT155"/>
    <mergeCell ref="HU154:HU155"/>
    <mergeCell ref="HY154:HY155"/>
    <mergeCell ref="E155:F155"/>
    <mergeCell ref="G155:L155"/>
    <mergeCell ref="FW153:FW156"/>
    <mergeCell ref="FX153:FX156"/>
    <mergeCell ref="FY153:FY156"/>
    <mergeCell ref="FZ153:FZ156"/>
    <mergeCell ref="GA153:GA156"/>
    <mergeCell ref="GB153:GB156"/>
    <mergeCell ref="GC153:GC156"/>
    <mergeCell ref="GD153:GD156"/>
    <mergeCell ref="GG153:GG156"/>
    <mergeCell ref="HW153:HW155"/>
    <mergeCell ref="HX153:HX154"/>
    <mergeCell ref="HX155:HX156"/>
    <mergeCell ref="FO153:FO154"/>
    <mergeCell ref="FP153:FP154"/>
    <mergeCell ref="FQ153:FQ154"/>
    <mergeCell ref="FR153:FR154"/>
    <mergeCell ref="FS153:FS154"/>
    <mergeCell ref="FT153:FT154"/>
    <mergeCell ref="EX155:EX156"/>
    <mergeCell ref="EY155:EY156"/>
    <mergeCell ref="FB155:FB156"/>
    <mergeCell ref="FI155:FI156"/>
    <mergeCell ref="FJ155:FJ156"/>
    <mergeCell ref="FK155:FK156"/>
    <mergeCell ref="FL155:FL156"/>
    <mergeCell ref="FM155:FM156"/>
    <mergeCell ref="FO155:FO156"/>
    <mergeCell ref="FP155:FP156"/>
    <mergeCell ref="FQ155:FQ156"/>
    <mergeCell ref="FR155:FR156"/>
    <mergeCell ref="FS155:FS156"/>
    <mergeCell ref="FT155:FT156"/>
    <mergeCell ref="EE153:EE156"/>
    <mergeCell ref="EF153:EF156"/>
    <mergeCell ref="EG153:EG156"/>
    <mergeCell ref="EH153:EH156"/>
    <mergeCell ref="EI153:EI156"/>
    <mergeCell ref="EJ153:EJ156"/>
    <mergeCell ref="EK153:EK156"/>
    <mergeCell ref="EL153:EL156"/>
    <mergeCell ref="EM153:EM156"/>
    <mergeCell ref="EN153:EN156"/>
    <mergeCell ref="EO153:EO156"/>
    <mergeCell ref="EP153:EP156"/>
    <mergeCell ref="EQ153:EQ156"/>
    <mergeCell ref="ES153:ES156"/>
    <mergeCell ref="EU153:EU154"/>
    <mergeCell ref="EV153:EV154"/>
    <mergeCell ref="EW153:EW154"/>
    <mergeCell ref="EU155:EU156"/>
    <mergeCell ref="EV155:EV156"/>
    <mergeCell ref="EW155:EW156"/>
    <mergeCell ref="DU153:DU156"/>
    <mergeCell ref="DV153:DV154"/>
    <mergeCell ref="DW153:DW156"/>
    <mergeCell ref="DX153:DX156"/>
    <mergeCell ref="DZ153:DZ156"/>
    <mergeCell ref="EA153:EA156"/>
    <mergeCell ref="EC153:EC156"/>
    <mergeCell ref="ED153:ED156"/>
    <mergeCell ref="DK155:DK156"/>
    <mergeCell ref="DO155:DO156"/>
    <mergeCell ref="DQ155:DQ156"/>
    <mergeCell ref="DV155:DV156"/>
    <mergeCell ref="CT153:CT154"/>
    <mergeCell ref="CU153:CU154"/>
    <mergeCell ref="CV153:CV154"/>
    <mergeCell ref="CW153:CW154"/>
    <mergeCell ref="CX153:CX156"/>
    <mergeCell ref="CY153:CY156"/>
    <mergeCell ref="CZ153:CZ156"/>
    <mergeCell ref="DA153:DA156"/>
    <mergeCell ref="DC153:DC154"/>
    <mergeCell ref="DD153:DD154"/>
    <mergeCell ref="DE153:DE154"/>
    <mergeCell ref="DF153:DF154"/>
    <mergeCell ref="DG153:DG154"/>
    <mergeCell ref="CW155:CW156"/>
    <mergeCell ref="DC155:DC156"/>
    <mergeCell ref="DD155:DD156"/>
    <mergeCell ref="DE155:DE156"/>
    <mergeCell ref="DF155:DF156"/>
    <mergeCell ref="DG155:DG156"/>
    <mergeCell ref="CS155:CS156"/>
    <mergeCell ref="CT155:CT156"/>
    <mergeCell ref="CU155:CU156"/>
    <mergeCell ref="CV155:CV156"/>
    <mergeCell ref="E151:F151"/>
    <mergeCell ref="G151:L151"/>
    <mergeCell ref="P151:R151"/>
    <mergeCell ref="U151:AA151"/>
    <mergeCell ref="AF151:AI151"/>
    <mergeCell ref="E152:AT152"/>
    <mergeCell ref="E153:F153"/>
    <mergeCell ref="G153:R153"/>
    <mergeCell ref="S153:S154"/>
    <mergeCell ref="U153:AA153"/>
    <mergeCell ref="AF153:AI153"/>
    <mergeCell ref="AJ153:AJ154"/>
    <mergeCell ref="AK153:AK154"/>
    <mergeCell ref="AL153:AL154"/>
    <mergeCell ref="AM153:AN156"/>
    <mergeCell ref="AO153:AQ156"/>
    <mergeCell ref="AR153:AR156"/>
    <mergeCell ref="AS153:AS156"/>
    <mergeCell ref="AT153:AT156"/>
    <mergeCell ref="AV153:AV156"/>
    <mergeCell ref="AW153:AW156"/>
    <mergeCell ref="CM153:CM156"/>
    <mergeCell ref="CN153:CN156"/>
    <mergeCell ref="HK149:HK150"/>
    <mergeCell ref="HL149:HL150"/>
    <mergeCell ref="HM149:HM150"/>
    <mergeCell ref="HN149:HN150"/>
    <mergeCell ref="HO149:HO150"/>
    <mergeCell ref="HP149:HP150"/>
    <mergeCell ref="HQ149:HQ150"/>
    <mergeCell ref="E150:F150"/>
    <mergeCell ref="G150:L150"/>
    <mergeCell ref="P150:Q150"/>
    <mergeCell ref="S150:S151"/>
    <mergeCell ref="AF150:AI150"/>
    <mergeCell ref="AJ150:AJ151"/>
    <mergeCell ref="AK150:AK151"/>
    <mergeCell ref="AL150:AL151"/>
    <mergeCell ref="CO150:CO151"/>
    <mergeCell ref="CP150:CP151"/>
    <mergeCell ref="CR150:CR151"/>
    <mergeCell ref="CS150:CS151"/>
    <mergeCell ref="CT150:CT151"/>
    <mergeCell ref="CU150:CU151"/>
    <mergeCell ref="CV150:CV151"/>
    <mergeCell ref="CW150:CW151"/>
    <mergeCell ref="FZ148:FZ151"/>
    <mergeCell ref="GA148:GA151"/>
    <mergeCell ref="DH153:DH156"/>
    <mergeCell ref="DJ153:DJ154"/>
    <mergeCell ref="DL153:DL156"/>
    <mergeCell ref="DN153:DN156"/>
    <mergeCell ref="DO153:DO154"/>
    <mergeCell ref="DP153:DP156"/>
    <mergeCell ref="DQ153:DQ154"/>
    <mergeCell ref="DR153:DR156"/>
    <mergeCell ref="DS153:DS156"/>
    <mergeCell ref="EY148:EY149"/>
    <mergeCell ref="EZ148:EZ151"/>
    <mergeCell ref="EU150:EU151"/>
    <mergeCell ref="EV150:EV151"/>
    <mergeCell ref="EW150:EW151"/>
    <mergeCell ref="EX150:EX151"/>
    <mergeCell ref="EY150:EY151"/>
    <mergeCell ref="DN148:DN151"/>
    <mergeCell ref="DO148:DO149"/>
    <mergeCell ref="DP148:DP151"/>
    <mergeCell ref="DQ148:DQ149"/>
    <mergeCell ref="DR148:DR151"/>
    <mergeCell ref="DS148:DS151"/>
    <mergeCell ref="DU148:DU151"/>
    <mergeCell ref="DV148:DV149"/>
    <mergeCell ref="DW148:DW151"/>
    <mergeCell ref="DX148:DX151"/>
    <mergeCell ref="DZ148:DZ151"/>
    <mergeCell ref="EA148:EA151"/>
    <mergeCell ref="EC148:EC151"/>
    <mergeCell ref="ED148:ED151"/>
    <mergeCell ref="EE148:EE151"/>
    <mergeCell ref="EF148:EF151"/>
    <mergeCell ref="EG148:EG151"/>
    <mergeCell ref="DO150:DO151"/>
    <mergeCell ref="DQ150:DQ151"/>
    <mergeCell ref="DV150:DV151"/>
    <mergeCell ref="EU148:EU149"/>
    <mergeCell ref="EV148:EV149"/>
    <mergeCell ref="EW148:EW149"/>
    <mergeCell ref="EX148:EX149"/>
    <mergeCell ref="HX150:HX151"/>
    <mergeCell ref="IB150:IB151"/>
    <mergeCell ref="HR149:HR150"/>
    <mergeCell ref="HS149:HS150"/>
    <mergeCell ref="HT149:HT150"/>
    <mergeCell ref="HU149:HU150"/>
    <mergeCell ref="HY149:HY150"/>
    <mergeCell ref="CS148:CS149"/>
    <mergeCell ref="CT148:CT149"/>
    <mergeCell ref="CU148:CU149"/>
    <mergeCell ref="CV148:CV149"/>
    <mergeCell ref="DC148:DC149"/>
    <mergeCell ref="DD148:DD149"/>
    <mergeCell ref="DE148:DE149"/>
    <mergeCell ref="DF148:DF149"/>
    <mergeCell ref="DG148:DG149"/>
    <mergeCell ref="DH148:DH151"/>
    <mergeCell ref="DJ148:DJ149"/>
    <mergeCell ref="DL148:DL151"/>
    <mergeCell ref="DC150:DC151"/>
    <mergeCell ref="DD150:DD151"/>
    <mergeCell ref="DE150:DE151"/>
    <mergeCell ref="DF150:DF151"/>
    <mergeCell ref="DG150:DG151"/>
    <mergeCell ref="DK150:DK151"/>
    <mergeCell ref="IG148:IG151"/>
    <mergeCell ref="IH148:IH149"/>
    <mergeCell ref="II148:II151"/>
    <mergeCell ref="E149:F149"/>
    <mergeCell ref="G149:L149"/>
    <mergeCell ref="P149:Q149"/>
    <mergeCell ref="AF149:AI149"/>
    <mergeCell ref="GI149:GI150"/>
    <mergeCell ref="GJ149:GJ150"/>
    <mergeCell ref="GL149:GL150"/>
    <mergeCell ref="GM149:GM150"/>
    <mergeCell ref="HC149:HC150"/>
    <mergeCell ref="HD149:HD150"/>
    <mergeCell ref="HE149:HE150"/>
    <mergeCell ref="HF149:HF150"/>
    <mergeCell ref="HG149:HG150"/>
    <mergeCell ref="HH149:HH150"/>
    <mergeCell ref="HI149:HI150"/>
    <mergeCell ref="HJ149:HJ150"/>
    <mergeCell ref="FB148:FB149"/>
    <mergeCell ref="FD148:FD151"/>
    <mergeCell ref="FE148:FE151"/>
    <mergeCell ref="FI148:FI149"/>
    <mergeCell ref="FJ148:FJ149"/>
    <mergeCell ref="FK148:FK149"/>
    <mergeCell ref="FL148:FL149"/>
    <mergeCell ref="FM148:FM149"/>
    <mergeCell ref="FO148:FO149"/>
    <mergeCell ref="FP148:FP149"/>
    <mergeCell ref="FQ148:FQ149"/>
    <mergeCell ref="FR148:FR149"/>
    <mergeCell ref="FS148:FS149"/>
    <mergeCell ref="FT148:FT149"/>
    <mergeCell ref="FW148:FW151"/>
    <mergeCell ref="FX148:FX151"/>
    <mergeCell ref="FY148:FY151"/>
    <mergeCell ref="FB150:FB151"/>
    <mergeCell ref="FI150:FI151"/>
    <mergeCell ref="FJ150:FJ151"/>
    <mergeCell ref="FK150:FK151"/>
    <mergeCell ref="FL150:FL151"/>
    <mergeCell ref="FM150:FM151"/>
    <mergeCell ref="FO150:FO151"/>
    <mergeCell ref="FP150:FP151"/>
    <mergeCell ref="FQ150:FQ151"/>
    <mergeCell ref="FR150:FR151"/>
    <mergeCell ref="FS150:FS151"/>
    <mergeCell ref="FT150:FT151"/>
    <mergeCell ref="EH148:EH151"/>
    <mergeCell ref="EI148:EI151"/>
    <mergeCell ref="EJ148:EJ151"/>
    <mergeCell ref="EK148:EK151"/>
    <mergeCell ref="EL148:EL151"/>
    <mergeCell ref="EM148:EM151"/>
    <mergeCell ref="EN148:EN151"/>
    <mergeCell ref="EO148:EO151"/>
    <mergeCell ref="EP148:EP151"/>
    <mergeCell ref="EQ148:EQ151"/>
    <mergeCell ref="ES148:ES151"/>
    <mergeCell ref="CW148:CW149"/>
    <mergeCell ref="CX148:CX151"/>
    <mergeCell ref="CY148:CY151"/>
    <mergeCell ref="CZ148:CZ151"/>
    <mergeCell ref="DA148:DA151"/>
    <mergeCell ref="IH145:IH146"/>
    <mergeCell ref="E146:F146"/>
    <mergeCell ref="G146:L146"/>
    <mergeCell ref="P146:R146"/>
    <mergeCell ref="U146:AA146"/>
    <mergeCell ref="AF146:AI146"/>
    <mergeCell ref="E147:AT147"/>
    <mergeCell ref="CW145:CW146"/>
    <mergeCell ref="DC145:DC146"/>
    <mergeCell ref="FL145:FL146"/>
    <mergeCell ref="FM145:FM146"/>
    <mergeCell ref="FO145:FO146"/>
    <mergeCell ref="FP145:FP146"/>
    <mergeCell ref="FQ145:FQ146"/>
    <mergeCell ref="FR145:FR146"/>
    <mergeCell ref="EC143:EC146"/>
    <mergeCell ref="ED143:ED146"/>
    <mergeCell ref="EE143:EE146"/>
    <mergeCell ref="EF143:EF146"/>
    <mergeCell ref="EG143:EG146"/>
    <mergeCell ref="EH143:EH146"/>
    <mergeCell ref="EI143:EI146"/>
    <mergeCell ref="EJ143:EJ146"/>
    <mergeCell ref="EK143:EK146"/>
    <mergeCell ref="EL143:EL146"/>
    <mergeCell ref="EM143:EM146"/>
    <mergeCell ref="EN143:EN146"/>
    <mergeCell ref="EO143:EO146"/>
    <mergeCell ref="EP143:EP146"/>
    <mergeCell ref="EQ143:EQ146"/>
    <mergeCell ref="ES143:ES146"/>
    <mergeCell ref="E144:F144"/>
    <mergeCell ref="G144:L144"/>
    <mergeCell ref="P144:Q144"/>
    <mergeCell ref="AF144:AI144"/>
    <mergeCell ref="GI144:GI145"/>
    <mergeCell ref="GJ144:GJ145"/>
    <mergeCell ref="GL144:GL145"/>
    <mergeCell ref="B148:B151"/>
    <mergeCell ref="C148:D151"/>
    <mergeCell ref="E148:F148"/>
    <mergeCell ref="G148:R148"/>
    <mergeCell ref="S148:S149"/>
    <mergeCell ref="U148:AA148"/>
    <mergeCell ref="AF148:AI148"/>
    <mergeCell ref="AJ148:AJ149"/>
    <mergeCell ref="AK148:AK149"/>
    <mergeCell ref="AL148:AL149"/>
    <mergeCell ref="AM148:AN151"/>
    <mergeCell ref="AO148:AQ151"/>
    <mergeCell ref="AR148:AR151"/>
    <mergeCell ref="AS148:AS151"/>
    <mergeCell ref="AT148:AT151"/>
    <mergeCell ref="AV148:AV151"/>
    <mergeCell ref="AW148:AW151"/>
    <mergeCell ref="CM148:CM151"/>
    <mergeCell ref="CN148:CN151"/>
    <mergeCell ref="CO148:CO149"/>
    <mergeCell ref="CP148:CP149"/>
    <mergeCell ref="CR148:CR149"/>
    <mergeCell ref="AF145:AI145"/>
    <mergeCell ref="AJ145:AJ146"/>
    <mergeCell ref="AK145:AK146"/>
    <mergeCell ref="AL145:AL146"/>
    <mergeCell ref="CO145:CO146"/>
    <mergeCell ref="CP145:CP146"/>
    <mergeCell ref="CR145:CR146"/>
    <mergeCell ref="CS145:CS146"/>
    <mergeCell ref="CT145:CT146"/>
    <mergeCell ref="CU145:CU146"/>
    <mergeCell ref="CV145:CV146"/>
    <mergeCell ref="GM144:GM145"/>
    <mergeCell ref="HC144:HC145"/>
    <mergeCell ref="HD144:HD145"/>
    <mergeCell ref="HE144:HE145"/>
    <mergeCell ref="HF144:HF145"/>
    <mergeCell ref="HG144:HG145"/>
    <mergeCell ref="HH144:HH145"/>
    <mergeCell ref="HI144:HI145"/>
    <mergeCell ref="HJ144:HJ145"/>
    <mergeCell ref="HK144:HK145"/>
    <mergeCell ref="HL144:HL145"/>
    <mergeCell ref="HM144:HM145"/>
    <mergeCell ref="HN144:HN145"/>
    <mergeCell ref="HO144:HO145"/>
    <mergeCell ref="HP144:HP145"/>
    <mergeCell ref="HQ144:HQ145"/>
    <mergeCell ref="HR144:HR145"/>
    <mergeCell ref="HS144:HS145"/>
    <mergeCell ref="HT144:HT145"/>
    <mergeCell ref="HU144:HU145"/>
    <mergeCell ref="HY144:HY145"/>
    <mergeCell ref="FS143:FS144"/>
    <mergeCell ref="FT143:FT144"/>
    <mergeCell ref="FW143:FW146"/>
    <mergeCell ref="FX143:FX146"/>
    <mergeCell ref="FY143:FY146"/>
    <mergeCell ref="FZ143:FZ146"/>
    <mergeCell ref="GA143:GA146"/>
    <mergeCell ref="GB143:GB146"/>
    <mergeCell ref="GC143:GC146"/>
    <mergeCell ref="GD143:GD146"/>
    <mergeCell ref="GG143:GG146"/>
    <mergeCell ref="HW143:HW145"/>
    <mergeCell ref="HX143:HX144"/>
    <mergeCell ref="FS145:FS146"/>
    <mergeCell ref="FT145:FT146"/>
    <mergeCell ref="HX145:HX146"/>
    <mergeCell ref="EV143:EV144"/>
    <mergeCell ref="EW143:EW144"/>
    <mergeCell ref="EX143:EX144"/>
    <mergeCell ref="EY143:EY144"/>
    <mergeCell ref="EZ143:EZ146"/>
    <mergeCell ref="FB143:FB144"/>
    <mergeCell ref="FD143:FD146"/>
    <mergeCell ref="FE143:FE146"/>
    <mergeCell ref="FI143:FI144"/>
    <mergeCell ref="FJ143:FJ144"/>
    <mergeCell ref="FQ143:FQ144"/>
    <mergeCell ref="FR143:FR144"/>
    <mergeCell ref="EV145:EV146"/>
    <mergeCell ref="EW145:EW146"/>
    <mergeCell ref="EX145:EX146"/>
    <mergeCell ref="EY145:EY146"/>
    <mergeCell ref="FB145:FB146"/>
    <mergeCell ref="FI145:FI146"/>
    <mergeCell ref="FJ145:FJ146"/>
    <mergeCell ref="FK145:FK146"/>
    <mergeCell ref="EU143:EU144"/>
    <mergeCell ref="EU145:EU146"/>
    <mergeCell ref="DX143:DX146"/>
    <mergeCell ref="DZ143:DZ146"/>
    <mergeCell ref="EA143:EA146"/>
    <mergeCell ref="DK145:DK146"/>
    <mergeCell ref="DO145:DO146"/>
    <mergeCell ref="DQ145:DQ146"/>
    <mergeCell ref="DV145:DV146"/>
    <mergeCell ref="CM143:CM146"/>
    <mergeCell ref="CN143:CN146"/>
    <mergeCell ref="CO143:CO144"/>
    <mergeCell ref="CP143:CP144"/>
    <mergeCell ref="CR143:CR144"/>
    <mergeCell ref="CS143:CS144"/>
    <mergeCell ref="CT143:CT144"/>
    <mergeCell ref="CU143:CU144"/>
    <mergeCell ref="CV143:CV144"/>
    <mergeCell ref="CW143:CW144"/>
    <mergeCell ref="CX143:CX146"/>
    <mergeCell ref="CY143:CY146"/>
    <mergeCell ref="CZ143:CZ146"/>
    <mergeCell ref="DA143:DA146"/>
    <mergeCell ref="DC143:DC144"/>
    <mergeCell ref="DD143:DD144"/>
    <mergeCell ref="DE143:DE144"/>
    <mergeCell ref="DD145:DD146"/>
    <mergeCell ref="DE145:DE146"/>
    <mergeCell ref="DF145:DF146"/>
    <mergeCell ref="DG145:DG146"/>
    <mergeCell ref="FK143:FK144"/>
    <mergeCell ref="FL143:FL144"/>
    <mergeCell ref="FM143:FM144"/>
    <mergeCell ref="FO143:FO144"/>
    <mergeCell ref="FP143:FP144"/>
    <mergeCell ref="IF140:IF141"/>
    <mergeCell ref="IH140:IH141"/>
    <mergeCell ref="EX138:EX139"/>
    <mergeCell ref="EY138:EY139"/>
    <mergeCell ref="EZ138:EZ141"/>
    <mergeCell ref="FB138:FB139"/>
    <mergeCell ref="E141:F141"/>
    <mergeCell ref="G141:L141"/>
    <mergeCell ref="P141:R141"/>
    <mergeCell ref="U141:AA141"/>
    <mergeCell ref="AF141:AI141"/>
    <mergeCell ref="FD138:FD141"/>
    <mergeCell ref="FE138:FE141"/>
    <mergeCell ref="E142:AT142"/>
    <mergeCell ref="B143:B146"/>
    <mergeCell ref="C143:D146"/>
    <mergeCell ref="E143:F143"/>
    <mergeCell ref="G143:R143"/>
    <mergeCell ref="S143:S144"/>
    <mergeCell ref="U143:AA143"/>
    <mergeCell ref="AF143:AI143"/>
    <mergeCell ref="AJ143:AJ144"/>
    <mergeCell ref="AK143:AK144"/>
    <mergeCell ref="AL143:AL144"/>
    <mergeCell ref="AM143:AN146"/>
    <mergeCell ref="AO143:AQ146"/>
    <mergeCell ref="AR143:AR146"/>
    <mergeCell ref="AS143:AS146"/>
    <mergeCell ref="AT143:AT146"/>
    <mergeCell ref="E145:F145"/>
    <mergeCell ref="G145:L145"/>
    <mergeCell ref="P145:Q145"/>
    <mergeCell ref="S145:S146"/>
    <mergeCell ref="P140:Q140"/>
    <mergeCell ref="S140:S141"/>
    <mergeCell ref="AF140:AI140"/>
    <mergeCell ref="AJ140:AJ141"/>
    <mergeCell ref="AK140:AK141"/>
    <mergeCell ref="AL140:AL141"/>
    <mergeCell ref="DF143:DF144"/>
    <mergeCell ref="DG143:DG144"/>
    <mergeCell ref="DH143:DH146"/>
    <mergeCell ref="DJ143:DJ144"/>
    <mergeCell ref="DL143:DL146"/>
    <mergeCell ref="DN143:DN146"/>
    <mergeCell ref="DO143:DO144"/>
    <mergeCell ref="DP143:DP146"/>
    <mergeCell ref="DQ143:DQ144"/>
    <mergeCell ref="DR143:DR146"/>
    <mergeCell ref="DS143:DS146"/>
    <mergeCell ref="DU143:DU146"/>
    <mergeCell ref="DV143:DV144"/>
    <mergeCell ref="DW143:DW146"/>
    <mergeCell ref="GI139:GI140"/>
    <mergeCell ref="GJ139:GJ140"/>
    <mergeCell ref="GL139:GL140"/>
    <mergeCell ref="GM139:GM140"/>
    <mergeCell ref="HC139:HC140"/>
    <mergeCell ref="HD139:HD140"/>
    <mergeCell ref="HE139:HE140"/>
    <mergeCell ref="HF139:HF140"/>
    <mergeCell ref="HG139:HG140"/>
    <mergeCell ref="HH139:HH140"/>
    <mergeCell ref="HI139:HI140"/>
    <mergeCell ref="HK139:HK140"/>
    <mergeCell ref="HL139:HL140"/>
    <mergeCell ref="HM139:HM140"/>
    <mergeCell ref="HN139:HN140"/>
    <mergeCell ref="HO139:HO140"/>
    <mergeCell ref="HP139:HP140"/>
    <mergeCell ref="HQ139:HQ140"/>
    <mergeCell ref="HR139:HR140"/>
    <mergeCell ref="HS139:HS140"/>
    <mergeCell ref="HT139:HT140"/>
    <mergeCell ref="HU139:HU140"/>
    <mergeCell ref="HY139:HY140"/>
    <mergeCell ref="E140:F140"/>
    <mergeCell ref="G140:L140"/>
    <mergeCell ref="FW138:FW141"/>
    <mergeCell ref="FX138:FX141"/>
    <mergeCell ref="FY138:FY141"/>
    <mergeCell ref="FZ138:FZ141"/>
    <mergeCell ref="GA138:GA141"/>
    <mergeCell ref="GB138:GB141"/>
    <mergeCell ref="GC138:GC141"/>
    <mergeCell ref="GD138:GD141"/>
    <mergeCell ref="GG138:GG141"/>
    <mergeCell ref="HW138:HW140"/>
    <mergeCell ref="HX138:HX139"/>
    <mergeCell ref="HX140:HX141"/>
    <mergeCell ref="FI138:FI139"/>
    <mergeCell ref="FJ138:FJ139"/>
    <mergeCell ref="FK138:FK139"/>
    <mergeCell ref="FL138:FL139"/>
    <mergeCell ref="FM138:FM139"/>
    <mergeCell ref="FO138:FO139"/>
    <mergeCell ref="FP138:FP139"/>
    <mergeCell ref="FQ138:FQ139"/>
    <mergeCell ref="FR138:FR139"/>
    <mergeCell ref="FS138:FS139"/>
    <mergeCell ref="FT138:FT139"/>
    <mergeCell ref="EX140:EX141"/>
    <mergeCell ref="EY140:EY141"/>
    <mergeCell ref="FB140:FB141"/>
    <mergeCell ref="FI140:FI141"/>
    <mergeCell ref="FJ140:FJ141"/>
    <mergeCell ref="FK140:FK141"/>
    <mergeCell ref="FL140:FL141"/>
    <mergeCell ref="FM140:FM141"/>
    <mergeCell ref="FO140:FO141"/>
    <mergeCell ref="FP140:FP141"/>
    <mergeCell ref="FQ140:FQ141"/>
    <mergeCell ref="FR140:FR141"/>
    <mergeCell ref="FS140:FS141"/>
    <mergeCell ref="FT140:FT141"/>
    <mergeCell ref="EE138:EE141"/>
    <mergeCell ref="EF138:EF141"/>
    <mergeCell ref="EG138:EG141"/>
    <mergeCell ref="EH138:EH141"/>
    <mergeCell ref="EI138:EI141"/>
    <mergeCell ref="EJ138:EJ141"/>
    <mergeCell ref="EK138:EK141"/>
    <mergeCell ref="EL138:EL141"/>
    <mergeCell ref="EM138:EM141"/>
    <mergeCell ref="EN138:EN141"/>
    <mergeCell ref="EO138:EO141"/>
    <mergeCell ref="EP138:EP141"/>
    <mergeCell ref="DW138:DW141"/>
    <mergeCell ref="DX138:DX141"/>
    <mergeCell ref="DZ138:DZ141"/>
    <mergeCell ref="EA138:EA141"/>
    <mergeCell ref="EC138:EC141"/>
    <mergeCell ref="ED138:ED141"/>
    <mergeCell ref="DK140:DK141"/>
    <mergeCell ref="DO140:DO141"/>
    <mergeCell ref="DQ140:DQ141"/>
    <mergeCell ref="DV140:DV141"/>
    <mergeCell ref="CP138:CP139"/>
    <mergeCell ref="CR138:CR139"/>
    <mergeCell ref="CS138:CS139"/>
    <mergeCell ref="CT138:CT139"/>
    <mergeCell ref="CU138:CU139"/>
    <mergeCell ref="CV138:CV139"/>
    <mergeCell ref="CW138:CW139"/>
    <mergeCell ref="CX138:CX141"/>
    <mergeCell ref="CY138:CY141"/>
    <mergeCell ref="CZ138:CZ141"/>
    <mergeCell ref="DA138:DA141"/>
    <mergeCell ref="DC138:DC139"/>
    <mergeCell ref="DD138:DD139"/>
    <mergeCell ref="DE138:DE139"/>
    <mergeCell ref="DF138:DF139"/>
    <mergeCell ref="DG138:DG139"/>
    <mergeCell ref="CW140:CW141"/>
    <mergeCell ref="DC140:DC141"/>
    <mergeCell ref="DD140:DD141"/>
    <mergeCell ref="DE140:DE141"/>
    <mergeCell ref="DF140:DF141"/>
    <mergeCell ref="DG140:DG141"/>
    <mergeCell ref="HJ139:HJ140"/>
    <mergeCell ref="B138:B141"/>
    <mergeCell ref="C138:D141"/>
    <mergeCell ref="E138:F138"/>
    <mergeCell ref="G138:R138"/>
    <mergeCell ref="S138:S139"/>
    <mergeCell ref="U138:AA138"/>
    <mergeCell ref="AF138:AI138"/>
    <mergeCell ref="AJ138:AJ139"/>
    <mergeCell ref="AK138:AK139"/>
    <mergeCell ref="AL138:AL139"/>
    <mergeCell ref="AM138:AN141"/>
    <mergeCell ref="AO138:AQ141"/>
    <mergeCell ref="AR138:AR141"/>
    <mergeCell ref="AS138:AS141"/>
    <mergeCell ref="AT138:AT141"/>
    <mergeCell ref="AV138:AV141"/>
    <mergeCell ref="AW138:AW141"/>
    <mergeCell ref="CM138:CM141"/>
    <mergeCell ref="CN138:CN141"/>
    <mergeCell ref="E139:F139"/>
    <mergeCell ref="G139:L139"/>
    <mergeCell ref="P139:Q139"/>
    <mergeCell ref="AF139:AI139"/>
    <mergeCell ref="EQ138:EQ141"/>
    <mergeCell ref="ES138:ES141"/>
    <mergeCell ref="EU138:EU139"/>
    <mergeCell ref="EV138:EV139"/>
    <mergeCell ref="EW138:EW139"/>
    <mergeCell ref="EU140:EU141"/>
    <mergeCell ref="EV140:EV141"/>
    <mergeCell ref="EW140:EW141"/>
    <mergeCell ref="HL134:HL135"/>
    <mergeCell ref="HM134:HM135"/>
    <mergeCell ref="FT133:FT134"/>
    <mergeCell ref="FW133:FW136"/>
    <mergeCell ref="FX133:FX136"/>
    <mergeCell ref="FY133:FY136"/>
    <mergeCell ref="FB135:FB136"/>
    <mergeCell ref="FI135:FI136"/>
    <mergeCell ref="FJ135:FJ136"/>
    <mergeCell ref="FK135:FK136"/>
    <mergeCell ref="FL135:FL136"/>
    <mergeCell ref="FM135:FM136"/>
    <mergeCell ref="FO135:FO136"/>
    <mergeCell ref="FP135:FP136"/>
    <mergeCell ref="FQ135:FQ136"/>
    <mergeCell ref="FR135:FR136"/>
    <mergeCell ref="FS135:FS136"/>
    <mergeCell ref="FT135:FT136"/>
    <mergeCell ref="EH133:EH136"/>
    <mergeCell ref="EI133:EI136"/>
    <mergeCell ref="EJ133:EJ136"/>
    <mergeCell ref="E136:F136"/>
    <mergeCell ref="G136:L136"/>
    <mergeCell ref="P136:R136"/>
    <mergeCell ref="U136:AA136"/>
    <mergeCell ref="AF136:AI136"/>
    <mergeCell ref="EK133:EK136"/>
    <mergeCell ref="EL133:EL136"/>
    <mergeCell ref="EM133:EM136"/>
    <mergeCell ref="EN133:EN136"/>
    <mergeCell ref="EO133:EO136"/>
    <mergeCell ref="EP133:EP136"/>
    <mergeCell ref="EQ133:EQ136"/>
    <mergeCell ref="ES133:ES136"/>
    <mergeCell ref="EU133:EU134"/>
    <mergeCell ref="EV133:EV134"/>
    <mergeCell ref="EW133:EW134"/>
    <mergeCell ref="EX133:EX134"/>
    <mergeCell ref="EY133:EY134"/>
    <mergeCell ref="EZ133:EZ136"/>
    <mergeCell ref="EU135:EU136"/>
    <mergeCell ref="EV135:EV136"/>
    <mergeCell ref="EW135:EW136"/>
    <mergeCell ref="EX135:EX136"/>
    <mergeCell ref="EY135:EY136"/>
    <mergeCell ref="DN133:DN136"/>
    <mergeCell ref="DO133:DO134"/>
    <mergeCell ref="DP133:DP136"/>
    <mergeCell ref="DQ133:DQ134"/>
    <mergeCell ref="DR133:DR136"/>
    <mergeCell ref="DS133:DS136"/>
    <mergeCell ref="DU133:DU136"/>
    <mergeCell ref="DV133:DV134"/>
    <mergeCell ref="DW133:DW136"/>
    <mergeCell ref="DX133:DX136"/>
    <mergeCell ref="DZ133:DZ136"/>
    <mergeCell ref="EA133:EA136"/>
    <mergeCell ref="EC133:EC136"/>
    <mergeCell ref="ED133:ED136"/>
    <mergeCell ref="EE133:EE136"/>
    <mergeCell ref="EF133:EF136"/>
    <mergeCell ref="EG133:EG136"/>
    <mergeCell ref="DO135:DO136"/>
    <mergeCell ref="DQ135:DQ136"/>
    <mergeCell ref="HN134:HN135"/>
    <mergeCell ref="HO134:HO135"/>
    <mergeCell ref="HP134:HP135"/>
    <mergeCell ref="HQ134:HQ135"/>
    <mergeCell ref="HR134:HR135"/>
    <mergeCell ref="HS134:HS135"/>
    <mergeCell ref="HT134:HT135"/>
    <mergeCell ref="E135:F135"/>
    <mergeCell ref="G135:L135"/>
    <mergeCell ref="P135:Q135"/>
    <mergeCell ref="S135:S136"/>
    <mergeCell ref="AF135:AI135"/>
    <mergeCell ref="AJ135:AJ136"/>
    <mergeCell ref="AK135:AK136"/>
    <mergeCell ref="AL135:AL136"/>
    <mergeCell ref="CO135:CO136"/>
    <mergeCell ref="CP135:CP136"/>
    <mergeCell ref="CR135:CR136"/>
    <mergeCell ref="CS135:CS136"/>
    <mergeCell ref="CT135:CT136"/>
    <mergeCell ref="CU135:CU136"/>
    <mergeCell ref="CV135:CV136"/>
    <mergeCell ref="CW135:CW136"/>
    <mergeCell ref="DH138:DH141"/>
    <mergeCell ref="DJ138:DJ139"/>
    <mergeCell ref="DL138:DL141"/>
    <mergeCell ref="DN138:DN141"/>
    <mergeCell ref="DO138:DO139"/>
    <mergeCell ref="DP138:DP141"/>
    <mergeCell ref="DQ138:DQ139"/>
    <mergeCell ref="DR138:DR141"/>
    <mergeCell ref="DS138:DS141"/>
    <mergeCell ref="DU138:DU141"/>
    <mergeCell ref="DV138:DV139"/>
    <mergeCell ref="E134:F134"/>
    <mergeCell ref="G134:L134"/>
    <mergeCell ref="P134:Q134"/>
    <mergeCell ref="AF134:AI134"/>
    <mergeCell ref="GI134:GI135"/>
    <mergeCell ref="GJ134:GJ135"/>
    <mergeCell ref="GL134:GL135"/>
    <mergeCell ref="GM134:GM135"/>
    <mergeCell ref="HC134:HC135"/>
    <mergeCell ref="HD134:HD135"/>
    <mergeCell ref="HE134:HE135"/>
    <mergeCell ref="HF134:HF135"/>
    <mergeCell ref="HG134:HG135"/>
    <mergeCell ref="HH134:HH135"/>
    <mergeCell ref="HI134:HI135"/>
    <mergeCell ref="HJ134:HJ135"/>
    <mergeCell ref="FB133:FB134"/>
    <mergeCell ref="FD133:FD136"/>
    <mergeCell ref="FE133:FE136"/>
    <mergeCell ref="FI133:FI134"/>
    <mergeCell ref="FJ133:FJ134"/>
    <mergeCell ref="FK133:FK134"/>
    <mergeCell ref="CO138:CO139"/>
    <mergeCell ref="FL133:FL134"/>
    <mergeCell ref="FM133:FM134"/>
    <mergeCell ref="FO133:FO134"/>
    <mergeCell ref="FP133:FP134"/>
    <mergeCell ref="FQ133:FQ134"/>
    <mergeCell ref="FR133:FR134"/>
    <mergeCell ref="FS133:FS134"/>
    <mergeCell ref="DV135:DV136"/>
    <mergeCell ref="CS133:CS134"/>
    <mergeCell ref="CT133:CT134"/>
    <mergeCell ref="CU133:CU134"/>
    <mergeCell ref="CV133:CV134"/>
    <mergeCell ref="CW133:CW134"/>
    <mergeCell ref="CX133:CX136"/>
    <mergeCell ref="CY133:CY136"/>
    <mergeCell ref="CZ133:CZ136"/>
    <mergeCell ref="DA133:DA136"/>
    <mergeCell ref="DC133:DC134"/>
    <mergeCell ref="DD133:DD134"/>
    <mergeCell ref="DE133:DE134"/>
    <mergeCell ref="DF133:DF134"/>
    <mergeCell ref="DG133:DG134"/>
    <mergeCell ref="DH133:DH136"/>
    <mergeCell ref="DJ133:DJ134"/>
    <mergeCell ref="DL133:DL136"/>
    <mergeCell ref="DC135:DC136"/>
    <mergeCell ref="DD135:DD136"/>
    <mergeCell ref="DE135:DE136"/>
    <mergeCell ref="DF135:DF136"/>
    <mergeCell ref="DG135:DG136"/>
    <mergeCell ref="DK135:DK136"/>
    <mergeCell ref="IH130:IH131"/>
    <mergeCell ref="E131:F131"/>
    <mergeCell ref="G131:L131"/>
    <mergeCell ref="P131:R131"/>
    <mergeCell ref="U131:AA131"/>
    <mergeCell ref="AF131:AI131"/>
    <mergeCell ref="E132:AT132"/>
    <mergeCell ref="CT130:CT131"/>
    <mergeCell ref="IG128:IG131"/>
    <mergeCell ref="IH128:IH129"/>
    <mergeCell ref="FO128:FO129"/>
    <mergeCell ref="FP128:FP129"/>
    <mergeCell ref="FQ128:FQ129"/>
    <mergeCell ref="FR128:FR129"/>
    <mergeCell ref="EV130:EV131"/>
    <mergeCell ref="EW130:EW131"/>
    <mergeCell ref="EX130:EX131"/>
    <mergeCell ref="EY130:EY131"/>
    <mergeCell ref="FB130:FB131"/>
    <mergeCell ref="FI130:FI131"/>
    <mergeCell ref="FJ130:FJ131"/>
    <mergeCell ref="FK130:FK131"/>
    <mergeCell ref="FL130:FL131"/>
    <mergeCell ref="FM130:FM131"/>
    <mergeCell ref="FO130:FO131"/>
    <mergeCell ref="FP130:FP131"/>
    <mergeCell ref="FQ130:FQ131"/>
    <mergeCell ref="FR130:FR131"/>
    <mergeCell ref="EC128:EC131"/>
    <mergeCell ref="ED128:ED131"/>
    <mergeCell ref="EE128:EE131"/>
    <mergeCell ref="EF128:EF131"/>
    <mergeCell ref="EG128:EG131"/>
    <mergeCell ref="EH128:EH131"/>
    <mergeCell ref="EI128:EI131"/>
    <mergeCell ref="FZ128:FZ131"/>
    <mergeCell ref="GA128:GA131"/>
    <mergeCell ref="GB128:GB131"/>
    <mergeCell ref="GC128:GC131"/>
    <mergeCell ref="GD128:GD131"/>
    <mergeCell ref="GG128:GG131"/>
    <mergeCell ref="HW128:HW130"/>
    <mergeCell ref="HX128:HX129"/>
    <mergeCell ref="IA128:IA131"/>
    <mergeCell ref="IB128:IB129"/>
    <mergeCell ref="IC128:IC131"/>
    <mergeCell ref="IF128:IF129"/>
    <mergeCell ref="FS130:FS131"/>
    <mergeCell ref="FT130:FT131"/>
    <mergeCell ref="HX130:HX131"/>
    <mergeCell ref="IB130:IB131"/>
    <mergeCell ref="IF130:IF131"/>
    <mergeCell ref="EV128:EV129"/>
    <mergeCell ref="EW128:EW129"/>
    <mergeCell ref="EX128:EX129"/>
    <mergeCell ref="EY128:EY129"/>
    <mergeCell ref="EZ128:EZ131"/>
    <mergeCell ref="FB128:FB129"/>
    <mergeCell ref="FD128:FD131"/>
    <mergeCell ref="FE128:FE131"/>
    <mergeCell ref="FI128:FI129"/>
    <mergeCell ref="FJ128:FJ129"/>
    <mergeCell ref="FL128:FL129"/>
    <mergeCell ref="FM128:FM129"/>
    <mergeCell ref="B133:B136"/>
    <mergeCell ref="C133:D136"/>
    <mergeCell ref="E133:F133"/>
    <mergeCell ref="G133:R133"/>
    <mergeCell ref="S133:S134"/>
    <mergeCell ref="U133:AA133"/>
    <mergeCell ref="AF133:AI133"/>
    <mergeCell ref="AJ133:AJ134"/>
    <mergeCell ref="AK133:AK134"/>
    <mergeCell ref="AL133:AL134"/>
    <mergeCell ref="AM133:AN136"/>
    <mergeCell ref="AO133:AQ136"/>
    <mergeCell ref="AR133:AR136"/>
    <mergeCell ref="AS133:AS136"/>
    <mergeCell ref="AT133:AT136"/>
    <mergeCell ref="AV133:AV136"/>
    <mergeCell ref="AW133:AW136"/>
    <mergeCell ref="CM133:CM136"/>
    <mergeCell ref="CN133:CN136"/>
    <mergeCell ref="CO133:CO134"/>
    <mergeCell ref="CP133:CP134"/>
    <mergeCell ref="CR133:CR134"/>
    <mergeCell ref="AF130:AI130"/>
    <mergeCell ref="AJ130:AJ131"/>
    <mergeCell ref="AK130:AK131"/>
    <mergeCell ref="AL130:AL131"/>
    <mergeCell ref="CO130:CO131"/>
    <mergeCell ref="CP130:CP131"/>
    <mergeCell ref="CR130:CR131"/>
    <mergeCell ref="CS130:CS131"/>
    <mergeCell ref="CZ128:CZ131"/>
    <mergeCell ref="DA128:DA131"/>
    <mergeCell ref="DC128:DC129"/>
    <mergeCell ref="DD128:DD129"/>
    <mergeCell ref="DE128:DE129"/>
    <mergeCell ref="CU130:CU131"/>
    <mergeCell ref="CV130:CV131"/>
    <mergeCell ref="CW130:CW131"/>
    <mergeCell ref="DC130:DC131"/>
    <mergeCell ref="DD130:DD131"/>
    <mergeCell ref="II128:II131"/>
    <mergeCell ref="E129:F129"/>
    <mergeCell ref="G129:L129"/>
    <mergeCell ref="P129:Q129"/>
    <mergeCell ref="AF129:AI129"/>
    <mergeCell ref="GI129:GI130"/>
    <mergeCell ref="GJ129:GJ130"/>
    <mergeCell ref="GL129:GL130"/>
    <mergeCell ref="GM129:GM130"/>
    <mergeCell ref="HC129:HC130"/>
    <mergeCell ref="HD129:HD130"/>
    <mergeCell ref="HE129:HE130"/>
    <mergeCell ref="HF129:HF130"/>
    <mergeCell ref="HG129:HG130"/>
    <mergeCell ref="HH129:HH130"/>
    <mergeCell ref="HI129:HI130"/>
    <mergeCell ref="HJ129:HJ130"/>
    <mergeCell ref="HK129:HK130"/>
    <mergeCell ref="HL129:HL130"/>
    <mergeCell ref="HM129:HM130"/>
    <mergeCell ref="HN129:HN130"/>
    <mergeCell ref="HO129:HO130"/>
    <mergeCell ref="HP129:HP130"/>
    <mergeCell ref="HQ129:HQ130"/>
    <mergeCell ref="HR129:HR130"/>
    <mergeCell ref="HS129:HS130"/>
    <mergeCell ref="HT129:HT130"/>
    <mergeCell ref="HU129:HU130"/>
    <mergeCell ref="HY129:HY130"/>
    <mergeCell ref="FS128:FS129"/>
    <mergeCell ref="FT128:FT129"/>
    <mergeCell ref="FW128:FW131"/>
    <mergeCell ref="FX128:FX131"/>
    <mergeCell ref="FY128:FY131"/>
    <mergeCell ref="EJ128:EJ131"/>
    <mergeCell ref="EK128:EK131"/>
    <mergeCell ref="EL128:EL131"/>
    <mergeCell ref="EM128:EM131"/>
    <mergeCell ref="EN128:EN131"/>
    <mergeCell ref="EO128:EO131"/>
    <mergeCell ref="EP128:EP131"/>
    <mergeCell ref="EQ128:EQ131"/>
    <mergeCell ref="ES128:ES131"/>
    <mergeCell ref="EU128:EU129"/>
    <mergeCell ref="EU130:EU131"/>
    <mergeCell ref="DX128:DX131"/>
    <mergeCell ref="DZ128:DZ131"/>
    <mergeCell ref="EA128:EA131"/>
    <mergeCell ref="DK130:DK131"/>
    <mergeCell ref="DO130:DO131"/>
    <mergeCell ref="DQ130:DQ131"/>
    <mergeCell ref="DV130:DV131"/>
    <mergeCell ref="CM128:CM131"/>
    <mergeCell ref="CN128:CN131"/>
    <mergeCell ref="CO128:CO129"/>
    <mergeCell ref="CP128:CP129"/>
    <mergeCell ref="CR128:CR129"/>
    <mergeCell ref="CS128:CS129"/>
    <mergeCell ref="CT128:CT129"/>
    <mergeCell ref="CU128:CU129"/>
    <mergeCell ref="CV128:CV129"/>
    <mergeCell ref="CW128:CW129"/>
    <mergeCell ref="CX128:CX131"/>
    <mergeCell ref="CY128:CY131"/>
    <mergeCell ref="DE130:DE131"/>
    <mergeCell ref="DF130:DF131"/>
    <mergeCell ref="DG130:DG131"/>
    <mergeCell ref="DW128:DW131"/>
    <mergeCell ref="FK128:FK129"/>
    <mergeCell ref="IF125:IF126"/>
    <mergeCell ref="IH125:IH126"/>
    <mergeCell ref="EX123:EX124"/>
    <mergeCell ref="EY123:EY124"/>
    <mergeCell ref="EZ123:EZ126"/>
    <mergeCell ref="FB123:FB124"/>
    <mergeCell ref="E126:F126"/>
    <mergeCell ref="G126:L126"/>
    <mergeCell ref="P126:R126"/>
    <mergeCell ref="U126:AA126"/>
    <mergeCell ref="AF126:AI126"/>
    <mergeCell ref="FD123:FD126"/>
    <mergeCell ref="FE123:FE126"/>
    <mergeCell ref="E127:AT127"/>
    <mergeCell ref="B128:B131"/>
    <mergeCell ref="C128:D131"/>
    <mergeCell ref="E128:F128"/>
    <mergeCell ref="G128:R128"/>
    <mergeCell ref="S128:S129"/>
    <mergeCell ref="U128:AA128"/>
    <mergeCell ref="AF128:AI128"/>
    <mergeCell ref="AJ128:AJ129"/>
    <mergeCell ref="AK128:AK129"/>
    <mergeCell ref="AL128:AL129"/>
    <mergeCell ref="AM128:AN131"/>
    <mergeCell ref="AO128:AQ131"/>
    <mergeCell ref="AR128:AR131"/>
    <mergeCell ref="AS128:AS131"/>
    <mergeCell ref="AT128:AT131"/>
    <mergeCell ref="E130:F130"/>
    <mergeCell ref="G130:L130"/>
    <mergeCell ref="P130:Q130"/>
    <mergeCell ref="S130:S131"/>
    <mergeCell ref="P125:Q125"/>
    <mergeCell ref="S125:S126"/>
    <mergeCell ref="AF125:AI125"/>
    <mergeCell ref="AJ125:AJ126"/>
    <mergeCell ref="AK125:AK126"/>
    <mergeCell ref="AL125:AL126"/>
    <mergeCell ref="DF128:DF129"/>
    <mergeCell ref="DG128:DG129"/>
    <mergeCell ref="DH128:DH131"/>
    <mergeCell ref="DJ128:DJ129"/>
    <mergeCell ref="DL128:DL131"/>
    <mergeCell ref="DN128:DN131"/>
    <mergeCell ref="DO128:DO129"/>
    <mergeCell ref="DP128:DP131"/>
    <mergeCell ref="DQ128:DQ129"/>
    <mergeCell ref="DR128:DR131"/>
    <mergeCell ref="DS128:DS131"/>
    <mergeCell ref="DU128:DU131"/>
    <mergeCell ref="DV128:DV129"/>
    <mergeCell ref="GI124:GI125"/>
    <mergeCell ref="GJ124:GJ125"/>
    <mergeCell ref="GL124:GL125"/>
    <mergeCell ref="GM124:GM125"/>
    <mergeCell ref="HC124:HC125"/>
    <mergeCell ref="HD124:HD125"/>
    <mergeCell ref="HE124:HE125"/>
    <mergeCell ref="HQ124:HQ125"/>
    <mergeCell ref="HR124:HR125"/>
    <mergeCell ref="HS124:HS125"/>
    <mergeCell ref="HT124:HT125"/>
    <mergeCell ref="HU124:HU125"/>
    <mergeCell ref="HY124:HY125"/>
    <mergeCell ref="E125:F125"/>
    <mergeCell ref="G125:L125"/>
    <mergeCell ref="FW123:FW126"/>
    <mergeCell ref="FX123:FX126"/>
    <mergeCell ref="FY123:FY126"/>
    <mergeCell ref="FZ123:FZ126"/>
    <mergeCell ref="GA123:GA126"/>
    <mergeCell ref="GB123:GB126"/>
    <mergeCell ref="GC123:GC126"/>
    <mergeCell ref="GD123:GD126"/>
    <mergeCell ref="GG123:GG126"/>
    <mergeCell ref="HW123:HW125"/>
    <mergeCell ref="HX123:HX124"/>
    <mergeCell ref="HX125:HX126"/>
    <mergeCell ref="FI123:FI124"/>
    <mergeCell ref="FJ123:FJ124"/>
    <mergeCell ref="FK123:FK124"/>
    <mergeCell ref="FL123:FL124"/>
    <mergeCell ref="FM123:FM124"/>
    <mergeCell ref="FO123:FO124"/>
    <mergeCell ref="FP123:FP124"/>
    <mergeCell ref="FQ123:FQ124"/>
    <mergeCell ref="FR123:FR124"/>
    <mergeCell ref="FS123:FS124"/>
    <mergeCell ref="FT123:FT124"/>
    <mergeCell ref="EX125:EX126"/>
    <mergeCell ref="EY125:EY126"/>
    <mergeCell ref="FB125:FB126"/>
    <mergeCell ref="FI125:FI126"/>
    <mergeCell ref="FJ125:FJ126"/>
    <mergeCell ref="FK125:FK126"/>
    <mergeCell ref="FL125:FL126"/>
    <mergeCell ref="FM125:FM126"/>
    <mergeCell ref="FO125:FO126"/>
    <mergeCell ref="FP125:FP126"/>
    <mergeCell ref="FQ125:FQ126"/>
    <mergeCell ref="FR125:FR126"/>
    <mergeCell ref="FS125:FS126"/>
    <mergeCell ref="FT125:FT126"/>
    <mergeCell ref="EE123:EE126"/>
    <mergeCell ref="EF123:EF126"/>
    <mergeCell ref="EG123:EG126"/>
    <mergeCell ref="EH123:EH126"/>
    <mergeCell ref="EI123:EI126"/>
    <mergeCell ref="EJ123:EJ126"/>
    <mergeCell ref="EK123:EK126"/>
    <mergeCell ref="EL123:EL126"/>
    <mergeCell ref="EM123:EM126"/>
    <mergeCell ref="DV125:DV126"/>
    <mergeCell ref="CP123:CP124"/>
    <mergeCell ref="CR123:CR124"/>
    <mergeCell ref="CS123:CS124"/>
    <mergeCell ref="CT123:CT124"/>
    <mergeCell ref="CU123:CU124"/>
    <mergeCell ref="CV123:CV124"/>
    <mergeCell ref="CW123:CW124"/>
    <mergeCell ref="CX123:CX126"/>
    <mergeCell ref="CY123:CY126"/>
    <mergeCell ref="HK124:HK125"/>
    <mergeCell ref="HL124:HL125"/>
    <mergeCell ref="HM124:HM125"/>
    <mergeCell ref="HN124:HN125"/>
    <mergeCell ref="HO124:HO125"/>
    <mergeCell ref="HP124:HP125"/>
    <mergeCell ref="HL119:HL120"/>
    <mergeCell ref="HM119:HM120"/>
    <mergeCell ref="FT118:FT119"/>
    <mergeCell ref="FW118:FW121"/>
    <mergeCell ref="FX118:FX121"/>
    <mergeCell ref="FY118:FY121"/>
    <mergeCell ref="FB120:FB121"/>
    <mergeCell ref="FI120:FI121"/>
    <mergeCell ref="FJ120:FJ121"/>
    <mergeCell ref="FK120:FK121"/>
    <mergeCell ref="FL120:FL121"/>
    <mergeCell ref="FM120:FM121"/>
    <mergeCell ref="FO120:FO121"/>
    <mergeCell ref="FP120:FP121"/>
    <mergeCell ref="FQ120:FQ121"/>
    <mergeCell ref="FR120:FR121"/>
    <mergeCell ref="FS120:FS121"/>
    <mergeCell ref="FT120:FT121"/>
    <mergeCell ref="EH118:EH121"/>
    <mergeCell ref="EI118:EI121"/>
    <mergeCell ref="EJ118:EJ121"/>
    <mergeCell ref="HN119:HN120"/>
    <mergeCell ref="HO119:HO120"/>
    <mergeCell ref="HP119:HP120"/>
    <mergeCell ref="EK118:EK121"/>
    <mergeCell ref="EL118:EL121"/>
    <mergeCell ref="EM118:EM121"/>
    <mergeCell ref="EN118:EN121"/>
    <mergeCell ref="EO118:EO121"/>
    <mergeCell ref="EP118:EP121"/>
    <mergeCell ref="EQ118:EQ121"/>
    <mergeCell ref="HC119:HC120"/>
    <mergeCell ref="HD119:HD120"/>
    <mergeCell ref="HE119:HE120"/>
    <mergeCell ref="HF119:HF120"/>
    <mergeCell ref="HG119:HG120"/>
    <mergeCell ref="HH119:HH120"/>
    <mergeCell ref="HI119:HI120"/>
    <mergeCell ref="HJ119:HJ120"/>
    <mergeCell ref="FB118:FB119"/>
    <mergeCell ref="FD118:FD121"/>
    <mergeCell ref="FE118:FE121"/>
    <mergeCell ref="FI118:FI119"/>
    <mergeCell ref="FJ118:FJ119"/>
    <mergeCell ref="FK118:FK119"/>
    <mergeCell ref="FL118:FL119"/>
    <mergeCell ref="FM118:FM119"/>
    <mergeCell ref="FO118:FO119"/>
    <mergeCell ref="FP118:FP119"/>
    <mergeCell ref="FQ118:FQ119"/>
    <mergeCell ref="FR118:FR119"/>
    <mergeCell ref="HJ124:HJ125"/>
    <mergeCell ref="EY120:EY121"/>
    <mergeCell ref="HG124:HG125"/>
    <mergeCell ref="HH124:HH125"/>
    <mergeCell ref="HI124:HI125"/>
    <mergeCell ref="DN118:DN121"/>
    <mergeCell ref="DO118:DO119"/>
    <mergeCell ref="DP118:DP121"/>
    <mergeCell ref="DQ118:DQ119"/>
    <mergeCell ref="DR118:DR121"/>
    <mergeCell ref="DS118:DS121"/>
    <mergeCell ref="DU118:DU121"/>
    <mergeCell ref="DV118:DV119"/>
    <mergeCell ref="DW118:DW121"/>
    <mergeCell ref="DX118:DX121"/>
    <mergeCell ref="DZ118:DZ121"/>
    <mergeCell ref="EA118:EA121"/>
    <mergeCell ref="EC118:EC121"/>
    <mergeCell ref="ED118:ED121"/>
    <mergeCell ref="EE118:EE121"/>
    <mergeCell ref="EF118:EF121"/>
    <mergeCell ref="EG118:EG121"/>
    <mergeCell ref="DO120:DO121"/>
    <mergeCell ref="DQ120:DQ121"/>
    <mergeCell ref="DV120:DV121"/>
    <mergeCell ref="CZ123:CZ126"/>
    <mergeCell ref="DA123:DA126"/>
    <mergeCell ref="DC123:DC124"/>
    <mergeCell ref="DD123:DD124"/>
    <mergeCell ref="DE123:DE124"/>
    <mergeCell ref="DF123:DF124"/>
    <mergeCell ref="DG123:DG124"/>
    <mergeCell ref="DC125:DC126"/>
    <mergeCell ref="DD125:DD126"/>
    <mergeCell ref="DE125:DE126"/>
    <mergeCell ref="DF125:DF126"/>
    <mergeCell ref="DG125:DG126"/>
    <mergeCell ref="HF124:HF125"/>
    <mergeCell ref="B123:B126"/>
    <mergeCell ref="C123:D126"/>
    <mergeCell ref="E123:F123"/>
    <mergeCell ref="G123:R123"/>
    <mergeCell ref="S123:S124"/>
    <mergeCell ref="U123:AA123"/>
    <mergeCell ref="AF123:AI123"/>
    <mergeCell ref="AJ123:AJ124"/>
    <mergeCell ref="AK123:AK124"/>
    <mergeCell ref="AL123:AL124"/>
    <mergeCell ref="AM123:AN126"/>
    <mergeCell ref="AO123:AQ126"/>
    <mergeCell ref="AR123:AR126"/>
    <mergeCell ref="AS123:AS126"/>
    <mergeCell ref="AT123:AT126"/>
    <mergeCell ref="AV123:AV126"/>
    <mergeCell ref="AW123:AW126"/>
    <mergeCell ref="CM123:CM126"/>
    <mergeCell ref="CN123:CN126"/>
    <mergeCell ref="E124:F124"/>
    <mergeCell ref="G124:L124"/>
    <mergeCell ref="P124:Q124"/>
    <mergeCell ref="AF124:AI124"/>
    <mergeCell ref="EQ123:EQ126"/>
    <mergeCell ref="ES123:ES126"/>
    <mergeCell ref="EU123:EU124"/>
    <mergeCell ref="EV123:EV124"/>
    <mergeCell ref="EW123:EW124"/>
    <mergeCell ref="EU125:EU126"/>
    <mergeCell ref="EV125:EV126"/>
    <mergeCell ref="EN123:EN126"/>
    <mergeCell ref="EO123:EO126"/>
    <mergeCell ref="EP123:EP126"/>
    <mergeCell ref="DW123:DW126"/>
    <mergeCell ref="DX123:DX126"/>
    <mergeCell ref="DZ123:DZ126"/>
    <mergeCell ref="EA123:EA126"/>
    <mergeCell ref="EC123:EC126"/>
    <mergeCell ref="ED123:ED126"/>
    <mergeCell ref="DK125:DK126"/>
    <mergeCell ref="DO125:DO126"/>
    <mergeCell ref="DQ125:DQ126"/>
    <mergeCell ref="EW125:EW126"/>
    <mergeCell ref="CO123:CO124"/>
    <mergeCell ref="CW125:CW126"/>
    <mergeCell ref="HQ119:HQ120"/>
    <mergeCell ref="HR119:HR120"/>
    <mergeCell ref="HS119:HS120"/>
    <mergeCell ref="HT119:HT120"/>
    <mergeCell ref="E120:F120"/>
    <mergeCell ref="G120:L120"/>
    <mergeCell ref="P120:Q120"/>
    <mergeCell ref="S120:S121"/>
    <mergeCell ref="AF120:AI120"/>
    <mergeCell ref="AJ120:AJ121"/>
    <mergeCell ref="AK120:AK121"/>
    <mergeCell ref="AL120:AL121"/>
    <mergeCell ref="CO120:CO121"/>
    <mergeCell ref="CP120:CP121"/>
    <mergeCell ref="CR120:CR121"/>
    <mergeCell ref="CS120:CS121"/>
    <mergeCell ref="CT120:CT121"/>
    <mergeCell ref="CU120:CU121"/>
    <mergeCell ref="CV120:CV121"/>
    <mergeCell ref="CW120:CW121"/>
    <mergeCell ref="DH123:DH126"/>
    <mergeCell ref="DJ123:DJ124"/>
    <mergeCell ref="DL123:DL126"/>
    <mergeCell ref="DN123:DN126"/>
    <mergeCell ref="DO123:DO124"/>
    <mergeCell ref="DP123:DP126"/>
    <mergeCell ref="DQ123:DQ124"/>
    <mergeCell ref="DR123:DR126"/>
    <mergeCell ref="DS123:DS126"/>
    <mergeCell ref="DU123:DU126"/>
    <mergeCell ref="DV123:DV124"/>
    <mergeCell ref="E119:F119"/>
    <mergeCell ref="G119:L119"/>
    <mergeCell ref="P119:Q119"/>
    <mergeCell ref="AF119:AI119"/>
    <mergeCell ref="GI119:GI120"/>
    <mergeCell ref="GJ119:GJ120"/>
    <mergeCell ref="GL119:GL120"/>
    <mergeCell ref="GM119:GM120"/>
    <mergeCell ref="DF118:DF119"/>
    <mergeCell ref="DG118:DG119"/>
    <mergeCell ref="DH118:DH121"/>
    <mergeCell ref="DJ118:DJ119"/>
    <mergeCell ref="DL118:DL121"/>
    <mergeCell ref="DC120:DC121"/>
    <mergeCell ref="DD120:DD121"/>
    <mergeCell ref="DE120:DE121"/>
    <mergeCell ref="DF120:DF121"/>
    <mergeCell ref="DG120:DG121"/>
    <mergeCell ref="DK120:DK121"/>
    <mergeCell ref="FS118:FS119"/>
    <mergeCell ref="ES118:ES121"/>
    <mergeCell ref="EU118:EU119"/>
    <mergeCell ref="EV118:EV119"/>
    <mergeCell ref="EW118:EW119"/>
    <mergeCell ref="EX118:EX119"/>
    <mergeCell ref="EY118:EY119"/>
    <mergeCell ref="EZ118:EZ121"/>
    <mergeCell ref="EU120:EU121"/>
    <mergeCell ref="EV120:EV121"/>
    <mergeCell ref="EW120:EW121"/>
    <mergeCell ref="EX120:EX121"/>
    <mergeCell ref="E121:F121"/>
    <mergeCell ref="G121:L121"/>
    <mergeCell ref="IH115:IH116"/>
    <mergeCell ref="E116:F116"/>
    <mergeCell ref="G116:L116"/>
    <mergeCell ref="P116:R116"/>
    <mergeCell ref="U116:AA116"/>
    <mergeCell ref="AF116:AI116"/>
    <mergeCell ref="E117:AT117"/>
    <mergeCell ref="CT115:CT116"/>
    <mergeCell ref="HP114:HP115"/>
    <mergeCell ref="HQ114:HQ115"/>
    <mergeCell ref="HR114:HR115"/>
    <mergeCell ref="HS114:HS115"/>
    <mergeCell ref="HT114:HT115"/>
    <mergeCell ref="HU114:HU115"/>
    <mergeCell ref="HY114:HY115"/>
    <mergeCell ref="FS113:FS114"/>
    <mergeCell ref="FT113:FT114"/>
    <mergeCell ref="FW113:FW116"/>
    <mergeCell ref="FX113:FX116"/>
    <mergeCell ref="FY113:FY116"/>
    <mergeCell ref="FZ113:FZ116"/>
    <mergeCell ref="GA113:GA116"/>
    <mergeCell ref="GB113:GB116"/>
    <mergeCell ref="GC113:GC116"/>
    <mergeCell ref="GD113:GD116"/>
    <mergeCell ref="GG113:GG116"/>
    <mergeCell ref="HW113:HW115"/>
    <mergeCell ref="HX113:HX114"/>
    <mergeCell ref="IA113:IA116"/>
    <mergeCell ref="IB113:IB114"/>
    <mergeCell ref="IC113:IC116"/>
    <mergeCell ref="IF113:IF114"/>
    <mergeCell ref="FS115:FS116"/>
    <mergeCell ref="FT115:FT116"/>
    <mergeCell ref="HX115:HX116"/>
    <mergeCell ref="IB115:IB116"/>
    <mergeCell ref="IF115:IF116"/>
    <mergeCell ref="EV113:EV114"/>
    <mergeCell ref="EW113:EW114"/>
    <mergeCell ref="EX113:EX114"/>
    <mergeCell ref="EY113:EY114"/>
    <mergeCell ref="EZ113:EZ116"/>
    <mergeCell ref="FB113:FB114"/>
    <mergeCell ref="FD113:FD116"/>
    <mergeCell ref="FE113:FE116"/>
    <mergeCell ref="FI113:FI114"/>
    <mergeCell ref="FJ113:FJ114"/>
    <mergeCell ref="FK113:FK114"/>
    <mergeCell ref="FL113:FL114"/>
    <mergeCell ref="FM113:FM114"/>
    <mergeCell ref="FO113:FO114"/>
    <mergeCell ref="FP113:FP114"/>
    <mergeCell ref="FQ113:FQ114"/>
    <mergeCell ref="FR113:FR114"/>
    <mergeCell ref="EV115:EV116"/>
    <mergeCell ref="EW115:EW116"/>
    <mergeCell ref="EX115:EX116"/>
    <mergeCell ref="EY115:EY116"/>
    <mergeCell ref="FB115:FB116"/>
    <mergeCell ref="FI115:FI116"/>
    <mergeCell ref="FJ115:FJ116"/>
    <mergeCell ref="FK115:FK116"/>
    <mergeCell ref="FL115:FL116"/>
    <mergeCell ref="FM115:FM116"/>
    <mergeCell ref="B118:B121"/>
    <mergeCell ref="C118:D121"/>
    <mergeCell ref="E118:F118"/>
    <mergeCell ref="G118:R118"/>
    <mergeCell ref="S118:S119"/>
    <mergeCell ref="U118:AA118"/>
    <mergeCell ref="AF118:AI118"/>
    <mergeCell ref="AJ118:AJ119"/>
    <mergeCell ref="AK118:AK119"/>
    <mergeCell ref="AL118:AL119"/>
    <mergeCell ref="AM118:AN121"/>
    <mergeCell ref="AO118:AQ121"/>
    <mergeCell ref="AR118:AR121"/>
    <mergeCell ref="AS118:AS121"/>
    <mergeCell ref="AT118:AT121"/>
    <mergeCell ref="AV118:AV121"/>
    <mergeCell ref="AW118:AW121"/>
    <mergeCell ref="CM118:CM121"/>
    <mergeCell ref="CN118:CN121"/>
    <mergeCell ref="CO118:CO119"/>
    <mergeCell ref="CP118:CP119"/>
    <mergeCell ref="CR118:CR119"/>
    <mergeCell ref="AF115:AI115"/>
    <mergeCell ref="AJ115:AJ116"/>
    <mergeCell ref="AK115:AK116"/>
    <mergeCell ref="AL115:AL116"/>
    <mergeCell ref="CO115:CO116"/>
    <mergeCell ref="CP115:CP116"/>
    <mergeCell ref="CR115:CR116"/>
    <mergeCell ref="CS115:CS116"/>
    <mergeCell ref="CM113:CM116"/>
    <mergeCell ref="CN113:CN116"/>
    <mergeCell ref="CO113:CO114"/>
    <mergeCell ref="CP113:CP114"/>
    <mergeCell ref="CR113:CR114"/>
    <mergeCell ref="CS113:CS114"/>
    <mergeCell ref="P121:R121"/>
    <mergeCell ref="U121:AA121"/>
    <mergeCell ref="AF121:AI121"/>
    <mergeCell ref="FO115:FO116"/>
    <mergeCell ref="FP115:FP116"/>
    <mergeCell ref="FQ115:FQ116"/>
    <mergeCell ref="FR115:FR116"/>
    <mergeCell ref="EC113:EC116"/>
    <mergeCell ref="ED113:ED116"/>
    <mergeCell ref="EE113:EE116"/>
    <mergeCell ref="EF113:EF116"/>
    <mergeCell ref="EG113:EG116"/>
    <mergeCell ref="EH113:EH116"/>
    <mergeCell ref="EI113:EI116"/>
    <mergeCell ref="EJ113:EJ116"/>
    <mergeCell ref="EK113:EK116"/>
    <mergeCell ref="EL113:EL116"/>
    <mergeCell ref="EM113:EM116"/>
    <mergeCell ref="EN113:EN116"/>
    <mergeCell ref="EO113:EO116"/>
    <mergeCell ref="EP113:EP116"/>
    <mergeCell ref="EQ113:EQ116"/>
    <mergeCell ref="ES113:ES116"/>
    <mergeCell ref="EU113:EU114"/>
    <mergeCell ref="EU115:EU116"/>
    <mergeCell ref="DF113:DF114"/>
    <mergeCell ref="DG113:DG114"/>
    <mergeCell ref="DH113:DH116"/>
    <mergeCell ref="DJ113:DJ114"/>
    <mergeCell ref="DL113:DL116"/>
    <mergeCell ref="DN113:DN116"/>
    <mergeCell ref="DO113:DO114"/>
    <mergeCell ref="DP113:DP116"/>
    <mergeCell ref="DQ113:DQ114"/>
    <mergeCell ref="DR113:DR116"/>
    <mergeCell ref="DS113:DS116"/>
    <mergeCell ref="DU113:DU116"/>
    <mergeCell ref="DV113:DV114"/>
    <mergeCell ref="DW113:DW116"/>
    <mergeCell ref="DX113:DX116"/>
    <mergeCell ref="DZ113:DZ116"/>
    <mergeCell ref="EA113:EA116"/>
    <mergeCell ref="DK115:DK116"/>
    <mergeCell ref="DO115:DO116"/>
    <mergeCell ref="DQ115:DQ116"/>
    <mergeCell ref="DV115:DV116"/>
    <mergeCell ref="DF115:DF116"/>
    <mergeCell ref="DG115:DG116"/>
    <mergeCell ref="B108:B111"/>
    <mergeCell ref="C108:D111"/>
    <mergeCell ref="E108:F108"/>
    <mergeCell ref="G108:R108"/>
    <mergeCell ref="S108:S109"/>
    <mergeCell ref="U108:AA108"/>
    <mergeCell ref="AF108:AI108"/>
    <mergeCell ref="AJ108:AJ109"/>
    <mergeCell ref="AK108:AK109"/>
    <mergeCell ref="AL108:AL109"/>
    <mergeCell ref="AM108:AN111"/>
    <mergeCell ref="AO108:AQ111"/>
    <mergeCell ref="AR108:AR111"/>
    <mergeCell ref="AS108:AS111"/>
    <mergeCell ref="AT108:AT111"/>
    <mergeCell ref="E114:F114"/>
    <mergeCell ref="G114:L114"/>
    <mergeCell ref="P114:Q114"/>
    <mergeCell ref="AF114:AI114"/>
    <mergeCell ref="E109:F109"/>
    <mergeCell ref="G109:L109"/>
    <mergeCell ref="P109:Q109"/>
    <mergeCell ref="AF109:AI109"/>
    <mergeCell ref="CT113:CT114"/>
    <mergeCell ref="CU113:CU114"/>
    <mergeCell ref="CV113:CV114"/>
    <mergeCell ref="CW113:CW114"/>
    <mergeCell ref="P110:Q110"/>
    <mergeCell ref="S110:S111"/>
    <mergeCell ref="CU108:CU109"/>
    <mergeCell ref="CV108:CV109"/>
    <mergeCell ref="CW108:CW109"/>
    <mergeCell ref="CM108:CM111"/>
    <mergeCell ref="CN108:CN111"/>
    <mergeCell ref="E112:AT112"/>
    <mergeCell ref="B113:B116"/>
    <mergeCell ref="C113:D116"/>
    <mergeCell ref="E113:F113"/>
    <mergeCell ref="G113:R113"/>
    <mergeCell ref="S113:S114"/>
    <mergeCell ref="U113:AA113"/>
    <mergeCell ref="AF113:AI113"/>
    <mergeCell ref="AJ113:AJ114"/>
    <mergeCell ref="AK113:AK114"/>
    <mergeCell ref="AL113:AL114"/>
    <mergeCell ref="AM113:AN116"/>
    <mergeCell ref="AO113:AQ116"/>
    <mergeCell ref="AR113:AR116"/>
    <mergeCell ref="AS113:AS116"/>
    <mergeCell ref="AT113:AT116"/>
    <mergeCell ref="E115:F115"/>
    <mergeCell ref="G115:L115"/>
    <mergeCell ref="P115:Q115"/>
    <mergeCell ref="S115:S116"/>
    <mergeCell ref="GI109:GI110"/>
    <mergeCell ref="GJ109:GJ110"/>
    <mergeCell ref="GL109:GL110"/>
    <mergeCell ref="GM109:GM110"/>
    <mergeCell ref="HC109:HC110"/>
    <mergeCell ref="HD109:HD110"/>
    <mergeCell ref="HE109:HE110"/>
    <mergeCell ref="HF109:HF110"/>
    <mergeCell ref="HG109:HG110"/>
    <mergeCell ref="HH109:HH110"/>
    <mergeCell ref="HI109:HI110"/>
    <mergeCell ref="HJ109:HJ110"/>
    <mergeCell ref="HK109:HK110"/>
    <mergeCell ref="HL109:HL110"/>
    <mergeCell ref="HM109:HM110"/>
    <mergeCell ref="HN109:HN110"/>
    <mergeCell ref="HO109:HO110"/>
    <mergeCell ref="HP109:HP110"/>
    <mergeCell ref="HQ109:HQ110"/>
    <mergeCell ref="HR109:HR110"/>
    <mergeCell ref="HS109:HS110"/>
    <mergeCell ref="HT109:HT110"/>
    <mergeCell ref="HU109:HU110"/>
    <mergeCell ref="HY109:HY110"/>
    <mergeCell ref="E110:F110"/>
    <mergeCell ref="G110:L110"/>
    <mergeCell ref="FW108:FW111"/>
    <mergeCell ref="FX108:FX111"/>
    <mergeCell ref="FY108:FY111"/>
    <mergeCell ref="FZ108:FZ111"/>
    <mergeCell ref="GA108:GA111"/>
    <mergeCell ref="GB108:GB111"/>
    <mergeCell ref="GC108:GC111"/>
    <mergeCell ref="GD108:GD111"/>
    <mergeCell ref="GG108:GG111"/>
    <mergeCell ref="HW108:HW110"/>
    <mergeCell ref="HX108:HX109"/>
    <mergeCell ref="HX110:HX111"/>
    <mergeCell ref="E111:F111"/>
    <mergeCell ref="G111:L111"/>
    <mergeCell ref="P111:R111"/>
    <mergeCell ref="U111:AA111"/>
    <mergeCell ref="AF111:AI111"/>
    <mergeCell ref="EX108:EX109"/>
    <mergeCell ref="EY108:EY109"/>
    <mergeCell ref="EZ108:EZ111"/>
    <mergeCell ref="FB108:FB109"/>
    <mergeCell ref="FD108:FD111"/>
    <mergeCell ref="FE108:FE111"/>
    <mergeCell ref="DC108:DC109"/>
    <mergeCell ref="DD108:DD109"/>
    <mergeCell ref="DE108:DE109"/>
    <mergeCell ref="DF108:DF109"/>
    <mergeCell ref="DG108:DG109"/>
    <mergeCell ref="DF110:DF111"/>
    <mergeCell ref="DG110:DG111"/>
    <mergeCell ref="CO110:CO111"/>
    <mergeCell ref="CP110:CP111"/>
    <mergeCell ref="CR110:CR111"/>
    <mergeCell ref="CS110:CS111"/>
    <mergeCell ref="CT110:CT111"/>
    <mergeCell ref="CU110:CU111"/>
    <mergeCell ref="CV110:CV111"/>
    <mergeCell ref="CW110:CW111"/>
    <mergeCell ref="FT108:FT109"/>
    <mergeCell ref="EX110:EX111"/>
    <mergeCell ref="EY110:EY111"/>
    <mergeCell ref="FB110:FB111"/>
    <mergeCell ref="FI110:FI111"/>
    <mergeCell ref="FJ110:FJ111"/>
    <mergeCell ref="FK110:FK111"/>
    <mergeCell ref="FL110:FL111"/>
    <mergeCell ref="FM110:FM111"/>
    <mergeCell ref="FO110:FO111"/>
    <mergeCell ref="FP110:FP111"/>
    <mergeCell ref="FQ110:FQ111"/>
    <mergeCell ref="FR110:FR111"/>
    <mergeCell ref="FS110:FS111"/>
    <mergeCell ref="FT110:FT111"/>
    <mergeCell ref="EE108:EE111"/>
    <mergeCell ref="EF108:EF111"/>
    <mergeCell ref="EG108:EG111"/>
    <mergeCell ref="EH108:EH111"/>
    <mergeCell ref="EI108:EI111"/>
    <mergeCell ref="EJ108:EJ111"/>
    <mergeCell ref="EK108:EK111"/>
    <mergeCell ref="EL108:EL111"/>
    <mergeCell ref="EM108:EM111"/>
    <mergeCell ref="EN108:EN111"/>
    <mergeCell ref="EO108:EO111"/>
    <mergeCell ref="EP108:EP111"/>
    <mergeCell ref="EQ108:EQ111"/>
    <mergeCell ref="ES108:ES111"/>
    <mergeCell ref="EU108:EU109"/>
    <mergeCell ref="EV108:EV109"/>
    <mergeCell ref="EW108:EW109"/>
    <mergeCell ref="EU110:EU111"/>
    <mergeCell ref="EV110:EV111"/>
    <mergeCell ref="EW110:EW111"/>
    <mergeCell ref="DZ108:DZ111"/>
    <mergeCell ref="EA108:EA111"/>
    <mergeCell ref="EK103:EK106"/>
    <mergeCell ref="EC108:EC111"/>
    <mergeCell ref="ED108:ED111"/>
    <mergeCell ref="DK110:DK111"/>
    <mergeCell ref="DO110:DO111"/>
    <mergeCell ref="DQ110:DQ111"/>
    <mergeCell ref="DV110:DV111"/>
    <mergeCell ref="CO108:CO109"/>
    <mergeCell ref="CP108:CP109"/>
    <mergeCell ref="CR108:CR109"/>
    <mergeCell ref="CS108:CS109"/>
    <mergeCell ref="CT108:CT109"/>
    <mergeCell ref="CX108:CX111"/>
    <mergeCell ref="CY108:CY111"/>
    <mergeCell ref="CZ108:CZ111"/>
    <mergeCell ref="DA108:DA111"/>
    <mergeCell ref="DC110:DC111"/>
    <mergeCell ref="DD110:DD111"/>
    <mergeCell ref="DE110:DE111"/>
    <mergeCell ref="FI108:FI109"/>
    <mergeCell ref="FJ108:FJ109"/>
    <mergeCell ref="FK108:FK109"/>
    <mergeCell ref="DQ103:DQ104"/>
    <mergeCell ref="DJ103:DJ104"/>
    <mergeCell ref="FL108:FL109"/>
    <mergeCell ref="FM108:FM109"/>
    <mergeCell ref="FO108:FO109"/>
    <mergeCell ref="FP108:FP109"/>
    <mergeCell ref="FQ108:FQ109"/>
    <mergeCell ref="FR108:FR109"/>
    <mergeCell ref="FS108:FS109"/>
    <mergeCell ref="DX108:DX111"/>
    <mergeCell ref="DR103:DR106"/>
    <mergeCell ref="DS103:DS106"/>
    <mergeCell ref="DU103:DU106"/>
    <mergeCell ref="DV103:DV104"/>
    <mergeCell ref="DW103:DW106"/>
    <mergeCell ref="DN103:DN106"/>
    <mergeCell ref="DL108:DL111"/>
    <mergeCell ref="DN108:DN111"/>
    <mergeCell ref="DO108:DO109"/>
    <mergeCell ref="DP108:DP111"/>
    <mergeCell ref="DQ108:DQ109"/>
    <mergeCell ref="DR108:DR111"/>
    <mergeCell ref="DS108:DS111"/>
    <mergeCell ref="DU108:DU111"/>
    <mergeCell ref="DV108:DV109"/>
    <mergeCell ref="DL103:DL106"/>
    <mergeCell ref="DC105:DC106"/>
    <mergeCell ref="DD105:DD106"/>
    <mergeCell ref="DE105:DE106"/>
    <mergeCell ref="DF105:DF106"/>
    <mergeCell ref="DG105:DG106"/>
    <mergeCell ref="DK105:DK106"/>
    <mergeCell ref="DO103:DO104"/>
    <mergeCell ref="DP103:DP106"/>
    <mergeCell ref="IF103:IF104"/>
    <mergeCell ref="IG103:IG106"/>
    <mergeCell ref="IH103:IH104"/>
    <mergeCell ref="II103:II106"/>
    <mergeCell ref="E104:F104"/>
    <mergeCell ref="G104:L104"/>
    <mergeCell ref="P104:Q104"/>
    <mergeCell ref="AF104:AI104"/>
    <mergeCell ref="GI104:GI105"/>
    <mergeCell ref="GJ104:GJ105"/>
    <mergeCell ref="GL104:GL105"/>
    <mergeCell ref="GM104:GM105"/>
    <mergeCell ref="HC104:HC105"/>
    <mergeCell ref="HD104:HD105"/>
    <mergeCell ref="HE104:HE105"/>
    <mergeCell ref="HF104:HF105"/>
    <mergeCell ref="HG104:HG105"/>
    <mergeCell ref="HH104:HH105"/>
    <mergeCell ref="HI104:HI105"/>
    <mergeCell ref="HJ104:HJ105"/>
    <mergeCell ref="FB103:FB104"/>
    <mergeCell ref="FD103:FD106"/>
    <mergeCell ref="FE103:FE106"/>
    <mergeCell ref="FI103:FI104"/>
    <mergeCell ref="FJ103:FJ104"/>
    <mergeCell ref="FK103:FK104"/>
    <mergeCell ref="FL103:FL104"/>
    <mergeCell ref="FM103:FM104"/>
    <mergeCell ref="FO103:FO104"/>
    <mergeCell ref="FP103:FP104"/>
    <mergeCell ref="FQ103:FQ104"/>
    <mergeCell ref="FR103:FR104"/>
    <mergeCell ref="FS103:FS104"/>
    <mergeCell ref="FT103:FT104"/>
    <mergeCell ref="FW103:FW106"/>
    <mergeCell ref="FX103:FX106"/>
    <mergeCell ref="FY103:FY106"/>
    <mergeCell ref="FB105:FB106"/>
    <mergeCell ref="FI105:FI106"/>
    <mergeCell ref="FJ105:FJ106"/>
    <mergeCell ref="EF103:EF106"/>
    <mergeCell ref="EG103:EG106"/>
    <mergeCell ref="DO105:DO106"/>
    <mergeCell ref="DQ105:DQ106"/>
    <mergeCell ref="DV105:DV106"/>
    <mergeCell ref="IF105:IF106"/>
    <mergeCell ref="IH105:IH106"/>
    <mergeCell ref="E106:F106"/>
    <mergeCell ref="G106:L106"/>
    <mergeCell ref="P106:R106"/>
    <mergeCell ref="ED103:ED106"/>
    <mergeCell ref="DX103:DX106"/>
    <mergeCell ref="DZ103:DZ106"/>
    <mergeCell ref="EA103:EA106"/>
    <mergeCell ref="EC103:EC106"/>
    <mergeCell ref="EE103:EE106"/>
    <mergeCell ref="EH103:EH106"/>
    <mergeCell ref="EI103:EI106"/>
    <mergeCell ref="EJ103:EJ106"/>
    <mergeCell ref="DE103:DE104"/>
    <mergeCell ref="DF103:DF104"/>
    <mergeCell ref="DG103:DG104"/>
    <mergeCell ref="DH103:DH106"/>
    <mergeCell ref="HK104:HK105"/>
    <mergeCell ref="FJ72:FJ73"/>
    <mergeCell ref="FK72:FK73"/>
    <mergeCell ref="FP72:FP73"/>
    <mergeCell ref="FQ72:FQ73"/>
    <mergeCell ref="EW98:EW99"/>
    <mergeCell ref="EX98:EX99"/>
    <mergeCell ref="EY98:EY99"/>
    <mergeCell ref="B103:B106"/>
    <mergeCell ref="C103:D106"/>
    <mergeCell ref="E103:F103"/>
    <mergeCell ref="G103:R103"/>
    <mergeCell ref="S103:S104"/>
    <mergeCell ref="U103:AA103"/>
    <mergeCell ref="AF103:AI103"/>
    <mergeCell ref="AJ103:AJ104"/>
    <mergeCell ref="AK103:AK104"/>
    <mergeCell ref="AL103:AL104"/>
    <mergeCell ref="AM103:AN106"/>
    <mergeCell ref="AO103:AQ106"/>
    <mergeCell ref="AR103:AR106"/>
    <mergeCell ref="AS103:AS106"/>
    <mergeCell ref="AT103:AT106"/>
    <mergeCell ref="AV103:AV106"/>
    <mergeCell ref="AW103:AW106"/>
    <mergeCell ref="CM103:CM106"/>
    <mergeCell ref="CN103:CN106"/>
    <mergeCell ref="CO103:CO104"/>
    <mergeCell ref="CP103:CP104"/>
    <mergeCell ref="CR103:CR104"/>
    <mergeCell ref="U106:AA106"/>
    <mergeCell ref="AF106:AI106"/>
    <mergeCell ref="CS103:CS104"/>
    <mergeCell ref="CT103:CT104"/>
    <mergeCell ref="CU103:CU104"/>
    <mergeCell ref="CV103:CV104"/>
    <mergeCell ref="CW103:CW104"/>
    <mergeCell ref="CX103:CX106"/>
    <mergeCell ref="CY103:CY106"/>
    <mergeCell ref="CZ103:CZ106"/>
    <mergeCell ref="DA103:DA106"/>
    <mergeCell ref="E105:F105"/>
    <mergeCell ref="G105:L105"/>
    <mergeCell ref="P105:Q105"/>
    <mergeCell ref="S105:S106"/>
    <mergeCell ref="AF105:AI105"/>
    <mergeCell ref="AJ105:AJ106"/>
    <mergeCell ref="AK105:AK106"/>
    <mergeCell ref="AL105:AL106"/>
    <mergeCell ref="CO105:CO106"/>
    <mergeCell ref="CP105:CP106"/>
    <mergeCell ref="CR105:CR106"/>
    <mergeCell ref="CS105:CS106"/>
    <mergeCell ref="CT105:CT106"/>
    <mergeCell ref="CU105:CU106"/>
    <mergeCell ref="CV105:CV106"/>
    <mergeCell ref="CW105:CW106"/>
    <mergeCell ref="AK100:AK101"/>
    <mergeCell ref="AL100:AL101"/>
    <mergeCell ref="CN85:CN88"/>
    <mergeCell ref="B85:B88"/>
    <mergeCell ref="C85:D88"/>
    <mergeCell ref="E85:F85"/>
    <mergeCell ref="EO70:EO73"/>
    <mergeCell ref="DL70:DL73"/>
    <mergeCell ref="GL99:GL100"/>
    <mergeCell ref="GM99:GM100"/>
    <mergeCell ref="HC99:HC100"/>
    <mergeCell ref="HD99:HD100"/>
    <mergeCell ref="HE99:HE100"/>
    <mergeCell ref="HF99:HF100"/>
    <mergeCell ref="HG99:HG100"/>
    <mergeCell ref="FT98:FT99"/>
    <mergeCell ref="FW98:FW101"/>
    <mergeCell ref="FX98:FX101"/>
    <mergeCell ref="FY98:FY101"/>
    <mergeCell ref="FZ98:FZ101"/>
    <mergeCell ref="GA98:GA101"/>
    <mergeCell ref="GB98:GB101"/>
    <mergeCell ref="GC98:GC101"/>
    <mergeCell ref="GD98:GD101"/>
    <mergeCell ref="GG98:GG101"/>
    <mergeCell ref="HW98:HW100"/>
    <mergeCell ref="EL103:EL106"/>
    <mergeCell ref="EM103:EM106"/>
    <mergeCell ref="EN103:EN106"/>
    <mergeCell ref="IB98:IB99"/>
    <mergeCell ref="IC98:IC101"/>
    <mergeCell ref="EO103:EO106"/>
    <mergeCell ref="EP103:EP106"/>
    <mergeCell ref="EQ103:EQ106"/>
    <mergeCell ref="ES103:ES106"/>
    <mergeCell ref="EU103:EU104"/>
    <mergeCell ref="EV103:EV104"/>
    <mergeCell ref="EW103:EW104"/>
    <mergeCell ref="EX103:EX104"/>
    <mergeCell ref="EY103:EY104"/>
    <mergeCell ref="EZ103:EZ106"/>
    <mergeCell ref="EU105:EU106"/>
    <mergeCell ref="EV105:EV106"/>
    <mergeCell ref="EW105:EW106"/>
    <mergeCell ref="EX105:EX106"/>
    <mergeCell ref="EY105:EY106"/>
    <mergeCell ref="FL105:FL106"/>
    <mergeCell ref="FM105:FM106"/>
    <mergeCell ref="FO105:FO106"/>
    <mergeCell ref="FP105:FP106"/>
    <mergeCell ref="FQ105:FQ106"/>
    <mergeCell ref="FR105:FR106"/>
    <mergeCell ref="FS105:FS106"/>
    <mergeCell ref="FT105:FT106"/>
    <mergeCell ref="HX105:HX106"/>
    <mergeCell ref="IB105:IB106"/>
    <mergeCell ref="FK105:FK106"/>
    <mergeCell ref="IC103:IC106"/>
    <mergeCell ref="HL104:HL105"/>
    <mergeCell ref="HM104:HM105"/>
    <mergeCell ref="HN104:HN105"/>
    <mergeCell ref="HO104:HO105"/>
    <mergeCell ref="HP104:HP105"/>
    <mergeCell ref="HQ104:HQ105"/>
    <mergeCell ref="HR104:HR105"/>
    <mergeCell ref="HS104:HS105"/>
    <mergeCell ref="HT104:HT105"/>
    <mergeCell ref="HU104:HU105"/>
    <mergeCell ref="EZ98:EZ101"/>
    <mergeCell ref="FB98:FB99"/>
    <mergeCell ref="FD98:FD101"/>
    <mergeCell ref="FE98:FE101"/>
    <mergeCell ref="II40:II43"/>
    <mergeCell ref="IG65:IG68"/>
    <mergeCell ref="II65:II68"/>
    <mergeCell ref="IF70:IF71"/>
    <mergeCell ref="IG70:IG73"/>
    <mergeCell ref="IH70:IH71"/>
    <mergeCell ref="II70:II73"/>
    <mergeCell ref="IF72:IF73"/>
    <mergeCell ref="IH72:IH73"/>
    <mergeCell ref="DG98:DG99"/>
    <mergeCell ref="DH98:DH101"/>
    <mergeCell ref="DJ98:DJ99"/>
    <mergeCell ref="DL98:DL101"/>
    <mergeCell ref="DN98:DN101"/>
    <mergeCell ref="DO98:DO99"/>
    <mergeCell ref="DP98:DP101"/>
    <mergeCell ref="DQ98:DQ99"/>
    <mergeCell ref="DR98:DR101"/>
    <mergeCell ref="DS98:DS101"/>
    <mergeCell ref="DU98:DU101"/>
    <mergeCell ref="DV98:DV99"/>
    <mergeCell ref="DW98:DW101"/>
    <mergeCell ref="DX98:DX101"/>
    <mergeCell ref="DZ98:DZ101"/>
    <mergeCell ref="EA98:EA101"/>
    <mergeCell ref="EC98:EC101"/>
    <mergeCell ref="DG100:DG101"/>
    <mergeCell ref="DK100:DK101"/>
    <mergeCell ref="DO100:DO101"/>
    <mergeCell ref="DQ100:DQ101"/>
    <mergeCell ref="DV100:DV101"/>
    <mergeCell ref="CV98:CV99"/>
    <mergeCell ref="CW98:CW99"/>
    <mergeCell ref="GA70:GA73"/>
    <mergeCell ref="HX72:HX73"/>
    <mergeCell ref="GB70:GB73"/>
    <mergeCell ref="GC70:GC73"/>
    <mergeCell ref="GD70:GD73"/>
    <mergeCell ref="IA40:IA43"/>
    <mergeCell ref="IA65:IA68"/>
    <mergeCell ref="IA70:IA73"/>
    <mergeCell ref="CV72:CV73"/>
    <mergeCell ref="HX70:HX71"/>
    <mergeCell ref="FR72:FR73"/>
    <mergeCell ref="FS72:FS73"/>
    <mergeCell ref="FT72:FT73"/>
    <mergeCell ref="EG70:EG73"/>
    <mergeCell ref="IF40:IF41"/>
    <mergeCell ref="IF42:IF43"/>
    <mergeCell ref="IF65:IF66"/>
    <mergeCell ref="IF67:IF68"/>
    <mergeCell ref="IH40:IH41"/>
    <mergeCell ref="IH42:IH43"/>
    <mergeCell ref="IH65:IH66"/>
    <mergeCell ref="IH67:IH68"/>
    <mergeCell ref="IG40:IG43"/>
    <mergeCell ref="IF98:IF99"/>
    <mergeCell ref="EW70:EW71"/>
    <mergeCell ref="CX70:CX73"/>
    <mergeCell ref="CW70:CW71"/>
    <mergeCell ref="CY70:CY73"/>
    <mergeCell ref="DE65:DE66"/>
    <mergeCell ref="DG67:DG68"/>
    <mergeCell ref="DK67:DK68"/>
    <mergeCell ref="DD72:DD73"/>
    <mergeCell ref="DE72:DE73"/>
    <mergeCell ref="DG70:DG71"/>
    <mergeCell ref="DR70:DR73"/>
    <mergeCell ref="DS70:DS73"/>
    <mergeCell ref="DH70:DH73"/>
    <mergeCell ref="EL65:EL68"/>
    <mergeCell ref="EM65:EM68"/>
    <mergeCell ref="CS72:CS73"/>
    <mergeCell ref="B93:B96"/>
    <mergeCell ref="C93:D96"/>
    <mergeCell ref="E99:F99"/>
    <mergeCell ref="G99:L99"/>
    <mergeCell ref="P99:Q99"/>
    <mergeCell ref="AF99:AI99"/>
    <mergeCell ref="E100:F100"/>
    <mergeCell ref="B98:B101"/>
    <mergeCell ref="C98:D101"/>
    <mergeCell ref="E98:F98"/>
    <mergeCell ref="G98:R98"/>
    <mergeCell ref="S98:S99"/>
    <mergeCell ref="U98:AA98"/>
    <mergeCell ref="AF98:AI98"/>
    <mergeCell ref="AF95:AI95"/>
    <mergeCell ref="AT98:AT101"/>
    <mergeCell ref="AV98:AV101"/>
    <mergeCell ref="AW98:AW101"/>
    <mergeCell ref="CM98:CM101"/>
    <mergeCell ref="E77:F77"/>
    <mergeCell ref="G77:L77"/>
    <mergeCell ref="AK77:AK78"/>
    <mergeCell ref="AL77:AL78"/>
    <mergeCell ref="E84:AT84"/>
    <mergeCell ref="E88:F88"/>
    <mergeCell ref="G88:L88"/>
    <mergeCell ref="P88:R88"/>
    <mergeCell ref="U88:AA88"/>
    <mergeCell ref="AF88:AI88"/>
    <mergeCell ref="E89:AT89"/>
    <mergeCell ref="AV85:AV88"/>
    <mergeCell ref="G85:R85"/>
    <mergeCell ref="S85:S86"/>
    <mergeCell ref="U85:AA85"/>
    <mergeCell ref="CM85:CM88"/>
    <mergeCell ref="AJ98:AJ99"/>
    <mergeCell ref="AK98:AK99"/>
    <mergeCell ref="AL98:AL99"/>
    <mergeCell ref="AM98:AN101"/>
    <mergeCell ref="AO98:AQ101"/>
    <mergeCell ref="AR98:AR101"/>
    <mergeCell ref="AS98:AS101"/>
    <mergeCell ref="G100:L100"/>
    <mergeCell ref="P100:Q100"/>
    <mergeCell ref="S100:S101"/>
    <mergeCell ref="DF72:DF73"/>
    <mergeCell ref="DG72:DG73"/>
    <mergeCell ref="DZ70:DZ73"/>
    <mergeCell ref="EA70:EA73"/>
    <mergeCell ref="EC70:EC73"/>
    <mergeCell ref="ED70:ED73"/>
    <mergeCell ref="DN70:DN73"/>
    <mergeCell ref="DO70:DO71"/>
    <mergeCell ref="DP70:DP73"/>
    <mergeCell ref="DQ70:DQ71"/>
    <mergeCell ref="IC70:IC73"/>
    <mergeCell ref="E71:F71"/>
    <mergeCell ref="G71:L71"/>
    <mergeCell ref="P71:Q71"/>
    <mergeCell ref="AF71:AI71"/>
    <mergeCell ref="GJ71:GJ72"/>
    <mergeCell ref="GL71:GL72"/>
    <mergeCell ref="GM71:GM72"/>
    <mergeCell ref="HC71:HC72"/>
    <mergeCell ref="HD71:HD72"/>
    <mergeCell ref="HE71:HE72"/>
    <mergeCell ref="HF71:HF72"/>
    <mergeCell ref="HH71:HH72"/>
    <mergeCell ref="HJ71:HJ72"/>
    <mergeCell ref="HK71:HK72"/>
    <mergeCell ref="HL71:HL72"/>
    <mergeCell ref="HN71:HN72"/>
    <mergeCell ref="HO71:HO72"/>
    <mergeCell ref="HP71:HP72"/>
    <mergeCell ref="HU71:HU72"/>
    <mergeCell ref="HQ71:HQ72"/>
    <mergeCell ref="HR71:HR72"/>
    <mergeCell ref="EH70:EH73"/>
    <mergeCell ref="EI70:EI73"/>
    <mergeCell ref="EE70:EE73"/>
    <mergeCell ref="EF70:EF73"/>
    <mergeCell ref="EZ70:EZ73"/>
    <mergeCell ref="FD70:FD73"/>
    <mergeCell ref="FE70:FE73"/>
    <mergeCell ref="FI70:FI71"/>
    <mergeCell ref="FJ70:FJ71"/>
    <mergeCell ref="EP70:EP73"/>
    <mergeCell ref="EQ70:EQ73"/>
    <mergeCell ref="E72:F72"/>
    <mergeCell ref="GI71:GI72"/>
    <mergeCell ref="E73:F73"/>
    <mergeCell ref="G73:L73"/>
    <mergeCell ref="P73:R73"/>
    <mergeCell ref="U73:AA73"/>
    <mergeCell ref="AF73:AI73"/>
    <mergeCell ref="CV70:CV71"/>
    <mergeCell ref="HY71:HY72"/>
    <mergeCell ref="CW72:CW73"/>
    <mergeCell ref="CO72:CO73"/>
    <mergeCell ref="CP72:CP73"/>
    <mergeCell ref="CR72:CR73"/>
    <mergeCell ref="CS70:CS71"/>
    <mergeCell ref="CT70:CT71"/>
    <mergeCell ref="CU70:CU71"/>
    <mergeCell ref="CU72:CU73"/>
    <mergeCell ref="CZ70:CZ73"/>
    <mergeCell ref="DA70:DA73"/>
    <mergeCell ref="DC70:DC71"/>
    <mergeCell ref="DD70:DD71"/>
    <mergeCell ref="DE70:DE71"/>
    <mergeCell ref="DF70:DF71"/>
    <mergeCell ref="E70:F70"/>
    <mergeCell ref="G70:R70"/>
    <mergeCell ref="S70:S71"/>
    <mergeCell ref="U70:AA70"/>
    <mergeCell ref="AF70:AI70"/>
    <mergeCell ref="AJ70:AJ71"/>
    <mergeCell ref="AK70:AK71"/>
    <mergeCell ref="AL70:AL71"/>
    <mergeCell ref="EJ70:EJ73"/>
    <mergeCell ref="EK70:EK73"/>
    <mergeCell ref="EL70:EL73"/>
    <mergeCell ref="EM70:EM73"/>
    <mergeCell ref="EN70:EN73"/>
    <mergeCell ref="ES70:ES73"/>
    <mergeCell ref="EU70:EU71"/>
    <mergeCell ref="EV70:EV71"/>
    <mergeCell ref="DF65:DF66"/>
    <mergeCell ref="DG65:DG66"/>
    <mergeCell ref="DH65:DH68"/>
    <mergeCell ref="DJ65:DJ66"/>
    <mergeCell ref="DL65:DL68"/>
    <mergeCell ref="DN65:DN68"/>
    <mergeCell ref="DO65:DO66"/>
    <mergeCell ref="DP65:DP68"/>
    <mergeCell ref="DQ65:DQ66"/>
    <mergeCell ref="DR65:DR68"/>
    <mergeCell ref="DS65:DS68"/>
    <mergeCell ref="FI62:FI63"/>
    <mergeCell ref="EW62:EW63"/>
    <mergeCell ref="EX62:EX63"/>
    <mergeCell ref="EY62:EY63"/>
    <mergeCell ref="FB62:FB63"/>
    <mergeCell ref="DK72:DK73"/>
    <mergeCell ref="DO72:DO73"/>
    <mergeCell ref="DQ72:DQ73"/>
    <mergeCell ref="DV72:DV73"/>
    <mergeCell ref="DW65:DW68"/>
    <mergeCell ref="DX65:DX68"/>
    <mergeCell ref="DZ65:DZ68"/>
    <mergeCell ref="EA65:EA68"/>
    <mergeCell ref="EC65:EC68"/>
    <mergeCell ref="ED65:ED68"/>
    <mergeCell ref="EE65:EE68"/>
    <mergeCell ref="EF65:EF68"/>
    <mergeCell ref="DU65:DU68"/>
    <mergeCell ref="DJ70:DJ71"/>
    <mergeCell ref="DF62:DF63"/>
    <mergeCell ref="DG62:DG63"/>
    <mergeCell ref="EQ65:EQ68"/>
    <mergeCell ref="EU72:EU73"/>
    <mergeCell ref="EV72:EV73"/>
    <mergeCell ref="EW72:EW73"/>
    <mergeCell ref="EX72:EX73"/>
    <mergeCell ref="EY72:EY73"/>
    <mergeCell ref="FB70:FB71"/>
    <mergeCell ref="FB72:FB73"/>
    <mergeCell ref="EX70:EX71"/>
    <mergeCell ref="EY70:EY71"/>
    <mergeCell ref="FI72:FI73"/>
    <mergeCell ref="DU70:DU73"/>
    <mergeCell ref="DV70:DV71"/>
    <mergeCell ref="DW70:DW73"/>
    <mergeCell ref="EO60:EO63"/>
    <mergeCell ref="DN60:DN63"/>
    <mergeCell ref="DO60:DO61"/>
    <mergeCell ref="DP60:DP63"/>
    <mergeCell ref="DV60:DV61"/>
    <mergeCell ref="DW60:DW63"/>
    <mergeCell ref="EF60:EF63"/>
    <mergeCell ref="EG60:EG63"/>
    <mergeCell ref="EH60:EH63"/>
    <mergeCell ref="EI60:EI63"/>
    <mergeCell ref="FM70:FM71"/>
    <mergeCell ref="FO70:FO71"/>
    <mergeCell ref="FP70:FP71"/>
    <mergeCell ref="FQ70:FQ71"/>
    <mergeCell ref="FR70:FR71"/>
    <mergeCell ref="FS70:FS71"/>
    <mergeCell ref="FT70:FT71"/>
    <mergeCell ref="FK50:FK51"/>
    <mergeCell ref="FL50:FL51"/>
    <mergeCell ref="FM50:FM51"/>
    <mergeCell ref="FO50:FO51"/>
    <mergeCell ref="FP50:FP51"/>
    <mergeCell ref="FQ50:FQ51"/>
    <mergeCell ref="FR50:FR51"/>
    <mergeCell ref="FS50:FS51"/>
    <mergeCell ref="FT50:FT51"/>
    <mergeCell ref="FK52:FK53"/>
    <mergeCell ref="FL52:FL53"/>
    <mergeCell ref="FM52:FM53"/>
    <mergeCell ref="FK60:FK61"/>
    <mergeCell ref="FL60:FL61"/>
    <mergeCell ref="FM60:FM61"/>
    <mergeCell ref="FY50:FY53"/>
    <mergeCell ref="FZ50:FZ53"/>
    <mergeCell ref="GA50:GA53"/>
    <mergeCell ref="GB50:GB53"/>
    <mergeCell ref="FQ57:FQ58"/>
    <mergeCell ref="FR57:FR58"/>
    <mergeCell ref="FS57:FS58"/>
    <mergeCell ref="GB60:GB63"/>
    <mergeCell ref="FK62:FK63"/>
    <mergeCell ref="FL62:FL63"/>
    <mergeCell ref="FM62:FM63"/>
    <mergeCell ref="FM67:FM68"/>
    <mergeCell ref="FO67:FO68"/>
    <mergeCell ref="FP67:FP68"/>
    <mergeCell ref="FQ67:FQ68"/>
    <mergeCell ref="FO60:FO61"/>
    <mergeCell ref="FP60:FP61"/>
    <mergeCell ref="FW60:FW63"/>
    <mergeCell ref="FX60:FX63"/>
    <mergeCell ref="FQ62:FQ63"/>
    <mergeCell ref="FR62:FR63"/>
    <mergeCell ref="FS62:FS63"/>
    <mergeCell ref="FS60:FS61"/>
    <mergeCell ref="FT60:FT61"/>
    <mergeCell ref="FY60:FY63"/>
    <mergeCell ref="FZ60:FZ63"/>
    <mergeCell ref="GA60:GA63"/>
    <mergeCell ref="FR52:FR53"/>
    <mergeCell ref="FS52:FS53"/>
    <mergeCell ref="FT52:FT53"/>
    <mergeCell ref="FW70:FW73"/>
    <mergeCell ref="FX70:FX73"/>
    <mergeCell ref="FY70:FY73"/>
    <mergeCell ref="FL72:FL73"/>
    <mergeCell ref="FM72:FM73"/>
    <mergeCell ref="HF66:HF67"/>
    <mergeCell ref="FB67:FB68"/>
    <mergeCell ref="FI65:FI66"/>
    <mergeCell ref="FJ65:FJ66"/>
    <mergeCell ref="FK65:FK66"/>
    <mergeCell ref="FL65:FL66"/>
    <mergeCell ref="FM65:FM66"/>
    <mergeCell ref="AW65:AW68"/>
    <mergeCell ref="AV65:AV68"/>
    <mergeCell ref="CM65:CM68"/>
    <mergeCell ref="CN65:CN68"/>
    <mergeCell ref="CO65:CO66"/>
    <mergeCell ref="CP65:CP66"/>
    <mergeCell ref="CZ65:CZ68"/>
    <mergeCell ref="AM65:AN68"/>
    <mergeCell ref="AO65:AQ68"/>
    <mergeCell ref="AR65:AR68"/>
    <mergeCell ref="AS65:AS68"/>
    <mergeCell ref="AT65:AT68"/>
    <mergeCell ref="EN65:EN68"/>
    <mergeCell ref="EO65:EO68"/>
    <mergeCell ref="FJ67:FJ68"/>
    <mergeCell ref="FK67:FK68"/>
    <mergeCell ref="FL67:FL68"/>
    <mergeCell ref="EY67:EY68"/>
    <mergeCell ref="EZ65:EZ68"/>
    <mergeCell ref="ES65:ES68"/>
    <mergeCell ref="EU65:EU66"/>
    <mergeCell ref="EV65:EV66"/>
    <mergeCell ref="EW65:EW66"/>
    <mergeCell ref="FI67:FI68"/>
    <mergeCell ref="GD65:GD68"/>
    <mergeCell ref="GG65:GG68"/>
    <mergeCell ref="DV65:DV66"/>
    <mergeCell ref="EG65:EG68"/>
    <mergeCell ref="EH65:EH68"/>
    <mergeCell ref="EI65:EI68"/>
    <mergeCell ref="EJ65:EJ68"/>
    <mergeCell ref="EK65:EK68"/>
    <mergeCell ref="CY65:CY68"/>
    <mergeCell ref="DD65:DD66"/>
    <mergeCell ref="CO67:CO68"/>
    <mergeCell ref="CP67:CP68"/>
    <mergeCell ref="CR67:CR68"/>
    <mergeCell ref="CS67:CS68"/>
    <mergeCell ref="CT67:CT68"/>
    <mergeCell ref="CU67:CU68"/>
    <mergeCell ref="CV67:CV68"/>
    <mergeCell ref="DC65:DC66"/>
    <mergeCell ref="DO67:DO68"/>
    <mergeCell ref="DQ67:DQ68"/>
    <mergeCell ref="DV67:DV68"/>
    <mergeCell ref="DF67:DF68"/>
    <mergeCell ref="GI66:GI67"/>
    <mergeCell ref="FE65:FE68"/>
    <mergeCell ref="FB65:FB66"/>
    <mergeCell ref="EV67:EV68"/>
    <mergeCell ref="EW67:EW68"/>
    <mergeCell ref="EX67:EX68"/>
    <mergeCell ref="CV65:CV66"/>
    <mergeCell ref="CW65:CW66"/>
    <mergeCell ref="CX65:CX68"/>
    <mergeCell ref="GJ66:GJ67"/>
    <mergeCell ref="GL66:GL67"/>
    <mergeCell ref="IB42:IB43"/>
    <mergeCell ref="E43:F43"/>
    <mergeCell ref="G43:L43"/>
    <mergeCell ref="P43:R43"/>
    <mergeCell ref="DN45:DN48"/>
    <mergeCell ref="DO45:DO46"/>
    <mergeCell ref="DP45:DP48"/>
    <mergeCell ref="EX65:EX66"/>
    <mergeCell ref="EY65:EY66"/>
    <mergeCell ref="EU67:EU68"/>
    <mergeCell ref="FW65:FW68"/>
    <mergeCell ref="FX65:FX68"/>
    <mergeCell ref="DO47:DO48"/>
    <mergeCell ref="DQ47:DQ48"/>
    <mergeCell ref="DR45:DR48"/>
    <mergeCell ref="DS45:DS48"/>
    <mergeCell ref="DU45:DU48"/>
    <mergeCell ref="DV45:DV46"/>
    <mergeCell ref="DW45:DW48"/>
    <mergeCell ref="DX45:DX48"/>
    <mergeCell ref="DZ45:DZ48"/>
    <mergeCell ref="EA45:EA48"/>
    <mergeCell ref="EC45:EC48"/>
    <mergeCell ref="ED45:ED48"/>
    <mergeCell ref="EE45:EE48"/>
    <mergeCell ref="EF45:EF48"/>
    <mergeCell ref="EG45:EG48"/>
    <mergeCell ref="EH45:EH48"/>
    <mergeCell ref="EI45:EI48"/>
    <mergeCell ref="EJ45:EJ48"/>
    <mergeCell ref="EK45:EK48"/>
    <mergeCell ref="DV47:DV48"/>
    <mergeCell ref="EL45:EL48"/>
    <mergeCell ref="EJ40:EJ43"/>
    <mergeCell ref="DU40:DU43"/>
    <mergeCell ref="DV40:DV41"/>
    <mergeCell ref="DW40:DW43"/>
    <mergeCell ref="DX40:DX43"/>
    <mergeCell ref="DZ40:DZ43"/>
    <mergeCell ref="EA40:EA43"/>
    <mergeCell ref="EC40:EC43"/>
    <mergeCell ref="DV42:DV43"/>
    <mergeCell ref="EU47:EU48"/>
    <mergeCell ref="ED40:ED43"/>
    <mergeCell ref="EE40:EE43"/>
    <mergeCell ref="EF40:EF43"/>
    <mergeCell ref="EG40:EG43"/>
    <mergeCell ref="EU42:EU43"/>
    <mergeCell ref="EW45:EW46"/>
    <mergeCell ref="FD45:FD48"/>
    <mergeCell ref="FE45:FE48"/>
    <mergeCell ref="FI45:FI46"/>
    <mergeCell ref="EF50:EF53"/>
    <mergeCell ref="EG50:EG53"/>
    <mergeCell ref="EH50:EH53"/>
    <mergeCell ref="EI50:EI53"/>
    <mergeCell ref="EJ50:EJ53"/>
    <mergeCell ref="EK50:EK53"/>
    <mergeCell ref="EL50:EL53"/>
    <mergeCell ref="EM50:EM53"/>
    <mergeCell ref="EN50:EN53"/>
    <mergeCell ref="FD65:FD68"/>
    <mergeCell ref="GJ61:GJ62"/>
    <mergeCell ref="GL61:GL62"/>
    <mergeCell ref="HY41:HY42"/>
    <mergeCell ref="E42:F42"/>
    <mergeCell ref="G42:L42"/>
    <mergeCell ref="P42:Q42"/>
    <mergeCell ref="S42:S43"/>
    <mergeCell ref="AF42:AI42"/>
    <mergeCell ref="AJ42:AJ43"/>
    <mergeCell ref="AK42:AK43"/>
    <mergeCell ref="AL42:AL43"/>
    <mergeCell ref="CO42:CO43"/>
    <mergeCell ref="CP42:CP43"/>
    <mergeCell ref="CR42:CR43"/>
    <mergeCell ref="CS42:CS43"/>
    <mergeCell ref="CT42:CT43"/>
    <mergeCell ref="CU42:CU43"/>
    <mergeCell ref="CV42:CV43"/>
    <mergeCell ref="CW42:CW43"/>
    <mergeCell ref="DC42:DC43"/>
    <mergeCell ref="DD42:DD43"/>
    <mergeCell ref="DE42:DE43"/>
    <mergeCell ref="DF42:DF43"/>
    <mergeCell ref="DG42:DG43"/>
    <mergeCell ref="DK42:DK43"/>
    <mergeCell ref="HX42:HX43"/>
    <mergeCell ref="FZ40:FZ43"/>
    <mergeCell ref="GA40:GA43"/>
    <mergeCell ref="GB40:GB43"/>
    <mergeCell ref="GC40:GC43"/>
    <mergeCell ref="GD40:GD43"/>
    <mergeCell ref="GG40:GG43"/>
    <mergeCell ref="FS67:FS68"/>
    <mergeCell ref="FT67:FT68"/>
    <mergeCell ref="HW40:HW42"/>
    <mergeCell ref="EV47:EV48"/>
    <mergeCell ref="EW47:EW48"/>
    <mergeCell ref="HX40:HX41"/>
    <mergeCell ref="EP65:EP68"/>
    <mergeCell ref="GM61:GM62"/>
    <mergeCell ref="HK56:HK57"/>
    <mergeCell ref="HL56:HL57"/>
    <mergeCell ref="FD50:FD53"/>
    <mergeCell ref="FE50:FE53"/>
    <mergeCell ref="FI50:FI51"/>
    <mergeCell ref="FJ50:FJ51"/>
    <mergeCell ref="FI52:FI53"/>
    <mergeCell ref="FJ52:FJ53"/>
    <mergeCell ref="FO52:FO53"/>
    <mergeCell ref="FW50:FW53"/>
    <mergeCell ref="HD51:HD52"/>
    <mergeCell ref="HE51:HE52"/>
    <mergeCell ref="EV42:EV43"/>
    <mergeCell ref="EW40:EW41"/>
    <mergeCell ref="DQ52:DQ53"/>
    <mergeCell ref="DV52:DV53"/>
    <mergeCell ref="DD55:DD56"/>
    <mergeCell ref="E68:F68"/>
    <mergeCell ref="S67:S68"/>
    <mergeCell ref="AF67:AI67"/>
    <mergeCell ref="AJ67:AJ68"/>
    <mergeCell ref="EE50:EE53"/>
    <mergeCell ref="FR55:FR56"/>
    <mergeCell ref="FS55:FS56"/>
    <mergeCell ref="HG51:HG52"/>
    <mergeCell ref="HH51:HH52"/>
    <mergeCell ref="IB40:IB41"/>
    <mergeCell ref="IC40:IC43"/>
    <mergeCell ref="E41:F41"/>
    <mergeCell ref="G41:L41"/>
    <mergeCell ref="P41:Q41"/>
    <mergeCell ref="AF41:AI41"/>
    <mergeCell ref="GJ41:GJ42"/>
    <mergeCell ref="GL41:GL42"/>
    <mergeCell ref="GM41:GM42"/>
    <mergeCell ref="HC41:HC42"/>
    <mergeCell ref="HD41:HD42"/>
    <mergeCell ref="HE41:HE42"/>
    <mergeCell ref="HF41:HF42"/>
    <mergeCell ref="HH41:HH42"/>
    <mergeCell ref="HJ41:HJ42"/>
    <mergeCell ref="HK41:HK42"/>
    <mergeCell ref="HL41:HL42"/>
    <mergeCell ref="HN41:HN42"/>
    <mergeCell ref="HO41:HO42"/>
    <mergeCell ref="HP41:HP42"/>
    <mergeCell ref="HU41:HU42"/>
    <mergeCell ref="HQ41:HQ42"/>
    <mergeCell ref="HR41:HR42"/>
    <mergeCell ref="EW42:EW43"/>
    <mergeCell ref="EX42:EX43"/>
    <mergeCell ref="EY42:EY43"/>
    <mergeCell ref="FI42:FI43"/>
    <mergeCell ref="FJ42:FJ43"/>
    <mergeCell ref="FK42:FK43"/>
    <mergeCell ref="FL42:FL43"/>
    <mergeCell ref="FM42:FM43"/>
    <mergeCell ref="FO42:FO43"/>
    <mergeCell ref="FP42:FP43"/>
    <mergeCell ref="FQ42:FQ43"/>
    <mergeCell ref="FR42:FR43"/>
    <mergeCell ref="FS42:FS43"/>
    <mergeCell ref="FT42:FT43"/>
    <mergeCell ref="FW40:FW43"/>
    <mergeCell ref="FX40:FX43"/>
    <mergeCell ref="FY40:FY43"/>
    <mergeCell ref="EX40:EX41"/>
    <mergeCell ref="EY40:EY41"/>
    <mergeCell ref="EZ40:EZ43"/>
    <mergeCell ref="FD40:FD43"/>
    <mergeCell ref="FE40:FE43"/>
    <mergeCell ref="FI40:FI41"/>
    <mergeCell ref="FJ40:FJ41"/>
    <mergeCell ref="FK40:FK41"/>
    <mergeCell ref="FB42:FB43"/>
    <mergeCell ref="FO40:FO41"/>
    <mergeCell ref="U41:AD41"/>
    <mergeCell ref="U42:AD42"/>
    <mergeCell ref="FB40:FB41"/>
    <mergeCell ref="HI41:HI42"/>
    <mergeCell ref="HM41:HM42"/>
    <mergeCell ref="HG41:HG42"/>
    <mergeCell ref="EH40:EH43"/>
    <mergeCell ref="EI40:EI43"/>
    <mergeCell ref="EO40:EO43"/>
    <mergeCell ref="EP40:EP43"/>
    <mergeCell ref="EQ40:EQ43"/>
    <mergeCell ref="ES40:ES43"/>
    <mergeCell ref="EU40:EU41"/>
    <mergeCell ref="EV40:EV41"/>
    <mergeCell ref="U66:AD66"/>
    <mergeCell ref="U67:AD67"/>
    <mergeCell ref="U65:AA65"/>
    <mergeCell ref="U47:AD47"/>
    <mergeCell ref="U43:AA43"/>
    <mergeCell ref="B55:B58"/>
    <mergeCell ref="C55:D58"/>
    <mergeCell ref="AF66:AI66"/>
    <mergeCell ref="AF65:AI65"/>
    <mergeCell ref="AJ65:AJ66"/>
    <mergeCell ref="AK65:AK66"/>
    <mergeCell ref="AL65:AL66"/>
    <mergeCell ref="CN40:CN43"/>
    <mergeCell ref="CO40:CO41"/>
    <mergeCell ref="CP40:CP41"/>
    <mergeCell ref="CR40:CR41"/>
    <mergeCell ref="CS40:CS41"/>
    <mergeCell ref="CT40:CT41"/>
    <mergeCell ref="CU40:CU41"/>
    <mergeCell ref="CO47:CO48"/>
    <mergeCell ref="CP47:CP48"/>
    <mergeCell ref="CR47:CR48"/>
    <mergeCell ref="CS47:CS48"/>
    <mergeCell ref="CT47:CT48"/>
    <mergeCell ref="CU47:CU48"/>
    <mergeCell ref="CR55:CR56"/>
    <mergeCell ref="CS55:CS56"/>
    <mergeCell ref="CT55:CT56"/>
    <mergeCell ref="CU55:CU56"/>
    <mergeCell ref="CR60:CR61"/>
    <mergeCell ref="CS60:CS61"/>
    <mergeCell ref="CT60:CT61"/>
    <mergeCell ref="CU60:CU61"/>
    <mergeCell ref="G62:L62"/>
    <mergeCell ref="P62:Q62"/>
    <mergeCell ref="S62:S63"/>
    <mergeCell ref="AF62:AI62"/>
    <mergeCell ref="B65:B68"/>
    <mergeCell ref="C65:D68"/>
    <mergeCell ref="E65:F65"/>
    <mergeCell ref="AF48:AI48"/>
    <mergeCell ref="B50:B53"/>
    <mergeCell ref="C50:D53"/>
    <mergeCell ref="E50:F50"/>
    <mergeCell ref="G50:R50"/>
    <mergeCell ref="S50:S51"/>
    <mergeCell ref="U50:AA50"/>
    <mergeCell ref="CP50:CP51"/>
    <mergeCell ref="B40:B43"/>
    <mergeCell ref="C40:D43"/>
    <mergeCell ref="B45:B48"/>
    <mergeCell ref="C45:D48"/>
    <mergeCell ref="CR65:CR66"/>
    <mergeCell ref="CS65:CS66"/>
    <mergeCell ref="CT65:CT66"/>
    <mergeCell ref="CU65:CU66"/>
    <mergeCell ref="G68:L68"/>
    <mergeCell ref="AT55:AT58"/>
    <mergeCell ref="E57:F57"/>
    <mergeCell ref="G57:L57"/>
    <mergeCell ref="P57:Q57"/>
    <mergeCell ref="S57:S58"/>
    <mergeCell ref="AT40:AT43"/>
    <mergeCell ref="U51:AD51"/>
    <mergeCell ref="AW40:AW43"/>
    <mergeCell ref="AV40:AV43"/>
    <mergeCell ref="CM40:CM43"/>
    <mergeCell ref="AV50:AV53"/>
    <mergeCell ref="AW50:AW53"/>
    <mergeCell ref="CM50:CM53"/>
    <mergeCell ref="CN50:CN53"/>
    <mergeCell ref="CO50:CO51"/>
    <mergeCell ref="DQ40:DQ41"/>
    <mergeCell ref="CV45:CV46"/>
    <mergeCell ref="CW45:CW46"/>
    <mergeCell ref="S52:S53"/>
    <mergeCell ref="E48:F48"/>
    <mergeCell ref="G48:L48"/>
    <mergeCell ref="P48:R48"/>
    <mergeCell ref="DP40:DP43"/>
    <mergeCell ref="CZ45:CZ48"/>
    <mergeCell ref="DA45:DA48"/>
    <mergeCell ref="DC45:DC46"/>
    <mergeCell ref="DD45:DD46"/>
    <mergeCell ref="DE45:DE46"/>
    <mergeCell ref="DF45:DF46"/>
    <mergeCell ref="DG45:DG46"/>
    <mergeCell ref="DH45:DH48"/>
    <mergeCell ref="DJ45:DJ46"/>
    <mergeCell ref="DL45:DL48"/>
    <mergeCell ref="DE50:DE51"/>
    <mergeCell ref="E53:F53"/>
    <mergeCell ref="G53:L53"/>
    <mergeCell ref="U48:AA48"/>
    <mergeCell ref="U45:AA45"/>
    <mergeCell ref="U46:AD46"/>
    <mergeCell ref="P52:Q52"/>
    <mergeCell ref="E52:F52"/>
    <mergeCell ref="G52:L52"/>
    <mergeCell ref="AF43:AI43"/>
    <mergeCell ref="E44:AT44"/>
    <mergeCell ref="E51:F51"/>
    <mergeCell ref="G51:L51"/>
    <mergeCell ref="P51:Q51"/>
    <mergeCell ref="AF51:AI51"/>
    <mergeCell ref="E40:F40"/>
    <mergeCell ref="G40:R40"/>
    <mergeCell ref="S40:S41"/>
    <mergeCell ref="U40:AA40"/>
    <mergeCell ref="AF40:AI40"/>
    <mergeCell ref="AJ40:AJ41"/>
    <mergeCell ref="AK40:AK41"/>
    <mergeCell ref="AR40:AR43"/>
    <mergeCell ref="AS40:AS43"/>
    <mergeCell ref="CY50:CY53"/>
    <mergeCell ref="CV40:CV41"/>
    <mergeCell ref="CW40:CW41"/>
    <mergeCell ref="CX40:CX43"/>
    <mergeCell ref="CY40:CY43"/>
    <mergeCell ref="CZ40:CZ43"/>
    <mergeCell ref="DA40:DA43"/>
    <mergeCell ref="AL40:AL41"/>
    <mergeCell ref="AM40:AN43"/>
    <mergeCell ref="AO40:AQ43"/>
    <mergeCell ref="CZ50:CZ53"/>
    <mergeCell ref="U52:AD52"/>
    <mergeCell ref="DG50:DG51"/>
    <mergeCell ref="CO52:CO53"/>
    <mergeCell ref="AR92:AT92"/>
    <mergeCell ref="AF72:AI72"/>
    <mergeCell ref="AJ72:AJ73"/>
    <mergeCell ref="AK72:AK73"/>
    <mergeCell ref="AL72:AL73"/>
    <mergeCell ref="AF52:AI52"/>
    <mergeCell ref="AJ52:AJ53"/>
    <mergeCell ref="AK52:AK53"/>
    <mergeCell ref="AL52:AL53"/>
    <mergeCell ref="AF57:AI57"/>
    <mergeCell ref="AJ57:AJ58"/>
    <mergeCell ref="AK57:AK58"/>
    <mergeCell ref="DD62:DD63"/>
    <mergeCell ref="DE62:DE63"/>
    <mergeCell ref="DA65:DA68"/>
    <mergeCell ref="E66:F66"/>
    <mergeCell ref="G66:L66"/>
    <mergeCell ref="P66:Q66"/>
    <mergeCell ref="E96:F96"/>
    <mergeCell ref="G96:L96"/>
    <mergeCell ref="CR95:CR96"/>
    <mergeCell ref="CS95:CS96"/>
    <mergeCell ref="CT95:CT96"/>
    <mergeCell ref="U96:AA96"/>
    <mergeCell ref="AF96:AI96"/>
    <mergeCell ref="AV113:AV116"/>
    <mergeCell ref="AW113:AW116"/>
    <mergeCell ref="AV128:AV131"/>
    <mergeCell ref="G65:R65"/>
    <mergeCell ref="S65:S66"/>
    <mergeCell ref="DC60:DC61"/>
    <mergeCell ref="DD60:DD61"/>
    <mergeCell ref="DE60:DE61"/>
    <mergeCell ref="AK93:AK94"/>
    <mergeCell ref="AL93:AL94"/>
    <mergeCell ref="CU95:CU96"/>
    <mergeCell ref="CV95:CV96"/>
    <mergeCell ref="CW95:CW96"/>
    <mergeCell ref="DC95:DC96"/>
    <mergeCell ref="DD95:DD96"/>
    <mergeCell ref="DE95:DE96"/>
    <mergeCell ref="CS93:CS94"/>
    <mergeCell ref="CT93:CT94"/>
    <mergeCell ref="CU93:CU94"/>
    <mergeCell ref="CV93:CV94"/>
    <mergeCell ref="CW93:CW94"/>
    <mergeCell ref="CV55:CV56"/>
    <mergeCell ref="CM60:CM63"/>
    <mergeCell ref="CN60:CN63"/>
    <mergeCell ref="CO60:CO61"/>
    <mergeCell ref="P68:R68"/>
    <mergeCell ref="U68:AA68"/>
    <mergeCell ref="AF68:AI68"/>
    <mergeCell ref="E67:F67"/>
    <mergeCell ref="G67:L67"/>
    <mergeCell ref="P67:Q67"/>
    <mergeCell ref="AK67:AK68"/>
    <mergeCell ref="AL67:AL68"/>
    <mergeCell ref="E56:F56"/>
    <mergeCell ref="G56:L56"/>
    <mergeCell ref="DC67:DC68"/>
    <mergeCell ref="DD67:DD68"/>
    <mergeCell ref="DE67:DE68"/>
    <mergeCell ref="DC72:DC73"/>
    <mergeCell ref="E405:F405"/>
    <mergeCell ref="G405:R405"/>
    <mergeCell ref="S405:S406"/>
    <mergeCell ref="AK405:AK406"/>
    <mergeCell ref="AL405:AL406"/>
    <mergeCell ref="AS405:AS408"/>
    <mergeCell ref="AT405:AT408"/>
    <mergeCell ref="E406:F406"/>
    <mergeCell ref="G406:L406"/>
    <mergeCell ref="P406:Q406"/>
    <mergeCell ref="E407:F407"/>
    <mergeCell ref="G407:L407"/>
    <mergeCell ref="P407:Q407"/>
    <mergeCell ref="S407:S408"/>
    <mergeCell ref="E93:F93"/>
    <mergeCell ref="CO95:CO96"/>
    <mergeCell ref="CP95:CP96"/>
    <mergeCell ref="E95:F95"/>
    <mergeCell ref="DH108:DH111"/>
    <mergeCell ref="DJ108:DJ109"/>
    <mergeCell ref="AF110:AI110"/>
    <mergeCell ref="AJ110:AJ111"/>
    <mergeCell ref="AK110:AK111"/>
    <mergeCell ref="AL110:AL111"/>
    <mergeCell ref="CX113:CX116"/>
    <mergeCell ref="CY113:CY116"/>
    <mergeCell ref="CZ113:CZ116"/>
    <mergeCell ref="DA113:DA116"/>
    <mergeCell ref="DC113:DC114"/>
    <mergeCell ref="DD113:DD114"/>
    <mergeCell ref="DE113:DE114"/>
    <mergeCell ref="CU115:CU116"/>
    <mergeCell ref="CV115:CV116"/>
    <mergeCell ref="CW115:CW116"/>
    <mergeCell ref="DC115:DC116"/>
    <mergeCell ref="DD115:DD116"/>
    <mergeCell ref="DE115:DE116"/>
    <mergeCell ref="CO125:CO126"/>
    <mergeCell ref="CP125:CP126"/>
    <mergeCell ref="CR125:CR126"/>
    <mergeCell ref="CS125:CS126"/>
    <mergeCell ref="CT125:CT126"/>
    <mergeCell ref="CU125:CU126"/>
    <mergeCell ref="CV125:CV126"/>
    <mergeCell ref="E122:AT122"/>
    <mergeCell ref="CO140:CO141"/>
    <mergeCell ref="CP140:CP141"/>
    <mergeCell ref="CR140:CR141"/>
    <mergeCell ref="CS140:CS141"/>
    <mergeCell ref="CT140:CT141"/>
    <mergeCell ref="CU140:CU141"/>
    <mergeCell ref="CV140:CV141"/>
    <mergeCell ref="E137:AT137"/>
    <mergeCell ref="CO153:CO154"/>
    <mergeCell ref="CP153:CP154"/>
    <mergeCell ref="CR153:CR154"/>
    <mergeCell ref="CS153:CS154"/>
    <mergeCell ref="CS118:CS119"/>
    <mergeCell ref="CT118:CT119"/>
    <mergeCell ref="CU118:CU119"/>
    <mergeCell ref="CV118:CV119"/>
    <mergeCell ref="CW118:CW119"/>
    <mergeCell ref="CX118:CX121"/>
    <mergeCell ref="CY118:CY121"/>
    <mergeCell ref="AW128:AW131"/>
    <mergeCell ref="AV143:AV146"/>
    <mergeCell ref="AW143:AW146"/>
    <mergeCell ref="AV158:AV161"/>
    <mergeCell ref="AW158:AW161"/>
    <mergeCell ref="AV171:AV174"/>
    <mergeCell ref="AW171:AW174"/>
    <mergeCell ref="AV186:AV189"/>
    <mergeCell ref="AW186:AW189"/>
    <mergeCell ref="AV201:AV204"/>
    <mergeCell ref="AW201:AW204"/>
    <mergeCell ref="E97:AT97"/>
    <mergeCell ref="CO100:CO101"/>
    <mergeCell ref="CP100:CP101"/>
    <mergeCell ref="CR100:CR101"/>
    <mergeCell ref="CS100:CS101"/>
    <mergeCell ref="CT100:CT101"/>
    <mergeCell ref="CU100:CU101"/>
    <mergeCell ref="CV100:CV101"/>
    <mergeCell ref="CW100:CW101"/>
    <mergeCell ref="E107:AT107"/>
    <mergeCell ref="DW108:DW111"/>
    <mergeCell ref="AV108:AV111"/>
    <mergeCell ref="AW108:AW111"/>
    <mergeCell ref="AJ95:AJ96"/>
    <mergeCell ref="AM93:AN96"/>
    <mergeCell ref="AO93:AQ96"/>
    <mergeCell ref="AR93:AR96"/>
    <mergeCell ref="AS93:AS96"/>
    <mergeCell ref="AT93:AT96"/>
    <mergeCell ref="AV93:AV96"/>
    <mergeCell ref="AW93:AW96"/>
    <mergeCell ref="CM93:CM96"/>
    <mergeCell ref="CN98:CN101"/>
    <mergeCell ref="CO98:CO99"/>
    <mergeCell ref="CP98:CP99"/>
    <mergeCell ref="CR98:CR99"/>
    <mergeCell ref="CS98:CS99"/>
    <mergeCell ref="CT98:CT99"/>
    <mergeCell ref="CU98:CU99"/>
    <mergeCell ref="E101:F101"/>
    <mergeCell ref="G101:L101"/>
    <mergeCell ref="P101:R101"/>
    <mergeCell ref="U101:AA101"/>
    <mergeCell ref="AF101:AI101"/>
    <mergeCell ref="DQ93:DQ94"/>
    <mergeCell ref="E102:AT102"/>
    <mergeCell ref="DC103:DC104"/>
    <mergeCell ref="DD103:DD104"/>
    <mergeCell ref="CN93:CN96"/>
    <mergeCell ref="CO93:CO94"/>
    <mergeCell ref="CP93:CP94"/>
    <mergeCell ref="CR93:CR94"/>
    <mergeCell ref="DE93:DE94"/>
    <mergeCell ref="G93:R93"/>
    <mergeCell ref="S93:S94"/>
    <mergeCell ref="AJ93:AJ94"/>
    <mergeCell ref="AF100:AI100"/>
    <mergeCell ref="AJ100:AJ101"/>
    <mergeCell ref="CZ118:CZ121"/>
    <mergeCell ref="DA118:DA121"/>
    <mergeCell ref="DC118:DC119"/>
    <mergeCell ref="DD118:DD119"/>
    <mergeCell ref="DE118:DE119"/>
    <mergeCell ref="HD81:HD82"/>
    <mergeCell ref="HE81:HE82"/>
    <mergeCell ref="DD75:DD76"/>
    <mergeCell ref="DE75:DE76"/>
    <mergeCell ref="DF75:DF76"/>
    <mergeCell ref="DH80:DH83"/>
    <mergeCell ref="DJ80:DJ81"/>
    <mergeCell ref="DL80:DL83"/>
    <mergeCell ref="DR93:DR96"/>
    <mergeCell ref="DS93:DS96"/>
    <mergeCell ref="DU93:DU96"/>
    <mergeCell ref="DV93:DV94"/>
    <mergeCell ref="DW93:DW96"/>
    <mergeCell ref="DK95:DK96"/>
    <mergeCell ref="FI95:FI96"/>
    <mergeCell ref="FJ95:FJ96"/>
    <mergeCell ref="EG93:EG96"/>
    <mergeCell ref="EH93:EH96"/>
    <mergeCell ref="EI93:EI96"/>
    <mergeCell ref="EJ93:EJ96"/>
    <mergeCell ref="DD93:DD94"/>
    <mergeCell ref="EV95:EV96"/>
    <mergeCell ref="EW95:EW96"/>
    <mergeCell ref="EX95:EX96"/>
    <mergeCell ref="EY95:EY96"/>
    <mergeCell ref="EK85:EK88"/>
    <mergeCell ref="EL85:EL88"/>
    <mergeCell ref="EU85:EU86"/>
    <mergeCell ref="EV85:EV86"/>
    <mergeCell ref="DF93:DF94"/>
    <mergeCell ref="DG93:DG94"/>
    <mergeCell ref="DU92:DV92"/>
    <mergeCell ref="EA93:EA96"/>
    <mergeCell ref="EC93:EC96"/>
    <mergeCell ref="ED93:ED96"/>
    <mergeCell ref="EE93:EE96"/>
    <mergeCell ref="EF93:EF96"/>
    <mergeCell ref="DF95:DF96"/>
    <mergeCell ref="DG95:DG96"/>
    <mergeCell ref="DN85:DN88"/>
    <mergeCell ref="DO85:DO86"/>
    <mergeCell ref="DP85:DP88"/>
    <mergeCell ref="EG85:EG88"/>
    <mergeCell ref="EH85:EH88"/>
    <mergeCell ref="EI85:EI88"/>
    <mergeCell ref="ES93:ES96"/>
    <mergeCell ref="EU93:EU94"/>
    <mergeCell ref="EV93:EV94"/>
    <mergeCell ref="EM93:EM96"/>
    <mergeCell ref="EK93:EK96"/>
    <mergeCell ref="EL93:EL96"/>
    <mergeCell ref="DF85:DF86"/>
    <mergeCell ref="DG85:DG86"/>
    <mergeCell ref="DK87:DK88"/>
    <mergeCell ref="DO87:DO88"/>
    <mergeCell ref="DQ87:DQ88"/>
    <mergeCell ref="EW85:EW86"/>
    <mergeCell ref="EX85:EX86"/>
    <mergeCell ref="DQ85:DQ86"/>
    <mergeCell ref="DR85:DR88"/>
    <mergeCell ref="DS85:DS88"/>
    <mergeCell ref="DU85:DU88"/>
    <mergeCell ref="EW93:EW94"/>
    <mergeCell ref="EX93:EX94"/>
    <mergeCell ref="FI98:FI99"/>
    <mergeCell ref="FJ98:FJ99"/>
    <mergeCell ref="FK98:FK99"/>
    <mergeCell ref="FL98:FL99"/>
    <mergeCell ref="CX98:CX101"/>
    <mergeCell ref="CY98:CY101"/>
    <mergeCell ref="CZ98:CZ101"/>
    <mergeCell ref="DA98:DA101"/>
    <mergeCell ref="DC98:DC99"/>
    <mergeCell ref="DD98:DD99"/>
    <mergeCell ref="DE98:DE99"/>
    <mergeCell ref="DF98:DF99"/>
    <mergeCell ref="DC100:DC101"/>
    <mergeCell ref="DD100:DD101"/>
    <mergeCell ref="DE100:DE101"/>
    <mergeCell ref="DF100:DF101"/>
    <mergeCell ref="EW100:EW101"/>
    <mergeCell ref="EX100:EX101"/>
    <mergeCell ref="EY100:EY101"/>
    <mergeCell ref="FB100:FB101"/>
    <mergeCell ref="FI100:FI101"/>
    <mergeCell ref="FJ100:FJ101"/>
    <mergeCell ref="FK100:FK101"/>
    <mergeCell ref="FL100:FL101"/>
    <mergeCell ref="EM98:EM101"/>
    <mergeCell ref="ES98:ES101"/>
    <mergeCell ref="EU98:EU99"/>
    <mergeCell ref="CX93:CX96"/>
    <mergeCell ref="CY93:CY96"/>
    <mergeCell ref="CZ93:CZ96"/>
    <mergeCell ref="DA93:DA96"/>
    <mergeCell ref="DC93:DC94"/>
    <mergeCell ref="EV87:EV88"/>
    <mergeCell ref="EW87:EW88"/>
    <mergeCell ref="EX87:EX88"/>
    <mergeCell ref="EY87:EY88"/>
    <mergeCell ref="FB87:FB88"/>
    <mergeCell ref="DO95:DO96"/>
    <mergeCell ref="DQ95:DQ96"/>
    <mergeCell ref="EV98:EV99"/>
    <mergeCell ref="EU100:EU101"/>
    <mergeCell ref="EV100:EV101"/>
    <mergeCell ref="DV95:DV96"/>
    <mergeCell ref="EU95:EU96"/>
    <mergeCell ref="FK95:FK96"/>
    <mergeCell ref="FL95:FL96"/>
    <mergeCell ref="DH93:DH96"/>
    <mergeCell ref="DJ93:DJ94"/>
    <mergeCell ref="DL93:DL96"/>
    <mergeCell ref="DN93:DN96"/>
    <mergeCell ref="DO93:DO94"/>
    <mergeCell ref="DP93:DP96"/>
    <mergeCell ref="EY93:EY94"/>
    <mergeCell ref="EZ93:EZ96"/>
    <mergeCell ref="FB93:FB94"/>
    <mergeCell ref="FD93:FD96"/>
    <mergeCell ref="BT2:BT4"/>
    <mergeCell ref="BU2:BU4"/>
    <mergeCell ref="BV2:BV4"/>
    <mergeCell ref="BX2:BX4"/>
    <mergeCell ref="CE2:CE4"/>
    <mergeCell ref="CG2:CG4"/>
    <mergeCell ref="BY2:BY4"/>
    <mergeCell ref="AO12:AP12"/>
    <mergeCell ref="IB95:IB96"/>
    <mergeCell ref="FM95:FM96"/>
    <mergeCell ref="FO95:FO96"/>
    <mergeCell ref="FP95:FP96"/>
    <mergeCell ref="FE93:FE96"/>
    <mergeCell ref="FI93:FI94"/>
    <mergeCell ref="FJ93:FJ94"/>
    <mergeCell ref="FK93:FK94"/>
    <mergeCell ref="FL93:FL94"/>
    <mergeCell ref="FM93:FM94"/>
    <mergeCell ref="FO93:FO94"/>
    <mergeCell ref="FP93:FP94"/>
    <mergeCell ref="FB95:FB96"/>
    <mergeCell ref="FY93:FY96"/>
    <mergeCell ref="FZ93:FZ96"/>
    <mergeCell ref="GA93:GA96"/>
    <mergeCell ref="GB93:GB96"/>
    <mergeCell ref="GC93:GC96"/>
    <mergeCell ref="GD93:GD96"/>
    <mergeCell ref="GG93:GG96"/>
    <mergeCell ref="HW93:HW95"/>
    <mergeCell ref="HX93:HX94"/>
    <mergeCell ref="IA93:IA96"/>
    <mergeCell ref="IB93:IB94"/>
    <mergeCell ref="FQ95:FQ96"/>
    <mergeCell ref="FR95:FR96"/>
    <mergeCell ref="FS95:FS96"/>
    <mergeCell ref="FT95:FT96"/>
    <mergeCell ref="HX95:HX96"/>
    <mergeCell ref="DX93:DX96"/>
    <mergeCell ref="DZ93:DZ96"/>
    <mergeCell ref="FT62:FT63"/>
    <mergeCell ref="GG60:GG63"/>
    <mergeCell ref="FK70:FK71"/>
    <mergeCell ref="FL70:FL71"/>
    <mergeCell ref="FO72:FO73"/>
    <mergeCell ref="GG70:GG73"/>
    <mergeCell ref="GC60:GC63"/>
    <mergeCell ref="FE60:FE63"/>
    <mergeCell ref="FI60:FI61"/>
    <mergeCell ref="FJ60:FJ61"/>
    <mergeCell ref="EY60:EY61"/>
    <mergeCell ref="FJ62:FJ63"/>
    <mergeCell ref="EZ60:EZ63"/>
    <mergeCell ref="DX70:DX73"/>
    <mergeCell ref="HG66:HG67"/>
    <mergeCell ref="HW70:HW72"/>
    <mergeCell ref="FR67:FR68"/>
    <mergeCell ref="EN93:EN96"/>
    <mergeCell ref="EO93:EO96"/>
    <mergeCell ref="EP93:EP96"/>
    <mergeCell ref="EQ93:EQ96"/>
    <mergeCell ref="GM66:GM67"/>
    <mergeCell ref="HC66:HC67"/>
    <mergeCell ref="HD66:HD67"/>
    <mergeCell ref="HE66:HE67"/>
    <mergeCell ref="U55:AA55"/>
    <mergeCell ref="AF55:AI55"/>
    <mergeCell ref="AJ55:AJ56"/>
    <mergeCell ref="AK55:AK56"/>
    <mergeCell ref="AL55:AL56"/>
    <mergeCell ref="AM55:AN58"/>
    <mergeCell ref="AO55:AQ58"/>
    <mergeCell ref="AR55:AR58"/>
    <mergeCell ref="AS55:AS58"/>
    <mergeCell ref="DQ45:DQ46"/>
    <mergeCell ref="BE1:CG1"/>
    <mergeCell ref="B20:B23"/>
    <mergeCell ref="C36:C38"/>
    <mergeCell ref="BJ2:BJ4"/>
    <mergeCell ref="BK2:BK4"/>
    <mergeCell ref="BL2:BL4"/>
    <mergeCell ref="AF26:AG26"/>
    <mergeCell ref="AO26:AT26"/>
    <mergeCell ref="L7:AL8"/>
    <mergeCell ref="AV35:AV38"/>
    <mergeCell ref="B34:AT34"/>
    <mergeCell ref="BE34:CG34"/>
    <mergeCell ref="T32:W32"/>
    <mergeCell ref="AM37:AN37"/>
    <mergeCell ref="L9:AL10"/>
    <mergeCell ref="L11:AL12"/>
    <mergeCell ref="BI2:BI4"/>
    <mergeCell ref="AW35:AW38"/>
    <mergeCell ref="AM38:AN38"/>
    <mergeCell ref="E22:F22"/>
    <mergeCell ref="E28:F28"/>
    <mergeCell ref="E24:F24"/>
    <mergeCell ref="E32:F32"/>
    <mergeCell ref="E30:F30"/>
    <mergeCell ref="L13:AL14"/>
    <mergeCell ref="T20:U22"/>
    <mergeCell ref="T24:U24"/>
    <mergeCell ref="T26:U26"/>
    <mergeCell ref="T28:U28"/>
    <mergeCell ref="I38:L38"/>
    <mergeCell ref="AR14:AT14"/>
    <mergeCell ref="AR12:AT12"/>
    <mergeCell ref="AR10:AT10"/>
    <mergeCell ref="X20:AA22"/>
    <mergeCell ref="V20:W22"/>
    <mergeCell ref="AO4:AT4"/>
    <mergeCell ref="AO6:AT6"/>
    <mergeCell ref="AO8:AP8"/>
    <mergeCell ref="BF2:BF4"/>
    <mergeCell ref="BG2:BG4"/>
    <mergeCell ref="AR36:AR38"/>
    <mergeCell ref="AT36:AT38"/>
    <mergeCell ref="BH2:BH4"/>
    <mergeCell ref="CC2:CC4"/>
    <mergeCell ref="CD2:CD4"/>
    <mergeCell ref="BW2:BW4"/>
    <mergeCell ref="BZ2:BZ4"/>
    <mergeCell ref="BM2:BM4"/>
    <mergeCell ref="CA2:CA4"/>
    <mergeCell ref="BN2:BN4"/>
    <mergeCell ref="BO2:BO4"/>
    <mergeCell ref="BP2:BP4"/>
    <mergeCell ref="BQ2:BQ4"/>
    <mergeCell ref="BR2:BR4"/>
    <mergeCell ref="HW8:HW14"/>
    <mergeCell ref="HT8:HT14"/>
    <mergeCell ref="HA8:HA14"/>
    <mergeCell ref="HO8:HO14"/>
    <mergeCell ref="HH8:HH14"/>
    <mergeCell ref="HQ8:HQ14"/>
    <mergeCell ref="HS8:HS14"/>
    <mergeCell ref="HR8:HR14"/>
    <mergeCell ref="GL8:GL14"/>
    <mergeCell ref="GN8:GN14"/>
    <mergeCell ref="GO8:GO14"/>
    <mergeCell ref="GD37:GD38"/>
    <mergeCell ref="HN8:HN14"/>
    <mergeCell ref="HU8:HU14"/>
    <mergeCell ref="HP8:HP14"/>
    <mergeCell ref="AO20:AT20"/>
    <mergeCell ref="AO22:AT22"/>
    <mergeCell ref="AO24:AT24"/>
    <mergeCell ref="GR8:GR14"/>
    <mergeCell ref="HM8:HM14"/>
    <mergeCell ref="A19:AW19"/>
    <mergeCell ref="B24:B32"/>
    <mergeCell ref="HK8:HK14"/>
    <mergeCell ref="K20:L20"/>
    <mergeCell ref="K22:L22"/>
    <mergeCell ref="K24:L24"/>
    <mergeCell ref="K28:L28"/>
    <mergeCell ref="K30:L30"/>
    <mergeCell ref="K32:L32"/>
    <mergeCell ref="AR8:AT8"/>
    <mergeCell ref="AO30:AT30"/>
    <mergeCell ref="GP8:GP14"/>
    <mergeCell ref="AO14:AP14"/>
    <mergeCell ref="AO10:AP10"/>
    <mergeCell ref="HG8:HG14"/>
    <mergeCell ref="DN18:DO18"/>
    <mergeCell ref="DU18:DV18"/>
    <mergeCell ref="DN16:DO16"/>
    <mergeCell ref="HC8:HC14"/>
    <mergeCell ref="GY8:GY14"/>
    <mergeCell ref="T18:U18"/>
    <mergeCell ref="AF20:AI20"/>
    <mergeCell ref="GZ8:GZ14"/>
    <mergeCell ref="DJ32:DJ33"/>
    <mergeCell ref="DK32:DK33"/>
    <mergeCell ref="DL32:DL33"/>
    <mergeCell ref="AO28:AT28"/>
    <mergeCell ref="T30:U30"/>
    <mergeCell ref="E20:F20"/>
    <mergeCell ref="AO32:AT32"/>
    <mergeCell ref="P36:Q36"/>
    <mergeCell ref="GS8:GS14"/>
    <mergeCell ref="GT8:GT14"/>
    <mergeCell ref="GU8:GU14"/>
    <mergeCell ref="GD16:GD18"/>
    <mergeCell ref="DU16:DV16"/>
    <mergeCell ref="GQ8:GQ14"/>
    <mergeCell ref="AO38:AP38"/>
    <mergeCell ref="DU37:DV37"/>
    <mergeCell ref="DU38:DV38"/>
    <mergeCell ref="U56:AD56"/>
    <mergeCell ref="U57:AD57"/>
    <mergeCell ref="U61:AD61"/>
    <mergeCell ref="U62:AD62"/>
    <mergeCell ref="FM57:FM58"/>
    <mergeCell ref="EQ50:EQ53"/>
    <mergeCell ref="EK40:EK43"/>
    <mergeCell ref="EL40:EL43"/>
    <mergeCell ref="EM40:EM43"/>
    <mergeCell ref="GI41:GI42"/>
    <mergeCell ref="FL40:FL41"/>
    <mergeCell ref="FM40:FM41"/>
    <mergeCell ref="FU40:FU41"/>
    <mergeCell ref="FU42:FU43"/>
    <mergeCell ref="FP40:FP41"/>
    <mergeCell ref="FQ40:FQ41"/>
    <mergeCell ref="FR40:FR41"/>
    <mergeCell ref="FS40:FS41"/>
    <mergeCell ref="EN40:EN43"/>
    <mergeCell ref="ES50:ES53"/>
    <mergeCell ref="DC40:DC41"/>
    <mergeCell ref="DD40:DD41"/>
    <mergeCell ref="DE40:DE41"/>
    <mergeCell ref="DF40:DF41"/>
    <mergeCell ref="DG40:DG41"/>
    <mergeCell ref="DL40:DL43"/>
    <mergeCell ref="CP60:CP61"/>
    <mergeCell ref="AL57:AL58"/>
    <mergeCell ref="CO57:CO58"/>
    <mergeCell ref="CP57:CP58"/>
    <mergeCell ref="CR57:CR58"/>
    <mergeCell ref="CS57:CS58"/>
    <mergeCell ref="CT57:CT58"/>
    <mergeCell ref="CU57:CU58"/>
    <mergeCell ref="CV57:CV58"/>
    <mergeCell ref="CW57:CW58"/>
    <mergeCell ref="CW62:CW63"/>
    <mergeCell ref="E59:AT59"/>
    <mergeCell ref="P56:Q56"/>
    <mergeCell ref="E63:F63"/>
    <mergeCell ref="G63:L63"/>
    <mergeCell ref="P63:R63"/>
    <mergeCell ref="U63:AA63"/>
    <mergeCell ref="AF63:AI63"/>
    <mergeCell ref="E49:AT49"/>
    <mergeCell ref="AF45:AI45"/>
    <mergeCell ref="AJ45:AJ46"/>
    <mergeCell ref="AK45:AK46"/>
    <mergeCell ref="AL45:AL46"/>
    <mergeCell ref="AM45:AN48"/>
    <mergeCell ref="AO45:AQ48"/>
    <mergeCell ref="AR45:AR48"/>
    <mergeCell ref="AS45:AS48"/>
    <mergeCell ref="AK47:AK48"/>
    <mergeCell ref="AL47:AL48"/>
    <mergeCell ref="DC47:DC48"/>
    <mergeCell ref="DE47:DE48"/>
    <mergeCell ref="DH40:DH43"/>
    <mergeCell ref="DJ40:DJ41"/>
    <mergeCell ref="DF50:DF51"/>
    <mergeCell ref="E54:AT54"/>
    <mergeCell ref="E55:F55"/>
    <mergeCell ref="G55:R55"/>
    <mergeCell ref="S55:S56"/>
    <mergeCell ref="E39:AT39"/>
    <mergeCell ref="P53:R53"/>
    <mergeCell ref="U53:AA53"/>
    <mergeCell ref="AF53:AI53"/>
    <mergeCell ref="FW45:FW48"/>
    <mergeCell ref="FX45:FX48"/>
    <mergeCell ref="FY45:FY48"/>
    <mergeCell ref="FZ45:FZ48"/>
    <mergeCell ref="GA45:GA48"/>
    <mergeCell ref="GB45:GB48"/>
    <mergeCell ref="DA50:DA53"/>
    <mergeCell ref="DO40:DO41"/>
    <mergeCell ref="DO42:DO43"/>
    <mergeCell ref="HD8:HD14"/>
    <mergeCell ref="GM8:GM14"/>
    <mergeCell ref="GK8:GK14"/>
    <mergeCell ref="GV8:GV14"/>
    <mergeCell ref="GW8:GW14"/>
    <mergeCell ref="GX8:GX14"/>
    <mergeCell ref="HV8:HV14"/>
    <mergeCell ref="HJ8:HJ14"/>
    <mergeCell ref="HL8:HL14"/>
    <mergeCell ref="HE8:HE14"/>
    <mergeCell ref="HF8:HF14"/>
    <mergeCell ref="HB8:HB14"/>
    <mergeCell ref="GJ8:GJ14"/>
    <mergeCell ref="HI8:HI14"/>
    <mergeCell ref="DN37:DO37"/>
    <mergeCell ref="DN38:DO38"/>
    <mergeCell ref="P37:Q37"/>
    <mergeCell ref="P38:Q38"/>
    <mergeCell ref="DJ50:DJ51"/>
    <mergeCell ref="HS41:HS42"/>
    <mergeCell ref="HT41:HT42"/>
    <mergeCell ref="AF50:AI50"/>
    <mergeCell ref="AJ50:AJ51"/>
    <mergeCell ref="AK50:AK51"/>
    <mergeCell ref="AL50:AL51"/>
    <mergeCell ref="AM50:AN53"/>
    <mergeCell ref="AO50:AQ53"/>
    <mergeCell ref="AR50:AR53"/>
    <mergeCell ref="AS50:AS53"/>
    <mergeCell ref="AT50:AT53"/>
    <mergeCell ref="HT51:HT52"/>
    <mergeCell ref="HU51:HU52"/>
    <mergeCell ref="AF22:AI22"/>
    <mergeCell ref="AF24:AI24"/>
    <mergeCell ref="GC45:GC48"/>
    <mergeCell ref="FJ47:FJ48"/>
    <mergeCell ref="FK47:FK48"/>
    <mergeCell ref="FL47:FL48"/>
    <mergeCell ref="FM47:FM48"/>
    <mergeCell ref="FO47:FO48"/>
    <mergeCell ref="FP47:FP48"/>
    <mergeCell ref="FQ47:FQ48"/>
    <mergeCell ref="FR47:FR48"/>
    <mergeCell ref="FS47:FS48"/>
    <mergeCell ref="FT47:FT48"/>
    <mergeCell ref="GD45:GD48"/>
    <mergeCell ref="GG45:GG48"/>
    <mergeCell ref="CX45:CX48"/>
    <mergeCell ref="CY45:CY48"/>
    <mergeCell ref="AF47:AI47"/>
    <mergeCell ref="AJ47:AJ48"/>
    <mergeCell ref="CP52:CP53"/>
    <mergeCell ref="CR52:CR53"/>
    <mergeCell ref="CS52:CS53"/>
    <mergeCell ref="CT52:CT53"/>
    <mergeCell ref="CU52:CU53"/>
    <mergeCell ref="CV52:CV53"/>
    <mergeCell ref="CW52:CW53"/>
    <mergeCell ref="DC52:DC53"/>
    <mergeCell ref="DD52:DD53"/>
    <mergeCell ref="DE52:DE53"/>
    <mergeCell ref="FT40:FT41"/>
    <mergeCell ref="FI47:FI48"/>
    <mergeCell ref="FJ45:FJ46"/>
    <mergeCell ref="FK45:FK46"/>
    <mergeCell ref="DL50:DL53"/>
    <mergeCell ref="DN50:DN53"/>
    <mergeCell ref="DO50:DO51"/>
    <mergeCell ref="DP50:DP53"/>
    <mergeCell ref="DQ50:DQ51"/>
    <mergeCell ref="CV47:CV48"/>
    <mergeCell ref="CW47:CW48"/>
    <mergeCell ref="DS50:DS53"/>
    <mergeCell ref="DU50:DU53"/>
    <mergeCell ref="CR50:CR51"/>
    <mergeCell ref="CS50:CS51"/>
    <mergeCell ref="CT50:CT51"/>
    <mergeCell ref="CU50:CU51"/>
    <mergeCell ref="CV50:CV51"/>
    <mergeCell ref="CW50:CW51"/>
    <mergeCell ref="CX50:CX53"/>
    <mergeCell ref="EO50:EO53"/>
    <mergeCell ref="EP50:EP53"/>
    <mergeCell ref="DF52:DF53"/>
    <mergeCell ref="DG52:DG53"/>
    <mergeCell ref="DN40:DN43"/>
    <mergeCell ref="EX47:EX48"/>
    <mergeCell ref="EY47:EY48"/>
    <mergeCell ref="FB47:FB48"/>
    <mergeCell ref="ES45:ES48"/>
    <mergeCell ref="FL45:FL46"/>
    <mergeCell ref="FM45:FM46"/>
    <mergeCell ref="FO45:FO46"/>
    <mergeCell ref="FP45:FP46"/>
    <mergeCell ref="FQ45:FQ46"/>
    <mergeCell ref="FR45:FR46"/>
    <mergeCell ref="FS45:FS46"/>
    <mergeCell ref="FT45:FT46"/>
    <mergeCell ref="DF47:DF48"/>
    <mergeCell ref="DD47:DD48"/>
    <mergeCell ref="DG47:DG48"/>
    <mergeCell ref="DK47:DK48"/>
    <mergeCell ref="DQ42:DQ43"/>
    <mergeCell ref="DR40:DR43"/>
    <mergeCell ref="DS40:DS43"/>
    <mergeCell ref="DC50:DC51"/>
    <mergeCell ref="DD50:DD51"/>
    <mergeCell ref="AT45:AT48"/>
    <mergeCell ref="AV45:AV48"/>
    <mergeCell ref="AW45:AW48"/>
    <mergeCell ref="CM45:CM48"/>
    <mergeCell ref="CN45:CN48"/>
    <mergeCell ref="CO45:CO46"/>
    <mergeCell ref="CP45:CP46"/>
    <mergeCell ref="CR45:CR46"/>
    <mergeCell ref="CS45:CS46"/>
    <mergeCell ref="CT45:CT46"/>
    <mergeCell ref="CU45:CU46"/>
    <mergeCell ref="IH50:IH51"/>
    <mergeCell ref="HX52:HX53"/>
    <mergeCell ref="IB52:IB53"/>
    <mergeCell ref="IF52:IF53"/>
    <mergeCell ref="IH52:IH53"/>
    <mergeCell ref="EX50:EX51"/>
    <mergeCell ref="EY50:EY51"/>
    <mergeCell ref="E45:F45"/>
    <mergeCell ref="G45:R45"/>
    <mergeCell ref="S45:S46"/>
    <mergeCell ref="HY61:HY62"/>
    <mergeCell ref="HG71:HG72"/>
    <mergeCell ref="HF51:HF52"/>
    <mergeCell ref="FY65:FY68"/>
    <mergeCell ref="FO65:FO66"/>
    <mergeCell ref="FP65:FP66"/>
    <mergeCell ref="FQ65:FQ66"/>
    <mergeCell ref="FR65:FR66"/>
    <mergeCell ref="FS65:FS66"/>
    <mergeCell ref="FT65:FT66"/>
    <mergeCell ref="HW45:HW47"/>
    <mergeCell ref="HX45:HX46"/>
    <mergeCell ref="IA45:IA48"/>
    <mergeCell ref="IB45:IB46"/>
    <mergeCell ref="IC45:IC48"/>
    <mergeCell ref="HQ61:HQ62"/>
    <mergeCell ref="HR61:HR62"/>
    <mergeCell ref="HS61:HS62"/>
    <mergeCell ref="HT61:HT62"/>
    <mergeCell ref="HU61:HU62"/>
    <mergeCell ref="FQ60:FQ61"/>
    <mergeCell ref="FR60:FR61"/>
    <mergeCell ref="HM61:HM62"/>
    <mergeCell ref="HN61:HN62"/>
    <mergeCell ref="HO61:HO62"/>
    <mergeCell ref="HP61:HP62"/>
    <mergeCell ref="GI61:GI62"/>
    <mergeCell ref="FU67:FU68"/>
    <mergeCell ref="FQ55:FQ56"/>
    <mergeCell ref="GI56:GI57"/>
    <mergeCell ref="FO57:FO58"/>
    <mergeCell ref="HI51:HI52"/>
    <mergeCell ref="HJ51:HJ52"/>
    <mergeCell ref="HK51:HK52"/>
    <mergeCell ref="HL51:HL52"/>
    <mergeCell ref="FT55:FT56"/>
    <mergeCell ref="FZ70:FZ73"/>
    <mergeCell ref="HI71:HI72"/>
    <mergeCell ref="FO62:FO63"/>
    <mergeCell ref="FP62:FP63"/>
    <mergeCell ref="IB62:IB63"/>
    <mergeCell ref="HX62:HX63"/>
    <mergeCell ref="GD60:GD63"/>
    <mergeCell ref="HW65:HW67"/>
    <mergeCell ref="HX65:HX66"/>
    <mergeCell ref="HH66:HH67"/>
    <mergeCell ref="HJ66:HJ67"/>
    <mergeCell ref="HK66:HK67"/>
    <mergeCell ref="HL66:HL67"/>
    <mergeCell ref="HG61:HG62"/>
    <mergeCell ref="FZ55:FZ58"/>
    <mergeCell ref="GA55:GA58"/>
    <mergeCell ref="GB55:GB58"/>
    <mergeCell ref="GC55:GC58"/>
    <mergeCell ref="IF45:IF46"/>
    <mergeCell ref="IG45:IG48"/>
    <mergeCell ref="IH45:IH46"/>
    <mergeCell ref="II45:II48"/>
    <mergeCell ref="E46:F46"/>
    <mergeCell ref="G46:L46"/>
    <mergeCell ref="P46:Q46"/>
    <mergeCell ref="AF46:AI46"/>
    <mergeCell ref="GI46:GI47"/>
    <mergeCell ref="GJ46:GJ47"/>
    <mergeCell ref="GL46:GL47"/>
    <mergeCell ref="GM46:GM47"/>
    <mergeCell ref="HC46:HC47"/>
    <mergeCell ref="HD46:HD47"/>
    <mergeCell ref="HE46:HE47"/>
    <mergeCell ref="HF46:HF47"/>
    <mergeCell ref="HG46:HG47"/>
    <mergeCell ref="HH46:HH47"/>
    <mergeCell ref="HI46:HI47"/>
    <mergeCell ref="HJ46:HJ47"/>
    <mergeCell ref="HK46:HK47"/>
    <mergeCell ref="HL46:HL47"/>
    <mergeCell ref="HM46:HM47"/>
    <mergeCell ref="HN46:HN47"/>
    <mergeCell ref="HO46:HO47"/>
    <mergeCell ref="HP46:HP47"/>
    <mergeCell ref="HQ46:HQ47"/>
    <mergeCell ref="HR46:HR47"/>
    <mergeCell ref="HS46:HS47"/>
    <mergeCell ref="HT46:HT47"/>
    <mergeCell ref="HU46:HU47"/>
    <mergeCell ref="HY46:HY47"/>
    <mergeCell ref="E47:F47"/>
    <mergeCell ref="G47:L47"/>
    <mergeCell ref="P47:Q47"/>
    <mergeCell ref="S47:S48"/>
    <mergeCell ref="HX47:HX48"/>
    <mergeCell ref="IB47:IB48"/>
    <mergeCell ref="IF47:IF48"/>
    <mergeCell ref="IH47:IH48"/>
    <mergeCell ref="EM45:EM48"/>
    <mergeCell ref="EN45:EN48"/>
    <mergeCell ref="EO45:EO48"/>
    <mergeCell ref="EP45:EP48"/>
    <mergeCell ref="EU45:EU46"/>
    <mergeCell ref="EV45:EV46"/>
    <mergeCell ref="EX45:EX46"/>
    <mergeCell ref="EY45:EY46"/>
    <mergeCell ref="EZ45:EZ48"/>
    <mergeCell ref="FB45:FB46"/>
    <mergeCell ref="EQ45:EQ48"/>
    <mergeCell ref="IB57:IB58"/>
    <mergeCell ref="IC55:IC58"/>
    <mergeCell ref="IF55:IF56"/>
    <mergeCell ref="IG55:IG58"/>
    <mergeCell ref="FP57:FP58"/>
    <mergeCell ref="EW55:EW56"/>
    <mergeCell ref="EX55:EX56"/>
    <mergeCell ref="EY55:EY56"/>
    <mergeCell ref="EX52:EX53"/>
    <mergeCell ref="EY52:EY53"/>
    <mergeCell ref="FB52:FB53"/>
    <mergeCell ref="HM56:HM57"/>
    <mergeCell ref="HN56:HN57"/>
    <mergeCell ref="HO56:HO57"/>
    <mergeCell ref="HP56:HP57"/>
    <mergeCell ref="HQ56:HQ57"/>
    <mergeCell ref="HR56:HR57"/>
    <mergeCell ref="HC51:HC52"/>
    <mergeCell ref="EX57:EX58"/>
    <mergeCell ref="EY57:EY58"/>
    <mergeCell ref="IG50:IG53"/>
    <mergeCell ref="GD55:GD58"/>
    <mergeCell ref="GG55:GG58"/>
    <mergeCell ref="GJ56:GJ57"/>
    <mergeCell ref="GL56:GL57"/>
    <mergeCell ref="GM56:GM57"/>
    <mergeCell ref="HC56:HC57"/>
    <mergeCell ref="HD56:HD57"/>
    <mergeCell ref="HE56:HE57"/>
    <mergeCell ref="FK57:FK58"/>
    <mergeCell ref="FL57:FL58"/>
    <mergeCell ref="FW55:FW58"/>
    <mergeCell ref="FX55:FX58"/>
    <mergeCell ref="FY55:FY58"/>
    <mergeCell ref="FT57:FT58"/>
    <mergeCell ref="HF56:HF57"/>
    <mergeCell ref="HG56:HG57"/>
    <mergeCell ref="HH56:HH57"/>
    <mergeCell ref="HI56:HI57"/>
    <mergeCell ref="HJ56:HJ57"/>
    <mergeCell ref="FB57:FB58"/>
    <mergeCell ref="FI57:FI58"/>
    <mergeCell ref="FJ57:FJ58"/>
    <mergeCell ref="EZ50:EZ53"/>
    <mergeCell ref="FB50:FB51"/>
    <mergeCell ref="HS56:HS57"/>
    <mergeCell ref="HT56:HT57"/>
    <mergeCell ref="HY51:HY52"/>
    <mergeCell ref="GC50:GC53"/>
    <mergeCell ref="EW50:EW51"/>
    <mergeCell ref="EW52:EW53"/>
    <mergeCell ref="FX50:FX53"/>
    <mergeCell ref="HX57:HX58"/>
    <mergeCell ref="GD50:GD53"/>
    <mergeCell ref="FP52:FP53"/>
    <mergeCell ref="FQ52:FQ53"/>
    <mergeCell ref="DZ55:DZ58"/>
    <mergeCell ref="EA55:EA58"/>
    <mergeCell ref="EJ60:EJ63"/>
    <mergeCell ref="EK60:EK63"/>
    <mergeCell ref="EL60:EL63"/>
    <mergeCell ref="EM60:EM63"/>
    <mergeCell ref="HM51:HM52"/>
    <mergeCell ref="HN51:HN52"/>
    <mergeCell ref="HO51:HO52"/>
    <mergeCell ref="HP51:HP52"/>
    <mergeCell ref="HQ51:HQ52"/>
    <mergeCell ref="HR51:HR52"/>
    <mergeCell ref="HS51:HS52"/>
    <mergeCell ref="DV50:DV51"/>
    <mergeCell ref="DW50:DW53"/>
    <mergeCell ref="DX50:DX53"/>
    <mergeCell ref="DZ50:DZ53"/>
    <mergeCell ref="EA50:EA53"/>
    <mergeCell ref="EC50:EC53"/>
    <mergeCell ref="ED50:ED53"/>
    <mergeCell ref="DK52:DK53"/>
    <mergeCell ref="DO52:DO53"/>
    <mergeCell ref="EW60:EW61"/>
    <mergeCell ref="EX60:EX61"/>
    <mergeCell ref="EU62:EU63"/>
    <mergeCell ref="EV62:EV63"/>
    <mergeCell ref="EU60:EU61"/>
    <mergeCell ref="EV60:EV61"/>
    <mergeCell ref="DG60:DG61"/>
    <mergeCell ref="DH60:DH63"/>
    <mergeCell ref="DJ60:DJ61"/>
    <mergeCell ref="HL61:HL62"/>
    <mergeCell ref="EZ55:EZ58"/>
    <mergeCell ref="FB55:FB56"/>
    <mergeCell ref="FD55:FD58"/>
    <mergeCell ref="FE55:FE58"/>
    <mergeCell ref="FI55:FI56"/>
    <mergeCell ref="FJ55:FJ56"/>
    <mergeCell ref="FK55:FK56"/>
    <mergeCell ref="FL55:FL56"/>
    <mergeCell ref="FM55:FM56"/>
    <mergeCell ref="FO55:FO56"/>
    <mergeCell ref="FP55:FP56"/>
    <mergeCell ref="EU57:EU58"/>
    <mergeCell ref="EV57:EV58"/>
    <mergeCell ref="EW57:EW58"/>
    <mergeCell ref="EI55:EI58"/>
    <mergeCell ref="EJ55:EJ58"/>
    <mergeCell ref="EK55:EK58"/>
    <mergeCell ref="EL55:EL58"/>
    <mergeCell ref="DR50:DR53"/>
    <mergeCell ref="EP60:EP63"/>
    <mergeCell ref="EQ60:EQ63"/>
    <mergeCell ref="ES60:ES63"/>
    <mergeCell ref="EN60:EN63"/>
    <mergeCell ref="FB60:FB61"/>
    <mergeCell ref="FD60:FD63"/>
    <mergeCell ref="DX60:DX63"/>
    <mergeCell ref="DV62:DV63"/>
    <mergeCell ref="EU50:EU51"/>
    <mergeCell ref="EV50:EV51"/>
    <mergeCell ref="EU52:EU53"/>
    <mergeCell ref="EV52:EV53"/>
    <mergeCell ref="DH50:DH53"/>
    <mergeCell ref="DC62:DC63"/>
    <mergeCell ref="E64:AT64"/>
    <mergeCell ref="E61:F61"/>
    <mergeCell ref="G61:L61"/>
    <mergeCell ref="P61:Q61"/>
    <mergeCell ref="AF61:AI61"/>
    <mergeCell ref="EU55:EU56"/>
    <mergeCell ref="EV55:EV56"/>
    <mergeCell ref="DN55:DN58"/>
    <mergeCell ref="DO55:DO56"/>
    <mergeCell ref="DP55:DP58"/>
    <mergeCell ref="DQ55:DQ56"/>
    <mergeCell ref="DR55:DR58"/>
    <mergeCell ref="DS55:DS58"/>
    <mergeCell ref="DU55:DU58"/>
    <mergeCell ref="DV55:DV56"/>
    <mergeCell ref="DW55:DW58"/>
    <mergeCell ref="DX55:DX58"/>
    <mergeCell ref="DV57:DV58"/>
    <mergeCell ref="E58:F58"/>
    <mergeCell ref="G58:L58"/>
    <mergeCell ref="P58:R58"/>
    <mergeCell ref="DG55:DG56"/>
    <mergeCell ref="DH55:DH58"/>
    <mergeCell ref="DJ55:DJ56"/>
    <mergeCell ref="DL55:DL58"/>
    <mergeCell ref="EC55:EC58"/>
    <mergeCell ref="ED55:ED58"/>
    <mergeCell ref="EE55:EE58"/>
    <mergeCell ref="EF55:EF58"/>
    <mergeCell ref="EG55:EG58"/>
    <mergeCell ref="EH55:EH58"/>
    <mergeCell ref="U58:AA58"/>
    <mergeCell ref="AF58:AI58"/>
    <mergeCell ref="ES55:ES58"/>
    <mergeCell ref="DZ60:DZ63"/>
    <mergeCell ref="EA60:EA63"/>
    <mergeCell ref="EC60:EC63"/>
    <mergeCell ref="ED60:ED63"/>
    <mergeCell ref="EE60:EE63"/>
    <mergeCell ref="E62:F62"/>
    <mergeCell ref="EM55:EM58"/>
    <mergeCell ref="EN55:EN58"/>
    <mergeCell ref="EO55:EO58"/>
    <mergeCell ref="EP55:EP58"/>
    <mergeCell ref="EQ55:EQ58"/>
    <mergeCell ref="DE55:DE56"/>
    <mergeCell ref="DG57:DG58"/>
    <mergeCell ref="AJ62:AJ63"/>
    <mergeCell ref="AK62:AK63"/>
    <mergeCell ref="AL62:AL63"/>
    <mergeCell ref="CO62:CO63"/>
    <mergeCell ref="CP62:CP63"/>
    <mergeCell ref="CR62:CR63"/>
    <mergeCell ref="CS62:CS63"/>
    <mergeCell ref="CT62:CT63"/>
    <mergeCell ref="CU62:CU63"/>
    <mergeCell ref="CV62:CV63"/>
    <mergeCell ref="AV55:AV58"/>
    <mergeCell ref="AW55:AW58"/>
    <mergeCell ref="CM55:CM58"/>
    <mergeCell ref="CN55:CN58"/>
    <mergeCell ref="CO55:CO56"/>
    <mergeCell ref="CP55:CP56"/>
    <mergeCell ref="DC57:DC58"/>
    <mergeCell ref="DD57:DD58"/>
    <mergeCell ref="DE57:DE58"/>
    <mergeCell ref="DF57:DF58"/>
    <mergeCell ref="DQ60:DQ61"/>
    <mergeCell ref="DR60:DR63"/>
    <mergeCell ref="DS60:DS63"/>
    <mergeCell ref="DU60:DU63"/>
    <mergeCell ref="DK62:DK63"/>
    <mergeCell ref="DO62:DO63"/>
    <mergeCell ref="DQ62:DQ63"/>
    <mergeCell ref="DQ57:DQ58"/>
    <mergeCell ref="DF55:DF56"/>
    <mergeCell ref="DF60:DF61"/>
    <mergeCell ref="AF56:AI56"/>
    <mergeCell ref="CV60:CV61"/>
    <mergeCell ref="CW60:CW61"/>
    <mergeCell ref="CX60:CX63"/>
    <mergeCell ref="CY60:CY63"/>
    <mergeCell ref="CZ60:CZ63"/>
    <mergeCell ref="DA60:DA63"/>
    <mergeCell ref="DA55:DA58"/>
    <mergeCell ref="DC55:DC56"/>
    <mergeCell ref="CW55:CW56"/>
    <mergeCell ref="CX55:CX58"/>
    <mergeCell ref="CY55:CY58"/>
    <mergeCell ref="CZ55:CZ58"/>
    <mergeCell ref="DK57:DK58"/>
    <mergeCell ref="DO57:DO58"/>
    <mergeCell ref="DL60:DL63"/>
    <mergeCell ref="B75:B78"/>
    <mergeCell ref="C75:D78"/>
    <mergeCell ref="E75:F75"/>
    <mergeCell ref="G75:R75"/>
    <mergeCell ref="S75:S76"/>
    <mergeCell ref="U75:AA75"/>
    <mergeCell ref="AF75:AI75"/>
    <mergeCell ref="AJ75:AJ76"/>
    <mergeCell ref="AK75:AK76"/>
    <mergeCell ref="AL75:AL76"/>
    <mergeCell ref="AM75:AN78"/>
    <mergeCell ref="AO75:AQ78"/>
    <mergeCell ref="AR75:AR78"/>
    <mergeCell ref="AS75:AS78"/>
    <mergeCell ref="AT75:AT78"/>
    <mergeCell ref="AV75:AV78"/>
    <mergeCell ref="AW75:AW78"/>
    <mergeCell ref="CM75:CM78"/>
    <mergeCell ref="CN75:CN78"/>
    <mergeCell ref="CO75:CO76"/>
    <mergeCell ref="CP75:CP76"/>
    <mergeCell ref="CR75:CR76"/>
    <mergeCell ref="CS75:CS76"/>
    <mergeCell ref="CT75:CT76"/>
    <mergeCell ref="CU75:CU76"/>
    <mergeCell ref="CV75:CV76"/>
    <mergeCell ref="CW75:CW76"/>
    <mergeCell ref="E69:AT69"/>
    <mergeCell ref="G72:L72"/>
    <mergeCell ref="P72:Q72"/>
    <mergeCell ref="S72:S73"/>
    <mergeCell ref="B60:B63"/>
    <mergeCell ref="CW67:CW68"/>
    <mergeCell ref="CT72:CT73"/>
    <mergeCell ref="CR70:CR71"/>
    <mergeCell ref="B70:B73"/>
    <mergeCell ref="C70:D73"/>
    <mergeCell ref="AM70:AN73"/>
    <mergeCell ref="AO70:AQ73"/>
    <mergeCell ref="AR70:AR73"/>
    <mergeCell ref="AS70:AS73"/>
    <mergeCell ref="AT70:AT73"/>
    <mergeCell ref="AW70:AW73"/>
    <mergeCell ref="AV70:AV73"/>
    <mergeCell ref="CM70:CM73"/>
    <mergeCell ref="CN70:CN73"/>
    <mergeCell ref="CO70:CO71"/>
    <mergeCell ref="CP70:CP71"/>
    <mergeCell ref="C60:D63"/>
    <mergeCell ref="E60:F60"/>
    <mergeCell ref="G60:R60"/>
    <mergeCell ref="S60:S61"/>
    <mergeCell ref="U60:AA60"/>
    <mergeCell ref="AF60:AI60"/>
    <mergeCell ref="AJ60:AJ61"/>
    <mergeCell ref="AK60:AK61"/>
    <mergeCell ref="AL60:AL61"/>
    <mergeCell ref="AM60:AN63"/>
    <mergeCell ref="AO60:AQ63"/>
    <mergeCell ref="AR60:AR63"/>
    <mergeCell ref="AS60:AS63"/>
    <mergeCell ref="AT60:AT63"/>
    <mergeCell ref="AV60:AV63"/>
    <mergeCell ref="AW60:AW63"/>
    <mergeCell ref="HH81:HH82"/>
    <mergeCell ref="DD82:DD83"/>
    <mergeCell ref="DE82:DE83"/>
    <mergeCell ref="DF82:DF83"/>
    <mergeCell ref="DG82:DG83"/>
    <mergeCell ref="EJ75:EJ78"/>
    <mergeCell ref="EK75:EK78"/>
    <mergeCell ref="EL75:EL78"/>
    <mergeCell ref="EM75:EM78"/>
    <mergeCell ref="EN75:EN78"/>
    <mergeCell ref="HG81:HG82"/>
    <mergeCell ref="GI81:GI82"/>
    <mergeCell ref="GJ81:GJ82"/>
    <mergeCell ref="FK77:FK78"/>
    <mergeCell ref="FL77:FL78"/>
    <mergeCell ref="FM77:FM78"/>
    <mergeCell ref="FO77:FO78"/>
    <mergeCell ref="FW75:FW78"/>
    <mergeCell ref="FX75:FX78"/>
    <mergeCell ref="EO75:EO78"/>
    <mergeCell ref="EP75:EP78"/>
    <mergeCell ref="EQ75:EQ78"/>
    <mergeCell ref="ES75:ES78"/>
    <mergeCell ref="EU75:EU76"/>
    <mergeCell ref="EV75:EV76"/>
    <mergeCell ref="FY75:FY78"/>
    <mergeCell ref="FZ75:FZ78"/>
    <mergeCell ref="GA75:GA78"/>
    <mergeCell ref="GB75:GB78"/>
    <mergeCell ref="GC75:GC78"/>
    <mergeCell ref="FP77:FP78"/>
    <mergeCell ref="FQ77:FQ78"/>
    <mergeCell ref="FR77:FR78"/>
    <mergeCell ref="FS77:FS78"/>
    <mergeCell ref="DN80:DN83"/>
    <mergeCell ref="FM80:FM81"/>
    <mergeCell ref="FO80:FO81"/>
    <mergeCell ref="EK80:EK83"/>
    <mergeCell ref="EU77:EU78"/>
    <mergeCell ref="EJ80:EJ83"/>
    <mergeCell ref="DS80:DS83"/>
    <mergeCell ref="DU80:DU83"/>
    <mergeCell ref="DV80:DV81"/>
    <mergeCell ref="DW80:DW83"/>
    <mergeCell ref="DX80:DX83"/>
    <mergeCell ref="DH75:DH78"/>
    <mergeCell ref="DJ75:DJ76"/>
    <mergeCell ref="E78:F78"/>
    <mergeCell ref="G78:L78"/>
    <mergeCell ref="P78:R78"/>
    <mergeCell ref="U78:AA78"/>
    <mergeCell ref="AF78:AI78"/>
    <mergeCell ref="E79:AT79"/>
    <mergeCell ref="DL75:DL78"/>
    <mergeCell ref="CY75:CY78"/>
    <mergeCell ref="CZ75:CZ78"/>
    <mergeCell ref="DA75:DA78"/>
    <mergeCell ref="DC75:DC76"/>
    <mergeCell ref="EF80:EF83"/>
    <mergeCell ref="EG80:EG83"/>
    <mergeCell ref="EH80:EH83"/>
    <mergeCell ref="EI80:EI83"/>
    <mergeCell ref="EY77:EY78"/>
    <mergeCell ref="FB77:FB78"/>
    <mergeCell ref="FI77:FI78"/>
    <mergeCell ref="FJ77:FJ78"/>
    <mergeCell ref="DV75:DV76"/>
    <mergeCell ref="DW75:DW78"/>
    <mergeCell ref="DX75:DX78"/>
    <mergeCell ref="EW77:EW78"/>
    <mergeCell ref="FI75:FI76"/>
    <mergeCell ref="FJ75:FJ76"/>
    <mergeCell ref="FK75:FK76"/>
    <mergeCell ref="FL75:FL76"/>
    <mergeCell ref="FS82:FS83"/>
    <mergeCell ref="FT82:FT83"/>
    <mergeCell ref="GL81:GL82"/>
    <mergeCell ref="GM81:GM82"/>
    <mergeCell ref="HC81:HC82"/>
    <mergeCell ref="CY85:CY88"/>
    <mergeCell ref="CZ85:CZ88"/>
    <mergeCell ref="DA85:DA88"/>
    <mergeCell ref="DC85:DC86"/>
    <mergeCell ref="DD85:DD86"/>
    <mergeCell ref="DE85:DE86"/>
    <mergeCell ref="EX77:EX78"/>
    <mergeCell ref="DD87:DD88"/>
    <mergeCell ref="DH85:DH88"/>
    <mergeCell ref="DJ85:DJ86"/>
    <mergeCell ref="CW87:CW88"/>
    <mergeCell ref="DC87:DC88"/>
    <mergeCell ref="CT87:CT88"/>
    <mergeCell ref="CU87:CU88"/>
    <mergeCell ref="CV87:CV88"/>
    <mergeCell ref="FS85:FS86"/>
    <mergeCell ref="FT85:FT86"/>
    <mergeCell ref="FD85:FD88"/>
    <mergeCell ref="FE85:FE88"/>
    <mergeCell ref="FI85:FI86"/>
    <mergeCell ref="FJ85:FJ86"/>
    <mergeCell ref="EJ85:EJ88"/>
    <mergeCell ref="EC80:EC83"/>
    <mergeCell ref="ED80:ED83"/>
    <mergeCell ref="EE80:EE83"/>
    <mergeCell ref="FK85:FK86"/>
    <mergeCell ref="FL85:FL86"/>
    <mergeCell ref="FM85:FM86"/>
    <mergeCell ref="FO85:FO86"/>
    <mergeCell ref="DN75:DN78"/>
    <mergeCell ref="DO75:DO76"/>
    <mergeCell ref="FI82:FI83"/>
    <mergeCell ref="FJ82:FJ83"/>
    <mergeCell ref="FK82:FK83"/>
    <mergeCell ref="FL82:FL83"/>
    <mergeCell ref="FM82:FM83"/>
    <mergeCell ref="FO82:FO83"/>
    <mergeCell ref="DG75:DG76"/>
    <mergeCell ref="DP75:DP78"/>
    <mergeCell ref="DQ75:DQ76"/>
    <mergeCell ref="DR75:DR78"/>
    <mergeCell ref="DS75:DS78"/>
    <mergeCell ref="DV77:DV78"/>
    <mergeCell ref="EE75:EE78"/>
    <mergeCell ref="EF75:EF78"/>
    <mergeCell ref="EG75:EG78"/>
    <mergeCell ref="EH75:EH78"/>
    <mergeCell ref="EI75:EI78"/>
    <mergeCell ref="EQ80:EQ83"/>
    <mergeCell ref="EL80:EL83"/>
    <mergeCell ref="EM80:EM83"/>
    <mergeCell ref="EN80:EN83"/>
    <mergeCell ref="EO80:EO83"/>
    <mergeCell ref="EP80:EP83"/>
    <mergeCell ref="DO80:DO81"/>
    <mergeCell ref="FS75:FS76"/>
    <mergeCell ref="FT75:FT76"/>
    <mergeCell ref="FT77:FT78"/>
    <mergeCell ref="EV77:EV78"/>
    <mergeCell ref="AW85:AW88"/>
    <mergeCell ref="DZ75:DZ78"/>
    <mergeCell ref="EA75:EA78"/>
    <mergeCell ref="EC75:EC78"/>
    <mergeCell ref="ED75:ED78"/>
    <mergeCell ref="DK77:DK78"/>
    <mergeCell ref="EX75:EX76"/>
    <mergeCell ref="EY75:EY76"/>
    <mergeCell ref="EZ75:EZ78"/>
    <mergeCell ref="FB75:FB76"/>
    <mergeCell ref="FD75:FD78"/>
    <mergeCell ref="FE75:FE78"/>
    <mergeCell ref="CU80:CU81"/>
    <mergeCell ref="CV80:CV81"/>
    <mergeCell ref="CW80:CW81"/>
    <mergeCell ref="CX80:CX83"/>
    <mergeCell ref="CY80:CY83"/>
    <mergeCell ref="CZ80:CZ83"/>
    <mergeCell ref="CW82:CW83"/>
    <mergeCell ref="DC82:DC83"/>
    <mergeCell ref="AV80:AV83"/>
    <mergeCell ref="AW80:AW83"/>
    <mergeCell ref="CM80:CM83"/>
    <mergeCell ref="CN80:CN83"/>
    <mergeCell ref="CO80:CO81"/>
    <mergeCell ref="CP80:CP81"/>
    <mergeCell ref="CR80:CR81"/>
    <mergeCell ref="CS80:CS81"/>
    <mergeCell ref="CT80:CT81"/>
    <mergeCell ref="DP80:DP83"/>
    <mergeCell ref="DQ80:DQ81"/>
    <mergeCell ref="DR80:DR83"/>
    <mergeCell ref="DK82:DK83"/>
    <mergeCell ref="DO82:DO83"/>
    <mergeCell ref="DQ82:DQ83"/>
    <mergeCell ref="DV82:DV83"/>
    <mergeCell ref="EX82:EX83"/>
    <mergeCell ref="EY82:EY83"/>
    <mergeCell ref="FB82:FB83"/>
    <mergeCell ref="DZ80:DZ83"/>
    <mergeCell ref="EA80:EA83"/>
    <mergeCell ref="CU77:CU78"/>
    <mergeCell ref="DA80:DA83"/>
    <mergeCell ref="DC80:DC81"/>
    <mergeCell ref="CV77:CV78"/>
    <mergeCell ref="EU82:EU83"/>
    <mergeCell ref="EV82:EV83"/>
    <mergeCell ref="EW82:EW83"/>
    <mergeCell ref="DZ85:DZ88"/>
    <mergeCell ref="EA85:EA88"/>
    <mergeCell ref="EC85:EC88"/>
    <mergeCell ref="ED85:ED88"/>
    <mergeCell ref="EE85:EE88"/>
    <mergeCell ref="EF85:EF88"/>
    <mergeCell ref="CR85:CR86"/>
    <mergeCell ref="CS85:CS86"/>
    <mergeCell ref="CT85:CT86"/>
    <mergeCell ref="CR87:CR88"/>
    <mergeCell ref="CS87:CS88"/>
    <mergeCell ref="EU87:EU88"/>
    <mergeCell ref="CU85:CU86"/>
    <mergeCell ref="CV85:CV86"/>
    <mergeCell ref="CW85:CW86"/>
    <mergeCell ref="CX85:CX88"/>
    <mergeCell ref="II75:II78"/>
    <mergeCell ref="E76:F76"/>
    <mergeCell ref="G76:L76"/>
    <mergeCell ref="P76:Q76"/>
    <mergeCell ref="AF76:AI76"/>
    <mergeCell ref="GI76:GI77"/>
    <mergeCell ref="GJ76:GJ77"/>
    <mergeCell ref="GL76:GL77"/>
    <mergeCell ref="GM76:GM77"/>
    <mergeCell ref="HC76:HC77"/>
    <mergeCell ref="HD76:HD77"/>
    <mergeCell ref="HE76:HE77"/>
    <mergeCell ref="HF76:HF77"/>
    <mergeCell ref="HG76:HG77"/>
    <mergeCell ref="HH76:HH77"/>
    <mergeCell ref="HI76:HI77"/>
    <mergeCell ref="HJ76:HJ77"/>
    <mergeCell ref="HK76:HK77"/>
    <mergeCell ref="HL76:HL77"/>
    <mergeCell ref="HM76:HM77"/>
    <mergeCell ref="HN76:HN77"/>
    <mergeCell ref="HO76:HO77"/>
    <mergeCell ref="HP76:HP77"/>
    <mergeCell ref="HQ76:HQ77"/>
    <mergeCell ref="HR76:HR77"/>
    <mergeCell ref="HS76:HS77"/>
    <mergeCell ref="HT76:HT77"/>
    <mergeCell ref="HU76:HU77"/>
    <mergeCell ref="HY76:HY77"/>
    <mergeCell ref="P77:Q77"/>
    <mergeCell ref="S77:S78"/>
    <mergeCell ref="AF77:AI77"/>
    <mergeCell ref="AJ77:AJ78"/>
    <mergeCell ref="EW75:EW76"/>
    <mergeCell ref="DC77:DC78"/>
    <mergeCell ref="DD77:DD78"/>
    <mergeCell ref="DE77:DE78"/>
    <mergeCell ref="DF77:DF78"/>
    <mergeCell ref="DG77:DG78"/>
    <mergeCell ref="FP75:FP76"/>
    <mergeCell ref="FQ75:FQ76"/>
    <mergeCell ref="FR75:FR76"/>
    <mergeCell ref="DQ77:DQ78"/>
    <mergeCell ref="CW77:CW78"/>
    <mergeCell ref="CO77:CO78"/>
    <mergeCell ref="CP77:CP78"/>
    <mergeCell ref="CR77:CR78"/>
    <mergeCell ref="CS77:CS78"/>
    <mergeCell ref="DO77:DO78"/>
    <mergeCell ref="CX75:CX78"/>
    <mergeCell ref="FM75:FM76"/>
    <mergeCell ref="FO75:FO76"/>
    <mergeCell ref="HX82:HX83"/>
    <mergeCell ref="FP80:FP81"/>
    <mergeCell ref="FX80:FX83"/>
    <mergeCell ref="HJ81:HJ82"/>
    <mergeCell ref="FQ80:FQ81"/>
    <mergeCell ref="FR80:FR81"/>
    <mergeCell ref="FS80:FS81"/>
    <mergeCell ref="FT80:FT81"/>
    <mergeCell ref="FP82:FP83"/>
    <mergeCell ref="HI81:HI82"/>
    <mergeCell ref="CT77:CT78"/>
    <mergeCell ref="DU75:DU78"/>
    <mergeCell ref="HX87:HX88"/>
    <mergeCell ref="DL85:DL88"/>
    <mergeCell ref="FY85:FY88"/>
    <mergeCell ref="FZ85:FZ88"/>
    <mergeCell ref="GA85:GA88"/>
    <mergeCell ref="B80:B83"/>
    <mergeCell ref="C80:D83"/>
    <mergeCell ref="E80:F80"/>
    <mergeCell ref="G80:R80"/>
    <mergeCell ref="S80:S81"/>
    <mergeCell ref="U80:AA80"/>
    <mergeCell ref="AF80:AI80"/>
    <mergeCell ref="AJ80:AJ81"/>
    <mergeCell ref="AK80:AK81"/>
    <mergeCell ref="AL80:AL81"/>
    <mergeCell ref="AM80:AN83"/>
    <mergeCell ref="AO80:AQ83"/>
    <mergeCell ref="AR80:AR83"/>
    <mergeCell ref="AS80:AS83"/>
    <mergeCell ref="AT80:AT83"/>
    <mergeCell ref="E82:F82"/>
    <mergeCell ref="G82:L82"/>
    <mergeCell ref="P82:Q82"/>
    <mergeCell ref="S82:S83"/>
    <mergeCell ref="DG80:DG81"/>
    <mergeCell ref="DD80:DD81"/>
    <mergeCell ref="DE80:DE81"/>
    <mergeCell ref="DF80:DF81"/>
    <mergeCell ref="E81:F81"/>
    <mergeCell ref="G81:L81"/>
    <mergeCell ref="P81:Q81"/>
    <mergeCell ref="AF81:AI81"/>
    <mergeCell ref="E83:F83"/>
    <mergeCell ref="G83:L83"/>
    <mergeCell ref="P83:R83"/>
    <mergeCell ref="U83:AA83"/>
    <mergeCell ref="AF83:AI83"/>
    <mergeCell ref="AK82:AK83"/>
    <mergeCell ref="AL82:AL83"/>
    <mergeCell ref="CO82:CO83"/>
    <mergeCell ref="CP82:CP83"/>
    <mergeCell ref="CR82:CR83"/>
    <mergeCell ref="CS82:CS83"/>
    <mergeCell ref="CT82:CT83"/>
    <mergeCell ref="CU82:CU83"/>
    <mergeCell ref="CV82:CV83"/>
    <mergeCell ref="CO85:CO86"/>
    <mergeCell ref="CP85:CP86"/>
    <mergeCell ref="AF82:AI82"/>
    <mergeCell ref="AJ82:AJ83"/>
    <mergeCell ref="DW85:DW88"/>
    <mergeCell ref="DX85:DX88"/>
    <mergeCell ref="HW80:HW82"/>
    <mergeCell ref="HX80:HX81"/>
    <mergeCell ref="FR82:FR83"/>
    <mergeCell ref="DV87:DV88"/>
    <mergeCell ref="DE87:DE88"/>
    <mergeCell ref="DF87:DF88"/>
    <mergeCell ref="DG87:DG88"/>
    <mergeCell ref="IF95:IF96"/>
    <mergeCell ref="IH95:IH96"/>
    <mergeCell ref="P96:R96"/>
    <mergeCell ref="IF93:IF94"/>
    <mergeCell ref="IG93:IG96"/>
    <mergeCell ref="IH93:IH94"/>
    <mergeCell ref="FT93:FT94"/>
    <mergeCell ref="FW93:FW96"/>
    <mergeCell ref="DN91:DO91"/>
    <mergeCell ref="DU91:DV91"/>
    <mergeCell ref="DN92:DO92"/>
    <mergeCell ref="HQ81:HQ82"/>
    <mergeCell ref="FI87:FI88"/>
    <mergeCell ref="FJ87:FJ88"/>
    <mergeCell ref="FK87:FK88"/>
    <mergeCell ref="FL87:FL88"/>
    <mergeCell ref="FM87:FM88"/>
    <mergeCell ref="FO87:FO88"/>
    <mergeCell ref="FP87:FP88"/>
    <mergeCell ref="ES80:ES83"/>
    <mergeCell ref="EU80:EU81"/>
    <mergeCell ref="EV80:EV81"/>
    <mergeCell ref="EW80:EW81"/>
    <mergeCell ref="EX80:EX81"/>
    <mergeCell ref="EY80:EY81"/>
    <mergeCell ref="EZ80:EZ83"/>
    <mergeCell ref="FB80:FB81"/>
    <mergeCell ref="HF81:HF82"/>
    <mergeCell ref="GG80:GG83"/>
    <mergeCell ref="EY85:EY86"/>
    <mergeCell ref="GI86:GI87"/>
    <mergeCell ref="GJ86:GJ87"/>
    <mergeCell ref="GL86:GL87"/>
    <mergeCell ref="GM86:GM87"/>
    <mergeCell ref="HC86:HC87"/>
    <mergeCell ref="HD86:HD87"/>
    <mergeCell ref="HE86:HE87"/>
    <mergeCell ref="HF86:HF87"/>
    <mergeCell ref="HG86:HG87"/>
    <mergeCell ref="HH86:HH87"/>
    <mergeCell ref="HI86:HI87"/>
    <mergeCell ref="HJ86:HJ87"/>
    <mergeCell ref="HK86:HK87"/>
    <mergeCell ref="HL86:HL87"/>
    <mergeCell ref="HM86:HM87"/>
    <mergeCell ref="HN86:HN87"/>
    <mergeCell ref="HO86:HO87"/>
    <mergeCell ref="HP86:HP87"/>
    <mergeCell ref="HQ86:HQ87"/>
    <mergeCell ref="CO87:CO88"/>
    <mergeCell ref="CP87:CP88"/>
    <mergeCell ref="HY86:HY87"/>
    <mergeCell ref="FW80:FW83"/>
    <mergeCell ref="EZ85:EZ88"/>
    <mergeCell ref="FB85:FB86"/>
    <mergeCell ref="IH87:IH88"/>
    <mergeCell ref="DV85:DV86"/>
    <mergeCell ref="GG85:GG88"/>
    <mergeCell ref="FQ85:FQ86"/>
    <mergeCell ref="FR85:FR86"/>
    <mergeCell ref="IO24:IO25"/>
    <mergeCell ref="IN24:IN25"/>
    <mergeCell ref="IN22:IN23"/>
    <mergeCell ref="IB85:IB86"/>
    <mergeCell ref="IC85:IC88"/>
    <mergeCell ref="IF85:IF86"/>
    <mergeCell ref="IG85:IG88"/>
    <mergeCell ref="IH85:IH86"/>
    <mergeCell ref="EM85:EM88"/>
    <mergeCell ref="EN85:EN88"/>
    <mergeCell ref="EO85:EO88"/>
    <mergeCell ref="EP85:EP88"/>
    <mergeCell ref="EQ85:EQ88"/>
    <mergeCell ref="ES85:ES88"/>
    <mergeCell ref="FU45:FU46"/>
    <mergeCell ref="FU47:FU48"/>
    <mergeCell ref="FU50:FU51"/>
    <mergeCell ref="FU52:FU53"/>
    <mergeCell ref="FU55:FU56"/>
    <mergeCell ref="IK55:IK56"/>
    <mergeCell ref="IL55:IL56"/>
    <mergeCell ref="IM55:IM56"/>
    <mergeCell ref="IN55:IN56"/>
    <mergeCell ref="IO55:IO56"/>
    <mergeCell ref="GG50:GG53"/>
    <mergeCell ref="HW50:HW52"/>
    <mergeCell ref="HX50:HX51"/>
    <mergeCell ref="IA50:IA53"/>
    <mergeCell ref="IB50:IB51"/>
    <mergeCell ref="IC50:IC53"/>
    <mergeCell ref="IF50:IF51"/>
    <mergeCell ref="II50:II53"/>
    <mergeCell ref="GI51:GI52"/>
    <mergeCell ref="GJ51:GJ52"/>
    <mergeCell ref="GL51:GL52"/>
    <mergeCell ref="GM51:GM52"/>
    <mergeCell ref="IK67:IK68"/>
    <mergeCell ref="HU81:HU82"/>
    <mergeCell ref="HY81:HY82"/>
    <mergeCell ref="FQ82:FQ83"/>
    <mergeCell ref="IO67:IO68"/>
    <mergeCell ref="IK80:IK81"/>
    <mergeCell ref="IL80:IL81"/>
    <mergeCell ref="IM80:IM81"/>
    <mergeCell ref="IN80:IN81"/>
    <mergeCell ref="IO80:IO81"/>
    <mergeCell ref="FK80:FK81"/>
    <mergeCell ref="FL80:FL81"/>
    <mergeCell ref="GB85:GB88"/>
    <mergeCell ref="GC85:GC88"/>
    <mergeCell ref="GD85:GD88"/>
    <mergeCell ref="HR86:HR87"/>
    <mergeCell ref="HS86:HS87"/>
    <mergeCell ref="HT86:HT87"/>
    <mergeCell ref="HU86:HU87"/>
    <mergeCell ref="FW85:FW88"/>
    <mergeCell ref="FX85:FX88"/>
    <mergeCell ref="FQ87:FQ88"/>
    <mergeCell ref="FR87:FR88"/>
    <mergeCell ref="FS87:FS88"/>
    <mergeCell ref="FT87:FT88"/>
    <mergeCell ref="BQ875:BQ876"/>
    <mergeCell ref="BR875:BR876"/>
    <mergeCell ref="BT875:BT876"/>
    <mergeCell ref="BU875:BU876"/>
    <mergeCell ref="BV875:BV876"/>
    <mergeCell ref="BW875:BW876"/>
    <mergeCell ref="BX875:BX876"/>
    <mergeCell ref="BY875:BY876"/>
    <mergeCell ref="BZ875:BZ876"/>
    <mergeCell ref="CA875:CA876"/>
    <mergeCell ref="CC875:CC876"/>
    <mergeCell ref="CD875:CD876"/>
    <mergeCell ref="CE875:CE876"/>
    <mergeCell ref="CG875:CG876"/>
    <mergeCell ref="II93:II96"/>
    <mergeCell ref="E94:F94"/>
    <mergeCell ref="G94:L94"/>
    <mergeCell ref="P94:Q94"/>
    <mergeCell ref="AF94:AI94"/>
    <mergeCell ref="GI94:GI95"/>
    <mergeCell ref="GJ94:GJ95"/>
    <mergeCell ref="GL94:GL95"/>
    <mergeCell ref="GM94:GM95"/>
    <mergeCell ref="HC94:HC95"/>
    <mergeCell ref="HD94:HD95"/>
    <mergeCell ref="HE94:HE95"/>
    <mergeCell ref="HF94:HF95"/>
    <mergeCell ref="HG94:HG95"/>
    <mergeCell ref="HH94:HH95"/>
    <mergeCell ref="HI94:HI95"/>
    <mergeCell ref="HJ94:HJ95"/>
    <mergeCell ref="HK94:HK95"/>
    <mergeCell ref="HL94:HL95"/>
    <mergeCell ref="HM94:HM95"/>
    <mergeCell ref="HN94:HN95"/>
    <mergeCell ref="HO94:HO95"/>
    <mergeCell ref="HP94:HP95"/>
    <mergeCell ref="HQ94:HQ95"/>
    <mergeCell ref="HR94:HR95"/>
    <mergeCell ref="HS94:HS95"/>
    <mergeCell ref="HT94:HT95"/>
    <mergeCell ref="HU94:HU95"/>
    <mergeCell ref="FQ93:FQ94"/>
    <mergeCell ref="FR93:FR94"/>
    <mergeCell ref="FS93:FS94"/>
    <mergeCell ref="G95:L95"/>
    <mergeCell ref="P95:Q95"/>
    <mergeCell ref="S95:S96"/>
    <mergeCell ref="FU120:FU121"/>
    <mergeCell ref="FU133:FU134"/>
    <mergeCell ref="FU145:FU146"/>
    <mergeCell ref="FU158:FU159"/>
    <mergeCell ref="FU176:FU177"/>
    <mergeCell ref="FU186:FU187"/>
    <mergeCell ref="FU198:FU199"/>
    <mergeCell ref="FU211:FU212"/>
    <mergeCell ref="FU254:FU255"/>
    <mergeCell ref="FU264:FU265"/>
    <mergeCell ref="FU289:FU290"/>
    <mergeCell ref="FU314:FU315"/>
    <mergeCell ref="FU342:FU343"/>
    <mergeCell ref="FU354:FU355"/>
    <mergeCell ref="FU98:FU99"/>
    <mergeCell ref="HS738:HS739"/>
    <mergeCell ref="IP55:IP56"/>
    <mergeCell ref="FU57:FU58"/>
    <mergeCell ref="IK57:IK58"/>
    <mergeCell ref="IL57:IL58"/>
    <mergeCell ref="IM57:IM58"/>
    <mergeCell ref="IN57:IN58"/>
    <mergeCell ref="IO57:IO58"/>
    <mergeCell ref="IP57:IP58"/>
    <mergeCell ref="FU60:FU61"/>
    <mergeCell ref="IK60:IK61"/>
    <mergeCell ref="IL60:IL61"/>
    <mergeCell ref="IM60:IM61"/>
    <mergeCell ref="IN60:IN61"/>
    <mergeCell ref="IO60:IO61"/>
    <mergeCell ref="IP60:IP61"/>
    <mergeCell ref="FU62:FU63"/>
    <mergeCell ref="IK62:IK63"/>
    <mergeCell ref="IL62:IL63"/>
    <mergeCell ref="IM62:IM63"/>
    <mergeCell ref="IN62:IN63"/>
    <mergeCell ref="IO62:IO63"/>
    <mergeCell ref="IP62:IP63"/>
    <mergeCell ref="FU65:FU66"/>
    <mergeCell ref="IK65:IK66"/>
    <mergeCell ref="IL65:IL66"/>
    <mergeCell ref="IM65:IM66"/>
    <mergeCell ref="IN65:IN66"/>
    <mergeCell ref="IO65:IO66"/>
    <mergeCell ref="IP65:IP66"/>
    <mergeCell ref="HW60:HW62"/>
    <mergeCell ref="HX60:HX61"/>
    <mergeCell ref="IA60:IA63"/>
    <mergeCell ref="IB60:IB61"/>
    <mergeCell ref="IC60:IC63"/>
    <mergeCell ref="IF60:IF61"/>
    <mergeCell ref="IG60:IG63"/>
    <mergeCell ref="IH60:IH61"/>
    <mergeCell ref="II60:II63"/>
    <mergeCell ref="IF57:IF58"/>
    <mergeCell ref="IH57:IH58"/>
    <mergeCell ref="II55:II58"/>
    <mergeCell ref="IH55:IH56"/>
    <mergeCell ref="HW55:HW57"/>
    <mergeCell ref="HX55:HX56"/>
    <mergeCell ref="IA55:IA58"/>
    <mergeCell ref="IB55:IB56"/>
    <mergeCell ref="HU56:HU57"/>
    <mergeCell ref="HY56:HY57"/>
    <mergeCell ref="HN66:HN67"/>
    <mergeCell ref="HO66:HO67"/>
    <mergeCell ref="HP66:HP67"/>
    <mergeCell ref="HU66:HU67"/>
    <mergeCell ref="HQ66:HQ67"/>
    <mergeCell ref="HR66:HR67"/>
    <mergeCell ref="HC61:HC62"/>
    <mergeCell ref="HD61:HD62"/>
    <mergeCell ref="HE61:HE62"/>
    <mergeCell ref="HF61:HF62"/>
    <mergeCell ref="IF62:IF63"/>
    <mergeCell ref="IH62:IH63"/>
    <mergeCell ref="HH61:HH62"/>
    <mergeCell ref="HI61:HI62"/>
    <mergeCell ref="HJ61:HJ62"/>
    <mergeCell ref="HK61:HK62"/>
    <mergeCell ref="IP67:IP68"/>
    <mergeCell ref="FU70:FU71"/>
    <mergeCell ref="IK70:IK71"/>
    <mergeCell ref="IL70:IL71"/>
    <mergeCell ref="IM70:IM71"/>
    <mergeCell ref="IN70:IN71"/>
    <mergeCell ref="IO70:IO71"/>
    <mergeCell ref="IP70:IP71"/>
    <mergeCell ref="FU72:FU73"/>
    <mergeCell ref="IK72:IK73"/>
    <mergeCell ref="IL72:IL73"/>
    <mergeCell ref="IM72:IM73"/>
    <mergeCell ref="IN72:IN73"/>
    <mergeCell ref="IO72:IO73"/>
    <mergeCell ref="IP72:IP73"/>
    <mergeCell ref="FU75:FU76"/>
    <mergeCell ref="IK75:IK76"/>
    <mergeCell ref="IL75:IL76"/>
    <mergeCell ref="IM75:IM76"/>
    <mergeCell ref="IN75:IN76"/>
    <mergeCell ref="IO75:IO76"/>
    <mergeCell ref="IP75:IP76"/>
    <mergeCell ref="FU77:FU78"/>
    <mergeCell ref="IK77:IK78"/>
    <mergeCell ref="IL77:IL78"/>
    <mergeCell ref="IM77:IM78"/>
    <mergeCell ref="IN77:IN78"/>
    <mergeCell ref="IO77:IO78"/>
    <mergeCell ref="IP77:IP78"/>
    <mergeCell ref="HX75:HX76"/>
    <mergeCell ref="IA75:IA78"/>
    <mergeCell ref="IB75:IB76"/>
    <mergeCell ref="IC75:IC78"/>
    <mergeCell ref="IF75:IF76"/>
    <mergeCell ref="HM66:HM67"/>
    <mergeCell ref="HI66:HI67"/>
    <mergeCell ref="FZ65:FZ68"/>
    <mergeCell ref="GA65:GA68"/>
    <mergeCell ref="GB65:GB68"/>
    <mergeCell ref="GC65:GC68"/>
    <mergeCell ref="HS66:HS67"/>
    <mergeCell ref="HT66:HT67"/>
    <mergeCell ref="HY66:HY67"/>
    <mergeCell ref="HM71:HM72"/>
    <mergeCell ref="IG75:IG78"/>
    <mergeCell ref="IH75:IH76"/>
    <mergeCell ref="HX77:HX78"/>
    <mergeCell ref="IB77:IB78"/>
    <mergeCell ref="IF77:IF78"/>
    <mergeCell ref="IH77:IH78"/>
    <mergeCell ref="GD75:GD78"/>
    <mergeCell ref="GG75:GG78"/>
    <mergeCell ref="HW75:HW77"/>
    <mergeCell ref="HX67:HX68"/>
    <mergeCell ref="IB67:IB68"/>
    <mergeCell ref="IB70:IB71"/>
    <mergeCell ref="IB72:IB73"/>
    <mergeCell ref="HS71:HS72"/>
    <mergeCell ref="HT71:HT72"/>
    <mergeCell ref="IC65:IC68"/>
    <mergeCell ref="IB65:IB66"/>
    <mergeCell ref="IL67:IL68"/>
    <mergeCell ref="IM67:IM68"/>
    <mergeCell ref="IN67:IN68"/>
    <mergeCell ref="IP80:IP81"/>
    <mergeCell ref="FU82:FU83"/>
    <mergeCell ref="IK82:IK83"/>
    <mergeCell ref="IL82:IL83"/>
    <mergeCell ref="IM82:IM83"/>
    <mergeCell ref="IN82:IN83"/>
    <mergeCell ref="IO82:IO83"/>
    <mergeCell ref="IP82:IP83"/>
    <mergeCell ref="FU85:FU86"/>
    <mergeCell ref="IK85:IK86"/>
    <mergeCell ref="IL85:IL86"/>
    <mergeCell ref="IM85:IM86"/>
    <mergeCell ref="IN85:IN86"/>
    <mergeCell ref="IO85:IO86"/>
    <mergeCell ref="IP85:IP86"/>
    <mergeCell ref="FU87:FU88"/>
    <mergeCell ref="IK87:IK88"/>
    <mergeCell ref="IL87:IL88"/>
    <mergeCell ref="IM87:IM88"/>
    <mergeCell ref="IN87:IN88"/>
    <mergeCell ref="IO87:IO88"/>
    <mergeCell ref="IP87:IP88"/>
    <mergeCell ref="FU93:FU94"/>
    <mergeCell ref="IK93:IK94"/>
    <mergeCell ref="IL93:IL94"/>
    <mergeCell ref="IM93:IM94"/>
    <mergeCell ref="IN93:IN94"/>
    <mergeCell ref="IO93:IO94"/>
    <mergeCell ref="IP93:IP94"/>
    <mergeCell ref="HW85:HW87"/>
    <mergeCell ref="HX85:HX86"/>
    <mergeCell ref="IA85:IA88"/>
    <mergeCell ref="IF82:IF83"/>
    <mergeCell ref="IH82:IH83"/>
    <mergeCell ref="II80:II83"/>
    <mergeCell ref="IA80:IA83"/>
    <mergeCell ref="IB80:IB81"/>
    <mergeCell ref="II85:II88"/>
    <mergeCell ref="IB87:IB88"/>
    <mergeCell ref="IF87:IF88"/>
    <mergeCell ref="IC80:IC83"/>
    <mergeCell ref="IF80:IF81"/>
    <mergeCell ref="IG80:IG83"/>
    <mergeCell ref="IH80:IH81"/>
    <mergeCell ref="IB82:IB83"/>
    <mergeCell ref="HR81:HR82"/>
    <mergeCell ref="HS81:HS82"/>
    <mergeCell ref="HT81:HT82"/>
    <mergeCell ref="HK81:HK82"/>
    <mergeCell ref="HL81:HL82"/>
    <mergeCell ref="HM81:HM82"/>
    <mergeCell ref="HN81:HN82"/>
    <mergeCell ref="HO81:HO82"/>
    <mergeCell ref="HP81:HP82"/>
    <mergeCell ref="IC93:IC96"/>
    <mergeCell ref="IK95:IK96"/>
    <mergeCell ref="IL95:IL96"/>
    <mergeCell ref="IM95:IM96"/>
    <mergeCell ref="IN95:IN96"/>
    <mergeCell ref="IO95:IO96"/>
    <mergeCell ref="IP95:IP96"/>
    <mergeCell ref="HY94:HY95"/>
    <mergeCell ref="FU95:FU96"/>
    <mergeCell ref="FX93:FX96"/>
    <mergeCell ref="IK98:IK99"/>
    <mergeCell ref="IL98:IL99"/>
    <mergeCell ref="IM98:IM99"/>
    <mergeCell ref="IN98:IN99"/>
    <mergeCell ref="IO98:IO99"/>
    <mergeCell ref="IP98:IP99"/>
    <mergeCell ref="FU100:FU101"/>
    <mergeCell ref="IK100:IK101"/>
    <mergeCell ref="IL100:IL101"/>
    <mergeCell ref="IM100:IM101"/>
    <mergeCell ref="IN100:IN101"/>
    <mergeCell ref="IO100:IO101"/>
    <mergeCell ref="IP100:IP101"/>
    <mergeCell ref="FU103:FU104"/>
    <mergeCell ref="IK103:IK104"/>
    <mergeCell ref="IL103:IL104"/>
    <mergeCell ref="IM103:IM104"/>
    <mergeCell ref="IN103:IN104"/>
    <mergeCell ref="IO103:IO104"/>
    <mergeCell ref="IP103:IP104"/>
    <mergeCell ref="FU105:FU106"/>
    <mergeCell ref="IK105:IK106"/>
    <mergeCell ref="IL105:IL106"/>
    <mergeCell ref="IM105:IM106"/>
    <mergeCell ref="IN105:IN106"/>
    <mergeCell ref="IO105:IO106"/>
    <mergeCell ref="IP105:IP106"/>
    <mergeCell ref="FZ103:FZ106"/>
    <mergeCell ref="GA103:GA106"/>
    <mergeCell ref="GB103:GB106"/>
    <mergeCell ref="GC103:GC106"/>
    <mergeCell ref="GD103:GD106"/>
    <mergeCell ref="GG103:GG106"/>
    <mergeCell ref="HW103:HW105"/>
    <mergeCell ref="HX103:HX104"/>
    <mergeCell ref="IA103:IA106"/>
    <mergeCell ref="IB103:IB104"/>
    <mergeCell ref="IH100:IH101"/>
    <mergeCell ref="HY104:HY105"/>
    <mergeCell ref="IH98:IH99"/>
    <mergeCell ref="II98:II101"/>
    <mergeCell ref="HH99:HH100"/>
    <mergeCell ref="HI99:HI100"/>
    <mergeCell ref="HJ99:HJ100"/>
    <mergeCell ref="HK99:HK100"/>
    <mergeCell ref="HL99:HL100"/>
    <mergeCell ref="HM99:HM100"/>
    <mergeCell ref="HN99:HN100"/>
    <mergeCell ref="HO99:HO100"/>
    <mergeCell ref="HP99:HP100"/>
    <mergeCell ref="HQ99:HQ100"/>
    <mergeCell ref="HR99:HR100"/>
    <mergeCell ref="HS99:HS100"/>
    <mergeCell ref="HT99:HT100"/>
    <mergeCell ref="HU99:HU100"/>
    <mergeCell ref="HY99:HY100"/>
    <mergeCell ref="GI99:GI100"/>
    <mergeCell ref="GJ99:GJ100"/>
    <mergeCell ref="IG98:IG101"/>
    <mergeCell ref="HX100:HX101"/>
    <mergeCell ref="IB100:IB101"/>
    <mergeCell ref="IF100:IF101"/>
    <mergeCell ref="HX98:HX99"/>
    <mergeCell ref="IA98:IA101"/>
    <mergeCell ref="IK108:IK109"/>
    <mergeCell ref="IL108:IL109"/>
    <mergeCell ref="IM108:IM109"/>
    <mergeCell ref="IN108:IN109"/>
    <mergeCell ref="IO108:IO109"/>
    <mergeCell ref="IP108:IP109"/>
    <mergeCell ref="FU110:FU111"/>
    <mergeCell ref="IK110:IK111"/>
    <mergeCell ref="IL110:IL111"/>
    <mergeCell ref="IM110:IM111"/>
    <mergeCell ref="IN110:IN111"/>
    <mergeCell ref="IO110:IO111"/>
    <mergeCell ref="IP110:IP111"/>
    <mergeCell ref="FU113:FU114"/>
    <mergeCell ref="IK113:IK114"/>
    <mergeCell ref="IL113:IL114"/>
    <mergeCell ref="IM113:IM114"/>
    <mergeCell ref="IN113:IN114"/>
    <mergeCell ref="IO113:IO114"/>
    <mergeCell ref="IP113:IP114"/>
    <mergeCell ref="FU115:FU116"/>
    <mergeCell ref="IK115:IK116"/>
    <mergeCell ref="IL115:IL116"/>
    <mergeCell ref="IM115:IM116"/>
    <mergeCell ref="IN115:IN116"/>
    <mergeCell ref="IO115:IO116"/>
    <mergeCell ref="IP115:IP116"/>
    <mergeCell ref="FU118:FU119"/>
    <mergeCell ref="IK118:IK119"/>
    <mergeCell ref="IL118:IL119"/>
    <mergeCell ref="IM118:IM119"/>
    <mergeCell ref="IN118:IN119"/>
    <mergeCell ref="IO118:IO119"/>
    <mergeCell ref="IP118:IP119"/>
    <mergeCell ref="II108:II111"/>
    <mergeCell ref="IA108:IA111"/>
    <mergeCell ref="IB108:IB109"/>
    <mergeCell ref="IC108:IC111"/>
    <mergeCell ref="IF108:IF109"/>
    <mergeCell ref="IG108:IG111"/>
    <mergeCell ref="IH108:IH109"/>
    <mergeCell ref="IB110:IB111"/>
    <mergeCell ref="IF110:IF111"/>
    <mergeCell ref="IH110:IH111"/>
    <mergeCell ref="IG113:IG116"/>
    <mergeCell ref="IH113:IH114"/>
    <mergeCell ref="II113:II116"/>
    <mergeCell ref="GI114:GI115"/>
    <mergeCell ref="GJ114:GJ115"/>
    <mergeCell ref="GL114:GL115"/>
    <mergeCell ref="GM114:GM115"/>
    <mergeCell ref="HC114:HC115"/>
    <mergeCell ref="HD114:HD115"/>
    <mergeCell ref="HE114:HE115"/>
    <mergeCell ref="HF114:HF115"/>
    <mergeCell ref="HG114:HG115"/>
    <mergeCell ref="HH114:HH115"/>
    <mergeCell ref="HI114:HI115"/>
    <mergeCell ref="HJ114:HJ115"/>
    <mergeCell ref="HK114:HK115"/>
    <mergeCell ref="HL114:HL115"/>
    <mergeCell ref="HM114:HM115"/>
    <mergeCell ref="HN114:HN115"/>
    <mergeCell ref="HO114:HO115"/>
    <mergeCell ref="IK120:IK121"/>
    <mergeCell ref="IL120:IL121"/>
    <mergeCell ref="IM120:IM121"/>
    <mergeCell ref="IN120:IN121"/>
    <mergeCell ref="IO120:IO121"/>
    <mergeCell ref="IP120:IP121"/>
    <mergeCell ref="FU123:FU124"/>
    <mergeCell ref="IK123:IK124"/>
    <mergeCell ref="IL123:IL124"/>
    <mergeCell ref="IM123:IM124"/>
    <mergeCell ref="IN123:IN124"/>
    <mergeCell ref="IO123:IO124"/>
    <mergeCell ref="IP123:IP124"/>
    <mergeCell ref="FU125:FU126"/>
    <mergeCell ref="IK125:IK126"/>
    <mergeCell ref="IL125:IL126"/>
    <mergeCell ref="IM125:IM126"/>
    <mergeCell ref="IN125:IN126"/>
    <mergeCell ref="IO125:IO126"/>
    <mergeCell ref="IP125:IP126"/>
    <mergeCell ref="FU128:FU129"/>
    <mergeCell ref="IK128:IK129"/>
    <mergeCell ref="IL128:IL129"/>
    <mergeCell ref="IM128:IM129"/>
    <mergeCell ref="IN128:IN129"/>
    <mergeCell ref="IO128:IO129"/>
    <mergeCell ref="IP128:IP129"/>
    <mergeCell ref="FU130:FU131"/>
    <mergeCell ref="IK130:IK131"/>
    <mergeCell ref="IL130:IL131"/>
    <mergeCell ref="IM130:IM131"/>
    <mergeCell ref="IN130:IN131"/>
    <mergeCell ref="IO130:IO131"/>
    <mergeCell ref="IP130:IP131"/>
    <mergeCell ref="FZ118:FZ121"/>
    <mergeCell ref="GA118:GA121"/>
    <mergeCell ref="GB118:GB121"/>
    <mergeCell ref="GC118:GC121"/>
    <mergeCell ref="GD118:GD121"/>
    <mergeCell ref="GG118:GG121"/>
    <mergeCell ref="HW118:HW120"/>
    <mergeCell ref="HX118:HX119"/>
    <mergeCell ref="IA118:IA121"/>
    <mergeCell ref="IB118:IB119"/>
    <mergeCell ref="IC118:IC121"/>
    <mergeCell ref="IF118:IF119"/>
    <mergeCell ref="IG118:IG121"/>
    <mergeCell ref="IH118:IH119"/>
    <mergeCell ref="II118:II121"/>
    <mergeCell ref="HX120:HX121"/>
    <mergeCell ref="IB120:IB121"/>
    <mergeCell ref="IF120:IF121"/>
    <mergeCell ref="IH120:IH121"/>
    <mergeCell ref="HU119:HU120"/>
    <mergeCell ref="HY119:HY120"/>
    <mergeCell ref="II123:II126"/>
    <mergeCell ref="IA123:IA126"/>
    <mergeCell ref="IB123:IB124"/>
    <mergeCell ref="IC123:IC126"/>
    <mergeCell ref="IF123:IF124"/>
    <mergeCell ref="IG123:IG126"/>
    <mergeCell ref="IH123:IH124"/>
    <mergeCell ref="IB125:IB126"/>
    <mergeCell ref="HK119:HK120"/>
    <mergeCell ref="IK133:IK134"/>
    <mergeCell ref="IL133:IL134"/>
    <mergeCell ref="IM133:IM134"/>
    <mergeCell ref="IN133:IN134"/>
    <mergeCell ref="IO133:IO134"/>
    <mergeCell ref="IP133:IP134"/>
    <mergeCell ref="FU135:FU136"/>
    <mergeCell ref="IK135:IK136"/>
    <mergeCell ref="IL135:IL136"/>
    <mergeCell ref="IM135:IM136"/>
    <mergeCell ref="IN135:IN136"/>
    <mergeCell ref="IO135:IO136"/>
    <mergeCell ref="IP135:IP136"/>
    <mergeCell ref="FU138:FU139"/>
    <mergeCell ref="IK138:IK139"/>
    <mergeCell ref="IL138:IL139"/>
    <mergeCell ref="IM138:IM139"/>
    <mergeCell ref="IN138:IN139"/>
    <mergeCell ref="IO138:IO139"/>
    <mergeCell ref="IP138:IP139"/>
    <mergeCell ref="FU140:FU141"/>
    <mergeCell ref="IK140:IK141"/>
    <mergeCell ref="IL140:IL141"/>
    <mergeCell ref="IM140:IM141"/>
    <mergeCell ref="IN140:IN141"/>
    <mergeCell ref="IO140:IO141"/>
    <mergeCell ref="IP140:IP141"/>
    <mergeCell ref="FU143:FU144"/>
    <mergeCell ref="IK143:IK144"/>
    <mergeCell ref="IL143:IL144"/>
    <mergeCell ref="IM143:IM144"/>
    <mergeCell ref="IN143:IN144"/>
    <mergeCell ref="IO143:IO144"/>
    <mergeCell ref="IP143:IP144"/>
    <mergeCell ref="FZ133:FZ136"/>
    <mergeCell ref="GA133:GA136"/>
    <mergeCell ref="GB133:GB136"/>
    <mergeCell ref="GC133:GC136"/>
    <mergeCell ref="GD133:GD136"/>
    <mergeCell ref="GG133:GG136"/>
    <mergeCell ref="HW133:HW135"/>
    <mergeCell ref="HX133:HX134"/>
    <mergeCell ref="IA133:IA136"/>
    <mergeCell ref="IB133:IB134"/>
    <mergeCell ref="IC133:IC136"/>
    <mergeCell ref="IF133:IF134"/>
    <mergeCell ref="IG133:IG136"/>
    <mergeCell ref="IH133:IH134"/>
    <mergeCell ref="II133:II136"/>
    <mergeCell ref="HX135:HX136"/>
    <mergeCell ref="IB135:IB136"/>
    <mergeCell ref="IF135:IF136"/>
    <mergeCell ref="IH135:IH136"/>
    <mergeCell ref="HU134:HU135"/>
    <mergeCell ref="HY134:HY135"/>
    <mergeCell ref="II138:II141"/>
    <mergeCell ref="IA138:IA141"/>
    <mergeCell ref="IB138:IB139"/>
    <mergeCell ref="IC138:IC141"/>
    <mergeCell ref="IF138:IF139"/>
    <mergeCell ref="IG138:IG141"/>
    <mergeCell ref="IH138:IH139"/>
    <mergeCell ref="IB140:IB141"/>
    <mergeCell ref="HK134:HK135"/>
    <mergeCell ref="IK145:IK146"/>
    <mergeCell ref="IL145:IL146"/>
    <mergeCell ref="IM145:IM146"/>
    <mergeCell ref="IN145:IN146"/>
    <mergeCell ref="IO145:IO146"/>
    <mergeCell ref="IP145:IP146"/>
    <mergeCell ref="FU148:FU149"/>
    <mergeCell ref="IK148:IK149"/>
    <mergeCell ref="IL148:IL149"/>
    <mergeCell ref="IM148:IM149"/>
    <mergeCell ref="IN148:IN149"/>
    <mergeCell ref="IO148:IO149"/>
    <mergeCell ref="IP148:IP149"/>
    <mergeCell ref="FU150:FU151"/>
    <mergeCell ref="IK150:IK151"/>
    <mergeCell ref="IL150:IL151"/>
    <mergeCell ref="IM150:IM151"/>
    <mergeCell ref="IN150:IN151"/>
    <mergeCell ref="IO150:IO151"/>
    <mergeCell ref="IP150:IP151"/>
    <mergeCell ref="FU153:FU154"/>
    <mergeCell ref="IK153:IK154"/>
    <mergeCell ref="IL153:IL154"/>
    <mergeCell ref="IM153:IM154"/>
    <mergeCell ref="IN153:IN154"/>
    <mergeCell ref="IO153:IO154"/>
    <mergeCell ref="IP153:IP154"/>
    <mergeCell ref="FU155:FU156"/>
    <mergeCell ref="IK155:IK156"/>
    <mergeCell ref="IL155:IL156"/>
    <mergeCell ref="IM155:IM156"/>
    <mergeCell ref="IN155:IN156"/>
    <mergeCell ref="IO155:IO156"/>
    <mergeCell ref="IP155:IP156"/>
    <mergeCell ref="IG143:IG146"/>
    <mergeCell ref="IH143:IH144"/>
    <mergeCell ref="II143:II146"/>
    <mergeCell ref="IA143:IA146"/>
    <mergeCell ref="IB143:IB144"/>
    <mergeCell ref="IC143:IC146"/>
    <mergeCell ref="IF143:IF144"/>
    <mergeCell ref="IB145:IB146"/>
    <mergeCell ref="IF145:IF146"/>
    <mergeCell ref="GB148:GB151"/>
    <mergeCell ref="GC148:GC151"/>
    <mergeCell ref="GD148:GD151"/>
    <mergeCell ref="GG148:GG151"/>
    <mergeCell ref="HW148:HW150"/>
    <mergeCell ref="HX148:HX149"/>
    <mergeCell ref="IA148:IA151"/>
    <mergeCell ref="IB148:IB149"/>
    <mergeCell ref="IC148:IC151"/>
    <mergeCell ref="IF148:IF149"/>
    <mergeCell ref="IF150:IF151"/>
    <mergeCell ref="IH150:IH151"/>
    <mergeCell ref="II153:II156"/>
    <mergeCell ref="IA153:IA156"/>
    <mergeCell ref="IB153:IB154"/>
    <mergeCell ref="IC153:IC156"/>
    <mergeCell ref="IF153:IF154"/>
    <mergeCell ref="IG153:IG156"/>
    <mergeCell ref="IH153:IH154"/>
    <mergeCell ref="IB155:IB156"/>
    <mergeCell ref="GI154:GI155"/>
    <mergeCell ref="IK158:IK159"/>
    <mergeCell ref="IL158:IL159"/>
    <mergeCell ref="IM158:IM159"/>
    <mergeCell ref="IN158:IN159"/>
    <mergeCell ref="IO158:IO159"/>
    <mergeCell ref="IP158:IP159"/>
    <mergeCell ref="FU160:FU161"/>
    <mergeCell ref="IK160:IK161"/>
    <mergeCell ref="IL160:IL161"/>
    <mergeCell ref="IM160:IM161"/>
    <mergeCell ref="IN160:IN161"/>
    <mergeCell ref="IO160:IO161"/>
    <mergeCell ref="IP160:IP161"/>
    <mergeCell ref="FU163:FU164"/>
    <mergeCell ref="IK163:IK164"/>
    <mergeCell ref="IL163:IL164"/>
    <mergeCell ref="IM163:IM164"/>
    <mergeCell ref="IN163:IN164"/>
    <mergeCell ref="IO163:IO164"/>
    <mergeCell ref="IP163:IP164"/>
    <mergeCell ref="FU165:FU166"/>
    <mergeCell ref="IK165:IK166"/>
    <mergeCell ref="IL165:IL166"/>
    <mergeCell ref="IM165:IM166"/>
    <mergeCell ref="IN165:IN166"/>
    <mergeCell ref="IO165:IO166"/>
    <mergeCell ref="IP165:IP166"/>
    <mergeCell ref="FU171:FU172"/>
    <mergeCell ref="IK171:IK172"/>
    <mergeCell ref="IL171:IL172"/>
    <mergeCell ref="IM171:IM172"/>
    <mergeCell ref="IN171:IN172"/>
    <mergeCell ref="IO171:IO172"/>
    <mergeCell ref="IP171:IP172"/>
    <mergeCell ref="IB158:IB159"/>
    <mergeCell ref="IC158:IC161"/>
    <mergeCell ref="IF158:IF159"/>
    <mergeCell ref="IB165:IB166"/>
    <mergeCell ref="IF165:IF166"/>
    <mergeCell ref="IH165:IH166"/>
    <mergeCell ref="IA163:IA166"/>
    <mergeCell ref="IB163:IB164"/>
    <mergeCell ref="IC163:IC166"/>
    <mergeCell ref="IF163:IF164"/>
    <mergeCell ref="IG163:IG166"/>
    <mergeCell ref="IH163:IH164"/>
    <mergeCell ref="II171:II174"/>
    <mergeCell ref="IA171:IA174"/>
    <mergeCell ref="IB171:IB172"/>
    <mergeCell ref="IC171:IC174"/>
    <mergeCell ref="IF171:IF172"/>
    <mergeCell ref="IB173:IB174"/>
    <mergeCell ref="IF173:IF174"/>
    <mergeCell ref="FU173:FU174"/>
    <mergeCell ref="IK173:IK174"/>
    <mergeCell ref="IL173:IL174"/>
    <mergeCell ref="IM173:IM174"/>
    <mergeCell ref="IN173:IN174"/>
    <mergeCell ref="IO173:IO174"/>
    <mergeCell ref="IP173:IP174"/>
    <mergeCell ref="II163:II166"/>
    <mergeCell ref="HK164:HK165"/>
    <mergeCell ref="HL164:HL165"/>
    <mergeCell ref="HM164:HM165"/>
    <mergeCell ref="IK176:IK177"/>
    <mergeCell ref="IL176:IL177"/>
    <mergeCell ref="IM176:IM177"/>
    <mergeCell ref="IN176:IN177"/>
    <mergeCell ref="IO176:IO177"/>
    <mergeCell ref="IP176:IP177"/>
    <mergeCell ref="FU178:FU179"/>
    <mergeCell ref="IK178:IK179"/>
    <mergeCell ref="IL178:IL179"/>
    <mergeCell ref="IM178:IM179"/>
    <mergeCell ref="IN178:IN179"/>
    <mergeCell ref="IO178:IO179"/>
    <mergeCell ref="IP178:IP179"/>
    <mergeCell ref="FU181:FU182"/>
    <mergeCell ref="IK181:IK182"/>
    <mergeCell ref="IL181:IL182"/>
    <mergeCell ref="IM181:IM182"/>
    <mergeCell ref="IN181:IN182"/>
    <mergeCell ref="IO181:IO182"/>
    <mergeCell ref="IP181:IP182"/>
    <mergeCell ref="FU183:FU184"/>
    <mergeCell ref="IK183:IK184"/>
    <mergeCell ref="IL183:IL184"/>
    <mergeCell ref="IM183:IM184"/>
    <mergeCell ref="IN183:IN184"/>
    <mergeCell ref="IO183:IO184"/>
    <mergeCell ref="IP183:IP184"/>
    <mergeCell ref="FZ176:FZ179"/>
    <mergeCell ref="GA176:GA179"/>
    <mergeCell ref="GB176:GB179"/>
    <mergeCell ref="GC176:GC179"/>
    <mergeCell ref="GD176:GD179"/>
    <mergeCell ref="GG176:GG179"/>
    <mergeCell ref="HW176:HW178"/>
    <mergeCell ref="HX176:HX177"/>
    <mergeCell ref="IA176:IA179"/>
    <mergeCell ref="IB176:IB177"/>
    <mergeCell ref="IC176:IC179"/>
    <mergeCell ref="IF176:IF177"/>
    <mergeCell ref="IG176:IG179"/>
    <mergeCell ref="IH176:IH177"/>
    <mergeCell ref="II176:II179"/>
    <mergeCell ref="HX178:HX179"/>
    <mergeCell ref="IB178:IB179"/>
    <mergeCell ref="IF178:IF179"/>
    <mergeCell ref="IH178:IH179"/>
    <mergeCell ref="HU177:HU178"/>
    <mergeCell ref="HY177:HY178"/>
    <mergeCell ref="II181:II184"/>
    <mergeCell ref="IA181:IA184"/>
    <mergeCell ref="IB181:IB182"/>
    <mergeCell ref="IC181:IC184"/>
    <mergeCell ref="IF181:IF182"/>
    <mergeCell ref="IG181:IG184"/>
    <mergeCell ref="IH181:IH182"/>
    <mergeCell ref="IB183:IB184"/>
    <mergeCell ref="HK177:HK178"/>
    <mergeCell ref="HL177:HL178"/>
    <mergeCell ref="HM177:HM178"/>
    <mergeCell ref="HN177:HN178"/>
    <mergeCell ref="HO177:HO178"/>
    <mergeCell ref="HP177:HP178"/>
    <mergeCell ref="HQ177:HQ178"/>
    <mergeCell ref="HR177:HR178"/>
    <mergeCell ref="IK186:IK187"/>
    <mergeCell ref="IL186:IL187"/>
    <mergeCell ref="IM186:IM187"/>
    <mergeCell ref="IN186:IN187"/>
    <mergeCell ref="IO186:IO187"/>
    <mergeCell ref="IP186:IP187"/>
    <mergeCell ref="FU188:FU189"/>
    <mergeCell ref="IK188:IK189"/>
    <mergeCell ref="IL188:IL189"/>
    <mergeCell ref="IM188:IM189"/>
    <mergeCell ref="IN188:IN189"/>
    <mergeCell ref="IO188:IO189"/>
    <mergeCell ref="IP188:IP189"/>
    <mergeCell ref="FU191:FU192"/>
    <mergeCell ref="IK191:IK192"/>
    <mergeCell ref="IL191:IL192"/>
    <mergeCell ref="IM191:IM192"/>
    <mergeCell ref="IN191:IN192"/>
    <mergeCell ref="IO191:IO192"/>
    <mergeCell ref="IP191:IP192"/>
    <mergeCell ref="FU193:FU194"/>
    <mergeCell ref="IK193:IK194"/>
    <mergeCell ref="IL193:IL194"/>
    <mergeCell ref="IM193:IM194"/>
    <mergeCell ref="IN193:IN194"/>
    <mergeCell ref="IO193:IO194"/>
    <mergeCell ref="IP193:IP194"/>
    <mergeCell ref="FU196:FU197"/>
    <mergeCell ref="IK196:IK197"/>
    <mergeCell ref="IL196:IL197"/>
    <mergeCell ref="IM196:IM197"/>
    <mergeCell ref="IN196:IN197"/>
    <mergeCell ref="IO196:IO197"/>
    <mergeCell ref="IP196:IP197"/>
    <mergeCell ref="IG186:IG189"/>
    <mergeCell ref="IH186:IH187"/>
    <mergeCell ref="II186:II189"/>
    <mergeCell ref="IA186:IA189"/>
    <mergeCell ref="IB186:IB187"/>
    <mergeCell ref="IC186:IC189"/>
    <mergeCell ref="IF186:IF187"/>
    <mergeCell ref="IB188:IB189"/>
    <mergeCell ref="IF188:IF189"/>
    <mergeCell ref="FZ191:FZ194"/>
    <mergeCell ref="GA191:GA194"/>
    <mergeCell ref="GB191:GB194"/>
    <mergeCell ref="GC191:GC194"/>
    <mergeCell ref="GD191:GD194"/>
    <mergeCell ref="GG191:GG194"/>
    <mergeCell ref="HW191:HW193"/>
    <mergeCell ref="HX191:HX192"/>
    <mergeCell ref="IA191:IA194"/>
    <mergeCell ref="IB191:IB192"/>
    <mergeCell ref="IC191:IC194"/>
    <mergeCell ref="IF191:IF192"/>
    <mergeCell ref="IG191:IG194"/>
    <mergeCell ref="IH191:IH192"/>
    <mergeCell ref="II191:II194"/>
    <mergeCell ref="HX193:HX194"/>
    <mergeCell ref="IB193:IB194"/>
    <mergeCell ref="IF193:IF194"/>
    <mergeCell ref="IH193:IH194"/>
    <mergeCell ref="HU192:HU193"/>
    <mergeCell ref="IH188:IH189"/>
    <mergeCell ref="IK198:IK199"/>
    <mergeCell ref="IL198:IL199"/>
    <mergeCell ref="IM198:IM199"/>
    <mergeCell ref="IN198:IN199"/>
    <mergeCell ref="IO198:IO199"/>
    <mergeCell ref="IP198:IP199"/>
    <mergeCell ref="FU201:FU202"/>
    <mergeCell ref="IK201:IK202"/>
    <mergeCell ref="IL201:IL202"/>
    <mergeCell ref="IM201:IM202"/>
    <mergeCell ref="IN201:IN202"/>
    <mergeCell ref="IO201:IO202"/>
    <mergeCell ref="IP201:IP202"/>
    <mergeCell ref="FU203:FU204"/>
    <mergeCell ref="IK203:IK204"/>
    <mergeCell ref="IL203:IL204"/>
    <mergeCell ref="IM203:IM204"/>
    <mergeCell ref="IN203:IN204"/>
    <mergeCell ref="IO203:IO204"/>
    <mergeCell ref="IP203:IP204"/>
    <mergeCell ref="FU206:FU207"/>
    <mergeCell ref="IK206:IK207"/>
    <mergeCell ref="IL206:IL207"/>
    <mergeCell ref="IM206:IM207"/>
    <mergeCell ref="IN206:IN207"/>
    <mergeCell ref="IO206:IO207"/>
    <mergeCell ref="IP206:IP207"/>
    <mergeCell ref="FU208:FU209"/>
    <mergeCell ref="IK208:IK209"/>
    <mergeCell ref="IL208:IL209"/>
    <mergeCell ref="IM208:IM209"/>
    <mergeCell ref="IN208:IN209"/>
    <mergeCell ref="IO208:IO209"/>
    <mergeCell ref="IP208:IP209"/>
    <mergeCell ref="IG201:IG204"/>
    <mergeCell ref="IH201:IH202"/>
    <mergeCell ref="II201:II204"/>
    <mergeCell ref="IA201:IA204"/>
    <mergeCell ref="IB201:IB202"/>
    <mergeCell ref="IC201:IC204"/>
    <mergeCell ref="IF201:IF202"/>
    <mergeCell ref="IB203:IB204"/>
    <mergeCell ref="IF203:IF204"/>
    <mergeCell ref="GB206:GB209"/>
    <mergeCell ref="GC206:GC209"/>
    <mergeCell ref="GD206:GD209"/>
    <mergeCell ref="GG206:GG209"/>
    <mergeCell ref="HW206:HW208"/>
    <mergeCell ref="HX206:HX207"/>
    <mergeCell ref="IA206:IA209"/>
    <mergeCell ref="IB206:IB207"/>
    <mergeCell ref="IC206:IC209"/>
    <mergeCell ref="IF206:IF207"/>
    <mergeCell ref="IF208:IF209"/>
    <mergeCell ref="IH208:IH209"/>
    <mergeCell ref="HK207:HK208"/>
    <mergeCell ref="HL207:HL208"/>
    <mergeCell ref="HM207:HM208"/>
    <mergeCell ref="HN207:HN208"/>
    <mergeCell ref="II196:II199"/>
    <mergeCell ref="IA196:IA199"/>
    <mergeCell ref="IH196:IH197"/>
    <mergeCell ref="HX198:HX199"/>
    <mergeCell ref="IB198:IB199"/>
    <mergeCell ref="IK211:IK212"/>
    <mergeCell ref="IL211:IL212"/>
    <mergeCell ref="IM211:IM212"/>
    <mergeCell ref="IN211:IN212"/>
    <mergeCell ref="IO211:IO212"/>
    <mergeCell ref="IP211:IP212"/>
    <mergeCell ref="FU213:FU214"/>
    <mergeCell ref="IK213:IK214"/>
    <mergeCell ref="IL213:IL214"/>
    <mergeCell ref="IM213:IM214"/>
    <mergeCell ref="IN213:IN214"/>
    <mergeCell ref="IO213:IO214"/>
    <mergeCell ref="IP213:IP214"/>
    <mergeCell ref="FU216:FU217"/>
    <mergeCell ref="IK216:IK217"/>
    <mergeCell ref="IL216:IL217"/>
    <mergeCell ref="IM216:IM217"/>
    <mergeCell ref="IN216:IN217"/>
    <mergeCell ref="IO216:IO217"/>
    <mergeCell ref="IP216:IP217"/>
    <mergeCell ref="FU218:FU219"/>
    <mergeCell ref="IK218:IK219"/>
    <mergeCell ref="IL218:IL219"/>
    <mergeCell ref="IM218:IM219"/>
    <mergeCell ref="IN218:IN219"/>
    <mergeCell ref="IO218:IO219"/>
    <mergeCell ref="IP218:IP219"/>
    <mergeCell ref="FU221:FU222"/>
    <mergeCell ref="IK221:IK222"/>
    <mergeCell ref="IL221:IL222"/>
    <mergeCell ref="IM221:IM222"/>
    <mergeCell ref="IN221:IN222"/>
    <mergeCell ref="IO221:IO222"/>
    <mergeCell ref="IP221:IP222"/>
    <mergeCell ref="II211:II214"/>
    <mergeCell ref="IA211:IA214"/>
    <mergeCell ref="IB211:IB212"/>
    <mergeCell ref="IC211:IC214"/>
    <mergeCell ref="IF211:IF212"/>
    <mergeCell ref="IG211:IG214"/>
    <mergeCell ref="IH211:IH212"/>
    <mergeCell ref="IB213:IB214"/>
    <mergeCell ref="IF213:IF214"/>
    <mergeCell ref="IH213:IH214"/>
    <mergeCell ref="II216:II219"/>
    <mergeCell ref="HW216:HW218"/>
    <mergeCell ref="HX216:HX217"/>
    <mergeCell ref="IA216:IA219"/>
    <mergeCell ref="IB216:IB217"/>
    <mergeCell ref="HU217:HU218"/>
    <mergeCell ref="HY217:HY218"/>
    <mergeCell ref="HX218:HX219"/>
    <mergeCell ref="IB218:IB219"/>
    <mergeCell ref="IF218:IF219"/>
    <mergeCell ref="IH218:IH219"/>
    <mergeCell ref="FY221:FY224"/>
    <mergeCell ref="FZ221:FZ224"/>
    <mergeCell ref="GA221:GA224"/>
    <mergeCell ref="GB221:GB224"/>
    <mergeCell ref="GC221:GC224"/>
    <mergeCell ref="GD221:GD224"/>
    <mergeCell ref="GG221:GG224"/>
    <mergeCell ref="HW221:HW223"/>
    <mergeCell ref="FU223:FU224"/>
    <mergeCell ref="IK223:IK224"/>
    <mergeCell ref="IL223:IL224"/>
    <mergeCell ref="IM223:IM224"/>
    <mergeCell ref="IN223:IN224"/>
    <mergeCell ref="IO223:IO224"/>
    <mergeCell ref="IP223:IP224"/>
    <mergeCell ref="FU226:FU227"/>
    <mergeCell ref="IK226:IK227"/>
    <mergeCell ref="IL226:IL227"/>
    <mergeCell ref="IM226:IM227"/>
    <mergeCell ref="IN226:IN227"/>
    <mergeCell ref="IO226:IO227"/>
    <mergeCell ref="IP226:IP227"/>
    <mergeCell ref="FU228:FU229"/>
    <mergeCell ref="IK228:IK229"/>
    <mergeCell ref="IL228:IL229"/>
    <mergeCell ref="IM228:IM229"/>
    <mergeCell ref="IN228:IN229"/>
    <mergeCell ref="IO228:IO229"/>
    <mergeCell ref="IP228:IP229"/>
    <mergeCell ref="FU231:FU232"/>
    <mergeCell ref="IK231:IK232"/>
    <mergeCell ref="IL231:IL232"/>
    <mergeCell ref="IM231:IM232"/>
    <mergeCell ref="IN231:IN232"/>
    <mergeCell ref="IO231:IO232"/>
    <mergeCell ref="IP231:IP232"/>
    <mergeCell ref="FU233:FU234"/>
    <mergeCell ref="IK233:IK234"/>
    <mergeCell ref="IL233:IL234"/>
    <mergeCell ref="IM233:IM234"/>
    <mergeCell ref="IN233:IN234"/>
    <mergeCell ref="IO233:IO234"/>
    <mergeCell ref="IP233:IP234"/>
    <mergeCell ref="II226:II229"/>
    <mergeCell ref="GI227:GI228"/>
    <mergeCell ref="GJ227:GJ228"/>
    <mergeCell ref="GL227:GL228"/>
    <mergeCell ref="GM227:GM228"/>
    <mergeCell ref="HC227:HC228"/>
    <mergeCell ref="HD227:HD228"/>
    <mergeCell ref="HE227:HE228"/>
    <mergeCell ref="HF227:HF228"/>
    <mergeCell ref="HG227:HG228"/>
    <mergeCell ref="HH227:HH228"/>
    <mergeCell ref="HI227:HI228"/>
    <mergeCell ref="HJ227:HJ228"/>
    <mergeCell ref="HK227:HK228"/>
    <mergeCell ref="HL227:HL228"/>
    <mergeCell ref="HM227:HM228"/>
    <mergeCell ref="HN227:HN228"/>
    <mergeCell ref="HO227:HO228"/>
    <mergeCell ref="HP227:HP228"/>
    <mergeCell ref="HQ227:HQ228"/>
    <mergeCell ref="HR227:HR228"/>
    <mergeCell ref="HS227:HS228"/>
    <mergeCell ref="HT227:HT228"/>
    <mergeCell ref="HU227:HU228"/>
    <mergeCell ref="HY227:HY228"/>
    <mergeCell ref="FW226:FW229"/>
    <mergeCell ref="FX226:FX229"/>
    <mergeCell ref="FY226:FY229"/>
    <mergeCell ref="FZ226:FZ229"/>
    <mergeCell ref="GA226:GA229"/>
    <mergeCell ref="IK236:IK237"/>
    <mergeCell ref="IL236:IL237"/>
    <mergeCell ref="IM236:IM237"/>
    <mergeCell ref="IN236:IN237"/>
    <mergeCell ref="IO236:IO237"/>
    <mergeCell ref="IP236:IP237"/>
    <mergeCell ref="FU238:FU239"/>
    <mergeCell ref="IK238:IK239"/>
    <mergeCell ref="IL238:IL239"/>
    <mergeCell ref="IM238:IM239"/>
    <mergeCell ref="IN238:IN239"/>
    <mergeCell ref="IO238:IO239"/>
    <mergeCell ref="IP238:IP239"/>
    <mergeCell ref="FU241:FU242"/>
    <mergeCell ref="IK241:IK242"/>
    <mergeCell ref="IL241:IL242"/>
    <mergeCell ref="IM241:IM242"/>
    <mergeCell ref="IN241:IN242"/>
    <mergeCell ref="IO241:IO242"/>
    <mergeCell ref="IP241:IP242"/>
    <mergeCell ref="FU243:FU244"/>
    <mergeCell ref="IK243:IK244"/>
    <mergeCell ref="IL243:IL244"/>
    <mergeCell ref="IM243:IM244"/>
    <mergeCell ref="IN243:IN244"/>
    <mergeCell ref="IO243:IO244"/>
    <mergeCell ref="IP243:IP244"/>
    <mergeCell ref="FU249:FU250"/>
    <mergeCell ref="IK249:IK250"/>
    <mergeCell ref="IL249:IL250"/>
    <mergeCell ref="IM249:IM250"/>
    <mergeCell ref="IN249:IN250"/>
    <mergeCell ref="IO249:IO250"/>
    <mergeCell ref="IP249:IP250"/>
    <mergeCell ref="HU237:HU238"/>
    <mergeCell ref="HY237:HY238"/>
    <mergeCell ref="II241:II244"/>
    <mergeCell ref="IA241:IA244"/>
    <mergeCell ref="IB241:IB242"/>
    <mergeCell ref="IC241:IC244"/>
    <mergeCell ref="IF241:IF242"/>
    <mergeCell ref="IG241:IG244"/>
    <mergeCell ref="IH241:IH242"/>
    <mergeCell ref="IB243:IB244"/>
    <mergeCell ref="IF243:IF244"/>
    <mergeCell ref="IH243:IH244"/>
    <mergeCell ref="II249:II252"/>
    <mergeCell ref="HW249:HW251"/>
    <mergeCell ref="HX249:HX250"/>
    <mergeCell ref="IA249:IA252"/>
    <mergeCell ref="IB249:IB250"/>
    <mergeCell ref="HU250:HU251"/>
    <mergeCell ref="HY250:HY251"/>
    <mergeCell ref="HX251:HX252"/>
    <mergeCell ref="IB251:IB252"/>
    <mergeCell ref="IF251:IF252"/>
    <mergeCell ref="IH251:IH252"/>
    <mergeCell ref="FU251:FU252"/>
    <mergeCell ref="IK251:IK252"/>
    <mergeCell ref="IL251:IL252"/>
    <mergeCell ref="IM251:IM252"/>
    <mergeCell ref="IN251:IN252"/>
    <mergeCell ref="IO251:IO252"/>
    <mergeCell ref="IP251:IP252"/>
    <mergeCell ref="IK254:IK255"/>
    <mergeCell ref="IL254:IL255"/>
    <mergeCell ref="IM254:IM255"/>
    <mergeCell ref="IN254:IN255"/>
    <mergeCell ref="IO254:IO255"/>
    <mergeCell ref="IP254:IP255"/>
    <mergeCell ref="FU256:FU257"/>
    <mergeCell ref="IK256:IK257"/>
    <mergeCell ref="IL256:IL257"/>
    <mergeCell ref="IM256:IM257"/>
    <mergeCell ref="IN256:IN257"/>
    <mergeCell ref="IO256:IO257"/>
    <mergeCell ref="IP256:IP257"/>
    <mergeCell ref="FU259:FU260"/>
    <mergeCell ref="IK259:IK260"/>
    <mergeCell ref="IL259:IL260"/>
    <mergeCell ref="IM259:IM260"/>
    <mergeCell ref="IN259:IN260"/>
    <mergeCell ref="IO259:IO260"/>
    <mergeCell ref="IP259:IP260"/>
    <mergeCell ref="FU261:FU262"/>
    <mergeCell ref="IK261:IK262"/>
    <mergeCell ref="IL261:IL262"/>
    <mergeCell ref="IM261:IM262"/>
    <mergeCell ref="IN261:IN262"/>
    <mergeCell ref="IO261:IO262"/>
    <mergeCell ref="IP261:IP262"/>
    <mergeCell ref="FY254:FY257"/>
    <mergeCell ref="FZ254:FZ257"/>
    <mergeCell ref="GA254:GA257"/>
    <mergeCell ref="GB254:GB257"/>
    <mergeCell ref="GC254:GC257"/>
    <mergeCell ref="GD254:GD257"/>
    <mergeCell ref="GG254:GG257"/>
    <mergeCell ref="HW254:HW256"/>
    <mergeCell ref="HX254:HX255"/>
    <mergeCell ref="IA254:IA257"/>
    <mergeCell ref="IB254:IB255"/>
    <mergeCell ref="IC254:IC257"/>
    <mergeCell ref="IF254:IF255"/>
    <mergeCell ref="IG254:IG257"/>
    <mergeCell ref="IH254:IH255"/>
    <mergeCell ref="II254:II257"/>
    <mergeCell ref="HX256:HX257"/>
    <mergeCell ref="IB256:IB257"/>
    <mergeCell ref="IF256:IF257"/>
    <mergeCell ref="IH256:IH257"/>
    <mergeCell ref="II259:II262"/>
    <mergeCell ref="IA259:IA262"/>
    <mergeCell ref="IB259:IB260"/>
    <mergeCell ref="IC259:IC262"/>
    <mergeCell ref="IF259:IF260"/>
    <mergeCell ref="IG259:IG262"/>
    <mergeCell ref="IH259:IH260"/>
    <mergeCell ref="IB261:IB262"/>
    <mergeCell ref="IF261:IF262"/>
    <mergeCell ref="HN255:HN256"/>
    <mergeCell ref="HO255:HO256"/>
    <mergeCell ref="HP255:HP256"/>
    <mergeCell ref="HQ255:HQ256"/>
    <mergeCell ref="HR255:HR256"/>
    <mergeCell ref="HS255:HS256"/>
    <mergeCell ref="HT255:HT256"/>
    <mergeCell ref="HU255:HU256"/>
    <mergeCell ref="IK264:IK265"/>
    <mergeCell ref="IL264:IL265"/>
    <mergeCell ref="IM264:IM265"/>
    <mergeCell ref="IN264:IN265"/>
    <mergeCell ref="IO264:IO265"/>
    <mergeCell ref="IP264:IP265"/>
    <mergeCell ref="FU266:FU267"/>
    <mergeCell ref="IK266:IK267"/>
    <mergeCell ref="IL266:IL267"/>
    <mergeCell ref="IM266:IM267"/>
    <mergeCell ref="IN266:IN267"/>
    <mergeCell ref="IO266:IO267"/>
    <mergeCell ref="IP266:IP267"/>
    <mergeCell ref="FU269:FU270"/>
    <mergeCell ref="IK269:IK270"/>
    <mergeCell ref="IL269:IL270"/>
    <mergeCell ref="IM269:IM270"/>
    <mergeCell ref="IN269:IN270"/>
    <mergeCell ref="IO269:IO270"/>
    <mergeCell ref="IP269:IP270"/>
    <mergeCell ref="FU271:FU272"/>
    <mergeCell ref="IK271:IK272"/>
    <mergeCell ref="IL271:IL272"/>
    <mergeCell ref="IM271:IM272"/>
    <mergeCell ref="IN271:IN272"/>
    <mergeCell ref="IO271:IO272"/>
    <mergeCell ref="IP271:IP272"/>
    <mergeCell ref="FU274:FU275"/>
    <mergeCell ref="IK274:IK275"/>
    <mergeCell ref="IL274:IL275"/>
    <mergeCell ref="IM274:IM275"/>
    <mergeCell ref="IN274:IN275"/>
    <mergeCell ref="IO274:IO275"/>
    <mergeCell ref="IP274:IP275"/>
    <mergeCell ref="GA264:GA267"/>
    <mergeCell ref="GB264:GB267"/>
    <mergeCell ref="GC264:GC267"/>
    <mergeCell ref="GD264:GD267"/>
    <mergeCell ref="GG264:GG267"/>
    <mergeCell ref="HW264:HW266"/>
    <mergeCell ref="HX264:HX265"/>
    <mergeCell ref="IA264:IA267"/>
    <mergeCell ref="IB264:IB265"/>
    <mergeCell ref="HU265:HU266"/>
    <mergeCell ref="HY265:HY266"/>
    <mergeCell ref="IH264:IH265"/>
    <mergeCell ref="GA269:GA272"/>
    <mergeCell ref="GB269:GB272"/>
    <mergeCell ref="GC269:GC272"/>
    <mergeCell ref="GD269:GD272"/>
    <mergeCell ref="GG269:GG272"/>
    <mergeCell ref="HW269:HW271"/>
    <mergeCell ref="HX269:HX270"/>
    <mergeCell ref="HU270:HU271"/>
    <mergeCell ref="HY270:HY271"/>
    <mergeCell ref="II274:II277"/>
    <mergeCell ref="GI275:GI276"/>
    <mergeCell ref="GJ275:GJ276"/>
    <mergeCell ref="GL275:GL276"/>
    <mergeCell ref="GM275:GM276"/>
    <mergeCell ref="HC275:HC276"/>
    <mergeCell ref="HD275:HD276"/>
    <mergeCell ref="HE275:HE276"/>
    <mergeCell ref="FU276:FU277"/>
    <mergeCell ref="IK276:IK277"/>
    <mergeCell ref="IL276:IL277"/>
    <mergeCell ref="IM276:IM277"/>
    <mergeCell ref="IN276:IN277"/>
    <mergeCell ref="IO276:IO277"/>
    <mergeCell ref="IP276:IP277"/>
    <mergeCell ref="FU279:FU280"/>
    <mergeCell ref="IK279:IK280"/>
    <mergeCell ref="IL279:IL280"/>
    <mergeCell ref="IM279:IM280"/>
    <mergeCell ref="IN279:IN280"/>
    <mergeCell ref="IO279:IO280"/>
    <mergeCell ref="IP279:IP280"/>
    <mergeCell ref="FU281:FU282"/>
    <mergeCell ref="IK281:IK282"/>
    <mergeCell ref="IL281:IL282"/>
    <mergeCell ref="IM281:IM282"/>
    <mergeCell ref="IN281:IN282"/>
    <mergeCell ref="IO281:IO282"/>
    <mergeCell ref="IP281:IP282"/>
    <mergeCell ref="FU284:FU285"/>
    <mergeCell ref="IK284:IK285"/>
    <mergeCell ref="IL284:IL285"/>
    <mergeCell ref="IM284:IM285"/>
    <mergeCell ref="IN284:IN285"/>
    <mergeCell ref="IO284:IO285"/>
    <mergeCell ref="IP284:IP285"/>
    <mergeCell ref="FU286:FU287"/>
    <mergeCell ref="IK286:IK287"/>
    <mergeCell ref="IL286:IL287"/>
    <mergeCell ref="IM286:IM287"/>
    <mergeCell ref="IN286:IN287"/>
    <mergeCell ref="IO286:IO287"/>
    <mergeCell ref="IP286:IP287"/>
    <mergeCell ref="HF275:HF276"/>
    <mergeCell ref="HG275:HG276"/>
    <mergeCell ref="HH275:HH276"/>
    <mergeCell ref="HI275:HI276"/>
    <mergeCell ref="HJ275:HJ276"/>
    <mergeCell ref="HK275:HK276"/>
    <mergeCell ref="HL275:HL276"/>
    <mergeCell ref="HM275:HM276"/>
    <mergeCell ref="HN275:HN276"/>
    <mergeCell ref="HO275:HO276"/>
    <mergeCell ref="HP275:HP276"/>
    <mergeCell ref="HQ275:HQ276"/>
    <mergeCell ref="HR275:HR276"/>
    <mergeCell ref="HS275:HS276"/>
    <mergeCell ref="HT275:HT276"/>
    <mergeCell ref="HU275:HU276"/>
    <mergeCell ref="HY275:HY276"/>
    <mergeCell ref="FW274:FW277"/>
    <mergeCell ref="FX274:FX277"/>
    <mergeCell ref="FY274:FY277"/>
    <mergeCell ref="FZ274:FZ277"/>
    <mergeCell ref="GA274:GA277"/>
    <mergeCell ref="GB274:GB277"/>
    <mergeCell ref="GC274:GC277"/>
    <mergeCell ref="GD274:GD277"/>
    <mergeCell ref="GG274:GG277"/>
    <mergeCell ref="HW274:HW276"/>
    <mergeCell ref="HX274:HX275"/>
    <mergeCell ref="IA274:IA277"/>
    <mergeCell ref="IB274:IB275"/>
    <mergeCell ref="IK289:IK290"/>
    <mergeCell ref="IL289:IL290"/>
    <mergeCell ref="IM289:IM290"/>
    <mergeCell ref="IN289:IN290"/>
    <mergeCell ref="IO289:IO290"/>
    <mergeCell ref="IP289:IP290"/>
    <mergeCell ref="FU291:FU292"/>
    <mergeCell ref="IK291:IK292"/>
    <mergeCell ref="IL291:IL292"/>
    <mergeCell ref="IM291:IM292"/>
    <mergeCell ref="IN291:IN292"/>
    <mergeCell ref="IO291:IO292"/>
    <mergeCell ref="IP291:IP292"/>
    <mergeCell ref="FU294:FU295"/>
    <mergeCell ref="IK294:IK295"/>
    <mergeCell ref="IL294:IL295"/>
    <mergeCell ref="IM294:IM295"/>
    <mergeCell ref="IN294:IN295"/>
    <mergeCell ref="IO294:IO295"/>
    <mergeCell ref="IP294:IP295"/>
    <mergeCell ref="FU296:FU297"/>
    <mergeCell ref="IK296:IK297"/>
    <mergeCell ref="IL296:IL297"/>
    <mergeCell ref="IM296:IM297"/>
    <mergeCell ref="IN296:IN297"/>
    <mergeCell ref="IO296:IO297"/>
    <mergeCell ref="IP296:IP297"/>
    <mergeCell ref="FU299:FU300"/>
    <mergeCell ref="IK299:IK300"/>
    <mergeCell ref="IL299:IL300"/>
    <mergeCell ref="IM299:IM300"/>
    <mergeCell ref="IN299:IN300"/>
    <mergeCell ref="IO299:IO300"/>
    <mergeCell ref="IP299:IP300"/>
    <mergeCell ref="II289:II292"/>
    <mergeCell ref="GI290:GI291"/>
    <mergeCell ref="GJ290:GJ291"/>
    <mergeCell ref="GL290:GL291"/>
    <mergeCell ref="GM290:GM291"/>
    <mergeCell ref="HC290:HC291"/>
    <mergeCell ref="HD290:HD291"/>
    <mergeCell ref="HE290:HE291"/>
    <mergeCell ref="HF290:HF291"/>
    <mergeCell ref="HG290:HG291"/>
    <mergeCell ref="HH290:HH291"/>
    <mergeCell ref="HI290:HI291"/>
    <mergeCell ref="HJ290:HJ291"/>
    <mergeCell ref="HK290:HK291"/>
    <mergeCell ref="HL290:HL291"/>
    <mergeCell ref="HM290:HM291"/>
    <mergeCell ref="HN290:HN291"/>
    <mergeCell ref="HO290:HO291"/>
    <mergeCell ref="HP290:HP291"/>
    <mergeCell ref="HQ290:HQ291"/>
    <mergeCell ref="HR290:HR291"/>
    <mergeCell ref="HS290:HS291"/>
    <mergeCell ref="HT290:HT291"/>
    <mergeCell ref="HU290:HU291"/>
    <mergeCell ref="HY290:HY291"/>
    <mergeCell ref="FW289:FW292"/>
    <mergeCell ref="FX289:FX292"/>
    <mergeCell ref="FY289:FY292"/>
    <mergeCell ref="FZ289:FZ292"/>
    <mergeCell ref="GA289:GA292"/>
    <mergeCell ref="IK301:IK302"/>
    <mergeCell ref="IL301:IL302"/>
    <mergeCell ref="IM301:IM302"/>
    <mergeCell ref="IN301:IN302"/>
    <mergeCell ref="IO301:IO302"/>
    <mergeCell ref="IP301:IP302"/>
    <mergeCell ref="FU304:FU305"/>
    <mergeCell ref="IK304:IK305"/>
    <mergeCell ref="IL304:IL305"/>
    <mergeCell ref="IM304:IM305"/>
    <mergeCell ref="IN304:IN305"/>
    <mergeCell ref="IO304:IO305"/>
    <mergeCell ref="IP304:IP305"/>
    <mergeCell ref="FU306:FU307"/>
    <mergeCell ref="IK306:IK307"/>
    <mergeCell ref="IL306:IL307"/>
    <mergeCell ref="IM306:IM307"/>
    <mergeCell ref="IN306:IN307"/>
    <mergeCell ref="IO306:IO307"/>
    <mergeCell ref="IP306:IP307"/>
    <mergeCell ref="FU309:FU310"/>
    <mergeCell ref="IK309:IK310"/>
    <mergeCell ref="IL309:IL310"/>
    <mergeCell ref="IM309:IM310"/>
    <mergeCell ref="IN309:IN310"/>
    <mergeCell ref="IO309:IO310"/>
    <mergeCell ref="IP309:IP310"/>
    <mergeCell ref="FU311:FU312"/>
    <mergeCell ref="IK311:IK312"/>
    <mergeCell ref="IL311:IL312"/>
    <mergeCell ref="IM311:IM312"/>
    <mergeCell ref="IN311:IN312"/>
    <mergeCell ref="IO311:IO312"/>
    <mergeCell ref="IP311:IP312"/>
    <mergeCell ref="HU300:HU301"/>
    <mergeCell ref="HY300:HY301"/>
    <mergeCell ref="II304:II307"/>
    <mergeCell ref="IA304:IA307"/>
    <mergeCell ref="IB304:IB305"/>
    <mergeCell ref="IC304:IC307"/>
    <mergeCell ref="IF304:IF305"/>
    <mergeCell ref="IG304:IG307"/>
    <mergeCell ref="IH304:IH305"/>
    <mergeCell ref="IB306:IB307"/>
    <mergeCell ref="IF306:IF307"/>
    <mergeCell ref="IH306:IH307"/>
    <mergeCell ref="II309:II312"/>
    <mergeCell ref="HW309:HW311"/>
    <mergeCell ref="HX309:HX310"/>
    <mergeCell ref="IA309:IA312"/>
    <mergeCell ref="IB309:IB310"/>
    <mergeCell ref="HU310:HU311"/>
    <mergeCell ref="HY310:HY311"/>
    <mergeCell ref="HX311:HX312"/>
    <mergeCell ref="IB311:IB312"/>
    <mergeCell ref="IF311:IF312"/>
    <mergeCell ref="IH311:IH312"/>
    <mergeCell ref="IH301:IH302"/>
    <mergeCell ref="HX301:HX302"/>
    <mergeCell ref="FU301:FU302"/>
    <mergeCell ref="IB301:IB302"/>
    <mergeCell ref="IF301:IF302"/>
    <mergeCell ref="GI305:GI306"/>
    <mergeCell ref="GJ305:GJ306"/>
    <mergeCell ref="IK314:IK315"/>
    <mergeCell ref="IL314:IL315"/>
    <mergeCell ref="IM314:IM315"/>
    <mergeCell ref="IN314:IN315"/>
    <mergeCell ref="IO314:IO315"/>
    <mergeCell ref="IP314:IP315"/>
    <mergeCell ref="FU316:FU317"/>
    <mergeCell ref="IK316:IK317"/>
    <mergeCell ref="IL316:IL317"/>
    <mergeCell ref="IM316:IM317"/>
    <mergeCell ref="IN316:IN317"/>
    <mergeCell ref="IO316:IO317"/>
    <mergeCell ref="IP316:IP317"/>
    <mergeCell ref="FU319:FU320"/>
    <mergeCell ref="IK319:IK320"/>
    <mergeCell ref="IL319:IL320"/>
    <mergeCell ref="IM319:IM320"/>
    <mergeCell ref="IN319:IN320"/>
    <mergeCell ref="IO319:IO320"/>
    <mergeCell ref="IP319:IP320"/>
    <mergeCell ref="FU321:FU322"/>
    <mergeCell ref="IK321:IK322"/>
    <mergeCell ref="IL321:IL322"/>
    <mergeCell ref="IM321:IM322"/>
    <mergeCell ref="IN321:IN322"/>
    <mergeCell ref="IO321:IO322"/>
    <mergeCell ref="IP321:IP322"/>
    <mergeCell ref="FU327:FU328"/>
    <mergeCell ref="IK327:IK328"/>
    <mergeCell ref="IL327:IL328"/>
    <mergeCell ref="IM327:IM328"/>
    <mergeCell ref="IN327:IN328"/>
    <mergeCell ref="IO327:IO328"/>
    <mergeCell ref="IP327:IP328"/>
    <mergeCell ref="FY314:FY317"/>
    <mergeCell ref="FZ314:FZ317"/>
    <mergeCell ref="GA314:GA317"/>
    <mergeCell ref="GB314:GB317"/>
    <mergeCell ref="GC314:GC317"/>
    <mergeCell ref="GD314:GD317"/>
    <mergeCell ref="GG314:GG317"/>
    <mergeCell ref="HW314:HW316"/>
    <mergeCell ref="HX314:HX315"/>
    <mergeCell ref="IA314:IA317"/>
    <mergeCell ref="IB314:IB315"/>
    <mergeCell ref="IC314:IC317"/>
    <mergeCell ref="IF314:IF315"/>
    <mergeCell ref="IG314:IG317"/>
    <mergeCell ref="IH314:IH315"/>
    <mergeCell ref="II314:II317"/>
    <mergeCell ref="HY315:HY316"/>
    <mergeCell ref="II327:II330"/>
    <mergeCell ref="GI328:GI329"/>
    <mergeCell ref="GJ328:GJ329"/>
    <mergeCell ref="GL328:GL329"/>
    <mergeCell ref="GM328:GM329"/>
    <mergeCell ref="HC328:HC329"/>
    <mergeCell ref="HD328:HD329"/>
    <mergeCell ref="HE328:HE329"/>
    <mergeCell ref="HF328:HF329"/>
    <mergeCell ref="HG328:HG329"/>
    <mergeCell ref="HH328:HH329"/>
    <mergeCell ref="IK329:IK330"/>
    <mergeCell ref="IL329:IL330"/>
    <mergeCell ref="IM329:IM330"/>
    <mergeCell ref="IN329:IN330"/>
    <mergeCell ref="IO329:IO330"/>
    <mergeCell ref="IP329:IP330"/>
    <mergeCell ref="FU332:FU333"/>
    <mergeCell ref="IK332:IK333"/>
    <mergeCell ref="IL332:IL333"/>
    <mergeCell ref="IM332:IM333"/>
    <mergeCell ref="IN332:IN333"/>
    <mergeCell ref="IO332:IO333"/>
    <mergeCell ref="IP332:IP333"/>
    <mergeCell ref="FU334:FU335"/>
    <mergeCell ref="IK334:IK335"/>
    <mergeCell ref="IL334:IL335"/>
    <mergeCell ref="IM334:IM335"/>
    <mergeCell ref="IN334:IN335"/>
    <mergeCell ref="IO334:IO335"/>
    <mergeCell ref="IP334:IP335"/>
    <mergeCell ref="FU337:FU338"/>
    <mergeCell ref="IK337:IK338"/>
    <mergeCell ref="IL337:IL338"/>
    <mergeCell ref="IM337:IM338"/>
    <mergeCell ref="IN337:IN338"/>
    <mergeCell ref="IO337:IO338"/>
    <mergeCell ref="IP337:IP338"/>
    <mergeCell ref="FU339:FU340"/>
    <mergeCell ref="IK339:IK340"/>
    <mergeCell ref="IL339:IL340"/>
    <mergeCell ref="IM339:IM340"/>
    <mergeCell ref="IN339:IN340"/>
    <mergeCell ref="IO339:IO340"/>
    <mergeCell ref="IP339:IP340"/>
    <mergeCell ref="HJ328:HJ329"/>
    <mergeCell ref="HK328:HK329"/>
    <mergeCell ref="HL328:HL329"/>
    <mergeCell ref="HM328:HM329"/>
    <mergeCell ref="HN328:HN329"/>
    <mergeCell ref="HO328:HO329"/>
    <mergeCell ref="HP328:HP329"/>
    <mergeCell ref="HQ328:HQ329"/>
    <mergeCell ref="HR328:HR329"/>
    <mergeCell ref="HS328:HS329"/>
    <mergeCell ref="HT328:HT329"/>
    <mergeCell ref="IF329:IF330"/>
    <mergeCell ref="IH329:IH330"/>
    <mergeCell ref="IC327:IC330"/>
    <mergeCell ref="IF327:IF328"/>
    <mergeCell ref="IG327:IG330"/>
    <mergeCell ref="IH327:IH328"/>
    <mergeCell ref="IA332:IA335"/>
    <mergeCell ref="IB332:IB333"/>
    <mergeCell ref="IC332:IC335"/>
    <mergeCell ref="IF332:IF333"/>
    <mergeCell ref="IG332:IG335"/>
    <mergeCell ref="IH332:IH333"/>
    <mergeCell ref="II332:II335"/>
    <mergeCell ref="GI333:GI334"/>
    <mergeCell ref="GJ333:GJ334"/>
    <mergeCell ref="GL333:GL334"/>
    <mergeCell ref="GM333:GM334"/>
    <mergeCell ref="HC333:HC334"/>
    <mergeCell ref="HD333:HD334"/>
    <mergeCell ref="GD327:GD330"/>
    <mergeCell ref="GG327:GG330"/>
    <mergeCell ref="IK342:IK343"/>
    <mergeCell ref="IL342:IL343"/>
    <mergeCell ref="IM342:IM343"/>
    <mergeCell ref="IN342:IN343"/>
    <mergeCell ref="IO342:IO343"/>
    <mergeCell ref="IP342:IP343"/>
    <mergeCell ref="FU344:FU345"/>
    <mergeCell ref="IK344:IK345"/>
    <mergeCell ref="IL344:IL345"/>
    <mergeCell ref="IM344:IM345"/>
    <mergeCell ref="IN344:IN345"/>
    <mergeCell ref="IO344:IO345"/>
    <mergeCell ref="IP344:IP345"/>
    <mergeCell ref="FU347:FU348"/>
    <mergeCell ref="IK347:IK348"/>
    <mergeCell ref="IL347:IL348"/>
    <mergeCell ref="IM347:IM348"/>
    <mergeCell ref="IN347:IN348"/>
    <mergeCell ref="IO347:IO348"/>
    <mergeCell ref="IP347:IP348"/>
    <mergeCell ref="FU349:FU350"/>
    <mergeCell ref="IK349:IK350"/>
    <mergeCell ref="IL349:IL350"/>
    <mergeCell ref="IM349:IM350"/>
    <mergeCell ref="IN349:IN350"/>
    <mergeCell ref="IO349:IO350"/>
    <mergeCell ref="IP349:IP350"/>
    <mergeCell ref="FU352:FU353"/>
    <mergeCell ref="IK352:IK353"/>
    <mergeCell ref="IL352:IL353"/>
    <mergeCell ref="IM352:IM353"/>
    <mergeCell ref="IN352:IN353"/>
    <mergeCell ref="IO352:IO353"/>
    <mergeCell ref="IP352:IP353"/>
    <mergeCell ref="II342:II345"/>
    <mergeCell ref="HW342:HW344"/>
    <mergeCell ref="HX342:HX343"/>
    <mergeCell ref="IA342:IA345"/>
    <mergeCell ref="IB342:IB343"/>
    <mergeCell ref="HU343:HU344"/>
    <mergeCell ref="HY343:HY344"/>
    <mergeCell ref="HX344:HX345"/>
    <mergeCell ref="IB344:IB345"/>
    <mergeCell ref="IF344:IF345"/>
    <mergeCell ref="IH344:IH345"/>
    <mergeCell ref="FY347:FY350"/>
    <mergeCell ref="FZ347:FZ350"/>
    <mergeCell ref="GA347:GA350"/>
    <mergeCell ref="GB347:GB350"/>
    <mergeCell ref="GC347:GC350"/>
    <mergeCell ref="GD347:GD350"/>
    <mergeCell ref="GG347:GG350"/>
    <mergeCell ref="HW347:HW349"/>
    <mergeCell ref="HX347:HX348"/>
    <mergeCell ref="IA347:IA350"/>
    <mergeCell ref="IB347:IB348"/>
    <mergeCell ref="IC347:IC350"/>
    <mergeCell ref="IF347:IF348"/>
    <mergeCell ref="IG347:IG350"/>
    <mergeCell ref="IH347:IH348"/>
    <mergeCell ref="II347:II350"/>
    <mergeCell ref="HY348:HY349"/>
    <mergeCell ref="GI343:GI344"/>
    <mergeCell ref="GJ343:GJ344"/>
    <mergeCell ref="IK354:IK355"/>
    <mergeCell ref="IL354:IL355"/>
    <mergeCell ref="IM354:IM355"/>
    <mergeCell ref="IN354:IN355"/>
    <mergeCell ref="IO354:IO355"/>
    <mergeCell ref="IP354:IP355"/>
    <mergeCell ref="FU357:FU358"/>
    <mergeCell ref="IK357:IK358"/>
    <mergeCell ref="IL357:IL358"/>
    <mergeCell ref="IM357:IM358"/>
    <mergeCell ref="IN357:IN358"/>
    <mergeCell ref="IO357:IO358"/>
    <mergeCell ref="IP357:IP358"/>
    <mergeCell ref="FU359:FU360"/>
    <mergeCell ref="IK359:IK360"/>
    <mergeCell ref="IL359:IL360"/>
    <mergeCell ref="IM359:IM360"/>
    <mergeCell ref="IN359:IN360"/>
    <mergeCell ref="IO359:IO360"/>
    <mergeCell ref="IP359:IP360"/>
    <mergeCell ref="FU362:FU363"/>
    <mergeCell ref="IK362:IK363"/>
    <mergeCell ref="IL362:IL363"/>
    <mergeCell ref="IM362:IM363"/>
    <mergeCell ref="IN362:IN363"/>
    <mergeCell ref="IO362:IO363"/>
    <mergeCell ref="IP362:IP363"/>
    <mergeCell ref="FU364:FU365"/>
    <mergeCell ref="IK364:IK365"/>
    <mergeCell ref="IL364:IL365"/>
    <mergeCell ref="IM364:IM365"/>
    <mergeCell ref="IN364:IN365"/>
    <mergeCell ref="IO364:IO365"/>
    <mergeCell ref="IP364:IP365"/>
    <mergeCell ref="II357:II360"/>
    <mergeCell ref="GI358:GI359"/>
    <mergeCell ref="GJ358:GJ359"/>
    <mergeCell ref="GL358:GL359"/>
    <mergeCell ref="GM358:GM359"/>
    <mergeCell ref="HC358:HC359"/>
    <mergeCell ref="HD358:HD359"/>
    <mergeCell ref="HE358:HE359"/>
    <mergeCell ref="HF358:HF359"/>
    <mergeCell ref="HG358:HG359"/>
    <mergeCell ref="HH358:HH359"/>
    <mergeCell ref="HI358:HI359"/>
    <mergeCell ref="HJ358:HJ359"/>
    <mergeCell ref="HK358:HK359"/>
    <mergeCell ref="HL358:HL359"/>
    <mergeCell ref="HM358:HM359"/>
    <mergeCell ref="HN358:HN359"/>
    <mergeCell ref="HO358:HO359"/>
    <mergeCell ref="HP358:HP359"/>
    <mergeCell ref="HQ358:HQ359"/>
    <mergeCell ref="HR358:HR359"/>
    <mergeCell ref="HS358:HS359"/>
    <mergeCell ref="HT358:HT359"/>
    <mergeCell ref="IF359:IF360"/>
    <mergeCell ref="IH359:IH360"/>
    <mergeCell ref="IC357:IC360"/>
    <mergeCell ref="IF357:IF358"/>
    <mergeCell ref="IG357:IG360"/>
    <mergeCell ref="IH357:IH358"/>
    <mergeCell ref="HW357:HW359"/>
    <mergeCell ref="IK367:IK368"/>
    <mergeCell ref="IL367:IL368"/>
    <mergeCell ref="IM367:IM368"/>
    <mergeCell ref="IN367:IN368"/>
    <mergeCell ref="IO367:IO368"/>
    <mergeCell ref="IP367:IP368"/>
    <mergeCell ref="FU369:FU370"/>
    <mergeCell ref="IK369:IK370"/>
    <mergeCell ref="IL369:IL370"/>
    <mergeCell ref="IM369:IM370"/>
    <mergeCell ref="IN369:IN370"/>
    <mergeCell ref="IO369:IO370"/>
    <mergeCell ref="IP369:IP370"/>
    <mergeCell ref="FU372:FU373"/>
    <mergeCell ref="IK372:IK373"/>
    <mergeCell ref="IL372:IL373"/>
    <mergeCell ref="IM372:IM373"/>
    <mergeCell ref="IN372:IN373"/>
    <mergeCell ref="IO372:IO373"/>
    <mergeCell ref="IP372:IP373"/>
    <mergeCell ref="FU374:FU375"/>
    <mergeCell ref="IK374:IK375"/>
    <mergeCell ref="IL374:IL375"/>
    <mergeCell ref="IM374:IM375"/>
    <mergeCell ref="IN374:IN375"/>
    <mergeCell ref="IO374:IO375"/>
    <mergeCell ref="IP374:IP375"/>
    <mergeCell ref="FU377:FU378"/>
    <mergeCell ref="IK377:IK378"/>
    <mergeCell ref="IL377:IL378"/>
    <mergeCell ref="IM377:IM378"/>
    <mergeCell ref="IN377:IN378"/>
    <mergeCell ref="IO377:IO378"/>
    <mergeCell ref="IP377:IP378"/>
    <mergeCell ref="II367:II370"/>
    <mergeCell ref="IA367:IA370"/>
    <mergeCell ref="IB367:IB368"/>
    <mergeCell ref="IC367:IC370"/>
    <mergeCell ref="IF367:IF368"/>
    <mergeCell ref="IG367:IG370"/>
    <mergeCell ref="IH367:IH368"/>
    <mergeCell ref="IB369:IB370"/>
    <mergeCell ref="IF369:IF370"/>
    <mergeCell ref="IH369:IH370"/>
    <mergeCell ref="II372:II375"/>
    <mergeCell ref="HW372:HW374"/>
    <mergeCell ref="HX372:HX373"/>
    <mergeCell ref="IA372:IA375"/>
    <mergeCell ref="IB372:IB373"/>
    <mergeCell ref="HU373:HU374"/>
    <mergeCell ref="HY373:HY374"/>
    <mergeCell ref="HX374:HX375"/>
    <mergeCell ref="IB374:IB375"/>
    <mergeCell ref="IF374:IF375"/>
    <mergeCell ref="IH374:IH375"/>
    <mergeCell ref="FY377:FY380"/>
    <mergeCell ref="FZ377:FZ380"/>
    <mergeCell ref="GA377:GA380"/>
    <mergeCell ref="GB377:GB380"/>
    <mergeCell ref="GC377:GC380"/>
    <mergeCell ref="GD377:GD380"/>
    <mergeCell ref="GG377:GG380"/>
    <mergeCell ref="HW377:HW379"/>
    <mergeCell ref="GI373:GI374"/>
    <mergeCell ref="IK379:IK380"/>
    <mergeCell ref="IL379:IL380"/>
    <mergeCell ref="IM379:IM380"/>
    <mergeCell ref="IN379:IN380"/>
    <mergeCell ref="IO379:IO380"/>
    <mergeCell ref="IP379:IP380"/>
    <mergeCell ref="FU382:FU383"/>
    <mergeCell ref="IK382:IK383"/>
    <mergeCell ref="IL382:IL383"/>
    <mergeCell ref="IM382:IM383"/>
    <mergeCell ref="IN382:IN383"/>
    <mergeCell ref="IO382:IO383"/>
    <mergeCell ref="IP382:IP383"/>
    <mergeCell ref="FU384:FU385"/>
    <mergeCell ref="IK384:IK385"/>
    <mergeCell ref="IL384:IL385"/>
    <mergeCell ref="IM384:IM385"/>
    <mergeCell ref="IN384:IN385"/>
    <mergeCell ref="IO384:IO385"/>
    <mergeCell ref="IP384:IP385"/>
    <mergeCell ref="FU387:FU388"/>
    <mergeCell ref="IK387:IK388"/>
    <mergeCell ref="IL387:IL388"/>
    <mergeCell ref="IM387:IM388"/>
    <mergeCell ref="IN387:IN388"/>
    <mergeCell ref="IO387:IO388"/>
    <mergeCell ref="IP387:IP388"/>
    <mergeCell ref="FU389:FU390"/>
    <mergeCell ref="IK389:IK390"/>
    <mergeCell ref="IL389:IL390"/>
    <mergeCell ref="IM389:IM390"/>
    <mergeCell ref="IN389:IN390"/>
    <mergeCell ref="IO389:IO390"/>
    <mergeCell ref="IP389:IP390"/>
    <mergeCell ref="IC387:IC390"/>
    <mergeCell ref="IF387:IF388"/>
    <mergeCell ref="IG387:IG390"/>
    <mergeCell ref="IH387:IH388"/>
    <mergeCell ref="II387:II390"/>
    <mergeCell ref="HW387:HW389"/>
    <mergeCell ref="HX387:HX388"/>
    <mergeCell ref="IA387:IA390"/>
    <mergeCell ref="IB387:IB388"/>
    <mergeCell ref="HU388:HU389"/>
    <mergeCell ref="HY388:HY389"/>
    <mergeCell ref="HX389:HX390"/>
    <mergeCell ref="IB389:IB390"/>
    <mergeCell ref="II382:II385"/>
    <mergeCell ref="IA382:IA385"/>
    <mergeCell ref="IB382:IB383"/>
    <mergeCell ref="IC382:IC385"/>
    <mergeCell ref="IF382:IF383"/>
    <mergeCell ref="IG382:IG385"/>
    <mergeCell ref="IH382:IH383"/>
    <mergeCell ref="IB384:IB385"/>
    <mergeCell ref="IF384:IF385"/>
    <mergeCell ref="IH384:IH385"/>
    <mergeCell ref="HM388:HM389"/>
    <mergeCell ref="HN388:HN389"/>
    <mergeCell ref="HO388:HO389"/>
    <mergeCell ref="HP388:HP389"/>
    <mergeCell ref="HQ388:HQ389"/>
    <mergeCell ref="HR388:HR389"/>
    <mergeCell ref="HS388:HS389"/>
    <mergeCell ref="IK392:IK393"/>
    <mergeCell ref="IL392:IL393"/>
    <mergeCell ref="IM392:IM393"/>
    <mergeCell ref="IN392:IN393"/>
    <mergeCell ref="IO392:IO393"/>
    <mergeCell ref="IP392:IP393"/>
    <mergeCell ref="FU394:FU395"/>
    <mergeCell ref="IK394:IK395"/>
    <mergeCell ref="IL394:IL395"/>
    <mergeCell ref="IM394:IM395"/>
    <mergeCell ref="IN394:IN395"/>
    <mergeCell ref="IO394:IO395"/>
    <mergeCell ref="IP394:IP395"/>
    <mergeCell ref="FU397:FU398"/>
    <mergeCell ref="IK397:IK398"/>
    <mergeCell ref="IL397:IL398"/>
    <mergeCell ref="IM397:IM398"/>
    <mergeCell ref="IN397:IN398"/>
    <mergeCell ref="IO397:IO398"/>
    <mergeCell ref="IP397:IP398"/>
    <mergeCell ref="FU399:FU400"/>
    <mergeCell ref="IK399:IK400"/>
    <mergeCell ref="IL399:IL400"/>
    <mergeCell ref="IM399:IM400"/>
    <mergeCell ref="IN399:IN400"/>
    <mergeCell ref="IO399:IO400"/>
    <mergeCell ref="IP399:IP400"/>
    <mergeCell ref="FU405:FU406"/>
    <mergeCell ref="IK405:IK406"/>
    <mergeCell ref="IL405:IL406"/>
    <mergeCell ref="IM405:IM406"/>
    <mergeCell ref="IN405:IN406"/>
    <mergeCell ref="IO405:IO406"/>
    <mergeCell ref="IP405:IP406"/>
    <mergeCell ref="IF392:IF393"/>
    <mergeCell ref="IG392:IG395"/>
    <mergeCell ref="IH392:IH393"/>
    <mergeCell ref="II392:II395"/>
    <mergeCell ref="FX397:FX400"/>
    <mergeCell ref="FY397:FY400"/>
    <mergeCell ref="FZ397:FZ400"/>
    <mergeCell ref="GA397:GA400"/>
    <mergeCell ref="GB397:GB400"/>
    <mergeCell ref="GC397:GC400"/>
    <mergeCell ref="GD397:GD400"/>
    <mergeCell ref="GG397:GG400"/>
    <mergeCell ref="HW397:HW399"/>
    <mergeCell ref="HX397:HX398"/>
    <mergeCell ref="IA397:IA400"/>
    <mergeCell ref="IB397:IB398"/>
    <mergeCell ref="IC397:IC400"/>
    <mergeCell ref="IF397:IF398"/>
    <mergeCell ref="IG397:IG400"/>
    <mergeCell ref="IH397:IH398"/>
    <mergeCell ref="HX399:HX400"/>
    <mergeCell ref="IB399:IB400"/>
    <mergeCell ref="IF399:IF400"/>
    <mergeCell ref="IH399:IH400"/>
    <mergeCell ref="II397:II400"/>
    <mergeCell ref="II405:II408"/>
    <mergeCell ref="GI406:GI407"/>
    <mergeCell ref="GJ406:GJ407"/>
    <mergeCell ref="GL406:GL407"/>
    <mergeCell ref="FU407:FU408"/>
    <mergeCell ref="IK407:IK408"/>
    <mergeCell ref="IL407:IL408"/>
    <mergeCell ref="IM407:IM408"/>
    <mergeCell ref="IN407:IN408"/>
    <mergeCell ref="IO407:IO408"/>
    <mergeCell ref="IP407:IP408"/>
    <mergeCell ref="FU410:FU411"/>
    <mergeCell ref="IK410:IK411"/>
    <mergeCell ref="IL410:IL411"/>
    <mergeCell ref="IM410:IM411"/>
    <mergeCell ref="IN410:IN411"/>
    <mergeCell ref="IO410:IO411"/>
    <mergeCell ref="IP410:IP411"/>
    <mergeCell ref="FU412:FU413"/>
    <mergeCell ref="IK412:IK413"/>
    <mergeCell ref="IL412:IL413"/>
    <mergeCell ref="IM412:IM413"/>
    <mergeCell ref="IN412:IN413"/>
    <mergeCell ref="IO412:IO413"/>
    <mergeCell ref="IP412:IP413"/>
    <mergeCell ref="FU415:FU416"/>
    <mergeCell ref="IK415:IK416"/>
    <mergeCell ref="IL415:IL416"/>
    <mergeCell ref="IM415:IM416"/>
    <mergeCell ref="IN415:IN416"/>
    <mergeCell ref="IO415:IO416"/>
    <mergeCell ref="IP415:IP416"/>
    <mergeCell ref="FU417:FU418"/>
    <mergeCell ref="IK417:IK418"/>
    <mergeCell ref="IL417:IL418"/>
    <mergeCell ref="IM417:IM418"/>
    <mergeCell ref="IN417:IN418"/>
    <mergeCell ref="IO417:IO418"/>
    <mergeCell ref="IP417:IP418"/>
    <mergeCell ref="GM406:GM407"/>
    <mergeCell ref="HC406:HC407"/>
    <mergeCell ref="HD406:HD407"/>
    <mergeCell ref="HE406:HE407"/>
    <mergeCell ref="HF406:HF407"/>
    <mergeCell ref="HG406:HG407"/>
    <mergeCell ref="HH406:HH407"/>
    <mergeCell ref="HI406:HI407"/>
    <mergeCell ref="HJ406:HJ407"/>
    <mergeCell ref="HK406:HK407"/>
    <mergeCell ref="HL406:HL407"/>
    <mergeCell ref="HM406:HM407"/>
    <mergeCell ref="HN406:HN407"/>
    <mergeCell ref="HO406:HO407"/>
    <mergeCell ref="HP406:HP407"/>
    <mergeCell ref="HQ406:HQ407"/>
    <mergeCell ref="HR406:HR407"/>
    <mergeCell ref="HS406:HS407"/>
    <mergeCell ref="HT406:HT407"/>
    <mergeCell ref="HU406:HU407"/>
    <mergeCell ref="HY406:HY407"/>
    <mergeCell ref="IF410:IF411"/>
    <mergeCell ref="IG410:IG413"/>
    <mergeCell ref="IH410:IH411"/>
    <mergeCell ref="II410:II413"/>
    <mergeCell ref="GI411:GI412"/>
    <mergeCell ref="GJ411:GJ412"/>
    <mergeCell ref="GL411:GL412"/>
    <mergeCell ref="GM411:GM412"/>
    <mergeCell ref="HC411:HC412"/>
    <mergeCell ref="IK420:IK421"/>
    <mergeCell ref="IL420:IL421"/>
    <mergeCell ref="IM420:IM421"/>
    <mergeCell ref="IN420:IN421"/>
    <mergeCell ref="IO420:IO421"/>
    <mergeCell ref="IP420:IP421"/>
    <mergeCell ref="FU422:FU423"/>
    <mergeCell ref="IK422:IK423"/>
    <mergeCell ref="IL422:IL423"/>
    <mergeCell ref="IM422:IM423"/>
    <mergeCell ref="IN422:IN423"/>
    <mergeCell ref="IO422:IO423"/>
    <mergeCell ref="IP422:IP423"/>
    <mergeCell ref="FU425:FU426"/>
    <mergeCell ref="IK425:IK426"/>
    <mergeCell ref="IL425:IL426"/>
    <mergeCell ref="IM425:IM426"/>
    <mergeCell ref="IN425:IN426"/>
    <mergeCell ref="IO425:IO426"/>
    <mergeCell ref="IP425:IP426"/>
    <mergeCell ref="FU427:FU428"/>
    <mergeCell ref="IK427:IK428"/>
    <mergeCell ref="IL427:IL428"/>
    <mergeCell ref="IM427:IM428"/>
    <mergeCell ref="IN427:IN428"/>
    <mergeCell ref="IO427:IO428"/>
    <mergeCell ref="IP427:IP428"/>
    <mergeCell ref="FU430:FU431"/>
    <mergeCell ref="IK430:IK431"/>
    <mergeCell ref="IL430:IL431"/>
    <mergeCell ref="IM430:IM431"/>
    <mergeCell ref="IN430:IN431"/>
    <mergeCell ref="IO430:IO431"/>
    <mergeCell ref="IP430:IP431"/>
    <mergeCell ref="IB422:IB423"/>
    <mergeCell ref="IF422:IF423"/>
    <mergeCell ref="IH422:IH423"/>
    <mergeCell ref="II425:II428"/>
    <mergeCell ref="GI426:GI427"/>
    <mergeCell ref="GJ426:GJ427"/>
    <mergeCell ref="GL426:GL427"/>
    <mergeCell ref="GM426:GM427"/>
    <mergeCell ref="HC426:HC427"/>
    <mergeCell ref="HD426:HD427"/>
    <mergeCell ref="HE426:HE427"/>
    <mergeCell ref="HF426:HF427"/>
    <mergeCell ref="HG426:HG427"/>
    <mergeCell ref="HH426:HH427"/>
    <mergeCell ref="HI426:HI427"/>
    <mergeCell ref="HJ426:HJ427"/>
    <mergeCell ref="HK426:HK427"/>
    <mergeCell ref="HL426:HL427"/>
    <mergeCell ref="HM426:HM427"/>
    <mergeCell ref="HN426:HN427"/>
    <mergeCell ref="HO426:HO427"/>
    <mergeCell ref="HP426:HP427"/>
    <mergeCell ref="HQ426:HQ427"/>
    <mergeCell ref="HR426:HR427"/>
    <mergeCell ref="HS426:HS427"/>
    <mergeCell ref="HT426:HT427"/>
    <mergeCell ref="HU426:HU427"/>
    <mergeCell ref="HY426:HY427"/>
    <mergeCell ref="FW425:FW428"/>
    <mergeCell ref="IC430:IC433"/>
    <mergeCell ref="IK432:IK433"/>
    <mergeCell ref="IL432:IL433"/>
    <mergeCell ref="IM432:IM433"/>
    <mergeCell ref="IN432:IN433"/>
    <mergeCell ref="IO432:IO433"/>
    <mergeCell ref="IP432:IP433"/>
    <mergeCell ref="FU435:FU436"/>
    <mergeCell ref="IK435:IK436"/>
    <mergeCell ref="IL435:IL436"/>
    <mergeCell ref="IM435:IM436"/>
    <mergeCell ref="IN435:IN436"/>
    <mergeCell ref="IO435:IO436"/>
    <mergeCell ref="IP435:IP436"/>
    <mergeCell ref="FU437:FU438"/>
    <mergeCell ref="IK437:IK438"/>
    <mergeCell ref="IL437:IL438"/>
    <mergeCell ref="IM437:IM438"/>
    <mergeCell ref="IN437:IN438"/>
    <mergeCell ref="IO437:IO438"/>
    <mergeCell ref="IP437:IP438"/>
    <mergeCell ref="FU440:FU441"/>
    <mergeCell ref="IK440:IK441"/>
    <mergeCell ref="IL440:IL441"/>
    <mergeCell ref="IM440:IM441"/>
    <mergeCell ref="IN440:IN441"/>
    <mergeCell ref="IO440:IO441"/>
    <mergeCell ref="IP440:IP441"/>
    <mergeCell ref="FU442:FU443"/>
    <mergeCell ref="IK442:IK443"/>
    <mergeCell ref="IL442:IL443"/>
    <mergeCell ref="IM442:IM443"/>
    <mergeCell ref="IN442:IN443"/>
    <mergeCell ref="IO442:IO443"/>
    <mergeCell ref="IP442:IP443"/>
    <mergeCell ref="II430:II433"/>
    <mergeCell ref="GD435:GD438"/>
    <mergeCell ref="GG435:GG438"/>
    <mergeCell ref="HW435:HW437"/>
    <mergeCell ref="HX435:HX436"/>
    <mergeCell ref="HU436:HU437"/>
    <mergeCell ref="HY436:HY437"/>
    <mergeCell ref="II440:II443"/>
    <mergeCell ref="IA440:IA443"/>
    <mergeCell ref="IB440:IB441"/>
    <mergeCell ref="IC440:IC443"/>
    <mergeCell ref="IF440:IF441"/>
    <mergeCell ref="IG440:IG443"/>
    <mergeCell ref="IH440:IH441"/>
    <mergeCell ref="IB442:IB443"/>
    <mergeCell ref="IF442:IF443"/>
    <mergeCell ref="IH442:IH443"/>
    <mergeCell ref="IF432:IF433"/>
    <mergeCell ref="IH432:IH433"/>
    <mergeCell ref="IF430:IF431"/>
    <mergeCell ref="IG430:IG433"/>
    <mergeCell ref="IH430:IH431"/>
    <mergeCell ref="IH437:IH438"/>
    <mergeCell ref="HJ436:HJ437"/>
    <mergeCell ref="HK436:HK437"/>
    <mergeCell ref="HL436:HL437"/>
    <mergeCell ref="HM436:HM437"/>
    <mergeCell ref="HN436:HN437"/>
    <mergeCell ref="HO436:HO437"/>
    <mergeCell ref="GI431:GI432"/>
    <mergeCell ref="IK445:IK446"/>
    <mergeCell ref="IL445:IL446"/>
    <mergeCell ref="IM445:IM446"/>
    <mergeCell ref="IN445:IN446"/>
    <mergeCell ref="IO445:IO446"/>
    <mergeCell ref="IP445:IP446"/>
    <mergeCell ref="FU447:FU448"/>
    <mergeCell ref="IK447:IK448"/>
    <mergeCell ref="IL447:IL448"/>
    <mergeCell ref="IM447:IM448"/>
    <mergeCell ref="IN447:IN448"/>
    <mergeCell ref="IO447:IO448"/>
    <mergeCell ref="IP447:IP448"/>
    <mergeCell ref="FU450:FU451"/>
    <mergeCell ref="IK450:IK451"/>
    <mergeCell ref="IL450:IL451"/>
    <mergeCell ref="IM450:IM451"/>
    <mergeCell ref="IN450:IN451"/>
    <mergeCell ref="IO450:IO451"/>
    <mergeCell ref="IP450:IP451"/>
    <mergeCell ref="FU452:FU453"/>
    <mergeCell ref="IK452:IK453"/>
    <mergeCell ref="IL452:IL453"/>
    <mergeCell ref="IM452:IM453"/>
    <mergeCell ref="IN452:IN453"/>
    <mergeCell ref="IO452:IO453"/>
    <mergeCell ref="IP452:IP453"/>
    <mergeCell ref="FU455:FU456"/>
    <mergeCell ref="IK455:IK456"/>
    <mergeCell ref="IL455:IL456"/>
    <mergeCell ref="IM455:IM456"/>
    <mergeCell ref="IN455:IN456"/>
    <mergeCell ref="IO455:IO456"/>
    <mergeCell ref="IP455:IP456"/>
    <mergeCell ref="II445:II448"/>
    <mergeCell ref="HW445:HW447"/>
    <mergeCell ref="HX445:HX446"/>
    <mergeCell ref="IA445:IA448"/>
    <mergeCell ref="IB445:IB446"/>
    <mergeCell ref="HU446:HU447"/>
    <mergeCell ref="HY446:HY447"/>
    <mergeCell ref="HX447:HX448"/>
    <mergeCell ref="IB447:IB448"/>
    <mergeCell ref="IF447:IF448"/>
    <mergeCell ref="IH447:IH448"/>
    <mergeCell ref="FY450:FY453"/>
    <mergeCell ref="FZ450:FZ453"/>
    <mergeCell ref="GA450:GA453"/>
    <mergeCell ref="GB450:GB453"/>
    <mergeCell ref="GC450:GC453"/>
    <mergeCell ref="GD450:GD453"/>
    <mergeCell ref="GG450:GG453"/>
    <mergeCell ref="HW450:HW452"/>
    <mergeCell ref="HX450:HX451"/>
    <mergeCell ref="IA450:IA453"/>
    <mergeCell ref="IB450:IB451"/>
    <mergeCell ref="IC450:IC453"/>
    <mergeCell ref="IF450:IF451"/>
    <mergeCell ref="IG450:IG453"/>
    <mergeCell ref="IH450:IH451"/>
    <mergeCell ref="II450:II453"/>
    <mergeCell ref="HY451:HY452"/>
    <mergeCell ref="IH455:IH456"/>
    <mergeCell ref="GI446:GI447"/>
    <mergeCell ref="IK457:IK458"/>
    <mergeCell ref="IL457:IL458"/>
    <mergeCell ref="IM457:IM458"/>
    <mergeCell ref="IN457:IN458"/>
    <mergeCell ref="IO457:IO458"/>
    <mergeCell ref="IP457:IP458"/>
    <mergeCell ref="FU460:FU461"/>
    <mergeCell ref="IK460:IK461"/>
    <mergeCell ref="IL460:IL461"/>
    <mergeCell ref="IM460:IM461"/>
    <mergeCell ref="IN460:IN461"/>
    <mergeCell ref="IO460:IO461"/>
    <mergeCell ref="IP460:IP461"/>
    <mergeCell ref="FU462:FU463"/>
    <mergeCell ref="IK462:IK463"/>
    <mergeCell ref="IL462:IL463"/>
    <mergeCell ref="IM462:IM463"/>
    <mergeCell ref="IN462:IN463"/>
    <mergeCell ref="IO462:IO463"/>
    <mergeCell ref="IP462:IP463"/>
    <mergeCell ref="FU465:FU466"/>
    <mergeCell ref="IK465:IK466"/>
    <mergeCell ref="IL465:IL466"/>
    <mergeCell ref="IM465:IM466"/>
    <mergeCell ref="IN465:IN466"/>
    <mergeCell ref="IO465:IO466"/>
    <mergeCell ref="IP465:IP466"/>
    <mergeCell ref="FU467:FU468"/>
    <mergeCell ref="IK467:IK468"/>
    <mergeCell ref="IL467:IL468"/>
    <mergeCell ref="IM467:IM468"/>
    <mergeCell ref="IN467:IN468"/>
    <mergeCell ref="IO467:IO468"/>
    <mergeCell ref="IP467:IP468"/>
    <mergeCell ref="II460:II463"/>
    <mergeCell ref="GI461:GI462"/>
    <mergeCell ref="GJ461:GJ462"/>
    <mergeCell ref="GL461:GL462"/>
    <mergeCell ref="GM461:GM462"/>
    <mergeCell ref="HC461:HC462"/>
    <mergeCell ref="HD461:HD462"/>
    <mergeCell ref="HE461:HE462"/>
    <mergeCell ref="HF461:HF462"/>
    <mergeCell ref="HG461:HG462"/>
    <mergeCell ref="HH461:HH462"/>
    <mergeCell ref="HI461:HI462"/>
    <mergeCell ref="HJ461:HJ462"/>
    <mergeCell ref="HK461:HK462"/>
    <mergeCell ref="HL461:HL462"/>
    <mergeCell ref="HM461:HM462"/>
    <mergeCell ref="HN461:HN462"/>
    <mergeCell ref="HO461:HO462"/>
    <mergeCell ref="HP461:HP462"/>
    <mergeCell ref="HQ461:HQ462"/>
    <mergeCell ref="HR461:HR462"/>
    <mergeCell ref="HS461:HS462"/>
    <mergeCell ref="HT461:HT462"/>
    <mergeCell ref="IF462:IF463"/>
    <mergeCell ref="IH462:IH463"/>
    <mergeCell ref="IC460:IC463"/>
    <mergeCell ref="IF460:IF461"/>
    <mergeCell ref="IG460:IG463"/>
    <mergeCell ref="IH460:IH461"/>
    <mergeCell ref="HX457:HX458"/>
    <mergeCell ref="IK470:IK471"/>
    <mergeCell ref="IL470:IL471"/>
    <mergeCell ref="IM470:IM471"/>
    <mergeCell ref="IN470:IN471"/>
    <mergeCell ref="IO470:IO471"/>
    <mergeCell ref="IP470:IP471"/>
    <mergeCell ref="FU472:FU473"/>
    <mergeCell ref="IK472:IK473"/>
    <mergeCell ref="IL472:IL473"/>
    <mergeCell ref="IM472:IM473"/>
    <mergeCell ref="IN472:IN473"/>
    <mergeCell ref="IO472:IO473"/>
    <mergeCell ref="IP472:IP473"/>
    <mergeCell ref="FU475:FU476"/>
    <mergeCell ref="IK475:IK476"/>
    <mergeCell ref="IL475:IL476"/>
    <mergeCell ref="IM475:IM476"/>
    <mergeCell ref="IN475:IN476"/>
    <mergeCell ref="IO475:IO476"/>
    <mergeCell ref="IP475:IP476"/>
    <mergeCell ref="FU477:FU478"/>
    <mergeCell ref="IK477:IK478"/>
    <mergeCell ref="IL477:IL478"/>
    <mergeCell ref="IM477:IM478"/>
    <mergeCell ref="IN477:IN478"/>
    <mergeCell ref="IO477:IO478"/>
    <mergeCell ref="IP477:IP478"/>
    <mergeCell ref="FU483:FU484"/>
    <mergeCell ref="IK483:IK484"/>
    <mergeCell ref="IL483:IL484"/>
    <mergeCell ref="IM483:IM484"/>
    <mergeCell ref="IN483:IN484"/>
    <mergeCell ref="IO483:IO484"/>
    <mergeCell ref="IP483:IP484"/>
    <mergeCell ref="II470:II473"/>
    <mergeCell ref="IA470:IA473"/>
    <mergeCell ref="IB470:IB471"/>
    <mergeCell ref="IC470:IC473"/>
    <mergeCell ref="IF470:IF471"/>
    <mergeCell ref="IG470:IG473"/>
    <mergeCell ref="IH470:IH471"/>
    <mergeCell ref="IB472:IB473"/>
    <mergeCell ref="IF472:IF473"/>
    <mergeCell ref="IH472:IH473"/>
    <mergeCell ref="GA475:GA478"/>
    <mergeCell ref="GB475:GB478"/>
    <mergeCell ref="GC475:GC478"/>
    <mergeCell ref="GD475:GD478"/>
    <mergeCell ref="GG475:GG478"/>
    <mergeCell ref="HW475:HW477"/>
    <mergeCell ref="HX475:HX476"/>
    <mergeCell ref="IA475:IA478"/>
    <mergeCell ref="IB475:IB476"/>
    <mergeCell ref="HU476:HU477"/>
    <mergeCell ref="HY476:HY477"/>
    <mergeCell ref="IF477:IF478"/>
    <mergeCell ref="IH477:IH478"/>
    <mergeCell ref="IF483:IF484"/>
    <mergeCell ref="IG483:IG486"/>
    <mergeCell ref="FU485:FU486"/>
    <mergeCell ref="IK485:IK486"/>
    <mergeCell ref="IL485:IL486"/>
    <mergeCell ref="IM485:IM486"/>
    <mergeCell ref="IN485:IN486"/>
    <mergeCell ref="IO485:IO486"/>
    <mergeCell ref="IP485:IP486"/>
    <mergeCell ref="FU488:FU489"/>
    <mergeCell ref="IK488:IK489"/>
    <mergeCell ref="IL488:IL489"/>
    <mergeCell ref="IM488:IM489"/>
    <mergeCell ref="IN488:IN489"/>
    <mergeCell ref="IO488:IO489"/>
    <mergeCell ref="IP488:IP489"/>
    <mergeCell ref="FU490:FU491"/>
    <mergeCell ref="IK490:IK491"/>
    <mergeCell ref="IL490:IL491"/>
    <mergeCell ref="IM490:IM491"/>
    <mergeCell ref="IN490:IN491"/>
    <mergeCell ref="IO490:IO491"/>
    <mergeCell ref="IP490:IP491"/>
    <mergeCell ref="FU493:FU494"/>
    <mergeCell ref="IK493:IK494"/>
    <mergeCell ref="IL493:IL494"/>
    <mergeCell ref="IM493:IM494"/>
    <mergeCell ref="IN493:IN494"/>
    <mergeCell ref="IO493:IO494"/>
    <mergeCell ref="IP493:IP494"/>
    <mergeCell ref="FU495:FU496"/>
    <mergeCell ref="IK495:IK496"/>
    <mergeCell ref="IL495:IL496"/>
    <mergeCell ref="IM495:IM496"/>
    <mergeCell ref="IN495:IN496"/>
    <mergeCell ref="IO495:IO496"/>
    <mergeCell ref="IP495:IP496"/>
    <mergeCell ref="II488:II491"/>
    <mergeCell ref="GB493:GB496"/>
    <mergeCell ref="GC493:GC496"/>
    <mergeCell ref="GD493:GD496"/>
    <mergeCell ref="GG493:GG496"/>
    <mergeCell ref="HW493:HW495"/>
    <mergeCell ref="HX493:HX494"/>
    <mergeCell ref="IA493:IA496"/>
    <mergeCell ref="IB493:IB494"/>
    <mergeCell ref="IC493:IC496"/>
    <mergeCell ref="IF493:IF494"/>
    <mergeCell ref="IG493:IG496"/>
    <mergeCell ref="IH493:IH494"/>
    <mergeCell ref="II493:II496"/>
    <mergeCell ref="GI494:GI495"/>
    <mergeCell ref="GJ494:GJ495"/>
    <mergeCell ref="GL494:GL495"/>
    <mergeCell ref="GM494:GM495"/>
    <mergeCell ref="HC494:HC495"/>
    <mergeCell ref="HD494:HD495"/>
    <mergeCell ref="HE494:HE495"/>
    <mergeCell ref="HF494:HF495"/>
    <mergeCell ref="HG494:HG495"/>
    <mergeCell ref="HH494:HH495"/>
    <mergeCell ref="HI494:HI495"/>
    <mergeCell ref="HJ494:HJ495"/>
    <mergeCell ref="HK494:HK495"/>
    <mergeCell ref="HL494:HL495"/>
    <mergeCell ref="HM494:HM495"/>
    <mergeCell ref="HN494:HN495"/>
    <mergeCell ref="HO494:HO495"/>
    <mergeCell ref="HP494:HP495"/>
    <mergeCell ref="HQ494:HQ495"/>
    <mergeCell ref="HR494:HR495"/>
    <mergeCell ref="IK498:IK499"/>
    <mergeCell ref="IL498:IL499"/>
    <mergeCell ref="IM498:IM499"/>
    <mergeCell ref="IN498:IN499"/>
    <mergeCell ref="IO498:IO499"/>
    <mergeCell ref="IP498:IP499"/>
    <mergeCell ref="FU500:FU501"/>
    <mergeCell ref="IK500:IK501"/>
    <mergeCell ref="IL500:IL501"/>
    <mergeCell ref="IM500:IM501"/>
    <mergeCell ref="IN500:IN501"/>
    <mergeCell ref="IO500:IO501"/>
    <mergeCell ref="IP500:IP501"/>
    <mergeCell ref="FU503:FU504"/>
    <mergeCell ref="IK503:IK504"/>
    <mergeCell ref="IL503:IL504"/>
    <mergeCell ref="IM503:IM504"/>
    <mergeCell ref="IN503:IN504"/>
    <mergeCell ref="IO503:IO504"/>
    <mergeCell ref="IP503:IP504"/>
    <mergeCell ref="FU505:FU506"/>
    <mergeCell ref="IK505:IK506"/>
    <mergeCell ref="IL505:IL506"/>
    <mergeCell ref="IM505:IM506"/>
    <mergeCell ref="IN505:IN506"/>
    <mergeCell ref="IO505:IO506"/>
    <mergeCell ref="IP505:IP506"/>
    <mergeCell ref="FU508:FU509"/>
    <mergeCell ref="IK508:IK509"/>
    <mergeCell ref="IL508:IL509"/>
    <mergeCell ref="IM508:IM509"/>
    <mergeCell ref="IN508:IN509"/>
    <mergeCell ref="IO508:IO509"/>
    <mergeCell ref="IP508:IP509"/>
    <mergeCell ref="IC498:IC501"/>
    <mergeCell ref="IF498:IF499"/>
    <mergeCell ref="IG498:IG501"/>
    <mergeCell ref="IH498:IH499"/>
    <mergeCell ref="II498:II501"/>
    <mergeCell ref="II503:II506"/>
    <mergeCell ref="HI504:HI505"/>
    <mergeCell ref="HJ504:HJ505"/>
    <mergeCell ref="HK504:HK505"/>
    <mergeCell ref="HL504:HL505"/>
    <mergeCell ref="HM504:HM505"/>
    <mergeCell ref="HN504:HN505"/>
    <mergeCell ref="HO504:HO505"/>
    <mergeCell ref="HP504:HP505"/>
    <mergeCell ref="HQ504:HQ505"/>
    <mergeCell ref="HR504:HR505"/>
    <mergeCell ref="HS504:HS505"/>
    <mergeCell ref="HT504:HT505"/>
    <mergeCell ref="HU504:HU505"/>
    <mergeCell ref="HY504:HY505"/>
    <mergeCell ref="HY499:HY500"/>
    <mergeCell ref="GG498:GG501"/>
    <mergeCell ref="HW498:HW500"/>
    <mergeCell ref="HX498:HX499"/>
    <mergeCell ref="IA503:IA506"/>
    <mergeCell ref="IB503:IB504"/>
    <mergeCell ref="HU499:HU500"/>
    <mergeCell ref="HF504:HF505"/>
    <mergeCell ref="HG504:HG505"/>
    <mergeCell ref="HH504:HH505"/>
    <mergeCell ref="IK510:IK511"/>
    <mergeCell ref="IL510:IL511"/>
    <mergeCell ref="IM510:IM511"/>
    <mergeCell ref="IN510:IN511"/>
    <mergeCell ref="IO510:IO511"/>
    <mergeCell ref="IP510:IP511"/>
    <mergeCell ref="FU513:FU514"/>
    <mergeCell ref="IK513:IK514"/>
    <mergeCell ref="IL513:IL514"/>
    <mergeCell ref="IM513:IM514"/>
    <mergeCell ref="IN513:IN514"/>
    <mergeCell ref="IO513:IO514"/>
    <mergeCell ref="IP513:IP514"/>
    <mergeCell ref="FU515:FU516"/>
    <mergeCell ref="IK515:IK516"/>
    <mergeCell ref="IL515:IL516"/>
    <mergeCell ref="IM515:IM516"/>
    <mergeCell ref="IN515:IN516"/>
    <mergeCell ref="IO515:IO516"/>
    <mergeCell ref="IP515:IP516"/>
    <mergeCell ref="FU518:FU519"/>
    <mergeCell ref="IK518:IK519"/>
    <mergeCell ref="IL518:IL519"/>
    <mergeCell ref="IM518:IM519"/>
    <mergeCell ref="IN518:IN519"/>
    <mergeCell ref="IO518:IO519"/>
    <mergeCell ref="IP518:IP519"/>
    <mergeCell ref="FU520:FU521"/>
    <mergeCell ref="IK520:IK521"/>
    <mergeCell ref="IL520:IL521"/>
    <mergeCell ref="IM520:IM521"/>
    <mergeCell ref="IN520:IN521"/>
    <mergeCell ref="IO520:IO521"/>
    <mergeCell ref="IP520:IP521"/>
    <mergeCell ref="IB510:IB511"/>
    <mergeCell ref="IF510:IF511"/>
    <mergeCell ref="GB518:GB521"/>
    <mergeCell ref="GC518:GC521"/>
    <mergeCell ref="GD518:GD521"/>
    <mergeCell ref="GG518:GG521"/>
    <mergeCell ref="HW518:HW520"/>
    <mergeCell ref="HX518:HX519"/>
    <mergeCell ref="IA518:IA521"/>
    <mergeCell ref="IB518:IB519"/>
    <mergeCell ref="IC518:IC521"/>
    <mergeCell ref="IF518:IF519"/>
    <mergeCell ref="IG518:IG521"/>
    <mergeCell ref="IH518:IH519"/>
    <mergeCell ref="II518:II521"/>
    <mergeCell ref="GI519:GI520"/>
    <mergeCell ref="GJ519:GJ520"/>
    <mergeCell ref="GL519:GL520"/>
    <mergeCell ref="GM519:GM520"/>
    <mergeCell ref="HC519:HC520"/>
    <mergeCell ref="HD519:HD520"/>
    <mergeCell ref="HE519:HE520"/>
    <mergeCell ref="HF519:HF520"/>
    <mergeCell ref="HG519:HG520"/>
    <mergeCell ref="HH519:HH520"/>
    <mergeCell ref="HI519:HI520"/>
    <mergeCell ref="HJ519:HJ520"/>
    <mergeCell ref="HK519:HK520"/>
    <mergeCell ref="HL519:HL520"/>
    <mergeCell ref="HM519:HM520"/>
    <mergeCell ref="IK523:IK524"/>
    <mergeCell ref="IL523:IL524"/>
    <mergeCell ref="IM523:IM524"/>
    <mergeCell ref="IN523:IN524"/>
    <mergeCell ref="IO523:IO524"/>
    <mergeCell ref="IP523:IP524"/>
    <mergeCell ref="FU525:FU526"/>
    <mergeCell ref="IK525:IK526"/>
    <mergeCell ref="IL525:IL526"/>
    <mergeCell ref="IM525:IM526"/>
    <mergeCell ref="IN525:IN526"/>
    <mergeCell ref="IO525:IO526"/>
    <mergeCell ref="IP525:IP526"/>
    <mergeCell ref="FU528:FU529"/>
    <mergeCell ref="IK528:IK529"/>
    <mergeCell ref="IL528:IL529"/>
    <mergeCell ref="IM528:IM529"/>
    <mergeCell ref="IN528:IN529"/>
    <mergeCell ref="IO528:IO529"/>
    <mergeCell ref="IP528:IP529"/>
    <mergeCell ref="FU530:FU531"/>
    <mergeCell ref="IK530:IK531"/>
    <mergeCell ref="IL530:IL531"/>
    <mergeCell ref="IM530:IM531"/>
    <mergeCell ref="IN530:IN531"/>
    <mergeCell ref="IO530:IO531"/>
    <mergeCell ref="IP530:IP531"/>
    <mergeCell ref="FU533:FU534"/>
    <mergeCell ref="IK533:IK534"/>
    <mergeCell ref="IL533:IL534"/>
    <mergeCell ref="IM533:IM534"/>
    <mergeCell ref="IN533:IN534"/>
    <mergeCell ref="IO533:IO534"/>
    <mergeCell ref="IP533:IP534"/>
    <mergeCell ref="IC523:IC526"/>
    <mergeCell ref="IF523:IF524"/>
    <mergeCell ref="IG523:IG526"/>
    <mergeCell ref="IH523:IH524"/>
    <mergeCell ref="II523:II526"/>
    <mergeCell ref="II528:II531"/>
    <mergeCell ref="HI529:HI530"/>
    <mergeCell ref="HJ529:HJ530"/>
    <mergeCell ref="HK529:HK530"/>
    <mergeCell ref="HL529:HL530"/>
    <mergeCell ref="HM529:HM530"/>
    <mergeCell ref="HN529:HN530"/>
    <mergeCell ref="HO529:HO530"/>
    <mergeCell ref="HP529:HP530"/>
    <mergeCell ref="HQ529:HQ530"/>
    <mergeCell ref="HR529:HR530"/>
    <mergeCell ref="HS529:HS530"/>
    <mergeCell ref="HT529:HT530"/>
    <mergeCell ref="HU529:HU530"/>
    <mergeCell ref="HY529:HY530"/>
    <mergeCell ref="HY524:HY525"/>
    <mergeCell ref="GG523:GG526"/>
    <mergeCell ref="HW523:HW525"/>
    <mergeCell ref="HX523:HX524"/>
    <mergeCell ref="IA528:IA531"/>
    <mergeCell ref="IB528:IB529"/>
    <mergeCell ref="HU524:HU525"/>
    <mergeCell ref="HF529:HF530"/>
    <mergeCell ref="HG529:HG530"/>
    <mergeCell ref="HH529:HH530"/>
    <mergeCell ref="IK535:IK536"/>
    <mergeCell ref="IL535:IL536"/>
    <mergeCell ref="IM535:IM536"/>
    <mergeCell ref="IN535:IN536"/>
    <mergeCell ref="IO535:IO536"/>
    <mergeCell ref="IP535:IP536"/>
    <mergeCell ref="FU538:FU539"/>
    <mergeCell ref="IK538:IK539"/>
    <mergeCell ref="IL538:IL539"/>
    <mergeCell ref="IM538:IM539"/>
    <mergeCell ref="IN538:IN539"/>
    <mergeCell ref="IO538:IO539"/>
    <mergeCell ref="IP538:IP539"/>
    <mergeCell ref="FU540:FU541"/>
    <mergeCell ref="IK540:IK541"/>
    <mergeCell ref="IL540:IL541"/>
    <mergeCell ref="IM540:IM541"/>
    <mergeCell ref="IN540:IN541"/>
    <mergeCell ref="IO540:IO541"/>
    <mergeCell ref="IP540:IP541"/>
    <mergeCell ref="FU543:FU544"/>
    <mergeCell ref="IK543:IK544"/>
    <mergeCell ref="IL543:IL544"/>
    <mergeCell ref="IM543:IM544"/>
    <mergeCell ref="IN543:IN544"/>
    <mergeCell ref="IO543:IO544"/>
    <mergeCell ref="IP543:IP544"/>
    <mergeCell ref="FU545:FU546"/>
    <mergeCell ref="IK545:IK546"/>
    <mergeCell ref="IL545:IL546"/>
    <mergeCell ref="IM545:IM546"/>
    <mergeCell ref="IN545:IN546"/>
    <mergeCell ref="IO545:IO546"/>
    <mergeCell ref="IP545:IP546"/>
    <mergeCell ref="IB535:IB536"/>
    <mergeCell ref="IF535:IF536"/>
    <mergeCell ref="GA543:GA546"/>
    <mergeCell ref="GB543:GB546"/>
    <mergeCell ref="GC543:GC546"/>
    <mergeCell ref="GD543:GD546"/>
    <mergeCell ref="GG543:GG546"/>
    <mergeCell ref="HW543:HW545"/>
    <mergeCell ref="HX543:HX544"/>
    <mergeCell ref="IA543:IA546"/>
    <mergeCell ref="IB543:IB544"/>
    <mergeCell ref="IC543:IC546"/>
    <mergeCell ref="IF543:IF544"/>
    <mergeCell ref="IG543:IG546"/>
    <mergeCell ref="IH543:IH544"/>
    <mergeCell ref="II543:II546"/>
    <mergeCell ref="GI544:GI545"/>
    <mergeCell ref="GJ544:GJ545"/>
    <mergeCell ref="GL544:GL545"/>
    <mergeCell ref="GM544:GM545"/>
    <mergeCell ref="HC544:HC545"/>
    <mergeCell ref="HD544:HD545"/>
    <mergeCell ref="HE544:HE545"/>
    <mergeCell ref="HF544:HF545"/>
    <mergeCell ref="HG544:HG545"/>
    <mergeCell ref="HH544:HH545"/>
    <mergeCell ref="HI544:HI545"/>
    <mergeCell ref="HJ544:HJ545"/>
    <mergeCell ref="HK544:HK545"/>
    <mergeCell ref="HL544:HL545"/>
    <mergeCell ref="IK548:IK549"/>
    <mergeCell ref="IL548:IL549"/>
    <mergeCell ref="IM548:IM549"/>
    <mergeCell ref="IN548:IN549"/>
    <mergeCell ref="IO548:IO549"/>
    <mergeCell ref="IP548:IP549"/>
    <mergeCell ref="FU550:FU551"/>
    <mergeCell ref="IK550:IK551"/>
    <mergeCell ref="IL550:IL551"/>
    <mergeCell ref="IM550:IM551"/>
    <mergeCell ref="IN550:IN551"/>
    <mergeCell ref="IO550:IO551"/>
    <mergeCell ref="IP550:IP551"/>
    <mergeCell ref="FU553:FU554"/>
    <mergeCell ref="IK553:IK554"/>
    <mergeCell ref="IL553:IL554"/>
    <mergeCell ref="IM553:IM554"/>
    <mergeCell ref="IN553:IN554"/>
    <mergeCell ref="IO553:IO554"/>
    <mergeCell ref="IP553:IP554"/>
    <mergeCell ref="FU555:FU556"/>
    <mergeCell ref="IK555:IK556"/>
    <mergeCell ref="IL555:IL556"/>
    <mergeCell ref="IM555:IM556"/>
    <mergeCell ref="IN555:IN556"/>
    <mergeCell ref="IO555:IO556"/>
    <mergeCell ref="IP555:IP556"/>
    <mergeCell ref="FU561:FU562"/>
    <mergeCell ref="IK561:IK562"/>
    <mergeCell ref="IL561:IL562"/>
    <mergeCell ref="IM561:IM562"/>
    <mergeCell ref="IN561:IN562"/>
    <mergeCell ref="IO561:IO562"/>
    <mergeCell ref="IP561:IP562"/>
    <mergeCell ref="HX548:HX549"/>
    <mergeCell ref="HX555:HX556"/>
    <mergeCell ref="IB555:IB556"/>
    <mergeCell ref="GB561:GB564"/>
    <mergeCell ref="GC561:GC564"/>
    <mergeCell ref="GD561:GD564"/>
    <mergeCell ref="GG561:GG564"/>
    <mergeCell ref="HW561:HW563"/>
    <mergeCell ref="HX561:HX562"/>
    <mergeCell ref="IA561:IA564"/>
    <mergeCell ref="IB561:IB562"/>
    <mergeCell ref="IC561:IC564"/>
    <mergeCell ref="IF561:IF562"/>
    <mergeCell ref="IG561:IG564"/>
    <mergeCell ref="IH561:IH562"/>
    <mergeCell ref="II561:II564"/>
    <mergeCell ref="GI562:GI563"/>
    <mergeCell ref="GJ562:GJ563"/>
    <mergeCell ref="GL562:GL563"/>
    <mergeCell ref="GM562:GM563"/>
    <mergeCell ref="HC562:HC563"/>
    <mergeCell ref="HD562:HD563"/>
    <mergeCell ref="HE562:HE563"/>
    <mergeCell ref="HF562:HF563"/>
    <mergeCell ref="HG562:HG563"/>
    <mergeCell ref="HH562:HH563"/>
    <mergeCell ref="HI562:HI563"/>
    <mergeCell ref="HJ562:HJ563"/>
    <mergeCell ref="HK562:HK563"/>
    <mergeCell ref="HL562:HL563"/>
    <mergeCell ref="IK563:IK564"/>
    <mergeCell ref="IL563:IL564"/>
    <mergeCell ref="IM563:IM564"/>
    <mergeCell ref="IN563:IN564"/>
    <mergeCell ref="IO563:IO564"/>
    <mergeCell ref="IP563:IP564"/>
    <mergeCell ref="FU566:FU567"/>
    <mergeCell ref="IK566:IK567"/>
    <mergeCell ref="IL566:IL567"/>
    <mergeCell ref="IM566:IM567"/>
    <mergeCell ref="IN566:IN567"/>
    <mergeCell ref="IO566:IO567"/>
    <mergeCell ref="IP566:IP567"/>
    <mergeCell ref="FU568:FU569"/>
    <mergeCell ref="IK568:IK569"/>
    <mergeCell ref="IL568:IL569"/>
    <mergeCell ref="IM568:IM569"/>
    <mergeCell ref="IN568:IN569"/>
    <mergeCell ref="IO568:IO569"/>
    <mergeCell ref="IP568:IP569"/>
    <mergeCell ref="FU571:FU572"/>
    <mergeCell ref="IK571:IK572"/>
    <mergeCell ref="IL571:IL572"/>
    <mergeCell ref="IM571:IM572"/>
    <mergeCell ref="IN571:IN572"/>
    <mergeCell ref="IO571:IO572"/>
    <mergeCell ref="IP571:IP572"/>
    <mergeCell ref="FU573:FU574"/>
    <mergeCell ref="IK573:IK574"/>
    <mergeCell ref="IL573:IL574"/>
    <mergeCell ref="IM573:IM574"/>
    <mergeCell ref="IN573:IN574"/>
    <mergeCell ref="IO573:IO574"/>
    <mergeCell ref="IP573:IP574"/>
    <mergeCell ref="HM562:HM563"/>
    <mergeCell ref="HN562:HN563"/>
    <mergeCell ref="HO562:HO563"/>
    <mergeCell ref="HP562:HP563"/>
    <mergeCell ref="HQ562:HQ563"/>
    <mergeCell ref="HR562:HR563"/>
    <mergeCell ref="HS562:HS563"/>
    <mergeCell ref="HT562:HT563"/>
    <mergeCell ref="HU562:HU563"/>
    <mergeCell ref="HY562:HY563"/>
    <mergeCell ref="IF568:IF569"/>
    <mergeCell ref="IH568:IH569"/>
    <mergeCell ref="II571:II574"/>
    <mergeCell ref="IH573:IH574"/>
    <mergeCell ref="IB563:IB564"/>
    <mergeCell ref="IF563:IF564"/>
    <mergeCell ref="IH563:IH564"/>
    <mergeCell ref="GC566:GC569"/>
    <mergeCell ref="GD566:GD569"/>
    <mergeCell ref="GG566:GG569"/>
    <mergeCell ref="HW566:HW568"/>
    <mergeCell ref="HX566:HX567"/>
    <mergeCell ref="IA566:IA569"/>
    <mergeCell ref="IB566:IB567"/>
    <mergeCell ref="IC566:IC569"/>
    <mergeCell ref="IF566:IF567"/>
    <mergeCell ref="IG566:IG569"/>
    <mergeCell ref="IH566:IH567"/>
    <mergeCell ref="II566:II569"/>
    <mergeCell ref="GI567:GI568"/>
    <mergeCell ref="IK576:IK577"/>
    <mergeCell ref="IL576:IL577"/>
    <mergeCell ref="IM576:IM577"/>
    <mergeCell ref="IN576:IN577"/>
    <mergeCell ref="IO576:IO577"/>
    <mergeCell ref="IP576:IP577"/>
    <mergeCell ref="FU578:FU579"/>
    <mergeCell ref="IK578:IK579"/>
    <mergeCell ref="IL578:IL579"/>
    <mergeCell ref="IM578:IM579"/>
    <mergeCell ref="IN578:IN579"/>
    <mergeCell ref="IO578:IO579"/>
    <mergeCell ref="IP578:IP579"/>
    <mergeCell ref="FU581:FU582"/>
    <mergeCell ref="IK581:IK582"/>
    <mergeCell ref="IL581:IL582"/>
    <mergeCell ref="IM581:IM582"/>
    <mergeCell ref="IN581:IN582"/>
    <mergeCell ref="IO581:IO582"/>
    <mergeCell ref="IP581:IP582"/>
    <mergeCell ref="FU583:FU584"/>
    <mergeCell ref="IK583:IK584"/>
    <mergeCell ref="IL583:IL584"/>
    <mergeCell ref="IM583:IM584"/>
    <mergeCell ref="IN583:IN584"/>
    <mergeCell ref="IO583:IO584"/>
    <mergeCell ref="IP583:IP584"/>
    <mergeCell ref="FU586:FU587"/>
    <mergeCell ref="IK586:IK587"/>
    <mergeCell ref="IL586:IL587"/>
    <mergeCell ref="IM586:IM587"/>
    <mergeCell ref="IN586:IN587"/>
    <mergeCell ref="IO586:IO587"/>
    <mergeCell ref="IP586:IP587"/>
    <mergeCell ref="IB578:IB579"/>
    <mergeCell ref="IF578:IF579"/>
    <mergeCell ref="IH578:IH579"/>
    <mergeCell ref="IC581:IC584"/>
    <mergeCell ref="IF581:IF582"/>
    <mergeCell ref="IG581:IG584"/>
    <mergeCell ref="IH581:IH582"/>
    <mergeCell ref="II581:II584"/>
    <mergeCell ref="GI582:GI583"/>
    <mergeCell ref="GJ582:GJ583"/>
    <mergeCell ref="GL582:GL583"/>
    <mergeCell ref="GM582:GM583"/>
    <mergeCell ref="HC582:HC583"/>
    <mergeCell ref="HD582:HD583"/>
    <mergeCell ref="HE582:HE583"/>
    <mergeCell ref="HF582:HF583"/>
    <mergeCell ref="HG582:HG583"/>
    <mergeCell ref="HH582:HH583"/>
    <mergeCell ref="HI582:HI583"/>
    <mergeCell ref="HJ582:HJ583"/>
    <mergeCell ref="HK582:HK583"/>
    <mergeCell ref="HL582:HL583"/>
    <mergeCell ref="HM582:HM583"/>
    <mergeCell ref="HN582:HN583"/>
    <mergeCell ref="HO582:HO583"/>
    <mergeCell ref="HP582:HP583"/>
    <mergeCell ref="HQ582:HQ583"/>
    <mergeCell ref="HR582:HR583"/>
    <mergeCell ref="HS582:HS583"/>
    <mergeCell ref="HT582:HT583"/>
    <mergeCell ref="IK588:IK589"/>
    <mergeCell ref="IL588:IL589"/>
    <mergeCell ref="IM588:IM589"/>
    <mergeCell ref="IN588:IN589"/>
    <mergeCell ref="IO588:IO589"/>
    <mergeCell ref="IP588:IP589"/>
    <mergeCell ref="FU591:FU592"/>
    <mergeCell ref="IK591:IK592"/>
    <mergeCell ref="IL591:IL592"/>
    <mergeCell ref="IM591:IM592"/>
    <mergeCell ref="IN591:IN592"/>
    <mergeCell ref="IO591:IO592"/>
    <mergeCell ref="IP591:IP592"/>
    <mergeCell ref="FU593:FU594"/>
    <mergeCell ref="IK593:IK594"/>
    <mergeCell ref="IL593:IL594"/>
    <mergeCell ref="IM593:IM594"/>
    <mergeCell ref="IN593:IN594"/>
    <mergeCell ref="IO593:IO594"/>
    <mergeCell ref="IP593:IP594"/>
    <mergeCell ref="FU596:FU597"/>
    <mergeCell ref="IK596:IK597"/>
    <mergeCell ref="IL596:IL597"/>
    <mergeCell ref="IM596:IM597"/>
    <mergeCell ref="IN596:IN597"/>
    <mergeCell ref="IO596:IO597"/>
    <mergeCell ref="IP596:IP597"/>
    <mergeCell ref="FU598:FU599"/>
    <mergeCell ref="IK598:IK599"/>
    <mergeCell ref="IL598:IL599"/>
    <mergeCell ref="IM598:IM599"/>
    <mergeCell ref="IN598:IN599"/>
    <mergeCell ref="IO598:IO599"/>
    <mergeCell ref="IP598:IP599"/>
    <mergeCell ref="IB588:IB589"/>
    <mergeCell ref="IF588:IF589"/>
    <mergeCell ref="GB596:GB599"/>
    <mergeCell ref="GC596:GC599"/>
    <mergeCell ref="GD596:GD599"/>
    <mergeCell ref="GG596:GG599"/>
    <mergeCell ref="HW596:HW598"/>
    <mergeCell ref="HX596:HX597"/>
    <mergeCell ref="IA596:IA599"/>
    <mergeCell ref="IB596:IB597"/>
    <mergeCell ref="IC596:IC599"/>
    <mergeCell ref="IF596:IF597"/>
    <mergeCell ref="IG596:IG599"/>
    <mergeCell ref="IH596:IH597"/>
    <mergeCell ref="II596:II599"/>
    <mergeCell ref="GI597:GI598"/>
    <mergeCell ref="GJ597:GJ598"/>
    <mergeCell ref="GL597:GL598"/>
    <mergeCell ref="GM597:GM598"/>
    <mergeCell ref="HC597:HC598"/>
    <mergeCell ref="HD597:HD598"/>
    <mergeCell ref="HE597:HE598"/>
    <mergeCell ref="HF597:HF598"/>
    <mergeCell ref="HG597:HG598"/>
    <mergeCell ref="HH597:HH598"/>
    <mergeCell ref="HI597:HI598"/>
    <mergeCell ref="HJ597:HJ598"/>
    <mergeCell ref="HK597:HK598"/>
    <mergeCell ref="HL597:HL598"/>
    <mergeCell ref="HM597:HM598"/>
    <mergeCell ref="IK601:IK602"/>
    <mergeCell ref="IL601:IL602"/>
    <mergeCell ref="IM601:IM602"/>
    <mergeCell ref="IN601:IN602"/>
    <mergeCell ref="IO601:IO602"/>
    <mergeCell ref="IP601:IP602"/>
    <mergeCell ref="FU603:FU604"/>
    <mergeCell ref="IK603:IK604"/>
    <mergeCell ref="IL603:IL604"/>
    <mergeCell ref="IM603:IM604"/>
    <mergeCell ref="IN603:IN604"/>
    <mergeCell ref="IO603:IO604"/>
    <mergeCell ref="IP603:IP604"/>
    <mergeCell ref="FU606:FU607"/>
    <mergeCell ref="IK606:IK607"/>
    <mergeCell ref="IL606:IL607"/>
    <mergeCell ref="IM606:IM607"/>
    <mergeCell ref="IN606:IN607"/>
    <mergeCell ref="IO606:IO607"/>
    <mergeCell ref="IP606:IP607"/>
    <mergeCell ref="FU608:FU609"/>
    <mergeCell ref="IK608:IK609"/>
    <mergeCell ref="IL608:IL609"/>
    <mergeCell ref="IM608:IM609"/>
    <mergeCell ref="IN608:IN609"/>
    <mergeCell ref="IO608:IO609"/>
    <mergeCell ref="IP608:IP609"/>
    <mergeCell ref="FU611:FU612"/>
    <mergeCell ref="IK611:IK612"/>
    <mergeCell ref="IL611:IL612"/>
    <mergeCell ref="IM611:IM612"/>
    <mergeCell ref="IN611:IN612"/>
    <mergeCell ref="IO611:IO612"/>
    <mergeCell ref="IP611:IP612"/>
    <mergeCell ref="IC601:IC604"/>
    <mergeCell ref="IF601:IF602"/>
    <mergeCell ref="IG601:IG604"/>
    <mergeCell ref="IH601:IH602"/>
    <mergeCell ref="II601:II604"/>
    <mergeCell ref="II606:II609"/>
    <mergeCell ref="HI607:HI608"/>
    <mergeCell ref="HJ607:HJ608"/>
    <mergeCell ref="HK607:HK608"/>
    <mergeCell ref="HL607:HL608"/>
    <mergeCell ref="HM607:HM608"/>
    <mergeCell ref="HN607:HN608"/>
    <mergeCell ref="HO607:HO608"/>
    <mergeCell ref="HP607:HP608"/>
    <mergeCell ref="HQ607:HQ608"/>
    <mergeCell ref="HR607:HR608"/>
    <mergeCell ref="HS607:HS608"/>
    <mergeCell ref="HT607:HT608"/>
    <mergeCell ref="HU607:HU608"/>
    <mergeCell ref="HY607:HY608"/>
    <mergeCell ref="HY602:HY603"/>
    <mergeCell ref="GG601:GG604"/>
    <mergeCell ref="HW601:HW603"/>
    <mergeCell ref="HX601:HX602"/>
    <mergeCell ref="IA606:IA609"/>
    <mergeCell ref="IB606:IB607"/>
    <mergeCell ref="HU602:HU603"/>
    <mergeCell ref="HF607:HF608"/>
    <mergeCell ref="HG607:HG608"/>
    <mergeCell ref="HH607:HH608"/>
    <mergeCell ref="IK613:IK614"/>
    <mergeCell ref="IL613:IL614"/>
    <mergeCell ref="IM613:IM614"/>
    <mergeCell ref="IN613:IN614"/>
    <mergeCell ref="IO613:IO614"/>
    <mergeCell ref="IP613:IP614"/>
    <mergeCell ref="FU616:FU617"/>
    <mergeCell ref="IK616:IK617"/>
    <mergeCell ref="IL616:IL617"/>
    <mergeCell ref="IM616:IM617"/>
    <mergeCell ref="IN616:IN617"/>
    <mergeCell ref="IO616:IO617"/>
    <mergeCell ref="IP616:IP617"/>
    <mergeCell ref="FU618:FU619"/>
    <mergeCell ref="IK618:IK619"/>
    <mergeCell ref="IL618:IL619"/>
    <mergeCell ref="IM618:IM619"/>
    <mergeCell ref="IN618:IN619"/>
    <mergeCell ref="IO618:IO619"/>
    <mergeCell ref="IP618:IP619"/>
    <mergeCell ref="FU621:FU622"/>
    <mergeCell ref="IK621:IK622"/>
    <mergeCell ref="IL621:IL622"/>
    <mergeCell ref="IM621:IM622"/>
    <mergeCell ref="IN621:IN622"/>
    <mergeCell ref="IO621:IO622"/>
    <mergeCell ref="IP621:IP622"/>
    <mergeCell ref="FU623:FU624"/>
    <mergeCell ref="IK623:IK624"/>
    <mergeCell ref="IL623:IL624"/>
    <mergeCell ref="IM623:IM624"/>
    <mergeCell ref="IN623:IN624"/>
    <mergeCell ref="IO623:IO624"/>
    <mergeCell ref="IP623:IP624"/>
    <mergeCell ref="IB613:IB614"/>
    <mergeCell ref="IF613:IF614"/>
    <mergeCell ref="GA621:GA624"/>
    <mergeCell ref="GB621:GB624"/>
    <mergeCell ref="GC621:GC624"/>
    <mergeCell ref="GD621:GD624"/>
    <mergeCell ref="GG621:GG624"/>
    <mergeCell ref="HW621:HW623"/>
    <mergeCell ref="HX621:HX622"/>
    <mergeCell ref="IA621:IA624"/>
    <mergeCell ref="IB621:IB622"/>
    <mergeCell ref="IC621:IC624"/>
    <mergeCell ref="IF621:IF622"/>
    <mergeCell ref="IG621:IG624"/>
    <mergeCell ref="IH621:IH622"/>
    <mergeCell ref="II621:II624"/>
    <mergeCell ref="GI622:GI623"/>
    <mergeCell ref="GJ622:GJ623"/>
    <mergeCell ref="GL622:GL623"/>
    <mergeCell ref="GM622:GM623"/>
    <mergeCell ref="HC622:HC623"/>
    <mergeCell ref="HD622:HD623"/>
    <mergeCell ref="HE622:HE623"/>
    <mergeCell ref="HF622:HF623"/>
    <mergeCell ref="HG622:HG623"/>
    <mergeCell ref="HH622:HH623"/>
    <mergeCell ref="HI622:HI623"/>
    <mergeCell ref="HJ622:HJ623"/>
    <mergeCell ref="HK622:HK623"/>
    <mergeCell ref="HL622:HL623"/>
    <mergeCell ref="IK626:IK627"/>
    <mergeCell ref="IL626:IL627"/>
    <mergeCell ref="IM626:IM627"/>
    <mergeCell ref="IN626:IN627"/>
    <mergeCell ref="IO626:IO627"/>
    <mergeCell ref="IP626:IP627"/>
    <mergeCell ref="FU628:FU629"/>
    <mergeCell ref="IK628:IK629"/>
    <mergeCell ref="IL628:IL629"/>
    <mergeCell ref="IM628:IM629"/>
    <mergeCell ref="IN628:IN629"/>
    <mergeCell ref="IO628:IO629"/>
    <mergeCell ref="IP628:IP629"/>
    <mergeCell ref="FU631:FU632"/>
    <mergeCell ref="IK631:IK632"/>
    <mergeCell ref="IL631:IL632"/>
    <mergeCell ref="IM631:IM632"/>
    <mergeCell ref="IN631:IN632"/>
    <mergeCell ref="IO631:IO632"/>
    <mergeCell ref="IP631:IP632"/>
    <mergeCell ref="FU633:FU634"/>
    <mergeCell ref="IK633:IK634"/>
    <mergeCell ref="IL633:IL634"/>
    <mergeCell ref="IM633:IM634"/>
    <mergeCell ref="IN633:IN634"/>
    <mergeCell ref="IO633:IO634"/>
    <mergeCell ref="IP633:IP634"/>
    <mergeCell ref="FU639:FU640"/>
    <mergeCell ref="IK639:IK640"/>
    <mergeCell ref="IL639:IL640"/>
    <mergeCell ref="IM639:IM640"/>
    <mergeCell ref="IN639:IN640"/>
    <mergeCell ref="IO639:IO640"/>
    <mergeCell ref="IP639:IP640"/>
    <mergeCell ref="HX626:HX627"/>
    <mergeCell ref="HX633:HX634"/>
    <mergeCell ref="IB633:IB634"/>
    <mergeCell ref="GB639:GB642"/>
    <mergeCell ref="GC639:GC642"/>
    <mergeCell ref="GD639:GD642"/>
    <mergeCell ref="GG639:GG642"/>
    <mergeCell ref="HW639:HW641"/>
    <mergeCell ref="HX639:HX640"/>
    <mergeCell ref="IA639:IA642"/>
    <mergeCell ref="IB639:IB640"/>
    <mergeCell ref="IC639:IC642"/>
    <mergeCell ref="IF639:IF640"/>
    <mergeCell ref="IG639:IG642"/>
    <mergeCell ref="IH639:IH640"/>
    <mergeCell ref="II639:II642"/>
    <mergeCell ref="GI640:GI641"/>
    <mergeCell ref="GJ640:GJ641"/>
    <mergeCell ref="GL640:GL641"/>
    <mergeCell ref="GM640:GM641"/>
    <mergeCell ref="HC640:HC641"/>
    <mergeCell ref="HD640:HD641"/>
    <mergeCell ref="HE640:HE641"/>
    <mergeCell ref="HF640:HF641"/>
    <mergeCell ref="HG640:HG641"/>
    <mergeCell ref="HH640:HH641"/>
    <mergeCell ref="HI640:HI641"/>
    <mergeCell ref="HJ640:HJ641"/>
    <mergeCell ref="HK640:HK641"/>
    <mergeCell ref="HL640:HL641"/>
    <mergeCell ref="IK641:IK642"/>
    <mergeCell ref="IL641:IL642"/>
    <mergeCell ref="IM641:IM642"/>
    <mergeCell ref="IN641:IN642"/>
    <mergeCell ref="IO641:IO642"/>
    <mergeCell ref="IP641:IP642"/>
    <mergeCell ref="FU644:FU645"/>
    <mergeCell ref="IK644:IK645"/>
    <mergeCell ref="IL644:IL645"/>
    <mergeCell ref="IM644:IM645"/>
    <mergeCell ref="IN644:IN645"/>
    <mergeCell ref="IO644:IO645"/>
    <mergeCell ref="IP644:IP645"/>
    <mergeCell ref="FU646:FU647"/>
    <mergeCell ref="IK646:IK647"/>
    <mergeCell ref="IL646:IL647"/>
    <mergeCell ref="IM646:IM647"/>
    <mergeCell ref="IN646:IN647"/>
    <mergeCell ref="IO646:IO647"/>
    <mergeCell ref="IP646:IP647"/>
    <mergeCell ref="FU649:FU650"/>
    <mergeCell ref="IK649:IK650"/>
    <mergeCell ref="IL649:IL650"/>
    <mergeCell ref="IM649:IM650"/>
    <mergeCell ref="IN649:IN650"/>
    <mergeCell ref="IO649:IO650"/>
    <mergeCell ref="IP649:IP650"/>
    <mergeCell ref="FU651:FU652"/>
    <mergeCell ref="IK651:IK652"/>
    <mergeCell ref="IL651:IL652"/>
    <mergeCell ref="IM651:IM652"/>
    <mergeCell ref="IN651:IN652"/>
    <mergeCell ref="IO651:IO652"/>
    <mergeCell ref="IP651:IP652"/>
    <mergeCell ref="HM640:HM641"/>
    <mergeCell ref="HN640:HN641"/>
    <mergeCell ref="HO640:HO641"/>
    <mergeCell ref="HP640:HP641"/>
    <mergeCell ref="HQ640:HQ641"/>
    <mergeCell ref="HR640:HR641"/>
    <mergeCell ref="HS640:HS641"/>
    <mergeCell ref="HT640:HT641"/>
    <mergeCell ref="HU640:HU641"/>
    <mergeCell ref="HY640:HY641"/>
    <mergeCell ref="IF646:IF647"/>
    <mergeCell ref="IH646:IH647"/>
    <mergeCell ref="II649:II652"/>
    <mergeCell ref="IH651:IH652"/>
    <mergeCell ref="IB641:IB642"/>
    <mergeCell ref="IF641:IF642"/>
    <mergeCell ref="IH641:IH642"/>
    <mergeCell ref="GC644:GC647"/>
    <mergeCell ref="GD644:GD647"/>
    <mergeCell ref="GG644:GG647"/>
    <mergeCell ref="HW644:HW646"/>
    <mergeCell ref="HX644:HX645"/>
    <mergeCell ref="IA644:IA647"/>
    <mergeCell ref="IB644:IB645"/>
    <mergeCell ref="IC644:IC647"/>
    <mergeCell ref="IF644:IF645"/>
    <mergeCell ref="IG644:IG647"/>
    <mergeCell ref="IH644:IH645"/>
    <mergeCell ref="II644:II647"/>
    <mergeCell ref="GI645:GI646"/>
    <mergeCell ref="IK654:IK655"/>
    <mergeCell ref="IL654:IL655"/>
    <mergeCell ref="IM654:IM655"/>
    <mergeCell ref="IN654:IN655"/>
    <mergeCell ref="IO654:IO655"/>
    <mergeCell ref="IP654:IP655"/>
    <mergeCell ref="FU656:FU657"/>
    <mergeCell ref="IK656:IK657"/>
    <mergeCell ref="IL656:IL657"/>
    <mergeCell ref="IM656:IM657"/>
    <mergeCell ref="IN656:IN657"/>
    <mergeCell ref="IO656:IO657"/>
    <mergeCell ref="IP656:IP657"/>
    <mergeCell ref="FU659:FU660"/>
    <mergeCell ref="IK659:IK660"/>
    <mergeCell ref="IL659:IL660"/>
    <mergeCell ref="IM659:IM660"/>
    <mergeCell ref="IN659:IN660"/>
    <mergeCell ref="IO659:IO660"/>
    <mergeCell ref="IP659:IP660"/>
    <mergeCell ref="FU661:FU662"/>
    <mergeCell ref="IK661:IK662"/>
    <mergeCell ref="IL661:IL662"/>
    <mergeCell ref="IM661:IM662"/>
    <mergeCell ref="IN661:IN662"/>
    <mergeCell ref="IO661:IO662"/>
    <mergeCell ref="IP661:IP662"/>
    <mergeCell ref="FU664:FU665"/>
    <mergeCell ref="IK664:IK665"/>
    <mergeCell ref="IL664:IL665"/>
    <mergeCell ref="IM664:IM665"/>
    <mergeCell ref="IN664:IN665"/>
    <mergeCell ref="IO664:IO665"/>
    <mergeCell ref="IP664:IP665"/>
    <mergeCell ref="IB656:IB657"/>
    <mergeCell ref="IF656:IF657"/>
    <mergeCell ref="IH656:IH657"/>
    <mergeCell ref="IC659:IC662"/>
    <mergeCell ref="IF659:IF660"/>
    <mergeCell ref="IG659:IG662"/>
    <mergeCell ref="IH659:IH660"/>
    <mergeCell ref="II659:II662"/>
    <mergeCell ref="GI660:GI661"/>
    <mergeCell ref="GJ660:GJ661"/>
    <mergeCell ref="GL660:GL661"/>
    <mergeCell ref="GM660:GM661"/>
    <mergeCell ref="HC660:HC661"/>
    <mergeCell ref="HD660:HD661"/>
    <mergeCell ref="HE660:HE661"/>
    <mergeCell ref="HF660:HF661"/>
    <mergeCell ref="HG660:HG661"/>
    <mergeCell ref="HH660:HH661"/>
    <mergeCell ref="HI660:HI661"/>
    <mergeCell ref="HJ660:HJ661"/>
    <mergeCell ref="HK660:HK661"/>
    <mergeCell ref="HL660:HL661"/>
    <mergeCell ref="HM660:HM661"/>
    <mergeCell ref="HN660:HN661"/>
    <mergeCell ref="HO660:HO661"/>
    <mergeCell ref="HP660:HP661"/>
    <mergeCell ref="HQ660:HQ661"/>
    <mergeCell ref="HR660:HR661"/>
    <mergeCell ref="HS660:HS661"/>
    <mergeCell ref="HT660:HT661"/>
    <mergeCell ref="IK666:IK667"/>
    <mergeCell ref="IL666:IL667"/>
    <mergeCell ref="IM666:IM667"/>
    <mergeCell ref="IN666:IN667"/>
    <mergeCell ref="IO666:IO667"/>
    <mergeCell ref="IP666:IP667"/>
    <mergeCell ref="FU669:FU670"/>
    <mergeCell ref="IK669:IK670"/>
    <mergeCell ref="IL669:IL670"/>
    <mergeCell ref="IM669:IM670"/>
    <mergeCell ref="IN669:IN670"/>
    <mergeCell ref="IO669:IO670"/>
    <mergeCell ref="IP669:IP670"/>
    <mergeCell ref="FU671:FU672"/>
    <mergeCell ref="IK671:IK672"/>
    <mergeCell ref="IL671:IL672"/>
    <mergeCell ref="IM671:IM672"/>
    <mergeCell ref="IN671:IN672"/>
    <mergeCell ref="IO671:IO672"/>
    <mergeCell ref="IP671:IP672"/>
    <mergeCell ref="FU674:FU675"/>
    <mergeCell ref="IK674:IK675"/>
    <mergeCell ref="IL674:IL675"/>
    <mergeCell ref="IM674:IM675"/>
    <mergeCell ref="IN674:IN675"/>
    <mergeCell ref="IO674:IO675"/>
    <mergeCell ref="IP674:IP675"/>
    <mergeCell ref="FU676:FU677"/>
    <mergeCell ref="IK676:IK677"/>
    <mergeCell ref="IL676:IL677"/>
    <mergeCell ref="IM676:IM677"/>
    <mergeCell ref="IN676:IN677"/>
    <mergeCell ref="IO676:IO677"/>
    <mergeCell ref="IP676:IP677"/>
    <mergeCell ref="IB666:IB667"/>
    <mergeCell ref="IF666:IF667"/>
    <mergeCell ref="GB674:GB677"/>
    <mergeCell ref="GC674:GC677"/>
    <mergeCell ref="GD674:GD677"/>
    <mergeCell ref="GG674:GG677"/>
    <mergeCell ref="HW674:HW676"/>
    <mergeCell ref="HX674:HX675"/>
    <mergeCell ref="IA674:IA677"/>
    <mergeCell ref="IB674:IB675"/>
    <mergeCell ref="IC674:IC677"/>
    <mergeCell ref="IF674:IF675"/>
    <mergeCell ref="IG674:IG677"/>
    <mergeCell ref="IH674:IH675"/>
    <mergeCell ref="II674:II677"/>
    <mergeCell ref="GI675:GI676"/>
    <mergeCell ref="GJ675:GJ676"/>
    <mergeCell ref="GL675:GL676"/>
    <mergeCell ref="GM675:GM676"/>
    <mergeCell ref="HC675:HC676"/>
    <mergeCell ref="HD675:HD676"/>
    <mergeCell ref="HE675:HE676"/>
    <mergeCell ref="HF675:HF676"/>
    <mergeCell ref="HG675:HG676"/>
    <mergeCell ref="HH675:HH676"/>
    <mergeCell ref="HI675:HI676"/>
    <mergeCell ref="HJ675:HJ676"/>
    <mergeCell ref="HK675:HK676"/>
    <mergeCell ref="HL675:HL676"/>
    <mergeCell ref="HM675:HM676"/>
    <mergeCell ref="IK679:IK680"/>
    <mergeCell ref="IL679:IL680"/>
    <mergeCell ref="IM679:IM680"/>
    <mergeCell ref="IN679:IN680"/>
    <mergeCell ref="IO679:IO680"/>
    <mergeCell ref="IP679:IP680"/>
    <mergeCell ref="FU681:FU682"/>
    <mergeCell ref="IK681:IK682"/>
    <mergeCell ref="IL681:IL682"/>
    <mergeCell ref="IM681:IM682"/>
    <mergeCell ref="IN681:IN682"/>
    <mergeCell ref="IO681:IO682"/>
    <mergeCell ref="IP681:IP682"/>
    <mergeCell ref="FU684:FU685"/>
    <mergeCell ref="IK684:IK685"/>
    <mergeCell ref="IL684:IL685"/>
    <mergeCell ref="IM684:IM685"/>
    <mergeCell ref="IN684:IN685"/>
    <mergeCell ref="IO684:IO685"/>
    <mergeCell ref="IP684:IP685"/>
    <mergeCell ref="FU686:FU687"/>
    <mergeCell ref="IK686:IK687"/>
    <mergeCell ref="IL686:IL687"/>
    <mergeCell ref="IM686:IM687"/>
    <mergeCell ref="IN686:IN687"/>
    <mergeCell ref="IO686:IO687"/>
    <mergeCell ref="IP686:IP687"/>
    <mergeCell ref="FU689:FU690"/>
    <mergeCell ref="IK689:IK690"/>
    <mergeCell ref="IL689:IL690"/>
    <mergeCell ref="IM689:IM690"/>
    <mergeCell ref="IN689:IN690"/>
    <mergeCell ref="IO689:IO690"/>
    <mergeCell ref="IP689:IP690"/>
    <mergeCell ref="IC679:IC682"/>
    <mergeCell ref="IF679:IF680"/>
    <mergeCell ref="IG679:IG682"/>
    <mergeCell ref="IH679:IH680"/>
    <mergeCell ref="II679:II682"/>
    <mergeCell ref="II684:II687"/>
    <mergeCell ref="HI685:HI686"/>
    <mergeCell ref="HJ685:HJ686"/>
    <mergeCell ref="HK685:HK686"/>
    <mergeCell ref="HL685:HL686"/>
    <mergeCell ref="HM685:HM686"/>
    <mergeCell ref="HN685:HN686"/>
    <mergeCell ref="HO685:HO686"/>
    <mergeCell ref="HP685:HP686"/>
    <mergeCell ref="HQ685:HQ686"/>
    <mergeCell ref="HR685:HR686"/>
    <mergeCell ref="HS685:HS686"/>
    <mergeCell ref="HT685:HT686"/>
    <mergeCell ref="HU685:HU686"/>
    <mergeCell ref="HY685:HY686"/>
    <mergeCell ref="HY680:HY681"/>
    <mergeCell ref="GG679:GG682"/>
    <mergeCell ref="HW679:HW681"/>
    <mergeCell ref="HX679:HX680"/>
    <mergeCell ref="IA684:IA687"/>
    <mergeCell ref="IB684:IB685"/>
    <mergeCell ref="HU680:HU681"/>
    <mergeCell ref="HF685:HF686"/>
    <mergeCell ref="HG685:HG686"/>
    <mergeCell ref="HH685:HH686"/>
    <mergeCell ref="IK691:IK692"/>
    <mergeCell ref="IL691:IL692"/>
    <mergeCell ref="IM691:IM692"/>
    <mergeCell ref="IN691:IN692"/>
    <mergeCell ref="IO691:IO692"/>
    <mergeCell ref="IP691:IP692"/>
    <mergeCell ref="FU694:FU695"/>
    <mergeCell ref="IK694:IK695"/>
    <mergeCell ref="IL694:IL695"/>
    <mergeCell ref="IM694:IM695"/>
    <mergeCell ref="IN694:IN695"/>
    <mergeCell ref="IO694:IO695"/>
    <mergeCell ref="IP694:IP695"/>
    <mergeCell ref="FU696:FU697"/>
    <mergeCell ref="IK696:IK697"/>
    <mergeCell ref="IL696:IL697"/>
    <mergeCell ref="IM696:IM697"/>
    <mergeCell ref="IN696:IN697"/>
    <mergeCell ref="IO696:IO697"/>
    <mergeCell ref="IP696:IP697"/>
    <mergeCell ref="FU699:FU700"/>
    <mergeCell ref="IK699:IK700"/>
    <mergeCell ref="IL699:IL700"/>
    <mergeCell ref="IM699:IM700"/>
    <mergeCell ref="IN699:IN700"/>
    <mergeCell ref="IO699:IO700"/>
    <mergeCell ref="IP699:IP700"/>
    <mergeCell ref="FU701:FU702"/>
    <mergeCell ref="IK701:IK702"/>
    <mergeCell ref="IL701:IL702"/>
    <mergeCell ref="IM701:IM702"/>
    <mergeCell ref="IN701:IN702"/>
    <mergeCell ref="IO701:IO702"/>
    <mergeCell ref="IP701:IP702"/>
    <mergeCell ref="IB691:IB692"/>
    <mergeCell ref="IF691:IF692"/>
    <mergeCell ref="GA699:GA702"/>
    <mergeCell ref="GB699:GB702"/>
    <mergeCell ref="GC699:GC702"/>
    <mergeCell ref="GD699:GD702"/>
    <mergeCell ref="GG699:GG702"/>
    <mergeCell ref="HW699:HW701"/>
    <mergeCell ref="HX699:HX700"/>
    <mergeCell ref="IA699:IA702"/>
    <mergeCell ref="IB699:IB700"/>
    <mergeCell ref="IC699:IC702"/>
    <mergeCell ref="IF699:IF700"/>
    <mergeCell ref="IG699:IG702"/>
    <mergeCell ref="IH699:IH700"/>
    <mergeCell ref="II699:II702"/>
    <mergeCell ref="GI700:GI701"/>
    <mergeCell ref="GJ700:GJ701"/>
    <mergeCell ref="GL700:GL701"/>
    <mergeCell ref="GM700:GM701"/>
    <mergeCell ref="HC700:HC701"/>
    <mergeCell ref="HD700:HD701"/>
    <mergeCell ref="HE700:HE701"/>
    <mergeCell ref="HF700:HF701"/>
    <mergeCell ref="HG700:HG701"/>
    <mergeCell ref="HH700:HH701"/>
    <mergeCell ref="HI700:HI701"/>
    <mergeCell ref="HJ700:HJ701"/>
    <mergeCell ref="HK700:HK701"/>
    <mergeCell ref="HL700:HL701"/>
    <mergeCell ref="IK704:IK705"/>
    <mergeCell ref="IL704:IL705"/>
    <mergeCell ref="IM704:IM705"/>
    <mergeCell ref="IN704:IN705"/>
    <mergeCell ref="IO704:IO705"/>
    <mergeCell ref="IP704:IP705"/>
    <mergeCell ref="FU706:FU707"/>
    <mergeCell ref="IK706:IK707"/>
    <mergeCell ref="IL706:IL707"/>
    <mergeCell ref="IM706:IM707"/>
    <mergeCell ref="IN706:IN707"/>
    <mergeCell ref="IO706:IO707"/>
    <mergeCell ref="IP706:IP707"/>
    <mergeCell ref="FU709:FU710"/>
    <mergeCell ref="IK709:IK710"/>
    <mergeCell ref="IL709:IL710"/>
    <mergeCell ref="IM709:IM710"/>
    <mergeCell ref="IN709:IN710"/>
    <mergeCell ref="IO709:IO710"/>
    <mergeCell ref="IP709:IP710"/>
    <mergeCell ref="FU711:FU712"/>
    <mergeCell ref="IK711:IK712"/>
    <mergeCell ref="IL711:IL712"/>
    <mergeCell ref="IM711:IM712"/>
    <mergeCell ref="IN711:IN712"/>
    <mergeCell ref="IO711:IO712"/>
    <mergeCell ref="IP711:IP712"/>
    <mergeCell ref="FU717:FU718"/>
    <mergeCell ref="IK717:IK718"/>
    <mergeCell ref="IL717:IL718"/>
    <mergeCell ref="IM717:IM718"/>
    <mergeCell ref="IN717:IN718"/>
    <mergeCell ref="IO717:IO718"/>
    <mergeCell ref="IP717:IP718"/>
    <mergeCell ref="HX704:HX705"/>
    <mergeCell ref="HX711:HX712"/>
    <mergeCell ref="IB711:IB712"/>
    <mergeCell ref="GB717:GB720"/>
    <mergeCell ref="GC717:GC720"/>
    <mergeCell ref="GD717:GD720"/>
    <mergeCell ref="GG717:GG720"/>
    <mergeCell ref="HW717:HW719"/>
    <mergeCell ref="HX717:HX718"/>
    <mergeCell ref="IA717:IA720"/>
    <mergeCell ref="IB717:IB718"/>
    <mergeCell ref="IC717:IC720"/>
    <mergeCell ref="IF717:IF718"/>
    <mergeCell ref="IG717:IG720"/>
    <mergeCell ref="IH717:IH718"/>
    <mergeCell ref="II717:II720"/>
    <mergeCell ref="GI718:GI719"/>
    <mergeCell ref="GJ718:GJ719"/>
    <mergeCell ref="GL718:GL719"/>
    <mergeCell ref="GM718:GM719"/>
    <mergeCell ref="HC718:HC719"/>
    <mergeCell ref="HD718:HD719"/>
    <mergeCell ref="HE718:HE719"/>
    <mergeCell ref="HF718:HF719"/>
    <mergeCell ref="HG718:HG719"/>
    <mergeCell ref="HH718:HH719"/>
    <mergeCell ref="HI718:HI719"/>
    <mergeCell ref="HJ718:HJ719"/>
    <mergeCell ref="HK718:HK719"/>
    <mergeCell ref="HL718:HL719"/>
    <mergeCell ref="IK719:IK720"/>
    <mergeCell ref="IL719:IL720"/>
    <mergeCell ref="IM719:IM720"/>
    <mergeCell ref="IN719:IN720"/>
    <mergeCell ref="IO719:IO720"/>
    <mergeCell ref="IP719:IP720"/>
    <mergeCell ref="FU722:FU723"/>
    <mergeCell ref="IK722:IK723"/>
    <mergeCell ref="IL722:IL723"/>
    <mergeCell ref="IM722:IM723"/>
    <mergeCell ref="IN722:IN723"/>
    <mergeCell ref="IO722:IO723"/>
    <mergeCell ref="IP722:IP723"/>
    <mergeCell ref="FU724:FU725"/>
    <mergeCell ref="IK724:IK725"/>
    <mergeCell ref="IL724:IL725"/>
    <mergeCell ref="IM724:IM725"/>
    <mergeCell ref="IN724:IN725"/>
    <mergeCell ref="IO724:IO725"/>
    <mergeCell ref="IP724:IP725"/>
    <mergeCell ref="FU727:FU728"/>
    <mergeCell ref="IK727:IK728"/>
    <mergeCell ref="IL727:IL728"/>
    <mergeCell ref="IM727:IM728"/>
    <mergeCell ref="IN727:IN728"/>
    <mergeCell ref="IO727:IO728"/>
    <mergeCell ref="IP727:IP728"/>
    <mergeCell ref="FU729:FU730"/>
    <mergeCell ref="IK729:IK730"/>
    <mergeCell ref="IL729:IL730"/>
    <mergeCell ref="IM729:IM730"/>
    <mergeCell ref="IN729:IN730"/>
    <mergeCell ref="IO729:IO730"/>
    <mergeCell ref="IP729:IP730"/>
    <mergeCell ref="HM718:HM719"/>
    <mergeCell ref="HN718:HN719"/>
    <mergeCell ref="HO718:HO719"/>
    <mergeCell ref="HP718:HP719"/>
    <mergeCell ref="HQ718:HQ719"/>
    <mergeCell ref="HR718:HR719"/>
    <mergeCell ref="HS718:HS719"/>
    <mergeCell ref="HT718:HT719"/>
    <mergeCell ref="HU718:HU719"/>
    <mergeCell ref="HY718:HY719"/>
    <mergeCell ref="IF724:IF725"/>
    <mergeCell ref="IH724:IH725"/>
    <mergeCell ref="FW727:FW730"/>
    <mergeCell ref="FX727:FX730"/>
    <mergeCell ref="FY727:FY730"/>
    <mergeCell ref="IC727:IC730"/>
    <mergeCell ref="IF727:IF728"/>
    <mergeCell ref="IG727:IG730"/>
    <mergeCell ref="IH727:IH728"/>
    <mergeCell ref="II727:II730"/>
    <mergeCell ref="IB729:IB730"/>
    <mergeCell ref="IF729:IF730"/>
    <mergeCell ref="IH729:IH730"/>
    <mergeCell ref="HX719:HX720"/>
    <mergeCell ref="IB719:IB720"/>
    <mergeCell ref="IF719:IF720"/>
    <mergeCell ref="IH719:IH720"/>
    <mergeCell ref="FY722:FY725"/>
    <mergeCell ref="FZ722:FZ725"/>
    <mergeCell ref="GA722:GA725"/>
    <mergeCell ref="II732:II735"/>
    <mergeCell ref="HF753:HF754"/>
    <mergeCell ref="HG753:HG754"/>
    <mergeCell ref="HH753:HH754"/>
    <mergeCell ref="HI753:HI754"/>
    <mergeCell ref="HJ753:HJ754"/>
    <mergeCell ref="HK753:HK754"/>
    <mergeCell ref="HL753:HL754"/>
    <mergeCell ref="HM753:HM754"/>
    <mergeCell ref="IK732:IK733"/>
    <mergeCell ref="IL732:IL733"/>
    <mergeCell ref="IM732:IM733"/>
    <mergeCell ref="IN732:IN733"/>
    <mergeCell ref="IO732:IO733"/>
    <mergeCell ref="IP732:IP733"/>
    <mergeCell ref="FU734:FU735"/>
    <mergeCell ref="IK734:IK735"/>
    <mergeCell ref="IL734:IL735"/>
    <mergeCell ref="IM734:IM735"/>
    <mergeCell ref="IN734:IN735"/>
    <mergeCell ref="IO734:IO735"/>
    <mergeCell ref="IP734:IP735"/>
    <mergeCell ref="FU737:FU738"/>
    <mergeCell ref="IK737:IK738"/>
    <mergeCell ref="IL737:IL738"/>
    <mergeCell ref="IM737:IM738"/>
    <mergeCell ref="IN737:IN738"/>
    <mergeCell ref="IO737:IO738"/>
    <mergeCell ref="IP737:IP738"/>
    <mergeCell ref="FU739:FU740"/>
    <mergeCell ref="IK739:IK740"/>
    <mergeCell ref="IL739:IL740"/>
    <mergeCell ref="IM739:IM740"/>
    <mergeCell ref="IN739:IN740"/>
    <mergeCell ref="IO739:IO740"/>
    <mergeCell ref="IP739:IP740"/>
    <mergeCell ref="FU742:FU743"/>
    <mergeCell ref="IK742:IK743"/>
    <mergeCell ref="IL742:IL743"/>
    <mergeCell ref="IM742:IM743"/>
    <mergeCell ref="IN742:IN743"/>
    <mergeCell ref="IO742:IO743"/>
    <mergeCell ref="IP742:IP743"/>
    <mergeCell ref="IB734:IB735"/>
    <mergeCell ref="IF734:IF735"/>
    <mergeCell ref="IH734:IH735"/>
    <mergeCell ref="IC737:IC740"/>
    <mergeCell ref="IF737:IF738"/>
    <mergeCell ref="IG737:IG740"/>
    <mergeCell ref="IH737:IH738"/>
    <mergeCell ref="II737:II740"/>
    <mergeCell ref="GI738:GI739"/>
    <mergeCell ref="GJ738:GJ739"/>
    <mergeCell ref="GL738:GL739"/>
    <mergeCell ref="GM738:GM739"/>
    <mergeCell ref="HC738:HC739"/>
    <mergeCell ref="HD738:HD739"/>
    <mergeCell ref="HE738:HE739"/>
    <mergeCell ref="HF738:HF739"/>
    <mergeCell ref="HG738:HG739"/>
    <mergeCell ref="HH738:HH739"/>
    <mergeCell ref="HI738:HI739"/>
    <mergeCell ref="HJ738:HJ739"/>
    <mergeCell ref="HK738:HK739"/>
    <mergeCell ref="HL738:HL739"/>
    <mergeCell ref="HY758:HY759"/>
    <mergeCell ref="GG757:GG760"/>
    <mergeCell ref="HW757:HW759"/>
    <mergeCell ref="HX757:HX758"/>
    <mergeCell ref="IA762:IA765"/>
    <mergeCell ref="IB762:IB763"/>
    <mergeCell ref="HU758:HU759"/>
    <mergeCell ref="HF763:HF764"/>
    <mergeCell ref="IK744:IK745"/>
    <mergeCell ref="IL744:IL745"/>
    <mergeCell ref="IM744:IM745"/>
    <mergeCell ref="IN744:IN745"/>
    <mergeCell ref="IO744:IO745"/>
    <mergeCell ref="IP744:IP745"/>
    <mergeCell ref="FU747:FU748"/>
    <mergeCell ref="IK747:IK748"/>
    <mergeCell ref="IL747:IL748"/>
    <mergeCell ref="IM747:IM748"/>
    <mergeCell ref="IN747:IN748"/>
    <mergeCell ref="IO747:IO748"/>
    <mergeCell ref="IP747:IP748"/>
    <mergeCell ref="FU749:FU750"/>
    <mergeCell ref="IK749:IK750"/>
    <mergeCell ref="IL749:IL750"/>
    <mergeCell ref="IM749:IM750"/>
    <mergeCell ref="IN749:IN750"/>
    <mergeCell ref="IO749:IO750"/>
    <mergeCell ref="IP749:IP750"/>
    <mergeCell ref="FU752:FU753"/>
    <mergeCell ref="IK752:IK753"/>
    <mergeCell ref="IL752:IL753"/>
    <mergeCell ref="IM752:IM753"/>
    <mergeCell ref="IN752:IN753"/>
    <mergeCell ref="IO752:IO753"/>
    <mergeCell ref="IP752:IP753"/>
    <mergeCell ref="FU754:FU755"/>
    <mergeCell ref="IK754:IK755"/>
    <mergeCell ref="IL754:IL755"/>
    <mergeCell ref="IM754:IM755"/>
    <mergeCell ref="IN754:IN755"/>
    <mergeCell ref="IO754:IO755"/>
    <mergeCell ref="IP754:IP755"/>
    <mergeCell ref="IB744:IB745"/>
    <mergeCell ref="IF744:IF745"/>
    <mergeCell ref="GB752:GB755"/>
    <mergeCell ref="GC752:GC755"/>
    <mergeCell ref="GD752:GD755"/>
    <mergeCell ref="GG752:GG755"/>
    <mergeCell ref="HW752:HW754"/>
    <mergeCell ref="HX752:HX753"/>
    <mergeCell ref="IA752:IA755"/>
    <mergeCell ref="IB752:IB753"/>
    <mergeCell ref="IC752:IC755"/>
    <mergeCell ref="IF752:IF753"/>
    <mergeCell ref="IG752:IG755"/>
    <mergeCell ref="IH752:IH753"/>
    <mergeCell ref="II752:II755"/>
    <mergeCell ref="GI753:GI754"/>
    <mergeCell ref="GJ753:GJ754"/>
    <mergeCell ref="GL753:GL754"/>
    <mergeCell ref="GM753:GM754"/>
    <mergeCell ref="HC753:HC754"/>
    <mergeCell ref="HD753:HD754"/>
    <mergeCell ref="HE753:HE754"/>
    <mergeCell ref="IP777:IP778"/>
    <mergeCell ref="FU779:FU780"/>
    <mergeCell ref="IK779:IK780"/>
    <mergeCell ref="IL779:IL780"/>
    <mergeCell ref="IM779:IM780"/>
    <mergeCell ref="IN779:IN780"/>
    <mergeCell ref="IO779:IO780"/>
    <mergeCell ref="IP779:IP780"/>
    <mergeCell ref="IB769:IB770"/>
    <mergeCell ref="IF769:IF770"/>
    <mergeCell ref="IK757:IK758"/>
    <mergeCell ref="IL757:IL758"/>
    <mergeCell ref="IM757:IM758"/>
    <mergeCell ref="IN757:IN758"/>
    <mergeCell ref="IO757:IO758"/>
    <mergeCell ref="IP757:IP758"/>
    <mergeCell ref="FU759:FU760"/>
    <mergeCell ref="IK759:IK760"/>
    <mergeCell ref="IL759:IL760"/>
    <mergeCell ref="IM759:IM760"/>
    <mergeCell ref="IN759:IN760"/>
    <mergeCell ref="IO759:IO760"/>
    <mergeCell ref="IP759:IP760"/>
    <mergeCell ref="FU762:FU763"/>
    <mergeCell ref="IK762:IK763"/>
    <mergeCell ref="IL762:IL763"/>
    <mergeCell ref="IM762:IM763"/>
    <mergeCell ref="IN762:IN763"/>
    <mergeCell ref="IO762:IO763"/>
    <mergeCell ref="IP762:IP763"/>
    <mergeCell ref="FU764:FU765"/>
    <mergeCell ref="IK764:IK765"/>
    <mergeCell ref="IL764:IL765"/>
    <mergeCell ref="IM764:IM765"/>
    <mergeCell ref="IN764:IN765"/>
    <mergeCell ref="IO764:IO765"/>
    <mergeCell ref="IP764:IP765"/>
    <mergeCell ref="FU767:FU768"/>
    <mergeCell ref="IK767:IK768"/>
    <mergeCell ref="IL767:IL768"/>
    <mergeCell ref="IM767:IM768"/>
    <mergeCell ref="IN767:IN768"/>
    <mergeCell ref="IO767:IO768"/>
    <mergeCell ref="IP767:IP768"/>
    <mergeCell ref="IC757:IC760"/>
    <mergeCell ref="IF757:IF758"/>
    <mergeCell ref="IG757:IG760"/>
    <mergeCell ref="IH757:IH758"/>
    <mergeCell ref="II757:II760"/>
    <mergeCell ref="II762:II765"/>
    <mergeCell ref="HI763:HI764"/>
    <mergeCell ref="HJ763:HJ764"/>
    <mergeCell ref="HK763:HK764"/>
    <mergeCell ref="HL763:HL764"/>
    <mergeCell ref="HM763:HM764"/>
    <mergeCell ref="HN763:HN764"/>
    <mergeCell ref="HO763:HO764"/>
    <mergeCell ref="HP763:HP764"/>
    <mergeCell ref="HQ763:HQ764"/>
    <mergeCell ref="HR763:HR764"/>
    <mergeCell ref="HS763:HS764"/>
    <mergeCell ref="HT763:HT764"/>
    <mergeCell ref="HU763:HU764"/>
    <mergeCell ref="HY763:HY764"/>
    <mergeCell ref="DN637:DO637"/>
    <mergeCell ref="DU637:DV637"/>
    <mergeCell ref="DN638:DO638"/>
    <mergeCell ref="DU638:DV638"/>
    <mergeCell ref="DN715:DO715"/>
    <mergeCell ref="DU715:DV715"/>
    <mergeCell ref="FU470:FU471"/>
    <mergeCell ref="FU457:FU458"/>
    <mergeCell ref="FU379:FU380"/>
    <mergeCell ref="FU367:FU368"/>
    <mergeCell ref="FU782:FU783"/>
    <mergeCell ref="IK782:IK783"/>
    <mergeCell ref="IL782:IL783"/>
    <mergeCell ref="IM782:IM783"/>
    <mergeCell ref="IN782:IN783"/>
    <mergeCell ref="IO782:IO783"/>
    <mergeCell ref="IP782:IP783"/>
    <mergeCell ref="FU784:FU785"/>
    <mergeCell ref="IK784:IK785"/>
    <mergeCell ref="IL784:IL785"/>
    <mergeCell ref="IM784:IM785"/>
    <mergeCell ref="IN784:IN785"/>
    <mergeCell ref="IO784:IO785"/>
    <mergeCell ref="IP784:IP785"/>
    <mergeCell ref="FU787:FU788"/>
    <mergeCell ref="IK787:IK788"/>
    <mergeCell ref="IL787:IL788"/>
    <mergeCell ref="IM787:IM788"/>
    <mergeCell ref="IN787:IN788"/>
    <mergeCell ref="IO787:IO788"/>
    <mergeCell ref="IP787:IP788"/>
    <mergeCell ref="FU789:FU790"/>
    <mergeCell ref="IK789:IK790"/>
    <mergeCell ref="IL789:IL790"/>
    <mergeCell ref="IM789:IM790"/>
    <mergeCell ref="IN789:IN790"/>
    <mergeCell ref="IO789:IO790"/>
    <mergeCell ref="IP789:IP790"/>
    <mergeCell ref="IK769:IK770"/>
    <mergeCell ref="IL769:IL770"/>
    <mergeCell ref="IM769:IM770"/>
    <mergeCell ref="IN769:IN770"/>
    <mergeCell ref="IO769:IO770"/>
    <mergeCell ref="IP769:IP770"/>
    <mergeCell ref="FU772:FU773"/>
    <mergeCell ref="IK772:IK773"/>
    <mergeCell ref="IL772:IL773"/>
    <mergeCell ref="IM772:IM773"/>
    <mergeCell ref="IN772:IN773"/>
    <mergeCell ref="IO772:IO773"/>
    <mergeCell ref="IP772:IP773"/>
    <mergeCell ref="FU774:FU775"/>
    <mergeCell ref="IK774:IK775"/>
    <mergeCell ref="IL774:IL775"/>
    <mergeCell ref="IM774:IM775"/>
    <mergeCell ref="IN774:IN775"/>
    <mergeCell ref="IO774:IO775"/>
    <mergeCell ref="IP774:IP775"/>
    <mergeCell ref="FU777:FU778"/>
    <mergeCell ref="IK777:IK778"/>
    <mergeCell ref="IL777:IL778"/>
    <mergeCell ref="IM777:IM778"/>
    <mergeCell ref="IN777:IN778"/>
    <mergeCell ref="IO777:IO778"/>
    <mergeCell ref="FY80:FY83"/>
    <mergeCell ref="FZ80:FZ83"/>
    <mergeCell ref="GA80:GA83"/>
    <mergeCell ref="GB80:GB83"/>
    <mergeCell ref="GC80:GC83"/>
    <mergeCell ref="GD80:GD83"/>
    <mergeCell ref="FD80:FD83"/>
    <mergeCell ref="FE80:FE83"/>
    <mergeCell ref="FI80:FI81"/>
    <mergeCell ref="FJ80:FJ81"/>
    <mergeCell ref="DN169:DO169"/>
    <mergeCell ref="DU169:DV169"/>
    <mergeCell ref="DN170:DO170"/>
    <mergeCell ref="DU170:DV170"/>
    <mergeCell ref="DN247:DO247"/>
    <mergeCell ref="DU247:DV247"/>
    <mergeCell ref="DN248:DO248"/>
    <mergeCell ref="DU248:DV248"/>
    <mergeCell ref="DN325:DO325"/>
    <mergeCell ref="DU325:DV325"/>
    <mergeCell ref="DN326:DO326"/>
    <mergeCell ref="DU326:DV326"/>
    <mergeCell ref="DN403:DO403"/>
    <mergeCell ref="DU403:DV403"/>
    <mergeCell ref="DN404:DO404"/>
    <mergeCell ref="DU404:DV404"/>
    <mergeCell ref="DN481:DO481"/>
    <mergeCell ref="DU481:DV481"/>
    <mergeCell ref="DN482:DO482"/>
    <mergeCell ref="DU482:DV482"/>
    <mergeCell ref="DN559:DO559"/>
    <mergeCell ref="DU559:DV559"/>
    <mergeCell ref="DN560:DO560"/>
    <mergeCell ref="DU560:DV560"/>
    <mergeCell ref="FU80:FU81"/>
    <mergeCell ref="FP85:FP86"/>
    <mergeCell ref="FU108:FU109"/>
    <mergeCell ref="EN98:EN101"/>
    <mergeCell ref="EO98:EO101"/>
    <mergeCell ref="EP98:EP101"/>
    <mergeCell ref="EQ98:EQ101"/>
    <mergeCell ref="FT100:FT101"/>
    <mergeCell ref="FM98:FM99"/>
    <mergeCell ref="FO98:FO99"/>
    <mergeCell ref="FP98:FP99"/>
    <mergeCell ref="FQ98:FQ99"/>
    <mergeCell ref="FR98:FR99"/>
    <mergeCell ref="FS98:FS99"/>
    <mergeCell ref="FM100:FM101"/>
    <mergeCell ref="FO100:FO101"/>
    <mergeCell ref="FP100:FP101"/>
    <mergeCell ref="FQ100:FQ101"/>
    <mergeCell ref="FR100:FR101"/>
    <mergeCell ref="FS100:FS101"/>
    <mergeCell ref="ED98:ED101"/>
    <mergeCell ref="EE98:EE101"/>
    <mergeCell ref="EF98:EF101"/>
    <mergeCell ref="EG98:EG101"/>
    <mergeCell ref="EH98:EH101"/>
    <mergeCell ref="EI98:EI101"/>
    <mergeCell ref="EJ98:EJ101"/>
    <mergeCell ref="EK98:EK101"/>
    <mergeCell ref="EL98:EL101"/>
  </mergeCells>
  <phoneticPr fontId="22" type="noConversion"/>
  <conditionalFormatting sqref="T26:V26">
    <cfRule type="expression" dxfId="10174" priority="106690">
      <formula>#REF!="TRC LOW!"</formula>
    </cfRule>
  </conditionalFormatting>
  <conditionalFormatting sqref="BY9:CG9 BF9:BQ9 BY11:CG11 BS9 BF8:CG8 BS11 BF11:BQ11 BF10:CG10 BF29:CG33 BF12:CG27">
    <cfRule type="notContainsBlanks" dxfId="10173" priority="103976">
      <formula>LEN(TRIM(BF8))&gt;0</formula>
    </cfRule>
  </conditionalFormatting>
  <conditionalFormatting sqref="BR9 BR11">
    <cfRule type="notContainsBlanks" dxfId="10172" priority="103975">
      <formula>LEN(TRIM(BR9))&gt;0</formula>
    </cfRule>
  </conditionalFormatting>
  <conditionalFormatting sqref="BX9 BX11">
    <cfRule type="notContainsBlanks" dxfId="10171" priority="103970">
      <formula>LEN(TRIM(BX9))&gt;0</formula>
    </cfRule>
  </conditionalFormatting>
  <conditionalFormatting sqref="BT9 BT11">
    <cfRule type="notContainsBlanks" dxfId="10170" priority="103973">
      <formula>LEN(TRIM(BT9))&gt;0</formula>
    </cfRule>
  </conditionalFormatting>
  <conditionalFormatting sqref="BU9 BU11">
    <cfRule type="notContainsBlanks" dxfId="10169" priority="103972">
      <formula>LEN(TRIM(BU9))&gt;0</formula>
    </cfRule>
  </conditionalFormatting>
  <conditionalFormatting sqref="BV9:BW9 BV11:BW11">
    <cfRule type="notContainsBlanks" dxfId="10168" priority="103971">
      <formula>LEN(TRIM(BV9))&gt;0</formula>
    </cfRule>
  </conditionalFormatting>
  <conditionalFormatting sqref="AO26:AU26 AO28:AU28 AO30:AU30 AO32:AU32">
    <cfRule type="cellIs" dxfId="10167" priority="52929" operator="equal">
      <formula>"Missing"</formula>
    </cfRule>
  </conditionalFormatting>
  <conditionalFormatting sqref="T20:U22">
    <cfRule type="containsText" dxfId="10166" priority="52928" operator="containsText" text="Space Error">
      <formula>NOT(ISERROR(SEARCH("Space Error",T20)))</formula>
    </cfRule>
  </conditionalFormatting>
  <conditionalFormatting sqref="P36:Q38">
    <cfRule type="expression" dxfId="10165" priority="50577">
      <formula>$C$36=0</formula>
    </cfRule>
  </conditionalFormatting>
  <conditionalFormatting sqref="T30:W30 T32:W32">
    <cfRule type="expression" dxfId="10164" priority="110422">
      <formula>$T$30&gt;0</formula>
    </cfRule>
  </conditionalFormatting>
  <conditionalFormatting sqref="B24:B32">
    <cfRule type="expression" dxfId="10163" priority="49735">
      <formula>$C$36&lt;&gt;2</formula>
    </cfRule>
  </conditionalFormatting>
  <conditionalFormatting sqref="E20:I32">
    <cfRule type="expression" dxfId="10162" priority="49708">
      <formula>$C$36=2</formula>
    </cfRule>
  </conditionalFormatting>
  <conditionalFormatting sqref="AU41">
    <cfRule type="expression" dxfId="10161" priority="48630">
      <formula>$E41=""</formula>
    </cfRule>
  </conditionalFormatting>
  <conditionalFormatting sqref="AU40">
    <cfRule type="expression" dxfId="10160" priority="48628">
      <formula>$E40=""</formula>
    </cfRule>
  </conditionalFormatting>
  <conditionalFormatting sqref="AU42">
    <cfRule type="expression" dxfId="10159" priority="48629">
      <formula>#REF!=""</formula>
    </cfRule>
  </conditionalFormatting>
  <conditionalFormatting sqref="B40:B41">
    <cfRule type="expression" dxfId="10158" priority="48618">
      <formula>$HY41="Green"</formula>
    </cfRule>
    <cfRule type="expression" dxfId="10157" priority="48619">
      <formula>$HY41="White"</formula>
    </cfRule>
  </conditionalFormatting>
  <conditionalFormatting sqref="B40:B41">
    <cfRule type="expression" dxfId="10156" priority="48620">
      <formula>$HY41="Yellow"</formula>
    </cfRule>
  </conditionalFormatting>
  <conditionalFormatting sqref="B40:B41">
    <cfRule type="expression" dxfId="10155" priority="48621">
      <formula>$HY41="Red"</formula>
    </cfRule>
  </conditionalFormatting>
  <conditionalFormatting sqref="AU43">
    <cfRule type="expression" dxfId="10154" priority="48631">
      <formula>$E42=""</formula>
    </cfRule>
  </conditionalFormatting>
  <conditionalFormatting sqref="AV40:AW43">
    <cfRule type="expression" dxfId="10153" priority="48228">
      <formula>$G40=""</formula>
    </cfRule>
  </conditionalFormatting>
  <conditionalFormatting sqref="BF28:CG28">
    <cfRule type="notContainsBlanks" dxfId="10152" priority="42539">
      <formula>LEN(TRIM(BF28))&gt;0</formula>
    </cfRule>
  </conditionalFormatting>
  <conditionalFormatting sqref="AE42">
    <cfRule type="expression" dxfId="10151" priority="20296" stopIfTrue="1">
      <formula>$G40=""</formula>
    </cfRule>
  </conditionalFormatting>
  <conditionalFormatting sqref="AB43:AD43">
    <cfRule type="expression" dxfId="10150" priority="28094" stopIfTrue="1">
      <formula>$G40=""</formula>
    </cfRule>
  </conditionalFormatting>
  <conditionalFormatting sqref="G42">
    <cfRule type="expression" dxfId="10149" priority="28074" stopIfTrue="1">
      <formula>$G40=""</formula>
    </cfRule>
    <cfRule type="containsBlanks" dxfId="10148" priority="28075" stopIfTrue="1">
      <formula>LEN(TRIM(G42))=0</formula>
    </cfRule>
    <cfRule type="expression" dxfId="10147" priority="28076">
      <formula>OR($M42=0,$HC41=FALSE)</formula>
    </cfRule>
  </conditionalFormatting>
  <conditionalFormatting sqref="AB43">
    <cfRule type="expression" dxfId="10146" priority="28072" stopIfTrue="1">
      <formula>$AB43=""</formula>
    </cfRule>
  </conditionalFormatting>
  <conditionalFormatting sqref="AE41:AF41">
    <cfRule type="expression" dxfId="10145" priority="20309">
      <formula>$C$36=2</formula>
    </cfRule>
  </conditionalFormatting>
  <conditionalFormatting sqref="T42:U42 AJ42:AL42">
    <cfRule type="expression" dxfId="10144" priority="20276" stopIfTrue="1">
      <formula>$G40=""</formula>
    </cfRule>
  </conditionalFormatting>
  <conditionalFormatting sqref="T42:U42">
    <cfRule type="containsBlanks" dxfId="10143" priority="20307" stopIfTrue="1">
      <formula>LEN(TRIM(T42))=0</formula>
    </cfRule>
  </conditionalFormatting>
  <conditionalFormatting sqref="AC40:AD40">
    <cfRule type="expression" dxfId="10142" priority="20306">
      <formula>$G40=""</formula>
    </cfRule>
  </conditionalFormatting>
  <conditionalFormatting sqref="AE41">
    <cfRule type="containsBlanks" dxfId="10141" priority="20304">
      <formula>LEN(TRIM(AE41))=0</formula>
    </cfRule>
  </conditionalFormatting>
  <conditionalFormatting sqref="AE42 AF43">
    <cfRule type="containsBlanks" dxfId="10140" priority="20303" stopIfTrue="1">
      <formula>LEN(TRIM(AE42))=0</formula>
    </cfRule>
  </conditionalFormatting>
  <conditionalFormatting sqref="AR40:AR43">
    <cfRule type="expression" dxfId="10139" priority="20300" stopIfTrue="1">
      <formula>$C$36=2</formula>
    </cfRule>
    <cfRule type="cellIs" dxfId="10138" priority="20301" operator="equal">
      <formula>"Yes"</formula>
    </cfRule>
    <cfRule type="cellIs" dxfId="10137" priority="20302" operator="equal">
      <formula>"No"</formula>
    </cfRule>
  </conditionalFormatting>
  <conditionalFormatting sqref="AJ40:AL41">
    <cfRule type="expression" dxfId="10136" priority="20299">
      <formula>$G40=""</formula>
    </cfRule>
  </conditionalFormatting>
  <conditionalFormatting sqref="AM40 AO40:AP43">
    <cfRule type="expression" dxfId="10135" priority="20298">
      <formula>$G40=""</formula>
    </cfRule>
  </conditionalFormatting>
  <conditionalFormatting sqref="AT40:AT43">
    <cfRule type="expression" dxfId="10134" priority="20297">
      <formula>$G40=""</formula>
    </cfRule>
  </conditionalFormatting>
  <conditionalFormatting sqref="AE42">
    <cfRule type="expression" dxfId="10133" priority="28089">
      <formula>OR($HN41=FALSE,$HO41=FALSE)</formula>
    </cfRule>
  </conditionalFormatting>
  <conditionalFormatting sqref="G41:Q41 G40">
    <cfRule type="containsBlanks" dxfId="10132" priority="20295">
      <formula>LEN(TRIM(G40))=0</formula>
    </cfRule>
  </conditionalFormatting>
  <conditionalFormatting sqref="G41:L41">
    <cfRule type="expression" dxfId="10131" priority="20293" stopIfTrue="1">
      <formula>$G40=""</formula>
    </cfRule>
    <cfRule type="containsBlanks" dxfId="10130" priority="20294">
      <formula>LEN(TRIM(G41))=0</formula>
    </cfRule>
  </conditionalFormatting>
  <conditionalFormatting sqref="R42">
    <cfRule type="expression" dxfId="10129" priority="20291" stopIfTrue="1">
      <formula>$G40=""</formula>
    </cfRule>
    <cfRule type="containsBlanks" dxfId="10128" priority="20292">
      <formula>LEN(TRIM(R42))=0</formula>
    </cfRule>
  </conditionalFormatting>
  <conditionalFormatting sqref="P42:R42">
    <cfRule type="expression" dxfId="10127" priority="20290">
      <formula>$C$36=0</formula>
    </cfRule>
  </conditionalFormatting>
  <conditionalFormatting sqref="AF41">
    <cfRule type="containsBlanks" dxfId="10126" priority="20286">
      <formula>LEN(TRIM(AF41))=0</formula>
    </cfRule>
    <cfRule type="expression" dxfId="10125" priority="20287">
      <formula>$HJ41=FALSE</formula>
    </cfRule>
  </conditionalFormatting>
  <conditionalFormatting sqref="AF43">
    <cfRule type="expression" dxfId="10124" priority="20285">
      <formula>$C$36=2</formula>
    </cfRule>
  </conditionalFormatting>
  <conditionalFormatting sqref="E43:F43">
    <cfRule type="expression" dxfId="10123" priority="20284">
      <formula>$CN40="Exterior"</formula>
    </cfRule>
  </conditionalFormatting>
  <conditionalFormatting sqref="R41">
    <cfRule type="containsBlanks" dxfId="10122" priority="20283">
      <formula>LEN(TRIM(R41))=0</formula>
    </cfRule>
  </conditionalFormatting>
  <conditionalFormatting sqref="AE41:AF41">
    <cfRule type="expression" dxfId="10121" priority="20282" stopIfTrue="1">
      <formula>$G40=""</formula>
    </cfRule>
  </conditionalFormatting>
  <conditionalFormatting sqref="AF43">
    <cfRule type="expression" dxfId="10120" priority="20281" stopIfTrue="1">
      <formula>$G40=""</formula>
    </cfRule>
  </conditionalFormatting>
  <conditionalFormatting sqref="AF40:AI40">
    <cfRule type="expression" dxfId="10119" priority="20280">
      <formula>$C$36&lt;&gt;0</formula>
    </cfRule>
  </conditionalFormatting>
  <conditionalFormatting sqref="R41">
    <cfRule type="containsBlanks" dxfId="10118" priority="20277">
      <formula>LEN(TRIM(R41))=0</formula>
    </cfRule>
  </conditionalFormatting>
  <conditionalFormatting sqref="U42">
    <cfRule type="expression" dxfId="10117" priority="20308">
      <formula>OR($HF41=FALSE,$HG41=FALSE)</formula>
    </cfRule>
  </conditionalFormatting>
  <conditionalFormatting sqref="R41">
    <cfRule type="expression" dxfId="10116" priority="20274" stopIfTrue="1">
      <formula>$G40=""</formula>
    </cfRule>
    <cfRule type="expression" dxfId="10115" priority="20275">
      <formula>$HT41=FALSE</formula>
    </cfRule>
  </conditionalFormatting>
  <conditionalFormatting sqref="G43">
    <cfRule type="expression" dxfId="10114" priority="20259" stopIfTrue="1">
      <formula>$G40=""</formula>
    </cfRule>
  </conditionalFormatting>
  <conditionalFormatting sqref="G43">
    <cfRule type="expression" dxfId="10113" priority="20269" stopIfTrue="1">
      <formula>$CN40="Exterior"</formula>
    </cfRule>
  </conditionalFormatting>
  <conditionalFormatting sqref="G43:L43">
    <cfRule type="containsBlanks" dxfId="10112" priority="20270" stopIfTrue="1">
      <formula>LEN(TRIM(G43))=0</formula>
    </cfRule>
    <cfRule type="expression" dxfId="10111" priority="20272">
      <formula>$HL41=FALSE</formula>
    </cfRule>
  </conditionalFormatting>
  <conditionalFormatting sqref="AF42">
    <cfRule type="expression" dxfId="10110" priority="20264" stopIfTrue="1">
      <formula>$G40=""</formula>
    </cfRule>
  </conditionalFormatting>
  <conditionalFormatting sqref="AF42:AI42">
    <cfRule type="expression" dxfId="10109" priority="20268">
      <formula>OR($HP41=FALSE,$HL41=FALSE)</formula>
    </cfRule>
  </conditionalFormatting>
  <conditionalFormatting sqref="AF42">
    <cfRule type="containsBlanks" dxfId="10108" priority="20265" stopIfTrue="1">
      <formula>LEN(TRIM(AF42))=0</formula>
    </cfRule>
    <cfRule type="expression" dxfId="10107" priority="20266">
      <formula>$DP40=7</formula>
    </cfRule>
    <cfRule type="expression" dxfId="10106" priority="20267">
      <formula>OR($HK41=FALSE,$HM41=FALSE)</formula>
    </cfRule>
  </conditionalFormatting>
  <conditionalFormatting sqref="G43:L43">
    <cfRule type="expression" dxfId="10105" priority="20271" stopIfTrue="1">
      <formula>$AF42=""</formula>
    </cfRule>
  </conditionalFormatting>
  <conditionalFormatting sqref="T41:U41">
    <cfRule type="expression" dxfId="10104" priority="20256" stopIfTrue="1">
      <formula>$C$36&lt;&gt;0</formula>
    </cfRule>
    <cfRule type="containsBlanks" dxfId="10103" priority="20257" stopIfTrue="1">
      <formula>LEN(TRIM(T41))=0</formula>
    </cfRule>
  </conditionalFormatting>
  <conditionalFormatting sqref="T41:U41">
    <cfRule type="expression" dxfId="10102" priority="20255" stopIfTrue="1">
      <formula>$G40=""</formula>
    </cfRule>
  </conditionalFormatting>
  <conditionalFormatting sqref="U41">
    <cfRule type="expression" dxfId="10101" priority="20258">
      <formula>$HE41=FALSE</formula>
    </cfRule>
  </conditionalFormatting>
  <conditionalFormatting sqref="T43">
    <cfRule type="expression" dxfId="10100" priority="20254">
      <formula>$C$36=2</formula>
    </cfRule>
  </conditionalFormatting>
  <conditionalFormatting sqref="AB43">
    <cfRule type="expression" dxfId="10099" priority="110425">
      <formula>$HU41=FALSE</formula>
    </cfRule>
  </conditionalFormatting>
  <conditionalFormatting sqref="AU46">
    <cfRule type="expression" dxfId="10098" priority="19749">
      <formula>$E46=""</formula>
    </cfRule>
  </conditionalFormatting>
  <conditionalFormatting sqref="AU45">
    <cfRule type="expression" dxfId="10097" priority="19748">
      <formula>$E45=""</formula>
    </cfRule>
  </conditionalFormatting>
  <conditionalFormatting sqref="AU47">
    <cfRule type="expression" dxfId="10096" priority="19747">
      <formula>#REF!=""</formula>
    </cfRule>
  </conditionalFormatting>
  <conditionalFormatting sqref="B45:B46">
    <cfRule type="expression" dxfId="10095" priority="19745">
      <formula>$HY46="Green"</formula>
    </cfRule>
    <cfRule type="expression" dxfId="10094" priority="19746">
      <formula>$HY46="White"</formula>
    </cfRule>
  </conditionalFormatting>
  <conditionalFormatting sqref="B45:B46">
    <cfRule type="expression" dxfId="10093" priority="19744">
      <formula>$HY46="Yellow"</formula>
    </cfRule>
  </conditionalFormatting>
  <conditionalFormatting sqref="B45:B46">
    <cfRule type="expression" dxfId="10092" priority="19743">
      <formula>$HY46="Red"</formula>
    </cfRule>
  </conditionalFormatting>
  <conditionalFormatting sqref="AU48">
    <cfRule type="expression" dxfId="10091" priority="19742">
      <formula>$E47=""</formula>
    </cfRule>
  </conditionalFormatting>
  <conditionalFormatting sqref="AV45:AW48">
    <cfRule type="expression" dxfId="10090" priority="19741">
      <formula>$G45=""</formula>
    </cfRule>
  </conditionalFormatting>
  <conditionalFormatting sqref="AE47">
    <cfRule type="expression" dxfId="10089" priority="19721" stopIfTrue="1">
      <formula>$G45=""</formula>
    </cfRule>
  </conditionalFormatting>
  <conditionalFormatting sqref="AB48:AD48">
    <cfRule type="expression" dxfId="10088" priority="19739" stopIfTrue="1">
      <formula>$G45=""</formula>
    </cfRule>
  </conditionalFormatting>
  <conditionalFormatting sqref="G47">
    <cfRule type="expression" dxfId="10087" priority="19736" stopIfTrue="1">
      <formula>$G45=""</formula>
    </cfRule>
    <cfRule type="containsBlanks" dxfId="10086" priority="19737" stopIfTrue="1">
      <formula>LEN(TRIM(G47))=0</formula>
    </cfRule>
    <cfRule type="expression" dxfId="10085" priority="19738">
      <formula>OR($M47=0,$HC46=FALSE)</formula>
    </cfRule>
  </conditionalFormatting>
  <conditionalFormatting sqref="AB48">
    <cfRule type="expression" dxfId="10084" priority="19735" stopIfTrue="1">
      <formula>$AB48=""</formula>
    </cfRule>
  </conditionalFormatting>
  <conditionalFormatting sqref="AE46:AF46">
    <cfRule type="expression" dxfId="10083" priority="19734">
      <formula>$C$36=2</formula>
    </cfRule>
  </conditionalFormatting>
  <conditionalFormatting sqref="T47:U47 AJ47:AL47">
    <cfRule type="expression" dxfId="10082" priority="19702" stopIfTrue="1">
      <formula>$G45=""</formula>
    </cfRule>
  </conditionalFormatting>
  <conditionalFormatting sqref="T47:U47">
    <cfRule type="containsBlanks" dxfId="10081" priority="19732" stopIfTrue="1">
      <formula>LEN(TRIM(T47))=0</formula>
    </cfRule>
  </conditionalFormatting>
  <conditionalFormatting sqref="AC45:AD45">
    <cfRule type="expression" dxfId="10080" priority="19731">
      <formula>$G45=""</formula>
    </cfRule>
  </conditionalFormatting>
  <conditionalFormatting sqref="AE46">
    <cfRule type="containsBlanks" dxfId="10079" priority="19729">
      <formula>LEN(TRIM(AE46))=0</formula>
    </cfRule>
  </conditionalFormatting>
  <conditionalFormatting sqref="AE47 AF48">
    <cfRule type="containsBlanks" dxfId="10078" priority="19728" stopIfTrue="1">
      <formula>LEN(TRIM(AE47))=0</formula>
    </cfRule>
  </conditionalFormatting>
  <conditionalFormatting sqref="AR45:AR48">
    <cfRule type="expression" dxfId="10077" priority="19725" stopIfTrue="1">
      <formula>$C$36=2</formula>
    </cfRule>
    <cfRule type="cellIs" dxfId="10076" priority="19726" operator="equal">
      <formula>"Yes"</formula>
    </cfRule>
    <cfRule type="cellIs" dxfId="10075" priority="19727" operator="equal">
      <formula>"No"</formula>
    </cfRule>
  </conditionalFormatting>
  <conditionalFormatting sqref="AJ45:AL46">
    <cfRule type="expression" dxfId="10074" priority="19724">
      <formula>$G45=""</formula>
    </cfRule>
  </conditionalFormatting>
  <conditionalFormatting sqref="AM45 AO45:AP48">
    <cfRule type="expression" dxfId="10073" priority="19723">
      <formula>$G45=""</formula>
    </cfRule>
  </conditionalFormatting>
  <conditionalFormatting sqref="AT45:AT48">
    <cfRule type="expression" dxfId="10072" priority="19722">
      <formula>$G45=""</formula>
    </cfRule>
  </conditionalFormatting>
  <conditionalFormatting sqref="AE47">
    <cfRule type="expression" dxfId="10071" priority="19740">
      <formula>OR($HN46=FALSE,$HO46=FALSE)</formula>
    </cfRule>
  </conditionalFormatting>
  <conditionalFormatting sqref="G46:Q46 G45">
    <cfRule type="containsBlanks" dxfId="10070" priority="19720">
      <formula>LEN(TRIM(G45))=0</formula>
    </cfRule>
  </conditionalFormatting>
  <conditionalFormatting sqref="G46:L46">
    <cfRule type="expression" dxfId="10069" priority="19718" stopIfTrue="1">
      <formula>$G45=""</formula>
    </cfRule>
    <cfRule type="containsBlanks" dxfId="10068" priority="19719">
      <formula>LEN(TRIM(G46))=0</formula>
    </cfRule>
  </conditionalFormatting>
  <conditionalFormatting sqref="R47">
    <cfRule type="expression" dxfId="10067" priority="19716" stopIfTrue="1">
      <formula>$G45=""</formula>
    </cfRule>
    <cfRule type="containsBlanks" dxfId="10066" priority="19717">
      <formula>LEN(TRIM(R47))=0</formula>
    </cfRule>
  </conditionalFormatting>
  <conditionalFormatting sqref="P47:R47">
    <cfRule type="expression" dxfId="10065" priority="19715">
      <formula>$C$36=0</formula>
    </cfRule>
  </conditionalFormatting>
  <conditionalFormatting sqref="AF46">
    <cfRule type="containsBlanks" dxfId="10064" priority="19711">
      <formula>LEN(TRIM(AF46))=0</formula>
    </cfRule>
    <cfRule type="expression" dxfId="10063" priority="19712">
      <formula>$HJ46=FALSE</formula>
    </cfRule>
  </conditionalFormatting>
  <conditionalFormatting sqref="AF48">
    <cfRule type="expression" dxfId="10062" priority="19710">
      <formula>$C$36=2</formula>
    </cfRule>
  </conditionalFormatting>
  <conditionalFormatting sqref="E48:F48">
    <cfRule type="expression" dxfId="10061" priority="19709">
      <formula>$CN45="Exterior"</formula>
    </cfRule>
  </conditionalFormatting>
  <conditionalFormatting sqref="R46">
    <cfRule type="containsBlanks" dxfId="10060" priority="19708">
      <formula>LEN(TRIM(R46))=0</formula>
    </cfRule>
  </conditionalFormatting>
  <conditionalFormatting sqref="AE46:AF46">
    <cfRule type="expression" dxfId="10059" priority="19707" stopIfTrue="1">
      <formula>$G45=""</formula>
    </cfRule>
  </conditionalFormatting>
  <conditionalFormatting sqref="AF48">
    <cfRule type="expression" dxfId="10058" priority="19706" stopIfTrue="1">
      <formula>$G45=""</formula>
    </cfRule>
  </conditionalFormatting>
  <conditionalFormatting sqref="AF45:AI45">
    <cfRule type="expression" dxfId="10057" priority="19705">
      <formula>$C$36&lt;&gt;0</formula>
    </cfRule>
  </conditionalFormatting>
  <conditionalFormatting sqref="R46">
    <cfRule type="containsBlanks" dxfId="10056" priority="19703">
      <formula>LEN(TRIM(R46))=0</formula>
    </cfRule>
  </conditionalFormatting>
  <conditionalFormatting sqref="U47">
    <cfRule type="expression" dxfId="10055" priority="19733">
      <formula>OR($HF46=FALSE,$HG46=FALSE)</formula>
    </cfRule>
  </conditionalFormatting>
  <conditionalFormatting sqref="R46">
    <cfRule type="expression" dxfId="10054" priority="19700" stopIfTrue="1">
      <formula>$G45=""</formula>
    </cfRule>
    <cfRule type="expression" dxfId="10053" priority="19701">
      <formula>$HT46=FALSE</formula>
    </cfRule>
  </conditionalFormatting>
  <conditionalFormatting sqref="G48">
    <cfRule type="expression" dxfId="10052" priority="19695" stopIfTrue="1">
      <formula>$G45=""</formula>
    </cfRule>
  </conditionalFormatting>
  <conditionalFormatting sqref="G48">
    <cfRule type="expression" dxfId="10051" priority="19689" stopIfTrue="1">
      <formula>$CN45="Exterior"</formula>
    </cfRule>
  </conditionalFormatting>
  <conditionalFormatting sqref="G48:L48">
    <cfRule type="containsBlanks" dxfId="10050" priority="19696" stopIfTrue="1">
      <formula>LEN(TRIM(G48))=0</formula>
    </cfRule>
    <cfRule type="expression" dxfId="10049" priority="19698">
      <formula>$HL46=FALSE</formula>
    </cfRule>
  </conditionalFormatting>
  <conditionalFormatting sqref="AF47">
    <cfRule type="expression" dxfId="10048" priority="19690" stopIfTrue="1">
      <formula>$G45=""</formula>
    </cfRule>
  </conditionalFormatting>
  <conditionalFormatting sqref="AF47:AI47">
    <cfRule type="expression" dxfId="10047" priority="19694">
      <formula>OR($HP46=FALSE,$HL46=FALSE)</formula>
    </cfRule>
  </conditionalFormatting>
  <conditionalFormatting sqref="AF47">
    <cfRule type="containsBlanks" dxfId="10046" priority="19691" stopIfTrue="1">
      <formula>LEN(TRIM(AF47))=0</formula>
    </cfRule>
    <cfRule type="expression" dxfId="10045" priority="19692">
      <formula>$DP45=7</formula>
    </cfRule>
    <cfRule type="expression" dxfId="10044" priority="19693">
      <formula>OR($HK46=FALSE,$HM46=FALSE)</formula>
    </cfRule>
  </conditionalFormatting>
  <conditionalFormatting sqref="G48:L48">
    <cfRule type="expression" dxfId="10043" priority="19697" stopIfTrue="1">
      <formula>$AF47=""</formula>
    </cfRule>
  </conditionalFormatting>
  <conditionalFormatting sqref="T46:U46">
    <cfRule type="expression" dxfId="10042" priority="19686" stopIfTrue="1">
      <formula>$C$36&lt;&gt;0</formula>
    </cfRule>
    <cfRule type="containsBlanks" dxfId="10041" priority="19687" stopIfTrue="1">
      <formula>LEN(TRIM(T46))=0</formula>
    </cfRule>
  </conditionalFormatting>
  <conditionalFormatting sqref="T46:U46">
    <cfRule type="expression" dxfId="10040" priority="19685" stopIfTrue="1">
      <formula>$G45=""</formula>
    </cfRule>
  </conditionalFormatting>
  <conditionalFormatting sqref="U46">
    <cfRule type="expression" dxfId="10039" priority="19688">
      <formula>$HE46=FALSE</formula>
    </cfRule>
  </conditionalFormatting>
  <conditionalFormatting sqref="T48">
    <cfRule type="expression" dxfId="10038" priority="19684">
      <formula>$C$36=2</formula>
    </cfRule>
  </conditionalFormatting>
  <conditionalFormatting sqref="AU51">
    <cfRule type="expression" dxfId="10037" priority="19682">
      <formula>$E51=""</formula>
    </cfRule>
  </conditionalFormatting>
  <conditionalFormatting sqref="AU50">
    <cfRule type="expression" dxfId="10036" priority="19681">
      <formula>$E50=""</formula>
    </cfRule>
  </conditionalFormatting>
  <conditionalFormatting sqref="AU52">
    <cfRule type="expression" dxfId="10035" priority="19680">
      <formula>#REF!=""</formula>
    </cfRule>
  </conditionalFormatting>
  <conditionalFormatting sqref="B50:B51">
    <cfRule type="expression" dxfId="10034" priority="19678">
      <formula>$HY51="Green"</formula>
    </cfRule>
    <cfRule type="expression" dxfId="10033" priority="19679">
      <formula>$HY51="White"</formula>
    </cfRule>
  </conditionalFormatting>
  <conditionalFormatting sqref="B50:B51">
    <cfRule type="expression" dxfId="10032" priority="19677">
      <formula>$HY51="Yellow"</formula>
    </cfRule>
  </conditionalFormatting>
  <conditionalFormatting sqref="B50:B51">
    <cfRule type="expression" dxfId="10031" priority="19676">
      <formula>$HY51="Red"</formula>
    </cfRule>
  </conditionalFormatting>
  <conditionalFormatting sqref="AU53">
    <cfRule type="expression" dxfId="10030" priority="19675">
      <formula>$E52=""</formula>
    </cfRule>
  </conditionalFormatting>
  <conditionalFormatting sqref="AV50:AW53">
    <cfRule type="expression" dxfId="10029" priority="19674">
      <formula>$G50=""</formula>
    </cfRule>
  </conditionalFormatting>
  <conditionalFormatting sqref="AJ52:AL52">
    <cfRule type="expression" dxfId="10028" priority="19666" stopIfTrue="1">
      <formula>$G50=""</formula>
    </cfRule>
  </conditionalFormatting>
  <conditionalFormatting sqref="AR50:AR53">
    <cfRule type="expression" dxfId="10027" priority="19658" stopIfTrue="1">
      <formula>$C$36=2</formula>
    </cfRule>
    <cfRule type="cellIs" dxfId="10026" priority="19659" operator="equal">
      <formula>"Yes"</formula>
    </cfRule>
    <cfRule type="cellIs" dxfId="10025" priority="19660" operator="equal">
      <formula>"No"</formula>
    </cfRule>
  </conditionalFormatting>
  <conditionalFormatting sqref="AJ50:AL51">
    <cfRule type="expression" dxfId="10024" priority="19657">
      <formula>$G50=""</formula>
    </cfRule>
  </conditionalFormatting>
  <conditionalFormatting sqref="AM50 AO50:AP53">
    <cfRule type="expression" dxfId="10023" priority="19656">
      <formula>$G50=""</formula>
    </cfRule>
  </conditionalFormatting>
  <conditionalFormatting sqref="AT50:AT53">
    <cfRule type="expression" dxfId="10022" priority="19655">
      <formula>$G50=""</formula>
    </cfRule>
  </conditionalFormatting>
  <conditionalFormatting sqref="E53:F53">
    <cfRule type="expression" dxfId="10021" priority="19642">
      <formula>$CN50="Exterior"</formula>
    </cfRule>
  </conditionalFormatting>
  <conditionalFormatting sqref="AU56">
    <cfRule type="expression" dxfId="10020" priority="19615">
      <formula>$E56=""</formula>
    </cfRule>
  </conditionalFormatting>
  <conditionalFormatting sqref="AU55">
    <cfRule type="expression" dxfId="10019" priority="19614">
      <formula>$E55=""</formula>
    </cfRule>
  </conditionalFormatting>
  <conditionalFormatting sqref="AU57">
    <cfRule type="expression" dxfId="10018" priority="19613">
      <formula>#REF!=""</formula>
    </cfRule>
  </conditionalFormatting>
  <conditionalFormatting sqref="B55:B56">
    <cfRule type="expression" dxfId="10017" priority="19611">
      <formula>$HY56="Green"</formula>
    </cfRule>
    <cfRule type="expression" dxfId="10016" priority="19612">
      <formula>$HY56="White"</formula>
    </cfRule>
  </conditionalFormatting>
  <conditionalFormatting sqref="B55:B56">
    <cfRule type="expression" dxfId="10015" priority="19610">
      <formula>$HY56="Yellow"</formula>
    </cfRule>
  </conditionalFormatting>
  <conditionalFormatting sqref="B55:B56">
    <cfRule type="expression" dxfId="10014" priority="19609">
      <formula>$HY56="Red"</formula>
    </cfRule>
  </conditionalFormatting>
  <conditionalFormatting sqref="AU58">
    <cfRule type="expression" dxfId="10013" priority="19608">
      <formula>$E57=""</formula>
    </cfRule>
  </conditionalFormatting>
  <conditionalFormatting sqref="AV55:AW58">
    <cfRule type="expression" dxfId="10012" priority="19607">
      <formula>$G55=""</formula>
    </cfRule>
  </conditionalFormatting>
  <conditionalFormatting sqref="AJ57:AL57">
    <cfRule type="expression" dxfId="10011" priority="19599" stopIfTrue="1">
      <formula>$G55=""</formula>
    </cfRule>
  </conditionalFormatting>
  <conditionalFormatting sqref="AR55:AR58">
    <cfRule type="expression" dxfId="10010" priority="19591" stopIfTrue="1">
      <formula>$C$36=2</formula>
    </cfRule>
    <cfRule type="cellIs" dxfId="10009" priority="19592" operator="equal">
      <formula>"Yes"</formula>
    </cfRule>
    <cfRule type="cellIs" dxfId="10008" priority="19593" operator="equal">
      <formula>"No"</formula>
    </cfRule>
  </conditionalFormatting>
  <conditionalFormatting sqref="AJ55:AL56">
    <cfRule type="expression" dxfId="10007" priority="19590">
      <formula>$G55=""</formula>
    </cfRule>
  </conditionalFormatting>
  <conditionalFormatting sqref="AM55 AO55:AP58">
    <cfRule type="expression" dxfId="10006" priority="19589">
      <formula>$G55=""</formula>
    </cfRule>
  </conditionalFormatting>
  <conditionalFormatting sqref="AT55:AT58">
    <cfRule type="expression" dxfId="10005" priority="19588">
      <formula>$G55=""</formula>
    </cfRule>
  </conditionalFormatting>
  <conditionalFormatting sqref="E58:F58">
    <cfRule type="expression" dxfId="10004" priority="19575">
      <formula>$CN55="Exterior"</formula>
    </cfRule>
  </conditionalFormatting>
  <conditionalFormatting sqref="AU61">
    <cfRule type="expression" dxfId="10003" priority="19548">
      <formula>$E61=""</formula>
    </cfRule>
  </conditionalFormatting>
  <conditionalFormatting sqref="AU60">
    <cfRule type="expression" dxfId="10002" priority="19547">
      <formula>$E60=""</formula>
    </cfRule>
  </conditionalFormatting>
  <conditionalFormatting sqref="AU62">
    <cfRule type="expression" dxfId="10001" priority="19546">
      <formula>#REF!=""</formula>
    </cfRule>
  </conditionalFormatting>
  <conditionalFormatting sqref="B60:B61">
    <cfRule type="expression" dxfId="10000" priority="19544">
      <formula>$HY61="Green"</formula>
    </cfRule>
    <cfRule type="expression" dxfId="9999" priority="19545">
      <formula>$HY61="White"</formula>
    </cfRule>
  </conditionalFormatting>
  <conditionalFormatting sqref="B60:B61">
    <cfRule type="expression" dxfId="9998" priority="19543">
      <formula>$HY61="Yellow"</formula>
    </cfRule>
  </conditionalFormatting>
  <conditionalFormatting sqref="B60:B61">
    <cfRule type="expression" dxfId="9997" priority="19542">
      <formula>$HY61="Red"</formula>
    </cfRule>
  </conditionalFormatting>
  <conditionalFormatting sqref="AU63">
    <cfRule type="expression" dxfId="9996" priority="19541">
      <formula>$E62=""</formula>
    </cfRule>
  </conditionalFormatting>
  <conditionalFormatting sqref="AV60:AW63">
    <cfRule type="expression" dxfId="9995" priority="19540">
      <formula>$G60=""</formula>
    </cfRule>
  </conditionalFormatting>
  <conditionalFormatting sqref="AJ62:AL62">
    <cfRule type="expression" dxfId="9994" priority="19532" stopIfTrue="1">
      <formula>$G60=""</formula>
    </cfRule>
  </conditionalFormatting>
  <conditionalFormatting sqref="AR60:AR63">
    <cfRule type="expression" dxfId="9993" priority="19524" stopIfTrue="1">
      <formula>$C$36=2</formula>
    </cfRule>
    <cfRule type="cellIs" dxfId="9992" priority="19525" operator="equal">
      <formula>"Yes"</formula>
    </cfRule>
    <cfRule type="cellIs" dxfId="9991" priority="19526" operator="equal">
      <formula>"No"</formula>
    </cfRule>
  </conditionalFormatting>
  <conditionalFormatting sqref="AJ60:AL61">
    <cfRule type="expression" dxfId="9990" priority="19523">
      <formula>$G60=""</formula>
    </cfRule>
  </conditionalFormatting>
  <conditionalFormatting sqref="AM60 AO60:AP63">
    <cfRule type="expression" dxfId="9989" priority="19522">
      <formula>$G60=""</formula>
    </cfRule>
  </conditionalFormatting>
  <conditionalFormatting sqref="AT60:AT63">
    <cfRule type="expression" dxfId="9988" priority="19521">
      <formula>$G60=""</formula>
    </cfRule>
  </conditionalFormatting>
  <conditionalFormatting sqref="E63:F63">
    <cfRule type="expression" dxfId="9987" priority="19508">
      <formula>$CN60="Exterior"</formula>
    </cfRule>
  </conditionalFormatting>
  <conditionalFormatting sqref="AU66">
    <cfRule type="expression" dxfId="9986" priority="19481">
      <formula>$E66=""</formula>
    </cfRule>
  </conditionalFormatting>
  <conditionalFormatting sqref="AU65">
    <cfRule type="expression" dxfId="9985" priority="19480">
      <formula>$E65=""</formula>
    </cfRule>
  </conditionalFormatting>
  <conditionalFormatting sqref="AU67">
    <cfRule type="expression" dxfId="9984" priority="19479">
      <formula>#REF!=""</formula>
    </cfRule>
  </conditionalFormatting>
  <conditionalFormatting sqref="B65:B66">
    <cfRule type="expression" dxfId="9983" priority="19477">
      <formula>$HY66="Green"</formula>
    </cfRule>
    <cfRule type="expression" dxfId="9982" priority="19478">
      <formula>$HY66="White"</formula>
    </cfRule>
  </conditionalFormatting>
  <conditionalFormatting sqref="B65:B66">
    <cfRule type="expression" dxfId="9981" priority="19476">
      <formula>$HY66="Yellow"</formula>
    </cfRule>
  </conditionalFormatting>
  <conditionalFormatting sqref="B65:B66">
    <cfRule type="expression" dxfId="9980" priority="19475">
      <formula>$HY66="Red"</formula>
    </cfRule>
  </conditionalFormatting>
  <conditionalFormatting sqref="AU68">
    <cfRule type="expression" dxfId="9979" priority="19474">
      <formula>$E67=""</formula>
    </cfRule>
  </conditionalFormatting>
  <conditionalFormatting sqref="AV65:AW68">
    <cfRule type="expression" dxfId="9978" priority="19473">
      <formula>$G65=""</formula>
    </cfRule>
  </conditionalFormatting>
  <conditionalFormatting sqref="AJ67:AL67">
    <cfRule type="expression" dxfId="9977" priority="19465" stopIfTrue="1">
      <formula>$G65=""</formula>
    </cfRule>
  </conditionalFormatting>
  <conditionalFormatting sqref="AR65:AR68">
    <cfRule type="expression" dxfId="9976" priority="19457" stopIfTrue="1">
      <formula>$C$36=2</formula>
    </cfRule>
    <cfRule type="cellIs" dxfId="9975" priority="19458" operator="equal">
      <formula>"Yes"</formula>
    </cfRule>
    <cfRule type="cellIs" dxfId="9974" priority="19459" operator="equal">
      <formula>"No"</formula>
    </cfRule>
  </conditionalFormatting>
  <conditionalFormatting sqref="AJ65:AL66">
    <cfRule type="expression" dxfId="9973" priority="19456">
      <formula>$G65=""</formula>
    </cfRule>
  </conditionalFormatting>
  <conditionalFormatting sqref="AM65 AO65:AP68">
    <cfRule type="expression" dxfId="9972" priority="19455">
      <formula>$G65=""</formula>
    </cfRule>
  </conditionalFormatting>
  <conditionalFormatting sqref="AT65:AT68">
    <cfRule type="expression" dxfId="9971" priority="19454">
      <formula>$G65=""</formula>
    </cfRule>
  </conditionalFormatting>
  <conditionalFormatting sqref="E68:F68">
    <cfRule type="expression" dxfId="9970" priority="19441">
      <formula>$CN65="Exterior"</formula>
    </cfRule>
  </conditionalFormatting>
  <conditionalFormatting sqref="AU71">
    <cfRule type="expression" dxfId="9969" priority="19414">
      <formula>$E71=""</formula>
    </cfRule>
  </conditionalFormatting>
  <conditionalFormatting sqref="AU70">
    <cfRule type="expression" dxfId="9968" priority="19413">
      <formula>$E70=""</formula>
    </cfRule>
  </conditionalFormatting>
  <conditionalFormatting sqref="AU72">
    <cfRule type="expression" dxfId="9967" priority="19412">
      <formula>#REF!=""</formula>
    </cfRule>
  </conditionalFormatting>
  <conditionalFormatting sqref="B70:B71">
    <cfRule type="expression" dxfId="9966" priority="19410">
      <formula>$HY71="Green"</formula>
    </cfRule>
    <cfRule type="expression" dxfId="9965" priority="19411">
      <formula>$HY71="White"</formula>
    </cfRule>
  </conditionalFormatting>
  <conditionalFormatting sqref="B70:B71">
    <cfRule type="expression" dxfId="9964" priority="19409">
      <formula>$HY71="Yellow"</formula>
    </cfRule>
  </conditionalFormatting>
  <conditionalFormatting sqref="B70:B71">
    <cfRule type="expression" dxfId="9963" priority="19408">
      <formula>$HY71="Red"</formula>
    </cfRule>
  </conditionalFormatting>
  <conditionalFormatting sqref="AU73">
    <cfRule type="expression" dxfId="9962" priority="19407">
      <formula>$E72=""</formula>
    </cfRule>
  </conditionalFormatting>
  <conditionalFormatting sqref="AV70:AW73">
    <cfRule type="expression" dxfId="9961" priority="19406">
      <formula>$G70=""</formula>
    </cfRule>
  </conditionalFormatting>
  <conditionalFormatting sqref="AJ72:AL72">
    <cfRule type="expression" dxfId="9960" priority="19398" stopIfTrue="1">
      <formula>$G70=""</formula>
    </cfRule>
  </conditionalFormatting>
  <conditionalFormatting sqref="AR70:AR73">
    <cfRule type="expression" dxfId="9959" priority="19390" stopIfTrue="1">
      <formula>$C$36=2</formula>
    </cfRule>
    <cfRule type="cellIs" dxfId="9958" priority="19391" operator="equal">
      <formula>"Yes"</formula>
    </cfRule>
    <cfRule type="cellIs" dxfId="9957" priority="19392" operator="equal">
      <formula>"No"</formula>
    </cfRule>
  </conditionalFormatting>
  <conditionalFormatting sqref="AJ70:AL71">
    <cfRule type="expression" dxfId="9956" priority="19389">
      <formula>$G70=""</formula>
    </cfRule>
  </conditionalFormatting>
  <conditionalFormatting sqref="AM70 AO70:AP73">
    <cfRule type="expression" dxfId="9955" priority="19388">
      <formula>$G70=""</formula>
    </cfRule>
  </conditionalFormatting>
  <conditionalFormatting sqref="AT70:AT73">
    <cfRule type="expression" dxfId="9954" priority="19387">
      <formula>$G70=""</formula>
    </cfRule>
  </conditionalFormatting>
  <conditionalFormatting sqref="E73:F73">
    <cfRule type="expression" dxfId="9953" priority="19374">
      <formula>$CN70="Exterior"</formula>
    </cfRule>
  </conditionalFormatting>
  <conditionalFormatting sqref="AU76">
    <cfRule type="expression" dxfId="9952" priority="19347">
      <formula>$E76=""</formula>
    </cfRule>
  </conditionalFormatting>
  <conditionalFormatting sqref="AU75">
    <cfRule type="expression" dxfId="9951" priority="19346">
      <formula>$E75=""</formula>
    </cfRule>
  </conditionalFormatting>
  <conditionalFormatting sqref="AU77">
    <cfRule type="expression" dxfId="9950" priority="19345">
      <formula>#REF!=""</formula>
    </cfRule>
  </conditionalFormatting>
  <conditionalFormatting sqref="B75:B76">
    <cfRule type="expression" dxfId="9949" priority="19343">
      <formula>$HY76="Green"</formula>
    </cfRule>
    <cfRule type="expression" dxfId="9948" priority="19344">
      <formula>$HY76="White"</formula>
    </cfRule>
  </conditionalFormatting>
  <conditionalFormatting sqref="B75:B76">
    <cfRule type="expression" dxfId="9947" priority="19342">
      <formula>$HY76="Yellow"</formula>
    </cfRule>
  </conditionalFormatting>
  <conditionalFormatting sqref="B75:B76">
    <cfRule type="expression" dxfId="9946" priority="19341">
      <formula>$HY76="Red"</formula>
    </cfRule>
  </conditionalFormatting>
  <conditionalFormatting sqref="AU78">
    <cfRule type="expression" dxfId="9945" priority="19340">
      <formula>$E77=""</formula>
    </cfRule>
  </conditionalFormatting>
  <conditionalFormatting sqref="AV75:AW78">
    <cfRule type="expression" dxfId="9944" priority="19339">
      <formula>$G75=""</formula>
    </cfRule>
  </conditionalFormatting>
  <conditionalFormatting sqref="AJ77:AL77">
    <cfRule type="expression" dxfId="9943" priority="19331" stopIfTrue="1">
      <formula>$G75=""</formula>
    </cfRule>
  </conditionalFormatting>
  <conditionalFormatting sqref="AR75:AR78">
    <cfRule type="expression" dxfId="9942" priority="19323" stopIfTrue="1">
      <formula>$C$36=2</formula>
    </cfRule>
    <cfRule type="cellIs" dxfId="9941" priority="19324" operator="equal">
      <formula>"Yes"</formula>
    </cfRule>
    <cfRule type="cellIs" dxfId="9940" priority="19325" operator="equal">
      <formula>"No"</formula>
    </cfRule>
  </conditionalFormatting>
  <conditionalFormatting sqref="AJ75:AL76">
    <cfRule type="expression" dxfId="9939" priority="19322">
      <formula>$G75=""</formula>
    </cfRule>
  </conditionalFormatting>
  <conditionalFormatting sqref="AM75 AO75:AP78">
    <cfRule type="expression" dxfId="9938" priority="19321">
      <formula>$G75=""</formula>
    </cfRule>
  </conditionalFormatting>
  <conditionalFormatting sqref="AT75:AT78">
    <cfRule type="expression" dxfId="9937" priority="19320">
      <formula>$G75=""</formula>
    </cfRule>
  </conditionalFormatting>
  <conditionalFormatting sqref="E78:F78">
    <cfRule type="expression" dxfId="9936" priority="19307">
      <formula>$CN75="Exterior"</formula>
    </cfRule>
  </conditionalFormatting>
  <conditionalFormatting sqref="AU81">
    <cfRule type="expression" dxfId="9935" priority="19280">
      <formula>$E81=""</formula>
    </cfRule>
  </conditionalFormatting>
  <conditionalFormatting sqref="AU80">
    <cfRule type="expression" dxfId="9934" priority="19279">
      <formula>$E80=""</formula>
    </cfRule>
  </conditionalFormatting>
  <conditionalFormatting sqref="AU82">
    <cfRule type="expression" dxfId="9933" priority="19278">
      <formula>#REF!=""</formula>
    </cfRule>
  </conditionalFormatting>
  <conditionalFormatting sqref="B80:B81">
    <cfRule type="expression" dxfId="9932" priority="19276">
      <formula>$HY81="Green"</formula>
    </cfRule>
    <cfRule type="expression" dxfId="9931" priority="19277">
      <formula>$HY81="White"</formula>
    </cfRule>
  </conditionalFormatting>
  <conditionalFormatting sqref="B80:B81">
    <cfRule type="expression" dxfId="9930" priority="19275">
      <formula>$HY81="Yellow"</formula>
    </cfRule>
  </conditionalFormatting>
  <conditionalFormatting sqref="B80:B81">
    <cfRule type="expression" dxfId="9929" priority="19274">
      <formula>$HY81="Red"</formula>
    </cfRule>
  </conditionalFormatting>
  <conditionalFormatting sqref="AU83">
    <cfRule type="expression" dxfId="9928" priority="19273">
      <formula>$E82=""</formula>
    </cfRule>
  </conditionalFormatting>
  <conditionalFormatting sqref="AV80:AW83">
    <cfRule type="expression" dxfId="9927" priority="19272">
      <formula>$G80=""</formula>
    </cfRule>
  </conditionalFormatting>
  <conditionalFormatting sqref="AJ82:AL82">
    <cfRule type="expression" dxfId="9926" priority="19264" stopIfTrue="1">
      <formula>$G80=""</formula>
    </cfRule>
  </conditionalFormatting>
  <conditionalFormatting sqref="AR80:AR83">
    <cfRule type="expression" dxfId="9925" priority="19256" stopIfTrue="1">
      <formula>$C$36=2</formula>
    </cfRule>
    <cfRule type="cellIs" dxfId="9924" priority="19257" operator="equal">
      <formula>"Yes"</formula>
    </cfRule>
    <cfRule type="cellIs" dxfId="9923" priority="19258" operator="equal">
      <formula>"No"</formula>
    </cfRule>
  </conditionalFormatting>
  <conditionalFormatting sqref="AJ80:AL81">
    <cfRule type="expression" dxfId="9922" priority="19255">
      <formula>$G80=""</formula>
    </cfRule>
  </conditionalFormatting>
  <conditionalFormatting sqref="AM80 AO80:AP83">
    <cfRule type="expression" dxfId="9921" priority="19254">
      <formula>$G80=""</formula>
    </cfRule>
  </conditionalFormatting>
  <conditionalFormatting sqref="AT80:AT83">
    <cfRule type="expression" dxfId="9920" priority="19253">
      <formula>$G80=""</formula>
    </cfRule>
  </conditionalFormatting>
  <conditionalFormatting sqref="E83:F83">
    <cfRule type="expression" dxfId="9919" priority="19240">
      <formula>$CN80="Exterior"</formula>
    </cfRule>
  </conditionalFormatting>
  <conditionalFormatting sqref="AU86">
    <cfRule type="expression" dxfId="9918" priority="19213">
      <formula>$E86=""</formula>
    </cfRule>
  </conditionalFormatting>
  <conditionalFormatting sqref="AU85">
    <cfRule type="expression" dxfId="9917" priority="19212">
      <formula>$E85=""</formula>
    </cfRule>
  </conditionalFormatting>
  <conditionalFormatting sqref="AU87">
    <cfRule type="expression" dxfId="9916" priority="19211">
      <formula>#REF!=""</formula>
    </cfRule>
  </conditionalFormatting>
  <conditionalFormatting sqref="B85:B86">
    <cfRule type="expression" dxfId="9915" priority="19209">
      <formula>$HY86="Green"</formula>
    </cfRule>
    <cfRule type="expression" dxfId="9914" priority="19210">
      <formula>$HY86="White"</formula>
    </cfRule>
  </conditionalFormatting>
  <conditionalFormatting sqref="B85:B86">
    <cfRule type="expression" dxfId="9913" priority="19208">
      <formula>$HY86="Yellow"</formula>
    </cfRule>
  </conditionalFormatting>
  <conditionalFormatting sqref="B85:B86">
    <cfRule type="expression" dxfId="9912" priority="19207">
      <formula>$HY86="Red"</formula>
    </cfRule>
  </conditionalFormatting>
  <conditionalFormatting sqref="AU88">
    <cfRule type="expression" dxfId="9911" priority="19206">
      <formula>$E87=""</formula>
    </cfRule>
  </conditionalFormatting>
  <conditionalFormatting sqref="AV85:AW88">
    <cfRule type="expression" dxfId="9910" priority="19205">
      <formula>$G85=""</formula>
    </cfRule>
  </conditionalFormatting>
  <conditionalFormatting sqref="AJ87:AL87">
    <cfRule type="expression" dxfId="9909" priority="19197" stopIfTrue="1">
      <formula>$G85=""</formula>
    </cfRule>
  </conditionalFormatting>
  <conditionalFormatting sqref="AR85:AR88">
    <cfRule type="expression" dxfId="9908" priority="19189" stopIfTrue="1">
      <formula>$C$36=2</formula>
    </cfRule>
    <cfRule type="cellIs" dxfId="9907" priority="19190" operator="equal">
      <formula>"Yes"</formula>
    </cfRule>
    <cfRule type="cellIs" dxfId="9906" priority="19191" operator="equal">
      <formula>"No"</formula>
    </cfRule>
  </conditionalFormatting>
  <conditionalFormatting sqref="AJ85:AL86">
    <cfRule type="expression" dxfId="9905" priority="19188">
      <formula>$G85=""</formula>
    </cfRule>
  </conditionalFormatting>
  <conditionalFormatting sqref="AM85 AO85:AP88">
    <cfRule type="expression" dxfId="9904" priority="19187">
      <formula>$G85=""</formula>
    </cfRule>
  </conditionalFormatting>
  <conditionalFormatting sqref="AT85:AT88">
    <cfRule type="expression" dxfId="9903" priority="19186">
      <formula>$G85=""</formula>
    </cfRule>
  </conditionalFormatting>
  <conditionalFormatting sqref="E88:F88">
    <cfRule type="expression" dxfId="9902" priority="19173">
      <formula>$CN85="Exterior"</formula>
    </cfRule>
  </conditionalFormatting>
  <conditionalFormatting sqref="AU94">
    <cfRule type="expression" dxfId="9901" priority="19146">
      <formula>$E94=""</formula>
    </cfRule>
  </conditionalFormatting>
  <conditionalFormatting sqref="AU93">
    <cfRule type="expression" dxfId="9900" priority="19145">
      <formula>$E93=""</formula>
    </cfRule>
  </conditionalFormatting>
  <conditionalFormatting sqref="AU95">
    <cfRule type="expression" dxfId="9899" priority="19144">
      <formula>#REF!=""</formula>
    </cfRule>
  </conditionalFormatting>
  <conditionalFormatting sqref="B93:B94">
    <cfRule type="expression" dxfId="9898" priority="19142">
      <formula>$HY94="Green"</formula>
    </cfRule>
    <cfRule type="expression" dxfId="9897" priority="19143">
      <formula>$HY94="White"</formula>
    </cfRule>
  </conditionalFormatting>
  <conditionalFormatting sqref="B93:B94">
    <cfRule type="expression" dxfId="9896" priority="19141">
      <formula>$HY94="Yellow"</formula>
    </cfRule>
  </conditionalFormatting>
  <conditionalFormatting sqref="B93:B94">
    <cfRule type="expression" dxfId="9895" priority="19140">
      <formula>$HY94="Red"</formula>
    </cfRule>
  </conditionalFormatting>
  <conditionalFormatting sqref="AU96">
    <cfRule type="expression" dxfId="9894" priority="19139">
      <formula>$E95=""</formula>
    </cfRule>
  </conditionalFormatting>
  <conditionalFormatting sqref="AV93:AW96">
    <cfRule type="expression" dxfId="9893" priority="19138">
      <formula>$G93=""</formula>
    </cfRule>
  </conditionalFormatting>
  <conditionalFormatting sqref="AJ95:AL95">
    <cfRule type="expression" dxfId="9892" priority="19130" stopIfTrue="1">
      <formula>$G93=""</formula>
    </cfRule>
  </conditionalFormatting>
  <conditionalFormatting sqref="AR93:AR96">
    <cfRule type="expression" dxfId="9891" priority="19122" stopIfTrue="1">
      <formula>$C$36=2</formula>
    </cfRule>
    <cfRule type="cellIs" dxfId="9890" priority="19123" operator="equal">
      <formula>"Yes"</formula>
    </cfRule>
    <cfRule type="cellIs" dxfId="9889" priority="19124" operator="equal">
      <formula>"No"</formula>
    </cfRule>
  </conditionalFormatting>
  <conditionalFormatting sqref="AJ93:AL94">
    <cfRule type="expression" dxfId="9888" priority="19121">
      <formula>$G93=""</formula>
    </cfRule>
  </conditionalFormatting>
  <conditionalFormatting sqref="AM93 AO93:AP96">
    <cfRule type="expression" dxfId="9887" priority="19120">
      <formula>$G93=""</formula>
    </cfRule>
  </conditionalFormatting>
  <conditionalFormatting sqref="AT93:AT96">
    <cfRule type="expression" dxfId="9886" priority="19119">
      <formula>$G93=""</formula>
    </cfRule>
  </conditionalFormatting>
  <conditionalFormatting sqref="E96:F96">
    <cfRule type="expression" dxfId="9885" priority="19106">
      <formula>$CN93="Exterior"</formula>
    </cfRule>
  </conditionalFormatting>
  <conditionalFormatting sqref="AU99">
    <cfRule type="expression" dxfId="9884" priority="19079">
      <formula>$E99=""</formula>
    </cfRule>
  </conditionalFormatting>
  <conditionalFormatting sqref="AU98">
    <cfRule type="expression" dxfId="9883" priority="19078">
      <formula>$E98=""</formula>
    </cfRule>
  </conditionalFormatting>
  <conditionalFormatting sqref="AU100">
    <cfRule type="expression" dxfId="9882" priority="19077">
      <formula>#REF!=""</formula>
    </cfRule>
  </conditionalFormatting>
  <conditionalFormatting sqref="B98:B99">
    <cfRule type="expression" dxfId="9881" priority="19075">
      <formula>$HY99="Green"</formula>
    </cfRule>
    <cfRule type="expression" dxfId="9880" priority="19076">
      <formula>$HY99="White"</formula>
    </cfRule>
  </conditionalFormatting>
  <conditionalFormatting sqref="B98:B99">
    <cfRule type="expression" dxfId="9879" priority="19074">
      <formula>$HY99="Yellow"</formula>
    </cfRule>
  </conditionalFormatting>
  <conditionalFormatting sqref="B98:B99">
    <cfRule type="expression" dxfId="9878" priority="19073">
      <formula>$HY99="Red"</formula>
    </cfRule>
  </conditionalFormatting>
  <conditionalFormatting sqref="AU101">
    <cfRule type="expression" dxfId="9877" priority="19072">
      <formula>$E100=""</formula>
    </cfRule>
  </conditionalFormatting>
  <conditionalFormatting sqref="AV98:AW101">
    <cfRule type="expression" dxfId="9876" priority="19071">
      <formula>$G98=""</formula>
    </cfRule>
  </conditionalFormatting>
  <conditionalFormatting sqref="AJ100:AL100">
    <cfRule type="expression" dxfId="9875" priority="19063" stopIfTrue="1">
      <formula>$G98=""</formula>
    </cfRule>
  </conditionalFormatting>
  <conditionalFormatting sqref="AR98:AR101">
    <cfRule type="expression" dxfId="9874" priority="19055" stopIfTrue="1">
      <formula>$C$36=2</formula>
    </cfRule>
    <cfRule type="cellIs" dxfId="9873" priority="19056" operator="equal">
      <formula>"Yes"</formula>
    </cfRule>
    <cfRule type="cellIs" dxfId="9872" priority="19057" operator="equal">
      <formula>"No"</formula>
    </cfRule>
  </conditionalFormatting>
  <conditionalFormatting sqref="AJ98:AL99">
    <cfRule type="expression" dxfId="9871" priority="19054">
      <formula>$G98=""</formula>
    </cfRule>
  </conditionalFormatting>
  <conditionalFormatting sqref="AM98 AO98:AP101">
    <cfRule type="expression" dxfId="9870" priority="19053">
      <formula>$G98=""</formula>
    </cfRule>
  </conditionalFormatting>
  <conditionalFormatting sqref="AT98:AT101">
    <cfRule type="expression" dxfId="9869" priority="19052">
      <formula>$G98=""</formula>
    </cfRule>
  </conditionalFormatting>
  <conditionalFormatting sqref="E101:F101">
    <cfRule type="expression" dxfId="9868" priority="19039">
      <formula>$CN98="Exterior"</formula>
    </cfRule>
  </conditionalFormatting>
  <conditionalFormatting sqref="AU104">
    <cfRule type="expression" dxfId="9867" priority="19012">
      <formula>$E104=""</formula>
    </cfRule>
  </conditionalFormatting>
  <conditionalFormatting sqref="AU103">
    <cfRule type="expression" dxfId="9866" priority="19011">
      <formula>$E103=""</formula>
    </cfRule>
  </conditionalFormatting>
  <conditionalFormatting sqref="AU105">
    <cfRule type="expression" dxfId="9865" priority="19010">
      <formula>#REF!=""</formula>
    </cfRule>
  </conditionalFormatting>
  <conditionalFormatting sqref="B103:B104">
    <cfRule type="expression" dxfId="9864" priority="19008">
      <formula>$HY104="Green"</formula>
    </cfRule>
    <cfRule type="expression" dxfId="9863" priority="19009">
      <formula>$HY104="White"</formula>
    </cfRule>
  </conditionalFormatting>
  <conditionalFormatting sqref="B103:B104">
    <cfRule type="expression" dxfId="9862" priority="19007">
      <formula>$HY104="Yellow"</formula>
    </cfRule>
  </conditionalFormatting>
  <conditionalFormatting sqref="B103:B104">
    <cfRule type="expression" dxfId="9861" priority="19006">
      <formula>$HY104="Red"</formula>
    </cfRule>
  </conditionalFormatting>
  <conditionalFormatting sqref="AU106">
    <cfRule type="expression" dxfId="9860" priority="19005">
      <formula>$E105=""</formula>
    </cfRule>
  </conditionalFormatting>
  <conditionalFormatting sqref="AV103:AW106">
    <cfRule type="expression" dxfId="9859" priority="19004">
      <formula>$G103=""</formula>
    </cfRule>
  </conditionalFormatting>
  <conditionalFormatting sqref="AJ105:AL105">
    <cfRule type="expression" dxfId="9858" priority="18996" stopIfTrue="1">
      <formula>$G103=""</formula>
    </cfRule>
  </conditionalFormatting>
  <conditionalFormatting sqref="AR103:AR106">
    <cfRule type="expression" dxfId="9857" priority="18988" stopIfTrue="1">
      <formula>$C$36=2</formula>
    </cfRule>
    <cfRule type="cellIs" dxfId="9856" priority="18989" operator="equal">
      <formula>"Yes"</formula>
    </cfRule>
    <cfRule type="cellIs" dxfId="9855" priority="18990" operator="equal">
      <formula>"No"</formula>
    </cfRule>
  </conditionalFormatting>
  <conditionalFormatting sqref="AJ103:AL104">
    <cfRule type="expression" dxfId="9854" priority="18987">
      <formula>$G103=""</formula>
    </cfRule>
  </conditionalFormatting>
  <conditionalFormatting sqref="AM103 AO103:AP106">
    <cfRule type="expression" dxfId="9853" priority="18986">
      <formula>$G103=""</formula>
    </cfRule>
  </conditionalFormatting>
  <conditionalFormatting sqref="AT103:AT106">
    <cfRule type="expression" dxfId="9852" priority="18985">
      <formula>$G103=""</formula>
    </cfRule>
  </conditionalFormatting>
  <conditionalFormatting sqref="E106:F106">
    <cfRule type="expression" dxfId="9851" priority="18972">
      <formula>$CN103="Exterior"</formula>
    </cfRule>
  </conditionalFormatting>
  <conditionalFormatting sqref="AU109">
    <cfRule type="expression" dxfId="9850" priority="18945">
      <formula>$E109=""</formula>
    </cfRule>
  </conditionalFormatting>
  <conditionalFormatting sqref="AU108">
    <cfRule type="expression" dxfId="9849" priority="18944">
      <formula>$E108=""</formula>
    </cfRule>
  </conditionalFormatting>
  <conditionalFormatting sqref="AU110">
    <cfRule type="expression" dxfId="9848" priority="18943">
      <formula>#REF!=""</formula>
    </cfRule>
  </conditionalFormatting>
  <conditionalFormatting sqref="B108:B109">
    <cfRule type="expression" dxfId="9847" priority="18941">
      <formula>$HY109="Green"</formula>
    </cfRule>
    <cfRule type="expression" dxfId="9846" priority="18942">
      <formula>$HY109="White"</formula>
    </cfRule>
  </conditionalFormatting>
  <conditionalFormatting sqref="B108:B109">
    <cfRule type="expression" dxfId="9845" priority="18940">
      <formula>$HY109="Yellow"</formula>
    </cfRule>
  </conditionalFormatting>
  <conditionalFormatting sqref="B108:B109">
    <cfRule type="expression" dxfId="9844" priority="18939">
      <formula>$HY109="Red"</formula>
    </cfRule>
  </conditionalFormatting>
  <conditionalFormatting sqref="AU111">
    <cfRule type="expression" dxfId="9843" priority="18938">
      <formula>$E110=""</formula>
    </cfRule>
  </conditionalFormatting>
  <conditionalFormatting sqref="AV108:AW111">
    <cfRule type="expression" dxfId="9842" priority="18937">
      <formula>$G108=""</formula>
    </cfRule>
  </conditionalFormatting>
  <conditionalFormatting sqref="AJ110:AL110">
    <cfRule type="expression" dxfId="9841" priority="18929" stopIfTrue="1">
      <formula>$G108=""</formula>
    </cfRule>
  </conditionalFormatting>
  <conditionalFormatting sqref="AR108:AR111">
    <cfRule type="expression" dxfId="9840" priority="18921" stopIfTrue="1">
      <formula>$C$36=2</formula>
    </cfRule>
    <cfRule type="cellIs" dxfId="9839" priority="18922" operator="equal">
      <formula>"Yes"</formula>
    </cfRule>
    <cfRule type="cellIs" dxfId="9838" priority="18923" operator="equal">
      <formula>"No"</formula>
    </cfRule>
  </conditionalFormatting>
  <conditionalFormatting sqref="AJ108:AL109">
    <cfRule type="expression" dxfId="9837" priority="18920">
      <formula>$G108=""</formula>
    </cfRule>
  </conditionalFormatting>
  <conditionalFormatting sqref="AM108 AO108:AP111">
    <cfRule type="expression" dxfId="9836" priority="18919">
      <formula>$G108=""</formula>
    </cfRule>
  </conditionalFormatting>
  <conditionalFormatting sqref="AT108:AT111">
    <cfRule type="expression" dxfId="9835" priority="18918">
      <formula>$G108=""</formula>
    </cfRule>
  </conditionalFormatting>
  <conditionalFormatting sqref="E111:F111">
    <cfRule type="expression" dxfId="9834" priority="18905">
      <formula>$CN108="Exterior"</formula>
    </cfRule>
  </conditionalFormatting>
  <conditionalFormatting sqref="AU114">
    <cfRule type="expression" dxfId="9833" priority="18878">
      <formula>$E114=""</formula>
    </cfRule>
  </conditionalFormatting>
  <conditionalFormatting sqref="AU113">
    <cfRule type="expression" dxfId="9832" priority="18877">
      <formula>$E113=""</formula>
    </cfRule>
  </conditionalFormatting>
  <conditionalFormatting sqref="AU115">
    <cfRule type="expression" dxfId="9831" priority="18876">
      <formula>#REF!=""</formula>
    </cfRule>
  </conditionalFormatting>
  <conditionalFormatting sqref="B113:B114">
    <cfRule type="expression" dxfId="9830" priority="18874">
      <formula>$HY114="Green"</formula>
    </cfRule>
    <cfRule type="expression" dxfId="9829" priority="18875">
      <formula>$HY114="White"</formula>
    </cfRule>
  </conditionalFormatting>
  <conditionalFormatting sqref="B113:B114">
    <cfRule type="expression" dxfId="9828" priority="18873">
      <formula>$HY114="Yellow"</formula>
    </cfRule>
  </conditionalFormatting>
  <conditionalFormatting sqref="B113:B114">
    <cfRule type="expression" dxfId="9827" priority="18872">
      <formula>$HY114="Red"</formula>
    </cfRule>
  </conditionalFormatting>
  <conditionalFormatting sqref="AU116">
    <cfRule type="expression" dxfId="9826" priority="18871">
      <formula>$E115=""</formula>
    </cfRule>
  </conditionalFormatting>
  <conditionalFormatting sqref="AV113:AW116">
    <cfRule type="expression" dxfId="9825" priority="18870">
      <formula>$G113=""</formula>
    </cfRule>
  </conditionalFormatting>
  <conditionalFormatting sqref="AJ115:AL115">
    <cfRule type="expression" dxfId="9824" priority="18862" stopIfTrue="1">
      <formula>$G113=""</formula>
    </cfRule>
  </conditionalFormatting>
  <conditionalFormatting sqref="AR113:AR116">
    <cfRule type="expression" dxfId="9823" priority="18854" stopIfTrue="1">
      <formula>$C$36=2</formula>
    </cfRule>
    <cfRule type="cellIs" dxfId="9822" priority="18855" operator="equal">
      <formula>"Yes"</formula>
    </cfRule>
    <cfRule type="cellIs" dxfId="9821" priority="18856" operator="equal">
      <formula>"No"</formula>
    </cfRule>
  </conditionalFormatting>
  <conditionalFormatting sqref="AJ113:AL114">
    <cfRule type="expression" dxfId="9820" priority="18853">
      <formula>$G113=""</formula>
    </cfRule>
  </conditionalFormatting>
  <conditionalFormatting sqref="AM113 AO113:AP116">
    <cfRule type="expression" dxfId="9819" priority="18852">
      <formula>$G113=""</formula>
    </cfRule>
  </conditionalFormatting>
  <conditionalFormatting sqref="AT113:AT116">
    <cfRule type="expression" dxfId="9818" priority="18851">
      <formula>$G113=""</formula>
    </cfRule>
  </conditionalFormatting>
  <conditionalFormatting sqref="E116:F116">
    <cfRule type="expression" dxfId="9817" priority="18838">
      <formula>$CN113="Exterior"</formula>
    </cfRule>
  </conditionalFormatting>
  <conditionalFormatting sqref="AU119">
    <cfRule type="expression" dxfId="9816" priority="18811">
      <formula>$E119=""</formula>
    </cfRule>
  </conditionalFormatting>
  <conditionalFormatting sqref="AU118">
    <cfRule type="expression" dxfId="9815" priority="18810">
      <formula>$E118=""</formula>
    </cfRule>
  </conditionalFormatting>
  <conditionalFormatting sqref="AU120">
    <cfRule type="expression" dxfId="9814" priority="18809">
      <formula>#REF!=""</formula>
    </cfRule>
  </conditionalFormatting>
  <conditionalFormatting sqref="B118:B119">
    <cfRule type="expression" dxfId="9813" priority="18807">
      <formula>$HY119="Green"</formula>
    </cfRule>
    <cfRule type="expression" dxfId="9812" priority="18808">
      <formula>$HY119="White"</formula>
    </cfRule>
  </conditionalFormatting>
  <conditionalFormatting sqref="B118:B119">
    <cfRule type="expression" dxfId="9811" priority="18806">
      <formula>$HY119="Yellow"</formula>
    </cfRule>
  </conditionalFormatting>
  <conditionalFormatting sqref="B118:B119">
    <cfRule type="expression" dxfId="9810" priority="18805">
      <formula>$HY119="Red"</formula>
    </cfRule>
  </conditionalFormatting>
  <conditionalFormatting sqref="AU121">
    <cfRule type="expression" dxfId="9809" priority="18804">
      <formula>$E120=""</formula>
    </cfRule>
  </conditionalFormatting>
  <conditionalFormatting sqref="AV118:AW121">
    <cfRule type="expression" dxfId="9808" priority="18803">
      <formula>$G118=""</formula>
    </cfRule>
  </conditionalFormatting>
  <conditionalFormatting sqref="AJ120:AL120">
    <cfRule type="expression" dxfId="9807" priority="18795" stopIfTrue="1">
      <formula>$G118=""</formula>
    </cfRule>
  </conditionalFormatting>
  <conditionalFormatting sqref="AR118:AR121">
    <cfRule type="expression" dxfId="9806" priority="18787" stopIfTrue="1">
      <formula>$C$36=2</formula>
    </cfRule>
    <cfRule type="cellIs" dxfId="9805" priority="18788" operator="equal">
      <formula>"Yes"</formula>
    </cfRule>
    <cfRule type="cellIs" dxfId="9804" priority="18789" operator="equal">
      <formula>"No"</formula>
    </cfRule>
  </conditionalFormatting>
  <conditionalFormatting sqref="AJ118:AL119">
    <cfRule type="expression" dxfId="9803" priority="18786">
      <formula>$G118=""</formula>
    </cfRule>
  </conditionalFormatting>
  <conditionalFormatting sqref="AM118 AO118:AP121">
    <cfRule type="expression" dxfId="9802" priority="18785">
      <formula>$G118=""</formula>
    </cfRule>
  </conditionalFormatting>
  <conditionalFormatting sqref="AT118:AT121">
    <cfRule type="expression" dxfId="9801" priority="18784">
      <formula>$G118=""</formula>
    </cfRule>
  </conditionalFormatting>
  <conditionalFormatting sqref="E121:F121">
    <cfRule type="expression" dxfId="9800" priority="18771">
      <formula>$CN118="Exterior"</formula>
    </cfRule>
  </conditionalFormatting>
  <conditionalFormatting sqref="AU124">
    <cfRule type="expression" dxfId="9799" priority="18744">
      <formula>$E124=""</formula>
    </cfRule>
  </conditionalFormatting>
  <conditionalFormatting sqref="AU123">
    <cfRule type="expression" dxfId="9798" priority="18743">
      <formula>$E123=""</formula>
    </cfRule>
  </conditionalFormatting>
  <conditionalFormatting sqref="AU125">
    <cfRule type="expression" dxfId="9797" priority="18742">
      <formula>#REF!=""</formula>
    </cfRule>
  </conditionalFormatting>
  <conditionalFormatting sqref="B123:B124">
    <cfRule type="expression" dxfId="9796" priority="18740">
      <formula>$HY124="Green"</formula>
    </cfRule>
    <cfRule type="expression" dxfId="9795" priority="18741">
      <formula>$HY124="White"</formula>
    </cfRule>
  </conditionalFormatting>
  <conditionalFormatting sqref="B123:B124">
    <cfRule type="expression" dxfId="9794" priority="18739">
      <formula>$HY124="Yellow"</formula>
    </cfRule>
  </conditionalFormatting>
  <conditionalFormatting sqref="B123:B124">
    <cfRule type="expression" dxfId="9793" priority="18738">
      <formula>$HY124="Red"</formula>
    </cfRule>
  </conditionalFormatting>
  <conditionalFormatting sqref="AU126">
    <cfRule type="expression" dxfId="9792" priority="18737">
      <formula>$E125=""</formula>
    </cfRule>
  </conditionalFormatting>
  <conditionalFormatting sqref="AV123:AW126">
    <cfRule type="expression" dxfId="9791" priority="18736">
      <formula>$G123=""</formula>
    </cfRule>
  </conditionalFormatting>
  <conditionalFormatting sqref="AJ125:AL125">
    <cfRule type="expression" dxfId="9790" priority="18728" stopIfTrue="1">
      <formula>$G123=""</formula>
    </cfRule>
  </conditionalFormatting>
  <conditionalFormatting sqref="AR123:AR126">
    <cfRule type="expression" dxfId="9789" priority="18720" stopIfTrue="1">
      <formula>$C$36=2</formula>
    </cfRule>
    <cfRule type="cellIs" dxfId="9788" priority="18721" operator="equal">
      <formula>"Yes"</formula>
    </cfRule>
    <cfRule type="cellIs" dxfId="9787" priority="18722" operator="equal">
      <formula>"No"</formula>
    </cfRule>
  </conditionalFormatting>
  <conditionalFormatting sqref="AJ123:AL124">
    <cfRule type="expression" dxfId="9786" priority="18719">
      <formula>$G123=""</formula>
    </cfRule>
  </conditionalFormatting>
  <conditionalFormatting sqref="AM123 AO123:AP126">
    <cfRule type="expression" dxfId="9785" priority="18718">
      <formula>$G123=""</formula>
    </cfRule>
  </conditionalFormatting>
  <conditionalFormatting sqref="AT123:AT126">
    <cfRule type="expression" dxfId="9784" priority="18717">
      <formula>$G123=""</formula>
    </cfRule>
  </conditionalFormatting>
  <conditionalFormatting sqref="E126:F126">
    <cfRule type="expression" dxfId="9783" priority="18704">
      <formula>$CN123="Exterior"</formula>
    </cfRule>
  </conditionalFormatting>
  <conditionalFormatting sqref="AU129">
    <cfRule type="expression" dxfId="9782" priority="18677">
      <formula>$E129=""</formula>
    </cfRule>
  </conditionalFormatting>
  <conditionalFormatting sqref="AU128">
    <cfRule type="expression" dxfId="9781" priority="18676">
      <formula>$E128=""</formula>
    </cfRule>
  </conditionalFormatting>
  <conditionalFormatting sqref="AU130">
    <cfRule type="expression" dxfId="9780" priority="18675">
      <formula>#REF!=""</formula>
    </cfRule>
  </conditionalFormatting>
  <conditionalFormatting sqref="B128:B129">
    <cfRule type="expression" dxfId="9779" priority="18673">
      <formula>$HY129="Green"</formula>
    </cfRule>
    <cfRule type="expression" dxfId="9778" priority="18674">
      <formula>$HY129="White"</formula>
    </cfRule>
  </conditionalFormatting>
  <conditionalFormatting sqref="B128:B129">
    <cfRule type="expression" dxfId="9777" priority="18672">
      <formula>$HY129="Yellow"</formula>
    </cfRule>
  </conditionalFormatting>
  <conditionalFormatting sqref="B128:B129">
    <cfRule type="expression" dxfId="9776" priority="18671">
      <formula>$HY129="Red"</formula>
    </cfRule>
  </conditionalFormatting>
  <conditionalFormatting sqref="AU131">
    <cfRule type="expression" dxfId="9775" priority="18670">
      <formula>$E130=""</formula>
    </cfRule>
  </conditionalFormatting>
  <conditionalFormatting sqref="AV128:AW131">
    <cfRule type="expression" dxfId="9774" priority="18669">
      <formula>$G128=""</formula>
    </cfRule>
  </conditionalFormatting>
  <conditionalFormatting sqref="AJ130:AL130">
    <cfRule type="expression" dxfId="9773" priority="18661" stopIfTrue="1">
      <formula>$G128=""</formula>
    </cfRule>
  </conditionalFormatting>
  <conditionalFormatting sqref="AR128:AR131">
    <cfRule type="expression" dxfId="9772" priority="18653" stopIfTrue="1">
      <formula>$C$36=2</formula>
    </cfRule>
    <cfRule type="cellIs" dxfId="9771" priority="18654" operator="equal">
      <formula>"Yes"</formula>
    </cfRule>
    <cfRule type="cellIs" dxfId="9770" priority="18655" operator="equal">
      <formula>"No"</formula>
    </cfRule>
  </conditionalFormatting>
  <conditionalFormatting sqref="AJ128:AL129">
    <cfRule type="expression" dxfId="9769" priority="18652">
      <formula>$G128=""</formula>
    </cfRule>
  </conditionalFormatting>
  <conditionalFormatting sqref="AM128 AO128:AP131">
    <cfRule type="expression" dxfId="9768" priority="18651">
      <formula>$G128=""</formula>
    </cfRule>
  </conditionalFormatting>
  <conditionalFormatting sqref="AT128:AT131">
    <cfRule type="expression" dxfId="9767" priority="18650">
      <formula>$G128=""</formula>
    </cfRule>
  </conditionalFormatting>
  <conditionalFormatting sqref="E131:F131">
    <cfRule type="expression" dxfId="9766" priority="18637">
      <formula>$CN128="Exterior"</formula>
    </cfRule>
  </conditionalFormatting>
  <conditionalFormatting sqref="AU134">
    <cfRule type="expression" dxfId="9765" priority="18610">
      <formula>$E134=""</formula>
    </cfRule>
  </conditionalFormatting>
  <conditionalFormatting sqref="AU133">
    <cfRule type="expression" dxfId="9764" priority="18609">
      <formula>$E133=""</formula>
    </cfRule>
  </conditionalFormatting>
  <conditionalFormatting sqref="AU135">
    <cfRule type="expression" dxfId="9763" priority="18608">
      <formula>#REF!=""</formula>
    </cfRule>
  </conditionalFormatting>
  <conditionalFormatting sqref="B133:B134">
    <cfRule type="expression" dxfId="9762" priority="18606">
      <formula>$HY134="Green"</formula>
    </cfRule>
    <cfRule type="expression" dxfId="9761" priority="18607">
      <formula>$HY134="White"</formula>
    </cfRule>
  </conditionalFormatting>
  <conditionalFormatting sqref="B133:B134">
    <cfRule type="expression" dxfId="9760" priority="18605">
      <formula>$HY134="Yellow"</formula>
    </cfRule>
  </conditionalFormatting>
  <conditionalFormatting sqref="B133:B134">
    <cfRule type="expression" dxfId="9759" priority="18604">
      <formula>$HY134="Red"</formula>
    </cfRule>
  </conditionalFormatting>
  <conditionalFormatting sqref="AU136">
    <cfRule type="expression" dxfId="9758" priority="18603">
      <formula>$E135=""</formula>
    </cfRule>
  </conditionalFormatting>
  <conditionalFormatting sqref="AV133:AW136">
    <cfRule type="expression" dxfId="9757" priority="18602">
      <formula>$G133=""</formula>
    </cfRule>
  </conditionalFormatting>
  <conditionalFormatting sqref="AJ135:AL135">
    <cfRule type="expression" dxfId="9756" priority="18594" stopIfTrue="1">
      <formula>$G133=""</formula>
    </cfRule>
  </conditionalFormatting>
  <conditionalFormatting sqref="AR133:AR136">
    <cfRule type="expression" dxfId="9755" priority="18586" stopIfTrue="1">
      <formula>$C$36=2</formula>
    </cfRule>
    <cfRule type="cellIs" dxfId="9754" priority="18587" operator="equal">
      <formula>"Yes"</formula>
    </cfRule>
    <cfRule type="cellIs" dxfId="9753" priority="18588" operator="equal">
      <formula>"No"</formula>
    </cfRule>
  </conditionalFormatting>
  <conditionalFormatting sqref="AJ133:AL134">
    <cfRule type="expression" dxfId="9752" priority="18585">
      <formula>$G133=""</formula>
    </cfRule>
  </conditionalFormatting>
  <conditionalFormatting sqref="AM133 AO133:AP136">
    <cfRule type="expression" dxfId="9751" priority="18584">
      <formula>$G133=""</formula>
    </cfRule>
  </conditionalFormatting>
  <conditionalFormatting sqref="AT133:AT136">
    <cfRule type="expression" dxfId="9750" priority="18583">
      <formula>$G133=""</formula>
    </cfRule>
  </conditionalFormatting>
  <conditionalFormatting sqref="E136:F136">
    <cfRule type="expression" dxfId="9749" priority="18570">
      <formula>$CN133="Exterior"</formula>
    </cfRule>
  </conditionalFormatting>
  <conditionalFormatting sqref="AU139">
    <cfRule type="expression" dxfId="9748" priority="18543">
      <formula>$E139=""</formula>
    </cfRule>
  </conditionalFormatting>
  <conditionalFormatting sqref="AU138">
    <cfRule type="expression" dxfId="9747" priority="18542">
      <formula>$E138=""</formula>
    </cfRule>
  </conditionalFormatting>
  <conditionalFormatting sqref="AU140">
    <cfRule type="expression" dxfId="9746" priority="18541">
      <formula>#REF!=""</formula>
    </cfRule>
  </conditionalFormatting>
  <conditionalFormatting sqref="B138:B139">
    <cfRule type="expression" dxfId="9745" priority="18539">
      <formula>$HY139="Green"</formula>
    </cfRule>
    <cfRule type="expression" dxfId="9744" priority="18540">
      <formula>$HY139="White"</formula>
    </cfRule>
  </conditionalFormatting>
  <conditionalFormatting sqref="B138:B139">
    <cfRule type="expression" dxfId="9743" priority="18538">
      <formula>$HY139="Yellow"</formula>
    </cfRule>
  </conditionalFormatting>
  <conditionalFormatting sqref="B138:B139">
    <cfRule type="expression" dxfId="9742" priority="18537">
      <formula>$HY139="Red"</formula>
    </cfRule>
  </conditionalFormatting>
  <conditionalFormatting sqref="AU141">
    <cfRule type="expression" dxfId="9741" priority="18536">
      <formula>$E140=""</formula>
    </cfRule>
  </conditionalFormatting>
  <conditionalFormatting sqref="AV138:AW141">
    <cfRule type="expression" dxfId="9740" priority="18535">
      <formula>$G138=""</formula>
    </cfRule>
  </conditionalFormatting>
  <conditionalFormatting sqref="AJ140:AL140">
    <cfRule type="expression" dxfId="9739" priority="18527" stopIfTrue="1">
      <formula>$G138=""</formula>
    </cfRule>
  </conditionalFormatting>
  <conditionalFormatting sqref="AR138:AR141">
    <cfRule type="expression" dxfId="9738" priority="18519" stopIfTrue="1">
      <formula>$C$36=2</formula>
    </cfRule>
    <cfRule type="cellIs" dxfId="9737" priority="18520" operator="equal">
      <formula>"Yes"</formula>
    </cfRule>
    <cfRule type="cellIs" dxfId="9736" priority="18521" operator="equal">
      <formula>"No"</formula>
    </cfRule>
  </conditionalFormatting>
  <conditionalFormatting sqref="AJ138:AL139">
    <cfRule type="expression" dxfId="9735" priority="18518">
      <formula>$G138=""</formula>
    </cfRule>
  </conditionalFormatting>
  <conditionalFormatting sqref="AM138 AO138:AP141">
    <cfRule type="expression" dxfId="9734" priority="18517">
      <formula>$G138=""</formula>
    </cfRule>
  </conditionalFormatting>
  <conditionalFormatting sqref="AT138:AT141">
    <cfRule type="expression" dxfId="9733" priority="18516">
      <formula>$G138=""</formula>
    </cfRule>
  </conditionalFormatting>
  <conditionalFormatting sqref="E141:F141">
    <cfRule type="expression" dxfId="9732" priority="18503">
      <formula>$CN138="Exterior"</formula>
    </cfRule>
  </conditionalFormatting>
  <conditionalFormatting sqref="AU144">
    <cfRule type="expression" dxfId="9731" priority="18476">
      <formula>$E144=""</formula>
    </cfRule>
  </conditionalFormatting>
  <conditionalFormatting sqref="AU143">
    <cfRule type="expression" dxfId="9730" priority="18475">
      <formula>$E143=""</formula>
    </cfRule>
  </conditionalFormatting>
  <conditionalFormatting sqref="AU145">
    <cfRule type="expression" dxfId="9729" priority="18474">
      <formula>#REF!=""</formula>
    </cfRule>
  </conditionalFormatting>
  <conditionalFormatting sqref="B143:B144">
    <cfRule type="expression" dxfId="9728" priority="18472">
      <formula>$HY144="Green"</formula>
    </cfRule>
    <cfRule type="expression" dxfId="9727" priority="18473">
      <formula>$HY144="White"</formula>
    </cfRule>
  </conditionalFormatting>
  <conditionalFormatting sqref="B143:B144">
    <cfRule type="expression" dxfId="9726" priority="18471">
      <formula>$HY144="Yellow"</formula>
    </cfRule>
  </conditionalFormatting>
  <conditionalFormatting sqref="B143:B144">
    <cfRule type="expression" dxfId="9725" priority="18470">
      <formula>$HY144="Red"</formula>
    </cfRule>
  </conditionalFormatting>
  <conditionalFormatting sqref="AU146">
    <cfRule type="expression" dxfId="9724" priority="18469">
      <formula>$E145=""</formula>
    </cfRule>
  </conditionalFormatting>
  <conditionalFormatting sqref="AV143:AW146">
    <cfRule type="expression" dxfId="9723" priority="18468">
      <formula>$G143=""</formula>
    </cfRule>
  </conditionalFormatting>
  <conditionalFormatting sqref="AJ145:AL145">
    <cfRule type="expression" dxfId="9722" priority="18460" stopIfTrue="1">
      <formula>$G143=""</formula>
    </cfRule>
  </conditionalFormatting>
  <conditionalFormatting sqref="AR143:AR146">
    <cfRule type="expression" dxfId="9721" priority="18452" stopIfTrue="1">
      <formula>$C$36=2</formula>
    </cfRule>
    <cfRule type="cellIs" dxfId="9720" priority="18453" operator="equal">
      <formula>"Yes"</formula>
    </cfRule>
    <cfRule type="cellIs" dxfId="9719" priority="18454" operator="equal">
      <formula>"No"</formula>
    </cfRule>
  </conditionalFormatting>
  <conditionalFormatting sqref="AJ143:AL144">
    <cfRule type="expression" dxfId="9718" priority="18451">
      <formula>$G143=""</formula>
    </cfRule>
  </conditionalFormatting>
  <conditionalFormatting sqref="AM143 AO143:AP146">
    <cfRule type="expression" dxfId="9717" priority="18450">
      <formula>$G143=""</formula>
    </cfRule>
  </conditionalFormatting>
  <conditionalFormatting sqref="AT143:AT146">
    <cfRule type="expression" dxfId="9716" priority="18449">
      <formula>$G143=""</formula>
    </cfRule>
  </conditionalFormatting>
  <conditionalFormatting sqref="E146:F146">
    <cfRule type="expression" dxfId="9715" priority="18436">
      <formula>$CN143="Exterior"</formula>
    </cfRule>
  </conditionalFormatting>
  <conditionalFormatting sqref="AU149">
    <cfRule type="expression" dxfId="9714" priority="18409">
      <formula>$E149=""</formula>
    </cfRule>
  </conditionalFormatting>
  <conditionalFormatting sqref="AU148">
    <cfRule type="expression" dxfId="9713" priority="18408">
      <formula>$E148=""</formula>
    </cfRule>
  </conditionalFormatting>
  <conditionalFormatting sqref="AU150">
    <cfRule type="expression" dxfId="9712" priority="18407">
      <formula>#REF!=""</formula>
    </cfRule>
  </conditionalFormatting>
  <conditionalFormatting sqref="B148:B149">
    <cfRule type="expression" dxfId="9711" priority="18405">
      <formula>$HY149="Green"</formula>
    </cfRule>
    <cfRule type="expression" dxfId="9710" priority="18406">
      <formula>$HY149="White"</formula>
    </cfRule>
  </conditionalFormatting>
  <conditionalFormatting sqref="B148:B149">
    <cfRule type="expression" dxfId="9709" priority="18404">
      <formula>$HY149="Yellow"</formula>
    </cfRule>
  </conditionalFormatting>
  <conditionalFormatting sqref="B148:B149">
    <cfRule type="expression" dxfId="9708" priority="18403">
      <formula>$HY149="Red"</formula>
    </cfRule>
  </conditionalFormatting>
  <conditionalFormatting sqref="AU151">
    <cfRule type="expression" dxfId="9707" priority="18402">
      <formula>$E150=""</formula>
    </cfRule>
  </conditionalFormatting>
  <conditionalFormatting sqref="AV148:AW151">
    <cfRule type="expression" dxfId="9706" priority="18401">
      <formula>$G148=""</formula>
    </cfRule>
  </conditionalFormatting>
  <conditionalFormatting sqref="AJ150:AL150">
    <cfRule type="expression" dxfId="9705" priority="18393" stopIfTrue="1">
      <formula>$G148=""</formula>
    </cfRule>
  </conditionalFormatting>
  <conditionalFormatting sqref="AR148:AR151">
    <cfRule type="expression" dxfId="9704" priority="18385" stopIfTrue="1">
      <formula>$C$36=2</formula>
    </cfRule>
    <cfRule type="cellIs" dxfId="9703" priority="18386" operator="equal">
      <formula>"Yes"</formula>
    </cfRule>
    <cfRule type="cellIs" dxfId="9702" priority="18387" operator="equal">
      <formula>"No"</formula>
    </cfRule>
  </conditionalFormatting>
  <conditionalFormatting sqref="AJ148:AL149">
    <cfRule type="expression" dxfId="9701" priority="18384">
      <formula>$G148=""</formula>
    </cfRule>
  </conditionalFormatting>
  <conditionalFormatting sqref="AM148 AO148:AP151">
    <cfRule type="expression" dxfId="9700" priority="18383">
      <formula>$G148=""</formula>
    </cfRule>
  </conditionalFormatting>
  <conditionalFormatting sqref="AT148:AT151">
    <cfRule type="expression" dxfId="9699" priority="18382">
      <formula>$G148=""</formula>
    </cfRule>
  </conditionalFormatting>
  <conditionalFormatting sqref="E151:F151">
    <cfRule type="expression" dxfId="9698" priority="18369">
      <formula>$CN148="Exterior"</formula>
    </cfRule>
  </conditionalFormatting>
  <conditionalFormatting sqref="AU154">
    <cfRule type="expression" dxfId="9697" priority="18342">
      <formula>$E154=""</formula>
    </cfRule>
  </conditionalFormatting>
  <conditionalFormatting sqref="AU153">
    <cfRule type="expression" dxfId="9696" priority="18341">
      <formula>$E153=""</formula>
    </cfRule>
  </conditionalFormatting>
  <conditionalFormatting sqref="AU155">
    <cfRule type="expression" dxfId="9695" priority="18340">
      <formula>#REF!=""</formula>
    </cfRule>
  </conditionalFormatting>
  <conditionalFormatting sqref="B153:B154">
    <cfRule type="expression" dxfId="9694" priority="18338">
      <formula>$HY154="Green"</formula>
    </cfRule>
    <cfRule type="expression" dxfId="9693" priority="18339">
      <formula>$HY154="White"</formula>
    </cfRule>
  </conditionalFormatting>
  <conditionalFormatting sqref="B153:B154">
    <cfRule type="expression" dxfId="9692" priority="18337">
      <formula>$HY154="Yellow"</formula>
    </cfRule>
  </conditionalFormatting>
  <conditionalFormatting sqref="B153:B154">
    <cfRule type="expression" dxfId="9691" priority="18336">
      <formula>$HY154="Red"</formula>
    </cfRule>
  </conditionalFormatting>
  <conditionalFormatting sqref="AU156">
    <cfRule type="expression" dxfId="9690" priority="18335">
      <formula>$E155=""</formula>
    </cfRule>
  </conditionalFormatting>
  <conditionalFormatting sqref="AV153:AW156">
    <cfRule type="expression" dxfId="9689" priority="18334">
      <formula>$G153=""</formula>
    </cfRule>
  </conditionalFormatting>
  <conditionalFormatting sqref="AJ155:AL155">
    <cfRule type="expression" dxfId="9688" priority="18326" stopIfTrue="1">
      <formula>$G153=""</formula>
    </cfRule>
  </conditionalFormatting>
  <conditionalFormatting sqref="AR153:AR156">
    <cfRule type="expression" dxfId="9687" priority="18318" stopIfTrue="1">
      <formula>$C$36=2</formula>
    </cfRule>
    <cfRule type="cellIs" dxfId="9686" priority="18319" operator="equal">
      <formula>"Yes"</formula>
    </cfRule>
    <cfRule type="cellIs" dxfId="9685" priority="18320" operator="equal">
      <formula>"No"</formula>
    </cfRule>
  </conditionalFormatting>
  <conditionalFormatting sqref="AJ153:AL154">
    <cfRule type="expression" dxfId="9684" priority="18317">
      <formula>$G153=""</formula>
    </cfRule>
  </conditionalFormatting>
  <conditionalFormatting sqref="AM153 AO153:AP156">
    <cfRule type="expression" dxfId="9683" priority="18316">
      <formula>$G153=""</formula>
    </cfRule>
  </conditionalFormatting>
  <conditionalFormatting sqref="AT153:AT156">
    <cfRule type="expression" dxfId="9682" priority="18315">
      <formula>$G153=""</formula>
    </cfRule>
  </conditionalFormatting>
  <conditionalFormatting sqref="E156:F156">
    <cfRule type="expression" dxfId="9681" priority="18302">
      <formula>$CN153="Exterior"</formula>
    </cfRule>
  </conditionalFormatting>
  <conditionalFormatting sqref="AU159">
    <cfRule type="expression" dxfId="9680" priority="18275">
      <formula>$E159=""</formula>
    </cfRule>
  </conditionalFormatting>
  <conditionalFormatting sqref="AU158">
    <cfRule type="expression" dxfId="9679" priority="18274">
      <formula>$E158=""</formula>
    </cfRule>
  </conditionalFormatting>
  <conditionalFormatting sqref="AU160">
    <cfRule type="expression" dxfId="9678" priority="18273">
      <formula>#REF!=""</formula>
    </cfRule>
  </conditionalFormatting>
  <conditionalFormatting sqref="B158:B159">
    <cfRule type="expression" dxfId="9677" priority="18271">
      <formula>$HY159="Green"</formula>
    </cfRule>
    <cfRule type="expression" dxfId="9676" priority="18272">
      <formula>$HY159="White"</formula>
    </cfRule>
  </conditionalFormatting>
  <conditionalFormatting sqref="B158:B159">
    <cfRule type="expression" dxfId="9675" priority="18270">
      <formula>$HY159="Yellow"</formula>
    </cfRule>
  </conditionalFormatting>
  <conditionalFormatting sqref="B158:B159">
    <cfRule type="expression" dxfId="9674" priority="18269">
      <formula>$HY159="Red"</formula>
    </cfRule>
  </conditionalFormatting>
  <conditionalFormatting sqref="AU161">
    <cfRule type="expression" dxfId="9673" priority="18268">
      <formula>$E160=""</formula>
    </cfRule>
  </conditionalFormatting>
  <conditionalFormatting sqref="AV158:AW161">
    <cfRule type="expression" dxfId="9672" priority="18267">
      <formula>$G158=""</formula>
    </cfRule>
  </conditionalFormatting>
  <conditionalFormatting sqref="AJ160:AL160">
    <cfRule type="expression" dxfId="9671" priority="18259" stopIfTrue="1">
      <formula>$G158=""</formula>
    </cfRule>
  </conditionalFormatting>
  <conditionalFormatting sqref="AR158:AR161">
    <cfRule type="expression" dxfId="9670" priority="18251" stopIfTrue="1">
      <formula>$C$36=2</formula>
    </cfRule>
    <cfRule type="cellIs" dxfId="9669" priority="18252" operator="equal">
      <formula>"Yes"</formula>
    </cfRule>
    <cfRule type="cellIs" dxfId="9668" priority="18253" operator="equal">
      <formula>"No"</formula>
    </cfRule>
  </conditionalFormatting>
  <conditionalFormatting sqref="AJ158:AL159">
    <cfRule type="expression" dxfId="9667" priority="18250">
      <formula>$G158=""</formula>
    </cfRule>
  </conditionalFormatting>
  <conditionalFormatting sqref="AM158 AO158:AP161">
    <cfRule type="expression" dxfId="9666" priority="18249">
      <formula>$G158=""</formula>
    </cfRule>
  </conditionalFormatting>
  <conditionalFormatting sqref="AT158:AT161">
    <cfRule type="expression" dxfId="9665" priority="18248">
      <formula>$G158=""</formula>
    </cfRule>
  </conditionalFormatting>
  <conditionalFormatting sqref="E161:F161">
    <cfRule type="expression" dxfId="9664" priority="18235">
      <formula>$CN158="Exterior"</formula>
    </cfRule>
  </conditionalFormatting>
  <conditionalFormatting sqref="AU164">
    <cfRule type="expression" dxfId="9663" priority="18208">
      <formula>$E164=""</formula>
    </cfRule>
  </conditionalFormatting>
  <conditionalFormatting sqref="AU163">
    <cfRule type="expression" dxfId="9662" priority="18207">
      <formula>$E163=""</formula>
    </cfRule>
  </conditionalFormatting>
  <conditionalFormatting sqref="AU165">
    <cfRule type="expression" dxfId="9661" priority="18206">
      <formula>#REF!=""</formula>
    </cfRule>
  </conditionalFormatting>
  <conditionalFormatting sqref="B163:B164">
    <cfRule type="expression" dxfId="9660" priority="18204">
      <formula>$HY164="Green"</formula>
    </cfRule>
    <cfRule type="expression" dxfId="9659" priority="18205">
      <formula>$HY164="White"</formula>
    </cfRule>
  </conditionalFormatting>
  <conditionalFormatting sqref="B163:B164">
    <cfRule type="expression" dxfId="9658" priority="18203">
      <formula>$HY164="Yellow"</formula>
    </cfRule>
  </conditionalFormatting>
  <conditionalFormatting sqref="B163:B164">
    <cfRule type="expression" dxfId="9657" priority="18202">
      <formula>$HY164="Red"</formula>
    </cfRule>
  </conditionalFormatting>
  <conditionalFormatting sqref="AU166">
    <cfRule type="expression" dxfId="9656" priority="18201">
      <formula>$E165=""</formula>
    </cfRule>
  </conditionalFormatting>
  <conditionalFormatting sqref="AV163:AW166">
    <cfRule type="expression" dxfId="9655" priority="18200">
      <formula>$G163=""</formula>
    </cfRule>
  </conditionalFormatting>
  <conditionalFormatting sqref="AJ165:AL165">
    <cfRule type="expression" dxfId="9654" priority="18192" stopIfTrue="1">
      <formula>$G163=""</formula>
    </cfRule>
  </conditionalFormatting>
  <conditionalFormatting sqref="AR163:AR166">
    <cfRule type="expression" dxfId="9653" priority="18184" stopIfTrue="1">
      <formula>$C$36=2</formula>
    </cfRule>
    <cfRule type="cellIs" dxfId="9652" priority="18185" operator="equal">
      <formula>"Yes"</formula>
    </cfRule>
    <cfRule type="cellIs" dxfId="9651" priority="18186" operator="equal">
      <formula>"No"</formula>
    </cfRule>
  </conditionalFormatting>
  <conditionalFormatting sqref="AJ163:AL164">
    <cfRule type="expression" dxfId="9650" priority="18183">
      <formula>$G163=""</formula>
    </cfRule>
  </conditionalFormatting>
  <conditionalFormatting sqref="AM163 AO163:AP166">
    <cfRule type="expression" dxfId="9649" priority="18182">
      <formula>$G163=""</formula>
    </cfRule>
  </conditionalFormatting>
  <conditionalFormatting sqref="AT163:AT166">
    <cfRule type="expression" dxfId="9648" priority="18181">
      <formula>$G163=""</formula>
    </cfRule>
  </conditionalFormatting>
  <conditionalFormatting sqref="E166:F166">
    <cfRule type="expression" dxfId="9647" priority="18168">
      <formula>$CN163="Exterior"</formula>
    </cfRule>
  </conditionalFormatting>
  <conditionalFormatting sqref="AU250">
    <cfRule type="expression" dxfId="9646" priority="17166">
      <formula>$E250=""</formula>
    </cfRule>
  </conditionalFormatting>
  <conditionalFormatting sqref="AU249">
    <cfRule type="expression" dxfId="9645" priority="17165">
      <formula>$E249=""</formula>
    </cfRule>
  </conditionalFormatting>
  <conditionalFormatting sqref="AU251">
    <cfRule type="expression" dxfId="9644" priority="17164">
      <formula>#REF!=""</formula>
    </cfRule>
  </conditionalFormatting>
  <conditionalFormatting sqref="B249:B250">
    <cfRule type="expression" dxfId="9643" priority="17162">
      <formula>$HY250="Green"</formula>
    </cfRule>
    <cfRule type="expression" dxfId="9642" priority="17163">
      <formula>$HY250="White"</formula>
    </cfRule>
  </conditionalFormatting>
  <conditionalFormatting sqref="B249:B250">
    <cfRule type="expression" dxfId="9641" priority="17161">
      <formula>$HY250="Yellow"</formula>
    </cfRule>
  </conditionalFormatting>
  <conditionalFormatting sqref="B249:B250">
    <cfRule type="expression" dxfId="9640" priority="17160">
      <formula>$HY250="Red"</formula>
    </cfRule>
  </conditionalFormatting>
  <conditionalFormatting sqref="AU252">
    <cfRule type="expression" dxfId="9639" priority="17159">
      <formula>$E251=""</formula>
    </cfRule>
  </conditionalFormatting>
  <conditionalFormatting sqref="AV249:AW252">
    <cfRule type="expression" dxfId="9638" priority="17158">
      <formula>$G249=""</formula>
    </cfRule>
  </conditionalFormatting>
  <conditionalFormatting sqref="AU255">
    <cfRule type="expression" dxfId="9637" priority="17099">
      <formula>$E255=""</formula>
    </cfRule>
  </conditionalFormatting>
  <conditionalFormatting sqref="AU254">
    <cfRule type="expression" dxfId="9636" priority="17098">
      <formula>$E254=""</formula>
    </cfRule>
  </conditionalFormatting>
  <conditionalFormatting sqref="AU256">
    <cfRule type="expression" dxfId="9635" priority="17097">
      <formula>#REF!=""</formula>
    </cfRule>
  </conditionalFormatting>
  <conditionalFormatting sqref="B254:B255">
    <cfRule type="expression" dxfId="9634" priority="17095">
      <formula>$HY255="Green"</formula>
    </cfRule>
    <cfRule type="expression" dxfId="9633" priority="17096">
      <formula>$HY255="White"</formula>
    </cfRule>
  </conditionalFormatting>
  <conditionalFormatting sqref="B254:B255">
    <cfRule type="expression" dxfId="9632" priority="17094">
      <formula>$HY255="Yellow"</formula>
    </cfRule>
  </conditionalFormatting>
  <conditionalFormatting sqref="B254:B255">
    <cfRule type="expression" dxfId="9631" priority="17093">
      <formula>$HY255="Red"</formula>
    </cfRule>
  </conditionalFormatting>
  <conditionalFormatting sqref="AU257">
    <cfRule type="expression" dxfId="9630" priority="17092">
      <formula>$E256=""</formula>
    </cfRule>
  </conditionalFormatting>
  <conditionalFormatting sqref="AV254:AW257">
    <cfRule type="expression" dxfId="9629" priority="17091">
      <formula>$G254=""</formula>
    </cfRule>
  </conditionalFormatting>
  <conditionalFormatting sqref="AU260">
    <cfRule type="expression" dxfId="9628" priority="17032">
      <formula>$E260=""</formula>
    </cfRule>
  </conditionalFormatting>
  <conditionalFormatting sqref="AU259">
    <cfRule type="expression" dxfId="9627" priority="17031">
      <formula>$E259=""</formula>
    </cfRule>
  </conditionalFormatting>
  <conditionalFormatting sqref="AU261">
    <cfRule type="expression" dxfId="9626" priority="17030">
      <formula>#REF!=""</formula>
    </cfRule>
  </conditionalFormatting>
  <conditionalFormatting sqref="B259:B260">
    <cfRule type="expression" dxfId="9625" priority="17028">
      <formula>$HY260="Green"</formula>
    </cfRule>
    <cfRule type="expression" dxfId="9624" priority="17029">
      <formula>$HY260="White"</formula>
    </cfRule>
  </conditionalFormatting>
  <conditionalFormatting sqref="B259:B260">
    <cfRule type="expression" dxfId="9623" priority="17027">
      <formula>$HY260="Yellow"</formula>
    </cfRule>
  </conditionalFormatting>
  <conditionalFormatting sqref="B259:B260">
    <cfRule type="expression" dxfId="9622" priority="17026">
      <formula>$HY260="Red"</formula>
    </cfRule>
  </conditionalFormatting>
  <conditionalFormatting sqref="AU262">
    <cfRule type="expression" dxfId="9621" priority="17025">
      <formula>$E261=""</formula>
    </cfRule>
  </conditionalFormatting>
  <conditionalFormatting sqref="AV259:AW262">
    <cfRule type="expression" dxfId="9620" priority="17024">
      <formula>$G259=""</formula>
    </cfRule>
  </conditionalFormatting>
  <conditionalFormatting sqref="AU265">
    <cfRule type="expression" dxfId="9619" priority="16965">
      <formula>$E265=""</formula>
    </cfRule>
  </conditionalFormatting>
  <conditionalFormatting sqref="AU264">
    <cfRule type="expression" dxfId="9618" priority="16964">
      <formula>$E264=""</formula>
    </cfRule>
  </conditionalFormatting>
  <conditionalFormatting sqref="AU266">
    <cfRule type="expression" dxfId="9617" priority="16963">
      <formula>#REF!=""</formula>
    </cfRule>
  </conditionalFormatting>
  <conditionalFormatting sqref="B264:B265">
    <cfRule type="expression" dxfId="9616" priority="16961">
      <formula>$HY265="Green"</formula>
    </cfRule>
    <cfRule type="expression" dxfId="9615" priority="16962">
      <formula>$HY265="White"</formula>
    </cfRule>
  </conditionalFormatting>
  <conditionalFormatting sqref="B264:B265">
    <cfRule type="expression" dxfId="9614" priority="16960">
      <formula>$HY265="Yellow"</formula>
    </cfRule>
  </conditionalFormatting>
  <conditionalFormatting sqref="B264:B265">
    <cfRule type="expression" dxfId="9613" priority="16959">
      <formula>$HY265="Red"</formula>
    </cfRule>
  </conditionalFormatting>
  <conditionalFormatting sqref="AU267">
    <cfRule type="expression" dxfId="9612" priority="16958">
      <formula>$E266=""</formula>
    </cfRule>
  </conditionalFormatting>
  <conditionalFormatting sqref="AV264:AW267">
    <cfRule type="expression" dxfId="9611" priority="16957">
      <formula>$G264=""</formula>
    </cfRule>
  </conditionalFormatting>
  <conditionalFormatting sqref="AU270">
    <cfRule type="expression" dxfId="9610" priority="16898">
      <formula>$E270=""</formula>
    </cfRule>
  </conditionalFormatting>
  <conditionalFormatting sqref="AU269">
    <cfRule type="expression" dxfId="9609" priority="16897">
      <formula>$E269=""</formula>
    </cfRule>
  </conditionalFormatting>
  <conditionalFormatting sqref="AU271">
    <cfRule type="expression" dxfId="9608" priority="16896">
      <formula>#REF!=""</formula>
    </cfRule>
  </conditionalFormatting>
  <conditionalFormatting sqref="B269:B270">
    <cfRule type="expression" dxfId="9607" priority="16894">
      <formula>$HY270="Green"</formula>
    </cfRule>
    <cfRule type="expression" dxfId="9606" priority="16895">
      <formula>$HY270="White"</formula>
    </cfRule>
  </conditionalFormatting>
  <conditionalFormatting sqref="B269:B270">
    <cfRule type="expression" dxfId="9605" priority="16893">
      <formula>$HY270="Yellow"</formula>
    </cfRule>
  </conditionalFormatting>
  <conditionalFormatting sqref="B269:B270">
    <cfRule type="expression" dxfId="9604" priority="16892">
      <formula>$HY270="Red"</formula>
    </cfRule>
  </conditionalFormatting>
  <conditionalFormatting sqref="AU272">
    <cfRule type="expression" dxfId="9603" priority="16891">
      <formula>$E271=""</formula>
    </cfRule>
  </conditionalFormatting>
  <conditionalFormatting sqref="AV269:AW272">
    <cfRule type="expression" dxfId="9602" priority="16890">
      <formula>$G269=""</formula>
    </cfRule>
  </conditionalFormatting>
  <conditionalFormatting sqref="AU275">
    <cfRule type="expression" dxfId="9601" priority="16831">
      <formula>$E275=""</formula>
    </cfRule>
  </conditionalFormatting>
  <conditionalFormatting sqref="AU274">
    <cfRule type="expression" dxfId="9600" priority="16830">
      <formula>$E274=""</formula>
    </cfRule>
  </conditionalFormatting>
  <conditionalFormatting sqref="AU276">
    <cfRule type="expression" dxfId="9599" priority="16829">
      <formula>#REF!=""</formula>
    </cfRule>
  </conditionalFormatting>
  <conditionalFormatting sqref="B274:B275">
    <cfRule type="expression" dxfId="9598" priority="16827">
      <formula>$HY275="Green"</formula>
    </cfRule>
    <cfRule type="expression" dxfId="9597" priority="16828">
      <formula>$HY275="White"</formula>
    </cfRule>
  </conditionalFormatting>
  <conditionalFormatting sqref="B274:B275">
    <cfRule type="expression" dxfId="9596" priority="16826">
      <formula>$HY275="Yellow"</formula>
    </cfRule>
  </conditionalFormatting>
  <conditionalFormatting sqref="B274:B275">
    <cfRule type="expression" dxfId="9595" priority="16825">
      <formula>$HY275="Red"</formula>
    </cfRule>
  </conditionalFormatting>
  <conditionalFormatting sqref="AU277">
    <cfRule type="expression" dxfId="9594" priority="16824">
      <formula>$E276=""</formula>
    </cfRule>
  </conditionalFormatting>
  <conditionalFormatting sqref="AV274:AW277">
    <cfRule type="expression" dxfId="9593" priority="16823">
      <formula>$G274=""</formula>
    </cfRule>
  </conditionalFormatting>
  <conditionalFormatting sqref="AU280">
    <cfRule type="expression" dxfId="9592" priority="16764">
      <formula>$E280=""</formula>
    </cfRule>
  </conditionalFormatting>
  <conditionalFormatting sqref="AU279">
    <cfRule type="expression" dxfId="9591" priority="16763">
      <formula>$E279=""</formula>
    </cfRule>
  </conditionalFormatting>
  <conditionalFormatting sqref="AU281">
    <cfRule type="expression" dxfId="9590" priority="16762">
      <formula>#REF!=""</formula>
    </cfRule>
  </conditionalFormatting>
  <conditionalFormatting sqref="B279:B280">
    <cfRule type="expression" dxfId="9589" priority="16760">
      <formula>$HY280="Green"</formula>
    </cfRule>
    <cfRule type="expression" dxfId="9588" priority="16761">
      <formula>$HY280="White"</formula>
    </cfRule>
  </conditionalFormatting>
  <conditionalFormatting sqref="B279:B280">
    <cfRule type="expression" dxfId="9587" priority="16759">
      <formula>$HY280="Yellow"</formula>
    </cfRule>
  </conditionalFormatting>
  <conditionalFormatting sqref="B279:B280">
    <cfRule type="expression" dxfId="9586" priority="16758">
      <formula>$HY280="Red"</formula>
    </cfRule>
  </conditionalFormatting>
  <conditionalFormatting sqref="AU282">
    <cfRule type="expression" dxfId="9585" priority="16757">
      <formula>$E281=""</formula>
    </cfRule>
  </conditionalFormatting>
  <conditionalFormatting sqref="AV279:AW282">
    <cfRule type="expression" dxfId="9584" priority="16756">
      <formula>$G279=""</formula>
    </cfRule>
  </conditionalFormatting>
  <conditionalFormatting sqref="AU285">
    <cfRule type="expression" dxfId="9583" priority="16697">
      <formula>$E285=""</formula>
    </cfRule>
  </conditionalFormatting>
  <conditionalFormatting sqref="AU284">
    <cfRule type="expression" dxfId="9582" priority="16696">
      <formula>$E284=""</formula>
    </cfRule>
  </conditionalFormatting>
  <conditionalFormatting sqref="AU286">
    <cfRule type="expression" dxfId="9581" priority="16695">
      <formula>#REF!=""</formula>
    </cfRule>
  </conditionalFormatting>
  <conditionalFormatting sqref="B284:B285">
    <cfRule type="expression" dxfId="9580" priority="16693">
      <formula>$HY285="Green"</formula>
    </cfRule>
    <cfRule type="expression" dxfId="9579" priority="16694">
      <formula>$HY285="White"</formula>
    </cfRule>
  </conditionalFormatting>
  <conditionalFormatting sqref="B284:B285">
    <cfRule type="expression" dxfId="9578" priority="16692">
      <formula>$HY285="Yellow"</formula>
    </cfRule>
  </conditionalFormatting>
  <conditionalFormatting sqref="B284:B285">
    <cfRule type="expression" dxfId="9577" priority="16691">
      <formula>$HY285="Red"</formula>
    </cfRule>
  </conditionalFormatting>
  <conditionalFormatting sqref="AU287">
    <cfRule type="expression" dxfId="9576" priority="16690">
      <formula>$E286=""</formula>
    </cfRule>
  </conditionalFormatting>
  <conditionalFormatting sqref="AV284:AW287">
    <cfRule type="expression" dxfId="9575" priority="16689">
      <formula>$G284=""</formula>
    </cfRule>
  </conditionalFormatting>
  <conditionalFormatting sqref="AU290">
    <cfRule type="expression" dxfId="9574" priority="16630">
      <formula>$E290=""</formula>
    </cfRule>
  </conditionalFormatting>
  <conditionalFormatting sqref="AU289">
    <cfRule type="expression" dxfId="9573" priority="16629">
      <formula>$E289=""</formula>
    </cfRule>
  </conditionalFormatting>
  <conditionalFormatting sqref="AU291">
    <cfRule type="expression" dxfId="9572" priority="16628">
      <formula>#REF!=""</formula>
    </cfRule>
  </conditionalFormatting>
  <conditionalFormatting sqref="B289:B290">
    <cfRule type="expression" dxfId="9571" priority="16626">
      <formula>$HY290="Green"</formula>
    </cfRule>
    <cfRule type="expression" dxfId="9570" priority="16627">
      <formula>$HY290="White"</formula>
    </cfRule>
  </conditionalFormatting>
  <conditionalFormatting sqref="B289:B290">
    <cfRule type="expression" dxfId="9569" priority="16625">
      <formula>$HY290="Yellow"</formula>
    </cfRule>
  </conditionalFormatting>
  <conditionalFormatting sqref="B289:B290">
    <cfRule type="expression" dxfId="9568" priority="16624">
      <formula>$HY290="Red"</formula>
    </cfRule>
  </conditionalFormatting>
  <conditionalFormatting sqref="AU292">
    <cfRule type="expression" dxfId="9567" priority="16623">
      <formula>$E291=""</formula>
    </cfRule>
  </conditionalFormatting>
  <conditionalFormatting sqref="AV289:AW292">
    <cfRule type="expression" dxfId="9566" priority="16622">
      <formula>$G289=""</formula>
    </cfRule>
  </conditionalFormatting>
  <conditionalFormatting sqref="AU295">
    <cfRule type="expression" dxfId="9565" priority="16563">
      <formula>$E295=""</formula>
    </cfRule>
  </conditionalFormatting>
  <conditionalFormatting sqref="AU294">
    <cfRule type="expression" dxfId="9564" priority="16562">
      <formula>$E294=""</formula>
    </cfRule>
  </conditionalFormatting>
  <conditionalFormatting sqref="AU296">
    <cfRule type="expression" dxfId="9563" priority="16561">
      <formula>#REF!=""</formula>
    </cfRule>
  </conditionalFormatting>
  <conditionalFormatting sqref="B294:B295">
    <cfRule type="expression" dxfId="9562" priority="16559">
      <formula>$HY295="Green"</formula>
    </cfRule>
    <cfRule type="expression" dxfId="9561" priority="16560">
      <formula>$HY295="White"</formula>
    </cfRule>
  </conditionalFormatting>
  <conditionalFormatting sqref="B294:B295">
    <cfRule type="expression" dxfId="9560" priority="16558">
      <formula>$HY295="Yellow"</formula>
    </cfRule>
  </conditionalFormatting>
  <conditionalFormatting sqref="B294:B295">
    <cfRule type="expression" dxfId="9559" priority="16557">
      <formula>$HY295="Red"</formula>
    </cfRule>
  </conditionalFormatting>
  <conditionalFormatting sqref="AU297">
    <cfRule type="expression" dxfId="9558" priority="16556">
      <formula>$E296=""</formula>
    </cfRule>
  </conditionalFormatting>
  <conditionalFormatting sqref="AV294:AW297">
    <cfRule type="expression" dxfId="9557" priority="16555">
      <formula>$G294=""</formula>
    </cfRule>
  </conditionalFormatting>
  <conditionalFormatting sqref="AU300">
    <cfRule type="expression" dxfId="9556" priority="16496">
      <formula>$E300=""</formula>
    </cfRule>
  </conditionalFormatting>
  <conditionalFormatting sqref="AU299">
    <cfRule type="expression" dxfId="9555" priority="16495">
      <formula>$E299=""</formula>
    </cfRule>
  </conditionalFormatting>
  <conditionalFormatting sqref="AU301">
    <cfRule type="expression" dxfId="9554" priority="16494">
      <formula>#REF!=""</formula>
    </cfRule>
  </conditionalFormatting>
  <conditionalFormatting sqref="B299:B300">
    <cfRule type="expression" dxfId="9553" priority="16492">
      <formula>$HY300="Green"</formula>
    </cfRule>
    <cfRule type="expression" dxfId="9552" priority="16493">
      <formula>$HY300="White"</formula>
    </cfRule>
  </conditionalFormatting>
  <conditionalFormatting sqref="B299:B300">
    <cfRule type="expression" dxfId="9551" priority="16491">
      <formula>$HY300="Yellow"</formula>
    </cfRule>
  </conditionalFormatting>
  <conditionalFormatting sqref="B299:B300">
    <cfRule type="expression" dxfId="9550" priority="16490">
      <formula>$HY300="Red"</formula>
    </cfRule>
  </conditionalFormatting>
  <conditionalFormatting sqref="AU302">
    <cfRule type="expression" dxfId="9549" priority="16489">
      <formula>$E301=""</formula>
    </cfRule>
  </conditionalFormatting>
  <conditionalFormatting sqref="AV299:AW302">
    <cfRule type="expression" dxfId="9548" priority="16488">
      <formula>$G299=""</formula>
    </cfRule>
  </conditionalFormatting>
  <conditionalFormatting sqref="AU305">
    <cfRule type="expression" dxfId="9547" priority="16429">
      <formula>$E305=""</formula>
    </cfRule>
  </conditionalFormatting>
  <conditionalFormatting sqref="AU304">
    <cfRule type="expression" dxfId="9546" priority="16428">
      <formula>$E304=""</formula>
    </cfRule>
  </conditionalFormatting>
  <conditionalFormatting sqref="AU306">
    <cfRule type="expression" dxfId="9545" priority="16427">
      <formula>#REF!=""</formula>
    </cfRule>
  </conditionalFormatting>
  <conditionalFormatting sqref="B304:B305">
    <cfRule type="expression" dxfId="9544" priority="16425">
      <formula>$HY305="Green"</formula>
    </cfRule>
    <cfRule type="expression" dxfId="9543" priority="16426">
      <formula>$HY305="White"</formula>
    </cfRule>
  </conditionalFormatting>
  <conditionalFormatting sqref="B304:B305">
    <cfRule type="expression" dxfId="9542" priority="16424">
      <formula>$HY305="Yellow"</formula>
    </cfRule>
  </conditionalFormatting>
  <conditionalFormatting sqref="B304:B305">
    <cfRule type="expression" dxfId="9541" priority="16423">
      <formula>$HY305="Red"</formula>
    </cfRule>
  </conditionalFormatting>
  <conditionalFormatting sqref="AU307">
    <cfRule type="expression" dxfId="9540" priority="16422">
      <formula>$E306=""</formula>
    </cfRule>
  </conditionalFormatting>
  <conditionalFormatting sqref="AV304:AW307">
    <cfRule type="expression" dxfId="9539" priority="16421">
      <formula>$G304=""</formula>
    </cfRule>
  </conditionalFormatting>
  <conditionalFormatting sqref="AU310">
    <cfRule type="expression" dxfId="9538" priority="16362">
      <formula>$E310=""</formula>
    </cfRule>
  </conditionalFormatting>
  <conditionalFormatting sqref="AU309">
    <cfRule type="expression" dxfId="9537" priority="16361">
      <formula>$E309=""</formula>
    </cfRule>
  </conditionalFormatting>
  <conditionalFormatting sqref="AU311">
    <cfRule type="expression" dxfId="9536" priority="16360">
      <formula>#REF!=""</formula>
    </cfRule>
  </conditionalFormatting>
  <conditionalFormatting sqref="B309:B310">
    <cfRule type="expression" dxfId="9535" priority="16358">
      <formula>$HY310="Green"</formula>
    </cfRule>
    <cfRule type="expression" dxfId="9534" priority="16359">
      <formula>$HY310="White"</formula>
    </cfRule>
  </conditionalFormatting>
  <conditionalFormatting sqref="B309:B310">
    <cfRule type="expression" dxfId="9533" priority="16357">
      <formula>$HY310="Yellow"</formula>
    </cfRule>
  </conditionalFormatting>
  <conditionalFormatting sqref="B309:B310">
    <cfRule type="expression" dxfId="9532" priority="16356">
      <formula>$HY310="Red"</formula>
    </cfRule>
  </conditionalFormatting>
  <conditionalFormatting sqref="AU312">
    <cfRule type="expression" dxfId="9531" priority="16355">
      <formula>$E311=""</formula>
    </cfRule>
  </conditionalFormatting>
  <conditionalFormatting sqref="AV309:AW312">
    <cfRule type="expression" dxfId="9530" priority="16354">
      <formula>$G309=""</formula>
    </cfRule>
  </conditionalFormatting>
  <conditionalFormatting sqref="AU315">
    <cfRule type="expression" dxfId="9529" priority="16295">
      <formula>$E315=""</formula>
    </cfRule>
  </conditionalFormatting>
  <conditionalFormatting sqref="AU314">
    <cfRule type="expression" dxfId="9528" priority="16294">
      <formula>$E314=""</formula>
    </cfRule>
  </conditionalFormatting>
  <conditionalFormatting sqref="AU316">
    <cfRule type="expression" dxfId="9527" priority="16293">
      <formula>#REF!=""</formula>
    </cfRule>
  </conditionalFormatting>
  <conditionalFormatting sqref="B314:B315">
    <cfRule type="expression" dxfId="9526" priority="16291">
      <formula>$HY315="Green"</formula>
    </cfRule>
    <cfRule type="expression" dxfId="9525" priority="16292">
      <formula>$HY315="White"</formula>
    </cfRule>
  </conditionalFormatting>
  <conditionalFormatting sqref="B314:B315">
    <cfRule type="expression" dxfId="9524" priority="16290">
      <formula>$HY315="Yellow"</formula>
    </cfRule>
  </conditionalFormatting>
  <conditionalFormatting sqref="B314:B315">
    <cfRule type="expression" dxfId="9523" priority="16289">
      <formula>$HY315="Red"</formula>
    </cfRule>
  </conditionalFormatting>
  <conditionalFormatting sqref="AU317">
    <cfRule type="expression" dxfId="9522" priority="16288">
      <formula>$E316=""</formula>
    </cfRule>
  </conditionalFormatting>
  <conditionalFormatting sqref="AV314:AW317">
    <cfRule type="expression" dxfId="9521" priority="16287">
      <formula>$G314=""</formula>
    </cfRule>
  </conditionalFormatting>
  <conditionalFormatting sqref="AU320">
    <cfRule type="expression" dxfId="9520" priority="16228">
      <formula>$E320=""</formula>
    </cfRule>
  </conditionalFormatting>
  <conditionalFormatting sqref="AU319">
    <cfRule type="expression" dxfId="9519" priority="16227">
      <formula>$E319=""</formula>
    </cfRule>
  </conditionalFormatting>
  <conditionalFormatting sqref="AU321">
    <cfRule type="expression" dxfId="9518" priority="16226">
      <formula>#REF!=""</formula>
    </cfRule>
  </conditionalFormatting>
  <conditionalFormatting sqref="B319:B320">
    <cfRule type="expression" dxfId="9517" priority="16224">
      <formula>$HY320="Green"</formula>
    </cfRule>
    <cfRule type="expression" dxfId="9516" priority="16225">
      <formula>$HY320="White"</formula>
    </cfRule>
  </conditionalFormatting>
  <conditionalFormatting sqref="B319:B320">
    <cfRule type="expression" dxfId="9515" priority="16223">
      <formula>$HY320="Yellow"</formula>
    </cfRule>
  </conditionalFormatting>
  <conditionalFormatting sqref="B319:B320">
    <cfRule type="expression" dxfId="9514" priority="16222">
      <formula>$HY320="Red"</formula>
    </cfRule>
  </conditionalFormatting>
  <conditionalFormatting sqref="AU322">
    <cfRule type="expression" dxfId="9513" priority="16221">
      <formula>$E321=""</formula>
    </cfRule>
  </conditionalFormatting>
  <conditionalFormatting sqref="AV319:AW322">
    <cfRule type="expression" dxfId="9512" priority="16220">
      <formula>$G319=""</formula>
    </cfRule>
  </conditionalFormatting>
  <conditionalFormatting sqref="AU172">
    <cfRule type="expression" dxfId="9511" priority="16161">
      <formula>$E172=""</formula>
    </cfRule>
  </conditionalFormatting>
  <conditionalFormatting sqref="AU171">
    <cfRule type="expression" dxfId="9510" priority="16160">
      <formula>$E171=""</formula>
    </cfRule>
  </conditionalFormatting>
  <conditionalFormatting sqref="AU173">
    <cfRule type="expression" dxfId="9509" priority="16159">
      <formula>#REF!=""</formula>
    </cfRule>
  </conditionalFormatting>
  <conditionalFormatting sqref="B171:B172">
    <cfRule type="expression" dxfId="9508" priority="16157">
      <formula>$HY172="Green"</formula>
    </cfRule>
    <cfRule type="expression" dxfId="9507" priority="16158">
      <formula>$HY172="White"</formula>
    </cfRule>
  </conditionalFormatting>
  <conditionalFormatting sqref="B171:B172">
    <cfRule type="expression" dxfId="9506" priority="16156">
      <formula>$HY172="Yellow"</formula>
    </cfRule>
  </conditionalFormatting>
  <conditionalFormatting sqref="B171:B172">
    <cfRule type="expression" dxfId="9505" priority="16155">
      <formula>$HY172="Red"</formula>
    </cfRule>
  </conditionalFormatting>
  <conditionalFormatting sqref="AU174">
    <cfRule type="expression" dxfId="9504" priority="16154">
      <formula>$E173=""</formula>
    </cfRule>
  </conditionalFormatting>
  <conditionalFormatting sqref="AV171:AW174">
    <cfRule type="expression" dxfId="9503" priority="16153">
      <formula>$G171=""</formula>
    </cfRule>
  </conditionalFormatting>
  <conditionalFormatting sqref="AU177">
    <cfRule type="expression" dxfId="9502" priority="16094">
      <formula>$E177=""</formula>
    </cfRule>
  </conditionalFormatting>
  <conditionalFormatting sqref="AU176">
    <cfRule type="expression" dxfId="9501" priority="16093">
      <formula>$E176=""</formula>
    </cfRule>
  </conditionalFormatting>
  <conditionalFormatting sqref="AU178">
    <cfRule type="expression" dxfId="9500" priority="16092">
      <formula>#REF!=""</formula>
    </cfRule>
  </conditionalFormatting>
  <conditionalFormatting sqref="B176:B177">
    <cfRule type="expression" dxfId="9499" priority="16090">
      <formula>$HY177="Green"</formula>
    </cfRule>
    <cfRule type="expression" dxfId="9498" priority="16091">
      <formula>$HY177="White"</formula>
    </cfRule>
  </conditionalFormatting>
  <conditionalFormatting sqref="B176:B177">
    <cfRule type="expression" dxfId="9497" priority="16089">
      <formula>$HY177="Yellow"</formula>
    </cfRule>
  </conditionalFormatting>
  <conditionalFormatting sqref="B176:B177">
    <cfRule type="expression" dxfId="9496" priority="16088">
      <formula>$HY177="Red"</formula>
    </cfRule>
  </conditionalFormatting>
  <conditionalFormatting sqref="AU179">
    <cfRule type="expression" dxfId="9495" priority="16087">
      <formula>$E178=""</formula>
    </cfRule>
  </conditionalFormatting>
  <conditionalFormatting sqref="AV176:AW179">
    <cfRule type="expression" dxfId="9494" priority="16086">
      <formula>$G176=""</formula>
    </cfRule>
  </conditionalFormatting>
  <conditionalFormatting sqref="AU182">
    <cfRule type="expression" dxfId="9493" priority="16027">
      <formula>$E182=""</formula>
    </cfRule>
  </conditionalFormatting>
  <conditionalFormatting sqref="AU181">
    <cfRule type="expression" dxfId="9492" priority="16026">
      <formula>$E181=""</formula>
    </cfRule>
  </conditionalFormatting>
  <conditionalFormatting sqref="AU183">
    <cfRule type="expression" dxfId="9491" priority="16025">
      <formula>#REF!=""</formula>
    </cfRule>
  </conditionalFormatting>
  <conditionalFormatting sqref="B181:B182">
    <cfRule type="expression" dxfId="9490" priority="16023">
      <formula>$HY182="Green"</formula>
    </cfRule>
    <cfRule type="expression" dxfId="9489" priority="16024">
      <formula>$HY182="White"</formula>
    </cfRule>
  </conditionalFormatting>
  <conditionalFormatting sqref="B181:B182">
    <cfRule type="expression" dxfId="9488" priority="16022">
      <formula>$HY182="Yellow"</formula>
    </cfRule>
  </conditionalFormatting>
  <conditionalFormatting sqref="B181:B182">
    <cfRule type="expression" dxfId="9487" priority="16021">
      <formula>$HY182="Red"</formula>
    </cfRule>
  </conditionalFormatting>
  <conditionalFormatting sqref="AU184">
    <cfRule type="expression" dxfId="9486" priority="16020">
      <formula>$E183=""</formula>
    </cfRule>
  </conditionalFormatting>
  <conditionalFormatting sqref="AV181:AW184">
    <cfRule type="expression" dxfId="9485" priority="16019">
      <formula>$G181=""</formula>
    </cfRule>
  </conditionalFormatting>
  <conditionalFormatting sqref="AU187">
    <cfRule type="expression" dxfId="9484" priority="15960">
      <formula>$E187=""</formula>
    </cfRule>
  </conditionalFormatting>
  <conditionalFormatting sqref="AU186">
    <cfRule type="expression" dxfId="9483" priority="15959">
      <formula>$E186=""</formula>
    </cfRule>
  </conditionalFormatting>
  <conditionalFormatting sqref="AU188">
    <cfRule type="expression" dxfId="9482" priority="15958">
      <formula>#REF!=""</formula>
    </cfRule>
  </conditionalFormatting>
  <conditionalFormatting sqref="B186:B187">
    <cfRule type="expression" dxfId="9481" priority="15956">
      <formula>$HY187="Green"</formula>
    </cfRule>
    <cfRule type="expression" dxfId="9480" priority="15957">
      <formula>$HY187="White"</formula>
    </cfRule>
  </conditionalFormatting>
  <conditionalFormatting sqref="B186:B187">
    <cfRule type="expression" dxfId="9479" priority="15955">
      <formula>$HY187="Yellow"</formula>
    </cfRule>
  </conditionalFormatting>
  <conditionalFormatting sqref="B186:B187">
    <cfRule type="expression" dxfId="9478" priority="15954">
      <formula>$HY187="Red"</formula>
    </cfRule>
  </conditionalFormatting>
  <conditionalFormatting sqref="AU189">
    <cfRule type="expression" dxfId="9477" priority="15953">
      <formula>$E188=""</formula>
    </cfRule>
  </conditionalFormatting>
  <conditionalFormatting sqref="AV186:AW189">
    <cfRule type="expression" dxfId="9476" priority="15952">
      <formula>$G186=""</formula>
    </cfRule>
  </conditionalFormatting>
  <conditionalFormatting sqref="AU192">
    <cfRule type="expression" dxfId="9475" priority="15893">
      <formula>$E192=""</formula>
    </cfRule>
  </conditionalFormatting>
  <conditionalFormatting sqref="AU191">
    <cfRule type="expression" dxfId="9474" priority="15892">
      <formula>$E191=""</formula>
    </cfRule>
  </conditionalFormatting>
  <conditionalFormatting sqref="AU193">
    <cfRule type="expression" dxfId="9473" priority="15891">
      <formula>#REF!=""</formula>
    </cfRule>
  </conditionalFormatting>
  <conditionalFormatting sqref="B191:B192">
    <cfRule type="expression" dxfId="9472" priority="15889">
      <formula>$HY192="Green"</formula>
    </cfRule>
    <cfRule type="expression" dxfId="9471" priority="15890">
      <formula>$HY192="White"</formula>
    </cfRule>
  </conditionalFormatting>
  <conditionalFormatting sqref="B191:B192">
    <cfRule type="expression" dxfId="9470" priority="15888">
      <formula>$HY192="Yellow"</formula>
    </cfRule>
  </conditionalFormatting>
  <conditionalFormatting sqref="B191:B192">
    <cfRule type="expression" dxfId="9469" priority="15887">
      <formula>$HY192="Red"</formula>
    </cfRule>
  </conditionalFormatting>
  <conditionalFormatting sqref="AU194">
    <cfRule type="expression" dxfId="9468" priority="15886">
      <formula>$E193=""</formula>
    </cfRule>
  </conditionalFormatting>
  <conditionalFormatting sqref="AV191:AW194">
    <cfRule type="expression" dxfId="9467" priority="15885">
      <formula>$G191=""</formula>
    </cfRule>
  </conditionalFormatting>
  <conditionalFormatting sqref="AU197">
    <cfRule type="expression" dxfId="9466" priority="15826">
      <formula>$E197=""</formula>
    </cfRule>
  </conditionalFormatting>
  <conditionalFormatting sqref="AU196">
    <cfRule type="expression" dxfId="9465" priority="15825">
      <formula>$E196=""</formula>
    </cfRule>
  </conditionalFormatting>
  <conditionalFormatting sqref="AU198">
    <cfRule type="expression" dxfId="9464" priority="15824">
      <formula>#REF!=""</formula>
    </cfRule>
  </conditionalFormatting>
  <conditionalFormatting sqref="B196:B197">
    <cfRule type="expression" dxfId="9463" priority="15822">
      <formula>$HY197="Green"</formula>
    </cfRule>
    <cfRule type="expression" dxfId="9462" priority="15823">
      <formula>$HY197="White"</formula>
    </cfRule>
  </conditionalFormatting>
  <conditionalFormatting sqref="B196:B197">
    <cfRule type="expression" dxfId="9461" priority="15821">
      <formula>$HY197="Yellow"</formula>
    </cfRule>
  </conditionalFormatting>
  <conditionalFormatting sqref="B196:B197">
    <cfRule type="expression" dxfId="9460" priority="15820">
      <formula>$HY197="Red"</formula>
    </cfRule>
  </conditionalFormatting>
  <conditionalFormatting sqref="AU199">
    <cfRule type="expression" dxfId="9459" priority="15819">
      <formula>$E198=""</formula>
    </cfRule>
  </conditionalFormatting>
  <conditionalFormatting sqref="AV196:AW199">
    <cfRule type="expression" dxfId="9458" priority="15818">
      <formula>$G196=""</formula>
    </cfRule>
  </conditionalFormatting>
  <conditionalFormatting sqref="AU202">
    <cfRule type="expression" dxfId="9457" priority="15759">
      <formula>$E202=""</formula>
    </cfRule>
  </conditionalFormatting>
  <conditionalFormatting sqref="AU201">
    <cfRule type="expression" dxfId="9456" priority="15758">
      <formula>$E201=""</formula>
    </cfRule>
  </conditionalFormatting>
  <conditionalFormatting sqref="AU203">
    <cfRule type="expression" dxfId="9455" priority="15757">
      <formula>#REF!=""</formula>
    </cfRule>
  </conditionalFormatting>
  <conditionalFormatting sqref="B201:B202">
    <cfRule type="expression" dxfId="9454" priority="15755">
      <formula>$HY202="Green"</formula>
    </cfRule>
    <cfRule type="expression" dxfId="9453" priority="15756">
      <formula>$HY202="White"</formula>
    </cfRule>
  </conditionalFormatting>
  <conditionalFormatting sqref="B201:B202">
    <cfRule type="expression" dxfId="9452" priority="15754">
      <formula>$HY202="Yellow"</formula>
    </cfRule>
  </conditionalFormatting>
  <conditionalFormatting sqref="B201:B202">
    <cfRule type="expression" dxfId="9451" priority="15753">
      <formula>$HY202="Red"</formula>
    </cfRule>
  </conditionalFormatting>
  <conditionalFormatting sqref="AU204">
    <cfRule type="expression" dxfId="9450" priority="15752">
      <formula>$E203=""</formula>
    </cfRule>
  </conditionalFormatting>
  <conditionalFormatting sqref="AV201:AW204">
    <cfRule type="expression" dxfId="9449" priority="15751">
      <formula>$G201=""</formula>
    </cfRule>
  </conditionalFormatting>
  <conditionalFormatting sqref="AU207">
    <cfRule type="expression" dxfId="9448" priority="15692">
      <formula>$E207=""</formula>
    </cfRule>
  </conditionalFormatting>
  <conditionalFormatting sqref="AU206">
    <cfRule type="expression" dxfId="9447" priority="15691">
      <formula>$E206=""</formula>
    </cfRule>
  </conditionalFormatting>
  <conditionalFormatting sqref="AU208">
    <cfRule type="expression" dxfId="9446" priority="15690">
      <formula>#REF!=""</formula>
    </cfRule>
  </conditionalFormatting>
  <conditionalFormatting sqref="B206:B207">
    <cfRule type="expression" dxfId="9445" priority="15688">
      <formula>$HY207="Green"</formula>
    </cfRule>
    <cfRule type="expression" dxfId="9444" priority="15689">
      <formula>$HY207="White"</formula>
    </cfRule>
  </conditionalFormatting>
  <conditionalFormatting sqref="B206:B207">
    <cfRule type="expression" dxfId="9443" priority="15687">
      <formula>$HY207="Yellow"</formula>
    </cfRule>
  </conditionalFormatting>
  <conditionalFormatting sqref="B206:B207">
    <cfRule type="expression" dxfId="9442" priority="15686">
      <formula>$HY207="Red"</formula>
    </cfRule>
  </conditionalFormatting>
  <conditionalFormatting sqref="AU209">
    <cfRule type="expression" dxfId="9441" priority="15685">
      <formula>$E208=""</formula>
    </cfRule>
  </conditionalFormatting>
  <conditionalFormatting sqref="AV206:AW209">
    <cfRule type="expression" dxfId="9440" priority="15684">
      <formula>$G206=""</formula>
    </cfRule>
  </conditionalFormatting>
  <conditionalFormatting sqref="AU212">
    <cfRule type="expression" dxfId="9439" priority="15625">
      <formula>$E212=""</formula>
    </cfRule>
  </conditionalFormatting>
  <conditionalFormatting sqref="AU211">
    <cfRule type="expression" dxfId="9438" priority="15624">
      <formula>$E211=""</formula>
    </cfRule>
  </conditionalFormatting>
  <conditionalFormatting sqref="AU213">
    <cfRule type="expression" dxfId="9437" priority="15623">
      <formula>#REF!=""</formula>
    </cfRule>
  </conditionalFormatting>
  <conditionalFormatting sqref="B211:B212">
    <cfRule type="expression" dxfId="9436" priority="15621">
      <formula>$HY212="Green"</formula>
    </cfRule>
    <cfRule type="expression" dxfId="9435" priority="15622">
      <formula>$HY212="White"</formula>
    </cfRule>
  </conditionalFormatting>
  <conditionalFormatting sqref="B211:B212">
    <cfRule type="expression" dxfId="9434" priority="15620">
      <formula>$HY212="Yellow"</formula>
    </cfRule>
  </conditionalFormatting>
  <conditionalFormatting sqref="B211:B212">
    <cfRule type="expression" dxfId="9433" priority="15619">
      <formula>$HY212="Red"</formula>
    </cfRule>
  </conditionalFormatting>
  <conditionalFormatting sqref="AU214">
    <cfRule type="expression" dxfId="9432" priority="15618">
      <formula>$E213=""</formula>
    </cfRule>
  </conditionalFormatting>
  <conditionalFormatting sqref="AV211:AW214">
    <cfRule type="expression" dxfId="9431" priority="15617">
      <formula>$G211=""</formula>
    </cfRule>
  </conditionalFormatting>
  <conditionalFormatting sqref="AU217">
    <cfRule type="expression" dxfId="9430" priority="15558">
      <formula>$E217=""</formula>
    </cfRule>
  </conditionalFormatting>
  <conditionalFormatting sqref="AU216">
    <cfRule type="expression" dxfId="9429" priority="15557">
      <formula>$E216=""</formula>
    </cfRule>
  </conditionalFormatting>
  <conditionalFormatting sqref="AU218">
    <cfRule type="expression" dxfId="9428" priority="15556">
      <formula>#REF!=""</formula>
    </cfRule>
  </conditionalFormatting>
  <conditionalFormatting sqref="B216:B217">
    <cfRule type="expression" dxfId="9427" priority="15554">
      <formula>$HY217="Green"</formula>
    </cfRule>
    <cfRule type="expression" dxfId="9426" priority="15555">
      <formula>$HY217="White"</formula>
    </cfRule>
  </conditionalFormatting>
  <conditionalFormatting sqref="B216:B217">
    <cfRule type="expression" dxfId="9425" priority="15553">
      <formula>$HY217="Yellow"</formula>
    </cfRule>
  </conditionalFormatting>
  <conditionalFormatting sqref="B216:B217">
    <cfRule type="expression" dxfId="9424" priority="15552">
      <formula>$HY217="Red"</formula>
    </cfRule>
  </conditionalFormatting>
  <conditionalFormatting sqref="AU219">
    <cfRule type="expression" dxfId="9423" priority="15551">
      <formula>$E218=""</formula>
    </cfRule>
  </conditionalFormatting>
  <conditionalFormatting sqref="AV216:AW219">
    <cfRule type="expression" dxfId="9422" priority="15550">
      <formula>$G216=""</formula>
    </cfRule>
  </conditionalFormatting>
  <conditionalFormatting sqref="AU222">
    <cfRule type="expression" dxfId="9421" priority="15491">
      <formula>$E222=""</formula>
    </cfRule>
  </conditionalFormatting>
  <conditionalFormatting sqref="AU221">
    <cfRule type="expression" dxfId="9420" priority="15490">
      <formula>$E221=""</formula>
    </cfRule>
  </conditionalFormatting>
  <conditionalFormatting sqref="AU223">
    <cfRule type="expression" dxfId="9419" priority="15489">
      <formula>#REF!=""</formula>
    </cfRule>
  </conditionalFormatting>
  <conditionalFormatting sqref="B221:B222">
    <cfRule type="expression" dxfId="9418" priority="15487">
      <formula>$HY222="Green"</formula>
    </cfRule>
    <cfRule type="expression" dxfId="9417" priority="15488">
      <formula>$HY222="White"</formula>
    </cfRule>
  </conditionalFormatting>
  <conditionalFormatting sqref="B221:B222">
    <cfRule type="expression" dxfId="9416" priority="15486">
      <formula>$HY222="Yellow"</formula>
    </cfRule>
  </conditionalFormatting>
  <conditionalFormatting sqref="B221:B222">
    <cfRule type="expression" dxfId="9415" priority="15485">
      <formula>$HY222="Red"</formula>
    </cfRule>
  </conditionalFormatting>
  <conditionalFormatting sqref="AU224">
    <cfRule type="expression" dxfId="9414" priority="15484">
      <formula>$E223=""</formula>
    </cfRule>
  </conditionalFormatting>
  <conditionalFormatting sqref="AV221:AW224">
    <cfRule type="expression" dxfId="9413" priority="15483">
      <formula>$G221=""</formula>
    </cfRule>
  </conditionalFormatting>
  <conditionalFormatting sqref="AU227">
    <cfRule type="expression" dxfId="9412" priority="15424">
      <formula>$E227=""</formula>
    </cfRule>
  </conditionalFormatting>
  <conditionalFormatting sqref="AU226">
    <cfRule type="expression" dxfId="9411" priority="15423">
      <formula>$E226=""</formula>
    </cfRule>
  </conditionalFormatting>
  <conditionalFormatting sqref="AU228">
    <cfRule type="expression" dxfId="9410" priority="15422">
      <formula>#REF!=""</formula>
    </cfRule>
  </conditionalFormatting>
  <conditionalFormatting sqref="B226:B227">
    <cfRule type="expression" dxfId="9409" priority="15420">
      <formula>$HY227="Green"</formula>
    </cfRule>
    <cfRule type="expression" dxfId="9408" priority="15421">
      <formula>$HY227="White"</formula>
    </cfRule>
  </conditionalFormatting>
  <conditionalFormatting sqref="B226:B227">
    <cfRule type="expression" dxfId="9407" priority="15419">
      <formula>$HY227="Yellow"</formula>
    </cfRule>
  </conditionalFormatting>
  <conditionalFormatting sqref="B226:B227">
    <cfRule type="expression" dxfId="9406" priority="15418">
      <formula>$HY227="Red"</formula>
    </cfRule>
  </conditionalFormatting>
  <conditionalFormatting sqref="AU229">
    <cfRule type="expression" dxfId="9405" priority="15417">
      <formula>$E228=""</formula>
    </cfRule>
  </conditionalFormatting>
  <conditionalFormatting sqref="AV226:AW229">
    <cfRule type="expression" dxfId="9404" priority="15416">
      <formula>$G226=""</formula>
    </cfRule>
  </conditionalFormatting>
  <conditionalFormatting sqref="AU232">
    <cfRule type="expression" dxfId="9403" priority="15357">
      <formula>$E232=""</formula>
    </cfRule>
  </conditionalFormatting>
  <conditionalFormatting sqref="AU231">
    <cfRule type="expression" dxfId="9402" priority="15356">
      <formula>$E231=""</formula>
    </cfRule>
  </conditionalFormatting>
  <conditionalFormatting sqref="AU233">
    <cfRule type="expression" dxfId="9401" priority="15355">
      <formula>#REF!=""</formula>
    </cfRule>
  </conditionalFormatting>
  <conditionalFormatting sqref="B231:B232">
    <cfRule type="expression" dxfId="9400" priority="15353">
      <formula>$HY232="Green"</formula>
    </cfRule>
    <cfRule type="expression" dxfId="9399" priority="15354">
      <formula>$HY232="White"</formula>
    </cfRule>
  </conditionalFormatting>
  <conditionalFormatting sqref="B231:B232">
    <cfRule type="expression" dxfId="9398" priority="15352">
      <formula>$HY232="Yellow"</formula>
    </cfRule>
  </conditionalFormatting>
  <conditionalFormatting sqref="B231:B232">
    <cfRule type="expression" dxfId="9397" priority="15351">
      <formula>$HY232="Red"</formula>
    </cfRule>
  </conditionalFormatting>
  <conditionalFormatting sqref="AU234">
    <cfRule type="expression" dxfId="9396" priority="15350">
      <formula>$E233=""</formula>
    </cfRule>
  </conditionalFormatting>
  <conditionalFormatting sqref="AV231:AW234">
    <cfRule type="expression" dxfId="9395" priority="15349">
      <formula>$G231=""</formula>
    </cfRule>
  </conditionalFormatting>
  <conditionalFormatting sqref="AU237">
    <cfRule type="expression" dxfId="9394" priority="15290">
      <formula>$E237=""</formula>
    </cfRule>
  </conditionalFormatting>
  <conditionalFormatting sqref="AU236">
    <cfRule type="expression" dxfId="9393" priority="15289">
      <formula>$E236=""</formula>
    </cfRule>
  </conditionalFormatting>
  <conditionalFormatting sqref="AU238">
    <cfRule type="expression" dxfId="9392" priority="15288">
      <formula>#REF!=""</formula>
    </cfRule>
  </conditionalFormatting>
  <conditionalFormatting sqref="B236:B237">
    <cfRule type="expression" dxfId="9391" priority="15286">
      <formula>$HY237="Green"</formula>
    </cfRule>
    <cfRule type="expression" dxfId="9390" priority="15287">
      <formula>$HY237="White"</formula>
    </cfRule>
  </conditionalFormatting>
  <conditionalFormatting sqref="B236:B237">
    <cfRule type="expression" dxfId="9389" priority="15285">
      <formula>$HY237="Yellow"</formula>
    </cfRule>
  </conditionalFormatting>
  <conditionalFormatting sqref="B236:B237">
    <cfRule type="expression" dxfId="9388" priority="15284">
      <formula>$HY237="Red"</formula>
    </cfRule>
  </conditionalFormatting>
  <conditionalFormatting sqref="AU239">
    <cfRule type="expression" dxfId="9387" priority="15283">
      <formula>$E238=""</formula>
    </cfRule>
  </conditionalFormatting>
  <conditionalFormatting sqref="AV236:AW239">
    <cfRule type="expression" dxfId="9386" priority="15282">
      <formula>$G236=""</formula>
    </cfRule>
  </conditionalFormatting>
  <conditionalFormatting sqref="AU242">
    <cfRule type="expression" dxfId="9385" priority="15223">
      <formula>$E242=""</formula>
    </cfRule>
  </conditionalFormatting>
  <conditionalFormatting sqref="AU241">
    <cfRule type="expression" dxfId="9384" priority="15222">
      <formula>$E241=""</formula>
    </cfRule>
  </conditionalFormatting>
  <conditionalFormatting sqref="AU243">
    <cfRule type="expression" dxfId="9383" priority="15221">
      <formula>#REF!=""</formula>
    </cfRule>
  </conditionalFormatting>
  <conditionalFormatting sqref="B241:B242">
    <cfRule type="expression" dxfId="9382" priority="15219">
      <formula>$HY242="Green"</formula>
    </cfRule>
    <cfRule type="expression" dxfId="9381" priority="15220">
      <formula>$HY242="White"</formula>
    </cfRule>
  </conditionalFormatting>
  <conditionalFormatting sqref="B241:B242">
    <cfRule type="expression" dxfId="9380" priority="15218">
      <formula>$HY242="Yellow"</formula>
    </cfRule>
  </conditionalFormatting>
  <conditionalFormatting sqref="B241:B242">
    <cfRule type="expression" dxfId="9379" priority="15217">
      <formula>$HY242="Red"</formula>
    </cfRule>
  </conditionalFormatting>
  <conditionalFormatting sqref="AU244">
    <cfRule type="expression" dxfId="9378" priority="15216">
      <formula>$E243=""</formula>
    </cfRule>
  </conditionalFormatting>
  <conditionalFormatting sqref="AV241:AW244">
    <cfRule type="expression" dxfId="9377" priority="15215">
      <formula>$G241=""</formula>
    </cfRule>
  </conditionalFormatting>
  <conditionalFormatting sqref="AU328">
    <cfRule type="expression" dxfId="9376" priority="15156">
      <formula>$E328=""</formula>
    </cfRule>
  </conditionalFormatting>
  <conditionalFormatting sqref="AU327">
    <cfRule type="expression" dxfId="9375" priority="15155">
      <formula>$E327=""</formula>
    </cfRule>
  </conditionalFormatting>
  <conditionalFormatting sqref="AU329">
    <cfRule type="expression" dxfId="9374" priority="15154">
      <formula>#REF!=""</formula>
    </cfRule>
  </conditionalFormatting>
  <conditionalFormatting sqref="B327:B328">
    <cfRule type="expression" dxfId="9373" priority="15152">
      <formula>$HY328="Green"</formula>
    </cfRule>
    <cfRule type="expression" dxfId="9372" priority="15153">
      <formula>$HY328="White"</formula>
    </cfRule>
  </conditionalFormatting>
  <conditionalFormatting sqref="B327:B328">
    <cfRule type="expression" dxfId="9371" priority="15151">
      <formula>$HY328="Yellow"</formula>
    </cfRule>
  </conditionalFormatting>
  <conditionalFormatting sqref="B327:B328">
    <cfRule type="expression" dxfId="9370" priority="15150">
      <formula>$HY328="Red"</formula>
    </cfRule>
  </conditionalFormatting>
  <conditionalFormatting sqref="AU330">
    <cfRule type="expression" dxfId="9369" priority="15149">
      <formula>$E329=""</formula>
    </cfRule>
  </conditionalFormatting>
  <conditionalFormatting sqref="AV327:AW330">
    <cfRule type="expression" dxfId="9368" priority="15148">
      <formula>$G327=""</formula>
    </cfRule>
  </conditionalFormatting>
  <conditionalFormatting sqref="AU333">
    <cfRule type="expression" dxfId="9367" priority="15089">
      <formula>$E333=""</formula>
    </cfRule>
  </conditionalFormatting>
  <conditionalFormatting sqref="AU332">
    <cfRule type="expression" dxfId="9366" priority="15088">
      <formula>$E332=""</formula>
    </cfRule>
  </conditionalFormatting>
  <conditionalFormatting sqref="AU334">
    <cfRule type="expression" dxfId="9365" priority="15087">
      <formula>#REF!=""</formula>
    </cfRule>
  </conditionalFormatting>
  <conditionalFormatting sqref="B332:B333">
    <cfRule type="expression" dxfId="9364" priority="15085">
      <formula>$HY333="Green"</formula>
    </cfRule>
    <cfRule type="expression" dxfId="9363" priority="15086">
      <formula>$HY333="White"</formula>
    </cfRule>
  </conditionalFormatting>
  <conditionalFormatting sqref="B332:B333">
    <cfRule type="expression" dxfId="9362" priority="15084">
      <formula>$HY333="Yellow"</formula>
    </cfRule>
  </conditionalFormatting>
  <conditionalFormatting sqref="B332:B333">
    <cfRule type="expression" dxfId="9361" priority="15083">
      <formula>$HY333="Red"</formula>
    </cfRule>
  </conditionalFormatting>
  <conditionalFormatting sqref="AU335">
    <cfRule type="expression" dxfId="9360" priority="15082">
      <formula>$E334=""</formula>
    </cfRule>
  </conditionalFormatting>
  <conditionalFormatting sqref="AV332:AW335">
    <cfRule type="expression" dxfId="9359" priority="15081">
      <formula>$G332=""</formula>
    </cfRule>
  </conditionalFormatting>
  <conditionalFormatting sqref="AU338">
    <cfRule type="expression" dxfId="9358" priority="15022">
      <formula>$E338=""</formula>
    </cfRule>
  </conditionalFormatting>
  <conditionalFormatting sqref="AU337">
    <cfRule type="expression" dxfId="9357" priority="15021">
      <formula>$E337=""</formula>
    </cfRule>
  </conditionalFormatting>
  <conditionalFormatting sqref="AU339">
    <cfRule type="expression" dxfId="9356" priority="15020">
      <formula>#REF!=""</formula>
    </cfRule>
  </conditionalFormatting>
  <conditionalFormatting sqref="B337:B338">
    <cfRule type="expression" dxfId="9355" priority="15018">
      <formula>$HY338="Green"</formula>
    </cfRule>
    <cfRule type="expression" dxfId="9354" priority="15019">
      <formula>$HY338="White"</formula>
    </cfRule>
  </conditionalFormatting>
  <conditionalFormatting sqref="B337:B338">
    <cfRule type="expression" dxfId="9353" priority="15017">
      <formula>$HY338="Yellow"</formula>
    </cfRule>
  </conditionalFormatting>
  <conditionalFormatting sqref="B337:B338">
    <cfRule type="expression" dxfId="9352" priority="15016">
      <formula>$HY338="Red"</formula>
    </cfRule>
  </conditionalFormatting>
  <conditionalFormatting sqref="AU340">
    <cfRule type="expression" dxfId="9351" priority="15015">
      <formula>$E339=""</formula>
    </cfRule>
  </conditionalFormatting>
  <conditionalFormatting sqref="AV337:AW340">
    <cfRule type="expression" dxfId="9350" priority="15014">
      <formula>$G337=""</formula>
    </cfRule>
  </conditionalFormatting>
  <conditionalFormatting sqref="AU343">
    <cfRule type="expression" dxfId="9349" priority="14955">
      <formula>$E343=""</formula>
    </cfRule>
  </conditionalFormatting>
  <conditionalFormatting sqref="AU342">
    <cfRule type="expression" dxfId="9348" priority="14954">
      <formula>$E342=""</formula>
    </cfRule>
  </conditionalFormatting>
  <conditionalFormatting sqref="AU344">
    <cfRule type="expression" dxfId="9347" priority="14953">
      <formula>#REF!=""</formula>
    </cfRule>
  </conditionalFormatting>
  <conditionalFormatting sqref="B342:B343">
    <cfRule type="expression" dxfId="9346" priority="14951">
      <formula>$HY343="Green"</formula>
    </cfRule>
    <cfRule type="expression" dxfId="9345" priority="14952">
      <formula>$HY343="White"</formula>
    </cfRule>
  </conditionalFormatting>
  <conditionalFormatting sqref="B342:B343">
    <cfRule type="expression" dxfId="9344" priority="14950">
      <formula>$HY343="Yellow"</formula>
    </cfRule>
  </conditionalFormatting>
  <conditionalFormatting sqref="B342:B343">
    <cfRule type="expression" dxfId="9343" priority="14949">
      <formula>$HY343="Red"</formula>
    </cfRule>
  </conditionalFormatting>
  <conditionalFormatting sqref="AU345">
    <cfRule type="expression" dxfId="9342" priority="14948">
      <formula>$E344=""</formula>
    </cfRule>
  </conditionalFormatting>
  <conditionalFormatting sqref="AV342:AW345">
    <cfRule type="expression" dxfId="9341" priority="14947">
      <formula>$G342=""</formula>
    </cfRule>
  </conditionalFormatting>
  <conditionalFormatting sqref="AU348">
    <cfRule type="expression" dxfId="9340" priority="14888">
      <formula>$E348=""</formula>
    </cfRule>
  </conditionalFormatting>
  <conditionalFormatting sqref="AU347">
    <cfRule type="expression" dxfId="9339" priority="14887">
      <formula>$E347=""</formula>
    </cfRule>
  </conditionalFormatting>
  <conditionalFormatting sqref="AU349">
    <cfRule type="expression" dxfId="9338" priority="14886">
      <formula>#REF!=""</formula>
    </cfRule>
  </conditionalFormatting>
  <conditionalFormatting sqref="B347:B348">
    <cfRule type="expression" dxfId="9337" priority="14884">
      <formula>$HY348="Green"</formula>
    </cfRule>
    <cfRule type="expression" dxfId="9336" priority="14885">
      <formula>$HY348="White"</formula>
    </cfRule>
  </conditionalFormatting>
  <conditionalFormatting sqref="B347:B348">
    <cfRule type="expression" dxfId="9335" priority="14883">
      <formula>$HY348="Yellow"</formula>
    </cfRule>
  </conditionalFormatting>
  <conditionalFormatting sqref="B347:B348">
    <cfRule type="expression" dxfId="9334" priority="14882">
      <formula>$HY348="Red"</formula>
    </cfRule>
  </conditionalFormatting>
  <conditionalFormatting sqref="AU350">
    <cfRule type="expression" dxfId="9333" priority="14881">
      <formula>$E349=""</formula>
    </cfRule>
  </conditionalFormatting>
  <conditionalFormatting sqref="AV347:AW350">
    <cfRule type="expression" dxfId="9332" priority="14880">
      <formula>$G347=""</formula>
    </cfRule>
  </conditionalFormatting>
  <conditionalFormatting sqref="AU353">
    <cfRule type="expression" dxfId="9331" priority="14821">
      <formula>$E353=""</formula>
    </cfRule>
  </conditionalFormatting>
  <conditionalFormatting sqref="AU352">
    <cfRule type="expression" dxfId="9330" priority="14820">
      <formula>$E352=""</formula>
    </cfRule>
  </conditionalFormatting>
  <conditionalFormatting sqref="AU354">
    <cfRule type="expression" dxfId="9329" priority="14819">
      <formula>#REF!=""</formula>
    </cfRule>
  </conditionalFormatting>
  <conditionalFormatting sqref="B352:B353">
    <cfRule type="expression" dxfId="9328" priority="14817">
      <formula>$HY353="Green"</formula>
    </cfRule>
    <cfRule type="expression" dxfId="9327" priority="14818">
      <formula>$HY353="White"</formula>
    </cfRule>
  </conditionalFormatting>
  <conditionalFormatting sqref="B352:B353">
    <cfRule type="expression" dxfId="9326" priority="14816">
      <formula>$HY353="Yellow"</formula>
    </cfRule>
  </conditionalFormatting>
  <conditionalFormatting sqref="B352:B353">
    <cfRule type="expression" dxfId="9325" priority="14815">
      <formula>$HY353="Red"</formula>
    </cfRule>
  </conditionalFormatting>
  <conditionalFormatting sqref="AU355">
    <cfRule type="expression" dxfId="9324" priority="14814">
      <formula>$E354=""</formula>
    </cfRule>
  </conditionalFormatting>
  <conditionalFormatting sqref="AV352:AW355">
    <cfRule type="expression" dxfId="9323" priority="14813">
      <formula>$G352=""</formula>
    </cfRule>
  </conditionalFormatting>
  <conditionalFormatting sqref="AU358">
    <cfRule type="expression" dxfId="9322" priority="14754">
      <formula>$E358=""</formula>
    </cfRule>
  </conditionalFormatting>
  <conditionalFormatting sqref="AU357">
    <cfRule type="expression" dxfId="9321" priority="14753">
      <formula>$E357=""</formula>
    </cfRule>
  </conditionalFormatting>
  <conditionalFormatting sqref="AU359">
    <cfRule type="expression" dxfId="9320" priority="14752">
      <formula>#REF!=""</formula>
    </cfRule>
  </conditionalFormatting>
  <conditionalFormatting sqref="B357:B358">
    <cfRule type="expression" dxfId="9319" priority="14750">
      <formula>$HY358="Green"</formula>
    </cfRule>
    <cfRule type="expression" dxfId="9318" priority="14751">
      <formula>$HY358="White"</formula>
    </cfRule>
  </conditionalFormatting>
  <conditionalFormatting sqref="B357:B358">
    <cfRule type="expression" dxfId="9317" priority="14749">
      <formula>$HY358="Yellow"</formula>
    </cfRule>
  </conditionalFormatting>
  <conditionalFormatting sqref="B357:B358">
    <cfRule type="expression" dxfId="9316" priority="14748">
      <formula>$HY358="Red"</formula>
    </cfRule>
  </conditionalFormatting>
  <conditionalFormatting sqref="AU360">
    <cfRule type="expression" dxfId="9315" priority="14747">
      <formula>$E359=""</formula>
    </cfRule>
  </conditionalFormatting>
  <conditionalFormatting sqref="AV357:AW360">
    <cfRule type="expression" dxfId="9314" priority="14746">
      <formula>$G357=""</formula>
    </cfRule>
  </conditionalFormatting>
  <conditionalFormatting sqref="AU363">
    <cfRule type="expression" dxfId="9313" priority="14687">
      <formula>$E363=""</formula>
    </cfRule>
  </conditionalFormatting>
  <conditionalFormatting sqref="AU362">
    <cfRule type="expression" dxfId="9312" priority="14686">
      <formula>$E362=""</formula>
    </cfRule>
  </conditionalFormatting>
  <conditionalFormatting sqref="AU364">
    <cfRule type="expression" dxfId="9311" priority="14685">
      <formula>#REF!=""</formula>
    </cfRule>
  </conditionalFormatting>
  <conditionalFormatting sqref="B362:B363">
    <cfRule type="expression" dxfId="9310" priority="14683">
      <formula>$HY363="Green"</formula>
    </cfRule>
    <cfRule type="expression" dxfId="9309" priority="14684">
      <formula>$HY363="White"</formula>
    </cfRule>
  </conditionalFormatting>
  <conditionalFormatting sqref="B362:B363">
    <cfRule type="expression" dxfId="9308" priority="14682">
      <formula>$HY363="Yellow"</formula>
    </cfRule>
  </conditionalFormatting>
  <conditionalFormatting sqref="B362:B363">
    <cfRule type="expression" dxfId="9307" priority="14681">
      <formula>$HY363="Red"</formula>
    </cfRule>
  </conditionalFormatting>
  <conditionalFormatting sqref="AU365">
    <cfRule type="expression" dxfId="9306" priority="14680">
      <formula>$E364=""</formula>
    </cfRule>
  </conditionalFormatting>
  <conditionalFormatting sqref="AV362:AW365">
    <cfRule type="expression" dxfId="9305" priority="14679">
      <formula>$G362=""</formula>
    </cfRule>
  </conditionalFormatting>
  <conditionalFormatting sqref="AU368">
    <cfRule type="expression" dxfId="9304" priority="14620">
      <formula>$E368=""</formula>
    </cfRule>
  </conditionalFormatting>
  <conditionalFormatting sqref="AU367">
    <cfRule type="expression" dxfId="9303" priority="14619">
      <formula>$E367=""</formula>
    </cfRule>
  </conditionalFormatting>
  <conditionalFormatting sqref="AU369">
    <cfRule type="expression" dxfId="9302" priority="14618">
      <formula>#REF!=""</formula>
    </cfRule>
  </conditionalFormatting>
  <conditionalFormatting sqref="B367:B368">
    <cfRule type="expression" dxfId="9301" priority="14616">
      <formula>$HY368="Green"</formula>
    </cfRule>
    <cfRule type="expression" dxfId="9300" priority="14617">
      <formula>$HY368="White"</formula>
    </cfRule>
  </conditionalFormatting>
  <conditionalFormatting sqref="B367:B368">
    <cfRule type="expression" dxfId="9299" priority="14615">
      <formula>$HY368="Yellow"</formula>
    </cfRule>
  </conditionalFormatting>
  <conditionalFormatting sqref="B367:B368">
    <cfRule type="expression" dxfId="9298" priority="14614">
      <formula>$HY368="Red"</formula>
    </cfRule>
  </conditionalFormatting>
  <conditionalFormatting sqref="AU370">
    <cfRule type="expression" dxfId="9297" priority="14613">
      <formula>$E369=""</formula>
    </cfRule>
  </conditionalFormatting>
  <conditionalFormatting sqref="AV367:AW370">
    <cfRule type="expression" dxfId="9296" priority="14612">
      <formula>$G367=""</formula>
    </cfRule>
  </conditionalFormatting>
  <conditionalFormatting sqref="AU373">
    <cfRule type="expression" dxfId="9295" priority="14553">
      <formula>$E373=""</formula>
    </cfRule>
  </conditionalFormatting>
  <conditionalFormatting sqref="AU372">
    <cfRule type="expression" dxfId="9294" priority="14552">
      <formula>$E372=""</formula>
    </cfRule>
  </conditionalFormatting>
  <conditionalFormatting sqref="AU374">
    <cfRule type="expression" dxfId="9293" priority="14551">
      <formula>#REF!=""</formula>
    </cfRule>
  </conditionalFormatting>
  <conditionalFormatting sqref="B372:B373">
    <cfRule type="expression" dxfId="9292" priority="14549">
      <formula>$HY373="Green"</formula>
    </cfRule>
    <cfRule type="expression" dxfId="9291" priority="14550">
      <formula>$HY373="White"</formula>
    </cfRule>
  </conditionalFormatting>
  <conditionalFormatting sqref="B372:B373">
    <cfRule type="expression" dxfId="9290" priority="14548">
      <formula>$HY373="Yellow"</formula>
    </cfRule>
  </conditionalFormatting>
  <conditionalFormatting sqref="B372:B373">
    <cfRule type="expression" dxfId="9289" priority="14547">
      <formula>$HY373="Red"</formula>
    </cfRule>
  </conditionalFormatting>
  <conditionalFormatting sqref="AU375">
    <cfRule type="expression" dxfId="9288" priority="14546">
      <formula>$E374=""</formula>
    </cfRule>
  </conditionalFormatting>
  <conditionalFormatting sqref="AV372:AW375">
    <cfRule type="expression" dxfId="9287" priority="14545">
      <formula>$G372=""</formula>
    </cfRule>
  </conditionalFormatting>
  <conditionalFormatting sqref="AU378">
    <cfRule type="expression" dxfId="9286" priority="14486">
      <formula>$E378=""</formula>
    </cfRule>
  </conditionalFormatting>
  <conditionalFormatting sqref="AU377">
    <cfRule type="expression" dxfId="9285" priority="14485">
      <formula>$E377=""</formula>
    </cfRule>
  </conditionalFormatting>
  <conditionalFormatting sqref="AU379">
    <cfRule type="expression" dxfId="9284" priority="14484">
      <formula>#REF!=""</formula>
    </cfRule>
  </conditionalFormatting>
  <conditionalFormatting sqref="B377:B378">
    <cfRule type="expression" dxfId="9283" priority="14482">
      <formula>$HY378="Green"</formula>
    </cfRule>
    <cfRule type="expression" dxfId="9282" priority="14483">
      <formula>$HY378="White"</formula>
    </cfRule>
  </conditionalFormatting>
  <conditionalFormatting sqref="B377:B378">
    <cfRule type="expression" dxfId="9281" priority="14481">
      <formula>$HY378="Yellow"</formula>
    </cfRule>
  </conditionalFormatting>
  <conditionalFormatting sqref="B377:B378">
    <cfRule type="expression" dxfId="9280" priority="14480">
      <formula>$HY378="Red"</formula>
    </cfRule>
  </conditionalFormatting>
  <conditionalFormatting sqref="AU380">
    <cfRule type="expression" dxfId="9279" priority="14479">
      <formula>$E379=""</formula>
    </cfRule>
  </conditionalFormatting>
  <conditionalFormatting sqref="AV377:AW380">
    <cfRule type="expression" dxfId="9278" priority="14478">
      <formula>$G377=""</formula>
    </cfRule>
  </conditionalFormatting>
  <conditionalFormatting sqref="AU383">
    <cfRule type="expression" dxfId="9277" priority="14419">
      <formula>$E383=""</formula>
    </cfRule>
  </conditionalFormatting>
  <conditionalFormatting sqref="AU382">
    <cfRule type="expression" dxfId="9276" priority="14418">
      <formula>$E382=""</formula>
    </cfRule>
  </conditionalFormatting>
  <conditionalFormatting sqref="AU384">
    <cfRule type="expression" dxfId="9275" priority="14417">
      <formula>#REF!=""</formula>
    </cfRule>
  </conditionalFormatting>
  <conditionalFormatting sqref="B382:B383">
    <cfRule type="expression" dxfId="9274" priority="14415">
      <formula>$HY383="Green"</formula>
    </cfRule>
    <cfRule type="expression" dxfId="9273" priority="14416">
      <formula>$HY383="White"</formula>
    </cfRule>
  </conditionalFormatting>
  <conditionalFormatting sqref="B382:B383">
    <cfRule type="expression" dxfId="9272" priority="14414">
      <formula>$HY383="Yellow"</formula>
    </cfRule>
  </conditionalFormatting>
  <conditionalFormatting sqref="B382:B383">
    <cfRule type="expression" dxfId="9271" priority="14413">
      <formula>$HY383="Red"</formula>
    </cfRule>
  </conditionalFormatting>
  <conditionalFormatting sqref="AU385">
    <cfRule type="expression" dxfId="9270" priority="14412">
      <formula>$E384=""</formula>
    </cfRule>
  </conditionalFormatting>
  <conditionalFormatting sqref="AV382:AW385">
    <cfRule type="expression" dxfId="9269" priority="14411">
      <formula>$G382=""</formula>
    </cfRule>
  </conditionalFormatting>
  <conditionalFormatting sqref="AU388">
    <cfRule type="expression" dxfId="9268" priority="14352">
      <formula>$E388=""</formula>
    </cfRule>
  </conditionalFormatting>
  <conditionalFormatting sqref="AU387">
    <cfRule type="expression" dxfId="9267" priority="14351">
      <formula>$E387=""</formula>
    </cfRule>
  </conditionalFormatting>
  <conditionalFormatting sqref="AU389">
    <cfRule type="expression" dxfId="9266" priority="14350">
      <formula>#REF!=""</formula>
    </cfRule>
  </conditionalFormatting>
  <conditionalFormatting sqref="B387:B388">
    <cfRule type="expression" dxfId="9265" priority="14348">
      <formula>$HY388="Green"</formula>
    </cfRule>
    <cfRule type="expression" dxfId="9264" priority="14349">
      <formula>$HY388="White"</formula>
    </cfRule>
  </conditionalFormatting>
  <conditionalFormatting sqref="B387:B388">
    <cfRule type="expression" dxfId="9263" priority="14347">
      <formula>$HY388="Yellow"</formula>
    </cfRule>
  </conditionalFormatting>
  <conditionalFormatting sqref="B387:B388">
    <cfRule type="expression" dxfId="9262" priority="14346">
      <formula>$HY388="Red"</formula>
    </cfRule>
  </conditionalFormatting>
  <conditionalFormatting sqref="AU390">
    <cfRule type="expression" dxfId="9261" priority="14345">
      <formula>$E389=""</formula>
    </cfRule>
  </conditionalFormatting>
  <conditionalFormatting sqref="AV387:AW390">
    <cfRule type="expression" dxfId="9260" priority="14344">
      <formula>$G387=""</formula>
    </cfRule>
  </conditionalFormatting>
  <conditionalFormatting sqref="AU393">
    <cfRule type="expression" dxfId="9259" priority="14285">
      <formula>$E393=""</formula>
    </cfRule>
  </conditionalFormatting>
  <conditionalFormatting sqref="AU392">
    <cfRule type="expression" dxfId="9258" priority="14284">
      <formula>$E392=""</formula>
    </cfRule>
  </conditionalFormatting>
  <conditionalFormatting sqref="AU394">
    <cfRule type="expression" dxfId="9257" priority="14283">
      <formula>#REF!=""</formula>
    </cfRule>
  </conditionalFormatting>
  <conditionalFormatting sqref="B392:B393">
    <cfRule type="expression" dxfId="9256" priority="14281">
      <formula>$HY393="Green"</formula>
    </cfRule>
    <cfRule type="expression" dxfId="9255" priority="14282">
      <formula>$HY393="White"</formula>
    </cfRule>
  </conditionalFormatting>
  <conditionalFormatting sqref="B392:B393">
    <cfRule type="expression" dxfId="9254" priority="14280">
      <formula>$HY393="Yellow"</formula>
    </cfRule>
  </conditionalFormatting>
  <conditionalFormatting sqref="B392:B393">
    <cfRule type="expression" dxfId="9253" priority="14279">
      <formula>$HY393="Red"</formula>
    </cfRule>
  </conditionalFormatting>
  <conditionalFormatting sqref="AU395">
    <cfRule type="expression" dxfId="9252" priority="14278">
      <formula>$E394=""</formula>
    </cfRule>
  </conditionalFormatting>
  <conditionalFormatting sqref="AV392:AW395">
    <cfRule type="expression" dxfId="9251" priority="14277">
      <formula>$G392=""</formula>
    </cfRule>
  </conditionalFormatting>
  <conditionalFormatting sqref="AU398">
    <cfRule type="expression" dxfId="9250" priority="14218">
      <formula>$E398=""</formula>
    </cfRule>
  </conditionalFormatting>
  <conditionalFormatting sqref="AU397">
    <cfRule type="expression" dxfId="9249" priority="14217">
      <formula>$E397=""</formula>
    </cfRule>
  </conditionalFormatting>
  <conditionalFormatting sqref="AU399">
    <cfRule type="expression" dxfId="9248" priority="14216">
      <formula>#REF!=""</formula>
    </cfRule>
  </conditionalFormatting>
  <conditionalFormatting sqref="B397:B398">
    <cfRule type="expression" dxfId="9247" priority="14214">
      <formula>$HY398="Green"</formula>
    </cfRule>
    <cfRule type="expression" dxfId="9246" priority="14215">
      <formula>$HY398="White"</formula>
    </cfRule>
  </conditionalFormatting>
  <conditionalFormatting sqref="B397:B398">
    <cfRule type="expression" dxfId="9245" priority="14213">
      <formula>$HY398="Yellow"</formula>
    </cfRule>
  </conditionalFormatting>
  <conditionalFormatting sqref="B397:B398">
    <cfRule type="expression" dxfId="9244" priority="14212">
      <formula>$HY398="Red"</formula>
    </cfRule>
  </conditionalFormatting>
  <conditionalFormatting sqref="AU400">
    <cfRule type="expression" dxfId="9243" priority="14211">
      <formula>$E399=""</formula>
    </cfRule>
  </conditionalFormatting>
  <conditionalFormatting sqref="AV397:AW400">
    <cfRule type="expression" dxfId="9242" priority="14210">
      <formula>$G397=""</formula>
    </cfRule>
  </conditionalFormatting>
  <conditionalFormatting sqref="AU406">
    <cfRule type="expression" dxfId="9241" priority="14151">
      <formula>$E406=""</formula>
    </cfRule>
  </conditionalFormatting>
  <conditionalFormatting sqref="AU405">
    <cfRule type="expression" dxfId="9240" priority="14150">
      <formula>$E405=""</formula>
    </cfRule>
  </conditionalFormatting>
  <conditionalFormatting sqref="AU407">
    <cfRule type="expression" dxfId="9239" priority="14149">
      <formula>#REF!=""</formula>
    </cfRule>
  </conditionalFormatting>
  <conditionalFormatting sqref="B405:B406">
    <cfRule type="expression" dxfId="9238" priority="14147">
      <formula>$HY406="Green"</formula>
    </cfRule>
    <cfRule type="expression" dxfId="9237" priority="14148">
      <formula>$HY406="White"</formula>
    </cfRule>
  </conditionalFormatting>
  <conditionalFormatting sqref="B405:B406">
    <cfRule type="expression" dxfId="9236" priority="14146">
      <formula>$HY406="Yellow"</formula>
    </cfRule>
  </conditionalFormatting>
  <conditionalFormatting sqref="B405:B406">
    <cfRule type="expression" dxfId="9235" priority="14145">
      <formula>$HY406="Red"</formula>
    </cfRule>
  </conditionalFormatting>
  <conditionalFormatting sqref="AU408">
    <cfRule type="expression" dxfId="9234" priority="14144">
      <formula>$E407=""</formula>
    </cfRule>
  </conditionalFormatting>
  <conditionalFormatting sqref="AV405:AW408">
    <cfRule type="expression" dxfId="9233" priority="14143">
      <formula>$G405=""</formula>
    </cfRule>
  </conditionalFormatting>
  <conditionalFormatting sqref="AU411">
    <cfRule type="expression" dxfId="9232" priority="14084">
      <formula>$E411=""</formula>
    </cfRule>
  </conditionalFormatting>
  <conditionalFormatting sqref="AU410">
    <cfRule type="expression" dxfId="9231" priority="14083">
      <formula>$E410=""</formula>
    </cfRule>
  </conditionalFormatting>
  <conditionalFormatting sqref="AU412">
    <cfRule type="expression" dxfId="9230" priority="14082">
      <formula>#REF!=""</formula>
    </cfRule>
  </conditionalFormatting>
  <conditionalFormatting sqref="B410:B411">
    <cfRule type="expression" dxfId="9229" priority="14080">
      <formula>$HY411="Green"</formula>
    </cfRule>
    <cfRule type="expression" dxfId="9228" priority="14081">
      <formula>$HY411="White"</formula>
    </cfRule>
  </conditionalFormatting>
  <conditionalFormatting sqref="B410:B411">
    <cfRule type="expression" dxfId="9227" priority="14079">
      <formula>$HY411="Yellow"</formula>
    </cfRule>
  </conditionalFormatting>
  <conditionalFormatting sqref="B410:B411">
    <cfRule type="expression" dxfId="9226" priority="14078">
      <formula>$HY411="Red"</formula>
    </cfRule>
  </conditionalFormatting>
  <conditionalFormatting sqref="AU413">
    <cfRule type="expression" dxfId="9225" priority="14077">
      <formula>$E412=""</formula>
    </cfRule>
  </conditionalFormatting>
  <conditionalFormatting sqref="AV410:AW413">
    <cfRule type="expression" dxfId="9224" priority="14076">
      <formula>$G410=""</formula>
    </cfRule>
  </conditionalFormatting>
  <conditionalFormatting sqref="AU416">
    <cfRule type="expression" dxfId="9223" priority="14017">
      <formula>$E416=""</formula>
    </cfRule>
  </conditionalFormatting>
  <conditionalFormatting sqref="AU415">
    <cfRule type="expression" dxfId="9222" priority="14016">
      <formula>$E415=""</formula>
    </cfRule>
  </conditionalFormatting>
  <conditionalFormatting sqref="AU417">
    <cfRule type="expression" dxfId="9221" priority="14015">
      <formula>#REF!=""</formula>
    </cfRule>
  </conditionalFormatting>
  <conditionalFormatting sqref="B415:B416">
    <cfRule type="expression" dxfId="9220" priority="14013">
      <formula>$HY416="Green"</formula>
    </cfRule>
    <cfRule type="expression" dxfId="9219" priority="14014">
      <formula>$HY416="White"</formula>
    </cfRule>
  </conditionalFormatting>
  <conditionalFormatting sqref="B415:B416">
    <cfRule type="expression" dxfId="9218" priority="14012">
      <formula>$HY416="Yellow"</formula>
    </cfRule>
  </conditionalFormatting>
  <conditionalFormatting sqref="B415:B416">
    <cfRule type="expression" dxfId="9217" priority="14011">
      <formula>$HY416="Red"</formula>
    </cfRule>
  </conditionalFormatting>
  <conditionalFormatting sqref="AU418">
    <cfRule type="expression" dxfId="9216" priority="14010">
      <formula>$E417=""</formula>
    </cfRule>
  </conditionalFormatting>
  <conditionalFormatting sqref="AV415:AW418">
    <cfRule type="expression" dxfId="9215" priority="14009">
      <formula>$G415=""</formula>
    </cfRule>
  </conditionalFormatting>
  <conditionalFormatting sqref="AU421">
    <cfRule type="expression" dxfId="9214" priority="13950">
      <formula>$E421=""</formula>
    </cfRule>
  </conditionalFormatting>
  <conditionalFormatting sqref="AU420">
    <cfRule type="expression" dxfId="9213" priority="13949">
      <formula>$E420=""</formula>
    </cfRule>
  </conditionalFormatting>
  <conditionalFormatting sqref="AU422">
    <cfRule type="expression" dxfId="9212" priority="13948">
      <formula>#REF!=""</formula>
    </cfRule>
  </conditionalFormatting>
  <conditionalFormatting sqref="B420:B421">
    <cfRule type="expression" dxfId="9211" priority="13946">
      <formula>$HY421="Green"</formula>
    </cfRule>
    <cfRule type="expression" dxfId="9210" priority="13947">
      <formula>$HY421="White"</formula>
    </cfRule>
  </conditionalFormatting>
  <conditionalFormatting sqref="B420:B421">
    <cfRule type="expression" dxfId="9209" priority="13945">
      <formula>$HY421="Yellow"</formula>
    </cfRule>
  </conditionalFormatting>
  <conditionalFormatting sqref="B420:B421">
    <cfRule type="expression" dxfId="9208" priority="13944">
      <formula>$HY421="Red"</formula>
    </cfRule>
  </conditionalFormatting>
  <conditionalFormatting sqref="AU423">
    <cfRule type="expression" dxfId="9207" priority="13943">
      <formula>$E422=""</formula>
    </cfRule>
  </conditionalFormatting>
  <conditionalFormatting sqref="AV420:AW423">
    <cfRule type="expression" dxfId="9206" priority="13942">
      <formula>$G420=""</formula>
    </cfRule>
  </conditionalFormatting>
  <conditionalFormatting sqref="AU426">
    <cfRule type="expression" dxfId="9205" priority="13883">
      <formula>$E426=""</formula>
    </cfRule>
  </conditionalFormatting>
  <conditionalFormatting sqref="AU425">
    <cfRule type="expression" dxfId="9204" priority="13882">
      <formula>$E425=""</formula>
    </cfRule>
  </conditionalFormatting>
  <conditionalFormatting sqref="AU427">
    <cfRule type="expression" dxfId="9203" priority="13881">
      <formula>#REF!=""</formula>
    </cfRule>
  </conditionalFormatting>
  <conditionalFormatting sqref="B425:B426">
    <cfRule type="expression" dxfId="9202" priority="13879">
      <formula>$HY426="Green"</formula>
    </cfRule>
    <cfRule type="expression" dxfId="9201" priority="13880">
      <formula>$HY426="White"</formula>
    </cfRule>
  </conditionalFormatting>
  <conditionalFormatting sqref="B425:B426">
    <cfRule type="expression" dxfId="9200" priority="13878">
      <formula>$HY426="Yellow"</formula>
    </cfRule>
  </conditionalFormatting>
  <conditionalFormatting sqref="B425:B426">
    <cfRule type="expression" dxfId="9199" priority="13877">
      <formula>$HY426="Red"</formula>
    </cfRule>
  </conditionalFormatting>
  <conditionalFormatting sqref="AU428">
    <cfRule type="expression" dxfId="9198" priority="13876">
      <formula>$E427=""</formula>
    </cfRule>
  </conditionalFormatting>
  <conditionalFormatting sqref="AV425:AW428">
    <cfRule type="expression" dxfId="9197" priority="13875">
      <formula>$G425=""</formula>
    </cfRule>
  </conditionalFormatting>
  <conditionalFormatting sqref="AU431">
    <cfRule type="expression" dxfId="9196" priority="13816">
      <formula>$E431=""</formula>
    </cfRule>
  </conditionalFormatting>
  <conditionalFormatting sqref="AU430">
    <cfRule type="expression" dxfId="9195" priority="13815">
      <formula>$E430=""</formula>
    </cfRule>
  </conditionalFormatting>
  <conditionalFormatting sqref="AU432">
    <cfRule type="expression" dxfId="9194" priority="13814">
      <formula>#REF!=""</formula>
    </cfRule>
  </conditionalFormatting>
  <conditionalFormatting sqref="B430:B431">
    <cfRule type="expression" dxfId="9193" priority="13812">
      <formula>$HY431="Green"</formula>
    </cfRule>
    <cfRule type="expression" dxfId="9192" priority="13813">
      <formula>$HY431="White"</formula>
    </cfRule>
  </conditionalFormatting>
  <conditionalFormatting sqref="B430:B431">
    <cfRule type="expression" dxfId="9191" priority="13811">
      <formula>$HY431="Yellow"</formula>
    </cfRule>
  </conditionalFormatting>
  <conditionalFormatting sqref="B430:B431">
    <cfRule type="expression" dxfId="9190" priority="13810">
      <formula>$HY431="Red"</formula>
    </cfRule>
  </conditionalFormatting>
  <conditionalFormatting sqref="AU433">
    <cfRule type="expression" dxfId="9189" priority="13809">
      <formula>$E432=""</formula>
    </cfRule>
  </conditionalFormatting>
  <conditionalFormatting sqref="AV430:AW433">
    <cfRule type="expression" dxfId="9188" priority="13808">
      <formula>$G430=""</formula>
    </cfRule>
  </conditionalFormatting>
  <conditionalFormatting sqref="AU436">
    <cfRule type="expression" dxfId="9187" priority="13749">
      <formula>$E436=""</formula>
    </cfRule>
  </conditionalFormatting>
  <conditionalFormatting sqref="AU435">
    <cfRule type="expression" dxfId="9186" priority="13748">
      <formula>$E435=""</formula>
    </cfRule>
  </conditionalFormatting>
  <conditionalFormatting sqref="AU437">
    <cfRule type="expression" dxfId="9185" priority="13747">
      <formula>#REF!=""</formula>
    </cfRule>
  </conditionalFormatting>
  <conditionalFormatting sqref="B435:B436">
    <cfRule type="expression" dxfId="9184" priority="13745">
      <formula>$HY436="Green"</formula>
    </cfRule>
    <cfRule type="expression" dxfId="9183" priority="13746">
      <formula>$HY436="White"</formula>
    </cfRule>
  </conditionalFormatting>
  <conditionalFormatting sqref="B435:B436">
    <cfRule type="expression" dxfId="9182" priority="13744">
      <formula>$HY436="Yellow"</formula>
    </cfRule>
  </conditionalFormatting>
  <conditionalFormatting sqref="B435:B436">
    <cfRule type="expression" dxfId="9181" priority="13743">
      <formula>$HY436="Red"</formula>
    </cfRule>
  </conditionalFormatting>
  <conditionalFormatting sqref="AU438">
    <cfRule type="expression" dxfId="9180" priority="13742">
      <formula>$E437=""</formula>
    </cfRule>
  </conditionalFormatting>
  <conditionalFormatting sqref="AV435:AW438">
    <cfRule type="expression" dxfId="9179" priority="13741">
      <formula>$G435=""</formula>
    </cfRule>
  </conditionalFormatting>
  <conditionalFormatting sqref="AU441">
    <cfRule type="expression" dxfId="9178" priority="13682">
      <formula>$E441=""</formula>
    </cfRule>
  </conditionalFormatting>
  <conditionalFormatting sqref="AU440">
    <cfRule type="expression" dxfId="9177" priority="13681">
      <formula>$E440=""</formula>
    </cfRule>
  </conditionalFormatting>
  <conditionalFormatting sqref="AU442">
    <cfRule type="expression" dxfId="9176" priority="13680">
      <formula>#REF!=""</formula>
    </cfRule>
  </conditionalFormatting>
  <conditionalFormatting sqref="B440:B441">
    <cfRule type="expression" dxfId="9175" priority="13678">
      <formula>$HY441="Green"</formula>
    </cfRule>
    <cfRule type="expression" dxfId="9174" priority="13679">
      <formula>$HY441="White"</formula>
    </cfRule>
  </conditionalFormatting>
  <conditionalFormatting sqref="B440:B441">
    <cfRule type="expression" dxfId="9173" priority="13677">
      <formula>$HY441="Yellow"</formula>
    </cfRule>
  </conditionalFormatting>
  <conditionalFormatting sqref="B440:B441">
    <cfRule type="expression" dxfId="9172" priority="13676">
      <formula>$HY441="Red"</formula>
    </cfRule>
  </conditionalFormatting>
  <conditionalFormatting sqref="AU443">
    <cfRule type="expression" dxfId="9171" priority="13675">
      <formula>$E442=""</formula>
    </cfRule>
  </conditionalFormatting>
  <conditionalFormatting sqref="AV440:AW443">
    <cfRule type="expression" dxfId="9170" priority="13674">
      <formula>$G440=""</formula>
    </cfRule>
  </conditionalFormatting>
  <conditionalFormatting sqref="AU446">
    <cfRule type="expression" dxfId="9169" priority="13615">
      <formula>$E446=""</formula>
    </cfRule>
  </conditionalFormatting>
  <conditionalFormatting sqref="AU445">
    <cfRule type="expression" dxfId="9168" priority="13614">
      <formula>$E445=""</formula>
    </cfRule>
  </conditionalFormatting>
  <conditionalFormatting sqref="AU447">
    <cfRule type="expression" dxfId="9167" priority="13613">
      <formula>#REF!=""</formula>
    </cfRule>
  </conditionalFormatting>
  <conditionalFormatting sqref="B445:B446">
    <cfRule type="expression" dxfId="9166" priority="13611">
      <formula>$HY446="Green"</formula>
    </cfRule>
    <cfRule type="expression" dxfId="9165" priority="13612">
      <formula>$HY446="White"</formula>
    </cfRule>
  </conditionalFormatting>
  <conditionalFormatting sqref="B445:B446">
    <cfRule type="expression" dxfId="9164" priority="13610">
      <formula>$HY446="Yellow"</formula>
    </cfRule>
  </conditionalFormatting>
  <conditionalFormatting sqref="B445:B446">
    <cfRule type="expression" dxfId="9163" priority="13609">
      <formula>$HY446="Red"</formula>
    </cfRule>
  </conditionalFormatting>
  <conditionalFormatting sqref="AU448">
    <cfRule type="expression" dxfId="9162" priority="13608">
      <formula>$E447=""</formula>
    </cfRule>
  </conditionalFormatting>
  <conditionalFormatting sqref="AV445:AW448">
    <cfRule type="expression" dxfId="9161" priority="13607">
      <formula>$G445=""</formula>
    </cfRule>
  </conditionalFormatting>
  <conditionalFormatting sqref="AU451">
    <cfRule type="expression" dxfId="9160" priority="13548">
      <formula>$E451=""</formula>
    </cfRule>
  </conditionalFormatting>
  <conditionalFormatting sqref="AU450">
    <cfRule type="expression" dxfId="9159" priority="13547">
      <formula>$E450=""</formula>
    </cfRule>
  </conditionalFormatting>
  <conditionalFormatting sqref="AU452">
    <cfRule type="expression" dxfId="9158" priority="13546">
      <formula>#REF!=""</formula>
    </cfRule>
  </conditionalFormatting>
  <conditionalFormatting sqref="B450:B451">
    <cfRule type="expression" dxfId="9157" priority="13544">
      <formula>$HY451="Green"</formula>
    </cfRule>
    <cfRule type="expression" dxfId="9156" priority="13545">
      <formula>$HY451="White"</formula>
    </cfRule>
  </conditionalFormatting>
  <conditionalFormatting sqref="B450:B451">
    <cfRule type="expression" dxfId="9155" priority="13543">
      <formula>$HY451="Yellow"</formula>
    </cfRule>
  </conditionalFormatting>
  <conditionalFormatting sqref="B450:B451">
    <cfRule type="expression" dxfId="9154" priority="13542">
      <formula>$HY451="Red"</formula>
    </cfRule>
  </conditionalFormatting>
  <conditionalFormatting sqref="AU453">
    <cfRule type="expression" dxfId="9153" priority="13541">
      <formula>$E452=""</formula>
    </cfRule>
  </conditionalFormatting>
  <conditionalFormatting sqref="AV450:AW453">
    <cfRule type="expression" dxfId="9152" priority="13540">
      <formula>$G450=""</formula>
    </cfRule>
  </conditionalFormatting>
  <conditionalFormatting sqref="AU456">
    <cfRule type="expression" dxfId="9151" priority="13481">
      <formula>$E456=""</formula>
    </cfRule>
  </conditionalFormatting>
  <conditionalFormatting sqref="AU455">
    <cfRule type="expression" dxfId="9150" priority="13480">
      <formula>$E455=""</formula>
    </cfRule>
  </conditionalFormatting>
  <conditionalFormatting sqref="AU457">
    <cfRule type="expression" dxfId="9149" priority="13479">
      <formula>#REF!=""</formula>
    </cfRule>
  </conditionalFormatting>
  <conditionalFormatting sqref="B455:B456">
    <cfRule type="expression" dxfId="9148" priority="13477">
      <formula>$HY456="Green"</formula>
    </cfRule>
    <cfRule type="expression" dxfId="9147" priority="13478">
      <formula>$HY456="White"</formula>
    </cfRule>
  </conditionalFormatting>
  <conditionalFormatting sqref="B455:B456">
    <cfRule type="expression" dxfId="9146" priority="13476">
      <formula>$HY456="Yellow"</formula>
    </cfRule>
  </conditionalFormatting>
  <conditionalFormatting sqref="B455:B456">
    <cfRule type="expression" dxfId="9145" priority="13475">
      <formula>$HY456="Red"</formula>
    </cfRule>
  </conditionalFormatting>
  <conditionalFormatting sqref="AU458">
    <cfRule type="expression" dxfId="9144" priority="13474">
      <formula>$E457=""</formula>
    </cfRule>
  </conditionalFormatting>
  <conditionalFormatting sqref="AV455:AW458">
    <cfRule type="expression" dxfId="9143" priority="13473">
      <formula>$G455=""</formula>
    </cfRule>
  </conditionalFormatting>
  <conditionalFormatting sqref="AU461">
    <cfRule type="expression" dxfId="9142" priority="13414">
      <formula>$E461=""</formula>
    </cfRule>
  </conditionalFormatting>
  <conditionalFormatting sqref="AU460">
    <cfRule type="expression" dxfId="9141" priority="13413">
      <formula>$E460=""</formula>
    </cfRule>
  </conditionalFormatting>
  <conditionalFormatting sqref="AU462">
    <cfRule type="expression" dxfId="9140" priority="13412">
      <formula>#REF!=""</formula>
    </cfRule>
  </conditionalFormatting>
  <conditionalFormatting sqref="B460:B461">
    <cfRule type="expression" dxfId="9139" priority="13410">
      <formula>$HY461="Green"</formula>
    </cfRule>
    <cfRule type="expression" dxfId="9138" priority="13411">
      <formula>$HY461="White"</formula>
    </cfRule>
  </conditionalFormatting>
  <conditionalFormatting sqref="B460:B461">
    <cfRule type="expression" dxfId="9137" priority="13409">
      <formula>$HY461="Yellow"</formula>
    </cfRule>
  </conditionalFormatting>
  <conditionalFormatting sqref="B460:B461">
    <cfRule type="expression" dxfId="9136" priority="13408">
      <formula>$HY461="Red"</formula>
    </cfRule>
  </conditionalFormatting>
  <conditionalFormatting sqref="AU463">
    <cfRule type="expression" dxfId="9135" priority="13407">
      <formula>$E462=""</formula>
    </cfRule>
  </conditionalFormatting>
  <conditionalFormatting sqref="AV460:AW463">
    <cfRule type="expression" dxfId="9134" priority="13406">
      <formula>$G460=""</formula>
    </cfRule>
  </conditionalFormatting>
  <conditionalFormatting sqref="AU466">
    <cfRule type="expression" dxfId="9133" priority="13347">
      <formula>$E466=""</formula>
    </cfRule>
  </conditionalFormatting>
  <conditionalFormatting sqref="AU465">
    <cfRule type="expression" dxfId="9132" priority="13346">
      <formula>$E465=""</formula>
    </cfRule>
  </conditionalFormatting>
  <conditionalFormatting sqref="AU467">
    <cfRule type="expression" dxfId="9131" priority="13345">
      <formula>#REF!=""</formula>
    </cfRule>
  </conditionalFormatting>
  <conditionalFormatting sqref="B465:B466">
    <cfRule type="expression" dxfId="9130" priority="13343">
      <formula>$HY466="Green"</formula>
    </cfRule>
    <cfRule type="expression" dxfId="9129" priority="13344">
      <formula>$HY466="White"</formula>
    </cfRule>
  </conditionalFormatting>
  <conditionalFormatting sqref="B465:B466">
    <cfRule type="expression" dxfId="9128" priority="13342">
      <formula>$HY466="Yellow"</formula>
    </cfRule>
  </conditionalFormatting>
  <conditionalFormatting sqref="B465:B466">
    <cfRule type="expression" dxfId="9127" priority="13341">
      <formula>$HY466="Red"</formula>
    </cfRule>
  </conditionalFormatting>
  <conditionalFormatting sqref="AU468">
    <cfRule type="expression" dxfId="9126" priority="13340">
      <formula>$E467=""</formula>
    </cfRule>
  </conditionalFormatting>
  <conditionalFormatting sqref="AV465:AW468">
    <cfRule type="expression" dxfId="9125" priority="13339">
      <formula>$G465=""</formula>
    </cfRule>
  </conditionalFormatting>
  <conditionalFormatting sqref="AU471">
    <cfRule type="expression" dxfId="9124" priority="13280">
      <formula>$E471=""</formula>
    </cfRule>
  </conditionalFormatting>
  <conditionalFormatting sqref="AU470">
    <cfRule type="expression" dxfId="9123" priority="13279">
      <formula>$E470=""</formula>
    </cfRule>
  </conditionalFormatting>
  <conditionalFormatting sqref="AU472">
    <cfRule type="expression" dxfId="9122" priority="13278">
      <formula>#REF!=""</formula>
    </cfRule>
  </conditionalFormatting>
  <conditionalFormatting sqref="B470:B471">
    <cfRule type="expression" dxfId="9121" priority="13276">
      <formula>$HY471="Green"</formula>
    </cfRule>
    <cfRule type="expression" dxfId="9120" priority="13277">
      <formula>$HY471="White"</formula>
    </cfRule>
  </conditionalFormatting>
  <conditionalFormatting sqref="B470:B471">
    <cfRule type="expression" dxfId="9119" priority="13275">
      <formula>$HY471="Yellow"</formula>
    </cfRule>
  </conditionalFormatting>
  <conditionalFormatting sqref="B470:B471">
    <cfRule type="expression" dxfId="9118" priority="13274">
      <formula>$HY471="Red"</formula>
    </cfRule>
  </conditionalFormatting>
  <conditionalFormatting sqref="AU473">
    <cfRule type="expression" dxfId="9117" priority="13273">
      <formula>$E472=""</formula>
    </cfRule>
  </conditionalFormatting>
  <conditionalFormatting sqref="AV470:AW473">
    <cfRule type="expression" dxfId="9116" priority="13272">
      <formula>$G470=""</formula>
    </cfRule>
  </conditionalFormatting>
  <conditionalFormatting sqref="AU476">
    <cfRule type="expression" dxfId="9115" priority="13213">
      <formula>$E476=""</formula>
    </cfRule>
  </conditionalFormatting>
  <conditionalFormatting sqref="AU475">
    <cfRule type="expression" dxfId="9114" priority="13212">
      <formula>$E475=""</formula>
    </cfRule>
  </conditionalFormatting>
  <conditionalFormatting sqref="AU477">
    <cfRule type="expression" dxfId="9113" priority="13211">
      <formula>#REF!=""</formula>
    </cfRule>
  </conditionalFormatting>
  <conditionalFormatting sqref="B475:B476">
    <cfRule type="expression" dxfId="9112" priority="13209">
      <formula>$HY476="Green"</formula>
    </cfRule>
    <cfRule type="expression" dxfId="9111" priority="13210">
      <formula>$HY476="White"</formula>
    </cfRule>
  </conditionalFormatting>
  <conditionalFormatting sqref="B475:B476">
    <cfRule type="expression" dxfId="9110" priority="13208">
      <formula>$HY476="Yellow"</formula>
    </cfRule>
  </conditionalFormatting>
  <conditionalFormatting sqref="B475:B476">
    <cfRule type="expression" dxfId="9109" priority="13207">
      <formula>$HY476="Red"</formula>
    </cfRule>
  </conditionalFormatting>
  <conditionalFormatting sqref="AU478">
    <cfRule type="expression" dxfId="9108" priority="13206">
      <formula>$E477=""</formula>
    </cfRule>
  </conditionalFormatting>
  <conditionalFormatting sqref="AV475:AW478">
    <cfRule type="expression" dxfId="9107" priority="13205">
      <formula>$G475=""</formula>
    </cfRule>
  </conditionalFormatting>
  <conditionalFormatting sqref="AU484">
    <cfRule type="expression" dxfId="9106" priority="13146">
      <formula>$E484=""</formula>
    </cfRule>
  </conditionalFormatting>
  <conditionalFormatting sqref="AU483">
    <cfRule type="expression" dxfId="9105" priority="13145">
      <formula>$E483=""</formula>
    </cfRule>
  </conditionalFormatting>
  <conditionalFormatting sqref="AU485">
    <cfRule type="expression" dxfId="9104" priority="13144">
      <formula>#REF!=""</formula>
    </cfRule>
  </conditionalFormatting>
  <conditionalFormatting sqref="B483:B484">
    <cfRule type="expression" dxfId="9103" priority="13142">
      <formula>$HY484="Green"</formula>
    </cfRule>
    <cfRule type="expression" dxfId="9102" priority="13143">
      <formula>$HY484="White"</formula>
    </cfRule>
  </conditionalFormatting>
  <conditionalFormatting sqref="B483:B484">
    <cfRule type="expression" dxfId="9101" priority="13141">
      <formula>$HY484="Yellow"</formula>
    </cfRule>
  </conditionalFormatting>
  <conditionalFormatting sqref="B483:B484">
    <cfRule type="expression" dxfId="9100" priority="13140">
      <formula>$HY484="Red"</formula>
    </cfRule>
  </conditionalFormatting>
  <conditionalFormatting sqref="AU486">
    <cfRule type="expression" dxfId="9099" priority="13139">
      <formula>$E485=""</formula>
    </cfRule>
  </conditionalFormatting>
  <conditionalFormatting sqref="AV483:AW486">
    <cfRule type="expression" dxfId="9098" priority="13138">
      <formula>$G483=""</formula>
    </cfRule>
  </conditionalFormatting>
  <conditionalFormatting sqref="AU489">
    <cfRule type="expression" dxfId="9097" priority="13079">
      <formula>$E489=""</formula>
    </cfRule>
  </conditionalFormatting>
  <conditionalFormatting sqref="AU488">
    <cfRule type="expression" dxfId="9096" priority="13078">
      <formula>$E488=""</formula>
    </cfRule>
  </conditionalFormatting>
  <conditionalFormatting sqref="AU490">
    <cfRule type="expression" dxfId="9095" priority="13077">
      <formula>#REF!=""</formula>
    </cfRule>
  </conditionalFormatting>
  <conditionalFormatting sqref="B488:B489">
    <cfRule type="expression" dxfId="9094" priority="13075">
      <formula>$HY489="Green"</formula>
    </cfRule>
    <cfRule type="expression" dxfId="9093" priority="13076">
      <formula>$HY489="White"</formula>
    </cfRule>
  </conditionalFormatting>
  <conditionalFormatting sqref="B488:B489">
    <cfRule type="expression" dxfId="9092" priority="13074">
      <formula>$HY489="Yellow"</formula>
    </cfRule>
  </conditionalFormatting>
  <conditionalFormatting sqref="B488:B489">
    <cfRule type="expression" dxfId="9091" priority="13073">
      <formula>$HY489="Red"</formula>
    </cfRule>
  </conditionalFormatting>
  <conditionalFormatting sqref="AU491">
    <cfRule type="expression" dxfId="9090" priority="13072">
      <formula>$E490=""</formula>
    </cfRule>
  </conditionalFormatting>
  <conditionalFormatting sqref="AV488:AW491">
    <cfRule type="expression" dxfId="9089" priority="13071">
      <formula>$G488=""</formula>
    </cfRule>
  </conditionalFormatting>
  <conditionalFormatting sqref="AU494">
    <cfRule type="expression" dxfId="9088" priority="13012">
      <formula>$E494=""</formula>
    </cfRule>
  </conditionalFormatting>
  <conditionalFormatting sqref="AU493">
    <cfRule type="expression" dxfId="9087" priority="13011">
      <formula>$E493=""</formula>
    </cfRule>
  </conditionalFormatting>
  <conditionalFormatting sqref="AU495">
    <cfRule type="expression" dxfId="9086" priority="13010">
      <formula>#REF!=""</formula>
    </cfRule>
  </conditionalFormatting>
  <conditionalFormatting sqref="B493:B494">
    <cfRule type="expression" dxfId="9085" priority="13008">
      <formula>$HY494="Green"</formula>
    </cfRule>
    <cfRule type="expression" dxfId="9084" priority="13009">
      <formula>$HY494="White"</formula>
    </cfRule>
  </conditionalFormatting>
  <conditionalFormatting sqref="B493:B494">
    <cfRule type="expression" dxfId="9083" priority="13007">
      <formula>$HY494="Yellow"</formula>
    </cfRule>
  </conditionalFormatting>
  <conditionalFormatting sqref="B493:B494">
    <cfRule type="expression" dxfId="9082" priority="13006">
      <formula>$HY494="Red"</formula>
    </cfRule>
  </conditionalFormatting>
  <conditionalFormatting sqref="AU496">
    <cfRule type="expression" dxfId="9081" priority="13005">
      <formula>$E495=""</formula>
    </cfRule>
  </conditionalFormatting>
  <conditionalFormatting sqref="AV493:AW496">
    <cfRule type="expression" dxfId="9080" priority="13004">
      <formula>$G493=""</formula>
    </cfRule>
  </conditionalFormatting>
  <conditionalFormatting sqref="AU499">
    <cfRule type="expression" dxfId="9079" priority="12945">
      <formula>$E499=""</formula>
    </cfRule>
  </conditionalFormatting>
  <conditionalFormatting sqref="AU498">
    <cfRule type="expression" dxfId="9078" priority="12944">
      <formula>$E498=""</formula>
    </cfRule>
  </conditionalFormatting>
  <conditionalFormatting sqref="AU500">
    <cfRule type="expression" dxfId="9077" priority="12943">
      <formula>#REF!=""</formula>
    </cfRule>
  </conditionalFormatting>
  <conditionalFormatting sqref="B498:B499">
    <cfRule type="expression" dxfId="9076" priority="12941">
      <formula>$HY499="Green"</formula>
    </cfRule>
    <cfRule type="expression" dxfId="9075" priority="12942">
      <formula>$HY499="White"</formula>
    </cfRule>
  </conditionalFormatting>
  <conditionalFormatting sqref="B498:B499">
    <cfRule type="expression" dxfId="9074" priority="12940">
      <formula>$HY499="Yellow"</formula>
    </cfRule>
  </conditionalFormatting>
  <conditionalFormatting sqref="B498:B499">
    <cfRule type="expression" dxfId="9073" priority="12939">
      <formula>$HY499="Red"</formula>
    </cfRule>
  </conditionalFormatting>
  <conditionalFormatting sqref="AU501">
    <cfRule type="expression" dxfId="9072" priority="12938">
      <formula>$E500=""</formula>
    </cfRule>
  </conditionalFormatting>
  <conditionalFormatting sqref="AV498:AW501">
    <cfRule type="expression" dxfId="9071" priority="12937">
      <formula>$G498=""</formula>
    </cfRule>
  </conditionalFormatting>
  <conditionalFormatting sqref="AU504">
    <cfRule type="expression" dxfId="9070" priority="12878">
      <formula>$E504=""</formula>
    </cfRule>
  </conditionalFormatting>
  <conditionalFormatting sqref="AU503">
    <cfRule type="expression" dxfId="9069" priority="12877">
      <formula>$E503=""</formula>
    </cfRule>
  </conditionalFormatting>
  <conditionalFormatting sqref="AU505">
    <cfRule type="expression" dxfId="9068" priority="12876">
      <formula>#REF!=""</formula>
    </cfRule>
  </conditionalFormatting>
  <conditionalFormatting sqref="B503:B504">
    <cfRule type="expression" dxfId="9067" priority="12874">
      <formula>$HY504="Green"</formula>
    </cfRule>
    <cfRule type="expression" dxfId="9066" priority="12875">
      <formula>$HY504="White"</formula>
    </cfRule>
  </conditionalFormatting>
  <conditionalFormatting sqref="B503:B504">
    <cfRule type="expression" dxfId="9065" priority="12873">
      <formula>$HY504="Yellow"</formula>
    </cfRule>
  </conditionalFormatting>
  <conditionalFormatting sqref="B503:B504">
    <cfRule type="expression" dxfId="9064" priority="12872">
      <formula>$HY504="Red"</formula>
    </cfRule>
  </conditionalFormatting>
  <conditionalFormatting sqref="AU506">
    <cfRule type="expression" dxfId="9063" priority="12871">
      <formula>$E505=""</formula>
    </cfRule>
  </conditionalFormatting>
  <conditionalFormatting sqref="AV503:AW506">
    <cfRule type="expression" dxfId="9062" priority="12870">
      <formula>$G503=""</formula>
    </cfRule>
  </conditionalFormatting>
  <conditionalFormatting sqref="AU509">
    <cfRule type="expression" dxfId="9061" priority="12811">
      <formula>$E509=""</formula>
    </cfRule>
  </conditionalFormatting>
  <conditionalFormatting sqref="AU508">
    <cfRule type="expression" dxfId="9060" priority="12810">
      <formula>$E508=""</formula>
    </cfRule>
  </conditionalFormatting>
  <conditionalFormatting sqref="AU510">
    <cfRule type="expression" dxfId="9059" priority="12809">
      <formula>#REF!=""</formula>
    </cfRule>
  </conditionalFormatting>
  <conditionalFormatting sqref="B508:B509">
    <cfRule type="expression" dxfId="9058" priority="12807">
      <formula>$HY509="Green"</formula>
    </cfRule>
    <cfRule type="expression" dxfId="9057" priority="12808">
      <formula>$HY509="White"</formula>
    </cfRule>
  </conditionalFormatting>
  <conditionalFormatting sqref="B508:B509">
    <cfRule type="expression" dxfId="9056" priority="12806">
      <formula>$HY509="Yellow"</formula>
    </cfRule>
  </conditionalFormatting>
  <conditionalFormatting sqref="B508:B509">
    <cfRule type="expression" dxfId="9055" priority="12805">
      <formula>$HY509="Red"</formula>
    </cfRule>
  </conditionalFormatting>
  <conditionalFormatting sqref="AU511">
    <cfRule type="expression" dxfId="9054" priority="12804">
      <formula>$E510=""</formula>
    </cfRule>
  </conditionalFormatting>
  <conditionalFormatting sqref="AV508:AW511">
    <cfRule type="expression" dxfId="9053" priority="12803">
      <formula>$G508=""</formula>
    </cfRule>
  </conditionalFormatting>
  <conditionalFormatting sqref="AU514">
    <cfRule type="expression" dxfId="9052" priority="12744">
      <formula>$E514=""</formula>
    </cfRule>
  </conditionalFormatting>
  <conditionalFormatting sqref="AU513">
    <cfRule type="expression" dxfId="9051" priority="12743">
      <formula>$E513=""</formula>
    </cfRule>
  </conditionalFormatting>
  <conditionalFormatting sqref="AU515">
    <cfRule type="expression" dxfId="9050" priority="12742">
      <formula>#REF!=""</formula>
    </cfRule>
  </conditionalFormatting>
  <conditionalFormatting sqref="B513:B514">
    <cfRule type="expression" dxfId="9049" priority="12740">
      <formula>$HY514="Green"</formula>
    </cfRule>
    <cfRule type="expression" dxfId="9048" priority="12741">
      <formula>$HY514="White"</formula>
    </cfRule>
  </conditionalFormatting>
  <conditionalFormatting sqref="B513:B514">
    <cfRule type="expression" dxfId="9047" priority="12739">
      <formula>$HY514="Yellow"</formula>
    </cfRule>
  </conditionalFormatting>
  <conditionalFormatting sqref="B513:B514">
    <cfRule type="expression" dxfId="9046" priority="12738">
      <formula>$HY514="Red"</formula>
    </cfRule>
  </conditionalFormatting>
  <conditionalFormatting sqref="AU516">
    <cfRule type="expression" dxfId="9045" priority="12737">
      <formula>$E515=""</formula>
    </cfRule>
  </conditionalFormatting>
  <conditionalFormatting sqref="AV513:AW516">
    <cfRule type="expression" dxfId="9044" priority="12736">
      <formula>$G513=""</formula>
    </cfRule>
  </conditionalFormatting>
  <conditionalFormatting sqref="AU519">
    <cfRule type="expression" dxfId="9043" priority="12677">
      <formula>$E519=""</formula>
    </cfRule>
  </conditionalFormatting>
  <conditionalFormatting sqref="AU518">
    <cfRule type="expression" dxfId="9042" priority="12676">
      <formula>$E518=""</formula>
    </cfRule>
  </conditionalFormatting>
  <conditionalFormatting sqref="AU520">
    <cfRule type="expression" dxfId="9041" priority="12675">
      <formula>#REF!=""</formula>
    </cfRule>
  </conditionalFormatting>
  <conditionalFormatting sqref="B518:B519">
    <cfRule type="expression" dxfId="9040" priority="12673">
      <formula>$HY519="Green"</formula>
    </cfRule>
    <cfRule type="expression" dxfId="9039" priority="12674">
      <formula>$HY519="White"</formula>
    </cfRule>
  </conditionalFormatting>
  <conditionalFormatting sqref="B518:B519">
    <cfRule type="expression" dxfId="9038" priority="12672">
      <formula>$HY519="Yellow"</formula>
    </cfRule>
  </conditionalFormatting>
  <conditionalFormatting sqref="B518:B519">
    <cfRule type="expression" dxfId="9037" priority="12671">
      <formula>$HY519="Red"</formula>
    </cfRule>
  </conditionalFormatting>
  <conditionalFormatting sqref="AU521">
    <cfRule type="expression" dxfId="9036" priority="12670">
      <formula>$E520=""</formula>
    </cfRule>
  </conditionalFormatting>
  <conditionalFormatting sqref="AV518:AW521">
    <cfRule type="expression" dxfId="9035" priority="12669">
      <formula>$G518=""</formula>
    </cfRule>
  </conditionalFormatting>
  <conditionalFormatting sqref="AU524">
    <cfRule type="expression" dxfId="9034" priority="12610">
      <formula>$E524=""</formula>
    </cfRule>
  </conditionalFormatting>
  <conditionalFormatting sqref="AU523">
    <cfRule type="expression" dxfId="9033" priority="12609">
      <formula>$E523=""</formula>
    </cfRule>
  </conditionalFormatting>
  <conditionalFormatting sqref="AU525">
    <cfRule type="expression" dxfId="9032" priority="12608">
      <formula>#REF!=""</formula>
    </cfRule>
  </conditionalFormatting>
  <conditionalFormatting sqref="B523:B524">
    <cfRule type="expression" dxfId="9031" priority="12606">
      <formula>$HY524="Green"</formula>
    </cfRule>
    <cfRule type="expression" dxfId="9030" priority="12607">
      <formula>$HY524="White"</formula>
    </cfRule>
  </conditionalFormatting>
  <conditionalFormatting sqref="B523:B524">
    <cfRule type="expression" dxfId="9029" priority="12605">
      <formula>$HY524="Yellow"</formula>
    </cfRule>
  </conditionalFormatting>
  <conditionalFormatting sqref="B523:B524">
    <cfRule type="expression" dxfId="9028" priority="12604">
      <formula>$HY524="Red"</formula>
    </cfRule>
  </conditionalFormatting>
  <conditionalFormatting sqref="AU526">
    <cfRule type="expression" dxfId="9027" priority="12603">
      <formula>$E525=""</formula>
    </cfRule>
  </conditionalFormatting>
  <conditionalFormatting sqref="AV523:AW526">
    <cfRule type="expression" dxfId="9026" priority="12602">
      <formula>$G523=""</formula>
    </cfRule>
  </conditionalFormatting>
  <conditionalFormatting sqref="AU529">
    <cfRule type="expression" dxfId="9025" priority="12543">
      <formula>$E529=""</formula>
    </cfRule>
  </conditionalFormatting>
  <conditionalFormatting sqref="AU528">
    <cfRule type="expression" dxfId="9024" priority="12542">
      <formula>$E528=""</formula>
    </cfRule>
  </conditionalFormatting>
  <conditionalFormatting sqref="AU530">
    <cfRule type="expression" dxfId="9023" priority="12541">
      <formula>#REF!=""</formula>
    </cfRule>
  </conditionalFormatting>
  <conditionalFormatting sqref="B528:B529">
    <cfRule type="expression" dxfId="9022" priority="12539">
      <formula>$HY529="Green"</formula>
    </cfRule>
    <cfRule type="expression" dxfId="9021" priority="12540">
      <formula>$HY529="White"</formula>
    </cfRule>
  </conditionalFormatting>
  <conditionalFormatting sqref="B528:B529">
    <cfRule type="expression" dxfId="9020" priority="12538">
      <formula>$HY529="Yellow"</formula>
    </cfRule>
  </conditionalFormatting>
  <conditionalFormatting sqref="B528:B529">
    <cfRule type="expression" dxfId="9019" priority="12537">
      <formula>$HY529="Red"</formula>
    </cfRule>
  </conditionalFormatting>
  <conditionalFormatting sqref="AU531">
    <cfRule type="expression" dxfId="9018" priority="12536">
      <formula>$E530=""</formula>
    </cfRule>
  </conditionalFormatting>
  <conditionalFormatting sqref="AV528:AW531">
    <cfRule type="expression" dxfId="9017" priority="12535">
      <formula>$G528=""</formula>
    </cfRule>
  </conditionalFormatting>
  <conditionalFormatting sqref="AU534">
    <cfRule type="expression" dxfId="9016" priority="12476">
      <formula>$E534=""</formula>
    </cfRule>
  </conditionalFormatting>
  <conditionalFormatting sqref="AU533">
    <cfRule type="expression" dxfId="9015" priority="12475">
      <formula>$E533=""</formula>
    </cfRule>
  </conditionalFormatting>
  <conditionalFormatting sqref="AU535">
    <cfRule type="expression" dxfId="9014" priority="12474">
      <formula>#REF!=""</formula>
    </cfRule>
  </conditionalFormatting>
  <conditionalFormatting sqref="B533:B534">
    <cfRule type="expression" dxfId="9013" priority="12472">
      <formula>$HY534="Green"</formula>
    </cfRule>
    <cfRule type="expression" dxfId="9012" priority="12473">
      <formula>$HY534="White"</formula>
    </cfRule>
  </conditionalFormatting>
  <conditionalFormatting sqref="B533:B534">
    <cfRule type="expression" dxfId="9011" priority="12471">
      <formula>$HY534="Yellow"</formula>
    </cfRule>
  </conditionalFormatting>
  <conditionalFormatting sqref="B533:B534">
    <cfRule type="expression" dxfId="9010" priority="12470">
      <formula>$HY534="Red"</formula>
    </cfRule>
  </conditionalFormatting>
  <conditionalFormatting sqref="AU536">
    <cfRule type="expression" dxfId="9009" priority="12469">
      <formula>$E535=""</formula>
    </cfRule>
  </conditionalFormatting>
  <conditionalFormatting sqref="AV533:AW536">
    <cfRule type="expression" dxfId="9008" priority="12468">
      <formula>$G533=""</formula>
    </cfRule>
  </conditionalFormatting>
  <conditionalFormatting sqref="AU539">
    <cfRule type="expression" dxfId="9007" priority="12409">
      <formula>$E539=""</formula>
    </cfRule>
  </conditionalFormatting>
  <conditionalFormatting sqref="AU538">
    <cfRule type="expression" dxfId="9006" priority="12408">
      <formula>$E538=""</formula>
    </cfRule>
  </conditionalFormatting>
  <conditionalFormatting sqref="AU540">
    <cfRule type="expression" dxfId="9005" priority="12407">
      <formula>#REF!=""</formula>
    </cfRule>
  </conditionalFormatting>
  <conditionalFormatting sqref="B538:B539">
    <cfRule type="expression" dxfId="9004" priority="12405">
      <formula>$HY539="Green"</formula>
    </cfRule>
    <cfRule type="expression" dxfId="9003" priority="12406">
      <formula>$HY539="White"</formula>
    </cfRule>
  </conditionalFormatting>
  <conditionalFormatting sqref="B538:B539">
    <cfRule type="expression" dxfId="9002" priority="12404">
      <formula>$HY539="Yellow"</formula>
    </cfRule>
  </conditionalFormatting>
  <conditionalFormatting sqref="B538:B539">
    <cfRule type="expression" dxfId="9001" priority="12403">
      <formula>$HY539="Red"</formula>
    </cfRule>
  </conditionalFormatting>
  <conditionalFormatting sqref="AU541">
    <cfRule type="expression" dxfId="9000" priority="12402">
      <formula>$E540=""</formula>
    </cfRule>
  </conditionalFormatting>
  <conditionalFormatting sqref="AV538:AW541">
    <cfRule type="expression" dxfId="8999" priority="12401">
      <formula>$G538=""</formula>
    </cfRule>
  </conditionalFormatting>
  <conditionalFormatting sqref="AU544">
    <cfRule type="expression" dxfId="8998" priority="12342">
      <formula>$E544=""</formula>
    </cfRule>
  </conditionalFormatting>
  <conditionalFormatting sqref="AU543">
    <cfRule type="expression" dxfId="8997" priority="12341">
      <formula>$E543=""</formula>
    </cfRule>
  </conditionalFormatting>
  <conditionalFormatting sqref="AU545">
    <cfRule type="expression" dxfId="8996" priority="12340">
      <formula>#REF!=""</formula>
    </cfRule>
  </conditionalFormatting>
  <conditionalFormatting sqref="B543:B544">
    <cfRule type="expression" dxfId="8995" priority="12338">
      <formula>$HY544="Green"</formula>
    </cfRule>
    <cfRule type="expression" dxfId="8994" priority="12339">
      <formula>$HY544="White"</formula>
    </cfRule>
  </conditionalFormatting>
  <conditionalFormatting sqref="B543:B544">
    <cfRule type="expression" dxfId="8993" priority="12337">
      <formula>$HY544="Yellow"</formula>
    </cfRule>
  </conditionalFormatting>
  <conditionalFormatting sqref="B543:B544">
    <cfRule type="expression" dxfId="8992" priority="12336">
      <formula>$HY544="Red"</formula>
    </cfRule>
  </conditionalFormatting>
  <conditionalFormatting sqref="AU546">
    <cfRule type="expression" dxfId="8991" priority="12335">
      <formula>$E545=""</formula>
    </cfRule>
  </conditionalFormatting>
  <conditionalFormatting sqref="AV543:AW546">
    <cfRule type="expression" dxfId="8990" priority="12334">
      <formula>$G543=""</formula>
    </cfRule>
  </conditionalFormatting>
  <conditionalFormatting sqref="AU549">
    <cfRule type="expression" dxfId="8989" priority="12275">
      <formula>$E549=""</formula>
    </cfRule>
  </conditionalFormatting>
  <conditionalFormatting sqref="AU548">
    <cfRule type="expression" dxfId="8988" priority="12274">
      <formula>$E548=""</formula>
    </cfRule>
  </conditionalFormatting>
  <conditionalFormatting sqref="AU550">
    <cfRule type="expression" dxfId="8987" priority="12273">
      <formula>#REF!=""</formula>
    </cfRule>
  </conditionalFormatting>
  <conditionalFormatting sqref="B548:B549">
    <cfRule type="expression" dxfId="8986" priority="12271">
      <formula>$HY549="Green"</formula>
    </cfRule>
    <cfRule type="expression" dxfId="8985" priority="12272">
      <formula>$HY549="White"</formula>
    </cfRule>
  </conditionalFormatting>
  <conditionalFormatting sqref="B548:B549">
    <cfRule type="expression" dxfId="8984" priority="12270">
      <formula>$HY549="Yellow"</formula>
    </cfRule>
  </conditionalFormatting>
  <conditionalFormatting sqref="B548:B549">
    <cfRule type="expression" dxfId="8983" priority="12269">
      <formula>$HY549="Red"</formula>
    </cfRule>
  </conditionalFormatting>
  <conditionalFormatting sqref="AU551">
    <cfRule type="expression" dxfId="8982" priority="12268">
      <formula>$E550=""</formula>
    </cfRule>
  </conditionalFormatting>
  <conditionalFormatting sqref="AV548:AW551">
    <cfRule type="expression" dxfId="8981" priority="12267">
      <formula>$G548=""</formula>
    </cfRule>
  </conditionalFormatting>
  <conditionalFormatting sqref="AU554">
    <cfRule type="expression" dxfId="8980" priority="12208">
      <formula>$E554=""</formula>
    </cfRule>
  </conditionalFormatting>
  <conditionalFormatting sqref="AU553">
    <cfRule type="expression" dxfId="8979" priority="12207">
      <formula>$E553=""</formula>
    </cfRule>
  </conditionalFormatting>
  <conditionalFormatting sqref="AU555">
    <cfRule type="expression" dxfId="8978" priority="12206">
      <formula>#REF!=""</formula>
    </cfRule>
  </conditionalFormatting>
  <conditionalFormatting sqref="B553:B554">
    <cfRule type="expression" dxfId="8977" priority="12204">
      <formula>$HY554="Green"</formula>
    </cfRule>
    <cfRule type="expression" dxfId="8976" priority="12205">
      <formula>$HY554="White"</formula>
    </cfRule>
  </conditionalFormatting>
  <conditionalFormatting sqref="B553:B554">
    <cfRule type="expression" dxfId="8975" priority="12203">
      <formula>$HY554="Yellow"</formula>
    </cfRule>
  </conditionalFormatting>
  <conditionalFormatting sqref="B553:B554">
    <cfRule type="expression" dxfId="8974" priority="12202">
      <formula>$HY554="Red"</formula>
    </cfRule>
  </conditionalFormatting>
  <conditionalFormatting sqref="AU556">
    <cfRule type="expression" dxfId="8973" priority="12201">
      <formula>$E555=""</formula>
    </cfRule>
  </conditionalFormatting>
  <conditionalFormatting sqref="AV553:AW556">
    <cfRule type="expression" dxfId="8972" priority="12200">
      <formula>$G553=""</formula>
    </cfRule>
  </conditionalFormatting>
  <conditionalFormatting sqref="AU562">
    <cfRule type="expression" dxfId="8971" priority="12141">
      <formula>$E562=""</formula>
    </cfRule>
  </conditionalFormatting>
  <conditionalFormatting sqref="AU561">
    <cfRule type="expression" dxfId="8970" priority="12140">
      <formula>$E561=""</formula>
    </cfRule>
  </conditionalFormatting>
  <conditionalFormatting sqref="AU563">
    <cfRule type="expression" dxfId="8969" priority="12139">
      <formula>#REF!=""</formula>
    </cfRule>
  </conditionalFormatting>
  <conditionalFormatting sqref="B561:B562">
    <cfRule type="expression" dxfId="8968" priority="12137">
      <formula>$HY562="Green"</formula>
    </cfRule>
    <cfRule type="expression" dxfId="8967" priority="12138">
      <formula>$HY562="White"</formula>
    </cfRule>
  </conditionalFormatting>
  <conditionalFormatting sqref="B561:B562">
    <cfRule type="expression" dxfId="8966" priority="12136">
      <formula>$HY562="Yellow"</formula>
    </cfRule>
  </conditionalFormatting>
  <conditionalFormatting sqref="B561:B562">
    <cfRule type="expression" dxfId="8965" priority="12135">
      <formula>$HY562="Red"</formula>
    </cfRule>
  </conditionalFormatting>
  <conditionalFormatting sqref="AU564">
    <cfRule type="expression" dxfId="8964" priority="12134">
      <formula>$E563=""</formula>
    </cfRule>
  </conditionalFormatting>
  <conditionalFormatting sqref="AV561:AW564">
    <cfRule type="expression" dxfId="8963" priority="12133">
      <formula>$G561=""</formula>
    </cfRule>
  </conditionalFormatting>
  <conditionalFormatting sqref="AU567">
    <cfRule type="expression" dxfId="8962" priority="12074">
      <formula>$E567=""</formula>
    </cfRule>
  </conditionalFormatting>
  <conditionalFormatting sqref="AU566">
    <cfRule type="expression" dxfId="8961" priority="12073">
      <formula>$E566=""</formula>
    </cfRule>
  </conditionalFormatting>
  <conditionalFormatting sqref="AU568">
    <cfRule type="expression" dxfId="8960" priority="12072">
      <formula>#REF!=""</formula>
    </cfRule>
  </conditionalFormatting>
  <conditionalFormatting sqref="B566:B567">
    <cfRule type="expression" dxfId="8959" priority="12070">
      <formula>$HY567="Green"</formula>
    </cfRule>
    <cfRule type="expression" dxfId="8958" priority="12071">
      <formula>$HY567="White"</formula>
    </cfRule>
  </conditionalFormatting>
  <conditionalFormatting sqref="B566:B567">
    <cfRule type="expression" dxfId="8957" priority="12069">
      <formula>$HY567="Yellow"</formula>
    </cfRule>
  </conditionalFormatting>
  <conditionalFormatting sqref="B566:B567">
    <cfRule type="expression" dxfId="8956" priority="12068">
      <formula>$HY567="Red"</formula>
    </cfRule>
  </conditionalFormatting>
  <conditionalFormatting sqref="AU569">
    <cfRule type="expression" dxfId="8955" priority="12067">
      <formula>$E568=""</formula>
    </cfRule>
  </conditionalFormatting>
  <conditionalFormatting sqref="AV566:AW569">
    <cfRule type="expression" dxfId="8954" priority="12066">
      <formula>$G566=""</formula>
    </cfRule>
  </conditionalFormatting>
  <conditionalFormatting sqref="AU572">
    <cfRule type="expression" dxfId="8953" priority="12007">
      <formula>$E572=""</formula>
    </cfRule>
  </conditionalFormatting>
  <conditionalFormatting sqref="AU571">
    <cfRule type="expression" dxfId="8952" priority="12006">
      <formula>$E571=""</formula>
    </cfRule>
  </conditionalFormatting>
  <conditionalFormatting sqref="AU573">
    <cfRule type="expression" dxfId="8951" priority="12005">
      <formula>#REF!=""</formula>
    </cfRule>
  </conditionalFormatting>
  <conditionalFormatting sqref="B571:B572">
    <cfRule type="expression" dxfId="8950" priority="12003">
      <formula>$HY572="Green"</formula>
    </cfRule>
    <cfRule type="expression" dxfId="8949" priority="12004">
      <formula>$HY572="White"</formula>
    </cfRule>
  </conditionalFormatting>
  <conditionalFormatting sqref="B571:B572">
    <cfRule type="expression" dxfId="8948" priority="12002">
      <formula>$HY572="Yellow"</formula>
    </cfRule>
  </conditionalFormatting>
  <conditionalFormatting sqref="B571:B572">
    <cfRule type="expression" dxfId="8947" priority="12001">
      <formula>$HY572="Red"</formula>
    </cfRule>
  </conditionalFormatting>
  <conditionalFormatting sqref="AU574">
    <cfRule type="expression" dxfId="8946" priority="12000">
      <formula>$E573=""</formula>
    </cfRule>
  </conditionalFormatting>
  <conditionalFormatting sqref="AV571:AW574">
    <cfRule type="expression" dxfId="8945" priority="11999">
      <formula>$G571=""</formula>
    </cfRule>
  </conditionalFormatting>
  <conditionalFormatting sqref="AU577">
    <cfRule type="expression" dxfId="8944" priority="11940">
      <formula>$E577=""</formula>
    </cfRule>
  </conditionalFormatting>
  <conditionalFormatting sqref="AU576">
    <cfRule type="expression" dxfId="8943" priority="11939">
      <formula>$E576=""</formula>
    </cfRule>
  </conditionalFormatting>
  <conditionalFormatting sqref="AU578">
    <cfRule type="expression" dxfId="8942" priority="11938">
      <formula>#REF!=""</formula>
    </cfRule>
  </conditionalFormatting>
  <conditionalFormatting sqref="B576:B577">
    <cfRule type="expression" dxfId="8941" priority="11936">
      <formula>$HY577="Green"</formula>
    </cfRule>
    <cfRule type="expression" dxfId="8940" priority="11937">
      <formula>$HY577="White"</formula>
    </cfRule>
  </conditionalFormatting>
  <conditionalFormatting sqref="B576:B577">
    <cfRule type="expression" dxfId="8939" priority="11935">
      <formula>$HY577="Yellow"</formula>
    </cfRule>
  </conditionalFormatting>
  <conditionalFormatting sqref="B576:B577">
    <cfRule type="expression" dxfId="8938" priority="11934">
      <formula>$HY577="Red"</formula>
    </cfRule>
  </conditionalFormatting>
  <conditionalFormatting sqref="AU579">
    <cfRule type="expression" dxfId="8937" priority="11933">
      <formula>$E578=""</formula>
    </cfRule>
  </conditionalFormatting>
  <conditionalFormatting sqref="AV576:AW579">
    <cfRule type="expression" dxfId="8936" priority="11932">
      <formula>$G576=""</formula>
    </cfRule>
  </conditionalFormatting>
  <conditionalFormatting sqref="AU582">
    <cfRule type="expression" dxfId="8935" priority="11873">
      <formula>$E582=""</formula>
    </cfRule>
  </conditionalFormatting>
  <conditionalFormatting sqref="AU581">
    <cfRule type="expression" dxfId="8934" priority="11872">
      <formula>$E581=""</formula>
    </cfRule>
  </conditionalFormatting>
  <conditionalFormatting sqref="AU583">
    <cfRule type="expression" dxfId="8933" priority="11871">
      <formula>#REF!=""</formula>
    </cfRule>
  </conditionalFormatting>
  <conditionalFormatting sqref="B581:B582">
    <cfRule type="expression" dxfId="8932" priority="11869">
      <formula>$HY582="Green"</formula>
    </cfRule>
    <cfRule type="expression" dxfId="8931" priority="11870">
      <formula>$HY582="White"</formula>
    </cfRule>
  </conditionalFormatting>
  <conditionalFormatting sqref="B581:B582">
    <cfRule type="expression" dxfId="8930" priority="11868">
      <formula>$HY582="Yellow"</formula>
    </cfRule>
  </conditionalFormatting>
  <conditionalFormatting sqref="B581:B582">
    <cfRule type="expression" dxfId="8929" priority="11867">
      <formula>$HY582="Red"</formula>
    </cfRule>
  </conditionalFormatting>
  <conditionalFormatting sqref="AU584">
    <cfRule type="expression" dxfId="8928" priority="11866">
      <formula>$E583=""</formula>
    </cfRule>
  </conditionalFormatting>
  <conditionalFormatting sqref="AV581:AW584">
    <cfRule type="expression" dxfId="8927" priority="11865">
      <formula>$G581=""</formula>
    </cfRule>
  </conditionalFormatting>
  <conditionalFormatting sqref="AU587">
    <cfRule type="expression" dxfId="8926" priority="11806">
      <formula>$E587=""</formula>
    </cfRule>
  </conditionalFormatting>
  <conditionalFormatting sqref="AU586">
    <cfRule type="expression" dxfId="8925" priority="11805">
      <formula>$E586=""</formula>
    </cfRule>
  </conditionalFormatting>
  <conditionalFormatting sqref="AU588">
    <cfRule type="expression" dxfId="8924" priority="11804">
      <formula>#REF!=""</formula>
    </cfRule>
  </conditionalFormatting>
  <conditionalFormatting sqref="B586:B587">
    <cfRule type="expression" dxfId="8923" priority="11802">
      <formula>$HY587="Green"</formula>
    </cfRule>
    <cfRule type="expression" dxfId="8922" priority="11803">
      <formula>$HY587="White"</formula>
    </cfRule>
  </conditionalFormatting>
  <conditionalFormatting sqref="B586:B587">
    <cfRule type="expression" dxfId="8921" priority="11801">
      <formula>$HY587="Yellow"</formula>
    </cfRule>
  </conditionalFormatting>
  <conditionalFormatting sqref="B586:B587">
    <cfRule type="expression" dxfId="8920" priority="11800">
      <formula>$HY587="Red"</formula>
    </cfRule>
  </conditionalFormatting>
  <conditionalFormatting sqref="AU589">
    <cfRule type="expression" dxfId="8919" priority="11799">
      <formula>$E588=""</formula>
    </cfRule>
  </conditionalFormatting>
  <conditionalFormatting sqref="AV586:AW589">
    <cfRule type="expression" dxfId="8918" priority="11798">
      <formula>$G586=""</formula>
    </cfRule>
  </conditionalFormatting>
  <conditionalFormatting sqref="AU592">
    <cfRule type="expression" dxfId="8917" priority="11739">
      <formula>$E592=""</formula>
    </cfRule>
  </conditionalFormatting>
  <conditionalFormatting sqref="AU591">
    <cfRule type="expression" dxfId="8916" priority="11738">
      <formula>$E591=""</formula>
    </cfRule>
  </conditionalFormatting>
  <conditionalFormatting sqref="AU593">
    <cfRule type="expression" dxfId="8915" priority="11737">
      <formula>#REF!=""</formula>
    </cfRule>
  </conditionalFormatting>
  <conditionalFormatting sqref="B591:B592">
    <cfRule type="expression" dxfId="8914" priority="11735">
      <formula>$HY592="Green"</formula>
    </cfRule>
    <cfRule type="expression" dxfId="8913" priority="11736">
      <formula>$HY592="White"</formula>
    </cfRule>
  </conditionalFormatting>
  <conditionalFormatting sqref="B591:B592">
    <cfRule type="expression" dxfId="8912" priority="11734">
      <formula>$HY592="Yellow"</formula>
    </cfRule>
  </conditionalFormatting>
  <conditionalFormatting sqref="B591:B592">
    <cfRule type="expression" dxfId="8911" priority="11733">
      <formula>$HY592="Red"</formula>
    </cfRule>
  </conditionalFormatting>
  <conditionalFormatting sqref="AU594">
    <cfRule type="expression" dxfId="8910" priority="11732">
      <formula>$E593=""</formula>
    </cfRule>
  </conditionalFormatting>
  <conditionalFormatting sqref="AV591:AW594">
    <cfRule type="expression" dxfId="8909" priority="11731">
      <formula>$G591=""</formula>
    </cfRule>
  </conditionalFormatting>
  <conditionalFormatting sqref="AU597">
    <cfRule type="expression" dxfId="8908" priority="11672">
      <formula>$E597=""</formula>
    </cfRule>
  </conditionalFormatting>
  <conditionalFormatting sqref="AU596">
    <cfRule type="expression" dxfId="8907" priority="11671">
      <formula>$E596=""</formula>
    </cfRule>
  </conditionalFormatting>
  <conditionalFormatting sqref="AU598">
    <cfRule type="expression" dxfId="8906" priority="11670">
      <formula>#REF!=""</formula>
    </cfRule>
  </conditionalFormatting>
  <conditionalFormatting sqref="B596:B597">
    <cfRule type="expression" dxfId="8905" priority="11668">
      <formula>$HY597="Green"</formula>
    </cfRule>
    <cfRule type="expression" dxfId="8904" priority="11669">
      <formula>$HY597="White"</formula>
    </cfRule>
  </conditionalFormatting>
  <conditionalFormatting sqref="B596:B597">
    <cfRule type="expression" dxfId="8903" priority="11667">
      <formula>$HY597="Yellow"</formula>
    </cfRule>
  </conditionalFormatting>
  <conditionalFormatting sqref="B596:B597">
    <cfRule type="expression" dxfId="8902" priority="11666">
      <formula>$HY597="Red"</formula>
    </cfRule>
  </conditionalFormatting>
  <conditionalFormatting sqref="AU599">
    <cfRule type="expression" dxfId="8901" priority="11665">
      <formula>$E598=""</formula>
    </cfRule>
  </conditionalFormatting>
  <conditionalFormatting sqref="AV596:AW599">
    <cfRule type="expression" dxfId="8900" priority="11664">
      <formula>$G596=""</formula>
    </cfRule>
  </conditionalFormatting>
  <conditionalFormatting sqref="AU602">
    <cfRule type="expression" dxfId="8899" priority="11605">
      <formula>$E602=""</formula>
    </cfRule>
  </conditionalFormatting>
  <conditionalFormatting sqref="AU601">
    <cfRule type="expression" dxfId="8898" priority="11604">
      <formula>$E601=""</formula>
    </cfRule>
  </conditionalFormatting>
  <conditionalFormatting sqref="AU603">
    <cfRule type="expression" dxfId="8897" priority="11603">
      <formula>#REF!=""</formula>
    </cfRule>
  </conditionalFormatting>
  <conditionalFormatting sqref="B601:B602">
    <cfRule type="expression" dxfId="8896" priority="11601">
      <formula>$HY602="Green"</formula>
    </cfRule>
    <cfRule type="expression" dxfId="8895" priority="11602">
      <formula>$HY602="White"</formula>
    </cfRule>
  </conditionalFormatting>
  <conditionalFormatting sqref="B601:B602">
    <cfRule type="expression" dxfId="8894" priority="11600">
      <formula>$HY602="Yellow"</formula>
    </cfRule>
  </conditionalFormatting>
  <conditionalFormatting sqref="B601:B602">
    <cfRule type="expression" dxfId="8893" priority="11599">
      <formula>$HY602="Red"</formula>
    </cfRule>
  </conditionalFormatting>
  <conditionalFormatting sqref="AU604">
    <cfRule type="expression" dxfId="8892" priority="11598">
      <formula>$E603=""</formula>
    </cfRule>
  </conditionalFormatting>
  <conditionalFormatting sqref="AV601:AW604">
    <cfRule type="expression" dxfId="8891" priority="11597">
      <formula>$G601=""</formula>
    </cfRule>
  </conditionalFormatting>
  <conditionalFormatting sqref="AU607">
    <cfRule type="expression" dxfId="8890" priority="11538">
      <formula>$E607=""</formula>
    </cfRule>
  </conditionalFormatting>
  <conditionalFormatting sqref="AU606">
    <cfRule type="expression" dxfId="8889" priority="11537">
      <formula>$E606=""</formula>
    </cfRule>
  </conditionalFormatting>
  <conditionalFormatting sqref="AU608">
    <cfRule type="expression" dxfId="8888" priority="11536">
      <formula>#REF!=""</formula>
    </cfRule>
  </conditionalFormatting>
  <conditionalFormatting sqref="B606:B607">
    <cfRule type="expression" dxfId="8887" priority="11534">
      <formula>$HY607="Green"</formula>
    </cfRule>
    <cfRule type="expression" dxfId="8886" priority="11535">
      <formula>$HY607="White"</formula>
    </cfRule>
  </conditionalFormatting>
  <conditionalFormatting sqref="B606:B607">
    <cfRule type="expression" dxfId="8885" priority="11533">
      <formula>$HY607="Yellow"</formula>
    </cfRule>
  </conditionalFormatting>
  <conditionalFormatting sqref="B606:B607">
    <cfRule type="expression" dxfId="8884" priority="11532">
      <formula>$HY607="Red"</formula>
    </cfRule>
  </conditionalFormatting>
  <conditionalFormatting sqref="AU609">
    <cfRule type="expression" dxfId="8883" priority="11531">
      <formula>$E608=""</formula>
    </cfRule>
  </conditionalFormatting>
  <conditionalFormatting sqref="AV606:AW609">
    <cfRule type="expression" dxfId="8882" priority="11530">
      <formula>$G606=""</formula>
    </cfRule>
  </conditionalFormatting>
  <conditionalFormatting sqref="AU612">
    <cfRule type="expression" dxfId="8881" priority="11471">
      <formula>$E612=""</formula>
    </cfRule>
  </conditionalFormatting>
  <conditionalFormatting sqref="AU611">
    <cfRule type="expression" dxfId="8880" priority="11470">
      <formula>$E611=""</formula>
    </cfRule>
  </conditionalFormatting>
  <conditionalFormatting sqref="AU613">
    <cfRule type="expression" dxfId="8879" priority="11469">
      <formula>#REF!=""</formula>
    </cfRule>
  </conditionalFormatting>
  <conditionalFormatting sqref="B611:B612">
    <cfRule type="expression" dxfId="8878" priority="11467">
      <formula>$HY612="Green"</formula>
    </cfRule>
    <cfRule type="expression" dxfId="8877" priority="11468">
      <formula>$HY612="White"</formula>
    </cfRule>
  </conditionalFormatting>
  <conditionalFormatting sqref="B611:B612">
    <cfRule type="expression" dxfId="8876" priority="11466">
      <formula>$HY612="Yellow"</formula>
    </cfRule>
  </conditionalFormatting>
  <conditionalFormatting sqref="B611:B612">
    <cfRule type="expression" dxfId="8875" priority="11465">
      <formula>$HY612="Red"</formula>
    </cfRule>
  </conditionalFormatting>
  <conditionalFormatting sqref="AU614">
    <cfRule type="expression" dxfId="8874" priority="11464">
      <formula>$E613=""</formula>
    </cfRule>
  </conditionalFormatting>
  <conditionalFormatting sqref="AV611:AW614">
    <cfRule type="expression" dxfId="8873" priority="11463">
      <formula>$G611=""</formula>
    </cfRule>
  </conditionalFormatting>
  <conditionalFormatting sqref="AU617">
    <cfRule type="expression" dxfId="8872" priority="11404">
      <formula>$E617=""</formula>
    </cfRule>
  </conditionalFormatting>
  <conditionalFormatting sqref="AU616">
    <cfRule type="expression" dxfId="8871" priority="11403">
      <formula>$E616=""</formula>
    </cfRule>
  </conditionalFormatting>
  <conditionalFormatting sqref="AU618">
    <cfRule type="expression" dxfId="8870" priority="11402">
      <formula>#REF!=""</formula>
    </cfRule>
  </conditionalFormatting>
  <conditionalFormatting sqref="B616:B617">
    <cfRule type="expression" dxfId="8869" priority="11400">
      <formula>$HY617="Green"</formula>
    </cfRule>
    <cfRule type="expression" dxfId="8868" priority="11401">
      <formula>$HY617="White"</formula>
    </cfRule>
  </conditionalFormatting>
  <conditionalFormatting sqref="B616:B617">
    <cfRule type="expression" dxfId="8867" priority="11399">
      <formula>$HY617="Yellow"</formula>
    </cfRule>
  </conditionalFormatting>
  <conditionalFormatting sqref="B616:B617">
    <cfRule type="expression" dxfId="8866" priority="11398">
      <formula>$HY617="Red"</formula>
    </cfRule>
  </conditionalFormatting>
  <conditionalFormatting sqref="AU619">
    <cfRule type="expression" dxfId="8865" priority="11397">
      <formula>$E618=""</formula>
    </cfRule>
  </conditionalFormatting>
  <conditionalFormatting sqref="AV616:AW619">
    <cfRule type="expression" dxfId="8864" priority="11396">
      <formula>$G616=""</formula>
    </cfRule>
  </conditionalFormatting>
  <conditionalFormatting sqref="AU622">
    <cfRule type="expression" dxfId="8863" priority="11337">
      <formula>$E622=""</formula>
    </cfRule>
  </conditionalFormatting>
  <conditionalFormatting sqref="AU621">
    <cfRule type="expression" dxfId="8862" priority="11336">
      <formula>$E621=""</formula>
    </cfRule>
  </conditionalFormatting>
  <conditionalFormatting sqref="AU623">
    <cfRule type="expression" dxfId="8861" priority="11335">
      <formula>#REF!=""</formula>
    </cfRule>
  </conditionalFormatting>
  <conditionalFormatting sqref="B621:B622">
    <cfRule type="expression" dxfId="8860" priority="11333">
      <formula>$HY622="Green"</formula>
    </cfRule>
    <cfRule type="expression" dxfId="8859" priority="11334">
      <formula>$HY622="White"</formula>
    </cfRule>
  </conditionalFormatting>
  <conditionalFormatting sqref="B621:B622">
    <cfRule type="expression" dxfId="8858" priority="11332">
      <formula>$HY622="Yellow"</formula>
    </cfRule>
  </conditionalFormatting>
  <conditionalFormatting sqref="B621:B622">
    <cfRule type="expression" dxfId="8857" priority="11331">
      <formula>$HY622="Red"</formula>
    </cfRule>
  </conditionalFormatting>
  <conditionalFormatting sqref="AU624">
    <cfRule type="expression" dxfId="8856" priority="11330">
      <formula>$E623=""</formula>
    </cfRule>
  </conditionalFormatting>
  <conditionalFormatting sqref="AV621:AW624">
    <cfRule type="expression" dxfId="8855" priority="11329">
      <formula>$G621=""</formula>
    </cfRule>
  </conditionalFormatting>
  <conditionalFormatting sqref="AU627">
    <cfRule type="expression" dxfId="8854" priority="11270">
      <formula>$E627=""</formula>
    </cfRule>
  </conditionalFormatting>
  <conditionalFormatting sqref="AU626">
    <cfRule type="expression" dxfId="8853" priority="11269">
      <formula>$E626=""</formula>
    </cfRule>
  </conditionalFormatting>
  <conditionalFormatting sqref="AU628">
    <cfRule type="expression" dxfId="8852" priority="11268">
      <formula>#REF!=""</formula>
    </cfRule>
  </conditionalFormatting>
  <conditionalFormatting sqref="B626:B627">
    <cfRule type="expression" dxfId="8851" priority="11266">
      <formula>$HY627="Green"</formula>
    </cfRule>
    <cfRule type="expression" dxfId="8850" priority="11267">
      <formula>$HY627="White"</formula>
    </cfRule>
  </conditionalFormatting>
  <conditionalFormatting sqref="B626:B627">
    <cfRule type="expression" dxfId="8849" priority="11265">
      <formula>$HY627="Yellow"</formula>
    </cfRule>
  </conditionalFormatting>
  <conditionalFormatting sqref="B626:B627">
    <cfRule type="expression" dxfId="8848" priority="11264">
      <formula>$HY627="Red"</formula>
    </cfRule>
  </conditionalFormatting>
  <conditionalFormatting sqref="AU629">
    <cfRule type="expression" dxfId="8847" priority="11263">
      <formula>$E628=""</formula>
    </cfRule>
  </conditionalFormatting>
  <conditionalFormatting sqref="AV626:AW629">
    <cfRule type="expression" dxfId="8846" priority="11262">
      <formula>$G626=""</formula>
    </cfRule>
  </conditionalFormatting>
  <conditionalFormatting sqref="AU632">
    <cfRule type="expression" dxfId="8845" priority="11203">
      <formula>$E632=""</formula>
    </cfRule>
  </conditionalFormatting>
  <conditionalFormatting sqref="AU631">
    <cfRule type="expression" dxfId="8844" priority="11202">
      <formula>$E631=""</formula>
    </cfRule>
  </conditionalFormatting>
  <conditionalFormatting sqref="AU633">
    <cfRule type="expression" dxfId="8843" priority="11201">
      <formula>#REF!=""</formula>
    </cfRule>
  </conditionalFormatting>
  <conditionalFormatting sqref="B631:B632">
    <cfRule type="expression" dxfId="8842" priority="11199">
      <formula>$HY632="Green"</formula>
    </cfRule>
    <cfRule type="expression" dxfId="8841" priority="11200">
      <formula>$HY632="White"</formula>
    </cfRule>
  </conditionalFormatting>
  <conditionalFormatting sqref="B631:B632">
    <cfRule type="expression" dxfId="8840" priority="11198">
      <formula>$HY632="Yellow"</formula>
    </cfRule>
  </conditionalFormatting>
  <conditionalFormatting sqref="B631:B632">
    <cfRule type="expression" dxfId="8839" priority="11197">
      <formula>$HY632="Red"</formula>
    </cfRule>
  </conditionalFormatting>
  <conditionalFormatting sqref="AU634">
    <cfRule type="expression" dxfId="8838" priority="11196">
      <formula>$E633=""</formula>
    </cfRule>
  </conditionalFormatting>
  <conditionalFormatting sqref="AV631:AW634">
    <cfRule type="expression" dxfId="8837" priority="11195">
      <formula>$G631=""</formula>
    </cfRule>
  </conditionalFormatting>
  <conditionalFormatting sqref="AU640">
    <cfRule type="expression" dxfId="8836" priority="11136">
      <formula>$E640=""</formula>
    </cfRule>
  </conditionalFormatting>
  <conditionalFormatting sqref="AU639">
    <cfRule type="expression" dxfId="8835" priority="11135">
      <formula>$E639=""</formula>
    </cfRule>
  </conditionalFormatting>
  <conditionalFormatting sqref="AU641">
    <cfRule type="expression" dxfId="8834" priority="11134">
      <formula>#REF!=""</formula>
    </cfRule>
  </conditionalFormatting>
  <conditionalFormatting sqref="B639:B640">
    <cfRule type="expression" dxfId="8833" priority="11132">
      <formula>$HY640="Green"</formula>
    </cfRule>
    <cfRule type="expression" dxfId="8832" priority="11133">
      <formula>$HY640="White"</formula>
    </cfRule>
  </conditionalFormatting>
  <conditionalFormatting sqref="B639:B640">
    <cfRule type="expression" dxfId="8831" priority="11131">
      <formula>$HY640="Yellow"</formula>
    </cfRule>
  </conditionalFormatting>
  <conditionalFormatting sqref="B639:B640">
    <cfRule type="expression" dxfId="8830" priority="11130">
      <formula>$HY640="Red"</formula>
    </cfRule>
  </conditionalFormatting>
  <conditionalFormatting sqref="AU642">
    <cfRule type="expression" dxfId="8829" priority="11129">
      <formula>$E641=""</formula>
    </cfRule>
  </conditionalFormatting>
  <conditionalFormatting sqref="AV639:AW642">
    <cfRule type="expression" dxfId="8828" priority="11128">
      <formula>$G639=""</formula>
    </cfRule>
  </conditionalFormatting>
  <conditionalFormatting sqref="AU645">
    <cfRule type="expression" dxfId="8827" priority="11069">
      <formula>$E645=""</formula>
    </cfRule>
  </conditionalFormatting>
  <conditionalFormatting sqref="AU644">
    <cfRule type="expression" dxfId="8826" priority="11068">
      <formula>$E644=""</formula>
    </cfRule>
  </conditionalFormatting>
  <conditionalFormatting sqref="AU646">
    <cfRule type="expression" dxfId="8825" priority="11067">
      <formula>#REF!=""</formula>
    </cfRule>
  </conditionalFormatting>
  <conditionalFormatting sqref="B644:B645">
    <cfRule type="expression" dxfId="8824" priority="11065">
      <formula>$HY645="Green"</formula>
    </cfRule>
    <cfRule type="expression" dxfId="8823" priority="11066">
      <formula>$HY645="White"</formula>
    </cfRule>
  </conditionalFormatting>
  <conditionalFormatting sqref="B644:B645">
    <cfRule type="expression" dxfId="8822" priority="11064">
      <formula>$HY645="Yellow"</formula>
    </cfRule>
  </conditionalFormatting>
  <conditionalFormatting sqref="B644:B645">
    <cfRule type="expression" dxfId="8821" priority="11063">
      <formula>$HY645="Red"</formula>
    </cfRule>
  </conditionalFormatting>
  <conditionalFormatting sqref="AU647">
    <cfRule type="expression" dxfId="8820" priority="11062">
      <formula>$E646=""</formula>
    </cfRule>
  </conditionalFormatting>
  <conditionalFormatting sqref="AV644:AW647">
    <cfRule type="expression" dxfId="8819" priority="11061">
      <formula>$G644=""</formula>
    </cfRule>
  </conditionalFormatting>
  <conditionalFormatting sqref="AU650">
    <cfRule type="expression" dxfId="8818" priority="11002">
      <formula>$E650=""</formula>
    </cfRule>
  </conditionalFormatting>
  <conditionalFormatting sqref="AU649">
    <cfRule type="expression" dxfId="8817" priority="11001">
      <formula>$E649=""</formula>
    </cfRule>
  </conditionalFormatting>
  <conditionalFormatting sqref="AU651">
    <cfRule type="expression" dxfId="8816" priority="11000">
      <formula>#REF!=""</formula>
    </cfRule>
  </conditionalFormatting>
  <conditionalFormatting sqref="B649:B650">
    <cfRule type="expression" dxfId="8815" priority="10998">
      <formula>$HY650="Green"</formula>
    </cfRule>
    <cfRule type="expression" dxfId="8814" priority="10999">
      <formula>$HY650="White"</formula>
    </cfRule>
  </conditionalFormatting>
  <conditionalFormatting sqref="B649:B650">
    <cfRule type="expression" dxfId="8813" priority="10997">
      <formula>$HY650="Yellow"</formula>
    </cfRule>
  </conditionalFormatting>
  <conditionalFormatting sqref="B649:B650">
    <cfRule type="expression" dxfId="8812" priority="10996">
      <formula>$HY650="Red"</formula>
    </cfRule>
  </conditionalFormatting>
  <conditionalFormatting sqref="AU652">
    <cfRule type="expression" dxfId="8811" priority="10995">
      <formula>$E651=""</formula>
    </cfRule>
  </conditionalFormatting>
  <conditionalFormatting sqref="AV649:AW652">
    <cfRule type="expression" dxfId="8810" priority="10994">
      <formula>$G649=""</formula>
    </cfRule>
  </conditionalFormatting>
  <conditionalFormatting sqref="AU655">
    <cfRule type="expression" dxfId="8809" priority="10935">
      <formula>$E655=""</formula>
    </cfRule>
  </conditionalFormatting>
  <conditionalFormatting sqref="AU654">
    <cfRule type="expression" dxfId="8808" priority="10934">
      <formula>$E654=""</formula>
    </cfRule>
  </conditionalFormatting>
  <conditionalFormatting sqref="AU656">
    <cfRule type="expression" dxfId="8807" priority="10933">
      <formula>#REF!=""</formula>
    </cfRule>
  </conditionalFormatting>
  <conditionalFormatting sqref="B654:B655">
    <cfRule type="expression" dxfId="8806" priority="10931">
      <formula>$HY655="Green"</formula>
    </cfRule>
    <cfRule type="expression" dxfId="8805" priority="10932">
      <formula>$HY655="White"</formula>
    </cfRule>
  </conditionalFormatting>
  <conditionalFormatting sqref="B654:B655">
    <cfRule type="expression" dxfId="8804" priority="10930">
      <formula>$HY655="Yellow"</formula>
    </cfRule>
  </conditionalFormatting>
  <conditionalFormatting sqref="B654:B655">
    <cfRule type="expression" dxfId="8803" priority="10929">
      <formula>$HY655="Red"</formula>
    </cfRule>
  </conditionalFormatting>
  <conditionalFormatting sqref="AU657">
    <cfRule type="expression" dxfId="8802" priority="10928">
      <formula>$E656=""</formula>
    </cfRule>
  </conditionalFormatting>
  <conditionalFormatting sqref="AV654:AW657">
    <cfRule type="expression" dxfId="8801" priority="10927">
      <formula>$G654=""</formula>
    </cfRule>
  </conditionalFormatting>
  <conditionalFormatting sqref="AU660">
    <cfRule type="expression" dxfId="8800" priority="10868">
      <formula>$E660=""</formula>
    </cfRule>
  </conditionalFormatting>
  <conditionalFormatting sqref="AU659">
    <cfRule type="expression" dxfId="8799" priority="10867">
      <formula>$E659=""</formula>
    </cfRule>
  </conditionalFormatting>
  <conditionalFormatting sqref="AU661">
    <cfRule type="expression" dxfId="8798" priority="10866">
      <formula>#REF!=""</formula>
    </cfRule>
  </conditionalFormatting>
  <conditionalFormatting sqref="B659:B660">
    <cfRule type="expression" dxfId="8797" priority="10864">
      <formula>$HY660="Green"</formula>
    </cfRule>
    <cfRule type="expression" dxfId="8796" priority="10865">
      <formula>$HY660="White"</formula>
    </cfRule>
  </conditionalFormatting>
  <conditionalFormatting sqref="B659:B660">
    <cfRule type="expression" dxfId="8795" priority="10863">
      <formula>$HY660="Yellow"</formula>
    </cfRule>
  </conditionalFormatting>
  <conditionalFormatting sqref="B659:B660">
    <cfRule type="expression" dxfId="8794" priority="10862">
      <formula>$HY660="Red"</formula>
    </cfRule>
  </conditionalFormatting>
  <conditionalFormatting sqref="AU662">
    <cfRule type="expression" dxfId="8793" priority="10861">
      <formula>$E661=""</formula>
    </cfRule>
  </conditionalFormatting>
  <conditionalFormatting sqref="AV659:AW662">
    <cfRule type="expression" dxfId="8792" priority="10860">
      <formula>$G659=""</formula>
    </cfRule>
  </conditionalFormatting>
  <conditionalFormatting sqref="AU665">
    <cfRule type="expression" dxfId="8791" priority="10801">
      <formula>$E665=""</formula>
    </cfRule>
  </conditionalFormatting>
  <conditionalFormatting sqref="AU664">
    <cfRule type="expression" dxfId="8790" priority="10800">
      <formula>$E664=""</formula>
    </cfRule>
  </conditionalFormatting>
  <conditionalFormatting sqref="AU666">
    <cfRule type="expression" dxfId="8789" priority="10799">
      <formula>#REF!=""</formula>
    </cfRule>
  </conditionalFormatting>
  <conditionalFormatting sqref="B664:B665">
    <cfRule type="expression" dxfId="8788" priority="10797">
      <formula>$HY665="Green"</formula>
    </cfRule>
    <cfRule type="expression" dxfId="8787" priority="10798">
      <formula>$HY665="White"</formula>
    </cfRule>
  </conditionalFormatting>
  <conditionalFormatting sqref="B664:B665">
    <cfRule type="expression" dxfId="8786" priority="10796">
      <formula>$HY665="Yellow"</formula>
    </cfRule>
  </conditionalFormatting>
  <conditionalFormatting sqref="B664:B665">
    <cfRule type="expression" dxfId="8785" priority="10795">
      <formula>$HY665="Red"</formula>
    </cfRule>
  </conditionalFormatting>
  <conditionalFormatting sqref="AU667">
    <cfRule type="expression" dxfId="8784" priority="10794">
      <formula>$E666=""</formula>
    </cfRule>
  </conditionalFormatting>
  <conditionalFormatting sqref="AV664:AW667">
    <cfRule type="expression" dxfId="8783" priority="10793">
      <formula>$G664=""</formula>
    </cfRule>
  </conditionalFormatting>
  <conditionalFormatting sqref="AU670">
    <cfRule type="expression" dxfId="8782" priority="10734">
      <formula>$E670=""</formula>
    </cfRule>
  </conditionalFormatting>
  <conditionalFormatting sqref="AU669">
    <cfRule type="expression" dxfId="8781" priority="10733">
      <formula>$E669=""</formula>
    </cfRule>
  </conditionalFormatting>
  <conditionalFormatting sqref="AU671">
    <cfRule type="expression" dxfId="8780" priority="10732">
      <formula>#REF!=""</formula>
    </cfRule>
  </conditionalFormatting>
  <conditionalFormatting sqref="B669:B670">
    <cfRule type="expression" dxfId="8779" priority="10730">
      <formula>$HY670="Green"</formula>
    </cfRule>
    <cfRule type="expression" dxfId="8778" priority="10731">
      <formula>$HY670="White"</formula>
    </cfRule>
  </conditionalFormatting>
  <conditionalFormatting sqref="B669:B670">
    <cfRule type="expression" dxfId="8777" priority="10729">
      <formula>$HY670="Yellow"</formula>
    </cfRule>
  </conditionalFormatting>
  <conditionalFormatting sqref="B669:B670">
    <cfRule type="expression" dxfId="8776" priority="10728">
      <formula>$HY670="Red"</formula>
    </cfRule>
  </conditionalFormatting>
  <conditionalFormatting sqref="AU672">
    <cfRule type="expression" dxfId="8775" priority="10727">
      <formula>$E671=""</formula>
    </cfRule>
  </conditionalFormatting>
  <conditionalFormatting sqref="AV669:AW672">
    <cfRule type="expression" dxfId="8774" priority="10726">
      <formula>$G669=""</formula>
    </cfRule>
  </conditionalFormatting>
  <conditionalFormatting sqref="AU675">
    <cfRule type="expression" dxfId="8773" priority="10667">
      <formula>$E675=""</formula>
    </cfRule>
  </conditionalFormatting>
  <conditionalFormatting sqref="AU674">
    <cfRule type="expression" dxfId="8772" priority="10666">
      <formula>$E674=""</formula>
    </cfRule>
  </conditionalFormatting>
  <conditionalFormatting sqref="AU676">
    <cfRule type="expression" dxfId="8771" priority="10665">
      <formula>#REF!=""</formula>
    </cfRule>
  </conditionalFormatting>
  <conditionalFormatting sqref="B674:B675">
    <cfRule type="expression" dxfId="8770" priority="10663">
      <formula>$HY675="Green"</formula>
    </cfRule>
    <cfRule type="expression" dxfId="8769" priority="10664">
      <formula>$HY675="White"</formula>
    </cfRule>
  </conditionalFormatting>
  <conditionalFormatting sqref="B674:B675">
    <cfRule type="expression" dxfId="8768" priority="10662">
      <formula>$HY675="Yellow"</formula>
    </cfRule>
  </conditionalFormatting>
  <conditionalFormatting sqref="B674:B675">
    <cfRule type="expression" dxfId="8767" priority="10661">
      <formula>$HY675="Red"</formula>
    </cfRule>
  </conditionalFormatting>
  <conditionalFormatting sqref="AU677">
    <cfRule type="expression" dxfId="8766" priority="10660">
      <formula>$E676=""</formula>
    </cfRule>
  </conditionalFormatting>
  <conditionalFormatting sqref="AV674:AW677">
    <cfRule type="expression" dxfId="8765" priority="10659">
      <formula>$G674=""</formula>
    </cfRule>
  </conditionalFormatting>
  <conditionalFormatting sqref="AU680">
    <cfRule type="expression" dxfId="8764" priority="10600">
      <formula>$E680=""</formula>
    </cfRule>
  </conditionalFormatting>
  <conditionalFormatting sqref="AU679">
    <cfRule type="expression" dxfId="8763" priority="10599">
      <formula>$E679=""</formula>
    </cfRule>
  </conditionalFormatting>
  <conditionalFormatting sqref="AU681">
    <cfRule type="expression" dxfId="8762" priority="10598">
      <formula>#REF!=""</formula>
    </cfRule>
  </conditionalFormatting>
  <conditionalFormatting sqref="B679:B680">
    <cfRule type="expression" dxfId="8761" priority="10596">
      <formula>$HY680="Green"</formula>
    </cfRule>
    <cfRule type="expression" dxfId="8760" priority="10597">
      <formula>$HY680="White"</formula>
    </cfRule>
  </conditionalFormatting>
  <conditionalFormatting sqref="B679:B680">
    <cfRule type="expression" dxfId="8759" priority="10595">
      <formula>$HY680="Yellow"</formula>
    </cfRule>
  </conditionalFormatting>
  <conditionalFormatting sqref="B679:B680">
    <cfRule type="expression" dxfId="8758" priority="10594">
      <formula>$HY680="Red"</formula>
    </cfRule>
  </conditionalFormatting>
  <conditionalFormatting sqref="AU682">
    <cfRule type="expression" dxfId="8757" priority="10593">
      <formula>$E681=""</formula>
    </cfRule>
  </conditionalFormatting>
  <conditionalFormatting sqref="AV679:AW682">
    <cfRule type="expression" dxfId="8756" priority="10592">
      <formula>$G679=""</formula>
    </cfRule>
  </conditionalFormatting>
  <conditionalFormatting sqref="AU685">
    <cfRule type="expression" dxfId="8755" priority="10533">
      <formula>$E685=""</formula>
    </cfRule>
  </conditionalFormatting>
  <conditionalFormatting sqref="AU684">
    <cfRule type="expression" dxfId="8754" priority="10532">
      <formula>$E684=""</formula>
    </cfRule>
  </conditionalFormatting>
  <conditionalFormatting sqref="AU686">
    <cfRule type="expression" dxfId="8753" priority="10531">
      <formula>#REF!=""</formula>
    </cfRule>
  </conditionalFormatting>
  <conditionalFormatting sqref="B684:B685">
    <cfRule type="expression" dxfId="8752" priority="10529">
      <formula>$HY685="Green"</formula>
    </cfRule>
    <cfRule type="expression" dxfId="8751" priority="10530">
      <formula>$HY685="White"</formula>
    </cfRule>
  </conditionalFormatting>
  <conditionalFormatting sqref="B684:B685">
    <cfRule type="expression" dxfId="8750" priority="10528">
      <formula>$HY685="Yellow"</formula>
    </cfRule>
  </conditionalFormatting>
  <conditionalFormatting sqref="B684:B685">
    <cfRule type="expression" dxfId="8749" priority="10527">
      <formula>$HY685="Red"</formula>
    </cfRule>
  </conditionalFormatting>
  <conditionalFormatting sqref="AU687">
    <cfRule type="expression" dxfId="8748" priority="10526">
      <formula>$E686=""</formula>
    </cfRule>
  </conditionalFormatting>
  <conditionalFormatting sqref="AV684:AW687">
    <cfRule type="expression" dxfId="8747" priority="10525">
      <formula>$G684=""</formula>
    </cfRule>
  </conditionalFormatting>
  <conditionalFormatting sqref="AU690">
    <cfRule type="expression" dxfId="8746" priority="10466">
      <formula>$E690=""</formula>
    </cfRule>
  </conditionalFormatting>
  <conditionalFormatting sqref="AU689">
    <cfRule type="expression" dxfId="8745" priority="10465">
      <formula>$E689=""</formula>
    </cfRule>
  </conditionalFormatting>
  <conditionalFormatting sqref="AU691">
    <cfRule type="expression" dxfId="8744" priority="10464">
      <formula>#REF!=""</formula>
    </cfRule>
  </conditionalFormatting>
  <conditionalFormatting sqref="B689:B690">
    <cfRule type="expression" dxfId="8743" priority="10462">
      <formula>$HY690="Green"</formula>
    </cfRule>
    <cfRule type="expression" dxfId="8742" priority="10463">
      <formula>$HY690="White"</formula>
    </cfRule>
  </conditionalFormatting>
  <conditionalFormatting sqref="B689:B690">
    <cfRule type="expression" dxfId="8741" priority="10461">
      <formula>$HY690="Yellow"</formula>
    </cfRule>
  </conditionalFormatting>
  <conditionalFormatting sqref="B689:B690">
    <cfRule type="expression" dxfId="8740" priority="10460">
      <formula>$HY690="Red"</formula>
    </cfRule>
  </conditionalFormatting>
  <conditionalFormatting sqref="AU692">
    <cfRule type="expression" dxfId="8739" priority="10459">
      <formula>$E691=""</formula>
    </cfRule>
  </conditionalFormatting>
  <conditionalFormatting sqref="AV689:AW692">
    <cfRule type="expression" dxfId="8738" priority="10458">
      <formula>$G689=""</formula>
    </cfRule>
  </conditionalFormatting>
  <conditionalFormatting sqref="AU695">
    <cfRule type="expression" dxfId="8737" priority="10399">
      <formula>$E695=""</formula>
    </cfRule>
  </conditionalFormatting>
  <conditionalFormatting sqref="AU694">
    <cfRule type="expression" dxfId="8736" priority="10398">
      <formula>$E694=""</formula>
    </cfRule>
  </conditionalFormatting>
  <conditionalFormatting sqref="AU696">
    <cfRule type="expression" dxfId="8735" priority="10397">
      <formula>#REF!=""</formula>
    </cfRule>
  </conditionalFormatting>
  <conditionalFormatting sqref="B694:B695">
    <cfRule type="expression" dxfId="8734" priority="10395">
      <formula>$HY695="Green"</formula>
    </cfRule>
    <cfRule type="expression" dxfId="8733" priority="10396">
      <formula>$HY695="White"</formula>
    </cfRule>
  </conditionalFormatting>
  <conditionalFormatting sqref="B694:B695">
    <cfRule type="expression" dxfId="8732" priority="10394">
      <formula>$HY695="Yellow"</formula>
    </cfRule>
  </conditionalFormatting>
  <conditionalFormatting sqref="B694:B695">
    <cfRule type="expression" dxfId="8731" priority="10393">
      <formula>$HY695="Red"</formula>
    </cfRule>
  </conditionalFormatting>
  <conditionalFormatting sqref="AU697">
    <cfRule type="expression" dxfId="8730" priority="10392">
      <formula>$E696=""</formula>
    </cfRule>
  </conditionalFormatting>
  <conditionalFormatting sqref="AV694:AW697">
    <cfRule type="expression" dxfId="8729" priority="10391">
      <formula>$G694=""</formula>
    </cfRule>
  </conditionalFormatting>
  <conditionalFormatting sqref="AU700">
    <cfRule type="expression" dxfId="8728" priority="10332">
      <formula>$E700=""</formula>
    </cfRule>
  </conditionalFormatting>
  <conditionalFormatting sqref="AU699">
    <cfRule type="expression" dxfId="8727" priority="10331">
      <formula>$E699=""</formula>
    </cfRule>
  </conditionalFormatting>
  <conditionalFormatting sqref="AU701">
    <cfRule type="expression" dxfId="8726" priority="10330">
      <formula>#REF!=""</formula>
    </cfRule>
  </conditionalFormatting>
  <conditionalFormatting sqref="B699:B700">
    <cfRule type="expression" dxfId="8725" priority="10328">
      <formula>$HY700="Green"</formula>
    </cfRule>
    <cfRule type="expression" dxfId="8724" priority="10329">
      <formula>$HY700="White"</formula>
    </cfRule>
  </conditionalFormatting>
  <conditionalFormatting sqref="B699:B700">
    <cfRule type="expression" dxfId="8723" priority="10327">
      <formula>$HY700="Yellow"</formula>
    </cfRule>
  </conditionalFormatting>
  <conditionalFormatting sqref="B699:B700">
    <cfRule type="expression" dxfId="8722" priority="10326">
      <formula>$HY700="Red"</formula>
    </cfRule>
  </conditionalFormatting>
  <conditionalFormatting sqref="AU702">
    <cfRule type="expression" dxfId="8721" priority="10325">
      <formula>$E701=""</formula>
    </cfRule>
  </conditionalFormatting>
  <conditionalFormatting sqref="AV699:AW702">
    <cfRule type="expression" dxfId="8720" priority="10324">
      <formula>$G699=""</formula>
    </cfRule>
  </conditionalFormatting>
  <conditionalFormatting sqref="AU705">
    <cfRule type="expression" dxfId="8719" priority="10265">
      <formula>$E705=""</formula>
    </cfRule>
  </conditionalFormatting>
  <conditionalFormatting sqref="AU704">
    <cfRule type="expression" dxfId="8718" priority="10264">
      <formula>$E704=""</formula>
    </cfRule>
  </conditionalFormatting>
  <conditionalFormatting sqref="AU706">
    <cfRule type="expression" dxfId="8717" priority="10263">
      <formula>#REF!=""</formula>
    </cfRule>
  </conditionalFormatting>
  <conditionalFormatting sqref="B704:B705">
    <cfRule type="expression" dxfId="8716" priority="10261">
      <formula>$HY705="Green"</formula>
    </cfRule>
    <cfRule type="expression" dxfId="8715" priority="10262">
      <formula>$HY705="White"</formula>
    </cfRule>
  </conditionalFormatting>
  <conditionalFormatting sqref="B704:B705">
    <cfRule type="expression" dxfId="8714" priority="10260">
      <formula>$HY705="Yellow"</formula>
    </cfRule>
  </conditionalFormatting>
  <conditionalFormatting sqref="B704:B705">
    <cfRule type="expression" dxfId="8713" priority="10259">
      <formula>$HY705="Red"</formula>
    </cfRule>
  </conditionalFormatting>
  <conditionalFormatting sqref="AU707">
    <cfRule type="expression" dxfId="8712" priority="10258">
      <formula>$E706=""</formula>
    </cfRule>
  </conditionalFormatting>
  <conditionalFormatting sqref="AV704:AW707">
    <cfRule type="expression" dxfId="8711" priority="10257">
      <formula>$G704=""</formula>
    </cfRule>
  </conditionalFormatting>
  <conditionalFormatting sqref="AU710">
    <cfRule type="expression" dxfId="8710" priority="10198">
      <formula>$E710=""</formula>
    </cfRule>
  </conditionalFormatting>
  <conditionalFormatting sqref="AU709">
    <cfRule type="expression" dxfId="8709" priority="10197">
      <formula>$E709=""</formula>
    </cfRule>
  </conditionalFormatting>
  <conditionalFormatting sqref="AU711">
    <cfRule type="expression" dxfId="8708" priority="10196">
      <formula>#REF!=""</formula>
    </cfRule>
  </conditionalFormatting>
  <conditionalFormatting sqref="B709:B710">
    <cfRule type="expression" dxfId="8707" priority="10194">
      <formula>$HY710="Green"</formula>
    </cfRule>
    <cfRule type="expression" dxfId="8706" priority="10195">
      <formula>$HY710="White"</formula>
    </cfRule>
  </conditionalFormatting>
  <conditionalFormatting sqref="B709:B710">
    <cfRule type="expression" dxfId="8705" priority="10193">
      <formula>$HY710="Yellow"</formula>
    </cfRule>
  </conditionalFormatting>
  <conditionalFormatting sqref="B709:B710">
    <cfRule type="expression" dxfId="8704" priority="10192">
      <formula>$HY710="Red"</formula>
    </cfRule>
  </conditionalFormatting>
  <conditionalFormatting sqref="AU712">
    <cfRule type="expression" dxfId="8703" priority="10191">
      <formula>$E711=""</formula>
    </cfRule>
  </conditionalFormatting>
  <conditionalFormatting sqref="AV709:AW712">
    <cfRule type="expression" dxfId="8702" priority="10190">
      <formula>$G709=""</formula>
    </cfRule>
  </conditionalFormatting>
  <conditionalFormatting sqref="AU718">
    <cfRule type="expression" dxfId="8701" priority="10131">
      <formula>$E718=""</formula>
    </cfRule>
  </conditionalFormatting>
  <conditionalFormatting sqref="AU717">
    <cfRule type="expression" dxfId="8700" priority="10130">
      <formula>$E717=""</formula>
    </cfRule>
  </conditionalFormatting>
  <conditionalFormatting sqref="AU719">
    <cfRule type="expression" dxfId="8699" priority="10129">
      <formula>#REF!=""</formula>
    </cfRule>
  </conditionalFormatting>
  <conditionalFormatting sqref="B717:B718">
    <cfRule type="expression" dxfId="8698" priority="10127">
      <formula>$HY718="Green"</formula>
    </cfRule>
    <cfRule type="expression" dxfId="8697" priority="10128">
      <formula>$HY718="White"</formula>
    </cfRule>
  </conditionalFormatting>
  <conditionalFormatting sqref="B717:B718">
    <cfRule type="expression" dxfId="8696" priority="10126">
      <formula>$HY718="Yellow"</formula>
    </cfRule>
  </conditionalFormatting>
  <conditionalFormatting sqref="B717:B718">
    <cfRule type="expression" dxfId="8695" priority="10125">
      <formula>$HY718="Red"</formula>
    </cfRule>
  </conditionalFormatting>
  <conditionalFormatting sqref="AU720">
    <cfRule type="expression" dxfId="8694" priority="10124">
      <formula>$E719=""</formula>
    </cfRule>
  </conditionalFormatting>
  <conditionalFormatting sqref="AV717:AW720">
    <cfRule type="expression" dxfId="8693" priority="10123">
      <formula>$G717=""</formula>
    </cfRule>
  </conditionalFormatting>
  <conditionalFormatting sqref="AU723">
    <cfRule type="expression" dxfId="8692" priority="10064">
      <formula>$E723=""</formula>
    </cfRule>
  </conditionalFormatting>
  <conditionalFormatting sqref="AU722">
    <cfRule type="expression" dxfId="8691" priority="10063">
      <formula>$E722=""</formula>
    </cfRule>
  </conditionalFormatting>
  <conditionalFormatting sqref="AU724">
    <cfRule type="expression" dxfId="8690" priority="10062">
      <formula>#REF!=""</formula>
    </cfRule>
  </conditionalFormatting>
  <conditionalFormatting sqref="B722:B723">
    <cfRule type="expression" dxfId="8689" priority="10060">
      <formula>$HY723="Green"</formula>
    </cfRule>
    <cfRule type="expression" dxfId="8688" priority="10061">
      <formula>$HY723="White"</formula>
    </cfRule>
  </conditionalFormatting>
  <conditionalFormatting sqref="B722:B723">
    <cfRule type="expression" dxfId="8687" priority="10059">
      <formula>$HY723="Yellow"</formula>
    </cfRule>
  </conditionalFormatting>
  <conditionalFormatting sqref="B722:B723">
    <cfRule type="expression" dxfId="8686" priority="10058">
      <formula>$HY723="Red"</formula>
    </cfRule>
  </conditionalFormatting>
  <conditionalFormatting sqref="AU725">
    <cfRule type="expression" dxfId="8685" priority="10057">
      <formula>$E724=""</formula>
    </cfRule>
  </conditionalFormatting>
  <conditionalFormatting sqref="AV722:AW725">
    <cfRule type="expression" dxfId="8684" priority="10056">
      <formula>$G722=""</formula>
    </cfRule>
  </conditionalFormatting>
  <conditionalFormatting sqref="AU728">
    <cfRule type="expression" dxfId="8683" priority="9997">
      <formula>$E728=""</formula>
    </cfRule>
  </conditionalFormatting>
  <conditionalFormatting sqref="AU727">
    <cfRule type="expression" dxfId="8682" priority="9996">
      <formula>$E727=""</formula>
    </cfRule>
  </conditionalFormatting>
  <conditionalFormatting sqref="AU729">
    <cfRule type="expression" dxfId="8681" priority="9995">
      <formula>#REF!=""</formula>
    </cfRule>
  </conditionalFormatting>
  <conditionalFormatting sqref="B727:B728">
    <cfRule type="expression" dxfId="8680" priority="9993">
      <formula>$HY728="Green"</formula>
    </cfRule>
    <cfRule type="expression" dxfId="8679" priority="9994">
      <formula>$HY728="White"</formula>
    </cfRule>
  </conditionalFormatting>
  <conditionalFormatting sqref="B727:B728">
    <cfRule type="expression" dxfId="8678" priority="9992">
      <formula>$HY728="Yellow"</formula>
    </cfRule>
  </conditionalFormatting>
  <conditionalFormatting sqref="B727:B728">
    <cfRule type="expression" dxfId="8677" priority="9991">
      <formula>$HY728="Red"</formula>
    </cfRule>
  </conditionalFormatting>
  <conditionalFormatting sqref="AU730">
    <cfRule type="expression" dxfId="8676" priority="9990">
      <formula>$E729=""</formula>
    </cfRule>
  </conditionalFormatting>
  <conditionalFormatting sqref="AV727:AW730">
    <cfRule type="expression" dxfId="8675" priority="9989">
      <formula>$G727=""</formula>
    </cfRule>
  </conditionalFormatting>
  <conditionalFormatting sqref="AU733">
    <cfRule type="expression" dxfId="8674" priority="9930">
      <formula>$E733=""</formula>
    </cfRule>
  </conditionalFormatting>
  <conditionalFormatting sqref="AU732">
    <cfRule type="expression" dxfId="8673" priority="9929">
      <formula>$E732=""</formula>
    </cfRule>
  </conditionalFormatting>
  <conditionalFormatting sqref="AU734">
    <cfRule type="expression" dxfId="8672" priority="9928">
      <formula>#REF!=""</formula>
    </cfRule>
  </conditionalFormatting>
  <conditionalFormatting sqref="B732:B733">
    <cfRule type="expression" dxfId="8671" priority="9926">
      <formula>$HY733="Green"</formula>
    </cfRule>
    <cfRule type="expression" dxfId="8670" priority="9927">
      <formula>$HY733="White"</formula>
    </cfRule>
  </conditionalFormatting>
  <conditionalFormatting sqref="B732:B733">
    <cfRule type="expression" dxfId="8669" priority="9925">
      <formula>$HY733="Yellow"</formula>
    </cfRule>
  </conditionalFormatting>
  <conditionalFormatting sqref="B732:B733">
    <cfRule type="expression" dxfId="8668" priority="9924">
      <formula>$HY733="Red"</formula>
    </cfRule>
  </conditionalFormatting>
  <conditionalFormatting sqref="AU735">
    <cfRule type="expression" dxfId="8667" priority="9923">
      <formula>$E734=""</formula>
    </cfRule>
  </conditionalFormatting>
  <conditionalFormatting sqref="AV732:AW735">
    <cfRule type="expression" dxfId="8666" priority="9922">
      <formula>$G732=""</formula>
    </cfRule>
  </conditionalFormatting>
  <conditionalFormatting sqref="AU738">
    <cfRule type="expression" dxfId="8665" priority="9863">
      <formula>$E738=""</formula>
    </cfRule>
  </conditionalFormatting>
  <conditionalFormatting sqref="AU737">
    <cfRule type="expression" dxfId="8664" priority="9862">
      <formula>$E737=""</formula>
    </cfRule>
  </conditionalFormatting>
  <conditionalFormatting sqref="AU739">
    <cfRule type="expression" dxfId="8663" priority="9861">
      <formula>#REF!=""</formula>
    </cfRule>
  </conditionalFormatting>
  <conditionalFormatting sqref="B737:B738">
    <cfRule type="expression" dxfId="8662" priority="9859">
      <formula>$HY738="Green"</formula>
    </cfRule>
    <cfRule type="expression" dxfId="8661" priority="9860">
      <formula>$HY738="White"</formula>
    </cfRule>
  </conditionalFormatting>
  <conditionalFormatting sqref="B737:B738">
    <cfRule type="expression" dxfId="8660" priority="9858">
      <formula>$HY738="Yellow"</formula>
    </cfRule>
  </conditionalFormatting>
  <conditionalFormatting sqref="B737:B738">
    <cfRule type="expression" dxfId="8659" priority="9857">
      <formula>$HY738="Red"</formula>
    </cfRule>
  </conditionalFormatting>
  <conditionalFormatting sqref="AU740">
    <cfRule type="expression" dxfId="8658" priority="9856">
      <formula>$E739=""</formula>
    </cfRule>
  </conditionalFormatting>
  <conditionalFormatting sqref="AV737:AW740">
    <cfRule type="expression" dxfId="8657" priority="9855">
      <formula>$G737=""</formula>
    </cfRule>
  </conditionalFormatting>
  <conditionalFormatting sqref="AU743">
    <cfRule type="expression" dxfId="8656" priority="9796">
      <formula>$E743=""</formula>
    </cfRule>
  </conditionalFormatting>
  <conditionalFormatting sqref="AU742">
    <cfRule type="expression" dxfId="8655" priority="9795">
      <formula>$E742=""</formula>
    </cfRule>
  </conditionalFormatting>
  <conditionalFormatting sqref="AU744">
    <cfRule type="expression" dxfId="8654" priority="9794">
      <formula>#REF!=""</formula>
    </cfRule>
  </conditionalFormatting>
  <conditionalFormatting sqref="B742:B743">
    <cfRule type="expression" dxfId="8653" priority="9792">
      <formula>$HY743="Green"</formula>
    </cfRule>
    <cfRule type="expression" dxfId="8652" priority="9793">
      <formula>$HY743="White"</formula>
    </cfRule>
  </conditionalFormatting>
  <conditionalFormatting sqref="B742:B743">
    <cfRule type="expression" dxfId="8651" priority="9791">
      <formula>$HY743="Yellow"</formula>
    </cfRule>
  </conditionalFormatting>
  <conditionalFormatting sqref="B742:B743">
    <cfRule type="expression" dxfId="8650" priority="9790">
      <formula>$HY743="Red"</formula>
    </cfRule>
  </conditionalFormatting>
  <conditionalFormatting sqref="AU745">
    <cfRule type="expression" dxfId="8649" priority="9789">
      <formula>$E744=""</formula>
    </cfRule>
  </conditionalFormatting>
  <conditionalFormatting sqref="AV742:AW745">
    <cfRule type="expression" dxfId="8648" priority="9788">
      <formula>$G742=""</formula>
    </cfRule>
  </conditionalFormatting>
  <conditionalFormatting sqref="AU748">
    <cfRule type="expression" dxfId="8647" priority="9729">
      <formula>$E748=""</formula>
    </cfRule>
  </conditionalFormatting>
  <conditionalFormatting sqref="AU747">
    <cfRule type="expression" dxfId="8646" priority="9728">
      <formula>$E747=""</formula>
    </cfRule>
  </conditionalFormatting>
  <conditionalFormatting sqref="AU749">
    <cfRule type="expression" dxfId="8645" priority="9727">
      <formula>#REF!=""</formula>
    </cfRule>
  </conditionalFormatting>
  <conditionalFormatting sqref="B747:B748">
    <cfRule type="expression" dxfId="8644" priority="9725">
      <formula>$HY748="Green"</formula>
    </cfRule>
    <cfRule type="expression" dxfId="8643" priority="9726">
      <formula>$HY748="White"</formula>
    </cfRule>
  </conditionalFormatting>
  <conditionalFormatting sqref="B747:B748">
    <cfRule type="expression" dxfId="8642" priority="9724">
      <formula>$HY748="Yellow"</formula>
    </cfRule>
  </conditionalFormatting>
  <conditionalFormatting sqref="B747:B748">
    <cfRule type="expression" dxfId="8641" priority="9723">
      <formula>$HY748="Red"</formula>
    </cfRule>
  </conditionalFormatting>
  <conditionalFormatting sqref="AU750">
    <cfRule type="expression" dxfId="8640" priority="9722">
      <formula>$E749=""</formula>
    </cfRule>
  </conditionalFormatting>
  <conditionalFormatting sqref="AV747:AW750">
    <cfRule type="expression" dxfId="8639" priority="9721">
      <formula>$G747=""</formula>
    </cfRule>
  </conditionalFormatting>
  <conditionalFormatting sqref="AU753">
    <cfRule type="expression" dxfId="8638" priority="9662">
      <formula>$E753=""</formula>
    </cfRule>
  </conditionalFormatting>
  <conditionalFormatting sqref="AU752">
    <cfRule type="expression" dxfId="8637" priority="9661">
      <formula>$E752=""</formula>
    </cfRule>
  </conditionalFormatting>
  <conditionalFormatting sqref="AU754">
    <cfRule type="expression" dxfId="8636" priority="9660">
      <formula>#REF!=""</formula>
    </cfRule>
  </conditionalFormatting>
  <conditionalFormatting sqref="B752:B753">
    <cfRule type="expression" dxfId="8635" priority="9658">
      <formula>$HY753="Green"</formula>
    </cfRule>
    <cfRule type="expression" dxfId="8634" priority="9659">
      <formula>$HY753="White"</formula>
    </cfRule>
  </conditionalFormatting>
  <conditionalFormatting sqref="B752:B753">
    <cfRule type="expression" dxfId="8633" priority="9657">
      <formula>$HY753="Yellow"</formula>
    </cfRule>
  </conditionalFormatting>
  <conditionalFormatting sqref="B752:B753">
    <cfRule type="expression" dxfId="8632" priority="9656">
      <formula>$HY753="Red"</formula>
    </cfRule>
  </conditionalFormatting>
  <conditionalFormatting sqref="AU755">
    <cfRule type="expression" dxfId="8631" priority="9655">
      <formula>$E754=""</formula>
    </cfRule>
  </conditionalFormatting>
  <conditionalFormatting sqref="AV752:AW755">
    <cfRule type="expression" dxfId="8630" priority="9654">
      <formula>$G752=""</formula>
    </cfRule>
  </conditionalFormatting>
  <conditionalFormatting sqref="AU758">
    <cfRule type="expression" dxfId="8629" priority="9595">
      <formula>$E758=""</formula>
    </cfRule>
  </conditionalFormatting>
  <conditionalFormatting sqref="AU757">
    <cfRule type="expression" dxfId="8628" priority="9594">
      <formula>$E757=""</formula>
    </cfRule>
  </conditionalFormatting>
  <conditionalFormatting sqref="AU759">
    <cfRule type="expression" dxfId="8627" priority="9593">
      <formula>#REF!=""</formula>
    </cfRule>
  </conditionalFormatting>
  <conditionalFormatting sqref="B757:B758">
    <cfRule type="expression" dxfId="8626" priority="9591">
      <formula>$HY758="Green"</formula>
    </cfRule>
    <cfRule type="expression" dxfId="8625" priority="9592">
      <formula>$HY758="White"</formula>
    </cfRule>
  </conditionalFormatting>
  <conditionalFormatting sqref="B757:B758">
    <cfRule type="expression" dxfId="8624" priority="9590">
      <formula>$HY758="Yellow"</formula>
    </cfRule>
  </conditionalFormatting>
  <conditionalFormatting sqref="B757:B758">
    <cfRule type="expression" dxfId="8623" priority="9589">
      <formula>$HY758="Red"</formula>
    </cfRule>
  </conditionalFormatting>
  <conditionalFormatting sqref="AU760">
    <cfRule type="expression" dxfId="8622" priority="9588">
      <formula>$E759=""</formula>
    </cfRule>
  </conditionalFormatting>
  <conditionalFormatting sqref="AV757:AW760">
    <cfRule type="expression" dxfId="8621" priority="9587">
      <formula>$G757=""</formula>
    </cfRule>
  </conditionalFormatting>
  <conditionalFormatting sqref="AU763">
    <cfRule type="expression" dxfId="8620" priority="9528">
      <formula>$E763=""</formula>
    </cfRule>
  </conditionalFormatting>
  <conditionalFormatting sqref="AU762">
    <cfRule type="expression" dxfId="8619" priority="9527">
      <formula>$E762=""</formula>
    </cfRule>
  </conditionalFormatting>
  <conditionalFormatting sqref="AU764">
    <cfRule type="expression" dxfId="8618" priority="9526">
      <formula>#REF!=""</formula>
    </cfRule>
  </conditionalFormatting>
  <conditionalFormatting sqref="B762:B763">
    <cfRule type="expression" dxfId="8617" priority="9524">
      <formula>$HY763="Green"</formula>
    </cfRule>
    <cfRule type="expression" dxfId="8616" priority="9525">
      <formula>$HY763="White"</formula>
    </cfRule>
  </conditionalFormatting>
  <conditionalFormatting sqref="B762:B763">
    <cfRule type="expression" dxfId="8615" priority="9523">
      <formula>$HY763="Yellow"</formula>
    </cfRule>
  </conditionalFormatting>
  <conditionalFormatting sqref="B762:B763">
    <cfRule type="expression" dxfId="8614" priority="9522">
      <formula>$HY763="Red"</formula>
    </cfRule>
  </conditionalFormatting>
  <conditionalFormatting sqref="AU765">
    <cfRule type="expression" dxfId="8613" priority="9521">
      <formula>$E764=""</formula>
    </cfRule>
  </conditionalFormatting>
  <conditionalFormatting sqref="AV762:AW765">
    <cfRule type="expression" dxfId="8612" priority="9520">
      <formula>$G762=""</formula>
    </cfRule>
  </conditionalFormatting>
  <conditionalFormatting sqref="AU768">
    <cfRule type="expression" dxfId="8611" priority="9461">
      <formula>$E768=""</formula>
    </cfRule>
  </conditionalFormatting>
  <conditionalFormatting sqref="AU767">
    <cfRule type="expression" dxfId="8610" priority="9460">
      <formula>$E767=""</formula>
    </cfRule>
  </conditionalFormatting>
  <conditionalFormatting sqref="AU769">
    <cfRule type="expression" dxfId="8609" priority="9459">
      <formula>#REF!=""</formula>
    </cfRule>
  </conditionalFormatting>
  <conditionalFormatting sqref="B767:B768">
    <cfRule type="expression" dxfId="8608" priority="9457">
      <formula>$HY768="Green"</formula>
    </cfRule>
    <cfRule type="expression" dxfId="8607" priority="9458">
      <formula>$HY768="White"</formula>
    </cfRule>
  </conditionalFormatting>
  <conditionalFormatting sqref="B767:B768">
    <cfRule type="expression" dxfId="8606" priority="9456">
      <formula>$HY768="Yellow"</formula>
    </cfRule>
  </conditionalFormatting>
  <conditionalFormatting sqref="B767:B768">
    <cfRule type="expression" dxfId="8605" priority="9455">
      <formula>$HY768="Red"</formula>
    </cfRule>
  </conditionalFormatting>
  <conditionalFormatting sqref="AU770">
    <cfRule type="expression" dxfId="8604" priority="9454">
      <formula>$E769=""</formula>
    </cfRule>
  </conditionalFormatting>
  <conditionalFormatting sqref="AV767:AW770">
    <cfRule type="expression" dxfId="8603" priority="9453">
      <formula>$G767=""</formula>
    </cfRule>
  </conditionalFormatting>
  <conditionalFormatting sqref="AU773">
    <cfRule type="expression" dxfId="8602" priority="9394">
      <formula>$E773=""</formula>
    </cfRule>
  </conditionalFormatting>
  <conditionalFormatting sqref="AU772">
    <cfRule type="expression" dxfId="8601" priority="9393">
      <formula>$E772=""</formula>
    </cfRule>
  </conditionalFormatting>
  <conditionalFormatting sqref="AU774">
    <cfRule type="expression" dxfId="8600" priority="9392">
      <formula>#REF!=""</formula>
    </cfRule>
  </conditionalFormatting>
  <conditionalFormatting sqref="B772:B773">
    <cfRule type="expression" dxfId="8599" priority="9390">
      <formula>$HY773="Green"</formula>
    </cfRule>
    <cfRule type="expression" dxfId="8598" priority="9391">
      <formula>$HY773="White"</formula>
    </cfRule>
  </conditionalFormatting>
  <conditionalFormatting sqref="B772:B773">
    <cfRule type="expression" dxfId="8597" priority="9389">
      <formula>$HY773="Yellow"</formula>
    </cfRule>
  </conditionalFormatting>
  <conditionalFormatting sqref="B772:B773">
    <cfRule type="expression" dxfId="8596" priority="9388">
      <formula>$HY773="Red"</formula>
    </cfRule>
  </conditionalFormatting>
  <conditionalFormatting sqref="AU775">
    <cfRule type="expression" dxfId="8595" priority="9387">
      <formula>$E774=""</formula>
    </cfRule>
  </conditionalFormatting>
  <conditionalFormatting sqref="AV772:AW775">
    <cfRule type="expression" dxfId="8594" priority="9386">
      <formula>$G772=""</formula>
    </cfRule>
  </conditionalFormatting>
  <conditionalFormatting sqref="AU778">
    <cfRule type="expression" dxfId="8593" priority="9327">
      <formula>$E778=""</formula>
    </cfRule>
  </conditionalFormatting>
  <conditionalFormatting sqref="AU777">
    <cfRule type="expression" dxfId="8592" priority="9326">
      <formula>$E777=""</formula>
    </cfRule>
  </conditionalFormatting>
  <conditionalFormatting sqref="AU779">
    <cfRule type="expression" dxfId="8591" priority="9325">
      <formula>#REF!=""</formula>
    </cfRule>
  </conditionalFormatting>
  <conditionalFormatting sqref="B777:B778">
    <cfRule type="expression" dxfId="8590" priority="9323">
      <formula>$HY778="Green"</formula>
    </cfRule>
    <cfRule type="expression" dxfId="8589" priority="9324">
      <formula>$HY778="White"</formula>
    </cfRule>
  </conditionalFormatting>
  <conditionalFormatting sqref="B777:B778">
    <cfRule type="expression" dxfId="8588" priority="9322">
      <formula>$HY778="Yellow"</formula>
    </cfRule>
  </conditionalFormatting>
  <conditionalFormatting sqref="B777:B778">
    <cfRule type="expression" dxfId="8587" priority="9321">
      <formula>$HY778="Red"</formula>
    </cfRule>
  </conditionalFormatting>
  <conditionalFormatting sqref="AU780">
    <cfRule type="expression" dxfId="8586" priority="9320">
      <formula>$E779=""</formula>
    </cfRule>
  </conditionalFormatting>
  <conditionalFormatting sqref="AV777:AW780">
    <cfRule type="expression" dxfId="8585" priority="9319">
      <formula>$G777=""</formula>
    </cfRule>
  </conditionalFormatting>
  <conditionalFormatting sqref="AU783">
    <cfRule type="expression" dxfId="8584" priority="9260">
      <formula>$E783=""</formula>
    </cfRule>
  </conditionalFormatting>
  <conditionalFormatting sqref="AU782">
    <cfRule type="expression" dxfId="8583" priority="9259">
      <formula>$E782=""</formula>
    </cfRule>
  </conditionalFormatting>
  <conditionalFormatting sqref="AU784">
    <cfRule type="expression" dxfId="8582" priority="9258">
      <formula>#REF!=""</formula>
    </cfRule>
  </conditionalFormatting>
  <conditionalFormatting sqref="B782:B783">
    <cfRule type="expression" dxfId="8581" priority="9256">
      <formula>$HY783="Green"</formula>
    </cfRule>
    <cfRule type="expression" dxfId="8580" priority="9257">
      <formula>$HY783="White"</formula>
    </cfRule>
  </conditionalFormatting>
  <conditionalFormatting sqref="B782:B783">
    <cfRule type="expression" dxfId="8579" priority="9255">
      <formula>$HY783="Yellow"</formula>
    </cfRule>
  </conditionalFormatting>
  <conditionalFormatting sqref="B782:B783">
    <cfRule type="expression" dxfId="8578" priority="9254">
      <formula>$HY783="Red"</formula>
    </cfRule>
  </conditionalFormatting>
  <conditionalFormatting sqref="AU785">
    <cfRule type="expression" dxfId="8577" priority="9253">
      <formula>$E784=""</formula>
    </cfRule>
  </conditionalFormatting>
  <conditionalFormatting sqref="AV782:AW785">
    <cfRule type="expression" dxfId="8576" priority="9252">
      <formula>$G782=""</formula>
    </cfRule>
  </conditionalFormatting>
  <conditionalFormatting sqref="AU788">
    <cfRule type="expression" dxfId="8575" priority="9193">
      <formula>$E788=""</formula>
    </cfRule>
  </conditionalFormatting>
  <conditionalFormatting sqref="AU787">
    <cfRule type="expression" dxfId="8574" priority="9192">
      <formula>$E787=""</formula>
    </cfRule>
  </conditionalFormatting>
  <conditionalFormatting sqref="AU789">
    <cfRule type="expression" dxfId="8573" priority="9191">
      <formula>#REF!=""</formula>
    </cfRule>
  </conditionalFormatting>
  <conditionalFormatting sqref="B787:B788">
    <cfRule type="expression" dxfId="8572" priority="9189">
      <formula>$HY788="Green"</formula>
    </cfRule>
    <cfRule type="expression" dxfId="8571" priority="9190">
      <formula>$HY788="White"</formula>
    </cfRule>
  </conditionalFormatting>
  <conditionalFormatting sqref="B787:B788">
    <cfRule type="expression" dxfId="8570" priority="9188">
      <formula>$HY788="Yellow"</formula>
    </cfRule>
  </conditionalFormatting>
  <conditionalFormatting sqref="B787:B788">
    <cfRule type="expression" dxfId="8569" priority="9187">
      <formula>$HY788="Red"</formula>
    </cfRule>
  </conditionalFormatting>
  <conditionalFormatting sqref="AU790">
    <cfRule type="expression" dxfId="8568" priority="9186">
      <formula>$E789=""</formula>
    </cfRule>
  </conditionalFormatting>
  <conditionalFormatting sqref="AV787:AW790">
    <cfRule type="expression" dxfId="8567" priority="9185">
      <formula>$G787=""</formula>
    </cfRule>
  </conditionalFormatting>
  <conditionalFormatting sqref="AE52">
    <cfRule type="expression" dxfId="8566" priority="9112" stopIfTrue="1">
      <formula>$G50=""</formula>
    </cfRule>
  </conditionalFormatting>
  <conditionalFormatting sqref="AB53:AD53">
    <cfRule type="expression" dxfId="8565" priority="9124" stopIfTrue="1">
      <formula>$G50=""</formula>
    </cfRule>
  </conditionalFormatting>
  <conditionalFormatting sqref="G52">
    <cfRule type="expression" dxfId="8564" priority="9121" stopIfTrue="1">
      <formula>$G50=""</formula>
    </cfRule>
    <cfRule type="containsBlanks" dxfId="8563" priority="9122" stopIfTrue="1">
      <formula>LEN(TRIM(G52))=0</formula>
    </cfRule>
    <cfRule type="expression" dxfId="8562" priority="9123">
      <formula>OR($M52=0,$HC51=FALSE)</formula>
    </cfRule>
  </conditionalFormatting>
  <conditionalFormatting sqref="AB53">
    <cfRule type="expression" dxfId="8561" priority="9120" stopIfTrue="1">
      <formula>$AB53=""</formula>
    </cfRule>
  </conditionalFormatting>
  <conditionalFormatting sqref="AE51:AF51">
    <cfRule type="expression" dxfId="8560" priority="9119">
      <formula>$C$36=2</formula>
    </cfRule>
  </conditionalFormatting>
  <conditionalFormatting sqref="T52:U52">
    <cfRule type="expression" dxfId="8559" priority="9094" stopIfTrue="1">
      <formula>$G50=""</formula>
    </cfRule>
  </conditionalFormatting>
  <conditionalFormatting sqref="T52:U52">
    <cfRule type="containsBlanks" dxfId="8558" priority="9117" stopIfTrue="1">
      <formula>LEN(TRIM(T52))=0</formula>
    </cfRule>
  </conditionalFormatting>
  <conditionalFormatting sqref="AC50:AD50">
    <cfRule type="expression" dxfId="8557" priority="9116">
      <formula>$G50=""</formula>
    </cfRule>
  </conditionalFormatting>
  <conditionalFormatting sqref="AE51">
    <cfRule type="containsBlanks" dxfId="8556" priority="9114">
      <formula>LEN(TRIM(AE51))=0</formula>
    </cfRule>
  </conditionalFormatting>
  <conditionalFormatting sqref="AE52 AF53">
    <cfRule type="containsBlanks" dxfId="8555" priority="9113" stopIfTrue="1">
      <formula>LEN(TRIM(AE52))=0</formula>
    </cfRule>
  </conditionalFormatting>
  <conditionalFormatting sqref="AE52">
    <cfRule type="expression" dxfId="8554" priority="9125">
      <formula>OR($HN51=FALSE,$HO51=FALSE)</formula>
    </cfRule>
  </conditionalFormatting>
  <conditionalFormatting sqref="G51:Q51 G50">
    <cfRule type="containsBlanks" dxfId="8553" priority="9111">
      <formula>LEN(TRIM(G50))=0</formula>
    </cfRule>
  </conditionalFormatting>
  <conditionalFormatting sqref="G51:L51">
    <cfRule type="expression" dxfId="8552" priority="9109" stopIfTrue="1">
      <formula>$G50=""</formula>
    </cfRule>
    <cfRule type="containsBlanks" dxfId="8551" priority="9110">
      <formula>LEN(TRIM(G51))=0</formula>
    </cfRule>
  </conditionalFormatting>
  <conditionalFormatting sqref="R52">
    <cfRule type="expression" dxfId="8550" priority="9107" stopIfTrue="1">
      <formula>$G50=""</formula>
    </cfRule>
    <cfRule type="containsBlanks" dxfId="8549" priority="9108">
      <formula>LEN(TRIM(R52))=0</formula>
    </cfRule>
  </conditionalFormatting>
  <conditionalFormatting sqref="P52:R52">
    <cfRule type="expression" dxfId="8548" priority="9106">
      <formula>$C$36=0</formula>
    </cfRule>
  </conditionalFormatting>
  <conditionalFormatting sqref="AF51">
    <cfRule type="containsBlanks" dxfId="8547" priority="9102">
      <formula>LEN(TRIM(AF51))=0</formula>
    </cfRule>
    <cfRule type="expression" dxfId="8546" priority="9103">
      <formula>$HJ51=FALSE</formula>
    </cfRule>
  </conditionalFormatting>
  <conditionalFormatting sqref="AF53">
    <cfRule type="expression" dxfId="8545" priority="9101">
      <formula>$C$36=2</formula>
    </cfRule>
  </conditionalFormatting>
  <conditionalFormatting sqref="R51">
    <cfRule type="containsBlanks" dxfId="8544" priority="9100">
      <formula>LEN(TRIM(R51))=0</formula>
    </cfRule>
  </conditionalFormatting>
  <conditionalFormatting sqref="AE51:AF51">
    <cfRule type="expression" dxfId="8543" priority="9099" stopIfTrue="1">
      <formula>$G50=""</formula>
    </cfRule>
  </conditionalFormatting>
  <conditionalFormatting sqref="AF53">
    <cfRule type="expression" dxfId="8542" priority="9098" stopIfTrue="1">
      <formula>$G50=""</formula>
    </cfRule>
  </conditionalFormatting>
  <conditionalFormatting sqref="AF50:AI50">
    <cfRule type="expression" dxfId="8541" priority="9097">
      <formula>$C$36&lt;&gt;0</formula>
    </cfRule>
  </conditionalFormatting>
  <conditionalFormatting sqref="R51">
    <cfRule type="containsBlanks" dxfId="8540" priority="9095">
      <formula>LEN(TRIM(R51))=0</formula>
    </cfRule>
  </conditionalFormatting>
  <conditionalFormatting sqref="U52">
    <cfRule type="expression" dxfId="8539" priority="9118">
      <formula>OR($HF51=FALSE,$HG51=FALSE)</formula>
    </cfRule>
  </conditionalFormatting>
  <conditionalFormatting sqref="R51">
    <cfRule type="expression" dxfId="8538" priority="9092" stopIfTrue="1">
      <formula>$G50=""</formula>
    </cfRule>
    <cfRule type="expression" dxfId="8537" priority="9093">
      <formula>$HT51=FALSE</formula>
    </cfRule>
  </conditionalFormatting>
  <conditionalFormatting sqref="G53">
    <cfRule type="expression" dxfId="8536" priority="9087" stopIfTrue="1">
      <formula>$G50=""</formula>
    </cfRule>
  </conditionalFormatting>
  <conditionalFormatting sqref="G53">
    <cfRule type="expression" dxfId="8535" priority="9081" stopIfTrue="1">
      <formula>$CN50="Exterior"</formula>
    </cfRule>
  </conditionalFormatting>
  <conditionalFormatting sqref="G53:L53">
    <cfRule type="containsBlanks" dxfId="8534" priority="9088" stopIfTrue="1">
      <formula>LEN(TRIM(G53))=0</formula>
    </cfRule>
    <cfRule type="expression" dxfId="8533" priority="9090">
      <formula>$HL51=FALSE</formula>
    </cfRule>
  </conditionalFormatting>
  <conditionalFormatting sqref="AF52">
    <cfRule type="expression" dxfId="8532" priority="9082" stopIfTrue="1">
      <formula>$G50=""</formula>
    </cfRule>
  </conditionalFormatting>
  <conditionalFormatting sqref="AF52:AI52">
    <cfRule type="expression" dxfId="8531" priority="9086">
      <formula>OR($HP51=FALSE,$HL51=FALSE)</formula>
    </cfRule>
  </conditionalFormatting>
  <conditionalFormatting sqref="AF52">
    <cfRule type="containsBlanks" dxfId="8530" priority="9083" stopIfTrue="1">
      <formula>LEN(TRIM(AF52))=0</formula>
    </cfRule>
    <cfRule type="expression" dxfId="8529" priority="9084">
      <formula>$DP50=7</formula>
    </cfRule>
    <cfRule type="expression" dxfId="8528" priority="9085">
      <formula>OR($HK51=FALSE,$HM51=FALSE)</formula>
    </cfRule>
  </conditionalFormatting>
  <conditionalFormatting sqref="G53:L53">
    <cfRule type="expression" dxfId="8527" priority="9089" stopIfTrue="1">
      <formula>$AF52=""</formula>
    </cfRule>
  </conditionalFormatting>
  <conditionalFormatting sqref="T51:U51">
    <cfRule type="expression" dxfId="8526" priority="9078" stopIfTrue="1">
      <formula>$C$36&lt;&gt;0</formula>
    </cfRule>
    <cfRule type="containsBlanks" dxfId="8525" priority="9079" stopIfTrue="1">
      <formula>LEN(TRIM(T51))=0</formula>
    </cfRule>
  </conditionalFormatting>
  <conditionalFormatting sqref="T51:U51">
    <cfRule type="expression" dxfId="8524" priority="9077" stopIfTrue="1">
      <formula>$G50=""</formula>
    </cfRule>
  </conditionalFormatting>
  <conditionalFormatting sqref="U51">
    <cfRule type="expression" dxfId="8523" priority="9080">
      <formula>$HE51=FALSE</formula>
    </cfRule>
  </conditionalFormatting>
  <conditionalFormatting sqref="T53">
    <cfRule type="expression" dxfId="8522" priority="9076">
      <formula>$C$36=2</formula>
    </cfRule>
  </conditionalFormatting>
  <conditionalFormatting sqref="AE57">
    <cfRule type="expression" dxfId="8521" priority="9062" stopIfTrue="1">
      <formula>$G55=""</formula>
    </cfRule>
  </conditionalFormatting>
  <conditionalFormatting sqref="AB58:AD58">
    <cfRule type="expression" dxfId="8520" priority="9074" stopIfTrue="1">
      <formula>$G55=""</formula>
    </cfRule>
  </conditionalFormatting>
  <conditionalFormatting sqref="G57">
    <cfRule type="expression" dxfId="8519" priority="9071" stopIfTrue="1">
      <formula>$G55=""</formula>
    </cfRule>
    <cfRule type="containsBlanks" dxfId="8518" priority="9072" stopIfTrue="1">
      <formula>LEN(TRIM(G57))=0</formula>
    </cfRule>
    <cfRule type="expression" dxfId="8517" priority="9073">
      <formula>OR($M57=0,$HC56=FALSE)</formula>
    </cfRule>
  </conditionalFormatting>
  <conditionalFormatting sqref="AB58">
    <cfRule type="expression" dxfId="8516" priority="9070" stopIfTrue="1">
      <formula>$AB58=""</formula>
    </cfRule>
  </conditionalFormatting>
  <conditionalFormatting sqref="AE56:AF56">
    <cfRule type="expression" dxfId="8515" priority="9069">
      <formula>$C$36=2</formula>
    </cfRule>
  </conditionalFormatting>
  <conditionalFormatting sqref="T57:U57">
    <cfRule type="expression" dxfId="8514" priority="9044" stopIfTrue="1">
      <formula>$G55=""</formula>
    </cfRule>
  </conditionalFormatting>
  <conditionalFormatting sqref="T57:U57">
    <cfRule type="containsBlanks" dxfId="8513" priority="9067" stopIfTrue="1">
      <formula>LEN(TRIM(T57))=0</formula>
    </cfRule>
  </conditionalFormatting>
  <conditionalFormatting sqref="AC55:AD55">
    <cfRule type="expression" dxfId="8512" priority="9066">
      <formula>$G55=""</formula>
    </cfRule>
  </conditionalFormatting>
  <conditionalFormatting sqref="AE56">
    <cfRule type="containsBlanks" dxfId="8511" priority="9064">
      <formula>LEN(TRIM(AE56))=0</formula>
    </cfRule>
  </conditionalFormatting>
  <conditionalFormatting sqref="AE57 AF58">
    <cfRule type="containsBlanks" dxfId="8510" priority="9063" stopIfTrue="1">
      <formula>LEN(TRIM(AE57))=0</formula>
    </cfRule>
  </conditionalFormatting>
  <conditionalFormatting sqref="AE57">
    <cfRule type="expression" dxfId="8509" priority="9075">
      <formula>OR($HN56=FALSE,$HO56=FALSE)</formula>
    </cfRule>
  </conditionalFormatting>
  <conditionalFormatting sqref="G56:Q56 G55">
    <cfRule type="containsBlanks" dxfId="8508" priority="9061">
      <formula>LEN(TRIM(G55))=0</formula>
    </cfRule>
  </conditionalFormatting>
  <conditionalFormatting sqref="G56:L56">
    <cfRule type="expression" dxfId="8507" priority="9059" stopIfTrue="1">
      <formula>$G55=""</formula>
    </cfRule>
    <cfRule type="containsBlanks" dxfId="8506" priority="9060">
      <formula>LEN(TRIM(G56))=0</formula>
    </cfRule>
  </conditionalFormatting>
  <conditionalFormatting sqref="R57">
    <cfRule type="expression" dxfId="8505" priority="9057" stopIfTrue="1">
      <formula>$G55=""</formula>
    </cfRule>
    <cfRule type="containsBlanks" dxfId="8504" priority="9058">
      <formula>LEN(TRIM(R57))=0</formula>
    </cfRule>
  </conditionalFormatting>
  <conditionalFormatting sqref="P57:R57">
    <cfRule type="expression" dxfId="8503" priority="9056">
      <formula>$C$36=0</formula>
    </cfRule>
  </conditionalFormatting>
  <conditionalFormatting sqref="AF56">
    <cfRule type="containsBlanks" dxfId="8502" priority="9052">
      <formula>LEN(TRIM(AF56))=0</formula>
    </cfRule>
    <cfRule type="expression" dxfId="8501" priority="9053">
      <formula>$HJ56=FALSE</formula>
    </cfRule>
  </conditionalFormatting>
  <conditionalFormatting sqref="AF58">
    <cfRule type="expression" dxfId="8500" priority="9051">
      <formula>$C$36=2</formula>
    </cfRule>
  </conditionalFormatting>
  <conditionalFormatting sqref="R56">
    <cfRule type="containsBlanks" dxfId="8499" priority="9050">
      <formula>LEN(TRIM(R56))=0</formula>
    </cfRule>
  </conditionalFormatting>
  <conditionalFormatting sqref="AE56:AF56">
    <cfRule type="expression" dxfId="8498" priority="9049" stopIfTrue="1">
      <formula>$G55=""</formula>
    </cfRule>
  </conditionalFormatting>
  <conditionalFormatting sqref="AF58">
    <cfRule type="expression" dxfId="8497" priority="9048" stopIfTrue="1">
      <formula>$G55=""</formula>
    </cfRule>
  </conditionalFormatting>
  <conditionalFormatting sqref="AF55:AI55">
    <cfRule type="expression" dxfId="8496" priority="9047">
      <formula>$C$36&lt;&gt;0</formula>
    </cfRule>
  </conditionalFormatting>
  <conditionalFormatting sqref="R56">
    <cfRule type="containsBlanks" dxfId="8495" priority="9045">
      <formula>LEN(TRIM(R56))=0</formula>
    </cfRule>
  </conditionalFormatting>
  <conditionalFormatting sqref="U57">
    <cfRule type="expression" dxfId="8494" priority="9068">
      <formula>OR($HF56=FALSE,$HG56=FALSE)</formula>
    </cfRule>
  </conditionalFormatting>
  <conditionalFormatting sqref="R56">
    <cfRule type="expression" dxfId="8493" priority="9042" stopIfTrue="1">
      <formula>$G55=""</formula>
    </cfRule>
    <cfRule type="expression" dxfId="8492" priority="9043">
      <formula>$HT56=FALSE</formula>
    </cfRule>
  </conditionalFormatting>
  <conditionalFormatting sqref="G58">
    <cfRule type="expression" dxfId="8491" priority="9037" stopIfTrue="1">
      <formula>$G55=""</formula>
    </cfRule>
  </conditionalFormatting>
  <conditionalFormatting sqref="G58">
    <cfRule type="expression" dxfId="8490" priority="9031" stopIfTrue="1">
      <formula>$CN55="Exterior"</formula>
    </cfRule>
  </conditionalFormatting>
  <conditionalFormatting sqref="G58:L58">
    <cfRule type="containsBlanks" dxfId="8489" priority="9038" stopIfTrue="1">
      <formula>LEN(TRIM(G58))=0</formula>
    </cfRule>
    <cfRule type="expression" dxfId="8488" priority="9040">
      <formula>$HL56=FALSE</formula>
    </cfRule>
  </conditionalFormatting>
  <conditionalFormatting sqref="AF57">
    <cfRule type="expression" dxfId="8487" priority="9032" stopIfTrue="1">
      <formula>$G55=""</formula>
    </cfRule>
  </conditionalFormatting>
  <conditionalFormatting sqref="AF57:AI57">
    <cfRule type="expression" dxfId="8486" priority="9036">
      <formula>OR($HP56=FALSE,$HL56=FALSE)</formula>
    </cfRule>
  </conditionalFormatting>
  <conditionalFormatting sqref="AF57">
    <cfRule type="containsBlanks" dxfId="8485" priority="9033" stopIfTrue="1">
      <formula>LEN(TRIM(AF57))=0</formula>
    </cfRule>
    <cfRule type="expression" dxfId="8484" priority="9034">
      <formula>$DP55=7</formula>
    </cfRule>
    <cfRule type="expression" dxfId="8483" priority="9035">
      <formula>OR($HK56=FALSE,$HM56=FALSE)</formula>
    </cfRule>
  </conditionalFormatting>
  <conditionalFormatting sqref="G58:L58">
    <cfRule type="expression" dxfId="8482" priority="9039" stopIfTrue="1">
      <formula>$AF57=""</formula>
    </cfRule>
  </conditionalFormatting>
  <conditionalFormatting sqref="T56:U56">
    <cfRule type="expression" dxfId="8481" priority="9028" stopIfTrue="1">
      <formula>$C$36&lt;&gt;0</formula>
    </cfRule>
    <cfRule type="containsBlanks" dxfId="8480" priority="9029" stopIfTrue="1">
      <formula>LEN(TRIM(T56))=0</formula>
    </cfRule>
  </conditionalFormatting>
  <conditionalFormatting sqref="T56:U56">
    <cfRule type="expression" dxfId="8479" priority="9027" stopIfTrue="1">
      <formula>$G55=""</formula>
    </cfRule>
  </conditionalFormatting>
  <conditionalFormatting sqref="U56">
    <cfRule type="expression" dxfId="8478" priority="9030">
      <formula>$HE56=FALSE</formula>
    </cfRule>
  </conditionalFormatting>
  <conditionalFormatting sqref="T58">
    <cfRule type="expression" dxfId="8477" priority="9026">
      <formula>$C$36=2</formula>
    </cfRule>
  </conditionalFormatting>
  <conditionalFormatting sqref="AE62">
    <cfRule type="expression" dxfId="8476" priority="9012" stopIfTrue="1">
      <formula>$G60=""</formula>
    </cfRule>
  </conditionalFormatting>
  <conditionalFormatting sqref="AB63:AD63">
    <cfRule type="expression" dxfId="8475" priority="9024" stopIfTrue="1">
      <formula>$G60=""</formula>
    </cfRule>
  </conditionalFormatting>
  <conditionalFormatting sqref="G62">
    <cfRule type="expression" dxfId="8474" priority="9021" stopIfTrue="1">
      <formula>$G60=""</formula>
    </cfRule>
    <cfRule type="containsBlanks" dxfId="8473" priority="9022" stopIfTrue="1">
      <formula>LEN(TRIM(G62))=0</formula>
    </cfRule>
    <cfRule type="expression" dxfId="8472" priority="9023">
      <formula>OR($M62=0,$HC61=FALSE)</formula>
    </cfRule>
  </conditionalFormatting>
  <conditionalFormatting sqref="AB63">
    <cfRule type="expression" dxfId="8471" priority="9020" stopIfTrue="1">
      <formula>$AB63=""</formula>
    </cfRule>
  </conditionalFormatting>
  <conditionalFormatting sqref="AE61:AF61">
    <cfRule type="expression" dxfId="8470" priority="9019">
      <formula>$C$36=2</formula>
    </cfRule>
  </conditionalFormatting>
  <conditionalFormatting sqref="T62:U62">
    <cfRule type="expression" dxfId="8469" priority="8994" stopIfTrue="1">
      <formula>$G60=""</formula>
    </cfRule>
  </conditionalFormatting>
  <conditionalFormatting sqref="T62:U62">
    <cfRule type="containsBlanks" dxfId="8468" priority="9017" stopIfTrue="1">
      <formula>LEN(TRIM(T62))=0</formula>
    </cfRule>
  </conditionalFormatting>
  <conditionalFormatting sqref="AC60:AD60">
    <cfRule type="expression" dxfId="8467" priority="9016">
      <formula>$G60=""</formula>
    </cfRule>
  </conditionalFormatting>
  <conditionalFormatting sqref="AE61">
    <cfRule type="containsBlanks" dxfId="8466" priority="9014">
      <formula>LEN(TRIM(AE61))=0</formula>
    </cfRule>
  </conditionalFormatting>
  <conditionalFormatting sqref="AE62 AF63">
    <cfRule type="containsBlanks" dxfId="8465" priority="9013" stopIfTrue="1">
      <formula>LEN(TRIM(AE62))=0</formula>
    </cfRule>
  </conditionalFormatting>
  <conditionalFormatting sqref="AE62">
    <cfRule type="expression" dxfId="8464" priority="9025">
      <formula>OR($HN61=FALSE,$HO61=FALSE)</formula>
    </cfRule>
  </conditionalFormatting>
  <conditionalFormatting sqref="G61:Q61 G60">
    <cfRule type="containsBlanks" dxfId="8463" priority="9011">
      <formula>LEN(TRIM(G60))=0</formula>
    </cfRule>
  </conditionalFormatting>
  <conditionalFormatting sqref="G61:L61">
    <cfRule type="expression" dxfId="8462" priority="9009" stopIfTrue="1">
      <formula>$G60=""</formula>
    </cfRule>
    <cfRule type="containsBlanks" dxfId="8461" priority="9010">
      <formula>LEN(TRIM(G61))=0</formula>
    </cfRule>
  </conditionalFormatting>
  <conditionalFormatting sqref="R62">
    <cfRule type="expression" dxfId="8460" priority="9007" stopIfTrue="1">
      <formula>$G60=""</formula>
    </cfRule>
    <cfRule type="containsBlanks" dxfId="8459" priority="9008">
      <formula>LEN(TRIM(R62))=0</formula>
    </cfRule>
  </conditionalFormatting>
  <conditionalFormatting sqref="P62:R62">
    <cfRule type="expression" dxfId="8458" priority="9006">
      <formula>$C$36=0</formula>
    </cfRule>
  </conditionalFormatting>
  <conditionalFormatting sqref="AF61">
    <cfRule type="containsBlanks" dxfId="8457" priority="9002">
      <formula>LEN(TRIM(AF61))=0</formula>
    </cfRule>
    <cfRule type="expression" dxfId="8456" priority="9003">
      <formula>$HJ61=FALSE</formula>
    </cfRule>
  </conditionalFormatting>
  <conditionalFormatting sqref="AF63">
    <cfRule type="expression" dxfId="8455" priority="9001">
      <formula>$C$36=2</formula>
    </cfRule>
  </conditionalFormatting>
  <conditionalFormatting sqref="R61">
    <cfRule type="containsBlanks" dxfId="8454" priority="9000">
      <formula>LEN(TRIM(R61))=0</formula>
    </cfRule>
  </conditionalFormatting>
  <conditionalFormatting sqref="AE61:AF61">
    <cfRule type="expression" dxfId="8453" priority="8999" stopIfTrue="1">
      <formula>$G60=""</formula>
    </cfRule>
  </conditionalFormatting>
  <conditionalFormatting sqref="AF63">
    <cfRule type="expression" dxfId="8452" priority="8998" stopIfTrue="1">
      <formula>$G60=""</formula>
    </cfRule>
  </conditionalFormatting>
  <conditionalFormatting sqref="AF60:AI60">
    <cfRule type="expression" dxfId="8451" priority="8997">
      <formula>$C$36&lt;&gt;0</formula>
    </cfRule>
  </conditionalFormatting>
  <conditionalFormatting sqref="R61">
    <cfRule type="containsBlanks" dxfId="8450" priority="8995">
      <formula>LEN(TRIM(R61))=0</formula>
    </cfRule>
  </conditionalFormatting>
  <conditionalFormatting sqref="U62">
    <cfRule type="expression" dxfId="8449" priority="9018">
      <formula>OR($HF61=FALSE,$HG61=FALSE)</formula>
    </cfRule>
  </conditionalFormatting>
  <conditionalFormatting sqref="R61">
    <cfRule type="expression" dxfId="8448" priority="8992" stopIfTrue="1">
      <formula>$G60=""</formula>
    </cfRule>
    <cfRule type="expression" dxfId="8447" priority="8993">
      <formula>$HT61=FALSE</formula>
    </cfRule>
  </conditionalFormatting>
  <conditionalFormatting sqref="G63">
    <cfRule type="expression" dxfId="8446" priority="8987" stopIfTrue="1">
      <formula>$G60=""</formula>
    </cfRule>
  </conditionalFormatting>
  <conditionalFormatting sqref="G63">
    <cfRule type="expression" dxfId="8445" priority="8981" stopIfTrue="1">
      <formula>$CN60="Exterior"</formula>
    </cfRule>
  </conditionalFormatting>
  <conditionalFormatting sqref="G63:L63">
    <cfRule type="containsBlanks" dxfId="8444" priority="8988" stopIfTrue="1">
      <formula>LEN(TRIM(G63))=0</formula>
    </cfRule>
    <cfRule type="expression" dxfId="8443" priority="8990">
      <formula>$HL61=FALSE</formula>
    </cfRule>
  </conditionalFormatting>
  <conditionalFormatting sqref="AF62">
    <cfRule type="expression" dxfId="8442" priority="8982" stopIfTrue="1">
      <formula>$G60=""</formula>
    </cfRule>
  </conditionalFormatting>
  <conditionalFormatting sqref="AF62:AI62">
    <cfRule type="expression" dxfId="8441" priority="8986">
      <formula>OR($HP61=FALSE,$HL61=FALSE)</formula>
    </cfRule>
  </conditionalFormatting>
  <conditionalFormatting sqref="AF62">
    <cfRule type="containsBlanks" dxfId="8440" priority="8983" stopIfTrue="1">
      <formula>LEN(TRIM(AF62))=0</formula>
    </cfRule>
    <cfRule type="expression" dxfId="8439" priority="8984">
      <formula>$DP60=7</formula>
    </cfRule>
    <cfRule type="expression" dxfId="8438" priority="8985">
      <formula>OR($HK61=FALSE,$HM61=FALSE)</formula>
    </cfRule>
  </conditionalFormatting>
  <conditionalFormatting sqref="G63:L63">
    <cfRule type="expression" dxfId="8437" priority="8989" stopIfTrue="1">
      <formula>$AF62=""</formula>
    </cfRule>
  </conditionalFormatting>
  <conditionalFormatting sqref="T61:U61">
    <cfRule type="expression" dxfId="8436" priority="8978" stopIfTrue="1">
      <formula>$C$36&lt;&gt;0</formula>
    </cfRule>
    <cfRule type="containsBlanks" dxfId="8435" priority="8979" stopIfTrue="1">
      <formula>LEN(TRIM(T61))=0</formula>
    </cfRule>
  </conditionalFormatting>
  <conditionalFormatting sqref="T61:U61">
    <cfRule type="expression" dxfId="8434" priority="8977" stopIfTrue="1">
      <formula>$G60=""</formula>
    </cfRule>
  </conditionalFormatting>
  <conditionalFormatting sqref="U61">
    <cfRule type="expression" dxfId="8433" priority="8980">
      <formula>$HE61=FALSE</formula>
    </cfRule>
  </conditionalFormatting>
  <conditionalFormatting sqref="T63">
    <cfRule type="expression" dxfId="8432" priority="8976">
      <formula>$C$36=2</formula>
    </cfRule>
  </conditionalFormatting>
  <conditionalFormatting sqref="AE67">
    <cfRule type="expression" dxfId="8431" priority="8962" stopIfTrue="1">
      <formula>$G65=""</formula>
    </cfRule>
  </conditionalFormatting>
  <conditionalFormatting sqref="AB68:AD68">
    <cfRule type="expression" dxfId="8430" priority="8974" stopIfTrue="1">
      <formula>$G65=""</formula>
    </cfRule>
  </conditionalFormatting>
  <conditionalFormatting sqref="G67">
    <cfRule type="expression" dxfId="8429" priority="8971" stopIfTrue="1">
      <formula>$G65=""</formula>
    </cfRule>
    <cfRule type="containsBlanks" dxfId="8428" priority="8972" stopIfTrue="1">
      <formula>LEN(TRIM(G67))=0</formula>
    </cfRule>
    <cfRule type="expression" dxfId="8427" priority="8973">
      <formula>OR($M67=0,$HC66=FALSE)</formula>
    </cfRule>
  </conditionalFormatting>
  <conditionalFormatting sqref="AB68">
    <cfRule type="expression" dxfId="8426" priority="8970" stopIfTrue="1">
      <formula>$AB68=""</formula>
    </cfRule>
  </conditionalFormatting>
  <conditionalFormatting sqref="AE66:AF66">
    <cfRule type="expression" dxfId="8425" priority="8969">
      <formula>$C$36=2</formula>
    </cfRule>
  </conditionalFormatting>
  <conditionalFormatting sqref="T67:U67">
    <cfRule type="expression" dxfId="8424" priority="8944" stopIfTrue="1">
      <formula>$G65=""</formula>
    </cfRule>
  </conditionalFormatting>
  <conditionalFormatting sqref="T67:U67">
    <cfRule type="containsBlanks" dxfId="8423" priority="8967" stopIfTrue="1">
      <formula>LEN(TRIM(T67))=0</formula>
    </cfRule>
  </conditionalFormatting>
  <conditionalFormatting sqref="AC65:AD65">
    <cfRule type="expression" dxfId="8422" priority="8966">
      <formula>$G65=""</formula>
    </cfRule>
  </conditionalFormatting>
  <conditionalFormatting sqref="AE66">
    <cfRule type="containsBlanks" dxfId="8421" priority="8964">
      <formula>LEN(TRIM(AE66))=0</formula>
    </cfRule>
  </conditionalFormatting>
  <conditionalFormatting sqref="AE67 AF68">
    <cfRule type="containsBlanks" dxfId="8420" priority="8963" stopIfTrue="1">
      <formula>LEN(TRIM(AE67))=0</formula>
    </cfRule>
  </conditionalFormatting>
  <conditionalFormatting sqref="AE67">
    <cfRule type="expression" dxfId="8419" priority="8975">
      <formula>OR($HN66=FALSE,$HO66=FALSE)</formula>
    </cfRule>
  </conditionalFormatting>
  <conditionalFormatting sqref="G66:Q66 G65">
    <cfRule type="containsBlanks" dxfId="8418" priority="8961">
      <formula>LEN(TRIM(G65))=0</formula>
    </cfRule>
  </conditionalFormatting>
  <conditionalFormatting sqref="G66:L66">
    <cfRule type="expression" dxfId="8417" priority="8959" stopIfTrue="1">
      <formula>$G65=""</formula>
    </cfRule>
    <cfRule type="containsBlanks" dxfId="8416" priority="8960">
      <formula>LEN(TRIM(G66))=0</formula>
    </cfRule>
  </conditionalFormatting>
  <conditionalFormatting sqref="R67">
    <cfRule type="expression" dxfId="8415" priority="8957" stopIfTrue="1">
      <formula>$G65=""</formula>
    </cfRule>
    <cfRule type="containsBlanks" dxfId="8414" priority="8958">
      <formula>LEN(TRIM(R67))=0</formula>
    </cfRule>
  </conditionalFormatting>
  <conditionalFormatting sqref="P67:R67">
    <cfRule type="expression" dxfId="8413" priority="8956">
      <formula>$C$36=0</formula>
    </cfRule>
  </conditionalFormatting>
  <conditionalFormatting sqref="AF66">
    <cfRule type="containsBlanks" dxfId="8412" priority="8952">
      <formula>LEN(TRIM(AF66))=0</formula>
    </cfRule>
    <cfRule type="expression" dxfId="8411" priority="8953">
      <formula>$HJ66=FALSE</formula>
    </cfRule>
  </conditionalFormatting>
  <conditionalFormatting sqref="AF68">
    <cfRule type="expression" dxfId="8410" priority="8951">
      <formula>$C$36=2</formula>
    </cfRule>
  </conditionalFormatting>
  <conditionalFormatting sqref="R66">
    <cfRule type="containsBlanks" dxfId="8409" priority="8950">
      <formula>LEN(TRIM(R66))=0</formula>
    </cfRule>
  </conditionalFormatting>
  <conditionalFormatting sqref="AE66:AF66">
    <cfRule type="expression" dxfId="8408" priority="8949" stopIfTrue="1">
      <formula>$G65=""</formula>
    </cfRule>
  </conditionalFormatting>
  <conditionalFormatting sqref="AF68">
    <cfRule type="expression" dxfId="8407" priority="8948" stopIfTrue="1">
      <formula>$G65=""</formula>
    </cfRule>
  </conditionalFormatting>
  <conditionalFormatting sqref="AF65:AI65">
    <cfRule type="expression" dxfId="8406" priority="8947">
      <formula>$C$36&lt;&gt;0</formula>
    </cfRule>
  </conditionalFormatting>
  <conditionalFormatting sqref="R66">
    <cfRule type="containsBlanks" dxfId="8405" priority="8945">
      <formula>LEN(TRIM(R66))=0</formula>
    </cfRule>
  </conditionalFormatting>
  <conditionalFormatting sqref="U67">
    <cfRule type="expression" dxfId="8404" priority="8968">
      <formula>OR($HF66=FALSE,$HG66=FALSE)</formula>
    </cfRule>
  </conditionalFormatting>
  <conditionalFormatting sqref="R66">
    <cfRule type="expression" dxfId="8403" priority="8942" stopIfTrue="1">
      <formula>$G65=""</formula>
    </cfRule>
    <cfRule type="expression" dxfId="8402" priority="8943">
      <formula>$HT66=FALSE</formula>
    </cfRule>
  </conditionalFormatting>
  <conditionalFormatting sqref="G68">
    <cfRule type="expression" dxfId="8401" priority="8937" stopIfTrue="1">
      <formula>$G65=""</formula>
    </cfRule>
  </conditionalFormatting>
  <conditionalFormatting sqref="G68">
    <cfRule type="expression" dxfId="8400" priority="8931" stopIfTrue="1">
      <formula>$CN65="Exterior"</formula>
    </cfRule>
  </conditionalFormatting>
  <conditionalFormatting sqref="G68:L68">
    <cfRule type="containsBlanks" dxfId="8399" priority="8938" stopIfTrue="1">
      <formula>LEN(TRIM(G68))=0</formula>
    </cfRule>
    <cfRule type="expression" dxfId="8398" priority="8940">
      <formula>$HL66=FALSE</formula>
    </cfRule>
  </conditionalFormatting>
  <conditionalFormatting sqref="AF67">
    <cfRule type="expression" dxfId="8397" priority="8932" stopIfTrue="1">
      <formula>$G65=""</formula>
    </cfRule>
  </conditionalFormatting>
  <conditionalFormatting sqref="AF67:AI67">
    <cfRule type="expression" dxfId="8396" priority="8936">
      <formula>OR($HP66=FALSE,$HL66=FALSE)</formula>
    </cfRule>
  </conditionalFormatting>
  <conditionalFormatting sqref="AF67">
    <cfRule type="containsBlanks" dxfId="8395" priority="8933" stopIfTrue="1">
      <formula>LEN(TRIM(AF67))=0</formula>
    </cfRule>
    <cfRule type="expression" dxfId="8394" priority="8934">
      <formula>$DP65=7</formula>
    </cfRule>
    <cfRule type="expression" dxfId="8393" priority="8935">
      <formula>OR($HK66=FALSE,$HM66=FALSE)</formula>
    </cfRule>
  </conditionalFormatting>
  <conditionalFormatting sqref="G68:L68">
    <cfRule type="expression" dxfId="8392" priority="8939" stopIfTrue="1">
      <formula>$AF67=""</formula>
    </cfRule>
  </conditionalFormatting>
  <conditionalFormatting sqref="T66:U66">
    <cfRule type="expression" dxfId="8391" priority="8928" stopIfTrue="1">
      <formula>$C$36&lt;&gt;0</formula>
    </cfRule>
    <cfRule type="containsBlanks" dxfId="8390" priority="8929" stopIfTrue="1">
      <formula>LEN(TRIM(T66))=0</formula>
    </cfRule>
  </conditionalFormatting>
  <conditionalFormatting sqref="T66:U66">
    <cfRule type="expression" dxfId="8389" priority="8927" stopIfTrue="1">
      <formula>$G65=""</formula>
    </cfRule>
  </conditionalFormatting>
  <conditionalFormatting sqref="U66">
    <cfRule type="expression" dxfId="8388" priority="8930">
      <formula>$HE66=FALSE</formula>
    </cfRule>
  </conditionalFormatting>
  <conditionalFormatting sqref="T68">
    <cfRule type="expression" dxfId="8387" priority="8926">
      <formula>$C$36=2</formula>
    </cfRule>
  </conditionalFormatting>
  <conditionalFormatting sqref="AE72">
    <cfRule type="expression" dxfId="8386" priority="8912" stopIfTrue="1">
      <formula>$G70=""</formula>
    </cfRule>
  </conditionalFormatting>
  <conditionalFormatting sqref="AB73:AD73">
    <cfRule type="expression" dxfId="8385" priority="8924" stopIfTrue="1">
      <formula>$G70=""</formula>
    </cfRule>
  </conditionalFormatting>
  <conditionalFormatting sqref="G72">
    <cfRule type="expression" dxfId="8384" priority="8921" stopIfTrue="1">
      <formula>$G70=""</formula>
    </cfRule>
    <cfRule type="containsBlanks" dxfId="8383" priority="8922" stopIfTrue="1">
      <formula>LEN(TRIM(G72))=0</formula>
    </cfRule>
    <cfRule type="expression" dxfId="8382" priority="8923">
      <formula>OR($M72=0,$HC71=FALSE)</formula>
    </cfRule>
  </conditionalFormatting>
  <conditionalFormatting sqref="AB73">
    <cfRule type="expression" dxfId="8381" priority="8920" stopIfTrue="1">
      <formula>$AB73=""</formula>
    </cfRule>
  </conditionalFormatting>
  <conditionalFormatting sqref="AE71:AF71">
    <cfRule type="expression" dxfId="8380" priority="8919">
      <formula>$C$36=2</formula>
    </cfRule>
  </conditionalFormatting>
  <conditionalFormatting sqref="T72:U72">
    <cfRule type="expression" dxfId="8379" priority="8894" stopIfTrue="1">
      <formula>$G70=""</formula>
    </cfRule>
  </conditionalFormatting>
  <conditionalFormatting sqref="T72:U72">
    <cfRule type="containsBlanks" dxfId="8378" priority="8917" stopIfTrue="1">
      <formula>LEN(TRIM(T72))=0</formula>
    </cfRule>
  </conditionalFormatting>
  <conditionalFormatting sqref="AC70:AD70">
    <cfRule type="expression" dxfId="8377" priority="8916">
      <formula>$G70=""</formula>
    </cfRule>
  </conditionalFormatting>
  <conditionalFormatting sqref="AE71">
    <cfRule type="containsBlanks" dxfId="8376" priority="8914">
      <formula>LEN(TRIM(AE71))=0</formula>
    </cfRule>
  </conditionalFormatting>
  <conditionalFormatting sqref="AE72 AF73">
    <cfRule type="containsBlanks" dxfId="8375" priority="8913" stopIfTrue="1">
      <formula>LEN(TRIM(AE72))=0</formula>
    </cfRule>
  </conditionalFormatting>
  <conditionalFormatting sqref="AE72">
    <cfRule type="expression" dxfId="8374" priority="8925">
      <formula>OR($HN71=FALSE,$HO71=FALSE)</formula>
    </cfRule>
  </conditionalFormatting>
  <conditionalFormatting sqref="G71:Q71 G70">
    <cfRule type="containsBlanks" dxfId="8373" priority="8911">
      <formula>LEN(TRIM(G70))=0</formula>
    </cfRule>
  </conditionalFormatting>
  <conditionalFormatting sqref="G71:L71">
    <cfRule type="expression" dxfId="8372" priority="8909" stopIfTrue="1">
      <formula>$G70=""</formula>
    </cfRule>
    <cfRule type="containsBlanks" dxfId="8371" priority="8910">
      <formula>LEN(TRIM(G71))=0</formula>
    </cfRule>
  </conditionalFormatting>
  <conditionalFormatting sqref="R72">
    <cfRule type="expression" dxfId="8370" priority="8907" stopIfTrue="1">
      <formula>$G70=""</formula>
    </cfRule>
    <cfRule type="containsBlanks" dxfId="8369" priority="8908">
      <formula>LEN(TRIM(R72))=0</formula>
    </cfRule>
  </conditionalFormatting>
  <conditionalFormatting sqref="P72:R72">
    <cfRule type="expression" dxfId="8368" priority="8906">
      <formula>$C$36=0</formula>
    </cfRule>
  </conditionalFormatting>
  <conditionalFormatting sqref="AF71">
    <cfRule type="containsBlanks" dxfId="8367" priority="8902">
      <formula>LEN(TRIM(AF71))=0</formula>
    </cfRule>
    <cfRule type="expression" dxfId="8366" priority="8903">
      <formula>$HJ71=FALSE</formula>
    </cfRule>
  </conditionalFormatting>
  <conditionalFormatting sqref="AF73">
    <cfRule type="expression" dxfId="8365" priority="8901">
      <formula>$C$36=2</formula>
    </cfRule>
  </conditionalFormatting>
  <conditionalFormatting sqref="R71">
    <cfRule type="containsBlanks" dxfId="8364" priority="8900">
      <formula>LEN(TRIM(R71))=0</formula>
    </cfRule>
  </conditionalFormatting>
  <conditionalFormatting sqref="AE71:AF71">
    <cfRule type="expression" dxfId="8363" priority="8899" stopIfTrue="1">
      <formula>$G70=""</formula>
    </cfRule>
  </conditionalFormatting>
  <conditionalFormatting sqref="AF73">
    <cfRule type="expression" dxfId="8362" priority="8898" stopIfTrue="1">
      <formula>$G70=""</formula>
    </cfRule>
  </conditionalFormatting>
  <conditionalFormatting sqref="AF70:AI70">
    <cfRule type="expression" dxfId="8361" priority="8897">
      <formula>$C$36&lt;&gt;0</formula>
    </cfRule>
  </conditionalFormatting>
  <conditionalFormatting sqref="R71">
    <cfRule type="containsBlanks" dxfId="8360" priority="8895">
      <formula>LEN(TRIM(R71))=0</formula>
    </cfRule>
  </conditionalFormatting>
  <conditionalFormatting sqref="U72">
    <cfRule type="expression" dxfId="8359" priority="8918">
      <formula>OR($HF71=FALSE,$HG71=FALSE)</formula>
    </cfRule>
  </conditionalFormatting>
  <conditionalFormatting sqref="R71">
    <cfRule type="expression" dxfId="8358" priority="8892" stopIfTrue="1">
      <formula>$G70=""</formula>
    </cfRule>
    <cfRule type="expression" dxfId="8357" priority="8893">
      <formula>$HT71=FALSE</formula>
    </cfRule>
  </conditionalFormatting>
  <conditionalFormatting sqref="G73">
    <cfRule type="expression" dxfId="8356" priority="8887" stopIfTrue="1">
      <formula>$G70=""</formula>
    </cfRule>
  </conditionalFormatting>
  <conditionalFormatting sqref="G73">
    <cfRule type="expression" dxfId="8355" priority="8881" stopIfTrue="1">
      <formula>$CN70="Exterior"</formula>
    </cfRule>
  </conditionalFormatting>
  <conditionalFormatting sqref="G73:L73">
    <cfRule type="containsBlanks" dxfId="8354" priority="8888" stopIfTrue="1">
      <formula>LEN(TRIM(G73))=0</formula>
    </cfRule>
    <cfRule type="expression" dxfId="8353" priority="8890">
      <formula>$HL71=FALSE</formula>
    </cfRule>
  </conditionalFormatting>
  <conditionalFormatting sqref="AF72">
    <cfRule type="expression" dxfId="8352" priority="8882" stopIfTrue="1">
      <formula>$G70=""</formula>
    </cfRule>
  </conditionalFormatting>
  <conditionalFormatting sqref="AF72:AI72">
    <cfRule type="expression" dxfId="8351" priority="8886">
      <formula>OR($HP71=FALSE,$HL71=FALSE)</formula>
    </cfRule>
  </conditionalFormatting>
  <conditionalFormatting sqref="AF72">
    <cfRule type="containsBlanks" dxfId="8350" priority="8883" stopIfTrue="1">
      <formula>LEN(TRIM(AF72))=0</formula>
    </cfRule>
    <cfRule type="expression" dxfId="8349" priority="8884">
      <formula>$DP70=7</formula>
    </cfRule>
    <cfRule type="expression" dxfId="8348" priority="8885">
      <formula>OR($HK71=FALSE,$HM71=FALSE)</formula>
    </cfRule>
  </conditionalFormatting>
  <conditionalFormatting sqref="G73:L73">
    <cfRule type="expression" dxfId="8347" priority="8889" stopIfTrue="1">
      <formula>$AF72=""</formula>
    </cfRule>
  </conditionalFormatting>
  <conditionalFormatting sqref="T71:U71">
    <cfRule type="expression" dxfId="8346" priority="8878" stopIfTrue="1">
      <formula>$C$36&lt;&gt;0</formula>
    </cfRule>
    <cfRule type="containsBlanks" dxfId="8345" priority="8879" stopIfTrue="1">
      <formula>LEN(TRIM(T71))=0</formula>
    </cfRule>
  </conditionalFormatting>
  <conditionalFormatting sqref="T71:U71">
    <cfRule type="expression" dxfId="8344" priority="8877" stopIfTrue="1">
      <formula>$G70=""</formula>
    </cfRule>
  </conditionalFormatting>
  <conditionalFormatting sqref="U71">
    <cfRule type="expression" dxfId="8343" priority="8880">
      <formula>$HE71=FALSE</formula>
    </cfRule>
  </conditionalFormatting>
  <conditionalFormatting sqref="T73">
    <cfRule type="expression" dxfId="8342" priority="8876">
      <formula>$C$36=2</formula>
    </cfRule>
  </conditionalFormatting>
  <conditionalFormatting sqref="AE77">
    <cfRule type="expression" dxfId="8341" priority="8862" stopIfTrue="1">
      <formula>$G75=""</formula>
    </cfRule>
  </conditionalFormatting>
  <conditionalFormatting sqref="AB78:AD78">
    <cfRule type="expression" dxfId="8340" priority="8874" stopIfTrue="1">
      <formula>$G75=""</formula>
    </cfRule>
  </conditionalFormatting>
  <conditionalFormatting sqref="G77">
    <cfRule type="expression" dxfId="8339" priority="8871" stopIfTrue="1">
      <formula>$G75=""</formula>
    </cfRule>
    <cfRule type="containsBlanks" dxfId="8338" priority="8872" stopIfTrue="1">
      <formula>LEN(TRIM(G77))=0</formula>
    </cfRule>
    <cfRule type="expression" dxfId="8337" priority="8873">
      <formula>OR($M77=0,$HC76=FALSE)</formula>
    </cfRule>
  </conditionalFormatting>
  <conditionalFormatting sqref="AB78">
    <cfRule type="expression" dxfId="8336" priority="8870" stopIfTrue="1">
      <formula>$AB78=""</formula>
    </cfRule>
  </conditionalFormatting>
  <conditionalFormatting sqref="AE76:AF76">
    <cfRule type="expression" dxfId="8335" priority="8869">
      <formula>$C$36=2</formula>
    </cfRule>
  </conditionalFormatting>
  <conditionalFormatting sqref="T77:U77">
    <cfRule type="expression" dxfId="8334" priority="8844" stopIfTrue="1">
      <formula>$G75=""</formula>
    </cfRule>
  </conditionalFormatting>
  <conditionalFormatting sqref="T77:U77">
    <cfRule type="containsBlanks" dxfId="8333" priority="8867" stopIfTrue="1">
      <formula>LEN(TRIM(T77))=0</formula>
    </cfRule>
  </conditionalFormatting>
  <conditionalFormatting sqref="AC75:AD75">
    <cfRule type="expression" dxfId="8332" priority="8866">
      <formula>$G75=""</formula>
    </cfRule>
  </conditionalFormatting>
  <conditionalFormatting sqref="AE76">
    <cfRule type="containsBlanks" dxfId="8331" priority="8864">
      <formula>LEN(TRIM(AE76))=0</formula>
    </cfRule>
  </conditionalFormatting>
  <conditionalFormatting sqref="AE77 AF78">
    <cfRule type="containsBlanks" dxfId="8330" priority="8863" stopIfTrue="1">
      <formula>LEN(TRIM(AE77))=0</formula>
    </cfRule>
  </conditionalFormatting>
  <conditionalFormatting sqref="AE77">
    <cfRule type="expression" dxfId="8329" priority="8875">
      <formula>OR($HN76=FALSE,$HO76=FALSE)</formula>
    </cfRule>
  </conditionalFormatting>
  <conditionalFormatting sqref="G76:Q76 G75">
    <cfRule type="containsBlanks" dxfId="8328" priority="8861">
      <formula>LEN(TRIM(G75))=0</formula>
    </cfRule>
  </conditionalFormatting>
  <conditionalFormatting sqref="G76:L76">
    <cfRule type="expression" dxfId="8327" priority="8859" stopIfTrue="1">
      <formula>$G75=""</formula>
    </cfRule>
    <cfRule type="containsBlanks" dxfId="8326" priority="8860">
      <formula>LEN(TRIM(G76))=0</formula>
    </cfRule>
  </conditionalFormatting>
  <conditionalFormatting sqref="R77">
    <cfRule type="expression" dxfId="8325" priority="8857" stopIfTrue="1">
      <formula>$G75=""</formula>
    </cfRule>
    <cfRule type="containsBlanks" dxfId="8324" priority="8858">
      <formula>LEN(TRIM(R77))=0</formula>
    </cfRule>
  </conditionalFormatting>
  <conditionalFormatting sqref="P77:R77">
    <cfRule type="expression" dxfId="8323" priority="8856">
      <formula>$C$36=0</formula>
    </cfRule>
  </conditionalFormatting>
  <conditionalFormatting sqref="AF76">
    <cfRule type="containsBlanks" dxfId="8322" priority="8852">
      <formula>LEN(TRIM(AF76))=0</formula>
    </cfRule>
    <cfRule type="expression" dxfId="8321" priority="8853">
      <formula>$HJ76=FALSE</formula>
    </cfRule>
  </conditionalFormatting>
  <conditionalFormatting sqref="AF78">
    <cfRule type="expression" dxfId="8320" priority="8851">
      <formula>$C$36=2</formula>
    </cfRule>
  </conditionalFormatting>
  <conditionalFormatting sqref="R76">
    <cfRule type="containsBlanks" dxfId="8319" priority="8850">
      <formula>LEN(TRIM(R76))=0</formula>
    </cfRule>
  </conditionalFormatting>
  <conditionalFormatting sqref="AE76:AF76">
    <cfRule type="expression" dxfId="8318" priority="8849" stopIfTrue="1">
      <formula>$G75=""</formula>
    </cfRule>
  </conditionalFormatting>
  <conditionalFormatting sqref="AF78">
    <cfRule type="expression" dxfId="8317" priority="8848" stopIfTrue="1">
      <formula>$G75=""</formula>
    </cfRule>
  </conditionalFormatting>
  <conditionalFormatting sqref="AF75:AI75">
    <cfRule type="expression" dxfId="8316" priority="8847">
      <formula>$C$36&lt;&gt;0</formula>
    </cfRule>
  </conditionalFormatting>
  <conditionalFormatting sqref="R76">
    <cfRule type="containsBlanks" dxfId="8315" priority="8845">
      <formula>LEN(TRIM(R76))=0</formula>
    </cfRule>
  </conditionalFormatting>
  <conditionalFormatting sqref="U77">
    <cfRule type="expression" dxfId="8314" priority="8868">
      <formula>OR($HF76=FALSE,$HG76=FALSE)</formula>
    </cfRule>
  </conditionalFormatting>
  <conditionalFormatting sqref="R76">
    <cfRule type="expression" dxfId="8313" priority="8842" stopIfTrue="1">
      <formula>$G75=""</formula>
    </cfRule>
    <cfRule type="expression" dxfId="8312" priority="8843">
      <formula>$HT76=FALSE</formula>
    </cfRule>
  </conditionalFormatting>
  <conditionalFormatting sqref="G78">
    <cfRule type="expression" dxfId="8311" priority="8837" stopIfTrue="1">
      <formula>$G75=""</formula>
    </cfRule>
  </conditionalFormatting>
  <conditionalFormatting sqref="G78">
    <cfRule type="expression" dxfId="8310" priority="8831" stopIfTrue="1">
      <formula>$CN75="Exterior"</formula>
    </cfRule>
  </conditionalFormatting>
  <conditionalFormatting sqref="G78:L78">
    <cfRule type="containsBlanks" dxfId="8309" priority="8838" stopIfTrue="1">
      <formula>LEN(TRIM(G78))=0</formula>
    </cfRule>
    <cfRule type="expression" dxfId="8308" priority="8840">
      <formula>$HL76=FALSE</formula>
    </cfRule>
  </conditionalFormatting>
  <conditionalFormatting sqref="AF77">
    <cfRule type="expression" dxfId="8307" priority="8832" stopIfTrue="1">
      <formula>$G75=""</formula>
    </cfRule>
  </conditionalFormatting>
  <conditionalFormatting sqref="AF77:AI77">
    <cfRule type="expression" dxfId="8306" priority="8836">
      <formula>OR($HP76=FALSE,$HL76=FALSE)</formula>
    </cfRule>
  </conditionalFormatting>
  <conditionalFormatting sqref="AF77">
    <cfRule type="containsBlanks" dxfId="8305" priority="8833" stopIfTrue="1">
      <formula>LEN(TRIM(AF77))=0</formula>
    </cfRule>
    <cfRule type="expression" dxfId="8304" priority="8834">
      <formula>$DP75=7</formula>
    </cfRule>
    <cfRule type="expression" dxfId="8303" priority="8835">
      <formula>OR($HK76=FALSE,$HM76=FALSE)</formula>
    </cfRule>
  </conditionalFormatting>
  <conditionalFormatting sqref="G78:L78">
    <cfRule type="expression" dxfId="8302" priority="8839" stopIfTrue="1">
      <formula>$AF77=""</formula>
    </cfRule>
  </conditionalFormatting>
  <conditionalFormatting sqref="T76:U76">
    <cfRule type="expression" dxfId="8301" priority="8828" stopIfTrue="1">
      <formula>$C$36&lt;&gt;0</formula>
    </cfRule>
    <cfRule type="containsBlanks" dxfId="8300" priority="8829" stopIfTrue="1">
      <formula>LEN(TRIM(T76))=0</formula>
    </cfRule>
  </conditionalFormatting>
  <conditionalFormatting sqref="T76:U76">
    <cfRule type="expression" dxfId="8299" priority="8827" stopIfTrue="1">
      <formula>$G75=""</formula>
    </cfRule>
  </conditionalFormatting>
  <conditionalFormatting sqref="U76">
    <cfRule type="expression" dxfId="8298" priority="8830">
      <formula>$HE76=FALSE</formula>
    </cfRule>
  </conditionalFormatting>
  <conditionalFormatting sqref="T78">
    <cfRule type="expression" dxfId="8297" priority="8826">
      <formula>$C$36=2</formula>
    </cfRule>
  </conditionalFormatting>
  <conditionalFormatting sqref="AE82">
    <cfRule type="expression" dxfId="8296" priority="8812" stopIfTrue="1">
      <formula>$G80=""</formula>
    </cfRule>
  </conditionalFormatting>
  <conditionalFormatting sqref="AB83:AD83">
    <cfRule type="expression" dxfId="8295" priority="8824" stopIfTrue="1">
      <formula>$G80=""</formula>
    </cfRule>
  </conditionalFormatting>
  <conditionalFormatting sqref="G82">
    <cfRule type="expression" dxfId="8294" priority="8821" stopIfTrue="1">
      <formula>$G80=""</formula>
    </cfRule>
    <cfRule type="containsBlanks" dxfId="8293" priority="8822" stopIfTrue="1">
      <formula>LEN(TRIM(G82))=0</formula>
    </cfRule>
    <cfRule type="expression" dxfId="8292" priority="8823">
      <formula>OR($M82=0,$HC81=FALSE)</formula>
    </cfRule>
  </conditionalFormatting>
  <conditionalFormatting sqref="AB83">
    <cfRule type="expression" dxfId="8291" priority="8820" stopIfTrue="1">
      <formula>$AB83=""</formula>
    </cfRule>
  </conditionalFormatting>
  <conditionalFormatting sqref="AE81:AF81">
    <cfRule type="expression" dxfId="8290" priority="8819">
      <formula>$C$36=2</formula>
    </cfRule>
  </conditionalFormatting>
  <conditionalFormatting sqref="T82:U82">
    <cfRule type="expression" dxfId="8289" priority="8794" stopIfTrue="1">
      <formula>$G80=""</formula>
    </cfRule>
  </conditionalFormatting>
  <conditionalFormatting sqref="T82:U82">
    <cfRule type="containsBlanks" dxfId="8288" priority="8817" stopIfTrue="1">
      <formula>LEN(TRIM(T82))=0</formula>
    </cfRule>
  </conditionalFormatting>
  <conditionalFormatting sqref="AC80:AD80">
    <cfRule type="expression" dxfId="8287" priority="8816">
      <formula>$G80=""</formula>
    </cfRule>
  </conditionalFormatting>
  <conditionalFormatting sqref="AE81">
    <cfRule type="containsBlanks" dxfId="8286" priority="8814">
      <formula>LEN(TRIM(AE81))=0</formula>
    </cfRule>
  </conditionalFormatting>
  <conditionalFormatting sqref="AE82 AF83">
    <cfRule type="containsBlanks" dxfId="8285" priority="8813" stopIfTrue="1">
      <formula>LEN(TRIM(AE82))=0</formula>
    </cfRule>
  </conditionalFormatting>
  <conditionalFormatting sqref="AE82">
    <cfRule type="expression" dxfId="8284" priority="8825">
      <formula>OR($HN81=FALSE,$HO81=FALSE)</formula>
    </cfRule>
  </conditionalFormatting>
  <conditionalFormatting sqref="G81:Q81 G80">
    <cfRule type="containsBlanks" dxfId="8283" priority="8811">
      <formula>LEN(TRIM(G80))=0</formula>
    </cfRule>
  </conditionalFormatting>
  <conditionalFormatting sqref="G81:L81">
    <cfRule type="expression" dxfId="8282" priority="8809" stopIfTrue="1">
      <formula>$G80=""</formula>
    </cfRule>
    <cfRule type="containsBlanks" dxfId="8281" priority="8810">
      <formula>LEN(TRIM(G81))=0</formula>
    </cfRule>
  </conditionalFormatting>
  <conditionalFormatting sqref="R82">
    <cfRule type="expression" dxfId="8280" priority="8807" stopIfTrue="1">
      <formula>$G80=""</formula>
    </cfRule>
    <cfRule type="containsBlanks" dxfId="8279" priority="8808">
      <formula>LEN(TRIM(R82))=0</formula>
    </cfRule>
  </conditionalFormatting>
  <conditionalFormatting sqref="P82:R82">
    <cfRule type="expression" dxfId="8278" priority="8806">
      <formula>$C$36=0</formula>
    </cfRule>
  </conditionalFormatting>
  <conditionalFormatting sqref="AF81">
    <cfRule type="containsBlanks" dxfId="8277" priority="8802">
      <formula>LEN(TRIM(AF81))=0</formula>
    </cfRule>
    <cfRule type="expression" dxfId="8276" priority="8803">
      <formula>$HJ81=FALSE</formula>
    </cfRule>
  </conditionalFormatting>
  <conditionalFormatting sqref="AF83">
    <cfRule type="expression" dxfId="8275" priority="8801">
      <formula>$C$36=2</formula>
    </cfRule>
  </conditionalFormatting>
  <conditionalFormatting sqref="R81">
    <cfRule type="containsBlanks" dxfId="8274" priority="8800">
      <formula>LEN(TRIM(R81))=0</formula>
    </cfRule>
  </conditionalFormatting>
  <conditionalFormatting sqref="AE81:AF81">
    <cfRule type="expression" dxfId="8273" priority="8799" stopIfTrue="1">
      <formula>$G80=""</formula>
    </cfRule>
  </conditionalFormatting>
  <conditionalFormatting sqref="AF83">
    <cfRule type="expression" dxfId="8272" priority="8798" stopIfTrue="1">
      <formula>$G80=""</formula>
    </cfRule>
  </conditionalFormatting>
  <conditionalFormatting sqref="AF80:AI80">
    <cfRule type="expression" dxfId="8271" priority="8797">
      <formula>$C$36&lt;&gt;0</formula>
    </cfRule>
  </conditionalFormatting>
  <conditionalFormatting sqref="R81">
    <cfRule type="containsBlanks" dxfId="8270" priority="8795">
      <formula>LEN(TRIM(R81))=0</formula>
    </cfRule>
  </conditionalFormatting>
  <conditionalFormatting sqref="U82">
    <cfRule type="expression" dxfId="8269" priority="8818">
      <formula>OR($HF81=FALSE,$HG81=FALSE)</formula>
    </cfRule>
  </conditionalFormatting>
  <conditionalFormatting sqref="R81">
    <cfRule type="expression" dxfId="8268" priority="8792" stopIfTrue="1">
      <formula>$G80=""</formula>
    </cfRule>
    <cfRule type="expression" dxfId="8267" priority="8793">
      <formula>$HT81=FALSE</formula>
    </cfRule>
  </conditionalFormatting>
  <conditionalFormatting sqref="G83">
    <cfRule type="expression" dxfId="8266" priority="8787" stopIfTrue="1">
      <formula>$G80=""</formula>
    </cfRule>
  </conditionalFormatting>
  <conditionalFormatting sqref="G83">
    <cfRule type="expression" dxfId="8265" priority="8781" stopIfTrue="1">
      <formula>$CN80="Exterior"</formula>
    </cfRule>
  </conditionalFormatting>
  <conditionalFormatting sqref="G83:L83">
    <cfRule type="containsBlanks" dxfId="8264" priority="8788" stopIfTrue="1">
      <formula>LEN(TRIM(G83))=0</formula>
    </cfRule>
    <cfRule type="expression" dxfId="8263" priority="8790">
      <formula>$HL81=FALSE</formula>
    </cfRule>
  </conditionalFormatting>
  <conditionalFormatting sqref="AF82">
    <cfRule type="expression" dxfId="8262" priority="8782" stopIfTrue="1">
      <formula>$G80=""</formula>
    </cfRule>
  </conditionalFormatting>
  <conditionalFormatting sqref="AF82:AI82">
    <cfRule type="expression" dxfId="8261" priority="8786">
      <formula>OR($HP81=FALSE,$HL81=FALSE)</formula>
    </cfRule>
  </conditionalFormatting>
  <conditionalFormatting sqref="AF82">
    <cfRule type="containsBlanks" dxfId="8260" priority="8783" stopIfTrue="1">
      <formula>LEN(TRIM(AF82))=0</formula>
    </cfRule>
    <cfRule type="expression" dxfId="8259" priority="8784">
      <formula>$DP80=7</formula>
    </cfRule>
    <cfRule type="expression" dxfId="8258" priority="8785">
      <formula>OR($HK81=FALSE,$HM81=FALSE)</formula>
    </cfRule>
  </conditionalFormatting>
  <conditionalFormatting sqref="G83:L83">
    <cfRule type="expression" dxfId="8257" priority="8789" stopIfTrue="1">
      <formula>$AF82=""</formula>
    </cfRule>
  </conditionalFormatting>
  <conditionalFormatting sqref="T81:U81">
    <cfRule type="expression" dxfId="8256" priority="8778" stopIfTrue="1">
      <formula>$C$36&lt;&gt;0</formula>
    </cfRule>
    <cfRule type="containsBlanks" dxfId="8255" priority="8779" stopIfTrue="1">
      <formula>LEN(TRIM(T81))=0</formula>
    </cfRule>
  </conditionalFormatting>
  <conditionalFormatting sqref="T81:U81">
    <cfRule type="expression" dxfId="8254" priority="8777" stopIfTrue="1">
      <formula>$G80=""</formula>
    </cfRule>
  </conditionalFormatting>
  <conditionalFormatting sqref="U81">
    <cfRule type="expression" dxfId="8253" priority="8780">
      <formula>$HE81=FALSE</formula>
    </cfRule>
  </conditionalFormatting>
  <conditionalFormatting sqref="T83">
    <cfRule type="expression" dxfId="8252" priority="8776">
      <formula>$C$36=2</formula>
    </cfRule>
  </conditionalFormatting>
  <conditionalFormatting sqref="AE87">
    <cfRule type="expression" dxfId="8251" priority="8762" stopIfTrue="1">
      <formula>$G85=""</formula>
    </cfRule>
  </conditionalFormatting>
  <conditionalFormatting sqref="AB88:AD88">
    <cfRule type="expression" dxfId="8250" priority="8774" stopIfTrue="1">
      <formula>$G85=""</formula>
    </cfRule>
  </conditionalFormatting>
  <conditionalFormatting sqref="G87">
    <cfRule type="expression" dxfId="8249" priority="8771" stopIfTrue="1">
      <formula>$G85=""</formula>
    </cfRule>
    <cfRule type="containsBlanks" dxfId="8248" priority="8772" stopIfTrue="1">
      <formula>LEN(TRIM(G87))=0</formula>
    </cfRule>
    <cfRule type="expression" dxfId="8247" priority="8773">
      <formula>OR($M87=0,$HC86=FALSE)</formula>
    </cfRule>
  </conditionalFormatting>
  <conditionalFormatting sqref="AB88">
    <cfRule type="expression" dxfId="8246" priority="8770" stopIfTrue="1">
      <formula>$AB88=""</formula>
    </cfRule>
  </conditionalFormatting>
  <conditionalFormatting sqref="AE86:AF86">
    <cfRule type="expression" dxfId="8245" priority="8769">
      <formula>$C$36=2</formula>
    </cfRule>
  </conditionalFormatting>
  <conditionalFormatting sqref="T87:U87">
    <cfRule type="expression" dxfId="8244" priority="8744" stopIfTrue="1">
      <formula>$G85=""</formula>
    </cfRule>
  </conditionalFormatting>
  <conditionalFormatting sqref="T87:U87">
    <cfRule type="containsBlanks" dxfId="8243" priority="8767" stopIfTrue="1">
      <formula>LEN(TRIM(T87))=0</formula>
    </cfRule>
  </conditionalFormatting>
  <conditionalFormatting sqref="AC85:AD85">
    <cfRule type="expression" dxfId="8242" priority="8766">
      <formula>$G85=""</formula>
    </cfRule>
  </conditionalFormatting>
  <conditionalFormatting sqref="AE86">
    <cfRule type="containsBlanks" dxfId="8241" priority="8764">
      <formula>LEN(TRIM(AE86))=0</formula>
    </cfRule>
  </conditionalFormatting>
  <conditionalFormatting sqref="AE87 AF88">
    <cfRule type="containsBlanks" dxfId="8240" priority="8763" stopIfTrue="1">
      <formula>LEN(TRIM(AE87))=0</formula>
    </cfRule>
  </conditionalFormatting>
  <conditionalFormatting sqref="AE87">
    <cfRule type="expression" dxfId="8239" priority="8775">
      <formula>OR($HN86=FALSE,$HO86=FALSE)</formula>
    </cfRule>
  </conditionalFormatting>
  <conditionalFormatting sqref="G86:Q86 G85">
    <cfRule type="containsBlanks" dxfId="8238" priority="8761">
      <formula>LEN(TRIM(G85))=0</formula>
    </cfRule>
  </conditionalFormatting>
  <conditionalFormatting sqref="G86:L86">
    <cfRule type="expression" dxfId="8237" priority="8759" stopIfTrue="1">
      <formula>$G85=""</formula>
    </cfRule>
    <cfRule type="containsBlanks" dxfId="8236" priority="8760">
      <formula>LEN(TRIM(G86))=0</formula>
    </cfRule>
  </conditionalFormatting>
  <conditionalFormatting sqref="R87">
    <cfRule type="expression" dxfId="8235" priority="8757" stopIfTrue="1">
      <formula>$G85=""</formula>
    </cfRule>
    <cfRule type="containsBlanks" dxfId="8234" priority="8758">
      <formula>LEN(TRIM(R87))=0</formula>
    </cfRule>
  </conditionalFormatting>
  <conditionalFormatting sqref="P87:R87">
    <cfRule type="expression" dxfId="8233" priority="8756">
      <formula>$C$36=0</formula>
    </cfRule>
  </conditionalFormatting>
  <conditionalFormatting sqref="AF86">
    <cfRule type="containsBlanks" dxfId="8232" priority="8752">
      <formula>LEN(TRIM(AF86))=0</formula>
    </cfRule>
    <cfRule type="expression" dxfId="8231" priority="8753">
      <formula>$HJ86=FALSE</formula>
    </cfRule>
  </conditionalFormatting>
  <conditionalFormatting sqref="AF88">
    <cfRule type="expression" dxfId="8230" priority="8751">
      <formula>$C$36=2</formula>
    </cfRule>
  </conditionalFormatting>
  <conditionalFormatting sqref="R86">
    <cfRule type="containsBlanks" dxfId="8229" priority="8750">
      <formula>LEN(TRIM(R86))=0</formula>
    </cfRule>
  </conditionalFormatting>
  <conditionalFormatting sqref="AE86:AF86">
    <cfRule type="expression" dxfId="8228" priority="8749" stopIfTrue="1">
      <formula>$G85=""</formula>
    </cfRule>
  </conditionalFormatting>
  <conditionalFormatting sqref="AF88">
    <cfRule type="expression" dxfId="8227" priority="8748" stopIfTrue="1">
      <formula>$G85=""</formula>
    </cfRule>
  </conditionalFormatting>
  <conditionalFormatting sqref="AF85:AI85">
    <cfRule type="expression" dxfId="8226" priority="8747">
      <formula>$C$36&lt;&gt;0</formula>
    </cfRule>
  </conditionalFormatting>
  <conditionalFormatting sqref="R86">
    <cfRule type="containsBlanks" dxfId="8225" priority="8745">
      <formula>LEN(TRIM(R86))=0</formula>
    </cfRule>
  </conditionalFormatting>
  <conditionalFormatting sqref="U87">
    <cfRule type="expression" dxfId="8224" priority="8768">
      <formula>OR($HF86=FALSE,$HG86=FALSE)</formula>
    </cfRule>
  </conditionalFormatting>
  <conditionalFormatting sqref="R86">
    <cfRule type="expression" dxfId="8223" priority="8742" stopIfTrue="1">
      <formula>$G85=""</formula>
    </cfRule>
    <cfRule type="expression" dxfId="8222" priority="8743">
      <formula>$HT86=FALSE</formula>
    </cfRule>
  </conditionalFormatting>
  <conditionalFormatting sqref="G88">
    <cfRule type="expression" dxfId="8221" priority="8737" stopIfTrue="1">
      <formula>$G85=""</formula>
    </cfRule>
  </conditionalFormatting>
  <conditionalFormatting sqref="G88">
    <cfRule type="expression" dxfId="8220" priority="8731" stopIfTrue="1">
      <formula>$CN85="Exterior"</formula>
    </cfRule>
  </conditionalFormatting>
  <conditionalFormatting sqref="G88:L88">
    <cfRule type="containsBlanks" dxfId="8219" priority="8738" stopIfTrue="1">
      <formula>LEN(TRIM(G88))=0</formula>
    </cfRule>
    <cfRule type="expression" dxfId="8218" priority="8740">
      <formula>$HL86=FALSE</formula>
    </cfRule>
  </conditionalFormatting>
  <conditionalFormatting sqref="AF87">
    <cfRule type="expression" dxfId="8217" priority="8732" stopIfTrue="1">
      <formula>$G85=""</formula>
    </cfRule>
  </conditionalFormatting>
  <conditionalFormatting sqref="AF87:AI87">
    <cfRule type="expression" dxfId="8216" priority="8736">
      <formula>OR($HP86=FALSE,$HL86=FALSE)</formula>
    </cfRule>
  </conditionalFormatting>
  <conditionalFormatting sqref="AF87">
    <cfRule type="containsBlanks" dxfId="8215" priority="8733" stopIfTrue="1">
      <formula>LEN(TRIM(AF87))=0</formula>
    </cfRule>
    <cfRule type="expression" dxfId="8214" priority="8734">
      <formula>$DP85=7</formula>
    </cfRule>
    <cfRule type="expression" dxfId="8213" priority="8735">
      <formula>OR($HK86=FALSE,$HM86=FALSE)</formula>
    </cfRule>
  </conditionalFormatting>
  <conditionalFormatting sqref="G88:L88">
    <cfRule type="expression" dxfId="8212" priority="8739" stopIfTrue="1">
      <formula>$AF87=""</formula>
    </cfRule>
  </conditionalFormatting>
  <conditionalFormatting sqref="T86:U86">
    <cfRule type="expression" dxfId="8211" priority="8728" stopIfTrue="1">
      <formula>$C$36&lt;&gt;0</formula>
    </cfRule>
    <cfRule type="containsBlanks" dxfId="8210" priority="8729" stopIfTrue="1">
      <formula>LEN(TRIM(T86))=0</formula>
    </cfRule>
  </conditionalFormatting>
  <conditionalFormatting sqref="T86:U86">
    <cfRule type="expression" dxfId="8209" priority="8727" stopIfTrue="1">
      <formula>$G85=""</formula>
    </cfRule>
  </conditionalFormatting>
  <conditionalFormatting sqref="U86">
    <cfRule type="expression" dxfId="8208" priority="8730">
      <formula>$HE86=FALSE</formula>
    </cfRule>
  </conditionalFormatting>
  <conditionalFormatting sqref="T88">
    <cfRule type="expression" dxfId="8207" priority="8726">
      <formula>$C$36=2</formula>
    </cfRule>
  </conditionalFormatting>
  <conditionalFormatting sqref="AE95">
    <cfRule type="expression" dxfId="8206" priority="8712" stopIfTrue="1">
      <formula>$G93=""</formula>
    </cfRule>
  </conditionalFormatting>
  <conditionalFormatting sqref="AB96:AD96">
    <cfRule type="expression" dxfId="8205" priority="8724" stopIfTrue="1">
      <formula>$G93=""</formula>
    </cfRule>
  </conditionalFormatting>
  <conditionalFormatting sqref="G95">
    <cfRule type="expression" dxfId="8204" priority="8721" stopIfTrue="1">
      <formula>$G93=""</formula>
    </cfRule>
    <cfRule type="containsBlanks" dxfId="8203" priority="8722" stopIfTrue="1">
      <formula>LEN(TRIM(G95))=0</formula>
    </cfRule>
    <cfRule type="expression" dxfId="8202" priority="8723">
      <formula>OR($M95=0,$HC94=FALSE)</formula>
    </cfRule>
  </conditionalFormatting>
  <conditionalFormatting sqref="AB96">
    <cfRule type="expression" dxfId="8201" priority="8720" stopIfTrue="1">
      <formula>$AB96=""</formula>
    </cfRule>
  </conditionalFormatting>
  <conditionalFormatting sqref="AE94:AF94">
    <cfRule type="expression" dxfId="8200" priority="8719">
      <formula>$C$36=2</formula>
    </cfRule>
  </conditionalFormatting>
  <conditionalFormatting sqref="T95:U95">
    <cfRule type="expression" dxfId="8199" priority="8694" stopIfTrue="1">
      <formula>$G93=""</formula>
    </cfRule>
  </conditionalFormatting>
  <conditionalFormatting sqref="T95:U95">
    <cfRule type="containsBlanks" dxfId="8198" priority="8717" stopIfTrue="1">
      <formula>LEN(TRIM(T95))=0</formula>
    </cfRule>
  </conditionalFormatting>
  <conditionalFormatting sqref="AC93:AD93">
    <cfRule type="expression" dxfId="8197" priority="8716">
      <formula>$G93=""</formula>
    </cfRule>
  </conditionalFormatting>
  <conditionalFormatting sqref="AE94">
    <cfRule type="containsBlanks" dxfId="8196" priority="8714">
      <formula>LEN(TRIM(AE94))=0</formula>
    </cfRule>
  </conditionalFormatting>
  <conditionalFormatting sqref="AE95 AF96">
    <cfRule type="containsBlanks" dxfId="8195" priority="8713" stopIfTrue="1">
      <formula>LEN(TRIM(AE95))=0</formula>
    </cfRule>
  </conditionalFormatting>
  <conditionalFormatting sqref="AE95">
    <cfRule type="expression" dxfId="8194" priority="8725">
      <formula>OR($HN94=FALSE,$HO94=FALSE)</formula>
    </cfRule>
  </conditionalFormatting>
  <conditionalFormatting sqref="G94:Q94 G93">
    <cfRule type="containsBlanks" dxfId="8193" priority="8711">
      <formula>LEN(TRIM(G93))=0</formula>
    </cfRule>
  </conditionalFormatting>
  <conditionalFormatting sqref="G94:L94">
    <cfRule type="expression" dxfId="8192" priority="8709" stopIfTrue="1">
      <formula>$G93=""</formula>
    </cfRule>
    <cfRule type="containsBlanks" dxfId="8191" priority="8710">
      <formula>LEN(TRIM(G94))=0</formula>
    </cfRule>
  </conditionalFormatting>
  <conditionalFormatting sqref="R95">
    <cfRule type="expression" dxfId="8190" priority="8707" stopIfTrue="1">
      <formula>$G93=""</formula>
    </cfRule>
    <cfRule type="containsBlanks" dxfId="8189" priority="8708">
      <formula>LEN(TRIM(R95))=0</formula>
    </cfRule>
  </conditionalFormatting>
  <conditionalFormatting sqref="P95:R95">
    <cfRule type="expression" dxfId="8188" priority="8706">
      <formula>$C$36=0</formula>
    </cfRule>
  </conditionalFormatting>
  <conditionalFormatting sqref="AF94">
    <cfRule type="containsBlanks" dxfId="8187" priority="8702">
      <formula>LEN(TRIM(AF94))=0</formula>
    </cfRule>
    <cfRule type="expression" dxfId="8186" priority="8703">
      <formula>$HJ94=FALSE</formula>
    </cfRule>
  </conditionalFormatting>
  <conditionalFormatting sqref="AF96">
    <cfRule type="expression" dxfId="8185" priority="8701">
      <formula>$C$36=2</formula>
    </cfRule>
  </conditionalFormatting>
  <conditionalFormatting sqref="R94">
    <cfRule type="containsBlanks" dxfId="8184" priority="8700">
      <formula>LEN(TRIM(R94))=0</formula>
    </cfRule>
  </conditionalFormatting>
  <conditionalFormatting sqref="AE94:AF94">
    <cfRule type="expression" dxfId="8183" priority="8699" stopIfTrue="1">
      <formula>$G93=""</formula>
    </cfRule>
  </conditionalFormatting>
  <conditionalFormatting sqref="AF96">
    <cfRule type="expression" dxfId="8182" priority="8698" stopIfTrue="1">
      <formula>$G93=""</formula>
    </cfRule>
  </conditionalFormatting>
  <conditionalFormatting sqref="AF93:AI93">
    <cfRule type="expression" dxfId="8181" priority="8697">
      <formula>$C$36&lt;&gt;0</formula>
    </cfRule>
  </conditionalFormatting>
  <conditionalFormatting sqref="R94">
    <cfRule type="containsBlanks" dxfId="8180" priority="8695">
      <formula>LEN(TRIM(R94))=0</formula>
    </cfRule>
  </conditionalFormatting>
  <conditionalFormatting sqref="U95">
    <cfRule type="expression" dxfId="8179" priority="8718">
      <formula>OR($HF94=FALSE,$HG94=FALSE)</formula>
    </cfRule>
  </conditionalFormatting>
  <conditionalFormatting sqref="R94">
    <cfRule type="expression" dxfId="8178" priority="8692" stopIfTrue="1">
      <formula>$G93=""</formula>
    </cfRule>
    <cfRule type="expression" dxfId="8177" priority="8693">
      <formula>$HT94=FALSE</formula>
    </cfRule>
  </conditionalFormatting>
  <conditionalFormatting sqref="G96">
    <cfRule type="expression" dxfId="8176" priority="8687" stopIfTrue="1">
      <formula>$G93=""</formula>
    </cfRule>
  </conditionalFormatting>
  <conditionalFormatting sqref="G96">
    <cfRule type="expression" dxfId="8175" priority="8681" stopIfTrue="1">
      <formula>$CN93="Exterior"</formula>
    </cfRule>
  </conditionalFormatting>
  <conditionalFormatting sqref="G96:L96">
    <cfRule type="containsBlanks" dxfId="8174" priority="8688" stopIfTrue="1">
      <formula>LEN(TRIM(G96))=0</formula>
    </cfRule>
    <cfRule type="expression" dxfId="8173" priority="8690">
      <formula>$HL94=FALSE</formula>
    </cfRule>
  </conditionalFormatting>
  <conditionalFormatting sqref="AF95">
    <cfRule type="expression" dxfId="8172" priority="8682" stopIfTrue="1">
      <formula>$G93=""</formula>
    </cfRule>
  </conditionalFormatting>
  <conditionalFormatting sqref="AF95:AI95">
    <cfRule type="expression" dxfId="8171" priority="8686">
      <formula>OR($HP94=FALSE,$HL94=FALSE)</formula>
    </cfRule>
  </conditionalFormatting>
  <conditionalFormatting sqref="AF95">
    <cfRule type="containsBlanks" dxfId="8170" priority="8683" stopIfTrue="1">
      <formula>LEN(TRIM(AF95))=0</formula>
    </cfRule>
    <cfRule type="expression" dxfId="8169" priority="8684">
      <formula>$DP93=7</formula>
    </cfRule>
    <cfRule type="expression" dxfId="8168" priority="8685">
      <formula>OR($HK94=FALSE,$HM94=FALSE)</formula>
    </cfRule>
  </conditionalFormatting>
  <conditionalFormatting sqref="G96:L96">
    <cfRule type="expression" dxfId="8167" priority="8689" stopIfTrue="1">
      <formula>$AF95=""</formula>
    </cfRule>
  </conditionalFormatting>
  <conditionalFormatting sqref="T94:U94">
    <cfRule type="expression" dxfId="8166" priority="8678" stopIfTrue="1">
      <formula>$C$36&lt;&gt;0</formula>
    </cfRule>
    <cfRule type="containsBlanks" dxfId="8165" priority="8679" stopIfTrue="1">
      <formula>LEN(TRIM(T94))=0</formula>
    </cfRule>
  </conditionalFormatting>
  <conditionalFormatting sqref="T94:U94">
    <cfRule type="expression" dxfId="8164" priority="8677" stopIfTrue="1">
      <formula>$G93=""</formula>
    </cfRule>
  </conditionalFormatting>
  <conditionalFormatting sqref="U94">
    <cfRule type="expression" dxfId="8163" priority="8680">
      <formula>$HE94=FALSE</formula>
    </cfRule>
  </conditionalFormatting>
  <conditionalFormatting sqref="T96">
    <cfRule type="expression" dxfId="8162" priority="8676">
      <formula>$C$36=2</formula>
    </cfRule>
  </conditionalFormatting>
  <conditionalFormatting sqref="AE100">
    <cfRule type="expression" dxfId="8161" priority="8662" stopIfTrue="1">
      <formula>$G98=""</formula>
    </cfRule>
  </conditionalFormatting>
  <conditionalFormatting sqref="AB101:AD101">
    <cfRule type="expression" dxfId="8160" priority="8674" stopIfTrue="1">
      <formula>$G98=""</formula>
    </cfRule>
  </conditionalFormatting>
  <conditionalFormatting sqref="G100">
    <cfRule type="expression" dxfId="8159" priority="8671" stopIfTrue="1">
      <formula>$G98=""</formula>
    </cfRule>
    <cfRule type="containsBlanks" dxfId="8158" priority="8672" stopIfTrue="1">
      <formula>LEN(TRIM(G100))=0</formula>
    </cfRule>
    <cfRule type="expression" dxfId="8157" priority="8673">
      <formula>OR($M100=0,$HC99=FALSE)</formula>
    </cfRule>
  </conditionalFormatting>
  <conditionalFormatting sqref="AB101">
    <cfRule type="expression" dxfId="8156" priority="8670" stopIfTrue="1">
      <formula>$AB101=""</formula>
    </cfRule>
  </conditionalFormatting>
  <conditionalFormatting sqref="AE99:AF99">
    <cfRule type="expression" dxfId="8155" priority="8669">
      <formula>$C$36=2</formula>
    </cfRule>
  </conditionalFormatting>
  <conditionalFormatting sqref="T100:U100">
    <cfRule type="expression" dxfId="8154" priority="8644" stopIfTrue="1">
      <formula>$G98=""</formula>
    </cfRule>
  </conditionalFormatting>
  <conditionalFormatting sqref="T100:U100">
    <cfRule type="containsBlanks" dxfId="8153" priority="8667" stopIfTrue="1">
      <formula>LEN(TRIM(T100))=0</formula>
    </cfRule>
  </conditionalFormatting>
  <conditionalFormatting sqref="AC98:AD98">
    <cfRule type="expression" dxfId="8152" priority="8666">
      <formula>$G98=""</formula>
    </cfRule>
  </conditionalFormatting>
  <conditionalFormatting sqref="AE99">
    <cfRule type="containsBlanks" dxfId="8151" priority="8664">
      <formula>LEN(TRIM(AE99))=0</formula>
    </cfRule>
  </conditionalFormatting>
  <conditionalFormatting sqref="AE100 AF101">
    <cfRule type="containsBlanks" dxfId="8150" priority="8663" stopIfTrue="1">
      <formula>LEN(TRIM(AE100))=0</formula>
    </cfRule>
  </conditionalFormatting>
  <conditionalFormatting sqref="AE100">
    <cfRule type="expression" dxfId="8149" priority="8675">
      <formula>OR($HN99=FALSE,$HO99=FALSE)</formula>
    </cfRule>
  </conditionalFormatting>
  <conditionalFormatting sqref="G99:Q99 G98">
    <cfRule type="containsBlanks" dxfId="8148" priority="8661">
      <formula>LEN(TRIM(G98))=0</formula>
    </cfRule>
  </conditionalFormatting>
  <conditionalFormatting sqref="G99:L99">
    <cfRule type="expression" dxfId="8147" priority="8659" stopIfTrue="1">
      <formula>$G98=""</formula>
    </cfRule>
    <cfRule type="containsBlanks" dxfId="8146" priority="8660">
      <formula>LEN(TRIM(G99))=0</formula>
    </cfRule>
  </conditionalFormatting>
  <conditionalFormatting sqref="R100">
    <cfRule type="expression" dxfId="8145" priority="8657" stopIfTrue="1">
      <formula>$G98=""</formula>
    </cfRule>
    <cfRule type="containsBlanks" dxfId="8144" priority="8658">
      <formula>LEN(TRIM(R100))=0</formula>
    </cfRule>
  </conditionalFormatting>
  <conditionalFormatting sqref="P100:R100">
    <cfRule type="expression" dxfId="8143" priority="8656">
      <formula>$C$36=0</formula>
    </cfRule>
  </conditionalFormatting>
  <conditionalFormatting sqref="AF99">
    <cfRule type="containsBlanks" dxfId="8142" priority="8652">
      <formula>LEN(TRIM(AF99))=0</formula>
    </cfRule>
    <cfRule type="expression" dxfId="8141" priority="8653">
      <formula>$HJ99=FALSE</formula>
    </cfRule>
  </conditionalFormatting>
  <conditionalFormatting sqref="AF101">
    <cfRule type="expression" dxfId="8140" priority="8651">
      <formula>$C$36=2</formula>
    </cfRule>
  </conditionalFormatting>
  <conditionalFormatting sqref="R99">
    <cfRule type="containsBlanks" dxfId="8139" priority="8650">
      <formula>LEN(TRIM(R99))=0</formula>
    </cfRule>
  </conditionalFormatting>
  <conditionalFormatting sqref="AE99:AF99">
    <cfRule type="expression" dxfId="8138" priority="8649" stopIfTrue="1">
      <formula>$G98=""</formula>
    </cfRule>
  </conditionalFormatting>
  <conditionalFormatting sqref="AF101">
    <cfRule type="expression" dxfId="8137" priority="8648" stopIfTrue="1">
      <formula>$G98=""</formula>
    </cfRule>
  </conditionalFormatting>
  <conditionalFormatting sqref="AF98:AI98">
    <cfRule type="expression" dxfId="8136" priority="8647">
      <formula>$C$36&lt;&gt;0</formula>
    </cfRule>
  </conditionalFormatting>
  <conditionalFormatting sqref="R99">
    <cfRule type="containsBlanks" dxfId="8135" priority="8645">
      <formula>LEN(TRIM(R99))=0</formula>
    </cfRule>
  </conditionalFormatting>
  <conditionalFormatting sqref="U100">
    <cfRule type="expression" dxfId="8134" priority="8668">
      <formula>OR($HF99=FALSE,$HG99=FALSE)</formula>
    </cfRule>
  </conditionalFormatting>
  <conditionalFormatting sqref="R99">
    <cfRule type="expression" dxfId="8133" priority="8642" stopIfTrue="1">
      <formula>$G98=""</formula>
    </cfRule>
    <cfRule type="expression" dxfId="8132" priority="8643">
      <formula>$HT99=FALSE</formula>
    </cfRule>
  </conditionalFormatting>
  <conditionalFormatting sqref="G101">
    <cfRule type="expression" dxfId="8131" priority="8637" stopIfTrue="1">
      <formula>$G98=""</formula>
    </cfRule>
  </conditionalFormatting>
  <conditionalFormatting sqref="G101">
    <cfRule type="expression" dxfId="8130" priority="8631" stopIfTrue="1">
      <formula>$CN98="Exterior"</formula>
    </cfRule>
  </conditionalFormatting>
  <conditionalFormatting sqref="G101:L101">
    <cfRule type="containsBlanks" dxfId="8129" priority="8638" stopIfTrue="1">
      <formula>LEN(TRIM(G101))=0</formula>
    </cfRule>
    <cfRule type="expression" dxfId="8128" priority="8640">
      <formula>$HL99=FALSE</formula>
    </cfRule>
  </conditionalFormatting>
  <conditionalFormatting sqref="AF100">
    <cfRule type="expression" dxfId="8127" priority="8632" stopIfTrue="1">
      <formula>$G98=""</formula>
    </cfRule>
  </conditionalFormatting>
  <conditionalFormatting sqref="AF100:AI100">
    <cfRule type="expression" dxfId="8126" priority="8636">
      <formula>OR($HP99=FALSE,$HL99=FALSE)</formula>
    </cfRule>
  </conditionalFormatting>
  <conditionalFormatting sqref="AF100">
    <cfRule type="containsBlanks" dxfId="8125" priority="8633" stopIfTrue="1">
      <formula>LEN(TRIM(AF100))=0</formula>
    </cfRule>
    <cfRule type="expression" dxfId="8124" priority="8634">
      <formula>$DP98=7</formula>
    </cfRule>
    <cfRule type="expression" dxfId="8123" priority="8635">
      <formula>OR($HK99=FALSE,$HM99=FALSE)</formula>
    </cfRule>
  </conditionalFormatting>
  <conditionalFormatting sqref="G101:L101">
    <cfRule type="expression" dxfId="8122" priority="8639" stopIfTrue="1">
      <formula>$AF100=""</formula>
    </cfRule>
  </conditionalFormatting>
  <conditionalFormatting sqref="T99:U99">
    <cfRule type="expression" dxfId="8121" priority="8628" stopIfTrue="1">
      <formula>$C$36&lt;&gt;0</formula>
    </cfRule>
    <cfRule type="containsBlanks" dxfId="8120" priority="8629" stopIfTrue="1">
      <formula>LEN(TRIM(T99))=0</formula>
    </cfRule>
  </conditionalFormatting>
  <conditionalFormatting sqref="T99:U99">
    <cfRule type="expression" dxfId="8119" priority="8627" stopIfTrue="1">
      <formula>$G98=""</formula>
    </cfRule>
  </conditionalFormatting>
  <conditionalFormatting sqref="U99">
    <cfRule type="expression" dxfId="8118" priority="8630">
      <formula>$HE99=FALSE</formula>
    </cfRule>
  </conditionalFormatting>
  <conditionalFormatting sqref="T101">
    <cfRule type="expression" dxfId="8117" priority="8626">
      <formula>$C$36=2</formula>
    </cfRule>
  </conditionalFormatting>
  <conditionalFormatting sqref="AE105">
    <cfRule type="expression" dxfId="8116" priority="8612" stopIfTrue="1">
      <formula>$G103=""</formula>
    </cfRule>
  </conditionalFormatting>
  <conditionalFormatting sqref="AB106:AD106">
    <cfRule type="expression" dxfId="8115" priority="8624" stopIfTrue="1">
      <formula>$G103=""</formula>
    </cfRule>
  </conditionalFormatting>
  <conditionalFormatting sqref="G105">
    <cfRule type="expression" dxfId="8114" priority="8621" stopIfTrue="1">
      <formula>$G103=""</formula>
    </cfRule>
    <cfRule type="containsBlanks" dxfId="8113" priority="8622" stopIfTrue="1">
      <formula>LEN(TRIM(G105))=0</formula>
    </cfRule>
    <cfRule type="expression" dxfId="8112" priority="8623">
      <formula>OR($M105=0,$HC104=FALSE)</formula>
    </cfRule>
  </conditionalFormatting>
  <conditionalFormatting sqref="AB106">
    <cfRule type="expression" dxfId="8111" priority="8620" stopIfTrue="1">
      <formula>$AB106=""</formula>
    </cfRule>
  </conditionalFormatting>
  <conditionalFormatting sqref="AE104:AF104">
    <cfRule type="expression" dxfId="8110" priority="8619">
      <formula>$C$36=2</formula>
    </cfRule>
  </conditionalFormatting>
  <conditionalFormatting sqref="T105:U105">
    <cfRule type="expression" dxfId="8109" priority="8594" stopIfTrue="1">
      <formula>$G103=""</formula>
    </cfRule>
  </conditionalFormatting>
  <conditionalFormatting sqref="T105:U105">
    <cfRule type="containsBlanks" dxfId="8108" priority="8617" stopIfTrue="1">
      <formula>LEN(TRIM(T105))=0</formula>
    </cfRule>
  </conditionalFormatting>
  <conditionalFormatting sqref="AC103:AD103">
    <cfRule type="expression" dxfId="8107" priority="8616">
      <formula>$G103=""</formula>
    </cfRule>
  </conditionalFormatting>
  <conditionalFormatting sqref="AE104">
    <cfRule type="containsBlanks" dxfId="8106" priority="8614">
      <formula>LEN(TRIM(AE104))=0</formula>
    </cfRule>
  </conditionalFormatting>
  <conditionalFormatting sqref="AE105 AF106">
    <cfRule type="containsBlanks" dxfId="8105" priority="8613" stopIfTrue="1">
      <formula>LEN(TRIM(AE105))=0</formula>
    </cfRule>
  </conditionalFormatting>
  <conditionalFormatting sqref="AE105">
    <cfRule type="expression" dxfId="8104" priority="8625">
      <formula>OR($HN104=FALSE,$HO104=FALSE)</formula>
    </cfRule>
  </conditionalFormatting>
  <conditionalFormatting sqref="G104:Q104 G103">
    <cfRule type="containsBlanks" dxfId="8103" priority="8611">
      <formula>LEN(TRIM(G103))=0</formula>
    </cfRule>
  </conditionalFormatting>
  <conditionalFormatting sqref="G104:L104">
    <cfRule type="expression" dxfId="8102" priority="8609" stopIfTrue="1">
      <formula>$G103=""</formula>
    </cfRule>
    <cfRule type="containsBlanks" dxfId="8101" priority="8610">
      <formula>LEN(TRIM(G104))=0</formula>
    </cfRule>
  </conditionalFormatting>
  <conditionalFormatting sqref="R105">
    <cfRule type="expression" dxfId="8100" priority="8607" stopIfTrue="1">
      <formula>$G103=""</formula>
    </cfRule>
    <cfRule type="containsBlanks" dxfId="8099" priority="8608">
      <formula>LEN(TRIM(R105))=0</formula>
    </cfRule>
  </conditionalFormatting>
  <conditionalFormatting sqref="P105:R105">
    <cfRule type="expression" dxfId="8098" priority="8606">
      <formula>$C$36=0</formula>
    </cfRule>
  </conditionalFormatting>
  <conditionalFormatting sqref="AF104">
    <cfRule type="containsBlanks" dxfId="8097" priority="8602">
      <formula>LEN(TRIM(AF104))=0</formula>
    </cfRule>
    <cfRule type="expression" dxfId="8096" priority="8603">
      <formula>$HJ104=FALSE</formula>
    </cfRule>
  </conditionalFormatting>
  <conditionalFormatting sqref="AF106">
    <cfRule type="expression" dxfId="8095" priority="8601">
      <formula>$C$36=2</formula>
    </cfRule>
  </conditionalFormatting>
  <conditionalFormatting sqref="R104">
    <cfRule type="containsBlanks" dxfId="8094" priority="8600">
      <formula>LEN(TRIM(R104))=0</formula>
    </cfRule>
  </conditionalFormatting>
  <conditionalFormatting sqref="AE104:AF104">
    <cfRule type="expression" dxfId="8093" priority="8599" stopIfTrue="1">
      <formula>$G103=""</formula>
    </cfRule>
  </conditionalFormatting>
  <conditionalFormatting sqref="AF106">
    <cfRule type="expression" dxfId="8092" priority="8598" stopIfTrue="1">
      <formula>$G103=""</formula>
    </cfRule>
  </conditionalFormatting>
  <conditionalFormatting sqref="AF103:AI103">
    <cfRule type="expression" dxfId="8091" priority="8597">
      <formula>$C$36&lt;&gt;0</formula>
    </cfRule>
  </conditionalFormatting>
  <conditionalFormatting sqref="R104">
    <cfRule type="containsBlanks" dxfId="8090" priority="8595">
      <formula>LEN(TRIM(R104))=0</formula>
    </cfRule>
  </conditionalFormatting>
  <conditionalFormatting sqref="U105">
    <cfRule type="expression" dxfId="8089" priority="8618">
      <formula>OR($HF104=FALSE,$HG104=FALSE)</formula>
    </cfRule>
  </conditionalFormatting>
  <conditionalFormatting sqref="R104">
    <cfRule type="expression" dxfId="8088" priority="8592" stopIfTrue="1">
      <formula>$G103=""</formula>
    </cfRule>
    <cfRule type="expression" dxfId="8087" priority="8593">
      <formula>$HT104=FALSE</formula>
    </cfRule>
  </conditionalFormatting>
  <conditionalFormatting sqref="G106">
    <cfRule type="expression" dxfId="8086" priority="8587" stopIfTrue="1">
      <formula>$G103=""</formula>
    </cfRule>
  </conditionalFormatting>
  <conditionalFormatting sqref="G106">
    <cfRule type="expression" dxfId="8085" priority="8581" stopIfTrue="1">
      <formula>$CN103="Exterior"</formula>
    </cfRule>
  </conditionalFormatting>
  <conditionalFormatting sqref="G106:L106">
    <cfRule type="containsBlanks" dxfId="8084" priority="8588" stopIfTrue="1">
      <formula>LEN(TRIM(G106))=0</formula>
    </cfRule>
    <cfRule type="expression" dxfId="8083" priority="8590">
      <formula>$HL104=FALSE</formula>
    </cfRule>
  </conditionalFormatting>
  <conditionalFormatting sqref="AF105">
    <cfRule type="expression" dxfId="8082" priority="8582" stopIfTrue="1">
      <formula>$G103=""</formula>
    </cfRule>
  </conditionalFormatting>
  <conditionalFormatting sqref="AF105:AI105">
    <cfRule type="expression" dxfId="8081" priority="8586">
      <formula>OR($HP104=FALSE,$HL104=FALSE)</formula>
    </cfRule>
  </conditionalFormatting>
  <conditionalFormatting sqref="AF105">
    <cfRule type="containsBlanks" dxfId="8080" priority="8583" stopIfTrue="1">
      <formula>LEN(TRIM(AF105))=0</formula>
    </cfRule>
    <cfRule type="expression" dxfId="8079" priority="8584">
      <formula>$DP103=7</formula>
    </cfRule>
    <cfRule type="expression" dxfId="8078" priority="8585">
      <formula>OR($HK104=FALSE,$HM104=FALSE)</formula>
    </cfRule>
  </conditionalFormatting>
  <conditionalFormatting sqref="G106:L106">
    <cfRule type="expression" dxfId="8077" priority="8589" stopIfTrue="1">
      <formula>$AF105=""</formula>
    </cfRule>
  </conditionalFormatting>
  <conditionalFormatting sqref="T104:U104">
    <cfRule type="expression" dxfId="8076" priority="8578" stopIfTrue="1">
      <formula>$C$36&lt;&gt;0</formula>
    </cfRule>
    <cfRule type="containsBlanks" dxfId="8075" priority="8579" stopIfTrue="1">
      <formula>LEN(TRIM(T104))=0</formula>
    </cfRule>
  </conditionalFormatting>
  <conditionalFormatting sqref="T104:U104">
    <cfRule type="expression" dxfId="8074" priority="8577" stopIfTrue="1">
      <formula>$G103=""</formula>
    </cfRule>
  </conditionalFormatting>
  <conditionalFormatting sqref="U104">
    <cfRule type="expression" dxfId="8073" priority="8580">
      <formula>$HE104=FALSE</formula>
    </cfRule>
  </conditionalFormatting>
  <conditionalFormatting sqref="T106">
    <cfRule type="expression" dxfId="8072" priority="8576">
      <formula>$C$36=2</formula>
    </cfRule>
  </conditionalFormatting>
  <conditionalFormatting sqref="AE110">
    <cfRule type="expression" dxfId="8071" priority="8562" stopIfTrue="1">
      <formula>$G108=""</formula>
    </cfRule>
  </conditionalFormatting>
  <conditionalFormatting sqref="AB111:AD111">
    <cfRule type="expression" dxfId="8070" priority="8574" stopIfTrue="1">
      <formula>$G108=""</formula>
    </cfRule>
  </conditionalFormatting>
  <conditionalFormatting sqref="G110">
    <cfRule type="expression" dxfId="8069" priority="8571" stopIfTrue="1">
      <formula>$G108=""</formula>
    </cfRule>
    <cfRule type="containsBlanks" dxfId="8068" priority="8572" stopIfTrue="1">
      <formula>LEN(TRIM(G110))=0</formula>
    </cfRule>
    <cfRule type="expression" dxfId="8067" priority="8573">
      <formula>OR($M110=0,$HC109=FALSE)</formula>
    </cfRule>
  </conditionalFormatting>
  <conditionalFormatting sqref="AB111">
    <cfRule type="expression" dxfId="8066" priority="8570" stopIfTrue="1">
      <formula>$AB111=""</formula>
    </cfRule>
  </conditionalFormatting>
  <conditionalFormatting sqref="AE109:AF109">
    <cfRule type="expression" dxfId="8065" priority="8569">
      <formula>$C$36=2</formula>
    </cfRule>
  </conditionalFormatting>
  <conditionalFormatting sqref="T110:U110">
    <cfRule type="expression" dxfId="8064" priority="8544" stopIfTrue="1">
      <formula>$G108=""</formula>
    </cfRule>
  </conditionalFormatting>
  <conditionalFormatting sqref="T110:U110">
    <cfRule type="containsBlanks" dxfId="8063" priority="8567" stopIfTrue="1">
      <formula>LEN(TRIM(T110))=0</formula>
    </cfRule>
  </conditionalFormatting>
  <conditionalFormatting sqref="AC108:AD108">
    <cfRule type="expression" dxfId="8062" priority="8566">
      <formula>$G108=""</formula>
    </cfRule>
  </conditionalFormatting>
  <conditionalFormatting sqref="AE109">
    <cfRule type="containsBlanks" dxfId="8061" priority="8564">
      <formula>LEN(TRIM(AE109))=0</formula>
    </cfRule>
  </conditionalFormatting>
  <conditionalFormatting sqref="AE110 AF111">
    <cfRule type="containsBlanks" dxfId="8060" priority="8563" stopIfTrue="1">
      <formula>LEN(TRIM(AE110))=0</formula>
    </cfRule>
  </conditionalFormatting>
  <conditionalFormatting sqref="AE110">
    <cfRule type="expression" dxfId="8059" priority="8575">
      <formula>OR($HN109=FALSE,$HO109=FALSE)</formula>
    </cfRule>
  </conditionalFormatting>
  <conditionalFormatting sqref="G109:Q109 G108">
    <cfRule type="containsBlanks" dxfId="8058" priority="8561">
      <formula>LEN(TRIM(G108))=0</formula>
    </cfRule>
  </conditionalFormatting>
  <conditionalFormatting sqref="G109:L109">
    <cfRule type="expression" dxfId="8057" priority="8559" stopIfTrue="1">
      <formula>$G108=""</formula>
    </cfRule>
    <cfRule type="containsBlanks" dxfId="8056" priority="8560">
      <formula>LEN(TRIM(G109))=0</formula>
    </cfRule>
  </conditionalFormatting>
  <conditionalFormatting sqref="R110">
    <cfRule type="expression" dxfId="8055" priority="8557" stopIfTrue="1">
      <formula>$G108=""</formula>
    </cfRule>
    <cfRule type="containsBlanks" dxfId="8054" priority="8558">
      <formula>LEN(TRIM(R110))=0</formula>
    </cfRule>
  </conditionalFormatting>
  <conditionalFormatting sqref="P110:R110">
    <cfRule type="expression" dxfId="8053" priority="8556">
      <formula>$C$36=0</formula>
    </cfRule>
  </conditionalFormatting>
  <conditionalFormatting sqref="AF109">
    <cfRule type="containsBlanks" dxfId="8052" priority="8552">
      <formula>LEN(TRIM(AF109))=0</formula>
    </cfRule>
    <cfRule type="expression" dxfId="8051" priority="8553">
      <formula>$HJ109=FALSE</formula>
    </cfRule>
  </conditionalFormatting>
  <conditionalFormatting sqref="AF111">
    <cfRule type="expression" dxfId="8050" priority="8551">
      <formula>$C$36=2</formula>
    </cfRule>
  </conditionalFormatting>
  <conditionalFormatting sqref="R109">
    <cfRule type="containsBlanks" dxfId="8049" priority="8550">
      <formula>LEN(TRIM(R109))=0</formula>
    </cfRule>
  </conditionalFormatting>
  <conditionalFormatting sqref="AE109:AF109">
    <cfRule type="expression" dxfId="8048" priority="8549" stopIfTrue="1">
      <formula>$G108=""</formula>
    </cfRule>
  </conditionalFormatting>
  <conditionalFormatting sqref="AF111">
    <cfRule type="expression" dxfId="8047" priority="8548" stopIfTrue="1">
      <formula>$G108=""</formula>
    </cfRule>
  </conditionalFormatting>
  <conditionalFormatting sqref="AF108:AI108">
    <cfRule type="expression" dxfId="8046" priority="8547">
      <formula>$C$36&lt;&gt;0</formula>
    </cfRule>
  </conditionalFormatting>
  <conditionalFormatting sqref="R109">
    <cfRule type="containsBlanks" dxfId="8045" priority="8545">
      <formula>LEN(TRIM(R109))=0</formula>
    </cfRule>
  </conditionalFormatting>
  <conditionalFormatting sqref="U110">
    <cfRule type="expression" dxfId="8044" priority="8568">
      <formula>OR($HF109=FALSE,$HG109=FALSE)</formula>
    </cfRule>
  </conditionalFormatting>
  <conditionalFormatting sqref="R109">
    <cfRule type="expression" dxfId="8043" priority="8542" stopIfTrue="1">
      <formula>$G108=""</formula>
    </cfRule>
    <cfRule type="expression" dxfId="8042" priority="8543">
      <formula>$HT109=FALSE</formula>
    </cfRule>
  </conditionalFormatting>
  <conditionalFormatting sqref="G111">
    <cfRule type="expression" dxfId="8041" priority="8537" stopIfTrue="1">
      <formula>$G108=""</formula>
    </cfRule>
  </conditionalFormatting>
  <conditionalFormatting sqref="G111">
    <cfRule type="expression" dxfId="8040" priority="8531" stopIfTrue="1">
      <formula>$CN108="Exterior"</formula>
    </cfRule>
  </conditionalFormatting>
  <conditionalFormatting sqref="G111:L111">
    <cfRule type="containsBlanks" dxfId="8039" priority="8538" stopIfTrue="1">
      <formula>LEN(TRIM(G111))=0</formula>
    </cfRule>
    <cfRule type="expression" dxfId="8038" priority="8540">
      <formula>$HL109=FALSE</formula>
    </cfRule>
  </conditionalFormatting>
  <conditionalFormatting sqref="AF110">
    <cfRule type="expression" dxfId="8037" priority="8532" stopIfTrue="1">
      <formula>$G108=""</formula>
    </cfRule>
  </conditionalFormatting>
  <conditionalFormatting sqref="AF110:AI110">
    <cfRule type="expression" dxfId="8036" priority="8536">
      <formula>OR($HP109=FALSE,$HL109=FALSE)</formula>
    </cfRule>
  </conditionalFormatting>
  <conditionalFormatting sqref="AF110">
    <cfRule type="containsBlanks" dxfId="8035" priority="8533" stopIfTrue="1">
      <formula>LEN(TRIM(AF110))=0</formula>
    </cfRule>
    <cfRule type="expression" dxfId="8034" priority="8534">
      <formula>$DP108=7</formula>
    </cfRule>
    <cfRule type="expression" dxfId="8033" priority="8535">
      <formula>OR($HK109=FALSE,$HM109=FALSE)</formula>
    </cfRule>
  </conditionalFormatting>
  <conditionalFormatting sqref="G111:L111">
    <cfRule type="expression" dxfId="8032" priority="8539" stopIfTrue="1">
      <formula>$AF110=""</formula>
    </cfRule>
  </conditionalFormatting>
  <conditionalFormatting sqref="T109:U109">
    <cfRule type="expression" dxfId="8031" priority="8528" stopIfTrue="1">
      <formula>$C$36&lt;&gt;0</formula>
    </cfRule>
    <cfRule type="containsBlanks" dxfId="8030" priority="8529" stopIfTrue="1">
      <formula>LEN(TRIM(T109))=0</formula>
    </cfRule>
  </conditionalFormatting>
  <conditionalFormatting sqref="T109:U109">
    <cfRule type="expression" dxfId="8029" priority="8527" stopIfTrue="1">
      <formula>$G108=""</formula>
    </cfRule>
  </conditionalFormatting>
  <conditionalFormatting sqref="U109">
    <cfRule type="expression" dxfId="8028" priority="8530">
      <formula>$HE109=FALSE</formula>
    </cfRule>
  </conditionalFormatting>
  <conditionalFormatting sqref="T111">
    <cfRule type="expression" dxfId="8027" priority="8526">
      <formula>$C$36=2</formula>
    </cfRule>
  </conditionalFormatting>
  <conditionalFormatting sqref="AE115">
    <cfRule type="expression" dxfId="8026" priority="8512" stopIfTrue="1">
      <formula>$G113=""</formula>
    </cfRule>
  </conditionalFormatting>
  <conditionalFormatting sqref="AB116:AD116">
    <cfRule type="expression" dxfId="8025" priority="8524" stopIfTrue="1">
      <formula>$G113=""</formula>
    </cfRule>
  </conditionalFormatting>
  <conditionalFormatting sqref="G115">
    <cfRule type="expression" dxfId="8024" priority="8521" stopIfTrue="1">
      <formula>$G113=""</formula>
    </cfRule>
    <cfRule type="containsBlanks" dxfId="8023" priority="8522" stopIfTrue="1">
      <formula>LEN(TRIM(G115))=0</formula>
    </cfRule>
    <cfRule type="expression" dxfId="8022" priority="8523">
      <formula>OR($M115=0,$HC114=FALSE)</formula>
    </cfRule>
  </conditionalFormatting>
  <conditionalFormatting sqref="AB116">
    <cfRule type="expression" dxfId="8021" priority="8520" stopIfTrue="1">
      <formula>$AB116=""</formula>
    </cfRule>
  </conditionalFormatting>
  <conditionalFormatting sqref="AE114:AF114">
    <cfRule type="expression" dxfId="8020" priority="8519">
      <formula>$C$36=2</formula>
    </cfRule>
  </conditionalFormatting>
  <conditionalFormatting sqref="T115:U115">
    <cfRule type="expression" dxfId="8019" priority="8494" stopIfTrue="1">
      <formula>$G113=""</formula>
    </cfRule>
  </conditionalFormatting>
  <conditionalFormatting sqref="T115:U115">
    <cfRule type="containsBlanks" dxfId="8018" priority="8517" stopIfTrue="1">
      <formula>LEN(TRIM(T115))=0</formula>
    </cfRule>
  </conditionalFormatting>
  <conditionalFormatting sqref="AC113:AD113">
    <cfRule type="expression" dxfId="8017" priority="8516">
      <formula>$G113=""</formula>
    </cfRule>
  </conditionalFormatting>
  <conditionalFormatting sqref="AE114">
    <cfRule type="containsBlanks" dxfId="8016" priority="8514">
      <formula>LEN(TRIM(AE114))=0</formula>
    </cfRule>
  </conditionalFormatting>
  <conditionalFormatting sqref="AE115 AF116">
    <cfRule type="containsBlanks" dxfId="8015" priority="8513" stopIfTrue="1">
      <formula>LEN(TRIM(AE115))=0</formula>
    </cfRule>
  </conditionalFormatting>
  <conditionalFormatting sqref="AE115">
    <cfRule type="expression" dxfId="8014" priority="8525">
      <formula>OR($HN114=FALSE,$HO114=FALSE)</formula>
    </cfRule>
  </conditionalFormatting>
  <conditionalFormatting sqref="G114:Q114 G113">
    <cfRule type="containsBlanks" dxfId="8013" priority="8511">
      <formula>LEN(TRIM(G113))=0</formula>
    </cfRule>
  </conditionalFormatting>
  <conditionalFormatting sqref="G114:L114">
    <cfRule type="expression" dxfId="8012" priority="8509" stopIfTrue="1">
      <formula>$G113=""</formula>
    </cfRule>
    <cfRule type="containsBlanks" dxfId="8011" priority="8510">
      <formula>LEN(TRIM(G114))=0</formula>
    </cfRule>
  </conditionalFormatting>
  <conditionalFormatting sqref="R115">
    <cfRule type="expression" dxfId="8010" priority="8507" stopIfTrue="1">
      <formula>$G113=""</formula>
    </cfRule>
    <cfRule type="containsBlanks" dxfId="8009" priority="8508">
      <formula>LEN(TRIM(R115))=0</formula>
    </cfRule>
  </conditionalFormatting>
  <conditionalFormatting sqref="P115:R115">
    <cfRule type="expression" dxfId="8008" priority="8506">
      <formula>$C$36=0</formula>
    </cfRule>
  </conditionalFormatting>
  <conditionalFormatting sqref="AF114">
    <cfRule type="containsBlanks" dxfId="8007" priority="8502">
      <formula>LEN(TRIM(AF114))=0</formula>
    </cfRule>
    <cfRule type="expression" dxfId="8006" priority="8503">
      <formula>$HJ114=FALSE</formula>
    </cfRule>
  </conditionalFormatting>
  <conditionalFormatting sqref="AF116">
    <cfRule type="expression" dxfId="8005" priority="8501">
      <formula>$C$36=2</formula>
    </cfRule>
  </conditionalFormatting>
  <conditionalFormatting sqref="R114">
    <cfRule type="containsBlanks" dxfId="8004" priority="8500">
      <formula>LEN(TRIM(R114))=0</formula>
    </cfRule>
  </conditionalFormatting>
  <conditionalFormatting sqref="AE114:AF114">
    <cfRule type="expression" dxfId="8003" priority="8499" stopIfTrue="1">
      <formula>$G113=""</formula>
    </cfRule>
  </conditionalFormatting>
  <conditionalFormatting sqref="AF116">
    <cfRule type="expression" dxfId="8002" priority="8498" stopIfTrue="1">
      <formula>$G113=""</formula>
    </cfRule>
  </conditionalFormatting>
  <conditionalFormatting sqref="AF113:AI113">
    <cfRule type="expression" dxfId="8001" priority="8497">
      <formula>$C$36&lt;&gt;0</formula>
    </cfRule>
  </conditionalFormatting>
  <conditionalFormatting sqref="R114">
    <cfRule type="containsBlanks" dxfId="8000" priority="8495">
      <formula>LEN(TRIM(R114))=0</formula>
    </cfRule>
  </conditionalFormatting>
  <conditionalFormatting sqref="U115">
    <cfRule type="expression" dxfId="7999" priority="8518">
      <formula>OR($HF114=FALSE,$HG114=FALSE)</formula>
    </cfRule>
  </conditionalFormatting>
  <conditionalFormatting sqref="R114">
    <cfRule type="expression" dxfId="7998" priority="8492" stopIfTrue="1">
      <formula>$G113=""</formula>
    </cfRule>
    <cfRule type="expression" dxfId="7997" priority="8493">
      <formula>$HT114=FALSE</formula>
    </cfRule>
  </conditionalFormatting>
  <conditionalFormatting sqref="G116">
    <cfRule type="expression" dxfId="7996" priority="8487" stopIfTrue="1">
      <formula>$G113=""</formula>
    </cfRule>
  </conditionalFormatting>
  <conditionalFormatting sqref="G116">
    <cfRule type="expression" dxfId="7995" priority="8481" stopIfTrue="1">
      <formula>$CN113="Exterior"</formula>
    </cfRule>
  </conditionalFormatting>
  <conditionalFormatting sqref="G116:L116">
    <cfRule type="containsBlanks" dxfId="7994" priority="8488" stopIfTrue="1">
      <formula>LEN(TRIM(G116))=0</formula>
    </cfRule>
    <cfRule type="expression" dxfId="7993" priority="8490">
      <formula>$HL114=FALSE</formula>
    </cfRule>
  </conditionalFormatting>
  <conditionalFormatting sqref="AF115">
    <cfRule type="expression" dxfId="7992" priority="8482" stopIfTrue="1">
      <formula>$G113=""</formula>
    </cfRule>
  </conditionalFormatting>
  <conditionalFormatting sqref="AF115:AI115">
    <cfRule type="expression" dxfId="7991" priority="8486">
      <formula>OR($HP114=FALSE,$HL114=FALSE)</formula>
    </cfRule>
  </conditionalFormatting>
  <conditionalFormatting sqref="AF115">
    <cfRule type="containsBlanks" dxfId="7990" priority="8483" stopIfTrue="1">
      <formula>LEN(TRIM(AF115))=0</formula>
    </cfRule>
    <cfRule type="expression" dxfId="7989" priority="8484">
      <formula>$DP113=7</formula>
    </cfRule>
    <cfRule type="expression" dxfId="7988" priority="8485">
      <formula>OR($HK114=FALSE,$HM114=FALSE)</formula>
    </cfRule>
  </conditionalFormatting>
  <conditionalFormatting sqref="G116:L116">
    <cfRule type="expression" dxfId="7987" priority="8489" stopIfTrue="1">
      <formula>$AF115=""</formula>
    </cfRule>
  </conditionalFormatting>
  <conditionalFormatting sqref="T114:U114">
    <cfRule type="expression" dxfId="7986" priority="8478" stopIfTrue="1">
      <formula>$C$36&lt;&gt;0</formula>
    </cfRule>
    <cfRule type="containsBlanks" dxfId="7985" priority="8479" stopIfTrue="1">
      <formula>LEN(TRIM(T114))=0</formula>
    </cfRule>
  </conditionalFormatting>
  <conditionalFormatting sqref="T114:U114">
    <cfRule type="expression" dxfId="7984" priority="8477" stopIfTrue="1">
      <formula>$G113=""</formula>
    </cfRule>
  </conditionalFormatting>
  <conditionalFormatting sqref="U114">
    <cfRule type="expression" dxfId="7983" priority="8480">
      <formula>$HE114=FALSE</formula>
    </cfRule>
  </conditionalFormatting>
  <conditionalFormatting sqref="T116">
    <cfRule type="expression" dxfId="7982" priority="8476">
      <formula>$C$36=2</formula>
    </cfRule>
  </conditionalFormatting>
  <conditionalFormatting sqref="AE120">
    <cfRule type="expression" dxfId="7981" priority="8462" stopIfTrue="1">
      <formula>$G118=""</formula>
    </cfRule>
  </conditionalFormatting>
  <conditionalFormatting sqref="AB121:AD121">
    <cfRule type="expression" dxfId="7980" priority="8474" stopIfTrue="1">
      <formula>$G118=""</formula>
    </cfRule>
  </conditionalFormatting>
  <conditionalFormatting sqref="G120">
    <cfRule type="expression" dxfId="7979" priority="8471" stopIfTrue="1">
      <formula>$G118=""</formula>
    </cfRule>
    <cfRule type="containsBlanks" dxfId="7978" priority="8472" stopIfTrue="1">
      <formula>LEN(TRIM(G120))=0</formula>
    </cfRule>
    <cfRule type="expression" dxfId="7977" priority="8473">
      <formula>OR($M120=0,$HC119=FALSE)</formula>
    </cfRule>
  </conditionalFormatting>
  <conditionalFormatting sqref="AB121">
    <cfRule type="expression" dxfId="7976" priority="8470" stopIfTrue="1">
      <formula>$AB121=""</formula>
    </cfRule>
  </conditionalFormatting>
  <conditionalFormatting sqref="AE119:AF119">
    <cfRule type="expression" dxfId="7975" priority="8469">
      <formula>$C$36=2</formula>
    </cfRule>
  </conditionalFormatting>
  <conditionalFormatting sqref="T120:U120">
    <cfRule type="expression" dxfId="7974" priority="8444" stopIfTrue="1">
      <formula>$G118=""</formula>
    </cfRule>
  </conditionalFormatting>
  <conditionalFormatting sqref="T120:U120">
    <cfRule type="containsBlanks" dxfId="7973" priority="8467" stopIfTrue="1">
      <formula>LEN(TRIM(T120))=0</formula>
    </cfRule>
  </conditionalFormatting>
  <conditionalFormatting sqref="AC118:AD118">
    <cfRule type="expression" dxfId="7972" priority="8466">
      <formula>$G118=""</formula>
    </cfRule>
  </conditionalFormatting>
  <conditionalFormatting sqref="AE119">
    <cfRule type="containsBlanks" dxfId="7971" priority="8464">
      <formula>LEN(TRIM(AE119))=0</formula>
    </cfRule>
  </conditionalFormatting>
  <conditionalFormatting sqref="AE120 AF121">
    <cfRule type="containsBlanks" dxfId="7970" priority="8463" stopIfTrue="1">
      <formula>LEN(TRIM(AE120))=0</formula>
    </cfRule>
  </conditionalFormatting>
  <conditionalFormatting sqref="AE120">
    <cfRule type="expression" dxfId="7969" priority="8475">
      <formula>OR($HN119=FALSE,$HO119=FALSE)</formula>
    </cfRule>
  </conditionalFormatting>
  <conditionalFormatting sqref="G119:Q119 G118">
    <cfRule type="containsBlanks" dxfId="7968" priority="8461">
      <formula>LEN(TRIM(G118))=0</formula>
    </cfRule>
  </conditionalFormatting>
  <conditionalFormatting sqref="G119:L119">
    <cfRule type="expression" dxfId="7967" priority="8459" stopIfTrue="1">
      <formula>$G118=""</formula>
    </cfRule>
    <cfRule type="containsBlanks" dxfId="7966" priority="8460">
      <formula>LEN(TRIM(G119))=0</formula>
    </cfRule>
  </conditionalFormatting>
  <conditionalFormatting sqref="R120">
    <cfRule type="expression" dxfId="7965" priority="8457" stopIfTrue="1">
      <formula>$G118=""</formula>
    </cfRule>
    <cfRule type="containsBlanks" dxfId="7964" priority="8458">
      <formula>LEN(TRIM(R120))=0</formula>
    </cfRule>
  </conditionalFormatting>
  <conditionalFormatting sqref="P120:R120">
    <cfRule type="expression" dxfId="7963" priority="8456">
      <formula>$C$36=0</formula>
    </cfRule>
  </conditionalFormatting>
  <conditionalFormatting sqref="AF119">
    <cfRule type="containsBlanks" dxfId="7962" priority="8452">
      <formula>LEN(TRIM(AF119))=0</formula>
    </cfRule>
    <cfRule type="expression" dxfId="7961" priority="8453">
      <formula>$HJ119=FALSE</formula>
    </cfRule>
  </conditionalFormatting>
  <conditionalFormatting sqref="AF121">
    <cfRule type="expression" dxfId="7960" priority="8451">
      <formula>$C$36=2</formula>
    </cfRule>
  </conditionalFormatting>
  <conditionalFormatting sqref="R119">
    <cfRule type="containsBlanks" dxfId="7959" priority="8450">
      <formula>LEN(TRIM(R119))=0</formula>
    </cfRule>
  </conditionalFormatting>
  <conditionalFormatting sqref="AE119:AF119">
    <cfRule type="expression" dxfId="7958" priority="8449" stopIfTrue="1">
      <formula>$G118=""</formula>
    </cfRule>
  </conditionalFormatting>
  <conditionalFormatting sqref="AF121">
    <cfRule type="expression" dxfId="7957" priority="8448" stopIfTrue="1">
      <formula>$G118=""</formula>
    </cfRule>
  </conditionalFormatting>
  <conditionalFormatting sqref="AF118:AI118">
    <cfRule type="expression" dxfId="7956" priority="8447">
      <formula>$C$36&lt;&gt;0</formula>
    </cfRule>
  </conditionalFormatting>
  <conditionalFormatting sqref="R119">
    <cfRule type="containsBlanks" dxfId="7955" priority="8445">
      <formula>LEN(TRIM(R119))=0</formula>
    </cfRule>
  </conditionalFormatting>
  <conditionalFormatting sqref="U120">
    <cfRule type="expression" dxfId="7954" priority="8468">
      <formula>OR($HF119=FALSE,$HG119=FALSE)</formula>
    </cfRule>
  </conditionalFormatting>
  <conditionalFormatting sqref="R119">
    <cfRule type="expression" dxfId="7953" priority="8442" stopIfTrue="1">
      <formula>$G118=""</formula>
    </cfRule>
    <cfRule type="expression" dxfId="7952" priority="8443">
      <formula>$HT119=FALSE</formula>
    </cfRule>
  </conditionalFormatting>
  <conditionalFormatting sqref="G121">
    <cfRule type="expression" dxfId="7951" priority="8437" stopIfTrue="1">
      <formula>$G118=""</formula>
    </cfRule>
  </conditionalFormatting>
  <conditionalFormatting sqref="G121">
    <cfRule type="expression" dxfId="7950" priority="8431" stopIfTrue="1">
      <formula>$CN118="Exterior"</formula>
    </cfRule>
  </conditionalFormatting>
  <conditionalFormatting sqref="G121:L121">
    <cfRule type="containsBlanks" dxfId="7949" priority="8438" stopIfTrue="1">
      <formula>LEN(TRIM(G121))=0</formula>
    </cfRule>
    <cfRule type="expression" dxfId="7948" priority="8440">
      <formula>$HL119=FALSE</formula>
    </cfRule>
  </conditionalFormatting>
  <conditionalFormatting sqref="AF120">
    <cfRule type="expression" dxfId="7947" priority="8432" stopIfTrue="1">
      <formula>$G118=""</formula>
    </cfRule>
  </conditionalFormatting>
  <conditionalFormatting sqref="AF120:AI120">
    <cfRule type="expression" dxfId="7946" priority="8436">
      <formula>OR($HP119=FALSE,$HL119=FALSE)</formula>
    </cfRule>
  </conditionalFormatting>
  <conditionalFormatting sqref="AF120">
    <cfRule type="containsBlanks" dxfId="7945" priority="8433" stopIfTrue="1">
      <formula>LEN(TRIM(AF120))=0</formula>
    </cfRule>
    <cfRule type="expression" dxfId="7944" priority="8434">
      <formula>$DP118=7</formula>
    </cfRule>
    <cfRule type="expression" dxfId="7943" priority="8435">
      <formula>OR($HK119=FALSE,$HM119=FALSE)</formula>
    </cfRule>
  </conditionalFormatting>
  <conditionalFormatting sqref="G121:L121">
    <cfRule type="expression" dxfId="7942" priority="8439" stopIfTrue="1">
      <formula>$AF120=""</formula>
    </cfRule>
  </conditionalFormatting>
  <conditionalFormatting sqref="T119:U119">
    <cfRule type="expression" dxfId="7941" priority="8428" stopIfTrue="1">
      <formula>$C$36&lt;&gt;0</formula>
    </cfRule>
    <cfRule type="containsBlanks" dxfId="7940" priority="8429" stopIfTrue="1">
      <formula>LEN(TRIM(T119))=0</formula>
    </cfRule>
  </conditionalFormatting>
  <conditionalFormatting sqref="T119:U119">
    <cfRule type="expression" dxfId="7939" priority="8427" stopIfTrue="1">
      <formula>$G118=""</formula>
    </cfRule>
  </conditionalFormatting>
  <conditionalFormatting sqref="U119">
    <cfRule type="expression" dxfId="7938" priority="8430">
      <formula>$HE119=FALSE</formula>
    </cfRule>
  </conditionalFormatting>
  <conditionalFormatting sqref="T121">
    <cfRule type="expression" dxfId="7937" priority="8426">
      <formula>$C$36=2</formula>
    </cfRule>
  </conditionalFormatting>
  <conditionalFormatting sqref="AE125">
    <cfRule type="expression" dxfId="7936" priority="8412" stopIfTrue="1">
      <formula>$G123=""</formula>
    </cfRule>
  </conditionalFormatting>
  <conditionalFormatting sqref="AB126:AD126">
    <cfRule type="expression" dxfId="7935" priority="8424" stopIfTrue="1">
      <formula>$G123=""</formula>
    </cfRule>
  </conditionalFormatting>
  <conditionalFormatting sqref="G125">
    <cfRule type="expression" dxfId="7934" priority="8421" stopIfTrue="1">
      <formula>$G123=""</formula>
    </cfRule>
    <cfRule type="containsBlanks" dxfId="7933" priority="8422" stopIfTrue="1">
      <formula>LEN(TRIM(G125))=0</formula>
    </cfRule>
    <cfRule type="expression" dxfId="7932" priority="8423">
      <formula>OR($M125=0,$HC124=FALSE)</formula>
    </cfRule>
  </conditionalFormatting>
  <conditionalFormatting sqref="AB126">
    <cfRule type="expression" dxfId="7931" priority="8420" stopIfTrue="1">
      <formula>$AB126=""</formula>
    </cfRule>
  </conditionalFormatting>
  <conditionalFormatting sqref="AE124:AF124">
    <cfRule type="expression" dxfId="7930" priority="8419">
      <formula>$C$36=2</formula>
    </cfRule>
  </conditionalFormatting>
  <conditionalFormatting sqref="T125:U125">
    <cfRule type="expression" dxfId="7929" priority="8394" stopIfTrue="1">
      <formula>$G123=""</formula>
    </cfRule>
  </conditionalFormatting>
  <conditionalFormatting sqref="T125:U125">
    <cfRule type="containsBlanks" dxfId="7928" priority="8417" stopIfTrue="1">
      <formula>LEN(TRIM(T125))=0</formula>
    </cfRule>
  </conditionalFormatting>
  <conditionalFormatting sqref="AC123:AD123">
    <cfRule type="expression" dxfId="7927" priority="8416">
      <formula>$G123=""</formula>
    </cfRule>
  </conditionalFormatting>
  <conditionalFormatting sqref="AE124">
    <cfRule type="containsBlanks" dxfId="7926" priority="8414">
      <formula>LEN(TRIM(AE124))=0</formula>
    </cfRule>
  </conditionalFormatting>
  <conditionalFormatting sqref="AE125 AF126">
    <cfRule type="containsBlanks" dxfId="7925" priority="8413" stopIfTrue="1">
      <formula>LEN(TRIM(AE125))=0</formula>
    </cfRule>
  </conditionalFormatting>
  <conditionalFormatting sqref="AE125">
    <cfRule type="expression" dxfId="7924" priority="8425">
      <formula>OR($HN124=FALSE,$HO124=FALSE)</formula>
    </cfRule>
  </conditionalFormatting>
  <conditionalFormatting sqref="G124:Q124 G123">
    <cfRule type="containsBlanks" dxfId="7923" priority="8411">
      <formula>LEN(TRIM(G123))=0</formula>
    </cfRule>
  </conditionalFormatting>
  <conditionalFormatting sqref="G124:L124">
    <cfRule type="expression" dxfId="7922" priority="8409" stopIfTrue="1">
      <formula>$G123=""</formula>
    </cfRule>
    <cfRule type="containsBlanks" dxfId="7921" priority="8410">
      <formula>LEN(TRIM(G124))=0</formula>
    </cfRule>
  </conditionalFormatting>
  <conditionalFormatting sqref="R125">
    <cfRule type="expression" dxfId="7920" priority="8407" stopIfTrue="1">
      <formula>$G123=""</formula>
    </cfRule>
    <cfRule type="containsBlanks" dxfId="7919" priority="8408">
      <formula>LEN(TRIM(R125))=0</formula>
    </cfRule>
  </conditionalFormatting>
  <conditionalFormatting sqref="P125:R125">
    <cfRule type="expression" dxfId="7918" priority="8406">
      <formula>$C$36=0</formula>
    </cfRule>
  </conditionalFormatting>
  <conditionalFormatting sqref="AF124">
    <cfRule type="containsBlanks" dxfId="7917" priority="8402">
      <formula>LEN(TRIM(AF124))=0</formula>
    </cfRule>
    <cfRule type="expression" dxfId="7916" priority="8403">
      <formula>$HJ124=FALSE</formula>
    </cfRule>
  </conditionalFormatting>
  <conditionalFormatting sqref="AF126">
    <cfRule type="expression" dxfId="7915" priority="8401">
      <formula>$C$36=2</formula>
    </cfRule>
  </conditionalFormatting>
  <conditionalFormatting sqref="R124">
    <cfRule type="containsBlanks" dxfId="7914" priority="8400">
      <formula>LEN(TRIM(R124))=0</formula>
    </cfRule>
  </conditionalFormatting>
  <conditionalFormatting sqref="AE124:AF124">
    <cfRule type="expression" dxfId="7913" priority="8399" stopIfTrue="1">
      <formula>$G123=""</formula>
    </cfRule>
  </conditionalFormatting>
  <conditionalFormatting sqref="AF126">
    <cfRule type="expression" dxfId="7912" priority="8398" stopIfTrue="1">
      <formula>$G123=""</formula>
    </cfRule>
  </conditionalFormatting>
  <conditionalFormatting sqref="AF123:AI123">
    <cfRule type="expression" dxfId="7911" priority="8397">
      <formula>$C$36&lt;&gt;0</formula>
    </cfRule>
  </conditionalFormatting>
  <conditionalFormatting sqref="R124">
    <cfRule type="containsBlanks" dxfId="7910" priority="8395">
      <formula>LEN(TRIM(R124))=0</formula>
    </cfRule>
  </conditionalFormatting>
  <conditionalFormatting sqref="U125">
    <cfRule type="expression" dxfId="7909" priority="8418">
      <formula>OR($HF124=FALSE,$HG124=FALSE)</formula>
    </cfRule>
  </conditionalFormatting>
  <conditionalFormatting sqref="R124">
    <cfRule type="expression" dxfId="7908" priority="8392" stopIfTrue="1">
      <formula>$G123=""</formula>
    </cfRule>
    <cfRule type="expression" dxfId="7907" priority="8393">
      <formula>$HT124=FALSE</formula>
    </cfRule>
  </conditionalFormatting>
  <conditionalFormatting sqref="G126">
    <cfRule type="expression" dxfId="7906" priority="8387" stopIfTrue="1">
      <formula>$G123=""</formula>
    </cfRule>
  </conditionalFormatting>
  <conditionalFormatting sqref="G126">
    <cfRule type="expression" dxfId="7905" priority="8381" stopIfTrue="1">
      <formula>$CN123="Exterior"</formula>
    </cfRule>
  </conditionalFormatting>
  <conditionalFormatting sqref="G126:L126">
    <cfRule type="containsBlanks" dxfId="7904" priority="8388" stopIfTrue="1">
      <formula>LEN(TRIM(G126))=0</formula>
    </cfRule>
    <cfRule type="expression" dxfId="7903" priority="8390">
      <formula>$HL124=FALSE</formula>
    </cfRule>
  </conditionalFormatting>
  <conditionalFormatting sqref="AF125">
    <cfRule type="expression" dxfId="7902" priority="8382" stopIfTrue="1">
      <formula>$G123=""</formula>
    </cfRule>
  </conditionalFormatting>
  <conditionalFormatting sqref="AF125:AI125">
    <cfRule type="expression" dxfId="7901" priority="8386">
      <formula>OR($HP124=FALSE,$HL124=FALSE)</formula>
    </cfRule>
  </conditionalFormatting>
  <conditionalFormatting sqref="AF125">
    <cfRule type="containsBlanks" dxfId="7900" priority="8383" stopIfTrue="1">
      <formula>LEN(TRIM(AF125))=0</formula>
    </cfRule>
    <cfRule type="expression" dxfId="7899" priority="8384">
      <formula>$DP123=7</formula>
    </cfRule>
    <cfRule type="expression" dxfId="7898" priority="8385">
      <formula>OR($HK124=FALSE,$HM124=FALSE)</formula>
    </cfRule>
  </conditionalFormatting>
  <conditionalFormatting sqref="G126:L126">
    <cfRule type="expression" dxfId="7897" priority="8389" stopIfTrue="1">
      <formula>$AF125=""</formula>
    </cfRule>
  </conditionalFormatting>
  <conditionalFormatting sqref="T124:U124">
    <cfRule type="expression" dxfId="7896" priority="8378" stopIfTrue="1">
      <formula>$C$36&lt;&gt;0</formula>
    </cfRule>
    <cfRule type="containsBlanks" dxfId="7895" priority="8379" stopIfTrue="1">
      <formula>LEN(TRIM(T124))=0</formula>
    </cfRule>
  </conditionalFormatting>
  <conditionalFormatting sqref="T124:U124">
    <cfRule type="expression" dxfId="7894" priority="8377" stopIfTrue="1">
      <formula>$G123=""</formula>
    </cfRule>
  </conditionalFormatting>
  <conditionalFormatting sqref="U124">
    <cfRule type="expression" dxfId="7893" priority="8380">
      <formula>$HE124=FALSE</formula>
    </cfRule>
  </conditionalFormatting>
  <conditionalFormatting sqref="T126">
    <cfRule type="expression" dxfId="7892" priority="8376">
      <formula>$C$36=2</formula>
    </cfRule>
  </conditionalFormatting>
  <conditionalFormatting sqref="AE130">
    <cfRule type="expression" dxfId="7891" priority="8362" stopIfTrue="1">
      <formula>$G128=""</formula>
    </cfRule>
  </conditionalFormatting>
  <conditionalFormatting sqref="AB131:AD131">
    <cfRule type="expression" dxfId="7890" priority="8374" stopIfTrue="1">
      <formula>$G128=""</formula>
    </cfRule>
  </conditionalFormatting>
  <conditionalFormatting sqref="G130">
    <cfRule type="expression" dxfId="7889" priority="8371" stopIfTrue="1">
      <formula>$G128=""</formula>
    </cfRule>
    <cfRule type="containsBlanks" dxfId="7888" priority="8372" stopIfTrue="1">
      <formula>LEN(TRIM(G130))=0</formula>
    </cfRule>
    <cfRule type="expression" dxfId="7887" priority="8373">
      <formula>OR($M130=0,$HC129=FALSE)</formula>
    </cfRule>
  </conditionalFormatting>
  <conditionalFormatting sqref="AB131">
    <cfRule type="expression" dxfId="7886" priority="8370" stopIfTrue="1">
      <formula>$AB131=""</formula>
    </cfRule>
  </conditionalFormatting>
  <conditionalFormatting sqref="AE129:AF129">
    <cfRule type="expression" dxfId="7885" priority="8369">
      <formula>$C$36=2</formula>
    </cfRule>
  </conditionalFormatting>
  <conditionalFormatting sqref="T130:U130">
    <cfRule type="expression" dxfId="7884" priority="8344" stopIfTrue="1">
      <formula>$G128=""</formula>
    </cfRule>
  </conditionalFormatting>
  <conditionalFormatting sqref="T130:U130">
    <cfRule type="containsBlanks" dxfId="7883" priority="8367" stopIfTrue="1">
      <formula>LEN(TRIM(T130))=0</formula>
    </cfRule>
  </conditionalFormatting>
  <conditionalFormatting sqref="AC128:AD128">
    <cfRule type="expression" dxfId="7882" priority="8366">
      <formula>$G128=""</formula>
    </cfRule>
  </conditionalFormatting>
  <conditionalFormatting sqref="AE129">
    <cfRule type="containsBlanks" dxfId="7881" priority="8364">
      <formula>LEN(TRIM(AE129))=0</formula>
    </cfRule>
  </conditionalFormatting>
  <conditionalFormatting sqref="AE130 AF131">
    <cfRule type="containsBlanks" dxfId="7880" priority="8363" stopIfTrue="1">
      <formula>LEN(TRIM(AE130))=0</formula>
    </cfRule>
  </conditionalFormatting>
  <conditionalFormatting sqref="AE130">
    <cfRule type="expression" dxfId="7879" priority="8375">
      <formula>OR($HN129=FALSE,$HO129=FALSE)</formula>
    </cfRule>
  </conditionalFormatting>
  <conditionalFormatting sqref="G129:Q129 G128">
    <cfRule type="containsBlanks" dxfId="7878" priority="8361">
      <formula>LEN(TRIM(G128))=0</formula>
    </cfRule>
  </conditionalFormatting>
  <conditionalFormatting sqref="G129:L129">
    <cfRule type="expression" dxfId="7877" priority="8359" stopIfTrue="1">
      <formula>$G128=""</formula>
    </cfRule>
    <cfRule type="containsBlanks" dxfId="7876" priority="8360">
      <formula>LEN(TRIM(G129))=0</formula>
    </cfRule>
  </conditionalFormatting>
  <conditionalFormatting sqref="R130">
    <cfRule type="expression" dxfId="7875" priority="8357" stopIfTrue="1">
      <formula>$G128=""</formula>
    </cfRule>
    <cfRule type="containsBlanks" dxfId="7874" priority="8358">
      <formula>LEN(TRIM(R130))=0</formula>
    </cfRule>
  </conditionalFormatting>
  <conditionalFormatting sqref="P130:R130">
    <cfRule type="expression" dxfId="7873" priority="8356">
      <formula>$C$36=0</formula>
    </cfRule>
  </conditionalFormatting>
  <conditionalFormatting sqref="AF129">
    <cfRule type="containsBlanks" dxfId="7872" priority="8352">
      <formula>LEN(TRIM(AF129))=0</formula>
    </cfRule>
    <cfRule type="expression" dxfId="7871" priority="8353">
      <formula>$HJ129=FALSE</formula>
    </cfRule>
  </conditionalFormatting>
  <conditionalFormatting sqref="AF131">
    <cfRule type="expression" dxfId="7870" priority="8351">
      <formula>$C$36=2</formula>
    </cfRule>
  </conditionalFormatting>
  <conditionalFormatting sqref="R129">
    <cfRule type="containsBlanks" dxfId="7869" priority="8350">
      <formula>LEN(TRIM(R129))=0</formula>
    </cfRule>
  </conditionalFormatting>
  <conditionalFormatting sqref="AE129:AF129">
    <cfRule type="expression" dxfId="7868" priority="8349" stopIfTrue="1">
      <formula>$G128=""</formula>
    </cfRule>
  </conditionalFormatting>
  <conditionalFormatting sqref="AF131">
    <cfRule type="expression" dxfId="7867" priority="8348" stopIfTrue="1">
      <formula>$G128=""</formula>
    </cfRule>
  </conditionalFormatting>
  <conditionalFormatting sqref="AF128:AI128">
    <cfRule type="expression" dxfId="7866" priority="8347">
      <formula>$C$36&lt;&gt;0</formula>
    </cfRule>
  </conditionalFormatting>
  <conditionalFormatting sqref="R129">
    <cfRule type="containsBlanks" dxfId="7865" priority="8345">
      <formula>LEN(TRIM(R129))=0</formula>
    </cfRule>
  </conditionalFormatting>
  <conditionalFormatting sqref="U130">
    <cfRule type="expression" dxfId="7864" priority="8368">
      <formula>OR($HF129=FALSE,$HG129=FALSE)</formula>
    </cfRule>
  </conditionalFormatting>
  <conditionalFormatting sqref="R129">
    <cfRule type="expression" dxfId="7863" priority="8342" stopIfTrue="1">
      <formula>$G128=""</formula>
    </cfRule>
    <cfRule type="expression" dxfId="7862" priority="8343">
      <formula>$HT129=FALSE</formula>
    </cfRule>
  </conditionalFormatting>
  <conditionalFormatting sqref="G131">
    <cfRule type="expression" dxfId="7861" priority="8337" stopIfTrue="1">
      <formula>$G128=""</formula>
    </cfRule>
  </conditionalFormatting>
  <conditionalFormatting sqref="G131">
    <cfRule type="expression" dxfId="7860" priority="8331" stopIfTrue="1">
      <formula>$CN128="Exterior"</formula>
    </cfRule>
  </conditionalFormatting>
  <conditionalFormatting sqref="G131:L131">
    <cfRule type="containsBlanks" dxfId="7859" priority="8338" stopIfTrue="1">
      <formula>LEN(TRIM(G131))=0</formula>
    </cfRule>
    <cfRule type="expression" dxfId="7858" priority="8340">
      <formula>$HL129=FALSE</formula>
    </cfRule>
  </conditionalFormatting>
  <conditionalFormatting sqref="AF130">
    <cfRule type="expression" dxfId="7857" priority="8332" stopIfTrue="1">
      <formula>$G128=""</formula>
    </cfRule>
  </conditionalFormatting>
  <conditionalFormatting sqref="AF130:AI130">
    <cfRule type="expression" dxfId="7856" priority="8336">
      <formula>OR($HP129=FALSE,$HL129=FALSE)</formula>
    </cfRule>
  </conditionalFormatting>
  <conditionalFormatting sqref="AF130">
    <cfRule type="containsBlanks" dxfId="7855" priority="8333" stopIfTrue="1">
      <formula>LEN(TRIM(AF130))=0</formula>
    </cfRule>
    <cfRule type="expression" dxfId="7854" priority="8334">
      <formula>$DP128=7</formula>
    </cfRule>
    <cfRule type="expression" dxfId="7853" priority="8335">
      <formula>OR($HK129=FALSE,$HM129=FALSE)</formula>
    </cfRule>
  </conditionalFormatting>
  <conditionalFormatting sqref="G131:L131">
    <cfRule type="expression" dxfId="7852" priority="8339" stopIfTrue="1">
      <formula>$AF130=""</formula>
    </cfRule>
  </conditionalFormatting>
  <conditionalFormatting sqref="T129:U129">
    <cfRule type="expression" dxfId="7851" priority="8328" stopIfTrue="1">
      <formula>$C$36&lt;&gt;0</formula>
    </cfRule>
    <cfRule type="containsBlanks" dxfId="7850" priority="8329" stopIfTrue="1">
      <formula>LEN(TRIM(T129))=0</formula>
    </cfRule>
  </conditionalFormatting>
  <conditionalFormatting sqref="T129:U129">
    <cfRule type="expression" dxfId="7849" priority="8327" stopIfTrue="1">
      <formula>$G128=""</formula>
    </cfRule>
  </conditionalFormatting>
  <conditionalFormatting sqref="U129">
    <cfRule type="expression" dxfId="7848" priority="8330">
      <formula>$HE129=FALSE</formula>
    </cfRule>
  </conditionalFormatting>
  <conditionalFormatting sqref="T131">
    <cfRule type="expression" dxfId="7847" priority="8326">
      <formula>$C$36=2</formula>
    </cfRule>
  </conditionalFormatting>
  <conditionalFormatting sqref="AE135">
    <cfRule type="expression" dxfId="7846" priority="8312" stopIfTrue="1">
      <formula>$G133=""</formula>
    </cfRule>
  </conditionalFormatting>
  <conditionalFormatting sqref="AB136:AD136">
    <cfRule type="expression" dxfId="7845" priority="8324" stopIfTrue="1">
      <formula>$G133=""</formula>
    </cfRule>
  </conditionalFormatting>
  <conditionalFormatting sqref="G135">
    <cfRule type="expression" dxfId="7844" priority="8321" stopIfTrue="1">
      <formula>$G133=""</formula>
    </cfRule>
    <cfRule type="containsBlanks" dxfId="7843" priority="8322" stopIfTrue="1">
      <formula>LEN(TRIM(G135))=0</formula>
    </cfRule>
    <cfRule type="expression" dxfId="7842" priority="8323">
      <formula>OR($M135=0,$HC134=FALSE)</formula>
    </cfRule>
  </conditionalFormatting>
  <conditionalFormatting sqref="AB136">
    <cfRule type="expression" dxfId="7841" priority="8320" stopIfTrue="1">
      <formula>$AB136=""</formula>
    </cfRule>
  </conditionalFormatting>
  <conditionalFormatting sqref="AE134:AF134">
    <cfRule type="expression" dxfId="7840" priority="8319">
      <formula>$C$36=2</formula>
    </cfRule>
  </conditionalFormatting>
  <conditionalFormatting sqref="T135:U135">
    <cfRule type="expression" dxfId="7839" priority="8294" stopIfTrue="1">
      <formula>$G133=""</formula>
    </cfRule>
  </conditionalFormatting>
  <conditionalFormatting sqref="T135:U135">
    <cfRule type="containsBlanks" dxfId="7838" priority="8317" stopIfTrue="1">
      <formula>LEN(TRIM(T135))=0</formula>
    </cfRule>
  </conditionalFormatting>
  <conditionalFormatting sqref="AC133:AD133">
    <cfRule type="expression" dxfId="7837" priority="8316">
      <formula>$G133=""</formula>
    </cfRule>
  </conditionalFormatting>
  <conditionalFormatting sqref="AE134">
    <cfRule type="containsBlanks" dxfId="7836" priority="8314">
      <formula>LEN(TRIM(AE134))=0</formula>
    </cfRule>
  </conditionalFormatting>
  <conditionalFormatting sqref="AE135 AF136">
    <cfRule type="containsBlanks" dxfId="7835" priority="8313" stopIfTrue="1">
      <formula>LEN(TRIM(AE135))=0</formula>
    </cfRule>
  </conditionalFormatting>
  <conditionalFormatting sqref="AE135">
    <cfRule type="expression" dxfId="7834" priority="8325">
      <formula>OR($HN134=FALSE,$HO134=FALSE)</formula>
    </cfRule>
  </conditionalFormatting>
  <conditionalFormatting sqref="G134:Q134 G133">
    <cfRule type="containsBlanks" dxfId="7833" priority="8311">
      <formula>LEN(TRIM(G133))=0</formula>
    </cfRule>
  </conditionalFormatting>
  <conditionalFormatting sqref="G134:L134">
    <cfRule type="expression" dxfId="7832" priority="8309" stopIfTrue="1">
      <formula>$G133=""</formula>
    </cfRule>
    <cfRule type="containsBlanks" dxfId="7831" priority="8310">
      <formula>LEN(TRIM(G134))=0</formula>
    </cfRule>
  </conditionalFormatting>
  <conditionalFormatting sqref="R135">
    <cfRule type="expression" dxfId="7830" priority="8307" stopIfTrue="1">
      <formula>$G133=""</formula>
    </cfRule>
    <cfRule type="containsBlanks" dxfId="7829" priority="8308">
      <formula>LEN(TRIM(R135))=0</formula>
    </cfRule>
  </conditionalFormatting>
  <conditionalFormatting sqref="P135:R135">
    <cfRule type="expression" dxfId="7828" priority="8306">
      <formula>$C$36=0</formula>
    </cfRule>
  </conditionalFormatting>
  <conditionalFormatting sqref="AF134">
    <cfRule type="containsBlanks" dxfId="7827" priority="8302">
      <formula>LEN(TRIM(AF134))=0</formula>
    </cfRule>
    <cfRule type="expression" dxfId="7826" priority="8303">
      <formula>$HJ134=FALSE</formula>
    </cfRule>
  </conditionalFormatting>
  <conditionalFormatting sqref="AF136">
    <cfRule type="expression" dxfId="7825" priority="8301">
      <formula>$C$36=2</formula>
    </cfRule>
  </conditionalFormatting>
  <conditionalFormatting sqref="R134">
    <cfRule type="containsBlanks" dxfId="7824" priority="8300">
      <formula>LEN(TRIM(R134))=0</formula>
    </cfRule>
  </conditionalFormatting>
  <conditionalFormatting sqref="AE134:AF134">
    <cfRule type="expression" dxfId="7823" priority="8299" stopIfTrue="1">
      <formula>$G133=""</formula>
    </cfRule>
  </conditionalFormatting>
  <conditionalFormatting sqref="AF136">
    <cfRule type="expression" dxfId="7822" priority="8298" stopIfTrue="1">
      <formula>$G133=""</formula>
    </cfRule>
  </conditionalFormatting>
  <conditionalFormatting sqref="AF133:AI133">
    <cfRule type="expression" dxfId="7821" priority="8297">
      <formula>$C$36&lt;&gt;0</formula>
    </cfRule>
  </conditionalFormatting>
  <conditionalFormatting sqref="R134">
    <cfRule type="containsBlanks" dxfId="7820" priority="8295">
      <formula>LEN(TRIM(R134))=0</formula>
    </cfRule>
  </conditionalFormatting>
  <conditionalFormatting sqref="U135">
    <cfRule type="expression" dxfId="7819" priority="8318">
      <formula>OR($HF134=FALSE,$HG134=FALSE)</formula>
    </cfRule>
  </conditionalFormatting>
  <conditionalFormatting sqref="R134">
    <cfRule type="expression" dxfId="7818" priority="8292" stopIfTrue="1">
      <formula>$G133=""</formula>
    </cfRule>
    <cfRule type="expression" dxfId="7817" priority="8293">
      <formula>$HT134=FALSE</formula>
    </cfRule>
  </conditionalFormatting>
  <conditionalFormatting sqref="G136">
    <cfRule type="expression" dxfId="7816" priority="8287" stopIfTrue="1">
      <formula>$G133=""</formula>
    </cfRule>
  </conditionalFormatting>
  <conditionalFormatting sqref="G136">
    <cfRule type="expression" dxfId="7815" priority="8281" stopIfTrue="1">
      <formula>$CN133="Exterior"</formula>
    </cfRule>
  </conditionalFormatting>
  <conditionalFormatting sqref="G136:L136">
    <cfRule type="containsBlanks" dxfId="7814" priority="8288" stopIfTrue="1">
      <formula>LEN(TRIM(G136))=0</formula>
    </cfRule>
    <cfRule type="expression" dxfId="7813" priority="8290">
      <formula>$HL134=FALSE</formula>
    </cfRule>
  </conditionalFormatting>
  <conditionalFormatting sqref="AF135">
    <cfRule type="expression" dxfId="7812" priority="8282" stopIfTrue="1">
      <formula>$G133=""</formula>
    </cfRule>
  </conditionalFormatting>
  <conditionalFormatting sqref="AF135:AI135">
    <cfRule type="expression" dxfId="7811" priority="8286">
      <formula>OR($HP134=FALSE,$HL134=FALSE)</formula>
    </cfRule>
  </conditionalFormatting>
  <conditionalFormatting sqref="AF135">
    <cfRule type="containsBlanks" dxfId="7810" priority="8283" stopIfTrue="1">
      <formula>LEN(TRIM(AF135))=0</formula>
    </cfRule>
    <cfRule type="expression" dxfId="7809" priority="8284">
      <formula>$DP133=7</formula>
    </cfRule>
    <cfRule type="expression" dxfId="7808" priority="8285">
      <formula>OR($HK134=FALSE,$HM134=FALSE)</formula>
    </cfRule>
  </conditionalFormatting>
  <conditionalFormatting sqref="G136:L136">
    <cfRule type="expression" dxfId="7807" priority="8289" stopIfTrue="1">
      <formula>$AF135=""</formula>
    </cfRule>
  </conditionalFormatting>
  <conditionalFormatting sqref="T134:U134">
    <cfRule type="expression" dxfId="7806" priority="8278" stopIfTrue="1">
      <formula>$C$36&lt;&gt;0</formula>
    </cfRule>
    <cfRule type="containsBlanks" dxfId="7805" priority="8279" stopIfTrue="1">
      <formula>LEN(TRIM(T134))=0</formula>
    </cfRule>
  </conditionalFormatting>
  <conditionalFormatting sqref="T134:U134">
    <cfRule type="expression" dxfId="7804" priority="8277" stopIfTrue="1">
      <formula>$G133=""</formula>
    </cfRule>
  </conditionalFormatting>
  <conditionalFormatting sqref="U134">
    <cfRule type="expression" dxfId="7803" priority="8280">
      <formula>$HE134=FALSE</formula>
    </cfRule>
  </conditionalFormatting>
  <conditionalFormatting sqref="T136">
    <cfRule type="expression" dxfId="7802" priority="8276">
      <formula>$C$36=2</formula>
    </cfRule>
  </conditionalFormatting>
  <conditionalFormatting sqref="AE140">
    <cfRule type="expression" dxfId="7801" priority="8262" stopIfTrue="1">
      <formula>$G138=""</formula>
    </cfRule>
  </conditionalFormatting>
  <conditionalFormatting sqref="AB141:AD141">
    <cfRule type="expression" dxfId="7800" priority="8274" stopIfTrue="1">
      <formula>$G138=""</formula>
    </cfRule>
  </conditionalFormatting>
  <conditionalFormatting sqref="G140">
    <cfRule type="expression" dxfId="7799" priority="8271" stopIfTrue="1">
      <formula>$G138=""</formula>
    </cfRule>
    <cfRule type="containsBlanks" dxfId="7798" priority="8272" stopIfTrue="1">
      <formula>LEN(TRIM(G140))=0</formula>
    </cfRule>
    <cfRule type="expression" dxfId="7797" priority="8273">
      <formula>OR($M140=0,$HC139=FALSE)</formula>
    </cfRule>
  </conditionalFormatting>
  <conditionalFormatting sqref="AB141">
    <cfRule type="expression" dxfId="7796" priority="8270" stopIfTrue="1">
      <formula>$AB141=""</formula>
    </cfRule>
  </conditionalFormatting>
  <conditionalFormatting sqref="AE139:AF139">
    <cfRule type="expression" dxfId="7795" priority="8269">
      <formula>$C$36=2</formula>
    </cfRule>
  </conditionalFormatting>
  <conditionalFormatting sqref="T140:U140">
    <cfRule type="expression" dxfId="7794" priority="8244" stopIfTrue="1">
      <formula>$G138=""</formula>
    </cfRule>
  </conditionalFormatting>
  <conditionalFormatting sqref="T140:U140">
    <cfRule type="containsBlanks" dxfId="7793" priority="8267" stopIfTrue="1">
      <formula>LEN(TRIM(T140))=0</formula>
    </cfRule>
  </conditionalFormatting>
  <conditionalFormatting sqref="AC138:AD138">
    <cfRule type="expression" dxfId="7792" priority="8266">
      <formula>$G138=""</formula>
    </cfRule>
  </conditionalFormatting>
  <conditionalFormatting sqref="AE139">
    <cfRule type="containsBlanks" dxfId="7791" priority="8264">
      <formula>LEN(TRIM(AE139))=0</formula>
    </cfRule>
  </conditionalFormatting>
  <conditionalFormatting sqref="AE140 AF141">
    <cfRule type="containsBlanks" dxfId="7790" priority="8263" stopIfTrue="1">
      <formula>LEN(TRIM(AE140))=0</formula>
    </cfRule>
  </conditionalFormatting>
  <conditionalFormatting sqref="AE140">
    <cfRule type="expression" dxfId="7789" priority="8275">
      <formula>OR($HN139=FALSE,$HO139=FALSE)</formula>
    </cfRule>
  </conditionalFormatting>
  <conditionalFormatting sqref="G139:Q139 G138">
    <cfRule type="containsBlanks" dxfId="7788" priority="8261">
      <formula>LEN(TRIM(G138))=0</formula>
    </cfRule>
  </conditionalFormatting>
  <conditionalFormatting sqref="G139:L139">
    <cfRule type="expression" dxfId="7787" priority="8259" stopIfTrue="1">
      <formula>$G138=""</formula>
    </cfRule>
    <cfRule type="containsBlanks" dxfId="7786" priority="8260">
      <formula>LEN(TRIM(G139))=0</formula>
    </cfRule>
  </conditionalFormatting>
  <conditionalFormatting sqref="R140">
    <cfRule type="expression" dxfId="7785" priority="8257" stopIfTrue="1">
      <formula>$G138=""</formula>
    </cfRule>
    <cfRule type="containsBlanks" dxfId="7784" priority="8258">
      <formula>LEN(TRIM(R140))=0</formula>
    </cfRule>
  </conditionalFormatting>
  <conditionalFormatting sqref="P140:R140">
    <cfRule type="expression" dxfId="7783" priority="8256">
      <formula>$C$36=0</formula>
    </cfRule>
  </conditionalFormatting>
  <conditionalFormatting sqref="AF139">
    <cfRule type="containsBlanks" dxfId="7782" priority="8252">
      <formula>LEN(TRIM(AF139))=0</formula>
    </cfRule>
    <cfRule type="expression" dxfId="7781" priority="8253">
      <formula>$HJ139=FALSE</formula>
    </cfRule>
  </conditionalFormatting>
  <conditionalFormatting sqref="AF141">
    <cfRule type="expression" dxfId="7780" priority="8251">
      <formula>$C$36=2</formula>
    </cfRule>
  </conditionalFormatting>
  <conditionalFormatting sqref="R139">
    <cfRule type="containsBlanks" dxfId="7779" priority="8250">
      <formula>LEN(TRIM(R139))=0</formula>
    </cfRule>
  </conditionalFormatting>
  <conditionalFormatting sqref="AE139:AF139">
    <cfRule type="expression" dxfId="7778" priority="8249" stopIfTrue="1">
      <formula>$G138=""</formula>
    </cfRule>
  </conditionalFormatting>
  <conditionalFormatting sqref="AF141">
    <cfRule type="expression" dxfId="7777" priority="8248" stopIfTrue="1">
      <formula>$G138=""</formula>
    </cfRule>
  </conditionalFormatting>
  <conditionalFormatting sqref="AF138:AI138">
    <cfRule type="expression" dxfId="7776" priority="8247">
      <formula>$C$36&lt;&gt;0</formula>
    </cfRule>
  </conditionalFormatting>
  <conditionalFormatting sqref="R139">
    <cfRule type="containsBlanks" dxfId="7775" priority="8245">
      <formula>LEN(TRIM(R139))=0</formula>
    </cfRule>
  </conditionalFormatting>
  <conditionalFormatting sqref="U140">
    <cfRule type="expression" dxfId="7774" priority="8268">
      <formula>OR($HF139=FALSE,$HG139=FALSE)</formula>
    </cfRule>
  </conditionalFormatting>
  <conditionalFormatting sqref="R139">
    <cfRule type="expression" dxfId="7773" priority="8242" stopIfTrue="1">
      <formula>$G138=""</formula>
    </cfRule>
    <cfRule type="expression" dxfId="7772" priority="8243">
      <formula>$HT139=FALSE</formula>
    </cfRule>
  </conditionalFormatting>
  <conditionalFormatting sqref="G141">
    <cfRule type="expression" dxfId="7771" priority="8237" stopIfTrue="1">
      <formula>$G138=""</formula>
    </cfRule>
  </conditionalFormatting>
  <conditionalFormatting sqref="G141">
    <cfRule type="expression" dxfId="7770" priority="8231" stopIfTrue="1">
      <formula>$CN138="Exterior"</formula>
    </cfRule>
  </conditionalFormatting>
  <conditionalFormatting sqref="G141:L141">
    <cfRule type="containsBlanks" dxfId="7769" priority="8238" stopIfTrue="1">
      <formula>LEN(TRIM(G141))=0</formula>
    </cfRule>
    <cfRule type="expression" dxfId="7768" priority="8240">
      <formula>$HL139=FALSE</formula>
    </cfRule>
  </conditionalFormatting>
  <conditionalFormatting sqref="AF140">
    <cfRule type="expression" dxfId="7767" priority="8232" stopIfTrue="1">
      <formula>$G138=""</formula>
    </cfRule>
  </conditionalFormatting>
  <conditionalFormatting sqref="AF140:AI140">
    <cfRule type="expression" dxfId="7766" priority="8236">
      <formula>OR($HP139=FALSE,$HL139=FALSE)</formula>
    </cfRule>
  </conditionalFormatting>
  <conditionalFormatting sqref="AF140">
    <cfRule type="containsBlanks" dxfId="7765" priority="8233" stopIfTrue="1">
      <formula>LEN(TRIM(AF140))=0</formula>
    </cfRule>
    <cfRule type="expression" dxfId="7764" priority="8234">
      <formula>$DP138=7</formula>
    </cfRule>
    <cfRule type="expression" dxfId="7763" priority="8235">
      <formula>OR($HK139=FALSE,$HM139=FALSE)</formula>
    </cfRule>
  </conditionalFormatting>
  <conditionalFormatting sqref="G141:L141">
    <cfRule type="expression" dxfId="7762" priority="8239" stopIfTrue="1">
      <formula>$AF140=""</formula>
    </cfRule>
  </conditionalFormatting>
  <conditionalFormatting sqref="T139:U139">
    <cfRule type="expression" dxfId="7761" priority="8228" stopIfTrue="1">
      <formula>$C$36&lt;&gt;0</formula>
    </cfRule>
    <cfRule type="containsBlanks" dxfId="7760" priority="8229" stopIfTrue="1">
      <formula>LEN(TRIM(T139))=0</formula>
    </cfRule>
  </conditionalFormatting>
  <conditionalFormatting sqref="T139:U139">
    <cfRule type="expression" dxfId="7759" priority="8227" stopIfTrue="1">
      <formula>$G138=""</formula>
    </cfRule>
  </conditionalFormatting>
  <conditionalFormatting sqref="U139">
    <cfRule type="expression" dxfId="7758" priority="8230">
      <formula>$HE139=FALSE</formula>
    </cfRule>
  </conditionalFormatting>
  <conditionalFormatting sqref="T141">
    <cfRule type="expression" dxfId="7757" priority="8226">
      <formula>$C$36=2</formula>
    </cfRule>
  </conditionalFormatting>
  <conditionalFormatting sqref="AE145">
    <cfRule type="expression" dxfId="7756" priority="8212" stopIfTrue="1">
      <formula>$G143=""</formula>
    </cfRule>
  </conditionalFormatting>
  <conditionalFormatting sqref="AB146:AD146">
    <cfRule type="expression" dxfId="7755" priority="8224" stopIfTrue="1">
      <formula>$G143=""</formula>
    </cfRule>
  </conditionalFormatting>
  <conditionalFormatting sqref="G145">
    <cfRule type="expression" dxfId="7754" priority="8221" stopIfTrue="1">
      <formula>$G143=""</formula>
    </cfRule>
    <cfRule type="containsBlanks" dxfId="7753" priority="8222" stopIfTrue="1">
      <formula>LEN(TRIM(G145))=0</formula>
    </cfRule>
    <cfRule type="expression" dxfId="7752" priority="8223">
      <formula>OR($M145=0,$HC144=FALSE)</formula>
    </cfRule>
  </conditionalFormatting>
  <conditionalFormatting sqref="AB146">
    <cfRule type="expression" dxfId="7751" priority="8220" stopIfTrue="1">
      <formula>$AB146=""</formula>
    </cfRule>
  </conditionalFormatting>
  <conditionalFormatting sqref="AE144:AF144">
    <cfRule type="expression" dxfId="7750" priority="8219">
      <formula>$C$36=2</formula>
    </cfRule>
  </conditionalFormatting>
  <conditionalFormatting sqref="T145:U145">
    <cfRule type="expression" dxfId="7749" priority="8194" stopIfTrue="1">
      <formula>$G143=""</formula>
    </cfRule>
  </conditionalFormatting>
  <conditionalFormatting sqref="T145:U145">
    <cfRule type="containsBlanks" dxfId="7748" priority="8217" stopIfTrue="1">
      <formula>LEN(TRIM(T145))=0</formula>
    </cfRule>
  </conditionalFormatting>
  <conditionalFormatting sqref="AC143:AD143">
    <cfRule type="expression" dxfId="7747" priority="8216">
      <formula>$G143=""</formula>
    </cfRule>
  </conditionalFormatting>
  <conditionalFormatting sqref="AE144">
    <cfRule type="containsBlanks" dxfId="7746" priority="8214">
      <formula>LEN(TRIM(AE144))=0</formula>
    </cfRule>
  </conditionalFormatting>
  <conditionalFormatting sqref="AE145 AF146">
    <cfRule type="containsBlanks" dxfId="7745" priority="8213" stopIfTrue="1">
      <formula>LEN(TRIM(AE145))=0</formula>
    </cfRule>
  </conditionalFormatting>
  <conditionalFormatting sqref="AE145">
    <cfRule type="expression" dxfId="7744" priority="8225">
      <formula>OR($HN144=FALSE,$HO144=FALSE)</formula>
    </cfRule>
  </conditionalFormatting>
  <conditionalFormatting sqref="G144:Q144 G143">
    <cfRule type="containsBlanks" dxfId="7743" priority="8211">
      <formula>LEN(TRIM(G143))=0</formula>
    </cfRule>
  </conditionalFormatting>
  <conditionalFormatting sqref="G144:L144">
    <cfRule type="expression" dxfId="7742" priority="8209" stopIfTrue="1">
      <formula>$G143=""</formula>
    </cfRule>
    <cfRule type="containsBlanks" dxfId="7741" priority="8210">
      <formula>LEN(TRIM(G144))=0</formula>
    </cfRule>
  </conditionalFormatting>
  <conditionalFormatting sqref="R145">
    <cfRule type="expression" dxfId="7740" priority="8207" stopIfTrue="1">
      <formula>$G143=""</formula>
    </cfRule>
    <cfRule type="containsBlanks" dxfId="7739" priority="8208">
      <formula>LEN(TRIM(R145))=0</formula>
    </cfRule>
  </conditionalFormatting>
  <conditionalFormatting sqref="P145:R145">
    <cfRule type="expression" dxfId="7738" priority="8206">
      <formula>$C$36=0</formula>
    </cfRule>
  </conditionalFormatting>
  <conditionalFormatting sqref="AF144">
    <cfRule type="containsBlanks" dxfId="7737" priority="8202">
      <formula>LEN(TRIM(AF144))=0</formula>
    </cfRule>
    <cfRule type="expression" dxfId="7736" priority="8203">
      <formula>$HJ144=FALSE</formula>
    </cfRule>
  </conditionalFormatting>
  <conditionalFormatting sqref="AF146">
    <cfRule type="expression" dxfId="7735" priority="8201">
      <formula>$C$36=2</formula>
    </cfRule>
  </conditionalFormatting>
  <conditionalFormatting sqref="R144">
    <cfRule type="containsBlanks" dxfId="7734" priority="8200">
      <formula>LEN(TRIM(R144))=0</formula>
    </cfRule>
  </conditionalFormatting>
  <conditionalFormatting sqref="AE144:AF144">
    <cfRule type="expression" dxfId="7733" priority="8199" stopIfTrue="1">
      <formula>$G143=""</formula>
    </cfRule>
  </conditionalFormatting>
  <conditionalFormatting sqref="AF146">
    <cfRule type="expression" dxfId="7732" priority="8198" stopIfTrue="1">
      <formula>$G143=""</formula>
    </cfRule>
  </conditionalFormatting>
  <conditionalFormatting sqref="AF143:AI143">
    <cfRule type="expression" dxfId="7731" priority="8197">
      <formula>$C$36&lt;&gt;0</formula>
    </cfRule>
  </conditionalFormatting>
  <conditionalFormatting sqref="R144">
    <cfRule type="containsBlanks" dxfId="7730" priority="8195">
      <formula>LEN(TRIM(R144))=0</formula>
    </cfRule>
  </conditionalFormatting>
  <conditionalFormatting sqref="U145">
    <cfRule type="expression" dxfId="7729" priority="8218">
      <formula>OR($HF144=FALSE,$HG144=FALSE)</formula>
    </cfRule>
  </conditionalFormatting>
  <conditionalFormatting sqref="R144">
    <cfRule type="expression" dxfId="7728" priority="8192" stopIfTrue="1">
      <formula>$G143=""</formula>
    </cfRule>
    <cfRule type="expression" dxfId="7727" priority="8193">
      <formula>$HT144=FALSE</formula>
    </cfRule>
  </conditionalFormatting>
  <conditionalFormatting sqref="G146">
    <cfRule type="expression" dxfId="7726" priority="8187" stopIfTrue="1">
      <formula>$G143=""</formula>
    </cfRule>
  </conditionalFormatting>
  <conditionalFormatting sqref="G146">
    <cfRule type="expression" dxfId="7725" priority="8181" stopIfTrue="1">
      <formula>$CN143="Exterior"</formula>
    </cfRule>
  </conditionalFormatting>
  <conditionalFormatting sqref="G146:L146">
    <cfRule type="containsBlanks" dxfId="7724" priority="8188" stopIfTrue="1">
      <formula>LEN(TRIM(G146))=0</formula>
    </cfRule>
    <cfRule type="expression" dxfId="7723" priority="8190">
      <formula>$HL144=FALSE</formula>
    </cfRule>
  </conditionalFormatting>
  <conditionalFormatting sqref="AF145">
    <cfRule type="expression" dxfId="7722" priority="8182" stopIfTrue="1">
      <formula>$G143=""</formula>
    </cfRule>
  </conditionalFormatting>
  <conditionalFormatting sqref="AF145:AI145">
    <cfRule type="expression" dxfId="7721" priority="8186">
      <formula>OR($HP144=FALSE,$HL144=FALSE)</formula>
    </cfRule>
  </conditionalFormatting>
  <conditionalFormatting sqref="AF145">
    <cfRule type="containsBlanks" dxfId="7720" priority="8183" stopIfTrue="1">
      <formula>LEN(TRIM(AF145))=0</formula>
    </cfRule>
    <cfRule type="expression" dxfId="7719" priority="8184">
      <formula>$DP143=7</formula>
    </cfRule>
    <cfRule type="expression" dxfId="7718" priority="8185">
      <formula>OR($HK144=FALSE,$HM144=FALSE)</formula>
    </cfRule>
  </conditionalFormatting>
  <conditionalFormatting sqref="G146:L146">
    <cfRule type="expression" dxfId="7717" priority="8189" stopIfTrue="1">
      <formula>$AF145=""</formula>
    </cfRule>
  </conditionalFormatting>
  <conditionalFormatting sqref="T144:U144">
    <cfRule type="expression" dxfId="7716" priority="8178" stopIfTrue="1">
      <formula>$C$36&lt;&gt;0</formula>
    </cfRule>
    <cfRule type="containsBlanks" dxfId="7715" priority="8179" stopIfTrue="1">
      <formula>LEN(TRIM(T144))=0</formula>
    </cfRule>
  </conditionalFormatting>
  <conditionalFormatting sqref="T144:U144">
    <cfRule type="expression" dxfId="7714" priority="8177" stopIfTrue="1">
      <formula>$G143=""</formula>
    </cfRule>
  </conditionalFormatting>
  <conditionalFormatting sqref="U144">
    <cfRule type="expression" dxfId="7713" priority="8180">
      <formula>$HE144=FALSE</formula>
    </cfRule>
  </conditionalFormatting>
  <conditionalFormatting sqref="T146">
    <cfRule type="expression" dxfId="7712" priority="8176">
      <formula>$C$36=2</formula>
    </cfRule>
  </conditionalFormatting>
  <conditionalFormatting sqref="AE150">
    <cfRule type="expression" dxfId="7711" priority="8162" stopIfTrue="1">
      <formula>$G148=""</formula>
    </cfRule>
  </conditionalFormatting>
  <conditionalFormatting sqref="AB151:AD151">
    <cfRule type="expression" dxfId="7710" priority="8174" stopIfTrue="1">
      <formula>$G148=""</formula>
    </cfRule>
  </conditionalFormatting>
  <conditionalFormatting sqref="G150">
    <cfRule type="expression" dxfId="7709" priority="8171" stopIfTrue="1">
      <formula>$G148=""</formula>
    </cfRule>
    <cfRule type="containsBlanks" dxfId="7708" priority="8172" stopIfTrue="1">
      <formula>LEN(TRIM(G150))=0</formula>
    </cfRule>
    <cfRule type="expression" dxfId="7707" priority="8173">
      <formula>OR($M150=0,$HC149=FALSE)</formula>
    </cfRule>
  </conditionalFormatting>
  <conditionalFormatting sqref="AB151">
    <cfRule type="expression" dxfId="7706" priority="8170" stopIfTrue="1">
      <formula>$AB151=""</formula>
    </cfRule>
  </conditionalFormatting>
  <conditionalFormatting sqref="AE149:AF149">
    <cfRule type="expression" dxfId="7705" priority="8169">
      <formula>$C$36=2</formula>
    </cfRule>
  </conditionalFormatting>
  <conditionalFormatting sqref="T150:U150">
    <cfRule type="expression" dxfId="7704" priority="8144" stopIfTrue="1">
      <formula>$G148=""</formula>
    </cfRule>
  </conditionalFormatting>
  <conditionalFormatting sqref="T150:U150">
    <cfRule type="containsBlanks" dxfId="7703" priority="8167" stopIfTrue="1">
      <formula>LEN(TRIM(T150))=0</formula>
    </cfRule>
  </conditionalFormatting>
  <conditionalFormatting sqref="AC148:AD148">
    <cfRule type="expression" dxfId="7702" priority="8166">
      <formula>$G148=""</formula>
    </cfRule>
  </conditionalFormatting>
  <conditionalFormatting sqref="AE149">
    <cfRule type="containsBlanks" dxfId="7701" priority="8164">
      <formula>LEN(TRIM(AE149))=0</formula>
    </cfRule>
  </conditionalFormatting>
  <conditionalFormatting sqref="AE150 AF151">
    <cfRule type="containsBlanks" dxfId="7700" priority="8163" stopIfTrue="1">
      <formula>LEN(TRIM(AE150))=0</formula>
    </cfRule>
  </conditionalFormatting>
  <conditionalFormatting sqref="AE150">
    <cfRule type="expression" dxfId="7699" priority="8175">
      <formula>OR($HN149=FALSE,$HO149=FALSE)</formula>
    </cfRule>
  </conditionalFormatting>
  <conditionalFormatting sqref="G149:Q149 G148">
    <cfRule type="containsBlanks" dxfId="7698" priority="8161">
      <formula>LEN(TRIM(G148))=0</formula>
    </cfRule>
  </conditionalFormatting>
  <conditionalFormatting sqref="G149:L149">
    <cfRule type="expression" dxfId="7697" priority="8159" stopIfTrue="1">
      <formula>$G148=""</formula>
    </cfRule>
    <cfRule type="containsBlanks" dxfId="7696" priority="8160">
      <formula>LEN(TRIM(G149))=0</formula>
    </cfRule>
  </conditionalFormatting>
  <conditionalFormatting sqref="R150">
    <cfRule type="expression" dxfId="7695" priority="8157" stopIfTrue="1">
      <formula>$G148=""</formula>
    </cfRule>
    <cfRule type="containsBlanks" dxfId="7694" priority="8158">
      <formula>LEN(TRIM(R150))=0</formula>
    </cfRule>
  </conditionalFormatting>
  <conditionalFormatting sqref="P150:R150">
    <cfRule type="expression" dxfId="7693" priority="8156">
      <formula>$C$36=0</formula>
    </cfRule>
  </conditionalFormatting>
  <conditionalFormatting sqref="AF149">
    <cfRule type="containsBlanks" dxfId="7692" priority="8152">
      <formula>LEN(TRIM(AF149))=0</formula>
    </cfRule>
    <cfRule type="expression" dxfId="7691" priority="8153">
      <formula>$HJ149=FALSE</formula>
    </cfRule>
  </conditionalFormatting>
  <conditionalFormatting sqref="AF151">
    <cfRule type="expression" dxfId="7690" priority="8151">
      <formula>$C$36=2</formula>
    </cfRule>
  </conditionalFormatting>
  <conditionalFormatting sqref="R149">
    <cfRule type="containsBlanks" dxfId="7689" priority="8150">
      <formula>LEN(TRIM(R149))=0</formula>
    </cfRule>
  </conditionalFormatting>
  <conditionalFormatting sqref="AE149:AF149">
    <cfRule type="expression" dxfId="7688" priority="8149" stopIfTrue="1">
      <formula>$G148=""</formula>
    </cfRule>
  </conditionalFormatting>
  <conditionalFormatting sqref="AF151">
    <cfRule type="expression" dxfId="7687" priority="8148" stopIfTrue="1">
      <formula>$G148=""</formula>
    </cfRule>
  </conditionalFormatting>
  <conditionalFormatting sqref="AF148:AI148">
    <cfRule type="expression" dxfId="7686" priority="8147">
      <formula>$C$36&lt;&gt;0</formula>
    </cfRule>
  </conditionalFormatting>
  <conditionalFormatting sqref="R149">
    <cfRule type="containsBlanks" dxfId="7685" priority="8145">
      <formula>LEN(TRIM(R149))=0</formula>
    </cfRule>
  </conditionalFormatting>
  <conditionalFormatting sqref="U150">
    <cfRule type="expression" dxfId="7684" priority="8168">
      <formula>OR($HF149=FALSE,$HG149=FALSE)</formula>
    </cfRule>
  </conditionalFormatting>
  <conditionalFormatting sqref="R149">
    <cfRule type="expression" dxfId="7683" priority="8142" stopIfTrue="1">
      <formula>$G148=""</formula>
    </cfRule>
    <cfRule type="expression" dxfId="7682" priority="8143">
      <formula>$HT149=FALSE</formula>
    </cfRule>
  </conditionalFormatting>
  <conditionalFormatting sqref="G151">
    <cfRule type="expression" dxfId="7681" priority="8137" stopIfTrue="1">
      <formula>$G148=""</formula>
    </cfRule>
  </conditionalFormatting>
  <conditionalFormatting sqref="G151">
    <cfRule type="expression" dxfId="7680" priority="8131" stopIfTrue="1">
      <formula>$CN148="Exterior"</formula>
    </cfRule>
  </conditionalFormatting>
  <conditionalFormatting sqref="G151:L151">
    <cfRule type="containsBlanks" dxfId="7679" priority="8138" stopIfTrue="1">
      <formula>LEN(TRIM(G151))=0</formula>
    </cfRule>
    <cfRule type="expression" dxfId="7678" priority="8140">
      <formula>$HL149=FALSE</formula>
    </cfRule>
  </conditionalFormatting>
  <conditionalFormatting sqref="AF150">
    <cfRule type="expression" dxfId="7677" priority="8132" stopIfTrue="1">
      <formula>$G148=""</formula>
    </cfRule>
  </conditionalFormatting>
  <conditionalFormatting sqref="AF150:AI150">
    <cfRule type="expression" dxfId="7676" priority="8136">
      <formula>OR($HP149=FALSE,$HL149=FALSE)</formula>
    </cfRule>
  </conditionalFormatting>
  <conditionalFormatting sqref="AF150">
    <cfRule type="containsBlanks" dxfId="7675" priority="8133" stopIfTrue="1">
      <formula>LEN(TRIM(AF150))=0</formula>
    </cfRule>
    <cfRule type="expression" dxfId="7674" priority="8134">
      <formula>$DP148=7</formula>
    </cfRule>
    <cfRule type="expression" dxfId="7673" priority="8135">
      <formula>OR($HK149=FALSE,$HM149=FALSE)</formula>
    </cfRule>
  </conditionalFormatting>
  <conditionalFormatting sqref="G151:L151">
    <cfRule type="expression" dxfId="7672" priority="8139" stopIfTrue="1">
      <formula>$AF150=""</formula>
    </cfRule>
  </conditionalFormatting>
  <conditionalFormatting sqref="T149:U149">
    <cfRule type="expression" dxfId="7671" priority="8128" stopIfTrue="1">
      <formula>$C$36&lt;&gt;0</formula>
    </cfRule>
    <cfRule type="containsBlanks" dxfId="7670" priority="8129" stopIfTrue="1">
      <formula>LEN(TRIM(T149))=0</formula>
    </cfRule>
  </conditionalFormatting>
  <conditionalFormatting sqref="T149:U149">
    <cfRule type="expression" dxfId="7669" priority="8127" stopIfTrue="1">
      <formula>$G148=""</formula>
    </cfRule>
  </conditionalFormatting>
  <conditionalFormatting sqref="U149">
    <cfRule type="expression" dxfId="7668" priority="8130">
      <formula>$HE149=FALSE</formula>
    </cfRule>
  </conditionalFormatting>
  <conditionalFormatting sqref="T151">
    <cfRule type="expression" dxfId="7667" priority="8126">
      <formula>$C$36=2</formula>
    </cfRule>
  </conditionalFormatting>
  <conditionalFormatting sqref="AE155">
    <cfRule type="expression" dxfId="7666" priority="8112" stopIfTrue="1">
      <formula>$G153=""</formula>
    </cfRule>
  </conditionalFormatting>
  <conditionalFormatting sqref="AB156:AD156">
    <cfRule type="expression" dxfId="7665" priority="8124" stopIfTrue="1">
      <formula>$G153=""</formula>
    </cfRule>
  </conditionalFormatting>
  <conditionalFormatting sqref="G155">
    <cfRule type="expression" dxfId="7664" priority="8121" stopIfTrue="1">
      <formula>$G153=""</formula>
    </cfRule>
    <cfRule type="containsBlanks" dxfId="7663" priority="8122" stopIfTrue="1">
      <formula>LEN(TRIM(G155))=0</formula>
    </cfRule>
    <cfRule type="expression" dxfId="7662" priority="8123">
      <formula>OR($M155=0,$HC154=FALSE)</formula>
    </cfRule>
  </conditionalFormatting>
  <conditionalFormatting sqref="AB156">
    <cfRule type="expression" dxfId="7661" priority="8120" stopIfTrue="1">
      <formula>$AB156=""</formula>
    </cfRule>
  </conditionalFormatting>
  <conditionalFormatting sqref="AE154:AF154">
    <cfRule type="expression" dxfId="7660" priority="8119">
      <formula>$C$36=2</formula>
    </cfRule>
  </conditionalFormatting>
  <conditionalFormatting sqref="T155:U155">
    <cfRule type="expression" dxfId="7659" priority="8094" stopIfTrue="1">
      <formula>$G153=""</formula>
    </cfRule>
  </conditionalFormatting>
  <conditionalFormatting sqref="T155:U155">
    <cfRule type="containsBlanks" dxfId="7658" priority="8117" stopIfTrue="1">
      <formula>LEN(TRIM(T155))=0</formula>
    </cfRule>
  </conditionalFormatting>
  <conditionalFormatting sqref="AC153:AD153">
    <cfRule type="expression" dxfId="7657" priority="8116">
      <formula>$G153=""</formula>
    </cfRule>
  </conditionalFormatting>
  <conditionalFormatting sqref="AE154">
    <cfRule type="containsBlanks" dxfId="7656" priority="8114">
      <formula>LEN(TRIM(AE154))=0</formula>
    </cfRule>
  </conditionalFormatting>
  <conditionalFormatting sqref="AE155 AF156">
    <cfRule type="containsBlanks" dxfId="7655" priority="8113" stopIfTrue="1">
      <formula>LEN(TRIM(AE155))=0</formula>
    </cfRule>
  </conditionalFormatting>
  <conditionalFormatting sqref="AE155">
    <cfRule type="expression" dxfId="7654" priority="8125">
      <formula>OR($HN154=FALSE,$HO154=FALSE)</formula>
    </cfRule>
  </conditionalFormatting>
  <conditionalFormatting sqref="G154:Q154 G153">
    <cfRule type="containsBlanks" dxfId="7653" priority="8111">
      <formula>LEN(TRIM(G153))=0</formula>
    </cfRule>
  </conditionalFormatting>
  <conditionalFormatting sqref="G154:L154">
    <cfRule type="expression" dxfId="7652" priority="8109" stopIfTrue="1">
      <formula>$G153=""</formula>
    </cfRule>
    <cfRule type="containsBlanks" dxfId="7651" priority="8110">
      <formula>LEN(TRIM(G154))=0</formula>
    </cfRule>
  </conditionalFormatting>
  <conditionalFormatting sqref="R155">
    <cfRule type="expression" dxfId="7650" priority="8107" stopIfTrue="1">
      <formula>$G153=""</formula>
    </cfRule>
    <cfRule type="containsBlanks" dxfId="7649" priority="8108">
      <formula>LEN(TRIM(R155))=0</formula>
    </cfRule>
  </conditionalFormatting>
  <conditionalFormatting sqref="P155:R155">
    <cfRule type="expression" dxfId="7648" priority="8106">
      <formula>$C$36=0</formula>
    </cfRule>
  </conditionalFormatting>
  <conditionalFormatting sqref="AF154">
    <cfRule type="containsBlanks" dxfId="7647" priority="8102">
      <formula>LEN(TRIM(AF154))=0</formula>
    </cfRule>
    <cfRule type="expression" dxfId="7646" priority="8103">
      <formula>$HJ154=FALSE</formula>
    </cfRule>
  </conditionalFormatting>
  <conditionalFormatting sqref="AF156">
    <cfRule type="expression" dxfId="7645" priority="8101">
      <formula>$C$36=2</formula>
    </cfRule>
  </conditionalFormatting>
  <conditionalFormatting sqref="R154">
    <cfRule type="containsBlanks" dxfId="7644" priority="8100">
      <formula>LEN(TRIM(R154))=0</formula>
    </cfRule>
  </conditionalFormatting>
  <conditionalFormatting sqref="AE154:AF154">
    <cfRule type="expression" dxfId="7643" priority="8099" stopIfTrue="1">
      <formula>$G153=""</formula>
    </cfRule>
  </conditionalFormatting>
  <conditionalFormatting sqref="AF156">
    <cfRule type="expression" dxfId="7642" priority="8098" stopIfTrue="1">
      <formula>$G153=""</formula>
    </cfRule>
  </conditionalFormatting>
  <conditionalFormatting sqref="AF153:AI153">
    <cfRule type="expression" dxfId="7641" priority="8097">
      <formula>$C$36&lt;&gt;0</formula>
    </cfRule>
  </conditionalFormatting>
  <conditionalFormatting sqref="R154">
    <cfRule type="containsBlanks" dxfId="7640" priority="8095">
      <formula>LEN(TRIM(R154))=0</formula>
    </cfRule>
  </conditionalFormatting>
  <conditionalFormatting sqref="U155">
    <cfRule type="expression" dxfId="7639" priority="8118">
      <formula>OR($HF154=FALSE,$HG154=FALSE)</formula>
    </cfRule>
  </conditionalFormatting>
  <conditionalFormatting sqref="R154">
    <cfRule type="expression" dxfId="7638" priority="8092" stopIfTrue="1">
      <formula>$G153=""</formula>
    </cfRule>
    <cfRule type="expression" dxfId="7637" priority="8093">
      <formula>$HT154=FALSE</formula>
    </cfRule>
  </conditionalFormatting>
  <conditionalFormatting sqref="G156">
    <cfRule type="expression" dxfId="7636" priority="8087" stopIfTrue="1">
      <formula>$G153=""</formula>
    </cfRule>
  </conditionalFormatting>
  <conditionalFormatting sqref="G156">
    <cfRule type="expression" dxfId="7635" priority="8081" stopIfTrue="1">
      <formula>$CN153="Exterior"</formula>
    </cfRule>
  </conditionalFormatting>
  <conditionalFormatting sqref="G156:L156">
    <cfRule type="containsBlanks" dxfId="7634" priority="8088" stopIfTrue="1">
      <formula>LEN(TRIM(G156))=0</formula>
    </cfRule>
    <cfRule type="expression" dxfId="7633" priority="8090">
      <formula>$HL154=FALSE</formula>
    </cfRule>
  </conditionalFormatting>
  <conditionalFormatting sqref="AF155">
    <cfRule type="expression" dxfId="7632" priority="8082" stopIfTrue="1">
      <formula>$G153=""</formula>
    </cfRule>
  </conditionalFormatting>
  <conditionalFormatting sqref="AF155:AI155">
    <cfRule type="expression" dxfId="7631" priority="8086">
      <formula>OR($HP154=FALSE,$HL154=FALSE)</formula>
    </cfRule>
  </conditionalFormatting>
  <conditionalFormatting sqref="AF155">
    <cfRule type="containsBlanks" dxfId="7630" priority="8083" stopIfTrue="1">
      <formula>LEN(TRIM(AF155))=0</formula>
    </cfRule>
    <cfRule type="expression" dxfId="7629" priority="8084">
      <formula>$DP153=7</formula>
    </cfRule>
    <cfRule type="expression" dxfId="7628" priority="8085">
      <formula>OR($HK154=FALSE,$HM154=FALSE)</formula>
    </cfRule>
  </conditionalFormatting>
  <conditionalFormatting sqref="G156:L156">
    <cfRule type="expression" dxfId="7627" priority="8089" stopIfTrue="1">
      <formula>$AF155=""</formula>
    </cfRule>
  </conditionalFormatting>
  <conditionalFormatting sqref="T154:U154">
    <cfRule type="expression" dxfId="7626" priority="8078" stopIfTrue="1">
      <formula>$C$36&lt;&gt;0</formula>
    </cfRule>
    <cfRule type="containsBlanks" dxfId="7625" priority="8079" stopIfTrue="1">
      <formula>LEN(TRIM(T154))=0</formula>
    </cfRule>
  </conditionalFormatting>
  <conditionalFormatting sqref="T154:U154">
    <cfRule type="expression" dxfId="7624" priority="8077" stopIfTrue="1">
      <formula>$G153=""</formula>
    </cfRule>
  </conditionalFormatting>
  <conditionalFormatting sqref="U154">
    <cfRule type="expression" dxfId="7623" priority="8080">
      <formula>$HE154=FALSE</formula>
    </cfRule>
  </conditionalFormatting>
  <conditionalFormatting sqref="T156">
    <cfRule type="expression" dxfId="7622" priority="8076">
      <formula>$C$36=2</formula>
    </cfRule>
  </conditionalFormatting>
  <conditionalFormatting sqref="AE160">
    <cfRule type="expression" dxfId="7621" priority="8062" stopIfTrue="1">
      <formula>$G158=""</formula>
    </cfRule>
  </conditionalFormatting>
  <conditionalFormatting sqref="AB161:AD161">
    <cfRule type="expression" dxfId="7620" priority="8074" stopIfTrue="1">
      <formula>$G158=""</formula>
    </cfRule>
  </conditionalFormatting>
  <conditionalFormatting sqref="G160">
    <cfRule type="expression" dxfId="7619" priority="8071" stopIfTrue="1">
      <formula>$G158=""</formula>
    </cfRule>
    <cfRule type="containsBlanks" dxfId="7618" priority="8072" stopIfTrue="1">
      <formula>LEN(TRIM(G160))=0</formula>
    </cfRule>
    <cfRule type="expression" dxfId="7617" priority="8073">
      <formula>OR($M160=0,$HC159=FALSE)</formula>
    </cfRule>
  </conditionalFormatting>
  <conditionalFormatting sqref="AB161">
    <cfRule type="expression" dxfId="7616" priority="8070" stopIfTrue="1">
      <formula>$AB161=""</formula>
    </cfRule>
  </conditionalFormatting>
  <conditionalFormatting sqref="AE159:AF159">
    <cfRule type="expression" dxfId="7615" priority="8069">
      <formula>$C$36=2</formula>
    </cfRule>
  </conditionalFormatting>
  <conditionalFormatting sqref="T160:U160">
    <cfRule type="expression" dxfId="7614" priority="8044" stopIfTrue="1">
      <formula>$G158=""</formula>
    </cfRule>
  </conditionalFormatting>
  <conditionalFormatting sqref="T160:U160">
    <cfRule type="containsBlanks" dxfId="7613" priority="8067" stopIfTrue="1">
      <formula>LEN(TRIM(T160))=0</formula>
    </cfRule>
  </conditionalFormatting>
  <conditionalFormatting sqref="AC158:AD158">
    <cfRule type="expression" dxfId="7612" priority="8066">
      <formula>$G158=""</formula>
    </cfRule>
  </conditionalFormatting>
  <conditionalFormatting sqref="AE159">
    <cfRule type="containsBlanks" dxfId="7611" priority="8064">
      <formula>LEN(TRIM(AE159))=0</formula>
    </cfRule>
  </conditionalFormatting>
  <conditionalFormatting sqref="AE160 AF161">
    <cfRule type="containsBlanks" dxfId="7610" priority="8063" stopIfTrue="1">
      <formula>LEN(TRIM(AE160))=0</formula>
    </cfRule>
  </conditionalFormatting>
  <conditionalFormatting sqref="AE160">
    <cfRule type="expression" dxfId="7609" priority="8075">
      <formula>OR($HN159=FALSE,$HO159=FALSE)</formula>
    </cfRule>
  </conditionalFormatting>
  <conditionalFormatting sqref="G159:Q159 G158">
    <cfRule type="containsBlanks" dxfId="7608" priority="8061">
      <formula>LEN(TRIM(G158))=0</formula>
    </cfRule>
  </conditionalFormatting>
  <conditionalFormatting sqref="G159:L159">
    <cfRule type="expression" dxfId="7607" priority="8059" stopIfTrue="1">
      <formula>$G158=""</formula>
    </cfRule>
    <cfRule type="containsBlanks" dxfId="7606" priority="8060">
      <formula>LEN(TRIM(G159))=0</formula>
    </cfRule>
  </conditionalFormatting>
  <conditionalFormatting sqref="R160">
    <cfRule type="expression" dxfId="7605" priority="8057" stopIfTrue="1">
      <formula>$G158=""</formula>
    </cfRule>
    <cfRule type="containsBlanks" dxfId="7604" priority="8058">
      <formula>LEN(TRIM(R160))=0</formula>
    </cfRule>
  </conditionalFormatting>
  <conditionalFormatting sqref="P160:R160">
    <cfRule type="expression" dxfId="7603" priority="8056">
      <formula>$C$36=0</formula>
    </cfRule>
  </conditionalFormatting>
  <conditionalFormatting sqref="AF159">
    <cfRule type="containsBlanks" dxfId="7602" priority="8052">
      <formula>LEN(TRIM(AF159))=0</formula>
    </cfRule>
    <cfRule type="expression" dxfId="7601" priority="8053">
      <formula>$HJ159=FALSE</formula>
    </cfRule>
  </conditionalFormatting>
  <conditionalFormatting sqref="AF161">
    <cfRule type="expression" dxfId="7600" priority="8051">
      <formula>$C$36=2</formula>
    </cfRule>
  </conditionalFormatting>
  <conditionalFormatting sqref="R159">
    <cfRule type="containsBlanks" dxfId="7599" priority="8050">
      <formula>LEN(TRIM(R159))=0</formula>
    </cfRule>
  </conditionalFormatting>
  <conditionalFormatting sqref="AE159:AF159">
    <cfRule type="expression" dxfId="7598" priority="8049" stopIfTrue="1">
      <formula>$G158=""</formula>
    </cfRule>
  </conditionalFormatting>
  <conditionalFormatting sqref="AF161">
    <cfRule type="expression" dxfId="7597" priority="8048" stopIfTrue="1">
      <formula>$G158=""</formula>
    </cfRule>
  </conditionalFormatting>
  <conditionalFormatting sqref="AF158:AI158">
    <cfRule type="expression" dxfId="7596" priority="8047">
      <formula>$C$36&lt;&gt;0</formula>
    </cfRule>
  </conditionalFormatting>
  <conditionalFormatting sqref="R159">
    <cfRule type="containsBlanks" dxfId="7595" priority="8045">
      <formula>LEN(TRIM(R159))=0</formula>
    </cfRule>
  </conditionalFormatting>
  <conditionalFormatting sqref="U160">
    <cfRule type="expression" dxfId="7594" priority="8068">
      <formula>OR($HF159=FALSE,$HG159=FALSE)</formula>
    </cfRule>
  </conditionalFormatting>
  <conditionalFormatting sqref="R159">
    <cfRule type="expression" dxfId="7593" priority="8042" stopIfTrue="1">
      <formula>$G158=""</formula>
    </cfRule>
    <cfRule type="expression" dxfId="7592" priority="8043">
      <formula>$HT159=FALSE</formula>
    </cfRule>
  </conditionalFormatting>
  <conditionalFormatting sqref="G161">
    <cfRule type="expression" dxfId="7591" priority="8037" stopIfTrue="1">
      <formula>$G158=""</formula>
    </cfRule>
  </conditionalFormatting>
  <conditionalFormatting sqref="G161">
    <cfRule type="expression" dxfId="7590" priority="8031" stopIfTrue="1">
      <formula>$CN158="Exterior"</formula>
    </cfRule>
  </conditionalFormatting>
  <conditionalFormatting sqref="G161:L161">
    <cfRule type="containsBlanks" dxfId="7589" priority="8038" stopIfTrue="1">
      <formula>LEN(TRIM(G161))=0</formula>
    </cfRule>
    <cfRule type="expression" dxfId="7588" priority="8040">
      <formula>$HL159=FALSE</formula>
    </cfRule>
  </conditionalFormatting>
  <conditionalFormatting sqref="AF160">
    <cfRule type="expression" dxfId="7587" priority="8032" stopIfTrue="1">
      <formula>$G158=""</formula>
    </cfRule>
  </conditionalFormatting>
  <conditionalFormatting sqref="AF160:AI160">
    <cfRule type="expression" dxfId="7586" priority="8036">
      <formula>OR($HP159=FALSE,$HL159=FALSE)</formula>
    </cfRule>
  </conditionalFormatting>
  <conditionalFormatting sqref="AF160">
    <cfRule type="containsBlanks" dxfId="7585" priority="8033" stopIfTrue="1">
      <formula>LEN(TRIM(AF160))=0</formula>
    </cfRule>
    <cfRule type="expression" dxfId="7584" priority="8034">
      <formula>$DP158=7</formula>
    </cfRule>
    <cfRule type="expression" dxfId="7583" priority="8035">
      <formula>OR($HK159=FALSE,$HM159=FALSE)</formula>
    </cfRule>
  </conditionalFormatting>
  <conditionalFormatting sqref="G161:L161">
    <cfRule type="expression" dxfId="7582" priority="8039" stopIfTrue="1">
      <formula>$AF160=""</formula>
    </cfRule>
  </conditionalFormatting>
  <conditionalFormatting sqref="T159:U159">
    <cfRule type="expression" dxfId="7581" priority="8028" stopIfTrue="1">
      <formula>$C$36&lt;&gt;0</formula>
    </cfRule>
    <cfRule type="containsBlanks" dxfId="7580" priority="8029" stopIfTrue="1">
      <formula>LEN(TRIM(T159))=0</formula>
    </cfRule>
  </conditionalFormatting>
  <conditionalFormatting sqref="T159:U159">
    <cfRule type="expression" dxfId="7579" priority="8027" stopIfTrue="1">
      <formula>$G158=""</formula>
    </cfRule>
  </conditionalFormatting>
  <conditionalFormatting sqref="U159">
    <cfRule type="expression" dxfId="7578" priority="8030">
      <formula>$HE159=FALSE</formula>
    </cfRule>
  </conditionalFormatting>
  <conditionalFormatting sqref="T161">
    <cfRule type="expression" dxfId="7577" priority="8026">
      <formula>$C$36=2</formula>
    </cfRule>
  </conditionalFormatting>
  <conditionalFormatting sqref="AE165">
    <cfRule type="expression" dxfId="7576" priority="8012" stopIfTrue="1">
      <formula>$G163=""</formula>
    </cfRule>
  </conditionalFormatting>
  <conditionalFormatting sqref="AB166:AD166">
    <cfRule type="expression" dxfId="7575" priority="8024" stopIfTrue="1">
      <formula>$G163=""</formula>
    </cfRule>
  </conditionalFormatting>
  <conditionalFormatting sqref="G165">
    <cfRule type="expression" dxfId="7574" priority="8021" stopIfTrue="1">
      <formula>$G163=""</formula>
    </cfRule>
    <cfRule type="containsBlanks" dxfId="7573" priority="8022" stopIfTrue="1">
      <formula>LEN(TRIM(G165))=0</formula>
    </cfRule>
    <cfRule type="expression" dxfId="7572" priority="8023">
      <formula>OR($M165=0,$HC164=FALSE)</formula>
    </cfRule>
  </conditionalFormatting>
  <conditionalFormatting sqref="AB166">
    <cfRule type="expression" dxfId="7571" priority="8020" stopIfTrue="1">
      <formula>$AB166=""</formula>
    </cfRule>
  </conditionalFormatting>
  <conditionalFormatting sqref="AE164:AF164">
    <cfRule type="expression" dxfId="7570" priority="8019">
      <formula>$C$36=2</formula>
    </cfRule>
  </conditionalFormatting>
  <conditionalFormatting sqref="T165:U165">
    <cfRule type="expression" dxfId="7569" priority="7994" stopIfTrue="1">
      <formula>$G163=""</formula>
    </cfRule>
  </conditionalFormatting>
  <conditionalFormatting sqref="T165:U165">
    <cfRule type="containsBlanks" dxfId="7568" priority="8017" stopIfTrue="1">
      <formula>LEN(TRIM(T165))=0</formula>
    </cfRule>
  </conditionalFormatting>
  <conditionalFormatting sqref="AC163:AD163">
    <cfRule type="expression" dxfId="7567" priority="8016">
      <formula>$G163=""</formula>
    </cfRule>
  </conditionalFormatting>
  <conditionalFormatting sqref="AE164">
    <cfRule type="containsBlanks" dxfId="7566" priority="8014">
      <formula>LEN(TRIM(AE164))=0</formula>
    </cfRule>
  </conditionalFormatting>
  <conditionalFormatting sqref="AE165 AF166">
    <cfRule type="containsBlanks" dxfId="7565" priority="8013" stopIfTrue="1">
      <formula>LEN(TRIM(AE165))=0</formula>
    </cfRule>
  </conditionalFormatting>
  <conditionalFormatting sqref="AE165">
    <cfRule type="expression" dxfId="7564" priority="8025">
      <formula>OR($HN164=FALSE,$HO164=FALSE)</formula>
    </cfRule>
  </conditionalFormatting>
  <conditionalFormatting sqref="G164:Q164 G163">
    <cfRule type="containsBlanks" dxfId="7563" priority="8011">
      <formula>LEN(TRIM(G163))=0</formula>
    </cfRule>
  </conditionalFormatting>
  <conditionalFormatting sqref="G164:L164">
    <cfRule type="expression" dxfId="7562" priority="8009" stopIfTrue="1">
      <formula>$G163=""</formula>
    </cfRule>
    <cfRule type="containsBlanks" dxfId="7561" priority="8010">
      <formula>LEN(TRIM(G164))=0</formula>
    </cfRule>
  </conditionalFormatting>
  <conditionalFormatting sqref="R165">
    <cfRule type="expression" dxfId="7560" priority="8007" stopIfTrue="1">
      <formula>$G163=""</formula>
    </cfRule>
    <cfRule type="containsBlanks" dxfId="7559" priority="8008">
      <formula>LEN(TRIM(R165))=0</formula>
    </cfRule>
  </conditionalFormatting>
  <conditionalFormatting sqref="P165:R165">
    <cfRule type="expression" dxfId="7558" priority="8006">
      <formula>$C$36=0</formula>
    </cfRule>
  </conditionalFormatting>
  <conditionalFormatting sqref="AF164">
    <cfRule type="containsBlanks" dxfId="7557" priority="8002">
      <formula>LEN(TRIM(AF164))=0</formula>
    </cfRule>
    <cfRule type="expression" dxfId="7556" priority="8003">
      <formula>$HJ164=FALSE</formula>
    </cfRule>
  </conditionalFormatting>
  <conditionalFormatting sqref="AF166">
    <cfRule type="expression" dxfId="7555" priority="8001">
      <formula>$C$36=2</formula>
    </cfRule>
  </conditionalFormatting>
  <conditionalFormatting sqref="R164">
    <cfRule type="containsBlanks" dxfId="7554" priority="8000">
      <formula>LEN(TRIM(R164))=0</formula>
    </cfRule>
  </conditionalFormatting>
  <conditionalFormatting sqref="AE164:AF164">
    <cfRule type="expression" dxfId="7553" priority="7999" stopIfTrue="1">
      <formula>$G163=""</formula>
    </cfRule>
  </conditionalFormatting>
  <conditionalFormatting sqref="AF166">
    <cfRule type="expression" dxfId="7552" priority="7998" stopIfTrue="1">
      <formula>$G163=""</formula>
    </cfRule>
  </conditionalFormatting>
  <conditionalFormatting sqref="AF163:AI163">
    <cfRule type="expression" dxfId="7551" priority="7997">
      <formula>$C$36&lt;&gt;0</formula>
    </cfRule>
  </conditionalFormatting>
  <conditionalFormatting sqref="R164">
    <cfRule type="containsBlanks" dxfId="7550" priority="7995">
      <formula>LEN(TRIM(R164))=0</formula>
    </cfRule>
  </conditionalFormatting>
  <conditionalFormatting sqref="U165">
    <cfRule type="expression" dxfId="7549" priority="8018">
      <formula>OR($HF164=FALSE,$HG164=FALSE)</formula>
    </cfRule>
  </conditionalFormatting>
  <conditionalFormatting sqref="R164">
    <cfRule type="expression" dxfId="7548" priority="7992" stopIfTrue="1">
      <formula>$G163=""</formula>
    </cfRule>
    <cfRule type="expression" dxfId="7547" priority="7993">
      <formula>$HT164=FALSE</formula>
    </cfRule>
  </conditionalFormatting>
  <conditionalFormatting sqref="G166">
    <cfRule type="expression" dxfId="7546" priority="7987" stopIfTrue="1">
      <formula>$G163=""</formula>
    </cfRule>
  </conditionalFormatting>
  <conditionalFormatting sqref="G166">
    <cfRule type="expression" dxfId="7545" priority="7981" stopIfTrue="1">
      <formula>$CN163="Exterior"</formula>
    </cfRule>
  </conditionalFormatting>
  <conditionalFormatting sqref="G166:L166">
    <cfRule type="containsBlanks" dxfId="7544" priority="7988" stopIfTrue="1">
      <formula>LEN(TRIM(G166))=0</formula>
    </cfRule>
    <cfRule type="expression" dxfId="7543" priority="7990">
      <formula>$HL164=FALSE</formula>
    </cfRule>
  </conditionalFormatting>
  <conditionalFormatting sqref="AF165">
    <cfRule type="expression" dxfId="7542" priority="7982" stopIfTrue="1">
      <formula>$G163=""</formula>
    </cfRule>
  </conditionalFormatting>
  <conditionalFormatting sqref="AF165:AI165">
    <cfRule type="expression" dxfId="7541" priority="7986">
      <formula>OR($HP164=FALSE,$HL164=FALSE)</formula>
    </cfRule>
  </conditionalFormatting>
  <conditionalFormatting sqref="AF165">
    <cfRule type="containsBlanks" dxfId="7540" priority="7983" stopIfTrue="1">
      <formula>LEN(TRIM(AF165))=0</formula>
    </cfRule>
    <cfRule type="expression" dxfId="7539" priority="7984">
      <formula>$DP163=7</formula>
    </cfRule>
    <cfRule type="expression" dxfId="7538" priority="7985">
      <formula>OR($HK164=FALSE,$HM164=FALSE)</formula>
    </cfRule>
  </conditionalFormatting>
  <conditionalFormatting sqref="G166:L166">
    <cfRule type="expression" dxfId="7537" priority="7989" stopIfTrue="1">
      <formula>$AF165=""</formula>
    </cfRule>
  </conditionalFormatting>
  <conditionalFormatting sqref="T164:U164">
    <cfRule type="expression" dxfId="7536" priority="7978" stopIfTrue="1">
      <formula>$C$36&lt;&gt;0</formula>
    </cfRule>
    <cfRule type="containsBlanks" dxfId="7535" priority="7979" stopIfTrue="1">
      <formula>LEN(TRIM(T164))=0</formula>
    </cfRule>
  </conditionalFormatting>
  <conditionalFormatting sqref="T164:U164">
    <cfRule type="expression" dxfId="7534" priority="7977" stopIfTrue="1">
      <formula>$G163=""</formula>
    </cfRule>
  </conditionalFormatting>
  <conditionalFormatting sqref="U164">
    <cfRule type="expression" dxfId="7533" priority="7980">
      <formula>$HE164=FALSE</formula>
    </cfRule>
  </conditionalFormatting>
  <conditionalFormatting sqref="T166">
    <cfRule type="expression" dxfId="7532" priority="7976">
      <formula>$C$36=2</formula>
    </cfRule>
  </conditionalFormatting>
  <conditionalFormatting sqref="AJ173:AL173">
    <cfRule type="expression" dxfId="7531" priority="7975" stopIfTrue="1">
      <formula>$G171=""</formula>
    </cfRule>
  </conditionalFormatting>
  <conditionalFormatting sqref="AR171:AR174">
    <cfRule type="expression" dxfId="7530" priority="7972" stopIfTrue="1">
      <formula>$C$36=2</formula>
    </cfRule>
    <cfRule type="cellIs" dxfId="7529" priority="7973" operator="equal">
      <formula>"Yes"</formula>
    </cfRule>
    <cfRule type="cellIs" dxfId="7528" priority="7974" operator="equal">
      <formula>"No"</formula>
    </cfRule>
  </conditionalFormatting>
  <conditionalFormatting sqref="AJ171:AL172">
    <cfRule type="expression" dxfId="7527" priority="7971">
      <formula>$G171=""</formula>
    </cfRule>
  </conditionalFormatting>
  <conditionalFormatting sqref="AM171 AO171:AP174">
    <cfRule type="expression" dxfId="7526" priority="7970">
      <formula>$G171=""</formula>
    </cfRule>
  </conditionalFormatting>
  <conditionalFormatting sqref="AT171:AT174">
    <cfRule type="expression" dxfId="7525" priority="7969">
      <formula>$G171=""</formula>
    </cfRule>
  </conditionalFormatting>
  <conditionalFormatting sqref="E174:F174">
    <cfRule type="expression" dxfId="7524" priority="7968">
      <formula>$CN171="Exterior"</formula>
    </cfRule>
  </conditionalFormatting>
  <conditionalFormatting sqref="AJ178:AL178">
    <cfRule type="expression" dxfId="7523" priority="7967" stopIfTrue="1">
      <formula>$G176=""</formula>
    </cfRule>
  </conditionalFormatting>
  <conditionalFormatting sqref="AR176:AR179">
    <cfRule type="expression" dxfId="7522" priority="7964" stopIfTrue="1">
      <formula>$C$36=2</formula>
    </cfRule>
    <cfRule type="cellIs" dxfId="7521" priority="7965" operator="equal">
      <formula>"Yes"</formula>
    </cfRule>
    <cfRule type="cellIs" dxfId="7520" priority="7966" operator="equal">
      <formula>"No"</formula>
    </cfRule>
  </conditionalFormatting>
  <conditionalFormatting sqref="AJ176:AL177">
    <cfRule type="expression" dxfId="7519" priority="7963">
      <formula>$G176=""</formula>
    </cfRule>
  </conditionalFormatting>
  <conditionalFormatting sqref="AM176 AO176:AP179">
    <cfRule type="expression" dxfId="7518" priority="7962">
      <formula>$G176=""</formula>
    </cfRule>
  </conditionalFormatting>
  <conditionalFormatting sqref="AT176:AT179">
    <cfRule type="expression" dxfId="7517" priority="7961">
      <formula>$G176=""</formula>
    </cfRule>
  </conditionalFormatting>
  <conditionalFormatting sqref="E179:F179">
    <cfRule type="expression" dxfId="7516" priority="7960">
      <formula>$CN176="Exterior"</formula>
    </cfRule>
  </conditionalFormatting>
  <conditionalFormatting sqref="AJ183:AL183">
    <cfRule type="expression" dxfId="7515" priority="7959" stopIfTrue="1">
      <formula>$G181=""</formula>
    </cfRule>
  </conditionalFormatting>
  <conditionalFormatting sqref="AR181:AR184">
    <cfRule type="expression" dxfId="7514" priority="7956" stopIfTrue="1">
      <formula>$C$36=2</formula>
    </cfRule>
    <cfRule type="cellIs" dxfId="7513" priority="7957" operator="equal">
      <formula>"Yes"</formula>
    </cfRule>
    <cfRule type="cellIs" dxfId="7512" priority="7958" operator="equal">
      <formula>"No"</formula>
    </cfRule>
  </conditionalFormatting>
  <conditionalFormatting sqref="AJ181:AL182">
    <cfRule type="expression" dxfId="7511" priority="7955">
      <formula>$G181=""</formula>
    </cfRule>
  </conditionalFormatting>
  <conditionalFormatting sqref="AM181 AO181:AP184">
    <cfRule type="expression" dxfId="7510" priority="7954">
      <formula>$G181=""</formula>
    </cfRule>
  </conditionalFormatting>
  <conditionalFormatting sqref="AT181:AT184">
    <cfRule type="expression" dxfId="7509" priority="7953">
      <formula>$G181=""</formula>
    </cfRule>
  </conditionalFormatting>
  <conditionalFormatting sqref="E184:F184">
    <cfRule type="expression" dxfId="7508" priority="7952">
      <formula>$CN181="Exterior"</formula>
    </cfRule>
  </conditionalFormatting>
  <conditionalFormatting sqref="AJ188:AL188">
    <cfRule type="expression" dxfId="7507" priority="7951" stopIfTrue="1">
      <formula>$G186=""</formula>
    </cfRule>
  </conditionalFormatting>
  <conditionalFormatting sqref="AR186:AR189">
    <cfRule type="expression" dxfId="7506" priority="7948" stopIfTrue="1">
      <formula>$C$36=2</formula>
    </cfRule>
    <cfRule type="cellIs" dxfId="7505" priority="7949" operator="equal">
      <formula>"Yes"</formula>
    </cfRule>
    <cfRule type="cellIs" dxfId="7504" priority="7950" operator="equal">
      <formula>"No"</formula>
    </cfRule>
  </conditionalFormatting>
  <conditionalFormatting sqref="AJ186:AL187">
    <cfRule type="expression" dxfId="7503" priority="7947">
      <formula>$G186=""</formula>
    </cfRule>
  </conditionalFormatting>
  <conditionalFormatting sqref="AM186 AO186:AP189">
    <cfRule type="expression" dxfId="7502" priority="7946">
      <formula>$G186=""</formula>
    </cfRule>
  </conditionalFormatting>
  <conditionalFormatting sqref="AT186:AT189">
    <cfRule type="expression" dxfId="7501" priority="7945">
      <formula>$G186=""</formula>
    </cfRule>
  </conditionalFormatting>
  <conditionalFormatting sqref="E189:F189">
    <cfRule type="expression" dxfId="7500" priority="7944">
      <formula>$CN186="Exterior"</formula>
    </cfRule>
  </conditionalFormatting>
  <conditionalFormatting sqref="AJ193:AL193">
    <cfRule type="expression" dxfId="7499" priority="7943" stopIfTrue="1">
      <formula>$G191=""</formula>
    </cfRule>
  </conditionalFormatting>
  <conditionalFormatting sqref="AR191:AR194">
    <cfRule type="expression" dxfId="7498" priority="7940" stopIfTrue="1">
      <formula>$C$36=2</formula>
    </cfRule>
    <cfRule type="cellIs" dxfId="7497" priority="7941" operator="equal">
      <formula>"Yes"</formula>
    </cfRule>
    <cfRule type="cellIs" dxfId="7496" priority="7942" operator="equal">
      <formula>"No"</formula>
    </cfRule>
  </conditionalFormatting>
  <conditionalFormatting sqref="AJ191:AL192">
    <cfRule type="expression" dxfId="7495" priority="7939">
      <formula>$G191=""</formula>
    </cfRule>
  </conditionalFormatting>
  <conditionalFormatting sqref="AM191 AO191:AP194">
    <cfRule type="expression" dxfId="7494" priority="7938">
      <formula>$G191=""</formula>
    </cfRule>
  </conditionalFormatting>
  <conditionalFormatting sqref="AT191:AT194">
    <cfRule type="expression" dxfId="7493" priority="7937">
      <formula>$G191=""</formula>
    </cfRule>
  </conditionalFormatting>
  <conditionalFormatting sqref="E194:F194">
    <cfRule type="expression" dxfId="7492" priority="7936">
      <formula>$CN191="Exterior"</formula>
    </cfRule>
  </conditionalFormatting>
  <conditionalFormatting sqref="AJ198:AL198">
    <cfRule type="expression" dxfId="7491" priority="7935" stopIfTrue="1">
      <formula>$G196=""</formula>
    </cfRule>
  </conditionalFormatting>
  <conditionalFormatting sqref="AR196:AR199">
    <cfRule type="expression" dxfId="7490" priority="7932" stopIfTrue="1">
      <formula>$C$36=2</formula>
    </cfRule>
    <cfRule type="cellIs" dxfId="7489" priority="7933" operator="equal">
      <formula>"Yes"</formula>
    </cfRule>
    <cfRule type="cellIs" dxfId="7488" priority="7934" operator="equal">
      <formula>"No"</formula>
    </cfRule>
  </conditionalFormatting>
  <conditionalFormatting sqref="AJ196:AL197">
    <cfRule type="expression" dxfId="7487" priority="7931">
      <formula>$G196=""</formula>
    </cfRule>
  </conditionalFormatting>
  <conditionalFormatting sqref="AM196 AO196:AP199">
    <cfRule type="expression" dxfId="7486" priority="7930">
      <formula>$G196=""</formula>
    </cfRule>
  </conditionalFormatting>
  <conditionalFormatting sqref="AT196:AT199">
    <cfRule type="expression" dxfId="7485" priority="7929">
      <formula>$G196=""</formula>
    </cfRule>
  </conditionalFormatting>
  <conditionalFormatting sqref="E199:F199">
    <cfRule type="expression" dxfId="7484" priority="7928">
      <formula>$CN196="Exterior"</formula>
    </cfRule>
  </conditionalFormatting>
  <conditionalFormatting sqref="AJ203:AL203">
    <cfRule type="expression" dxfId="7483" priority="7927" stopIfTrue="1">
      <formula>$G201=""</formula>
    </cfRule>
  </conditionalFormatting>
  <conditionalFormatting sqref="AR201:AR204">
    <cfRule type="expression" dxfId="7482" priority="7924" stopIfTrue="1">
      <formula>$C$36=2</formula>
    </cfRule>
    <cfRule type="cellIs" dxfId="7481" priority="7925" operator="equal">
      <formula>"Yes"</formula>
    </cfRule>
    <cfRule type="cellIs" dxfId="7480" priority="7926" operator="equal">
      <formula>"No"</formula>
    </cfRule>
  </conditionalFormatting>
  <conditionalFormatting sqref="AJ201:AL202">
    <cfRule type="expression" dxfId="7479" priority="7923">
      <formula>$G201=""</formula>
    </cfRule>
  </conditionalFormatting>
  <conditionalFormatting sqref="AM201 AO201:AP204">
    <cfRule type="expression" dxfId="7478" priority="7922">
      <formula>$G201=""</formula>
    </cfRule>
  </conditionalFormatting>
  <conditionalFormatting sqref="AT201:AT204">
    <cfRule type="expression" dxfId="7477" priority="7921">
      <formula>$G201=""</formula>
    </cfRule>
  </conditionalFormatting>
  <conditionalFormatting sqref="E204:F204">
    <cfRule type="expression" dxfId="7476" priority="7920">
      <formula>$CN201="Exterior"</formula>
    </cfRule>
  </conditionalFormatting>
  <conditionalFormatting sqref="AJ208:AL208">
    <cfRule type="expression" dxfId="7475" priority="7919" stopIfTrue="1">
      <formula>$G206=""</formula>
    </cfRule>
  </conditionalFormatting>
  <conditionalFormatting sqref="AR206:AR209">
    <cfRule type="expression" dxfId="7474" priority="7916" stopIfTrue="1">
      <formula>$C$36=2</formula>
    </cfRule>
    <cfRule type="cellIs" dxfId="7473" priority="7917" operator="equal">
      <formula>"Yes"</formula>
    </cfRule>
    <cfRule type="cellIs" dxfId="7472" priority="7918" operator="equal">
      <formula>"No"</formula>
    </cfRule>
  </conditionalFormatting>
  <conditionalFormatting sqref="AJ206:AL207">
    <cfRule type="expression" dxfId="7471" priority="7915">
      <formula>$G206=""</formula>
    </cfRule>
  </conditionalFormatting>
  <conditionalFormatting sqref="AM206 AO206:AP209">
    <cfRule type="expression" dxfId="7470" priority="7914">
      <formula>$G206=""</formula>
    </cfRule>
  </conditionalFormatting>
  <conditionalFormatting sqref="AT206:AT209">
    <cfRule type="expression" dxfId="7469" priority="7913">
      <formula>$G206=""</formula>
    </cfRule>
  </conditionalFormatting>
  <conditionalFormatting sqref="E209:F209">
    <cfRule type="expression" dxfId="7468" priority="7912">
      <formula>$CN206="Exterior"</formula>
    </cfRule>
  </conditionalFormatting>
  <conditionalFormatting sqref="AJ213:AL213">
    <cfRule type="expression" dxfId="7467" priority="7911" stopIfTrue="1">
      <formula>$G211=""</formula>
    </cfRule>
  </conditionalFormatting>
  <conditionalFormatting sqref="AR211:AR214">
    <cfRule type="expression" dxfId="7466" priority="7908" stopIfTrue="1">
      <formula>$C$36=2</formula>
    </cfRule>
    <cfRule type="cellIs" dxfId="7465" priority="7909" operator="equal">
      <formula>"Yes"</formula>
    </cfRule>
    <cfRule type="cellIs" dxfId="7464" priority="7910" operator="equal">
      <formula>"No"</formula>
    </cfRule>
  </conditionalFormatting>
  <conditionalFormatting sqref="AJ211:AL212">
    <cfRule type="expression" dxfId="7463" priority="7907">
      <formula>$G211=""</formula>
    </cfRule>
  </conditionalFormatting>
  <conditionalFormatting sqref="AM211 AO211:AP214">
    <cfRule type="expression" dxfId="7462" priority="7906">
      <formula>$G211=""</formula>
    </cfRule>
  </conditionalFormatting>
  <conditionalFormatting sqref="AT211:AT214">
    <cfRule type="expression" dxfId="7461" priority="7905">
      <formula>$G211=""</formula>
    </cfRule>
  </conditionalFormatting>
  <conditionalFormatting sqref="E214:F214">
    <cfRule type="expression" dxfId="7460" priority="7904">
      <formula>$CN211="Exterior"</formula>
    </cfRule>
  </conditionalFormatting>
  <conditionalFormatting sqref="AJ218:AL218">
    <cfRule type="expression" dxfId="7459" priority="7903" stopIfTrue="1">
      <formula>$G216=""</formula>
    </cfRule>
  </conditionalFormatting>
  <conditionalFormatting sqref="AR216:AR219">
    <cfRule type="expression" dxfId="7458" priority="7900" stopIfTrue="1">
      <formula>$C$36=2</formula>
    </cfRule>
    <cfRule type="cellIs" dxfId="7457" priority="7901" operator="equal">
      <formula>"Yes"</formula>
    </cfRule>
    <cfRule type="cellIs" dxfId="7456" priority="7902" operator="equal">
      <formula>"No"</formula>
    </cfRule>
  </conditionalFormatting>
  <conditionalFormatting sqref="AJ216:AL217">
    <cfRule type="expression" dxfId="7455" priority="7899">
      <formula>$G216=""</formula>
    </cfRule>
  </conditionalFormatting>
  <conditionalFormatting sqref="AM216 AO216:AP219">
    <cfRule type="expression" dxfId="7454" priority="7898">
      <formula>$G216=""</formula>
    </cfRule>
  </conditionalFormatting>
  <conditionalFormatting sqref="AT216:AT219">
    <cfRule type="expression" dxfId="7453" priority="7897">
      <formula>$G216=""</formula>
    </cfRule>
  </conditionalFormatting>
  <conditionalFormatting sqref="E219:F219">
    <cfRule type="expression" dxfId="7452" priority="7896">
      <formula>$CN216="Exterior"</formula>
    </cfRule>
  </conditionalFormatting>
  <conditionalFormatting sqref="AJ223:AL223">
    <cfRule type="expression" dxfId="7451" priority="7895" stopIfTrue="1">
      <formula>$G221=""</formula>
    </cfRule>
  </conditionalFormatting>
  <conditionalFormatting sqref="AR221:AR224">
    <cfRule type="expression" dxfId="7450" priority="7892" stopIfTrue="1">
      <formula>$C$36=2</formula>
    </cfRule>
    <cfRule type="cellIs" dxfId="7449" priority="7893" operator="equal">
      <formula>"Yes"</formula>
    </cfRule>
    <cfRule type="cellIs" dxfId="7448" priority="7894" operator="equal">
      <formula>"No"</formula>
    </cfRule>
  </conditionalFormatting>
  <conditionalFormatting sqref="AJ221:AL222">
    <cfRule type="expression" dxfId="7447" priority="7891">
      <formula>$G221=""</formula>
    </cfRule>
  </conditionalFormatting>
  <conditionalFormatting sqref="AM221 AO221:AP224">
    <cfRule type="expression" dxfId="7446" priority="7890">
      <formula>$G221=""</formula>
    </cfRule>
  </conditionalFormatting>
  <conditionalFormatting sqref="AT221:AT224">
    <cfRule type="expression" dxfId="7445" priority="7889">
      <formula>$G221=""</formula>
    </cfRule>
  </conditionalFormatting>
  <conditionalFormatting sqref="E224:F224">
    <cfRule type="expression" dxfId="7444" priority="7888">
      <formula>$CN221="Exterior"</formula>
    </cfRule>
  </conditionalFormatting>
  <conditionalFormatting sqref="AJ228:AL228">
    <cfRule type="expression" dxfId="7443" priority="7887" stopIfTrue="1">
      <formula>$G226=""</formula>
    </cfRule>
  </conditionalFormatting>
  <conditionalFormatting sqref="AR226:AR229">
    <cfRule type="expression" dxfId="7442" priority="7884" stopIfTrue="1">
      <formula>$C$36=2</formula>
    </cfRule>
    <cfRule type="cellIs" dxfId="7441" priority="7885" operator="equal">
      <formula>"Yes"</formula>
    </cfRule>
    <cfRule type="cellIs" dxfId="7440" priority="7886" operator="equal">
      <formula>"No"</formula>
    </cfRule>
  </conditionalFormatting>
  <conditionalFormatting sqref="AJ226:AL227">
    <cfRule type="expression" dxfId="7439" priority="7883">
      <formula>$G226=""</formula>
    </cfRule>
  </conditionalFormatting>
  <conditionalFormatting sqref="AM226 AO226:AP229">
    <cfRule type="expression" dxfId="7438" priority="7882">
      <formula>$G226=""</formula>
    </cfRule>
  </conditionalFormatting>
  <conditionalFormatting sqref="AT226:AT229">
    <cfRule type="expression" dxfId="7437" priority="7881">
      <formula>$G226=""</formula>
    </cfRule>
  </conditionalFormatting>
  <conditionalFormatting sqref="E229:F229">
    <cfRule type="expression" dxfId="7436" priority="7880">
      <formula>$CN226="Exterior"</formula>
    </cfRule>
  </conditionalFormatting>
  <conditionalFormatting sqref="AJ233:AL233">
    <cfRule type="expression" dxfId="7435" priority="7879" stopIfTrue="1">
      <formula>$G231=""</formula>
    </cfRule>
  </conditionalFormatting>
  <conditionalFormatting sqref="AR231:AR234">
    <cfRule type="expression" dxfId="7434" priority="7876" stopIfTrue="1">
      <formula>$C$36=2</formula>
    </cfRule>
    <cfRule type="cellIs" dxfId="7433" priority="7877" operator="equal">
      <formula>"Yes"</formula>
    </cfRule>
    <cfRule type="cellIs" dxfId="7432" priority="7878" operator="equal">
      <formula>"No"</formula>
    </cfRule>
  </conditionalFormatting>
  <conditionalFormatting sqref="AJ231:AL232">
    <cfRule type="expression" dxfId="7431" priority="7875">
      <formula>$G231=""</formula>
    </cfRule>
  </conditionalFormatting>
  <conditionalFormatting sqref="AM231 AO231:AP234">
    <cfRule type="expression" dxfId="7430" priority="7874">
      <formula>$G231=""</formula>
    </cfRule>
  </conditionalFormatting>
  <conditionalFormatting sqref="AT231:AT234">
    <cfRule type="expression" dxfId="7429" priority="7873">
      <formula>$G231=""</formula>
    </cfRule>
  </conditionalFormatting>
  <conditionalFormatting sqref="E234:F234">
    <cfRule type="expression" dxfId="7428" priority="7872">
      <formula>$CN231="Exterior"</formula>
    </cfRule>
  </conditionalFormatting>
  <conditionalFormatting sqref="AJ238:AL238">
    <cfRule type="expression" dxfId="7427" priority="7871" stopIfTrue="1">
      <formula>$G236=""</formula>
    </cfRule>
  </conditionalFormatting>
  <conditionalFormatting sqref="AR236:AR239">
    <cfRule type="expression" dxfId="7426" priority="7868" stopIfTrue="1">
      <formula>$C$36=2</formula>
    </cfRule>
    <cfRule type="cellIs" dxfId="7425" priority="7869" operator="equal">
      <formula>"Yes"</formula>
    </cfRule>
    <cfRule type="cellIs" dxfId="7424" priority="7870" operator="equal">
      <formula>"No"</formula>
    </cfRule>
  </conditionalFormatting>
  <conditionalFormatting sqref="AJ236:AL237">
    <cfRule type="expression" dxfId="7423" priority="7867">
      <formula>$G236=""</formula>
    </cfRule>
  </conditionalFormatting>
  <conditionalFormatting sqref="AM236 AO236:AP239">
    <cfRule type="expression" dxfId="7422" priority="7866">
      <formula>$G236=""</formula>
    </cfRule>
  </conditionalFormatting>
  <conditionalFormatting sqref="AT236:AT239">
    <cfRule type="expression" dxfId="7421" priority="7865">
      <formula>$G236=""</formula>
    </cfRule>
  </conditionalFormatting>
  <conditionalFormatting sqref="E239:F239">
    <cfRule type="expression" dxfId="7420" priority="7864">
      <formula>$CN236="Exterior"</formula>
    </cfRule>
  </conditionalFormatting>
  <conditionalFormatting sqref="AJ243:AL243">
    <cfRule type="expression" dxfId="7419" priority="7863" stopIfTrue="1">
      <formula>$G241=""</formula>
    </cfRule>
  </conditionalFormatting>
  <conditionalFormatting sqref="AR241:AR244">
    <cfRule type="expression" dxfId="7418" priority="7860" stopIfTrue="1">
      <formula>$C$36=2</formula>
    </cfRule>
    <cfRule type="cellIs" dxfId="7417" priority="7861" operator="equal">
      <formula>"Yes"</formula>
    </cfRule>
    <cfRule type="cellIs" dxfId="7416" priority="7862" operator="equal">
      <formula>"No"</formula>
    </cfRule>
  </conditionalFormatting>
  <conditionalFormatting sqref="AJ241:AL242">
    <cfRule type="expression" dxfId="7415" priority="7859">
      <formula>$G241=""</formula>
    </cfRule>
  </conditionalFormatting>
  <conditionalFormatting sqref="AM241 AO241:AP244">
    <cfRule type="expression" dxfId="7414" priority="7858">
      <formula>$G241=""</formula>
    </cfRule>
  </conditionalFormatting>
  <conditionalFormatting sqref="AT241:AT244">
    <cfRule type="expression" dxfId="7413" priority="7857">
      <formula>$G241=""</formula>
    </cfRule>
  </conditionalFormatting>
  <conditionalFormatting sqref="E244:F244">
    <cfRule type="expression" dxfId="7412" priority="7856">
      <formula>$CN241="Exterior"</formula>
    </cfRule>
  </conditionalFormatting>
  <conditionalFormatting sqref="AE173">
    <cfRule type="expression" dxfId="7411" priority="7842" stopIfTrue="1">
      <formula>$G171=""</formula>
    </cfRule>
  </conditionalFormatting>
  <conditionalFormatting sqref="AB174:AD174">
    <cfRule type="expression" dxfId="7410" priority="7854" stopIfTrue="1">
      <formula>$G171=""</formula>
    </cfRule>
  </conditionalFormatting>
  <conditionalFormatting sqref="G173">
    <cfRule type="expression" dxfId="7409" priority="7851" stopIfTrue="1">
      <formula>$G171=""</formula>
    </cfRule>
    <cfRule type="containsBlanks" dxfId="7408" priority="7852" stopIfTrue="1">
      <formula>LEN(TRIM(G173))=0</formula>
    </cfRule>
    <cfRule type="expression" dxfId="7407" priority="7853">
      <formula>OR($M173=0,$HC172=FALSE)</formula>
    </cfRule>
  </conditionalFormatting>
  <conditionalFormatting sqref="AB174">
    <cfRule type="expression" dxfId="7406" priority="7850" stopIfTrue="1">
      <formula>$AB174=""</formula>
    </cfRule>
  </conditionalFormatting>
  <conditionalFormatting sqref="AE172:AF172">
    <cfRule type="expression" dxfId="7405" priority="7849">
      <formula>$C$36=2</formula>
    </cfRule>
  </conditionalFormatting>
  <conditionalFormatting sqref="T173:U173">
    <cfRule type="expression" dxfId="7404" priority="7824" stopIfTrue="1">
      <formula>$G171=""</formula>
    </cfRule>
  </conditionalFormatting>
  <conditionalFormatting sqref="T173:U173">
    <cfRule type="containsBlanks" dxfId="7403" priority="7847" stopIfTrue="1">
      <formula>LEN(TRIM(T173))=0</formula>
    </cfRule>
  </conditionalFormatting>
  <conditionalFormatting sqref="AC171:AD171">
    <cfRule type="expression" dxfId="7402" priority="7846">
      <formula>$G171=""</formula>
    </cfRule>
  </conditionalFormatting>
  <conditionalFormatting sqref="AE172">
    <cfRule type="containsBlanks" dxfId="7401" priority="7844">
      <formula>LEN(TRIM(AE172))=0</formula>
    </cfRule>
  </conditionalFormatting>
  <conditionalFormatting sqref="AE173 AF174">
    <cfRule type="containsBlanks" dxfId="7400" priority="7843" stopIfTrue="1">
      <formula>LEN(TRIM(AE173))=0</formula>
    </cfRule>
  </conditionalFormatting>
  <conditionalFormatting sqref="AE173">
    <cfRule type="expression" dxfId="7399" priority="7855">
      <formula>OR($HN172=FALSE,$HO172=FALSE)</formula>
    </cfRule>
  </conditionalFormatting>
  <conditionalFormatting sqref="G172:Q172 G171">
    <cfRule type="containsBlanks" dxfId="7398" priority="7841">
      <formula>LEN(TRIM(G171))=0</formula>
    </cfRule>
  </conditionalFormatting>
  <conditionalFormatting sqref="G172:L172">
    <cfRule type="expression" dxfId="7397" priority="7839" stopIfTrue="1">
      <formula>$G171=""</formula>
    </cfRule>
    <cfRule type="containsBlanks" dxfId="7396" priority="7840">
      <formula>LEN(TRIM(G172))=0</formula>
    </cfRule>
  </conditionalFormatting>
  <conditionalFormatting sqref="R173">
    <cfRule type="expression" dxfId="7395" priority="7837" stopIfTrue="1">
      <formula>$G171=""</formula>
    </cfRule>
    <cfRule type="containsBlanks" dxfId="7394" priority="7838">
      <formula>LEN(TRIM(R173))=0</formula>
    </cfRule>
  </conditionalFormatting>
  <conditionalFormatting sqref="P173:R173">
    <cfRule type="expression" dxfId="7393" priority="7836">
      <formula>$C$36=0</formula>
    </cfRule>
  </conditionalFormatting>
  <conditionalFormatting sqref="AF172">
    <cfRule type="containsBlanks" dxfId="7392" priority="7832">
      <formula>LEN(TRIM(AF172))=0</formula>
    </cfRule>
    <cfRule type="expression" dxfId="7391" priority="7833">
      <formula>$HJ172=FALSE</formula>
    </cfRule>
  </conditionalFormatting>
  <conditionalFormatting sqref="AF174">
    <cfRule type="expression" dxfId="7390" priority="7831">
      <formula>$C$36=2</formula>
    </cfRule>
  </conditionalFormatting>
  <conditionalFormatting sqref="R172">
    <cfRule type="containsBlanks" dxfId="7389" priority="7830">
      <formula>LEN(TRIM(R172))=0</formula>
    </cfRule>
  </conditionalFormatting>
  <conditionalFormatting sqref="AE172:AF172">
    <cfRule type="expression" dxfId="7388" priority="7829" stopIfTrue="1">
      <formula>$G171=""</formula>
    </cfRule>
  </conditionalFormatting>
  <conditionalFormatting sqref="AF174">
    <cfRule type="expression" dxfId="7387" priority="7828" stopIfTrue="1">
      <formula>$G171=""</formula>
    </cfRule>
  </conditionalFormatting>
  <conditionalFormatting sqref="AF171:AI171">
    <cfRule type="expression" dxfId="7386" priority="7827">
      <formula>$C$36&lt;&gt;0</formula>
    </cfRule>
  </conditionalFormatting>
  <conditionalFormatting sqref="R172">
    <cfRule type="containsBlanks" dxfId="7385" priority="7825">
      <formula>LEN(TRIM(R172))=0</formula>
    </cfRule>
  </conditionalFormatting>
  <conditionalFormatting sqref="U173">
    <cfRule type="expression" dxfId="7384" priority="7848">
      <formula>OR($HF172=FALSE,$HG172=FALSE)</formula>
    </cfRule>
  </conditionalFormatting>
  <conditionalFormatting sqref="R172">
    <cfRule type="expression" dxfId="7383" priority="7822" stopIfTrue="1">
      <formula>$G171=""</formula>
    </cfRule>
    <cfRule type="expression" dxfId="7382" priority="7823">
      <formula>$HT172=FALSE</formula>
    </cfRule>
  </conditionalFormatting>
  <conditionalFormatting sqref="G174">
    <cfRule type="expression" dxfId="7381" priority="7817" stopIfTrue="1">
      <formula>$G171=""</formula>
    </cfRule>
  </conditionalFormatting>
  <conditionalFormatting sqref="G174">
    <cfRule type="expression" dxfId="7380" priority="7811" stopIfTrue="1">
      <formula>$CN171="Exterior"</formula>
    </cfRule>
  </conditionalFormatting>
  <conditionalFormatting sqref="G174:L174">
    <cfRule type="containsBlanks" dxfId="7379" priority="7818" stopIfTrue="1">
      <formula>LEN(TRIM(G174))=0</formula>
    </cfRule>
    <cfRule type="expression" dxfId="7378" priority="7820">
      <formula>$HL172=FALSE</formula>
    </cfRule>
  </conditionalFormatting>
  <conditionalFormatting sqref="AF173">
    <cfRule type="expression" dxfId="7377" priority="7812" stopIfTrue="1">
      <formula>$G171=""</formula>
    </cfRule>
  </conditionalFormatting>
  <conditionalFormatting sqref="AF173:AI173">
    <cfRule type="expression" dxfId="7376" priority="7816">
      <formula>OR($HP172=FALSE,$HL172=FALSE)</formula>
    </cfRule>
  </conditionalFormatting>
  <conditionalFormatting sqref="AF173">
    <cfRule type="containsBlanks" dxfId="7375" priority="7813" stopIfTrue="1">
      <formula>LEN(TRIM(AF173))=0</formula>
    </cfRule>
    <cfRule type="expression" dxfId="7374" priority="7814">
      <formula>$DP171=7</formula>
    </cfRule>
    <cfRule type="expression" dxfId="7373" priority="7815">
      <formula>OR($HK172=FALSE,$HM172=FALSE)</formula>
    </cfRule>
  </conditionalFormatting>
  <conditionalFormatting sqref="G174:L174">
    <cfRule type="expression" dxfId="7372" priority="7819" stopIfTrue="1">
      <formula>$AF173=""</formula>
    </cfRule>
  </conditionalFormatting>
  <conditionalFormatting sqref="T172:U172">
    <cfRule type="expression" dxfId="7371" priority="7808" stopIfTrue="1">
      <formula>$C$36&lt;&gt;0</formula>
    </cfRule>
    <cfRule type="containsBlanks" dxfId="7370" priority="7809" stopIfTrue="1">
      <formula>LEN(TRIM(T172))=0</formula>
    </cfRule>
  </conditionalFormatting>
  <conditionalFormatting sqref="T172:U172">
    <cfRule type="expression" dxfId="7369" priority="7807" stopIfTrue="1">
      <formula>$G171=""</formula>
    </cfRule>
  </conditionalFormatting>
  <conditionalFormatting sqref="U172">
    <cfRule type="expression" dxfId="7368" priority="7810">
      <formula>$HE172=FALSE</formula>
    </cfRule>
  </conditionalFormatting>
  <conditionalFormatting sqref="T174">
    <cfRule type="expression" dxfId="7367" priority="7806">
      <formula>$C$36=2</formula>
    </cfRule>
  </conditionalFormatting>
  <conditionalFormatting sqref="AE178">
    <cfRule type="expression" dxfId="7366" priority="7792" stopIfTrue="1">
      <formula>$G176=""</formula>
    </cfRule>
  </conditionalFormatting>
  <conditionalFormatting sqref="AB179:AD179">
    <cfRule type="expression" dxfId="7365" priority="7804" stopIfTrue="1">
      <formula>$G176=""</formula>
    </cfRule>
  </conditionalFormatting>
  <conditionalFormatting sqref="G178">
    <cfRule type="expression" dxfId="7364" priority="7801" stopIfTrue="1">
      <formula>$G176=""</formula>
    </cfRule>
    <cfRule type="containsBlanks" dxfId="7363" priority="7802" stopIfTrue="1">
      <formula>LEN(TRIM(G178))=0</formula>
    </cfRule>
    <cfRule type="expression" dxfId="7362" priority="7803">
      <formula>OR($M178=0,$HC177=FALSE)</formula>
    </cfRule>
  </conditionalFormatting>
  <conditionalFormatting sqref="AB179">
    <cfRule type="expression" dxfId="7361" priority="7800" stopIfTrue="1">
      <formula>$AB179=""</formula>
    </cfRule>
  </conditionalFormatting>
  <conditionalFormatting sqref="AE177:AF177">
    <cfRule type="expression" dxfId="7360" priority="7799">
      <formula>$C$36=2</formula>
    </cfRule>
  </conditionalFormatting>
  <conditionalFormatting sqref="T178:U178">
    <cfRule type="expression" dxfId="7359" priority="7774" stopIfTrue="1">
      <formula>$G176=""</formula>
    </cfRule>
  </conditionalFormatting>
  <conditionalFormatting sqref="T178:U178">
    <cfRule type="containsBlanks" dxfId="7358" priority="7797" stopIfTrue="1">
      <formula>LEN(TRIM(T178))=0</formula>
    </cfRule>
  </conditionalFormatting>
  <conditionalFormatting sqref="AC176:AD176">
    <cfRule type="expression" dxfId="7357" priority="7796">
      <formula>$G176=""</formula>
    </cfRule>
  </conditionalFormatting>
  <conditionalFormatting sqref="AE177">
    <cfRule type="containsBlanks" dxfId="7356" priority="7794">
      <formula>LEN(TRIM(AE177))=0</formula>
    </cfRule>
  </conditionalFormatting>
  <conditionalFormatting sqref="AE178 AF179">
    <cfRule type="containsBlanks" dxfId="7355" priority="7793" stopIfTrue="1">
      <formula>LEN(TRIM(AE178))=0</formula>
    </cfRule>
  </conditionalFormatting>
  <conditionalFormatting sqref="AE178">
    <cfRule type="expression" dxfId="7354" priority="7805">
      <formula>OR($HN177=FALSE,$HO177=FALSE)</formula>
    </cfRule>
  </conditionalFormatting>
  <conditionalFormatting sqref="G177:Q177 G176">
    <cfRule type="containsBlanks" dxfId="7353" priority="7791">
      <formula>LEN(TRIM(G176))=0</formula>
    </cfRule>
  </conditionalFormatting>
  <conditionalFormatting sqref="G177:L177">
    <cfRule type="expression" dxfId="7352" priority="7789" stopIfTrue="1">
      <formula>$G176=""</formula>
    </cfRule>
    <cfRule type="containsBlanks" dxfId="7351" priority="7790">
      <formula>LEN(TRIM(G177))=0</formula>
    </cfRule>
  </conditionalFormatting>
  <conditionalFormatting sqref="R178">
    <cfRule type="expression" dxfId="7350" priority="7787" stopIfTrue="1">
      <formula>$G176=""</formula>
    </cfRule>
    <cfRule type="containsBlanks" dxfId="7349" priority="7788">
      <formula>LEN(TRIM(R178))=0</formula>
    </cfRule>
  </conditionalFormatting>
  <conditionalFormatting sqref="P178:R178">
    <cfRule type="expression" dxfId="7348" priority="7786">
      <formula>$C$36=0</formula>
    </cfRule>
  </conditionalFormatting>
  <conditionalFormatting sqref="AF177">
    <cfRule type="containsBlanks" dxfId="7347" priority="7782">
      <formula>LEN(TRIM(AF177))=0</formula>
    </cfRule>
    <cfRule type="expression" dxfId="7346" priority="7783">
      <formula>$HJ177=FALSE</formula>
    </cfRule>
  </conditionalFormatting>
  <conditionalFormatting sqref="AF179">
    <cfRule type="expression" dxfId="7345" priority="7781">
      <formula>$C$36=2</formula>
    </cfRule>
  </conditionalFormatting>
  <conditionalFormatting sqref="R177">
    <cfRule type="containsBlanks" dxfId="7344" priority="7780">
      <formula>LEN(TRIM(R177))=0</formula>
    </cfRule>
  </conditionalFormatting>
  <conditionalFormatting sqref="AE177:AF177">
    <cfRule type="expression" dxfId="7343" priority="7779" stopIfTrue="1">
      <formula>$G176=""</formula>
    </cfRule>
  </conditionalFormatting>
  <conditionalFormatting sqref="AF179">
    <cfRule type="expression" dxfId="7342" priority="7778" stopIfTrue="1">
      <formula>$G176=""</formula>
    </cfRule>
  </conditionalFormatting>
  <conditionalFormatting sqref="AF176:AI176">
    <cfRule type="expression" dxfId="7341" priority="7777">
      <formula>$C$36&lt;&gt;0</formula>
    </cfRule>
  </conditionalFormatting>
  <conditionalFormatting sqref="R177">
    <cfRule type="containsBlanks" dxfId="7340" priority="7775">
      <formula>LEN(TRIM(R177))=0</formula>
    </cfRule>
  </conditionalFormatting>
  <conditionalFormatting sqref="U178">
    <cfRule type="expression" dxfId="7339" priority="7798">
      <formula>OR($HF177=FALSE,$HG177=FALSE)</formula>
    </cfRule>
  </conditionalFormatting>
  <conditionalFormatting sqref="R177">
    <cfRule type="expression" dxfId="7338" priority="7772" stopIfTrue="1">
      <formula>$G176=""</formula>
    </cfRule>
    <cfRule type="expression" dxfId="7337" priority="7773">
      <formula>$HT177=FALSE</formula>
    </cfRule>
  </conditionalFormatting>
  <conditionalFormatting sqref="G179">
    <cfRule type="expression" dxfId="7336" priority="7767" stopIfTrue="1">
      <formula>$G176=""</formula>
    </cfRule>
  </conditionalFormatting>
  <conditionalFormatting sqref="G179">
    <cfRule type="expression" dxfId="7335" priority="7761" stopIfTrue="1">
      <formula>$CN176="Exterior"</formula>
    </cfRule>
  </conditionalFormatting>
  <conditionalFormatting sqref="G179:L179">
    <cfRule type="containsBlanks" dxfId="7334" priority="7768" stopIfTrue="1">
      <formula>LEN(TRIM(G179))=0</formula>
    </cfRule>
    <cfRule type="expression" dxfId="7333" priority="7770">
      <formula>$HL177=FALSE</formula>
    </cfRule>
  </conditionalFormatting>
  <conditionalFormatting sqref="AF178">
    <cfRule type="expression" dxfId="7332" priority="7762" stopIfTrue="1">
      <formula>$G176=""</formula>
    </cfRule>
  </conditionalFormatting>
  <conditionalFormatting sqref="AF178:AI178">
    <cfRule type="expression" dxfId="7331" priority="7766">
      <formula>OR($HP177=FALSE,$HL177=FALSE)</formula>
    </cfRule>
  </conditionalFormatting>
  <conditionalFormatting sqref="AF178">
    <cfRule type="containsBlanks" dxfId="7330" priority="7763" stopIfTrue="1">
      <formula>LEN(TRIM(AF178))=0</formula>
    </cfRule>
    <cfRule type="expression" dxfId="7329" priority="7764">
      <formula>$DP176=7</formula>
    </cfRule>
    <cfRule type="expression" dxfId="7328" priority="7765">
      <formula>OR($HK177=FALSE,$HM177=FALSE)</formula>
    </cfRule>
  </conditionalFormatting>
  <conditionalFormatting sqref="G179:L179">
    <cfRule type="expression" dxfId="7327" priority="7769" stopIfTrue="1">
      <formula>$AF178=""</formula>
    </cfRule>
  </conditionalFormatting>
  <conditionalFormatting sqref="T177:U177">
    <cfRule type="expression" dxfId="7326" priority="7758" stopIfTrue="1">
      <formula>$C$36&lt;&gt;0</formula>
    </cfRule>
    <cfRule type="containsBlanks" dxfId="7325" priority="7759" stopIfTrue="1">
      <formula>LEN(TRIM(T177))=0</formula>
    </cfRule>
  </conditionalFormatting>
  <conditionalFormatting sqref="T177:U177">
    <cfRule type="expression" dxfId="7324" priority="7757" stopIfTrue="1">
      <formula>$G176=""</formula>
    </cfRule>
  </conditionalFormatting>
  <conditionalFormatting sqref="U177">
    <cfRule type="expression" dxfId="7323" priority="7760">
      <formula>$HE177=FALSE</formula>
    </cfRule>
  </conditionalFormatting>
  <conditionalFormatting sqref="T179">
    <cfRule type="expression" dxfId="7322" priority="7756">
      <formula>$C$36=2</formula>
    </cfRule>
  </conditionalFormatting>
  <conditionalFormatting sqref="AE183">
    <cfRule type="expression" dxfId="7321" priority="7742" stopIfTrue="1">
      <formula>$G181=""</formula>
    </cfRule>
  </conditionalFormatting>
  <conditionalFormatting sqref="AB184:AD184">
    <cfRule type="expression" dxfId="7320" priority="7754" stopIfTrue="1">
      <formula>$G181=""</formula>
    </cfRule>
  </conditionalFormatting>
  <conditionalFormatting sqref="G183">
    <cfRule type="expression" dxfId="7319" priority="7751" stopIfTrue="1">
      <formula>$G181=""</formula>
    </cfRule>
    <cfRule type="containsBlanks" dxfId="7318" priority="7752" stopIfTrue="1">
      <formula>LEN(TRIM(G183))=0</formula>
    </cfRule>
    <cfRule type="expression" dxfId="7317" priority="7753">
      <formula>OR($M183=0,$HC182=FALSE)</formula>
    </cfRule>
  </conditionalFormatting>
  <conditionalFormatting sqref="AB184">
    <cfRule type="expression" dxfId="7316" priority="7750" stopIfTrue="1">
      <formula>$AB184=""</formula>
    </cfRule>
  </conditionalFormatting>
  <conditionalFormatting sqref="AE182:AF182">
    <cfRule type="expression" dxfId="7315" priority="7749">
      <formula>$C$36=2</formula>
    </cfRule>
  </conditionalFormatting>
  <conditionalFormatting sqref="T183:U183">
    <cfRule type="expression" dxfId="7314" priority="7724" stopIfTrue="1">
      <formula>$G181=""</formula>
    </cfRule>
  </conditionalFormatting>
  <conditionalFormatting sqref="T183:U183">
    <cfRule type="containsBlanks" dxfId="7313" priority="7747" stopIfTrue="1">
      <formula>LEN(TRIM(T183))=0</formula>
    </cfRule>
  </conditionalFormatting>
  <conditionalFormatting sqref="AC181:AD181">
    <cfRule type="expression" dxfId="7312" priority="7746">
      <formula>$G181=""</formula>
    </cfRule>
  </conditionalFormatting>
  <conditionalFormatting sqref="AE182">
    <cfRule type="containsBlanks" dxfId="7311" priority="7744">
      <formula>LEN(TRIM(AE182))=0</formula>
    </cfRule>
  </conditionalFormatting>
  <conditionalFormatting sqref="AE183 AF184">
    <cfRule type="containsBlanks" dxfId="7310" priority="7743" stopIfTrue="1">
      <formula>LEN(TRIM(AE183))=0</formula>
    </cfRule>
  </conditionalFormatting>
  <conditionalFormatting sqref="AE183">
    <cfRule type="expression" dxfId="7309" priority="7755">
      <formula>OR($HN182=FALSE,$HO182=FALSE)</formula>
    </cfRule>
  </conditionalFormatting>
  <conditionalFormatting sqref="G182:Q182 G181">
    <cfRule type="containsBlanks" dxfId="7308" priority="7741">
      <formula>LEN(TRIM(G181))=0</formula>
    </cfRule>
  </conditionalFormatting>
  <conditionalFormatting sqref="G182:L182">
    <cfRule type="expression" dxfId="7307" priority="7739" stopIfTrue="1">
      <formula>$G181=""</formula>
    </cfRule>
    <cfRule type="containsBlanks" dxfId="7306" priority="7740">
      <formula>LEN(TRIM(G182))=0</formula>
    </cfRule>
  </conditionalFormatting>
  <conditionalFormatting sqref="R183">
    <cfRule type="expression" dxfId="7305" priority="7737" stopIfTrue="1">
      <formula>$G181=""</formula>
    </cfRule>
    <cfRule type="containsBlanks" dxfId="7304" priority="7738">
      <formula>LEN(TRIM(R183))=0</formula>
    </cfRule>
  </conditionalFormatting>
  <conditionalFormatting sqref="P183:R183">
    <cfRule type="expression" dxfId="7303" priority="7736">
      <formula>$C$36=0</formula>
    </cfRule>
  </conditionalFormatting>
  <conditionalFormatting sqref="AF182">
    <cfRule type="containsBlanks" dxfId="7302" priority="7732">
      <formula>LEN(TRIM(AF182))=0</formula>
    </cfRule>
    <cfRule type="expression" dxfId="7301" priority="7733">
      <formula>$HJ182=FALSE</formula>
    </cfRule>
  </conditionalFormatting>
  <conditionalFormatting sqref="AF184">
    <cfRule type="expression" dxfId="7300" priority="7731">
      <formula>$C$36=2</formula>
    </cfRule>
  </conditionalFormatting>
  <conditionalFormatting sqref="R182">
    <cfRule type="containsBlanks" dxfId="7299" priority="7730">
      <formula>LEN(TRIM(R182))=0</formula>
    </cfRule>
  </conditionalFormatting>
  <conditionalFormatting sqref="AE182:AF182">
    <cfRule type="expression" dxfId="7298" priority="7729" stopIfTrue="1">
      <formula>$G181=""</formula>
    </cfRule>
  </conditionalFormatting>
  <conditionalFormatting sqref="AF184">
    <cfRule type="expression" dxfId="7297" priority="7728" stopIfTrue="1">
      <formula>$G181=""</formula>
    </cfRule>
  </conditionalFormatting>
  <conditionalFormatting sqref="AF181:AI181">
    <cfRule type="expression" dxfId="7296" priority="7727">
      <formula>$C$36&lt;&gt;0</formula>
    </cfRule>
  </conditionalFormatting>
  <conditionalFormatting sqref="R182">
    <cfRule type="containsBlanks" dxfId="7295" priority="7725">
      <formula>LEN(TRIM(R182))=0</formula>
    </cfRule>
  </conditionalFormatting>
  <conditionalFormatting sqref="U183">
    <cfRule type="expression" dxfId="7294" priority="7748">
      <formula>OR($HF182=FALSE,$HG182=FALSE)</formula>
    </cfRule>
  </conditionalFormatting>
  <conditionalFormatting sqref="R182">
    <cfRule type="expression" dxfId="7293" priority="7722" stopIfTrue="1">
      <formula>$G181=""</formula>
    </cfRule>
    <cfRule type="expression" dxfId="7292" priority="7723">
      <formula>$HT182=FALSE</formula>
    </cfRule>
  </conditionalFormatting>
  <conditionalFormatting sqref="G184">
    <cfRule type="expression" dxfId="7291" priority="7717" stopIfTrue="1">
      <formula>$G181=""</formula>
    </cfRule>
  </conditionalFormatting>
  <conditionalFormatting sqref="G184">
    <cfRule type="expression" dxfId="7290" priority="7711" stopIfTrue="1">
      <formula>$CN181="Exterior"</formula>
    </cfRule>
  </conditionalFormatting>
  <conditionalFormatting sqref="G184:L184">
    <cfRule type="containsBlanks" dxfId="7289" priority="7718" stopIfTrue="1">
      <formula>LEN(TRIM(G184))=0</formula>
    </cfRule>
    <cfRule type="expression" dxfId="7288" priority="7720">
      <formula>$HL182=FALSE</formula>
    </cfRule>
  </conditionalFormatting>
  <conditionalFormatting sqref="AF183">
    <cfRule type="expression" dxfId="7287" priority="7712" stopIfTrue="1">
      <formula>$G181=""</formula>
    </cfRule>
  </conditionalFormatting>
  <conditionalFormatting sqref="AF183:AI183">
    <cfRule type="expression" dxfId="7286" priority="7716">
      <formula>OR($HP182=FALSE,$HL182=FALSE)</formula>
    </cfRule>
  </conditionalFormatting>
  <conditionalFormatting sqref="AF183">
    <cfRule type="containsBlanks" dxfId="7285" priority="7713" stopIfTrue="1">
      <formula>LEN(TRIM(AF183))=0</formula>
    </cfRule>
    <cfRule type="expression" dxfId="7284" priority="7714">
      <formula>$DP181=7</formula>
    </cfRule>
    <cfRule type="expression" dxfId="7283" priority="7715">
      <formula>OR($HK182=FALSE,$HM182=FALSE)</formula>
    </cfRule>
  </conditionalFormatting>
  <conditionalFormatting sqref="G184:L184">
    <cfRule type="expression" dxfId="7282" priority="7719" stopIfTrue="1">
      <formula>$AF183=""</formula>
    </cfRule>
  </conditionalFormatting>
  <conditionalFormatting sqref="T182:U182">
    <cfRule type="expression" dxfId="7281" priority="7708" stopIfTrue="1">
      <formula>$C$36&lt;&gt;0</formula>
    </cfRule>
    <cfRule type="containsBlanks" dxfId="7280" priority="7709" stopIfTrue="1">
      <formula>LEN(TRIM(T182))=0</formula>
    </cfRule>
  </conditionalFormatting>
  <conditionalFormatting sqref="T182:U182">
    <cfRule type="expression" dxfId="7279" priority="7707" stopIfTrue="1">
      <formula>$G181=""</formula>
    </cfRule>
  </conditionalFormatting>
  <conditionalFormatting sqref="U182">
    <cfRule type="expression" dxfId="7278" priority="7710">
      <formula>$HE182=FALSE</formula>
    </cfRule>
  </conditionalFormatting>
  <conditionalFormatting sqref="T184">
    <cfRule type="expression" dxfId="7277" priority="7706">
      <formula>$C$36=2</formula>
    </cfRule>
  </conditionalFormatting>
  <conditionalFormatting sqref="AE188">
    <cfRule type="expression" dxfId="7276" priority="7692" stopIfTrue="1">
      <formula>$G186=""</formula>
    </cfRule>
  </conditionalFormatting>
  <conditionalFormatting sqref="AB189:AD189">
    <cfRule type="expression" dxfId="7275" priority="7704" stopIfTrue="1">
      <formula>$G186=""</formula>
    </cfRule>
  </conditionalFormatting>
  <conditionalFormatting sqref="G188">
    <cfRule type="expression" dxfId="7274" priority="7701" stopIfTrue="1">
      <formula>$G186=""</formula>
    </cfRule>
    <cfRule type="containsBlanks" dxfId="7273" priority="7702" stopIfTrue="1">
      <formula>LEN(TRIM(G188))=0</formula>
    </cfRule>
    <cfRule type="expression" dxfId="7272" priority="7703">
      <formula>OR($M188=0,$HC187=FALSE)</formula>
    </cfRule>
  </conditionalFormatting>
  <conditionalFormatting sqref="AB189">
    <cfRule type="expression" dxfId="7271" priority="7700" stopIfTrue="1">
      <formula>$AB189=""</formula>
    </cfRule>
  </conditionalFormatting>
  <conditionalFormatting sqref="AE187:AF187">
    <cfRule type="expression" dxfId="7270" priority="7699">
      <formula>$C$36=2</formula>
    </cfRule>
  </conditionalFormatting>
  <conditionalFormatting sqref="T188:U188">
    <cfRule type="expression" dxfId="7269" priority="7674" stopIfTrue="1">
      <formula>$G186=""</formula>
    </cfRule>
  </conditionalFormatting>
  <conditionalFormatting sqref="T188:U188">
    <cfRule type="containsBlanks" dxfId="7268" priority="7697" stopIfTrue="1">
      <formula>LEN(TRIM(T188))=0</formula>
    </cfRule>
  </conditionalFormatting>
  <conditionalFormatting sqref="AC186:AD186">
    <cfRule type="expression" dxfId="7267" priority="7696">
      <formula>$G186=""</formula>
    </cfRule>
  </conditionalFormatting>
  <conditionalFormatting sqref="AE187">
    <cfRule type="containsBlanks" dxfId="7266" priority="7694">
      <formula>LEN(TRIM(AE187))=0</formula>
    </cfRule>
  </conditionalFormatting>
  <conditionalFormatting sqref="AE188 AF189">
    <cfRule type="containsBlanks" dxfId="7265" priority="7693" stopIfTrue="1">
      <formula>LEN(TRIM(AE188))=0</formula>
    </cfRule>
  </conditionalFormatting>
  <conditionalFormatting sqref="AE188">
    <cfRule type="expression" dxfId="7264" priority="7705">
      <formula>OR($HN187=FALSE,$HO187=FALSE)</formula>
    </cfRule>
  </conditionalFormatting>
  <conditionalFormatting sqref="G187:Q187 G186">
    <cfRule type="containsBlanks" dxfId="7263" priority="7691">
      <formula>LEN(TRIM(G186))=0</formula>
    </cfRule>
  </conditionalFormatting>
  <conditionalFormatting sqref="G187:L187">
    <cfRule type="expression" dxfId="7262" priority="7689" stopIfTrue="1">
      <formula>$G186=""</formula>
    </cfRule>
    <cfRule type="containsBlanks" dxfId="7261" priority="7690">
      <formula>LEN(TRIM(G187))=0</formula>
    </cfRule>
  </conditionalFormatting>
  <conditionalFormatting sqref="R188">
    <cfRule type="expression" dxfId="7260" priority="7687" stopIfTrue="1">
      <formula>$G186=""</formula>
    </cfRule>
    <cfRule type="containsBlanks" dxfId="7259" priority="7688">
      <formula>LEN(TRIM(R188))=0</formula>
    </cfRule>
  </conditionalFormatting>
  <conditionalFormatting sqref="P188:R188">
    <cfRule type="expression" dxfId="7258" priority="7686">
      <formula>$C$36=0</formula>
    </cfRule>
  </conditionalFormatting>
  <conditionalFormatting sqref="AF187">
    <cfRule type="containsBlanks" dxfId="7257" priority="7682">
      <formula>LEN(TRIM(AF187))=0</formula>
    </cfRule>
    <cfRule type="expression" dxfId="7256" priority="7683">
      <formula>$HJ187=FALSE</formula>
    </cfRule>
  </conditionalFormatting>
  <conditionalFormatting sqref="AF189">
    <cfRule type="expression" dxfId="7255" priority="7681">
      <formula>$C$36=2</formula>
    </cfRule>
  </conditionalFormatting>
  <conditionalFormatting sqref="R187">
    <cfRule type="containsBlanks" dxfId="7254" priority="7680">
      <formula>LEN(TRIM(R187))=0</formula>
    </cfRule>
  </conditionalFormatting>
  <conditionalFormatting sqref="AE187:AF187">
    <cfRule type="expression" dxfId="7253" priority="7679" stopIfTrue="1">
      <formula>$G186=""</formula>
    </cfRule>
  </conditionalFormatting>
  <conditionalFormatting sqref="AF189">
    <cfRule type="expression" dxfId="7252" priority="7678" stopIfTrue="1">
      <formula>$G186=""</formula>
    </cfRule>
  </conditionalFormatting>
  <conditionalFormatting sqref="AF186:AI186">
    <cfRule type="expression" dxfId="7251" priority="7677">
      <formula>$C$36&lt;&gt;0</formula>
    </cfRule>
  </conditionalFormatting>
  <conditionalFormatting sqref="R187">
    <cfRule type="containsBlanks" dxfId="7250" priority="7675">
      <formula>LEN(TRIM(R187))=0</formula>
    </cfRule>
  </conditionalFormatting>
  <conditionalFormatting sqref="U188">
    <cfRule type="expression" dxfId="7249" priority="7698">
      <formula>OR($HF187=FALSE,$HG187=FALSE)</formula>
    </cfRule>
  </conditionalFormatting>
  <conditionalFormatting sqref="R187">
    <cfRule type="expression" dxfId="7248" priority="7672" stopIfTrue="1">
      <formula>$G186=""</formula>
    </cfRule>
    <cfRule type="expression" dxfId="7247" priority="7673">
      <formula>$HT187=FALSE</formula>
    </cfRule>
  </conditionalFormatting>
  <conditionalFormatting sqref="G189">
    <cfRule type="expression" dxfId="7246" priority="7667" stopIfTrue="1">
      <formula>$G186=""</formula>
    </cfRule>
  </conditionalFormatting>
  <conditionalFormatting sqref="G189">
    <cfRule type="expression" dxfId="7245" priority="7661" stopIfTrue="1">
      <formula>$CN186="Exterior"</formula>
    </cfRule>
  </conditionalFormatting>
  <conditionalFormatting sqref="G189:L189">
    <cfRule type="containsBlanks" dxfId="7244" priority="7668" stopIfTrue="1">
      <formula>LEN(TRIM(G189))=0</formula>
    </cfRule>
    <cfRule type="expression" dxfId="7243" priority="7670">
      <formula>$HL187=FALSE</formula>
    </cfRule>
  </conditionalFormatting>
  <conditionalFormatting sqref="AF188">
    <cfRule type="expression" dxfId="7242" priority="7662" stopIfTrue="1">
      <formula>$G186=""</formula>
    </cfRule>
  </conditionalFormatting>
  <conditionalFormatting sqref="AF188:AI188">
    <cfRule type="expression" dxfId="7241" priority="7666">
      <formula>OR($HP187=FALSE,$HL187=FALSE)</formula>
    </cfRule>
  </conditionalFormatting>
  <conditionalFormatting sqref="AF188">
    <cfRule type="containsBlanks" dxfId="7240" priority="7663" stopIfTrue="1">
      <formula>LEN(TRIM(AF188))=0</formula>
    </cfRule>
    <cfRule type="expression" dxfId="7239" priority="7664">
      <formula>$DP186=7</formula>
    </cfRule>
    <cfRule type="expression" dxfId="7238" priority="7665">
      <formula>OR($HK187=FALSE,$HM187=FALSE)</formula>
    </cfRule>
  </conditionalFormatting>
  <conditionalFormatting sqref="G189:L189">
    <cfRule type="expression" dxfId="7237" priority="7669" stopIfTrue="1">
      <formula>$AF188=""</formula>
    </cfRule>
  </conditionalFormatting>
  <conditionalFormatting sqref="T187:U187">
    <cfRule type="expression" dxfId="7236" priority="7658" stopIfTrue="1">
      <formula>$C$36&lt;&gt;0</formula>
    </cfRule>
    <cfRule type="containsBlanks" dxfId="7235" priority="7659" stopIfTrue="1">
      <formula>LEN(TRIM(T187))=0</formula>
    </cfRule>
  </conditionalFormatting>
  <conditionalFormatting sqref="T187:U187">
    <cfRule type="expression" dxfId="7234" priority="7657" stopIfTrue="1">
      <formula>$G186=""</formula>
    </cfRule>
  </conditionalFormatting>
  <conditionalFormatting sqref="U187">
    <cfRule type="expression" dxfId="7233" priority="7660">
      <formula>$HE187=FALSE</formula>
    </cfRule>
  </conditionalFormatting>
  <conditionalFormatting sqref="T189">
    <cfRule type="expression" dxfId="7232" priority="7656">
      <formula>$C$36=2</formula>
    </cfRule>
  </conditionalFormatting>
  <conditionalFormatting sqref="AE193">
    <cfRule type="expression" dxfId="7231" priority="7642" stopIfTrue="1">
      <formula>$G191=""</formula>
    </cfRule>
  </conditionalFormatting>
  <conditionalFormatting sqref="AB194:AD194">
    <cfRule type="expression" dxfId="7230" priority="7654" stopIfTrue="1">
      <formula>$G191=""</formula>
    </cfRule>
  </conditionalFormatting>
  <conditionalFormatting sqref="G193">
    <cfRule type="expression" dxfId="7229" priority="7651" stopIfTrue="1">
      <formula>$G191=""</formula>
    </cfRule>
    <cfRule type="containsBlanks" dxfId="7228" priority="7652" stopIfTrue="1">
      <formula>LEN(TRIM(G193))=0</formula>
    </cfRule>
    <cfRule type="expression" dxfId="7227" priority="7653">
      <formula>OR($M193=0,$HC192=FALSE)</formula>
    </cfRule>
  </conditionalFormatting>
  <conditionalFormatting sqref="AB194">
    <cfRule type="expression" dxfId="7226" priority="7650" stopIfTrue="1">
      <formula>$AB194=""</formula>
    </cfRule>
  </conditionalFormatting>
  <conditionalFormatting sqref="AE192:AF192">
    <cfRule type="expression" dxfId="7225" priority="7649">
      <formula>$C$36=2</formula>
    </cfRule>
  </conditionalFormatting>
  <conditionalFormatting sqref="T193:U193">
    <cfRule type="expression" dxfId="7224" priority="7624" stopIfTrue="1">
      <formula>$G191=""</formula>
    </cfRule>
  </conditionalFormatting>
  <conditionalFormatting sqref="T193:U193">
    <cfRule type="containsBlanks" dxfId="7223" priority="7647" stopIfTrue="1">
      <formula>LEN(TRIM(T193))=0</formula>
    </cfRule>
  </conditionalFormatting>
  <conditionalFormatting sqref="AC191:AD191">
    <cfRule type="expression" dxfId="7222" priority="7646">
      <formula>$G191=""</formula>
    </cfRule>
  </conditionalFormatting>
  <conditionalFormatting sqref="AE192">
    <cfRule type="containsBlanks" dxfId="7221" priority="7644">
      <formula>LEN(TRIM(AE192))=0</formula>
    </cfRule>
  </conditionalFormatting>
  <conditionalFormatting sqref="AE193 AF194">
    <cfRule type="containsBlanks" dxfId="7220" priority="7643" stopIfTrue="1">
      <formula>LEN(TRIM(AE193))=0</formula>
    </cfRule>
  </conditionalFormatting>
  <conditionalFormatting sqref="AE193">
    <cfRule type="expression" dxfId="7219" priority="7655">
      <formula>OR($HN192=FALSE,$HO192=FALSE)</formula>
    </cfRule>
  </conditionalFormatting>
  <conditionalFormatting sqref="G192:Q192 G191">
    <cfRule type="containsBlanks" dxfId="7218" priority="7641">
      <formula>LEN(TRIM(G191))=0</formula>
    </cfRule>
  </conditionalFormatting>
  <conditionalFormatting sqref="G192:L192">
    <cfRule type="expression" dxfId="7217" priority="7639" stopIfTrue="1">
      <formula>$G191=""</formula>
    </cfRule>
    <cfRule type="containsBlanks" dxfId="7216" priority="7640">
      <formula>LEN(TRIM(G192))=0</formula>
    </cfRule>
  </conditionalFormatting>
  <conditionalFormatting sqref="R193">
    <cfRule type="expression" dxfId="7215" priority="7637" stopIfTrue="1">
      <formula>$G191=""</formula>
    </cfRule>
    <cfRule type="containsBlanks" dxfId="7214" priority="7638">
      <formula>LEN(TRIM(R193))=0</formula>
    </cfRule>
  </conditionalFormatting>
  <conditionalFormatting sqref="P193:R193">
    <cfRule type="expression" dxfId="7213" priority="7636">
      <formula>$C$36=0</formula>
    </cfRule>
  </conditionalFormatting>
  <conditionalFormatting sqref="AF192">
    <cfRule type="containsBlanks" dxfId="7212" priority="7632">
      <formula>LEN(TRIM(AF192))=0</formula>
    </cfRule>
    <cfRule type="expression" dxfId="7211" priority="7633">
      <formula>$HJ192=FALSE</formula>
    </cfRule>
  </conditionalFormatting>
  <conditionalFormatting sqref="AF194">
    <cfRule type="expression" dxfId="7210" priority="7631">
      <formula>$C$36=2</formula>
    </cfRule>
  </conditionalFormatting>
  <conditionalFormatting sqref="R192">
    <cfRule type="containsBlanks" dxfId="7209" priority="7630">
      <formula>LEN(TRIM(R192))=0</formula>
    </cfRule>
  </conditionalFormatting>
  <conditionalFormatting sqref="AE192:AF192">
    <cfRule type="expression" dxfId="7208" priority="7629" stopIfTrue="1">
      <formula>$G191=""</formula>
    </cfRule>
  </conditionalFormatting>
  <conditionalFormatting sqref="AF194">
    <cfRule type="expression" dxfId="7207" priority="7628" stopIfTrue="1">
      <formula>$G191=""</formula>
    </cfRule>
  </conditionalFormatting>
  <conditionalFormatting sqref="AF191:AI191">
    <cfRule type="expression" dxfId="7206" priority="7627">
      <formula>$C$36&lt;&gt;0</formula>
    </cfRule>
  </conditionalFormatting>
  <conditionalFormatting sqref="R192">
    <cfRule type="containsBlanks" dxfId="7205" priority="7625">
      <formula>LEN(TRIM(R192))=0</formula>
    </cfRule>
  </conditionalFormatting>
  <conditionalFormatting sqref="U193">
    <cfRule type="expression" dxfId="7204" priority="7648">
      <formula>OR($HF192=FALSE,$HG192=FALSE)</formula>
    </cfRule>
  </conditionalFormatting>
  <conditionalFormatting sqref="R192">
    <cfRule type="expression" dxfId="7203" priority="7622" stopIfTrue="1">
      <formula>$G191=""</formula>
    </cfRule>
    <cfRule type="expression" dxfId="7202" priority="7623">
      <formula>$HT192=FALSE</formula>
    </cfRule>
  </conditionalFormatting>
  <conditionalFormatting sqref="G194">
    <cfRule type="expression" dxfId="7201" priority="7617" stopIfTrue="1">
      <formula>$G191=""</formula>
    </cfRule>
  </conditionalFormatting>
  <conditionalFormatting sqref="G194">
    <cfRule type="expression" dxfId="7200" priority="7611" stopIfTrue="1">
      <formula>$CN191="Exterior"</formula>
    </cfRule>
  </conditionalFormatting>
  <conditionalFormatting sqref="G194:L194">
    <cfRule type="containsBlanks" dxfId="7199" priority="7618" stopIfTrue="1">
      <formula>LEN(TRIM(G194))=0</formula>
    </cfRule>
    <cfRule type="expression" dxfId="7198" priority="7620">
      <formula>$HL192=FALSE</formula>
    </cfRule>
  </conditionalFormatting>
  <conditionalFormatting sqref="AF193">
    <cfRule type="expression" dxfId="7197" priority="7612" stopIfTrue="1">
      <formula>$G191=""</formula>
    </cfRule>
  </conditionalFormatting>
  <conditionalFormatting sqref="AF193:AI193">
    <cfRule type="expression" dxfId="7196" priority="7616">
      <formula>OR($HP192=FALSE,$HL192=FALSE)</formula>
    </cfRule>
  </conditionalFormatting>
  <conditionalFormatting sqref="AF193">
    <cfRule type="containsBlanks" dxfId="7195" priority="7613" stopIfTrue="1">
      <formula>LEN(TRIM(AF193))=0</formula>
    </cfRule>
    <cfRule type="expression" dxfId="7194" priority="7614">
      <formula>$DP191=7</formula>
    </cfRule>
    <cfRule type="expression" dxfId="7193" priority="7615">
      <formula>OR($HK192=FALSE,$HM192=FALSE)</formula>
    </cfRule>
  </conditionalFormatting>
  <conditionalFormatting sqref="G194:L194">
    <cfRule type="expression" dxfId="7192" priority="7619" stopIfTrue="1">
      <formula>$AF193=""</formula>
    </cfRule>
  </conditionalFormatting>
  <conditionalFormatting sqref="T192:U192">
    <cfRule type="expression" dxfId="7191" priority="7608" stopIfTrue="1">
      <formula>$C$36&lt;&gt;0</formula>
    </cfRule>
    <cfRule type="containsBlanks" dxfId="7190" priority="7609" stopIfTrue="1">
      <formula>LEN(TRIM(T192))=0</formula>
    </cfRule>
  </conditionalFormatting>
  <conditionalFormatting sqref="T192:U192">
    <cfRule type="expression" dxfId="7189" priority="7607" stopIfTrue="1">
      <formula>$G191=""</formula>
    </cfRule>
  </conditionalFormatting>
  <conditionalFormatting sqref="U192">
    <cfRule type="expression" dxfId="7188" priority="7610">
      <formula>$HE192=FALSE</formula>
    </cfRule>
  </conditionalFormatting>
  <conditionalFormatting sqref="T194">
    <cfRule type="expression" dxfId="7187" priority="7606">
      <formula>$C$36=2</formula>
    </cfRule>
  </conditionalFormatting>
  <conditionalFormatting sqref="AE198">
    <cfRule type="expression" dxfId="7186" priority="7592" stopIfTrue="1">
      <formula>$G196=""</formula>
    </cfRule>
  </conditionalFormatting>
  <conditionalFormatting sqref="AB199:AD199">
    <cfRule type="expression" dxfId="7185" priority="7604" stopIfTrue="1">
      <formula>$G196=""</formula>
    </cfRule>
  </conditionalFormatting>
  <conditionalFormatting sqref="G198">
    <cfRule type="expression" dxfId="7184" priority="7601" stopIfTrue="1">
      <formula>$G196=""</formula>
    </cfRule>
    <cfRule type="containsBlanks" dxfId="7183" priority="7602" stopIfTrue="1">
      <formula>LEN(TRIM(G198))=0</formula>
    </cfRule>
    <cfRule type="expression" dxfId="7182" priority="7603">
      <formula>OR($M198=0,$HC197=FALSE)</formula>
    </cfRule>
  </conditionalFormatting>
  <conditionalFormatting sqref="AB199">
    <cfRule type="expression" dxfId="7181" priority="7600" stopIfTrue="1">
      <formula>$AB199=""</formula>
    </cfRule>
  </conditionalFormatting>
  <conditionalFormatting sqref="AE197:AF197">
    <cfRule type="expression" dxfId="7180" priority="7599">
      <formula>$C$36=2</formula>
    </cfRule>
  </conditionalFormatting>
  <conditionalFormatting sqref="T198:U198">
    <cfRule type="expression" dxfId="7179" priority="7574" stopIfTrue="1">
      <formula>$G196=""</formula>
    </cfRule>
  </conditionalFormatting>
  <conditionalFormatting sqref="T198:U198">
    <cfRule type="containsBlanks" dxfId="7178" priority="7597" stopIfTrue="1">
      <formula>LEN(TRIM(T198))=0</formula>
    </cfRule>
  </conditionalFormatting>
  <conditionalFormatting sqref="AC196:AD196">
    <cfRule type="expression" dxfId="7177" priority="7596">
      <formula>$G196=""</formula>
    </cfRule>
  </conditionalFormatting>
  <conditionalFormatting sqref="AE197">
    <cfRule type="containsBlanks" dxfId="7176" priority="7594">
      <formula>LEN(TRIM(AE197))=0</formula>
    </cfRule>
  </conditionalFormatting>
  <conditionalFormatting sqref="AE198 AF199">
    <cfRule type="containsBlanks" dxfId="7175" priority="7593" stopIfTrue="1">
      <formula>LEN(TRIM(AE198))=0</formula>
    </cfRule>
  </conditionalFormatting>
  <conditionalFormatting sqref="AE198">
    <cfRule type="expression" dxfId="7174" priority="7605">
      <formula>OR($HN197=FALSE,$HO197=FALSE)</formula>
    </cfRule>
  </conditionalFormatting>
  <conditionalFormatting sqref="G197:Q197 G196">
    <cfRule type="containsBlanks" dxfId="7173" priority="7591">
      <formula>LEN(TRIM(G196))=0</formula>
    </cfRule>
  </conditionalFormatting>
  <conditionalFormatting sqref="G197:L197">
    <cfRule type="expression" dxfId="7172" priority="7589" stopIfTrue="1">
      <formula>$G196=""</formula>
    </cfRule>
    <cfRule type="containsBlanks" dxfId="7171" priority="7590">
      <formula>LEN(TRIM(G197))=0</formula>
    </cfRule>
  </conditionalFormatting>
  <conditionalFormatting sqref="R198">
    <cfRule type="expression" dxfId="7170" priority="7587" stopIfTrue="1">
      <formula>$G196=""</formula>
    </cfRule>
    <cfRule type="containsBlanks" dxfId="7169" priority="7588">
      <formula>LEN(TRIM(R198))=0</formula>
    </cfRule>
  </conditionalFormatting>
  <conditionalFormatting sqref="P198:R198">
    <cfRule type="expression" dxfId="7168" priority="7586">
      <formula>$C$36=0</formula>
    </cfRule>
  </conditionalFormatting>
  <conditionalFormatting sqref="AF197">
    <cfRule type="containsBlanks" dxfId="7167" priority="7582">
      <formula>LEN(TRIM(AF197))=0</formula>
    </cfRule>
    <cfRule type="expression" dxfId="7166" priority="7583">
      <formula>$HJ197=FALSE</formula>
    </cfRule>
  </conditionalFormatting>
  <conditionalFormatting sqref="AF199">
    <cfRule type="expression" dxfId="7165" priority="7581">
      <formula>$C$36=2</formula>
    </cfRule>
  </conditionalFormatting>
  <conditionalFormatting sqref="R197">
    <cfRule type="containsBlanks" dxfId="7164" priority="7580">
      <formula>LEN(TRIM(R197))=0</formula>
    </cfRule>
  </conditionalFormatting>
  <conditionalFormatting sqref="AE197:AF197">
    <cfRule type="expression" dxfId="7163" priority="7579" stopIfTrue="1">
      <formula>$G196=""</formula>
    </cfRule>
  </conditionalFormatting>
  <conditionalFormatting sqref="AF199">
    <cfRule type="expression" dxfId="7162" priority="7578" stopIfTrue="1">
      <formula>$G196=""</formula>
    </cfRule>
  </conditionalFormatting>
  <conditionalFormatting sqref="AF196:AI196">
    <cfRule type="expression" dxfId="7161" priority="7577">
      <formula>$C$36&lt;&gt;0</formula>
    </cfRule>
  </conditionalFormatting>
  <conditionalFormatting sqref="R197">
    <cfRule type="containsBlanks" dxfId="7160" priority="7575">
      <formula>LEN(TRIM(R197))=0</formula>
    </cfRule>
  </conditionalFormatting>
  <conditionalFormatting sqref="U198">
    <cfRule type="expression" dxfId="7159" priority="7598">
      <formula>OR($HF197=FALSE,$HG197=FALSE)</formula>
    </cfRule>
  </conditionalFormatting>
  <conditionalFormatting sqref="R197">
    <cfRule type="expression" dxfId="7158" priority="7572" stopIfTrue="1">
      <formula>$G196=""</formula>
    </cfRule>
    <cfRule type="expression" dxfId="7157" priority="7573">
      <formula>$HT197=FALSE</formula>
    </cfRule>
  </conditionalFormatting>
  <conditionalFormatting sqref="G199">
    <cfRule type="expression" dxfId="7156" priority="7567" stopIfTrue="1">
      <formula>$G196=""</formula>
    </cfRule>
  </conditionalFormatting>
  <conditionalFormatting sqref="G199">
    <cfRule type="expression" dxfId="7155" priority="7561" stopIfTrue="1">
      <formula>$CN196="Exterior"</formula>
    </cfRule>
  </conditionalFormatting>
  <conditionalFormatting sqref="G199:L199">
    <cfRule type="containsBlanks" dxfId="7154" priority="7568" stopIfTrue="1">
      <formula>LEN(TRIM(G199))=0</formula>
    </cfRule>
    <cfRule type="expression" dxfId="7153" priority="7570">
      <formula>$HL197=FALSE</formula>
    </cfRule>
  </conditionalFormatting>
  <conditionalFormatting sqref="AF198">
    <cfRule type="expression" dxfId="7152" priority="7562" stopIfTrue="1">
      <formula>$G196=""</formula>
    </cfRule>
  </conditionalFormatting>
  <conditionalFormatting sqref="AF198:AI198">
    <cfRule type="expression" dxfId="7151" priority="7566">
      <formula>OR($HP197=FALSE,$HL197=FALSE)</formula>
    </cfRule>
  </conditionalFormatting>
  <conditionalFormatting sqref="AF198">
    <cfRule type="containsBlanks" dxfId="7150" priority="7563" stopIfTrue="1">
      <formula>LEN(TRIM(AF198))=0</formula>
    </cfRule>
    <cfRule type="expression" dxfId="7149" priority="7564">
      <formula>$DP196=7</formula>
    </cfRule>
    <cfRule type="expression" dxfId="7148" priority="7565">
      <formula>OR($HK197=FALSE,$HM197=FALSE)</formula>
    </cfRule>
  </conditionalFormatting>
  <conditionalFormatting sqref="G199:L199">
    <cfRule type="expression" dxfId="7147" priority="7569" stopIfTrue="1">
      <formula>$AF198=""</formula>
    </cfRule>
  </conditionalFormatting>
  <conditionalFormatting sqref="T197:U197">
    <cfRule type="expression" dxfId="7146" priority="7558" stopIfTrue="1">
      <formula>$C$36&lt;&gt;0</formula>
    </cfRule>
    <cfRule type="containsBlanks" dxfId="7145" priority="7559" stopIfTrue="1">
      <formula>LEN(TRIM(T197))=0</formula>
    </cfRule>
  </conditionalFormatting>
  <conditionalFormatting sqref="T197:U197">
    <cfRule type="expression" dxfId="7144" priority="7557" stopIfTrue="1">
      <formula>$G196=""</formula>
    </cfRule>
  </conditionalFormatting>
  <conditionalFormatting sqref="U197">
    <cfRule type="expression" dxfId="7143" priority="7560">
      <formula>$HE197=FALSE</formula>
    </cfRule>
  </conditionalFormatting>
  <conditionalFormatting sqref="T199">
    <cfRule type="expression" dxfId="7142" priority="7556">
      <formula>$C$36=2</formula>
    </cfRule>
  </conditionalFormatting>
  <conditionalFormatting sqref="AE203">
    <cfRule type="expression" dxfId="7141" priority="7542" stopIfTrue="1">
      <formula>$G201=""</formula>
    </cfRule>
  </conditionalFormatting>
  <conditionalFormatting sqref="AB204:AD204">
    <cfRule type="expression" dxfId="7140" priority="7554" stopIfTrue="1">
      <formula>$G201=""</formula>
    </cfRule>
  </conditionalFormatting>
  <conditionalFormatting sqref="G203">
    <cfRule type="expression" dxfId="7139" priority="7551" stopIfTrue="1">
      <formula>$G201=""</formula>
    </cfRule>
    <cfRule type="containsBlanks" dxfId="7138" priority="7552" stopIfTrue="1">
      <formula>LEN(TRIM(G203))=0</formula>
    </cfRule>
    <cfRule type="expression" dxfId="7137" priority="7553">
      <formula>OR($M203=0,$HC202=FALSE)</formula>
    </cfRule>
  </conditionalFormatting>
  <conditionalFormatting sqref="AB204">
    <cfRule type="expression" dxfId="7136" priority="7550" stopIfTrue="1">
      <formula>$AB204=""</formula>
    </cfRule>
  </conditionalFormatting>
  <conditionalFormatting sqref="AE202:AF202">
    <cfRule type="expression" dxfId="7135" priority="7549">
      <formula>$C$36=2</formula>
    </cfRule>
  </conditionalFormatting>
  <conditionalFormatting sqref="T203:U203">
    <cfRule type="expression" dxfId="7134" priority="7524" stopIfTrue="1">
      <formula>$G201=""</formula>
    </cfRule>
  </conditionalFormatting>
  <conditionalFormatting sqref="T203:U203">
    <cfRule type="containsBlanks" dxfId="7133" priority="7547" stopIfTrue="1">
      <formula>LEN(TRIM(T203))=0</formula>
    </cfRule>
  </conditionalFormatting>
  <conditionalFormatting sqref="AC201:AD201">
    <cfRule type="expression" dxfId="7132" priority="7546">
      <formula>$G201=""</formula>
    </cfRule>
  </conditionalFormatting>
  <conditionalFormatting sqref="AE202">
    <cfRule type="containsBlanks" dxfId="7131" priority="7544">
      <formula>LEN(TRIM(AE202))=0</formula>
    </cfRule>
  </conditionalFormatting>
  <conditionalFormatting sqref="AE203 AF204">
    <cfRule type="containsBlanks" dxfId="7130" priority="7543" stopIfTrue="1">
      <formula>LEN(TRIM(AE203))=0</formula>
    </cfRule>
  </conditionalFormatting>
  <conditionalFormatting sqref="AE203">
    <cfRule type="expression" dxfId="7129" priority="7555">
      <formula>OR($HN202=FALSE,$HO202=FALSE)</formula>
    </cfRule>
  </conditionalFormatting>
  <conditionalFormatting sqref="G202:Q202 G201">
    <cfRule type="containsBlanks" dxfId="7128" priority="7541">
      <formula>LEN(TRIM(G201))=0</formula>
    </cfRule>
  </conditionalFormatting>
  <conditionalFormatting sqref="G202:L202">
    <cfRule type="expression" dxfId="7127" priority="7539" stopIfTrue="1">
      <formula>$G201=""</formula>
    </cfRule>
    <cfRule type="containsBlanks" dxfId="7126" priority="7540">
      <formula>LEN(TRIM(G202))=0</formula>
    </cfRule>
  </conditionalFormatting>
  <conditionalFormatting sqref="R203">
    <cfRule type="expression" dxfId="7125" priority="7537" stopIfTrue="1">
      <formula>$G201=""</formula>
    </cfRule>
    <cfRule type="containsBlanks" dxfId="7124" priority="7538">
      <formula>LEN(TRIM(R203))=0</formula>
    </cfRule>
  </conditionalFormatting>
  <conditionalFormatting sqref="P203:R203">
    <cfRule type="expression" dxfId="7123" priority="7536">
      <formula>$C$36=0</formula>
    </cfRule>
  </conditionalFormatting>
  <conditionalFormatting sqref="AF202">
    <cfRule type="containsBlanks" dxfId="7122" priority="7532">
      <formula>LEN(TRIM(AF202))=0</formula>
    </cfRule>
    <cfRule type="expression" dxfId="7121" priority="7533">
      <formula>$HJ202=FALSE</formula>
    </cfRule>
  </conditionalFormatting>
  <conditionalFormatting sqref="AF204">
    <cfRule type="expression" dxfId="7120" priority="7531">
      <formula>$C$36=2</formula>
    </cfRule>
  </conditionalFormatting>
  <conditionalFormatting sqref="R202">
    <cfRule type="containsBlanks" dxfId="7119" priority="7530">
      <formula>LEN(TRIM(R202))=0</formula>
    </cfRule>
  </conditionalFormatting>
  <conditionalFormatting sqref="AE202:AF202">
    <cfRule type="expression" dxfId="7118" priority="7529" stopIfTrue="1">
      <formula>$G201=""</formula>
    </cfRule>
  </conditionalFormatting>
  <conditionalFormatting sqref="AF204">
    <cfRule type="expression" dxfId="7117" priority="7528" stopIfTrue="1">
      <formula>$G201=""</formula>
    </cfRule>
  </conditionalFormatting>
  <conditionalFormatting sqref="AF201:AI201">
    <cfRule type="expression" dxfId="7116" priority="7527">
      <formula>$C$36&lt;&gt;0</formula>
    </cfRule>
  </conditionalFormatting>
  <conditionalFormatting sqref="R202">
    <cfRule type="containsBlanks" dxfId="7115" priority="7525">
      <formula>LEN(TRIM(R202))=0</formula>
    </cfRule>
  </conditionalFormatting>
  <conditionalFormatting sqref="U203">
    <cfRule type="expression" dxfId="7114" priority="7548">
      <formula>OR($HF202=FALSE,$HG202=FALSE)</formula>
    </cfRule>
  </conditionalFormatting>
  <conditionalFormatting sqref="R202">
    <cfRule type="expression" dxfId="7113" priority="7522" stopIfTrue="1">
      <formula>$G201=""</formula>
    </cfRule>
    <cfRule type="expression" dxfId="7112" priority="7523">
      <formula>$HT202=FALSE</formula>
    </cfRule>
  </conditionalFormatting>
  <conditionalFormatting sqref="G204">
    <cfRule type="expression" dxfId="7111" priority="7517" stopIfTrue="1">
      <formula>$G201=""</formula>
    </cfRule>
  </conditionalFormatting>
  <conditionalFormatting sqref="G204">
    <cfRule type="expression" dxfId="7110" priority="7511" stopIfTrue="1">
      <formula>$CN201="Exterior"</formula>
    </cfRule>
  </conditionalFormatting>
  <conditionalFormatting sqref="G204:L204">
    <cfRule type="containsBlanks" dxfId="7109" priority="7518" stopIfTrue="1">
      <formula>LEN(TRIM(G204))=0</formula>
    </cfRule>
    <cfRule type="expression" dxfId="7108" priority="7520">
      <formula>$HL202=FALSE</formula>
    </cfRule>
  </conditionalFormatting>
  <conditionalFormatting sqref="AF203">
    <cfRule type="expression" dxfId="7107" priority="7512" stopIfTrue="1">
      <formula>$G201=""</formula>
    </cfRule>
  </conditionalFormatting>
  <conditionalFormatting sqref="AF203:AI203">
    <cfRule type="expression" dxfId="7106" priority="7516">
      <formula>OR($HP202=FALSE,$HL202=FALSE)</formula>
    </cfRule>
  </conditionalFormatting>
  <conditionalFormatting sqref="AF203">
    <cfRule type="containsBlanks" dxfId="7105" priority="7513" stopIfTrue="1">
      <formula>LEN(TRIM(AF203))=0</formula>
    </cfRule>
    <cfRule type="expression" dxfId="7104" priority="7514">
      <formula>$DP201=7</formula>
    </cfRule>
    <cfRule type="expression" dxfId="7103" priority="7515">
      <formula>OR($HK202=FALSE,$HM202=FALSE)</formula>
    </cfRule>
  </conditionalFormatting>
  <conditionalFormatting sqref="G204:L204">
    <cfRule type="expression" dxfId="7102" priority="7519" stopIfTrue="1">
      <formula>$AF203=""</formula>
    </cfRule>
  </conditionalFormatting>
  <conditionalFormatting sqref="T202:U202">
    <cfRule type="expression" dxfId="7101" priority="7508" stopIfTrue="1">
      <formula>$C$36&lt;&gt;0</formula>
    </cfRule>
    <cfRule type="containsBlanks" dxfId="7100" priority="7509" stopIfTrue="1">
      <formula>LEN(TRIM(T202))=0</formula>
    </cfRule>
  </conditionalFormatting>
  <conditionalFormatting sqref="T202:U202">
    <cfRule type="expression" dxfId="7099" priority="7507" stopIfTrue="1">
      <formula>$G201=""</formula>
    </cfRule>
  </conditionalFormatting>
  <conditionalFormatting sqref="U202">
    <cfRule type="expression" dxfId="7098" priority="7510">
      <formula>$HE202=FALSE</formula>
    </cfRule>
  </conditionalFormatting>
  <conditionalFormatting sqref="T204">
    <cfRule type="expression" dxfId="7097" priority="7506">
      <formula>$C$36=2</formula>
    </cfRule>
  </conditionalFormatting>
  <conditionalFormatting sqref="AE208">
    <cfRule type="expression" dxfId="7096" priority="7492" stopIfTrue="1">
      <formula>$G206=""</formula>
    </cfRule>
  </conditionalFormatting>
  <conditionalFormatting sqref="AB209:AD209">
    <cfRule type="expression" dxfId="7095" priority="7504" stopIfTrue="1">
      <formula>$G206=""</formula>
    </cfRule>
  </conditionalFormatting>
  <conditionalFormatting sqref="G208">
    <cfRule type="expression" dxfId="7094" priority="7501" stopIfTrue="1">
      <formula>$G206=""</formula>
    </cfRule>
    <cfRule type="containsBlanks" dxfId="7093" priority="7502" stopIfTrue="1">
      <formula>LEN(TRIM(G208))=0</formula>
    </cfRule>
    <cfRule type="expression" dxfId="7092" priority="7503">
      <formula>OR($M208=0,$HC207=FALSE)</formula>
    </cfRule>
  </conditionalFormatting>
  <conditionalFormatting sqref="AB209">
    <cfRule type="expression" dxfId="7091" priority="7500" stopIfTrue="1">
      <formula>$AB209=""</formula>
    </cfRule>
  </conditionalFormatting>
  <conditionalFormatting sqref="AE207:AF207">
    <cfRule type="expression" dxfId="7090" priority="7499">
      <formula>$C$36=2</formula>
    </cfRule>
  </conditionalFormatting>
  <conditionalFormatting sqref="T208:U208">
    <cfRule type="expression" dxfId="7089" priority="7474" stopIfTrue="1">
      <formula>$G206=""</formula>
    </cfRule>
  </conditionalFormatting>
  <conditionalFormatting sqref="T208:U208">
    <cfRule type="containsBlanks" dxfId="7088" priority="7497" stopIfTrue="1">
      <formula>LEN(TRIM(T208))=0</formula>
    </cfRule>
  </conditionalFormatting>
  <conditionalFormatting sqref="AC206:AD206">
    <cfRule type="expression" dxfId="7087" priority="7496">
      <formula>$G206=""</formula>
    </cfRule>
  </conditionalFormatting>
  <conditionalFormatting sqref="AE207">
    <cfRule type="containsBlanks" dxfId="7086" priority="7494">
      <formula>LEN(TRIM(AE207))=0</formula>
    </cfRule>
  </conditionalFormatting>
  <conditionalFormatting sqref="AE208 AF209">
    <cfRule type="containsBlanks" dxfId="7085" priority="7493" stopIfTrue="1">
      <formula>LEN(TRIM(AE208))=0</formula>
    </cfRule>
  </conditionalFormatting>
  <conditionalFormatting sqref="AE208">
    <cfRule type="expression" dxfId="7084" priority="7505">
      <formula>OR($HN207=FALSE,$HO207=FALSE)</formula>
    </cfRule>
  </conditionalFormatting>
  <conditionalFormatting sqref="G207:Q207 G206">
    <cfRule type="containsBlanks" dxfId="7083" priority="7491">
      <formula>LEN(TRIM(G206))=0</formula>
    </cfRule>
  </conditionalFormatting>
  <conditionalFormatting sqref="G207:L207">
    <cfRule type="expression" dxfId="7082" priority="7489" stopIfTrue="1">
      <formula>$G206=""</formula>
    </cfRule>
    <cfRule type="containsBlanks" dxfId="7081" priority="7490">
      <formula>LEN(TRIM(G207))=0</formula>
    </cfRule>
  </conditionalFormatting>
  <conditionalFormatting sqref="R208">
    <cfRule type="expression" dxfId="7080" priority="7487" stopIfTrue="1">
      <formula>$G206=""</formula>
    </cfRule>
    <cfRule type="containsBlanks" dxfId="7079" priority="7488">
      <formula>LEN(TRIM(R208))=0</formula>
    </cfRule>
  </conditionalFormatting>
  <conditionalFormatting sqref="P208:R208">
    <cfRule type="expression" dxfId="7078" priority="7486">
      <formula>$C$36=0</formula>
    </cfRule>
  </conditionalFormatting>
  <conditionalFormatting sqref="AF207">
    <cfRule type="containsBlanks" dxfId="7077" priority="7482">
      <formula>LEN(TRIM(AF207))=0</formula>
    </cfRule>
    <cfRule type="expression" dxfId="7076" priority="7483">
      <formula>$HJ207=FALSE</formula>
    </cfRule>
  </conditionalFormatting>
  <conditionalFormatting sqref="AF209">
    <cfRule type="expression" dxfId="7075" priority="7481">
      <formula>$C$36=2</formula>
    </cfRule>
  </conditionalFormatting>
  <conditionalFormatting sqref="R207">
    <cfRule type="containsBlanks" dxfId="7074" priority="7480">
      <formula>LEN(TRIM(R207))=0</formula>
    </cfRule>
  </conditionalFormatting>
  <conditionalFormatting sqref="AE207:AF207">
    <cfRule type="expression" dxfId="7073" priority="7479" stopIfTrue="1">
      <formula>$G206=""</formula>
    </cfRule>
  </conditionalFormatting>
  <conditionalFormatting sqref="AF209">
    <cfRule type="expression" dxfId="7072" priority="7478" stopIfTrue="1">
      <formula>$G206=""</formula>
    </cfRule>
  </conditionalFormatting>
  <conditionalFormatting sqref="AF206:AI206">
    <cfRule type="expression" dxfId="7071" priority="7477">
      <formula>$C$36&lt;&gt;0</formula>
    </cfRule>
  </conditionalFormatting>
  <conditionalFormatting sqref="R207">
    <cfRule type="containsBlanks" dxfId="7070" priority="7475">
      <formula>LEN(TRIM(R207))=0</formula>
    </cfRule>
  </conditionalFormatting>
  <conditionalFormatting sqref="U208">
    <cfRule type="expression" dxfId="7069" priority="7498">
      <formula>OR($HF207=FALSE,$HG207=FALSE)</formula>
    </cfRule>
  </conditionalFormatting>
  <conditionalFormatting sqref="R207">
    <cfRule type="expression" dxfId="7068" priority="7472" stopIfTrue="1">
      <formula>$G206=""</formula>
    </cfRule>
    <cfRule type="expression" dxfId="7067" priority="7473">
      <formula>$HT207=FALSE</formula>
    </cfRule>
  </conditionalFormatting>
  <conditionalFormatting sqref="G209">
    <cfRule type="expression" dxfId="7066" priority="7467" stopIfTrue="1">
      <formula>$G206=""</formula>
    </cfRule>
  </conditionalFormatting>
  <conditionalFormatting sqref="G209">
    <cfRule type="expression" dxfId="7065" priority="7461" stopIfTrue="1">
      <formula>$CN206="Exterior"</formula>
    </cfRule>
  </conditionalFormatting>
  <conditionalFormatting sqref="G209:L209">
    <cfRule type="containsBlanks" dxfId="7064" priority="7468" stopIfTrue="1">
      <formula>LEN(TRIM(G209))=0</formula>
    </cfRule>
    <cfRule type="expression" dxfId="7063" priority="7470">
      <formula>$HL207=FALSE</formula>
    </cfRule>
  </conditionalFormatting>
  <conditionalFormatting sqref="AF208">
    <cfRule type="expression" dxfId="7062" priority="7462" stopIfTrue="1">
      <formula>$G206=""</formula>
    </cfRule>
  </conditionalFormatting>
  <conditionalFormatting sqref="AF208:AI208">
    <cfRule type="expression" dxfId="7061" priority="7466">
      <formula>OR($HP207=FALSE,$HL207=FALSE)</formula>
    </cfRule>
  </conditionalFormatting>
  <conditionalFormatting sqref="AF208">
    <cfRule type="containsBlanks" dxfId="7060" priority="7463" stopIfTrue="1">
      <formula>LEN(TRIM(AF208))=0</formula>
    </cfRule>
    <cfRule type="expression" dxfId="7059" priority="7464">
      <formula>$DP206=7</formula>
    </cfRule>
    <cfRule type="expression" dxfId="7058" priority="7465">
      <formula>OR($HK207=FALSE,$HM207=FALSE)</formula>
    </cfRule>
  </conditionalFormatting>
  <conditionalFormatting sqref="G209:L209">
    <cfRule type="expression" dxfId="7057" priority="7469" stopIfTrue="1">
      <formula>$AF208=""</formula>
    </cfRule>
  </conditionalFormatting>
  <conditionalFormatting sqref="T207:U207">
    <cfRule type="expression" dxfId="7056" priority="7458" stopIfTrue="1">
      <formula>$C$36&lt;&gt;0</formula>
    </cfRule>
    <cfRule type="containsBlanks" dxfId="7055" priority="7459" stopIfTrue="1">
      <formula>LEN(TRIM(T207))=0</formula>
    </cfRule>
  </conditionalFormatting>
  <conditionalFormatting sqref="T207:U207">
    <cfRule type="expression" dxfId="7054" priority="7457" stopIfTrue="1">
      <formula>$G206=""</formula>
    </cfRule>
  </conditionalFormatting>
  <conditionalFormatting sqref="U207">
    <cfRule type="expression" dxfId="7053" priority="7460">
      <formula>$HE207=FALSE</formula>
    </cfRule>
  </conditionalFormatting>
  <conditionalFormatting sqref="T209">
    <cfRule type="expression" dxfId="7052" priority="7456">
      <formula>$C$36=2</formula>
    </cfRule>
  </conditionalFormatting>
  <conditionalFormatting sqref="AE213">
    <cfRule type="expression" dxfId="7051" priority="7442" stopIfTrue="1">
      <formula>$G211=""</formula>
    </cfRule>
  </conditionalFormatting>
  <conditionalFormatting sqref="AB214:AD214">
    <cfRule type="expression" dxfId="7050" priority="7454" stopIfTrue="1">
      <formula>$G211=""</formula>
    </cfRule>
  </conditionalFormatting>
  <conditionalFormatting sqref="G213">
    <cfRule type="expression" dxfId="7049" priority="7451" stopIfTrue="1">
      <formula>$G211=""</formula>
    </cfRule>
    <cfRule type="containsBlanks" dxfId="7048" priority="7452" stopIfTrue="1">
      <formula>LEN(TRIM(G213))=0</formula>
    </cfRule>
    <cfRule type="expression" dxfId="7047" priority="7453">
      <formula>OR($M213=0,$HC212=FALSE)</formula>
    </cfRule>
  </conditionalFormatting>
  <conditionalFormatting sqref="AB214">
    <cfRule type="expression" dxfId="7046" priority="7450" stopIfTrue="1">
      <formula>$AB214=""</formula>
    </cfRule>
  </conditionalFormatting>
  <conditionalFormatting sqref="AE212:AF212">
    <cfRule type="expression" dxfId="7045" priority="7449">
      <formula>$C$36=2</formula>
    </cfRule>
  </conditionalFormatting>
  <conditionalFormatting sqref="T213:U213">
    <cfRule type="expression" dxfId="7044" priority="7424" stopIfTrue="1">
      <formula>$G211=""</formula>
    </cfRule>
  </conditionalFormatting>
  <conditionalFormatting sqref="T213:U213">
    <cfRule type="containsBlanks" dxfId="7043" priority="7447" stopIfTrue="1">
      <formula>LEN(TRIM(T213))=0</formula>
    </cfRule>
  </conditionalFormatting>
  <conditionalFormatting sqref="AC211:AD211">
    <cfRule type="expression" dxfId="7042" priority="7446">
      <formula>$G211=""</formula>
    </cfRule>
  </conditionalFormatting>
  <conditionalFormatting sqref="AE212">
    <cfRule type="containsBlanks" dxfId="7041" priority="7444">
      <formula>LEN(TRIM(AE212))=0</formula>
    </cfRule>
  </conditionalFormatting>
  <conditionalFormatting sqref="AE213 AF214">
    <cfRule type="containsBlanks" dxfId="7040" priority="7443" stopIfTrue="1">
      <formula>LEN(TRIM(AE213))=0</formula>
    </cfRule>
  </conditionalFormatting>
  <conditionalFormatting sqref="AE213">
    <cfRule type="expression" dxfId="7039" priority="7455">
      <formula>OR($HN212=FALSE,$HO212=FALSE)</formula>
    </cfRule>
  </conditionalFormatting>
  <conditionalFormatting sqref="G212:Q212 G211">
    <cfRule type="containsBlanks" dxfId="7038" priority="7441">
      <formula>LEN(TRIM(G211))=0</formula>
    </cfRule>
  </conditionalFormatting>
  <conditionalFormatting sqref="G212:L212">
    <cfRule type="expression" dxfId="7037" priority="7439" stopIfTrue="1">
      <formula>$G211=""</formula>
    </cfRule>
    <cfRule type="containsBlanks" dxfId="7036" priority="7440">
      <formula>LEN(TRIM(G212))=0</formula>
    </cfRule>
  </conditionalFormatting>
  <conditionalFormatting sqref="R213">
    <cfRule type="expression" dxfId="7035" priority="7437" stopIfTrue="1">
      <formula>$G211=""</formula>
    </cfRule>
    <cfRule type="containsBlanks" dxfId="7034" priority="7438">
      <formula>LEN(TRIM(R213))=0</formula>
    </cfRule>
  </conditionalFormatting>
  <conditionalFormatting sqref="P213:R213">
    <cfRule type="expression" dxfId="7033" priority="7436">
      <formula>$C$36=0</formula>
    </cfRule>
  </conditionalFormatting>
  <conditionalFormatting sqref="AF212">
    <cfRule type="containsBlanks" dxfId="7032" priority="7432">
      <formula>LEN(TRIM(AF212))=0</formula>
    </cfRule>
    <cfRule type="expression" dxfId="7031" priority="7433">
      <formula>$HJ212=FALSE</formula>
    </cfRule>
  </conditionalFormatting>
  <conditionalFormatting sqref="AF214">
    <cfRule type="expression" dxfId="7030" priority="7431">
      <formula>$C$36=2</formula>
    </cfRule>
  </conditionalFormatting>
  <conditionalFormatting sqref="R212">
    <cfRule type="containsBlanks" dxfId="7029" priority="7430">
      <formula>LEN(TRIM(R212))=0</formula>
    </cfRule>
  </conditionalFormatting>
  <conditionalFormatting sqref="AE212:AF212">
    <cfRule type="expression" dxfId="7028" priority="7429" stopIfTrue="1">
      <formula>$G211=""</formula>
    </cfRule>
  </conditionalFormatting>
  <conditionalFormatting sqref="AF214">
    <cfRule type="expression" dxfId="7027" priority="7428" stopIfTrue="1">
      <formula>$G211=""</formula>
    </cfRule>
  </conditionalFormatting>
  <conditionalFormatting sqref="AF211:AI211">
    <cfRule type="expression" dxfId="7026" priority="7427">
      <formula>$C$36&lt;&gt;0</formula>
    </cfRule>
  </conditionalFormatting>
  <conditionalFormatting sqref="R212">
    <cfRule type="containsBlanks" dxfId="7025" priority="7425">
      <formula>LEN(TRIM(R212))=0</formula>
    </cfRule>
  </conditionalFormatting>
  <conditionalFormatting sqref="U213">
    <cfRule type="expression" dxfId="7024" priority="7448">
      <formula>OR($HF212=FALSE,$HG212=FALSE)</formula>
    </cfRule>
  </conditionalFormatting>
  <conditionalFormatting sqref="R212">
    <cfRule type="expression" dxfId="7023" priority="7422" stopIfTrue="1">
      <formula>$G211=""</formula>
    </cfRule>
    <cfRule type="expression" dxfId="7022" priority="7423">
      <formula>$HT212=FALSE</formula>
    </cfRule>
  </conditionalFormatting>
  <conditionalFormatting sqref="G214">
    <cfRule type="expression" dxfId="7021" priority="7417" stopIfTrue="1">
      <formula>$G211=""</formula>
    </cfRule>
  </conditionalFormatting>
  <conditionalFormatting sqref="G214">
    <cfRule type="expression" dxfId="7020" priority="7411" stopIfTrue="1">
      <formula>$CN211="Exterior"</formula>
    </cfRule>
  </conditionalFormatting>
  <conditionalFormatting sqref="G214:L214">
    <cfRule type="containsBlanks" dxfId="7019" priority="7418" stopIfTrue="1">
      <formula>LEN(TRIM(G214))=0</formula>
    </cfRule>
    <cfRule type="expression" dxfId="7018" priority="7420">
      <formula>$HL212=FALSE</formula>
    </cfRule>
  </conditionalFormatting>
  <conditionalFormatting sqref="AF213">
    <cfRule type="expression" dxfId="7017" priority="7412" stopIfTrue="1">
      <formula>$G211=""</formula>
    </cfRule>
  </conditionalFormatting>
  <conditionalFormatting sqref="AF213:AI213">
    <cfRule type="expression" dxfId="7016" priority="7416">
      <formula>OR($HP212=FALSE,$HL212=FALSE)</formula>
    </cfRule>
  </conditionalFormatting>
  <conditionalFormatting sqref="AF213">
    <cfRule type="containsBlanks" dxfId="7015" priority="7413" stopIfTrue="1">
      <formula>LEN(TRIM(AF213))=0</formula>
    </cfRule>
    <cfRule type="expression" dxfId="7014" priority="7414">
      <formula>$DP211=7</formula>
    </cfRule>
    <cfRule type="expression" dxfId="7013" priority="7415">
      <formula>OR($HK212=FALSE,$HM212=FALSE)</formula>
    </cfRule>
  </conditionalFormatting>
  <conditionalFormatting sqref="G214:L214">
    <cfRule type="expression" dxfId="7012" priority="7419" stopIfTrue="1">
      <formula>$AF213=""</formula>
    </cfRule>
  </conditionalFormatting>
  <conditionalFormatting sqref="T212:U212">
    <cfRule type="expression" dxfId="7011" priority="7408" stopIfTrue="1">
      <formula>$C$36&lt;&gt;0</formula>
    </cfRule>
    <cfRule type="containsBlanks" dxfId="7010" priority="7409" stopIfTrue="1">
      <formula>LEN(TRIM(T212))=0</formula>
    </cfRule>
  </conditionalFormatting>
  <conditionalFormatting sqref="T212:U212">
    <cfRule type="expression" dxfId="7009" priority="7407" stopIfTrue="1">
      <formula>$G211=""</formula>
    </cfRule>
  </conditionalFormatting>
  <conditionalFormatting sqref="U212">
    <cfRule type="expression" dxfId="7008" priority="7410">
      <formula>$HE212=FALSE</formula>
    </cfRule>
  </conditionalFormatting>
  <conditionalFormatting sqref="T214">
    <cfRule type="expression" dxfId="7007" priority="7406">
      <formula>$C$36=2</formula>
    </cfRule>
  </conditionalFormatting>
  <conditionalFormatting sqref="AE218">
    <cfRule type="expression" dxfId="7006" priority="7392" stopIfTrue="1">
      <formula>$G216=""</formula>
    </cfRule>
  </conditionalFormatting>
  <conditionalFormatting sqref="AB219:AD219">
    <cfRule type="expression" dxfId="7005" priority="7404" stopIfTrue="1">
      <formula>$G216=""</formula>
    </cfRule>
  </conditionalFormatting>
  <conditionalFormatting sqref="G218">
    <cfRule type="expression" dxfId="7004" priority="7401" stopIfTrue="1">
      <formula>$G216=""</formula>
    </cfRule>
    <cfRule type="containsBlanks" dxfId="7003" priority="7402" stopIfTrue="1">
      <formula>LEN(TRIM(G218))=0</formula>
    </cfRule>
    <cfRule type="expression" dxfId="7002" priority="7403">
      <formula>OR($M218=0,$HC217=FALSE)</formula>
    </cfRule>
  </conditionalFormatting>
  <conditionalFormatting sqref="AB219">
    <cfRule type="expression" dxfId="7001" priority="7400" stopIfTrue="1">
      <formula>$AB219=""</formula>
    </cfRule>
  </conditionalFormatting>
  <conditionalFormatting sqref="AE217:AF217">
    <cfRule type="expression" dxfId="7000" priority="7399">
      <formula>$C$36=2</formula>
    </cfRule>
  </conditionalFormatting>
  <conditionalFormatting sqref="T218:U218">
    <cfRule type="expression" dxfId="6999" priority="7374" stopIfTrue="1">
      <formula>$G216=""</formula>
    </cfRule>
  </conditionalFormatting>
  <conditionalFormatting sqref="T218:U218">
    <cfRule type="containsBlanks" dxfId="6998" priority="7397" stopIfTrue="1">
      <formula>LEN(TRIM(T218))=0</formula>
    </cfRule>
  </conditionalFormatting>
  <conditionalFormatting sqref="AC216:AD216">
    <cfRule type="expression" dxfId="6997" priority="7396">
      <formula>$G216=""</formula>
    </cfRule>
  </conditionalFormatting>
  <conditionalFormatting sqref="AE217">
    <cfRule type="containsBlanks" dxfId="6996" priority="7394">
      <formula>LEN(TRIM(AE217))=0</formula>
    </cfRule>
  </conditionalFormatting>
  <conditionalFormatting sqref="AE218 AF219">
    <cfRule type="containsBlanks" dxfId="6995" priority="7393" stopIfTrue="1">
      <formula>LEN(TRIM(AE218))=0</formula>
    </cfRule>
  </conditionalFormatting>
  <conditionalFormatting sqref="AE218">
    <cfRule type="expression" dxfId="6994" priority="7405">
      <formula>OR($HN217=FALSE,$HO217=FALSE)</formula>
    </cfRule>
  </conditionalFormatting>
  <conditionalFormatting sqref="G217:Q217 G216">
    <cfRule type="containsBlanks" dxfId="6993" priority="7391">
      <formula>LEN(TRIM(G216))=0</formula>
    </cfRule>
  </conditionalFormatting>
  <conditionalFormatting sqref="G217:L217">
    <cfRule type="expression" dxfId="6992" priority="7389" stopIfTrue="1">
      <formula>$G216=""</formula>
    </cfRule>
    <cfRule type="containsBlanks" dxfId="6991" priority="7390">
      <formula>LEN(TRIM(G217))=0</formula>
    </cfRule>
  </conditionalFormatting>
  <conditionalFormatting sqref="R218">
    <cfRule type="expression" dxfId="6990" priority="7387" stopIfTrue="1">
      <formula>$G216=""</formula>
    </cfRule>
    <cfRule type="containsBlanks" dxfId="6989" priority="7388">
      <formula>LEN(TRIM(R218))=0</formula>
    </cfRule>
  </conditionalFormatting>
  <conditionalFormatting sqref="P218:R218">
    <cfRule type="expression" dxfId="6988" priority="7386">
      <formula>$C$36=0</formula>
    </cfRule>
  </conditionalFormatting>
  <conditionalFormatting sqref="AF217">
    <cfRule type="containsBlanks" dxfId="6987" priority="7382">
      <formula>LEN(TRIM(AF217))=0</formula>
    </cfRule>
    <cfRule type="expression" dxfId="6986" priority="7383">
      <formula>$HJ217=FALSE</formula>
    </cfRule>
  </conditionalFormatting>
  <conditionalFormatting sqref="AF219">
    <cfRule type="expression" dxfId="6985" priority="7381">
      <formula>$C$36=2</formula>
    </cfRule>
  </conditionalFormatting>
  <conditionalFormatting sqref="R217">
    <cfRule type="containsBlanks" dxfId="6984" priority="7380">
      <formula>LEN(TRIM(R217))=0</formula>
    </cfRule>
  </conditionalFormatting>
  <conditionalFormatting sqref="AE217:AF217">
    <cfRule type="expression" dxfId="6983" priority="7379" stopIfTrue="1">
      <formula>$G216=""</formula>
    </cfRule>
  </conditionalFormatting>
  <conditionalFormatting sqref="AF219">
    <cfRule type="expression" dxfId="6982" priority="7378" stopIfTrue="1">
      <formula>$G216=""</formula>
    </cfRule>
  </conditionalFormatting>
  <conditionalFormatting sqref="AF216:AI216">
    <cfRule type="expression" dxfId="6981" priority="7377">
      <formula>$C$36&lt;&gt;0</formula>
    </cfRule>
  </conditionalFormatting>
  <conditionalFormatting sqref="R217">
    <cfRule type="containsBlanks" dxfId="6980" priority="7375">
      <formula>LEN(TRIM(R217))=0</formula>
    </cfRule>
  </conditionalFormatting>
  <conditionalFormatting sqref="U218">
    <cfRule type="expression" dxfId="6979" priority="7398">
      <formula>OR($HF217=FALSE,$HG217=FALSE)</formula>
    </cfRule>
  </conditionalFormatting>
  <conditionalFormatting sqref="R217">
    <cfRule type="expression" dxfId="6978" priority="7372" stopIfTrue="1">
      <formula>$G216=""</formula>
    </cfRule>
    <cfRule type="expression" dxfId="6977" priority="7373">
      <formula>$HT217=FALSE</formula>
    </cfRule>
  </conditionalFormatting>
  <conditionalFormatting sqref="G219">
    <cfRule type="expression" dxfId="6976" priority="7367" stopIfTrue="1">
      <formula>$G216=""</formula>
    </cfRule>
  </conditionalFormatting>
  <conditionalFormatting sqref="G219">
    <cfRule type="expression" dxfId="6975" priority="7361" stopIfTrue="1">
      <formula>$CN216="Exterior"</formula>
    </cfRule>
  </conditionalFormatting>
  <conditionalFormatting sqref="G219:L219">
    <cfRule type="containsBlanks" dxfId="6974" priority="7368" stopIfTrue="1">
      <formula>LEN(TRIM(G219))=0</formula>
    </cfRule>
    <cfRule type="expression" dxfId="6973" priority="7370">
      <formula>$HL217=FALSE</formula>
    </cfRule>
  </conditionalFormatting>
  <conditionalFormatting sqref="AF218">
    <cfRule type="expression" dxfId="6972" priority="7362" stopIfTrue="1">
      <formula>$G216=""</formula>
    </cfRule>
  </conditionalFormatting>
  <conditionalFormatting sqref="AF218:AI218">
    <cfRule type="expression" dxfId="6971" priority="7366">
      <formula>OR($HP217=FALSE,$HL217=FALSE)</formula>
    </cfRule>
  </conditionalFormatting>
  <conditionalFormatting sqref="AF218">
    <cfRule type="containsBlanks" dxfId="6970" priority="7363" stopIfTrue="1">
      <formula>LEN(TRIM(AF218))=0</formula>
    </cfRule>
    <cfRule type="expression" dxfId="6969" priority="7364">
      <formula>$DP216=7</formula>
    </cfRule>
    <cfRule type="expression" dxfId="6968" priority="7365">
      <formula>OR($HK217=FALSE,$HM217=FALSE)</formula>
    </cfRule>
  </conditionalFormatting>
  <conditionalFormatting sqref="G219:L219">
    <cfRule type="expression" dxfId="6967" priority="7369" stopIfTrue="1">
      <formula>$AF218=""</formula>
    </cfRule>
  </conditionalFormatting>
  <conditionalFormatting sqref="T217:U217">
    <cfRule type="expression" dxfId="6966" priority="7358" stopIfTrue="1">
      <formula>$C$36&lt;&gt;0</formula>
    </cfRule>
    <cfRule type="containsBlanks" dxfId="6965" priority="7359" stopIfTrue="1">
      <formula>LEN(TRIM(T217))=0</formula>
    </cfRule>
  </conditionalFormatting>
  <conditionalFormatting sqref="T217:U217">
    <cfRule type="expression" dxfId="6964" priority="7357" stopIfTrue="1">
      <formula>$G216=""</formula>
    </cfRule>
  </conditionalFormatting>
  <conditionalFormatting sqref="U217">
    <cfRule type="expression" dxfId="6963" priority="7360">
      <formula>$HE217=FALSE</formula>
    </cfRule>
  </conditionalFormatting>
  <conditionalFormatting sqref="T219">
    <cfRule type="expression" dxfId="6962" priority="7356">
      <formula>$C$36=2</formula>
    </cfRule>
  </conditionalFormatting>
  <conditionalFormatting sqref="AE223">
    <cfRule type="expression" dxfId="6961" priority="7342" stopIfTrue="1">
      <formula>$G221=""</formula>
    </cfRule>
  </conditionalFormatting>
  <conditionalFormatting sqref="AB224:AD224">
    <cfRule type="expression" dxfId="6960" priority="7354" stopIfTrue="1">
      <formula>$G221=""</formula>
    </cfRule>
  </conditionalFormatting>
  <conditionalFormatting sqref="G223">
    <cfRule type="expression" dxfId="6959" priority="7351" stopIfTrue="1">
      <formula>$G221=""</formula>
    </cfRule>
    <cfRule type="containsBlanks" dxfId="6958" priority="7352" stopIfTrue="1">
      <formula>LEN(TRIM(G223))=0</formula>
    </cfRule>
    <cfRule type="expression" dxfId="6957" priority="7353">
      <formula>OR($M223=0,$HC222=FALSE)</formula>
    </cfRule>
  </conditionalFormatting>
  <conditionalFormatting sqref="AB224">
    <cfRule type="expression" dxfId="6956" priority="7350" stopIfTrue="1">
      <formula>$AB224=""</formula>
    </cfRule>
  </conditionalFormatting>
  <conditionalFormatting sqref="AE222:AF222">
    <cfRule type="expression" dxfId="6955" priority="7349">
      <formula>$C$36=2</formula>
    </cfRule>
  </conditionalFormatting>
  <conditionalFormatting sqref="T223:U223">
    <cfRule type="expression" dxfId="6954" priority="7324" stopIfTrue="1">
      <formula>$G221=""</formula>
    </cfRule>
  </conditionalFormatting>
  <conditionalFormatting sqref="T223:U223 U224">
    <cfRule type="containsBlanks" dxfId="6953" priority="7347" stopIfTrue="1">
      <formula>LEN(TRIM(T223))=0</formula>
    </cfRule>
  </conditionalFormatting>
  <conditionalFormatting sqref="AC221:AD221">
    <cfRule type="expression" dxfId="6952" priority="7346">
      <formula>$G221=""</formula>
    </cfRule>
  </conditionalFormatting>
  <conditionalFormatting sqref="U224">
    <cfRule type="expression" dxfId="6951" priority="7345">
      <formula>$C$36=2</formula>
    </cfRule>
  </conditionalFormatting>
  <conditionalFormatting sqref="AE222">
    <cfRule type="containsBlanks" dxfId="6950" priority="7344">
      <formula>LEN(TRIM(AE222))=0</formula>
    </cfRule>
  </conditionalFormatting>
  <conditionalFormatting sqref="AE223 AF224">
    <cfRule type="containsBlanks" dxfId="6949" priority="7343" stopIfTrue="1">
      <formula>LEN(TRIM(AE223))=0</formula>
    </cfRule>
  </conditionalFormatting>
  <conditionalFormatting sqref="AE223">
    <cfRule type="expression" dxfId="6948" priority="7355">
      <formula>OR($HN222=FALSE,$HO222=FALSE)</formula>
    </cfRule>
  </conditionalFormatting>
  <conditionalFormatting sqref="G222:Q222 G221">
    <cfRule type="containsBlanks" dxfId="6947" priority="7341">
      <formula>LEN(TRIM(G221))=0</formula>
    </cfRule>
  </conditionalFormatting>
  <conditionalFormatting sqref="G222:L222">
    <cfRule type="expression" dxfId="6946" priority="7339" stopIfTrue="1">
      <formula>$G221=""</formula>
    </cfRule>
    <cfRule type="containsBlanks" dxfId="6945" priority="7340">
      <formula>LEN(TRIM(G222))=0</formula>
    </cfRule>
  </conditionalFormatting>
  <conditionalFormatting sqref="R223">
    <cfRule type="expression" dxfId="6944" priority="7337" stopIfTrue="1">
      <formula>$G221=""</formula>
    </cfRule>
    <cfRule type="containsBlanks" dxfId="6943" priority="7338">
      <formula>LEN(TRIM(R223))=0</formula>
    </cfRule>
  </conditionalFormatting>
  <conditionalFormatting sqref="P223:R223">
    <cfRule type="expression" dxfId="6942" priority="7336">
      <formula>$C$36=0</formula>
    </cfRule>
  </conditionalFormatting>
  <conditionalFormatting sqref="AF222">
    <cfRule type="containsBlanks" dxfId="6941" priority="7332">
      <formula>LEN(TRIM(AF222))=0</formula>
    </cfRule>
    <cfRule type="expression" dxfId="6940" priority="7333">
      <formula>$HJ222=FALSE</formula>
    </cfRule>
  </conditionalFormatting>
  <conditionalFormatting sqref="AF224">
    <cfRule type="expression" dxfId="6939" priority="7331">
      <formula>$C$36=2</formula>
    </cfRule>
  </conditionalFormatting>
  <conditionalFormatting sqref="R222">
    <cfRule type="containsBlanks" dxfId="6938" priority="7330">
      <formula>LEN(TRIM(R222))=0</formula>
    </cfRule>
  </conditionalFormatting>
  <conditionalFormatting sqref="AE222:AF222">
    <cfRule type="expression" dxfId="6937" priority="7329" stopIfTrue="1">
      <formula>$G221=""</formula>
    </cfRule>
  </conditionalFormatting>
  <conditionalFormatting sqref="U224 AF224">
    <cfRule type="expression" dxfId="6936" priority="7328" stopIfTrue="1">
      <formula>$G221=""</formula>
    </cfRule>
  </conditionalFormatting>
  <conditionalFormatting sqref="AF221:AI221">
    <cfRule type="expression" dxfId="6935" priority="7327">
      <formula>$C$36&lt;&gt;0</formula>
    </cfRule>
  </conditionalFormatting>
  <conditionalFormatting sqref="R222">
    <cfRule type="containsBlanks" dxfId="6934" priority="7325">
      <formula>LEN(TRIM(R222))=0</formula>
    </cfRule>
  </conditionalFormatting>
  <conditionalFormatting sqref="U223">
    <cfRule type="expression" dxfId="6933" priority="7348">
      <formula>OR($HF222=FALSE,$HG222=FALSE)</formula>
    </cfRule>
  </conditionalFormatting>
  <conditionalFormatting sqref="R222">
    <cfRule type="expression" dxfId="6932" priority="7322" stopIfTrue="1">
      <formula>$G221=""</formula>
    </cfRule>
    <cfRule type="expression" dxfId="6931" priority="7323">
      <formula>$HT222=FALSE</formula>
    </cfRule>
  </conditionalFormatting>
  <conditionalFormatting sqref="G224">
    <cfRule type="expression" dxfId="6930" priority="7317" stopIfTrue="1">
      <formula>$G221=""</formula>
    </cfRule>
  </conditionalFormatting>
  <conditionalFormatting sqref="G224">
    <cfRule type="expression" dxfId="6929" priority="7311" stopIfTrue="1">
      <formula>$CN221="Exterior"</formula>
    </cfRule>
  </conditionalFormatting>
  <conditionalFormatting sqref="G224:L224">
    <cfRule type="containsBlanks" dxfId="6928" priority="7318" stopIfTrue="1">
      <formula>LEN(TRIM(G224))=0</formula>
    </cfRule>
    <cfRule type="expression" dxfId="6927" priority="7320">
      <formula>$HL222=FALSE</formula>
    </cfRule>
  </conditionalFormatting>
  <conditionalFormatting sqref="AF223">
    <cfRule type="expression" dxfId="6926" priority="7312" stopIfTrue="1">
      <formula>$G221=""</formula>
    </cfRule>
  </conditionalFormatting>
  <conditionalFormatting sqref="AF223:AI223">
    <cfRule type="expression" dxfId="6925" priority="7316">
      <formula>OR($HP222=FALSE,$HL222=FALSE)</formula>
    </cfRule>
  </conditionalFormatting>
  <conditionalFormatting sqref="AF223">
    <cfRule type="containsBlanks" dxfId="6924" priority="7313" stopIfTrue="1">
      <formula>LEN(TRIM(AF223))=0</formula>
    </cfRule>
    <cfRule type="expression" dxfId="6923" priority="7314">
      <formula>$DP221=7</formula>
    </cfRule>
    <cfRule type="expression" dxfId="6922" priority="7315">
      <formula>OR($HK222=FALSE,$HM222=FALSE)</formula>
    </cfRule>
  </conditionalFormatting>
  <conditionalFormatting sqref="G224:L224">
    <cfRule type="expression" dxfId="6921" priority="7319" stopIfTrue="1">
      <formula>$AF223=""</formula>
    </cfRule>
  </conditionalFormatting>
  <conditionalFormatting sqref="T222:U222">
    <cfRule type="expression" dxfId="6920" priority="7308" stopIfTrue="1">
      <formula>$C$36&lt;&gt;0</formula>
    </cfRule>
    <cfRule type="containsBlanks" dxfId="6919" priority="7309" stopIfTrue="1">
      <formula>LEN(TRIM(T222))=0</formula>
    </cfRule>
  </conditionalFormatting>
  <conditionalFormatting sqref="T222:U222">
    <cfRule type="expression" dxfId="6918" priority="7307" stopIfTrue="1">
      <formula>$G221=""</formula>
    </cfRule>
  </conditionalFormatting>
  <conditionalFormatting sqref="U222">
    <cfRule type="expression" dxfId="6917" priority="7310">
      <formula>$HE222=FALSE</formula>
    </cfRule>
  </conditionalFormatting>
  <conditionalFormatting sqref="T224">
    <cfRule type="expression" dxfId="6916" priority="7306">
      <formula>$C$36=2</formula>
    </cfRule>
  </conditionalFormatting>
  <conditionalFormatting sqref="AE228">
    <cfRule type="expression" dxfId="6915" priority="7292" stopIfTrue="1">
      <formula>$G226=""</formula>
    </cfRule>
  </conditionalFormatting>
  <conditionalFormatting sqref="AB229:AD229">
    <cfRule type="expression" dxfId="6914" priority="7304" stopIfTrue="1">
      <formula>$G226=""</formula>
    </cfRule>
  </conditionalFormatting>
  <conditionalFormatting sqref="G228">
    <cfRule type="expression" dxfId="6913" priority="7301" stopIfTrue="1">
      <formula>$G226=""</formula>
    </cfRule>
    <cfRule type="containsBlanks" dxfId="6912" priority="7302" stopIfTrue="1">
      <formula>LEN(TRIM(G228))=0</formula>
    </cfRule>
    <cfRule type="expression" dxfId="6911" priority="7303">
      <formula>OR($M228=0,$HC227=FALSE)</formula>
    </cfRule>
  </conditionalFormatting>
  <conditionalFormatting sqref="AB229">
    <cfRule type="expression" dxfId="6910" priority="7300" stopIfTrue="1">
      <formula>$AB229=""</formula>
    </cfRule>
  </conditionalFormatting>
  <conditionalFormatting sqref="AE227:AF227">
    <cfRule type="expression" dxfId="6909" priority="7299">
      <formula>$C$36=2</formula>
    </cfRule>
  </conditionalFormatting>
  <conditionalFormatting sqref="T228:U228">
    <cfRule type="expression" dxfId="6908" priority="7274" stopIfTrue="1">
      <formula>$G226=""</formula>
    </cfRule>
  </conditionalFormatting>
  <conditionalFormatting sqref="T228:U228">
    <cfRule type="containsBlanks" dxfId="6907" priority="7297" stopIfTrue="1">
      <formula>LEN(TRIM(T228))=0</formula>
    </cfRule>
  </conditionalFormatting>
  <conditionalFormatting sqref="AC226:AD226">
    <cfRule type="expression" dxfId="6906" priority="7296">
      <formula>$G226=""</formula>
    </cfRule>
  </conditionalFormatting>
  <conditionalFormatting sqref="AE227">
    <cfRule type="containsBlanks" dxfId="6905" priority="7294">
      <formula>LEN(TRIM(AE227))=0</formula>
    </cfRule>
  </conditionalFormatting>
  <conditionalFormatting sqref="AE228 AF229">
    <cfRule type="containsBlanks" dxfId="6904" priority="7293" stopIfTrue="1">
      <formula>LEN(TRIM(AE228))=0</formula>
    </cfRule>
  </conditionalFormatting>
  <conditionalFormatting sqref="AE228">
    <cfRule type="expression" dxfId="6903" priority="7305">
      <formula>OR($HN227=FALSE,$HO227=FALSE)</formula>
    </cfRule>
  </conditionalFormatting>
  <conditionalFormatting sqref="G227:Q227 G226">
    <cfRule type="containsBlanks" dxfId="6902" priority="7291">
      <formula>LEN(TRIM(G226))=0</formula>
    </cfRule>
  </conditionalFormatting>
  <conditionalFormatting sqref="G227:L227">
    <cfRule type="expression" dxfId="6901" priority="7289" stopIfTrue="1">
      <formula>$G226=""</formula>
    </cfRule>
    <cfRule type="containsBlanks" dxfId="6900" priority="7290">
      <formula>LEN(TRIM(G227))=0</formula>
    </cfRule>
  </conditionalFormatting>
  <conditionalFormatting sqref="R228">
    <cfRule type="expression" dxfId="6899" priority="7287" stopIfTrue="1">
      <formula>$G226=""</formula>
    </cfRule>
    <cfRule type="containsBlanks" dxfId="6898" priority="7288">
      <formula>LEN(TRIM(R228))=0</formula>
    </cfRule>
  </conditionalFormatting>
  <conditionalFormatting sqref="P228:R228">
    <cfRule type="expression" dxfId="6897" priority="7286">
      <formula>$C$36=0</formula>
    </cfRule>
  </conditionalFormatting>
  <conditionalFormatting sqref="AF227">
    <cfRule type="containsBlanks" dxfId="6896" priority="7282">
      <formula>LEN(TRIM(AF227))=0</formula>
    </cfRule>
    <cfRule type="expression" dxfId="6895" priority="7283">
      <formula>$HJ227=FALSE</formula>
    </cfRule>
  </conditionalFormatting>
  <conditionalFormatting sqref="AF229">
    <cfRule type="expression" dxfId="6894" priority="7281">
      <formula>$C$36=2</formula>
    </cfRule>
  </conditionalFormatting>
  <conditionalFormatting sqref="R227">
    <cfRule type="containsBlanks" dxfId="6893" priority="7280">
      <formula>LEN(TRIM(R227))=0</formula>
    </cfRule>
  </conditionalFormatting>
  <conditionalFormatting sqref="AE227:AF227">
    <cfRule type="expression" dxfId="6892" priority="7279" stopIfTrue="1">
      <formula>$G226=""</formula>
    </cfRule>
  </conditionalFormatting>
  <conditionalFormatting sqref="AF229">
    <cfRule type="expression" dxfId="6891" priority="7278" stopIfTrue="1">
      <formula>$G226=""</formula>
    </cfRule>
  </conditionalFormatting>
  <conditionalFormatting sqref="AF226:AI226">
    <cfRule type="expression" dxfId="6890" priority="7277">
      <formula>$C$36&lt;&gt;0</formula>
    </cfRule>
  </conditionalFormatting>
  <conditionalFormatting sqref="R227">
    <cfRule type="containsBlanks" dxfId="6889" priority="7275">
      <formula>LEN(TRIM(R227))=0</formula>
    </cfRule>
  </conditionalFormatting>
  <conditionalFormatting sqref="U228">
    <cfRule type="expression" dxfId="6888" priority="7298">
      <formula>OR($HF227=FALSE,$HG227=FALSE)</formula>
    </cfRule>
  </conditionalFormatting>
  <conditionalFormatting sqref="R227">
    <cfRule type="expression" dxfId="6887" priority="7272" stopIfTrue="1">
      <formula>$G226=""</formula>
    </cfRule>
    <cfRule type="expression" dxfId="6886" priority="7273">
      <formula>$HT227=FALSE</formula>
    </cfRule>
  </conditionalFormatting>
  <conditionalFormatting sqref="G229">
    <cfRule type="expression" dxfId="6885" priority="7267" stopIfTrue="1">
      <formula>$G226=""</formula>
    </cfRule>
  </conditionalFormatting>
  <conditionalFormatting sqref="G229">
    <cfRule type="expression" dxfId="6884" priority="7261" stopIfTrue="1">
      <formula>$CN226="Exterior"</formula>
    </cfRule>
  </conditionalFormatting>
  <conditionalFormatting sqref="G229:L229">
    <cfRule type="containsBlanks" dxfId="6883" priority="7268" stopIfTrue="1">
      <formula>LEN(TRIM(G229))=0</formula>
    </cfRule>
    <cfRule type="expression" dxfId="6882" priority="7270">
      <formula>$HL227=FALSE</formula>
    </cfRule>
  </conditionalFormatting>
  <conditionalFormatting sqref="AF228">
    <cfRule type="expression" dxfId="6881" priority="7262" stopIfTrue="1">
      <formula>$G226=""</formula>
    </cfRule>
  </conditionalFormatting>
  <conditionalFormatting sqref="AF228:AI228">
    <cfRule type="expression" dxfId="6880" priority="7266">
      <formula>OR($HP227=FALSE,$HL227=FALSE)</formula>
    </cfRule>
  </conditionalFormatting>
  <conditionalFormatting sqref="AF228">
    <cfRule type="containsBlanks" dxfId="6879" priority="7263" stopIfTrue="1">
      <formula>LEN(TRIM(AF228))=0</formula>
    </cfRule>
    <cfRule type="expression" dxfId="6878" priority="7264">
      <formula>$DP226=7</formula>
    </cfRule>
    <cfRule type="expression" dxfId="6877" priority="7265">
      <formula>OR($HK227=FALSE,$HM227=FALSE)</formula>
    </cfRule>
  </conditionalFormatting>
  <conditionalFormatting sqref="G229:L229">
    <cfRule type="expression" dxfId="6876" priority="7269" stopIfTrue="1">
      <formula>$AF228=""</formula>
    </cfRule>
  </conditionalFormatting>
  <conditionalFormatting sqref="T227:U227">
    <cfRule type="expression" dxfId="6875" priority="7258" stopIfTrue="1">
      <formula>$C$36&lt;&gt;0</formula>
    </cfRule>
    <cfRule type="containsBlanks" dxfId="6874" priority="7259" stopIfTrue="1">
      <formula>LEN(TRIM(T227))=0</formula>
    </cfRule>
  </conditionalFormatting>
  <conditionalFormatting sqref="T227:U227">
    <cfRule type="expression" dxfId="6873" priority="7257" stopIfTrue="1">
      <formula>$G226=""</formula>
    </cfRule>
  </conditionalFormatting>
  <conditionalFormatting sqref="U227">
    <cfRule type="expression" dxfId="6872" priority="7260">
      <formula>$HE227=FALSE</formula>
    </cfRule>
  </conditionalFormatting>
  <conditionalFormatting sqref="T229">
    <cfRule type="expression" dxfId="6871" priority="7256">
      <formula>$C$36=2</formula>
    </cfRule>
  </conditionalFormatting>
  <conditionalFormatting sqref="AE233">
    <cfRule type="expression" dxfId="6870" priority="7242" stopIfTrue="1">
      <formula>$G231=""</formula>
    </cfRule>
  </conditionalFormatting>
  <conditionalFormatting sqref="AB234:AD234">
    <cfRule type="expression" dxfId="6869" priority="7254" stopIfTrue="1">
      <formula>$G231=""</formula>
    </cfRule>
  </conditionalFormatting>
  <conditionalFormatting sqref="G233">
    <cfRule type="expression" dxfId="6868" priority="7251" stopIfTrue="1">
      <formula>$G231=""</formula>
    </cfRule>
    <cfRule type="containsBlanks" dxfId="6867" priority="7252" stopIfTrue="1">
      <formula>LEN(TRIM(G233))=0</formula>
    </cfRule>
    <cfRule type="expression" dxfId="6866" priority="7253">
      <formula>OR($M233=0,$HC232=FALSE)</formula>
    </cfRule>
  </conditionalFormatting>
  <conditionalFormatting sqref="AB234">
    <cfRule type="expression" dxfId="6865" priority="7250" stopIfTrue="1">
      <formula>$AB234=""</formula>
    </cfRule>
  </conditionalFormatting>
  <conditionalFormatting sqref="AE232:AF232">
    <cfRule type="expression" dxfId="6864" priority="7249">
      <formula>$C$36=2</formula>
    </cfRule>
  </conditionalFormatting>
  <conditionalFormatting sqref="T233:U233">
    <cfRule type="expression" dxfId="6863" priority="7224" stopIfTrue="1">
      <formula>$G231=""</formula>
    </cfRule>
  </conditionalFormatting>
  <conditionalFormatting sqref="T233:U233">
    <cfRule type="containsBlanks" dxfId="6862" priority="7247" stopIfTrue="1">
      <formula>LEN(TRIM(T233))=0</formula>
    </cfRule>
  </conditionalFormatting>
  <conditionalFormatting sqref="AC231:AD231">
    <cfRule type="expression" dxfId="6861" priority="7246">
      <formula>$G231=""</formula>
    </cfRule>
  </conditionalFormatting>
  <conditionalFormatting sqref="AE232">
    <cfRule type="containsBlanks" dxfId="6860" priority="7244">
      <formula>LEN(TRIM(AE232))=0</formula>
    </cfRule>
  </conditionalFormatting>
  <conditionalFormatting sqref="AE233 AF234">
    <cfRule type="containsBlanks" dxfId="6859" priority="7243" stopIfTrue="1">
      <formula>LEN(TRIM(AE233))=0</formula>
    </cfRule>
  </conditionalFormatting>
  <conditionalFormatting sqref="AE233">
    <cfRule type="expression" dxfId="6858" priority="7255">
      <formula>OR($HN232=FALSE,$HO232=FALSE)</formula>
    </cfRule>
  </conditionalFormatting>
  <conditionalFormatting sqref="G232:Q232 G231">
    <cfRule type="containsBlanks" dxfId="6857" priority="7241">
      <formula>LEN(TRIM(G231))=0</formula>
    </cfRule>
  </conditionalFormatting>
  <conditionalFormatting sqref="G232:L232">
    <cfRule type="expression" dxfId="6856" priority="7239" stopIfTrue="1">
      <formula>$G231=""</formula>
    </cfRule>
    <cfRule type="containsBlanks" dxfId="6855" priority="7240">
      <formula>LEN(TRIM(G232))=0</formula>
    </cfRule>
  </conditionalFormatting>
  <conditionalFormatting sqref="R233">
    <cfRule type="expression" dxfId="6854" priority="7237" stopIfTrue="1">
      <formula>$G231=""</formula>
    </cfRule>
    <cfRule type="containsBlanks" dxfId="6853" priority="7238">
      <formula>LEN(TRIM(R233))=0</formula>
    </cfRule>
  </conditionalFormatting>
  <conditionalFormatting sqref="P233:R233">
    <cfRule type="expression" dxfId="6852" priority="7236">
      <formula>$C$36=0</formula>
    </cfRule>
  </conditionalFormatting>
  <conditionalFormatting sqref="AF232">
    <cfRule type="containsBlanks" dxfId="6851" priority="7232">
      <formula>LEN(TRIM(AF232))=0</formula>
    </cfRule>
    <cfRule type="expression" dxfId="6850" priority="7233">
      <formula>$HJ232=FALSE</formula>
    </cfRule>
  </conditionalFormatting>
  <conditionalFormatting sqref="AF234">
    <cfRule type="expression" dxfId="6849" priority="7231">
      <formula>$C$36=2</formula>
    </cfRule>
  </conditionalFormatting>
  <conditionalFormatting sqref="R232">
    <cfRule type="containsBlanks" dxfId="6848" priority="7230">
      <formula>LEN(TRIM(R232))=0</formula>
    </cfRule>
  </conditionalFormatting>
  <conditionalFormatting sqref="AE232:AF232">
    <cfRule type="expression" dxfId="6847" priority="7229" stopIfTrue="1">
      <formula>$G231=""</formula>
    </cfRule>
  </conditionalFormatting>
  <conditionalFormatting sqref="AF234">
    <cfRule type="expression" dxfId="6846" priority="7228" stopIfTrue="1">
      <formula>$G231=""</formula>
    </cfRule>
  </conditionalFormatting>
  <conditionalFormatting sqref="AF231:AI231">
    <cfRule type="expression" dxfId="6845" priority="7227">
      <formula>$C$36&lt;&gt;0</formula>
    </cfRule>
  </conditionalFormatting>
  <conditionalFormatting sqref="R232">
    <cfRule type="containsBlanks" dxfId="6844" priority="7225">
      <formula>LEN(TRIM(R232))=0</formula>
    </cfRule>
  </conditionalFormatting>
  <conditionalFormatting sqref="U233">
    <cfRule type="expression" dxfId="6843" priority="7248">
      <formula>OR($HF232=FALSE,$HG232=FALSE)</formula>
    </cfRule>
  </conditionalFormatting>
  <conditionalFormatting sqref="R232">
    <cfRule type="expression" dxfId="6842" priority="7222" stopIfTrue="1">
      <formula>$G231=""</formula>
    </cfRule>
    <cfRule type="expression" dxfId="6841" priority="7223">
      <formula>$HT232=FALSE</formula>
    </cfRule>
  </conditionalFormatting>
  <conditionalFormatting sqref="G234">
    <cfRule type="expression" dxfId="6840" priority="7217" stopIfTrue="1">
      <formula>$G231=""</formula>
    </cfRule>
  </conditionalFormatting>
  <conditionalFormatting sqref="G234">
    <cfRule type="expression" dxfId="6839" priority="7211" stopIfTrue="1">
      <formula>$CN231="Exterior"</formula>
    </cfRule>
  </conditionalFormatting>
  <conditionalFormatting sqref="G234:L234">
    <cfRule type="containsBlanks" dxfId="6838" priority="7218" stopIfTrue="1">
      <formula>LEN(TRIM(G234))=0</formula>
    </cfRule>
    <cfRule type="expression" dxfId="6837" priority="7220">
      <formula>$HL232=FALSE</formula>
    </cfRule>
  </conditionalFormatting>
  <conditionalFormatting sqref="AF233">
    <cfRule type="expression" dxfId="6836" priority="7212" stopIfTrue="1">
      <formula>$G231=""</formula>
    </cfRule>
  </conditionalFormatting>
  <conditionalFormatting sqref="AF233:AI233">
    <cfRule type="expression" dxfId="6835" priority="7216">
      <formula>OR($HP232=FALSE,$HL232=FALSE)</formula>
    </cfRule>
  </conditionalFormatting>
  <conditionalFormatting sqref="AF233">
    <cfRule type="containsBlanks" dxfId="6834" priority="7213" stopIfTrue="1">
      <formula>LEN(TRIM(AF233))=0</formula>
    </cfRule>
    <cfRule type="expression" dxfId="6833" priority="7214">
      <formula>$DP231=7</formula>
    </cfRule>
    <cfRule type="expression" dxfId="6832" priority="7215">
      <formula>OR($HK232=FALSE,$HM232=FALSE)</formula>
    </cfRule>
  </conditionalFormatting>
  <conditionalFormatting sqref="G234:L234">
    <cfRule type="expression" dxfId="6831" priority="7219" stopIfTrue="1">
      <formula>$AF233=""</formula>
    </cfRule>
  </conditionalFormatting>
  <conditionalFormatting sqref="T232:U232">
    <cfRule type="expression" dxfId="6830" priority="7208" stopIfTrue="1">
      <formula>$C$36&lt;&gt;0</formula>
    </cfRule>
    <cfRule type="containsBlanks" dxfId="6829" priority="7209" stopIfTrue="1">
      <formula>LEN(TRIM(T232))=0</formula>
    </cfRule>
  </conditionalFormatting>
  <conditionalFormatting sqref="T232:U232">
    <cfRule type="expression" dxfId="6828" priority="7207" stopIfTrue="1">
      <formula>$G231=""</formula>
    </cfRule>
  </conditionalFormatting>
  <conditionalFormatting sqref="U232">
    <cfRule type="expression" dxfId="6827" priority="7210">
      <formula>$HE232=FALSE</formula>
    </cfRule>
  </conditionalFormatting>
  <conditionalFormatting sqref="T234">
    <cfRule type="expression" dxfId="6826" priority="7206">
      <formula>$C$36=2</formula>
    </cfRule>
  </conditionalFormatting>
  <conditionalFormatting sqref="AE238">
    <cfRule type="expression" dxfId="6825" priority="7192" stopIfTrue="1">
      <formula>$G236=""</formula>
    </cfRule>
  </conditionalFormatting>
  <conditionalFormatting sqref="AB239:AD239">
    <cfRule type="expression" dxfId="6824" priority="7204" stopIfTrue="1">
      <formula>$G236=""</formula>
    </cfRule>
  </conditionalFormatting>
  <conditionalFormatting sqref="G238">
    <cfRule type="expression" dxfId="6823" priority="7201" stopIfTrue="1">
      <formula>$G236=""</formula>
    </cfRule>
    <cfRule type="containsBlanks" dxfId="6822" priority="7202" stopIfTrue="1">
      <formula>LEN(TRIM(G238))=0</formula>
    </cfRule>
    <cfRule type="expression" dxfId="6821" priority="7203">
      <formula>OR($M238=0,$HC237=FALSE)</formula>
    </cfRule>
  </conditionalFormatting>
  <conditionalFormatting sqref="AB239">
    <cfRule type="expression" dxfId="6820" priority="7200" stopIfTrue="1">
      <formula>$AB239=""</formula>
    </cfRule>
  </conditionalFormatting>
  <conditionalFormatting sqref="AE237:AF237">
    <cfRule type="expression" dxfId="6819" priority="7199">
      <formula>$C$36=2</formula>
    </cfRule>
  </conditionalFormatting>
  <conditionalFormatting sqref="T238:U238">
    <cfRule type="expression" dxfId="6818" priority="7174" stopIfTrue="1">
      <formula>$G236=""</formula>
    </cfRule>
  </conditionalFormatting>
  <conditionalFormatting sqref="T238:U238">
    <cfRule type="containsBlanks" dxfId="6817" priority="7197" stopIfTrue="1">
      <formula>LEN(TRIM(T238))=0</formula>
    </cfRule>
  </conditionalFormatting>
  <conditionalFormatting sqref="AC236:AD236">
    <cfRule type="expression" dxfId="6816" priority="7196">
      <formula>$G236=""</formula>
    </cfRule>
  </conditionalFormatting>
  <conditionalFormatting sqref="AE237">
    <cfRule type="containsBlanks" dxfId="6815" priority="7194">
      <formula>LEN(TRIM(AE237))=0</formula>
    </cfRule>
  </conditionalFormatting>
  <conditionalFormatting sqref="AE238 AF239">
    <cfRule type="containsBlanks" dxfId="6814" priority="7193" stopIfTrue="1">
      <formula>LEN(TRIM(AE238))=0</formula>
    </cfRule>
  </conditionalFormatting>
  <conditionalFormatting sqref="AE238">
    <cfRule type="expression" dxfId="6813" priority="7205">
      <formula>OR($HN237=FALSE,$HO237=FALSE)</formula>
    </cfRule>
  </conditionalFormatting>
  <conditionalFormatting sqref="G237:Q237 G236">
    <cfRule type="containsBlanks" dxfId="6812" priority="7191">
      <formula>LEN(TRIM(G236))=0</formula>
    </cfRule>
  </conditionalFormatting>
  <conditionalFormatting sqref="G237:L237">
    <cfRule type="expression" dxfId="6811" priority="7189" stopIfTrue="1">
      <formula>$G236=""</formula>
    </cfRule>
    <cfRule type="containsBlanks" dxfId="6810" priority="7190">
      <formula>LEN(TRIM(G237))=0</formula>
    </cfRule>
  </conditionalFormatting>
  <conditionalFormatting sqref="R238">
    <cfRule type="expression" dxfId="6809" priority="7187" stopIfTrue="1">
      <formula>$G236=""</formula>
    </cfRule>
    <cfRule type="containsBlanks" dxfId="6808" priority="7188">
      <formula>LEN(TRIM(R238))=0</formula>
    </cfRule>
  </conditionalFormatting>
  <conditionalFormatting sqref="P238:R238">
    <cfRule type="expression" dxfId="6807" priority="7186">
      <formula>$C$36=0</formula>
    </cfRule>
  </conditionalFormatting>
  <conditionalFormatting sqref="AF237">
    <cfRule type="containsBlanks" dxfId="6806" priority="7182">
      <formula>LEN(TRIM(AF237))=0</formula>
    </cfRule>
    <cfRule type="expression" dxfId="6805" priority="7183">
      <formula>$HJ237=FALSE</formula>
    </cfRule>
  </conditionalFormatting>
  <conditionalFormatting sqref="AF239">
    <cfRule type="expression" dxfId="6804" priority="7181">
      <formula>$C$36=2</formula>
    </cfRule>
  </conditionalFormatting>
  <conditionalFormatting sqref="R237">
    <cfRule type="containsBlanks" dxfId="6803" priority="7180">
      <formula>LEN(TRIM(R237))=0</formula>
    </cfRule>
  </conditionalFormatting>
  <conditionalFormatting sqref="AE237:AF237">
    <cfRule type="expression" dxfId="6802" priority="7179" stopIfTrue="1">
      <formula>$G236=""</formula>
    </cfRule>
  </conditionalFormatting>
  <conditionalFormatting sqref="AF239">
    <cfRule type="expression" dxfId="6801" priority="7178" stopIfTrue="1">
      <formula>$G236=""</formula>
    </cfRule>
  </conditionalFormatting>
  <conditionalFormatting sqref="AF236:AI236">
    <cfRule type="expression" dxfId="6800" priority="7177">
      <formula>$C$36&lt;&gt;0</formula>
    </cfRule>
  </conditionalFormatting>
  <conditionalFormatting sqref="R237">
    <cfRule type="containsBlanks" dxfId="6799" priority="7175">
      <formula>LEN(TRIM(R237))=0</formula>
    </cfRule>
  </conditionalFormatting>
  <conditionalFormatting sqref="U238">
    <cfRule type="expression" dxfId="6798" priority="7198">
      <formula>OR($HF237=FALSE,$HG237=FALSE)</formula>
    </cfRule>
  </conditionalFormatting>
  <conditionalFormatting sqref="R237">
    <cfRule type="expression" dxfId="6797" priority="7172" stopIfTrue="1">
      <formula>$G236=""</formula>
    </cfRule>
    <cfRule type="expression" dxfId="6796" priority="7173">
      <formula>$HT237=FALSE</formula>
    </cfRule>
  </conditionalFormatting>
  <conditionalFormatting sqref="G239">
    <cfRule type="expression" dxfId="6795" priority="7167" stopIfTrue="1">
      <formula>$G236=""</formula>
    </cfRule>
  </conditionalFormatting>
  <conditionalFormatting sqref="G239">
    <cfRule type="expression" dxfId="6794" priority="7161" stopIfTrue="1">
      <formula>$CN236="Exterior"</formula>
    </cfRule>
  </conditionalFormatting>
  <conditionalFormatting sqref="G239:L239">
    <cfRule type="containsBlanks" dxfId="6793" priority="7168" stopIfTrue="1">
      <formula>LEN(TRIM(G239))=0</formula>
    </cfRule>
    <cfRule type="expression" dxfId="6792" priority="7170">
      <formula>$HL237=FALSE</formula>
    </cfRule>
  </conditionalFormatting>
  <conditionalFormatting sqref="AF238">
    <cfRule type="expression" dxfId="6791" priority="7162" stopIfTrue="1">
      <formula>$G236=""</formula>
    </cfRule>
  </conditionalFormatting>
  <conditionalFormatting sqref="AF238:AI238">
    <cfRule type="expression" dxfId="6790" priority="7166">
      <formula>OR($HP237=FALSE,$HL237=FALSE)</formula>
    </cfRule>
  </conditionalFormatting>
  <conditionalFormatting sqref="AF238">
    <cfRule type="containsBlanks" dxfId="6789" priority="7163" stopIfTrue="1">
      <formula>LEN(TRIM(AF238))=0</formula>
    </cfRule>
    <cfRule type="expression" dxfId="6788" priority="7164">
      <formula>$DP236=7</formula>
    </cfRule>
    <cfRule type="expression" dxfId="6787" priority="7165">
      <formula>OR($HK237=FALSE,$HM237=FALSE)</formula>
    </cfRule>
  </conditionalFormatting>
  <conditionalFormatting sqref="G239:L239">
    <cfRule type="expression" dxfId="6786" priority="7169" stopIfTrue="1">
      <formula>$AF238=""</formula>
    </cfRule>
  </conditionalFormatting>
  <conditionalFormatting sqref="T237:U237">
    <cfRule type="expression" dxfId="6785" priority="7158" stopIfTrue="1">
      <formula>$C$36&lt;&gt;0</formula>
    </cfRule>
    <cfRule type="containsBlanks" dxfId="6784" priority="7159" stopIfTrue="1">
      <formula>LEN(TRIM(T237))=0</formula>
    </cfRule>
  </conditionalFormatting>
  <conditionalFormatting sqref="T237:U237">
    <cfRule type="expression" dxfId="6783" priority="7157" stopIfTrue="1">
      <formula>$G236=""</formula>
    </cfRule>
  </conditionalFormatting>
  <conditionalFormatting sqref="U237">
    <cfRule type="expression" dxfId="6782" priority="7160">
      <formula>$HE237=FALSE</formula>
    </cfRule>
  </conditionalFormatting>
  <conditionalFormatting sqref="T239">
    <cfRule type="expression" dxfId="6781" priority="7156">
      <formula>$C$36=2</formula>
    </cfRule>
  </conditionalFormatting>
  <conditionalFormatting sqref="AE243">
    <cfRule type="expression" dxfId="6780" priority="7142" stopIfTrue="1">
      <formula>$G241=""</formula>
    </cfRule>
  </conditionalFormatting>
  <conditionalFormatting sqref="AB244:AD244">
    <cfRule type="expression" dxfId="6779" priority="7154" stopIfTrue="1">
      <formula>$G241=""</formula>
    </cfRule>
  </conditionalFormatting>
  <conditionalFormatting sqref="G243">
    <cfRule type="expression" dxfId="6778" priority="7151" stopIfTrue="1">
      <formula>$G241=""</formula>
    </cfRule>
    <cfRule type="containsBlanks" dxfId="6777" priority="7152" stopIfTrue="1">
      <formula>LEN(TRIM(G243))=0</formula>
    </cfRule>
    <cfRule type="expression" dxfId="6776" priority="7153">
      <formula>OR($M243=0,$HC242=FALSE)</formula>
    </cfRule>
  </conditionalFormatting>
  <conditionalFormatting sqref="AB244">
    <cfRule type="expression" dxfId="6775" priority="7150" stopIfTrue="1">
      <formula>$AB244=""</formula>
    </cfRule>
  </conditionalFormatting>
  <conditionalFormatting sqref="AE242:AF242">
    <cfRule type="expression" dxfId="6774" priority="7149">
      <formula>$C$36=2</formula>
    </cfRule>
  </conditionalFormatting>
  <conditionalFormatting sqref="T243:U243">
    <cfRule type="expression" dxfId="6773" priority="7124" stopIfTrue="1">
      <formula>$G241=""</formula>
    </cfRule>
  </conditionalFormatting>
  <conditionalFormatting sqref="T243:U243">
    <cfRule type="containsBlanks" dxfId="6772" priority="7147" stopIfTrue="1">
      <formula>LEN(TRIM(T243))=0</formula>
    </cfRule>
  </conditionalFormatting>
  <conditionalFormatting sqref="AC241:AD241">
    <cfRule type="expression" dxfId="6771" priority="7146">
      <formula>$G241=""</formula>
    </cfRule>
  </conditionalFormatting>
  <conditionalFormatting sqref="AE242">
    <cfRule type="containsBlanks" dxfId="6770" priority="7144">
      <formula>LEN(TRIM(AE242))=0</formula>
    </cfRule>
  </conditionalFormatting>
  <conditionalFormatting sqref="AE243 AF244">
    <cfRule type="containsBlanks" dxfId="6769" priority="7143" stopIfTrue="1">
      <formula>LEN(TRIM(AE243))=0</formula>
    </cfRule>
  </conditionalFormatting>
  <conditionalFormatting sqref="AE243">
    <cfRule type="expression" dxfId="6768" priority="7155">
      <formula>OR($HN242=FALSE,$HO242=FALSE)</formula>
    </cfRule>
  </conditionalFormatting>
  <conditionalFormatting sqref="G242:Q242 G241">
    <cfRule type="containsBlanks" dxfId="6767" priority="7141">
      <formula>LEN(TRIM(G241))=0</formula>
    </cfRule>
  </conditionalFormatting>
  <conditionalFormatting sqref="G242:L242">
    <cfRule type="expression" dxfId="6766" priority="7139" stopIfTrue="1">
      <formula>$G241=""</formula>
    </cfRule>
    <cfRule type="containsBlanks" dxfId="6765" priority="7140">
      <formula>LEN(TRIM(G242))=0</formula>
    </cfRule>
  </conditionalFormatting>
  <conditionalFormatting sqref="R243">
    <cfRule type="expression" dxfId="6764" priority="7137" stopIfTrue="1">
      <formula>$G241=""</formula>
    </cfRule>
    <cfRule type="containsBlanks" dxfId="6763" priority="7138">
      <formula>LEN(TRIM(R243))=0</formula>
    </cfRule>
  </conditionalFormatting>
  <conditionalFormatting sqref="P243:R243">
    <cfRule type="expression" dxfId="6762" priority="7136">
      <formula>$C$36=0</formula>
    </cfRule>
  </conditionalFormatting>
  <conditionalFormatting sqref="AF242">
    <cfRule type="containsBlanks" dxfId="6761" priority="7132">
      <formula>LEN(TRIM(AF242))=0</formula>
    </cfRule>
    <cfRule type="expression" dxfId="6760" priority="7133">
      <formula>$HJ242=FALSE</formula>
    </cfRule>
  </conditionalFormatting>
  <conditionalFormatting sqref="AF244">
    <cfRule type="expression" dxfId="6759" priority="7131">
      <formula>$C$36=2</formula>
    </cfRule>
  </conditionalFormatting>
  <conditionalFormatting sqref="R242">
    <cfRule type="containsBlanks" dxfId="6758" priority="7130">
      <formula>LEN(TRIM(R242))=0</formula>
    </cfRule>
  </conditionalFormatting>
  <conditionalFormatting sqref="AE242:AF242">
    <cfRule type="expression" dxfId="6757" priority="7129" stopIfTrue="1">
      <formula>$G241=""</formula>
    </cfRule>
  </conditionalFormatting>
  <conditionalFormatting sqref="AF244">
    <cfRule type="expression" dxfId="6756" priority="7128" stopIfTrue="1">
      <formula>$G241=""</formula>
    </cfRule>
  </conditionalFormatting>
  <conditionalFormatting sqref="AF241:AI241">
    <cfRule type="expression" dxfId="6755" priority="7127">
      <formula>$C$36&lt;&gt;0</formula>
    </cfRule>
  </conditionalFormatting>
  <conditionalFormatting sqref="R242">
    <cfRule type="containsBlanks" dxfId="6754" priority="7125">
      <formula>LEN(TRIM(R242))=0</formula>
    </cfRule>
  </conditionalFormatting>
  <conditionalFormatting sqref="U243">
    <cfRule type="expression" dxfId="6753" priority="7148">
      <formula>OR($HF242=FALSE,$HG242=FALSE)</formula>
    </cfRule>
  </conditionalFormatting>
  <conditionalFormatting sqref="R242">
    <cfRule type="expression" dxfId="6752" priority="7122" stopIfTrue="1">
      <formula>$G241=""</formula>
    </cfRule>
    <cfRule type="expression" dxfId="6751" priority="7123">
      <formula>$HT242=FALSE</formula>
    </cfRule>
  </conditionalFormatting>
  <conditionalFormatting sqref="G244">
    <cfRule type="expression" dxfId="6750" priority="7117" stopIfTrue="1">
      <formula>$G241=""</formula>
    </cfRule>
  </conditionalFormatting>
  <conditionalFormatting sqref="G244">
    <cfRule type="expression" dxfId="6749" priority="7111" stopIfTrue="1">
      <formula>$CN241="Exterior"</formula>
    </cfRule>
  </conditionalFormatting>
  <conditionalFormatting sqref="G244:L244">
    <cfRule type="containsBlanks" dxfId="6748" priority="7118" stopIfTrue="1">
      <formula>LEN(TRIM(G244))=0</formula>
    </cfRule>
    <cfRule type="expression" dxfId="6747" priority="7120">
      <formula>$HL242=FALSE</formula>
    </cfRule>
  </conditionalFormatting>
  <conditionalFormatting sqref="AF243">
    <cfRule type="expression" dxfId="6746" priority="7112" stopIfTrue="1">
      <formula>$G241=""</formula>
    </cfRule>
  </conditionalFormatting>
  <conditionalFormatting sqref="AF243:AI243">
    <cfRule type="expression" dxfId="6745" priority="7116">
      <formula>OR($HP242=FALSE,$HL242=FALSE)</formula>
    </cfRule>
  </conditionalFormatting>
  <conditionalFormatting sqref="AF243">
    <cfRule type="containsBlanks" dxfId="6744" priority="7113" stopIfTrue="1">
      <formula>LEN(TRIM(AF243))=0</formula>
    </cfRule>
    <cfRule type="expression" dxfId="6743" priority="7114">
      <formula>$DP241=7</formula>
    </cfRule>
    <cfRule type="expression" dxfId="6742" priority="7115">
      <formula>OR($HK242=FALSE,$HM242=FALSE)</formula>
    </cfRule>
  </conditionalFormatting>
  <conditionalFormatting sqref="G244:L244">
    <cfRule type="expression" dxfId="6741" priority="7119" stopIfTrue="1">
      <formula>$AF243=""</formula>
    </cfRule>
  </conditionalFormatting>
  <conditionalFormatting sqref="T242:U242">
    <cfRule type="expression" dxfId="6740" priority="7108" stopIfTrue="1">
      <formula>$C$36&lt;&gt;0</formula>
    </cfRule>
    <cfRule type="containsBlanks" dxfId="6739" priority="7109" stopIfTrue="1">
      <formula>LEN(TRIM(T242))=0</formula>
    </cfRule>
  </conditionalFormatting>
  <conditionalFormatting sqref="T242:U242">
    <cfRule type="expression" dxfId="6738" priority="7107" stopIfTrue="1">
      <formula>$G241=""</formula>
    </cfRule>
  </conditionalFormatting>
  <conditionalFormatting sqref="U242">
    <cfRule type="expression" dxfId="6737" priority="7110">
      <formula>$HE242=FALSE</formula>
    </cfRule>
  </conditionalFormatting>
  <conditionalFormatting sqref="T244">
    <cfRule type="expression" dxfId="6736" priority="7106">
      <formula>$C$36=2</formula>
    </cfRule>
  </conditionalFormatting>
  <conditionalFormatting sqref="AJ251:AL251">
    <cfRule type="expression" dxfId="6735" priority="7105" stopIfTrue="1">
      <formula>$G249=""</formula>
    </cfRule>
  </conditionalFormatting>
  <conditionalFormatting sqref="AR249:AR252">
    <cfRule type="expression" dxfId="6734" priority="7102" stopIfTrue="1">
      <formula>$C$36=2</formula>
    </cfRule>
    <cfRule type="cellIs" dxfId="6733" priority="7103" operator="equal">
      <formula>"Yes"</formula>
    </cfRule>
    <cfRule type="cellIs" dxfId="6732" priority="7104" operator="equal">
      <formula>"No"</formula>
    </cfRule>
  </conditionalFormatting>
  <conditionalFormatting sqref="AJ249:AL250">
    <cfRule type="expression" dxfId="6731" priority="7101">
      <formula>$G249=""</formula>
    </cfRule>
  </conditionalFormatting>
  <conditionalFormatting sqref="AM249 AO249:AP252">
    <cfRule type="expression" dxfId="6730" priority="7100">
      <formula>$G249=""</formula>
    </cfRule>
  </conditionalFormatting>
  <conditionalFormatting sqref="AT249:AT252">
    <cfRule type="expression" dxfId="6729" priority="7099">
      <formula>$G249=""</formula>
    </cfRule>
  </conditionalFormatting>
  <conditionalFormatting sqref="E252:F252">
    <cfRule type="expression" dxfId="6728" priority="7098">
      <formula>$CN249="Exterior"</formula>
    </cfRule>
  </conditionalFormatting>
  <conditionalFormatting sqref="AJ256:AL256">
    <cfRule type="expression" dxfId="6727" priority="7097" stopIfTrue="1">
      <formula>$G254=""</formula>
    </cfRule>
  </conditionalFormatting>
  <conditionalFormatting sqref="AR254:AR257">
    <cfRule type="expression" dxfId="6726" priority="7094" stopIfTrue="1">
      <formula>$C$36=2</formula>
    </cfRule>
    <cfRule type="cellIs" dxfId="6725" priority="7095" operator="equal">
      <formula>"Yes"</formula>
    </cfRule>
    <cfRule type="cellIs" dxfId="6724" priority="7096" operator="equal">
      <formula>"No"</formula>
    </cfRule>
  </conditionalFormatting>
  <conditionalFormatting sqref="AJ254:AL255">
    <cfRule type="expression" dxfId="6723" priority="7093">
      <formula>$G254=""</formula>
    </cfRule>
  </conditionalFormatting>
  <conditionalFormatting sqref="AM254 AO254:AP257">
    <cfRule type="expression" dxfId="6722" priority="7092">
      <formula>$G254=""</formula>
    </cfRule>
  </conditionalFormatting>
  <conditionalFormatting sqref="AT254:AT257">
    <cfRule type="expression" dxfId="6721" priority="7091">
      <formula>$G254=""</formula>
    </cfRule>
  </conditionalFormatting>
  <conditionalFormatting sqref="E257:F257">
    <cfRule type="expression" dxfId="6720" priority="7090">
      <formula>$CN254="Exterior"</formula>
    </cfRule>
  </conditionalFormatting>
  <conditionalFormatting sqref="AJ261:AL261">
    <cfRule type="expression" dxfId="6719" priority="7089" stopIfTrue="1">
      <formula>$G259=""</formula>
    </cfRule>
  </conditionalFormatting>
  <conditionalFormatting sqref="AR259:AR262">
    <cfRule type="expression" dxfId="6718" priority="7086" stopIfTrue="1">
      <formula>$C$36=2</formula>
    </cfRule>
    <cfRule type="cellIs" dxfId="6717" priority="7087" operator="equal">
      <formula>"Yes"</formula>
    </cfRule>
    <cfRule type="cellIs" dxfId="6716" priority="7088" operator="equal">
      <formula>"No"</formula>
    </cfRule>
  </conditionalFormatting>
  <conditionalFormatting sqref="AJ259:AL260">
    <cfRule type="expression" dxfId="6715" priority="7085">
      <formula>$G259=""</formula>
    </cfRule>
  </conditionalFormatting>
  <conditionalFormatting sqref="AM259 AO259:AP262">
    <cfRule type="expression" dxfId="6714" priority="7084">
      <formula>$G259=""</formula>
    </cfRule>
  </conditionalFormatting>
  <conditionalFormatting sqref="AT259:AT262">
    <cfRule type="expression" dxfId="6713" priority="7083">
      <formula>$G259=""</formula>
    </cfRule>
  </conditionalFormatting>
  <conditionalFormatting sqref="E262:F262">
    <cfRule type="expression" dxfId="6712" priority="7082">
      <formula>$CN259="Exterior"</formula>
    </cfRule>
  </conditionalFormatting>
  <conditionalFormatting sqref="AJ266:AL266">
    <cfRule type="expression" dxfId="6711" priority="7081" stopIfTrue="1">
      <formula>$G264=""</formula>
    </cfRule>
  </conditionalFormatting>
  <conditionalFormatting sqref="AR264:AR267">
    <cfRule type="expression" dxfId="6710" priority="7078" stopIfTrue="1">
      <formula>$C$36=2</formula>
    </cfRule>
    <cfRule type="cellIs" dxfId="6709" priority="7079" operator="equal">
      <formula>"Yes"</formula>
    </cfRule>
    <cfRule type="cellIs" dxfId="6708" priority="7080" operator="equal">
      <formula>"No"</formula>
    </cfRule>
  </conditionalFormatting>
  <conditionalFormatting sqref="AJ264:AL265">
    <cfRule type="expression" dxfId="6707" priority="7077">
      <formula>$G264=""</formula>
    </cfRule>
  </conditionalFormatting>
  <conditionalFormatting sqref="AM264 AO264:AP267">
    <cfRule type="expression" dxfId="6706" priority="7076">
      <formula>$G264=""</formula>
    </cfRule>
  </conditionalFormatting>
  <conditionalFormatting sqref="AT264:AT267">
    <cfRule type="expression" dxfId="6705" priority="7075">
      <formula>$G264=""</formula>
    </cfRule>
  </conditionalFormatting>
  <conditionalFormatting sqref="E267:F267">
    <cfRule type="expression" dxfId="6704" priority="7074">
      <formula>$CN264="Exterior"</formula>
    </cfRule>
  </conditionalFormatting>
  <conditionalFormatting sqref="AJ271:AL271">
    <cfRule type="expression" dxfId="6703" priority="7073" stopIfTrue="1">
      <formula>$G269=""</formula>
    </cfRule>
  </conditionalFormatting>
  <conditionalFormatting sqref="AR269:AR272">
    <cfRule type="expression" dxfId="6702" priority="7070" stopIfTrue="1">
      <formula>$C$36=2</formula>
    </cfRule>
    <cfRule type="cellIs" dxfId="6701" priority="7071" operator="equal">
      <formula>"Yes"</formula>
    </cfRule>
    <cfRule type="cellIs" dxfId="6700" priority="7072" operator="equal">
      <formula>"No"</formula>
    </cfRule>
  </conditionalFormatting>
  <conditionalFormatting sqref="AJ269:AL270">
    <cfRule type="expression" dxfId="6699" priority="7069">
      <formula>$G269=""</formula>
    </cfRule>
  </conditionalFormatting>
  <conditionalFormatting sqref="AM269 AO269:AP272">
    <cfRule type="expression" dxfId="6698" priority="7068">
      <formula>$G269=""</formula>
    </cfRule>
  </conditionalFormatting>
  <conditionalFormatting sqref="AT269:AT272">
    <cfRule type="expression" dxfId="6697" priority="7067">
      <formula>$G269=""</formula>
    </cfRule>
  </conditionalFormatting>
  <conditionalFormatting sqref="E272:F272">
    <cfRule type="expression" dxfId="6696" priority="7066">
      <formula>$CN269="Exterior"</formula>
    </cfRule>
  </conditionalFormatting>
  <conditionalFormatting sqref="AJ276:AL276">
    <cfRule type="expression" dxfId="6695" priority="7065" stopIfTrue="1">
      <formula>$G274=""</formula>
    </cfRule>
  </conditionalFormatting>
  <conditionalFormatting sqref="AR274:AR277">
    <cfRule type="expression" dxfId="6694" priority="7062" stopIfTrue="1">
      <formula>$C$36=2</formula>
    </cfRule>
    <cfRule type="cellIs" dxfId="6693" priority="7063" operator="equal">
      <formula>"Yes"</formula>
    </cfRule>
    <cfRule type="cellIs" dxfId="6692" priority="7064" operator="equal">
      <formula>"No"</formula>
    </cfRule>
  </conditionalFormatting>
  <conditionalFormatting sqref="AJ274:AL275">
    <cfRule type="expression" dxfId="6691" priority="7061">
      <formula>$G274=""</formula>
    </cfRule>
  </conditionalFormatting>
  <conditionalFormatting sqref="AM274 AO274:AP277">
    <cfRule type="expression" dxfId="6690" priority="7060">
      <formula>$G274=""</formula>
    </cfRule>
  </conditionalFormatting>
  <conditionalFormatting sqref="AT274:AT277">
    <cfRule type="expression" dxfId="6689" priority="7059">
      <formula>$G274=""</formula>
    </cfRule>
  </conditionalFormatting>
  <conditionalFormatting sqref="E277:F277">
    <cfRule type="expression" dxfId="6688" priority="7058">
      <formula>$CN274="Exterior"</formula>
    </cfRule>
  </conditionalFormatting>
  <conditionalFormatting sqref="AJ281:AL281">
    <cfRule type="expression" dxfId="6687" priority="7057" stopIfTrue="1">
      <formula>$G279=""</formula>
    </cfRule>
  </conditionalFormatting>
  <conditionalFormatting sqref="AR279:AR282">
    <cfRule type="expression" dxfId="6686" priority="7054" stopIfTrue="1">
      <formula>$C$36=2</formula>
    </cfRule>
    <cfRule type="cellIs" dxfId="6685" priority="7055" operator="equal">
      <formula>"Yes"</formula>
    </cfRule>
    <cfRule type="cellIs" dxfId="6684" priority="7056" operator="equal">
      <formula>"No"</formula>
    </cfRule>
  </conditionalFormatting>
  <conditionalFormatting sqref="AJ279:AL280">
    <cfRule type="expression" dxfId="6683" priority="7053">
      <formula>$G279=""</formula>
    </cfRule>
  </conditionalFormatting>
  <conditionalFormatting sqref="AM279 AO279:AP282">
    <cfRule type="expression" dxfId="6682" priority="7052">
      <formula>$G279=""</formula>
    </cfRule>
  </conditionalFormatting>
  <conditionalFormatting sqref="AT279:AT282">
    <cfRule type="expression" dxfId="6681" priority="7051">
      <formula>$G279=""</formula>
    </cfRule>
  </conditionalFormatting>
  <conditionalFormatting sqref="E282:F282">
    <cfRule type="expression" dxfId="6680" priority="7050">
      <formula>$CN279="Exterior"</formula>
    </cfRule>
  </conditionalFormatting>
  <conditionalFormatting sqref="AJ286:AL286">
    <cfRule type="expression" dxfId="6679" priority="7049" stopIfTrue="1">
      <formula>$G284=""</formula>
    </cfRule>
  </conditionalFormatting>
  <conditionalFormatting sqref="AR284:AR287">
    <cfRule type="expression" dxfId="6678" priority="7046" stopIfTrue="1">
      <formula>$C$36=2</formula>
    </cfRule>
    <cfRule type="cellIs" dxfId="6677" priority="7047" operator="equal">
      <formula>"Yes"</formula>
    </cfRule>
    <cfRule type="cellIs" dxfId="6676" priority="7048" operator="equal">
      <formula>"No"</formula>
    </cfRule>
  </conditionalFormatting>
  <conditionalFormatting sqref="AJ284:AL285">
    <cfRule type="expression" dxfId="6675" priority="7045">
      <formula>$G284=""</formula>
    </cfRule>
  </conditionalFormatting>
  <conditionalFormatting sqref="AM284 AO284:AP287">
    <cfRule type="expression" dxfId="6674" priority="7044">
      <formula>$G284=""</formula>
    </cfRule>
  </conditionalFormatting>
  <conditionalFormatting sqref="AT284:AT287">
    <cfRule type="expression" dxfId="6673" priority="7043">
      <formula>$G284=""</formula>
    </cfRule>
  </conditionalFormatting>
  <conditionalFormatting sqref="E287:F287">
    <cfRule type="expression" dxfId="6672" priority="7042">
      <formula>$CN284="Exterior"</formula>
    </cfRule>
  </conditionalFormatting>
  <conditionalFormatting sqref="AJ291:AL291">
    <cfRule type="expression" dxfId="6671" priority="7041" stopIfTrue="1">
      <formula>$G289=""</formula>
    </cfRule>
  </conditionalFormatting>
  <conditionalFormatting sqref="AR289:AR292">
    <cfRule type="expression" dxfId="6670" priority="7038" stopIfTrue="1">
      <formula>$C$36=2</formula>
    </cfRule>
    <cfRule type="cellIs" dxfId="6669" priority="7039" operator="equal">
      <formula>"Yes"</formula>
    </cfRule>
    <cfRule type="cellIs" dxfId="6668" priority="7040" operator="equal">
      <formula>"No"</formula>
    </cfRule>
  </conditionalFormatting>
  <conditionalFormatting sqref="AJ289:AL290">
    <cfRule type="expression" dxfId="6667" priority="7037">
      <formula>$G289=""</formula>
    </cfRule>
  </conditionalFormatting>
  <conditionalFormatting sqref="AM289 AO289:AP292">
    <cfRule type="expression" dxfId="6666" priority="7036">
      <formula>$G289=""</formula>
    </cfRule>
  </conditionalFormatting>
  <conditionalFormatting sqref="AT289:AT292">
    <cfRule type="expression" dxfId="6665" priority="7035">
      <formula>$G289=""</formula>
    </cfRule>
  </conditionalFormatting>
  <conditionalFormatting sqref="E292:F292">
    <cfRule type="expression" dxfId="6664" priority="7034">
      <formula>$CN289="Exterior"</formula>
    </cfRule>
  </conditionalFormatting>
  <conditionalFormatting sqref="AJ296:AL296">
    <cfRule type="expression" dxfId="6663" priority="7033" stopIfTrue="1">
      <formula>$G294=""</formula>
    </cfRule>
  </conditionalFormatting>
  <conditionalFormatting sqref="AR294:AR297">
    <cfRule type="expression" dxfId="6662" priority="7030" stopIfTrue="1">
      <formula>$C$36=2</formula>
    </cfRule>
    <cfRule type="cellIs" dxfId="6661" priority="7031" operator="equal">
      <formula>"Yes"</formula>
    </cfRule>
    <cfRule type="cellIs" dxfId="6660" priority="7032" operator="equal">
      <formula>"No"</formula>
    </cfRule>
  </conditionalFormatting>
  <conditionalFormatting sqref="AJ294:AL295">
    <cfRule type="expression" dxfId="6659" priority="7029">
      <formula>$G294=""</formula>
    </cfRule>
  </conditionalFormatting>
  <conditionalFormatting sqref="AM294 AO294:AP297">
    <cfRule type="expression" dxfId="6658" priority="7028">
      <formula>$G294=""</formula>
    </cfRule>
  </conditionalFormatting>
  <conditionalFormatting sqref="AT294:AT297">
    <cfRule type="expression" dxfId="6657" priority="7027">
      <formula>$G294=""</formula>
    </cfRule>
  </conditionalFormatting>
  <conditionalFormatting sqref="E297:F297">
    <cfRule type="expression" dxfId="6656" priority="7026">
      <formula>$CN294="Exterior"</formula>
    </cfRule>
  </conditionalFormatting>
  <conditionalFormatting sqref="AJ301:AL301">
    <cfRule type="expression" dxfId="6655" priority="7025" stopIfTrue="1">
      <formula>$G299=""</formula>
    </cfRule>
  </conditionalFormatting>
  <conditionalFormatting sqref="AR299:AR302">
    <cfRule type="expression" dxfId="6654" priority="7022" stopIfTrue="1">
      <formula>$C$36=2</formula>
    </cfRule>
    <cfRule type="cellIs" dxfId="6653" priority="7023" operator="equal">
      <formula>"Yes"</formula>
    </cfRule>
    <cfRule type="cellIs" dxfId="6652" priority="7024" operator="equal">
      <formula>"No"</formula>
    </cfRule>
  </conditionalFormatting>
  <conditionalFormatting sqref="AJ299:AL300">
    <cfRule type="expression" dxfId="6651" priority="7021">
      <formula>$G299=""</formula>
    </cfRule>
  </conditionalFormatting>
  <conditionalFormatting sqref="AM299 AO299:AP302">
    <cfRule type="expression" dxfId="6650" priority="7020">
      <formula>$G299=""</formula>
    </cfRule>
  </conditionalFormatting>
  <conditionalFormatting sqref="AT299:AT302">
    <cfRule type="expression" dxfId="6649" priority="7019">
      <formula>$G299=""</formula>
    </cfRule>
  </conditionalFormatting>
  <conditionalFormatting sqref="E302:F302">
    <cfRule type="expression" dxfId="6648" priority="7018">
      <formula>$CN299="Exterior"</formula>
    </cfRule>
  </conditionalFormatting>
  <conditionalFormatting sqref="AJ306:AL306">
    <cfRule type="expression" dxfId="6647" priority="7017" stopIfTrue="1">
      <formula>$G304=""</formula>
    </cfRule>
  </conditionalFormatting>
  <conditionalFormatting sqref="AR304:AR307">
    <cfRule type="expression" dxfId="6646" priority="7014" stopIfTrue="1">
      <formula>$C$36=2</formula>
    </cfRule>
    <cfRule type="cellIs" dxfId="6645" priority="7015" operator="equal">
      <formula>"Yes"</formula>
    </cfRule>
    <cfRule type="cellIs" dxfId="6644" priority="7016" operator="equal">
      <formula>"No"</formula>
    </cfRule>
  </conditionalFormatting>
  <conditionalFormatting sqref="AJ304:AL305">
    <cfRule type="expression" dxfId="6643" priority="7013">
      <formula>$G304=""</formula>
    </cfRule>
  </conditionalFormatting>
  <conditionalFormatting sqref="AM304 AO304:AP307">
    <cfRule type="expression" dxfId="6642" priority="7012">
      <formula>$G304=""</formula>
    </cfRule>
  </conditionalFormatting>
  <conditionalFormatting sqref="AT304:AT307">
    <cfRule type="expression" dxfId="6641" priority="7011">
      <formula>$G304=""</formula>
    </cfRule>
  </conditionalFormatting>
  <conditionalFormatting sqref="E307:F307">
    <cfRule type="expression" dxfId="6640" priority="7010">
      <formula>$CN304="Exterior"</formula>
    </cfRule>
  </conditionalFormatting>
  <conditionalFormatting sqref="AJ311:AL311">
    <cfRule type="expression" dxfId="6639" priority="7009" stopIfTrue="1">
      <formula>$G309=""</formula>
    </cfRule>
  </conditionalFormatting>
  <conditionalFormatting sqref="AR309:AR312">
    <cfRule type="expression" dxfId="6638" priority="7006" stopIfTrue="1">
      <formula>$C$36=2</formula>
    </cfRule>
    <cfRule type="cellIs" dxfId="6637" priority="7007" operator="equal">
      <formula>"Yes"</formula>
    </cfRule>
    <cfRule type="cellIs" dxfId="6636" priority="7008" operator="equal">
      <formula>"No"</formula>
    </cfRule>
  </conditionalFormatting>
  <conditionalFormatting sqref="AJ309:AL310">
    <cfRule type="expression" dxfId="6635" priority="7005">
      <formula>$G309=""</formula>
    </cfRule>
  </conditionalFormatting>
  <conditionalFormatting sqref="AM309 AO309:AP312">
    <cfRule type="expression" dxfId="6634" priority="7004">
      <formula>$G309=""</formula>
    </cfRule>
  </conditionalFormatting>
  <conditionalFormatting sqref="AT309:AT312">
    <cfRule type="expression" dxfId="6633" priority="7003">
      <formula>$G309=""</formula>
    </cfRule>
  </conditionalFormatting>
  <conditionalFormatting sqref="E312:F312">
    <cfRule type="expression" dxfId="6632" priority="7002">
      <formula>$CN309="Exterior"</formula>
    </cfRule>
  </conditionalFormatting>
  <conditionalFormatting sqref="AJ316:AL316">
    <cfRule type="expression" dxfId="6631" priority="7001" stopIfTrue="1">
      <formula>$G314=""</formula>
    </cfRule>
  </conditionalFormatting>
  <conditionalFormatting sqref="AR314:AR317">
    <cfRule type="expression" dxfId="6630" priority="6998" stopIfTrue="1">
      <formula>$C$36=2</formula>
    </cfRule>
    <cfRule type="cellIs" dxfId="6629" priority="6999" operator="equal">
      <formula>"Yes"</formula>
    </cfRule>
    <cfRule type="cellIs" dxfId="6628" priority="7000" operator="equal">
      <formula>"No"</formula>
    </cfRule>
  </conditionalFormatting>
  <conditionalFormatting sqref="AJ314:AL315">
    <cfRule type="expression" dxfId="6627" priority="6997">
      <formula>$G314=""</formula>
    </cfRule>
  </conditionalFormatting>
  <conditionalFormatting sqref="AM314 AO314:AP317">
    <cfRule type="expression" dxfId="6626" priority="6996">
      <formula>$G314=""</formula>
    </cfRule>
  </conditionalFormatting>
  <conditionalFormatting sqref="AT314:AT317">
    <cfRule type="expression" dxfId="6625" priority="6995">
      <formula>$G314=""</formula>
    </cfRule>
  </conditionalFormatting>
  <conditionalFormatting sqref="E317:F317">
    <cfRule type="expression" dxfId="6624" priority="6994">
      <formula>$CN314="Exterior"</formula>
    </cfRule>
  </conditionalFormatting>
  <conditionalFormatting sqref="AJ321:AL321">
    <cfRule type="expression" dxfId="6623" priority="6993" stopIfTrue="1">
      <formula>$G319=""</formula>
    </cfRule>
  </conditionalFormatting>
  <conditionalFormatting sqref="AR319:AR322">
    <cfRule type="expression" dxfId="6622" priority="6990" stopIfTrue="1">
      <formula>$C$36=2</formula>
    </cfRule>
    <cfRule type="cellIs" dxfId="6621" priority="6991" operator="equal">
      <formula>"Yes"</formula>
    </cfRule>
    <cfRule type="cellIs" dxfId="6620" priority="6992" operator="equal">
      <formula>"No"</formula>
    </cfRule>
  </conditionalFormatting>
  <conditionalFormatting sqref="AJ319:AL320">
    <cfRule type="expression" dxfId="6619" priority="6989">
      <formula>$G319=""</formula>
    </cfRule>
  </conditionalFormatting>
  <conditionalFormatting sqref="AM319 AO319:AP322">
    <cfRule type="expression" dxfId="6618" priority="6988">
      <formula>$G319=""</formula>
    </cfRule>
  </conditionalFormatting>
  <conditionalFormatting sqref="AT319:AT322">
    <cfRule type="expression" dxfId="6617" priority="6987">
      <formula>$G319=""</formula>
    </cfRule>
  </conditionalFormatting>
  <conditionalFormatting sqref="E322:F322">
    <cfRule type="expression" dxfId="6616" priority="6986">
      <formula>$CN319="Exterior"</formula>
    </cfRule>
  </conditionalFormatting>
  <conditionalFormatting sqref="AE251">
    <cfRule type="expression" dxfId="6615" priority="6972" stopIfTrue="1">
      <formula>$G249=""</formula>
    </cfRule>
  </conditionalFormatting>
  <conditionalFormatting sqref="AB252:AD252">
    <cfRule type="expression" dxfId="6614" priority="6984" stopIfTrue="1">
      <formula>$G249=""</formula>
    </cfRule>
  </conditionalFormatting>
  <conditionalFormatting sqref="G251">
    <cfRule type="expression" dxfId="6613" priority="6981" stopIfTrue="1">
      <formula>$G249=""</formula>
    </cfRule>
    <cfRule type="containsBlanks" dxfId="6612" priority="6982" stopIfTrue="1">
      <formula>LEN(TRIM(G251))=0</formula>
    </cfRule>
    <cfRule type="expression" dxfId="6611" priority="6983">
      <formula>OR($M251=0,$HC250=FALSE)</formula>
    </cfRule>
  </conditionalFormatting>
  <conditionalFormatting sqref="AB252">
    <cfRule type="expression" dxfId="6610" priority="6980" stopIfTrue="1">
      <formula>$AB252=""</formula>
    </cfRule>
  </conditionalFormatting>
  <conditionalFormatting sqref="AE250:AF250">
    <cfRule type="expression" dxfId="6609" priority="6979">
      <formula>$C$36=2</formula>
    </cfRule>
  </conditionalFormatting>
  <conditionalFormatting sqref="T251:U251">
    <cfRule type="expression" dxfId="6608" priority="6954" stopIfTrue="1">
      <formula>$G249=""</formula>
    </cfRule>
  </conditionalFormatting>
  <conditionalFormatting sqref="T251:U251">
    <cfRule type="containsBlanks" dxfId="6607" priority="6977" stopIfTrue="1">
      <formula>LEN(TRIM(T251))=0</formula>
    </cfRule>
  </conditionalFormatting>
  <conditionalFormatting sqref="AC249:AD249">
    <cfRule type="expression" dxfId="6606" priority="6976">
      <formula>$G249=""</formula>
    </cfRule>
  </conditionalFormatting>
  <conditionalFormatting sqref="AE250">
    <cfRule type="containsBlanks" dxfId="6605" priority="6974">
      <formula>LEN(TRIM(AE250))=0</formula>
    </cfRule>
  </conditionalFormatting>
  <conditionalFormatting sqref="AE251 AF252">
    <cfRule type="containsBlanks" dxfId="6604" priority="6973" stopIfTrue="1">
      <formula>LEN(TRIM(AE251))=0</formula>
    </cfRule>
  </conditionalFormatting>
  <conditionalFormatting sqref="AE251">
    <cfRule type="expression" dxfId="6603" priority="6985">
      <formula>OR($HN250=FALSE,$HO250=FALSE)</formula>
    </cfRule>
  </conditionalFormatting>
  <conditionalFormatting sqref="G250:Q250 G249">
    <cfRule type="containsBlanks" dxfId="6602" priority="6971">
      <formula>LEN(TRIM(G249))=0</formula>
    </cfRule>
  </conditionalFormatting>
  <conditionalFormatting sqref="G250:L250">
    <cfRule type="expression" dxfId="6601" priority="6969" stopIfTrue="1">
      <formula>$G249=""</formula>
    </cfRule>
    <cfRule type="containsBlanks" dxfId="6600" priority="6970">
      <formula>LEN(TRIM(G250))=0</formula>
    </cfRule>
  </conditionalFormatting>
  <conditionalFormatting sqref="R251">
    <cfRule type="expression" dxfId="6599" priority="6967" stopIfTrue="1">
      <formula>$G249=""</formula>
    </cfRule>
    <cfRule type="containsBlanks" dxfId="6598" priority="6968">
      <formula>LEN(TRIM(R251))=0</formula>
    </cfRule>
  </conditionalFormatting>
  <conditionalFormatting sqref="P251:R251">
    <cfRule type="expression" dxfId="6597" priority="6966">
      <formula>$C$36=0</formula>
    </cfRule>
  </conditionalFormatting>
  <conditionalFormatting sqref="AF250">
    <cfRule type="containsBlanks" dxfId="6596" priority="6962">
      <formula>LEN(TRIM(AF250))=0</formula>
    </cfRule>
    <cfRule type="expression" dxfId="6595" priority="6963">
      <formula>$HJ250=FALSE</formula>
    </cfRule>
  </conditionalFormatting>
  <conditionalFormatting sqref="AF252">
    <cfRule type="expression" dxfId="6594" priority="6961">
      <formula>$C$36=2</formula>
    </cfRule>
  </conditionalFormatting>
  <conditionalFormatting sqref="R250">
    <cfRule type="containsBlanks" dxfId="6593" priority="6960">
      <formula>LEN(TRIM(R250))=0</formula>
    </cfRule>
  </conditionalFormatting>
  <conditionalFormatting sqref="AE250:AF250">
    <cfRule type="expression" dxfId="6592" priority="6959" stopIfTrue="1">
      <formula>$G249=""</formula>
    </cfRule>
  </conditionalFormatting>
  <conditionalFormatting sqref="AF252">
    <cfRule type="expression" dxfId="6591" priority="6958" stopIfTrue="1">
      <formula>$G249=""</formula>
    </cfRule>
  </conditionalFormatting>
  <conditionalFormatting sqref="AF249:AI249">
    <cfRule type="expression" dxfId="6590" priority="6957">
      <formula>$C$36&lt;&gt;0</formula>
    </cfRule>
  </conditionalFormatting>
  <conditionalFormatting sqref="R250">
    <cfRule type="containsBlanks" dxfId="6589" priority="6955">
      <formula>LEN(TRIM(R250))=0</formula>
    </cfRule>
  </conditionalFormatting>
  <conditionalFormatting sqref="U251">
    <cfRule type="expression" dxfId="6588" priority="6978">
      <formula>OR($HF250=FALSE,$HG250=FALSE)</formula>
    </cfRule>
  </conditionalFormatting>
  <conditionalFormatting sqref="R250">
    <cfRule type="expression" dxfId="6587" priority="6952" stopIfTrue="1">
      <formula>$G249=""</formula>
    </cfRule>
    <cfRule type="expression" dxfId="6586" priority="6953">
      <formula>$HT250=FALSE</formula>
    </cfRule>
  </conditionalFormatting>
  <conditionalFormatting sqref="G252">
    <cfRule type="expression" dxfId="6585" priority="6947" stopIfTrue="1">
      <formula>$G249=""</formula>
    </cfRule>
  </conditionalFormatting>
  <conditionalFormatting sqref="G252">
    <cfRule type="expression" dxfId="6584" priority="6941" stopIfTrue="1">
      <formula>$CN249="Exterior"</formula>
    </cfRule>
  </conditionalFormatting>
  <conditionalFormatting sqref="G252:L252">
    <cfRule type="containsBlanks" dxfId="6583" priority="6948" stopIfTrue="1">
      <formula>LEN(TRIM(G252))=0</formula>
    </cfRule>
    <cfRule type="expression" dxfId="6582" priority="6950">
      <formula>$HL250=FALSE</formula>
    </cfRule>
  </conditionalFormatting>
  <conditionalFormatting sqref="AF251">
    <cfRule type="expression" dxfId="6581" priority="6942" stopIfTrue="1">
      <formula>$G249=""</formula>
    </cfRule>
  </conditionalFormatting>
  <conditionalFormatting sqref="AF251:AI251">
    <cfRule type="expression" dxfId="6580" priority="6946">
      <formula>OR($HP250=FALSE,$HL250=FALSE)</formula>
    </cfRule>
  </conditionalFormatting>
  <conditionalFormatting sqref="AF251">
    <cfRule type="containsBlanks" dxfId="6579" priority="6943" stopIfTrue="1">
      <formula>LEN(TRIM(AF251))=0</formula>
    </cfRule>
    <cfRule type="expression" dxfId="6578" priority="6944">
      <formula>$DP249=7</formula>
    </cfRule>
    <cfRule type="expression" dxfId="6577" priority="6945">
      <formula>OR($HK250=FALSE,$HM250=FALSE)</formula>
    </cfRule>
  </conditionalFormatting>
  <conditionalFormatting sqref="G252:L252">
    <cfRule type="expression" dxfId="6576" priority="6949" stopIfTrue="1">
      <formula>$AF251=""</formula>
    </cfRule>
  </conditionalFormatting>
  <conditionalFormatting sqref="T250:U250">
    <cfRule type="expression" dxfId="6575" priority="6938" stopIfTrue="1">
      <formula>$C$36&lt;&gt;0</formula>
    </cfRule>
    <cfRule type="containsBlanks" dxfId="6574" priority="6939" stopIfTrue="1">
      <formula>LEN(TRIM(T250))=0</formula>
    </cfRule>
  </conditionalFormatting>
  <conditionalFormatting sqref="T250:U250">
    <cfRule type="expression" dxfId="6573" priority="6937" stopIfTrue="1">
      <formula>$G249=""</formula>
    </cfRule>
  </conditionalFormatting>
  <conditionalFormatting sqref="U250">
    <cfRule type="expression" dxfId="6572" priority="6940">
      <formula>$HE250=FALSE</formula>
    </cfRule>
  </conditionalFormatting>
  <conditionalFormatting sqref="T252">
    <cfRule type="expression" dxfId="6571" priority="6936">
      <formula>$C$36=2</formula>
    </cfRule>
  </conditionalFormatting>
  <conditionalFormatting sqref="AE256">
    <cfRule type="expression" dxfId="6570" priority="6922" stopIfTrue="1">
      <formula>$G254=""</formula>
    </cfRule>
  </conditionalFormatting>
  <conditionalFormatting sqref="AB257:AD257">
    <cfRule type="expression" dxfId="6569" priority="6934" stopIfTrue="1">
      <formula>$G254=""</formula>
    </cfRule>
  </conditionalFormatting>
  <conditionalFormatting sqref="G256">
    <cfRule type="expression" dxfId="6568" priority="6931" stopIfTrue="1">
      <formula>$G254=""</formula>
    </cfRule>
    <cfRule type="containsBlanks" dxfId="6567" priority="6932" stopIfTrue="1">
      <formula>LEN(TRIM(G256))=0</formula>
    </cfRule>
    <cfRule type="expression" dxfId="6566" priority="6933">
      <formula>OR($M256=0,$HC255=FALSE)</formula>
    </cfRule>
  </conditionalFormatting>
  <conditionalFormatting sqref="AB257">
    <cfRule type="expression" dxfId="6565" priority="6930" stopIfTrue="1">
      <formula>$AB257=""</formula>
    </cfRule>
  </conditionalFormatting>
  <conditionalFormatting sqref="AE255:AF255">
    <cfRule type="expression" dxfId="6564" priority="6929">
      <formula>$C$36=2</formula>
    </cfRule>
  </conditionalFormatting>
  <conditionalFormatting sqref="T256:U256">
    <cfRule type="expression" dxfId="6563" priority="6904" stopIfTrue="1">
      <formula>$G254=""</formula>
    </cfRule>
  </conditionalFormatting>
  <conditionalFormatting sqref="T256:U256">
    <cfRule type="containsBlanks" dxfId="6562" priority="6927" stopIfTrue="1">
      <formula>LEN(TRIM(T256))=0</formula>
    </cfRule>
  </conditionalFormatting>
  <conditionalFormatting sqref="AC254:AD254">
    <cfRule type="expression" dxfId="6561" priority="6926">
      <formula>$G254=""</formula>
    </cfRule>
  </conditionalFormatting>
  <conditionalFormatting sqref="AE255">
    <cfRule type="containsBlanks" dxfId="6560" priority="6924">
      <formula>LEN(TRIM(AE255))=0</formula>
    </cfRule>
  </conditionalFormatting>
  <conditionalFormatting sqref="AE256 AF257">
    <cfRule type="containsBlanks" dxfId="6559" priority="6923" stopIfTrue="1">
      <formula>LEN(TRIM(AE256))=0</formula>
    </cfRule>
  </conditionalFormatting>
  <conditionalFormatting sqref="AE256">
    <cfRule type="expression" dxfId="6558" priority="6935">
      <formula>OR($HN255=FALSE,$HO255=FALSE)</formula>
    </cfRule>
  </conditionalFormatting>
  <conditionalFormatting sqref="G255:Q255 G254">
    <cfRule type="containsBlanks" dxfId="6557" priority="6921">
      <formula>LEN(TRIM(G254))=0</formula>
    </cfRule>
  </conditionalFormatting>
  <conditionalFormatting sqref="G255:L255">
    <cfRule type="expression" dxfId="6556" priority="6919" stopIfTrue="1">
      <formula>$G254=""</formula>
    </cfRule>
    <cfRule type="containsBlanks" dxfId="6555" priority="6920">
      <formula>LEN(TRIM(G255))=0</formula>
    </cfRule>
  </conditionalFormatting>
  <conditionalFormatting sqref="R256">
    <cfRule type="expression" dxfId="6554" priority="6917" stopIfTrue="1">
      <formula>$G254=""</formula>
    </cfRule>
    <cfRule type="containsBlanks" dxfId="6553" priority="6918">
      <formula>LEN(TRIM(R256))=0</formula>
    </cfRule>
  </conditionalFormatting>
  <conditionalFormatting sqref="P256:R256">
    <cfRule type="expression" dxfId="6552" priority="6916">
      <formula>$C$36=0</formula>
    </cfRule>
  </conditionalFormatting>
  <conditionalFormatting sqref="AF255">
    <cfRule type="containsBlanks" dxfId="6551" priority="6912">
      <formula>LEN(TRIM(AF255))=0</formula>
    </cfRule>
    <cfRule type="expression" dxfId="6550" priority="6913">
      <formula>$HJ255=FALSE</formula>
    </cfRule>
  </conditionalFormatting>
  <conditionalFormatting sqref="AF257">
    <cfRule type="expression" dxfId="6549" priority="6911">
      <formula>$C$36=2</formula>
    </cfRule>
  </conditionalFormatting>
  <conditionalFormatting sqref="R255">
    <cfRule type="containsBlanks" dxfId="6548" priority="6910">
      <formula>LEN(TRIM(R255))=0</formula>
    </cfRule>
  </conditionalFormatting>
  <conditionalFormatting sqref="AE255:AF255">
    <cfRule type="expression" dxfId="6547" priority="6909" stopIfTrue="1">
      <formula>$G254=""</formula>
    </cfRule>
  </conditionalFormatting>
  <conditionalFormatting sqref="AF257">
    <cfRule type="expression" dxfId="6546" priority="6908" stopIfTrue="1">
      <formula>$G254=""</formula>
    </cfRule>
  </conditionalFormatting>
  <conditionalFormatting sqref="AF254:AI254">
    <cfRule type="expression" dxfId="6545" priority="6907">
      <formula>$C$36&lt;&gt;0</formula>
    </cfRule>
  </conditionalFormatting>
  <conditionalFormatting sqref="R255">
    <cfRule type="containsBlanks" dxfId="6544" priority="6905">
      <formula>LEN(TRIM(R255))=0</formula>
    </cfRule>
  </conditionalFormatting>
  <conditionalFormatting sqref="U256">
    <cfRule type="expression" dxfId="6543" priority="6928">
      <formula>OR($HF255=FALSE,$HG255=FALSE)</formula>
    </cfRule>
  </conditionalFormatting>
  <conditionalFormatting sqref="R255">
    <cfRule type="expression" dxfId="6542" priority="6902" stopIfTrue="1">
      <formula>$G254=""</formula>
    </cfRule>
    <cfRule type="expression" dxfId="6541" priority="6903">
      <formula>$HT255=FALSE</formula>
    </cfRule>
  </conditionalFormatting>
  <conditionalFormatting sqref="G257">
    <cfRule type="expression" dxfId="6540" priority="6897" stopIfTrue="1">
      <formula>$G254=""</formula>
    </cfRule>
  </conditionalFormatting>
  <conditionalFormatting sqref="G257">
    <cfRule type="expression" dxfId="6539" priority="6891" stopIfTrue="1">
      <formula>$CN254="Exterior"</formula>
    </cfRule>
  </conditionalFormatting>
  <conditionalFormatting sqref="G257:L257">
    <cfRule type="containsBlanks" dxfId="6538" priority="6898" stopIfTrue="1">
      <formula>LEN(TRIM(G257))=0</formula>
    </cfRule>
    <cfRule type="expression" dxfId="6537" priority="6900">
      <formula>$HL255=FALSE</formula>
    </cfRule>
  </conditionalFormatting>
  <conditionalFormatting sqref="AF256">
    <cfRule type="expression" dxfId="6536" priority="6892" stopIfTrue="1">
      <formula>$G254=""</formula>
    </cfRule>
  </conditionalFormatting>
  <conditionalFormatting sqref="AF256:AI256">
    <cfRule type="expression" dxfId="6535" priority="6896">
      <formula>OR($HP255=FALSE,$HL255=FALSE)</formula>
    </cfRule>
  </conditionalFormatting>
  <conditionalFormatting sqref="AF256">
    <cfRule type="containsBlanks" dxfId="6534" priority="6893" stopIfTrue="1">
      <formula>LEN(TRIM(AF256))=0</formula>
    </cfRule>
    <cfRule type="expression" dxfId="6533" priority="6894">
      <formula>$DP254=7</formula>
    </cfRule>
    <cfRule type="expression" dxfId="6532" priority="6895">
      <formula>OR($HK255=FALSE,$HM255=FALSE)</formula>
    </cfRule>
  </conditionalFormatting>
  <conditionalFormatting sqref="G257:L257">
    <cfRule type="expression" dxfId="6531" priority="6899" stopIfTrue="1">
      <formula>$AF256=""</formula>
    </cfRule>
  </conditionalFormatting>
  <conditionalFormatting sqref="T255:U255">
    <cfRule type="expression" dxfId="6530" priority="6888" stopIfTrue="1">
      <formula>$C$36&lt;&gt;0</formula>
    </cfRule>
    <cfRule type="containsBlanks" dxfId="6529" priority="6889" stopIfTrue="1">
      <formula>LEN(TRIM(T255))=0</formula>
    </cfRule>
  </conditionalFormatting>
  <conditionalFormatting sqref="T255:U255">
    <cfRule type="expression" dxfId="6528" priority="6887" stopIfTrue="1">
      <formula>$G254=""</formula>
    </cfRule>
  </conditionalFormatting>
  <conditionalFormatting sqref="U255">
    <cfRule type="expression" dxfId="6527" priority="6890">
      <formula>$HE255=FALSE</formula>
    </cfRule>
  </conditionalFormatting>
  <conditionalFormatting sqref="T257">
    <cfRule type="expression" dxfId="6526" priority="6886">
      <formula>$C$36=2</formula>
    </cfRule>
  </conditionalFormatting>
  <conditionalFormatting sqref="AE261">
    <cfRule type="expression" dxfId="6525" priority="6872" stopIfTrue="1">
      <formula>$G259=""</formula>
    </cfRule>
  </conditionalFormatting>
  <conditionalFormatting sqref="AB262:AD262">
    <cfRule type="expression" dxfId="6524" priority="6884" stopIfTrue="1">
      <formula>$G259=""</formula>
    </cfRule>
  </conditionalFormatting>
  <conditionalFormatting sqref="G261">
    <cfRule type="expression" dxfId="6523" priority="6881" stopIfTrue="1">
      <formula>$G259=""</formula>
    </cfRule>
    <cfRule type="containsBlanks" dxfId="6522" priority="6882" stopIfTrue="1">
      <formula>LEN(TRIM(G261))=0</formula>
    </cfRule>
    <cfRule type="expression" dxfId="6521" priority="6883">
      <formula>OR($M261=0,$HC260=FALSE)</formula>
    </cfRule>
  </conditionalFormatting>
  <conditionalFormatting sqref="AB262">
    <cfRule type="expression" dxfId="6520" priority="6880" stopIfTrue="1">
      <formula>$AB262=""</formula>
    </cfRule>
  </conditionalFormatting>
  <conditionalFormatting sqref="AE260:AF260">
    <cfRule type="expression" dxfId="6519" priority="6879">
      <formula>$C$36=2</formula>
    </cfRule>
  </conditionalFormatting>
  <conditionalFormatting sqref="T261:U261">
    <cfRule type="expression" dxfId="6518" priority="6854" stopIfTrue="1">
      <formula>$G259=""</formula>
    </cfRule>
  </conditionalFormatting>
  <conditionalFormatting sqref="T261:U261">
    <cfRule type="containsBlanks" dxfId="6517" priority="6877" stopIfTrue="1">
      <formula>LEN(TRIM(T261))=0</formula>
    </cfRule>
  </conditionalFormatting>
  <conditionalFormatting sqref="AC259:AD259">
    <cfRule type="expression" dxfId="6516" priority="6876">
      <formula>$G259=""</formula>
    </cfRule>
  </conditionalFormatting>
  <conditionalFormatting sqref="AE260">
    <cfRule type="containsBlanks" dxfId="6515" priority="6874">
      <formula>LEN(TRIM(AE260))=0</formula>
    </cfRule>
  </conditionalFormatting>
  <conditionalFormatting sqref="AE261 AF262">
    <cfRule type="containsBlanks" dxfId="6514" priority="6873" stopIfTrue="1">
      <formula>LEN(TRIM(AE261))=0</formula>
    </cfRule>
  </conditionalFormatting>
  <conditionalFormatting sqref="AE261">
    <cfRule type="expression" dxfId="6513" priority="6885">
      <formula>OR($HN260=FALSE,$HO260=FALSE)</formula>
    </cfRule>
  </conditionalFormatting>
  <conditionalFormatting sqref="G260:Q260 G259">
    <cfRule type="containsBlanks" dxfId="6512" priority="6871">
      <formula>LEN(TRIM(G259))=0</formula>
    </cfRule>
  </conditionalFormatting>
  <conditionalFormatting sqref="G260:L260">
    <cfRule type="expression" dxfId="6511" priority="6869" stopIfTrue="1">
      <formula>$G259=""</formula>
    </cfRule>
    <cfRule type="containsBlanks" dxfId="6510" priority="6870">
      <formula>LEN(TRIM(G260))=0</formula>
    </cfRule>
  </conditionalFormatting>
  <conditionalFormatting sqref="R261">
    <cfRule type="expression" dxfId="6509" priority="6867" stopIfTrue="1">
      <formula>$G259=""</formula>
    </cfRule>
    <cfRule type="containsBlanks" dxfId="6508" priority="6868">
      <formula>LEN(TRIM(R261))=0</formula>
    </cfRule>
  </conditionalFormatting>
  <conditionalFormatting sqref="P261:R261">
    <cfRule type="expression" dxfId="6507" priority="6866">
      <formula>$C$36=0</formula>
    </cfRule>
  </conditionalFormatting>
  <conditionalFormatting sqref="AF260">
    <cfRule type="containsBlanks" dxfId="6506" priority="6862">
      <formula>LEN(TRIM(AF260))=0</formula>
    </cfRule>
    <cfRule type="expression" dxfId="6505" priority="6863">
      <formula>$HJ260=FALSE</formula>
    </cfRule>
  </conditionalFormatting>
  <conditionalFormatting sqref="AF262">
    <cfRule type="expression" dxfId="6504" priority="6861">
      <formula>$C$36=2</formula>
    </cfRule>
  </conditionalFormatting>
  <conditionalFormatting sqref="R260">
    <cfRule type="containsBlanks" dxfId="6503" priority="6860">
      <formula>LEN(TRIM(R260))=0</formula>
    </cfRule>
  </conditionalFormatting>
  <conditionalFormatting sqref="AE260:AF260">
    <cfRule type="expression" dxfId="6502" priority="6859" stopIfTrue="1">
      <formula>$G259=""</formula>
    </cfRule>
  </conditionalFormatting>
  <conditionalFormatting sqref="AF262">
    <cfRule type="expression" dxfId="6501" priority="6858" stopIfTrue="1">
      <formula>$G259=""</formula>
    </cfRule>
  </conditionalFormatting>
  <conditionalFormatting sqref="AF259:AI259">
    <cfRule type="expression" dxfId="6500" priority="6857">
      <formula>$C$36&lt;&gt;0</formula>
    </cfRule>
  </conditionalFormatting>
  <conditionalFormatting sqref="R260">
    <cfRule type="containsBlanks" dxfId="6499" priority="6855">
      <formula>LEN(TRIM(R260))=0</formula>
    </cfRule>
  </conditionalFormatting>
  <conditionalFormatting sqref="U261">
    <cfRule type="expression" dxfId="6498" priority="6878">
      <formula>OR($HF260=FALSE,$HG260=FALSE)</formula>
    </cfRule>
  </conditionalFormatting>
  <conditionalFormatting sqref="R260">
    <cfRule type="expression" dxfId="6497" priority="6852" stopIfTrue="1">
      <formula>$G259=""</formula>
    </cfRule>
    <cfRule type="expression" dxfId="6496" priority="6853">
      <formula>$HT260=FALSE</formula>
    </cfRule>
  </conditionalFormatting>
  <conditionalFormatting sqref="G262">
    <cfRule type="expression" dxfId="6495" priority="6847" stopIfTrue="1">
      <formula>$G259=""</formula>
    </cfRule>
  </conditionalFormatting>
  <conditionalFormatting sqref="G262">
    <cfRule type="expression" dxfId="6494" priority="6841" stopIfTrue="1">
      <formula>$CN259="Exterior"</formula>
    </cfRule>
  </conditionalFormatting>
  <conditionalFormatting sqref="G262:L262">
    <cfRule type="containsBlanks" dxfId="6493" priority="6848" stopIfTrue="1">
      <formula>LEN(TRIM(G262))=0</formula>
    </cfRule>
    <cfRule type="expression" dxfId="6492" priority="6850">
      <formula>$HL260=FALSE</formula>
    </cfRule>
  </conditionalFormatting>
  <conditionalFormatting sqref="AF261">
    <cfRule type="expression" dxfId="6491" priority="6842" stopIfTrue="1">
      <formula>$G259=""</formula>
    </cfRule>
  </conditionalFormatting>
  <conditionalFormatting sqref="AF261:AI261">
    <cfRule type="expression" dxfId="6490" priority="6846">
      <formula>OR($HP260=FALSE,$HL260=FALSE)</formula>
    </cfRule>
  </conditionalFormatting>
  <conditionalFormatting sqref="AF261">
    <cfRule type="containsBlanks" dxfId="6489" priority="6843" stopIfTrue="1">
      <formula>LEN(TRIM(AF261))=0</formula>
    </cfRule>
    <cfRule type="expression" dxfId="6488" priority="6844">
      <formula>$DP259=7</formula>
    </cfRule>
    <cfRule type="expression" dxfId="6487" priority="6845">
      <formula>OR($HK260=FALSE,$HM260=FALSE)</formula>
    </cfRule>
  </conditionalFormatting>
  <conditionalFormatting sqref="G262:L262">
    <cfRule type="expression" dxfId="6486" priority="6849" stopIfTrue="1">
      <formula>$AF261=""</formula>
    </cfRule>
  </conditionalFormatting>
  <conditionalFormatting sqref="T260:U260">
    <cfRule type="expression" dxfId="6485" priority="6838" stopIfTrue="1">
      <formula>$C$36&lt;&gt;0</formula>
    </cfRule>
    <cfRule type="containsBlanks" dxfId="6484" priority="6839" stopIfTrue="1">
      <formula>LEN(TRIM(T260))=0</formula>
    </cfRule>
  </conditionalFormatting>
  <conditionalFormatting sqref="T260:U260">
    <cfRule type="expression" dxfId="6483" priority="6837" stopIfTrue="1">
      <formula>$G259=""</formula>
    </cfRule>
  </conditionalFormatting>
  <conditionalFormatting sqref="U260">
    <cfRule type="expression" dxfId="6482" priority="6840">
      <formula>$HE260=FALSE</formula>
    </cfRule>
  </conditionalFormatting>
  <conditionalFormatting sqref="T262">
    <cfRule type="expression" dxfId="6481" priority="6836">
      <formula>$C$36=2</formula>
    </cfRule>
  </conditionalFormatting>
  <conditionalFormatting sqref="AE266">
    <cfRule type="expression" dxfId="6480" priority="6822" stopIfTrue="1">
      <formula>$G264=""</formula>
    </cfRule>
  </conditionalFormatting>
  <conditionalFormatting sqref="AB267:AD267">
    <cfRule type="expression" dxfId="6479" priority="6834" stopIfTrue="1">
      <formula>$G264=""</formula>
    </cfRule>
  </conditionalFormatting>
  <conditionalFormatting sqref="G266">
    <cfRule type="expression" dxfId="6478" priority="6831" stopIfTrue="1">
      <formula>$G264=""</formula>
    </cfRule>
    <cfRule type="containsBlanks" dxfId="6477" priority="6832" stopIfTrue="1">
      <formula>LEN(TRIM(G266))=0</formula>
    </cfRule>
    <cfRule type="expression" dxfId="6476" priority="6833">
      <formula>OR($M266=0,$HC265=FALSE)</formula>
    </cfRule>
  </conditionalFormatting>
  <conditionalFormatting sqref="AB267">
    <cfRule type="expression" dxfId="6475" priority="6830" stopIfTrue="1">
      <formula>$AB267=""</formula>
    </cfRule>
  </conditionalFormatting>
  <conditionalFormatting sqref="AE265:AF265">
    <cfRule type="expression" dxfId="6474" priority="6829">
      <formula>$C$36=2</formula>
    </cfRule>
  </conditionalFormatting>
  <conditionalFormatting sqref="T266:U266">
    <cfRule type="expression" dxfId="6473" priority="6804" stopIfTrue="1">
      <formula>$G264=""</formula>
    </cfRule>
  </conditionalFormatting>
  <conditionalFormatting sqref="T266:U266">
    <cfRule type="containsBlanks" dxfId="6472" priority="6827" stopIfTrue="1">
      <formula>LEN(TRIM(T266))=0</formula>
    </cfRule>
  </conditionalFormatting>
  <conditionalFormatting sqref="AC264:AD264">
    <cfRule type="expression" dxfId="6471" priority="6826">
      <formula>$G264=""</formula>
    </cfRule>
  </conditionalFormatting>
  <conditionalFormatting sqref="AE265">
    <cfRule type="containsBlanks" dxfId="6470" priority="6824">
      <formula>LEN(TRIM(AE265))=0</formula>
    </cfRule>
  </conditionalFormatting>
  <conditionalFormatting sqref="AE266 AF267">
    <cfRule type="containsBlanks" dxfId="6469" priority="6823" stopIfTrue="1">
      <formula>LEN(TRIM(AE266))=0</formula>
    </cfRule>
  </conditionalFormatting>
  <conditionalFormatting sqref="AE266">
    <cfRule type="expression" dxfId="6468" priority="6835">
      <formula>OR($HN265=FALSE,$HO265=FALSE)</formula>
    </cfRule>
  </conditionalFormatting>
  <conditionalFormatting sqref="G265:Q265 G264">
    <cfRule type="containsBlanks" dxfId="6467" priority="6821">
      <formula>LEN(TRIM(G264))=0</formula>
    </cfRule>
  </conditionalFormatting>
  <conditionalFormatting sqref="G265:L265">
    <cfRule type="expression" dxfId="6466" priority="6819" stopIfTrue="1">
      <formula>$G264=""</formula>
    </cfRule>
    <cfRule type="containsBlanks" dxfId="6465" priority="6820">
      <formula>LEN(TRIM(G265))=0</formula>
    </cfRule>
  </conditionalFormatting>
  <conditionalFormatting sqref="R266">
    <cfRule type="expression" dxfId="6464" priority="6817" stopIfTrue="1">
      <formula>$G264=""</formula>
    </cfRule>
    <cfRule type="containsBlanks" dxfId="6463" priority="6818">
      <formula>LEN(TRIM(R266))=0</formula>
    </cfRule>
  </conditionalFormatting>
  <conditionalFormatting sqref="P266:R266">
    <cfRule type="expression" dxfId="6462" priority="6816">
      <formula>$C$36=0</formula>
    </cfRule>
  </conditionalFormatting>
  <conditionalFormatting sqref="AF265">
    <cfRule type="containsBlanks" dxfId="6461" priority="6812">
      <formula>LEN(TRIM(AF265))=0</formula>
    </cfRule>
    <cfRule type="expression" dxfId="6460" priority="6813">
      <formula>$HJ265=FALSE</formula>
    </cfRule>
  </conditionalFormatting>
  <conditionalFormatting sqref="AF267">
    <cfRule type="expression" dxfId="6459" priority="6811">
      <formula>$C$36=2</formula>
    </cfRule>
  </conditionalFormatting>
  <conditionalFormatting sqref="R265">
    <cfRule type="containsBlanks" dxfId="6458" priority="6810">
      <formula>LEN(TRIM(R265))=0</formula>
    </cfRule>
  </conditionalFormatting>
  <conditionalFormatting sqref="AE265:AF265">
    <cfRule type="expression" dxfId="6457" priority="6809" stopIfTrue="1">
      <formula>$G264=""</formula>
    </cfRule>
  </conditionalFormatting>
  <conditionalFormatting sqref="AF267">
    <cfRule type="expression" dxfId="6456" priority="6808" stopIfTrue="1">
      <formula>$G264=""</formula>
    </cfRule>
  </conditionalFormatting>
  <conditionalFormatting sqref="AF264:AI264">
    <cfRule type="expression" dxfId="6455" priority="6807">
      <formula>$C$36&lt;&gt;0</formula>
    </cfRule>
  </conditionalFormatting>
  <conditionalFormatting sqref="R265">
    <cfRule type="containsBlanks" dxfId="6454" priority="6805">
      <formula>LEN(TRIM(R265))=0</formula>
    </cfRule>
  </conditionalFormatting>
  <conditionalFormatting sqref="U266">
    <cfRule type="expression" dxfId="6453" priority="6828">
      <formula>OR($HF265=FALSE,$HG265=FALSE)</formula>
    </cfRule>
  </conditionalFormatting>
  <conditionalFormatting sqref="R265">
    <cfRule type="expression" dxfId="6452" priority="6802" stopIfTrue="1">
      <formula>$G264=""</formula>
    </cfRule>
    <cfRule type="expression" dxfId="6451" priority="6803">
      <formula>$HT265=FALSE</formula>
    </cfRule>
  </conditionalFormatting>
  <conditionalFormatting sqref="G267">
    <cfRule type="expression" dxfId="6450" priority="6797" stopIfTrue="1">
      <formula>$G264=""</formula>
    </cfRule>
  </conditionalFormatting>
  <conditionalFormatting sqref="G267">
    <cfRule type="expression" dxfId="6449" priority="6791" stopIfTrue="1">
      <formula>$CN264="Exterior"</formula>
    </cfRule>
  </conditionalFormatting>
  <conditionalFormatting sqref="G267:L267">
    <cfRule type="containsBlanks" dxfId="6448" priority="6798" stopIfTrue="1">
      <formula>LEN(TRIM(G267))=0</formula>
    </cfRule>
    <cfRule type="expression" dxfId="6447" priority="6800">
      <formula>$HL265=FALSE</formula>
    </cfRule>
  </conditionalFormatting>
  <conditionalFormatting sqref="AF266">
    <cfRule type="expression" dxfId="6446" priority="6792" stopIfTrue="1">
      <formula>$G264=""</formula>
    </cfRule>
  </conditionalFormatting>
  <conditionalFormatting sqref="AF266:AI266">
    <cfRule type="expression" dxfId="6445" priority="6796">
      <formula>OR($HP265=FALSE,$HL265=FALSE)</formula>
    </cfRule>
  </conditionalFormatting>
  <conditionalFormatting sqref="AF266">
    <cfRule type="containsBlanks" dxfId="6444" priority="6793" stopIfTrue="1">
      <formula>LEN(TRIM(AF266))=0</formula>
    </cfRule>
    <cfRule type="expression" dxfId="6443" priority="6794">
      <formula>$DP264=7</formula>
    </cfRule>
    <cfRule type="expression" dxfId="6442" priority="6795">
      <formula>OR($HK265=FALSE,$HM265=FALSE)</formula>
    </cfRule>
  </conditionalFormatting>
  <conditionalFormatting sqref="G267:L267">
    <cfRule type="expression" dxfId="6441" priority="6799" stopIfTrue="1">
      <formula>$AF266=""</formula>
    </cfRule>
  </conditionalFormatting>
  <conditionalFormatting sqref="T265:U265">
    <cfRule type="expression" dxfId="6440" priority="6788" stopIfTrue="1">
      <formula>$C$36&lt;&gt;0</formula>
    </cfRule>
    <cfRule type="containsBlanks" dxfId="6439" priority="6789" stopIfTrue="1">
      <formula>LEN(TRIM(T265))=0</formula>
    </cfRule>
  </conditionalFormatting>
  <conditionalFormatting sqref="T265:U265">
    <cfRule type="expression" dxfId="6438" priority="6787" stopIfTrue="1">
      <formula>$G264=""</formula>
    </cfRule>
  </conditionalFormatting>
  <conditionalFormatting sqref="U265">
    <cfRule type="expression" dxfId="6437" priority="6790">
      <formula>$HE265=FALSE</formula>
    </cfRule>
  </conditionalFormatting>
  <conditionalFormatting sqref="T267">
    <cfRule type="expression" dxfId="6436" priority="6786">
      <formula>$C$36=2</formula>
    </cfRule>
  </conditionalFormatting>
  <conditionalFormatting sqref="AE271">
    <cfRule type="expression" dxfId="6435" priority="6772" stopIfTrue="1">
      <formula>$G269=""</formula>
    </cfRule>
  </conditionalFormatting>
  <conditionalFormatting sqref="AB272:AD272">
    <cfRule type="expression" dxfId="6434" priority="6784" stopIfTrue="1">
      <formula>$G269=""</formula>
    </cfRule>
  </conditionalFormatting>
  <conditionalFormatting sqref="G271">
    <cfRule type="expression" dxfId="6433" priority="6781" stopIfTrue="1">
      <formula>$G269=""</formula>
    </cfRule>
    <cfRule type="containsBlanks" dxfId="6432" priority="6782" stopIfTrue="1">
      <formula>LEN(TRIM(G271))=0</formula>
    </cfRule>
    <cfRule type="expression" dxfId="6431" priority="6783">
      <formula>OR($M271=0,$HC270=FALSE)</formula>
    </cfRule>
  </conditionalFormatting>
  <conditionalFormatting sqref="AB272">
    <cfRule type="expression" dxfId="6430" priority="6780" stopIfTrue="1">
      <formula>$AB272=""</formula>
    </cfRule>
  </conditionalFormatting>
  <conditionalFormatting sqref="AE270:AF270">
    <cfRule type="expression" dxfId="6429" priority="6779">
      <formula>$C$36=2</formula>
    </cfRule>
  </conditionalFormatting>
  <conditionalFormatting sqref="T271:U271">
    <cfRule type="expression" dxfId="6428" priority="6754" stopIfTrue="1">
      <formula>$G269=""</formula>
    </cfRule>
  </conditionalFormatting>
  <conditionalFormatting sqref="T271:U271">
    <cfRule type="containsBlanks" dxfId="6427" priority="6777" stopIfTrue="1">
      <formula>LEN(TRIM(T271))=0</formula>
    </cfRule>
  </conditionalFormatting>
  <conditionalFormatting sqref="AC269:AD269">
    <cfRule type="expression" dxfId="6426" priority="6776">
      <formula>$G269=""</formula>
    </cfRule>
  </conditionalFormatting>
  <conditionalFormatting sqref="AE270">
    <cfRule type="containsBlanks" dxfId="6425" priority="6774">
      <formula>LEN(TRIM(AE270))=0</formula>
    </cfRule>
  </conditionalFormatting>
  <conditionalFormatting sqref="AE271 AF272">
    <cfRule type="containsBlanks" dxfId="6424" priority="6773" stopIfTrue="1">
      <formula>LEN(TRIM(AE271))=0</formula>
    </cfRule>
  </conditionalFormatting>
  <conditionalFormatting sqref="AE271">
    <cfRule type="expression" dxfId="6423" priority="6785">
      <formula>OR($HN270=FALSE,$HO270=FALSE)</formula>
    </cfRule>
  </conditionalFormatting>
  <conditionalFormatting sqref="G270:Q270 G269">
    <cfRule type="containsBlanks" dxfId="6422" priority="6771">
      <formula>LEN(TRIM(G269))=0</formula>
    </cfRule>
  </conditionalFormatting>
  <conditionalFormatting sqref="G270:L270">
    <cfRule type="expression" dxfId="6421" priority="6769" stopIfTrue="1">
      <formula>$G269=""</formula>
    </cfRule>
    <cfRule type="containsBlanks" dxfId="6420" priority="6770">
      <formula>LEN(TRIM(G270))=0</formula>
    </cfRule>
  </conditionalFormatting>
  <conditionalFormatting sqref="R271">
    <cfRule type="expression" dxfId="6419" priority="6767" stopIfTrue="1">
      <formula>$G269=""</formula>
    </cfRule>
    <cfRule type="containsBlanks" dxfId="6418" priority="6768">
      <formula>LEN(TRIM(R271))=0</formula>
    </cfRule>
  </conditionalFormatting>
  <conditionalFormatting sqref="P271:R271">
    <cfRule type="expression" dxfId="6417" priority="6766">
      <formula>$C$36=0</formula>
    </cfRule>
  </conditionalFormatting>
  <conditionalFormatting sqref="AF270">
    <cfRule type="containsBlanks" dxfId="6416" priority="6762">
      <formula>LEN(TRIM(AF270))=0</formula>
    </cfRule>
    <cfRule type="expression" dxfId="6415" priority="6763">
      <formula>$HJ270=FALSE</formula>
    </cfRule>
  </conditionalFormatting>
  <conditionalFormatting sqref="AF272">
    <cfRule type="expression" dxfId="6414" priority="6761">
      <formula>$C$36=2</formula>
    </cfRule>
  </conditionalFormatting>
  <conditionalFormatting sqref="R270">
    <cfRule type="containsBlanks" dxfId="6413" priority="6760">
      <formula>LEN(TRIM(R270))=0</formula>
    </cfRule>
  </conditionalFormatting>
  <conditionalFormatting sqref="AE270:AF270">
    <cfRule type="expression" dxfId="6412" priority="6759" stopIfTrue="1">
      <formula>$G269=""</formula>
    </cfRule>
  </conditionalFormatting>
  <conditionalFormatting sqref="AF272">
    <cfRule type="expression" dxfId="6411" priority="6758" stopIfTrue="1">
      <formula>$G269=""</formula>
    </cfRule>
  </conditionalFormatting>
  <conditionalFormatting sqref="AF269:AI269">
    <cfRule type="expression" dxfId="6410" priority="6757">
      <formula>$C$36&lt;&gt;0</formula>
    </cfRule>
  </conditionalFormatting>
  <conditionalFormatting sqref="R270">
    <cfRule type="containsBlanks" dxfId="6409" priority="6755">
      <formula>LEN(TRIM(R270))=0</formula>
    </cfRule>
  </conditionalFormatting>
  <conditionalFormatting sqref="U271">
    <cfRule type="expression" dxfId="6408" priority="6778">
      <formula>OR($HF270=FALSE,$HG270=FALSE)</formula>
    </cfRule>
  </conditionalFormatting>
  <conditionalFormatting sqref="R270">
    <cfRule type="expression" dxfId="6407" priority="6752" stopIfTrue="1">
      <formula>$G269=""</formula>
    </cfRule>
    <cfRule type="expression" dxfId="6406" priority="6753">
      <formula>$HT270=FALSE</formula>
    </cfRule>
  </conditionalFormatting>
  <conditionalFormatting sqref="G272">
    <cfRule type="expression" dxfId="6405" priority="6747" stopIfTrue="1">
      <formula>$G269=""</formula>
    </cfRule>
  </conditionalFormatting>
  <conditionalFormatting sqref="G272">
    <cfRule type="expression" dxfId="6404" priority="6741" stopIfTrue="1">
      <formula>$CN269="Exterior"</formula>
    </cfRule>
  </conditionalFormatting>
  <conditionalFormatting sqref="G272:L272">
    <cfRule type="containsBlanks" dxfId="6403" priority="6748" stopIfTrue="1">
      <formula>LEN(TRIM(G272))=0</formula>
    </cfRule>
    <cfRule type="expression" dxfId="6402" priority="6750">
      <formula>$HL270=FALSE</formula>
    </cfRule>
  </conditionalFormatting>
  <conditionalFormatting sqref="AF271">
    <cfRule type="expression" dxfId="6401" priority="6742" stopIfTrue="1">
      <formula>$G269=""</formula>
    </cfRule>
  </conditionalFormatting>
  <conditionalFormatting sqref="AF271:AI271">
    <cfRule type="expression" dxfId="6400" priority="6746">
      <formula>OR($HP270=FALSE,$HL270=FALSE)</formula>
    </cfRule>
  </conditionalFormatting>
  <conditionalFormatting sqref="AF271">
    <cfRule type="containsBlanks" dxfId="6399" priority="6743" stopIfTrue="1">
      <formula>LEN(TRIM(AF271))=0</formula>
    </cfRule>
    <cfRule type="expression" dxfId="6398" priority="6744">
      <formula>$DP269=7</formula>
    </cfRule>
    <cfRule type="expression" dxfId="6397" priority="6745">
      <formula>OR($HK270=FALSE,$HM270=FALSE)</formula>
    </cfRule>
  </conditionalFormatting>
  <conditionalFormatting sqref="G272:L272">
    <cfRule type="expression" dxfId="6396" priority="6749" stopIfTrue="1">
      <formula>$AF271=""</formula>
    </cfRule>
  </conditionalFormatting>
  <conditionalFormatting sqref="T270:U270">
    <cfRule type="expression" dxfId="6395" priority="6738" stopIfTrue="1">
      <formula>$C$36&lt;&gt;0</formula>
    </cfRule>
    <cfRule type="containsBlanks" dxfId="6394" priority="6739" stopIfTrue="1">
      <formula>LEN(TRIM(T270))=0</formula>
    </cfRule>
  </conditionalFormatting>
  <conditionalFormatting sqref="T270:U270">
    <cfRule type="expression" dxfId="6393" priority="6737" stopIfTrue="1">
      <formula>$G269=""</formula>
    </cfRule>
  </conditionalFormatting>
  <conditionalFormatting sqref="U270">
    <cfRule type="expression" dxfId="6392" priority="6740">
      <formula>$HE270=FALSE</formula>
    </cfRule>
  </conditionalFormatting>
  <conditionalFormatting sqref="T272">
    <cfRule type="expression" dxfId="6391" priority="6736">
      <formula>$C$36=2</formula>
    </cfRule>
  </conditionalFormatting>
  <conditionalFormatting sqref="AE276">
    <cfRule type="expression" dxfId="6390" priority="6722" stopIfTrue="1">
      <formula>$G274=""</formula>
    </cfRule>
  </conditionalFormatting>
  <conditionalFormatting sqref="AB277:AD277">
    <cfRule type="expression" dxfId="6389" priority="6734" stopIfTrue="1">
      <formula>$G274=""</formula>
    </cfRule>
  </conditionalFormatting>
  <conditionalFormatting sqref="G276">
    <cfRule type="expression" dxfId="6388" priority="6731" stopIfTrue="1">
      <formula>$G274=""</formula>
    </cfRule>
    <cfRule type="containsBlanks" dxfId="6387" priority="6732" stopIfTrue="1">
      <formula>LEN(TRIM(G276))=0</formula>
    </cfRule>
    <cfRule type="expression" dxfId="6386" priority="6733">
      <formula>OR($M276=0,$HC275=FALSE)</formula>
    </cfRule>
  </conditionalFormatting>
  <conditionalFormatting sqref="AB277">
    <cfRule type="expression" dxfId="6385" priority="6730" stopIfTrue="1">
      <formula>$AB277=""</formula>
    </cfRule>
  </conditionalFormatting>
  <conditionalFormatting sqref="AE275:AF275">
    <cfRule type="expression" dxfId="6384" priority="6729">
      <formula>$C$36=2</formula>
    </cfRule>
  </conditionalFormatting>
  <conditionalFormatting sqref="T276:U276">
    <cfRule type="expression" dxfId="6383" priority="6704" stopIfTrue="1">
      <formula>$G274=""</formula>
    </cfRule>
  </conditionalFormatting>
  <conditionalFormatting sqref="T276:U276">
    <cfRule type="containsBlanks" dxfId="6382" priority="6727" stopIfTrue="1">
      <formula>LEN(TRIM(T276))=0</formula>
    </cfRule>
  </conditionalFormatting>
  <conditionalFormatting sqref="AC274:AD274">
    <cfRule type="expression" dxfId="6381" priority="6726">
      <formula>$G274=""</formula>
    </cfRule>
  </conditionalFormatting>
  <conditionalFormatting sqref="AE275">
    <cfRule type="containsBlanks" dxfId="6380" priority="6724">
      <formula>LEN(TRIM(AE275))=0</formula>
    </cfRule>
  </conditionalFormatting>
  <conditionalFormatting sqref="AE276 AF277">
    <cfRule type="containsBlanks" dxfId="6379" priority="6723" stopIfTrue="1">
      <formula>LEN(TRIM(AE276))=0</formula>
    </cfRule>
  </conditionalFormatting>
  <conditionalFormatting sqref="AE276">
    <cfRule type="expression" dxfId="6378" priority="6735">
      <formula>OR($HN275=FALSE,$HO275=FALSE)</formula>
    </cfRule>
  </conditionalFormatting>
  <conditionalFormatting sqref="G275:Q275 G274">
    <cfRule type="containsBlanks" dxfId="6377" priority="6721">
      <formula>LEN(TRIM(G274))=0</formula>
    </cfRule>
  </conditionalFormatting>
  <conditionalFormatting sqref="G275:L275">
    <cfRule type="expression" dxfId="6376" priority="6719" stopIfTrue="1">
      <formula>$G274=""</formula>
    </cfRule>
    <cfRule type="containsBlanks" dxfId="6375" priority="6720">
      <formula>LEN(TRIM(G275))=0</formula>
    </cfRule>
  </conditionalFormatting>
  <conditionalFormatting sqref="R276">
    <cfRule type="expression" dxfId="6374" priority="6717" stopIfTrue="1">
      <formula>$G274=""</formula>
    </cfRule>
    <cfRule type="containsBlanks" dxfId="6373" priority="6718">
      <formula>LEN(TRIM(R276))=0</formula>
    </cfRule>
  </conditionalFormatting>
  <conditionalFormatting sqref="P276:R276">
    <cfRule type="expression" dxfId="6372" priority="6716">
      <formula>$C$36=0</formula>
    </cfRule>
  </conditionalFormatting>
  <conditionalFormatting sqref="AF275">
    <cfRule type="containsBlanks" dxfId="6371" priority="6712">
      <formula>LEN(TRIM(AF275))=0</formula>
    </cfRule>
    <cfRule type="expression" dxfId="6370" priority="6713">
      <formula>$HJ275=FALSE</formula>
    </cfRule>
  </conditionalFormatting>
  <conditionalFormatting sqref="AF277">
    <cfRule type="expression" dxfId="6369" priority="6711">
      <formula>$C$36=2</formula>
    </cfRule>
  </conditionalFormatting>
  <conditionalFormatting sqref="R275">
    <cfRule type="containsBlanks" dxfId="6368" priority="6710">
      <formula>LEN(TRIM(R275))=0</formula>
    </cfRule>
  </conditionalFormatting>
  <conditionalFormatting sqref="AE275:AF275">
    <cfRule type="expression" dxfId="6367" priority="6709" stopIfTrue="1">
      <formula>$G274=""</formula>
    </cfRule>
  </conditionalFormatting>
  <conditionalFormatting sqref="AF277">
    <cfRule type="expression" dxfId="6366" priority="6708" stopIfTrue="1">
      <formula>$G274=""</formula>
    </cfRule>
  </conditionalFormatting>
  <conditionalFormatting sqref="AF274:AI274">
    <cfRule type="expression" dxfId="6365" priority="6707">
      <formula>$C$36&lt;&gt;0</formula>
    </cfRule>
  </conditionalFormatting>
  <conditionalFormatting sqref="R275">
    <cfRule type="containsBlanks" dxfId="6364" priority="6705">
      <formula>LEN(TRIM(R275))=0</formula>
    </cfRule>
  </conditionalFormatting>
  <conditionalFormatting sqref="U276">
    <cfRule type="expression" dxfId="6363" priority="6728">
      <formula>OR($HF275=FALSE,$HG275=FALSE)</formula>
    </cfRule>
  </conditionalFormatting>
  <conditionalFormatting sqref="R275">
    <cfRule type="expression" dxfId="6362" priority="6702" stopIfTrue="1">
      <formula>$G274=""</formula>
    </cfRule>
    <cfRule type="expression" dxfId="6361" priority="6703">
      <formula>$HT275=FALSE</formula>
    </cfRule>
  </conditionalFormatting>
  <conditionalFormatting sqref="G277">
    <cfRule type="expression" dxfId="6360" priority="6697" stopIfTrue="1">
      <formula>$G274=""</formula>
    </cfRule>
  </conditionalFormatting>
  <conditionalFormatting sqref="G277">
    <cfRule type="expression" dxfId="6359" priority="6691" stopIfTrue="1">
      <formula>$CN274="Exterior"</formula>
    </cfRule>
  </conditionalFormatting>
  <conditionalFormatting sqref="G277:L277">
    <cfRule type="containsBlanks" dxfId="6358" priority="6698" stopIfTrue="1">
      <formula>LEN(TRIM(G277))=0</formula>
    </cfRule>
    <cfRule type="expression" dxfId="6357" priority="6700">
      <formula>$HL275=FALSE</formula>
    </cfRule>
  </conditionalFormatting>
  <conditionalFormatting sqref="AF276">
    <cfRule type="expression" dxfId="6356" priority="6692" stopIfTrue="1">
      <formula>$G274=""</formula>
    </cfRule>
  </conditionalFormatting>
  <conditionalFormatting sqref="AF276:AI276">
    <cfRule type="expression" dxfId="6355" priority="6696">
      <formula>OR($HP275=FALSE,$HL275=FALSE)</formula>
    </cfRule>
  </conditionalFormatting>
  <conditionalFormatting sqref="AF276">
    <cfRule type="containsBlanks" dxfId="6354" priority="6693" stopIfTrue="1">
      <formula>LEN(TRIM(AF276))=0</formula>
    </cfRule>
    <cfRule type="expression" dxfId="6353" priority="6694">
      <formula>$DP274=7</formula>
    </cfRule>
    <cfRule type="expression" dxfId="6352" priority="6695">
      <formula>OR($HK275=FALSE,$HM275=FALSE)</formula>
    </cfRule>
  </conditionalFormatting>
  <conditionalFormatting sqref="G277:L277">
    <cfRule type="expression" dxfId="6351" priority="6699" stopIfTrue="1">
      <formula>$AF276=""</formula>
    </cfRule>
  </conditionalFormatting>
  <conditionalFormatting sqref="T275:U275">
    <cfRule type="expression" dxfId="6350" priority="6688" stopIfTrue="1">
      <formula>$C$36&lt;&gt;0</formula>
    </cfRule>
    <cfRule type="containsBlanks" dxfId="6349" priority="6689" stopIfTrue="1">
      <formula>LEN(TRIM(T275))=0</formula>
    </cfRule>
  </conditionalFormatting>
  <conditionalFormatting sqref="T275:U275">
    <cfRule type="expression" dxfId="6348" priority="6687" stopIfTrue="1">
      <formula>$G274=""</formula>
    </cfRule>
  </conditionalFormatting>
  <conditionalFormatting sqref="U275">
    <cfRule type="expression" dxfId="6347" priority="6690">
      <formula>$HE275=FALSE</formula>
    </cfRule>
  </conditionalFormatting>
  <conditionalFormatting sqref="T277">
    <cfRule type="expression" dxfId="6346" priority="6686">
      <formula>$C$36=2</formula>
    </cfRule>
  </conditionalFormatting>
  <conditionalFormatting sqref="AE281">
    <cfRule type="expression" dxfId="6345" priority="6672" stopIfTrue="1">
      <formula>$G279=""</formula>
    </cfRule>
  </conditionalFormatting>
  <conditionalFormatting sqref="AB282:AD282">
    <cfRule type="expression" dxfId="6344" priority="6684" stopIfTrue="1">
      <formula>$G279=""</formula>
    </cfRule>
  </conditionalFormatting>
  <conditionalFormatting sqref="G281">
    <cfRule type="expression" dxfId="6343" priority="6681" stopIfTrue="1">
      <formula>$G279=""</formula>
    </cfRule>
    <cfRule type="containsBlanks" dxfId="6342" priority="6682" stopIfTrue="1">
      <formula>LEN(TRIM(G281))=0</formula>
    </cfRule>
    <cfRule type="expression" dxfId="6341" priority="6683">
      <formula>OR($M281=0,$HC280=FALSE)</formula>
    </cfRule>
  </conditionalFormatting>
  <conditionalFormatting sqref="AB282">
    <cfRule type="expression" dxfId="6340" priority="6680" stopIfTrue="1">
      <formula>$AB282=""</formula>
    </cfRule>
  </conditionalFormatting>
  <conditionalFormatting sqref="AE280:AF280">
    <cfRule type="expression" dxfId="6339" priority="6679">
      <formula>$C$36=2</formula>
    </cfRule>
  </conditionalFormatting>
  <conditionalFormatting sqref="T281:U281">
    <cfRule type="expression" dxfId="6338" priority="6654" stopIfTrue="1">
      <formula>$G279=""</formula>
    </cfRule>
  </conditionalFormatting>
  <conditionalFormatting sqref="T281:U281">
    <cfRule type="containsBlanks" dxfId="6337" priority="6677" stopIfTrue="1">
      <formula>LEN(TRIM(T281))=0</formula>
    </cfRule>
  </conditionalFormatting>
  <conditionalFormatting sqref="AC279:AD279">
    <cfRule type="expression" dxfId="6336" priority="6676">
      <formula>$G279=""</formula>
    </cfRule>
  </conditionalFormatting>
  <conditionalFormatting sqref="AE280">
    <cfRule type="containsBlanks" dxfId="6335" priority="6674">
      <formula>LEN(TRIM(AE280))=0</formula>
    </cfRule>
  </conditionalFormatting>
  <conditionalFormatting sqref="AE281 AF282">
    <cfRule type="containsBlanks" dxfId="6334" priority="6673" stopIfTrue="1">
      <formula>LEN(TRIM(AE281))=0</formula>
    </cfRule>
  </conditionalFormatting>
  <conditionalFormatting sqref="AE281">
    <cfRule type="expression" dxfId="6333" priority="6685">
      <formula>OR($HN280=FALSE,$HO280=FALSE)</formula>
    </cfRule>
  </conditionalFormatting>
  <conditionalFormatting sqref="G280:Q280 G279">
    <cfRule type="containsBlanks" dxfId="6332" priority="6671">
      <formula>LEN(TRIM(G279))=0</formula>
    </cfRule>
  </conditionalFormatting>
  <conditionalFormatting sqref="G280:L280">
    <cfRule type="expression" dxfId="6331" priority="6669" stopIfTrue="1">
      <formula>$G279=""</formula>
    </cfRule>
    <cfRule type="containsBlanks" dxfId="6330" priority="6670">
      <formula>LEN(TRIM(G280))=0</formula>
    </cfRule>
  </conditionalFormatting>
  <conditionalFormatting sqref="R281">
    <cfRule type="expression" dxfId="6329" priority="6667" stopIfTrue="1">
      <formula>$G279=""</formula>
    </cfRule>
    <cfRule type="containsBlanks" dxfId="6328" priority="6668">
      <formula>LEN(TRIM(R281))=0</formula>
    </cfRule>
  </conditionalFormatting>
  <conditionalFormatting sqref="P281:R281">
    <cfRule type="expression" dxfId="6327" priority="6666">
      <formula>$C$36=0</formula>
    </cfRule>
  </conditionalFormatting>
  <conditionalFormatting sqref="AF280">
    <cfRule type="containsBlanks" dxfId="6326" priority="6662">
      <formula>LEN(TRIM(AF280))=0</formula>
    </cfRule>
    <cfRule type="expression" dxfId="6325" priority="6663">
      <formula>$HJ280=FALSE</formula>
    </cfRule>
  </conditionalFormatting>
  <conditionalFormatting sqref="AF282">
    <cfRule type="expression" dxfId="6324" priority="6661">
      <formula>$C$36=2</formula>
    </cfRule>
  </conditionalFormatting>
  <conditionalFormatting sqref="R280">
    <cfRule type="containsBlanks" dxfId="6323" priority="6660">
      <formula>LEN(TRIM(R280))=0</formula>
    </cfRule>
  </conditionalFormatting>
  <conditionalFormatting sqref="AE280:AF280">
    <cfRule type="expression" dxfId="6322" priority="6659" stopIfTrue="1">
      <formula>$G279=""</formula>
    </cfRule>
  </conditionalFormatting>
  <conditionalFormatting sqref="AF282">
    <cfRule type="expression" dxfId="6321" priority="6658" stopIfTrue="1">
      <formula>$G279=""</formula>
    </cfRule>
  </conditionalFormatting>
  <conditionalFormatting sqref="AF279:AI279">
    <cfRule type="expression" dxfId="6320" priority="6657">
      <formula>$C$36&lt;&gt;0</formula>
    </cfRule>
  </conditionalFormatting>
  <conditionalFormatting sqref="R280">
    <cfRule type="containsBlanks" dxfId="6319" priority="6655">
      <formula>LEN(TRIM(R280))=0</formula>
    </cfRule>
  </conditionalFormatting>
  <conditionalFormatting sqref="U281">
    <cfRule type="expression" dxfId="6318" priority="6678">
      <formula>OR($HF280=FALSE,$HG280=FALSE)</formula>
    </cfRule>
  </conditionalFormatting>
  <conditionalFormatting sqref="R280">
    <cfRule type="expression" dxfId="6317" priority="6652" stopIfTrue="1">
      <formula>$G279=""</formula>
    </cfRule>
    <cfRule type="expression" dxfId="6316" priority="6653">
      <formula>$HT280=FALSE</formula>
    </cfRule>
  </conditionalFormatting>
  <conditionalFormatting sqref="G282">
    <cfRule type="expression" dxfId="6315" priority="6647" stopIfTrue="1">
      <formula>$G279=""</formula>
    </cfRule>
  </conditionalFormatting>
  <conditionalFormatting sqref="G282">
    <cfRule type="expression" dxfId="6314" priority="6641" stopIfTrue="1">
      <formula>$CN279="Exterior"</formula>
    </cfRule>
  </conditionalFormatting>
  <conditionalFormatting sqref="G282:L282">
    <cfRule type="containsBlanks" dxfId="6313" priority="6648" stopIfTrue="1">
      <formula>LEN(TRIM(G282))=0</formula>
    </cfRule>
    <cfRule type="expression" dxfId="6312" priority="6650">
      <formula>$HL280=FALSE</formula>
    </cfRule>
  </conditionalFormatting>
  <conditionalFormatting sqref="AF281">
    <cfRule type="expression" dxfId="6311" priority="6642" stopIfTrue="1">
      <formula>$G279=""</formula>
    </cfRule>
  </conditionalFormatting>
  <conditionalFormatting sqref="AF281:AI281">
    <cfRule type="expression" dxfId="6310" priority="6646">
      <formula>OR($HP280=FALSE,$HL280=FALSE)</formula>
    </cfRule>
  </conditionalFormatting>
  <conditionalFormatting sqref="AF281">
    <cfRule type="containsBlanks" dxfId="6309" priority="6643" stopIfTrue="1">
      <formula>LEN(TRIM(AF281))=0</formula>
    </cfRule>
    <cfRule type="expression" dxfId="6308" priority="6644">
      <formula>$DP279=7</formula>
    </cfRule>
    <cfRule type="expression" dxfId="6307" priority="6645">
      <formula>OR($HK280=FALSE,$HM280=FALSE)</formula>
    </cfRule>
  </conditionalFormatting>
  <conditionalFormatting sqref="G282:L282">
    <cfRule type="expression" dxfId="6306" priority="6649" stopIfTrue="1">
      <formula>$AF281=""</formula>
    </cfRule>
  </conditionalFormatting>
  <conditionalFormatting sqref="T280:U280">
    <cfRule type="expression" dxfId="6305" priority="6638" stopIfTrue="1">
      <formula>$C$36&lt;&gt;0</formula>
    </cfRule>
    <cfRule type="containsBlanks" dxfId="6304" priority="6639" stopIfTrue="1">
      <formula>LEN(TRIM(T280))=0</formula>
    </cfRule>
  </conditionalFormatting>
  <conditionalFormatting sqref="T280:U280">
    <cfRule type="expression" dxfId="6303" priority="6637" stopIfTrue="1">
      <formula>$G279=""</formula>
    </cfRule>
  </conditionalFormatting>
  <conditionalFormatting sqref="U280">
    <cfRule type="expression" dxfId="6302" priority="6640">
      <formula>$HE280=FALSE</formula>
    </cfRule>
  </conditionalFormatting>
  <conditionalFormatting sqref="T282">
    <cfRule type="expression" dxfId="6301" priority="6636">
      <formula>$C$36=2</formula>
    </cfRule>
  </conditionalFormatting>
  <conditionalFormatting sqref="AE286">
    <cfRule type="expression" dxfId="6300" priority="6622" stopIfTrue="1">
      <formula>$G284=""</formula>
    </cfRule>
  </conditionalFormatting>
  <conditionalFormatting sqref="AB287:AD287">
    <cfRule type="expression" dxfId="6299" priority="6634" stopIfTrue="1">
      <formula>$G284=""</formula>
    </cfRule>
  </conditionalFormatting>
  <conditionalFormatting sqref="G286">
    <cfRule type="expression" dxfId="6298" priority="6631" stopIfTrue="1">
      <formula>$G284=""</formula>
    </cfRule>
    <cfRule type="containsBlanks" dxfId="6297" priority="6632" stopIfTrue="1">
      <formula>LEN(TRIM(G286))=0</formula>
    </cfRule>
    <cfRule type="expression" dxfId="6296" priority="6633">
      <formula>OR($M286=0,$HC285=FALSE)</formula>
    </cfRule>
  </conditionalFormatting>
  <conditionalFormatting sqref="AB287">
    <cfRule type="expression" dxfId="6295" priority="6630" stopIfTrue="1">
      <formula>$AB287=""</formula>
    </cfRule>
  </conditionalFormatting>
  <conditionalFormatting sqref="AE285:AF285">
    <cfRule type="expression" dxfId="6294" priority="6629">
      <formula>$C$36=2</formula>
    </cfRule>
  </conditionalFormatting>
  <conditionalFormatting sqref="T286:U286">
    <cfRule type="expression" dxfId="6293" priority="6604" stopIfTrue="1">
      <formula>$G284=""</formula>
    </cfRule>
  </conditionalFormatting>
  <conditionalFormatting sqref="T286:U286">
    <cfRule type="containsBlanks" dxfId="6292" priority="6627" stopIfTrue="1">
      <formula>LEN(TRIM(T286))=0</formula>
    </cfRule>
  </conditionalFormatting>
  <conditionalFormatting sqref="AC284:AD284">
    <cfRule type="expression" dxfId="6291" priority="6626">
      <formula>$G284=""</formula>
    </cfRule>
  </conditionalFormatting>
  <conditionalFormatting sqref="AE285">
    <cfRule type="containsBlanks" dxfId="6290" priority="6624">
      <formula>LEN(TRIM(AE285))=0</formula>
    </cfRule>
  </conditionalFormatting>
  <conditionalFormatting sqref="AE286 AF287">
    <cfRule type="containsBlanks" dxfId="6289" priority="6623" stopIfTrue="1">
      <formula>LEN(TRIM(AE286))=0</formula>
    </cfRule>
  </conditionalFormatting>
  <conditionalFormatting sqref="AE286">
    <cfRule type="expression" dxfId="6288" priority="6635">
      <formula>OR($HN285=FALSE,$HO285=FALSE)</formula>
    </cfRule>
  </conditionalFormatting>
  <conditionalFormatting sqref="G285:Q285 G284">
    <cfRule type="containsBlanks" dxfId="6287" priority="6621">
      <formula>LEN(TRIM(G284))=0</formula>
    </cfRule>
  </conditionalFormatting>
  <conditionalFormatting sqref="G285:L285">
    <cfRule type="expression" dxfId="6286" priority="6619" stopIfTrue="1">
      <formula>$G284=""</formula>
    </cfRule>
    <cfRule type="containsBlanks" dxfId="6285" priority="6620">
      <formula>LEN(TRIM(G285))=0</formula>
    </cfRule>
  </conditionalFormatting>
  <conditionalFormatting sqref="R286">
    <cfRule type="expression" dxfId="6284" priority="6617" stopIfTrue="1">
      <formula>$G284=""</formula>
    </cfRule>
    <cfRule type="containsBlanks" dxfId="6283" priority="6618">
      <formula>LEN(TRIM(R286))=0</formula>
    </cfRule>
  </conditionalFormatting>
  <conditionalFormatting sqref="P286:R286">
    <cfRule type="expression" dxfId="6282" priority="6616">
      <formula>$C$36=0</formula>
    </cfRule>
  </conditionalFormatting>
  <conditionalFormatting sqref="AF285">
    <cfRule type="containsBlanks" dxfId="6281" priority="6612">
      <formula>LEN(TRIM(AF285))=0</formula>
    </cfRule>
    <cfRule type="expression" dxfId="6280" priority="6613">
      <formula>$HJ285=FALSE</formula>
    </cfRule>
  </conditionalFormatting>
  <conditionalFormatting sqref="AF287">
    <cfRule type="expression" dxfId="6279" priority="6611">
      <formula>$C$36=2</formula>
    </cfRule>
  </conditionalFormatting>
  <conditionalFormatting sqref="R285">
    <cfRule type="containsBlanks" dxfId="6278" priority="6610">
      <formula>LEN(TRIM(R285))=0</formula>
    </cfRule>
  </conditionalFormatting>
  <conditionalFormatting sqref="AE285:AF285">
    <cfRule type="expression" dxfId="6277" priority="6609" stopIfTrue="1">
      <formula>$G284=""</formula>
    </cfRule>
  </conditionalFormatting>
  <conditionalFormatting sqref="AF287">
    <cfRule type="expression" dxfId="6276" priority="6608" stopIfTrue="1">
      <formula>$G284=""</formula>
    </cfRule>
  </conditionalFormatting>
  <conditionalFormatting sqref="AF284:AI284">
    <cfRule type="expression" dxfId="6275" priority="6607">
      <formula>$C$36&lt;&gt;0</formula>
    </cfRule>
  </conditionalFormatting>
  <conditionalFormatting sqref="R285">
    <cfRule type="containsBlanks" dxfId="6274" priority="6605">
      <formula>LEN(TRIM(R285))=0</formula>
    </cfRule>
  </conditionalFormatting>
  <conditionalFormatting sqref="U286">
    <cfRule type="expression" dxfId="6273" priority="6628">
      <formula>OR($HF285=FALSE,$HG285=FALSE)</formula>
    </cfRule>
  </conditionalFormatting>
  <conditionalFormatting sqref="R285">
    <cfRule type="expression" dxfId="6272" priority="6602" stopIfTrue="1">
      <formula>$G284=""</formula>
    </cfRule>
    <cfRule type="expression" dxfId="6271" priority="6603">
      <formula>$HT285=FALSE</formula>
    </cfRule>
  </conditionalFormatting>
  <conditionalFormatting sqref="G287">
    <cfRule type="expression" dxfId="6270" priority="6597" stopIfTrue="1">
      <formula>$G284=""</formula>
    </cfRule>
  </conditionalFormatting>
  <conditionalFormatting sqref="G287">
    <cfRule type="expression" dxfId="6269" priority="6591" stopIfTrue="1">
      <formula>$CN284="Exterior"</formula>
    </cfRule>
  </conditionalFormatting>
  <conditionalFormatting sqref="G287:L287">
    <cfRule type="containsBlanks" dxfId="6268" priority="6598" stopIfTrue="1">
      <formula>LEN(TRIM(G287))=0</formula>
    </cfRule>
    <cfRule type="expression" dxfId="6267" priority="6600">
      <formula>$HL285=FALSE</formula>
    </cfRule>
  </conditionalFormatting>
  <conditionalFormatting sqref="AF286">
    <cfRule type="expression" dxfId="6266" priority="6592" stopIfTrue="1">
      <formula>$G284=""</formula>
    </cfRule>
  </conditionalFormatting>
  <conditionalFormatting sqref="AF286:AI286">
    <cfRule type="expression" dxfId="6265" priority="6596">
      <formula>OR($HP285=FALSE,$HL285=FALSE)</formula>
    </cfRule>
  </conditionalFormatting>
  <conditionalFormatting sqref="AF286">
    <cfRule type="containsBlanks" dxfId="6264" priority="6593" stopIfTrue="1">
      <formula>LEN(TRIM(AF286))=0</formula>
    </cfRule>
    <cfRule type="expression" dxfId="6263" priority="6594">
      <formula>$DP284=7</formula>
    </cfRule>
    <cfRule type="expression" dxfId="6262" priority="6595">
      <formula>OR($HK285=FALSE,$HM285=FALSE)</formula>
    </cfRule>
  </conditionalFormatting>
  <conditionalFormatting sqref="G287:L287">
    <cfRule type="expression" dxfId="6261" priority="6599" stopIfTrue="1">
      <formula>$AF286=""</formula>
    </cfRule>
  </conditionalFormatting>
  <conditionalFormatting sqref="T285:U285">
    <cfRule type="expression" dxfId="6260" priority="6588" stopIfTrue="1">
      <formula>$C$36&lt;&gt;0</formula>
    </cfRule>
    <cfRule type="containsBlanks" dxfId="6259" priority="6589" stopIfTrue="1">
      <formula>LEN(TRIM(T285))=0</formula>
    </cfRule>
  </conditionalFormatting>
  <conditionalFormatting sqref="T285:U285">
    <cfRule type="expression" dxfId="6258" priority="6587" stopIfTrue="1">
      <formula>$G284=""</formula>
    </cfRule>
  </conditionalFormatting>
  <conditionalFormatting sqref="U285">
    <cfRule type="expression" dxfId="6257" priority="6590">
      <formula>$HE285=FALSE</formula>
    </cfRule>
  </conditionalFormatting>
  <conditionalFormatting sqref="T287">
    <cfRule type="expression" dxfId="6256" priority="6586">
      <formula>$C$36=2</formula>
    </cfRule>
  </conditionalFormatting>
  <conditionalFormatting sqref="AE291">
    <cfRule type="expression" dxfId="6255" priority="6572" stopIfTrue="1">
      <formula>$G289=""</formula>
    </cfRule>
  </conditionalFormatting>
  <conditionalFormatting sqref="AB292:AD292">
    <cfRule type="expression" dxfId="6254" priority="6584" stopIfTrue="1">
      <formula>$G289=""</formula>
    </cfRule>
  </conditionalFormatting>
  <conditionalFormatting sqref="G291">
    <cfRule type="expression" dxfId="6253" priority="6581" stopIfTrue="1">
      <formula>$G289=""</formula>
    </cfRule>
    <cfRule type="containsBlanks" dxfId="6252" priority="6582" stopIfTrue="1">
      <formula>LEN(TRIM(G291))=0</formula>
    </cfRule>
    <cfRule type="expression" dxfId="6251" priority="6583">
      <formula>OR($M291=0,$HC290=FALSE)</formula>
    </cfRule>
  </conditionalFormatting>
  <conditionalFormatting sqref="AB292">
    <cfRule type="expression" dxfId="6250" priority="6580" stopIfTrue="1">
      <formula>$AB292=""</formula>
    </cfRule>
  </conditionalFormatting>
  <conditionalFormatting sqref="AE290:AF290">
    <cfRule type="expression" dxfId="6249" priority="6579">
      <formula>$C$36=2</formula>
    </cfRule>
  </conditionalFormatting>
  <conditionalFormatting sqref="T291:U291">
    <cfRule type="expression" dxfId="6248" priority="6554" stopIfTrue="1">
      <formula>$G289=""</formula>
    </cfRule>
  </conditionalFormatting>
  <conditionalFormatting sqref="T291:U291">
    <cfRule type="containsBlanks" dxfId="6247" priority="6577" stopIfTrue="1">
      <formula>LEN(TRIM(T291))=0</formula>
    </cfRule>
  </conditionalFormatting>
  <conditionalFormatting sqref="AC289:AD289">
    <cfRule type="expression" dxfId="6246" priority="6576">
      <formula>$G289=""</formula>
    </cfRule>
  </conditionalFormatting>
  <conditionalFormatting sqref="AE290">
    <cfRule type="containsBlanks" dxfId="6245" priority="6574">
      <formula>LEN(TRIM(AE290))=0</formula>
    </cfRule>
  </conditionalFormatting>
  <conditionalFormatting sqref="AE291 AF292">
    <cfRule type="containsBlanks" dxfId="6244" priority="6573" stopIfTrue="1">
      <formula>LEN(TRIM(AE291))=0</formula>
    </cfRule>
  </conditionalFormatting>
  <conditionalFormatting sqref="AE291">
    <cfRule type="expression" dxfId="6243" priority="6585">
      <formula>OR($HN290=FALSE,$HO290=FALSE)</formula>
    </cfRule>
  </conditionalFormatting>
  <conditionalFormatting sqref="G290:Q290 G289">
    <cfRule type="containsBlanks" dxfId="6242" priority="6571">
      <formula>LEN(TRIM(G289))=0</formula>
    </cfRule>
  </conditionalFormatting>
  <conditionalFormatting sqref="G290:L290">
    <cfRule type="expression" dxfId="6241" priority="6569" stopIfTrue="1">
      <formula>$G289=""</formula>
    </cfRule>
    <cfRule type="containsBlanks" dxfId="6240" priority="6570">
      <formula>LEN(TRIM(G290))=0</formula>
    </cfRule>
  </conditionalFormatting>
  <conditionalFormatting sqref="R291">
    <cfRule type="expression" dxfId="6239" priority="6567" stopIfTrue="1">
      <formula>$G289=""</formula>
    </cfRule>
    <cfRule type="containsBlanks" dxfId="6238" priority="6568">
      <formula>LEN(TRIM(R291))=0</formula>
    </cfRule>
  </conditionalFormatting>
  <conditionalFormatting sqref="P291:R291">
    <cfRule type="expression" dxfId="6237" priority="6566">
      <formula>$C$36=0</formula>
    </cfRule>
  </conditionalFormatting>
  <conditionalFormatting sqref="AF290">
    <cfRule type="containsBlanks" dxfId="6236" priority="6562">
      <formula>LEN(TRIM(AF290))=0</formula>
    </cfRule>
    <cfRule type="expression" dxfId="6235" priority="6563">
      <formula>$HJ290=FALSE</formula>
    </cfRule>
  </conditionalFormatting>
  <conditionalFormatting sqref="AF292">
    <cfRule type="expression" dxfId="6234" priority="6561">
      <formula>$C$36=2</formula>
    </cfRule>
  </conditionalFormatting>
  <conditionalFormatting sqref="R290">
    <cfRule type="containsBlanks" dxfId="6233" priority="6560">
      <formula>LEN(TRIM(R290))=0</formula>
    </cfRule>
  </conditionalFormatting>
  <conditionalFormatting sqref="AE290:AF290">
    <cfRule type="expression" dxfId="6232" priority="6559" stopIfTrue="1">
      <formula>$G289=""</formula>
    </cfRule>
  </conditionalFormatting>
  <conditionalFormatting sqref="AF292">
    <cfRule type="expression" dxfId="6231" priority="6558" stopIfTrue="1">
      <formula>$G289=""</formula>
    </cfRule>
  </conditionalFormatting>
  <conditionalFormatting sqref="AF289:AI289">
    <cfRule type="expression" dxfId="6230" priority="6557">
      <formula>$C$36&lt;&gt;0</formula>
    </cfRule>
  </conditionalFormatting>
  <conditionalFormatting sqref="R290">
    <cfRule type="containsBlanks" dxfId="6229" priority="6555">
      <formula>LEN(TRIM(R290))=0</formula>
    </cfRule>
  </conditionalFormatting>
  <conditionalFormatting sqref="U291">
    <cfRule type="expression" dxfId="6228" priority="6578">
      <formula>OR($HF290=FALSE,$HG290=FALSE)</formula>
    </cfRule>
  </conditionalFormatting>
  <conditionalFormatting sqref="R290">
    <cfRule type="expression" dxfId="6227" priority="6552" stopIfTrue="1">
      <formula>$G289=""</formula>
    </cfRule>
    <cfRule type="expression" dxfId="6226" priority="6553">
      <formula>$HT290=FALSE</formula>
    </cfRule>
  </conditionalFormatting>
  <conditionalFormatting sqref="G292">
    <cfRule type="expression" dxfId="6225" priority="6547" stopIfTrue="1">
      <formula>$G289=""</formula>
    </cfRule>
  </conditionalFormatting>
  <conditionalFormatting sqref="G292">
    <cfRule type="expression" dxfId="6224" priority="6541" stopIfTrue="1">
      <formula>$CN289="Exterior"</formula>
    </cfRule>
  </conditionalFormatting>
  <conditionalFormatting sqref="G292:L292">
    <cfRule type="containsBlanks" dxfId="6223" priority="6548" stopIfTrue="1">
      <formula>LEN(TRIM(G292))=0</formula>
    </cfRule>
    <cfRule type="expression" dxfId="6222" priority="6550">
      <formula>$HL290=FALSE</formula>
    </cfRule>
  </conditionalFormatting>
  <conditionalFormatting sqref="AF291">
    <cfRule type="expression" dxfId="6221" priority="6542" stopIfTrue="1">
      <formula>$G289=""</formula>
    </cfRule>
  </conditionalFormatting>
  <conditionalFormatting sqref="AF291:AI291">
    <cfRule type="expression" dxfId="6220" priority="6546">
      <formula>OR($HP290=FALSE,$HL290=FALSE)</formula>
    </cfRule>
  </conditionalFormatting>
  <conditionalFormatting sqref="AF291">
    <cfRule type="containsBlanks" dxfId="6219" priority="6543" stopIfTrue="1">
      <formula>LEN(TRIM(AF291))=0</formula>
    </cfRule>
    <cfRule type="expression" dxfId="6218" priority="6544">
      <formula>$DP289=7</formula>
    </cfRule>
    <cfRule type="expression" dxfId="6217" priority="6545">
      <formula>OR($HK290=FALSE,$HM290=FALSE)</formula>
    </cfRule>
  </conditionalFormatting>
  <conditionalFormatting sqref="G292:L292">
    <cfRule type="expression" dxfId="6216" priority="6549" stopIfTrue="1">
      <formula>$AF291=""</formula>
    </cfRule>
  </conditionalFormatting>
  <conditionalFormatting sqref="T290:U290">
    <cfRule type="expression" dxfId="6215" priority="6538" stopIfTrue="1">
      <formula>$C$36&lt;&gt;0</formula>
    </cfRule>
    <cfRule type="containsBlanks" dxfId="6214" priority="6539" stopIfTrue="1">
      <formula>LEN(TRIM(T290))=0</formula>
    </cfRule>
  </conditionalFormatting>
  <conditionalFormatting sqref="T290:U290">
    <cfRule type="expression" dxfId="6213" priority="6537" stopIfTrue="1">
      <formula>$G289=""</formula>
    </cfRule>
  </conditionalFormatting>
  <conditionalFormatting sqref="U290">
    <cfRule type="expression" dxfId="6212" priority="6540">
      <formula>$HE290=FALSE</formula>
    </cfRule>
  </conditionalFormatting>
  <conditionalFormatting sqref="T292">
    <cfRule type="expression" dxfId="6211" priority="6536">
      <formula>$C$36=2</formula>
    </cfRule>
  </conditionalFormatting>
  <conditionalFormatting sqref="AE296">
    <cfRule type="expression" dxfId="6210" priority="6522" stopIfTrue="1">
      <formula>$G294=""</formula>
    </cfRule>
  </conditionalFormatting>
  <conditionalFormatting sqref="AB297:AD297">
    <cfRule type="expression" dxfId="6209" priority="6534" stopIfTrue="1">
      <formula>$G294=""</formula>
    </cfRule>
  </conditionalFormatting>
  <conditionalFormatting sqref="G296">
    <cfRule type="expression" dxfId="6208" priority="6531" stopIfTrue="1">
      <formula>$G294=""</formula>
    </cfRule>
    <cfRule type="containsBlanks" dxfId="6207" priority="6532" stopIfTrue="1">
      <formula>LEN(TRIM(G296))=0</formula>
    </cfRule>
    <cfRule type="expression" dxfId="6206" priority="6533">
      <formula>OR($M296=0,$HC295=FALSE)</formula>
    </cfRule>
  </conditionalFormatting>
  <conditionalFormatting sqref="AB297">
    <cfRule type="expression" dxfId="6205" priority="6530" stopIfTrue="1">
      <formula>$AB297=""</formula>
    </cfRule>
  </conditionalFormatting>
  <conditionalFormatting sqref="AE295:AF295">
    <cfRule type="expression" dxfId="6204" priority="6529">
      <formula>$C$36=2</formula>
    </cfRule>
  </conditionalFormatting>
  <conditionalFormatting sqref="T296:U296">
    <cfRule type="expression" dxfId="6203" priority="6504" stopIfTrue="1">
      <formula>$G294=""</formula>
    </cfRule>
  </conditionalFormatting>
  <conditionalFormatting sqref="T296:U296">
    <cfRule type="containsBlanks" dxfId="6202" priority="6527" stopIfTrue="1">
      <formula>LEN(TRIM(T296))=0</formula>
    </cfRule>
  </conditionalFormatting>
  <conditionalFormatting sqref="AC294:AD294">
    <cfRule type="expression" dxfId="6201" priority="6526">
      <formula>$G294=""</formula>
    </cfRule>
  </conditionalFormatting>
  <conditionalFormatting sqref="AE295">
    <cfRule type="containsBlanks" dxfId="6200" priority="6524">
      <formula>LEN(TRIM(AE295))=0</formula>
    </cfRule>
  </conditionalFormatting>
  <conditionalFormatting sqref="AE296 AF297">
    <cfRule type="containsBlanks" dxfId="6199" priority="6523" stopIfTrue="1">
      <formula>LEN(TRIM(AE296))=0</formula>
    </cfRule>
  </conditionalFormatting>
  <conditionalFormatting sqref="AE296">
    <cfRule type="expression" dxfId="6198" priority="6535">
      <formula>OR($HN295=FALSE,$HO295=FALSE)</formula>
    </cfRule>
  </conditionalFormatting>
  <conditionalFormatting sqref="G295:Q295 G294">
    <cfRule type="containsBlanks" dxfId="6197" priority="6521">
      <formula>LEN(TRIM(G294))=0</formula>
    </cfRule>
  </conditionalFormatting>
  <conditionalFormatting sqref="G295:L295">
    <cfRule type="expression" dxfId="6196" priority="6519" stopIfTrue="1">
      <formula>$G294=""</formula>
    </cfRule>
    <cfRule type="containsBlanks" dxfId="6195" priority="6520">
      <formula>LEN(TRIM(G295))=0</formula>
    </cfRule>
  </conditionalFormatting>
  <conditionalFormatting sqref="R296">
    <cfRule type="expression" dxfId="6194" priority="6517" stopIfTrue="1">
      <formula>$G294=""</formula>
    </cfRule>
    <cfRule type="containsBlanks" dxfId="6193" priority="6518">
      <formula>LEN(TRIM(R296))=0</formula>
    </cfRule>
  </conditionalFormatting>
  <conditionalFormatting sqref="P296:R296">
    <cfRule type="expression" dxfId="6192" priority="6516">
      <formula>$C$36=0</formula>
    </cfRule>
  </conditionalFormatting>
  <conditionalFormatting sqref="AF295">
    <cfRule type="containsBlanks" dxfId="6191" priority="6512">
      <formula>LEN(TRIM(AF295))=0</formula>
    </cfRule>
    <cfRule type="expression" dxfId="6190" priority="6513">
      <formula>$HJ295=FALSE</formula>
    </cfRule>
  </conditionalFormatting>
  <conditionalFormatting sqref="AF297">
    <cfRule type="expression" dxfId="6189" priority="6511">
      <formula>$C$36=2</formula>
    </cfRule>
  </conditionalFormatting>
  <conditionalFormatting sqref="R295">
    <cfRule type="containsBlanks" dxfId="6188" priority="6510">
      <formula>LEN(TRIM(R295))=0</formula>
    </cfRule>
  </conditionalFormatting>
  <conditionalFormatting sqref="AE295:AF295">
    <cfRule type="expression" dxfId="6187" priority="6509" stopIfTrue="1">
      <formula>$G294=""</formula>
    </cfRule>
  </conditionalFormatting>
  <conditionalFormatting sqref="AF297">
    <cfRule type="expression" dxfId="6186" priority="6508" stopIfTrue="1">
      <formula>$G294=""</formula>
    </cfRule>
  </conditionalFormatting>
  <conditionalFormatting sqref="AF294:AI294">
    <cfRule type="expression" dxfId="6185" priority="6507">
      <formula>$C$36&lt;&gt;0</formula>
    </cfRule>
  </conditionalFormatting>
  <conditionalFormatting sqref="R295">
    <cfRule type="containsBlanks" dxfId="6184" priority="6505">
      <formula>LEN(TRIM(R295))=0</formula>
    </cfRule>
  </conditionalFormatting>
  <conditionalFormatting sqref="U296">
    <cfRule type="expression" dxfId="6183" priority="6528">
      <formula>OR($HF295=FALSE,$HG295=FALSE)</formula>
    </cfRule>
  </conditionalFormatting>
  <conditionalFormatting sqref="R295">
    <cfRule type="expression" dxfId="6182" priority="6502" stopIfTrue="1">
      <formula>$G294=""</formula>
    </cfRule>
    <cfRule type="expression" dxfId="6181" priority="6503">
      <formula>$HT295=FALSE</formula>
    </cfRule>
  </conditionalFormatting>
  <conditionalFormatting sqref="G297">
    <cfRule type="expression" dxfId="6180" priority="6497" stopIfTrue="1">
      <formula>$G294=""</formula>
    </cfRule>
  </conditionalFormatting>
  <conditionalFormatting sqref="G297">
    <cfRule type="expression" dxfId="6179" priority="6491" stopIfTrue="1">
      <formula>$CN294="Exterior"</formula>
    </cfRule>
  </conditionalFormatting>
  <conditionalFormatting sqref="G297:L297">
    <cfRule type="containsBlanks" dxfId="6178" priority="6498" stopIfTrue="1">
      <formula>LEN(TRIM(G297))=0</formula>
    </cfRule>
    <cfRule type="expression" dxfId="6177" priority="6500">
      <formula>$HL295=FALSE</formula>
    </cfRule>
  </conditionalFormatting>
  <conditionalFormatting sqref="AF296">
    <cfRule type="expression" dxfId="6176" priority="6492" stopIfTrue="1">
      <formula>$G294=""</formula>
    </cfRule>
  </conditionalFormatting>
  <conditionalFormatting sqref="AF296:AI296">
    <cfRule type="expression" dxfId="6175" priority="6496">
      <formula>OR($HP295=FALSE,$HL295=FALSE)</formula>
    </cfRule>
  </conditionalFormatting>
  <conditionalFormatting sqref="AF296">
    <cfRule type="containsBlanks" dxfId="6174" priority="6493" stopIfTrue="1">
      <formula>LEN(TRIM(AF296))=0</formula>
    </cfRule>
    <cfRule type="expression" dxfId="6173" priority="6494">
      <formula>$DP294=7</formula>
    </cfRule>
    <cfRule type="expression" dxfId="6172" priority="6495">
      <formula>OR($HK295=FALSE,$HM295=FALSE)</formula>
    </cfRule>
  </conditionalFormatting>
  <conditionalFormatting sqref="G297:L297">
    <cfRule type="expression" dxfId="6171" priority="6499" stopIfTrue="1">
      <formula>$AF296=""</formula>
    </cfRule>
  </conditionalFormatting>
  <conditionalFormatting sqref="T295:U295">
    <cfRule type="expression" dxfId="6170" priority="6488" stopIfTrue="1">
      <formula>$C$36&lt;&gt;0</formula>
    </cfRule>
    <cfRule type="containsBlanks" dxfId="6169" priority="6489" stopIfTrue="1">
      <formula>LEN(TRIM(T295))=0</formula>
    </cfRule>
  </conditionalFormatting>
  <conditionalFormatting sqref="T295:U295">
    <cfRule type="expression" dxfId="6168" priority="6487" stopIfTrue="1">
      <formula>$G294=""</formula>
    </cfRule>
  </conditionalFormatting>
  <conditionalFormatting sqref="U295">
    <cfRule type="expression" dxfId="6167" priority="6490">
      <formula>$HE295=FALSE</formula>
    </cfRule>
  </conditionalFormatting>
  <conditionalFormatting sqref="T297">
    <cfRule type="expression" dxfId="6166" priority="6486">
      <formula>$C$36=2</formula>
    </cfRule>
  </conditionalFormatting>
  <conditionalFormatting sqref="AE301">
    <cfRule type="expression" dxfId="6165" priority="6472" stopIfTrue="1">
      <formula>$G299=""</formula>
    </cfRule>
  </conditionalFormatting>
  <conditionalFormatting sqref="AB302:AD302">
    <cfRule type="expression" dxfId="6164" priority="6484" stopIfTrue="1">
      <formula>$G299=""</formula>
    </cfRule>
  </conditionalFormatting>
  <conditionalFormatting sqref="G301">
    <cfRule type="expression" dxfId="6163" priority="6481" stopIfTrue="1">
      <formula>$G299=""</formula>
    </cfRule>
    <cfRule type="containsBlanks" dxfId="6162" priority="6482" stopIfTrue="1">
      <formula>LEN(TRIM(G301))=0</formula>
    </cfRule>
    <cfRule type="expression" dxfId="6161" priority="6483">
      <formula>OR($M301=0,$HC300=FALSE)</formula>
    </cfRule>
  </conditionalFormatting>
  <conditionalFormatting sqref="AB302">
    <cfRule type="expression" dxfId="6160" priority="6480" stopIfTrue="1">
      <formula>$AB302=""</formula>
    </cfRule>
  </conditionalFormatting>
  <conditionalFormatting sqref="AE300:AF300">
    <cfRule type="expression" dxfId="6159" priority="6479">
      <formula>$C$36=2</formula>
    </cfRule>
  </conditionalFormatting>
  <conditionalFormatting sqref="T301:U301">
    <cfRule type="expression" dxfId="6158" priority="6454" stopIfTrue="1">
      <formula>$G299=""</formula>
    </cfRule>
  </conditionalFormatting>
  <conditionalFormatting sqref="T301:U301">
    <cfRule type="containsBlanks" dxfId="6157" priority="6477" stopIfTrue="1">
      <formula>LEN(TRIM(T301))=0</formula>
    </cfRule>
  </conditionalFormatting>
  <conditionalFormatting sqref="AC299:AD299">
    <cfRule type="expression" dxfId="6156" priority="6476">
      <formula>$G299=""</formula>
    </cfRule>
  </conditionalFormatting>
  <conditionalFormatting sqref="AE300">
    <cfRule type="containsBlanks" dxfId="6155" priority="6474">
      <formula>LEN(TRIM(AE300))=0</formula>
    </cfRule>
  </conditionalFormatting>
  <conditionalFormatting sqref="AE301 AF302">
    <cfRule type="containsBlanks" dxfId="6154" priority="6473" stopIfTrue="1">
      <formula>LEN(TRIM(AE301))=0</formula>
    </cfRule>
  </conditionalFormatting>
  <conditionalFormatting sqref="AE301">
    <cfRule type="expression" dxfId="6153" priority="6485">
      <formula>OR($HN300=FALSE,$HO300=FALSE)</formula>
    </cfRule>
  </conditionalFormatting>
  <conditionalFormatting sqref="G300:Q300 G299">
    <cfRule type="containsBlanks" dxfId="6152" priority="6471">
      <formula>LEN(TRIM(G299))=0</formula>
    </cfRule>
  </conditionalFormatting>
  <conditionalFormatting sqref="G300:L300">
    <cfRule type="expression" dxfId="6151" priority="6469" stopIfTrue="1">
      <formula>$G299=""</formula>
    </cfRule>
    <cfRule type="containsBlanks" dxfId="6150" priority="6470">
      <formula>LEN(TRIM(G300))=0</formula>
    </cfRule>
  </conditionalFormatting>
  <conditionalFormatting sqref="R301">
    <cfRule type="expression" dxfId="6149" priority="6467" stopIfTrue="1">
      <formula>$G299=""</formula>
    </cfRule>
    <cfRule type="containsBlanks" dxfId="6148" priority="6468">
      <formula>LEN(TRIM(R301))=0</formula>
    </cfRule>
  </conditionalFormatting>
  <conditionalFormatting sqref="P301:R301">
    <cfRule type="expression" dxfId="6147" priority="6466">
      <formula>$C$36=0</formula>
    </cfRule>
  </conditionalFormatting>
  <conditionalFormatting sqref="AF300">
    <cfRule type="containsBlanks" dxfId="6146" priority="6462">
      <formula>LEN(TRIM(AF300))=0</formula>
    </cfRule>
    <cfRule type="expression" dxfId="6145" priority="6463">
      <formula>$HJ300=FALSE</formula>
    </cfRule>
  </conditionalFormatting>
  <conditionalFormatting sqref="AF302">
    <cfRule type="expression" dxfId="6144" priority="6461">
      <formula>$C$36=2</formula>
    </cfRule>
  </conditionalFormatting>
  <conditionalFormatting sqref="R300">
    <cfRule type="containsBlanks" dxfId="6143" priority="6460">
      <formula>LEN(TRIM(R300))=0</formula>
    </cfRule>
  </conditionalFormatting>
  <conditionalFormatting sqref="AE300:AF300">
    <cfRule type="expression" dxfId="6142" priority="6459" stopIfTrue="1">
      <formula>$G299=""</formula>
    </cfRule>
  </conditionalFormatting>
  <conditionalFormatting sqref="AF302">
    <cfRule type="expression" dxfId="6141" priority="6458" stopIfTrue="1">
      <formula>$G299=""</formula>
    </cfRule>
  </conditionalFormatting>
  <conditionalFormatting sqref="AF299:AI299">
    <cfRule type="expression" dxfId="6140" priority="6457">
      <formula>$C$36&lt;&gt;0</formula>
    </cfRule>
  </conditionalFormatting>
  <conditionalFormatting sqref="R300">
    <cfRule type="containsBlanks" dxfId="6139" priority="6455">
      <formula>LEN(TRIM(R300))=0</formula>
    </cfRule>
  </conditionalFormatting>
  <conditionalFormatting sqref="U301">
    <cfRule type="expression" dxfId="6138" priority="6478">
      <formula>OR($HF300=FALSE,$HG300=FALSE)</formula>
    </cfRule>
  </conditionalFormatting>
  <conditionalFormatting sqref="R300">
    <cfRule type="expression" dxfId="6137" priority="6452" stopIfTrue="1">
      <formula>$G299=""</formula>
    </cfRule>
    <cfRule type="expression" dxfId="6136" priority="6453">
      <formula>$HT300=FALSE</formula>
    </cfRule>
  </conditionalFormatting>
  <conditionalFormatting sqref="G302">
    <cfRule type="expression" dxfId="6135" priority="6447" stopIfTrue="1">
      <formula>$G299=""</formula>
    </cfRule>
  </conditionalFormatting>
  <conditionalFormatting sqref="G302">
    <cfRule type="expression" dxfId="6134" priority="6441" stopIfTrue="1">
      <formula>$CN299="Exterior"</formula>
    </cfRule>
  </conditionalFormatting>
  <conditionalFormatting sqref="G302:L302">
    <cfRule type="containsBlanks" dxfId="6133" priority="6448" stopIfTrue="1">
      <formula>LEN(TRIM(G302))=0</formula>
    </cfRule>
    <cfRule type="expression" dxfId="6132" priority="6450">
      <formula>$HL300=FALSE</formula>
    </cfRule>
  </conditionalFormatting>
  <conditionalFormatting sqref="AF301">
    <cfRule type="expression" dxfId="6131" priority="6442" stopIfTrue="1">
      <formula>$G299=""</formula>
    </cfRule>
  </conditionalFormatting>
  <conditionalFormatting sqref="AF301:AI301">
    <cfRule type="expression" dxfId="6130" priority="6446">
      <formula>OR($HP300=FALSE,$HL300=FALSE)</formula>
    </cfRule>
  </conditionalFormatting>
  <conditionalFormatting sqref="AF301">
    <cfRule type="containsBlanks" dxfId="6129" priority="6443" stopIfTrue="1">
      <formula>LEN(TRIM(AF301))=0</formula>
    </cfRule>
    <cfRule type="expression" dxfId="6128" priority="6444">
      <formula>$DP299=7</formula>
    </cfRule>
    <cfRule type="expression" dxfId="6127" priority="6445">
      <formula>OR($HK300=FALSE,$HM300=FALSE)</formula>
    </cfRule>
  </conditionalFormatting>
  <conditionalFormatting sqref="G302:L302">
    <cfRule type="expression" dxfId="6126" priority="6449" stopIfTrue="1">
      <formula>$AF301=""</formula>
    </cfRule>
  </conditionalFormatting>
  <conditionalFormatting sqref="T300:U300">
    <cfRule type="expression" dxfId="6125" priority="6438" stopIfTrue="1">
      <formula>$C$36&lt;&gt;0</formula>
    </cfRule>
    <cfRule type="containsBlanks" dxfId="6124" priority="6439" stopIfTrue="1">
      <formula>LEN(TRIM(T300))=0</formula>
    </cfRule>
  </conditionalFormatting>
  <conditionalFormatting sqref="T300:U300">
    <cfRule type="expression" dxfId="6123" priority="6437" stopIfTrue="1">
      <formula>$G299=""</formula>
    </cfRule>
  </conditionalFormatting>
  <conditionalFormatting sqref="U300">
    <cfRule type="expression" dxfId="6122" priority="6440">
      <formula>$HE300=FALSE</formula>
    </cfRule>
  </conditionalFormatting>
  <conditionalFormatting sqref="T302">
    <cfRule type="expression" dxfId="6121" priority="6436">
      <formula>$C$36=2</formula>
    </cfRule>
  </conditionalFormatting>
  <conditionalFormatting sqref="AE306">
    <cfRule type="expression" dxfId="6120" priority="6422" stopIfTrue="1">
      <formula>$G304=""</formula>
    </cfRule>
  </conditionalFormatting>
  <conditionalFormatting sqref="AB307:AD307">
    <cfRule type="expression" dxfId="6119" priority="6434" stopIfTrue="1">
      <formula>$G304=""</formula>
    </cfRule>
  </conditionalFormatting>
  <conditionalFormatting sqref="G306">
    <cfRule type="expression" dxfId="6118" priority="6431" stopIfTrue="1">
      <formula>$G304=""</formula>
    </cfRule>
    <cfRule type="containsBlanks" dxfId="6117" priority="6432" stopIfTrue="1">
      <formula>LEN(TRIM(G306))=0</formula>
    </cfRule>
    <cfRule type="expression" dxfId="6116" priority="6433">
      <formula>OR($M306=0,$HC305=FALSE)</formula>
    </cfRule>
  </conditionalFormatting>
  <conditionalFormatting sqref="AB307">
    <cfRule type="expression" dxfId="6115" priority="6430" stopIfTrue="1">
      <formula>$AB307=""</formula>
    </cfRule>
  </conditionalFormatting>
  <conditionalFormatting sqref="AE305:AF305">
    <cfRule type="expression" dxfId="6114" priority="6429">
      <formula>$C$36=2</formula>
    </cfRule>
  </conditionalFormatting>
  <conditionalFormatting sqref="T306:U306">
    <cfRule type="expression" dxfId="6113" priority="6404" stopIfTrue="1">
      <formula>$G304=""</formula>
    </cfRule>
  </conditionalFormatting>
  <conditionalFormatting sqref="T306:U306">
    <cfRule type="containsBlanks" dxfId="6112" priority="6427" stopIfTrue="1">
      <formula>LEN(TRIM(T306))=0</formula>
    </cfRule>
  </conditionalFormatting>
  <conditionalFormatting sqref="AC304:AD304">
    <cfRule type="expression" dxfId="6111" priority="6426">
      <formula>$G304=""</formula>
    </cfRule>
  </conditionalFormatting>
  <conditionalFormatting sqref="AE305">
    <cfRule type="containsBlanks" dxfId="6110" priority="6424">
      <formula>LEN(TRIM(AE305))=0</formula>
    </cfRule>
  </conditionalFormatting>
  <conditionalFormatting sqref="AE306 AF307">
    <cfRule type="containsBlanks" dxfId="6109" priority="6423" stopIfTrue="1">
      <formula>LEN(TRIM(AE306))=0</formula>
    </cfRule>
  </conditionalFormatting>
  <conditionalFormatting sqref="AE306">
    <cfRule type="expression" dxfId="6108" priority="6435">
      <formula>OR($HN305=FALSE,$HO305=FALSE)</formula>
    </cfRule>
  </conditionalFormatting>
  <conditionalFormatting sqref="G305:Q305 G304">
    <cfRule type="containsBlanks" dxfId="6107" priority="6421">
      <formula>LEN(TRIM(G304))=0</formula>
    </cfRule>
  </conditionalFormatting>
  <conditionalFormatting sqref="G305:L305">
    <cfRule type="expression" dxfId="6106" priority="6419" stopIfTrue="1">
      <formula>$G304=""</formula>
    </cfRule>
    <cfRule type="containsBlanks" dxfId="6105" priority="6420">
      <formula>LEN(TRIM(G305))=0</formula>
    </cfRule>
  </conditionalFormatting>
  <conditionalFormatting sqref="R306">
    <cfRule type="expression" dxfId="6104" priority="6417" stopIfTrue="1">
      <formula>$G304=""</formula>
    </cfRule>
    <cfRule type="containsBlanks" dxfId="6103" priority="6418">
      <formula>LEN(TRIM(R306))=0</formula>
    </cfRule>
  </conditionalFormatting>
  <conditionalFormatting sqref="P306:R306">
    <cfRule type="expression" dxfId="6102" priority="6416">
      <formula>$C$36=0</formula>
    </cfRule>
  </conditionalFormatting>
  <conditionalFormatting sqref="AF305">
    <cfRule type="containsBlanks" dxfId="6101" priority="6412">
      <formula>LEN(TRIM(AF305))=0</formula>
    </cfRule>
    <cfRule type="expression" dxfId="6100" priority="6413">
      <formula>$HJ305=FALSE</formula>
    </cfRule>
  </conditionalFormatting>
  <conditionalFormatting sqref="AF307">
    <cfRule type="expression" dxfId="6099" priority="6411">
      <formula>$C$36=2</formula>
    </cfRule>
  </conditionalFormatting>
  <conditionalFormatting sqref="R305">
    <cfRule type="containsBlanks" dxfId="6098" priority="6410">
      <formula>LEN(TRIM(R305))=0</formula>
    </cfRule>
  </conditionalFormatting>
  <conditionalFormatting sqref="AE305:AF305">
    <cfRule type="expression" dxfId="6097" priority="6409" stopIfTrue="1">
      <formula>$G304=""</formula>
    </cfRule>
  </conditionalFormatting>
  <conditionalFormatting sqref="AF307">
    <cfRule type="expression" dxfId="6096" priority="6408" stopIfTrue="1">
      <formula>$G304=""</formula>
    </cfRule>
  </conditionalFormatting>
  <conditionalFormatting sqref="AF304:AI304">
    <cfRule type="expression" dxfId="6095" priority="6407">
      <formula>$C$36&lt;&gt;0</formula>
    </cfRule>
  </conditionalFormatting>
  <conditionalFormatting sqref="R305">
    <cfRule type="containsBlanks" dxfId="6094" priority="6405">
      <formula>LEN(TRIM(R305))=0</formula>
    </cfRule>
  </conditionalFormatting>
  <conditionalFormatting sqref="U306">
    <cfRule type="expression" dxfId="6093" priority="6428">
      <formula>OR($HF305=FALSE,$HG305=FALSE)</formula>
    </cfRule>
  </conditionalFormatting>
  <conditionalFormatting sqref="R305">
    <cfRule type="expression" dxfId="6092" priority="6402" stopIfTrue="1">
      <formula>$G304=""</formula>
    </cfRule>
    <cfRule type="expression" dxfId="6091" priority="6403">
      <formula>$HT305=FALSE</formula>
    </cfRule>
  </conditionalFormatting>
  <conditionalFormatting sqref="G307">
    <cfRule type="expression" dxfId="6090" priority="6397" stopIfTrue="1">
      <formula>$G304=""</formula>
    </cfRule>
  </conditionalFormatting>
  <conditionalFormatting sqref="G307">
    <cfRule type="expression" dxfId="6089" priority="6391" stopIfTrue="1">
      <formula>$CN304="Exterior"</formula>
    </cfRule>
  </conditionalFormatting>
  <conditionalFormatting sqref="G307:L307">
    <cfRule type="containsBlanks" dxfId="6088" priority="6398" stopIfTrue="1">
      <formula>LEN(TRIM(G307))=0</formula>
    </cfRule>
    <cfRule type="expression" dxfId="6087" priority="6400">
      <formula>$HL305=FALSE</formula>
    </cfRule>
  </conditionalFormatting>
  <conditionalFormatting sqref="AF306">
    <cfRule type="expression" dxfId="6086" priority="6392" stopIfTrue="1">
      <formula>$G304=""</formula>
    </cfRule>
  </conditionalFormatting>
  <conditionalFormatting sqref="AF306:AI306">
    <cfRule type="expression" dxfId="6085" priority="6396">
      <formula>OR($HP305=FALSE,$HL305=FALSE)</formula>
    </cfRule>
  </conditionalFormatting>
  <conditionalFormatting sqref="AF306">
    <cfRule type="containsBlanks" dxfId="6084" priority="6393" stopIfTrue="1">
      <formula>LEN(TRIM(AF306))=0</formula>
    </cfRule>
    <cfRule type="expression" dxfId="6083" priority="6394">
      <formula>$DP304=7</formula>
    </cfRule>
    <cfRule type="expression" dxfId="6082" priority="6395">
      <formula>OR($HK305=FALSE,$HM305=FALSE)</formula>
    </cfRule>
  </conditionalFormatting>
  <conditionalFormatting sqref="G307:L307">
    <cfRule type="expression" dxfId="6081" priority="6399" stopIfTrue="1">
      <formula>$AF306=""</formula>
    </cfRule>
  </conditionalFormatting>
  <conditionalFormatting sqref="T305:U305">
    <cfRule type="expression" dxfId="6080" priority="6388" stopIfTrue="1">
      <formula>$C$36&lt;&gt;0</formula>
    </cfRule>
    <cfRule type="containsBlanks" dxfId="6079" priority="6389" stopIfTrue="1">
      <formula>LEN(TRIM(T305))=0</formula>
    </cfRule>
  </conditionalFormatting>
  <conditionalFormatting sqref="T305:U305">
    <cfRule type="expression" dxfId="6078" priority="6387" stopIfTrue="1">
      <formula>$G304=""</formula>
    </cfRule>
  </conditionalFormatting>
  <conditionalFormatting sqref="U305">
    <cfRule type="expression" dxfId="6077" priority="6390">
      <formula>$HE305=FALSE</formula>
    </cfRule>
  </conditionalFormatting>
  <conditionalFormatting sqref="T307">
    <cfRule type="expression" dxfId="6076" priority="6386">
      <formula>$C$36=2</formula>
    </cfRule>
  </conditionalFormatting>
  <conditionalFormatting sqref="AE311">
    <cfRule type="expression" dxfId="6075" priority="6372" stopIfTrue="1">
      <formula>$G309=""</formula>
    </cfRule>
  </conditionalFormatting>
  <conditionalFormatting sqref="AB312:AD312">
    <cfRule type="expression" dxfId="6074" priority="6384" stopIfTrue="1">
      <formula>$G309=""</formula>
    </cfRule>
  </conditionalFormatting>
  <conditionalFormatting sqref="G311">
    <cfRule type="expression" dxfId="6073" priority="6381" stopIfTrue="1">
      <formula>$G309=""</formula>
    </cfRule>
    <cfRule type="containsBlanks" dxfId="6072" priority="6382" stopIfTrue="1">
      <formula>LEN(TRIM(G311))=0</formula>
    </cfRule>
    <cfRule type="expression" dxfId="6071" priority="6383">
      <formula>OR($M311=0,$HC310=FALSE)</formula>
    </cfRule>
  </conditionalFormatting>
  <conditionalFormatting sqref="AB312">
    <cfRule type="expression" dxfId="6070" priority="6380" stopIfTrue="1">
      <formula>$AB312=""</formula>
    </cfRule>
  </conditionalFormatting>
  <conditionalFormatting sqref="AE310:AF310">
    <cfRule type="expression" dxfId="6069" priority="6379">
      <formula>$C$36=2</formula>
    </cfRule>
  </conditionalFormatting>
  <conditionalFormatting sqref="T311:U311">
    <cfRule type="expression" dxfId="6068" priority="6354" stopIfTrue="1">
      <formula>$G309=""</formula>
    </cfRule>
  </conditionalFormatting>
  <conditionalFormatting sqref="T311:U311">
    <cfRule type="containsBlanks" dxfId="6067" priority="6377" stopIfTrue="1">
      <formula>LEN(TRIM(T311))=0</formula>
    </cfRule>
  </conditionalFormatting>
  <conditionalFormatting sqref="AC309:AD309">
    <cfRule type="expression" dxfId="6066" priority="6376">
      <formula>$G309=""</formula>
    </cfRule>
  </conditionalFormatting>
  <conditionalFormatting sqref="AE310">
    <cfRule type="containsBlanks" dxfId="6065" priority="6374">
      <formula>LEN(TRIM(AE310))=0</formula>
    </cfRule>
  </conditionalFormatting>
  <conditionalFormatting sqref="AE311 AF312">
    <cfRule type="containsBlanks" dxfId="6064" priority="6373" stopIfTrue="1">
      <formula>LEN(TRIM(AE311))=0</formula>
    </cfRule>
  </conditionalFormatting>
  <conditionalFormatting sqref="AE311">
    <cfRule type="expression" dxfId="6063" priority="6385">
      <formula>OR($HN310=FALSE,$HO310=FALSE)</formula>
    </cfRule>
  </conditionalFormatting>
  <conditionalFormatting sqref="G310:Q310 G309">
    <cfRule type="containsBlanks" dxfId="6062" priority="6371">
      <formula>LEN(TRIM(G309))=0</formula>
    </cfRule>
  </conditionalFormatting>
  <conditionalFormatting sqref="G310:L310">
    <cfRule type="expression" dxfId="6061" priority="6369" stopIfTrue="1">
      <formula>$G309=""</formula>
    </cfRule>
    <cfRule type="containsBlanks" dxfId="6060" priority="6370">
      <formula>LEN(TRIM(G310))=0</formula>
    </cfRule>
  </conditionalFormatting>
  <conditionalFormatting sqref="R311">
    <cfRule type="expression" dxfId="6059" priority="6367" stopIfTrue="1">
      <formula>$G309=""</formula>
    </cfRule>
    <cfRule type="containsBlanks" dxfId="6058" priority="6368">
      <formula>LEN(TRIM(R311))=0</formula>
    </cfRule>
  </conditionalFormatting>
  <conditionalFormatting sqref="P311:R311">
    <cfRule type="expression" dxfId="6057" priority="6366">
      <formula>$C$36=0</formula>
    </cfRule>
  </conditionalFormatting>
  <conditionalFormatting sqref="AF310">
    <cfRule type="containsBlanks" dxfId="6056" priority="6362">
      <formula>LEN(TRIM(AF310))=0</formula>
    </cfRule>
    <cfRule type="expression" dxfId="6055" priority="6363">
      <formula>$HJ310=FALSE</formula>
    </cfRule>
  </conditionalFormatting>
  <conditionalFormatting sqref="AF312">
    <cfRule type="expression" dxfId="6054" priority="6361">
      <formula>$C$36=2</formula>
    </cfRule>
  </conditionalFormatting>
  <conditionalFormatting sqref="R310">
    <cfRule type="containsBlanks" dxfId="6053" priority="6360">
      <formula>LEN(TRIM(R310))=0</formula>
    </cfRule>
  </conditionalFormatting>
  <conditionalFormatting sqref="AE310:AF310">
    <cfRule type="expression" dxfId="6052" priority="6359" stopIfTrue="1">
      <formula>$G309=""</formula>
    </cfRule>
  </conditionalFormatting>
  <conditionalFormatting sqref="AF312">
    <cfRule type="expression" dxfId="6051" priority="6358" stopIfTrue="1">
      <formula>$G309=""</formula>
    </cfRule>
  </conditionalFormatting>
  <conditionalFormatting sqref="AF309:AI309">
    <cfRule type="expression" dxfId="6050" priority="6357">
      <formula>$C$36&lt;&gt;0</formula>
    </cfRule>
  </conditionalFormatting>
  <conditionalFormatting sqref="R310">
    <cfRule type="containsBlanks" dxfId="6049" priority="6355">
      <formula>LEN(TRIM(R310))=0</formula>
    </cfRule>
  </conditionalFormatting>
  <conditionalFormatting sqref="U311">
    <cfRule type="expression" dxfId="6048" priority="6378">
      <formula>OR($HF310=FALSE,$HG310=FALSE)</formula>
    </cfRule>
  </conditionalFormatting>
  <conditionalFormatting sqref="R310">
    <cfRule type="expression" dxfId="6047" priority="6352" stopIfTrue="1">
      <formula>$G309=""</formula>
    </cfRule>
    <cfRule type="expression" dxfId="6046" priority="6353">
      <formula>$HT310=FALSE</formula>
    </cfRule>
  </conditionalFormatting>
  <conditionalFormatting sqref="G312">
    <cfRule type="expression" dxfId="6045" priority="6347" stopIfTrue="1">
      <formula>$G309=""</formula>
    </cfRule>
  </conditionalFormatting>
  <conditionalFormatting sqref="G312">
    <cfRule type="expression" dxfId="6044" priority="6341" stopIfTrue="1">
      <formula>$CN309="Exterior"</formula>
    </cfRule>
  </conditionalFormatting>
  <conditionalFormatting sqref="G312:L312">
    <cfRule type="containsBlanks" dxfId="6043" priority="6348" stopIfTrue="1">
      <formula>LEN(TRIM(G312))=0</formula>
    </cfRule>
    <cfRule type="expression" dxfId="6042" priority="6350">
      <formula>$HL310=FALSE</formula>
    </cfRule>
  </conditionalFormatting>
  <conditionalFormatting sqref="AF311">
    <cfRule type="expression" dxfId="6041" priority="6342" stopIfTrue="1">
      <formula>$G309=""</formula>
    </cfRule>
  </conditionalFormatting>
  <conditionalFormatting sqref="AF311:AI311">
    <cfRule type="expression" dxfId="6040" priority="6346">
      <formula>OR($HP310=FALSE,$HL310=FALSE)</formula>
    </cfRule>
  </conditionalFormatting>
  <conditionalFormatting sqref="AF311">
    <cfRule type="containsBlanks" dxfId="6039" priority="6343" stopIfTrue="1">
      <formula>LEN(TRIM(AF311))=0</formula>
    </cfRule>
    <cfRule type="expression" dxfId="6038" priority="6344">
      <formula>$DP309=7</formula>
    </cfRule>
    <cfRule type="expression" dxfId="6037" priority="6345">
      <formula>OR($HK310=FALSE,$HM310=FALSE)</formula>
    </cfRule>
  </conditionalFormatting>
  <conditionalFormatting sqref="G312:L312">
    <cfRule type="expression" dxfId="6036" priority="6349" stopIfTrue="1">
      <formula>$AF311=""</formula>
    </cfRule>
  </conditionalFormatting>
  <conditionalFormatting sqref="T310:U310">
    <cfRule type="expression" dxfId="6035" priority="6338" stopIfTrue="1">
      <formula>$C$36&lt;&gt;0</formula>
    </cfRule>
    <cfRule type="containsBlanks" dxfId="6034" priority="6339" stopIfTrue="1">
      <formula>LEN(TRIM(T310))=0</formula>
    </cfRule>
  </conditionalFormatting>
  <conditionalFormatting sqref="T310:U310">
    <cfRule type="expression" dxfId="6033" priority="6337" stopIfTrue="1">
      <formula>$G309=""</formula>
    </cfRule>
  </conditionalFormatting>
  <conditionalFormatting sqref="U310">
    <cfRule type="expression" dxfId="6032" priority="6340">
      <formula>$HE310=FALSE</formula>
    </cfRule>
  </conditionalFormatting>
  <conditionalFormatting sqref="T312">
    <cfRule type="expression" dxfId="6031" priority="6336">
      <formula>$C$36=2</formula>
    </cfRule>
  </conditionalFormatting>
  <conditionalFormatting sqref="AE316">
    <cfRule type="expression" dxfId="6030" priority="6322" stopIfTrue="1">
      <formula>$G314=""</formula>
    </cfRule>
  </conditionalFormatting>
  <conditionalFormatting sqref="AB317:AD317">
    <cfRule type="expression" dxfId="6029" priority="6334" stopIfTrue="1">
      <formula>$G314=""</formula>
    </cfRule>
  </conditionalFormatting>
  <conditionalFormatting sqref="G316">
    <cfRule type="expression" dxfId="6028" priority="6331" stopIfTrue="1">
      <formula>$G314=""</formula>
    </cfRule>
    <cfRule type="containsBlanks" dxfId="6027" priority="6332" stopIfTrue="1">
      <formula>LEN(TRIM(G316))=0</formula>
    </cfRule>
    <cfRule type="expression" dxfId="6026" priority="6333">
      <formula>OR($M316=0,$HC315=FALSE)</formula>
    </cfRule>
  </conditionalFormatting>
  <conditionalFormatting sqref="AB317">
    <cfRule type="expression" dxfId="6025" priority="6330" stopIfTrue="1">
      <formula>$AB317=""</formula>
    </cfRule>
  </conditionalFormatting>
  <conditionalFormatting sqref="AE315:AF315">
    <cfRule type="expression" dxfId="6024" priority="6329">
      <formula>$C$36=2</formula>
    </cfRule>
  </conditionalFormatting>
  <conditionalFormatting sqref="T316:U316">
    <cfRule type="expression" dxfId="6023" priority="6304" stopIfTrue="1">
      <formula>$G314=""</formula>
    </cfRule>
  </conditionalFormatting>
  <conditionalFormatting sqref="T316:U316">
    <cfRule type="containsBlanks" dxfId="6022" priority="6327" stopIfTrue="1">
      <formula>LEN(TRIM(T316))=0</formula>
    </cfRule>
  </conditionalFormatting>
  <conditionalFormatting sqref="AC314:AD314">
    <cfRule type="expression" dxfId="6021" priority="6326">
      <formula>$G314=""</formula>
    </cfRule>
  </conditionalFormatting>
  <conditionalFormatting sqref="AE315">
    <cfRule type="containsBlanks" dxfId="6020" priority="6324">
      <formula>LEN(TRIM(AE315))=0</formula>
    </cfRule>
  </conditionalFormatting>
  <conditionalFormatting sqref="AE316 AF317">
    <cfRule type="containsBlanks" dxfId="6019" priority="6323" stopIfTrue="1">
      <formula>LEN(TRIM(AE316))=0</formula>
    </cfRule>
  </conditionalFormatting>
  <conditionalFormatting sqref="AE316">
    <cfRule type="expression" dxfId="6018" priority="6335">
      <formula>OR($HN315=FALSE,$HO315=FALSE)</formula>
    </cfRule>
  </conditionalFormatting>
  <conditionalFormatting sqref="G315:Q315 G314">
    <cfRule type="containsBlanks" dxfId="6017" priority="6321">
      <formula>LEN(TRIM(G314))=0</formula>
    </cfRule>
  </conditionalFormatting>
  <conditionalFormatting sqref="G315:L315">
    <cfRule type="expression" dxfId="6016" priority="6319" stopIfTrue="1">
      <formula>$G314=""</formula>
    </cfRule>
    <cfRule type="containsBlanks" dxfId="6015" priority="6320">
      <formula>LEN(TRIM(G315))=0</formula>
    </cfRule>
  </conditionalFormatting>
  <conditionalFormatting sqref="R316">
    <cfRule type="expression" dxfId="6014" priority="6317" stopIfTrue="1">
      <formula>$G314=""</formula>
    </cfRule>
    <cfRule type="containsBlanks" dxfId="6013" priority="6318">
      <formula>LEN(TRIM(R316))=0</formula>
    </cfRule>
  </conditionalFormatting>
  <conditionalFormatting sqref="P316:R316">
    <cfRule type="expression" dxfId="6012" priority="6316">
      <formula>$C$36=0</formula>
    </cfRule>
  </conditionalFormatting>
  <conditionalFormatting sqref="AF315">
    <cfRule type="containsBlanks" dxfId="6011" priority="6312">
      <formula>LEN(TRIM(AF315))=0</formula>
    </cfRule>
    <cfRule type="expression" dxfId="6010" priority="6313">
      <formula>$HJ315=FALSE</formula>
    </cfRule>
  </conditionalFormatting>
  <conditionalFormatting sqref="AF317">
    <cfRule type="expression" dxfId="6009" priority="6311">
      <formula>$C$36=2</formula>
    </cfRule>
  </conditionalFormatting>
  <conditionalFormatting sqref="R315">
    <cfRule type="containsBlanks" dxfId="6008" priority="6310">
      <formula>LEN(TRIM(R315))=0</formula>
    </cfRule>
  </conditionalFormatting>
  <conditionalFormatting sqref="AE315:AF315">
    <cfRule type="expression" dxfId="6007" priority="6309" stopIfTrue="1">
      <formula>$G314=""</formula>
    </cfRule>
  </conditionalFormatting>
  <conditionalFormatting sqref="AF317">
    <cfRule type="expression" dxfId="6006" priority="6308" stopIfTrue="1">
      <formula>$G314=""</formula>
    </cfRule>
  </conditionalFormatting>
  <conditionalFormatting sqref="AF314:AI314">
    <cfRule type="expression" dxfId="6005" priority="6307">
      <formula>$C$36&lt;&gt;0</formula>
    </cfRule>
  </conditionalFormatting>
  <conditionalFormatting sqref="R315">
    <cfRule type="containsBlanks" dxfId="6004" priority="6305">
      <formula>LEN(TRIM(R315))=0</formula>
    </cfRule>
  </conditionalFormatting>
  <conditionalFormatting sqref="U316">
    <cfRule type="expression" dxfId="6003" priority="6328">
      <formula>OR($HF315=FALSE,$HG315=FALSE)</formula>
    </cfRule>
  </conditionalFormatting>
  <conditionalFormatting sqref="R315">
    <cfRule type="expression" dxfId="6002" priority="6302" stopIfTrue="1">
      <formula>$G314=""</formula>
    </cfRule>
    <cfRule type="expression" dxfId="6001" priority="6303">
      <formula>$HT315=FALSE</formula>
    </cfRule>
  </conditionalFormatting>
  <conditionalFormatting sqref="G317">
    <cfRule type="expression" dxfId="6000" priority="6297" stopIfTrue="1">
      <formula>$G314=""</formula>
    </cfRule>
  </conditionalFormatting>
  <conditionalFormatting sqref="G317">
    <cfRule type="expression" dxfId="5999" priority="6291" stopIfTrue="1">
      <formula>$CN314="Exterior"</formula>
    </cfRule>
  </conditionalFormatting>
  <conditionalFormatting sqref="G317:L317">
    <cfRule type="containsBlanks" dxfId="5998" priority="6298" stopIfTrue="1">
      <formula>LEN(TRIM(G317))=0</formula>
    </cfRule>
    <cfRule type="expression" dxfId="5997" priority="6300">
      <formula>$HL315=FALSE</formula>
    </cfRule>
  </conditionalFormatting>
  <conditionalFormatting sqref="AF316">
    <cfRule type="expression" dxfId="5996" priority="6292" stopIfTrue="1">
      <formula>$G314=""</formula>
    </cfRule>
  </conditionalFormatting>
  <conditionalFormatting sqref="AF316:AI316">
    <cfRule type="expression" dxfId="5995" priority="6296">
      <formula>OR($HP315=FALSE,$HL315=FALSE)</formula>
    </cfRule>
  </conditionalFormatting>
  <conditionalFormatting sqref="AF316">
    <cfRule type="containsBlanks" dxfId="5994" priority="6293" stopIfTrue="1">
      <formula>LEN(TRIM(AF316))=0</formula>
    </cfRule>
    <cfRule type="expression" dxfId="5993" priority="6294">
      <formula>$DP314=7</formula>
    </cfRule>
    <cfRule type="expression" dxfId="5992" priority="6295">
      <formula>OR($HK315=FALSE,$HM315=FALSE)</formula>
    </cfRule>
  </conditionalFormatting>
  <conditionalFormatting sqref="G317:L317">
    <cfRule type="expression" dxfId="5991" priority="6299" stopIfTrue="1">
      <formula>$AF316=""</formula>
    </cfRule>
  </conditionalFormatting>
  <conditionalFormatting sqref="T315:U315">
    <cfRule type="expression" dxfId="5990" priority="6288" stopIfTrue="1">
      <formula>$C$36&lt;&gt;0</formula>
    </cfRule>
    <cfRule type="containsBlanks" dxfId="5989" priority="6289" stopIfTrue="1">
      <formula>LEN(TRIM(T315))=0</formula>
    </cfRule>
  </conditionalFormatting>
  <conditionalFormatting sqref="T315:U315">
    <cfRule type="expression" dxfId="5988" priority="6287" stopIfTrue="1">
      <formula>$G314=""</formula>
    </cfRule>
  </conditionalFormatting>
  <conditionalFormatting sqref="U315">
    <cfRule type="expression" dxfId="5987" priority="6290">
      <formula>$HE315=FALSE</formula>
    </cfRule>
  </conditionalFormatting>
  <conditionalFormatting sqref="T317">
    <cfRule type="expression" dxfId="5986" priority="6286">
      <formula>$C$36=2</formula>
    </cfRule>
  </conditionalFormatting>
  <conditionalFormatting sqref="AE321">
    <cfRule type="expression" dxfId="5985" priority="6272" stopIfTrue="1">
      <formula>$G319=""</formula>
    </cfRule>
  </conditionalFormatting>
  <conditionalFormatting sqref="AB322:AD322">
    <cfRule type="expression" dxfId="5984" priority="6284" stopIfTrue="1">
      <formula>$G319=""</formula>
    </cfRule>
  </conditionalFormatting>
  <conditionalFormatting sqref="G321">
    <cfRule type="expression" dxfId="5983" priority="6281" stopIfTrue="1">
      <formula>$G319=""</formula>
    </cfRule>
    <cfRule type="containsBlanks" dxfId="5982" priority="6282" stopIfTrue="1">
      <formula>LEN(TRIM(G321))=0</formula>
    </cfRule>
    <cfRule type="expression" dxfId="5981" priority="6283">
      <formula>OR($M321=0,$HC320=FALSE)</formula>
    </cfRule>
  </conditionalFormatting>
  <conditionalFormatting sqref="AB322">
    <cfRule type="expression" dxfId="5980" priority="6280" stopIfTrue="1">
      <formula>$AB322=""</formula>
    </cfRule>
  </conditionalFormatting>
  <conditionalFormatting sqref="AE320:AF320">
    <cfRule type="expression" dxfId="5979" priority="6279">
      <formula>$C$36=2</formula>
    </cfRule>
  </conditionalFormatting>
  <conditionalFormatting sqref="T321:U321">
    <cfRule type="expression" dxfId="5978" priority="6254" stopIfTrue="1">
      <formula>$G319=""</formula>
    </cfRule>
  </conditionalFormatting>
  <conditionalFormatting sqref="T321:U321">
    <cfRule type="containsBlanks" dxfId="5977" priority="6277" stopIfTrue="1">
      <formula>LEN(TRIM(T321))=0</formula>
    </cfRule>
  </conditionalFormatting>
  <conditionalFormatting sqref="AC319:AD319">
    <cfRule type="expression" dxfId="5976" priority="6276">
      <formula>$G319=""</formula>
    </cfRule>
  </conditionalFormatting>
  <conditionalFormatting sqref="AE320">
    <cfRule type="containsBlanks" dxfId="5975" priority="6274">
      <formula>LEN(TRIM(AE320))=0</formula>
    </cfRule>
  </conditionalFormatting>
  <conditionalFormatting sqref="AE321 AF322">
    <cfRule type="containsBlanks" dxfId="5974" priority="6273" stopIfTrue="1">
      <formula>LEN(TRIM(AE321))=0</formula>
    </cfRule>
  </conditionalFormatting>
  <conditionalFormatting sqref="AE321">
    <cfRule type="expression" dxfId="5973" priority="6285">
      <formula>OR($HN320=FALSE,$HO320=FALSE)</formula>
    </cfRule>
  </conditionalFormatting>
  <conditionalFormatting sqref="G320:Q320 G319">
    <cfRule type="containsBlanks" dxfId="5972" priority="6271">
      <formula>LEN(TRIM(G319))=0</formula>
    </cfRule>
  </conditionalFormatting>
  <conditionalFormatting sqref="G320:L320">
    <cfRule type="expression" dxfId="5971" priority="6269" stopIfTrue="1">
      <formula>$G319=""</formula>
    </cfRule>
    <cfRule type="containsBlanks" dxfId="5970" priority="6270">
      <formula>LEN(TRIM(G320))=0</formula>
    </cfRule>
  </conditionalFormatting>
  <conditionalFormatting sqref="R321">
    <cfRule type="expression" dxfId="5969" priority="6267" stopIfTrue="1">
      <formula>$G319=""</formula>
    </cfRule>
    <cfRule type="containsBlanks" dxfId="5968" priority="6268">
      <formula>LEN(TRIM(R321))=0</formula>
    </cfRule>
  </conditionalFormatting>
  <conditionalFormatting sqref="P321:R321">
    <cfRule type="expression" dxfId="5967" priority="6266">
      <formula>$C$36=0</formula>
    </cfRule>
  </conditionalFormatting>
  <conditionalFormatting sqref="AF320">
    <cfRule type="containsBlanks" dxfId="5966" priority="6262">
      <formula>LEN(TRIM(AF320))=0</formula>
    </cfRule>
    <cfRule type="expression" dxfId="5965" priority="6263">
      <formula>$HJ320=FALSE</formula>
    </cfRule>
  </conditionalFormatting>
  <conditionalFormatting sqref="AF322">
    <cfRule type="expression" dxfId="5964" priority="6261">
      <formula>$C$36=2</formula>
    </cfRule>
  </conditionalFormatting>
  <conditionalFormatting sqref="R320">
    <cfRule type="containsBlanks" dxfId="5963" priority="6260">
      <formula>LEN(TRIM(R320))=0</formula>
    </cfRule>
  </conditionalFormatting>
  <conditionalFormatting sqref="AE320:AF320">
    <cfRule type="expression" dxfId="5962" priority="6259" stopIfTrue="1">
      <formula>$G319=""</formula>
    </cfRule>
  </conditionalFormatting>
  <conditionalFormatting sqref="AF322">
    <cfRule type="expression" dxfId="5961" priority="6258" stopIfTrue="1">
      <formula>$G319=""</formula>
    </cfRule>
  </conditionalFormatting>
  <conditionalFormatting sqref="AF319:AI319">
    <cfRule type="expression" dxfId="5960" priority="6257">
      <formula>$C$36&lt;&gt;0</formula>
    </cfRule>
  </conditionalFormatting>
  <conditionalFormatting sqref="R320">
    <cfRule type="containsBlanks" dxfId="5959" priority="6255">
      <formula>LEN(TRIM(R320))=0</formula>
    </cfRule>
  </conditionalFormatting>
  <conditionalFormatting sqref="U321">
    <cfRule type="expression" dxfId="5958" priority="6278">
      <formula>OR($HF320=FALSE,$HG320=FALSE)</formula>
    </cfRule>
  </conditionalFormatting>
  <conditionalFormatting sqref="R320">
    <cfRule type="expression" dxfId="5957" priority="6252" stopIfTrue="1">
      <formula>$G319=""</formula>
    </cfRule>
    <cfRule type="expression" dxfId="5956" priority="6253">
      <formula>$HT320=FALSE</formula>
    </cfRule>
  </conditionalFormatting>
  <conditionalFormatting sqref="G322">
    <cfRule type="expression" dxfId="5955" priority="6247" stopIfTrue="1">
      <formula>$G319=""</formula>
    </cfRule>
  </conditionalFormatting>
  <conditionalFormatting sqref="G322">
    <cfRule type="expression" dxfId="5954" priority="6241" stopIfTrue="1">
      <formula>$CN319="Exterior"</formula>
    </cfRule>
  </conditionalFormatting>
  <conditionalFormatting sqref="G322:L322">
    <cfRule type="containsBlanks" dxfId="5953" priority="6248" stopIfTrue="1">
      <formula>LEN(TRIM(G322))=0</formula>
    </cfRule>
    <cfRule type="expression" dxfId="5952" priority="6250">
      <formula>$HL320=FALSE</formula>
    </cfRule>
  </conditionalFormatting>
  <conditionalFormatting sqref="AF321">
    <cfRule type="expression" dxfId="5951" priority="6242" stopIfTrue="1">
      <formula>$G319=""</formula>
    </cfRule>
  </conditionalFormatting>
  <conditionalFormatting sqref="AF321:AI321">
    <cfRule type="expression" dxfId="5950" priority="6246">
      <formula>OR($HP320=FALSE,$HL320=FALSE)</formula>
    </cfRule>
  </conditionalFormatting>
  <conditionalFormatting sqref="AF321">
    <cfRule type="containsBlanks" dxfId="5949" priority="6243" stopIfTrue="1">
      <formula>LEN(TRIM(AF321))=0</formula>
    </cfRule>
    <cfRule type="expression" dxfId="5948" priority="6244">
      <formula>$DP319=7</formula>
    </cfRule>
    <cfRule type="expression" dxfId="5947" priority="6245">
      <formula>OR($HK320=FALSE,$HM320=FALSE)</formula>
    </cfRule>
  </conditionalFormatting>
  <conditionalFormatting sqref="G322:L322">
    <cfRule type="expression" dxfId="5946" priority="6249" stopIfTrue="1">
      <formula>$AF321=""</formula>
    </cfRule>
  </conditionalFormatting>
  <conditionalFormatting sqref="T320:U320">
    <cfRule type="expression" dxfId="5945" priority="6238" stopIfTrue="1">
      <formula>$C$36&lt;&gt;0</formula>
    </cfRule>
    <cfRule type="containsBlanks" dxfId="5944" priority="6239" stopIfTrue="1">
      <formula>LEN(TRIM(T320))=0</formula>
    </cfRule>
  </conditionalFormatting>
  <conditionalFormatting sqref="T320:U320">
    <cfRule type="expression" dxfId="5943" priority="6237" stopIfTrue="1">
      <formula>$G319=""</formula>
    </cfRule>
  </conditionalFormatting>
  <conditionalFormatting sqref="U320">
    <cfRule type="expression" dxfId="5942" priority="6240">
      <formula>$HE320=FALSE</formula>
    </cfRule>
  </conditionalFormatting>
  <conditionalFormatting sqref="T322">
    <cfRule type="expression" dxfId="5941" priority="6236">
      <formula>$C$36=2</formula>
    </cfRule>
  </conditionalFormatting>
  <conditionalFormatting sqref="AJ329:AL329">
    <cfRule type="expression" dxfId="5940" priority="6235" stopIfTrue="1">
      <formula>$G327=""</formula>
    </cfRule>
  </conditionalFormatting>
  <conditionalFormatting sqref="AR327:AR330">
    <cfRule type="expression" dxfId="5939" priority="6232" stopIfTrue="1">
      <formula>$C$36=2</formula>
    </cfRule>
    <cfRule type="cellIs" dxfId="5938" priority="6233" operator="equal">
      <formula>"Yes"</formula>
    </cfRule>
    <cfRule type="cellIs" dxfId="5937" priority="6234" operator="equal">
      <formula>"No"</formula>
    </cfRule>
  </conditionalFormatting>
  <conditionalFormatting sqref="AJ327:AL328">
    <cfRule type="expression" dxfId="5936" priority="6231">
      <formula>$G327=""</formula>
    </cfRule>
  </conditionalFormatting>
  <conditionalFormatting sqref="AM327 AO327:AP330">
    <cfRule type="expression" dxfId="5935" priority="6230">
      <formula>$G327=""</formula>
    </cfRule>
  </conditionalFormatting>
  <conditionalFormatting sqref="AT327:AT330">
    <cfRule type="expression" dxfId="5934" priority="6229">
      <formula>$G327=""</formula>
    </cfRule>
  </conditionalFormatting>
  <conditionalFormatting sqref="E330:F330">
    <cfRule type="expression" dxfId="5933" priority="6228">
      <formula>$CN327="Exterior"</formula>
    </cfRule>
  </conditionalFormatting>
  <conditionalFormatting sqref="AJ334:AL334">
    <cfRule type="expression" dxfId="5932" priority="6227" stopIfTrue="1">
      <formula>$G332=""</formula>
    </cfRule>
  </conditionalFormatting>
  <conditionalFormatting sqref="AR332:AR335">
    <cfRule type="expression" dxfId="5931" priority="6224" stopIfTrue="1">
      <formula>$C$36=2</formula>
    </cfRule>
    <cfRule type="cellIs" dxfId="5930" priority="6225" operator="equal">
      <formula>"Yes"</formula>
    </cfRule>
    <cfRule type="cellIs" dxfId="5929" priority="6226" operator="equal">
      <formula>"No"</formula>
    </cfRule>
  </conditionalFormatting>
  <conditionalFormatting sqref="AJ332:AL333">
    <cfRule type="expression" dxfId="5928" priority="6223">
      <formula>$G332=""</formula>
    </cfRule>
  </conditionalFormatting>
  <conditionalFormatting sqref="AM332 AO332:AP335">
    <cfRule type="expression" dxfId="5927" priority="6222">
      <formula>$G332=""</formula>
    </cfRule>
  </conditionalFormatting>
  <conditionalFormatting sqref="AT332:AT335">
    <cfRule type="expression" dxfId="5926" priority="6221">
      <formula>$G332=""</formula>
    </cfRule>
  </conditionalFormatting>
  <conditionalFormatting sqref="E335:F335">
    <cfRule type="expression" dxfId="5925" priority="6220">
      <formula>$CN332="Exterior"</formula>
    </cfRule>
  </conditionalFormatting>
  <conditionalFormatting sqref="AJ339:AL339">
    <cfRule type="expression" dxfId="5924" priority="6219" stopIfTrue="1">
      <formula>$G337=""</formula>
    </cfRule>
  </conditionalFormatting>
  <conditionalFormatting sqref="AR337:AR340">
    <cfRule type="expression" dxfId="5923" priority="6216" stopIfTrue="1">
      <formula>$C$36=2</formula>
    </cfRule>
    <cfRule type="cellIs" dxfId="5922" priority="6217" operator="equal">
      <formula>"Yes"</formula>
    </cfRule>
    <cfRule type="cellIs" dxfId="5921" priority="6218" operator="equal">
      <formula>"No"</formula>
    </cfRule>
  </conditionalFormatting>
  <conditionalFormatting sqref="AJ337:AL338">
    <cfRule type="expression" dxfId="5920" priority="6215">
      <formula>$G337=""</formula>
    </cfRule>
  </conditionalFormatting>
  <conditionalFormatting sqref="AM337 AO337:AP340">
    <cfRule type="expression" dxfId="5919" priority="6214">
      <formula>$G337=""</formula>
    </cfRule>
  </conditionalFormatting>
  <conditionalFormatting sqref="AT337:AT340">
    <cfRule type="expression" dxfId="5918" priority="6213">
      <formula>$G337=""</formula>
    </cfRule>
  </conditionalFormatting>
  <conditionalFormatting sqref="E340:F340">
    <cfRule type="expression" dxfId="5917" priority="6212">
      <formula>$CN337="Exterior"</formula>
    </cfRule>
  </conditionalFormatting>
  <conditionalFormatting sqref="AJ344:AL344">
    <cfRule type="expression" dxfId="5916" priority="6211" stopIfTrue="1">
      <formula>$G342=""</formula>
    </cfRule>
  </conditionalFormatting>
  <conditionalFormatting sqref="AR342:AR345">
    <cfRule type="expression" dxfId="5915" priority="6208" stopIfTrue="1">
      <formula>$C$36=2</formula>
    </cfRule>
    <cfRule type="cellIs" dxfId="5914" priority="6209" operator="equal">
      <formula>"Yes"</formula>
    </cfRule>
    <cfRule type="cellIs" dxfId="5913" priority="6210" operator="equal">
      <formula>"No"</formula>
    </cfRule>
  </conditionalFormatting>
  <conditionalFormatting sqref="AJ342:AL343">
    <cfRule type="expression" dxfId="5912" priority="6207">
      <formula>$G342=""</formula>
    </cfRule>
  </conditionalFormatting>
  <conditionalFormatting sqref="AM342 AO342:AP345">
    <cfRule type="expression" dxfId="5911" priority="6206">
      <formula>$G342=""</formula>
    </cfRule>
  </conditionalFormatting>
  <conditionalFormatting sqref="AT342:AT345">
    <cfRule type="expression" dxfId="5910" priority="6205">
      <formula>$G342=""</formula>
    </cfRule>
  </conditionalFormatting>
  <conditionalFormatting sqref="E345:F345">
    <cfRule type="expression" dxfId="5909" priority="6204">
      <formula>$CN342="Exterior"</formula>
    </cfRule>
  </conditionalFormatting>
  <conditionalFormatting sqref="AJ349:AL349">
    <cfRule type="expression" dxfId="5908" priority="6203" stopIfTrue="1">
      <formula>$G347=""</formula>
    </cfRule>
  </conditionalFormatting>
  <conditionalFormatting sqref="AR347:AR350">
    <cfRule type="expression" dxfId="5907" priority="6200" stopIfTrue="1">
      <formula>$C$36=2</formula>
    </cfRule>
    <cfRule type="cellIs" dxfId="5906" priority="6201" operator="equal">
      <formula>"Yes"</formula>
    </cfRule>
    <cfRule type="cellIs" dxfId="5905" priority="6202" operator="equal">
      <formula>"No"</formula>
    </cfRule>
  </conditionalFormatting>
  <conditionalFormatting sqref="AJ347:AL348">
    <cfRule type="expression" dxfId="5904" priority="6199">
      <formula>$G347=""</formula>
    </cfRule>
  </conditionalFormatting>
  <conditionalFormatting sqref="AM347 AO347:AP350">
    <cfRule type="expression" dxfId="5903" priority="6198">
      <formula>$G347=""</formula>
    </cfRule>
  </conditionalFormatting>
  <conditionalFormatting sqref="AT347:AT350">
    <cfRule type="expression" dxfId="5902" priority="6197">
      <formula>$G347=""</formula>
    </cfRule>
  </conditionalFormatting>
  <conditionalFormatting sqref="E350:F350">
    <cfRule type="expression" dxfId="5901" priority="6196">
      <formula>$CN347="Exterior"</formula>
    </cfRule>
  </conditionalFormatting>
  <conditionalFormatting sqref="AJ354:AL354">
    <cfRule type="expression" dxfId="5900" priority="6195" stopIfTrue="1">
      <formula>$G352=""</formula>
    </cfRule>
  </conditionalFormatting>
  <conditionalFormatting sqref="AR352:AR355">
    <cfRule type="expression" dxfId="5899" priority="6192" stopIfTrue="1">
      <formula>$C$36=2</formula>
    </cfRule>
    <cfRule type="cellIs" dxfId="5898" priority="6193" operator="equal">
      <formula>"Yes"</formula>
    </cfRule>
    <cfRule type="cellIs" dxfId="5897" priority="6194" operator="equal">
      <formula>"No"</formula>
    </cfRule>
  </conditionalFormatting>
  <conditionalFormatting sqref="AJ352:AL353">
    <cfRule type="expression" dxfId="5896" priority="6191">
      <formula>$G352=""</formula>
    </cfRule>
  </conditionalFormatting>
  <conditionalFormatting sqref="AM352 AO352:AP355">
    <cfRule type="expression" dxfId="5895" priority="6190">
      <formula>$G352=""</formula>
    </cfRule>
  </conditionalFormatting>
  <conditionalFormatting sqref="AT352:AT355">
    <cfRule type="expression" dxfId="5894" priority="6189">
      <formula>$G352=""</formula>
    </cfRule>
  </conditionalFormatting>
  <conditionalFormatting sqref="E355:F355">
    <cfRule type="expression" dxfId="5893" priority="6188">
      <formula>$CN352="Exterior"</formula>
    </cfRule>
  </conditionalFormatting>
  <conditionalFormatting sqref="AJ359:AL359">
    <cfRule type="expression" dxfId="5892" priority="6187" stopIfTrue="1">
      <formula>$G357=""</formula>
    </cfRule>
  </conditionalFormatting>
  <conditionalFormatting sqref="AR357:AR360">
    <cfRule type="expression" dxfId="5891" priority="6184" stopIfTrue="1">
      <formula>$C$36=2</formula>
    </cfRule>
    <cfRule type="cellIs" dxfId="5890" priority="6185" operator="equal">
      <formula>"Yes"</formula>
    </cfRule>
    <cfRule type="cellIs" dxfId="5889" priority="6186" operator="equal">
      <formula>"No"</formula>
    </cfRule>
  </conditionalFormatting>
  <conditionalFormatting sqref="AJ357:AL358">
    <cfRule type="expression" dxfId="5888" priority="6183">
      <formula>$G357=""</formula>
    </cfRule>
  </conditionalFormatting>
  <conditionalFormatting sqref="AM357 AO357:AP360">
    <cfRule type="expression" dxfId="5887" priority="6182">
      <formula>$G357=""</formula>
    </cfRule>
  </conditionalFormatting>
  <conditionalFormatting sqref="AT357:AT360">
    <cfRule type="expression" dxfId="5886" priority="6181">
      <formula>$G357=""</formula>
    </cfRule>
  </conditionalFormatting>
  <conditionalFormatting sqref="E360:F360">
    <cfRule type="expression" dxfId="5885" priority="6180">
      <formula>$CN357="Exterior"</formula>
    </cfRule>
  </conditionalFormatting>
  <conditionalFormatting sqref="AJ364:AL364">
    <cfRule type="expression" dxfId="5884" priority="6179" stopIfTrue="1">
      <formula>$G362=""</formula>
    </cfRule>
  </conditionalFormatting>
  <conditionalFormatting sqref="AR362:AR365">
    <cfRule type="expression" dxfId="5883" priority="6176" stopIfTrue="1">
      <formula>$C$36=2</formula>
    </cfRule>
    <cfRule type="cellIs" dxfId="5882" priority="6177" operator="equal">
      <formula>"Yes"</formula>
    </cfRule>
    <cfRule type="cellIs" dxfId="5881" priority="6178" operator="equal">
      <formula>"No"</formula>
    </cfRule>
  </conditionalFormatting>
  <conditionalFormatting sqref="AJ362:AL363">
    <cfRule type="expression" dxfId="5880" priority="6175">
      <formula>$G362=""</formula>
    </cfRule>
  </conditionalFormatting>
  <conditionalFormatting sqref="AM362 AO362:AP365">
    <cfRule type="expression" dxfId="5879" priority="6174">
      <formula>$G362=""</formula>
    </cfRule>
  </conditionalFormatting>
  <conditionalFormatting sqref="AT362:AT365">
    <cfRule type="expression" dxfId="5878" priority="6173">
      <formula>$G362=""</formula>
    </cfRule>
  </conditionalFormatting>
  <conditionalFormatting sqref="E365:F365">
    <cfRule type="expression" dxfId="5877" priority="6172">
      <formula>$CN362="Exterior"</formula>
    </cfRule>
  </conditionalFormatting>
  <conditionalFormatting sqref="AJ369:AL369">
    <cfRule type="expression" dxfId="5876" priority="6171" stopIfTrue="1">
      <formula>$G367=""</formula>
    </cfRule>
  </conditionalFormatting>
  <conditionalFormatting sqref="AR367:AR370">
    <cfRule type="expression" dxfId="5875" priority="6168" stopIfTrue="1">
      <formula>$C$36=2</formula>
    </cfRule>
    <cfRule type="cellIs" dxfId="5874" priority="6169" operator="equal">
      <formula>"Yes"</formula>
    </cfRule>
    <cfRule type="cellIs" dxfId="5873" priority="6170" operator="equal">
      <formula>"No"</formula>
    </cfRule>
  </conditionalFormatting>
  <conditionalFormatting sqref="AJ367:AL368">
    <cfRule type="expression" dxfId="5872" priority="6167">
      <formula>$G367=""</formula>
    </cfRule>
  </conditionalFormatting>
  <conditionalFormatting sqref="AM367 AO367:AP370">
    <cfRule type="expression" dxfId="5871" priority="6166">
      <formula>$G367=""</formula>
    </cfRule>
  </conditionalFormatting>
  <conditionalFormatting sqref="AT367:AT370">
    <cfRule type="expression" dxfId="5870" priority="6165">
      <formula>$G367=""</formula>
    </cfRule>
  </conditionalFormatting>
  <conditionalFormatting sqref="E370:F370">
    <cfRule type="expression" dxfId="5869" priority="6164">
      <formula>$CN367="Exterior"</formula>
    </cfRule>
  </conditionalFormatting>
  <conditionalFormatting sqref="AJ374:AL374">
    <cfRule type="expression" dxfId="5868" priority="6163" stopIfTrue="1">
      <formula>$G372=""</formula>
    </cfRule>
  </conditionalFormatting>
  <conditionalFormatting sqref="AR372:AR375">
    <cfRule type="expression" dxfId="5867" priority="6160" stopIfTrue="1">
      <formula>$C$36=2</formula>
    </cfRule>
    <cfRule type="cellIs" dxfId="5866" priority="6161" operator="equal">
      <formula>"Yes"</formula>
    </cfRule>
    <cfRule type="cellIs" dxfId="5865" priority="6162" operator="equal">
      <formula>"No"</formula>
    </cfRule>
  </conditionalFormatting>
  <conditionalFormatting sqref="AJ372:AL373">
    <cfRule type="expression" dxfId="5864" priority="6159">
      <formula>$G372=""</formula>
    </cfRule>
  </conditionalFormatting>
  <conditionalFormatting sqref="AM372 AO372:AP375">
    <cfRule type="expression" dxfId="5863" priority="6158">
      <formula>$G372=""</formula>
    </cfRule>
  </conditionalFormatting>
  <conditionalFormatting sqref="AT372:AT375">
    <cfRule type="expression" dxfId="5862" priority="6157">
      <formula>$G372=""</formula>
    </cfRule>
  </conditionalFormatting>
  <conditionalFormatting sqref="E375:F375">
    <cfRule type="expression" dxfId="5861" priority="6156">
      <formula>$CN372="Exterior"</formula>
    </cfRule>
  </conditionalFormatting>
  <conditionalFormatting sqref="AJ379:AL379">
    <cfRule type="expression" dxfId="5860" priority="6155" stopIfTrue="1">
      <formula>$G377=""</formula>
    </cfRule>
  </conditionalFormatting>
  <conditionalFormatting sqref="AR377:AR380">
    <cfRule type="expression" dxfId="5859" priority="6152" stopIfTrue="1">
      <formula>$C$36=2</formula>
    </cfRule>
    <cfRule type="cellIs" dxfId="5858" priority="6153" operator="equal">
      <formula>"Yes"</formula>
    </cfRule>
    <cfRule type="cellIs" dxfId="5857" priority="6154" operator="equal">
      <formula>"No"</formula>
    </cfRule>
  </conditionalFormatting>
  <conditionalFormatting sqref="AJ377:AL378">
    <cfRule type="expression" dxfId="5856" priority="6151">
      <formula>$G377=""</formula>
    </cfRule>
  </conditionalFormatting>
  <conditionalFormatting sqref="AM377 AO377:AP380">
    <cfRule type="expression" dxfId="5855" priority="6150">
      <formula>$G377=""</formula>
    </cfRule>
  </conditionalFormatting>
  <conditionalFormatting sqref="AT377:AT380">
    <cfRule type="expression" dxfId="5854" priority="6149">
      <formula>$G377=""</formula>
    </cfRule>
  </conditionalFormatting>
  <conditionalFormatting sqref="E380:F380">
    <cfRule type="expression" dxfId="5853" priority="6148">
      <formula>$CN377="Exterior"</formula>
    </cfRule>
  </conditionalFormatting>
  <conditionalFormatting sqref="AJ384:AL384">
    <cfRule type="expression" dxfId="5852" priority="6147" stopIfTrue="1">
      <formula>$G382=""</formula>
    </cfRule>
  </conditionalFormatting>
  <conditionalFormatting sqref="AR382:AR385">
    <cfRule type="expression" dxfId="5851" priority="6144" stopIfTrue="1">
      <formula>$C$36=2</formula>
    </cfRule>
    <cfRule type="cellIs" dxfId="5850" priority="6145" operator="equal">
      <formula>"Yes"</formula>
    </cfRule>
    <cfRule type="cellIs" dxfId="5849" priority="6146" operator="equal">
      <formula>"No"</formula>
    </cfRule>
  </conditionalFormatting>
  <conditionalFormatting sqref="AJ382:AL383">
    <cfRule type="expression" dxfId="5848" priority="6143">
      <formula>$G382=""</formula>
    </cfRule>
  </conditionalFormatting>
  <conditionalFormatting sqref="AM382 AO382:AP385">
    <cfRule type="expression" dxfId="5847" priority="6142">
      <formula>$G382=""</formula>
    </cfRule>
  </conditionalFormatting>
  <conditionalFormatting sqref="AT382:AT385">
    <cfRule type="expression" dxfId="5846" priority="6141">
      <formula>$G382=""</formula>
    </cfRule>
  </conditionalFormatting>
  <conditionalFormatting sqref="E385:F385">
    <cfRule type="expression" dxfId="5845" priority="6140">
      <formula>$CN382="Exterior"</formula>
    </cfRule>
  </conditionalFormatting>
  <conditionalFormatting sqref="AJ389:AL389">
    <cfRule type="expression" dxfId="5844" priority="6139" stopIfTrue="1">
      <formula>$G387=""</formula>
    </cfRule>
  </conditionalFormatting>
  <conditionalFormatting sqref="AR387:AR390">
    <cfRule type="expression" dxfId="5843" priority="6136" stopIfTrue="1">
      <formula>$C$36=2</formula>
    </cfRule>
    <cfRule type="cellIs" dxfId="5842" priority="6137" operator="equal">
      <formula>"Yes"</formula>
    </cfRule>
    <cfRule type="cellIs" dxfId="5841" priority="6138" operator="equal">
      <formula>"No"</formula>
    </cfRule>
  </conditionalFormatting>
  <conditionalFormatting sqref="AJ387:AL388">
    <cfRule type="expression" dxfId="5840" priority="6135">
      <formula>$G387=""</formula>
    </cfRule>
  </conditionalFormatting>
  <conditionalFormatting sqref="AM387 AO387:AP390">
    <cfRule type="expression" dxfId="5839" priority="6134">
      <formula>$G387=""</formula>
    </cfRule>
  </conditionalFormatting>
  <conditionalFormatting sqref="AT387:AT390">
    <cfRule type="expression" dxfId="5838" priority="6133">
      <formula>$G387=""</formula>
    </cfRule>
  </conditionalFormatting>
  <conditionalFormatting sqref="E390:F390">
    <cfRule type="expression" dxfId="5837" priority="6132">
      <formula>$CN387="Exterior"</formula>
    </cfRule>
  </conditionalFormatting>
  <conditionalFormatting sqref="AJ394:AL394">
    <cfRule type="expression" dxfId="5836" priority="6131" stopIfTrue="1">
      <formula>$G392=""</formula>
    </cfRule>
  </conditionalFormatting>
  <conditionalFormatting sqref="AR392:AR395">
    <cfRule type="expression" dxfId="5835" priority="6128" stopIfTrue="1">
      <formula>$C$36=2</formula>
    </cfRule>
    <cfRule type="cellIs" dxfId="5834" priority="6129" operator="equal">
      <formula>"Yes"</formula>
    </cfRule>
    <cfRule type="cellIs" dxfId="5833" priority="6130" operator="equal">
      <formula>"No"</formula>
    </cfRule>
  </conditionalFormatting>
  <conditionalFormatting sqref="AJ392:AL393">
    <cfRule type="expression" dxfId="5832" priority="6127">
      <formula>$G392=""</formula>
    </cfRule>
  </conditionalFormatting>
  <conditionalFormatting sqref="AM392 AO392:AP395">
    <cfRule type="expression" dxfId="5831" priority="6126">
      <formula>$G392=""</formula>
    </cfRule>
  </conditionalFormatting>
  <conditionalFormatting sqref="AT392:AT395">
    <cfRule type="expression" dxfId="5830" priority="6125">
      <formula>$G392=""</formula>
    </cfRule>
  </conditionalFormatting>
  <conditionalFormatting sqref="E395:F395">
    <cfRule type="expression" dxfId="5829" priority="6124">
      <formula>$CN392="Exterior"</formula>
    </cfRule>
  </conditionalFormatting>
  <conditionalFormatting sqref="AJ399:AL399">
    <cfRule type="expression" dxfId="5828" priority="6123" stopIfTrue="1">
      <formula>$G397=""</formula>
    </cfRule>
  </conditionalFormatting>
  <conditionalFormatting sqref="AR397:AR400">
    <cfRule type="expression" dxfId="5827" priority="6120" stopIfTrue="1">
      <formula>$C$36=2</formula>
    </cfRule>
    <cfRule type="cellIs" dxfId="5826" priority="6121" operator="equal">
      <formula>"Yes"</formula>
    </cfRule>
    <cfRule type="cellIs" dxfId="5825" priority="6122" operator="equal">
      <formula>"No"</formula>
    </cfRule>
  </conditionalFormatting>
  <conditionalFormatting sqref="AJ397:AL398">
    <cfRule type="expression" dxfId="5824" priority="6119">
      <formula>$G397=""</formula>
    </cfRule>
  </conditionalFormatting>
  <conditionalFormatting sqref="AM397 AO397:AP400">
    <cfRule type="expression" dxfId="5823" priority="6118">
      <formula>$G397=""</formula>
    </cfRule>
  </conditionalFormatting>
  <conditionalFormatting sqref="AT397:AT400">
    <cfRule type="expression" dxfId="5822" priority="6117">
      <formula>$G397=""</formula>
    </cfRule>
  </conditionalFormatting>
  <conditionalFormatting sqref="E400:F400">
    <cfRule type="expression" dxfId="5821" priority="6116">
      <formula>$CN397="Exterior"</formula>
    </cfRule>
  </conditionalFormatting>
  <conditionalFormatting sqref="AE329">
    <cfRule type="expression" dxfId="5820" priority="6102" stopIfTrue="1">
      <formula>$G327=""</formula>
    </cfRule>
  </conditionalFormatting>
  <conditionalFormatting sqref="AB330:AD330">
    <cfRule type="expression" dxfId="5819" priority="6114" stopIfTrue="1">
      <formula>$G327=""</formula>
    </cfRule>
  </conditionalFormatting>
  <conditionalFormatting sqref="G329">
    <cfRule type="expression" dxfId="5818" priority="6111" stopIfTrue="1">
      <formula>$G327=""</formula>
    </cfRule>
    <cfRule type="containsBlanks" dxfId="5817" priority="6112" stopIfTrue="1">
      <formula>LEN(TRIM(G329))=0</formula>
    </cfRule>
    <cfRule type="expression" dxfId="5816" priority="6113">
      <formula>OR($M329=0,$HC328=FALSE)</formula>
    </cfRule>
  </conditionalFormatting>
  <conditionalFormatting sqref="AB330">
    <cfRule type="expression" dxfId="5815" priority="6110" stopIfTrue="1">
      <formula>$AB330=""</formula>
    </cfRule>
  </conditionalFormatting>
  <conditionalFormatting sqref="AE328:AF328">
    <cfRule type="expression" dxfId="5814" priority="6109">
      <formula>$C$36=2</formula>
    </cfRule>
  </conditionalFormatting>
  <conditionalFormatting sqref="T329:U329">
    <cfRule type="expression" dxfId="5813" priority="6084" stopIfTrue="1">
      <formula>$G327=""</formula>
    </cfRule>
  </conditionalFormatting>
  <conditionalFormatting sqref="T329:U329">
    <cfRule type="containsBlanks" dxfId="5812" priority="6107" stopIfTrue="1">
      <formula>LEN(TRIM(T329))=0</formula>
    </cfRule>
  </conditionalFormatting>
  <conditionalFormatting sqref="AC327:AD327">
    <cfRule type="expression" dxfId="5811" priority="6106">
      <formula>$G327=""</formula>
    </cfRule>
  </conditionalFormatting>
  <conditionalFormatting sqref="AE328">
    <cfRule type="containsBlanks" dxfId="5810" priority="6104">
      <formula>LEN(TRIM(AE328))=0</formula>
    </cfRule>
  </conditionalFormatting>
  <conditionalFormatting sqref="AE329 AF330">
    <cfRule type="containsBlanks" dxfId="5809" priority="6103" stopIfTrue="1">
      <formula>LEN(TRIM(AE329))=0</formula>
    </cfRule>
  </conditionalFormatting>
  <conditionalFormatting sqref="AE329">
    <cfRule type="expression" dxfId="5808" priority="6115">
      <formula>OR($HN328=FALSE,$HO328=FALSE)</formula>
    </cfRule>
  </conditionalFormatting>
  <conditionalFormatting sqref="G328:Q328 G327">
    <cfRule type="containsBlanks" dxfId="5807" priority="6101">
      <formula>LEN(TRIM(G327))=0</formula>
    </cfRule>
  </conditionalFormatting>
  <conditionalFormatting sqref="G328:L328">
    <cfRule type="expression" dxfId="5806" priority="6099" stopIfTrue="1">
      <formula>$G327=""</formula>
    </cfRule>
    <cfRule type="containsBlanks" dxfId="5805" priority="6100">
      <formula>LEN(TRIM(G328))=0</formula>
    </cfRule>
  </conditionalFormatting>
  <conditionalFormatting sqref="R329">
    <cfRule type="expression" dxfId="5804" priority="6097" stopIfTrue="1">
      <formula>$G327=""</formula>
    </cfRule>
    <cfRule type="containsBlanks" dxfId="5803" priority="6098">
      <formula>LEN(TRIM(R329))=0</formula>
    </cfRule>
  </conditionalFormatting>
  <conditionalFormatting sqref="P329:R329">
    <cfRule type="expression" dxfId="5802" priority="6096">
      <formula>$C$36=0</formula>
    </cfRule>
  </conditionalFormatting>
  <conditionalFormatting sqref="AF328">
    <cfRule type="containsBlanks" dxfId="5801" priority="6092">
      <formula>LEN(TRIM(AF328))=0</formula>
    </cfRule>
    <cfRule type="expression" dxfId="5800" priority="6093">
      <formula>$HJ328=FALSE</formula>
    </cfRule>
  </conditionalFormatting>
  <conditionalFormatting sqref="AF330">
    <cfRule type="expression" dxfId="5799" priority="6091">
      <formula>$C$36=2</formula>
    </cfRule>
  </conditionalFormatting>
  <conditionalFormatting sqref="R328">
    <cfRule type="containsBlanks" dxfId="5798" priority="6090">
      <formula>LEN(TRIM(R328))=0</formula>
    </cfRule>
  </conditionalFormatting>
  <conditionalFormatting sqref="AE328:AF328">
    <cfRule type="expression" dxfId="5797" priority="6089" stopIfTrue="1">
      <formula>$G327=""</formula>
    </cfRule>
  </conditionalFormatting>
  <conditionalFormatting sqref="AF330">
    <cfRule type="expression" dxfId="5796" priority="6088" stopIfTrue="1">
      <formula>$G327=""</formula>
    </cfRule>
  </conditionalFormatting>
  <conditionalFormatting sqref="AF327:AI327">
    <cfRule type="expression" dxfId="5795" priority="6087">
      <formula>$C$36&lt;&gt;0</formula>
    </cfRule>
  </conditionalFormatting>
  <conditionalFormatting sqref="R328">
    <cfRule type="containsBlanks" dxfId="5794" priority="6085">
      <formula>LEN(TRIM(R328))=0</formula>
    </cfRule>
  </conditionalFormatting>
  <conditionalFormatting sqref="U329">
    <cfRule type="expression" dxfId="5793" priority="6108">
      <formula>OR($HF328=FALSE,$HG328=FALSE)</formula>
    </cfRule>
  </conditionalFormatting>
  <conditionalFormatting sqref="R328">
    <cfRule type="expression" dxfId="5792" priority="6082" stopIfTrue="1">
      <formula>$G327=""</formula>
    </cfRule>
    <cfRule type="expression" dxfId="5791" priority="6083">
      <formula>$HT328=FALSE</formula>
    </cfRule>
  </conditionalFormatting>
  <conditionalFormatting sqref="G330">
    <cfRule type="expression" dxfId="5790" priority="6077" stopIfTrue="1">
      <formula>$G327=""</formula>
    </cfRule>
  </conditionalFormatting>
  <conditionalFormatting sqref="G330">
    <cfRule type="expression" dxfId="5789" priority="6071" stopIfTrue="1">
      <formula>$CN327="Exterior"</formula>
    </cfRule>
  </conditionalFormatting>
  <conditionalFormatting sqref="G330:L330">
    <cfRule type="containsBlanks" dxfId="5788" priority="6078" stopIfTrue="1">
      <formula>LEN(TRIM(G330))=0</formula>
    </cfRule>
    <cfRule type="expression" dxfId="5787" priority="6080">
      <formula>$HL328=FALSE</formula>
    </cfRule>
  </conditionalFormatting>
  <conditionalFormatting sqref="AF329">
    <cfRule type="expression" dxfId="5786" priority="6072" stopIfTrue="1">
      <formula>$G327=""</formula>
    </cfRule>
  </conditionalFormatting>
  <conditionalFormatting sqref="AF329:AI329">
    <cfRule type="expression" dxfId="5785" priority="6076">
      <formula>OR($HP328=FALSE,$HL328=FALSE)</formula>
    </cfRule>
  </conditionalFormatting>
  <conditionalFormatting sqref="AF329">
    <cfRule type="containsBlanks" dxfId="5784" priority="6073" stopIfTrue="1">
      <formula>LEN(TRIM(AF329))=0</formula>
    </cfRule>
    <cfRule type="expression" dxfId="5783" priority="6074">
      <formula>$DP327=7</formula>
    </cfRule>
    <cfRule type="expression" dxfId="5782" priority="6075">
      <formula>OR($HK328=FALSE,$HM328=FALSE)</formula>
    </cfRule>
  </conditionalFormatting>
  <conditionalFormatting sqref="G330:L330">
    <cfRule type="expression" dxfId="5781" priority="6079" stopIfTrue="1">
      <formula>$AF329=""</formula>
    </cfRule>
  </conditionalFormatting>
  <conditionalFormatting sqref="T328:U328">
    <cfRule type="expression" dxfId="5780" priority="6068" stopIfTrue="1">
      <formula>$C$36&lt;&gt;0</formula>
    </cfRule>
    <cfRule type="containsBlanks" dxfId="5779" priority="6069" stopIfTrue="1">
      <formula>LEN(TRIM(T328))=0</formula>
    </cfRule>
  </conditionalFormatting>
  <conditionalFormatting sqref="T328:U328">
    <cfRule type="expression" dxfId="5778" priority="6067" stopIfTrue="1">
      <formula>$G327=""</formula>
    </cfRule>
  </conditionalFormatting>
  <conditionalFormatting sqref="U328">
    <cfRule type="expression" dxfId="5777" priority="6070">
      <formula>$HE328=FALSE</formula>
    </cfRule>
  </conditionalFormatting>
  <conditionalFormatting sqref="T330">
    <cfRule type="expression" dxfId="5776" priority="6066">
      <formula>$C$36=2</formula>
    </cfRule>
  </conditionalFormatting>
  <conditionalFormatting sqref="AE334">
    <cfRule type="expression" dxfId="5775" priority="6052" stopIfTrue="1">
      <formula>$G332=""</formula>
    </cfRule>
  </conditionalFormatting>
  <conditionalFormatting sqref="AB335:AD335">
    <cfRule type="expression" dxfId="5774" priority="6064" stopIfTrue="1">
      <formula>$G332=""</formula>
    </cfRule>
  </conditionalFormatting>
  <conditionalFormatting sqref="G334">
    <cfRule type="expression" dxfId="5773" priority="6061" stopIfTrue="1">
      <formula>$G332=""</formula>
    </cfRule>
    <cfRule type="containsBlanks" dxfId="5772" priority="6062" stopIfTrue="1">
      <formula>LEN(TRIM(G334))=0</formula>
    </cfRule>
    <cfRule type="expression" dxfId="5771" priority="6063">
      <formula>OR($M334=0,$HC333=FALSE)</formula>
    </cfRule>
  </conditionalFormatting>
  <conditionalFormatting sqref="AB335">
    <cfRule type="expression" dxfId="5770" priority="6060" stopIfTrue="1">
      <formula>$AB335=""</formula>
    </cfRule>
  </conditionalFormatting>
  <conditionalFormatting sqref="AE333:AF333">
    <cfRule type="expression" dxfId="5769" priority="6059">
      <formula>$C$36=2</formula>
    </cfRule>
  </conditionalFormatting>
  <conditionalFormatting sqref="T334:U334">
    <cfRule type="expression" dxfId="5768" priority="6034" stopIfTrue="1">
      <formula>$G332=""</formula>
    </cfRule>
  </conditionalFormatting>
  <conditionalFormatting sqref="T334:U334">
    <cfRule type="containsBlanks" dxfId="5767" priority="6057" stopIfTrue="1">
      <formula>LEN(TRIM(T334))=0</formula>
    </cfRule>
  </conditionalFormatting>
  <conditionalFormatting sqref="AC332:AD332">
    <cfRule type="expression" dxfId="5766" priority="6056">
      <formula>$G332=""</formula>
    </cfRule>
  </conditionalFormatting>
  <conditionalFormatting sqref="AE333">
    <cfRule type="containsBlanks" dxfId="5765" priority="6054">
      <formula>LEN(TRIM(AE333))=0</formula>
    </cfRule>
  </conditionalFormatting>
  <conditionalFormatting sqref="AE334 AF335">
    <cfRule type="containsBlanks" dxfId="5764" priority="6053" stopIfTrue="1">
      <formula>LEN(TRIM(AE334))=0</formula>
    </cfRule>
  </conditionalFormatting>
  <conditionalFormatting sqref="AE334">
    <cfRule type="expression" dxfId="5763" priority="6065">
      <formula>OR($HN333=FALSE,$HO333=FALSE)</formula>
    </cfRule>
  </conditionalFormatting>
  <conditionalFormatting sqref="G333:Q333 G332">
    <cfRule type="containsBlanks" dxfId="5762" priority="6051">
      <formula>LEN(TRIM(G332))=0</formula>
    </cfRule>
  </conditionalFormatting>
  <conditionalFormatting sqref="G333:L333">
    <cfRule type="expression" dxfId="5761" priority="6049" stopIfTrue="1">
      <formula>$G332=""</formula>
    </cfRule>
    <cfRule type="containsBlanks" dxfId="5760" priority="6050">
      <formula>LEN(TRIM(G333))=0</formula>
    </cfRule>
  </conditionalFormatting>
  <conditionalFormatting sqref="R334">
    <cfRule type="expression" dxfId="5759" priority="6047" stopIfTrue="1">
      <formula>$G332=""</formula>
    </cfRule>
    <cfRule type="containsBlanks" dxfId="5758" priority="6048">
      <formula>LEN(TRIM(R334))=0</formula>
    </cfRule>
  </conditionalFormatting>
  <conditionalFormatting sqref="P334:R334">
    <cfRule type="expression" dxfId="5757" priority="6046">
      <formula>$C$36=0</formula>
    </cfRule>
  </conditionalFormatting>
  <conditionalFormatting sqref="AF333">
    <cfRule type="containsBlanks" dxfId="5756" priority="6042">
      <formula>LEN(TRIM(AF333))=0</formula>
    </cfRule>
    <cfRule type="expression" dxfId="5755" priority="6043">
      <formula>$HJ333=FALSE</formula>
    </cfRule>
  </conditionalFormatting>
  <conditionalFormatting sqref="AF335">
    <cfRule type="expression" dxfId="5754" priority="6041">
      <formula>$C$36=2</formula>
    </cfRule>
  </conditionalFormatting>
  <conditionalFormatting sqref="R333">
    <cfRule type="containsBlanks" dxfId="5753" priority="6040">
      <formula>LEN(TRIM(R333))=0</formula>
    </cfRule>
  </conditionalFormatting>
  <conditionalFormatting sqref="AE333:AF333">
    <cfRule type="expression" dxfId="5752" priority="6039" stopIfTrue="1">
      <formula>$G332=""</formula>
    </cfRule>
  </conditionalFormatting>
  <conditionalFormatting sqref="AF335">
    <cfRule type="expression" dxfId="5751" priority="6038" stopIfTrue="1">
      <formula>$G332=""</formula>
    </cfRule>
  </conditionalFormatting>
  <conditionalFormatting sqref="AF332:AI332">
    <cfRule type="expression" dxfId="5750" priority="6037">
      <formula>$C$36&lt;&gt;0</formula>
    </cfRule>
  </conditionalFormatting>
  <conditionalFormatting sqref="R333">
    <cfRule type="containsBlanks" dxfId="5749" priority="6035">
      <formula>LEN(TRIM(R333))=0</formula>
    </cfRule>
  </conditionalFormatting>
  <conditionalFormatting sqref="U334">
    <cfRule type="expression" dxfId="5748" priority="6058">
      <formula>OR($HF333=FALSE,$HG333=FALSE)</formula>
    </cfRule>
  </conditionalFormatting>
  <conditionalFormatting sqref="R333">
    <cfRule type="expression" dxfId="5747" priority="6032" stopIfTrue="1">
      <formula>$G332=""</formula>
    </cfRule>
    <cfRule type="expression" dxfId="5746" priority="6033">
      <formula>$HT333=FALSE</formula>
    </cfRule>
  </conditionalFormatting>
  <conditionalFormatting sqref="G335">
    <cfRule type="expression" dxfId="5745" priority="6027" stopIfTrue="1">
      <formula>$G332=""</formula>
    </cfRule>
  </conditionalFormatting>
  <conditionalFormatting sqref="G335">
    <cfRule type="expression" dxfId="5744" priority="6021" stopIfTrue="1">
      <formula>$CN332="Exterior"</formula>
    </cfRule>
  </conditionalFormatting>
  <conditionalFormatting sqref="G335:L335">
    <cfRule type="containsBlanks" dxfId="5743" priority="6028" stopIfTrue="1">
      <formula>LEN(TRIM(G335))=0</formula>
    </cfRule>
    <cfRule type="expression" dxfId="5742" priority="6030">
      <formula>$HL333=FALSE</formula>
    </cfRule>
  </conditionalFormatting>
  <conditionalFormatting sqref="AF334">
    <cfRule type="expression" dxfId="5741" priority="6022" stopIfTrue="1">
      <formula>$G332=""</formula>
    </cfRule>
  </conditionalFormatting>
  <conditionalFormatting sqref="AF334:AI334">
    <cfRule type="expression" dxfId="5740" priority="6026">
      <formula>OR($HP333=FALSE,$HL333=FALSE)</formula>
    </cfRule>
  </conditionalFormatting>
  <conditionalFormatting sqref="AF334">
    <cfRule type="containsBlanks" dxfId="5739" priority="6023" stopIfTrue="1">
      <formula>LEN(TRIM(AF334))=0</formula>
    </cfRule>
    <cfRule type="expression" dxfId="5738" priority="6024">
      <formula>$DP332=7</formula>
    </cfRule>
    <cfRule type="expression" dxfId="5737" priority="6025">
      <formula>OR($HK333=FALSE,$HM333=FALSE)</formula>
    </cfRule>
  </conditionalFormatting>
  <conditionalFormatting sqref="G335:L335">
    <cfRule type="expression" dxfId="5736" priority="6029" stopIfTrue="1">
      <formula>$AF334=""</formula>
    </cfRule>
  </conditionalFormatting>
  <conditionalFormatting sqref="T333:U333">
    <cfRule type="expression" dxfId="5735" priority="6018" stopIfTrue="1">
      <formula>$C$36&lt;&gt;0</formula>
    </cfRule>
    <cfRule type="containsBlanks" dxfId="5734" priority="6019" stopIfTrue="1">
      <formula>LEN(TRIM(T333))=0</formula>
    </cfRule>
  </conditionalFormatting>
  <conditionalFormatting sqref="T333:U333">
    <cfRule type="expression" dxfId="5733" priority="6017" stopIfTrue="1">
      <formula>$G332=""</formula>
    </cfRule>
  </conditionalFormatting>
  <conditionalFormatting sqref="U333">
    <cfRule type="expression" dxfId="5732" priority="6020">
      <formula>$HE333=FALSE</formula>
    </cfRule>
  </conditionalFormatting>
  <conditionalFormatting sqref="T335">
    <cfRule type="expression" dxfId="5731" priority="6016">
      <formula>$C$36=2</formula>
    </cfRule>
  </conditionalFormatting>
  <conditionalFormatting sqref="AE339">
    <cfRule type="expression" dxfId="5730" priority="6002" stopIfTrue="1">
      <formula>$G337=""</formula>
    </cfRule>
  </conditionalFormatting>
  <conditionalFormatting sqref="AB340:AD340">
    <cfRule type="expression" dxfId="5729" priority="6014" stopIfTrue="1">
      <formula>$G337=""</formula>
    </cfRule>
  </conditionalFormatting>
  <conditionalFormatting sqref="G339">
    <cfRule type="expression" dxfId="5728" priority="6011" stopIfTrue="1">
      <formula>$G337=""</formula>
    </cfRule>
    <cfRule type="containsBlanks" dxfId="5727" priority="6012" stopIfTrue="1">
      <formula>LEN(TRIM(G339))=0</formula>
    </cfRule>
    <cfRule type="expression" dxfId="5726" priority="6013">
      <formula>OR($M339=0,$HC338=FALSE)</formula>
    </cfRule>
  </conditionalFormatting>
  <conditionalFormatting sqref="AB340">
    <cfRule type="expression" dxfId="5725" priority="6010" stopIfTrue="1">
      <formula>$AB340=""</formula>
    </cfRule>
  </conditionalFormatting>
  <conditionalFormatting sqref="AE338:AF338">
    <cfRule type="expression" dxfId="5724" priority="6009">
      <formula>$C$36=2</formula>
    </cfRule>
  </conditionalFormatting>
  <conditionalFormatting sqref="T339:U339">
    <cfRule type="expression" dxfId="5723" priority="5984" stopIfTrue="1">
      <formula>$G337=""</formula>
    </cfRule>
  </conditionalFormatting>
  <conditionalFormatting sqref="T339:U339">
    <cfRule type="containsBlanks" dxfId="5722" priority="6007" stopIfTrue="1">
      <formula>LEN(TRIM(T339))=0</formula>
    </cfRule>
  </conditionalFormatting>
  <conditionalFormatting sqref="AC337:AD337">
    <cfRule type="expression" dxfId="5721" priority="6006">
      <formula>$G337=""</formula>
    </cfRule>
  </conditionalFormatting>
  <conditionalFormatting sqref="AE338">
    <cfRule type="containsBlanks" dxfId="5720" priority="6004">
      <formula>LEN(TRIM(AE338))=0</formula>
    </cfRule>
  </conditionalFormatting>
  <conditionalFormatting sqref="AE339 AF340">
    <cfRule type="containsBlanks" dxfId="5719" priority="6003" stopIfTrue="1">
      <formula>LEN(TRIM(AE339))=0</formula>
    </cfRule>
  </conditionalFormatting>
  <conditionalFormatting sqref="AE339">
    <cfRule type="expression" dxfId="5718" priority="6015">
      <formula>OR($HN338=FALSE,$HO338=FALSE)</formula>
    </cfRule>
  </conditionalFormatting>
  <conditionalFormatting sqref="G338:Q338 G337">
    <cfRule type="containsBlanks" dxfId="5717" priority="6001">
      <formula>LEN(TRIM(G337))=0</formula>
    </cfRule>
  </conditionalFormatting>
  <conditionalFormatting sqref="G338:L338">
    <cfRule type="expression" dxfId="5716" priority="5999" stopIfTrue="1">
      <formula>$G337=""</formula>
    </cfRule>
    <cfRule type="containsBlanks" dxfId="5715" priority="6000">
      <formula>LEN(TRIM(G338))=0</formula>
    </cfRule>
  </conditionalFormatting>
  <conditionalFormatting sqref="R339">
    <cfRule type="expression" dxfId="5714" priority="5997" stopIfTrue="1">
      <formula>$G337=""</formula>
    </cfRule>
    <cfRule type="containsBlanks" dxfId="5713" priority="5998">
      <formula>LEN(TRIM(R339))=0</formula>
    </cfRule>
  </conditionalFormatting>
  <conditionalFormatting sqref="P339:R339">
    <cfRule type="expression" dxfId="5712" priority="5996">
      <formula>$C$36=0</formula>
    </cfRule>
  </conditionalFormatting>
  <conditionalFormatting sqref="AF338">
    <cfRule type="containsBlanks" dxfId="5711" priority="5992">
      <formula>LEN(TRIM(AF338))=0</formula>
    </cfRule>
    <cfRule type="expression" dxfId="5710" priority="5993">
      <formula>$HJ338=FALSE</formula>
    </cfRule>
  </conditionalFormatting>
  <conditionalFormatting sqref="AF340">
    <cfRule type="expression" dxfId="5709" priority="5991">
      <formula>$C$36=2</formula>
    </cfRule>
  </conditionalFormatting>
  <conditionalFormatting sqref="R338">
    <cfRule type="containsBlanks" dxfId="5708" priority="5990">
      <formula>LEN(TRIM(R338))=0</formula>
    </cfRule>
  </conditionalFormatting>
  <conditionalFormatting sqref="AE338:AF338">
    <cfRule type="expression" dxfId="5707" priority="5989" stopIfTrue="1">
      <formula>$G337=""</formula>
    </cfRule>
  </conditionalFormatting>
  <conditionalFormatting sqref="AF340">
    <cfRule type="expression" dxfId="5706" priority="5988" stopIfTrue="1">
      <formula>$G337=""</formula>
    </cfRule>
  </conditionalFormatting>
  <conditionalFormatting sqref="AF337:AI337">
    <cfRule type="expression" dxfId="5705" priority="5987">
      <formula>$C$36&lt;&gt;0</formula>
    </cfRule>
  </conditionalFormatting>
  <conditionalFormatting sqref="R338">
    <cfRule type="containsBlanks" dxfId="5704" priority="5985">
      <formula>LEN(TRIM(R338))=0</formula>
    </cfRule>
  </conditionalFormatting>
  <conditionalFormatting sqref="U339">
    <cfRule type="expression" dxfId="5703" priority="6008">
      <formula>OR($HF338=FALSE,$HG338=FALSE)</formula>
    </cfRule>
  </conditionalFormatting>
  <conditionalFormatting sqref="R338">
    <cfRule type="expression" dxfId="5702" priority="5982" stopIfTrue="1">
      <formula>$G337=""</formula>
    </cfRule>
    <cfRule type="expression" dxfId="5701" priority="5983">
      <formula>$HT338=FALSE</formula>
    </cfRule>
  </conditionalFormatting>
  <conditionalFormatting sqref="G340">
    <cfRule type="expression" dxfId="5700" priority="5977" stopIfTrue="1">
      <formula>$G337=""</formula>
    </cfRule>
  </conditionalFormatting>
  <conditionalFormatting sqref="G340">
    <cfRule type="expression" dxfId="5699" priority="5971" stopIfTrue="1">
      <formula>$CN337="Exterior"</formula>
    </cfRule>
  </conditionalFormatting>
  <conditionalFormatting sqref="G340:L340">
    <cfRule type="containsBlanks" dxfId="5698" priority="5978" stopIfTrue="1">
      <formula>LEN(TRIM(G340))=0</formula>
    </cfRule>
    <cfRule type="expression" dxfId="5697" priority="5980">
      <formula>$HL338=FALSE</formula>
    </cfRule>
  </conditionalFormatting>
  <conditionalFormatting sqref="AF339">
    <cfRule type="expression" dxfId="5696" priority="5972" stopIfTrue="1">
      <formula>$G337=""</formula>
    </cfRule>
  </conditionalFormatting>
  <conditionalFormatting sqref="AF339:AI339">
    <cfRule type="expression" dxfId="5695" priority="5976">
      <formula>OR($HP338=FALSE,$HL338=FALSE)</formula>
    </cfRule>
  </conditionalFormatting>
  <conditionalFormatting sqref="AF339">
    <cfRule type="containsBlanks" dxfId="5694" priority="5973" stopIfTrue="1">
      <formula>LEN(TRIM(AF339))=0</formula>
    </cfRule>
    <cfRule type="expression" dxfId="5693" priority="5974">
      <formula>$DP337=7</formula>
    </cfRule>
    <cfRule type="expression" dxfId="5692" priority="5975">
      <formula>OR($HK338=FALSE,$HM338=FALSE)</formula>
    </cfRule>
  </conditionalFormatting>
  <conditionalFormatting sqref="G340:L340">
    <cfRule type="expression" dxfId="5691" priority="5979" stopIfTrue="1">
      <formula>$AF339=""</formula>
    </cfRule>
  </conditionalFormatting>
  <conditionalFormatting sqref="T338:U338">
    <cfRule type="expression" dxfId="5690" priority="5968" stopIfTrue="1">
      <formula>$C$36&lt;&gt;0</formula>
    </cfRule>
    <cfRule type="containsBlanks" dxfId="5689" priority="5969" stopIfTrue="1">
      <formula>LEN(TRIM(T338))=0</formula>
    </cfRule>
  </conditionalFormatting>
  <conditionalFormatting sqref="T338:U338">
    <cfRule type="expression" dxfId="5688" priority="5967" stopIfTrue="1">
      <formula>$G337=""</formula>
    </cfRule>
  </conditionalFormatting>
  <conditionalFormatting sqref="U338">
    <cfRule type="expression" dxfId="5687" priority="5970">
      <formula>$HE338=FALSE</formula>
    </cfRule>
  </conditionalFormatting>
  <conditionalFormatting sqref="T340">
    <cfRule type="expression" dxfId="5686" priority="5966">
      <formula>$C$36=2</formula>
    </cfRule>
  </conditionalFormatting>
  <conditionalFormatting sqref="AE344">
    <cfRule type="expression" dxfId="5685" priority="5952" stopIfTrue="1">
      <formula>$G342=""</formula>
    </cfRule>
  </conditionalFormatting>
  <conditionalFormatting sqref="AB345:AD345">
    <cfRule type="expression" dxfId="5684" priority="5964" stopIfTrue="1">
      <formula>$G342=""</formula>
    </cfRule>
  </conditionalFormatting>
  <conditionalFormatting sqref="G344">
    <cfRule type="expression" dxfId="5683" priority="5961" stopIfTrue="1">
      <formula>$G342=""</formula>
    </cfRule>
    <cfRule type="containsBlanks" dxfId="5682" priority="5962" stopIfTrue="1">
      <formula>LEN(TRIM(G344))=0</formula>
    </cfRule>
    <cfRule type="expression" dxfId="5681" priority="5963">
      <formula>OR($M344=0,$HC343=FALSE)</formula>
    </cfRule>
  </conditionalFormatting>
  <conditionalFormatting sqref="AB345">
    <cfRule type="expression" dxfId="5680" priority="5960" stopIfTrue="1">
      <formula>$AB345=""</formula>
    </cfRule>
  </conditionalFormatting>
  <conditionalFormatting sqref="AE343:AF343">
    <cfRule type="expression" dxfId="5679" priority="5959">
      <formula>$C$36=2</formula>
    </cfRule>
  </conditionalFormatting>
  <conditionalFormatting sqref="T344:U344">
    <cfRule type="expression" dxfId="5678" priority="5934" stopIfTrue="1">
      <formula>$G342=""</formula>
    </cfRule>
  </conditionalFormatting>
  <conditionalFormatting sqref="T344:U344">
    <cfRule type="containsBlanks" dxfId="5677" priority="5957" stopIfTrue="1">
      <formula>LEN(TRIM(T344))=0</formula>
    </cfRule>
  </conditionalFormatting>
  <conditionalFormatting sqref="AC342:AD342">
    <cfRule type="expression" dxfId="5676" priority="5956">
      <formula>$G342=""</formula>
    </cfRule>
  </conditionalFormatting>
  <conditionalFormatting sqref="AE343">
    <cfRule type="containsBlanks" dxfId="5675" priority="5954">
      <formula>LEN(TRIM(AE343))=0</formula>
    </cfRule>
  </conditionalFormatting>
  <conditionalFormatting sqref="AE344 AF345">
    <cfRule type="containsBlanks" dxfId="5674" priority="5953" stopIfTrue="1">
      <formula>LEN(TRIM(AE344))=0</formula>
    </cfRule>
  </conditionalFormatting>
  <conditionalFormatting sqref="AE344">
    <cfRule type="expression" dxfId="5673" priority="5965">
      <formula>OR($HN343=FALSE,$HO343=FALSE)</formula>
    </cfRule>
  </conditionalFormatting>
  <conditionalFormatting sqref="G343:Q343 G342">
    <cfRule type="containsBlanks" dxfId="5672" priority="5951">
      <formula>LEN(TRIM(G342))=0</formula>
    </cfRule>
  </conditionalFormatting>
  <conditionalFormatting sqref="G343:L343">
    <cfRule type="expression" dxfId="5671" priority="5949" stopIfTrue="1">
      <formula>$G342=""</formula>
    </cfRule>
    <cfRule type="containsBlanks" dxfId="5670" priority="5950">
      <formula>LEN(TRIM(G343))=0</formula>
    </cfRule>
  </conditionalFormatting>
  <conditionalFormatting sqref="R344">
    <cfRule type="expression" dxfId="5669" priority="5947" stopIfTrue="1">
      <formula>$G342=""</formula>
    </cfRule>
    <cfRule type="containsBlanks" dxfId="5668" priority="5948">
      <formula>LEN(TRIM(R344))=0</formula>
    </cfRule>
  </conditionalFormatting>
  <conditionalFormatting sqref="P344:R344">
    <cfRule type="expression" dxfId="5667" priority="5946">
      <formula>$C$36=0</formula>
    </cfRule>
  </conditionalFormatting>
  <conditionalFormatting sqref="AF343">
    <cfRule type="containsBlanks" dxfId="5666" priority="5942">
      <formula>LEN(TRIM(AF343))=0</formula>
    </cfRule>
    <cfRule type="expression" dxfId="5665" priority="5943">
      <formula>$HJ343=FALSE</formula>
    </cfRule>
  </conditionalFormatting>
  <conditionalFormatting sqref="AF345">
    <cfRule type="expression" dxfId="5664" priority="5941">
      <formula>$C$36=2</formula>
    </cfRule>
  </conditionalFormatting>
  <conditionalFormatting sqref="R343">
    <cfRule type="containsBlanks" dxfId="5663" priority="5940">
      <formula>LEN(TRIM(R343))=0</formula>
    </cfRule>
  </conditionalFormatting>
  <conditionalFormatting sqref="AE343:AF343">
    <cfRule type="expression" dxfId="5662" priority="5939" stopIfTrue="1">
      <formula>$G342=""</formula>
    </cfRule>
  </conditionalFormatting>
  <conditionalFormatting sqref="AF345">
    <cfRule type="expression" dxfId="5661" priority="5938" stopIfTrue="1">
      <formula>$G342=""</formula>
    </cfRule>
  </conditionalFormatting>
  <conditionalFormatting sqref="AF342:AI342">
    <cfRule type="expression" dxfId="5660" priority="5937">
      <formula>$C$36&lt;&gt;0</formula>
    </cfRule>
  </conditionalFormatting>
  <conditionalFormatting sqref="R343">
    <cfRule type="containsBlanks" dxfId="5659" priority="5935">
      <formula>LEN(TRIM(R343))=0</formula>
    </cfRule>
  </conditionalFormatting>
  <conditionalFormatting sqref="U344">
    <cfRule type="expression" dxfId="5658" priority="5958">
      <formula>OR($HF343=FALSE,$HG343=FALSE)</formula>
    </cfRule>
  </conditionalFormatting>
  <conditionalFormatting sqref="R343">
    <cfRule type="expression" dxfId="5657" priority="5932" stopIfTrue="1">
      <formula>$G342=""</formula>
    </cfRule>
    <cfRule type="expression" dxfId="5656" priority="5933">
      <formula>$HT343=FALSE</formula>
    </cfRule>
  </conditionalFormatting>
  <conditionalFormatting sqref="G345">
    <cfRule type="expression" dxfId="5655" priority="5927" stopIfTrue="1">
      <formula>$G342=""</formula>
    </cfRule>
  </conditionalFormatting>
  <conditionalFormatting sqref="G345">
    <cfRule type="expression" dxfId="5654" priority="5921" stopIfTrue="1">
      <formula>$CN342="Exterior"</formula>
    </cfRule>
  </conditionalFormatting>
  <conditionalFormatting sqref="G345:L345">
    <cfRule type="containsBlanks" dxfId="5653" priority="5928" stopIfTrue="1">
      <formula>LEN(TRIM(G345))=0</formula>
    </cfRule>
    <cfRule type="expression" dxfId="5652" priority="5930">
      <formula>$HL343=FALSE</formula>
    </cfRule>
  </conditionalFormatting>
  <conditionalFormatting sqref="AF344">
    <cfRule type="expression" dxfId="5651" priority="5922" stopIfTrue="1">
      <formula>$G342=""</formula>
    </cfRule>
  </conditionalFormatting>
  <conditionalFormatting sqref="AF344:AI344">
    <cfRule type="expression" dxfId="5650" priority="5926">
      <formula>OR($HP343=FALSE,$HL343=FALSE)</formula>
    </cfRule>
  </conditionalFormatting>
  <conditionalFormatting sqref="AF344">
    <cfRule type="containsBlanks" dxfId="5649" priority="5923" stopIfTrue="1">
      <formula>LEN(TRIM(AF344))=0</formula>
    </cfRule>
    <cfRule type="expression" dxfId="5648" priority="5924">
      <formula>$DP342=7</formula>
    </cfRule>
    <cfRule type="expression" dxfId="5647" priority="5925">
      <formula>OR($HK343=FALSE,$HM343=FALSE)</formula>
    </cfRule>
  </conditionalFormatting>
  <conditionalFormatting sqref="G345:L345">
    <cfRule type="expression" dxfId="5646" priority="5929" stopIfTrue="1">
      <formula>$AF344=""</formula>
    </cfRule>
  </conditionalFormatting>
  <conditionalFormatting sqref="T343:U343">
    <cfRule type="expression" dxfId="5645" priority="5918" stopIfTrue="1">
      <formula>$C$36&lt;&gt;0</formula>
    </cfRule>
    <cfRule type="containsBlanks" dxfId="5644" priority="5919" stopIfTrue="1">
      <formula>LEN(TRIM(T343))=0</formula>
    </cfRule>
  </conditionalFormatting>
  <conditionalFormatting sqref="T343:U343">
    <cfRule type="expression" dxfId="5643" priority="5917" stopIfTrue="1">
      <formula>$G342=""</formula>
    </cfRule>
  </conditionalFormatting>
  <conditionalFormatting sqref="U343">
    <cfRule type="expression" dxfId="5642" priority="5920">
      <formula>$HE343=FALSE</formula>
    </cfRule>
  </conditionalFormatting>
  <conditionalFormatting sqref="T345">
    <cfRule type="expression" dxfId="5641" priority="5916">
      <formula>$C$36=2</formula>
    </cfRule>
  </conditionalFormatting>
  <conditionalFormatting sqref="AE349">
    <cfRule type="expression" dxfId="5640" priority="5902" stopIfTrue="1">
      <formula>$G347=""</formula>
    </cfRule>
  </conditionalFormatting>
  <conditionalFormatting sqref="AB350:AD350">
    <cfRule type="expression" dxfId="5639" priority="5914" stopIfTrue="1">
      <formula>$G347=""</formula>
    </cfRule>
  </conditionalFormatting>
  <conditionalFormatting sqref="G349">
    <cfRule type="expression" dxfId="5638" priority="5911" stopIfTrue="1">
      <formula>$G347=""</formula>
    </cfRule>
    <cfRule type="containsBlanks" dxfId="5637" priority="5912" stopIfTrue="1">
      <formula>LEN(TRIM(G349))=0</formula>
    </cfRule>
    <cfRule type="expression" dxfId="5636" priority="5913">
      <formula>OR($M349=0,$HC348=FALSE)</formula>
    </cfRule>
  </conditionalFormatting>
  <conditionalFormatting sqref="AB350">
    <cfRule type="expression" dxfId="5635" priority="5910" stopIfTrue="1">
      <formula>$AB350=""</formula>
    </cfRule>
  </conditionalFormatting>
  <conditionalFormatting sqref="AE348:AF348">
    <cfRule type="expression" dxfId="5634" priority="5909">
      <formula>$C$36=2</formula>
    </cfRule>
  </conditionalFormatting>
  <conditionalFormatting sqref="T349:U349">
    <cfRule type="expression" dxfId="5633" priority="5884" stopIfTrue="1">
      <formula>$G347=""</formula>
    </cfRule>
  </conditionalFormatting>
  <conditionalFormatting sqref="T349:U349">
    <cfRule type="containsBlanks" dxfId="5632" priority="5907" stopIfTrue="1">
      <formula>LEN(TRIM(T349))=0</formula>
    </cfRule>
  </conditionalFormatting>
  <conditionalFormatting sqref="AC347:AD347">
    <cfRule type="expression" dxfId="5631" priority="5906">
      <formula>$G347=""</formula>
    </cfRule>
  </conditionalFormatting>
  <conditionalFormatting sqref="AE348">
    <cfRule type="containsBlanks" dxfId="5630" priority="5904">
      <formula>LEN(TRIM(AE348))=0</formula>
    </cfRule>
  </conditionalFormatting>
  <conditionalFormatting sqref="AE349 AF350">
    <cfRule type="containsBlanks" dxfId="5629" priority="5903" stopIfTrue="1">
      <formula>LEN(TRIM(AE349))=0</formula>
    </cfRule>
  </conditionalFormatting>
  <conditionalFormatting sqref="AE349">
    <cfRule type="expression" dxfId="5628" priority="5915">
      <formula>OR($HN348=FALSE,$HO348=FALSE)</formula>
    </cfRule>
  </conditionalFormatting>
  <conditionalFormatting sqref="G348:Q348 G347">
    <cfRule type="containsBlanks" dxfId="5627" priority="5901">
      <formula>LEN(TRIM(G347))=0</formula>
    </cfRule>
  </conditionalFormatting>
  <conditionalFormatting sqref="G348:L348">
    <cfRule type="expression" dxfId="5626" priority="5899" stopIfTrue="1">
      <formula>$G347=""</formula>
    </cfRule>
    <cfRule type="containsBlanks" dxfId="5625" priority="5900">
      <formula>LEN(TRIM(G348))=0</formula>
    </cfRule>
  </conditionalFormatting>
  <conditionalFormatting sqref="R349">
    <cfRule type="expression" dxfId="5624" priority="5897" stopIfTrue="1">
      <formula>$G347=""</formula>
    </cfRule>
    <cfRule type="containsBlanks" dxfId="5623" priority="5898">
      <formula>LEN(TRIM(R349))=0</formula>
    </cfRule>
  </conditionalFormatting>
  <conditionalFormatting sqref="P349:R349">
    <cfRule type="expression" dxfId="5622" priority="5896">
      <formula>$C$36=0</formula>
    </cfRule>
  </conditionalFormatting>
  <conditionalFormatting sqref="AF348">
    <cfRule type="containsBlanks" dxfId="5621" priority="5892">
      <formula>LEN(TRIM(AF348))=0</formula>
    </cfRule>
    <cfRule type="expression" dxfId="5620" priority="5893">
      <formula>$HJ348=FALSE</formula>
    </cfRule>
  </conditionalFormatting>
  <conditionalFormatting sqref="AF350">
    <cfRule type="expression" dxfId="5619" priority="5891">
      <formula>$C$36=2</formula>
    </cfRule>
  </conditionalFormatting>
  <conditionalFormatting sqref="R348">
    <cfRule type="containsBlanks" dxfId="5618" priority="5890">
      <formula>LEN(TRIM(R348))=0</formula>
    </cfRule>
  </conditionalFormatting>
  <conditionalFormatting sqref="AE348:AF348">
    <cfRule type="expression" dxfId="5617" priority="5889" stopIfTrue="1">
      <formula>$G347=""</formula>
    </cfRule>
  </conditionalFormatting>
  <conditionalFormatting sqref="AF350">
    <cfRule type="expression" dxfId="5616" priority="5888" stopIfTrue="1">
      <formula>$G347=""</formula>
    </cfRule>
  </conditionalFormatting>
  <conditionalFormatting sqref="AF347:AI347">
    <cfRule type="expression" dxfId="5615" priority="5887">
      <formula>$C$36&lt;&gt;0</formula>
    </cfRule>
  </conditionalFormatting>
  <conditionalFormatting sqref="R348">
    <cfRule type="containsBlanks" dxfId="5614" priority="5885">
      <formula>LEN(TRIM(R348))=0</formula>
    </cfRule>
  </conditionalFormatting>
  <conditionalFormatting sqref="U349">
    <cfRule type="expression" dxfId="5613" priority="5908">
      <formula>OR($HF348=FALSE,$HG348=FALSE)</formula>
    </cfRule>
  </conditionalFormatting>
  <conditionalFormatting sqref="R348">
    <cfRule type="expression" dxfId="5612" priority="5882" stopIfTrue="1">
      <formula>$G347=""</formula>
    </cfRule>
    <cfRule type="expression" dxfId="5611" priority="5883">
      <formula>$HT348=FALSE</formula>
    </cfRule>
  </conditionalFormatting>
  <conditionalFormatting sqref="G350">
    <cfRule type="expression" dxfId="5610" priority="5877" stopIfTrue="1">
      <formula>$G347=""</formula>
    </cfRule>
  </conditionalFormatting>
  <conditionalFormatting sqref="G350">
    <cfRule type="expression" dxfId="5609" priority="5871" stopIfTrue="1">
      <formula>$CN347="Exterior"</formula>
    </cfRule>
  </conditionalFormatting>
  <conditionalFormatting sqref="G350:L350">
    <cfRule type="containsBlanks" dxfId="5608" priority="5878" stopIfTrue="1">
      <formula>LEN(TRIM(G350))=0</formula>
    </cfRule>
    <cfRule type="expression" dxfId="5607" priority="5880">
      <formula>$HL348=FALSE</formula>
    </cfRule>
  </conditionalFormatting>
  <conditionalFormatting sqref="AF349">
    <cfRule type="expression" dxfId="5606" priority="5872" stopIfTrue="1">
      <formula>$G347=""</formula>
    </cfRule>
  </conditionalFormatting>
  <conditionalFormatting sqref="AF349:AI349">
    <cfRule type="expression" dxfId="5605" priority="5876">
      <formula>OR($HP348=FALSE,$HL348=FALSE)</formula>
    </cfRule>
  </conditionalFormatting>
  <conditionalFormatting sqref="AF349">
    <cfRule type="containsBlanks" dxfId="5604" priority="5873" stopIfTrue="1">
      <formula>LEN(TRIM(AF349))=0</formula>
    </cfRule>
    <cfRule type="expression" dxfId="5603" priority="5874">
      <formula>$DP347=7</formula>
    </cfRule>
    <cfRule type="expression" dxfId="5602" priority="5875">
      <formula>OR($HK348=FALSE,$HM348=FALSE)</formula>
    </cfRule>
  </conditionalFormatting>
  <conditionalFormatting sqref="G350:L350">
    <cfRule type="expression" dxfId="5601" priority="5879" stopIfTrue="1">
      <formula>$AF349=""</formula>
    </cfRule>
  </conditionalFormatting>
  <conditionalFormatting sqref="T348:U348">
    <cfRule type="expression" dxfId="5600" priority="5868" stopIfTrue="1">
      <formula>$C$36&lt;&gt;0</formula>
    </cfRule>
    <cfRule type="containsBlanks" dxfId="5599" priority="5869" stopIfTrue="1">
      <formula>LEN(TRIM(T348))=0</formula>
    </cfRule>
  </conditionalFormatting>
  <conditionalFormatting sqref="T348:U348">
    <cfRule type="expression" dxfId="5598" priority="5867" stopIfTrue="1">
      <formula>$G347=""</formula>
    </cfRule>
  </conditionalFormatting>
  <conditionalFormatting sqref="U348">
    <cfRule type="expression" dxfId="5597" priority="5870">
      <formula>$HE348=FALSE</formula>
    </cfRule>
  </conditionalFormatting>
  <conditionalFormatting sqref="T350">
    <cfRule type="expression" dxfId="5596" priority="5866">
      <formula>$C$36=2</formula>
    </cfRule>
  </conditionalFormatting>
  <conditionalFormatting sqref="AE354">
    <cfRule type="expression" dxfId="5595" priority="5852" stopIfTrue="1">
      <formula>$G352=""</formula>
    </cfRule>
  </conditionalFormatting>
  <conditionalFormatting sqref="AB355:AD355">
    <cfRule type="expression" dxfId="5594" priority="5864" stopIfTrue="1">
      <formula>$G352=""</formula>
    </cfRule>
  </conditionalFormatting>
  <conditionalFormatting sqref="G354">
    <cfRule type="expression" dxfId="5593" priority="5861" stopIfTrue="1">
      <formula>$G352=""</formula>
    </cfRule>
    <cfRule type="containsBlanks" dxfId="5592" priority="5862" stopIfTrue="1">
      <formula>LEN(TRIM(G354))=0</formula>
    </cfRule>
    <cfRule type="expression" dxfId="5591" priority="5863">
      <formula>OR($M354=0,$HC353=FALSE)</formula>
    </cfRule>
  </conditionalFormatting>
  <conditionalFormatting sqref="AB355">
    <cfRule type="expression" dxfId="5590" priority="5860" stopIfTrue="1">
      <formula>$AB355=""</formula>
    </cfRule>
  </conditionalFormatting>
  <conditionalFormatting sqref="AE353:AF353">
    <cfRule type="expression" dxfId="5589" priority="5859">
      <formula>$C$36=2</formula>
    </cfRule>
  </conditionalFormatting>
  <conditionalFormatting sqref="T354:U354">
    <cfRule type="expression" dxfId="5588" priority="5834" stopIfTrue="1">
      <formula>$G352=""</formula>
    </cfRule>
  </conditionalFormatting>
  <conditionalFormatting sqref="T354:U354">
    <cfRule type="containsBlanks" dxfId="5587" priority="5857" stopIfTrue="1">
      <formula>LEN(TRIM(T354))=0</formula>
    </cfRule>
  </conditionalFormatting>
  <conditionalFormatting sqref="AC352:AD352">
    <cfRule type="expression" dxfId="5586" priority="5856">
      <formula>$G352=""</formula>
    </cfRule>
  </conditionalFormatting>
  <conditionalFormatting sqref="AE353">
    <cfRule type="containsBlanks" dxfId="5585" priority="5854">
      <formula>LEN(TRIM(AE353))=0</formula>
    </cfRule>
  </conditionalFormatting>
  <conditionalFormatting sqref="AE354 AF355">
    <cfRule type="containsBlanks" dxfId="5584" priority="5853" stopIfTrue="1">
      <formula>LEN(TRIM(AE354))=0</formula>
    </cfRule>
  </conditionalFormatting>
  <conditionalFormatting sqref="AE354">
    <cfRule type="expression" dxfId="5583" priority="5865">
      <formula>OR($HN353=FALSE,$HO353=FALSE)</formula>
    </cfRule>
  </conditionalFormatting>
  <conditionalFormatting sqref="G353:Q353 G352">
    <cfRule type="containsBlanks" dxfId="5582" priority="5851">
      <formula>LEN(TRIM(G352))=0</formula>
    </cfRule>
  </conditionalFormatting>
  <conditionalFormatting sqref="G353:L353">
    <cfRule type="expression" dxfId="5581" priority="5849" stopIfTrue="1">
      <formula>$G352=""</formula>
    </cfRule>
    <cfRule type="containsBlanks" dxfId="5580" priority="5850">
      <formula>LEN(TRIM(G353))=0</formula>
    </cfRule>
  </conditionalFormatting>
  <conditionalFormatting sqref="R354">
    <cfRule type="expression" dxfId="5579" priority="5847" stopIfTrue="1">
      <formula>$G352=""</formula>
    </cfRule>
    <cfRule type="containsBlanks" dxfId="5578" priority="5848">
      <formula>LEN(TRIM(R354))=0</formula>
    </cfRule>
  </conditionalFormatting>
  <conditionalFormatting sqref="P354:R354">
    <cfRule type="expression" dxfId="5577" priority="5846">
      <formula>$C$36=0</formula>
    </cfRule>
  </conditionalFormatting>
  <conditionalFormatting sqref="AF353">
    <cfRule type="containsBlanks" dxfId="5576" priority="5842">
      <formula>LEN(TRIM(AF353))=0</formula>
    </cfRule>
    <cfRule type="expression" dxfId="5575" priority="5843">
      <formula>$HJ353=FALSE</formula>
    </cfRule>
  </conditionalFormatting>
  <conditionalFormatting sqref="AF355">
    <cfRule type="expression" dxfId="5574" priority="5841">
      <formula>$C$36=2</formula>
    </cfRule>
  </conditionalFormatting>
  <conditionalFormatting sqref="R353">
    <cfRule type="containsBlanks" dxfId="5573" priority="5840">
      <formula>LEN(TRIM(R353))=0</formula>
    </cfRule>
  </conditionalFormatting>
  <conditionalFormatting sqref="AE353:AF353">
    <cfRule type="expression" dxfId="5572" priority="5839" stopIfTrue="1">
      <formula>$G352=""</formula>
    </cfRule>
  </conditionalFormatting>
  <conditionalFormatting sqref="AF355">
    <cfRule type="expression" dxfId="5571" priority="5838" stopIfTrue="1">
      <formula>$G352=""</formula>
    </cfRule>
  </conditionalFormatting>
  <conditionalFormatting sqref="AF352:AI352">
    <cfRule type="expression" dxfId="5570" priority="5837">
      <formula>$C$36&lt;&gt;0</formula>
    </cfRule>
  </conditionalFormatting>
  <conditionalFormatting sqref="R353">
    <cfRule type="containsBlanks" dxfId="5569" priority="5835">
      <formula>LEN(TRIM(R353))=0</formula>
    </cfRule>
  </conditionalFormatting>
  <conditionalFormatting sqref="U354">
    <cfRule type="expression" dxfId="5568" priority="5858">
      <formula>OR($HF353=FALSE,$HG353=FALSE)</formula>
    </cfRule>
  </conditionalFormatting>
  <conditionalFormatting sqref="R353">
    <cfRule type="expression" dxfId="5567" priority="5832" stopIfTrue="1">
      <formula>$G352=""</formula>
    </cfRule>
    <cfRule type="expression" dxfId="5566" priority="5833">
      <formula>$HT353=FALSE</formula>
    </cfRule>
  </conditionalFormatting>
  <conditionalFormatting sqref="G355">
    <cfRule type="expression" dxfId="5565" priority="5827" stopIfTrue="1">
      <formula>$G352=""</formula>
    </cfRule>
  </conditionalFormatting>
  <conditionalFormatting sqref="G355">
    <cfRule type="expression" dxfId="5564" priority="5821" stopIfTrue="1">
      <formula>$CN352="Exterior"</formula>
    </cfRule>
  </conditionalFormatting>
  <conditionalFormatting sqref="G355:L355">
    <cfRule type="containsBlanks" dxfId="5563" priority="5828" stopIfTrue="1">
      <formula>LEN(TRIM(G355))=0</formula>
    </cfRule>
    <cfRule type="expression" dxfId="5562" priority="5830">
      <formula>$HL353=FALSE</formula>
    </cfRule>
  </conditionalFormatting>
  <conditionalFormatting sqref="AF354">
    <cfRule type="expression" dxfId="5561" priority="5822" stopIfTrue="1">
      <formula>$G352=""</formula>
    </cfRule>
  </conditionalFormatting>
  <conditionalFormatting sqref="AF354:AI354">
    <cfRule type="expression" dxfId="5560" priority="5826">
      <formula>OR($HP353=FALSE,$HL353=FALSE)</formula>
    </cfRule>
  </conditionalFormatting>
  <conditionalFormatting sqref="AF354">
    <cfRule type="containsBlanks" dxfId="5559" priority="5823" stopIfTrue="1">
      <formula>LEN(TRIM(AF354))=0</formula>
    </cfRule>
    <cfRule type="expression" dxfId="5558" priority="5824">
      <formula>$DP352=7</formula>
    </cfRule>
    <cfRule type="expression" dxfId="5557" priority="5825">
      <formula>OR($HK353=FALSE,$HM353=FALSE)</formula>
    </cfRule>
  </conditionalFormatting>
  <conditionalFormatting sqref="G355:L355">
    <cfRule type="expression" dxfId="5556" priority="5829" stopIfTrue="1">
      <formula>$AF354=""</formula>
    </cfRule>
  </conditionalFormatting>
  <conditionalFormatting sqref="T353:U353">
    <cfRule type="expression" dxfId="5555" priority="5818" stopIfTrue="1">
      <formula>$C$36&lt;&gt;0</formula>
    </cfRule>
    <cfRule type="containsBlanks" dxfId="5554" priority="5819" stopIfTrue="1">
      <formula>LEN(TRIM(T353))=0</formula>
    </cfRule>
  </conditionalFormatting>
  <conditionalFormatting sqref="T353:U353">
    <cfRule type="expression" dxfId="5553" priority="5817" stopIfTrue="1">
      <formula>$G352=""</formula>
    </cfRule>
  </conditionalFormatting>
  <conditionalFormatting sqref="U353">
    <cfRule type="expression" dxfId="5552" priority="5820">
      <formula>$HE353=FALSE</formula>
    </cfRule>
  </conditionalFormatting>
  <conditionalFormatting sqref="T355">
    <cfRule type="expression" dxfId="5551" priority="5816">
      <formula>$C$36=2</formula>
    </cfRule>
  </conditionalFormatting>
  <conditionalFormatting sqref="AE359">
    <cfRule type="expression" dxfId="5550" priority="5802" stopIfTrue="1">
      <formula>$G357=""</formula>
    </cfRule>
  </conditionalFormatting>
  <conditionalFormatting sqref="AB360:AD360">
    <cfRule type="expression" dxfId="5549" priority="5814" stopIfTrue="1">
      <formula>$G357=""</formula>
    </cfRule>
  </conditionalFormatting>
  <conditionalFormatting sqref="G359">
    <cfRule type="expression" dxfId="5548" priority="5811" stopIfTrue="1">
      <formula>$G357=""</formula>
    </cfRule>
    <cfRule type="containsBlanks" dxfId="5547" priority="5812" stopIfTrue="1">
      <formula>LEN(TRIM(G359))=0</formula>
    </cfRule>
    <cfRule type="expression" dxfId="5546" priority="5813">
      <formula>OR($M359=0,$HC358=FALSE)</formula>
    </cfRule>
  </conditionalFormatting>
  <conditionalFormatting sqref="AB360">
    <cfRule type="expression" dxfId="5545" priority="5810" stopIfTrue="1">
      <formula>$AB360=""</formula>
    </cfRule>
  </conditionalFormatting>
  <conditionalFormatting sqref="AE358:AF358">
    <cfRule type="expression" dxfId="5544" priority="5809">
      <formula>$C$36=2</formula>
    </cfRule>
  </conditionalFormatting>
  <conditionalFormatting sqref="T359:U359">
    <cfRule type="expression" dxfId="5543" priority="5784" stopIfTrue="1">
      <formula>$G357=""</formula>
    </cfRule>
  </conditionalFormatting>
  <conditionalFormatting sqref="T359:U359">
    <cfRule type="containsBlanks" dxfId="5542" priority="5807" stopIfTrue="1">
      <formula>LEN(TRIM(T359))=0</formula>
    </cfRule>
  </conditionalFormatting>
  <conditionalFormatting sqref="AC357:AD357">
    <cfRule type="expression" dxfId="5541" priority="5806">
      <formula>$G357=""</formula>
    </cfRule>
  </conditionalFormatting>
  <conditionalFormatting sqref="AE358">
    <cfRule type="containsBlanks" dxfId="5540" priority="5804">
      <formula>LEN(TRIM(AE358))=0</formula>
    </cfRule>
  </conditionalFormatting>
  <conditionalFormatting sqref="AE359 AF360">
    <cfRule type="containsBlanks" dxfId="5539" priority="5803" stopIfTrue="1">
      <formula>LEN(TRIM(AE359))=0</formula>
    </cfRule>
  </conditionalFormatting>
  <conditionalFormatting sqref="AE359">
    <cfRule type="expression" dxfId="5538" priority="5815">
      <formula>OR($HN358=FALSE,$HO358=FALSE)</formula>
    </cfRule>
  </conditionalFormatting>
  <conditionalFormatting sqref="G358:Q358 G357">
    <cfRule type="containsBlanks" dxfId="5537" priority="5801">
      <formula>LEN(TRIM(G357))=0</formula>
    </cfRule>
  </conditionalFormatting>
  <conditionalFormatting sqref="G358:L358">
    <cfRule type="expression" dxfId="5536" priority="5799" stopIfTrue="1">
      <formula>$G357=""</formula>
    </cfRule>
    <cfRule type="containsBlanks" dxfId="5535" priority="5800">
      <formula>LEN(TRIM(G358))=0</formula>
    </cfRule>
  </conditionalFormatting>
  <conditionalFormatting sqref="R359">
    <cfRule type="expression" dxfId="5534" priority="5797" stopIfTrue="1">
      <formula>$G357=""</formula>
    </cfRule>
    <cfRule type="containsBlanks" dxfId="5533" priority="5798">
      <formula>LEN(TRIM(R359))=0</formula>
    </cfRule>
  </conditionalFormatting>
  <conditionalFormatting sqref="P359:R359">
    <cfRule type="expression" dxfId="5532" priority="5796">
      <formula>$C$36=0</formula>
    </cfRule>
  </conditionalFormatting>
  <conditionalFormatting sqref="AF358">
    <cfRule type="containsBlanks" dxfId="5531" priority="5792">
      <formula>LEN(TRIM(AF358))=0</formula>
    </cfRule>
    <cfRule type="expression" dxfId="5530" priority="5793">
      <formula>$HJ358=FALSE</formula>
    </cfRule>
  </conditionalFormatting>
  <conditionalFormatting sqref="AF360">
    <cfRule type="expression" dxfId="5529" priority="5791">
      <formula>$C$36=2</formula>
    </cfRule>
  </conditionalFormatting>
  <conditionalFormatting sqref="R358">
    <cfRule type="containsBlanks" dxfId="5528" priority="5790">
      <formula>LEN(TRIM(R358))=0</formula>
    </cfRule>
  </conditionalFormatting>
  <conditionalFormatting sqref="AE358:AF358">
    <cfRule type="expression" dxfId="5527" priority="5789" stopIfTrue="1">
      <formula>$G357=""</formula>
    </cfRule>
  </conditionalFormatting>
  <conditionalFormatting sqref="AF360">
    <cfRule type="expression" dxfId="5526" priority="5788" stopIfTrue="1">
      <formula>$G357=""</formula>
    </cfRule>
  </conditionalFormatting>
  <conditionalFormatting sqref="AF357:AI357">
    <cfRule type="expression" dxfId="5525" priority="5787">
      <formula>$C$36&lt;&gt;0</formula>
    </cfRule>
  </conditionalFormatting>
  <conditionalFormatting sqref="R358">
    <cfRule type="containsBlanks" dxfId="5524" priority="5785">
      <formula>LEN(TRIM(R358))=0</formula>
    </cfRule>
  </conditionalFormatting>
  <conditionalFormatting sqref="U359">
    <cfRule type="expression" dxfId="5523" priority="5808">
      <formula>OR($HF358=FALSE,$HG358=FALSE)</formula>
    </cfRule>
  </conditionalFormatting>
  <conditionalFormatting sqref="R358">
    <cfRule type="expression" dxfId="5522" priority="5782" stopIfTrue="1">
      <formula>$G357=""</formula>
    </cfRule>
    <cfRule type="expression" dxfId="5521" priority="5783">
      <formula>$HT358=FALSE</formula>
    </cfRule>
  </conditionalFormatting>
  <conditionalFormatting sqref="G360">
    <cfRule type="expression" dxfId="5520" priority="5777" stopIfTrue="1">
      <formula>$G357=""</formula>
    </cfRule>
  </conditionalFormatting>
  <conditionalFormatting sqref="G360">
    <cfRule type="expression" dxfId="5519" priority="5771" stopIfTrue="1">
      <formula>$CN357="Exterior"</formula>
    </cfRule>
  </conditionalFormatting>
  <conditionalFormatting sqref="G360:L360">
    <cfRule type="containsBlanks" dxfId="5518" priority="5778" stopIfTrue="1">
      <formula>LEN(TRIM(G360))=0</formula>
    </cfRule>
    <cfRule type="expression" dxfId="5517" priority="5780">
      <formula>$HL358=FALSE</formula>
    </cfRule>
  </conditionalFormatting>
  <conditionalFormatting sqref="AF359">
    <cfRule type="expression" dxfId="5516" priority="5772" stopIfTrue="1">
      <formula>$G357=""</formula>
    </cfRule>
  </conditionalFormatting>
  <conditionalFormatting sqref="AF359:AI359">
    <cfRule type="expression" dxfId="5515" priority="5776">
      <formula>OR($HP358=FALSE,$HL358=FALSE)</formula>
    </cfRule>
  </conditionalFormatting>
  <conditionalFormatting sqref="AF359">
    <cfRule type="containsBlanks" dxfId="5514" priority="5773" stopIfTrue="1">
      <formula>LEN(TRIM(AF359))=0</formula>
    </cfRule>
    <cfRule type="expression" dxfId="5513" priority="5774">
      <formula>$DP357=7</formula>
    </cfRule>
    <cfRule type="expression" dxfId="5512" priority="5775">
      <formula>OR($HK358=FALSE,$HM358=FALSE)</formula>
    </cfRule>
  </conditionalFormatting>
  <conditionalFormatting sqref="G360:L360">
    <cfRule type="expression" dxfId="5511" priority="5779" stopIfTrue="1">
      <formula>$AF359=""</formula>
    </cfRule>
  </conditionalFormatting>
  <conditionalFormatting sqref="T358:U358">
    <cfRule type="expression" dxfId="5510" priority="5768" stopIfTrue="1">
      <formula>$C$36&lt;&gt;0</formula>
    </cfRule>
    <cfRule type="containsBlanks" dxfId="5509" priority="5769" stopIfTrue="1">
      <formula>LEN(TRIM(T358))=0</formula>
    </cfRule>
  </conditionalFormatting>
  <conditionalFormatting sqref="T358:U358">
    <cfRule type="expression" dxfId="5508" priority="5767" stopIfTrue="1">
      <formula>$G357=""</formula>
    </cfRule>
  </conditionalFormatting>
  <conditionalFormatting sqref="U358">
    <cfRule type="expression" dxfId="5507" priority="5770">
      <formula>$HE358=FALSE</formula>
    </cfRule>
  </conditionalFormatting>
  <conditionalFormatting sqref="T360">
    <cfRule type="expression" dxfId="5506" priority="5766">
      <formula>$C$36=2</formula>
    </cfRule>
  </conditionalFormatting>
  <conditionalFormatting sqref="AE364">
    <cfRule type="expression" dxfId="5505" priority="5752" stopIfTrue="1">
      <formula>$G362=""</formula>
    </cfRule>
  </conditionalFormatting>
  <conditionalFormatting sqref="AB365:AD365">
    <cfRule type="expression" dxfId="5504" priority="5764" stopIfTrue="1">
      <formula>$G362=""</formula>
    </cfRule>
  </conditionalFormatting>
  <conditionalFormatting sqref="G364">
    <cfRule type="expression" dxfId="5503" priority="5761" stopIfTrue="1">
      <formula>$G362=""</formula>
    </cfRule>
    <cfRule type="containsBlanks" dxfId="5502" priority="5762" stopIfTrue="1">
      <formula>LEN(TRIM(G364))=0</formula>
    </cfRule>
    <cfRule type="expression" dxfId="5501" priority="5763">
      <formula>OR($M364=0,$HC363=FALSE)</formula>
    </cfRule>
  </conditionalFormatting>
  <conditionalFormatting sqref="AB365">
    <cfRule type="expression" dxfId="5500" priority="5760" stopIfTrue="1">
      <formula>$AB365=""</formula>
    </cfRule>
  </conditionalFormatting>
  <conditionalFormatting sqref="AE363:AF363">
    <cfRule type="expression" dxfId="5499" priority="5759">
      <formula>$C$36=2</formula>
    </cfRule>
  </conditionalFormatting>
  <conditionalFormatting sqref="T364:U364">
    <cfRule type="expression" dxfId="5498" priority="5734" stopIfTrue="1">
      <formula>$G362=""</formula>
    </cfRule>
  </conditionalFormatting>
  <conditionalFormatting sqref="T364:U364">
    <cfRule type="containsBlanks" dxfId="5497" priority="5757" stopIfTrue="1">
      <formula>LEN(TRIM(T364))=0</formula>
    </cfRule>
  </conditionalFormatting>
  <conditionalFormatting sqref="AC362:AD362">
    <cfRule type="expression" dxfId="5496" priority="5756">
      <formula>$G362=""</formula>
    </cfRule>
  </conditionalFormatting>
  <conditionalFormatting sqref="AE363">
    <cfRule type="containsBlanks" dxfId="5495" priority="5754">
      <formula>LEN(TRIM(AE363))=0</formula>
    </cfRule>
  </conditionalFormatting>
  <conditionalFormatting sqref="AE364 AF365">
    <cfRule type="containsBlanks" dxfId="5494" priority="5753" stopIfTrue="1">
      <formula>LEN(TRIM(AE364))=0</formula>
    </cfRule>
  </conditionalFormatting>
  <conditionalFormatting sqref="AE364">
    <cfRule type="expression" dxfId="5493" priority="5765">
      <formula>OR($HN363=FALSE,$HO363=FALSE)</formula>
    </cfRule>
  </conditionalFormatting>
  <conditionalFormatting sqref="G363:Q363 G362">
    <cfRule type="containsBlanks" dxfId="5492" priority="5751">
      <formula>LEN(TRIM(G362))=0</formula>
    </cfRule>
  </conditionalFormatting>
  <conditionalFormatting sqref="G363:L363">
    <cfRule type="expression" dxfId="5491" priority="5749" stopIfTrue="1">
      <formula>$G362=""</formula>
    </cfRule>
    <cfRule type="containsBlanks" dxfId="5490" priority="5750">
      <formula>LEN(TRIM(G363))=0</formula>
    </cfRule>
  </conditionalFormatting>
  <conditionalFormatting sqref="R364">
    <cfRule type="expression" dxfId="5489" priority="5747" stopIfTrue="1">
      <formula>$G362=""</formula>
    </cfRule>
    <cfRule type="containsBlanks" dxfId="5488" priority="5748">
      <formula>LEN(TRIM(R364))=0</formula>
    </cfRule>
  </conditionalFormatting>
  <conditionalFormatting sqref="P364:R364">
    <cfRule type="expression" dxfId="5487" priority="5746">
      <formula>$C$36=0</formula>
    </cfRule>
  </conditionalFormatting>
  <conditionalFormatting sqref="AF363">
    <cfRule type="containsBlanks" dxfId="5486" priority="5742">
      <formula>LEN(TRIM(AF363))=0</formula>
    </cfRule>
    <cfRule type="expression" dxfId="5485" priority="5743">
      <formula>$HJ363=FALSE</formula>
    </cfRule>
  </conditionalFormatting>
  <conditionalFormatting sqref="AF365">
    <cfRule type="expression" dxfId="5484" priority="5741">
      <formula>$C$36=2</formula>
    </cfRule>
  </conditionalFormatting>
  <conditionalFormatting sqref="R363">
    <cfRule type="containsBlanks" dxfId="5483" priority="5740">
      <formula>LEN(TRIM(R363))=0</formula>
    </cfRule>
  </conditionalFormatting>
  <conditionalFormatting sqref="AE363:AF363">
    <cfRule type="expression" dxfId="5482" priority="5739" stopIfTrue="1">
      <formula>$G362=""</formula>
    </cfRule>
  </conditionalFormatting>
  <conditionalFormatting sqref="AF365">
    <cfRule type="expression" dxfId="5481" priority="5738" stopIfTrue="1">
      <formula>$G362=""</formula>
    </cfRule>
  </conditionalFormatting>
  <conditionalFormatting sqref="AF362:AI362">
    <cfRule type="expression" dxfId="5480" priority="5737">
      <formula>$C$36&lt;&gt;0</formula>
    </cfRule>
  </conditionalFormatting>
  <conditionalFormatting sqref="R363">
    <cfRule type="containsBlanks" dxfId="5479" priority="5735">
      <formula>LEN(TRIM(R363))=0</formula>
    </cfRule>
  </conditionalFormatting>
  <conditionalFormatting sqref="U364">
    <cfRule type="expression" dxfId="5478" priority="5758">
      <formula>OR($HF363=FALSE,$HG363=FALSE)</formula>
    </cfRule>
  </conditionalFormatting>
  <conditionalFormatting sqref="R363">
    <cfRule type="expression" dxfId="5477" priority="5732" stopIfTrue="1">
      <formula>$G362=""</formula>
    </cfRule>
    <cfRule type="expression" dxfId="5476" priority="5733">
      <formula>$HT363=FALSE</formula>
    </cfRule>
  </conditionalFormatting>
  <conditionalFormatting sqref="G365">
    <cfRule type="expression" dxfId="5475" priority="5727" stopIfTrue="1">
      <formula>$G362=""</formula>
    </cfRule>
  </conditionalFormatting>
  <conditionalFormatting sqref="G365">
    <cfRule type="expression" dxfId="5474" priority="5721" stopIfTrue="1">
      <formula>$CN362="Exterior"</formula>
    </cfRule>
  </conditionalFormatting>
  <conditionalFormatting sqref="G365:L365">
    <cfRule type="containsBlanks" dxfId="5473" priority="5728" stopIfTrue="1">
      <formula>LEN(TRIM(G365))=0</formula>
    </cfRule>
    <cfRule type="expression" dxfId="5472" priority="5730">
      <formula>$HL363=FALSE</formula>
    </cfRule>
  </conditionalFormatting>
  <conditionalFormatting sqref="AF364">
    <cfRule type="expression" dxfId="5471" priority="5722" stopIfTrue="1">
      <formula>$G362=""</formula>
    </cfRule>
  </conditionalFormatting>
  <conditionalFormatting sqref="AF364:AI364">
    <cfRule type="expression" dxfId="5470" priority="5726">
      <formula>OR($HP363=FALSE,$HL363=FALSE)</formula>
    </cfRule>
  </conditionalFormatting>
  <conditionalFormatting sqref="AF364">
    <cfRule type="containsBlanks" dxfId="5469" priority="5723" stopIfTrue="1">
      <formula>LEN(TRIM(AF364))=0</formula>
    </cfRule>
    <cfRule type="expression" dxfId="5468" priority="5724">
      <formula>$DP362=7</formula>
    </cfRule>
    <cfRule type="expression" dxfId="5467" priority="5725">
      <formula>OR($HK363=FALSE,$HM363=FALSE)</formula>
    </cfRule>
  </conditionalFormatting>
  <conditionalFormatting sqref="G365:L365">
    <cfRule type="expression" dxfId="5466" priority="5729" stopIfTrue="1">
      <formula>$AF364=""</formula>
    </cfRule>
  </conditionalFormatting>
  <conditionalFormatting sqref="T363:U363">
    <cfRule type="expression" dxfId="5465" priority="5718" stopIfTrue="1">
      <formula>$C$36&lt;&gt;0</formula>
    </cfRule>
    <cfRule type="containsBlanks" dxfId="5464" priority="5719" stopIfTrue="1">
      <formula>LEN(TRIM(T363))=0</formula>
    </cfRule>
  </conditionalFormatting>
  <conditionalFormatting sqref="T363:U363">
    <cfRule type="expression" dxfId="5463" priority="5717" stopIfTrue="1">
      <formula>$G362=""</formula>
    </cfRule>
  </conditionalFormatting>
  <conditionalFormatting sqref="U363">
    <cfRule type="expression" dxfId="5462" priority="5720">
      <formula>$HE363=FALSE</formula>
    </cfRule>
  </conditionalFormatting>
  <conditionalFormatting sqref="T365">
    <cfRule type="expression" dxfId="5461" priority="5716">
      <formula>$C$36=2</formula>
    </cfRule>
  </conditionalFormatting>
  <conditionalFormatting sqref="AE369">
    <cfRule type="expression" dxfId="5460" priority="5702" stopIfTrue="1">
      <formula>$G367=""</formula>
    </cfRule>
  </conditionalFormatting>
  <conditionalFormatting sqref="AB370:AD370">
    <cfRule type="expression" dxfId="5459" priority="5714" stopIfTrue="1">
      <formula>$G367=""</formula>
    </cfRule>
  </conditionalFormatting>
  <conditionalFormatting sqref="G369">
    <cfRule type="expression" dxfId="5458" priority="5711" stopIfTrue="1">
      <formula>$G367=""</formula>
    </cfRule>
    <cfRule type="containsBlanks" dxfId="5457" priority="5712" stopIfTrue="1">
      <formula>LEN(TRIM(G369))=0</formula>
    </cfRule>
    <cfRule type="expression" dxfId="5456" priority="5713">
      <formula>OR($M369=0,$HC368=FALSE)</formula>
    </cfRule>
  </conditionalFormatting>
  <conditionalFormatting sqref="AB370">
    <cfRule type="expression" dxfId="5455" priority="5710" stopIfTrue="1">
      <formula>$AB370=""</formula>
    </cfRule>
  </conditionalFormatting>
  <conditionalFormatting sqref="AE368:AF368">
    <cfRule type="expression" dxfId="5454" priority="5709">
      <formula>$C$36=2</formula>
    </cfRule>
  </conditionalFormatting>
  <conditionalFormatting sqref="T369:U369">
    <cfRule type="expression" dxfId="5453" priority="5684" stopIfTrue="1">
      <formula>$G367=""</formula>
    </cfRule>
  </conditionalFormatting>
  <conditionalFormatting sqref="T369:U369">
    <cfRule type="containsBlanks" dxfId="5452" priority="5707" stopIfTrue="1">
      <formula>LEN(TRIM(T369))=0</formula>
    </cfRule>
  </conditionalFormatting>
  <conditionalFormatting sqref="AC367:AD367">
    <cfRule type="expression" dxfId="5451" priority="5706">
      <formula>$G367=""</formula>
    </cfRule>
  </conditionalFormatting>
  <conditionalFormatting sqref="AE368">
    <cfRule type="containsBlanks" dxfId="5450" priority="5704">
      <formula>LEN(TRIM(AE368))=0</formula>
    </cfRule>
  </conditionalFormatting>
  <conditionalFormatting sqref="AE369 AF370">
    <cfRule type="containsBlanks" dxfId="5449" priority="5703" stopIfTrue="1">
      <formula>LEN(TRIM(AE369))=0</formula>
    </cfRule>
  </conditionalFormatting>
  <conditionalFormatting sqref="AE369">
    <cfRule type="expression" dxfId="5448" priority="5715">
      <formula>OR($HN368=FALSE,$HO368=FALSE)</formula>
    </cfRule>
  </conditionalFormatting>
  <conditionalFormatting sqref="G368:Q368 G367">
    <cfRule type="containsBlanks" dxfId="5447" priority="5701">
      <formula>LEN(TRIM(G367))=0</formula>
    </cfRule>
  </conditionalFormatting>
  <conditionalFormatting sqref="G368:L368">
    <cfRule type="expression" dxfId="5446" priority="5699" stopIfTrue="1">
      <formula>$G367=""</formula>
    </cfRule>
    <cfRule type="containsBlanks" dxfId="5445" priority="5700">
      <formula>LEN(TRIM(G368))=0</formula>
    </cfRule>
  </conditionalFormatting>
  <conditionalFormatting sqref="R369">
    <cfRule type="expression" dxfId="5444" priority="5697" stopIfTrue="1">
      <formula>$G367=""</formula>
    </cfRule>
    <cfRule type="containsBlanks" dxfId="5443" priority="5698">
      <formula>LEN(TRIM(R369))=0</formula>
    </cfRule>
  </conditionalFormatting>
  <conditionalFormatting sqref="P369:R369">
    <cfRule type="expression" dxfId="5442" priority="5696">
      <formula>$C$36=0</formula>
    </cfRule>
  </conditionalFormatting>
  <conditionalFormatting sqref="AF368">
    <cfRule type="containsBlanks" dxfId="5441" priority="5692">
      <formula>LEN(TRIM(AF368))=0</formula>
    </cfRule>
    <cfRule type="expression" dxfId="5440" priority="5693">
      <formula>$HJ368=FALSE</formula>
    </cfRule>
  </conditionalFormatting>
  <conditionalFormatting sqref="AF370">
    <cfRule type="expression" dxfId="5439" priority="5691">
      <formula>$C$36=2</formula>
    </cfRule>
  </conditionalFormatting>
  <conditionalFormatting sqref="R368">
    <cfRule type="containsBlanks" dxfId="5438" priority="5690">
      <formula>LEN(TRIM(R368))=0</formula>
    </cfRule>
  </conditionalFormatting>
  <conditionalFormatting sqref="AE368:AF368">
    <cfRule type="expression" dxfId="5437" priority="5689" stopIfTrue="1">
      <formula>$G367=""</formula>
    </cfRule>
  </conditionalFormatting>
  <conditionalFormatting sqref="AF370">
    <cfRule type="expression" dxfId="5436" priority="5688" stopIfTrue="1">
      <formula>$G367=""</formula>
    </cfRule>
  </conditionalFormatting>
  <conditionalFormatting sqref="AF367:AI367">
    <cfRule type="expression" dxfId="5435" priority="5687">
      <formula>$C$36&lt;&gt;0</formula>
    </cfRule>
  </conditionalFormatting>
  <conditionalFormatting sqref="R368">
    <cfRule type="containsBlanks" dxfId="5434" priority="5685">
      <formula>LEN(TRIM(R368))=0</formula>
    </cfRule>
  </conditionalFormatting>
  <conditionalFormatting sqref="U369">
    <cfRule type="expression" dxfId="5433" priority="5708">
      <formula>OR($HF368=FALSE,$HG368=FALSE)</formula>
    </cfRule>
  </conditionalFormatting>
  <conditionalFormatting sqref="R368">
    <cfRule type="expression" dxfId="5432" priority="5682" stopIfTrue="1">
      <formula>$G367=""</formula>
    </cfRule>
    <cfRule type="expression" dxfId="5431" priority="5683">
      <formula>$HT368=FALSE</formula>
    </cfRule>
  </conditionalFormatting>
  <conditionalFormatting sqref="G370">
    <cfRule type="expression" dxfId="5430" priority="5677" stopIfTrue="1">
      <formula>$G367=""</formula>
    </cfRule>
  </conditionalFormatting>
  <conditionalFormatting sqref="G370">
    <cfRule type="expression" dxfId="5429" priority="5671" stopIfTrue="1">
      <formula>$CN367="Exterior"</formula>
    </cfRule>
  </conditionalFormatting>
  <conditionalFormatting sqref="G370:L370">
    <cfRule type="containsBlanks" dxfId="5428" priority="5678" stopIfTrue="1">
      <formula>LEN(TRIM(G370))=0</formula>
    </cfRule>
    <cfRule type="expression" dxfId="5427" priority="5680">
      <formula>$HL368=FALSE</formula>
    </cfRule>
  </conditionalFormatting>
  <conditionalFormatting sqref="AF369">
    <cfRule type="expression" dxfId="5426" priority="5672" stopIfTrue="1">
      <formula>$G367=""</formula>
    </cfRule>
  </conditionalFormatting>
  <conditionalFormatting sqref="AF369:AI369">
    <cfRule type="expression" dxfId="5425" priority="5676">
      <formula>OR($HP368=FALSE,$HL368=FALSE)</formula>
    </cfRule>
  </conditionalFormatting>
  <conditionalFormatting sqref="AF369">
    <cfRule type="containsBlanks" dxfId="5424" priority="5673" stopIfTrue="1">
      <formula>LEN(TRIM(AF369))=0</formula>
    </cfRule>
    <cfRule type="expression" dxfId="5423" priority="5674">
      <formula>$DP367=7</formula>
    </cfRule>
    <cfRule type="expression" dxfId="5422" priority="5675">
      <formula>OR($HK368=FALSE,$HM368=FALSE)</formula>
    </cfRule>
  </conditionalFormatting>
  <conditionalFormatting sqref="G370:L370">
    <cfRule type="expression" dxfId="5421" priority="5679" stopIfTrue="1">
      <formula>$AF369=""</formula>
    </cfRule>
  </conditionalFormatting>
  <conditionalFormatting sqref="T368:U368">
    <cfRule type="expression" dxfId="5420" priority="5668" stopIfTrue="1">
      <formula>$C$36&lt;&gt;0</formula>
    </cfRule>
    <cfRule type="containsBlanks" dxfId="5419" priority="5669" stopIfTrue="1">
      <formula>LEN(TRIM(T368))=0</formula>
    </cfRule>
  </conditionalFormatting>
  <conditionalFormatting sqref="T368:U368">
    <cfRule type="expression" dxfId="5418" priority="5667" stopIfTrue="1">
      <formula>$G367=""</formula>
    </cfRule>
  </conditionalFormatting>
  <conditionalFormatting sqref="U368">
    <cfRule type="expression" dxfId="5417" priority="5670">
      <formula>$HE368=FALSE</formula>
    </cfRule>
  </conditionalFormatting>
  <conditionalFormatting sqref="T370">
    <cfRule type="expression" dxfId="5416" priority="5666">
      <formula>$C$36=2</formula>
    </cfRule>
  </conditionalFormatting>
  <conditionalFormatting sqref="AE374">
    <cfRule type="expression" dxfId="5415" priority="5652" stopIfTrue="1">
      <formula>$G372=""</formula>
    </cfRule>
  </conditionalFormatting>
  <conditionalFormatting sqref="AB375:AD375">
    <cfRule type="expression" dxfId="5414" priority="5664" stopIfTrue="1">
      <formula>$G372=""</formula>
    </cfRule>
  </conditionalFormatting>
  <conditionalFormatting sqref="G374">
    <cfRule type="expression" dxfId="5413" priority="5661" stopIfTrue="1">
      <formula>$G372=""</formula>
    </cfRule>
    <cfRule type="containsBlanks" dxfId="5412" priority="5662" stopIfTrue="1">
      <formula>LEN(TRIM(G374))=0</formula>
    </cfRule>
    <cfRule type="expression" dxfId="5411" priority="5663">
      <formula>OR($M374=0,$HC373=FALSE)</formula>
    </cfRule>
  </conditionalFormatting>
  <conditionalFormatting sqref="AB375">
    <cfRule type="expression" dxfId="5410" priority="5660" stopIfTrue="1">
      <formula>$AB375=""</formula>
    </cfRule>
  </conditionalFormatting>
  <conditionalFormatting sqref="AE373:AF373">
    <cfRule type="expression" dxfId="5409" priority="5659">
      <formula>$C$36=2</formula>
    </cfRule>
  </conditionalFormatting>
  <conditionalFormatting sqref="T374:U374">
    <cfRule type="expression" dxfId="5408" priority="5634" stopIfTrue="1">
      <formula>$G372=""</formula>
    </cfRule>
  </conditionalFormatting>
  <conditionalFormatting sqref="T374:U374">
    <cfRule type="containsBlanks" dxfId="5407" priority="5657" stopIfTrue="1">
      <formula>LEN(TRIM(T374))=0</formula>
    </cfRule>
  </conditionalFormatting>
  <conditionalFormatting sqref="AC372:AD372">
    <cfRule type="expression" dxfId="5406" priority="5656">
      <formula>$G372=""</formula>
    </cfRule>
  </conditionalFormatting>
  <conditionalFormatting sqref="AE373">
    <cfRule type="containsBlanks" dxfId="5405" priority="5654">
      <formula>LEN(TRIM(AE373))=0</formula>
    </cfRule>
  </conditionalFormatting>
  <conditionalFormatting sqref="AE374 AF375">
    <cfRule type="containsBlanks" dxfId="5404" priority="5653" stopIfTrue="1">
      <formula>LEN(TRIM(AE374))=0</formula>
    </cfRule>
  </conditionalFormatting>
  <conditionalFormatting sqref="AE374">
    <cfRule type="expression" dxfId="5403" priority="5665">
      <formula>OR($HN373=FALSE,$HO373=FALSE)</formula>
    </cfRule>
  </conditionalFormatting>
  <conditionalFormatting sqref="G373:Q373 G372">
    <cfRule type="containsBlanks" dxfId="5402" priority="5651">
      <formula>LEN(TRIM(G372))=0</formula>
    </cfRule>
  </conditionalFormatting>
  <conditionalFormatting sqref="G373:L373">
    <cfRule type="expression" dxfId="5401" priority="5649" stopIfTrue="1">
      <formula>$G372=""</formula>
    </cfRule>
    <cfRule type="containsBlanks" dxfId="5400" priority="5650">
      <formula>LEN(TRIM(G373))=0</formula>
    </cfRule>
  </conditionalFormatting>
  <conditionalFormatting sqref="R374">
    <cfRule type="expression" dxfId="5399" priority="5647" stopIfTrue="1">
      <formula>$G372=""</formula>
    </cfRule>
    <cfRule type="containsBlanks" dxfId="5398" priority="5648">
      <formula>LEN(TRIM(R374))=0</formula>
    </cfRule>
  </conditionalFormatting>
  <conditionalFormatting sqref="P374:R374">
    <cfRule type="expression" dxfId="5397" priority="5646">
      <formula>$C$36=0</formula>
    </cfRule>
  </conditionalFormatting>
  <conditionalFormatting sqref="AF373">
    <cfRule type="containsBlanks" dxfId="5396" priority="5642">
      <formula>LEN(TRIM(AF373))=0</formula>
    </cfRule>
    <cfRule type="expression" dxfId="5395" priority="5643">
      <formula>$HJ373=FALSE</formula>
    </cfRule>
  </conditionalFormatting>
  <conditionalFormatting sqref="AF375">
    <cfRule type="expression" dxfId="5394" priority="5641">
      <formula>$C$36=2</formula>
    </cfRule>
  </conditionalFormatting>
  <conditionalFormatting sqref="R373">
    <cfRule type="containsBlanks" dxfId="5393" priority="5640">
      <formula>LEN(TRIM(R373))=0</formula>
    </cfRule>
  </conditionalFormatting>
  <conditionalFormatting sqref="AE373:AF373">
    <cfRule type="expression" dxfId="5392" priority="5639" stopIfTrue="1">
      <formula>$G372=""</formula>
    </cfRule>
  </conditionalFormatting>
  <conditionalFormatting sqref="AF375">
    <cfRule type="expression" dxfId="5391" priority="5638" stopIfTrue="1">
      <formula>$G372=""</formula>
    </cfRule>
  </conditionalFormatting>
  <conditionalFormatting sqref="AF372:AI372">
    <cfRule type="expression" dxfId="5390" priority="5637">
      <formula>$C$36&lt;&gt;0</formula>
    </cfRule>
  </conditionalFormatting>
  <conditionalFormatting sqref="R373">
    <cfRule type="containsBlanks" dxfId="5389" priority="5635">
      <formula>LEN(TRIM(R373))=0</formula>
    </cfRule>
  </conditionalFormatting>
  <conditionalFormatting sqref="U374">
    <cfRule type="expression" dxfId="5388" priority="5658">
      <formula>OR($HF373=FALSE,$HG373=FALSE)</formula>
    </cfRule>
  </conditionalFormatting>
  <conditionalFormatting sqref="R373">
    <cfRule type="expression" dxfId="5387" priority="5632" stopIfTrue="1">
      <formula>$G372=""</formula>
    </cfRule>
    <cfRule type="expression" dxfId="5386" priority="5633">
      <formula>$HT373=FALSE</formula>
    </cfRule>
  </conditionalFormatting>
  <conditionalFormatting sqref="G375">
    <cfRule type="expression" dxfId="5385" priority="5627" stopIfTrue="1">
      <formula>$G372=""</formula>
    </cfRule>
  </conditionalFormatting>
  <conditionalFormatting sqref="G375">
    <cfRule type="expression" dxfId="5384" priority="5621" stopIfTrue="1">
      <formula>$CN372="Exterior"</formula>
    </cfRule>
  </conditionalFormatting>
  <conditionalFormatting sqref="G375:L375">
    <cfRule type="containsBlanks" dxfId="5383" priority="5628" stopIfTrue="1">
      <formula>LEN(TRIM(G375))=0</formula>
    </cfRule>
    <cfRule type="expression" dxfId="5382" priority="5630">
      <formula>$HL373=FALSE</formula>
    </cfRule>
  </conditionalFormatting>
  <conditionalFormatting sqref="AF374">
    <cfRule type="expression" dxfId="5381" priority="5622" stopIfTrue="1">
      <formula>$G372=""</formula>
    </cfRule>
  </conditionalFormatting>
  <conditionalFormatting sqref="AF374:AI374">
    <cfRule type="expression" dxfId="5380" priority="5626">
      <formula>OR($HP373=FALSE,$HL373=FALSE)</formula>
    </cfRule>
  </conditionalFormatting>
  <conditionalFormatting sqref="AF374">
    <cfRule type="containsBlanks" dxfId="5379" priority="5623" stopIfTrue="1">
      <formula>LEN(TRIM(AF374))=0</formula>
    </cfRule>
    <cfRule type="expression" dxfId="5378" priority="5624">
      <formula>$DP372=7</formula>
    </cfRule>
    <cfRule type="expression" dxfId="5377" priority="5625">
      <formula>OR($HK373=FALSE,$HM373=FALSE)</formula>
    </cfRule>
  </conditionalFormatting>
  <conditionalFormatting sqref="G375:L375">
    <cfRule type="expression" dxfId="5376" priority="5629" stopIfTrue="1">
      <formula>$AF374=""</formula>
    </cfRule>
  </conditionalFormatting>
  <conditionalFormatting sqref="T373:U373">
    <cfRule type="expression" dxfId="5375" priority="5618" stopIfTrue="1">
      <formula>$C$36&lt;&gt;0</formula>
    </cfRule>
    <cfRule type="containsBlanks" dxfId="5374" priority="5619" stopIfTrue="1">
      <formula>LEN(TRIM(T373))=0</formula>
    </cfRule>
  </conditionalFormatting>
  <conditionalFormatting sqref="T373:U373">
    <cfRule type="expression" dxfId="5373" priority="5617" stopIfTrue="1">
      <formula>$G372=""</formula>
    </cfRule>
  </conditionalFormatting>
  <conditionalFormatting sqref="U373">
    <cfRule type="expression" dxfId="5372" priority="5620">
      <formula>$HE373=FALSE</formula>
    </cfRule>
  </conditionalFormatting>
  <conditionalFormatting sqref="T375">
    <cfRule type="expression" dxfId="5371" priority="5616">
      <formula>$C$36=2</formula>
    </cfRule>
  </conditionalFormatting>
  <conditionalFormatting sqref="AE379">
    <cfRule type="expression" dxfId="5370" priority="5602" stopIfTrue="1">
      <formula>$G377=""</formula>
    </cfRule>
  </conditionalFormatting>
  <conditionalFormatting sqref="AB380:AD380">
    <cfRule type="expression" dxfId="5369" priority="5614" stopIfTrue="1">
      <formula>$G377=""</formula>
    </cfRule>
  </conditionalFormatting>
  <conditionalFormatting sqref="G379">
    <cfRule type="expression" dxfId="5368" priority="5611" stopIfTrue="1">
      <formula>$G377=""</formula>
    </cfRule>
    <cfRule type="containsBlanks" dxfId="5367" priority="5612" stopIfTrue="1">
      <formula>LEN(TRIM(G379))=0</formula>
    </cfRule>
    <cfRule type="expression" dxfId="5366" priority="5613">
      <formula>OR($M379=0,$HC378=FALSE)</formula>
    </cfRule>
  </conditionalFormatting>
  <conditionalFormatting sqref="AB380">
    <cfRule type="expression" dxfId="5365" priority="5610" stopIfTrue="1">
      <formula>$AB380=""</formula>
    </cfRule>
  </conditionalFormatting>
  <conditionalFormatting sqref="AE378:AF378">
    <cfRule type="expression" dxfId="5364" priority="5609">
      <formula>$C$36=2</formula>
    </cfRule>
  </conditionalFormatting>
  <conditionalFormatting sqref="T379:U379">
    <cfRule type="expression" dxfId="5363" priority="5584" stopIfTrue="1">
      <formula>$G377=""</formula>
    </cfRule>
  </conditionalFormatting>
  <conditionalFormatting sqref="T379:U379">
    <cfRule type="containsBlanks" dxfId="5362" priority="5607" stopIfTrue="1">
      <formula>LEN(TRIM(T379))=0</formula>
    </cfRule>
  </conditionalFormatting>
  <conditionalFormatting sqref="AC377:AD377">
    <cfRule type="expression" dxfId="5361" priority="5606">
      <formula>$G377=""</formula>
    </cfRule>
  </conditionalFormatting>
  <conditionalFormatting sqref="AE378">
    <cfRule type="containsBlanks" dxfId="5360" priority="5604">
      <formula>LEN(TRIM(AE378))=0</formula>
    </cfRule>
  </conditionalFormatting>
  <conditionalFormatting sqref="AE379 AF380">
    <cfRule type="containsBlanks" dxfId="5359" priority="5603" stopIfTrue="1">
      <formula>LEN(TRIM(AE379))=0</formula>
    </cfRule>
  </conditionalFormatting>
  <conditionalFormatting sqref="AE379">
    <cfRule type="expression" dxfId="5358" priority="5615">
      <formula>OR($HN378=FALSE,$HO378=FALSE)</formula>
    </cfRule>
  </conditionalFormatting>
  <conditionalFormatting sqref="G378:Q378 G377">
    <cfRule type="containsBlanks" dxfId="5357" priority="5601">
      <formula>LEN(TRIM(G377))=0</formula>
    </cfRule>
  </conditionalFormatting>
  <conditionalFormatting sqref="G378:L378">
    <cfRule type="expression" dxfId="5356" priority="5599" stopIfTrue="1">
      <formula>$G377=""</formula>
    </cfRule>
    <cfRule type="containsBlanks" dxfId="5355" priority="5600">
      <formula>LEN(TRIM(G378))=0</formula>
    </cfRule>
  </conditionalFormatting>
  <conditionalFormatting sqref="R379">
    <cfRule type="expression" dxfId="5354" priority="5597" stopIfTrue="1">
      <formula>$G377=""</formula>
    </cfRule>
    <cfRule type="containsBlanks" dxfId="5353" priority="5598">
      <formula>LEN(TRIM(R379))=0</formula>
    </cfRule>
  </conditionalFormatting>
  <conditionalFormatting sqref="P379:R379">
    <cfRule type="expression" dxfId="5352" priority="5596">
      <formula>$C$36=0</formula>
    </cfRule>
  </conditionalFormatting>
  <conditionalFormatting sqref="AF378">
    <cfRule type="containsBlanks" dxfId="5351" priority="5592">
      <formula>LEN(TRIM(AF378))=0</formula>
    </cfRule>
    <cfRule type="expression" dxfId="5350" priority="5593">
      <formula>$HJ378=FALSE</formula>
    </cfRule>
  </conditionalFormatting>
  <conditionalFormatting sqref="AF380">
    <cfRule type="expression" dxfId="5349" priority="5591">
      <formula>$C$36=2</formula>
    </cfRule>
  </conditionalFormatting>
  <conditionalFormatting sqref="R378">
    <cfRule type="containsBlanks" dxfId="5348" priority="5590">
      <formula>LEN(TRIM(R378))=0</formula>
    </cfRule>
  </conditionalFormatting>
  <conditionalFormatting sqref="AE378:AF378">
    <cfRule type="expression" dxfId="5347" priority="5589" stopIfTrue="1">
      <formula>$G377=""</formula>
    </cfRule>
  </conditionalFormatting>
  <conditionalFormatting sqref="AF380">
    <cfRule type="expression" dxfId="5346" priority="5588" stopIfTrue="1">
      <formula>$G377=""</formula>
    </cfRule>
  </conditionalFormatting>
  <conditionalFormatting sqref="AF377:AI377">
    <cfRule type="expression" dxfId="5345" priority="5587">
      <formula>$C$36&lt;&gt;0</formula>
    </cfRule>
  </conditionalFormatting>
  <conditionalFormatting sqref="R378">
    <cfRule type="containsBlanks" dxfId="5344" priority="5585">
      <formula>LEN(TRIM(R378))=0</formula>
    </cfRule>
  </conditionalFormatting>
  <conditionalFormatting sqref="U379">
    <cfRule type="expression" dxfId="5343" priority="5608">
      <formula>OR($HF378=FALSE,$HG378=FALSE)</formula>
    </cfRule>
  </conditionalFormatting>
  <conditionalFormatting sqref="R378">
    <cfRule type="expression" dxfId="5342" priority="5582" stopIfTrue="1">
      <formula>$G377=""</formula>
    </cfRule>
    <cfRule type="expression" dxfId="5341" priority="5583">
      <formula>$HT378=FALSE</formula>
    </cfRule>
  </conditionalFormatting>
  <conditionalFormatting sqref="G380">
    <cfRule type="expression" dxfId="5340" priority="5577" stopIfTrue="1">
      <formula>$G377=""</formula>
    </cfRule>
  </conditionalFormatting>
  <conditionalFormatting sqref="G380">
    <cfRule type="expression" dxfId="5339" priority="5571" stopIfTrue="1">
      <formula>$CN377="Exterior"</formula>
    </cfRule>
  </conditionalFormatting>
  <conditionalFormatting sqref="G380:L380">
    <cfRule type="containsBlanks" dxfId="5338" priority="5578" stopIfTrue="1">
      <formula>LEN(TRIM(G380))=0</formula>
    </cfRule>
    <cfRule type="expression" dxfId="5337" priority="5580">
      <formula>$HL378=FALSE</formula>
    </cfRule>
  </conditionalFormatting>
  <conditionalFormatting sqref="AF379">
    <cfRule type="expression" dxfId="5336" priority="5572" stopIfTrue="1">
      <formula>$G377=""</formula>
    </cfRule>
  </conditionalFormatting>
  <conditionalFormatting sqref="AF379:AI379">
    <cfRule type="expression" dxfId="5335" priority="5576">
      <formula>OR($HP378=FALSE,$HL378=FALSE)</formula>
    </cfRule>
  </conditionalFormatting>
  <conditionalFormatting sqref="AF379">
    <cfRule type="containsBlanks" dxfId="5334" priority="5573" stopIfTrue="1">
      <formula>LEN(TRIM(AF379))=0</formula>
    </cfRule>
    <cfRule type="expression" dxfId="5333" priority="5574">
      <formula>$DP377=7</formula>
    </cfRule>
    <cfRule type="expression" dxfId="5332" priority="5575">
      <formula>OR($HK378=FALSE,$HM378=FALSE)</formula>
    </cfRule>
  </conditionalFormatting>
  <conditionalFormatting sqref="G380:L380">
    <cfRule type="expression" dxfId="5331" priority="5579" stopIfTrue="1">
      <formula>$AF379=""</formula>
    </cfRule>
  </conditionalFormatting>
  <conditionalFormatting sqref="T378:U378">
    <cfRule type="expression" dxfId="5330" priority="5568" stopIfTrue="1">
      <formula>$C$36&lt;&gt;0</formula>
    </cfRule>
    <cfRule type="containsBlanks" dxfId="5329" priority="5569" stopIfTrue="1">
      <formula>LEN(TRIM(T378))=0</formula>
    </cfRule>
  </conditionalFormatting>
  <conditionalFormatting sqref="T378:U378">
    <cfRule type="expression" dxfId="5328" priority="5567" stopIfTrue="1">
      <formula>$G377=""</formula>
    </cfRule>
  </conditionalFormatting>
  <conditionalFormatting sqref="U378">
    <cfRule type="expression" dxfId="5327" priority="5570">
      <formula>$HE378=FALSE</formula>
    </cfRule>
  </conditionalFormatting>
  <conditionalFormatting sqref="T380">
    <cfRule type="expression" dxfId="5326" priority="5566">
      <formula>$C$36=2</formula>
    </cfRule>
  </conditionalFormatting>
  <conditionalFormatting sqref="AE384">
    <cfRule type="expression" dxfId="5325" priority="5552" stopIfTrue="1">
      <formula>$G382=""</formula>
    </cfRule>
  </conditionalFormatting>
  <conditionalFormatting sqref="AB385:AD385">
    <cfRule type="expression" dxfId="5324" priority="5564" stopIfTrue="1">
      <formula>$G382=""</formula>
    </cfRule>
  </conditionalFormatting>
  <conditionalFormatting sqref="G384">
    <cfRule type="expression" dxfId="5323" priority="5561" stopIfTrue="1">
      <formula>$G382=""</formula>
    </cfRule>
    <cfRule type="containsBlanks" dxfId="5322" priority="5562" stopIfTrue="1">
      <formula>LEN(TRIM(G384))=0</formula>
    </cfRule>
    <cfRule type="expression" dxfId="5321" priority="5563">
      <formula>OR($M384=0,$HC383=FALSE)</formula>
    </cfRule>
  </conditionalFormatting>
  <conditionalFormatting sqref="AB385">
    <cfRule type="expression" dxfId="5320" priority="5560" stopIfTrue="1">
      <formula>$AB385=""</formula>
    </cfRule>
  </conditionalFormatting>
  <conditionalFormatting sqref="AE383:AF383">
    <cfRule type="expression" dxfId="5319" priority="5559">
      <formula>$C$36=2</formula>
    </cfRule>
  </conditionalFormatting>
  <conditionalFormatting sqref="T384:U384">
    <cfRule type="expression" dxfId="5318" priority="5534" stopIfTrue="1">
      <formula>$G382=""</formula>
    </cfRule>
  </conditionalFormatting>
  <conditionalFormatting sqref="T384:U384">
    <cfRule type="containsBlanks" dxfId="5317" priority="5557" stopIfTrue="1">
      <formula>LEN(TRIM(T384))=0</formula>
    </cfRule>
  </conditionalFormatting>
  <conditionalFormatting sqref="AC382:AD382">
    <cfRule type="expression" dxfId="5316" priority="5556">
      <formula>$G382=""</formula>
    </cfRule>
  </conditionalFormatting>
  <conditionalFormatting sqref="AE383">
    <cfRule type="containsBlanks" dxfId="5315" priority="5554">
      <formula>LEN(TRIM(AE383))=0</formula>
    </cfRule>
  </conditionalFormatting>
  <conditionalFormatting sqref="AE384 AF385">
    <cfRule type="containsBlanks" dxfId="5314" priority="5553" stopIfTrue="1">
      <formula>LEN(TRIM(AE384))=0</formula>
    </cfRule>
  </conditionalFormatting>
  <conditionalFormatting sqref="AE384">
    <cfRule type="expression" dxfId="5313" priority="5565">
      <formula>OR($HN383=FALSE,$HO383=FALSE)</formula>
    </cfRule>
  </conditionalFormatting>
  <conditionalFormatting sqref="G383:Q383 G382">
    <cfRule type="containsBlanks" dxfId="5312" priority="5551">
      <formula>LEN(TRIM(G382))=0</formula>
    </cfRule>
  </conditionalFormatting>
  <conditionalFormatting sqref="G383:L383">
    <cfRule type="expression" dxfId="5311" priority="5549" stopIfTrue="1">
      <formula>$G382=""</formula>
    </cfRule>
    <cfRule type="containsBlanks" dxfId="5310" priority="5550">
      <formula>LEN(TRIM(G383))=0</formula>
    </cfRule>
  </conditionalFormatting>
  <conditionalFormatting sqref="R384">
    <cfRule type="expression" dxfId="5309" priority="5547" stopIfTrue="1">
      <formula>$G382=""</formula>
    </cfRule>
    <cfRule type="containsBlanks" dxfId="5308" priority="5548">
      <formula>LEN(TRIM(R384))=0</formula>
    </cfRule>
  </conditionalFormatting>
  <conditionalFormatting sqref="P384:R384">
    <cfRule type="expression" dxfId="5307" priority="5546">
      <formula>$C$36=0</formula>
    </cfRule>
  </conditionalFormatting>
  <conditionalFormatting sqref="AF383">
    <cfRule type="containsBlanks" dxfId="5306" priority="5542">
      <formula>LEN(TRIM(AF383))=0</formula>
    </cfRule>
    <cfRule type="expression" dxfId="5305" priority="5543">
      <formula>$HJ383=FALSE</formula>
    </cfRule>
  </conditionalFormatting>
  <conditionalFormatting sqref="AF385">
    <cfRule type="expression" dxfId="5304" priority="5541">
      <formula>$C$36=2</formula>
    </cfRule>
  </conditionalFormatting>
  <conditionalFormatting sqref="R383">
    <cfRule type="containsBlanks" dxfId="5303" priority="5540">
      <formula>LEN(TRIM(R383))=0</formula>
    </cfRule>
  </conditionalFormatting>
  <conditionalFormatting sqref="AE383:AF383">
    <cfRule type="expression" dxfId="5302" priority="5539" stopIfTrue="1">
      <formula>$G382=""</formula>
    </cfRule>
  </conditionalFormatting>
  <conditionalFormatting sqref="AF385">
    <cfRule type="expression" dxfId="5301" priority="5538" stopIfTrue="1">
      <formula>$G382=""</formula>
    </cfRule>
  </conditionalFormatting>
  <conditionalFormatting sqref="AF382:AI382">
    <cfRule type="expression" dxfId="5300" priority="5537">
      <formula>$C$36&lt;&gt;0</formula>
    </cfRule>
  </conditionalFormatting>
  <conditionalFormatting sqref="R383">
    <cfRule type="containsBlanks" dxfId="5299" priority="5535">
      <formula>LEN(TRIM(R383))=0</formula>
    </cfRule>
  </conditionalFormatting>
  <conditionalFormatting sqref="U384">
    <cfRule type="expression" dxfId="5298" priority="5558">
      <formula>OR($HF383=FALSE,$HG383=FALSE)</formula>
    </cfRule>
  </conditionalFormatting>
  <conditionalFormatting sqref="R383">
    <cfRule type="expression" dxfId="5297" priority="5532" stopIfTrue="1">
      <formula>$G382=""</formula>
    </cfRule>
    <cfRule type="expression" dxfId="5296" priority="5533">
      <formula>$HT383=FALSE</formula>
    </cfRule>
  </conditionalFormatting>
  <conditionalFormatting sqref="G385">
    <cfRule type="expression" dxfId="5295" priority="5527" stopIfTrue="1">
      <formula>$G382=""</formula>
    </cfRule>
  </conditionalFormatting>
  <conditionalFormatting sqref="G385">
    <cfRule type="expression" dxfId="5294" priority="5521" stopIfTrue="1">
      <formula>$CN382="Exterior"</formula>
    </cfRule>
  </conditionalFormatting>
  <conditionalFormatting sqref="G385:L385">
    <cfRule type="containsBlanks" dxfId="5293" priority="5528" stopIfTrue="1">
      <formula>LEN(TRIM(G385))=0</formula>
    </cfRule>
    <cfRule type="expression" dxfId="5292" priority="5530">
      <formula>$HL383=FALSE</formula>
    </cfRule>
  </conditionalFormatting>
  <conditionalFormatting sqref="AF384">
    <cfRule type="expression" dxfId="5291" priority="5522" stopIfTrue="1">
      <formula>$G382=""</formula>
    </cfRule>
  </conditionalFormatting>
  <conditionalFormatting sqref="AF384:AI384">
    <cfRule type="expression" dxfId="5290" priority="5526">
      <formula>OR($HP383=FALSE,$HL383=FALSE)</formula>
    </cfRule>
  </conditionalFormatting>
  <conditionalFormatting sqref="AF384">
    <cfRule type="containsBlanks" dxfId="5289" priority="5523" stopIfTrue="1">
      <formula>LEN(TRIM(AF384))=0</formula>
    </cfRule>
    <cfRule type="expression" dxfId="5288" priority="5524">
      <formula>$DP382=7</formula>
    </cfRule>
    <cfRule type="expression" dxfId="5287" priority="5525">
      <formula>OR($HK383=FALSE,$HM383=FALSE)</formula>
    </cfRule>
  </conditionalFormatting>
  <conditionalFormatting sqref="G385:L385">
    <cfRule type="expression" dxfId="5286" priority="5529" stopIfTrue="1">
      <formula>$AF384=""</formula>
    </cfRule>
  </conditionalFormatting>
  <conditionalFormatting sqref="T383:U383">
    <cfRule type="expression" dxfId="5285" priority="5518" stopIfTrue="1">
      <formula>$C$36&lt;&gt;0</formula>
    </cfRule>
    <cfRule type="containsBlanks" dxfId="5284" priority="5519" stopIfTrue="1">
      <formula>LEN(TRIM(T383))=0</formula>
    </cfRule>
  </conditionalFormatting>
  <conditionalFormatting sqref="T383:U383">
    <cfRule type="expression" dxfId="5283" priority="5517" stopIfTrue="1">
      <formula>$G382=""</formula>
    </cfRule>
  </conditionalFormatting>
  <conditionalFormatting sqref="U383">
    <cfRule type="expression" dxfId="5282" priority="5520">
      <formula>$HE383=FALSE</formula>
    </cfRule>
  </conditionalFormatting>
  <conditionalFormatting sqref="T385">
    <cfRule type="expression" dxfId="5281" priority="5516">
      <formula>$C$36=2</formula>
    </cfRule>
  </conditionalFormatting>
  <conditionalFormatting sqref="AE389">
    <cfRule type="expression" dxfId="5280" priority="5502" stopIfTrue="1">
      <formula>$G387=""</formula>
    </cfRule>
  </conditionalFormatting>
  <conditionalFormatting sqref="AB390:AD390">
    <cfRule type="expression" dxfId="5279" priority="5514" stopIfTrue="1">
      <formula>$G387=""</formula>
    </cfRule>
  </conditionalFormatting>
  <conditionalFormatting sqref="G389">
    <cfRule type="expression" dxfId="5278" priority="5511" stopIfTrue="1">
      <formula>$G387=""</formula>
    </cfRule>
    <cfRule type="containsBlanks" dxfId="5277" priority="5512" stopIfTrue="1">
      <formula>LEN(TRIM(G389))=0</formula>
    </cfRule>
    <cfRule type="expression" dxfId="5276" priority="5513">
      <formula>OR($M389=0,$HC388=FALSE)</formula>
    </cfRule>
  </conditionalFormatting>
  <conditionalFormatting sqref="AB390">
    <cfRule type="expression" dxfId="5275" priority="5510" stopIfTrue="1">
      <formula>$AB390=""</formula>
    </cfRule>
  </conditionalFormatting>
  <conditionalFormatting sqref="AE388:AF388">
    <cfRule type="expression" dxfId="5274" priority="5509">
      <formula>$C$36=2</formula>
    </cfRule>
  </conditionalFormatting>
  <conditionalFormatting sqref="T389:U389">
    <cfRule type="expression" dxfId="5273" priority="5484" stopIfTrue="1">
      <formula>$G387=""</formula>
    </cfRule>
  </conditionalFormatting>
  <conditionalFormatting sqref="T389:U389">
    <cfRule type="containsBlanks" dxfId="5272" priority="5507" stopIfTrue="1">
      <formula>LEN(TRIM(T389))=0</formula>
    </cfRule>
  </conditionalFormatting>
  <conditionalFormatting sqref="AC387:AD387">
    <cfRule type="expression" dxfId="5271" priority="5506">
      <formula>$G387=""</formula>
    </cfRule>
  </conditionalFormatting>
  <conditionalFormatting sqref="AE388">
    <cfRule type="containsBlanks" dxfId="5270" priority="5504">
      <formula>LEN(TRIM(AE388))=0</formula>
    </cfRule>
  </conditionalFormatting>
  <conditionalFormatting sqref="AE389 AF390">
    <cfRule type="containsBlanks" dxfId="5269" priority="5503" stopIfTrue="1">
      <formula>LEN(TRIM(AE389))=0</formula>
    </cfRule>
  </conditionalFormatting>
  <conditionalFormatting sqref="AE389">
    <cfRule type="expression" dxfId="5268" priority="5515">
      <formula>OR($HN388=FALSE,$HO388=FALSE)</formula>
    </cfRule>
  </conditionalFormatting>
  <conditionalFormatting sqref="G388:Q388 G387">
    <cfRule type="containsBlanks" dxfId="5267" priority="5501">
      <formula>LEN(TRIM(G387))=0</formula>
    </cfRule>
  </conditionalFormatting>
  <conditionalFormatting sqref="G388:L388">
    <cfRule type="expression" dxfId="5266" priority="5499" stopIfTrue="1">
      <formula>$G387=""</formula>
    </cfRule>
    <cfRule type="containsBlanks" dxfId="5265" priority="5500">
      <formula>LEN(TRIM(G388))=0</formula>
    </cfRule>
  </conditionalFormatting>
  <conditionalFormatting sqref="R389">
    <cfRule type="expression" dxfId="5264" priority="5497" stopIfTrue="1">
      <formula>$G387=""</formula>
    </cfRule>
    <cfRule type="containsBlanks" dxfId="5263" priority="5498">
      <formula>LEN(TRIM(R389))=0</formula>
    </cfRule>
  </conditionalFormatting>
  <conditionalFormatting sqref="P389:R389">
    <cfRule type="expression" dxfId="5262" priority="5496">
      <formula>$C$36=0</formula>
    </cfRule>
  </conditionalFormatting>
  <conditionalFormatting sqref="AF388">
    <cfRule type="containsBlanks" dxfId="5261" priority="5492">
      <formula>LEN(TRIM(AF388))=0</formula>
    </cfRule>
    <cfRule type="expression" dxfId="5260" priority="5493">
      <formula>$HJ388=FALSE</formula>
    </cfRule>
  </conditionalFormatting>
  <conditionalFormatting sqref="AF390">
    <cfRule type="expression" dxfId="5259" priority="5491">
      <formula>$C$36=2</formula>
    </cfRule>
  </conditionalFormatting>
  <conditionalFormatting sqref="R388">
    <cfRule type="containsBlanks" dxfId="5258" priority="5490">
      <formula>LEN(TRIM(R388))=0</formula>
    </cfRule>
  </conditionalFormatting>
  <conditionalFormatting sqref="AE388:AF388">
    <cfRule type="expression" dxfId="5257" priority="5489" stopIfTrue="1">
      <formula>$G387=""</formula>
    </cfRule>
  </conditionalFormatting>
  <conditionalFormatting sqref="AF390">
    <cfRule type="expression" dxfId="5256" priority="5488" stopIfTrue="1">
      <formula>$G387=""</formula>
    </cfRule>
  </conditionalFormatting>
  <conditionalFormatting sqref="AF387:AI387">
    <cfRule type="expression" dxfId="5255" priority="5487">
      <formula>$C$36&lt;&gt;0</formula>
    </cfRule>
  </conditionalFormatting>
  <conditionalFormatting sqref="R388">
    <cfRule type="containsBlanks" dxfId="5254" priority="5485">
      <formula>LEN(TRIM(R388))=0</formula>
    </cfRule>
  </conditionalFormatting>
  <conditionalFormatting sqref="U389">
    <cfRule type="expression" dxfId="5253" priority="5508">
      <formula>OR($HF388=FALSE,$HG388=FALSE)</formula>
    </cfRule>
  </conditionalFormatting>
  <conditionalFormatting sqref="R388">
    <cfRule type="expression" dxfId="5252" priority="5482" stopIfTrue="1">
      <formula>$G387=""</formula>
    </cfRule>
    <cfRule type="expression" dxfId="5251" priority="5483">
      <formula>$HT388=FALSE</formula>
    </cfRule>
  </conditionalFormatting>
  <conditionalFormatting sqref="G390">
    <cfRule type="expression" dxfId="5250" priority="5477" stopIfTrue="1">
      <formula>$G387=""</formula>
    </cfRule>
  </conditionalFormatting>
  <conditionalFormatting sqref="G390">
    <cfRule type="expression" dxfId="5249" priority="5471" stopIfTrue="1">
      <formula>$CN387="Exterior"</formula>
    </cfRule>
  </conditionalFormatting>
  <conditionalFormatting sqref="G390:L390">
    <cfRule type="containsBlanks" dxfId="5248" priority="5478" stopIfTrue="1">
      <formula>LEN(TRIM(G390))=0</formula>
    </cfRule>
    <cfRule type="expression" dxfId="5247" priority="5480">
      <formula>$HL388=FALSE</formula>
    </cfRule>
  </conditionalFormatting>
  <conditionalFormatting sqref="AF389">
    <cfRule type="expression" dxfId="5246" priority="5472" stopIfTrue="1">
      <formula>$G387=""</formula>
    </cfRule>
  </conditionalFormatting>
  <conditionalFormatting sqref="AF389:AI389">
    <cfRule type="expression" dxfId="5245" priority="5476">
      <formula>OR($HP388=FALSE,$HL388=FALSE)</formula>
    </cfRule>
  </conditionalFormatting>
  <conditionalFormatting sqref="AF389">
    <cfRule type="containsBlanks" dxfId="5244" priority="5473" stopIfTrue="1">
      <formula>LEN(TRIM(AF389))=0</formula>
    </cfRule>
    <cfRule type="expression" dxfId="5243" priority="5474">
      <formula>$DP387=7</formula>
    </cfRule>
    <cfRule type="expression" dxfId="5242" priority="5475">
      <formula>OR($HK388=FALSE,$HM388=FALSE)</formula>
    </cfRule>
  </conditionalFormatting>
  <conditionalFormatting sqref="G390:L390">
    <cfRule type="expression" dxfId="5241" priority="5479" stopIfTrue="1">
      <formula>$AF389=""</formula>
    </cfRule>
  </conditionalFormatting>
  <conditionalFormatting sqref="T388:U388">
    <cfRule type="expression" dxfId="5240" priority="5468" stopIfTrue="1">
      <formula>$C$36&lt;&gt;0</formula>
    </cfRule>
    <cfRule type="containsBlanks" dxfId="5239" priority="5469" stopIfTrue="1">
      <formula>LEN(TRIM(T388))=0</formula>
    </cfRule>
  </conditionalFormatting>
  <conditionalFormatting sqref="T388:U388">
    <cfRule type="expression" dxfId="5238" priority="5467" stopIfTrue="1">
      <formula>$G387=""</formula>
    </cfRule>
  </conditionalFormatting>
  <conditionalFormatting sqref="U388">
    <cfRule type="expression" dxfId="5237" priority="5470">
      <formula>$HE388=FALSE</formula>
    </cfRule>
  </conditionalFormatting>
  <conditionalFormatting sqref="T390">
    <cfRule type="expression" dxfId="5236" priority="5466">
      <formula>$C$36=2</formula>
    </cfRule>
  </conditionalFormatting>
  <conditionalFormatting sqref="AE394">
    <cfRule type="expression" dxfId="5235" priority="5452" stopIfTrue="1">
      <formula>$G392=""</formula>
    </cfRule>
  </conditionalFormatting>
  <conditionalFormatting sqref="AB395:AD395">
    <cfRule type="expression" dxfId="5234" priority="5464" stopIfTrue="1">
      <formula>$G392=""</formula>
    </cfRule>
  </conditionalFormatting>
  <conditionalFormatting sqref="G394">
    <cfRule type="expression" dxfId="5233" priority="5461" stopIfTrue="1">
      <formula>$G392=""</formula>
    </cfRule>
    <cfRule type="containsBlanks" dxfId="5232" priority="5462" stopIfTrue="1">
      <formula>LEN(TRIM(G394))=0</formula>
    </cfRule>
    <cfRule type="expression" dxfId="5231" priority="5463">
      <formula>OR($M394=0,$HC393=FALSE)</formula>
    </cfRule>
  </conditionalFormatting>
  <conditionalFormatting sqref="AB395">
    <cfRule type="expression" dxfId="5230" priority="5460" stopIfTrue="1">
      <formula>$AB395=""</formula>
    </cfRule>
  </conditionalFormatting>
  <conditionalFormatting sqref="AE393:AF393">
    <cfRule type="expression" dxfId="5229" priority="5459">
      <formula>$C$36=2</formula>
    </cfRule>
  </conditionalFormatting>
  <conditionalFormatting sqref="T394:U394">
    <cfRule type="expression" dxfId="5228" priority="5434" stopIfTrue="1">
      <formula>$G392=""</formula>
    </cfRule>
  </conditionalFormatting>
  <conditionalFormatting sqref="T394:U394">
    <cfRule type="containsBlanks" dxfId="5227" priority="5457" stopIfTrue="1">
      <formula>LEN(TRIM(T394))=0</formula>
    </cfRule>
  </conditionalFormatting>
  <conditionalFormatting sqref="AC392:AD392">
    <cfRule type="expression" dxfId="5226" priority="5456">
      <formula>$G392=""</formula>
    </cfRule>
  </conditionalFormatting>
  <conditionalFormatting sqref="AE393">
    <cfRule type="containsBlanks" dxfId="5225" priority="5454">
      <formula>LEN(TRIM(AE393))=0</formula>
    </cfRule>
  </conditionalFormatting>
  <conditionalFormatting sqref="AE394 AF395">
    <cfRule type="containsBlanks" dxfId="5224" priority="5453" stopIfTrue="1">
      <formula>LEN(TRIM(AE394))=0</formula>
    </cfRule>
  </conditionalFormatting>
  <conditionalFormatting sqref="AE394">
    <cfRule type="expression" dxfId="5223" priority="5465">
      <formula>OR($HN393=FALSE,$HO393=FALSE)</formula>
    </cfRule>
  </conditionalFormatting>
  <conditionalFormatting sqref="G393:Q393 G392">
    <cfRule type="containsBlanks" dxfId="5222" priority="5451">
      <formula>LEN(TRIM(G392))=0</formula>
    </cfRule>
  </conditionalFormatting>
  <conditionalFormatting sqref="G393:L393">
    <cfRule type="expression" dxfId="5221" priority="5449" stopIfTrue="1">
      <formula>$G392=""</formula>
    </cfRule>
    <cfRule type="containsBlanks" dxfId="5220" priority="5450">
      <formula>LEN(TRIM(G393))=0</formula>
    </cfRule>
  </conditionalFormatting>
  <conditionalFormatting sqref="R394">
    <cfRule type="expression" dxfId="5219" priority="5447" stopIfTrue="1">
      <formula>$G392=""</formula>
    </cfRule>
    <cfRule type="containsBlanks" dxfId="5218" priority="5448">
      <formula>LEN(TRIM(R394))=0</formula>
    </cfRule>
  </conditionalFormatting>
  <conditionalFormatting sqref="P394:R394">
    <cfRule type="expression" dxfId="5217" priority="5446">
      <formula>$C$36=0</formula>
    </cfRule>
  </conditionalFormatting>
  <conditionalFormatting sqref="AF393">
    <cfRule type="containsBlanks" dxfId="5216" priority="5442">
      <formula>LEN(TRIM(AF393))=0</formula>
    </cfRule>
    <cfRule type="expression" dxfId="5215" priority="5443">
      <formula>$HJ393=FALSE</formula>
    </cfRule>
  </conditionalFormatting>
  <conditionalFormatting sqref="AF395">
    <cfRule type="expression" dxfId="5214" priority="5441">
      <formula>$C$36=2</formula>
    </cfRule>
  </conditionalFormatting>
  <conditionalFormatting sqref="R393">
    <cfRule type="containsBlanks" dxfId="5213" priority="5440">
      <formula>LEN(TRIM(R393))=0</formula>
    </cfRule>
  </conditionalFormatting>
  <conditionalFormatting sqref="AE393:AF393">
    <cfRule type="expression" dxfId="5212" priority="5439" stopIfTrue="1">
      <formula>$G392=""</formula>
    </cfRule>
  </conditionalFormatting>
  <conditionalFormatting sqref="AF395">
    <cfRule type="expression" dxfId="5211" priority="5438" stopIfTrue="1">
      <formula>$G392=""</formula>
    </cfRule>
  </conditionalFormatting>
  <conditionalFormatting sqref="AF392:AI392">
    <cfRule type="expression" dxfId="5210" priority="5437">
      <formula>$C$36&lt;&gt;0</formula>
    </cfRule>
  </conditionalFormatting>
  <conditionalFormatting sqref="R393">
    <cfRule type="containsBlanks" dxfId="5209" priority="5435">
      <formula>LEN(TRIM(R393))=0</formula>
    </cfRule>
  </conditionalFormatting>
  <conditionalFormatting sqref="U394">
    <cfRule type="expression" dxfId="5208" priority="5458">
      <formula>OR($HF393=FALSE,$HG393=FALSE)</formula>
    </cfRule>
  </conditionalFormatting>
  <conditionalFormatting sqref="R393">
    <cfRule type="expression" dxfId="5207" priority="5432" stopIfTrue="1">
      <formula>$G392=""</formula>
    </cfRule>
    <cfRule type="expression" dxfId="5206" priority="5433">
      <formula>$HT393=FALSE</formula>
    </cfRule>
  </conditionalFormatting>
  <conditionalFormatting sqref="G395">
    <cfRule type="expression" dxfId="5205" priority="5427" stopIfTrue="1">
      <formula>$G392=""</formula>
    </cfRule>
  </conditionalFormatting>
  <conditionalFormatting sqref="G395">
    <cfRule type="expression" dxfId="5204" priority="5421" stopIfTrue="1">
      <formula>$CN392="Exterior"</formula>
    </cfRule>
  </conditionalFormatting>
  <conditionalFormatting sqref="G395:L395">
    <cfRule type="containsBlanks" dxfId="5203" priority="5428" stopIfTrue="1">
      <formula>LEN(TRIM(G395))=0</formula>
    </cfRule>
    <cfRule type="expression" dxfId="5202" priority="5430">
      <formula>$HL393=FALSE</formula>
    </cfRule>
  </conditionalFormatting>
  <conditionalFormatting sqref="AF394">
    <cfRule type="expression" dxfId="5201" priority="5422" stopIfTrue="1">
      <formula>$G392=""</formula>
    </cfRule>
  </conditionalFormatting>
  <conditionalFormatting sqref="AF394:AI394">
    <cfRule type="expression" dxfId="5200" priority="5426">
      <formula>OR($HP393=FALSE,$HL393=FALSE)</formula>
    </cfRule>
  </conditionalFormatting>
  <conditionalFormatting sqref="AF394">
    <cfRule type="containsBlanks" dxfId="5199" priority="5423" stopIfTrue="1">
      <formula>LEN(TRIM(AF394))=0</formula>
    </cfRule>
    <cfRule type="expression" dxfId="5198" priority="5424">
      <formula>$DP392=7</formula>
    </cfRule>
    <cfRule type="expression" dxfId="5197" priority="5425">
      <formula>OR($HK393=FALSE,$HM393=FALSE)</formula>
    </cfRule>
  </conditionalFormatting>
  <conditionalFormatting sqref="G395:L395">
    <cfRule type="expression" dxfId="5196" priority="5429" stopIfTrue="1">
      <formula>$AF394=""</formula>
    </cfRule>
  </conditionalFormatting>
  <conditionalFormatting sqref="T393:U393">
    <cfRule type="expression" dxfId="5195" priority="5418" stopIfTrue="1">
      <formula>$C$36&lt;&gt;0</formula>
    </cfRule>
    <cfRule type="containsBlanks" dxfId="5194" priority="5419" stopIfTrue="1">
      <formula>LEN(TRIM(T393))=0</formula>
    </cfRule>
  </conditionalFormatting>
  <conditionalFormatting sqref="T393:U393">
    <cfRule type="expression" dxfId="5193" priority="5417" stopIfTrue="1">
      <formula>$G392=""</formula>
    </cfRule>
  </conditionalFormatting>
  <conditionalFormatting sqref="U393">
    <cfRule type="expression" dxfId="5192" priority="5420">
      <formula>$HE393=FALSE</formula>
    </cfRule>
  </conditionalFormatting>
  <conditionalFormatting sqref="T395">
    <cfRule type="expression" dxfId="5191" priority="5416">
      <formula>$C$36=2</formula>
    </cfRule>
  </conditionalFormatting>
  <conditionalFormatting sqref="AE399">
    <cfRule type="expression" dxfId="5190" priority="5402" stopIfTrue="1">
      <formula>$G397=""</formula>
    </cfRule>
  </conditionalFormatting>
  <conditionalFormatting sqref="AB400:AD400">
    <cfRule type="expression" dxfId="5189" priority="5414" stopIfTrue="1">
      <formula>$G397=""</formula>
    </cfRule>
  </conditionalFormatting>
  <conditionalFormatting sqref="G399">
    <cfRule type="expression" dxfId="5188" priority="5411" stopIfTrue="1">
      <formula>$G397=""</formula>
    </cfRule>
    <cfRule type="containsBlanks" dxfId="5187" priority="5412" stopIfTrue="1">
      <formula>LEN(TRIM(G399))=0</formula>
    </cfRule>
    <cfRule type="expression" dxfId="5186" priority="5413">
      <formula>OR($M399=0,$HC398=FALSE)</formula>
    </cfRule>
  </conditionalFormatting>
  <conditionalFormatting sqref="AB400">
    <cfRule type="expression" dxfId="5185" priority="5410" stopIfTrue="1">
      <formula>$AB400=""</formula>
    </cfRule>
  </conditionalFormatting>
  <conditionalFormatting sqref="AE398:AF398">
    <cfRule type="expression" dxfId="5184" priority="5409">
      <formula>$C$36=2</formula>
    </cfRule>
  </conditionalFormatting>
  <conditionalFormatting sqref="T399:U399">
    <cfRule type="expression" dxfId="5183" priority="5384" stopIfTrue="1">
      <formula>$G397=""</formula>
    </cfRule>
  </conditionalFormatting>
  <conditionalFormatting sqref="T399:U399">
    <cfRule type="containsBlanks" dxfId="5182" priority="5407" stopIfTrue="1">
      <formula>LEN(TRIM(T399))=0</formula>
    </cfRule>
  </conditionalFormatting>
  <conditionalFormatting sqref="AC397:AD397">
    <cfRule type="expression" dxfId="5181" priority="5406">
      <formula>$G397=""</formula>
    </cfRule>
  </conditionalFormatting>
  <conditionalFormatting sqref="AE398">
    <cfRule type="containsBlanks" dxfId="5180" priority="5404">
      <formula>LEN(TRIM(AE398))=0</formula>
    </cfRule>
  </conditionalFormatting>
  <conditionalFormatting sqref="AE399 AF400">
    <cfRule type="containsBlanks" dxfId="5179" priority="5403" stopIfTrue="1">
      <formula>LEN(TRIM(AE399))=0</formula>
    </cfRule>
  </conditionalFormatting>
  <conditionalFormatting sqref="AE399">
    <cfRule type="expression" dxfId="5178" priority="5415">
      <formula>OR($HN398=FALSE,$HO398=FALSE)</formula>
    </cfRule>
  </conditionalFormatting>
  <conditionalFormatting sqref="G398:Q398 G397">
    <cfRule type="containsBlanks" dxfId="5177" priority="5401">
      <formula>LEN(TRIM(G397))=0</formula>
    </cfRule>
  </conditionalFormatting>
  <conditionalFormatting sqref="G398:L398">
    <cfRule type="expression" dxfId="5176" priority="5399" stopIfTrue="1">
      <formula>$G397=""</formula>
    </cfRule>
    <cfRule type="containsBlanks" dxfId="5175" priority="5400">
      <formula>LEN(TRIM(G398))=0</formula>
    </cfRule>
  </conditionalFormatting>
  <conditionalFormatting sqref="R399">
    <cfRule type="expression" dxfId="5174" priority="5397" stopIfTrue="1">
      <formula>$G397=""</formula>
    </cfRule>
    <cfRule type="containsBlanks" dxfId="5173" priority="5398">
      <formula>LEN(TRIM(R399))=0</formula>
    </cfRule>
  </conditionalFormatting>
  <conditionalFormatting sqref="P399:R399">
    <cfRule type="expression" dxfId="5172" priority="5396">
      <formula>$C$36=0</formula>
    </cfRule>
  </conditionalFormatting>
  <conditionalFormatting sqref="AF398">
    <cfRule type="containsBlanks" dxfId="5171" priority="5392">
      <formula>LEN(TRIM(AF398))=0</formula>
    </cfRule>
    <cfRule type="expression" dxfId="5170" priority="5393">
      <formula>$HJ398=FALSE</formula>
    </cfRule>
  </conditionalFormatting>
  <conditionalFormatting sqref="AF400">
    <cfRule type="expression" dxfId="5169" priority="5391">
      <formula>$C$36=2</formula>
    </cfRule>
  </conditionalFormatting>
  <conditionalFormatting sqref="R398">
    <cfRule type="containsBlanks" dxfId="5168" priority="5390">
      <formula>LEN(TRIM(R398))=0</formula>
    </cfRule>
  </conditionalFormatting>
  <conditionalFormatting sqref="AE398:AF398">
    <cfRule type="expression" dxfId="5167" priority="5389" stopIfTrue="1">
      <formula>$G397=""</formula>
    </cfRule>
  </conditionalFormatting>
  <conditionalFormatting sqref="AF400">
    <cfRule type="expression" dxfId="5166" priority="5388" stopIfTrue="1">
      <formula>$G397=""</formula>
    </cfRule>
  </conditionalFormatting>
  <conditionalFormatting sqref="AF397:AI397">
    <cfRule type="expression" dxfId="5165" priority="5387">
      <formula>$C$36&lt;&gt;0</formula>
    </cfRule>
  </conditionalFormatting>
  <conditionalFormatting sqref="R398">
    <cfRule type="containsBlanks" dxfId="5164" priority="5385">
      <formula>LEN(TRIM(R398))=0</formula>
    </cfRule>
  </conditionalFormatting>
  <conditionalFormatting sqref="U399">
    <cfRule type="expression" dxfId="5163" priority="5408">
      <formula>OR($HF398=FALSE,$HG398=FALSE)</formula>
    </cfRule>
  </conditionalFormatting>
  <conditionalFormatting sqref="R398">
    <cfRule type="expression" dxfId="5162" priority="5382" stopIfTrue="1">
      <formula>$G397=""</formula>
    </cfRule>
    <cfRule type="expression" dxfId="5161" priority="5383">
      <formula>$HT398=FALSE</formula>
    </cfRule>
  </conditionalFormatting>
  <conditionalFormatting sqref="G400">
    <cfRule type="expression" dxfId="5160" priority="5377" stopIfTrue="1">
      <formula>$G397=""</formula>
    </cfRule>
  </conditionalFormatting>
  <conditionalFormatting sqref="G400">
    <cfRule type="expression" dxfId="5159" priority="5371" stopIfTrue="1">
      <formula>$CN397="Exterior"</formula>
    </cfRule>
  </conditionalFormatting>
  <conditionalFormatting sqref="G400:L400">
    <cfRule type="containsBlanks" dxfId="5158" priority="5378" stopIfTrue="1">
      <formula>LEN(TRIM(G400))=0</formula>
    </cfRule>
    <cfRule type="expression" dxfId="5157" priority="5380">
      <formula>$HL398=FALSE</formula>
    </cfRule>
  </conditionalFormatting>
  <conditionalFormatting sqref="AF399">
    <cfRule type="expression" dxfId="5156" priority="5372" stopIfTrue="1">
      <formula>$G397=""</formula>
    </cfRule>
  </conditionalFormatting>
  <conditionalFormatting sqref="AF399:AI399">
    <cfRule type="expression" dxfId="5155" priority="5376">
      <formula>OR($HP398=FALSE,$HL398=FALSE)</formula>
    </cfRule>
  </conditionalFormatting>
  <conditionalFormatting sqref="AF399">
    <cfRule type="containsBlanks" dxfId="5154" priority="5373" stopIfTrue="1">
      <formula>LEN(TRIM(AF399))=0</formula>
    </cfRule>
    <cfRule type="expression" dxfId="5153" priority="5374">
      <formula>$DP397=7</formula>
    </cfRule>
    <cfRule type="expression" dxfId="5152" priority="5375">
      <formula>OR($HK398=FALSE,$HM398=FALSE)</formula>
    </cfRule>
  </conditionalFormatting>
  <conditionalFormatting sqref="G400:L400">
    <cfRule type="expression" dxfId="5151" priority="5379" stopIfTrue="1">
      <formula>$AF399=""</formula>
    </cfRule>
  </conditionalFormatting>
  <conditionalFormatting sqref="T398:U398">
    <cfRule type="expression" dxfId="5150" priority="5368" stopIfTrue="1">
      <formula>$C$36&lt;&gt;0</formula>
    </cfRule>
    <cfRule type="containsBlanks" dxfId="5149" priority="5369" stopIfTrue="1">
      <formula>LEN(TRIM(T398))=0</formula>
    </cfRule>
  </conditionalFormatting>
  <conditionalFormatting sqref="T398:U398">
    <cfRule type="expression" dxfId="5148" priority="5367" stopIfTrue="1">
      <formula>$G397=""</formula>
    </cfRule>
  </conditionalFormatting>
  <conditionalFormatting sqref="U398">
    <cfRule type="expression" dxfId="5147" priority="5370">
      <formula>$HE398=FALSE</formula>
    </cfRule>
  </conditionalFormatting>
  <conditionalFormatting sqref="T400">
    <cfRule type="expression" dxfId="5146" priority="5366">
      <formula>$C$36=2</formula>
    </cfRule>
  </conditionalFormatting>
  <conditionalFormatting sqref="AJ407:AL407">
    <cfRule type="expression" dxfId="5145" priority="5365" stopIfTrue="1">
      <formula>$G405=""</formula>
    </cfRule>
  </conditionalFormatting>
  <conditionalFormatting sqref="AR405:AR408">
    <cfRule type="expression" dxfId="5144" priority="5362" stopIfTrue="1">
      <formula>$C$36=2</formula>
    </cfRule>
    <cfRule type="cellIs" dxfId="5143" priority="5363" operator="equal">
      <formula>"Yes"</formula>
    </cfRule>
    <cfRule type="cellIs" dxfId="5142" priority="5364" operator="equal">
      <formula>"No"</formula>
    </cfRule>
  </conditionalFormatting>
  <conditionalFormatting sqref="AJ405:AL406">
    <cfRule type="expression" dxfId="5141" priority="5361">
      <formula>$G405=""</formula>
    </cfRule>
  </conditionalFormatting>
  <conditionalFormatting sqref="AM405 AO405:AP408">
    <cfRule type="expression" dxfId="5140" priority="5360">
      <formula>$G405=""</formula>
    </cfRule>
  </conditionalFormatting>
  <conditionalFormatting sqref="AT405:AT408">
    <cfRule type="expression" dxfId="5139" priority="5359">
      <formula>$G405=""</formula>
    </cfRule>
  </conditionalFormatting>
  <conditionalFormatting sqref="E408:F408">
    <cfRule type="expression" dxfId="5138" priority="5358">
      <formula>$CN405="Exterior"</formula>
    </cfRule>
  </conditionalFormatting>
  <conditionalFormatting sqref="AJ412:AL412">
    <cfRule type="expression" dxfId="5137" priority="5357" stopIfTrue="1">
      <formula>$G410=""</formula>
    </cfRule>
  </conditionalFormatting>
  <conditionalFormatting sqref="AR410:AR413">
    <cfRule type="expression" dxfId="5136" priority="5354" stopIfTrue="1">
      <formula>$C$36=2</formula>
    </cfRule>
    <cfRule type="cellIs" dxfId="5135" priority="5355" operator="equal">
      <formula>"Yes"</formula>
    </cfRule>
    <cfRule type="cellIs" dxfId="5134" priority="5356" operator="equal">
      <formula>"No"</formula>
    </cfRule>
  </conditionalFormatting>
  <conditionalFormatting sqref="AJ410:AL411">
    <cfRule type="expression" dxfId="5133" priority="5353">
      <formula>$G410=""</formula>
    </cfRule>
  </conditionalFormatting>
  <conditionalFormatting sqref="AM410 AO410:AP413">
    <cfRule type="expression" dxfId="5132" priority="5352">
      <formula>$G410=""</formula>
    </cfRule>
  </conditionalFormatting>
  <conditionalFormatting sqref="AT410:AT413">
    <cfRule type="expression" dxfId="5131" priority="5351">
      <formula>$G410=""</formula>
    </cfRule>
  </conditionalFormatting>
  <conditionalFormatting sqref="E413:F413">
    <cfRule type="expression" dxfId="5130" priority="5350">
      <formula>$CN410="Exterior"</formula>
    </cfRule>
  </conditionalFormatting>
  <conditionalFormatting sqref="AJ417:AL417">
    <cfRule type="expression" dxfId="5129" priority="5349" stopIfTrue="1">
      <formula>$G415=""</formula>
    </cfRule>
  </conditionalFormatting>
  <conditionalFormatting sqref="AR415:AR418">
    <cfRule type="expression" dxfId="5128" priority="5346" stopIfTrue="1">
      <formula>$C$36=2</formula>
    </cfRule>
    <cfRule type="cellIs" dxfId="5127" priority="5347" operator="equal">
      <formula>"Yes"</formula>
    </cfRule>
    <cfRule type="cellIs" dxfId="5126" priority="5348" operator="equal">
      <formula>"No"</formula>
    </cfRule>
  </conditionalFormatting>
  <conditionalFormatting sqref="AJ415:AL416">
    <cfRule type="expression" dxfId="5125" priority="5345">
      <formula>$G415=""</formula>
    </cfRule>
  </conditionalFormatting>
  <conditionalFormatting sqref="AM415 AO415:AP418">
    <cfRule type="expression" dxfId="5124" priority="5344">
      <formula>$G415=""</formula>
    </cfRule>
  </conditionalFormatting>
  <conditionalFormatting sqref="AT415:AT418">
    <cfRule type="expression" dxfId="5123" priority="5343">
      <formula>$G415=""</formula>
    </cfRule>
  </conditionalFormatting>
  <conditionalFormatting sqref="E418:F418">
    <cfRule type="expression" dxfId="5122" priority="5342">
      <formula>$CN415="Exterior"</formula>
    </cfRule>
  </conditionalFormatting>
  <conditionalFormatting sqref="AJ422:AL422">
    <cfRule type="expression" dxfId="5121" priority="5341" stopIfTrue="1">
      <formula>$G420=""</formula>
    </cfRule>
  </conditionalFormatting>
  <conditionalFormatting sqref="AR420:AR423">
    <cfRule type="expression" dxfId="5120" priority="5338" stopIfTrue="1">
      <formula>$C$36=2</formula>
    </cfRule>
    <cfRule type="cellIs" dxfId="5119" priority="5339" operator="equal">
      <formula>"Yes"</formula>
    </cfRule>
    <cfRule type="cellIs" dxfId="5118" priority="5340" operator="equal">
      <formula>"No"</formula>
    </cfRule>
  </conditionalFormatting>
  <conditionalFormatting sqref="AJ420:AL421">
    <cfRule type="expression" dxfId="5117" priority="5337">
      <formula>$G420=""</formula>
    </cfRule>
  </conditionalFormatting>
  <conditionalFormatting sqref="AM420 AO420:AP423">
    <cfRule type="expression" dxfId="5116" priority="5336">
      <formula>$G420=""</formula>
    </cfRule>
  </conditionalFormatting>
  <conditionalFormatting sqref="AT420:AT423">
    <cfRule type="expression" dxfId="5115" priority="5335">
      <formula>$G420=""</formula>
    </cfRule>
  </conditionalFormatting>
  <conditionalFormatting sqref="E423:F423">
    <cfRule type="expression" dxfId="5114" priority="5334">
      <formula>$CN420="Exterior"</formula>
    </cfRule>
  </conditionalFormatting>
  <conditionalFormatting sqref="AJ427:AL427">
    <cfRule type="expression" dxfId="5113" priority="5333" stopIfTrue="1">
      <formula>$G425=""</formula>
    </cfRule>
  </conditionalFormatting>
  <conditionalFormatting sqref="AR425:AR428">
    <cfRule type="expression" dxfId="5112" priority="5330" stopIfTrue="1">
      <formula>$C$36=2</formula>
    </cfRule>
    <cfRule type="cellIs" dxfId="5111" priority="5331" operator="equal">
      <formula>"Yes"</formula>
    </cfRule>
    <cfRule type="cellIs" dxfId="5110" priority="5332" operator="equal">
      <formula>"No"</formula>
    </cfRule>
  </conditionalFormatting>
  <conditionalFormatting sqref="AJ425:AL426">
    <cfRule type="expression" dxfId="5109" priority="5329">
      <formula>$G425=""</formula>
    </cfRule>
  </conditionalFormatting>
  <conditionalFormatting sqref="AM425 AO425:AP428">
    <cfRule type="expression" dxfId="5108" priority="5328">
      <formula>$G425=""</formula>
    </cfRule>
  </conditionalFormatting>
  <conditionalFormatting sqref="AT425:AT428">
    <cfRule type="expression" dxfId="5107" priority="5327">
      <formula>$G425=""</formula>
    </cfRule>
  </conditionalFormatting>
  <conditionalFormatting sqref="E428:F428">
    <cfRule type="expression" dxfId="5106" priority="5326">
      <formula>$CN425="Exterior"</formula>
    </cfRule>
  </conditionalFormatting>
  <conditionalFormatting sqref="AJ432:AL432">
    <cfRule type="expression" dxfId="5105" priority="5325" stopIfTrue="1">
      <formula>$G430=""</formula>
    </cfRule>
  </conditionalFormatting>
  <conditionalFormatting sqref="AR430:AR433">
    <cfRule type="expression" dxfId="5104" priority="5322" stopIfTrue="1">
      <formula>$C$36=2</formula>
    </cfRule>
    <cfRule type="cellIs" dxfId="5103" priority="5323" operator="equal">
      <formula>"Yes"</formula>
    </cfRule>
    <cfRule type="cellIs" dxfId="5102" priority="5324" operator="equal">
      <formula>"No"</formula>
    </cfRule>
  </conditionalFormatting>
  <conditionalFormatting sqref="AJ430:AL431">
    <cfRule type="expression" dxfId="5101" priority="5321">
      <formula>$G430=""</formula>
    </cfRule>
  </conditionalFormatting>
  <conditionalFormatting sqref="AM430 AO430:AP433">
    <cfRule type="expression" dxfId="5100" priority="5320">
      <formula>$G430=""</formula>
    </cfRule>
  </conditionalFormatting>
  <conditionalFormatting sqref="AT430:AT433">
    <cfRule type="expression" dxfId="5099" priority="5319">
      <formula>$G430=""</formula>
    </cfRule>
  </conditionalFormatting>
  <conditionalFormatting sqref="E433:F433">
    <cfRule type="expression" dxfId="5098" priority="5318">
      <formula>$CN430="Exterior"</formula>
    </cfRule>
  </conditionalFormatting>
  <conditionalFormatting sqref="AJ437:AL437">
    <cfRule type="expression" dxfId="5097" priority="5317" stopIfTrue="1">
      <formula>$G435=""</formula>
    </cfRule>
  </conditionalFormatting>
  <conditionalFormatting sqref="AR435:AR438">
    <cfRule type="expression" dxfId="5096" priority="5314" stopIfTrue="1">
      <formula>$C$36=2</formula>
    </cfRule>
    <cfRule type="cellIs" dxfId="5095" priority="5315" operator="equal">
      <formula>"Yes"</formula>
    </cfRule>
    <cfRule type="cellIs" dxfId="5094" priority="5316" operator="equal">
      <formula>"No"</formula>
    </cfRule>
  </conditionalFormatting>
  <conditionalFormatting sqref="AJ435:AL436">
    <cfRule type="expression" dxfId="5093" priority="5313">
      <formula>$G435=""</formula>
    </cfRule>
  </conditionalFormatting>
  <conditionalFormatting sqref="AM435 AO435:AP438">
    <cfRule type="expression" dxfId="5092" priority="5312">
      <formula>$G435=""</formula>
    </cfRule>
  </conditionalFormatting>
  <conditionalFormatting sqref="AT435:AT438">
    <cfRule type="expression" dxfId="5091" priority="5311">
      <formula>$G435=""</formula>
    </cfRule>
  </conditionalFormatting>
  <conditionalFormatting sqref="E438:F438">
    <cfRule type="expression" dxfId="5090" priority="5310">
      <formula>$CN435="Exterior"</formula>
    </cfRule>
  </conditionalFormatting>
  <conditionalFormatting sqref="AJ442:AL442">
    <cfRule type="expression" dxfId="5089" priority="5309" stopIfTrue="1">
      <formula>$G440=""</formula>
    </cfRule>
  </conditionalFormatting>
  <conditionalFormatting sqref="AR440:AR443">
    <cfRule type="expression" dxfId="5088" priority="5306" stopIfTrue="1">
      <formula>$C$36=2</formula>
    </cfRule>
    <cfRule type="cellIs" dxfId="5087" priority="5307" operator="equal">
      <formula>"Yes"</formula>
    </cfRule>
    <cfRule type="cellIs" dxfId="5086" priority="5308" operator="equal">
      <formula>"No"</formula>
    </cfRule>
  </conditionalFormatting>
  <conditionalFormatting sqref="AJ440:AL441">
    <cfRule type="expression" dxfId="5085" priority="5305">
      <formula>$G440=""</formula>
    </cfRule>
  </conditionalFormatting>
  <conditionalFormatting sqref="AM440 AO440:AP443">
    <cfRule type="expression" dxfId="5084" priority="5304">
      <formula>$G440=""</formula>
    </cfRule>
  </conditionalFormatting>
  <conditionalFormatting sqref="AT440:AT443">
    <cfRule type="expression" dxfId="5083" priority="5303">
      <formula>$G440=""</formula>
    </cfRule>
  </conditionalFormatting>
  <conditionalFormatting sqref="E443:F443">
    <cfRule type="expression" dxfId="5082" priority="5302">
      <formula>$CN440="Exterior"</formula>
    </cfRule>
  </conditionalFormatting>
  <conditionalFormatting sqref="AJ447:AL447">
    <cfRule type="expression" dxfId="5081" priority="5301" stopIfTrue="1">
      <formula>$G445=""</formula>
    </cfRule>
  </conditionalFormatting>
  <conditionalFormatting sqref="AR445:AR448">
    <cfRule type="expression" dxfId="5080" priority="5298" stopIfTrue="1">
      <formula>$C$36=2</formula>
    </cfRule>
    <cfRule type="cellIs" dxfId="5079" priority="5299" operator="equal">
      <formula>"Yes"</formula>
    </cfRule>
    <cfRule type="cellIs" dxfId="5078" priority="5300" operator="equal">
      <formula>"No"</formula>
    </cfRule>
  </conditionalFormatting>
  <conditionalFormatting sqref="AJ445:AL446">
    <cfRule type="expression" dxfId="5077" priority="5297">
      <formula>$G445=""</formula>
    </cfRule>
  </conditionalFormatting>
  <conditionalFormatting sqref="AM445 AO445:AP448">
    <cfRule type="expression" dxfId="5076" priority="5296">
      <formula>$G445=""</formula>
    </cfRule>
  </conditionalFormatting>
  <conditionalFormatting sqref="AT445:AT448">
    <cfRule type="expression" dxfId="5075" priority="5295">
      <formula>$G445=""</formula>
    </cfRule>
  </conditionalFormatting>
  <conditionalFormatting sqref="E448:F448">
    <cfRule type="expression" dxfId="5074" priority="5294">
      <formula>$CN445="Exterior"</formula>
    </cfRule>
  </conditionalFormatting>
  <conditionalFormatting sqref="AJ452:AL452">
    <cfRule type="expression" dxfId="5073" priority="5293" stopIfTrue="1">
      <formula>$G450=""</formula>
    </cfRule>
  </conditionalFormatting>
  <conditionalFormatting sqref="AR450:AR453">
    <cfRule type="expression" dxfId="5072" priority="5290" stopIfTrue="1">
      <formula>$C$36=2</formula>
    </cfRule>
    <cfRule type="cellIs" dxfId="5071" priority="5291" operator="equal">
      <formula>"Yes"</formula>
    </cfRule>
    <cfRule type="cellIs" dxfId="5070" priority="5292" operator="equal">
      <formula>"No"</formula>
    </cfRule>
  </conditionalFormatting>
  <conditionalFormatting sqref="AJ450:AL451">
    <cfRule type="expression" dxfId="5069" priority="5289">
      <formula>$G450=""</formula>
    </cfRule>
  </conditionalFormatting>
  <conditionalFormatting sqref="AM450 AO450:AP453">
    <cfRule type="expression" dxfId="5068" priority="5288">
      <formula>$G450=""</formula>
    </cfRule>
  </conditionalFormatting>
  <conditionalFormatting sqref="AT450:AT453">
    <cfRule type="expression" dxfId="5067" priority="5287">
      <formula>$G450=""</formula>
    </cfRule>
  </conditionalFormatting>
  <conditionalFormatting sqref="E453:F453">
    <cfRule type="expression" dxfId="5066" priority="5286">
      <formula>$CN450="Exterior"</formula>
    </cfRule>
  </conditionalFormatting>
  <conditionalFormatting sqref="AJ457:AL457">
    <cfRule type="expression" dxfId="5065" priority="5285" stopIfTrue="1">
      <formula>$G455=""</formula>
    </cfRule>
  </conditionalFormatting>
  <conditionalFormatting sqref="AR455:AR458">
    <cfRule type="expression" dxfId="5064" priority="5282" stopIfTrue="1">
      <formula>$C$36=2</formula>
    </cfRule>
    <cfRule type="cellIs" dxfId="5063" priority="5283" operator="equal">
      <formula>"Yes"</formula>
    </cfRule>
    <cfRule type="cellIs" dxfId="5062" priority="5284" operator="equal">
      <formula>"No"</formula>
    </cfRule>
  </conditionalFormatting>
  <conditionalFormatting sqref="AJ455:AL456">
    <cfRule type="expression" dxfId="5061" priority="5281">
      <formula>$G455=""</formula>
    </cfRule>
  </conditionalFormatting>
  <conditionalFormatting sqref="AM455 AO455:AP458">
    <cfRule type="expression" dxfId="5060" priority="5280">
      <formula>$G455=""</formula>
    </cfRule>
  </conditionalFormatting>
  <conditionalFormatting sqref="AT455:AT458">
    <cfRule type="expression" dxfId="5059" priority="5279">
      <formula>$G455=""</formula>
    </cfRule>
  </conditionalFormatting>
  <conditionalFormatting sqref="E458:F458">
    <cfRule type="expression" dxfId="5058" priority="5278">
      <formula>$CN455="Exterior"</formula>
    </cfRule>
  </conditionalFormatting>
  <conditionalFormatting sqref="AJ462:AL462">
    <cfRule type="expression" dxfId="5057" priority="5277" stopIfTrue="1">
      <formula>$G460=""</formula>
    </cfRule>
  </conditionalFormatting>
  <conditionalFormatting sqref="AR460:AR463">
    <cfRule type="expression" dxfId="5056" priority="5274" stopIfTrue="1">
      <formula>$C$36=2</formula>
    </cfRule>
    <cfRule type="cellIs" dxfId="5055" priority="5275" operator="equal">
      <formula>"Yes"</formula>
    </cfRule>
    <cfRule type="cellIs" dxfId="5054" priority="5276" operator="equal">
      <formula>"No"</formula>
    </cfRule>
  </conditionalFormatting>
  <conditionalFormatting sqref="AJ460:AL461">
    <cfRule type="expression" dxfId="5053" priority="5273">
      <formula>$G460=""</formula>
    </cfRule>
  </conditionalFormatting>
  <conditionalFormatting sqref="AM460 AO460:AP463">
    <cfRule type="expression" dxfId="5052" priority="5272">
      <formula>$G460=""</formula>
    </cfRule>
  </conditionalFormatting>
  <conditionalFormatting sqref="AT460:AT463">
    <cfRule type="expression" dxfId="5051" priority="5271">
      <formula>$G460=""</formula>
    </cfRule>
  </conditionalFormatting>
  <conditionalFormatting sqref="E463:F463">
    <cfRule type="expression" dxfId="5050" priority="5270">
      <formula>$CN460="Exterior"</formula>
    </cfRule>
  </conditionalFormatting>
  <conditionalFormatting sqref="AJ467:AL467">
    <cfRule type="expression" dxfId="5049" priority="5269" stopIfTrue="1">
      <formula>$G465=""</formula>
    </cfRule>
  </conditionalFormatting>
  <conditionalFormatting sqref="AR465:AR468">
    <cfRule type="expression" dxfId="5048" priority="5266" stopIfTrue="1">
      <formula>$C$36=2</formula>
    </cfRule>
    <cfRule type="cellIs" dxfId="5047" priority="5267" operator="equal">
      <formula>"Yes"</formula>
    </cfRule>
    <cfRule type="cellIs" dxfId="5046" priority="5268" operator="equal">
      <formula>"No"</formula>
    </cfRule>
  </conditionalFormatting>
  <conditionalFormatting sqref="AJ465:AL466">
    <cfRule type="expression" dxfId="5045" priority="5265">
      <formula>$G465=""</formula>
    </cfRule>
  </conditionalFormatting>
  <conditionalFormatting sqref="AM465 AO465:AP468">
    <cfRule type="expression" dxfId="5044" priority="5264">
      <formula>$G465=""</formula>
    </cfRule>
  </conditionalFormatting>
  <conditionalFormatting sqref="AT465:AT468">
    <cfRule type="expression" dxfId="5043" priority="5263">
      <formula>$G465=""</formula>
    </cfRule>
  </conditionalFormatting>
  <conditionalFormatting sqref="E468:F468">
    <cfRule type="expression" dxfId="5042" priority="5262">
      <formula>$CN465="Exterior"</formula>
    </cfRule>
  </conditionalFormatting>
  <conditionalFormatting sqref="AJ472:AL472">
    <cfRule type="expression" dxfId="5041" priority="5261" stopIfTrue="1">
      <formula>$G470=""</formula>
    </cfRule>
  </conditionalFormatting>
  <conditionalFormatting sqref="AR470:AR473">
    <cfRule type="expression" dxfId="5040" priority="5258" stopIfTrue="1">
      <formula>$C$36=2</formula>
    </cfRule>
    <cfRule type="cellIs" dxfId="5039" priority="5259" operator="equal">
      <formula>"Yes"</formula>
    </cfRule>
    <cfRule type="cellIs" dxfId="5038" priority="5260" operator="equal">
      <formula>"No"</formula>
    </cfRule>
  </conditionalFormatting>
  <conditionalFormatting sqref="AJ470:AL471">
    <cfRule type="expression" dxfId="5037" priority="5257">
      <formula>$G470=""</formula>
    </cfRule>
  </conditionalFormatting>
  <conditionalFormatting sqref="AM470 AO470:AP473">
    <cfRule type="expression" dxfId="5036" priority="5256">
      <formula>$G470=""</formula>
    </cfRule>
  </conditionalFormatting>
  <conditionalFormatting sqref="AT470:AT473">
    <cfRule type="expression" dxfId="5035" priority="5255">
      <formula>$G470=""</formula>
    </cfRule>
  </conditionalFormatting>
  <conditionalFormatting sqref="E473:F473">
    <cfRule type="expression" dxfId="5034" priority="5254">
      <formula>$CN470="Exterior"</formula>
    </cfRule>
  </conditionalFormatting>
  <conditionalFormatting sqref="AJ477:AL477">
    <cfRule type="expression" dxfId="5033" priority="5253" stopIfTrue="1">
      <formula>$G475=""</formula>
    </cfRule>
  </conditionalFormatting>
  <conditionalFormatting sqref="AR475:AR478">
    <cfRule type="expression" dxfId="5032" priority="5250" stopIfTrue="1">
      <formula>$C$36=2</formula>
    </cfRule>
    <cfRule type="cellIs" dxfId="5031" priority="5251" operator="equal">
      <formula>"Yes"</formula>
    </cfRule>
    <cfRule type="cellIs" dxfId="5030" priority="5252" operator="equal">
      <formula>"No"</formula>
    </cfRule>
  </conditionalFormatting>
  <conditionalFormatting sqref="AJ475:AL476">
    <cfRule type="expression" dxfId="5029" priority="5249">
      <formula>$G475=""</formula>
    </cfRule>
  </conditionalFormatting>
  <conditionalFormatting sqref="AM475 AO475:AP478">
    <cfRule type="expression" dxfId="5028" priority="5248">
      <formula>$G475=""</formula>
    </cfRule>
  </conditionalFormatting>
  <conditionalFormatting sqref="AT475:AT478">
    <cfRule type="expression" dxfId="5027" priority="5247">
      <formula>$G475=""</formula>
    </cfRule>
  </conditionalFormatting>
  <conditionalFormatting sqref="E478:F478">
    <cfRule type="expression" dxfId="5026" priority="5246">
      <formula>$CN475="Exterior"</formula>
    </cfRule>
  </conditionalFormatting>
  <conditionalFormatting sqref="AE407">
    <cfRule type="expression" dxfId="5025" priority="5232" stopIfTrue="1">
      <formula>$G405=""</formula>
    </cfRule>
  </conditionalFormatting>
  <conditionalFormatting sqref="AB408:AD408">
    <cfRule type="expression" dxfId="5024" priority="5244" stopIfTrue="1">
      <formula>$G405=""</formula>
    </cfRule>
  </conditionalFormatting>
  <conditionalFormatting sqref="G407">
    <cfRule type="expression" dxfId="5023" priority="5241" stopIfTrue="1">
      <formula>$G405=""</formula>
    </cfRule>
    <cfRule type="containsBlanks" dxfId="5022" priority="5242" stopIfTrue="1">
      <formula>LEN(TRIM(G407))=0</formula>
    </cfRule>
    <cfRule type="expression" dxfId="5021" priority="5243">
      <formula>OR($M407=0,$HC406=FALSE)</formula>
    </cfRule>
  </conditionalFormatting>
  <conditionalFormatting sqref="AB408">
    <cfRule type="expression" dxfId="5020" priority="5240" stopIfTrue="1">
      <formula>$AB408=""</formula>
    </cfRule>
  </conditionalFormatting>
  <conditionalFormatting sqref="AE406:AF406">
    <cfRule type="expression" dxfId="5019" priority="5239">
      <formula>$C$36=2</formula>
    </cfRule>
  </conditionalFormatting>
  <conditionalFormatting sqref="T407:U407">
    <cfRule type="expression" dxfId="5018" priority="5214" stopIfTrue="1">
      <formula>$G405=""</formula>
    </cfRule>
  </conditionalFormatting>
  <conditionalFormatting sqref="T407:U407">
    <cfRule type="containsBlanks" dxfId="5017" priority="5237" stopIfTrue="1">
      <formula>LEN(TRIM(T407))=0</formula>
    </cfRule>
  </conditionalFormatting>
  <conditionalFormatting sqref="AC405:AD405">
    <cfRule type="expression" dxfId="5016" priority="5236">
      <formula>$G405=""</formula>
    </cfRule>
  </conditionalFormatting>
  <conditionalFormatting sqref="AE406">
    <cfRule type="containsBlanks" dxfId="5015" priority="5234">
      <formula>LEN(TRIM(AE406))=0</formula>
    </cfRule>
  </conditionalFormatting>
  <conditionalFormatting sqref="AE407 AF408">
    <cfRule type="containsBlanks" dxfId="5014" priority="5233" stopIfTrue="1">
      <formula>LEN(TRIM(AE407))=0</formula>
    </cfRule>
  </conditionalFormatting>
  <conditionalFormatting sqref="AE407">
    <cfRule type="expression" dxfId="5013" priority="5245">
      <formula>OR($HN406=FALSE,$HO406=FALSE)</formula>
    </cfRule>
  </conditionalFormatting>
  <conditionalFormatting sqref="G406:Q406 G405">
    <cfRule type="containsBlanks" dxfId="5012" priority="5231">
      <formula>LEN(TRIM(G405))=0</formula>
    </cfRule>
  </conditionalFormatting>
  <conditionalFormatting sqref="G406:L406">
    <cfRule type="expression" dxfId="5011" priority="5229" stopIfTrue="1">
      <formula>$G405=""</formula>
    </cfRule>
    <cfRule type="containsBlanks" dxfId="5010" priority="5230">
      <formula>LEN(TRIM(G406))=0</formula>
    </cfRule>
  </conditionalFormatting>
  <conditionalFormatting sqref="R407">
    <cfRule type="expression" dxfId="5009" priority="5227" stopIfTrue="1">
      <formula>$G405=""</formula>
    </cfRule>
    <cfRule type="containsBlanks" dxfId="5008" priority="5228">
      <formula>LEN(TRIM(R407))=0</formula>
    </cfRule>
  </conditionalFormatting>
  <conditionalFormatting sqref="P407:R407">
    <cfRule type="expression" dxfId="5007" priority="5226">
      <formula>$C$36=0</formula>
    </cfRule>
  </conditionalFormatting>
  <conditionalFormatting sqref="AF406">
    <cfRule type="containsBlanks" dxfId="5006" priority="5222">
      <formula>LEN(TRIM(AF406))=0</formula>
    </cfRule>
    <cfRule type="expression" dxfId="5005" priority="5223">
      <formula>$HJ406=FALSE</formula>
    </cfRule>
  </conditionalFormatting>
  <conditionalFormatting sqref="AF408">
    <cfRule type="expression" dxfId="5004" priority="5221">
      <formula>$C$36=2</formula>
    </cfRule>
  </conditionalFormatting>
  <conditionalFormatting sqref="R406">
    <cfRule type="containsBlanks" dxfId="5003" priority="5220">
      <formula>LEN(TRIM(R406))=0</formula>
    </cfRule>
  </conditionalFormatting>
  <conditionalFormatting sqref="AE406:AF406">
    <cfRule type="expression" dxfId="5002" priority="5219" stopIfTrue="1">
      <formula>$G405=""</formula>
    </cfRule>
  </conditionalFormatting>
  <conditionalFormatting sqref="AF408">
    <cfRule type="expression" dxfId="5001" priority="5218" stopIfTrue="1">
      <formula>$G405=""</formula>
    </cfRule>
  </conditionalFormatting>
  <conditionalFormatting sqref="AF405:AI405">
    <cfRule type="expression" dxfId="5000" priority="5217">
      <formula>$C$36&lt;&gt;0</formula>
    </cfRule>
  </conditionalFormatting>
  <conditionalFormatting sqref="R406">
    <cfRule type="containsBlanks" dxfId="4999" priority="5215">
      <formula>LEN(TRIM(R406))=0</formula>
    </cfRule>
  </conditionalFormatting>
  <conditionalFormatting sqref="U407">
    <cfRule type="expression" dxfId="4998" priority="5238">
      <formula>OR($HF406=FALSE,$HG406=FALSE)</formula>
    </cfRule>
  </conditionalFormatting>
  <conditionalFormatting sqref="R406">
    <cfRule type="expression" dxfId="4997" priority="5212" stopIfTrue="1">
      <formula>$G405=""</formula>
    </cfRule>
    <cfRule type="expression" dxfId="4996" priority="5213">
      <formula>$HT406=FALSE</formula>
    </cfRule>
  </conditionalFormatting>
  <conditionalFormatting sqref="G408">
    <cfRule type="expression" dxfId="4995" priority="5207" stopIfTrue="1">
      <formula>$G405=""</formula>
    </cfRule>
  </conditionalFormatting>
  <conditionalFormatting sqref="G408">
    <cfRule type="expression" dxfId="4994" priority="5201" stopIfTrue="1">
      <formula>$CN405="Exterior"</formula>
    </cfRule>
  </conditionalFormatting>
  <conditionalFormatting sqref="G408:L408">
    <cfRule type="containsBlanks" dxfId="4993" priority="5208" stopIfTrue="1">
      <formula>LEN(TRIM(G408))=0</formula>
    </cfRule>
    <cfRule type="expression" dxfId="4992" priority="5210">
      <formula>$HL406=FALSE</formula>
    </cfRule>
  </conditionalFormatting>
  <conditionalFormatting sqref="AF407">
    <cfRule type="expression" dxfId="4991" priority="5202" stopIfTrue="1">
      <formula>$G405=""</formula>
    </cfRule>
  </conditionalFormatting>
  <conditionalFormatting sqref="AF407:AI407">
    <cfRule type="expression" dxfId="4990" priority="5206">
      <formula>OR($HP406=FALSE,$HL406=FALSE)</formula>
    </cfRule>
  </conditionalFormatting>
  <conditionalFormatting sqref="AF407">
    <cfRule type="containsBlanks" dxfId="4989" priority="5203" stopIfTrue="1">
      <formula>LEN(TRIM(AF407))=0</formula>
    </cfRule>
    <cfRule type="expression" dxfId="4988" priority="5204">
      <formula>$DP405=7</formula>
    </cfRule>
    <cfRule type="expression" dxfId="4987" priority="5205">
      <formula>OR($HK406=FALSE,$HM406=FALSE)</formula>
    </cfRule>
  </conditionalFormatting>
  <conditionalFormatting sqref="G408:L408">
    <cfRule type="expression" dxfId="4986" priority="5209" stopIfTrue="1">
      <formula>$AF407=""</formula>
    </cfRule>
  </conditionalFormatting>
  <conditionalFormatting sqref="T406:U406">
    <cfRule type="expression" dxfId="4985" priority="5198" stopIfTrue="1">
      <formula>$C$36&lt;&gt;0</formula>
    </cfRule>
    <cfRule type="containsBlanks" dxfId="4984" priority="5199" stopIfTrue="1">
      <formula>LEN(TRIM(T406))=0</formula>
    </cfRule>
  </conditionalFormatting>
  <conditionalFormatting sqref="T406:U406">
    <cfRule type="expression" dxfId="4983" priority="5197" stopIfTrue="1">
      <formula>$G405=""</formula>
    </cfRule>
  </conditionalFormatting>
  <conditionalFormatting sqref="U406">
    <cfRule type="expression" dxfId="4982" priority="5200">
      <formula>$HE406=FALSE</formula>
    </cfRule>
  </conditionalFormatting>
  <conditionalFormatting sqref="T408">
    <cfRule type="expression" dxfId="4981" priority="5196">
      <formula>$C$36=2</formula>
    </cfRule>
  </conditionalFormatting>
  <conditionalFormatting sqref="AE412">
    <cfRule type="expression" dxfId="4980" priority="5182" stopIfTrue="1">
      <formula>$G410=""</formula>
    </cfRule>
  </conditionalFormatting>
  <conditionalFormatting sqref="AB413:AD413">
    <cfRule type="expression" dxfId="4979" priority="5194" stopIfTrue="1">
      <formula>$G410=""</formula>
    </cfRule>
  </conditionalFormatting>
  <conditionalFormatting sqref="G412">
    <cfRule type="expression" dxfId="4978" priority="5191" stopIfTrue="1">
      <formula>$G410=""</formula>
    </cfRule>
    <cfRule type="containsBlanks" dxfId="4977" priority="5192" stopIfTrue="1">
      <formula>LEN(TRIM(G412))=0</formula>
    </cfRule>
    <cfRule type="expression" dxfId="4976" priority="5193">
      <formula>OR($M412=0,$HC411=FALSE)</formula>
    </cfRule>
  </conditionalFormatting>
  <conditionalFormatting sqref="AB413">
    <cfRule type="expression" dxfId="4975" priority="5190" stopIfTrue="1">
      <formula>$AB413=""</formula>
    </cfRule>
  </conditionalFormatting>
  <conditionalFormatting sqref="AE411:AF411">
    <cfRule type="expression" dxfId="4974" priority="5189">
      <formula>$C$36=2</formula>
    </cfRule>
  </conditionalFormatting>
  <conditionalFormatting sqref="T412:U412">
    <cfRule type="expression" dxfId="4973" priority="5164" stopIfTrue="1">
      <formula>$G410=""</formula>
    </cfRule>
  </conditionalFormatting>
  <conditionalFormatting sqref="T412:U412">
    <cfRule type="containsBlanks" dxfId="4972" priority="5187" stopIfTrue="1">
      <formula>LEN(TRIM(T412))=0</formula>
    </cfRule>
  </conditionalFormatting>
  <conditionalFormatting sqref="AC410:AD410">
    <cfRule type="expression" dxfId="4971" priority="5186">
      <formula>$G410=""</formula>
    </cfRule>
  </conditionalFormatting>
  <conditionalFormatting sqref="AE411">
    <cfRule type="containsBlanks" dxfId="4970" priority="5184">
      <formula>LEN(TRIM(AE411))=0</formula>
    </cfRule>
  </conditionalFormatting>
  <conditionalFormatting sqref="AE412 AF413">
    <cfRule type="containsBlanks" dxfId="4969" priority="5183" stopIfTrue="1">
      <formula>LEN(TRIM(AE412))=0</formula>
    </cfRule>
  </conditionalFormatting>
  <conditionalFormatting sqref="AE412">
    <cfRule type="expression" dxfId="4968" priority="5195">
      <formula>OR($HN411=FALSE,$HO411=FALSE)</formula>
    </cfRule>
  </conditionalFormatting>
  <conditionalFormatting sqref="G411:Q411 G410">
    <cfRule type="containsBlanks" dxfId="4967" priority="5181">
      <formula>LEN(TRIM(G410))=0</formula>
    </cfRule>
  </conditionalFormatting>
  <conditionalFormatting sqref="G411:L411">
    <cfRule type="expression" dxfId="4966" priority="5179" stopIfTrue="1">
      <formula>$G410=""</formula>
    </cfRule>
    <cfRule type="containsBlanks" dxfId="4965" priority="5180">
      <formula>LEN(TRIM(G411))=0</formula>
    </cfRule>
  </conditionalFormatting>
  <conditionalFormatting sqref="R412">
    <cfRule type="expression" dxfId="4964" priority="5177" stopIfTrue="1">
      <formula>$G410=""</formula>
    </cfRule>
    <cfRule type="containsBlanks" dxfId="4963" priority="5178">
      <formula>LEN(TRIM(R412))=0</formula>
    </cfRule>
  </conditionalFormatting>
  <conditionalFormatting sqref="P412:R412">
    <cfRule type="expression" dxfId="4962" priority="5176">
      <formula>$C$36=0</formula>
    </cfRule>
  </conditionalFormatting>
  <conditionalFormatting sqref="AF411">
    <cfRule type="containsBlanks" dxfId="4961" priority="5172">
      <formula>LEN(TRIM(AF411))=0</formula>
    </cfRule>
    <cfRule type="expression" dxfId="4960" priority="5173">
      <formula>$HJ411=FALSE</formula>
    </cfRule>
  </conditionalFormatting>
  <conditionalFormatting sqref="AF413">
    <cfRule type="expression" dxfId="4959" priority="5171">
      <formula>$C$36=2</formula>
    </cfRule>
  </conditionalFormatting>
  <conditionalFormatting sqref="R411">
    <cfRule type="containsBlanks" dxfId="4958" priority="5170">
      <formula>LEN(TRIM(R411))=0</formula>
    </cfRule>
  </conditionalFormatting>
  <conditionalFormatting sqref="AE411:AF411">
    <cfRule type="expression" dxfId="4957" priority="5169" stopIfTrue="1">
      <formula>$G410=""</formula>
    </cfRule>
  </conditionalFormatting>
  <conditionalFormatting sqref="AF413">
    <cfRule type="expression" dxfId="4956" priority="5168" stopIfTrue="1">
      <formula>$G410=""</formula>
    </cfRule>
  </conditionalFormatting>
  <conditionalFormatting sqref="AF410:AI410">
    <cfRule type="expression" dxfId="4955" priority="5167">
      <formula>$C$36&lt;&gt;0</formula>
    </cfRule>
  </conditionalFormatting>
  <conditionalFormatting sqref="R411">
    <cfRule type="containsBlanks" dxfId="4954" priority="5165">
      <formula>LEN(TRIM(R411))=0</formula>
    </cfRule>
  </conditionalFormatting>
  <conditionalFormatting sqref="U412">
    <cfRule type="expression" dxfId="4953" priority="5188">
      <formula>OR($HF411=FALSE,$HG411=FALSE)</formula>
    </cfRule>
  </conditionalFormatting>
  <conditionalFormatting sqref="R411">
    <cfRule type="expression" dxfId="4952" priority="5162" stopIfTrue="1">
      <formula>$G410=""</formula>
    </cfRule>
    <cfRule type="expression" dxfId="4951" priority="5163">
      <formula>$HT411=FALSE</formula>
    </cfRule>
  </conditionalFormatting>
  <conditionalFormatting sqref="G413">
    <cfRule type="expression" dxfId="4950" priority="5157" stopIfTrue="1">
      <formula>$G410=""</formula>
    </cfRule>
  </conditionalFormatting>
  <conditionalFormatting sqref="G413">
    <cfRule type="expression" dxfId="4949" priority="5151" stopIfTrue="1">
      <formula>$CN410="Exterior"</formula>
    </cfRule>
  </conditionalFormatting>
  <conditionalFormatting sqref="G413:L413">
    <cfRule type="containsBlanks" dxfId="4948" priority="5158" stopIfTrue="1">
      <formula>LEN(TRIM(G413))=0</formula>
    </cfRule>
    <cfRule type="expression" dxfId="4947" priority="5160">
      <formula>$HL411=FALSE</formula>
    </cfRule>
  </conditionalFormatting>
  <conditionalFormatting sqref="AF412">
    <cfRule type="expression" dxfId="4946" priority="5152" stopIfTrue="1">
      <formula>$G410=""</formula>
    </cfRule>
  </conditionalFormatting>
  <conditionalFormatting sqref="AF412:AI412">
    <cfRule type="expression" dxfId="4945" priority="5156">
      <formula>OR($HP411=FALSE,$HL411=FALSE)</formula>
    </cfRule>
  </conditionalFormatting>
  <conditionalFormatting sqref="AF412">
    <cfRule type="containsBlanks" dxfId="4944" priority="5153" stopIfTrue="1">
      <formula>LEN(TRIM(AF412))=0</formula>
    </cfRule>
    <cfRule type="expression" dxfId="4943" priority="5154">
      <formula>$DP410=7</formula>
    </cfRule>
    <cfRule type="expression" dxfId="4942" priority="5155">
      <formula>OR($HK411=FALSE,$HM411=FALSE)</formula>
    </cfRule>
  </conditionalFormatting>
  <conditionalFormatting sqref="G413:L413">
    <cfRule type="expression" dxfId="4941" priority="5159" stopIfTrue="1">
      <formula>$AF412=""</formula>
    </cfRule>
  </conditionalFormatting>
  <conditionalFormatting sqref="T411:U411">
    <cfRule type="expression" dxfId="4940" priority="5148" stopIfTrue="1">
      <formula>$C$36&lt;&gt;0</formula>
    </cfRule>
    <cfRule type="containsBlanks" dxfId="4939" priority="5149" stopIfTrue="1">
      <formula>LEN(TRIM(T411))=0</formula>
    </cfRule>
  </conditionalFormatting>
  <conditionalFormatting sqref="T411:U411">
    <cfRule type="expression" dxfId="4938" priority="5147" stopIfTrue="1">
      <formula>$G410=""</formula>
    </cfRule>
  </conditionalFormatting>
  <conditionalFormatting sqref="U411">
    <cfRule type="expression" dxfId="4937" priority="5150">
      <formula>$HE411=FALSE</formula>
    </cfRule>
  </conditionalFormatting>
  <conditionalFormatting sqref="T413">
    <cfRule type="expression" dxfId="4936" priority="5146">
      <formula>$C$36=2</formula>
    </cfRule>
  </conditionalFormatting>
  <conditionalFormatting sqref="AE417">
    <cfRule type="expression" dxfId="4935" priority="5132" stopIfTrue="1">
      <formula>$G415=""</formula>
    </cfRule>
  </conditionalFormatting>
  <conditionalFormatting sqref="AB418:AD418">
    <cfRule type="expression" dxfId="4934" priority="5144" stopIfTrue="1">
      <formula>$G415=""</formula>
    </cfRule>
  </conditionalFormatting>
  <conditionalFormatting sqref="G417">
    <cfRule type="expression" dxfId="4933" priority="5141" stopIfTrue="1">
      <formula>$G415=""</formula>
    </cfRule>
    <cfRule type="containsBlanks" dxfId="4932" priority="5142" stopIfTrue="1">
      <formula>LEN(TRIM(G417))=0</formula>
    </cfRule>
    <cfRule type="expression" dxfId="4931" priority="5143">
      <formula>OR($M417=0,$HC416=FALSE)</formula>
    </cfRule>
  </conditionalFormatting>
  <conditionalFormatting sqref="AB418">
    <cfRule type="expression" dxfId="4930" priority="5140" stopIfTrue="1">
      <formula>$AB418=""</formula>
    </cfRule>
  </conditionalFormatting>
  <conditionalFormatting sqref="AE416:AF416">
    <cfRule type="expression" dxfId="4929" priority="5139">
      <formula>$C$36=2</formula>
    </cfRule>
  </conditionalFormatting>
  <conditionalFormatting sqref="T417:U417">
    <cfRule type="expression" dxfId="4928" priority="5114" stopIfTrue="1">
      <formula>$G415=""</formula>
    </cfRule>
  </conditionalFormatting>
  <conditionalFormatting sqref="T417:U417">
    <cfRule type="containsBlanks" dxfId="4927" priority="5137" stopIfTrue="1">
      <formula>LEN(TRIM(T417))=0</formula>
    </cfRule>
  </conditionalFormatting>
  <conditionalFormatting sqref="AC415:AD415">
    <cfRule type="expression" dxfId="4926" priority="5136">
      <formula>$G415=""</formula>
    </cfRule>
  </conditionalFormatting>
  <conditionalFormatting sqref="AE416">
    <cfRule type="containsBlanks" dxfId="4925" priority="5134">
      <formula>LEN(TRIM(AE416))=0</formula>
    </cfRule>
  </conditionalFormatting>
  <conditionalFormatting sqref="AE417 AF418">
    <cfRule type="containsBlanks" dxfId="4924" priority="5133" stopIfTrue="1">
      <formula>LEN(TRIM(AE417))=0</formula>
    </cfRule>
  </conditionalFormatting>
  <conditionalFormatting sqref="AE417">
    <cfRule type="expression" dxfId="4923" priority="5145">
      <formula>OR($HN416=FALSE,$HO416=FALSE)</formula>
    </cfRule>
  </conditionalFormatting>
  <conditionalFormatting sqref="G416:Q416 G415">
    <cfRule type="containsBlanks" dxfId="4922" priority="5131">
      <formula>LEN(TRIM(G415))=0</formula>
    </cfRule>
  </conditionalFormatting>
  <conditionalFormatting sqref="G416:L416">
    <cfRule type="expression" dxfId="4921" priority="5129" stopIfTrue="1">
      <formula>$G415=""</formula>
    </cfRule>
    <cfRule type="containsBlanks" dxfId="4920" priority="5130">
      <formula>LEN(TRIM(G416))=0</formula>
    </cfRule>
  </conditionalFormatting>
  <conditionalFormatting sqref="R417">
    <cfRule type="expression" dxfId="4919" priority="5127" stopIfTrue="1">
      <formula>$G415=""</formula>
    </cfRule>
    <cfRule type="containsBlanks" dxfId="4918" priority="5128">
      <formula>LEN(TRIM(R417))=0</formula>
    </cfRule>
  </conditionalFormatting>
  <conditionalFormatting sqref="P417:R417">
    <cfRule type="expression" dxfId="4917" priority="5126">
      <formula>$C$36=0</formula>
    </cfRule>
  </conditionalFormatting>
  <conditionalFormatting sqref="AF416">
    <cfRule type="containsBlanks" dxfId="4916" priority="5122">
      <formula>LEN(TRIM(AF416))=0</formula>
    </cfRule>
    <cfRule type="expression" dxfId="4915" priority="5123">
      <formula>$HJ416=FALSE</formula>
    </cfRule>
  </conditionalFormatting>
  <conditionalFormatting sqref="AF418">
    <cfRule type="expression" dxfId="4914" priority="5121">
      <formula>$C$36=2</formula>
    </cfRule>
  </conditionalFormatting>
  <conditionalFormatting sqref="R416">
    <cfRule type="containsBlanks" dxfId="4913" priority="5120">
      <formula>LEN(TRIM(R416))=0</formula>
    </cfRule>
  </conditionalFormatting>
  <conditionalFormatting sqref="AE416:AF416">
    <cfRule type="expression" dxfId="4912" priority="5119" stopIfTrue="1">
      <formula>$G415=""</formula>
    </cfRule>
  </conditionalFormatting>
  <conditionalFormatting sqref="AF418">
    <cfRule type="expression" dxfId="4911" priority="5118" stopIfTrue="1">
      <formula>$G415=""</formula>
    </cfRule>
  </conditionalFormatting>
  <conditionalFormatting sqref="AF415:AI415">
    <cfRule type="expression" dxfId="4910" priority="5117">
      <formula>$C$36&lt;&gt;0</formula>
    </cfRule>
  </conditionalFormatting>
  <conditionalFormatting sqref="R416">
    <cfRule type="containsBlanks" dxfId="4909" priority="5115">
      <formula>LEN(TRIM(R416))=0</formula>
    </cfRule>
  </conditionalFormatting>
  <conditionalFormatting sqref="U417">
    <cfRule type="expression" dxfId="4908" priority="5138">
      <formula>OR($HF416=FALSE,$HG416=FALSE)</formula>
    </cfRule>
  </conditionalFormatting>
  <conditionalFormatting sqref="R416">
    <cfRule type="expression" dxfId="4907" priority="5112" stopIfTrue="1">
      <formula>$G415=""</formula>
    </cfRule>
    <cfRule type="expression" dxfId="4906" priority="5113">
      <formula>$HT416=FALSE</formula>
    </cfRule>
  </conditionalFormatting>
  <conditionalFormatting sqref="G418">
    <cfRule type="expression" dxfId="4905" priority="5107" stopIfTrue="1">
      <formula>$G415=""</formula>
    </cfRule>
  </conditionalFormatting>
  <conditionalFormatting sqref="G418">
    <cfRule type="expression" dxfId="4904" priority="5101" stopIfTrue="1">
      <formula>$CN415="Exterior"</formula>
    </cfRule>
  </conditionalFormatting>
  <conditionalFormatting sqref="G418:L418">
    <cfRule type="containsBlanks" dxfId="4903" priority="5108" stopIfTrue="1">
      <formula>LEN(TRIM(G418))=0</formula>
    </cfRule>
    <cfRule type="expression" dxfId="4902" priority="5110">
      <formula>$HL416=FALSE</formula>
    </cfRule>
  </conditionalFormatting>
  <conditionalFormatting sqref="AF417">
    <cfRule type="expression" dxfId="4901" priority="5102" stopIfTrue="1">
      <formula>$G415=""</formula>
    </cfRule>
  </conditionalFormatting>
  <conditionalFormatting sqref="AF417:AI417">
    <cfRule type="expression" dxfId="4900" priority="5106">
      <formula>OR($HP416=FALSE,$HL416=FALSE)</formula>
    </cfRule>
  </conditionalFormatting>
  <conditionalFormatting sqref="AF417">
    <cfRule type="containsBlanks" dxfId="4899" priority="5103" stopIfTrue="1">
      <formula>LEN(TRIM(AF417))=0</formula>
    </cfRule>
    <cfRule type="expression" dxfId="4898" priority="5104">
      <formula>$DP415=7</formula>
    </cfRule>
    <cfRule type="expression" dxfId="4897" priority="5105">
      <formula>OR($HK416=FALSE,$HM416=FALSE)</formula>
    </cfRule>
  </conditionalFormatting>
  <conditionalFormatting sqref="G418:L418">
    <cfRule type="expression" dxfId="4896" priority="5109" stopIfTrue="1">
      <formula>$AF417=""</formula>
    </cfRule>
  </conditionalFormatting>
  <conditionalFormatting sqref="T416:U416">
    <cfRule type="expression" dxfId="4895" priority="5098" stopIfTrue="1">
      <formula>$C$36&lt;&gt;0</formula>
    </cfRule>
    <cfRule type="containsBlanks" dxfId="4894" priority="5099" stopIfTrue="1">
      <formula>LEN(TRIM(T416))=0</formula>
    </cfRule>
  </conditionalFormatting>
  <conditionalFormatting sqref="T416:U416">
    <cfRule type="expression" dxfId="4893" priority="5097" stopIfTrue="1">
      <formula>$G415=""</formula>
    </cfRule>
  </conditionalFormatting>
  <conditionalFormatting sqref="U416">
    <cfRule type="expression" dxfId="4892" priority="5100">
      <formula>$HE416=FALSE</formula>
    </cfRule>
  </conditionalFormatting>
  <conditionalFormatting sqref="T418">
    <cfRule type="expression" dxfId="4891" priority="5096">
      <formula>$C$36=2</formula>
    </cfRule>
  </conditionalFormatting>
  <conditionalFormatting sqref="AE422">
    <cfRule type="expression" dxfId="4890" priority="5082" stopIfTrue="1">
      <formula>$G420=""</formula>
    </cfRule>
  </conditionalFormatting>
  <conditionalFormatting sqref="AB423:AD423">
    <cfRule type="expression" dxfId="4889" priority="5094" stopIfTrue="1">
      <formula>$G420=""</formula>
    </cfRule>
  </conditionalFormatting>
  <conditionalFormatting sqref="G422">
    <cfRule type="expression" dxfId="4888" priority="5091" stopIfTrue="1">
      <formula>$G420=""</formula>
    </cfRule>
    <cfRule type="containsBlanks" dxfId="4887" priority="5092" stopIfTrue="1">
      <formula>LEN(TRIM(G422))=0</formula>
    </cfRule>
    <cfRule type="expression" dxfId="4886" priority="5093">
      <formula>OR($M422=0,$HC421=FALSE)</formula>
    </cfRule>
  </conditionalFormatting>
  <conditionalFormatting sqref="AB423">
    <cfRule type="expression" dxfId="4885" priority="5090" stopIfTrue="1">
      <formula>$AB423=""</formula>
    </cfRule>
  </conditionalFormatting>
  <conditionalFormatting sqref="AE421:AF421">
    <cfRule type="expression" dxfId="4884" priority="5089">
      <formula>$C$36=2</formula>
    </cfRule>
  </conditionalFormatting>
  <conditionalFormatting sqref="T422:U422">
    <cfRule type="expression" dxfId="4883" priority="5064" stopIfTrue="1">
      <formula>$G420=""</formula>
    </cfRule>
  </conditionalFormatting>
  <conditionalFormatting sqref="T422:U422">
    <cfRule type="containsBlanks" dxfId="4882" priority="5087" stopIfTrue="1">
      <formula>LEN(TRIM(T422))=0</formula>
    </cfRule>
  </conditionalFormatting>
  <conditionalFormatting sqref="AC420:AD420">
    <cfRule type="expression" dxfId="4881" priority="5086">
      <formula>$G420=""</formula>
    </cfRule>
  </conditionalFormatting>
  <conditionalFormatting sqref="AE421">
    <cfRule type="containsBlanks" dxfId="4880" priority="5084">
      <formula>LEN(TRIM(AE421))=0</formula>
    </cfRule>
  </conditionalFormatting>
  <conditionalFormatting sqref="AE422 AF423">
    <cfRule type="containsBlanks" dxfId="4879" priority="5083" stopIfTrue="1">
      <formula>LEN(TRIM(AE422))=0</formula>
    </cfRule>
  </conditionalFormatting>
  <conditionalFormatting sqref="AE422">
    <cfRule type="expression" dxfId="4878" priority="5095">
      <formula>OR($HN421=FALSE,$HO421=FALSE)</formula>
    </cfRule>
  </conditionalFormatting>
  <conditionalFormatting sqref="G421:Q421 G420">
    <cfRule type="containsBlanks" dxfId="4877" priority="5081">
      <formula>LEN(TRIM(G420))=0</formula>
    </cfRule>
  </conditionalFormatting>
  <conditionalFormatting sqref="G421:L421">
    <cfRule type="expression" dxfId="4876" priority="5079" stopIfTrue="1">
      <formula>$G420=""</formula>
    </cfRule>
    <cfRule type="containsBlanks" dxfId="4875" priority="5080">
      <formula>LEN(TRIM(G421))=0</formula>
    </cfRule>
  </conditionalFormatting>
  <conditionalFormatting sqref="R422">
    <cfRule type="expression" dxfId="4874" priority="5077" stopIfTrue="1">
      <formula>$G420=""</formula>
    </cfRule>
    <cfRule type="containsBlanks" dxfId="4873" priority="5078">
      <formula>LEN(TRIM(R422))=0</formula>
    </cfRule>
  </conditionalFormatting>
  <conditionalFormatting sqref="P422:R422">
    <cfRule type="expression" dxfId="4872" priority="5076">
      <formula>$C$36=0</formula>
    </cfRule>
  </conditionalFormatting>
  <conditionalFormatting sqref="AF421">
    <cfRule type="containsBlanks" dxfId="4871" priority="5072">
      <formula>LEN(TRIM(AF421))=0</formula>
    </cfRule>
    <cfRule type="expression" dxfId="4870" priority="5073">
      <formula>$HJ421=FALSE</formula>
    </cfRule>
  </conditionalFormatting>
  <conditionalFormatting sqref="AF423">
    <cfRule type="expression" dxfId="4869" priority="5071">
      <formula>$C$36=2</formula>
    </cfRule>
  </conditionalFormatting>
  <conditionalFormatting sqref="R421">
    <cfRule type="containsBlanks" dxfId="4868" priority="5070">
      <formula>LEN(TRIM(R421))=0</formula>
    </cfRule>
  </conditionalFormatting>
  <conditionalFormatting sqref="AE421:AF421">
    <cfRule type="expression" dxfId="4867" priority="5069" stopIfTrue="1">
      <formula>$G420=""</formula>
    </cfRule>
  </conditionalFormatting>
  <conditionalFormatting sqref="AF423">
    <cfRule type="expression" dxfId="4866" priority="5068" stopIfTrue="1">
      <formula>$G420=""</formula>
    </cfRule>
  </conditionalFormatting>
  <conditionalFormatting sqref="AF420:AI420">
    <cfRule type="expression" dxfId="4865" priority="5067">
      <formula>$C$36&lt;&gt;0</formula>
    </cfRule>
  </conditionalFormatting>
  <conditionalFormatting sqref="R421">
    <cfRule type="containsBlanks" dxfId="4864" priority="5065">
      <formula>LEN(TRIM(R421))=0</formula>
    </cfRule>
  </conditionalFormatting>
  <conditionalFormatting sqref="U422">
    <cfRule type="expression" dxfId="4863" priority="5088">
      <formula>OR($HF421=FALSE,$HG421=FALSE)</formula>
    </cfRule>
  </conditionalFormatting>
  <conditionalFormatting sqref="R421">
    <cfRule type="expression" dxfId="4862" priority="5062" stopIfTrue="1">
      <formula>$G420=""</formula>
    </cfRule>
    <cfRule type="expression" dxfId="4861" priority="5063">
      <formula>$HT421=FALSE</formula>
    </cfRule>
  </conditionalFormatting>
  <conditionalFormatting sqref="G423">
    <cfRule type="expression" dxfId="4860" priority="5057" stopIfTrue="1">
      <formula>$G420=""</formula>
    </cfRule>
  </conditionalFormatting>
  <conditionalFormatting sqref="G423">
    <cfRule type="expression" dxfId="4859" priority="5051" stopIfTrue="1">
      <formula>$CN420="Exterior"</formula>
    </cfRule>
  </conditionalFormatting>
  <conditionalFormatting sqref="G423:L423">
    <cfRule type="containsBlanks" dxfId="4858" priority="5058" stopIfTrue="1">
      <formula>LEN(TRIM(G423))=0</formula>
    </cfRule>
    <cfRule type="expression" dxfId="4857" priority="5060">
      <formula>$HL421=FALSE</formula>
    </cfRule>
  </conditionalFormatting>
  <conditionalFormatting sqref="AF422">
    <cfRule type="expression" dxfId="4856" priority="5052" stopIfTrue="1">
      <formula>$G420=""</formula>
    </cfRule>
  </conditionalFormatting>
  <conditionalFormatting sqref="AF422:AI422">
    <cfRule type="expression" dxfId="4855" priority="5056">
      <formula>OR($HP421=FALSE,$HL421=FALSE)</formula>
    </cfRule>
  </conditionalFormatting>
  <conditionalFormatting sqref="AF422">
    <cfRule type="containsBlanks" dxfId="4854" priority="5053" stopIfTrue="1">
      <formula>LEN(TRIM(AF422))=0</formula>
    </cfRule>
    <cfRule type="expression" dxfId="4853" priority="5054">
      <formula>$DP420=7</formula>
    </cfRule>
    <cfRule type="expression" dxfId="4852" priority="5055">
      <formula>OR($HK421=FALSE,$HM421=FALSE)</formula>
    </cfRule>
  </conditionalFormatting>
  <conditionalFormatting sqref="G423:L423">
    <cfRule type="expression" dxfId="4851" priority="5059" stopIfTrue="1">
      <formula>$AF422=""</formula>
    </cfRule>
  </conditionalFormatting>
  <conditionalFormatting sqref="T421:U421">
    <cfRule type="expression" dxfId="4850" priority="5048" stopIfTrue="1">
      <formula>$C$36&lt;&gt;0</formula>
    </cfRule>
    <cfRule type="containsBlanks" dxfId="4849" priority="5049" stopIfTrue="1">
      <formula>LEN(TRIM(T421))=0</formula>
    </cfRule>
  </conditionalFormatting>
  <conditionalFormatting sqref="T421:U421">
    <cfRule type="expression" dxfId="4848" priority="5047" stopIfTrue="1">
      <formula>$G420=""</formula>
    </cfRule>
  </conditionalFormatting>
  <conditionalFormatting sqref="U421">
    <cfRule type="expression" dxfId="4847" priority="5050">
      <formula>$HE421=FALSE</formula>
    </cfRule>
  </conditionalFormatting>
  <conditionalFormatting sqref="T423">
    <cfRule type="expression" dxfId="4846" priority="5046">
      <formula>$C$36=2</formula>
    </cfRule>
  </conditionalFormatting>
  <conditionalFormatting sqref="AE427">
    <cfRule type="expression" dxfId="4845" priority="5032" stopIfTrue="1">
      <formula>$G425=""</formula>
    </cfRule>
  </conditionalFormatting>
  <conditionalFormatting sqref="AB428:AD428">
    <cfRule type="expression" dxfId="4844" priority="5044" stopIfTrue="1">
      <formula>$G425=""</formula>
    </cfRule>
  </conditionalFormatting>
  <conditionalFormatting sqref="G427">
    <cfRule type="expression" dxfId="4843" priority="5041" stopIfTrue="1">
      <formula>$G425=""</formula>
    </cfRule>
    <cfRule type="containsBlanks" dxfId="4842" priority="5042" stopIfTrue="1">
      <formula>LEN(TRIM(G427))=0</formula>
    </cfRule>
    <cfRule type="expression" dxfId="4841" priority="5043">
      <formula>OR($M427=0,$HC426=FALSE)</formula>
    </cfRule>
  </conditionalFormatting>
  <conditionalFormatting sqref="AB428">
    <cfRule type="expression" dxfId="4840" priority="5040" stopIfTrue="1">
      <formula>$AB428=""</formula>
    </cfRule>
  </conditionalFormatting>
  <conditionalFormatting sqref="AE426:AF426">
    <cfRule type="expression" dxfId="4839" priority="5039">
      <formula>$C$36=2</formula>
    </cfRule>
  </conditionalFormatting>
  <conditionalFormatting sqref="T427:U427">
    <cfRule type="expression" dxfId="4838" priority="5014" stopIfTrue="1">
      <formula>$G425=""</formula>
    </cfRule>
  </conditionalFormatting>
  <conditionalFormatting sqref="T427:U427">
    <cfRule type="containsBlanks" dxfId="4837" priority="5037" stopIfTrue="1">
      <formula>LEN(TRIM(T427))=0</formula>
    </cfRule>
  </conditionalFormatting>
  <conditionalFormatting sqref="AC425:AD425">
    <cfRule type="expression" dxfId="4836" priority="5036">
      <formula>$G425=""</formula>
    </cfRule>
  </conditionalFormatting>
  <conditionalFormatting sqref="AE426">
    <cfRule type="containsBlanks" dxfId="4835" priority="5034">
      <formula>LEN(TRIM(AE426))=0</formula>
    </cfRule>
  </conditionalFormatting>
  <conditionalFormatting sqref="AE427 AF428">
    <cfRule type="containsBlanks" dxfId="4834" priority="5033" stopIfTrue="1">
      <formula>LEN(TRIM(AE427))=0</formula>
    </cfRule>
  </conditionalFormatting>
  <conditionalFormatting sqref="AE427">
    <cfRule type="expression" dxfId="4833" priority="5045">
      <formula>OR($HN426=FALSE,$HO426=FALSE)</formula>
    </cfRule>
  </conditionalFormatting>
  <conditionalFormatting sqref="G426:Q426 G425">
    <cfRule type="containsBlanks" dxfId="4832" priority="5031">
      <formula>LEN(TRIM(G425))=0</formula>
    </cfRule>
  </conditionalFormatting>
  <conditionalFormatting sqref="G426:L426">
    <cfRule type="expression" dxfId="4831" priority="5029" stopIfTrue="1">
      <formula>$G425=""</formula>
    </cfRule>
    <cfRule type="containsBlanks" dxfId="4830" priority="5030">
      <formula>LEN(TRIM(G426))=0</formula>
    </cfRule>
  </conditionalFormatting>
  <conditionalFormatting sqref="R427">
    <cfRule type="expression" dxfId="4829" priority="5027" stopIfTrue="1">
      <formula>$G425=""</formula>
    </cfRule>
    <cfRule type="containsBlanks" dxfId="4828" priority="5028">
      <formula>LEN(TRIM(R427))=0</formula>
    </cfRule>
  </conditionalFormatting>
  <conditionalFormatting sqref="P427:R427">
    <cfRule type="expression" dxfId="4827" priority="5026">
      <formula>$C$36=0</formula>
    </cfRule>
  </conditionalFormatting>
  <conditionalFormatting sqref="AF426">
    <cfRule type="containsBlanks" dxfId="4826" priority="5022">
      <formula>LEN(TRIM(AF426))=0</formula>
    </cfRule>
    <cfRule type="expression" dxfId="4825" priority="5023">
      <formula>$HJ426=FALSE</formula>
    </cfRule>
  </conditionalFormatting>
  <conditionalFormatting sqref="AF428">
    <cfRule type="expression" dxfId="4824" priority="5021">
      <formula>$C$36=2</formula>
    </cfRule>
  </conditionalFormatting>
  <conditionalFormatting sqref="R426">
    <cfRule type="containsBlanks" dxfId="4823" priority="5020">
      <formula>LEN(TRIM(R426))=0</formula>
    </cfRule>
  </conditionalFormatting>
  <conditionalFormatting sqref="AE426:AF426">
    <cfRule type="expression" dxfId="4822" priority="5019" stopIfTrue="1">
      <formula>$G425=""</formula>
    </cfRule>
  </conditionalFormatting>
  <conditionalFormatting sqref="AF428">
    <cfRule type="expression" dxfId="4821" priority="5018" stopIfTrue="1">
      <formula>$G425=""</formula>
    </cfRule>
  </conditionalFormatting>
  <conditionalFormatting sqref="AF425:AI425">
    <cfRule type="expression" dxfId="4820" priority="5017">
      <formula>$C$36&lt;&gt;0</formula>
    </cfRule>
  </conditionalFormatting>
  <conditionalFormatting sqref="R426">
    <cfRule type="containsBlanks" dxfId="4819" priority="5015">
      <formula>LEN(TRIM(R426))=0</formula>
    </cfRule>
  </conditionalFormatting>
  <conditionalFormatting sqref="U427">
    <cfRule type="expression" dxfId="4818" priority="5038">
      <formula>OR($HF426=FALSE,$HG426=FALSE)</formula>
    </cfRule>
  </conditionalFormatting>
  <conditionalFormatting sqref="R426">
    <cfRule type="expression" dxfId="4817" priority="5012" stopIfTrue="1">
      <formula>$G425=""</formula>
    </cfRule>
    <cfRule type="expression" dxfId="4816" priority="5013">
      <formula>$HT426=FALSE</formula>
    </cfRule>
  </conditionalFormatting>
  <conditionalFormatting sqref="G428">
    <cfRule type="expression" dxfId="4815" priority="5007" stopIfTrue="1">
      <formula>$G425=""</formula>
    </cfRule>
  </conditionalFormatting>
  <conditionalFormatting sqref="G428">
    <cfRule type="expression" dxfId="4814" priority="5001" stopIfTrue="1">
      <formula>$CN425="Exterior"</formula>
    </cfRule>
  </conditionalFormatting>
  <conditionalFormatting sqref="G428:L428">
    <cfRule type="containsBlanks" dxfId="4813" priority="5008" stopIfTrue="1">
      <formula>LEN(TRIM(G428))=0</formula>
    </cfRule>
    <cfRule type="expression" dxfId="4812" priority="5010">
      <formula>$HL426=FALSE</formula>
    </cfRule>
  </conditionalFormatting>
  <conditionalFormatting sqref="AF427">
    <cfRule type="expression" dxfId="4811" priority="5002" stopIfTrue="1">
      <formula>$G425=""</formula>
    </cfRule>
  </conditionalFormatting>
  <conditionalFormatting sqref="AF427:AI427">
    <cfRule type="expression" dxfId="4810" priority="5006">
      <formula>OR($HP426=FALSE,$HL426=FALSE)</formula>
    </cfRule>
  </conditionalFormatting>
  <conditionalFormatting sqref="AF427">
    <cfRule type="containsBlanks" dxfId="4809" priority="5003" stopIfTrue="1">
      <formula>LEN(TRIM(AF427))=0</formula>
    </cfRule>
    <cfRule type="expression" dxfId="4808" priority="5004">
      <formula>$DP425=7</formula>
    </cfRule>
    <cfRule type="expression" dxfId="4807" priority="5005">
      <formula>OR($HK426=FALSE,$HM426=FALSE)</formula>
    </cfRule>
  </conditionalFormatting>
  <conditionalFormatting sqref="G428:L428">
    <cfRule type="expression" dxfId="4806" priority="5009" stopIfTrue="1">
      <formula>$AF427=""</formula>
    </cfRule>
  </conditionalFormatting>
  <conditionalFormatting sqref="T426:U426">
    <cfRule type="expression" dxfId="4805" priority="4998" stopIfTrue="1">
      <formula>$C$36&lt;&gt;0</formula>
    </cfRule>
    <cfRule type="containsBlanks" dxfId="4804" priority="4999" stopIfTrue="1">
      <formula>LEN(TRIM(T426))=0</formula>
    </cfRule>
  </conditionalFormatting>
  <conditionalFormatting sqref="T426:U426">
    <cfRule type="expression" dxfId="4803" priority="4997" stopIfTrue="1">
      <formula>$G425=""</formula>
    </cfRule>
  </conditionalFormatting>
  <conditionalFormatting sqref="U426">
    <cfRule type="expression" dxfId="4802" priority="5000">
      <formula>$HE426=FALSE</formula>
    </cfRule>
  </conditionalFormatting>
  <conditionalFormatting sqref="T428">
    <cfRule type="expression" dxfId="4801" priority="4996">
      <formula>$C$36=2</formula>
    </cfRule>
  </conditionalFormatting>
  <conditionalFormatting sqref="AE432">
    <cfRule type="expression" dxfId="4800" priority="4982" stopIfTrue="1">
      <formula>$G430=""</formula>
    </cfRule>
  </conditionalFormatting>
  <conditionalFormatting sqref="AB433:AD433">
    <cfRule type="expression" dxfId="4799" priority="4994" stopIfTrue="1">
      <formula>$G430=""</formula>
    </cfRule>
  </conditionalFormatting>
  <conditionalFormatting sqref="G432">
    <cfRule type="expression" dxfId="4798" priority="4991" stopIfTrue="1">
      <formula>$G430=""</formula>
    </cfRule>
    <cfRule type="containsBlanks" dxfId="4797" priority="4992" stopIfTrue="1">
      <formula>LEN(TRIM(G432))=0</formula>
    </cfRule>
    <cfRule type="expression" dxfId="4796" priority="4993">
      <formula>OR($M432=0,$HC431=FALSE)</formula>
    </cfRule>
  </conditionalFormatting>
  <conditionalFormatting sqref="AB433">
    <cfRule type="expression" dxfId="4795" priority="4990" stopIfTrue="1">
      <formula>$AB433=""</formula>
    </cfRule>
  </conditionalFormatting>
  <conditionalFormatting sqref="AE431:AF431">
    <cfRule type="expression" dxfId="4794" priority="4989">
      <formula>$C$36=2</formula>
    </cfRule>
  </conditionalFormatting>
  <conditionalFormatting sqref="T432:U432">
    <cfRule type="expression" dxfId="4793" priority="4964" stopIfTrue="1">
      <formula>$G430=""</formula>
    </cfRule>
  </conditionalFormatting>
  <conditionalFormatting sqref="T432:U432">
    <cfRule type="containsBlanks" dxfId="4792" priority="4987" stopIfTrue="1">
      <formula>LEN(TRIM(T432))=0</formula>
    </cfRule>
  </conditionalFormatting>
  <conditionalFormatting sqref="AC430:AD430">
    <cfRule type="expression" dxfId="4791" priority="4986">
      <formula>$G430=""</formula>
    </cfRule>
  </conditionalFormatting>
  <conditionalFormatting sqref="AE431">
    <cfRule type="containsBlanks" dxfId="4790" priority="4984">
      <formula>LEN(TRIM(AE431))=0</formula>
    </cfRule>
  </conditionalFormatting>
  <conditionalFormatting sqref="AE432 AF433">
    <cfRule type="containsBlanks" dxfId="4789" priority="4983" stopIfTrue="1">
      <formula>LEN(TRIM(AE432))=0</formula>
    </cfRule>
  </conditionalFormatting>
  <conditionalFormatting sqref="AE432">
    <cfRule type="expression" dxfId="4788" priority="4995">
      <formula>OR($HN431=FALSE,$HO431=FALSE)</formula>
    </cfRule>
  </conditionalFormatting>
  <conditionalFormatting sqref="G431:Q431 G430">
    <cfRule type="containsBlanks" dxfId="4787" priority="4981">
      <formula>LEN(TRIM(G430))=0</formula>
    </cfRule>
  </conditionalFormatting>
  <conditionalFormatting sqref="G431:L431">
    <cfRule type="expression" dxfId="4786" priority="4979" stopIfTrue="1">
      <formula>$G430=""</formula>
    </cfRule>
    <cfRule type="containsBlanks" dxfId="4785" priority="4980">
      <formula>LEN(TRIM(G431))=0</formula>
    </cfRule>
  </conditionalFormatting>
  <conditionalFormatting sqref="R432">
    <cfRule type="expression" dxfId="4784" priority="4977" stopIfTrue="1">
      <formula>$G430=""</formula>
    </cfRule>
    <cfRule type="containsBlanks" dxfId="4783" priority="4978">
      <formula>LEN(TRIM(R432))=0</formula>
    </cfRule>
  </conditionalFormatting>
  <conditionalFormatting sqref="P432:R432">
    <cfRule type="expression" dxfId="4782" priority="4976">
      <formula>$C$36=0</formula>
    </cfRule>
  </conditionalFormatting>
  <conditionalFormatting sqref="AF431">
    <cfRule type="containsBlanks" dxfId="4781" priority="4972">
      <formula>LEN(TRIM(AF431))=0</formula>
    </cfRule>
    <cfRule type="expression" dxfId="4780" priority="4973">
      <formula>$HJ431=FALSE</formula>
    </cfRule>
  </conditionalFormatting>
  <conditionalFormatting sqref="AF433">
    <cfRule type="expression" dxfId="4779" priority="4971">
      <formula>$C$36=2</formula>
    </cfRule>
  </conditionalFormatting>
  <conditionalFormatting sqref="R431">
    <cfRule type="containsBlanks" dxfId="4778" priority="4970">
      <formula>LEN(TRIM(R431))=0</formula>
    </cfRule>
  </conditionalFormatting>
  <conditionalFormatting sqref="AE431:AF431">
    <cfRule type="expression" dxfId="4777" priority="4969" stopIfTrue="1">
      <formula>$G430=""</formula>
    </cfRule>
  </conditionalFormatting>
  <conditionalFormatting sqref="AF433">
    <cfRule type="expression" dxfId="4776" priority="4968" stopIfTrue="1">
      <formula>$G430=""</formula>
    </cfRule>
  </conditionalFormatting>
  <conditionalFormatting sqref="AF430:AI430">
    <cfRule type="expression" dxfId="4775" priority="4967">
      <formula>$C$36&lt;&gt;0</formula>
    </cfRule>
  </conditionalFormatting>
  <conditionalFormatting sqref="R431">
    <cfRule type="containsBlanks" dxfId="4774" priority="4965">
      <formula>LEN(TRIM(R431))=0</formula>
    </cfRule>
  </conditionalFormatting>
  <conditionalFormatting sqref="U432">
    <cfRule type="expression" dxfId="4773" priority="4988">
      <formula>OR($HF431=FALSE,$HG431=FALSE)</formula>
    </cfRule>
  </conditionalFormatting>
  <conditionalFormatting sqref="R431">
    <cfRule type="expression" dxfId="4772" priority="4962" stopIfTrue="1">
      <formula>$G430=""</formula>
    </cfRule>
    <cfRule type="expression" dxfId="4771" priority="4963">
      <formula>$HT431=FALSE</formula>
    </cfRule>
  </conditionalFormatting>
  <conditionalFormatting sqref="G433">
    <cfRule type="expression" dxfId="4770" priority="4957" stopIfTrue="1">
      <formula>$G430=""</formula>
    </cfRule>
  </conditionalFormatting>
  <conditionalFormatting sqref="G433">
    <cfRule type="expression" dxfId="4769" priority="4951" stopIfTrue="1">
      <formula>$CN430="Exterior"</formula>
    </cfRule>
  </conditionalFormatting>
  <conditionalFormatting sqref="G433:L433">
    <cfRule type="containsBlanks" dxfId="4768" priority="4958" stopIfTrue="1">
      <formula>LEN(TRIM(G433))=0</formula>
    </cfRule>
    <cfRule type="expression" dxfId="4767" priority="4960">
      <formula>$HL431=FALSE</formula>
    </cfRule>
  </conditionalFormatting>
  <conditionalFormatting sqref="AF432">
    <cfRule type="expression" dxfId="4766" priority="4952" stopIfTrue="1">
      <formula>$G430=""</formula>
    </cfRule>
  </conditionalFormatting>
  <conditionalFormatting sqref="AF432:AI432">
    <cfRule type="expression" dxfId="4765" priority="4956">
      <formula>OR($HP431=FALSE,$HL431=FALSE)</formula>
    </cfRule>
  </conditionalFormatting>
  <conditionalFormatting sqref="AF432">
    <cfRule type="containsBlanks" dxfId="4764" priority="4953" stopIfTrue="1">
      <formula>LEN(TRIM(AF432))=0</formula>
    </cfRule>
    <cfRule type="expression" dxfId="4763" priority="4954">
      <formula>$DP430=7</formula>
    </cfRule>
    <cfRule type="expression" dxfId="4762" priority="4955">
      <formula>OR($HK431=FALSE,$HM431=FALSE)</formula>
    </cfRule>
  </conditionalFormatting>
  <conditionalFormatting sqref="G433:L433">
    <cfRule type="expression" dxfId="4761" priority="4959" stopIfTrue="1">
      <formula>$AF432=""</formula>
    </cfRule>
  </conditionalFormatting>
  <conditionalFormatting sqref="T431:U431">
    <cfRule type="expression" dxfId="4760" priority="4948" stopIfTrue="1">
      <formula>$C$36&lt;&gt;0</formula>
    </cfRule>
    <cfRule type="containsBlanks" dxfId="4759" priority="4949" stopIfTrue="1">
      <formula>LEN(TRIM(T431))=0</formula>
    </cfRule>
  </conditionalFormatting>
  <conditionalFormatting sqref="T431:U431">
    <cfRule type="expression" dxfId="4758" priority="4947" stopIfTrue="1">
      <formula>$G430=""</formula>
    </cfRule>
  </conditionalFormatting>
  <conditionalFormatting sqref="U431">
    <cfRule type="expression" dxfId="4757" priority="4950">
      <formula>$HE431=FALSE</formula>
    </cfRule>
  </conditionalFormatting>
  <conditionalFormatting sqref="T433">
    <cfRule type="expression" dxfId="4756" priority="4946">
      <formula>$C$36=2</formula>
    </cfRule>
  </conditionalFormatting>
  <conditionalFormatting sqref="AE437">
    <cfRule type="expression" dxfId="4755" priority="4932" stopIfTrue="1">
      <formula>$G435=""</formula>
    </cfRule>
  </conditionalFormatting>
  <conditionalFormatting sqref="AB438:AD438">
    <cfRule type="expression" dxfId="4754" priority="4944" stopIfTrue="1">
      <formula>$G435=""</formula>
    </cfRule>
  </conditionalFormatting>
  <conditionalFormatting sqref="G437">
    <cfRule type="expression" dxfId="4753" priority="4941" stopIfTrue="1">
      <formula>$G435=""</formula>
    </cfRule>
    <cfRule type="containsBlanks" dxfId="4752" priority="4942" stopIfTrue="1">
      <formula>LEN(TRIM(G437))=0</formula>
    </cfRule>
    <cfRule type="expression" dxfId="4751" priority="4943">
      <formula>OR($M437=0,$HC436=FALSE)</formula>
    </cfRule>
  </conditionalFormatting>
  <conditionalFormatting sqref="AB438">
    <cfRule type="expression" dxfId="4750" priority="4940" stopIfTrue="1">
      <formula>$AB438=""</formula>
    </cfRule>
  </conditionalFormatting>
  <conditionalFormatting sqref="AE436:AF436">
    <cfRule type="expression" dxfId="4749" priority="4939">
      <formula>$C$36=2</formula>
    </cfRule>
  </conditionalFormatting>
  <conditionalFormatting sqref="T437:U437">
    <cfRule type="expression" dxfId="4748" priority="4914" stopIfTrue="1">
      <formula>$G435=""</formula>
    </cfRule>
  </conditionalFormatting>
  <conditionalFormatting sqref="T437:U437">
    <cfRule type="containsBlanks" dxfId="4747" priority="4937" stopIfTrue="1">
      <formula>LEN(TRIM(T437))=0</formula>
    </cfRule>
  </conditionalFormatting>
  <conditionalFormatting sqref="AC435:AD435">
    <cfRule type="expression" dxfId="4746" priority="4936">
      <formula>$G435=""</formula>
    </cfRule>
  </conditionalFormatting>
  <conditionalFormatting sqref="AE436">
    <cfRule type="containsBlanks" dxfId="4745" priority="4934">
      <formula>LEN(TRIM(AE436))=0</formula>
    </cfRule>
  </conditionalFormatting>
  <conditionalFormatting sqref="AE437 AF438">
    <cfRule type="containsBlanks" dxfId="4744" priority="4933" stopIfTrue="1">
      <formula>LEN(TRIM(AE437))=0</formula>
    </cfRule>
  </conditionalFormatting>
  <conditionalFormatting sqref="AE437">
    <cfRule type="expression" dxfId="4743" priority="4945">
      <formula>OR($HN436=FALSE,$HO436=FALSE)</formula>
    </cfRule>
  </conditionalFormatting>
  <conditionalFormatting sqref="G436:Q436 G435">
    <cfRule type="containsBlanks" dxfId="4742" priority="4931">
      <formula>LEN(TRIM(G435))=0</formula>
    </cfRule>
  </conditionalFormatting>
  <conditionalFormatting sqref="G436:L436">
    <cfRule type="expression" dxfId="4741" priority="4929" stopIfTrue="1">
      <formula>$G435=""</formula>
    </cfRule>
    <cfRule type="containsBlanks" dxfId="4740" priority="4930">
      <formula>LEN(TRIM(G436))=0</formula>
    </cfRule>
  </conditionalFormatting>
  <conditionalFormatting sqref="R437">
    <cfRule type="expression" dxfId="4739" priority="4927" stopIfTrue="1">
      <formula>$G435=""</formula>
    </cfRule>
    <cfRule type="containsBlanks" dxfId="4738" priority="4928">
      <formula>LEN(TRIM(R437))=0</formula>
    </cfRule>
  </conditionalFormatting>
  <conditionalFormatting sqref="P437:R437">
    <cfRule type="expression" dxfId="4737" priority="4926">
      <formula>$C$36=0</formula>
    </cfRule>
  </conditionalFormatting>
  <conditionalFormatting sqref="AF436">
    <cfRule type="containsBlanks" dxfId="4736" priority="4922">
      <formula>LEN(TRIM(AF436))=0</formula>
    </cfRule>
    <cfRule type="expression" dxfId="4735" priority="4923">
      <formula>$HJ436=FALSE</formula>
    </cfRule>
  </conditionalFormatting>
  <conditionalFormatting sqref="AF438">
    <cfRule type="expression" dxfId="4734" priority="4921">
      <formula>$C$36=2</formula>
    </cfRule>
  </conditionalFormatting>
  <conditionalFormatting sqref="R436">
    <cfRule type="containsBlanks" dxfId="4733" priority="4920">
      <formula>LEN(TRIM(R436))=0</formula>
    </cfRule>
  </conditionalFormatting>
  <conditionalFormatting sqref="AE436:AF436">
    <cfRule type="expression" dxfId="4732" priority="4919" stopIfTrue="1">
      <formula>$G435=""</formula>
    </cfRule>
  </conditionalFormatting>
  <conditionalFormatting sqref="AF438">
    <cfRule type="expression" dxfId="4731" priority="4918" stopIfTrue="1">
      <formula>$G435=""</formula>
    </cfRule>
  </conditionalFormatting>
  <conditionalFormatting sqref="AF435:AI435">
    <cfRule type="expression" dxfId="4730" priority="4917">
      <formula>$C$36&lt;&gt;0</formula>
    </cfRule>
  </conditionalFormatting>
  <conditionalFormatting sqref="R436">
    <cfRule type="containsBlanks" dxfId="4729" priority="4915">
      <formula>LEN(TRIM(R436))=0</formula>
    </cfRule>
  </conditionalFormatting>
  <conditionalFormatting sqref="U437">
    <cfRule type="expression" dxfId="4728" priority="4938">
      <formula>OR($HF436=FALSE,$HG436=FALSE)</formula>
    </cfRule>
  </conditionalFormatting>
  <conditionalFormatting sqref="R436">
    <cfRule type="expression" dxfId="4727" priority="4912" stopIfTrue="1">
      <formula>$G435=""</formula>
    </cfRule>
    <cfRule type="expression" dxfId="4726" priority="4913">
      <formula>$HT436=FALSE</formula>
    </cfRule>
  </conditionalFormatting>
  <conditionalFormatting sqref="G438">
    <cfRule type="expression" dxfId="4725" priority="4907" stopIfTrue="1">
      <formula>$G435=""</formula>
    </cfRule>
  </conditionalFormatting>
  <conditionalFormatting sqref="G438">
    <cfRule type="expression" dxfId="4724" priority="4901" stopIfTrue="1">
      <formula>$CN435="Exterior"</formula>
    </cfRule>
  </conditionalFormatting>
  <conditionalFormatting sqref="G438:L438">
    <cfRule type="containsBlanks" dxfId="4723" priority="4908" stopIfTrue="1">
      <formula>LEN(TRIM(G438))=0</formula>
    </cfRule>
    <cfRule type="expression" dxfId="4722" priority="4910">
      <formula>$HL436=FALSE</formula>
    </cfRule>
  </conditionalFormatting>
  <conditionalFormatting sqref="AF437">
    <cfRule type="expression" dxfId="4721" priority="4902" stopIfTrue="1">
      <formula>$G435=""</formula>
    </cfRule>
  </conditionalFormatting>
  <conditionalFormatting sqref="AF437:AI437">
    <cfRule type="expression" dxfId="4720" priority="4906">
      <formula>OR($HP436=FALSE,$HL436=FALSE)</formula>
    </cfRule>
  </conditionalFormatting>
  <conditionalFormatting sqref="AF437">
    <cfRule type="containsBlanks" dxfId="4719" priority="4903" stopIfTrue="1">
      <formula>LEN(TRIM(AF437))=0</formula>
    </cfRule>
    <cfRule type="expression" dxfId="4718" priority="4904">
      <formula>$DP435=7</formula>
    </cfRule>
    <cfRule type="expression" dxfId="4717" priority="4905">
      <formula>OR($HK436=FALSE,$HM436=FALSE)</formula>
    </cfRule>
  </conditionalFormatting>
  <conditionalFormatting sqref="G438:L438">
    <cfRule type="expression" dxfId="4716" priority="4909" stopIfTrue="1">
      <formula>$AF437=""</formula>
    </cfRule>
  </conditionalFormatting>
  <conditionalFormatting sqref="T436:U436">
    <cfRule type="expression" dxfId="4715" priority="4898" stopIfTrue="1">
      <formula>$C$36&lt;&gt;0</formula>
    </cfRule>
    <cfRule type="containsBlanks" dxfId="4714" priority="4899" stopIfTrue="1">
      <formula>LEN(TRIM(T436))=0</formula>
    </cfRule>
  </conditionalFormatting>
  <conditionalFormatting sqref="T436:U436">
    <cfRule type="expression" dxfId="4713" priority="4897" stopIfTrue="1">
      <formula>$G435=""</formula>
    </cfRule>
  </conditionalFormatting>
  <conditionalFormatting sqref="U436">
    <cfRule type="expression" dxfId="4712" priority="4900">
      <formula>$HE436=FALSE</formula>
    </cfRule>
  </conditionalFormatting>
  <conditionalFormatting sqref="T438">
    <cfRule type="expression" dxfId="4711" priority="4896">
      <formula>$C$36=2</formula>
    </cfRule>
  </conditionalFormatting>
  <conditionalFormatting sqref="AE442">
    <cfRule type="expression" dxfId="4710" priority="4882" stopIfTrue="1">
      <formula>$G440=""</formula>
    </cfRule>
  </conditionalFormatting>
  <conditionalFormatting sqref="AB443:AD443">
    <cfRule type="expression" dxfId="4709" priority="4894" stopIfTrue="1">
      <formula>$G440=""</formula>
    </cfRule>
  </conditionalFormatting>
  <conditionalFormatting sqref="G442">
    <cfRule type="expression" dxfId="4708" priority="4891" stopIfTrue="1">
      <formula>$G440=""</formula>
    </cfRule>
    <cfRule type="containsBlanks" dxfId="4707" priority="4892" stopIfTrue="1">
      <formula>LEN(TRIM(G442))=0</formula>
    </cfRule>
    <cfRule type="expression" dxfId="4706" priority="4893">
      <formula>OR($M442=0,$HC441=FALSE)</formula>
    </cfRule>
  </conditionalFormatting>
  <conditionalFormatting sqref="AB443">
    <cfRule type="expression" dxfId="4705" priority="4890" stopIfTrue="1">
      <formula>$AB443=""</formula>
    </cfRule>
  </conditionalFormatting>
  <conditionalFormatting sqref="AE441:AF441">
    <cfRule type="expression" dxfId="4704" priority="4889">
      <formula>$C$36=2</formula>
    </cfRule>
  </conditionalFormatting>
  <conditionalFormatting sqref="T442:U442">
    <cfRule type="expression" dxfId="4703" priority="4864" stopIfTrue="1">
      <formula>$G440=""</formula>
    </cfRule>
  </conditionalFormatting>
  <conditionalFormatting sqref="T442:U442">
    <cfRule type="containsBlanks" dxfId="4702" priority="4887" stopIfTrue="1">
      <formula>LEN(TRIM(T442))=0</formula>
    </cfRule>
  </conditionalFormatting>
  <conditionalFormatting sqref="AC440:AD440">
    <cfRule type="expression" dxfId="4701" priority="4886">
      <formula>$G440=""</formula>
    </cfRule>
  </conditionalFormatting>
  <conditionalFormatting sqref="AE441">
    <cfRule type="containsBlanks" dxfId="4700" priority="4884">
      <formula>LEN(TRIM(AE441))=0</formula>
    </cfRule>
  </conditionalFormatting>
  <conditionalFormatting sqref="AE442 AF443">
    <cfRule type="containsBlanks" dxfId="4699" priority="4883" stopIfTrue="1">
      <formula>LEN(TRIM(AE442))=0</formula>
    </cfRule>
  </conditionalFormatting>
  <conditionalFormatting sqref="AE442">
    <cfRule type="expression" dxfId="4698" priority="4895">
      <formula>OR($HN441=FALSE,$HO441=FALSE)</formula>
    </cfRule>
  </conditionalFormatting>
  <conditionalFormatting sqref="G441:Q441 G440">
    <cfRule type="containsBlanks" dxfId="4697" priority="4881">
      <formula>LEN(TRIM(G440))=0</formula>
    </cfRule>
  </conditionalFormatting>
  <conditionalFormatting sqref="G441:L441">
    <cfRule type="expression" dxfId="4696" priority="4879" stopIfTrue="1">
      <formula>$G440=""</formula>
    </cfRule>
    <cfRule type="containsBlanks" dxfId="4695" priority="4880">
      <formula>LEN(TRIM(G441))=0</formula>
    </cfRule>
  </conditionalFormatting>
  <conditionalFormatting sqref="R442">
    <cfRule type="expression" dxfId="4694" priority="4877" stopIfTrue="1">
      <formula>$G440=""</formula>
    </cfRule>
    <cfRule type="containsBlanks" dxfId="4693" priority="4878">
      <formula>LEN(TRIM(R442))=0</formula>
    </cfRule>
  </conditionalFormatting>
  <conditionalFormatting sqref="P442:R442">
    <cfRule type="expression" dxfId="4692" priority="4876">
      <formula>$C$36=0</formula>
    </cfRule>
  </conditionalFormatting>
  <conditionalFormatting sqref="AF441">
    <cfRule type="containsBlanks" dxfId="4691" priority="4872">
      <formula>LEN(TRIM(AF441))=0</formula>
    </cfRule>
    <cfRule type="expression" dxfId="4690" priority="4873">
      <formula>$HJ441=FALSE</formula>
    </cfRule>
  </conditionalFormatting>
  <conditionalFormatting sqref="AF443">
    <cfRule type="expression" dxfId="4689" priority="4871">
      <formula>$C$36=2</formula>
    </cfRule>
  </conditionalFormatting>
  <conditionalFormatting sqref="R441">
    <cfRule type="containsBlanks" dxfId="4688" priority="4870">
      <formula>LEN(TRIM(R441))=0</formula>
    </cfRule>
  </conditionalFormatting>
  <conditionalFormatting sqref="AE441:AF441">
    <cfRule type="expression" dxfId="4687" priority="4869" stopIfTrue="1">
      <formula>$G440=""</formula>
    </cfRule>
  </conditionalFormatting>
  <conditionalFormatting sqref="AF443">
    <cfRule type="expression" dxfId="4686" priority="4868" stopIfTrue="1">
      <formula>$G440=""</formula>
    </cfRule>
  </conditionalFormatting>
  <conditionalFormatting sqref="AF440:AI440">
    <cfRule type="expression" dxfId="4685" priority="4867">
      <formula>$C$36&lt;&gt;0</formula>
    </cfRule>
  </conditionalFormatting>
  <conditionalFormatting sqref="R441">
    <cfRule type="containsBlanks" dxfId="4684" priority="4865">
      <formula>LEN(TRIM(R441))=0</formula>
    </cfRule>
  </conditionalFormatting>
  <conditionalFormatting sqref="U442">
    <cfRule type="expression" dxfId="4683" priority="4888">
      <formula>OR($HF441=FALSE,$HG441=FALSE)</formula>
    </cfRule>
  </conditionalFormatting>
  <conditionalFormatting sqref="R441">
    <cfRule type="expression" dxfId="4682" priority="4862" stopIfTrue="1">
      <formula>$G440=""</formula>
    </cfRule>
    <cfRule type="expression" dxfId="4681" priority="4863">
      <formula>$HT441=FALSE</formula>
    </cfRule>
  </conditionalFormatting>
  <conditionalFormatting sqref="G443">
    <cfRule type="expression" dxfId="4680" priority="4857" stopIfTrue="1">
      <formula>$G440=""</formula>
    </cfRule>
  </conditionalFormatting>
  <conditionalFormatting sqref="G443">
    <cfRule type="expression" dxfId="4679" priority="4851" stopIfTrue="1">
      <formula>$CN440="Exterior"</formula>
    </cfRule>
  </conditionalFormatting>
  <conditionalFormatting sqref="G443:L443">
    <cfRule type="containsBlanks" dxfId="4678" priority="4858" stopIfTrue="1">
      <formula>LEN(TRIM(G443))=0</formula>
    </cfRule>
    <cfRule type="expression" dxfId="4677" priority="4860">
      <formula>$HL441=FALSE</formula>
    </cfRule>
  </conditionalFormatting>
  <conditionalFormatting sqref="AF442">
    <cfRule type="expression" dxfId="4676" priority="4852" stopIfTrue="1">
      <formula>$G440=""</formula>
    </cfRule>
  </conditionalFormatting>
  <conditionalFormatting sqref="AF442:AI442">
    <cfRule type="expression" dxfId="4675" priority="4856">
      <formula>OR($HP441=FALSE,$HL441=FALSE)</formula>
    </cfRule>
  </conditionalFormatting>
  <conditionalFormatting sqref="AF442">
    <cfRule type="containsBlanks" dxfId="4674" priority="4853" stopIfTrue="1">
      <formula>LEN(TRIM(AF442))=0</formula>
    </cfRule>
    <cfRule type="expression" dxfId="4673" priority="4854">
      <formula>$DP440=7</formula>
    </cfRule>
    <cfRule type="expression" dxfId="4672" priority="4855">
      <formula>OR($HK441=FALSE,$HM441=FALSE)</formula>
    </cfRule>
  </conditionalFormatting>
  <conditionalFormatting sqref="G443:L443">
    <cfRule type="expression" dxfId="4671" priority="4859" stopIfTrue="1">
      <formula>$AF442=""</formula>
    </cfRule>
  </conditionalFormatting>
  <conditionalFormatting sqref="T441:U441">
    <cfRule type="expression" dxfId="4670" priority="4848" stopIfTrue="1">
      <formula>$C$36&lt;&gt;0</formula>
    </cfRule>
    <cfRule type="containsBlanks" dxfId="4669" priority="4849" stopIfTrue="1">
      <formula>LEN(TRIM(T441))=0</formula>
    </cfRule>
  </conditionalFormatting>
  <conditionalFormatting sqref="T441:U441">
    <cfRule type="expression" dxfId="4668" priority="4847" stopIfTrue="1">
      <formula>$G440=""</formula>
    </cfRule>
  </conditionalFormatting>
  <conditionalFormatting sqref="U441">
    <cfRule type="expression" dxfId="4667" priority="4850">
      <formula>$HE441=FALSE</formula>
    </cfRule>
  </conditionalFormatting>
  <conditionalFormatting sqref="T443">
    <cfRule type="expression" dxfId="4666" priority="4846">
      <formula>$C$36=2</formula>
    </cfRule>
  </conditionalFormatting>
  <conditionalFormatting sqref="AE447">
    <cfRule type="expression" dxfId="4665" priority="4832" stopIfTrue="1">
      <formula>$G445=""</formula>
    </cfRule>
  </conditionalFormatting>
  <conditionalFormatting sqref="AB448:AD448">
    <cfRule type="expression" dxfId="4664" priority="4844" stopIfTrue="1">
      <formula>$G445=""</formula>
    </cfRule>
  </conditionalFormatting>
  <conditionalFormatting sqref="G447">
    <cfRule type="expression" dxfId="4663" priority="4841" stopIfTrue="1">
      <formula>$G445=""</formula>
    </cfRule>
    <cfRule type="containsBlanks" dxfId="4662" priority="4842" stopIfTrue="1">
      <formula>LEN(TRIM(G447))=0</formula>
    </cfRule>
    <cfRule type="expression" dxfId="4661" priority="4843">
      <formula>OR($M447=0,$HC446=FALSE)</formula>
    </cfRule>
  </conditionalFormatting>
  <conditionalFormatting sqref="AB448">
    <cfRule type="expression" dxfId="4660" priority="4840" stopIfTrue="1">
      <formula>$AB448=""</formula>
    </cfRule>
  </conditionalFormatting>
  <conditionalFormatting sqref="AE446:AF446">
    <cfRule type="expression" dxfId="4659" priority="4839">
      <formula>$C$36=2</formula>
    </cfRule>
  </conditionalFormatting>
  <conditionalFormatting sqref="T447:U447">
    <cfRule type="expression" dxfId="4658" priority="4814" stopIfTrue="1">
      <formula>$G445=""</formula>
    </cfRule>
  </conditionalFormatting>
  <conditionalFormatting sqref="T447:U447">
    <cfRule type="containsBlanks" dxfId="4657" priority="4837" stopIfTrue="1">
      <formula>LEN(TRIM(T447))=0</formula>
    </cfRule>
  </conditionalFormatting>
  <conditionalFormatting sqref="AC445:AD445">
    <cfRule type="expression" dxfId="4656" priority="4836">
      <formula>$G445=""</formula>
    </cfRule>
  </conditionalFormatting>
  <conditionalFormatting sqref="AE446">
    <cfRule type="containsBlanks" dxfId="4655" priority="4834">
      <formula>LEN(TRIM(AE446))=0</formula>
    </cfRule>
  </conditionalFormatting>
  <conditionalFormatting sqref="AE447 AF448">
    <cfRule type="containsBlanks" dxfId="4654" priority="4833" stopIfTrue="1">
      <formula>LEN(TRIM(AE447))=0</formula>
    </cfRule>
  </conditionalFormatting>
  <conditionalFormatting sqref="AE447">
    <cfRule type="expression" dxfId="4653" priority="4845">
      <formula>OR($HN446=FALSE,$HO446=FALSE)</formula>
    </cfRule>
  </conditionalFormatting>
  <conditionalFormatting sqref="G446:Q446 G445">
    <cfRule type="containsBlanks" dxfId="4652" priority="4831">
      <formula>LEN(TRIM(G445))=0</formula>
    </cfRule>
  </conditionalFormatting>
  <conditionalFormatting sqref="G446:L446">
    <cfRule type="expression" dxfId="4651" priority="4829" stopIfTrue="1">
      <formula>$G445=""</formula>
    </cfRule>
    <cfRule type="containsBlanks" dxfId="4650" priority="4830">
      <formula>LEN(TRIM(G446))=0</formula>
    </cfRule>
  </conditionalFormatting>
  <conditionalFormatting sqref="R447">
    <cfRule type="expression" dxfId="4649" priority="4827" stopIfTrue="1">
      <formula>$G445=""</formula>
    </cfRule>
    <cfRule type="containsBlanks" dxfId="4648" priority="4828">
      <formula>LEN(TRIM(R447))=0</formula>
    </cfRule>
  </conditionalFormatting>
  <conditionalFormatting sqref="P447:R447">
    <cfRule type="expression" dxfId="4647" priority="4826">
      <formula>$C$36=0</formula>
    </cfRule>
  </conditionalFormatting>
  <conditionalFormatting sqref="AF446">
    <cfRule type="containsBlanks" dxfId="4646" priority="4822">
      <formula>LEN(TRIM(AF446))=0</formula>
    </cfRule>
    <cfRule type="expression" dxfId="4645" priority="4823">
      <formula>$HJ446=FALSE</formula>
    </cfRule>
  </conditionalFormatting>
  <conditionalFormatting sqref="AF448">
    <cfRule type="expression" dxfId="4644" priority="4821">
      <formula>$C$36=2</formula>
    </cfRule>
  </conditionalFormatting>
  <conditionalFormatting sqref="R446">
    <cfRule type="containsBlanks" dxfId="4643" priority="4820">
      <formula>LEN(TRIM(R446))=0</formula>
    </cfRule>
  </conditionalFormatting>
  <conditionalFormatting sqref="AE446:AF446">
    <cfRule type="expression" dxfId="4642" priority="4819" stopIfTrue="1">
      <formula>$G445=""</formula>
    </cfRule>
  </conditionalFormatting>
  <conditionalFormatting sqref="AF448">
    <cfRule type="expression" dxfId="4641" priority="4818" stopIfTrue="1">
      <formula>$G445=""</formula>
    </cfRule>
  </conditionalFormatting>
  <conditionalFormatting sqref="AF445:AI445">
    <cfRule type="expression" dxfId="4640" priority="4817">
      <formula>$C$36&lt;&gt;0</formula>
    </cfRule>
  </conditionalFormatting>
  <conditionalFormatting sqref="R446">
    <cfRule type="containsBlanks" dxfId="4639" priority="4815">
      <formula>LEN(TRIM(R446))=0</formula>
    </cfRule>
  </conditionalFormatting>
  <conditionalFormatting sqref="U447">
    <cfRule type="expression" dxfId="4638" priority="4838">
      <formula>OR($HF446=FALSE,$HG446=FALSE)</formula>
    </cfRule>
  </conditionalFormatting>
  <conditionalFormatting sqref="R446">
    <cfRule type="expression" dxfId="4637" priority="4812" stopIfTrue="1">
      <formula>$G445=""</formula>
    </cfRule>
    <cfRule type="expression" dxfId="4636" priority="4813">
      <formula>$HT446=FALSE</formula>
    </cfRule>
  </conditionalFormatting>
  <conditionalFormatting sqref="G448">
    <cfRule type="expression" dxfId="4635" priority="4807" stopIfTrue="1">
      <formula>$G445=""</formula>
    </cfRule>
  </conditionalFormatting>
  <conditionalFormatting sqref="G448">
    <cfRule type="expression" dxfId="4634" priority="4801" stopIfTrue="1">
      <formula>$CN445="Exterior"</formula>
    </cfRule>
  </conditionalFormatting>
  <conditionalFormatting sqref="G448:L448">
    <cfRule type="containsBlanks" dxfId="4633" priority="4808" stopIfTrue="1">
      <formula>LEN(TRIM(G448))=0</formula>
    </cfRule>
    <cfRule type="expression" dxfId="4632" priority="4810">
      <formula>$HL446=FALSE</formula>
    </cfRule>
  </conditionalFormatting>
  <conditionalFormatting sqref="AF447">
    <cfRule type="expression" dxfId="4631" priority="4802" stopIfTrue="1">
      <formula>$G445=""</formula>
    </cfRule>
  </conditionalFormatting>
  <conditionalFormatting sqref="AF447:AI447">
    <cfRule type="expression" dxfId="4630" priority="4806">
      <formula>OR($HP446=FALSE,$HL446=FALSE)</formula>
    </cfRule>
  </conditionalFormatting>
  <conditionalFormatting sqref="AF447">
    <cfRule type="containsBlanks" dxfId="4629" priority="4803" stopIfTrue="1">
      <formula>LEN(TRIM(AF447))=0</formula>
    </cfRule>
    <cfRule type="expression" dxfId="4628" priority="4804">
      <formula>$DP445=7</formula>
    </cfRule>
    <cfRule type="expression" dxfId="4627" priority="4805">
      <formula>OR($HK446=FALSE,$HM446=FALSE)</formula>
    </cfRule>
  </conditionalFormatting>
  <conditionalFormatting sqref="G448:L448">
    <cfRule type="expression" dxfId="4626" priority="4809" stopIfTrue="1">
      <formula>$AF447=""</formula>
    </cfRule>
  </conditionalFormatting>
  <conditionalFormatting sqref="T446:U446">
    <cfRule type="expression" dxfId="4625" priority="4798" stopIfTrue="1">
      <formula>$C$36&lt;&gt;0</formula>
    </cfRule>
    <cfRule type="containsBlanks" dxfId="4624" priority="4799" stopIfTrue="1">
      <formula>LEN(TRIM(T446))=0</formula>
    </cfRule>
  </conditionalFormatting>
  <conditionalFormatting sqref="T446:U446">
    <cfRule type="expression" dxfId="4623" priority="4797" stopIfTrue="1">
      <formula>$G445=""</formula>
    </cfRule>
  </conditionalFormatting>
  <conditionalFormatting sqref="U446">
    <cfRule type="expression" dxfId="4622" priority="4800">
      <formula>$HE446=FALSE</formula>
    </cfRule>
  </conditionalFormatting>
  <conditionalFormatting sqref="T448">
    <cfRule type="expression" dxfId="4621" priority="4796">
      <formula>$C$36=2</formula>
    </cfRule>
  </conditionalFormatting>
  <conditionalFormatting sqref="AE452">
    <cfRule type="expression" dxfId="4620" priority="4782" stopIfTrue="1">
      <formula>$G450=""</formula>
    </cfRule>
  </conditionalFormatting>
  <conditionalFormatting sqref="AB453:AD453">
    <cfRule type="expression" dxfId="4619" priority="4794" stopIfTrue="1">
      <formula>$G450=""</formula>
    </cfRule>
  </conditionalFormatting>
  <conditionalFormatting sqref="G452">
    <cfRule type="expression" dxfId="4618" priority="4791" stopIfTrue="1">
      <formula>$G450=""</formula>
    </cfRule>
    <cfRule type="containsBlanks" dxfId="4617" priority="4792" stopIfTrue="1">
      <formula>LEN(TRIM(G452))=0</formula>
    </cfRule>
    <cfRule type="expression" dxfId="4616" priority="4793">
      <formula>OR($M452=0,$HC451=FALSE)</formula>
    </cfRule>
  </conditionalFormatting>
  <conditionalFormatting sqref="AB453">
    <cfRule type="expression" dxfId="4615" priority="4790" stopIfTrue="1">
      <formula>$AB453=""</formula>
    </cfRule>
  </conditionalFormatting>
  <conditionalFormatting sqref="AE451:AF451">
    <cfRule type="expression" dxfId="4614" priority="4789">
      <formula>$C$36=2</formula>
    </cfRule>
  </conditionalFormatting>
  <conditionalFormatting sqref="T452:U452">
    <cfRule type="expression" dxfId="4613" priority="4764" stopIfTrue="1">
      <formula>$G450=""</formula>
    </cfRule>
  </conditionalFormatting>
  <conditionalFormatting sqref="T452:U452">
    <cfRule type="containsBlanks" dxfId="4612" priority="4787" stopIfTrue="1">
      <formula>LEN(TRIM(T452))=0</formula>
    </cfRule>
  </conditionalFormatting>
  <conditionalFormatting sqref="AC450:AD450">
    <cfRule type="expression" dxfId="4611" priority="4786">
      <formula>$G450=""</formula>
    </cfRule>
  </conditionalFormatting>
  <conditionalFormatting sqref="AE451">
    <cfRule type="containsBlanks" dxfId="4610" priority="4784">
      <formula>LEN(TRIM(AE451))=0</formula>
    </cfRule>
  </conditionalFormatting>
  <conditionalFormatting sqref="AE452 AF453">
    <cfRule type="containsBlanks" dxfId="4609" priority="4783" stopIfTrue="1">
      <formula>LEN(TRIM(AE452))=0</formula>
    </cfRule>
  </conditionalFormatting>
  <conditionalFormatting sqref="AE452">
    <cfRule type="expression" dxfId="4608" priority="4795">
      <formula>OR($HN451=FALSE,$HO451=FALSE)</formula>
    </cfRule>
  </conditionalFormatting>
  <conditionalFormatting sqref="G451:Q451 G450">
    <cfRule type="containsBlanks" dxfId="4607" priority="4781">
      <formula>LEN(TRIM(G450))=0</formula>
    </cfRule>
  </conditionalFormatting>
  <conditionalFormatting sqref="G451:L451">
    <cfRule type="expression" dxfId="4606" priority="4779" stopIfTrue="1">
      <formula>$G450=""</formula>
    </cfRule>
    <cfRule type="containsBlanks" dxfId="4605" priority="4780">
      <formula>LEN(TRIM(G451))=0</formula>
    </cfRule>
  </conditionalFormatting>
  <conditionalFormatting sqref="R452">
    <cfRule type="expression" dxfId="4604" priority="4777" stopIfTrue="1">
      <formula>$G450=""</formula>
    </cfRule>
    <cfRule type="containsBlanks" dxfId="4603" priority="4778">
      <formula>LEN(TRIM(R452))=0</formula>
    </cfRule>
  </conditionalFormatting>
  <conditionalFormatting sqref="P452:R452">
    <cfRule type="expression" dxfId="4602" priority="4776">
      <formula>$C$36=0</formula>
    </cfRule>
  </conditionalFormatting>
  <conditionalFormatting sqref="AF451">
    <cfRule type="containsBlanks" dxfId="4601" priority="4772">
      <formula>LEN(TRIM(AF451))=0</formula>
    </cfRule>
    <cfRule type="expression" dxfId="4600" priority="4773">
      <formula>$HJ451=FALSE</formula>
    </cfRule>
  </conditionalFormatting>
  <conditionalFormatting sqref="AF453">
    <cfRule type="expression" dxfId="4599" priority="4771">
      <formula>$C$36=2</formula>
    </cfRule>
  </conditionalFormatting>
  <conditionalFormatting sqref="R451">
    <cfRule type="containsBlanks" dxfId="4598" priority="4770">
      <formula>LEN(TRIM(R451))=0</formula>
    </cfRule>
  </conditionalFormatting>
  <conditionalFormatting sqref="AE451:AF451">
    <cfRule type="expression" dxfId="4597" priority="4769" stopIfTrue="1">
      <formula>$G450=""</formula>
    </cfRule>
  </conditionalFormatting>
  <conditionalFormatting sqref="AF453">
    <cfRule type="expression" dxfId="4596" priority="4768" stopIfTrue="1">
      <formula>$G450=""</formula>
    </cfRule>
  </conditionalFormatting>
  <conditionalFormatting sqref="AF450:AI450">
    <cfRule type="expression" dxfId="4595" priority="4767">
      <formula>$C$36&lt;&gt;0</formula>
    </cfRule>
  </conditionalFormatting>
  <conditionalFormatting sqref="R451">
    <cfRule type="containsBlanks" dxfId="4594" priority="4765">
      <formula>LEN(TRIM(R451))=0</formula>
    </cfRule>
  </conditionalFormatting>
  <conditionalFormatting sqref="U452">
    <cfRule type="expression" dxfId="4593" priority="4788">
      <formula>OR($HF451=FALSE,$HG451=FALSE)</formula>
    </cfRule>
  </conditionalFormatting>
  <conditionalFormatting sqref="R451">
    <cfRule type="expression" dxfId="4592" priority="4762" stopIfTrue="1">
      <formula>$G450=""</formula>
    </cfRule>
    <cfRule type="expression" dxfId="4591" priority="4763">
      <formula>$HT451=FALSE</formula>
    </cfRule>
  </conditionalFormatting>
  <conditionalFormatting sqref="G453">
    <cfRule type="expression" dxfId="4590" priority="4757" stopIfTrue="1">
      <formula>$G450=""</formula>
    </cfRule>
  </conditionalFormatting>
  <conditionalFormatting sqref="G453">
    <cfRule type="expression" dxfId="4589" priority="4751" stopIfTrue="1">
      <formula>$CN450="Exterior"</formula>
    </cfRule>
  </conditionalFormatting>
  <conditionalFormatting sqref="G453:L453">
    <cfRule type="containsBlanks" dxfId="4588" priority="4758" stopIfTrue="1">
      <formula>LEN(TRIM(G453))=0</formula>
    </cfRule>
    <cfRule type="expression" dxfId="4587" priority="4760">
      <formula>$HL451=FALSE</formula>
    </cfRule>
  </conditionalFormatting>
  <conditionalFormatting sqref="AF452">
    <cfRule type="expression" dxfId="4586" priority="4752" stopIfTrue="1">
      <formula>$G450=""</formula>
    </cfRule>
  </conditionalFormatting>
  <conditionalFormatting sqref="AF452:AI452">
    <cfRule type="expression" dxfId="4585" priority="4756">
      <formula>OR($HP451=FALSE,$HL451=FALSE)</formula>
    </cfRule>
  </conditionalFormatting>
  <conditionalFormatting sqref="AF452">
    <cfRule type="containsBlanks" dxfId="4584" priority="4753" stopIfTrue="1">
      <formula>LEN(TRIM(AF452))=0</formula>
    </cfRule>
    <cfRule type="expression" dxfId="4583" priority="4754">
      <formula>$DP450=7</formula>
    </cfRule>
    <cfRule type="expression" dxfId="4582" priority="4755">
      <formula>OR($HK451=FALSE,$HM451=FALSE)</formula>
    </cfRule>
  </conditionalFormatting>
  <conditionalFormatting sqref="G453:L453">
    <cfRule type="expression" dxfId="4581" priority="4759" stopIfTrue="1">
      <formula>$AF452=""</formula>
    </cfRule>
  </conditionalFormatting>
  <conditionalFormatting sqref="T451:U451">
    <cfRule type="expression" dxfId="4580" priority="4748" stopIfTrue="1">
      <formula>$C$36&lt;&gt;0</formula>
    </cfRule>
    <cfRule type="containsBlanks" dxfId="4579" priority="4749" stopIfTrue="1">
      <formula>LEN(TRIM(T451))=0</formula>
    </cfRule>
  </conditionalFormatting>
  <conditionalFormatting sqref="T451:U451">
    <cfRule type="expression" dxfId="4578" priority="4747" stopIfTrue="1">
      <formula>$G450=""</formula>
    </cfRule>
  </conditionalFormatting>
  <conditionalFormatting sqref="U451">
    <cfRule type="expression" dxfId="4577" priority="4750">
      <formula>$HE451=FALSE</formula>
    </cfRule>
  </conditionalFormatting>
  <conditionalFormatting sqref="T453">
    <cfRule type="expression" dxfId="4576" priority="4746">
      <formula>$C$36=2</formula>
    </cfRule>
  </conditionalFormatting>
  <conditionalFormatting sqref="AE457">
    <cfRule type="expression" dxfId="4575" priority="4732" stopIfTrue="1">
      <formula>$G455=""</formula>
    </cfRule>
  </conditionalFormatting>
  <conditionalFormatting sqref="AB458:AD458">
    <cfRule type="expression" dxfId="4574" priority="4744" stopIfTrue="1">
      <formula>$G455=""</formula>
    </cfRule>
  </conditionalFormatting>
  <conditionalFormatting sqref="G457">
    <cfRule type="expression" dxfId="4573" priority="4741" stopIfTrue="1">
      <formula>$G455=""</formula>
    </cfRule>
    <cfRule type="containsBlanks" dxfId="4572" priority="4742" stopIfTrue="1">
      <formula>LEN(TRIM(G457))=0</formula>
    </cfRule>
    <cfRule type="expression" dxfId="4571" priority="4743">
      <formula>OR($M457=0,$HC456=FALSE)</formula>
    </cfRule>
  </conditionalFormatting>
  <conditionalFormatting sqref="AB458">
    <cfRule type="expression" dxfId="4570" priority="4740" stopIfTrue="1">
      <formula>$AB458=""</formula>
    </cfRule>
  </conditionalFormatting>
  <conditionalFormatting sqref="AE456:AF456">
    <cfRule type="expression" dxfId="4569" priority="4739">
      <formula>$C$36=2</formula>
    </cfRule>
  </conditionalFormatting>
  <conditionalFormatting sqref="T457:U457">
    <cfRule type="expression" dxfId="4568" priority="4714" stopIfTrue="1">
      <formula>$G455=""</formula>
    </cfRule>
  </conditionalFormatting>
  <conditionalFormatting sqref="T457:U457">
    <cfRule type="containsBlanks" dxfId="4567" priority="4737" stopIfTrue="1">
      <formula>LEN(TRIM(T457))=0</formula>
    </cfRule>
  </conditionalFormatting>
  <conditionalFormatting sqref="AC455:AD455">
    <cfRule type="expression" dxfId="4566" priority="4736">
      <formula>$G455=""</formula>
    </cfRule>
  </conditionalFormatting>
  <conditionalFormatting sqref="AE456">
    <cfRule type="containsBlanks" dxfId="4565" priority="4734">
      <formula>LEN(TRIM(AE456))=0</formula>
    </cfRule>
  </conditionalFormatting>
  <conditionalFormatting sqref="AE457 AF458">
    <cfRule type="containsBlanks" dxfId="4564" priority="4733" stopIfTrue="1">
      <formula>LEN(TRIM(AE457))=0</formula>
    </cfRule>
  </conditionalFormatting>
  <conditionalFormatting sqref="AE457">
    <cfRule type="expression" dxfId="4563" priority="4745">
      <formula>OR($HN456=FALSE,$HO456=FALSE)</formula>
    </cfRule>
  </conditionalFormatting>
  <conditionalFormatting sqref="G456:Q456 G455">
    <cfRule type="containsBlanks" dxfId="4562" priority="4731">
      <formula>LEN(TRIM(G455))=0</formula>
    </cfRule>
  </conditionalFormatting>
  <conditionalFormatting sqref="G456:L456">
    <cfRule type="expression" dxfId="4561" priority="4729" stopIfTrue="1">
      <formula>$G455=""</formula>
    </cfRule>
    <cfRule type="containsBlanks" dxfId="4560" priority="4730">
      <formula>LEN(TRIM(G456))=0</formula>
    </cfRule>
  </conditionalFormatting>
  <conditionalFormatting sqref="R457">
    <cfRule type="expression" dxfId="4559" priority="4727" stopIfTrue="1">
      <formula>$G455=""</formula>
    </cfRule>
    <cfRule type="containsBlanks" dxfId="4558" priority="4728">
      <formula>LEN(TRIM(R457))=0</formula>
    </cfRule>
  </conditionalFormatting>
  <conditionalFormatting sqref="P457:R457">
    <cfRule type="expression" dxfId="4557" priority="4726">
      <formula>$C$36=0</formula>
    </cfRule>
  </conditionalFormatting>
  <conditionalFormatting sqref="AF456">
    <cfRule type="containsBlanks" dxfId="4556" priority="4722">
      <formula>LEN(TRIM(AF456))=0</formula>
    </cfRule>
    <cfRule type="expression" dxfId="4555" priority="4723">
      <formula>$HJ456=FALSE</formula>
    </cfRule>
  </conditionalFormatting>
  <conditionalFormatting sqref="AF458">
    <cfRule type="expression" dxfId="4554" priority="4721">
      <formula>$C$36=2</formula>
    </cfRule>
  </conditionalFormatting>
  <conditionalFormatting sqref="R456">
    <cfRule type="containsBlanks" dxfId="4553" priority="4720">
      <formula>LEN(TRIM(R456))=0</formula>
    </cfRule>
  </conditionalFormatting>
  <conditionalFormatting sqref="AE456:AF456">
    <cfRule type="expression" dxfId="4552" priority="4719" stopIfTrue="1">
      <formula>$G455=""</formula>
    </cfRule>
  </conditionalFormatting>
  <conditionalFormatting sqref="AF458">
    <cfRule type="expression" dxfId="4551" priority="4718" stopIfTrue="1">
      <formula>$G455=""</formula>
    </cfRule>
  </conditionalFormatting>
  <conditionalFormatting sqref="AF455:AI455">
    <cfRule type="expression" dxfId="4550" priority="4717">
      <formula>$C$36&lt;&gt;0</formula>
    </cfRule>
  </conditionalFormatting>
  <conditionalFormatting sqref="R456">
    <cfRule type="containsBlanks" dxfId="4549" priority="4715">
      <formula>LEN(TRIM(R456))=0</formula>
    </cfRule>
  </conditionalFormatting>
  <conditionalFormatting sqref="U457">
    <cfRule type="expression" dxfId="4548" priority="4738">
      <formula>OR($HF456=FALSE,$HG456=FALSE)</formula>
    </cfRule>
  </conditionalFormatting>
  <conditionalFormatting sqref="R456">
    <cfRule type="expression" dxfId="4547" priority="4712" stopIfTrue="1">
      <formula>$G455=""</formula>
    </cfRule>
    <cfRule type="expression" dxfId="4546" priority="4713">
      <formula>$HT456=FALSE</formula>
    </cfRule>
  </conditionalFormatting>
  <conditionalFormatting sqref="G458">
    <cfRule type="expression" dxfId="4545" priority="4707" stopIfTrue="1">
      <formula>$G455=""</formula>
    </cfRule>
  </conditionalFormatting>
  <conditionalFormatting sqref="G458">
    <cfRule type="expression" dxfId="4544" priority="4701" stopIfTrue="1">
      <formula>$CN455="Exterior"</formula>
    </cfRule>
  </conditionalFormatting>
  <conditionalFormatting sqref="G458:L458">
    <cfRule type="containsBlanks" dxfId="4543" priority="4708" stopIfTrue="1">
      <formula>LEN(TRIM(G458))=0</formula>
    </cfRule>
    <cfRule type="expression" dxfId="4542" priority="4710">
      <formula>$HL456=FALSE</formula>
    </cfRule>
  </conditionalFormatting>
  <conditionalFormatting sqref="AF457">
    <cfRule type="expression" dxfId="4541" priority="4702" stopIfTrue="1">
      <formula>$G455=""</formula>
    </cfRule>
  </conditionalFormatting>
  <conditionalFormatting sqref="AF457:AI457">
    <cfRule type="expression" dxfId="4540" priority="4706">
      <formula>OR($HP456=FALSE,$HL456=FALSE)</formula>
    </cfRule>
  </conditionalFormatting>
  <conditionalFormatting sqref="AF457">
    <cfRule type="containsBlanks" dxfId="4539" priority="4703" stopIfTrue="1">
      <formula>LEN(TRIM(AF457))=0</formula>
    </cfRule>
    <cfRule type="expression" dxfId="4538" priority="4704">
      <formula>$DP455=7</formula>
    </cfRule>
    <cfRule type="expression" dxfId="4537" priority="4705">
      <formula>OR($HK456=FALSE,$HM456=FALSE)</formula>
    </cfRule>
  </conditionalFormatting>
  <conditionalFormatting sqref="G458:L458">
    <cfRule type="expression" dxfId="4536" priority="4709" stopIfTrue="1">
      <formula>$AF457=""</formula>
    </cfRule>
  </conditionalFormatting>
  <conditionalFormatting sqref="T456:U456">
    <cfRule type="expression" dxfId="4535" priority="4698" stopIfTrue="1">
      <formula>$C$36&lt;&gt;0</formula>
    </cfRule>
    <cfRule type="containsBlanks" dxfId="4534" priority="4699" stopIfTrue="1">
      <formula>LEN(TRIM(T456))=0</formula>
    </cfRule>
  </conditionalFormatting>
  <conditionalFormatting sqref="T456:U456">
    <cfRule type="expression" dxfId="4533" priority="4697" stopIfTrue="1">
      <formula>$G455=""</formula>
    </cfRule>
  </conditionalFormatting>
  <conditionalFormatting sqref="U456">
    <cfRule type="expression" dxfId="4532" priority="4700">
      <formula>$HE456=FALSE</formula>
    </cfRule>
  </conditionalFormatting>
  <conditionalFormatting sqref="T458">
    <cfRule type="expression" dxfId="4531" priority="4696">
      <formula>$C$36=2</formula>
    </cfRule>
  </conditionalFormatting>
  <conditionalFormatting sqref="AE462">
    <cfRule type="expression" dxfId="4530" priority="4682" stopIfTrue="1">
      <formula>$G460=""</formula>
    </cfRule>
  </conditionalFormatting>
  <conditionalFormatting sqref="AB463:AD463">
    <cfRule type="expression" dxfId="4529" priority="4694" stopIfTrue="1">
      <formula>$G460=""</formula>
    </cfRule>
  </conditionalFormatting>
  <conditionalFormatting sqref="G462">
    <cfRule type="expression" dxfId="4528" priority="4691" stopIfTrue="1">
      <formula>$G460=""</formula>
    </cfRule>
    <cfRule type="containsBlanks" dxfId="4527" priority="4692" stopIfTrue="1">
      <formula>LEN(TRIM(G462))=0</formula>
    </cfRule>
    <cfRule type="expression" dxfId="4526" priority="4693">
      <formula>OR($M462=0,$HC461=FALSE)</formula>
    </cfRule>
  </conditionalFormatting>
  <conditionalFormatting sqref="AB463">
    <cfRule type="expression" dxfId="4525" priority="4690" stopIfTrue="1">
      <formula>$AB463=""</formula>
    </cfRule>
  </conditionalFormatting>
  <conditionalFormatting sqref="AE461:AF461">
    <cfRule type="expression" dxfId="4524" priority="4689">
      <formula>$C$36=2</formula>
    </cfRule>
  </conditionalFormatting>
  <conditionalFormatting sqref="T462:U462">
    <cfRule type="expression" dxfId="4523" priority="4664" stopIfTrue="1">
      <formula>$G460=""</formula>
    </cfRule>
  </conditionalFormatting>
  <conditionalFormatting sqref="T462:U462">
    <cfRule type="containsBlanks" dxfId="4522" priority="4687" stopIfTrue="1">
      <formula>LEN(TRIM(T462))=0</formula>
    </cfRule>
  </conditionalFormatting>
  <conditionalFormatting sqref="AC460:AD460">
    <cfRule type="expression" dxfId="4521" priority="4686">
      <formula>$G460=""</formula>
    </cfRule>
  </conditionalFormatting>
  <conditionalFormatting sqref="AE461">
    <cfRule type="containsBlanks" dxfId="4520" priority="4684">
      <formula>LEN(TRIM(AE461))=0</formula>
    </cfRule>
  </conditionalFormatting>
  <conditionalFormatting sqref="AE462 AF463">
    <cfRule type="containsBlanks" dxfId="4519" priority="4683" stopIfTrue="1">
      <formula>LEN(TRIM(AE462))=0</formula>
    </cfRule>
  </conditionalFormatting>
  <conditionalFormatting sqref="AE462">
    <cfRule type="expression" dxfId="4518" priority="4695">
      <formula>OR($HN461=FALSE,$HO461=FALSE)</formula>
    </cfRule>
  </conditionalFormatting>
  <conditionalFormatting sqref="G461:Q461 G460">
    <cfRule type="containsBlanks" dxfId="4517" priority="4681">
      <formula>LEN(TRIM(G460))=0</formula>
    </cfRule>
  </conditionalFormatting>
  <conditionalFormatting sqref="G461:L461">
    <cfRule type="expression" dxfId="4516" priority="4679" stopIfTrue="1">
      <formula>$G460=""</formula>
    </cfRule>
    <cfRule type="containsBlanks" dxfId="4515" priority="4680">
      <formula>LEN(TRIM(G461))=0</formula>
    </cfRule>
  </conditionalFormatting>
  <conditionalFormatting sqref="R462">
    <cfRule type="expression" dxfId="4514" priority="4677" stopIfTrue="1">
      <formula>$G460=""</formula>
    </cfRule>
    <cfRule type="containsBlanks" dxfId="4513" priority="4678">
      <formula>LEN(TRIM(R462))=0</formula>
    </cfRule>
  </conditionalFormatting>
  <conditionalFormatting sqref="P462:R462">
    <cfRule type="expression" dxfId="4512" priority="4676">
      <formula>$C$36=0</formula>
    </cfRule>
  </conditionalFormatting>
  <conditionalFormatting sqref="AF461">
    <cfRule type="containsBlanks" dxfId="4511" priority="4672">
      <formula>LEN(TRIM(AF461))=0</formula>
    </cfRule>
    <cfRule type="expression" dxfId="4510" priority="4673">
      <formula>$HJ461=FALSE</formula>
    </cfRule>
  </conditionalFormatting>
  <conditionalFormatting sqref="AF463">
    <cfRule type="expression" dxfId="4509" priority="4671">
      <formula>$C$36=2</formula>
    </cfRule>
  </conditionalFormatting>
  <conditionalFormatting sqref="R461">
    <cfRule type="containsBlanks" dxfId="4508" priority="4670">
      <formula>LEN(TRIM(R461))=0</formula>
    </cfRule>
  </conditionalFormatting>
  <conditionalFormatting sqref="AE461:AF461">
    <cfRule type="expression" dxfId="4507" priority="4669" stopIfTrue="1">
      <formula>$G460=""</formula>
    </cfRule>
  </conditionalFormatting>
  <conditionalFormatting sqref="AF463">
    <cfRule type="expression" dxfId="4506" priority="4668" stopIfTrue="1">
      <formula>$G460=""</formula>
    </cfRule>
  </conditionalFormatting>
  <conditionalFormatting sqref="AF460:AI460">
    <cfRule type="expression" dxfId="4505" priority="4667">
      <formula>$C$36&lt;&gt;0</formula>
    </cfRule>
  </conditionalFormatting>
  <conditionalFormatting sqref="R461">
    <cfRule type="containsBlanks" dxfId="4504" priority="4665">
      <formula>LEN(TRIM(R461))=0</formula>
    </cfRule>
  </conditionalFormatting>
  <conditionalFormatting sqref="U462">
    <cfRule type="expression" dxfId="4503" priority="4688">
      <formula>OR($HF461=FALSE,$HG461=FALSE)</formula>
    </cfRule>
  </conditionalFormatting>
  <conditionalFormatting sqref="R461">
    <cfRule type="expression" dxfId="4502" priority="4662" stopIfTrue="1">
      <formula>$G460=""</formula>
    </cfRule>
    <cfRule type="expression" dxfId="4501" priority="4663">
      <formula>$HT461=FALSE</formula>
    </cfRule>
  </conditionalFormatting>
  <conditionalFormatting sqref="G463">
    <cfRule type="expression" dxfId="4500" priority="4657" stopIfTrue="1">
      <formula>$G460=""</formula>
    </cfRule>
  </conditionalFormatting>
  <conditionalFormatting sqref="G463">
    <cfRule type="expression" dxfId="4499" priority="4651" stopIfTrue="1">
      <formula>$CN460="Exterior"</formula>
    </cfRule>
  </conditionalFormatting>
  <conditionalFormatting sqref="G463:L463">
    <cfRule type="containsBlanks" dxfId="4498" priority="4658" stopIfTrue="1">
      <formula>LEN(TRIM(G463))=0</formula>
    </cfRule>
    <cfRule type="expression" dxfId="4497" priority="4660">
      <formula>$HL461=FALSE</formula>
    </cfRule>
  </conditionalFormatting>
  <conditionalFormatting sqref="AF462">
    <cfRule type="expression" dxfId="4496" priority="4652" stopIfTrue="1">
      <formula>$G460=""</formula>
    </cfRule>
  </conditionalFormatting>
  <conditionalFormatting sqref="AF462:AI462">
    <cfRule type="expression" dxfId="4495" priority="4656">
      <formula>OR($HP461=FALSE,$HL461=FALSE)</formula>
    </cfRule>
  </conditionalFormatting>
  <conditionalFormatting sqref="AF462">
    <cfRule type="containsBlanks" dxfId="4494" priority="4653" stopIfTrue="1">
      <formula>LEN(TRIM(AF462))=0</formula>
    </cfRule>
    <cfRule type="expression" dxfId="4493" priority="4654">
      <formula>$DP460=7</formula>
    </cfRule>
    <cfRule type="expression" dxfId="4492" priority="4655">
      <formula>OR($HK461=FALSE,$HM461=FALSE)</formula>
    </cfRule>
  </conditionalFormatting>
  <conditionalFormatting sqref="G463:L463">
    <cfRule type="expression" dxfId="4491" priority="4659" stopIfTrue="1">
      <formula>$AF462=""</formula>
    </cfRule>
  </conditionalFormatting>
  <conditionalFormatting sqref="T461:U461">
    <cfRule type="expression" dxfId="4490" priority="4648" stopIfTrue="1">
      <formula>$C$36&lt;&gt;0</formula>
    </cfRule>
    <cfRule type="containsBlanks" dxfId="4489" priority="4649" stopIfTrue="1">
      <formula>LEN(TRIM(T461))=0</formula>
    </cfRule>
  </conditionalFormatting>
  <conditionalFormatting sqref="T461:U461">
    <cfRule type="expression" dxfId="4488" priority="4647" stopIfTrue="1">
      <formula>$G460=""</formula>
    </cfRule>
  </conditionalFormatting>
  <conditionalFormatting sqref="U461">
    <cfRule type="expression" dxfId="4487" priority="4650">
      <formula>$HE461=FALSE</formula>
    </cfRule>
  </conditionalFormatting>
  <conditionalFormatting sqref="T463">
    <cfRule type="expression" dxfId="4486" priority="4646">
      <formula>$C$36=2</formula>
    </cfRule>
  </conditionalFormatting>
  <conditionalFormatting sqref="AE467">
    <cfRule type="expression" dxfId="4485" priority="4632" stopIfTrue="1">
      <formula>$G465=""</formula>
    </cfRule>
  </conditionalFormatting>
  <conditionalFormatting sqref="AB468:AD468">
    <cfRule type="expression" dxfId="4484" priority="4644" stopIfTrue="1">
      <formula>$G465=""</formula>
    </cfRule>
  </conditionalFormatting>
  <conditionalFormatting sqref="G467">
    <cfRule type="expression" dxfId="4483" priority="4641" stopIfTrue="1">
      <formula>$G465=""</formula>
    </cfRule>
    <cfRule type="containsBlanks" dxfId="4482" priority="4642" stopIfTrue="1">
      <formula>LEN(TRIM(G467))=0</formula>
    </cfRule>
    <cfRule type="expression" dxfId="4481" priority="4643">
      <formula>OR($M467=0,$HC466=FALSE)</formula>
    </cfRule>
  </conditionalFormatting>
  <conditionalFormatting sqref="AB468">
    <cfRule type="expression" dxfId="4480" priority="4640" stopIfTrue="1">
      <formula>$AB468=""</formula>
    </cfRule>
  </conditionalFormatting>
  <conditionalFormatting sqref="AE466:AF466">
    <cfRule type="expression" dxfId="4479" priority="4639">
      <formula>$C$36=2</formula>
    </cfRule>
  </conditionalFormatting>
  <conditionalFormatting sqref="T467:U467">
    <cfRule type="expression" dxfId="4478" priority="4614" stopIfTrue="1">
      <formula>$G465=""</formula>
    </cfRule>
  </conditionalFormatting>
  <conditionalFormatting sqref="T467:U467">
    <cfRule type="containsBlanks" dxfId="4477" priority="4637" stopIfTrue="1">
      <formula>LEN(TRIM(T467))=0</formula>
    </cfRule>
  </conditionalFormatting>
  <conditionalFormatting sqref="AC465:AD465">
    <cfRule type="expression" dxfId="4476" priority="4636">
      <formula>$G465=""</formula>
    </cfRule>
  </conditionalFormatting>
  <conditionalFormatting sqref="AE466">
    <cfRule type="containsBlanks" dxfId="4475" priority="4634">
      <formula>LEN(TRIM(AE466))=0</formula>
    </cfRule>
  </conditionalFormatting>
  <conditionalFormatting sqref="AE467 AF468">
    <cfRule type="containsBlanks" dxfId="4474" priority="4633" stopIfTrue="1">
      <formula>LEN(TRIM(AE467))=0</formula>
    </cfRule>
  </conditionalFormatting>
  <conditionalFormatting sqref="AE467">
    <cfRule type="expression" dxfId="4473" priority="4645">
      <formula>OR($HN466=FALSE,$HO466=FALSE)</formula>
    </cfRule>
  </conditionalFormatting>
  <conditionalFormatting sqref="G466:Q466 G465">
    <cfRule type="containsBlanks" dxfId="4472" priority="4631">
      <formula>LEN(TRIM(G465))=0</formula>
    </cfRule>
  </conditionalFormatting>
  <conditionalFormatting sqref="G466:L466">
    <cfRule type="expression" dxfId="4471" priority="4629" stopIfTrue="1">
      <formula>$G465=""</formula>
    </cfRule>
    <cfRule type="containsBlanks" dxfId="4470" priority="4630">
      <formula>LEN(TRIM(G466))=0</formula>
    </cfRule>
  </conditionalFormatting>
  <conditionalFormatting sqref="R467">
    <cfRule type="expression" dxfId="4469" priority="4627" stopIfTrue="1">
      <formula>$G465=""</formula>
    </cfRule>
    <cfRule type="containsBlanks" dxfId="4468" priority="4628">
      <formula>LEN(TRIM(R467))=0</formula>
    </cfRule>
  </conditionalFormatting>
  <conditionalFormatting sqref="P467:R467">
    <cfRule type="expression" dxfId="4467" priority="4626">
      <formula>$C$36=0</formula>
    </cfRule>
  </conditionalFormatting>
  <conditionalFormatting sqref="AF466">
    <cfRule type="containsBlanks" dxfId="4466" priority="4622">
      <formula>LEN(TRIM(AF466))=0</formula>
    </cfRule>
    <cfRule type="expression" dxfId="4465" priority="4623">
      <formula>$HJ466=FALSE</formula>
    </cfRule>
  </conditionalFormatting>
  <conditionalFormatting sqref="AF468">
    <cfRule type="expression" dxfId="4464" priority="4621">
      <formula>$C$36=2</formula>
    </cfRule>
  </conditionalFormatting>
  <conditionalFormatting sqref="R466">
    <cfRule type="containsBlanks" dxfId="4463" priority="4620">
      <formula>LEN(TRIM(R466))=0</formula>
    </cfRule>
  </conditionalFormatting>
  <conditionalFormatting sqref="AE466:AF466">
    <cfRule type="expression" dxfId="4462" priority="4619" stopIfTrue="1">
      <formula>$G465=""</formula>
    </cfRule>
  </conditionalFormatting>
  <conditionalFormatting sqref="AF468">
    <cfRule type="expression" dxfId="4461" priority="4618" stopIfTrue="1">
      <formula>$G465=""</formula>
    </cfRule>
  </conditionalFormatting>
  <conditionalFormatting sqref="AF465:AI465">
    <cfRule type="expression" dxfId="4460" priority="4617">
      <formula>$C$36&lt;&gt;0</formula>
    </cfRule>
  </conditionalFormatting>
  <conditionalFormatting sqref="R466">
    <cfRule type="containsBlanks" dxfId="4459" priority="4615">
      <formula>LEN(TRIM(R466))=0</formula>
    </cfRule>
  </conditionalFormatting>
  <conditionalFormatting sqref="U467">
    <cfRule type="expression" dxfId="4458" priority="4638">
      <formula>OR($HF466=FALSE,$HG466=FALSE)</formula>
    </cfRule>
  </conditionalFormatting>
  <conditionalFormatting sqref="R466">
    <cfRule type="expression" dxfId="4457" priority="4612" stopIfTrue="1">
      <formula>$G465=""</formula>
    </cfRule>
    <cfRule type="expression" dxfId="4456" priority="4613">
      <formula>$HT466=FALSE</formula>
    </cfRule>
  </conditionalFormatting>
  <conditionalFormatting sqref="G468">
    <cfRule type="expression" dxfId="4455" priority="4607" stopIfTrue="1">
      <formula>$G465=""</formula>
    </cfRule>
  </conditionalFormatting>
  <conditionalFormatting sqref="G468">
    <cfRule type="expression" dxfId="4454" priority="4601" stopIfTrue="1">
      <formula>$CN465="Exterior"</formula>
    </cfRule>
  </conditionalFormatting>
  <conditionalFormatting sqref="G468:L468">
    <cfRule type="containsBlanks" dxfId="4453" priority="4608" stopIfTrue="1">
      <formula>LEN(TRIM(G468))=0</formula>
    </cfRule>
    <cfRule type="expression" dxfId="4452" priority="4610">
      <formula>$HL466=FALSE</formula>
    </cfRule>
  </conditionalFormatting>
  <conditionalFormatting sqref="AF467">
    <cfRule type="expression" dxfId="4451" priority="4602" stopIfTrue="1">
      <formula>$G465=""</formula>
    </cfRule>
  </conditionalFormatting>
  <conditionalFormatting sqref="AF467:AI467">
    <cfRule type="expression" dxfId="4450" priority="4606">
      <formula>OR($HP466=FALSE,$HL466=FALSE)</formula>
    </cfRule>
  </conditionalFormatting>
  <conditionalFormatting sqref="AF467">
    <cfRule type="containsBlanks" dxfId="4449" priority="4603" stopIfTrue="1">
      <formula>LEN(TRIM(AF467))=0</formula>
    </cfRule>
    <cfRule type="expression" dxfId="4448" priority="4604">
      <formula>$DP465=7</formula>
    </cfRule>
    <cfRule type="expression" dxfId="4447" priority="4605">
      <formula>OR($HK466=FALSE,$HM466=FALSE)</formula>
    </cfRule>
  </conditionalFormatting>
  <conditionalFormatting sqref="G468:L468">
    <cfRule type="expression" dxfId="4446" priority="4609" stopIfTrue="1">
      <formula>$AF467=""</formula>
    </cfRule>
  </conditionalFormatting>
  <conditionalFormatting sqref="T466:U466">
    <cfRule type="expression" dxfId="4445" priority="4598" stopIfTrue="1">
      <formula>$C$36&lt;&gt;0</formula>
    </cfRule>
    <cfRule type="containsBlanks" dxfId="4444" priority="4599" stopIfTrue="1">
      <formula>LEN(TRIM(T466))=0</formula>
    </cfRule>
  </conditionalFormatting>
  <conditionalFormatting sqref="T466:U466">
    <cfRule type="expression" dxfId="4443" priority="4597" stopIfTrue="1">
      <formula>$G465=""</formula>
    </cfRule>
  </conditionalFormatting>
  <conditionalFormatting sqref="U466">
    <cfRule type="expression" dxfId="4442" priority="4600">
      <formula>$HE466=FALSE</formula>
    </cfRule>
  </conditionalFormatting>
  <conditionalFormatting sqref="T468">
    <cfRule type="expression" dxfId="4441" priority="4596">
      <formula>$C$36=2</formula>
    </cfRule>
  </conditionalFormatting>
  <conditionalFormatting sqref="AE472">
    <cfRule type="expression" dxfId="4440" priority="4582" stopIfTrue="1">
      <formula>$G470=""</formula>
    </cfRule>
  </conditionalFormatting>
  <conditionalFormatting sqref="AB473:AD473">
    <cfRule type="expression" dxfId="4439" priority="4594" stopIfTrue="1">
      <formula>$G470=""</formula>
    </cfRule>
  </conditionalFormatting>
  <conditionalFormatting sqref="G472">
    <cfRule type="expression" dxfId="4438" priority="4591" stopIfTrue="1">
      <formula>$G470=""</formula>
    </cfRule>
    <cfRule type="containsBlanks" dxfId="4437" priority="4592" stopIfTrue="1">
      <formula>LEN(TRIM(G472))=0</formula>
    </cfRule>
    <cfRule type="expression" dxfId="4436" priority="4593">
      <formula>OR($M472=0,$HC471=FALSE)</formula>
    </cfRule>
  </conditionalFormatting>
  <conditionalFormatting sqref="AB473">
    <cfRule type="expression" dxfId="4435" priority="4590" stopIfTrue="1">
      <formula>$AB473=""</formula>
    </cfRule>
  </conditionalFormatting>
  <conditionalFormatting sqref="AE471:AF471">
    <cfRule type="expression" dxfId="4434" priority="4589">
      <formula>$C$36=2</formula>
    </cfRule>
  </conditionalFormatting>
  <conditionalFormatting sqref="T472:U472">
    <cfRule type="expression" dxfId="4433" priority="4564" stopIfTrue="1">
      <formula>$G470=""</formula>
    </cfRule>
  </conditionalFormatting>
  <conditionalFormatting sqref="T472:U472">
    <cfRule type="containsBlanks" dxfId="4432" priority="4587" stopIfTrue="1">
      <formula>LEN(TRIM(T472))=0</formula>
    </cfRule>
  </conditionalFormatting>
  <conditionalFormatting sqref="AC470:AD470">
    <cfRule type="expression" dxfId="4431" priority="4586">
      <formula>$G470=""</formula>
    </cfRule>
  </conditionalFormatting>
  <conditionalFormatting sqref="AE471">
    <cfRule type="containsBlanks" dxfId="4430" priority="4584">
      <formula>LEN(TRIM(AE471))=0</formula>
    </cfRule>
  </conditionalFormatting>
  <conditionalFormatting sqref="AE472 AF473">
    <cfRule type="containsBlanks" dxfId="4429" priority="4583" stopIfTrue="1">
      <formula>LEN(TRIM(AE472))=0</formula>
    </cfRule>
  </conditionalFormatting>
  <conditionalFormatting sqref="AE472">
    <cfRule type="expression" dxfId="4428" priority="4595">
      <formula>OR($HN471=FALSE,$HO471=FALSE)</formula>
    </cfRule>
  </conditionalFormatting>
  <conditionalFormatting sqref="G471:Q471 G470">
    <cfRule type="containsBlanks" dxfId="4427" priority="4581">
      <formula>LEN(TRIM(G470))=0</formula>
    </cfRule>
  </conditionalFormatting>
  <conditionalFormatting sqref="G471:L471">
    <cfRule type="expression" dxfId="4426" priority="4579" stopIfTrue="1">
      <formula>$G470=""</formula>
    </cfRule>
    <cfRule type="containsBlanks" dxfId="4425" priority="4580">
      <formula>LEN(TRIM(G471))=0</formula>
    </cfRule>
  </conditionalFormatting>
  <conditionalFormatting sqref="R472">
    <cfRule type="expression" dxfId="4424" priority="4577" stopIfTrue="1">
      <formula>$G470=""</formula>
    </cfRule>
    <cfRule type="containsBlanks" dxfId="4423" priority="4578">
      <formula>LEN(TRIM(R472))=0</formula>
    </cfRule>
  </conditionalFormatting>
  <conditionalFormatting sqref="P472:R472">
    <cfRule type="expression" dxfId="4422" priority="4576">
      <formula>$C$36=0</formula>
    </cfRule>
  </conditionalFormatting>
  <conditionalFormatting sqref="AF471">
    <cfRule type="containsBlanks" dxfId="4421" priority="4572">
      <formula>LEN(TRIM(AF471))=0</formula>
    </cfRule>
    <cfRule type="expression" dxfId="4420" priority="4573">
      <formula>$HJ471=FALSE</formula>
    </cfRule>
  </conditionalFormatting>
  <conditionalFormatting sqref="AF473">
    <cfRule type="expression" dxfId="4419" priority="4571">
      <formula>$C$36=2</formula>
    </cfRule>
  </conditionalFormatting>
  <conditionalFormatting sqref="R471">
    <cfRule type="containsBlanks" dxfId="4418" priority="4570">
      <formula>LEN(TRIM(R471))=0</formula>
    </cfRule>
  </conditionalFormatting>
  <conditionalFormatting sqref="AE471:AF471">
    <cfRule type="expression" dxfId="4417" priority="4569" stopIfTrue="1">
      <formula>$G470=""</formula>
    </cfRule>
  </conditionalFormatting>
  <conditionalFormatting sqref="AF473">
    <cfRule type="expression" dxfId="4416" priority="4568" stopIfTrue="1">
      <formula>$G470=""</formula>
    </cfRule>
  </conditionalFormatting>
  <conditionalFormatting sqref="AF470:AI470">
    <cfRule type="expression" dxfId="4415" priority="4567">
      <formula>$C$36&lt;&gt;0</formula>
    </cfRule>
  </conditionalFormatting>
  <conditionalFormatting sqref="R471">
    <cfRule type="containsBlanks" dxfId="4414" priority="4565">
      <formula>LEN(TRIM(R471))=0</formula>
    </cfRule>
  </conditionalFormatting>
  <conditionalFormatting sqref="U472">
    <cfRule type="expression" dxfId="4413" priority="4588">
      <formula>OR($HF471=FALSE,$HG471=FALSE)</formula>
    </cfRule>
  </conditionalFormatting>
  <conditionalFormatting sqref="R471">
    <cfRule type="expression" dxfId="4412" priority="4562" stopIfTrue="1">
      <formula>$G470=""</formula>
    </cfRule>
    <cfRule type="expression" dxfId="4411" priority="4563">
      <formula>$HT471=FALSE</formula>
    </cfRule>
  </conditionalFormatting>
  <conditionalFormatting sqref="G473">
    <cfRule type="expression" dxfId="4410" priority="4557" stopIfTrue="1">
      <formula>$G470=""</formula>
    </cfRule>
  </conditionalFormatting>
  <conditionalFormatting sqref="G473">
    <cfRule type="expression" dxfId="4409" priority="4551" stopIfTrue="1">
      <formula>$CN470="Exterior"</formula>
    </cfRule>
  </conditionalFormatting>
  <conditionalFormatting sqref="G473:L473">
    <cfRule type="containsBlanks" dxfId="4408" priority="4558" stopIfTrue="1">
      <formula>LEN(TRIM(G473))=0</formula>
    </cfRule>
    <cfRule type="expression" dxfId="4407" priority="4560">
      <formula>$HL471=FALSE</formula>
    </cfRule>
  </conditionalFormatting>
  <conditionalFormatting sqref="AF472">
    <cfRule type="expression" dxfId="4406" priority="4552" stopIfTrue="1">
      <formula>$G470=""</formula>
    </cfRule>
  </conditionalFormatting>
  <conditionalFormatting sqref="AF472:AI472">
    <cfRule type="expression" dxfId="4405" priority="4556">
      <formula>OR($HP471=FALSE,$HL471=FALSE)</formula>
    </cfRule>
  </conditionalFormatting>
  <conditionalFormatting sqref="AF472">
    <cfRule type="containsBlanks" dxfId="4404" priority="4553" stopIfTrue="1">
      <formula>LEN(TRIM(AF472))=0</formula>
    </cfRule>
    <cfRule type="expression" dxfId="4403" priority="4554">
      <formula>$DP470=7</formula>
    </cfRule>
    <cfRule type="expression" dxfId="4402" priority="4555">
      <formula>OR($HK471=FALSE,$HM471=FALSE)</formula>
    </cfRule>
  </conditionalFormatting>
  <conditionalFormatting sqref="G473:L473">
    <cfRule type="expression" dxfId="4401" priority="4559" stopIfTrue="1">
      <formula>$AF472=""</formula>
    </cfRule>
  </conditionalFormatting>
  <conditionalFormatting sqref="T471:U471">
    <cfRule type="expression" dxfId="4400" priority="4548" stopIfTrue="1">
      <formula>$C$36&lt;&gt;0</formula>
    </cfRule>
    <cfRule type="containsBlanks" dxfId="4399" priority="4549" stopIfTrue="1">
      <formula>LEN(TRIM(T471))=0</formula>
    </cfRule>
  </conditionalFormatting>
  <conditionalFormatting sqref="T471:U471">
    <cfRule type="expression" dxfId="4398" priority="4547" stopIfTrue="1">
      <formula>$G470=""</formula>
    </cfRule>
  </conditionalFormatting>
  <conditionalFormatting sqref="U471">
    <cfRule type="expression" dxfId="4397" priority="4550">
      <formula>$HE471=FALSE</formula>
    </cfRule>
  </conditionalFormatting>
  <conditionalFormatting sqref="T473">
    <cfRule type="expression" dxfId="4396" priority="4546">
      <formula>$C$36=2</formula>
    </cfRule>
  </conditionalFormatting>
  <conditionalFormatting sqref="AE477">
    <cfRule type="expression" dxfId="4395" priority="4532" stopIfTrue="1">
      <formula>$G475=""</formula>
    </cfRule>
  </conditionalFormatting>
  <conditionalFormatting sqref="AB478:AD478">
    <cfRule type="expression" dxfId="4394" priority="4544" stopIfTrue="1">
      <formula>$G475=""</formula>
    </cfRule>
  </conditionalFormatting>
  <conditionalFormatting sqref="G477">
    <cfRule type="expression" dxfId="4393" priority="4541" stopIfTrue="1">
      <formula>$G475=""</formula>
    </cfRule>
    <cfRule type="containsBlanks" dxfId="4392" priority="4542" stopIfTrue="1">
      <formula>LEN(TRIM(G477))=0</formula>
    </cfRule>
    <cfRule type="expression" dxfId="4391" priority="4543">
      <formula>OR($M477=0,$HC476=FALSE)</formula>
    </cfRule>
  </conditionalFormatting>
  <conditionalFormatting sqref="AB478">
    <cfRule type="expression" dxfId="4390" priority="4540" stopIfTrue="1">
      <formula>$AB478=""</formula>
    </cfRule>
  </conditionalFormatting>
  <conditionalFormatting sqref="AE476:AF476">
    <cfRule type="expression" dxfId="4389" priority="4539">
      <formula>$C$36=2</formula>
    </cfRule>
  </conditionalFormatting>
  <conditionalFormatting sqref="T477:U477">
    <cfRule type="expression" dxfId="4388" priority="4514" stopIfTrue="1">
      <formula>$G475=""</formula>
    </cfRule>
  </conditionalFormatting>
  <conditionalFormatting sqref="T477:U477">
    <cfRule type="containsBlanks" dxfId="4387" priority="4537" stopIfTrue="1">
      <formula>LEN(TRIM(T477))=0</formula>
    </cfRule>
  </conditionalFormatting>
  <conditionalFormatting sqref="AC475:AD475">
    <cfRule type="expression" dxfId="4386" priority="4536">
      <formula>$G475=""</formula>
    </cfRule>
  </conditionalFormatting>
  <conditionalFormatting sqref="AE476">
    <cfRule type="containsBlanks" dxfId="4385" priority="4534">
      <formula>LEN(TRIM(AE476))=0</formula>
    </cfRule>
  </conditionalFormatting>
  <conditionalFormatting sqref="AE477 AF478">
    <cfRule type="containsBlanks" dxfId="4384" priority="4533" stopIfTrue="1">
      <formula>LEN(TRIM(AE477))=0</formula>
    </cfRule>
  </conditionalFormatting>
  <conditionalFormatting sqref="AE477">
    <cfRule type="expression" dxfId="4383" priority="4545">
      <formula>OR($HN476=FALSE,$HO476=FALSE)</formula>
    </cfRule>
  </conditionalFormatting>
  <conditionalFormatting sqref="G476:Q476 G475">
    <cfRule type="containsBlanks" dxfId="4382" priority="4531">
      <formula>LEN(TRIM(G475))=0</formula>
    </cfRule>
  </conditionalFormatting>
  <conditionalFormatting sqref="G476:L476">
    <cfRule type="expression" dxfId="4381" priority="4529" stopIfTrue="1">
      <formula>$G475=""</formula>
    </cfRule>
    <cfRule type="containsBlanks" dxfId="4380" priority="4530">
      <formula>LEN(TRIM(G476))=0</formula>
    </cfRule>
  </conditionalFormatting>
  <conditionalFormatting sqref="R477">
    <cfRule type="expression" dxfId="4379" priority="4527" stopIfTrue="1">
      <formula>$G475=""</formula>
    </cfRule>
    <cfRule type="containsBlanks" dxfId="4378" priority="4528">
      <formula>LEN(TRIM(R477))=0</formula>
    </cfRule>
  </conditionalFormatting>
  <conditionalFormatting sqref="P477:R477">
    <cfRule type="expression" dxfId="4377" priority="4526">
      <formula>$C$36=0</formula>
    </cfRule>
  </conditionalFormatting>
  <conditionalFormatting sqref="AF476">
    <cfRule type="containsBlanks" dxfId="4376" priority="4522">
      <formula>LEN(TRIM(AF476))=0</formula>
    </cfRule>
    <cfRule type="expression" dxfId="4375" priority="4523">
      <formula>$HJ476=FALSE</formula>
    </cfRule>
  </conditionalFormatting>
  <conditionalFormatting sqref="AF478">
    <cfRule type="expression" dxfId="4374" priority="4521">
      <formula>$C$36=2</formula>
    </cfRule>
  </conditionalFormatting>
  <conditionalFormatting sqref="R476">
    <cfRule type="containsBlanks" dxfId="4373" priority="4520">
      <formula>LEN(TRIM(R476))=0</formula>
    </cfRule>
  </conditionalFormatting>
  <conditionalFormatting sqref="AE476:AF476">
    <cfRule type="expression" dxfId="4372" priority="4519" stopIfTrue="1">
      <formula>$G475=""</formula>
    </cfRule>
  </conditionalFormatting>
  <conditionalFormatting sqref="AF478">
    <cfRule type="expression" dxfId="4371" priority="4518" stopIfTrue="1">
      <formula>$G475=""</formula>
    </cfRule>
  </conditionalFormatting>
  <conditionalFormatting sqref="AF475:AI475">
    <cfRule type="expression" dxfId="4370" priority="4517">
      <formula>$C$36&lt;&gt;0</formula>
    </cfRule>
  </conditionalFormatting>
  <conditionalFormatting sqref="R476">
    <cfRule type="containsBlanks" dxfId="4369" priority="4515">
      <formula>LEN(TRIM(R476))=0</formula>
    </cfRule>
  </conditionalFormatting>
  <conditionalFormatting sqref="U477">
    <cfRule type="expression" dxfId="4368" priority="4538">
      <formula>OR($HF476=FALSE,$HG476=FALSE)</formula>
    </cfRule>
  </conditionalFormatting>
  <conditionalFormatting sqref="R476">
    <cfRule type="expression" dxfId="4367" priority="4512" stopIfTrue="1">
      <formula>$G475=""</formula>
    </cfRule>
    <cfRule type="expression" dxfId="4366" priority="4513">
      <formula>$HT476=FALSE</formula>
    </cfRule>
  </conditionalFormatting>
  <conditionalFormatting sqref="G478">
    <cfRule type="expression" dxfId="4365" priority="4507" stopIfTrue="1">
      <formula>$G475=""</formula>
    </cfRule>
  </conditionalFormatting>
  <conditionalFormatting sqref="G478">
    <cfRule type="expression" dxfId="4364" priority="4501" stopIfTrue="1">
      <formula>$CN475="Exterior"</formula>
    </cfRule>
  </conditionalFormatting>
  <conditionalFormatting sqref="G478:L478">
    <cfRule type="containsBlanks" dxfId="4363" priority="4508" stopIfTrue="1">
      <formula>LEN(TRIM(G478))=0</formula>
    </cfRule>
    <cfRule type="expression" dxfId="4362" priority="4510">
      <formula>$HL476=FALSE</formula>
    </cfRule>
  </conditionalFormatting>
  <conditionalFormatting sqref="AF477">
    <cfRule type="expression" dxfId="4361" priority="4502" stopIfTrue="1">
      <formula>$G475=""</formula>
    </cfRule>
  </conditionalFormatting>
  <conditionalFormatting sqref="AF477:AI477">
    <cfRule type="expression" dxfId="4360" priority="4506">
      <formula>OR($HP476=FALSE,$HL476=FALSE)</formula>
    </cfRule>
  </conditionalFormatting>
  <conditionalFormatting sqref="AF477">
    <cfRule type="containsBlanks" dxfId="4359" priority="4503" stopIfTrue="1">
      <formula>LEN(TRIM(AF477))=0</formula>
    </cfRule>
    <cfRule type="expression" dxfId="4358" priority="4504">
      <formula>$DP475=7</formula>
    </cfRule>
    <cfRule type="expression" dxfId="4357" priority="4505">
      <formula>OR($HK476=FALSE,$HM476=FALSE)</formula>
    </cfRule>
  </conditionalFormatting>
  <conditionalFormatting sqref="G478:L478">
    <cfRule type="expression" dxfId="4356" priority="4509" stopIfTrue="1">
      <formula>$AF477=""</formula>
    </cfRule>
  </conditionalFormatting>
  <conditionalFormatting sqref="T476:U476">
    <cfRule type="expression" dxfId="4355" priority="4498" stopIfTrue="1">
      <formula>$C$36&lt;&gt;0</formula>
    </cfRule>
    <cfRule type="containsBlanks" dxfId="4354" priority="4499" stopIfTrue="1">
      <formula>LEN(TRIM(T476))=0</formula>
    </cfRule>
  </conditionalFormatting>
  <conditionalFormatting sqref="T476:U476">
    <cfRule type="expression" dxfId="4353" priority="4497" stopIfTrue="1">
      <formula>$G475=""</formula>
    </cfRule>
  </conditionalFormatting>
  <conditionalFormatting sqref="U476">
    <cfRule type="expression" dxfId="4352" priority="4500">
      <formula>$HE476=FALSE</formula>
    </cfRule>
  </conditionalFormatting>
  <conditionalFormatting sqref="T478">
    <cfRule type="expression" dxfId="4351" priority="4496">
      <formula>$C$36=2</formula>
    </cfRule>
  </conditionalFormatting>
  <conditionalFormatting sqref="AJ485:AL485">
    <cfRule type="expression" dxfId="4350" priority="4495" stopIfTrue="1">
      <formula>$G483=""</formula>
    </cfRule>
  </conditionalFormatting>
  <conditionalFormatting sqref="AR483:AR486">
    <cfRule type="expression" dxfId="4349" priority="4492" stopIfTrue="1">
      <formula>$C$36=2</formula>
    </cfRule>
    <cfRule type="cellIs" dxfId="4348" priority="4493" operator="equal">
      <formula>"Yes"</formula>
    </cfRule>
    <cfRule type="cellIs" dxfId="4347" priority="4494" operator="equal">
      <formula>"No"</formula>
    </cfRule>
  </conditionalFormatting>
  <conditionalFormatting sqref="AJ483:AL484">
    <cfRule type="expression" dxfId="4346" priority="4491">
      <formula>$G483=""</formula>
    </cfRule>
  </conditionalFormatting>
  <conditionalFormatting sqref="AM483 AO483:AP486">
    <cfRule type="expression" dxfId="4345" priority="4490">
      <formula>$G483=""</formula>
    </cfRule>
  </conditionalFormatting>
  <conditionalFormatting sqref="AT483:AT486">
    <cfRule type="expression" dxfId="4344" priority="4489">
      <formula>$G483=""</formula>
    </cfRule>
  </conditionalFormatting>
  <conditionalFormatting sqref="E486:F486">
    <cfRule type="expression" dxfId="4343" priority="4488">
      <formula>$CN483="Exterior"</formula>
    </cfRule>
  </conditionalFormatting>
  <conditionalFormatting sqref="AJ490:AL490">
    <cfRule type="expression" dxfId="4342" priority="4487" stopIfTrue="1">
      <formula>$G488=""</formula>
    </cfRule>
  </conditionalFormatting>
  <conditionalFormatting sqref="AR488:AR491">
    <cfRule type="expression" dxfId="4341" priority="4484" stopIfTrue="1">
      <formula>$C$36=2</formula>
    </cfRule>
    <cfRule type="cellIs" dxfId="4340" priority="4485" operator="equal">
      <formula>"Yes"</formula>
    </cfRule>
    <cfRule type="cellIs" dxfId="4339" priority="4486" operator="equal">
      <formula>"No"</formula>
    </cfRule>
  </conditionalFormatting>
  <conditionalFormatting sqref="AJ488:AL489">
    <cfRule type="expression" dxfId="4338" priority="4483">
      <formula>$G488=""</formula>
    </cfRule>
  </conditionalFormatting>
  <conditionalFormatting sqref="AM488 AO488:AP491">
    <cfRule type="expression" dxfId="4337" priority="4482">
      <formula>$G488=""</formula>
    </cfRule>
  </conditionalFormatting>
  <conditionalFormatting sqref="AT488:AT491">
    <cfRule type="expression" dxfId="4336" priority="4481">
      <formula>$G488=""</formula>
    </cfRule>
  </conditionalFormatting>
  <conditionalFormatting sqref="E491:F491">
    <cfRule type="expression" dxfId="4335" priority="4480">
      <formula>$CN488="Exterior"</formula>
    </cfRule>
  </conditionalFormatting>
  <conditionalFormatting sqref="AJ495:AL495">
    <cfRule type="expression" dxfId="4334" priority="4479" stopIfTrue="1">
      <formula>$G493=""</formula>
    </cfRule>
  </conditionalFormatting>
  <conditionalFormatting sqref="AR493:AR496">
    <cfRule type="expression" dxfId="4333" priority="4476" stopIfTrue="1">
      <formula>$C$36=2</formula>
    </cfRule>
    <cfRule type="cellIs" dxfId="4332" priority="4477" operator="equal">
      <formula>"Yes"</formula>
    </cfRule>
    <cfRule type="cellIs" dxfId="4331" priority="4478" operator="equal">
      <formula>"No"</formula>
    </cfRule>
  </conditionalFormatting>
  <conditionalFormatting sqref="AJ493:AL494">
    <cfRule type="expression" dxfId="4330" priority="4475">
      <formula>$G493=""</formula>
    </cfRule>
  </conditionalFormatting>
  <conditionalFormatting sqref="AM493 AO493:AP496">
    <cfRule type="expression" dxfId="4329" priority="4474">
      <formula>$G493=""</formula>
    </cfRule>
  </conditionalFormatting>
  <conditionalFormatting sqref="AT493:AT496">
    <cfRule type="expression" dxfId="4328" priority="4473">
      <formula>$G493=""</formula>
    </cfRule>
  </conditionalFormatting>
  <conditionalFormatting sqref="E496:F496">
    <cfRule type="expression" dxfId="4327" priority="4472">
      <formula>$CN493="Exterior"</formula>
    </cfRule>
  </conditionalFormatting>
  <conditionalFormatting sqref="AJ500:AL500">
    <cfRule type="expression" dxfId="4326" priority="4471" stopIfTrue="1">
      <formula>$G498=""</formula>
    </cfRule>
  </conditionalFormatting>
  <conditionalFormatting sqref="AR498:AR501">
    <cfRule type="expression" dxfId="4325" priority="4468" stopIfTrue="1">
      <formula>$C$36=2</formula>
    </cfRule>
    <cfRule type="cellIs" dxfId="4324" priority="4469" operator="equal">
      <formula>"Yes"</formula>
    </cfRule>
    <cfRule type="cellIs" dxfId="4323" priority="4470" operator="equal">
      <formula>"No"</formula>
    </cfRule>
  </conditionalFormatting>
  <conditionalFormatting sqref="AJ498:AL499">
    <cfRule type="expression" dxfId="4322" priority="4467">
      <formula>$G498=""</formula>
    </cfRule>
  </conditionalFormatting>
  <conditionalFormatting sqref="AM498 AO498:AP501">
    <cfRule type="expression" dxfId="4321" priority="4466">
      <formula>$G498=""</formula>
    </cfRule>
  </conditionalFormatting>
  <conditionalFormatting sqref="AT498:AT501">
    <cfRule type="expression" dxfId="4320" priority="4465">
      <formula>$G498=""</formula>
    </cfRule>
  </conditionalFormatting>
  <conditionalFormatting sqref="E501:F501">
    <cfRule type="expression" dxfId="4319" priority="4464">
      <formula>$CN498="Exterior"</formula>
    </cfRule>
  </conditionalFormatting>
  <conditionalFormatting sqref="AJ505:AL505">
    <cfRule type="expression" dxfId="4318" priority="4463" stopIfTrue="1">
      <formula>$G503=""</formula>
    </cfRule>
  </conditionalFormatting>
  <conditionalFormatting sqref="AR503:AR506">
    <cfRule type="expression" dxfId="4317" priority="4460" stopIfTrue="1">
      <formula>$C$36=2</formula>
    </cfRule>
    <cfRule type="cellIs" dxfId="4316" priority="4461" operator="equal">
      <formula>"Yes"</formula>
    </cfRule>
    <cfRule type="cellIs" dxfId="4315" priority="4462" operator="equal">
      <formula>"No"</formula>
    </cfRule>
  </conditionalFormatting>
  <conditionalFormatting sqref="AJ503:AL504">
    <cfRule type="expression" dxfId="4314" priority="4459">
      <formula>$G503=""</formula>
    </cfRule>
  </conditionalFormatting>
  <conditionalFormatting sqref="AM503 AO503:AP506">
    <cfRule type="expression" dxfId="4313" priority="4458">
      <formula>$G503=""</formula>
    </cfRule>
  </conditionalFormatting>
  <conditionalFormatting sqref="AT503:AT506">
    <cfRule type="expression" dxfId="4312" priority="4457">
      <formula>$G503=""</formula>
    </cfRule>
  </conditionalFormatting>
  <conditionalFormatting sqref="E506:F506">
    <cfRule type="expression" dxfId="4311" priority="4456">
      <formula>$CN503="Exterior"</formula>
    </cfRule>
  </conditionalFormatting>
  <conditionalFormatting sqref="AJ510:AL510">
    <cfRule type="expression" dxfId="4310" priority="4455" stopIfTrue="1">
      <formula>$G508=""</formula>
    </cfRule>
  </conditionalFormatting>
  <conditionalFormatting sqref="AR508:AR511">
    <cfRule type="expression" dxfId="4309" priority="4452" stopIfTrue="1">
      <formula>$C$36=2</formula>
    </cfRule>
    <cfRule type="cellIs" dxfId="4308" priority="4453" operator="equal">
      <formula>"Yes"</formula>
    </cfRule>
    <cfRule type="cellIs" dxfId="4307" priority="4454" operator="equal">
      <formula>"No"</formula>
    </cfRule>
  </conditionalFormatting>
  <conditionalFormatting sqref="AJ508:AL509">
    <cfRule type="expression" dxfId="4306" priority="4451">
      <formula>$G508=""</formula>
    </cfRule>
  </conditionalFormatting>
  <conditionalFormatting sqref="AM508 AO508:AP511">
    <cfRule type="expression" dxfId="4305" priority="4450">
      <formula>$G508=""</formula>
    </cfRule>
  </conditionalFormatting>
  <conditionalFormatting sqref="AT508:AT511">
    <cfRule type="expression" dxfId="4304" priority="4449">
      <formula>$G508=""</formula>
    </cfRule>
  </conditionalFormatting>
  <conditionalFormatting sqref="E511:F511">
    <cfRule type="expression" dxfId="4303" priority="4448">
      <formula>$CN508="Exterior"</formula>
    </cfRule>
  </conditionalFormatting>
  <conditionalFormatting sqref="AJ515:AL515">
    <cfRule type="expression" dxfId="4302" priority="4447" stopIfTrue="1">
      <formula>$G513=""</formula>
    </cfRule>
  </conditionalFormatting>
  <conditionalFormatting sqref="AR513:AR516">
    <cfRule type="expression" dxfId="4301" priority="4444" stopIfTrue="1">
      <formula>$C$36=2</formula>
    </cfRule>
    <cfRule type="cellIs" dxfId="4300" priority="4445" operator="equal">
      <formula>"Yes"</formula>
    </cfRule>
    <cfRule type="cellIs" dxfId="4299" priority="4446" operator="equal">
      <formula>"No"</formula>
    </cfRule>
  </conditionalFormatting>
  <conditionalFormatting sqref="AJ513:AL514">
    <cfRule type="expression" dxfId="4298" priority="4443">
      <formula>$G513=""</formula>
    </cfRule>
  </conditionalFormatting>
  <conditionalFormatting sqref="AM513 AO513:AP516">
    <cfRule type="expression" dxfId="4297" priority="4442">
      <formula>$G513=""</formula>
    </cfRule>
  </conditionalFormatting>
  <conditionalFormatting sqref="AT513:AT516">
    <cfRule type="expression" dxfId="4296" priority="4441">
      <formula>$G513=""</formula>
    </cfRule>
  </conditionalFormatting>
  <conditionalFormatting sqref="E516:F516">
    <cfRule type="expression" dxfId="4295" priority="4440">
      <formula>$CN513="Exterior"</formula>
    </cfRule>
  </conditionalFormatting>
  <conditionalFormatting sqref="AJ520:AL520">
    <cfRule type="expression" dxfId="4294" priority="4439" stopIfTrue="1">
      <formula>$G518=""</formula>
    </cfRule>
  </conditionalFormatting>
  <conditionalFormatting sqref="AR518:AR521">
    <cfRule type="expression" dxfId="4293" priority="4436" stopIfTrue="1">
      <formula>$C$36=2</formula>
    </cfRule>
    <cfRule type="cellIs" dxfId="4292" priority="4437" operator="equal">
      <formula>"Yes"</formula>
    </cfRule>
    <cfRule type="cellIs" dxfId="4291" priority="4438" operator="equal">
      <formula>"No"</formula>
    </cfRule>
  </conditionalFormatting>
  <conditionalFormatting sqref="AJ518:AL519">
    <cfRule type="expression" dxfId="4290" priority="4435">
      <formula>$G518=""</formula>
    </cfRule>
  </conditionalFormatting>
  <conditionalFormatting sqref="AM518 AO518:AP521">
    <cfRule type="expression" dxfId="4289" priority="4434">
      <formula>$G518=""</formula>
    </cfRule>
  </conditionalFormatting>
  <conditionalFormatting sqref="AT518:AT521">
    <cfRule type="expression" dxfId="4288" priority="4433">
      <formula>$G518=""</formula>
    </cfRule>
  </conditionalFormatting>
  <conditionalFormatting sqref="E521:F521">
    <cfRule type="expression" dxfId="4287" priority="4432">
      <formula>$CN518="Exterior"</formula>
    </cfRule>
  </conditionalFormatting>
  <conditionalFormatting sqref="AJ525:AL525">
    <cfRule type="expression" dxfId="4286" priority="4431" stopIfTrue="1">
      <formula>$G523=""</formula>
    </cfRule>
  </conditionalFormatting>
  <conditionalFormatting sqref="AR523:AR526">
    <cfRule type="expression" dxfId="4285" priority="4428" stopIfTrue="1">
      <formula>$C$36=2</formula>
    </cfRule>
    <cfRule type="cellIs" dxfId="4284" priority="4429" operator="equal">
      <formula>"Yes"</formula>
    </cfRule>
    <cfRule type="cellIs" dxfId="4283" priority="4430" operator="equal">
      <formula>"No"</formula>
    </cfRule>
  </conditionalFormatting>
  <conditionalFormatting sqref="AJ523:AL524">
    <cfRule type="expression" dxfId="4282" priority="4427">
      <formula>$G523=""</formula>
    </cfRule>
  </conditionalFormatting>
  <conditionalFormatting sqref="AM523 AO523:AP526">
    <cfRule type="expression" dxfId="4281" priority="4426">
      <formula>$G523=""</formula>
    </cfRule>
  </conditionalFormatting>
  <conditionalFormatting sqref="AT523:AT526">
    <cfRule type="expression" dxfId="4280" priority="4425">
      <formula>$G523=""</formula>
    </cfRule>
  </conditionalFormatting>
  <conditionalFormatting sqref="E526:F526">
    <cfRule type="expression" dxfId="4279" priority="4424">
      <formula>$CN523="Exterior"</formula>
    </cfRule>
  </conditionalFormatting>
  <conditionalFormatting sqref="AJ530:AL530">
    <cfRule type="expression" dxfId="4278" priority="4423" stopIfTrue="1">
      <formula>$G528=""</formula>
    </cfRule>
  </conditionalFormatting>
  <conditionalFormatting sqref="AR528:AR531">
    <cfRule type="expression" dxfId="4277" priority="4420" stopIfTrue="1">
      <formula>$C$36=2</formula>
    </cfRule>
    <cfRule type="cellIs" dxfId="4276" priority="4421" operator="equal">
      <formula>"Yes"</formula>
    </cfRule>
    <cfRule type="cellIs" dxfId="4275" priority="4422" operator="equal">
      <formula>"No"</formula>
    </cfRule>
  </conditionalFormatting>
  <conditionalFormatting sqref="AJ528:AL529">
    <cfRule type="expression" dxfId="4274" priority="4419">
      <formula>$G528=""</formula>
    </cfRule>
  </conditionalFormatting>
  <conditionalFormatting sqref="AM528 AO528:AP531">
    <cfRule type="expression" dxfId="4273" priority="4418">
      <formula>$G528=""</formula>
    </cfRule>
  </conditionalFormatting>
  <conditionalFormatting sqref="AT528:AT531">
    <cfRule type="expression" dxfId="4272" priority="4417">
      <formula>$G528=""</formula>
    </cfRule>
  </conditionalFormatting>
  <conditionalFormatting sqref="E531:F531">
    <cfRule type="expression" dxfId="4271" priority="4416">
      <formula>$CN528="Exterior"</formula>
    </cfRule>
  </conditionalFormatting>
  <conditionalFormatting sqref="AJ535:AL535">
    <cfRule type="expression" dxfId="4270" priority="4415" stopIfTrue="1">
      <formula>$G533=""</formula>
    </cfRule>
  </conditionalFormatting>
  <conditionalFormatting sqref="AR533:AR536">
    <cfRule type="expression" dxfId="4269" priority="4412" stopIfTrue="1">
      <formula>$C$36=2</formula>
    </cfRule>
    <cfRule type="cellIs" dxfId="4268" priority="4413" operator="equal">
      <formula>"Yes"</formula>
    </cfRule>
    <cfRule type="cellIs" dxfId="4267" priority="4414" operator="equal">
      <formula>"No"</formula>
    </cfRule>
  </conditionalFormatting>
  <conditionalFormatting sqref="AJ533:AL534">
    <cfRule type="expression" dxfId="4266" priority="4411">
      <formula>$G533=""</formula>
    </cfRule>
  </conditionalFormatting>
  <conditionalFormatting sqref="AM533 AO533:AP536">
    <cfRule type="expression" dxfId="4265" priority="4410">
      <formula>$G533=""</formula>
    </cfRule>
  </conditionalFormatting>
  <conditionalFormatting sqref="AT533:AT536">
    <cfRule type="expression" dxfId="4264" priority="4409">
      <formula>$G533=""</formula>
    </cfRule>
  </conditionalFormatting>
  <conditionalFormatting sqref="E536:F536">
    <cfRule type="expression" dxfId="4263" priority="4408">
      <formula>$CN533="Exterior"</formula>
    </cfRule>
  </conditionalFormatting>
  <conditionalFormatting sqref="AJ540:AL540">
    <cfRule type="expression" dxfId="4262" priority="4407" stopIfTrue="1">
      <formula>$G538=""</formula>
    </cfRule>
  </conditionalFormatting>
  <conditionalFormatting sqref="AR538:AR541">
    <cfRule type="expression" dxfId="4261" priority="4404" stopIfTrue="1">
      <formula>$C$36=2</formula>
    </cfRule>
    <cfRule type="cellIs" dxfId="4260" priority="4405" operator="equal">
      <formula>"Yes"</formula>
    </cfRule>
    <cfRule type="cellIs" dxfId="4259" priority="4406" operator="equal">
      <formula>"No"</formula>
    </cfRule>
  </conditionalFormatting>
  <conditionalFormatting sqref="AJ538:AL539">
    <cfRule type="expression" dxfId="4258" priority="4403">
      <formula>$G538=""</formula>
    </cfRule>
  </conditionalFormatting>
  <conditionalFormatting sqref="AM538 AO538:AP541">
    <cfRule type="expression" dxfId="4257" priority="4402">
      <formula>$G538=""</formula>
    </cfRule>
  </conditionalFormatting>
  <conditionalFormatting sqref="AT538:AT541">
    <cfRule type="expression" dxfId="4256" priority="4401">
      <formula>$G538=""</formula>
    </cfRule>
  </conditionalFormatting>
  <conditionalFormatting sqref="E541:F541">
    <cfRule type="expression" dxfId="4255" priority="4400">
      <formula>$CN538="Exterior"</formula>
    </cfRule>
  </conditionalFormatting>
  <conditionalFormatting sqref="AJ545:AL545">
    <cfRule type="expression" dxfId="4254" priority="4399" stopIfTrue="1">
      <formula>$G543=""</formula>
    </cfRule>
  </conditionalFormatting>
  <conditionalFormatting sqref="AR543:AR546">
    <cfRule type="expression" dxfId="4253" priority="4396" stopIfTrue="1">
      <formula>$C$36=2</formula>
    </cfRule>
    <cfRule type="cellIs" dxfId="4252" priority="4397" operator="equal">
      <formula>"Yes"</formula>
    </cfRule>
    <cfRule type="cellIs" dxfId="4251" priority="4398" operator="equal">
      <formula>"No"</formula>
    </cfRule>
  </conditionalFormatting>
  <conditionalFormatting sqref="AJ543:AL544">
    <cfRule type="expression" dxfId="4250" priority="4395">
      <formula>$G543=""</formula>
    </cfRule>
  </conditionalFormatting>
  <conditionalFormatting sqref="AM543 AO543:AP546">
    <cfRule type="expression" dxfId="4249" priority="4394">
      <formula>$G543=""</formula>
    </cfRule>
  </conditionalFormatting>
  <conditionalFormatting sqref="AT543:AT546">
    <cfRule type="expression" dxfId="4248" priority="4393">
      <formula>$G543=""</formula>
    </cfRule>
  </conditionalFormatting>
  <conditionalFormatting sqref="E546:F546">
    <cfRule type="expression" dxfId="4247" priority="4392">
      <formula>$CN543="Exterior"</formula>
    </cfRule>
  </conditionalFormatting>
  <conditionalFormatting sqref="AJ550:AL550">
    <cfRule type="expression" dxfId="4246" priority="4391" stopIfTrue="1">
      <formula>$G548=""</formula>
    </cfRule>
  </conditionalFormatting>
  <conditionalFormatting sqref="AR548:AR551">
    <cfRule type="expression" dxfId="4245" priority="4388" stopIfTrue="1">
      <formula>$C$36=2</formula>
    </cfRule>
    <cfRule type="cellIs" dxfId="4244" priority="4389" operator="equal">
      <formula>"Yes"</formula>
    </cfRule>
    <cfRule type="cellIs" dxfId="4243" priority="4390" operator="equal">
      <formula>"No"</formula>
    </cfRule>
  </conditionalFormatting>
  <conditionalFormatting sqref="AJ548:AL549">
    <cfRule type="expression" dxfId="4242" priority="4387">
      <formula>$G548=""</formula>
    </cfRule>
  </conditionalFormatting>
  <conditionalFormatting sqref="AM548 AO548:AP551">
    <cfRule type="expression" dxfId="4241" priority="4386">
      <formula>$G548=""</formula>
    </cfRule>
  </conditionalFormatting>
  <conditionalFormatting sqref="AT548:AT551">
    <cfRule type="expression" dxfId="4240" priority="4385">
      <formula>$G548=""</formula>
    </cfRule>
  </conditionalFormatting>
  <conditionalFormatting sqref="E551:F551">
    <cfRule type="expression" dxfId="4239" priority="4384">
      <formula>$CN548="Exterior"</formula>
    </cfRule>
  </conditionalFormatting>
  <conditionalFormatting sqref="AJ555:AL555">
    <cfRule type="expression" dxfId="4238" priority="4383" stopIfTrue="1">
      <formula>$G553=""</formula>
    </cfRule>
  </conditionalFormatting>
  <conditionalFormatting sqref="AR553:AR556">
    <cfRule type="expression" dxfId="4237" priority="4380" stopIfTrue="1">
      <formula>$C$36=2</formula>
    </cfRule>
    <cfRule type="cellIs" dxfId="4236" priority="4381" operator="equal">
      <formula>"Yes"</formula>
    </cfRule>
    <cfRule type="cellIs" dxfId="4235" priority="4382" operator="equal">
      <formula>"No"</formula>
    </cfRule>
  </conditionalFormatting>
  <conditionalFormatting sqref="AJ553:AL554">
    <cfRule type="expression" dxfId="4234" priority="4379">
      <formula>$G553=""</formula>
    </cfRule>
  </conditionalFormatting>
  <conditionalFormatting sqref="AM553 AO553:AP556">
    <cfRule type="expression" dxfId="4233" priority="4378">
      <formula>$G553=""</formula>
    </cfRule>
  </conditionalFormatting>
  <conditionalFormatting sqref="AT553:AT556">
    <cfRule type="expression" dxfId="4232" priority="4377">
      <formula>$G553=""</formula>
    </cfRule>
  </conditionalFormatting>
  <conditionalFormatting sqref="E556:F556">
    <cfRule type="expression" dxfId="4231" priority="4376">
      <formula>$CN553="Exterior"</formula>
    </cfRule>
  </conditionalFormatting>
  <conditionalFormatting sqref="AE485">
    <cfRule type="expression" dxfId="4230" priority="4362" stopIfTrue="1">
      <formula>$G483=""</formula>
    </cfRule>
  </conditionalFormatting>
  <conditionalFormatting sqref="AB486:AD486">
    <cfRule type="expression" dxfId="4229" priority="4374" stopIfTrue="1">
      <formula>$G483=""</formula>
    </cfRule>
  </conditionalFormatting>
  <conditionalFormatting sqref="G485">
    <cfRule type="expression" dxfId="4228" priority="4371" stopIfTrue="1">
      <formula>$G483=""</formula>
    </cfRule>
    <cfRule type="containsBlanks" dxfId="4227" priority="4372" stopIfTrue="1">
      <formula>LEN(TRIM(G485))=0</formula>
    </cfRule>
    <cfRule type="expression" dxfId="4226" priority="4373">
      <formula>OR($M485=0,$HC484=FALSE)</formula>
    </cfRule>
  </conditionalFormatting>
  <conditionalFormatting sqref="AB486">
    <cfRule type="expression" dxfId="4225" priority="4370" stopIfTrue="1">
      <formula>$AB486=""</formula>
    </cfRule>
  </conditionalFormatting>
  <conditionalFormatting sqref="AE484:AF484">
    <cfRule type="expression" dxfId="4224" priority="4369">
      <formula>$C$36=2</formula>
    </cfRule>
  </conditionalFormatting>
  <conditionalFormatting sqref="T485:U485">
    <cfRule type="expression" dxfId="4223" priority="4344" stopIfTrue="1">
      <formula>$G483=""</formula>
    </cfRule>
  </conditionalFormatting>
  <conditionalFormatting sqref="T485:U485">
    <cfRule type="containsBlanks" dxfId="4222" priority="4367" stopIfTrue="1">
      <formula>LEN(TRIM(T485))=0</formula>
    </cfRule>
  </conditionalFormatting>
  <conditionalFormatting sqref="AC483:AD483">
    <cfRule type="expression" dxfId="4221" priority="4366">
      <formula>$G483=""</formula>
    </cfRule>
  </conditionalFormatting>
  <conditionalFormatting sqref="AE484">
    <cfRule type="containsBlanks" dxfId="4220" priority="4364">
      <formula>LEN(TRIM(AE484))=0</formula>
    </cfRule>
  </conditionalFormatting>
  <conditionalFormatting sqref="AE485 AF486">
    <cfRule type="containsBlanks" dxfId="4219" priority="4363" stopIfTrue="1">
      <formula>LEN(TRIM(AE485))=0</formula>
    </cfRule>
  </conditionalFormatting>
  <conditionalFormatting sqref="AE485">
    <cfRule type="expression" dxfId="4218" priority="4375">
      <formula>OR($HN484=FALSE,$HO484=FALSE)</formula>
    </cfRule>
  </conditionalFormatting>
  <conditionalFormatting sqref="G484:Q484 G483">
    <cfRule type="containsBlanks" dxfId="4217" priority="4361">
      <formula>LEN(TRIM(G483))=0</formula>
    </cfRule>
  </conditionalFormatting>
  <conditionalFormatting sqref="G484:L484">
    <cfRule type="expression" dxfId="4216" priority="4359" stopIfTrue="1">
      <formula>$G483=""</formula>
    </cfRule>
    <cfRule type="containsBlanks" dxfId="4215" priority="4360">
      <formula>LEN(TRIM(G484))=0</formula>
    </cfRule>
  </conditionalFormatting>
  <conditionalFormatting sqref="R485">
    <cfRule type="expression" dxfId="4214" priority="4357" stopIfTrue="1">
      <formula>$G483=""</formula>
    </cfRule>
    <cfRule type="containsBlanks" dxfId="4213" priority="4358">
      <formula>LEN(TRIM(R485))=0</formula>
    </cfRule>
  </conditionalFormatting>
  <conditionalFormatting sqref="P485:R485">
    <cfRule type="expression" dxfId="4212" priority="4356">
      <formula>$C$36=0</formula>
    </cfRule>
  </conditionalFormatting>
  <conditionalFormatting sqref="AF484">
    <cfRule type="containsBlanks" dxfId="4211" priority="4352">
      <formula>LEN(TRIM(AF484))=0</formula>
    </cfRule>
    <cfRule type="expression" dxfId="4210" priority="4353">
      <formula>$HJ484=FALSE</formula>
    </cfRule>
  </conditionalFormatting>
  <conditionalFormatting sqref="AF486">
    <cfRule type="expression" dxfId="4209" priority="4351">
      <formula>$C$36=2</formula>
    </cfRule>
  </conditionalFormatting>
  <conditionalFormatting sqref="R484">
    <cfRule type="containsBlanks" dxfId="4208" priority="4350">
      <formula>LEN(TRIM(R484))=0</formula>
    </cfRule>
  </conditionalFormatting>
  <conditionalFormatting sqref="AE484:AF484">
    <cfRule type="expression" dxfId="4207" priority="4349" stopIfTrue="1">
      <formula>$G483=""</formula>
    </cfRule>
  </conditionalFormatting>
  <conditionalFormatting sqref="AF486">
    <cfRule type="expression" dxfId="4206" priority="4348" stopIfTrue="1">
      <formula>$G483=""</formula>
    </cfRule>
  </conditionalFormatting>
  <conditionalFormatting sqref="AF483:AI483">
    <cfRule type="expression" dxfId="4205" priority="4347">
      <formula>$C$36&lt;&gt;0</formula>
    </cfRule>
  </conditionalFormatting>
  <conditionalFormatting sqref="R484">
    <cfRule type="containsBlanks" dxfId="4204" priority="4345">
      <formula>LEN(TRIM(R484))=0</formula>
    </cfRule>
  </conditionalFormatting>
  <conditionalFormatting sqref="U485">
    <cfRule type="expression" dxfId="4203" priority="4368">
      <formula>OR($HF484=FALSE,$HG484=FALSE)</formula>
    </cfRule>
  </conditionalFormatting>
  <conditionalFormatting sqref="R484">
    <cfRule type="expression" dxfId="4202" priority="4342" stopIfTrue="1">
      <formula>$G483=""</formula>
    </cfRule>
    <cfRule type="expression" dxfId="4201" priority="4343">
      <formula>$HT484=FALSE</formula>
    </cfRule>
  </conditionalFormatting>
  <conditionalFormatting sqref="G486">
    <cfRule type="expression" dxfId="4200" priority="4337" stopIfTrue="1">
      <formula>$G483=""</formula>
    </cfRule>
  </conditionalFormatting>
  <conditionalFormatting sqref="G486">
    <cfRule type="expression" dxfId="4199" priority="4331" stopIfTrue="1">
      <formula>$CN483="Exterior"</formula>
    </cfRule>
  </conditionalFormatting>
  <conditionalFormatting sqref="G486:L486">
    <cfRule type="containsBlanks" dxfId="4198" priority="4338" stopIfTrue="1">
      <formula>LEN(TRIM(G486))=0</formula>
    </cfRule>
    <cfRule type="expression" dxfId="4197" priority="4340">
      <formula>$HL484=FALSE</formula>
    </cfRule>
  </conditionalFormatting>
  <conditionalFormatting sqref="AF485">
    <cfRule type="expression" dxfId="4196" priority="4332" stopIfTrue="1">
      <formula>$G483=""</formula>
    </cfRule>
  </conditionalFormatting>
  <conditionalFormatting sqref="AF485:AI485">
    <cfRule type="expression" dxfId="4195" priority="4336">
      <formula>OR($HP484=FALSE,$HL484=FALSE)</formula>
    </cfRule>
  </conditionalFormatting>
  <conditionalFormatting sqref="AF485">
    <cfRule type="containsBlanks" dxfId="4194" priority="4333" stopIfTrue="1">
      <formula>LEN(TRIM(AF485))=0</formula>
    </cfRule>
    <cfRule type="expression" dxfId="4193" priority="4334">
      <formula>$DP483=7</formula>
    </cfRule>
    <cfRule type="expression" dxfId="4192" priority="4335">
      <formula>OR($HK484=FALSE,$HM484=FALSE)</formula>
    </cfRule>
  </conditionalFormatting>
  <conditionalFormatting sqref="G486:L486">
    <cfRule type="expression" dxfId="4191" priority="4339" stopIfTrue="1">
      <formula>$AF485=""</formula>
    </cfRule>
  </conditionalFormatting>
  <conditionalFormatting sqref="T484:U484">
    <cfRule type="expression" dxfId="4190" priority="4328" stopIfTrue="1">
      <formula>$C$36&lt;&gt;0</formula>
    </cfRule>
    <cfRule type="containsBlanks" dxfId="4189" priority="4329" stopIfTrue="1">
      <formula>LEN(TRIM(T484))=0</formula>
    </cfRule>
  </conditionalFormatting>
  <conditionalFormatting sqref="T484:U484">
    <cfRule type="expression" dxfId="4188" priority="4327" stopIfTrue="1">
      <formula>$G483=""</formula>
    </cfRule>
  </conditionalFormatting>
  <conditionalFormatting sqref="U484">
    <cfRule type="expression" dxfId="4187" priority="4330">
      <formula>$HE484=FALSE</formula>
    </cfRule>
  </conditionalFormatting>
  <conditionalFormatting sqref="T486">
    <cfRule type="expression" dxfId="4186" priority="4326">
      <formula>$C$36=2</formula>
    </cfRule>
  </conditionalFormatting>
  <conditionalFormatting sqref="AE490">
    <cfRule type="expression" dxfId="4185" priority="4312" stopIfTrue="1">
      <formula>$G488=""</formula>
    </cfRule>
  </conditionalFormatting>
  <conditionalFormatting sqref="AB491:AD491">
    <cfRule type="expression" dxfId="4184" priority="4324" stopIfTrue="1">
      <formula>$G488=""</formula>
    </cfRule>
  </conditionalFormatting>
  <conditionalFormatting sqref="G490">
    <cfRule type="expression" dxfId="4183" priority="4321" stopIfTrue="1">
      <formula>$G488=""</formula>
    </cfRule>
    <cfRule type="containsBlanks" dxfId="4182" priority="4322" stopIfTrue="1">
      <formula>LEN(TRIM(G490))=0</formula>
    </cfRule>
    <cfRule type="expression" dxfId="4181" priority="4323">
      <formula>OR($M490=0,$HC489=FALSE)</formula>
    </cfRule>
  </conditionalFormatting>
  <conditionalFormatting sqref="AB491">
    <cfRule type="expression" dxfId="4180" priority="4320" stopIfTrue="1">
      <formula>$AB491=""</formula>
    </cfRule>
  </conditionalFormatting>
  <conditionalFormatting sqref="AE489:AF489">
    <cfRule type="expression" dxfId="4179" priority="4319">
      <formula>$C$36=2</formula>
    </cfRule>
  </conditionalFormatting>
  <conditionalFormatting sqref="T490:U490">
    <cfRule type="expression" dxfId="4178" priority="4294" stopIfTrue="1">
      <formula>$G488=""</formula>
    </cfRule>
  </conditionalFormatting>
  <conditionalFormatting sqref="T490:U490">
    <cfRule type="containsBlanks" dxfId="4177" priority="4317" stopIfTrue="1">
      <formula>LEN(TRIM(T490))=0</formula>
    </cfRule>
  </conditionalFormatting>
  <conditionalFormatting sqref="AC488:AD488">
    <cfRule type="expression" dxfId="4176" priority="4316">
      <formula>$G488=""</formula>
    </cfRule>
  </conditionalFormatting>
  <conditionalFormatting sqref="AE489">
    <cfRule type="containsBlanks" dxfId="4175" priority="4314">
      <formula>LEN(TRIM(AE489))=0</formula>
    </cfRule>
  </conditionalFormatting>
  <conditionalFormatting sqref="AE490 AF491">
    <cfRule type="containsBlanks" dxfId="4174" priority="4313" stopIfTrue="1">
      <formula>LEN(TRIM(AE490))=0</formula>
    </cfRule>
  </conditionalFormatting>
  <conditionalFormatting sqref="AE490">
    <cfRule type="expression" dxfId="4173" priority="4325">
      <formula>OR($HN489=FALSE,$HO489=FALSE)</formula>
    </cfRule>
  </conditionalFormatting>
  <conditionalFormatting sqref="G489:Q489 G488">
    <cfRule type="containsBlanks" dxfId="4172" priority="4311">
      <formula>LEN(TRIM(G488))=0</formula>
    </cfRule>
  </conditionalFormatting>
  <conditionalFormatting sqref="G489:L489">
    <cfRule type="expression" dxfId="4171" priority="4309" stopIfTrue="1">
      <formula>$G488=""</formula>
    </cfRule>
    <cfRule type="containsBlanks" dxfId="4170" priority="4310">
      <formula>LEN(TRIM(G489))=0</formula>
    </cfRule>
  </conditionalFormatting>
  <conditionalFormatting sqref="R490">
    <cfRule type="expression" dxfId="4169" priority="4307" stopIfTrue="1">
      <formula>$G488=""</formula>
    </cfRule>
    <cfRule type="containsBlanks" dxfId="4168" priority="4308">
      <formula>LEN(TRIM(R490))=0</formula>
    </cfRule>
  </conditionalFormatting>
  <conditionalFormatting sqref="P490:R490">
    <cfRule type="expression" dxfId="4167" priority="4306">
      <formula>$C$36=0</formula>
    </cfRule>
  </conditionalFormatting>
  <conditionalFormatting sqref="AF489">
    <cfRule type="containsBlanks" dxfId="4166" priority="4302">
      <formula>LEN(TRIM(AF489))=0</formula>
    </cfRule>
    <cfRule type="expression" dxfId="4165" priority="4303">
      <formula>$HJ489=FALSE</formula>
    </cfRule>
  </conditionalFormatting>
  <conditionalFormatting sqref="AF491">
    <cfRule type="expression" dxfId="4164" priority="4301">
      <formula>$C$36=2</formula>
    </cfRule>
  </conditionalFormatting>
  <conditionalFormatting sqref="R489">
    <cfRule type="containsBlanks" dxfId="4163" priority="4300">
      <formula>LEN(TRIM(R489))=0</formula>
    </cfRule>
  </conditionalFormatting>
  <conditionalFormatting sqref="AE489:AF489">
    <cfRule type="expression" dxfId="4162" priority="4299" stopIfTrue="1">
      <formula>$G488=""</formula>
    </cfRule>
  </conditionalFormatting>
  <conditionalFormatting sqref="AF491">
    <cfRule type="expression" dxfId="4161" priority="4298" stopIfTrue="1">
      <formula>$G488=""</formula>
    </cfRule>
  </conditionalFormatting>
  <conditionalFormatting sqref="AF488:AI488">
    <cfRule type="expression" dxfId="4160" priority="4297">
      <formula>$C$36&lt;&gt;0</formula>
    </cfRule>
  </conditionalFormatting>
  <conditionalFormatting sqref="R489">
    <cfRule type="containsBlanks" dxfId="4159" priority="4295">
      <formula>LEN(TRIM(R489))=0</formula>
    </cfRule>
  </conditionalFormatting>
  <conditionalFormatting sqref="U490">
    <cfRule type="expression" dxfId="4158" priority="4318">
      <formula>OR($HF489=FALSE,$HG489=FALSE)</formula>
    </cfRule>
  </conditionalFormatting>
  <conditionalFormatting sqref="R489">
    <cfRule type="expression" dxfId="4157" priority="4292" stopIfTrue="1">
      <formula>$G488=""</formula>
    </cfRule>
    <cfRule type="expression" dxfId="4156" priority="4293">
      <formula>$HT489=FALSE</formula>
    </cfRule>
  </conditionalFormatting>
  <conditionalFormatting sqref="G491">
    <cfRule type="expression" dxfId="4155" priority="4287" stopIfTrue="1">
      <formula>$G488=""</formula>
    </cfRule>
  </conditionalFormatting>
  <conditionalFormatting sqref="G491">
    <cfRule type="expression" dxfId="4154" priority="4281" stopIfTrue="1">
      <formula>$CN488="Exterior"</formula>
    </cfRule>
  </conditionalFormatting>
  <conditionalFormatting sqref="G491:L491">
    <cfRule type="containsBlanks" dxfId="4153" priority="4288" stopIfTrue="1">
      <formula>LEN(TRIM(G491))=0</formula>
    </cfRule>
    <cfRule type="expression" dxfId="4152" priority="4290">
      <formula>$HL489=FALSE</formula>
    </cfRule>
  </conditionalFormatting>
  <conditionalFormatting sqref="AF490">
    <cfRule type="expression" dxfId="4151" priority="4282" stopIfTrue="1">
      <formula>$G488=""</formula>
    </cfRule>
  </conditionalFormatting>
  <conditionalFormatting sqref="AF490:AI490">
    <cfRule type="expression" dxfId="4150" priority="4286">
      <formula>OR($HP489=FALSE,$HL489=FALSE)</formula>
    </cfRule>
  </conditionalFormatting>
  <conditionalFormatting sqref="AF490">
    <cfRule type="containsBlanks" dxfId="4149" priority="4283" stopIfTrue="1">
      <formula>LEN(TRIM(AF490))=0</formula>
    </cfRule>
    <cfRule type="expression" dxfId="4148" priority="4284">
      <formula>$DP488=7</formula>
    </cfRule>
    <cfRule type="expression" dxfId="4147" priority="4285">
      <formula>OR($HK489=FALSE,$HM489=FALSE)</formula>
    </cfRule>
  </conditionalFormatting>
  <conditionalFormatting sqref="G491:L491">
    <cfRule type="expression" dxfId="4146" priority="4289" stopIfTrue="1">
      <formula>$AF490=""</formula>
    </cfRule>
  </conditionalFormatting>
  <conditionalFormatting sqref="T489:U489">
    <cfRule type="expression" dxfId="4145" priority="4278" stopIfTrue="1">
      <formula>$C$36&lt;&gt;0</formula>
    </cfRule>
    <cfRule type="containsBlanks" dxfId="4144" priority="4279" stopIfTrue="1">
      <formula>LEN(TRIM(T489))=0</formula>
    </cfRule>
  </conditionalFormatting>
  <conditionalFormatting sqref="T489:U489">
    <cfRule type="expression" dxfId="4143" priority="4277" stopIfTrue="1">
      <formula>$G488=""</formula>
    </cfRule>
  </conditionalFormatting>
  <conditionalFormatting sqref="U489">
    <cfRule type="expression" dxfId="4142" priority="4280">
      <formula>$HE489=FALSE</formula>
    </cfRule>
  </conditionalFormatting>
  <conditionalFormatting sqref="T491">
    <cfRule type="expression" dxfId="4141" priority="4276">
      <formula>$C$36=2</formula>
    </cfRule>
  </conditionalFormatting>
  <conditionalFormatting sqref="AE495">
    <cfRule type="expression" dxfId="4140" priority="4262" stopIfTrue="1">
      <formula>$G493=""</formula>
    </cfRule>
  </conditionalFormatting>
  <conditionalFormatting sqref="AB496:AD496">
    <cfRule type="expression" dxfId="4139" priority="4274" stopIfTrue="1">
      <formula>$G493=""</formula>
    </cfRule>
  </conditionalFormatting>
  <conditionalFormatting sqref="G495">
    <cfRule type="expression" dxfId="4138" priority="4271" stopIfTrue="1">
      <formula>$G493=""</formula>
    </cfRule>
    <cfRule type="containsBlanks" dxfId="4137" priority="4272" stopIfTrue="1">
      <formula>LEN(TRIM(G495))=0</formula>
    </cfRule>
    <cfRule type="expression" dxfId="4136" priority="4273">
      <formula>OR($M495=0,$HC494=FALSE)</formula>
    </cfRule>
  </conditionalFormatting>
  <conditionalFormatting sqref="AB496">
    <cfRule type="expression" dxfId="4135" priority="4270" stopIfTrue="1">
      <formula>$AB496=""</formula>
    </cfRule>
  </conditionalFormatting>
  <conditionalFormatting sqref="AE494:AF494">
    <cfRule type="expression" dxfId="4134" priority="4269">
      <formula>$C$36=2</formula>
    </cfRule>
  </conditionalFormatting>
  <conditionalFormatting sqref="T495:U495">
    <cfRule type="expression" dxfId="4133" priority="4244" stopIfTrue="1">
      <formula>$G493=""</formula>
    </cfRule>
  </conditionalFormatting>
  <conditionalFormatting sqref="T495:U495">
    <cfRule type="containsBlanks" dxfId="4132" priority="4267" stopIfTrue="1">
      <formula>LEN(TRIM(T495))=0</formula>
    </cfRule>
  </conditionalFormatting>
  <conditionalFormatting sqref="AC493:AD493">
    <cfRule type="expression" dxfId="4131" priority="4266">
      <formula>$G493=""</formula>
    </cfRule>
  </conditionalFormatting>
  <conditionalFormatting sqref="AE494">
    <cfRule type="containsBlanks" dxfId="4130" priority="4264">
      <formula>LEN(TRIM(AE494))=0</formula>
    </cfRule>
  </conditionalFormatting>
  <conditionalFormatting sqref="AE495 AF496">
    <cfRule type="containsBlanks" dxfId="4129" priority="4263" stopIfTrue="1">
      <formula>LEN(TRIM(AE495))=0</formula>
    </cfRule>
  </conditionalFormatting>
  <conditionalFormatting sqref="AE495">
    <cfRule type="expression" dxfId="4128" priority="4275">
      <formula>OR($HN494=FALSE,$HO494=FALSE)</formula>
    </cfRule>
  </conditionalFormatting>
  <conditionalFormatting sqref="G494:Q494 G493">
    <cfRule type="containsBlanks" dxfId="4127" priority="4261">
      <formula>LEN(TRIM(G493))=0</formula>
    </cfRule>
  </conditionalFormatting>
  <conditionalFormatting sqref="G494:L494">
    <cfRule type="expression" dxfId="4126" priority="4259" stopIfTrue="1">
      <formula>$G493=""</formula>
    </cfRule>
    <cfRule type="containsBlanks" dxfId="4125" priority="4260">
      <formula>LEN(TRIM(G494))=0</formula>
    </cfRule>
  </conditionalFormatting>
  <conditionalFormatting sqref="R495">
    <cfRule type="expression" dxfId="4124" priority="4257" stopIfTrue="1">
      <formula>$G493=""</formula>
    </cfRule>
    <cfRule type="containsBlanks" dxfId="4123" priority="4258">
      <formula>LEN(TRIM(R495))=0</formula>
    </cfRule>
  </conditionalFormatting>
  <conditionalFormatting sqref="P495:R495">
    <cfRule type="expression" dxfId="4122" priority="4256">
      <formula>$C$36=0</formula>
    </cfRule>
  </conditionalFormatting>
  <conditionalFormatting sqref="AF494">
    <cfRule type="containsBlanks" dxfId="4121" priority="4252">
      <formula>LEN(TRIM(AF494))=0</formula>
    </cfRule>
    <cfRule type="expression" dxfId="4120" priority="4253">
      <formula>$HJ494=FALSE</formula>
    </cfRule>
  </conditionalFormatting>
  <conditionalFormatting sqref="AF496">
    <cfRule type="expression" dxfId="4119" priority="4251">
      <formula>$C$36=2</formula>
    </cfRule>
  </conditionalFormatting>
  <conditionalFormatting sqref="R494">
    <cfRule type="containsBlanks" dxfId="4118" priority="4250">
      <formula>LEN(TRIM(R494))=0</formula>
    </cfRule>
  </conditionalFormatting>
  <conditionalFormatting sqref="AE494:AF494">
    <cfRule type="expression" dxfId="4117" priority="4249" stopIfTrue="1">
      <formula>$G493=""</formula>
    </cfRule>
  </conditionalFormatting>
  <conditionalFormatting sqref="AF496">
    <cfRule type="expression" dxfId="4116" priority="4248" stopIfTrue="1">
      <formula>$G493=""</formula>
    </cfRule>
  </conditionalFormatting>
  <conditionalFormatting sqref="AF493:AI493">
    <cfRule type="expression" dxfId="4115" priority="4247">
      <formula>$C$36&lt;&gt;0</formula>
    </cfRule>
  </conditionalFormatting>
  <conditionalFormatting sqref="R494">
    <cfRule type="containsBlanks" dxfId="4114" priority="4245">
      <formula>LEN(TRIM(R494))=0</formula>
    </cfRule>
  </conditionalFormatting>
  <conditionalFormatting sqref="U495">
    <cfRule type="expression" dxfId="4113" priority="4268">
      <formula>OR($HF494=FALSE,$HG494=FALSE)</formula>
    </cfRule>
  </conditionalFormatting>
  <conditionalFormatting sqref="R494">
    <cfRule type="expression" dxfId="4112" priority="4242" stopIfTrue="1">
      <formula>$G493=""</formula>
    </cfRule>
    <cfRule type="expression" dxfId="4111" priority="4243">
      <formula>$HT494=FALSE</formula>
    </cfRule>
  </conditionalFormatting>
  <conditionalFormatting sqref="G496">
    <cfRule type="expression" dxfId="4110" priority="4237" stopIfTrue="1">
      <formula>$G493=""</formula>
    </cfRule>
  </conditionalFormatting>
  <conditionalFormatting sqref="G496">
    <cfRule type="expression" dxfId="4109" priority="4231" stopIfTrue="1">
      <formula>$CN493="Exterior"</formula>
    </cfRule>
  </conditionalFormatting>
  <conditionalFormatting sqref="G496:L496">
    <cfRule type="containsBlanks" dxfId="4108" priority="4238" stopIfTrue="1">
      <formula>LEN(TRIM(G496))=0</formula>
    </cfRule>
    <cfRule type="expression" dxfId="4107" priority="4240">
      <formula>$HL494=FALSE</formula>
    </cfRule>
  </conditionalFormatting>
  <conditionalFormatting sqref="AF495">
    <cfRule type="expression" dxfId="4106" priority="4232" stopIfTrue="1">
      <formula>$G493=""</formula>
    </cfRule>
  </conditionalFormatting>
  <conditionalFormatting sqref="AF495:AI495">
    <cfRule type="expression" dxfId="4105" priority="4236">
      <formula>OR($HP494=FALSE,$HL494=FALSE)</formula>
    </cfRule>
  </conditionalFormatting>
  <conditionalFormatting sqref="AF495">
    <cfRule type="containsBlanks" dxfId="4104" priority="4233" stopIfTrue="1">
      <formula>LEN(TRIM(AF495))=0</formula>
    </cfRule>
    <cfRule type="expression" dxfId="4103" priority="4234">
      <formula>$DP493=7</formula>
    </cfRule>
    <cfRule type="expression" dxfId="4102" priority="4235">
      <formula>OR($HK494=FALSE,$HM494=FALSE)</formula>
    </cfRule>
  </conditionalFormatting>
  <conditionalFormatting sqref="G496:L496">
    <cfRule type="expression" dxfId="4101" priority="4239" stopIfTrue="1">
      <formula>$AF495=""</formula>
    </cfRule>
  </conditionalFormatting>
  <conditionalFormatting sqref="T494:U494">
    <cfRule type="expression" dxfId="4100" priority="4228" stopIfTrue="1">
      <formula>$C$36&lt;&gt;0</formula>
    </cfRule>
    <cfRule type="containsBlanks" dxfId="4099" priority="4229" stopIfTrue="1">
      <formula>LEN(TRIM(T494))=0</formula>
    </cfRule>
  </conditionalFormatting>
  <conditionalFormatting sqref="T494:U494">
    <cfRule type="expression" dxfId="4098" priority="4227" stopIfTrue="1">
      <formula>$G493=""</formula>
    </cfRule>
  </conditionalFormatting>
  <conditionalFormatting sqref="U494">
    <cfRule type="expression" dxfId="4097" priority="4230">
      <formula>$HE494=FALSE</formula>
    </cfRule>
  </conditionalFormatting>
  <conditionalFormatting sqref="T496">
    <cfRule type="expression" dxfId="4096" priority="4226">
      <formula>$C$36=2</formula>
    </cfRule>
  </conditionalFormatting>
  <conditionalFormatting sqref="AE500">
    <cfRule type="expression" dxfId="4095" priority="4212" stopIfTrue="1">
      <formula>$G498=""</formula>
    </cfRule>
  </conditionalFormatting>
  <conditionalFormatting sqref="AB501:AD501">
    <cfRule type="expression" dxfId="4094" priority="4224" stopIfTrue="1">
      <formula>$G498=""</formula>
    </cfRule>
  </conditionalFormatting>
  <conditionalFormatting sqref="G500">
    <cfRule type="expression" dxfId="4093" priority="4221" stopIfTrue="1">
      <formula>$G498=""</formula>
    </cfRule>
    <cfRule type="containsBlanks" dxfId="4092" priority="4222" stopIfTrue="1">
      <formula>LEN(TRIM(G500))=0</formula>
    </cfRule>
    <cfRule type="expression" dxfId="4091" priority="4223">
      <formula>OR($M500=0,$HC499=FALSE)</formula>
    </cfRule>
  </conditionalFormatting>
  <conditionalFormatting sqref="AB501">
    <cfRule type="expression" dxfId="4090" priority="4220" stopIfTrue="1">
      <formula>$AB501=""</formula>
    </cfRule>
  </conditionalFormatting>
  <conditionalFormatting sqref="AE499:AF499">
    <cfRule type="expression" dxfId="4089" priority="4219">
      <formula>$C$36=2</formula>
    </cfRule>
  </conditionalFormatting>
  <conditionalFormatting sqref="T500:U500">
    <cfRule type="expression" dxfId="4088" priority="4194" stopIfTrue="1">
      <formula>$G498=""</formula>
    </cfRule>
  </conditionalFormatting>
  <conditionalFormatting sqref="T500:U500">
    <cfRule type="containsBlanks" dxfId="4087" priority="4217" stopIfTrue="1">
      <formula>LEN(TRIM(T500))=0</formula>
    </cfRule>
  </conditionalFormatting>
  <conditionalFormatting sqref="AC498:AD498">
    <cfRule type="expression" dxfId="4086" priority="4216">
      <formula>$G498=""</formula>
    </cfRule>
  </conditionalFormatting>
  <conditionalFormatting sqref="AE499">
    <cfRule type="containsBlanks" dxfId="4085" priority="4214">
      <formula>LEN(TRIM(AE499))=0</formula>
    </cfRule>
  </conditionalFormatting>
  <conditionalFormatting sqref="AE500 AF501">
    <cfRule type="containsBlanks" dxfId="4084" priority="4213" stopIfTrue="1">
      <formula>LEN(TRIM(AE500))=0</formula>
    </cfRule>
  </conditionalFormatting>
  <conditionalFormatting sqref="AE500">
    <cfRule type="expression" dxfId="4083" priority="4225">
      <formula>OR($HN499=FALSE,$HO499=FALSE)</formula>
    </cfRule>
  </conditionalFormatting>
  <conditionalFormatting sqref="G499:Q499 G498">
    <cfRule type="containsBlanks" dxfId="4082" priority="4211">
      <formula>LEN(TRIM(G498))=0</formula>
    </cfRule>
  </conditionalFormatting>
  <conditionalFormatting sqref="G499:L499">
    <cfRule type="expression" dxfId="4081" priority="4209" stopIfTrue="1">
      <formula>$G498=""</formula>
    </cfRule>
    <cfRule type="containsBlanks" dxfId="4080" priority="4210">
      <formula>LEN(TRIM(G499))=0</formula>
    </cfRule>
  </conditionalFormatting>
  <conditionalFormatting sqref="R500">
    <cfRule type="expression" dxfId="4079" priority="4207" stopIfTrue="1">
      <formula>$G498=""</formula>
    </cfRule>
    <cfRule type="containsBlanks" dxfId="4078" priority="4208">
      <formula>LEN(TRIM(R500))=0</formula>
    </cfRule>
  </conditionalFormatting>
  <conditionalFormatting sqref="P500:R500">
    <cfRule type="expression" dxfId="4077" priority="4206">
      <formula>$C$36=0</formula>
    </cfRule>
  </conditionalFormatting>
  <conditionalFormatting sqref="AF499">
    <cfRule type="containsBlanks" dxfId="4076" priority="4202">
      <formula>LEN(TRIM(AF499))=0</formula>
    </cfRule>
    <cfRule type="expression" dxfId="4075" priority="4203">
      <formula>$HJ499=FALSE</formula>
    </cfRule>
  </conditionalFormatting>
  <conditionalFormatting sqref="AF501">
    <cfRule type="expression" dxfId="4074" priority="4201">
      <formula>$C$36=2</formula>
    </cfRule>
  </conditionalFormatting>
  <conditionalFormatting sqref="R499">
    <cfRule type="containsBlanks" dxfId="4073" priority="4200">
      <formula>LEN(TRIM(R499))=0</formula>
    </cfRule>
  </conditionalFormatting>
  <conditionalFormatting sqref="AE499:AF499">
    <cfRule type="expression" dxfId="4072" priority="4199" stopIfTrue="1">
      <formula>$G498=""</formula>
    </cfRule>
  </conditionalFormatting>
  <conditionalFormatting sqref="AF501">
    <cfRule type="expression" dxfId="4071" priority="4198" stopIfTrue="1">
      <formula>$G498=""</formula>
    </cfRule>
  </conditionalFormatting>
  <conditionalFormatting sqref="AF498:AI498">
    <cfRule type="expression" dxfId="4070" priority="4197">
      <formula>$C$36&lt;&gt;0</formula>
    </cfRule>
  </conditionalFormatting>
  <conditionalFormatting sqref="R499">
    <cfRule type="containsBlanks" dxfId="4069" priority="4195">
      <formula>LEN(TRIM(R499))=0</formula>
    </cfRule>
  </conditionalFormatting>
  <conditionalFormatting sqref="U500">
    <cfRule type="expression" dxfId="4068" priority="4218">
      <formula>OR($HF499=FALSE,$HG499=FALSE)</formula>
    </cfRule>
  </conditionalFormatting>
  <conditionalFormatting sqref="R499">
    <cfRule type="expression" dxfId="4067" priority="4192" stopIfTrue="1">
      <formula>$G498=""</formula>
    </cfRule>
    <cfRule type="expression" dxfId="4066" priority="4193">
      <formula>$HT499=FALSE</formula>
    </cfRule>
  </conditionalFormatting>
  <conditionalFormatting sqref="G501">
    <cfRule type="expression" dxfId="4065" priority="4187" stopIfTrue="1">
      <formula>$G498=""</formula>
    </cfRule>
  </conditionalFormatting>
  <conditionalFormatting sqref="G501">
    <cfRule type="expression" dxfId="4064" priority="4181" stopIfTrue="1">
      <formula>$CN498="Exterior"</formula>
    </cfRule>
  </conditionalFormatting>
  <conditionalFormatting sqref="G501:L501">
    <cfRule type="containsBlanks" dxfId="4063" priority="4188" stopIfTrue="1">
      <formula>LEN(TRIM(G501))=0</formula>
    </cfRule>
    <cfRule type="expression" dxfId="4062" priority="4190">
      <formula>$HL499=FALSE</formula>
    </cfRule>
  </conditionalFormatting>
  <conditionalFormatting sqref="AF500">
    <cfRule type="expression" dxfId="4061" priority="4182" stopIfTrue="1">
      <formula>$G498=""</formula>
    </cfRule>
  </conditionalFormatting>
  <conditionalFormatting sqref="AF500:AI500">
    <cfRule type="expression" dxfId="4060" priority="4186">
      <formula>OR($HP499=FALSE,$HL499=FALSE)</formula>
    </cfRule>
  </conditionalFormatting>
  <conditionalFormatting sqref="AF500">
    <cfRule type="containsBlanks" dxfId="4059" priority="4183" stopIfTrue="1">
      <formula>LEN(TRIM(AF500))=0</formula>
    </cfRule>
    <cfRule type="expression" dxfId="4058" priority="4184">
      <formula>$DP498=7</formula>
    </cfRule>
    <cfRule type="expression" dxfId="4057" priority="4185">
      <formula>OR($HK499=FALSE,$HM499=FALSE)</formula>
    </cfRule>
  </conditionalFormatting>
  <conditionalFormatting sqref="G501:L501">
    <cfRule type="expression" dxfId="4056" priority="4189" stopIfTrue="1">
      <formula>$AF500=""</formula>
    </cfRule>
  </conditionalFormatting>
  <conditionalFormatting sqref="T499:U499">
    <cfRule type="expression" dxfId="4055" priority="4178" stopIfTrue="1">
      <formula>$C$36&lt;&gt;0</formula>
    </cfRule>
    <cfRule type="containsBlanks" dxfId="4054" priority="4179" stopIfTrue="1">
      <formula>LEN(TRIM(T499))=0</formula>
    </cfRule>
  </conditionalFormatting>
  <conditionalFormatting sqref="T499:U499">
    <cfRule type="expression" dxfId="4053" priority="4177" stopIfTrue="1">
      <formula>$G498=""</formula>
    </cfRule>
  </conditionalFormatting>
  <conditionalFormatting sqref="U499">
    <cfRule type="expression" dxfId="4052" priority="4180">
      <formula>$HE499=FALSE</formula>
    </cfRule>
  </conditionalFormatting>
  <conditionalFormatting sqref="T501">
    <cfRule type="expression" dxfId="4051" priority="4176">
      <formula>$C$36=2</formula>
    </cfRule>
  </conditionalFormatting>
  <conditionalFormatting sqref="AE505">
    <cfRule type="expression" dxfId="4050" priority="4162" stopIfTrue="1">
      <formula>$G503=""</formula>
    </cfRule>
  </conditionalFormatting>
  <conditionalFormatting sqref="AB506:AD506">
    <cfRule type="expression" dxfId="4049" priority="4174" stopIfTrue="1">
      <formula>$G503=""</formula>
    </cfRule>
  </conditionalFormatting>
  <conditionalFormatting sqref="G505">
    <cfRule type="expression" dxfId="4048" priority="4171" stopIfTrue="1">
      <formula>$G503=""</formula>
    </cfRule>
    <cfRule type="containsBlanks" dxfId="4047" priority="4172" stopIfTrue="1">
      <formula>LEN(TRIM(G505))=0</formula>
    </cfRule>
    <cfRule type="expression" dxfId="4046" priority="4173">
      <formula>OR($M505=0,$HC504=FALSE)</formula>
    </cfRule>
  </conditionalFormatting>
  <conditionalFormatting sqref="AB506">
    <cfRule type="expression" dxfId="4045" priority="4170" stopIfTrue="1">
      <formula>$AB506=""</formula>
    </cfRule>
  </conditionalFormatting>
  <conditionalFormatting sqref="AE504:AF504">
    <cfRule type="expression" dxfId="4044" priority="4169">
      <formula>$C$36=2</formula>
    </cfRule>
  </conditionalFormatting>
  <conditionalFormatting sqref="T505:U505">
    <cfRule type="expression" dxfId="4043" priority="4144" stopIfTrue="1">
      <formula>$G503=""</formula>
    </cfRule>
  </conditionalFormatting>
  <conditionalFormatting sqref="T505:U505">
    <cfRule type="containsBlanks" dxfId="4042" priority="4167" stopIfTrue="1">
      <formula>LEN(TRIM(T505))=0</formula>
    </cfRule>
  </conditionalFormatting>
  <conditionalFormatting sqref="AC503:AD503">
    <cfRule type="expression" dxfId="4041" priority="4166">
      <formula>$G503=""</formula>
    </cfRule>
  </conditionalFormatting>
  <conditionalFormatting sqref="AE504">
    <cfRule type="containsBlanks" dxfId="4040" priority="4164">
      <formula>LEN(TRIM(AE504))=0</formula>
    </cfRule>
  </conditionalFormatting>
  <conditionalFormatting sqref="AE505 AF506">
    <cfRule type="containsBlanks" dxfId="4039" priority="4163" stopIfTrue="1">
      <formula>LEN(TRIM(AE505))=0</formula>
    </cfRule>
  </conditionalFormatting>
  <conditionalFormatting sqref="AE505">
    <cfRule type="expression" dxfId="4038" priority="4175">
      <formula>OR($HN504=FALSE,$HO504=FALSE)</formula>
    </cfRule>
  </conditionalFormatting>
  <conditionalFormatting sqref="G504:Q504 G503">
    <cfRule type="containsBlanks" dxfId="4037" priority="4161">
      <formula>LEN(TRIM(G503))=0</formula>
    </cfRule>
  </conditionalFormatting>
  <conditionalFormatting sqref="G504:L504">
    <cfRule type="expression" dxfId="4036" priority="4159" stopIfTrue="1">
      <formula>$G503=""</formula>
    </cfRule>
    <cfRule type="containsBlanks" dxfId="4035" priority="4160">
      <formula>LEN(TRIM(G504))=0</formula>
    </cfRule>
  </conditionalFormatting>
  <conditionalFormatting sqref="R505">
    <cfRule type="expression" dxfId="4034" priority="4157" stopIfTrue="1">
      <formula>$G503=""</formula>
    </cfRule>
    <cfRule type="containsBlanks" dxfId="4033" priority="4158">
      <formula>LEN(TRIM(R505))=0</formula>
    </cfRule>
  </conditionalFormatting>
  <conditionalFormatting sqref="P505:R505">
    <cfRule type="expression" dxfId="4032" priority="4156">
      <formula>$C$36=0</formula>
    </cfRule>
  </conditionalFormatting>
  <conditionalFormatting sqref="AF504">
    <cfRule type="containsBlanks" dxfId="4031" priority="4152">
      <formula>LEN(TRIM(AF504))=0</formula>
    </cfRule>
    <cfRule type="expression" dxfId="4030" priority="4153">
      <formula>$HJ504=FALSE</formula>
    </cfRule>
  </conditionalFormatting>
  <conditionalFormatting sqref="AF506">
    <cfRule type="expression" dxfId="4029" priority="4151">
      <formula>$C$36=2</formula>
    </cfRule>
  </conditionalFormatting>
  <conditionalFormatting sqref="R504">
    <cfRule type="containsBlanks" dxfId="4028" priority="4150">
      <formula>LEN(TRIM(R504))=0</formula>
    </cfRule>
  </conditionalFormatting>
  <conditionalFormatting sqref="AE504:AF504">
    <cfRule type="expression" dxfId="4027" priority="4149" stopIfTrue="1">
      <formula>$G503=""</formula>
    </cfRule>
  </conditionalFormatting>
  <conditionalFormatting sqref="AF506">
    <cfRule type="expression" dxfId="4026" priority="4148" stopIfTrue="1">
      <formula>$G503=""</formula>
    </cfRule>
  </conditionalFormatting>
  <conditionalFormatting sqref="AF503:AI503">
    <cfRule type="expression" dxfId="4025" priority="4147">
      <formula>$C$36&lt;&gt;0</formula>
    </cfRule>
  </conditionalFormatting>
  <conditionalFormatting sqref="R504">
    <cfRule type="containsBlanks" dxfId="4024" priority="4145">
      <formula>LEN(TRIM(R504))=0</formula>
    </cfRule>
  </conditionalFormatting>
  <conditionalFormatting sqref="U505">
    <cfRule type="expression" dxfId="4023" priority="4168">
      <formula>OR($HF504=FALSE,$HG504=FALSE)</formula>
    </cfRule>
  </conditionalFormatting>
  <conditionalFormatting sqref="R504">
    <cfRule type="expression" dxfId="4022" priority="4142" stopIfTrue="1">
      <formula>$G503=""</formula>
    </cfRule>
    <cfRule type="expression" dxfId="4021" priority="4143">
      <formula>$HT504=FALSE</formula>
    </cfRule>
  </conditionalFormatting>
  <conditionalFormatting sqref="G506">
    <cfRule type="expression" dxfId="4020" priority="4137" stopIfTrue="1">
      <formula>$G503=""</formula>
    </cfRule>
  </conditionalFormatting>
  <conditionalFormatting sqref="G506">
    <cfRule type="expression" dxfId="4019" priority="4131" stopIfTrue="1">
      <formula>$CN503="Exterior"</formula>
    </cfRule>
  </conditionalFormatting>
  <conditionalFormatting sqref="G506:L506">
    <cfRule type="containsBlanks" dxfId="4018" priority="4138" stopIfTrue="1">
      <formula>LEN(TRIM(G506))=0</formula>
    </cfRule>
    <cfRule type="expression" dxfId="4017" priority="4140">
      <formula>$HL504=FALSE</formula>
    </cfRule>
  </conditionalFormatting>
  <conditionalFormatting sqref="AF505">
    <cfRule type="expression" dxfId="4016" priority="4132" stopIfTrue="1">
      <formula>$G503=""</formula>
    </cfRule>
  </conditionalFormatting>
  <conditionalFormatting sqref="AF505:AI505">
    <cfRule type="expression" dxfId="4015" priority="4136">
      <formula>OR($HP504=FALSE,$HL504=FALSE)</formula>
    </cfRule>
  </conditionalFormatting>
  <conditionalFormatting sqref="AF505">
    <cfRule type="containsBlanks" dxfId="4014" priority="4133" stopIfTrue="1">
      <formula>LEN(TRIM(AF505))=0</formula>
    </cfRule>
    <cfRule type="expression" dxfId="4013" priority="4134">
      <formula>$DP503=7</formula>
    </cfRule>
    <cfRule type="expression" dxfId="4012" priority="4135">
      <formula>OR($HK504=FALSE,$HM504=FALSE)</formula>
    </cfRule>
  </conditionalFormatting>
  <conditionalFormatting sqref="G506:L506">
    <cfRule type="expression" dxfId="4011" priority="4139" stopIfTrue="1">
      <formula>$AF505=""</formula>
    </cfRule>
  </conditionalFormatting>
  <conditionalFormatting sqref="T504:U504">
    <cfRule type="expression" dxfId="4010" priority="4128" stopIfTrue="1">
      <formula>$C$36&lt;&gt;0</formula>
    </cfRule>
    <cfRule type="containsBlanks" dxfId="4009" priority="4129" stopIfTrue="1">
      <formula>LEN(TRIM(T504))=0</formula>
    </cfRule>
  </conditionalFormatting>
  <conditionalFormatting sqref="T504:U504">
    <cfRule type="expression" dxfId="4008" priority="4127" stopIfTrue="1">
      <formula>$G503=""</formula>
    </cfRule>
  </conditionalFormatting>
  <conditionalFormatting sqref="U504">
    <cfRule type="expression" dxfId="4007" priority="4130">
      <formula>$HE504=FALSE</formula>
    </cfRule>
  </conditionalFormatting>
  <conditionalFormatting sqref="T506">
    <cfRule type="expression" dxfId="4006" priority="4126">
      <formula>$C$36=2</formula>
    </cfRule>
  </conditionalFormatting>
  <conditionalFormatting sqref="AE510">
    <cfRule type="expression" dxfId="4005" priority="4112" stopIfTrue="1">
      <formula>$G508=""</formula>
    </cfRule>
  </conditionalFormatting>
  <conditionalFormatting sqref="AB511:AD511">
    <cfRule type="expression" dxfId="4004" priority="4124" stopIfTrue="1">
      <formula>$G508=""</formula>
    </cfRule>
  </conditionalFormatting>
  <conditionalFormatting sqref="G510">
    <cfRule type="expression" dxfId="4003" priority="4121" stopIfTrue="1">
      <formula>$G508=""</formula>
    </cfRule>
    <cfRule type="containsBlanks" dxfId="4002" priority="4122" stopIfTrue="1">
      <formula>LEN(TRIM(G510))=0</formula>
    </cfRule>
    <cfRule type="expression" dxfId="4001" priority="4123">
      <formula>OR($M510=0,$HC509=FALSE)</formula>
    </cfRule>
  </conditionalFormatting>
  <conditionalFormatting sqref="AB511">
    <cfRule type="expression" dxfId="4000" priority="4120" stopIfTrue="1">
      <formula>$AB511=""</formula>
    </cfRule>
  </conditionalFormatting>
  <conditionalFormatting sqref="AE509:AF509">
    <cfRule type="expression" dxfId="3999" priority="4119">
      <formula>$C$36=2</formula>
    </cfRule>
  </conditionalFormatting>
  <conditionalFormatting sqref="T510:U510">
    <cfRule type="expression" dxfId="3998" priority="4094" stopIfTrue="1">
      <formula>$G508=""</formula>
    </cfRule>
  </conditionalFormatting>
  <conditionalFormatting sqref="T510:U510">
    <cfRule type="containsBlanks" dxfId="3997" priority="4117" stopIfTrue="1">
      <formula>LEN(TRIM(T510))=0</formula>
    </cfRule>
  </conditionalFormatting>
  <conditionalFormatting sqref="AC508:AD508">
    <cfRule type="expression" dxfId="3996" priority="4116">
      <formula>$G508=""</formula>
    </cfRule>
  </conditionalFormatting>
  <conditionalFormatting sqref="AE509">
    <cfRule type="containsBlanks" dxfId="3995" priority="4114">
      <formula>LEN(TRIM(AE509))=0</formula>
    </cfRule>
  </conditionalFormatting>
  <conditionalFormatting sqref="AE510 AF511">
    <cfRule type="containsBlanks" dxfId="3994" priority="4113" stopIfTrue="1">
      <formula>LEN(TRIM(AE510))=0</formula>
    </cfRule>
  </conditionalFormatting>
  <conditionalFormatting sqref="AE510">
    <cfRule type="expression" dxfId="3993" priority="4125">
      <formula>OR($HN509=FALSE,$HO509=FALSE)</formula>
    </cfRule>
  </conditionalFormatting>
  <conditionalFormatting sqref="G509:Q509 G508">
    <cfRule type="containsBlanks" dxfId="3992" priority="4111">
      <formula>LEN(TRIM(G508))=0</formula>
    </cfRule>
  </conditionalFormatting>
  <conditionalFormatting sqref="G509:L509">
    <cfRule type="expression" dxfId="3991" priority="4109" stopIfTrue="1">
      <formula>$G508=""</formula>
    </cfRule>
    <cfRule type="containsBlanks" dxfId="3990" priority="4110">
      <formula>LEN(TRIM(G509))=0</formula>
    </cfRule>
  </conditionalFormatting>
  <conditionalFormatting sqref="R510">
    <cfRule type="expression" dxfId="3989" priority="4107" stopIfTrue="1">
      <formula>$G508=""</formula>
    </cfRule>
    <cfRule type="containsBlanks" dxfId="3988" priority="4108">
      <formula>LEN(TRIM(R510))=0</formula>
    </cfRule>
  </conditionalFormatting>
  <conditionalFormatting sqref="P510:R510">
    <cfRule type="expression" dxfId="3987" priority="4106">
      <formula>$C$36=0</formula>
    </cfRule>
  </conditionalFormatting>
  <conditionalFormatting sqref="AF509">
    <cfRule type="containsBlanks" dxfId="3986" priority="4102">
      <formula>LEN(TRIM(AF509))=0</formula>
    </cfRule>
    <cfRule type="expression" dxfId="3985" priority="4103">
      <formula>$HJ509=FALSE</formula>
    </cfRule>
  </conditionalFormatting>
  <conditionalFormatting sqref="AF511">
    <cfRule type="expression" dxfId="3984" priority="4101">
      <formula>$C$36=2</formula>
    </cfRule>
  </conditionalFormatting>
  <conditionalFormatting sqref="R509">
    <cfRule type="containsBlanks" dxfId="3983" priority="4100">
      <formula>LEN(TRIM(R509))=0</formula>
    </cfRule>
  </conditionalFormatting>
  <conditionalFormatting sqref="AE509:AF509">
    <cfRule type="expression" dxfId="3982" priority="4099" stopIfTrue="1">
      <formula>$G508=""</formula>
    </cfRule>
  </conditionalFormatting>
  <conditionalFormatting sqref="AF511">
    <cfRule type="expression" dxfId="3981" priority="4098" stopIfTrue="1">
      <formula>$G508=""</formula>
    </cfRule>
  </conditionalFormatting>
  <conditionalFormatting sqref="AF508:AI508">
    <cfRule type="expression" dxfId="3980" priority="4097">
      <formula>$C$36&lt;&gt;0</formula>
    </cfRule>
  </conditionalFormatting>
  <conditionalFormatting sqref="R509">
    <cfRule type="containsBlanks" dxfId="3979" priority="4095">
      <formula>LEN(TRIM(R509))=0</formula>
    </cfRule>
  </conditionalFormatting>
  <conditionalFormatting sqref="U510">
    <cfRule type="expression" dxfId="3978" priority="4118">
      <formula>OR($HF509=FALSE,$HG509=FALSE)</formula>
    </cfRule>
  </conditionalFormatting>
  <conditionalFormatting sqref="R509">
    <cfRule type="expression" dxfId="3977" priority="4092" stopIfTrue="1">
      <formula>$G508=""</formula>
    </cfRule>
    <cfRule type="expression" dxfId="3976" priority="4093">
      <formula>$HT509=FALSE</formula>
    </cfRule>
  </conditionalFormatting>
  <conditionalFormatting sqref="G511">
    <cfRule type="expression" dxfId="3975" priority="4087" stopIfTrue="1">
      <formula>$G508=""</formula>
    </cfRule>
  </conditionalFormatting>
  <conditionalFormatting sqref="G511">
    <cfRule type="expression" dxfId="3974" priority="4081" stopIfTrue="1">
      <formula>$CN508="Exterior"</formula>
    </cfRule>
  </conditionalFormatting>
  <conditionalFormatting sqref="G511:L511">
    <cfRule type="containsBlanks" dxfId="3973" priority="4088" stopIfTrue="1">
      <formula>LEN(TRIM(G511))=0</formula>
    </cfRule>
    <cfRule type="expression" dxfId="3972" priority="4090">
      <formula>$HL509=FALSE</formula>
    </cfRule>
  </conditionalFormatting>
  <conditionalFormatting sqref="AF510">
    <cfRule type="expression" dxfId="3971" priority="4082" stopIfTrue="1">
      <formula>$G508=""</formula>
    </cfRule>
  </conditionalFormatting>
  <conditionalFormatting sqref="AF510:AI510">
    <cfRule type="expression" dxfId="3970" priority="4086">
      <formula>OR($HP509=FALSE,$HL509=FALSE)</formula>
    </cfRule>
  </conditionalFormatting>
  <conditionalFormatting sqref="AF510">
    <cfRule type="containsBlanks" dxfId="3969" priority="4083" stopIfTrue="1">
      <formula>LEN(TRIM(AF510))=0</formula>
    </cfRule>
    <cfRule type="expression" dxfId="3968" priority="4084">
      <formula>$DP508=7</formula>
    </cfRule>
    <cfRule type="expression" dxfId="3967" priority="4085">
      <formula>OR($HK509=FALSE,$HM509=FALSE)</formula>
    </cfRule>
  </conditionalFormatting>
  <conditionalFormatting sqref="G511:L511">
    <cfRule type="expression" dxfId="3966" priority="4089" stopIfTrue="1">
      <formula>$AF510=""</formula>
    </cfRule>
  </conditionalFormatting>
  <conditionalFormatting sqref="T509:U509">
    <cfRule type="expression" dxfId="3965" priority="4078" stopIfTrue="1">
      <formula>$C$36&lt;&gt;0</formula>
    </cfRule>
    <cfRule type="containsBlanks" dxfId="3964" priority="4079" stopIfTrue="1">
      <formula>LEN(TRIM(T509))=0</formula>
    </cfRule>
  </conditionalFormatting>
  <conditionalFormatting sqref="T509:U509">
    <cfRule type="expression" dxfId="3963" priority="4077" stopIfTrue="1">
      <formula>$G508=""</formula>
    </cfRule>
  </conditionalFormatting>
  <conditionalFormatting sqref="U509">
    <cfRule type="expression" dxfId="3962" priority="4080">
      <formula>$HE509=FALSE</formula>
    </cfRule>
  </conditionalFormatting>
  <conditionalFormatting sqref="T511">
    <cfRule type="expression" dxfId="3961" priority="4076">
      <formula>$C$36=2</formula>
    </cfRule>
  </conditionalFormatting>
  <conditionalFormatting sqref="AE515">
    <cfRule type="expression" dxfId="3960" priority="4062" stopIfTrue="1">
      <formula>$G513=""</formula>
    </cfRule>
  </conditionalFormatting>
  <conditionalFormatting sqref="AB516:AD516">
    <cfRule type="expression" dxfId="3959" priority="4074" stopIfTrue="1">
      <formula>$G513=""</formula>
    </cfRule>
  </conditionalFormatting>
  <conditionalFormatting sqref="G515">
    <cfRule type="expression" dxfId="3958" priority="4071" stopIfTrue="1">
      <formula>$G513=""</formula>
    </cfRule>
    <cfRule type="containsBlanks" dxfId="3957" priority="4072" stopIfTrue="1">
      <formula>LEN(TRIM(G515))=0</formula>
    </cfRule>
    <cfRule type="expression" dxfId="3956" priority="4073">
      <formula>OR($M515=0,$HC514=FALSE)</formula>
    </cfRule>
  </conditionalFormatting>
  <conditionalFormatting sqref="AB516">
    <cfRule type="expression" dxfId="3955" priority="4070" stopIfTrue="1">
      <formula>$AB516=""</formula>
    </cfRule>
  </conditionalFormatting>
  <conditionalFormatting sqref="AE514:AF514">
    <cfRule type="expression" dxfId="3954" priority="4069">
      <formula>$C$36=2</formula>
    </cfRule>
  </conditionalFormatting>
  <conditionalFormatting sqref="T515:U515">
    <cfRule type="expression" dxfId="3953" priority="4044" stopIfTrue="1">
      <formula>$G513=""</formula>
    </cfRule>
  </conditionalFormatting>
  <conditionalFormatting sqref="T515:U515">
    <cfRule type="containsBlanks" dxfId="3952" priority="4067" stopIfTrue="1">
      <formula>LEN(TRIM(T515))=0</formula>
    </cfRule>
  </conditionalFormatting>
  <conditionalFormatting sqref="AC513:AD513">
    <cfRule type="expression" dxfId="3951" priority="4066">
      <formula>$G513=""</formula>
    </cfRule>
  </conditionalFormatting>
  <conditionalFormatting sqref="AE514">
    <cfRule type="containsBlanks" dxfId="3950" priority="4064">
      <formula>LEN(TRIM(AE514))=0</formula>
    </cfRule>
  </conditionalFormatting>
  <conditionalFormatting sqref="AE515 AF516">
    <cfRule type="containsBlanks" dxfId="3949" priority="4063" stopIfTrue="1">
      <formula>LEN(TRIM(AE515))=0</formula>
    </cfRule>
  </conditionalFormatting>
  <conditionalFormatting sqref="AE515">
    <cfRule type="expression" dxfId="3948" priority="4075">
      <formula>OR($HN514=FALSE,$HO514=FALSE)</formula>
    </cfRule>
  </conditionalFormatting>
  <conditionalFormatting sqref="G514:Q514 G513">
    <cfRule type="containsBlanks" dxfId="3947" priority="4061">
      <formula>LEN(TRIM(G513))=0</formula>
    </cfRule>
  </conditionalFormatting>
  <conditionalFormatting sqref="G514:L514">
    <cfRule type="expression" dxfId="3946" priority="4059" stopIfTrue="1">
      <formula>$G513=""</formula>
    </cfRule>
    <cfRule type="containsBlanks" dxfId="3945" priority="4060">
      <formula>LEN(TRIM(G514))=0</formula>
    </cfRule>
  </conditionalFormatting>
  <conditionalFormatting sqref="R515">
    <cfRule type="expression" dxfId="3944" priority="4057" stopIfTrue="1">
      <formula>$G513=""</formula>
    </cfRule>
    <cfRule type="containsBlanks" dxfId="3943" priority="4058">
      <formula>LEN(TRIM(R515))=0</formula>
    </cfRule>
  </conditionalFormatting>
  <conditionalFormatting sqref="P515:R515">
    <cfRule type="expression" dxfId="3942" priority="4056">
      <formula>$C$36=0</formula>
    </cfRule>
  </conditionalFormatting>
  <conditionalFormatting sqref="AF514">
    <cfRule type="containsBlanks" dxfId="3941" priority="4052">
      <formula>LEN(TRIM(AF514))=0</formula>
    </cfRule>
    <cfRule type="expression" dxfId="3940" priority="4053">
      <formula>$HJ514=FALSE</formula>
    </cfRule>
  </conditionalFormatting>
  <conditionalFormatting sqref="AF516">
    <cfRule type="expression" dxfId="3939" priority="4051">
      <formula>$C$36=2</formula>
    </cfRule>
  </conditionalFormatting>
  <conditionalFormatting sqref="R514">
    <cfRule type="containsBlanks" dxfId="3938" priority="4050">
      <formula>LEN(TRIM(R514))=0</formula>
    </cfRule>
  </conditionalFormatting>
  <conditionalFormatting sqref="AE514:AF514">
    <cfRule type="expression" dxfId="3937" priority="4049" stopIfTrue="1">
      <formula>$G513=""</formula>
    </cfRule>
  </conditionalFormatting>
  <conditionalFormatting sqref="AF516">
    <cfRule type="expression" dxfId="3936" priority="4048" stopIfTrue="1">
      <formula>$G513=""</formula>
    </cfRule>
  </conditionalFormatting>
  <conditionalFormatting sqref="AF513:AI513">
    <cfRule type="expression" dxfId="3935" priority="4047">
      <formula>$C$36&lt;&gt;0</formula>
    </cfRule>
  </conditionalFormatting>
  <conditionalFormatting sqref="R514">
    <cfRule type="containsBlanks" dxfId="3934" priority="4045">
      <formula>LEN(TRIM(R514))=0</formula>
    </cfRule>
  </conditionalFormatting>
  <conditionalFormatting sqref="U515">
    <cfRule type="expression" dxfId="3933" priority="4068">
      <formula>OR($HF514=FALSE,$HG514=FALSE)</formula>
    </cfRule>
  </conditionalFormatting>
  <conditionalFormatting sqref="R514">
    <cfRule type="expression" dxfId="3932" priority="4042" stopIfTrue="1">
      <formula>$G513=""</formula>
    </cfRule>
    <cfRule type="expression" dxfId="3931" priority="4043">
      <formula>$HT514=FALSE</formula>
    </cfRule>
  </conditionalFormatting>
  <conditionalFormatting sqref="G516">
    <cfRule type="expression" dxfId="3930" priority="4037" stopIfTrue="1">
      <formula>$G513=""</formula>
    </cfRule>
  </conditionalFormatting>
  <conditionalFormatting sqref="G516">
    <cfRule type="expression" dxfId="3929" priority="4031" stopIfTrue="1">
      <formula>$CN513="Exterior"</formula>
    </cfRule>
  </conditionalFormatting>
  <conditionalFormatting sqref="G516:L516">
    <cfRule type="containsBlanks" dxfId="3928" priority="4038" stopIfTrue="1">
      <formula>LEN(TRIM(G516))=0</formula>
    </cfRule>
    <cfRule type="expression" dxfId="3927" priority="4040">
      <formula>$HL514=FALSE</formula>
    </cfRule>
  </conditionalFormatting>
  <conditionalFormatting sqref="AF515">
    <cfRule type="expression" dxfId="3926" priority="4032" stopIfTrue="1">
      <formula>$G513=""</formula>
    </cfRule>
  </conditionalFormatting>
  <conditionalFormatting sqref="AF515:AI515">
    <cfRule type="expression" dxfId="3925" priority="4036">
      <formula>OR($HP514=FALSE,$HL514=FALSE)</formula>
    </cfRule>
  </conditionalFormatting>
  <conditionalFormatting sqref="AF515">
    <cfRule type="containsBlanks" dxfId="3924" priority="4033" stopIfTrue="1">
      <formula>LEN(TRIM(AF515))=0</formula>
    </cfRule>
    <cfRule type="expression" dxfId="3923" priority="4034">
      <formula>$DP513=7</formula>
    </cfRule>
    <cfRule type="expression" dxfId="3922" priority="4035">
      <formula>OR($HK514=FALSE,$HM514=FALSE)</formula>
    </cfRule>
  </conditionalFormatting>
  <conditionalFormatting sqref="G516:L516">
    <cfRule type="expression" dxfId="3921" priority="4039" stopIfTrue="1">
      <formula>$AF515=""</formula>
    </cfRule>
  </conditionalFormatting>
  <conditionalFormatting sqref="T514:U514">
    <cfRule type="expression" dxfId="3920" priority="4028" stopIfTrue="1">
      <formula>$C$36&lt;&gt;0</formula>
    </cfRule>
    <cfRule type="containsBlanks" dxfId="3919" priority="4029" stopIfTrue="1">
      <formula>LEN(TRIM(T514))=0</formula>
    </cfRule>
  </conditionalFormatting>
  <conditionalFormatting sqref="T514:U514">
    <cfRule type="expression" dxfId="3918" priority="4027" stopIfTrue="1">
      <formula>$G513=""</formula>
    </cfRule>
  </conditionalFormatting>
  <conditionalFormatting sqref="U514">
    <cfRule type="expression" dxfId="3917" priority="4030">
      <formula>$HE514=FALSE</formula>
    </cfRule>
  </conditionalFormatting>
  <conditionalFormatting sqref="T516">
    <cfRule type="expression" dxfId="3916" priority="4026">
      <formula>$C$36=2</formula>
    </cfRule>
  </conditionalFormatting>
  <conditionalFormatting sqref="AE520">
    <cfRule type="expression" dxfId="3915" priority="4012" stopIfTrue="1">
      <formula>$G518=""</formula>
    </cfRule>
  </conditionalFormatting>
  <conditionalFormatting sqref="AB521:AD521">
    <cfRule type="expression" dxfId="3914" priority="4024" stopIfTrue="1">
      <formula>$G518=""</formula>
    </cfRule>
  </conditionalFormatting>
  <conditionalFormatting sqref="G520">
    <cfRule type="expression" dxfId="3913" priority="4021" stopIfTrue="1">
      <formula>$G518=""</formula>
    </cfRule>
    <cfRule type="containsBlanks" dxfId="3912" priority="4022" stopIfTrue="1">
      <formula>LEN(TRIM(G520))=0</formula>
    </cfRule>
    <cfRule type="expression" dxfId="3911" priority="4023">
      <formula>OR($M520=0,$HC519=FALSE)</formula>
    </cfRule>
  </conditionalFormatting>
  <conditionalFormatting sqref="AB521">
    <cfRule type="expression" dxfId="3910" priority="4020" stopIfTrue="1">
      <formula>$AB521=""</formula>
    </cfRule>
  </conditionalFormatting>
  <conditionalFormatting sqref="AE519:AF519">
    <cfRule type="expression" dxfId="3909" priority="4019">
      <formula>$C$36=2</formula>
    </cfRule>
  </conditionalFormatting>
  <conditionalFormatting sqref="T520:U520">
    <cfRule type="expression" dxfId="3908" priority="3994" stopIfTrue="1">
      <formula>$G518=""</formula>
    </cfRule>
  </conditionalFormatting>
  <conditionalFormatting sqref="T520:U520">
    <cfRule type="containsBlanks" dxfId="3907" priority="4017" stopIfTrue="1">
      <formula>LEN(TRIM(T520))=0</formula>
    </cfRule>
  </conditionalFormatting>
  <conditionalFormatting sqref="AC518:AD518">
    <cfRule type="expression" dxfId="3906" priority="4016">
      <formula>$G518=""</formula>
    </cfRule>
  </conditionalFormatting>
  <conditionalFormatting sqref="AE519">
    <cfRule type="containsBlanks" dxfId="3905" priority="4014">
      <formula>LEN(TRIM(AE519))=0</formula>
    </cfRule>
  </conditionalFormatting>
  <conditionalFormatting sqref="AE520 AF521">
    <cfRule type="containsBlanks" dxfId="3904" priority="4013" stopIfTrue="1">
      <formula>LEN(TRIM(AE520))=0</formula>
    </cfRule>
  </conditionalFormatting>
  <conditionalFormatting sqref="AE520">
    <cfRule type="expression" dxfId="3903" priority="4025">
      <formula>OR($HN519=FALSE,$HO519=FALSE)</formula>
    </cfRule>
  </conditionalFormatting>
  <conditionalFormatting sqref="G519:Q519 G518">
    <cfRule type="containsBlanks" dxfId="3902" priority="4011">
      <formula>LEN(TRIM(G518))=0</formula>
    </cfRule>
  </conditionalFormatting>
  <conditionalFormatting sqref="G519:L519">
    <cfRule type="expression" dxfId="3901" priority="4009" stopIfTrue="1">
      <formula>$G518=""</formula>
    </cfRule>
    <cfRule type="containsBlanks" dxfId="3900" priority="4010">
      <formula>LEN(TRIM(G519))=0</formula>
    </cfRule>
  </conditionalFormatting>
  <conditionalFormatting sqref="R520">
    <cfRule type="expression" dxfId="3899" priority="4007" stopIfTrue="1">
      <formula>$G518=""</formula>
    </cfRule>
    <cfRule type="containsBlanks" dxfId="3898" priority="4008">
      <formula>LEN(TRIM(R520))=0</formula>
    </cfRule>
  </conditionalFormatting>
  <conditionalFormatting sqref="P520:R520">
    <cfRule type="expression" dxfId="3897" priority="4006">
      <formula>$C$36=0</formula>
    </cfRule>
  </conditionalFormatting>
  <conditionalFormatting sqref="AF519">
    <cfRule type="containsBlanks" dxfId="3896" priority="4002">
      <formula>LEN(TRIM(AF519))=0</formula>
    </cfRule>
    <cfRule type="expression" dxfId="3895" priority="4003">
      <formula>$HJ519=FALSE</formula>
    </cfRule>
  </conditionalFormatting>
  <conditionalFormatting sqref="AF521">
    <cfRule type="expression" dxfId="3894" priority="4001">
      <formula>$C$36=2</formula>
    </cfRule>
  </conditionalFormatting>
  <conditionalFormatting sqref="R519">
    <cfRule type="containsBlanks" dxfId="3893" priority="4000">
      <formula>LEN(TRIM(R519))=0</formula>
    </cfRule>
  </conditionalFormatting>
  <conditionalFormatting sqref="AE519:AF519">
    <cfRule type="expression" dxfId="3892" priority="3999" stopIfTrue="1">
      <formula>$G518=""</formula>
    </cfRule>
  </conditionalFormatting>
  <conditionalFormatting sqref="AF521">
    <cfRule type="expression" dxfId="3891" priority="3998" stopIfTrue="1">
      <formula>$G518=""</formula>
    </cfRule>
  </conditionalFormatting>
  <conditionalFormatting sqref="AF518:AI518">
    <cfRule type="expression" dxfId="3890" priority="3997">
      <formula>$C$36&lt;&gt;0</formula>
    </cfRule>
  </conditionalFormatting>
  <conditionalFormatting sqref="R519">
    <cfRule type="containsBlanks" dxfId="3889" priority="3995">
      <formula>LEN(TRIM(R519))=0</formula>
    </cfRule>
  </conditionalFormatting>
  <conditionalFormatting sqref="U520">
    <cfRule type="expression" dxfId="3888" priority="4018">
      <formula>OR($HF519=FALSE,$HG519=FALSE)</formula>
    </cfRule>
  </conditionalFormatting>
  <conditionalFormatting sqref="R519">
    <cfRule type="expression" dxfId="3887" priority="3992" stopIfTrue="1">
      <formula>$G518=""</formula>
    </cfRule>
    <cfRule type="expression" dxfId="3886" priority="3993">
      <formula>$HT519=FALSE</formula>
    </cfRule>
  </conditionalFormatting>
  <conditionalFormatting sqref="G521">
    <cfRule type="expression" dxfId="3885" priority="3987" stopIfTrue="1">
      <formula>$G518=""</formula>
    </cfRule>
  </conditionalFormatting>
  <conditionalFormatting sqref="G521">
    <cfRule type="expression" dxfId="3884" priority="3981" stopIfTrue="1">
      <formula>$CN518="Exterior"</formula>
    </cfRule>
  </conditionalFormatting>
  <conditionalFormatting sqref="G521:L521">
    <cfRule type="containsBlanks" dxfId="3883" priority="3988" stopIfTrue="1">
      <formula>LEN(TRIM(G521))=0</formula>
    </cfRule>
    <cfRule type="expression" dxfId="3882" priority="3990">
      <formula>$HL519=FALSE</formula>
    </cfRule>
  </conditionalFormatting>
  <conditionalFormatting sqref="AF520">
    <cfRule type="expression" dxfId="3881" priority="3982" stopIfTrue="1">
      <formula>$G518=""</formula>
    </cfRule>
  </conditionalFormatting>
  <conditionalFormatting sqref="AF520:AI520">
    <cfRule type="expression" dxfId="3880" priority="3986">
      <formula>OR($HP519=FALSE,$HL519=FALSE)</formula>
    </cfRule>
  </conditionalFormatting>
  <conditionalFormatting sqref="AF520">
    <cfRule type="containsBlanks" dxfId="3879" priority="3983" stopIfTrue="1">
      <formula>LEN(TRIM(AF520))=0</formula>
    </cfRule>
    <cfRule type="expression" dxfId="3878" priority="3984">
      <formula>$DP518=7</formula>
    </cfRule>
    <cfRule type="expression" dxfId="3877" priority="3985">
      <formula>OR($HK519=FALSE,$HM519=FALSE)</formula>
    </cfRule>
  </conditionalFormatting>
  <conditionalFormatting sqref="G521:L521">
    <cfRule type="expression" dxfId="3876" priority="3989" stopIfTrue="1">
      <formula>$AF520=""</formula>
    </cfRule>
  </conditionalFormatting>
  <conditionalFormatting sqref="T519:U519">
    <cfRule type="expression" dxfId="3875" priority="3978" stopIfTrue="1">
      <formula>$C$36&lt;&gt;0</formula>
    </cfRule>
    <cfRule type="containsBlanks" dxfId="3874" priority="3979" stopIfTrue="1">
      <formula>LEN(TRIM(T519))=0</formula>
    </cfRule>
  </conditionalFormatting>
  <conditionalFormatting sqref="T519:U519">
    <cfRule type="expression" dxfId="3873" priority="3977" stopIfTrue="1">
      <formula>$G518=""</formula>
    </cfRule>
  </conditionalFormatting>
  <conditionalFormatting sqref="U519">
    <cfRule type="expression" dxfId="3872" priority="3980">
      <formula>$HE519=FALSE</formula>
    </cfRule>
  </conditionalFormatting>
  <conditionalFormatting sqref="T521">
    <cfRule type="expression" dxfId="3871" priority="3976">
      <formula>$C$36=2</formula>
    </cfRule>
  </conditionalFormatting>
  <conditionalFormatting sqref="AE525">
    <cfRule type="expression" dxfId="3870" priority="3962" stopIfTrue="1">
      <formula>$G523=""</formula>
    </cfRule>
  </conditionalFormatting>
  <conditionalFormatting sqref="AB526:AD526">
    <cfRule type="expression" dxfId="3869" priority="3974" stopIfTrue="1">
      <formula>$G523=""</formula>
    </cfRule>
  </conditionalFormatting>
  <conditionalFormatting sqref="G525">
    <cfRule type="expression" dxfId="3868" priority="3971" stopIfTrue="1">
      <formula>$G523=""</formula>
    </cfRule>
    <cfRule type="containsBlanks" dxfId="3867" priority="3972" stopIfTrue="1">
      <formula>LEN(TRIM(G525))=0</formula>
    </cfRule>
    <cfRule type="expression" dxfId="3866" priority="3973">
      <formula>OR($M525=0,$HC524=FALSE)</formula>
    </cfRule>
  </conditionalFormatting>
  <conditionalFormatting sqref="AB526">
    <cfRule type="expression" dxfId="3865" priority="3970" stopIfTrue="1">
      <formula>$AB526=""</formula>
    </cfRule>
  </conditionalFormatting>
  <conditionalFormatting sqref="AE524:AF524">
    <cfRule type="expression" dxfId="3864" priority="3969">
      <formula>$C$36=2</formula>
    </cfRule>
  </conditionalFormatting>
  <conditionalFormatting sqref="T525:U525">
    <cfRule type="expression" dxfId="3863" priority="3944" stopIfTrue="1">
      <formula>$G523=""</formula>
    </cfRule>
  </conditionalFormatting>
  <conditionalFormatting sqref="T525:U525">
    <cfRule type="containsBlanks" dxfId="3862" priority="3967" stopIfTrue="1">
      <formula>LEN(TRIM(T525))=0</formula>
    </cfRule>
  </conditionalFormatting>
  <conditionalFormatting sqref="AC523:AD523">
    <cfRule type="expression" dxfId="3861" priority="3966">
      <formula>$G523=""</formula>
    </cfRule>
  </conditionalFormatting>
  <conditionalFormatting sqref="AE524">
    <cfRule type="containsBlanks" dxfId="3860" priority="3964">
      <formula>LEN(TRIM(AE524))=0</formula>
    </cfRule>
  </conditionalFormatting>
  <conditionalFormatting sqref="AE525 AF526">
    <cfRule type="containsBlanks" dxfId="3859" priority="3963" stopIfTrue="1">
      <formula>LEN(TRIM(AE525))=0</formula>
    </cfRule>
  </conditionalFormatting>
  <conditionalFormatting sqref="AE525">
    <cfRule type="expression" dxfId="3858" priority="3975">
      <formula>OR($HN524=FALSE,$HO524=FALSE)</formula>
    </cfRule>
  </conditionalFormatting>
  <conditionalFormatting sqref="G524:Q524 G523">
    <cfRule type="containsBlanks" dxfId="3857" priority="3961">
      <formula>LEN(TRIM(G523))=0</formula>
    </cfRule>
  </conditionalFormatting>
  <conditionalFormatting sqref="G524:L524">
    <cfRule type="expression" dxfId="3856" priority="3959" stopIfTrue="1">
      <formula>$G523=""</formula>
    </cfRule>
    <cfRule type="containsBlanks" dxfId="3855" priority="3960">
      <formula>LEN(TRIM(G524))=0</formula>
    </cfRule>
  </conditionalFormatting>
  <conditionalFormatting sqref="R525">
    <cfRule type="expression" dxfId="3854" priority="3957" stopIfTrue="1">
      <formula>$G523=""</formula>
    </cfRule>
    <cfRule type="containsBlanks" dxfId="3853" priority="3958">
      <formula>LEN(TRIM(R525))=0</formula>
    </cfRule>
  </conditionalFormatting>
  <conditionalFormatting sqref="P525:R525">
    <cfRule type="expression" dxfId="3852" priority="3956">
      <formula>$C$36=0</formula>
    </cfRule>
  </conditionalFormatting>
  <conditionalFormatting sqref="AF524">
    <cfRule type="containsBlanks" dxfId="3851" priority="3952">
      <formula>LEN(TRIM(AF524))=0</formula>
    </cfRule>
    <cfRule type="expression" dxfId="3850" priority="3953">
      <formula>$HJ524=FALSE</formula>
    </cfRule>
  </conditionalFormatting>
  <conditionalFormatting sqref="AF526">
    <cfRule type="expression" dxfId="3849" priority="3951">
      <formula>$C$36=2</formula>
    </cfRule>
  </conditionalFormatting>
  <conditionalFormatting sqref="R524">
    <cfRule type="containsBlanks" dxfId="3848" priority="3950">
      <formula>LEN(TRIM(R524))=0</formula>
    </cfRule>
  </conditionalFormatting>
  <conditionalFormatting sqref="AE524:AF524">
    <cfRule type="expression" dxfId="3847" priority="3949" stopIfTrue="1">
      <formula>$G523=""</formula>
    </cfRule>
  </conditionalFormatting>
  <conditionalFormatting sqref="AF526">
    <cfRule type="expression" dxfId="3846" priority="3948" stopIfTrue="1">
      <formula>$G523=""</formula>
    </cfRule>
  </conditionalFormatting>
  <conditionalFormatting sqref="AF523:AI523">
    <cfRule type="expression" dxfId="3845" priority="3947">
      <formula>$C$36&lt;&gt;0</formula>
    </cfRule>
  </conditionalFormatting>
  <conditionalFormatting sqref="R524">
    <cfRule type="containsBlanks" dxfId="3844" priority="3945">
      <formula>LEN(TRIM(R524))=0</formula>
    </cfRule>
  </conditionalFormatting>
  <conditionalFormatting sqref="U525">
    <cfRule type="expression" dxfId="3843" priority="3968">
      <formula>OR($HF524=FALSE,$HG524=FALSE)</formula>
    </cfRule>
  </conditionalFormatting>
  <conditionalFormatting sqref="R524">
    <cfRule type="expression" dxfId="3842" priority="3942" stopIfTrue="1">
      <formula>$G523=""</formula>
    </cfRule>
    <cfRule type="expression" dxfId="3841" priority="3943">
      <formula>$HT524=FALSE</formula>
    </cfRule>
  </conditionalFormatting>
  <conditionalFormatting sqref="G526">
    <cfRule type="expression" dxfId="3840" priority="3937" stopIfTrue="1">
      <formula>$G523=""</formula>
    </cfRule>
  </conditionalFormatting>
  <conditionalFormatting sqref="G526">
    <cfRule type="expression" dxfId="3839" priority="3931" stopIfTrue="1">
      <formula>$CN523="Exterior"</formula>
    </cfRule>
  </conditionalFormatting>
  <conditionalFormatting sqref="G526:L526">
    <cfRule type="containsBlanks" dxfId="3838" priority="3938" stopIfTrue="1">
      <formula>LEN(TRIM(G526))=0</formula>
    </cfRule>
    <cfRule type="expression" dxfId="3837" priority="3940">
      <formula>$HL524=FALSE</formula>
    </cfRule>
  </conditionalFormatting>
  <conditionalFormatting sqref="AF525">
    <cfRule type="expression" dxfId="3836" priority="3932" stopIfTrue="1">
      <formula>$G523=""</formula>
    </cfRule>
  </conditionalFormatting>
  <conditionalFormatting sqref="AF525:AI525">
    <cfRule type="expression" dxfId="3835" priority="3936">
      <formula>OR($HP524=FALSE,$HL524=FALSE)</formula>
    </cfRule>
  </conditionalFormatting>
  <conditionalFormatting sqref="AF525">
    <cfRule type="containsBlanks" dxfId="3834" priority="3933" stopIfTrue="1">
      <formula>LEN(TRIM(AF525))=0</formula>
    </cfRule>
    <cfRule type="expression" dxfId="3833" priority="3934">
      <formula>$DP523=7</formula>
    </cfRule>
    <cfRule type="expression" dxfId="3832" priority="3935">
      <formula>OR($HK524=FALSE,$HM524=FALSE)</formula>
    </cfRule>
  </conditionalFormatting>
  <conditionalFormatting sqref="G526:L526">
    <cfRule type="expression" dxfId="3831" priority="3939" stopIfTrue="1">
      <formula>$AF525=""</formula>
    </cfRule>
  </conditionalFormatting>
  <conditionalFormatting sqref="T524:U524">
    <cfRule type="expression" dxfId="3830" priority="3928" stopIfTrue="1">
      <formula>$C$36&lt;&gt;0</formula>
    </cfRule>
    <cfRule type="containsBlanks" dxfId="3829" priority="3929" stopIfTrue="1">
      <formula>LEN(TRIM(T524))=0</formula>
    </cfRule>
  </conditionalFormatting>
  <conditionalFormatting sqref="T524:U524">
    <cfRule type="expression" dxfId="3828" priority="3927" stopIfTrue="1">
      <formula>$G523=""</formula>
    </cfRule>
  </conditionalFormatting>
  <conditionalFormatting sqref="U524">
    <cfRule type="expression" dxfId="3827" priority="3930">
      <formula>$HE524=FALSE</formula>
    </cfRule>
  </conditionalFormatting>
  <conditionalFormatting sqref="T526">
    <cfRule type="expression" dxfId="3826" priority="3926">
      <formula>$C$36=2</formula>
    </cfRule>
  </conditionalFormatting>
  <conditionalFormatting sqref="AE530">
    <cfRule type="expression" dxfId="3825" priority="3912" stopIfTrue="1">
      <formula>$G528=""</formula>
    </cfRule>
  </conditionalFormatting>
  <conditionalFormatting sqref="AB531:AD531">
    <cfRule type="expression" dxfId="3824" priority="3924" stopIfTrue="1">
      <formula>$G528=""</formula>
    </cfRule>
  </conditionalFormatting>
  <conditionalFormatting sqref="G530">
    <cfRule type="expression" dxfId="3823" priority="3921" stopIfTrue="1">
      <formula>$G528=""</formula>
    </cfRule>
    <cfRule type="containsBlanks" dxfId="3822" priority="3922" stopIfTrue="1">
      <formula>LEN(TRIM(G530))=0</formula>
    </cfRule>
    <cfRule type="expression" dxfId="3821" priority="3923">
      <formula>OR($M530=0,$HC529=FALSE)</formula>
    </cfRule>
  </conditionalFormatting>
  <conditionalFormatting sqref="AB531">
    <cfRule type="expression" dxfId="3820" priority="3920" stopIfTrue="1">
      <formula>$AB531=""</formula>
    </cfRule>
  </conditionalFormatting>
  <conditionalFormatting sqref="AE529:AF529">
    <cfRule type="expression" dxfId="3819" priority="3919">
      <formula>$C$36=2</formula>
    </cfRule>
  </conditionalFormatting>
  <conditionalFormatting sqref="T530:U530">
    <cfRule type="expression" dxfId="3818" priority="3894" stopIfTrue="1">
      <formula>$G528=""</formula>
    </cfRule>
  </conditionalFormatting>
  <conditionalFormatting sqref="T530:U530">
    <cfRule type="containsBlanks" dxfId="3817" priority="3917" stopIfTrue="1">
      <formula>LEN(TRIM(T530))=0</formula>
    </cfRule>
  </conditionalFormatting>
  <conditionalFormatting sqref="AC528:AD528">
    <cfRule type="expression" dxfId="3816" priority="3916">
      <formula>$G528=""</formula>
    </cfRule>
  </conditionalFormatting>
  <conditionalFormatting sqref="AE529">
    <cfRule type="containsBlanks" dxfId="3815" priority="3914">
      <formula>LEN(TRIM(AE529))=0</formula>
    </cfRule>
  </conditionalFormatting>
  <conditionalFormatting sqref="AE530 AF531">
    <cfRule type="containsBlanks" dxfId="3814" priority="3913" stopIfTrue="1">
      <formula>LEN(TRIM(AE530))=0</formula>
    </cfRule>
  </conditionalFormatting>
  <conditionalFormatting sqref="AE530">
    <cfRule type="expression" dxfId="3813" priority="3925">
      <formula>OR($HN529=FALSE,$HO529=FALSE)</formula>
    </cfRule>
  </conditionalFormatting>
  <conditionalFormatting sqref="G529:Q529 G528">
    <cfRule type="containsBlanks" dxfId="3812" priority="3911">
      <formula>LEN(TRIM(G528))=0</formula>
    </cfRule>
  </conditionalFormatting>
  <conditionalFormatting sqref="G529:L529">
    <cfRule type="expression" dxfId="3811" priority="3909" stopIfTrue="1">
      <formula>$G528=""</formula>
    </cfRule>
    <cfRule type="containsBlanks" dxfId="3810" priority="3910">
      <formula>LEN(TRIM(G529))=0</formula>
    </cfRule>
  </conditionalFormatting>
  <conditionalFormatting sqref="R530">
    <cfRule type="expression" dxfId="3809" priority="3907" stopIfTrue="1">
      <formula>$G528=""</formula>
    </cfRule>
    <cfRule type="containsBlanks" dxfId="3808" priority="3908">
      <formula>LEN(TRIM(R530))=0</formula>
    </cfRule>
  </conditionalFormatting>
  <conditionalFormatting sqref="P530:R530">
    <cfRule type="expression" dxfId="3807" priority="3906">
      <formula>$C$36=0</formula>
    </cfRule>
  </conditionalFormatting>
  <conditionalFormatting sqref="AF529">
    <cfRule type="containsBlanks" dxfId="3806" priority="3902">
      <formula>LEN(TRIM(AF529))=0</formula>
    </cfRule>
    <cfRule type="expression" dxfId="3805" priority="3903">
      <formula>$HJ529=FALSE</formula>
    </cfRule>
  </conditionalFormatting>
  <conditionalFormatting sqref="AF531">
    <cfRule type="expression" dxfId="3804" priority="3901">
      <formula>$C$36=2</formula>
    </cfRule>
  </conditionalFormatting>
  <conditionalFormatting sqref="R529">
    <cfRule type="containsBlanks" dxfId="3803" priority="3900">
      <formula>LEN(TRIM(R529))=0</formula>
    </cfRule>
  </conditionalFormatting>
  <conditionalFormatting sqref="AE529:AF529">
    <cfRule type="expression" dxfId="3802" priority="3899" stopIfTrue="1">
      <formula>$G528=""</formula>
    </cfRule>
  </conditionalFormatting>
  <conditionalFormatting sqref="AF531">
    <cfRule type="expression" dxfId="3801" priority="3898" stopIfTrue="1">
      <formula>$G528=""</formula>
    </cfRule>
  </conditionalFormatting>
  <conditionalFormatting sqref="AF528:AI528">
    <cfRule type="expression" dxfId="3800" priority="3897">
      <formula>$C$36&lt;&gt;0</formula>
    </cfRule>
  </conditionalFormatting>
  <conditionalFormatting sqref="R529">
    <cfRule type="containsBlanks" dxfId="3799" priority="3895">
      <formula>LEN(TRIM(R529))=0</formula>
    </cfRule>
  </conditionalFormatting>
  <conditionalFormatting sqref="U530">
    <cfRule type="expression" dxfId="3798" priority="3918">
      <formula>OR($HF529=FALSE,$HG529=FALSE)</formula>
    </cfRule>
  </conditionalFormatting>
  <conditionalFormatting sqref="R529">
    <cfRule type="expression" dxfId="3797" priority="3892" stopIfTrue="1">
      <formula>$G528=""</formula>
    </cfRule>
    <cfRule type="expression" dxfId="3796" priority="3893">
      <formula>$HT529=FALSE</formula>
    </cfRule>
  </conditionalFormatting>
  <conditionalFormatting sqref="G531">
    <cfRule type="expression" dxfId="3795" priority="3887" stopIfTrue="1">
      <formula>$G528=""</formula>
    </cfRule>
  </conditionalFormatting>
  <conditionalFormatting sqref="G531">
    <cfRule type="expression" dxfId="3794" priority="3881" stopIfTrue="1">
      <formula>$CN528="Exterior"</formula>
    </cfRule>
  </conditionalFormatting>
  <conditionalFormatting sqref="G531:L531">
    <cfRule type="containsBlanks" dxfId="3793" priority="3888" stopIfTrue="1">
      <formula>LEN(TRIM(G531))=0</formula>
    </cfRule>
    <cfRule type="expression" dxfId="3792" priority="3890">
      <formula>$HL529=FALSE</formula>
    </cfRule>
  </conditionalFormatting>
  <conditionalFormatting sqref="AF530">
    <cfRule type="expression" dxfId="3791" priority="3882" stopIfTrue="1">
      <formula>$G528=""</formula>
    </cfRule>
  </conditionalFormatting>
  <conditionalFormatting sqref="AF530:AI530">
    <cfRule type="expression" dxfId="3790" priority="3886">
      <formula>OR($HP529=FALSE,$HL529=FALSE)</formula>
    </cfRule>
  </conditionalFormatting>
  <conditionalFormatting sqref="AF530">
    <cfRule type="containsBlanks" dxfId="3789" priority="3883" stopIfTrue="1">
      <formula>LEN(TRIM(AF530))=0</formula>
    </cfRule>
    <cfRule type="expression" dxfId="3788" priority="3884">
      <formula>$DP528=7</formula>
    </cfRule>
    <cfRule type="expression" dxfId="3787" priority="3885">
      <formula>OR($HK529=FALSE,$HM529=FALSE)</formula>
    </cfRule>
  </conditionalFormatting>
  <conditionalFormatting sqref="G531:L531">
    <cfRule type="expression" dxfId="3786" priority="3889" stopIfTrue="1">
      <formula>$AF530=""</formula>
    </cfRule>
  </conditionalFormatting>
  <conditionalFormatting sqref="T529:U529">
    <cfRule type="expression" dxfId="3785" priority="3878" stopIfTrue="1">
      <formula>$C$36&lt;&gt;0</formula>
    </cfRule>
    <cfRule type="containsBlanks" dxfId="3784" priority="3879" stopIfTrue="1">
      <formula>LEN(TRIM(T529))=0</formula>
    </cfRule>
  </conditionalFormatting>
  <conditionalFormatting sqref="T529:U529">
    <cfRule type="expression" dxfId="3783" priority="3877" stopIfTrue="1">
      <formula>$G528=""</formula>
    </cfRule>
  </conditionalFormatting>
  <conditionalFormatting sqref="U529">
    <cfRule type="expression" dxfId="3782" priority="3880">
      <formula>$HE529=FALSE</formula>
    </cfRule>
  </conditionalFormatting>
  <conditionalFormatting sqref="T531">
    <cfRule type="expression" dxfId="3781" priority="3876">
      <formula>$C$36=2</formula>
    </cfRule>
  </conditionalFormatting>
  <conditionalFormatting sqref="AE535">
    <cfRule type="expression" dxfId="3780" priority="3862" stopIfTrue="1">
      <formula>$G533=""</formula>
    </cfRule>
  </conditionalFormatting>
  <conditionalFormatting sqref="AB536:AD536">
    <cfRule type="expression" dxfId="3779" priority="3874" stopIfTrue="1">
      <formula>$G533=""</formula>
    </cfRule>
  </conditionalFormatting>
  <conditionalFormatting sqref="G535">
    <cfRule type="expression" dxfId="3778" priority="3871" stopIfTrue="1">
      <formula>$G533=""</formula>
    </cfRule>
    <cfRule type="containsBlanks" dxfId="3777" priority="3872" stopIfTrue="1">
      <formula>LEN(TRIM(G535))=0</formula>
    </cfRule>
    <cfRule type="expression" dxfId="3776" priority="3873">
      <formula>OR($M535=0,$HC534=FALSE)</formula>
    </cfRule>
  </conditionalFormatting>
  <conditionalFormatting sqref="AB536">
    <cfRule type="expression" dxfId="3775" priority="3870" stopIfTrue="1">
      <formula>$AB536=""</formula>
    </cfRule>
  </conditionalFormatting>
  <conditionalFormatting sqref="AE534:AF534">
    <cfRule type="expression" dxfId="3774" priority="3869">
      <formula>$C$36=2</formula>
    </cfRule>
  </conditionalFormatting>
  <conditionalFormatting sqref="T535:U535">
    <cfRule type="expression" dxfId="3773" priority="3844" stopIfTrue="1">
      <formula>$G533=""</formula>
    </cfRule>
  </conditionalFormatting>
  <conditionalFormatting sqref="T535:U535">
    <cfRule type="containsBlanks" dxfId="3772" priority="3867" stopIfTrue="1">
      <formula>LEN(TRIM(T535))=0</formula>
    </cfRule>
  </conditionalFormatting>
  <conditionalFormatting sqref="AC533:AD533">
    <cfRule type="expression" dxfId="3771" priority="3866">
      <formula>$G533=""</formula>
    </cfRule>
  </conditionalFormatting>
  <conditionalFormatting sqref="AE534">
    <cfRule type="containsBlanks" dxfId="3770" priority="3864">
      <formula>LEN(TRIM(AE534))=0</formula>
    </cfRule>
  </conditionalFormatting>
  <conditionalFormatting sqref="AE535 AF536">
    <cfRule type="containsBlanks" dxfId="3769" priority="3863" stopIfTrue="1">
      <formula>LEN(TRIM(AE535))=0</formula>
    </cfRule>
  </conditionalFormatting>
  <conditionalFormatting sqref="AE535">
    <cfRule type="expression" dxfId="3768" priority="3875">
      <formula>OR($HN534=FALSE,$HO534=FALSE)</formula>
    </cfRule>
  </conditionalFormatting>
  <conditionalFormatting sqref="G534:Q534 G533">
    <cfRule type="containsBlanks" dxfId="3767" priority="3861">
      <formula>LEN(TRIM(G533))=0</formula>
    </cfRule>
  </conditionalFormatting>
  <conditionalFormatting sqref="G534:L534">
    <cfRule type="expression" dxfId="3766" priority="3859" stopIfTrue="1">
      <formula>$G533=""</formula>
    </cfRule>
    <cfRule type="containsBlanks" dxfId="3765" priority="3860">
      <formula>LEN(TRIM(G534))=0</formula>
    </cfRule>
  </conditionalFormatting>
  <conditionalFormatting sqref="R535">
    <cfRule type="expression" dxfId="3764" priority="3857" stopIfTrue="1">
      <formula>$G533=""</formula>
    </cfRule>
    <cfRule type="containsBlanks" dxfId="3763" priority="3858">
      <formula>LEN(TRIM(R535))=0</formula>
    </cfRule>
  </conditionalFormatting>
  <conditionalFormatting sqref="P535:R535">
    <cfRule type="expression" dxfId="3762" priority="3856">
      <formula>$C$36=0</formula>
    </cfRule>
  </conditionalFormatting>
  <conditionalFormatting sqref="AF534">
    <cfRule type="containsBlanks" dxfId="3761" priority="3852">
      <formula>LEN(TRIM(AF534))=0</formula>
    </cfRule>
    <cfRule type="expression" dxfId="3760" priority="3853">
      <formula>$HJ534=FALSE</formula>
    </cfRule>
  </conditionalFormatting>
  <conditionalFormatting sqref="AF536">
    <cfRule type="expression" dxfId="3759" priority="3851">
      <formula>$C$36=2</formula>
    </cfRule>
  </conditionalFormatting>
  <conditionalFormatting sqref="R534">
    <cfRule type="containsBlanks" dxfId="3758" priority="3850">
      <formula>LEN(TRIM(R534))=0</formula>
    </cfRule>
  </conditionalFormatting>
  <conditionalFormatting sqref="AE534:AF534">
    <cfRule type="expression" dxfId="3757" priority="3849" stopIfTrue="1">
      <formula>$G533=""</formula>
    </cfRule>
  </conditionalFormatting>
  <conditionalFormatting sqref="AF536">
    <cfRule type="expression" dxfId="3756" priority="3848" stopIfTrue="1">
      <formula>$G533=""</formula>
    </cfRule>
  </conditionalFormatting>
  <conditionalFormatting sqref="AF533:AI533">
    <cfRule type="expression" dxfId="3755" priority="3847">
      <formula>$C$36&lt;&gt;0</formula>
    </cfRule>
  </conditionalFormatting>
  <conditionalFormatting sqref="R534">
    <cfRule type="containsBlanks" dxfId="3754" priority="3845">
      <formula>LEN(TRIM(R534))=0</formula>
    </cfRule>
  </conditionalFormatting>
  <conditionalFormatting sqref="U535">
    <cfRule type="expression" dxfId="3753" priority="3868">
      <formula>OR($HF534=FALSE,$HG534=FALSE)</formula>
    </cfRule>
  </conditionalFormatting>
  <conditionalFormatting sqref="R534">
    <cfRule type="expression" dxfId="3752" priority="3842" stopIfTrue="1">
      <formula>$G533=""</formula>
    </cfRule>
    <cfRule type="expression" dxfId="3751" priority="3843">
      <formula>$HT534=FALSE</formula>
    </cfRule>
  </conditionalFormatting>
  <conditionalFormatting sqref="G536">
    <cfRule type="expression" dxfId="3750" priority="3837" stopIfTrue="1">
      <formula>$G533=""</formula>
    </cfRule>
  </conditionalFormatting>
  <conditionalFormatting sqref="G536">
    <cfRule type="expression" dxfId="3749" priority="3831" stopIfTrue="1">
      <formula>$CN533="Exterior"</formula>
    </cfRule>
  </conditionalFormatting>
  <conditionalFormatting sqref="G536:L536">
    <cfRule type="containsBlanks" dxfId="3748" priority="3838" stopIfTrue="1">
      <formula>LEN(TRIM(G536))=0</formula>
    </cfRule>
    <cfRule type="expression" dxfId="3747" priority="3840">
      <formula>$HL534=FALSE</formula>
    </cfRule>
  </conditionalFormatting>
  <conditionalFormatting sqref="AF535">
    <cfRule type="expression" dxfId="3746" priority="3832" stopIfTrue="1">
      <formula>$G533=""</formula>
    </cfRule>
  </conditionalFormatting>
  <conditionalFormatting sqref="AF535:AI535">
    <cfRule type="expression" dxfId="3745" priority="3836">
      <formula>OR($HP534=FALSE,$HL534=FALSE)</formula>
    </cfRule>
  </conditionalFormatting>
  <conditionalFormatting sqref="AF535">
    <cfRule type="containsBlanks" dxfId="3744" priority="3833" stopIfTrue="1">
      <formula>LEN(TRIM(AF535))=0</formula>
    </cfRule>
    <cfRule type="expression" dxfId="3743" priority="3834">
      <formula>$DP533=7</formula>
    </cfRule>
    <cfRule type="expression" dxfId="3742" priority="3835">
      <formula>OR($HK534=FALSE,$HM534=FALSE)</formula>
    </cfRule>
  </conditionalFormatting>
  <conditionalFormatting sqref="G536:L536">
    <cfRule type="expression" dxfId="3741" priority="3839" stopIfTrue="1">
      <formula>$AF535=""</formula>
    </cfRule>
  </conditionalFormatting>
  <conditionalFormatting sqref="T534:U534">
    <cfRule type="expression" dxfId="3740" priority="3828" stopIfTrue="1">
      <formula>$C$36&lt;&gt;0</formula>
    </cfRule>
    <cfRule type="containsBlanks" dxfId="3739" priority="3829" stopIfTrue="1">
      <formula>LEN(TRIM(T534))=0</formula>
    </cfRule>
  </conditionalFormatting>
  <conditionalFormatting sqref="T534:U534">
    <cfRule type="expression" dxfId="3738" priority="3827" stopIfTrue="1">
      <formula>$G533=""</formula>
    </cfRule>
  </conditionalFormatting>
  <conditionalFormatting sqref="U534">
    <cfRule type="expression" dxfId="3737" priority="3830">
      <formula>$HE534=FALSE</formula>
    </cfRule>
  </conditionalFormatting>
  <conditionalFormatting sqref="T536">
    <cfRule type="expression" dxfId="3736" priority="3826">
      <formula>$C$36=2</formula>
    </cfRule>
  </conditionalFormatting>
  <conditionalFormatting sqref="AE540">
    <cfRule type="expression" dxfId="3735" priority="3812" stopIfTrue="1">
      <formula>$G538=""</formula>
    </cfRule>
  </conditionalFormatting>
  <conditionalFormatting sqref="AB541:AD541">
    <cfRule type="expression" dxfId="3734" priority="3824" stopIfTrue="1">
      <formula>$G538=""</formula>
    </cfRule>
  </conditionalFormatting>
  <conditionalFormatting sqref="G540">
    <cfRule type="expression" dxfId="3733" priority="3821" stopIfTrue="1">
      <formula>$G538=""</formula>
    </cfRule>
    <cfRule type="containsBlanks" dxfId="3732" priority="3822" stopIfTrue="1">
      <formula>LEN(TRIM(G540))=0</formula>
    </cfRule>
    <cfRule type="expression" dxfId="3731" priority="3823">
      <formula>OR($M540=0,$HC539=FALSE)</formula>
    </cfRule>
  </conditionalFormatting>
  <conditionalFormatting sqref="AB541">
    <cfRule type="expression" dxfId="3730" priority="3820" stopIfTrue="1">
      <formula>$AB541=""</formula>
    </cfRule>
  </conditionalFormatting>
  <conditionalFormatting sqref="AE539:AF539">
    <cfRule type="expression" dxfId="3729" priority="3819">
      <formula>$C$36=2</formula>
    </cfRule>
  </conditionalFormatting>
  <conditionalFormatting sqref="T540:U540">
    <cfRule type="expression" dxfId="3728" priority="3794" stopIfTrue="1">
      <formula>$G538=""</formula>
    </cfRule>
  </conditionalFormatting>
  <conditionalFormatting sqref="T540:U540">
    <cfRule type="containsBlanks" dxfId="3727" priority="3817" stopIfTrue="1">
      <formula>LEN(TRIM(T540))=0</formula>
    </cfRule>
  </conditionalFormatting>
  <conditionalFormatting sqref="AC538:AD538">
    <cfRule type="expression" dxfId="3726" priority="3816">
      <formula>$G538=""</formula>
    </cfRule>
  </conditionalFormatting>
  <conditionalFormatting sqref="AE539">
    <cfRule type="containsBlanks" dxfId="3725" priority="3814">
      <formula>LEN(TRIM(AE539))=0</formula>
    </cfRule>
  </conditionalFormatting>
  <conditionalFormatting sqref="AE540 AF541">
    <cfRule type="containsBlanks" dxfId="3724" priority="3813" stopIfTrue="1">
      <formula>LEN(TRIM(AE540))=0</formula>
    </cfRule>
  </conditionalFormatting>
  <conditionalFormatting sqref="AE540">
    <cfRule type="expression" dxfId="3723" priority="3825">
      <formula>OR($HN539=FALSE,$HO539=FALSE)</formula>
    </cfRule>
  </conditionalFormatting>
  <conditionalFormatting sqref="G539:Q539 G538">
    <cfRule type="containsBlanks" dxfId="3722" priority="3811">
      <formula>LEN(TRIM(G538))=0</formula>
    </cfRule>
  </conditionalFormatting>
  <conditionalFormatting sqref="G539:L539">
    <cfRule type="expression" dxfId="3721" priority="3809" stopIfTrue="1">
      <formula>$G538=""</formula>
    </cfRule>
    <cfRule type="containsBlanks" dxfId="3720" priority="3810">
      <formula>LEN(TRIM(G539))=0</formula>
    </cfRule>
  </conditionalFormatting>
  <conditionalFormatting sqref="R540">
    <cfRule type="expression" dxfId="3719" priority="3807" stopIfTrue="1">
      <formula>$G538=""</formula>
    </cfRule>
    <cfRule type="containsBlanks" dxfId="3718" priority="3808">
      <formula>LEN(TRIM(R540))=0</formula>
    </cfRule>
  </conditionalFormatting>
  <conditionalFormatting sqref="P540:R540">
    <cfRule type="expression" dxfId="3717" priority="3806">
      <formula>$C$36=0</formula>
    </cfRule>
  </conditionalFormatting>
  <conditionalFormatting sqref="AF539">
    <cfRule type="containsBlanks" dxfId="3716" priority="3802">
      <formula>LEN(TRIM(AF539))=0</formula>
    </cfRule>
    <cfRule type="expression" dxfId="3715" priority="3803">
      <formula>$HJ539=FALSE</formula>
    </cfRule>
  </conditionalFormatting>
  <conditionalFormatting sqref="AF541">
    <cfRule type="expression" dxfId="3714" priority="3801">
      <formula>$C$36=2</formula>
    </cfRule>
  </conditionalFormatting>
  <conditionalFormatting sqref="R539">
    <cfRule type="containsBlanks" dxfId="3713" priority="3800">
      <formula>LEN(TRIM(R539))=0</formula>
    </cfRule>
  </conditionalFormatting>
  <conditionalFormatting sqref="AE539:AF539">
    <cfRule type="expression" dxfId="3712" priority="3799" stopIfTrue="1">
      <formula>$G538=""</formula>
    </cfRule>
  </conditionalFormatting>
  <conditionalFormatting sqref="AF541">
    <cfRule type="expression" dxfId="3711" priority="3798" stopIfTrue="1">
      <formula>$G538=""</formula>
    </cfRule>
  </conditionalFormatting>
  <conditionalFormatting sqref="AF538:AI538">
    <cfRule type="expression" dxfId="3710" priority="3797">
      <formula>$C$36&lt;&gt;0</formula>
    </cfRule>
  </conditionalFormatting>
  <conditionalFormatting sqref="R539">
    <cfRule type="containsBlanks" dxfId="3709" priority="3795">
      <formula>LEN(TRIM(R539))=0</formula>
    </cfRule>
  </conditionalFormatting>
  <conditionalFormatting sqref="U540">
    <cfRule type="expression" dxfId="3708" priority="3818">
      <formula>OR($HF539=FALSE,$HG539=FALSE)</formula>
    </cfRule>
  </conditionalFormatting>
  <conditionalFormatting sqref="R539">
    <cfRule type="expression" dxfId="3707" priority="3792" stopIfTrue="1">
      <formula>$G538=""</formula>
    </cfRule>
    <cfRule type="expression" dxfId="3706" priority="3793">
      <formula>$HT539=FALSE</formula>
    </cfRule>
  </conditionalFormatting>
  <conditionalFormatting sqref="G541">
    <cfRule type="expression" dxfId="3705" priority="3787" stopIfTrue="1">
      <formula>$G538=""</formula>
    </cfRule>
  </conditionalFormatting>
  <conditionalFormatting sqref="G541">
    <cfRule type="expression" dxfId="3704" priority="3781" stopIfTrue="1">
      <formula>$CN538="Exterior"</formula>
    </cfRule>
  </conditionalFormatting>
  <conditionalFormatting sqref="G541:L541">
    <cfRule type="containsBlanks" dxfId="3703" priority="3788" stopIfTrue="1">
      <formula>LEN(TRIM(G541))=0</formula>
    </cfRule>
    <cfRule type="expression" dxfId="3702" priority="3790">
      <formula>$HL539=FALSE</formula>
    </cfRule>
  </conditionalFormatting>
  <conditionalFormatting sqref="AF540">
    <cfRule type="expression" dxfId="3701" priority="3782" stopIfTrue="1">
      <formula>$G538=""</formula>
    </cfRule>
  </conditionalFormatting>
  <conditionalFormatting sqref="AF540:AI540">
    <cfRule type="expression" dxfId="3700" priority="3786">
      <formula>OR($HP539=FALSE,$HL539=FALSE)</formula>
    </cfRule>
  </conditionalFormatting>
  <conditionalFormatting sqref="AF540">
    <cfRule type="containsBlanks" dxfId="3699" priority="3783" stopIfTrue="1">
      <formula>LEN(TRIM(AF540))=0</formula>
    </cfRule>
    <cfRule type="expression" dxfId="3698" priority="3784">
      <formula>$DP538=7</formula>
    </cfRule>
    <cfRule type="expression" dxfId="3697" priority="3785">
      <formula>OR($HK539=FALSE,$HM539=FALSE)</formula>
    </cfRule>
  </conditionalFormatting>
  <conditionalFormatting sqref="G541:L541">
    <cfRule type="expression" dxfId="3696" priority="3789" stopIfTrue="1">
      <formula>$AF540=""</formula>
    </cfRule>
  </conditionalFormatting>
  <conditionalFormatting sqref="T539:U539">
    <cfRule type="expression" dxfId="3695" priority="3778" stopIfTrue="1">
      <formula>$C$36&lt;&gt;0</formula>
    </cfRule>
    <cfRule type="containsBlanks" dxfId="3694" priority="3779" stopIfTrue="1">
      <formula>LEN(TRIM(T539))=0</formula>
    </cfRule>
  </conditionalFormatting>
  <conditionalFormatting sqref="T539:U539">
    <cfRule type="expression" dxfId="3693" priority="3777" stopIfTrue="1">
      <formula>$G538=""</formula>
    </cfRule>
  </conditionalFormatting>
  <conditionalFormatting sqref="U539">
    <cfRule type="expression" dxfId="3692" priority="3780">
      <formula>$HE539=FALSE</formula>
    </cfRule>
  </conditionalFormatting>
  <conditionalFormatting sqref="T541">
    <cfRule type="expression" dxfId="3691" priority="3776">
      <formula>$C$36=2</formula>
    </cfRule>
  </conditionalFormatting>
  <conditionalFormatting sqref="AE545">
    <cfRule type="expression" dxfId="3690" priority="3762" stopIfTrue="1">
      <formula>$G543=""</formula>
    </cfRule>
  </conditionalFormatting>
  <conditionalFormatting sqref="AB546:AD546">
    <cfRule type="expression" dxfId="3689" priority="3774" stopIfTrue="1">
      <formula>$G543=""</formula>
    </cfRule>
  </conditionalFormatting>
  <conditionalFormatting sqref="G545">
    <cfRule type="expression" dxfId="3688" priority="3771" stopIfTrue="1">
      <formula>$G543=""</formula>
    </cfRule>
    <cfRule type="containsBlanks" dxfId="3687" priority="3772" stopIfTrue="1">
      <formula>LEN(TRIM(G545))=0</formula>
    </cfRule>
    <cfRule type="expression" dxfId="3686" priority="3773">
      <formula>OR($M545=0,$HC544=FALSE)</formula>
    </cfRule>
  </conditionalFormatting>
  <conditionalFormatting sqref="AB546">
    <cfRule type="expression" dxfId="3685" priority="3770" stopIfTrue="1">
      <formula>$AB546=""</formula>
    </cfRule>
  </conditionalFormatting>
  <conditionalFormatting sqref="AE544:AF544">
    <cfRule type="expression" dxfId="3684" priority="3769">
      <formula>$C$36=2</formula>
    </cfRule>
  </conditionalFormatting>
  <conditionalFormatting sqref="T545:U545">
    <cfRule type="expression" dxfId="3683" priority="3744" stopIfTrue="1">
      <formula>$G543=""</formula>
    </cfRule>
  </conditionalFormatting>
  <conditionalFormatting sqref="T545:U545">
    <cfRule type="containsBlanks" dxfId="3682" priority="3767" stopIfTrue="1">
      <formula>LEN(TRIM(T545))=0</formula>
    </cfRule>
  </conditionalFormatting>
  <conditionalFormatting sqref="AC543:AD543">
    <cfRule type="expression" dxfId="3681" priority="3766">
      <formula>$G543=""</formula>
    </cfRule>
  </conditionalFormatting>
  <conditionalFormatting sqref="AE544">
    <cfRule type="containsBlanks" dxfId="3680" priority="3764">
      <formula>LEN(TRIM(AE544))=0</formula>
    </cfRule>
  </conditionalFormatting>
  <conditionalFormatting sqref="AE545 AF546">
    <cfRule type="containsBlanks" dxfId="3679" priority="3763" stopIfTrue="1">
      <formula>LEN(TRIM(AE545))=0</formula>
    </cfRule>
  </conditionalFormatting>
  <conditionalFormatting sqref="AE545">
    <cfRule type="expression" dxfId="3678" priority="3775">
      <formula>OR($HN544=FALSE,$HO544=FALSE)</formula>
    </cfRule>
  </conditionalFormatting>
  <conditionalFormatting sqref="G544:Q544 G543">
    <cfRule type="containsBlanks" dxfId="3677" priority="3761">
      <formula>LEN(TRIM(G543))=0</formula>
    </cfRule>
  </conditionalFormatting>
  <conditionalFormatting sqref="G544:L544">
    <cfRule type="expression" dxfId="3676" priority="3759" stopIfTrue="1">
      <formula>$G543=""</formula>
    </cfRule>
    <cfRule type="containsBlanks" dxfId="3675" priority="3760">
      <formula>LEN(TRIM(G544))=0</formula>
    </cfRule>
  </conditionalFormatting>
  <conditionalFormatting sqref="R545">
    <cfRule type="expression" dxfId="3674" priority="3757" stopIfTrue="1">
      <formula>$G543=""</formula>
    </cfRule>
    <cfRule type="containsBlanks" dxfId="3673" priority="3758">
      <formula>LEN(TRIM(R545))=0</formula>
    </cfRule>
  </conditionalFormatting>
  <conditionalFormatting sqref="P545:R545">
    <cfRule type="expression" dxfId="3672" priority="3756">
      <formula>$C$36=0</formula>
    </cfRule>
  </conditionalFormatting>
  <conditionalFormatting sqref="AF544">
    <cfRule type="containsBlanks" dxfId="3671" priority="3752">
      <formula>LEN(TRIM(AF544))=0</formula>
    </cfRule>
    <cfRule type="expression" dxfId="3670" priority="3753">
      <formula>$HJ544=FALSE</formula>
    </cfRule>
  </conditionalFormatting>
  <conditionalFormatting sqref="AF546">
    <cfRule type="expression" dxfId="3669" priority="3751">
      <formula>$C$36=2</formula>
    </cfRule>
  </conditionalFormatting>
  <conditionalFormatting sqref="R544">
    <cfRule type="containsBlanks" dxfId="3668" priority="3750">
      <formula>LEN(TRIM(R544))=0</formula>
    </cfRule>
  </conditionalFormatting>
  <conditionalFormatting sqref="AE544:AF544">
    <cfRule type="expression" dxfId="3667" priority="3749" stopIfTrue="1">
      <formula>$G543=""</formula>
    </cfRule>
  </conditionalFormatting>
  <conditionalFormatting sqref="AF546">
    <cfRule type="expression" dxfId="3666" priority="3748" stopIfTrue="1">
      <formula>$G543=""</formula>
    </cfRule>
  </conditionalFormatting>
  <conditionalFormatting sqref="AF543:AI543">
    <cfRule type="expression" dxfId="3665" priority="3747">
      <formula>$C$36&lt;&gt;0</formula>
    </cfRule>
  </conditionalFormatting>
  <conditionalFormatting sqref="R544">
    <cfRule type="containsBlanks" dxfId="3664" priority="3745">
      <formula>LEN(TRIM(R544))=0</formula>
    </cfRule>
  </conditionalFormatting>
  <conditionalFormatting sqref="U545">
    <cfRule type="expression" dxfId="3663" priority="3768">
      <formula>OR($HF544=FALSE,$HG544=FALSE)</formula>
    </cfRule>
  </conditionalFormatting>
  <conditionalFormatting sqref="R544">
    <cfRule type="expression" dxfId="3662" priority="3742" stopIfTrue="1">
      <formula>$G543=""</formula>
    </cfRule>
    <cfRule type="expression" dxfId="3661" priority="3743">
      <formula>$HT544=FALSE</formula>
    </cfRule>
  </conditionalFormatting>
  <conditionalFormatting sqref="G546">
    <cfRule type="expression" dxfId="3660" priority="3737" stopIfTrue="1">
      <formula>$G543=""</formula>
    </cfRule>
  </conditionalFormatting>
  <conditionalFormatting sqref="G546">
    <cfRule type="expression" dxfId="3659" priority="3731" stopIfTrue="1">
      <formula>$CN543="Exterior"</formula>
    </cfRule>
  </conditionalFormatting>
  <conditionalFormatting sqref="G546:L546">
    <cfRule type="containsBlanks" dxfId="3658" priority="3738" stopIfTrue="1">
      <formula>LEN(TRIM(G546))=0</formula>
    </cfRule>
    <cfRule type="expression" dxfId="3657" priority="3740">
      <formula>$HL544=FALSE</formula>
    </cfRule>
  </conditionalFormatting>
  <conditionalFormatting sqref="AF545">
    <cfRule type="expression" dxfId="3656" priority="3732" stopIfTrue="1">
      <formula>$G543=""</formula>
    </cfRule>
  </conditionalFormatting>
  <conditionalFormatting sqref="AF545:AI545">
    <cfRule type="expression" dxfId="3655" priority="3736">
      <formula>OR($HP544=FALSE,$HL544=FALSE)</formula>
    </cfRule>
  </conditionalFormatting>
  <conditionalFormatting sqref="AF545">
    <cfRule type="containsBlanks" dxfId="3654" priority="3733" stopIfTrue="1">
      <formula>LEN(TRIM(AF545))=0</formula>
    </cfRule>
    <cfRule type="expression" dxfId="3653" priority="3734">
      <formula>$DP543=7</formula>
    </cfRule>
    <cfRule type="expression" dxfId="3652" priority="3735">
      <formula>OR($HK544=FALSE,$HM544=FALSE)</formula>
    </cfRule>
  </conditionalFormatting>
  <conditionalFormatting sqref="G546:L546">
    <cfRule type="expression" dxfId="3651" priority="3739" stopIfTrue="1">
      <formula>$AF545=""</formula>
    </cfRule>
  </conditionalFormatting>
  <conditionalFormatting sqref="T544:U544">
    <cfRule type="expression" dxfId="3650" priority="3728" stopIfTrue="1">
      <formula>$C$36&lt;&gt;0</formula>
    </cfRule>
    <cfRule type="containsBlanks" dxfId="3649" priority="3729" stopIfTrue="1">
      <formula>LEN(TRIM(T544))=0</formula>
    </cfRule>
  </conditionalFormatting>
  <conditionalFormatting sqref="T544:U544">
    <cfRule type="expression" dxfId="3648" priority="3727" stopIfTrue="1">
      <formula>$G543=""</formula>
    </cfRule>
  </conditionalFormatting>
  <conditionalFormatting sqref="U544">
    <cfRule type="expression" dxfId="3647" priority="3730">
      <formula>$HE544=FALSE</formula>
    </cfRule>
  </conditionalFormatting>
  <conditionalFormatting sqref="T546">
    <cfRule type="expression" dxfId="3646" priority="3726">
      <formula>$C$36=2</formula>
    </cfRule>
  </conditionalFormatting>
  <conditionalFormatting sqref="AE550">
    <cfRule type="expression" dxfId="3645" priority="3712" stopIfTrue="1">
      <formula>$G548=""</formula>
    </cfRule>
  </conditionalFormatting>
  <conditionalFormatting sqref="AB551:AD551">
    <cfRule type="expression" dxfId="3644" priority="3724" stopIfTrue="1">
      <formula>$G548=""</formula>
    </cfRule>
  </conditionalFormatting>
  <conditionalFormatting sqref="G550">
    <cfRule type="expression" dxfId="3643" priority="3721" stopIfTrue="1">
      <formula>$G548=""</formula>
    </cfRule>
    <cfRule type="containsBlanks" dxfId="3642" priority="3722" stopIfTrue="1">
      <formula>LEN(TRIM(G550))=0</formula>
    </cfRule>
    <cfRule type="expression" dxfId="3641" priority="3723">
      <formula>OR($M550=0,$HC549=FALSE)</formula>
    </cfRule>
  </conditionalFormatting>
  <conditionalFormatting sqref="AB551">
    <cfRule type="expression" dxfId="3640" priority="3720" stopIfTrue="1">
      <formula>$AB551=""</formula>
    </cfRule>
  </conditionalFormatting>
  <conditionalFormatting sqref="AE549:AF549">
    <cfRule type="expression" dxfId="3639" priority="3719">
      <formula>$C$36=2</formula>
    </cfRule>
  </conditionalFormatting>
  <conditionalFormatting sqref="T550:U550">
    <cfRule type="expression" dxfId="3638" priority="3694" stopIfTrue="1">
      <formula>$G548=""</formula>
    </cfRule>
  </conditionalFormatting>
  <conditionalFormatting sqref="T550:U550">
    <cfRule type="containsBlanks" dxfId="3637" priority="3717" stopIfTrue="1">
      <formula>LEN(TRIM(T550))=0</formula>
    </cfRule>
  </conditionalFormatting>
  <conditionalFormatting sqref="AC548:AD548">
    <cfRule type="expression" dxfId="3636" priority="3716">
      <formula>$G548=""</formula>
    </cfRule>
  </conditionalFormatting>
  <conditionalFormatting sqref="AE549">
    <cfRule type="containsBlanks" dxfId="3635" priority="3714">
      <formula>LEN(TRIM(AE549))=0</formula>
    </cfRule>
  </conditionalFormatting>
  <conditionalFormatting sqref="AE550 AF551">
    <cfRule type="containsBlanks" dxfId="3634" priority="3713" stopIfTrue="1">
      <formula>LEN(TRIM(AE550))=0</formula>
    </cfRule>
  </conditionalFormatting>
  <conditionalFormatting sqref="AE550">
    <cfRule type="expression" dxfId="3633" priority="3725">
      <formula>OR($HN549=FALSE,$HO549=FALSE)</formula>
    </cfRule>
  </conditionalFormatting>
  <conditionalFormatting sqref="G549:Q549 G548">
    <cfRule type="containsBlanks" dxfId="3632" priority="3711">
      <formula>LEN(TRIM(G548))=0</formula>
    </cfRule>
  </conditionalFormatting>
  <conditionalFormatting sqref="G549:L549">
    <cfRule type="expression" dxfId="3631" priority="3709" stopIfTrue="1">
      <formula>$G548=""</formula>
    </cfRule>
    <cfRule type="containsBlanks" dxfId="3630" priority="3710">
      <formula>LEN(TRIM(G549))=0</formula>
    </cfRule>
  </conditionalFormatting>
  <conditionalFormatting sqref="R550">
    <cfRule type="expression" dxfId="3629" priority="3707" stopIfTrue="1">
      <formula>$G548=""</formula>
    </cfRule>
    <cfRule type="containsBlanks" dxfId="3628" priority="3708">
      <formula>LEN(TRIM(R550))=0</formula>
    </cfRule>
  </conditionalFormatting>
  <conditionalFormatting sqref="P550:R550">
    <cfRule type="expression" dxfId="3627" priority="3706">
      <formula>$C$36=0</formula>
    </cfRule>
  </conditionalFormatting>
  <conditionalFormatting sqref="AF549">
    <cfRule type="containsBlanks" dxfId="3626" priority="3702">
      <formula>LEN(TRIM(AF549))=0</formula>
    </cfRule>
    <cfRule type="expression" dxfId="3625" priority="3703">
      <formula>$HJ549=FALSE</formula>
    </cfRule>
  </conditionalFormatting>
  <conditionalFormatting sqref="AF551">
    <cfRule type="expression" dxfId="3624" priority="3701">
      <formula>$C$36=2</formula>
    </cfRule>
  </conditionalFormatting>
  <conditionalFormatting sqref="R549">
    <cfRule type="containsBlanks" dxfId="3623" priority="3700">
      <formula>LEN(TRIM(R549))=0</formula>
    </cfRule>
  </conditionalFormatting>
  <conditionalFormatting sqref="AE549:AF549">
    <cfRule type="expression" dxfId="3622" priority="3699" stopIfTrue="1">
      <formula>$G548=""</formula>
    </cfRule>
  </conditionalFormatting>
  <conditionalFormatting sqref="AF551">
    <cfRule type="expression" dxfId="3621" priority="3698" stopIfTrue="1">
      <formula>$G548=""</formula>
    </cfRule>
  </conditionalFormatting>
  <conditionalFormatting sqref="AF548:AI548">
    <cfRule type="expression" dxfId="3620" priority="3697">
      <formula>$C$36&lt;&gt;0</formula>
    </cfRule>
  </conditionalFormatting>
  <conditionalFormatting sqref="R549">
    <cfRule type="containsBlanks" dxfId="3619" priority="3695">
      <formula>LEN(TRIM(R549))=0</formula>
    </cfRule>
  </conditionalFormatting>
  <conditionalFormatting sqref="U550">
    <cfRule type="expression" dxfId="3618" priority="3718">
      <formula>OR($HF549=FALSE,$HG549=FALSE)</formula>
    </cfRule>
  </conditionalFormatting>
  <conditionalFormatting sqref="R549">
    <cfRule type="expression" dxfId="3617" priority="3692" stopIfTrue="1">
      <formula>$G548=""</formula>
    </cfRule>
    <cfRule type="expression" dxfId="3616" priority="3693">
      <formula>$HT549=FALSE</formula>
    </cfRule>
  </conditionalFormatting>
  <conditionalFormatting sqref="G551">
    <cfRule type="expression" dxfId="3615" priority="3687" stopIfTrue="1">
      <formula>$G548=""</formula>
    </cfRule>
  </conditionalFormatting>
  <conditionalFormatting sqref="G551">
    <cfRule type="expression" dxfId="3614" priority="3681" stopIfTrue="1">
      <formula>$CN548="Exterior"</formula>
    </cfRule>
  </conditionalFormatting>
  <conditionalFormatting sqref="G551:L551">
    <cfRule type="containsBlanks" dxfId="3613" priority="3688" stopIfTrue="1">
      <formula>LEN(TRIM(G551))=0</formula>
    </cfRule>
    <cfRule type="expression" dxfId="3612" priority="3690">
      <formula>$HL549=FALSE</formula>
    </cfRule>
  </conditionalFormatting>
  <conditionalFormatting sqref="AF550">
    <cfRule type="expression" dxfId="3611" priority="3682" stopIfTrue="1">
      <formula>$G548=""</formula>
    </cfRule>
  </conditionalFormatting>
  <conditionalFormatting sqref="AF550:AI550">
    <cfRule type="expression" dxfId="3610" priority="3686">
      <formula>OR($HP549=FALSE,$HL549=FALSE)</formula>
    </cfRule>
  </conditionalFormatting>
  <conditionalFormatting sqref="AF550">
    <cfRule type="containsBlanks" dxfId="3609" priority="3683" stopIfTrue="1">
      <formula>LEN(TRIM(AF550))=0</formula>
    </cfRule>
    <cfRule type="expression" dxfId="3608" priority="3684">
      <formula>$DP548=7</formula>
    </cfRule>
    <cfRule type="expression" dxfId="3607" priority="3685">
      <formula>OR($HK549=FALSE,$HM549=FALSE)</formula>
    </cfRule>
  </conditionalFormatting>
  <conditionalFormatting sqref="G551:L551">
    <cfRule type="expression" dxfId="3606" priority="3689" stopIfTrue="1">
      <formula>$AF550=""</formula>
    </cfRule>
  </conditionalFormatting>
  <conditionalFormatting sqref="T549:U549">
    <cfRule type="expression" dxfId="3605" priority="3678" stopIfTrue="1">
      <formula>$C$36&lt;&gt;0</formula>
    </cfRule>
    <cfRule type="containsBlanks" dxfId="3604" priority="3679" stopIfTrue="1">
      <formula>LEN(TRIM(T549))=0</formula>
    </cfRule>
  </conditionalFormatting>
  <conditionalFormatting sqref="T549:U549">
    <cfRule type="expression" dxfId="3603" priority="3677" stopIfTrue="1">
      <formula>$G548=""</formula>
    </cfRule>
  </conditionalFormatting>
  <conditionalFormatting sqref="U549">
    <cfRule type="expression" dxfId="3602" priority="3680">
      <formula>$HE549=FALSE</formula>
    </cfRule>
  </conditionalFormatting>
  <conditionalFormatting sqref="T551">
    <cfRule type="expression" dxfId="3601" priority="3676">
      <formula>$C$36=2</formula>
    </cfRule>
  </conditionalFormatting>
  <conditionalFormatting sqref="AE555">
    <cfRule type="expression" dxfId="3600" priority="3662" stopIfTrue="1">
      <formula>$G553=""</formula>
    </cfRule>
  </conditionalFormatting>
  <conditionalFormatting sqref="AB556:AD556">
    <cfRule type="expression" dxfId="3599" priority="3674" stopIfTrue="1">
      <formula>$G553=""</formula>
    </cfRule>
  </conditionalFormatting>
  <conditionalFormatting sqref="G555">
    <cfRule type="expression" dxfId="3598" priority="3671" stopIfTrue="1">
      <formula>$G553=""</formula>
    </cfRule>
    <cfRule type="containsBlanks" dxfId="3597" priority="3672" stopIfTrue="1">
      <formula>LEN(TRIM(G555))=0</formula>
    </cfRule>
    <cfRule type="expression" dxfId="3596" priority="3673">
      <formula>OR($M555=0,$HC554=FALSE)</formula>
    </cfRule>
  </conditionalFormatting>
  <conditionalFormatting sqref="AB556">
    <cfRule type="expression" dxfId="3595" priority="3670" stopIfTrue="1">
      <formula>$AB556=""</formula>
    </cfRule>
  </conditionalFormatting>
  <conditionalFormatting sqref="AE554:AF554">
    <cfRule type="expression" dxfId="3594" priority="3669">
      <formula>$C$36=2</formula>
    </cfRule>
  </conditionalFormatting>
  <conditionalFormatting sqref="T555:U555">
    <cfRule type="expression" dxfId="3593" priority="3644" stopIfTrue="1">
      <formula>$G553=""</formula>
    </cfRule>
  </conditionalFormatting>
  <conditionalFormatting sqref="T555:U555">
    <cfRule type="containsBlanks" dxfId="3592" priority="3667" stopIfTrue="1">
      <formula>LEN(TRIM(T555))=0</formula>
    </cfRule>
  </conditionalFormatting>
  <conditionalFormatting sqref="AC553:AD553">
    <cfRule type="expression" dxfId="3591" priority="3666">
      <formula>$G553=""</formula>
    </cfRule>
  </conditionalFormatting>
  <conditionalFormatting sqref="AE554">
    <cfRule type="containsBlanks" dxfId="3590" priority="3664">
      <formula>LEN(TRIM(AE554))=0</formula>
    </cfRule>
  </conditionalFormatting>
  <conditionalFormatting sqref="AE555 AF556">
    <cfRule type="containsBlanks" dxfId="3589" priority="3663" stopIfTrue="1">
      <formula>LEN(TRIM(AE555))=0</formula>
    </cfRule>
  </conditionalFormatting>
  <conditionalFormatting sqref="AE555">
    <cfRule type="expression" dxfId="3588" priority="3675">
      <formula>OR($HN554=FALSE,$HO554=FALSE)</formula>
    </cfRule>
  </conditionalFormatting>
  <conditionalFormatting sqref="G554:Q554 G553">
    <cfRule type="containsBlanks" dxfId="3587" priority="3661">
      <formula>LEN(TRIM(G553))=0</formula>
    </cfRule>
  </conditionalFormatting>
  <conditionalFormatting sqref="G554:L554">
    <cfRule type="expression" dxfId="3586" priority="3659" stopIfTrue="1">
      <formula>$G553=""</formula>
    </cfRule>
    <cfRule type="containsBlanks" dxfId="3585" priority="3660">
      <formula>LEN(TRIM(G554))=0</formula>
    </cfRule>
  </conditionalFormatting>
  <conditionalFormatting sqref="R555">
    <cfRule type="expression" dxfId="3584" priority="3657" stopIfTrue="1">
      <formula>$G553=""</formula>
    </cfRule>
    <cfRule type="containsBlanks" dxfId="3583" priority="3658">
      <formula>LEN(TRIM(R555))=0</formula>
    </cfRule>
  </conditionalFormatting>
  <conditionalFormatting sqref="P555:R555">
    <cfRule type="expression" dxfId="3582" priority="3656">
      <formula>$C$36=0</formula>
    </cfRule>
  </conditionalFormatting>
  <conditionalFormatting sqref="AF554">
    <cfRule type="containsBlanks" dxfId="3581" priority="3652">
      <formula>LEN(TRIM(AF554))=0</formula>
    </cfRule>
    <cfRule type="expression" dxfId="3580" priority="3653">
      <formula>$HJ554=FALSE</formula>
    </cfRule>
  </conditionalFormatting>
  <conditionalFormatting sqref="AF556">
    <cfRule type="expression" dxfId="3579" priority="3651">
      <formula>$C$36=2</formula>
    </cfRule>
  </conditionalFormatting>
  <conditionalFormatting sqref="R554">
    <cfRule type="containsBlanks" dxfId="3578" priority="3650">
      <formula>LEN(TRIM(R554))=0</formula>
    </cfRule>
  </conditionalFormatting>
  <conditionalFormatting sqref="AE554:AF554">
    <cfRule type="expression" dxfId="3577" priority="3649" stopIfTrue="1">
      <formula>$G553=""</formula>
    </cfRule>
  </conditionalFormatting>
  <conditionalFormatting sqref="AF556">
    <cfRule type="expression" dxfId="3576" priority="3648" stopIfTrue="1">
      <formula>$G553=""</formula>
    </cfRule>
  </conditionalFormatting>
  <conditionalFormatting sqref="AF553:AI553">
    <cfRule type="expression" dxfId="3575" priority="3647">
      <formula>$C$36&lt;&gt;0</formula>
    </cfRule>
  </conditionalFormatting>
  <conditionalFormatting sqref="R554">
    <cfRule type="containsBlanks" dxfId="3574" priority="3645">
      <formula>LEN(TRIM(R554))=0</formula>
    </cfRule>
  </conditionalFormatting>
  <conditionalFormatting sqref="U555">
    <cfRule type="expression" dxfId="3573" priority="3668">
      <formula>OR($HF554=FALSE,$HG554=FALSE)</formula>
    </cfRule>
  </conditionalFormatting>
  <conditionalFormatting sqref="R554">
    <cfRule type="expression" dxfId="3572" priority="3642" stopIfTrue="1">
      <formula>$G553=""</formula>
    </cfRule>
    <cfRule type="expression" dxfId="3571" priority="3643">
      <formula>$HT554=FALSE</formula>
    </cfRule>
  </conditionalFormatting>
  <conditionalFormatting sqref="G556">
    <cfRule type="expression" dxfId="3570" priority="3637" stopIfTrue="1">
      <formula>$G553=""</formula>
    </cfRule>
  </conditionalFormatting>
  <conditionalFormatting sqref="G556">
    <cfRule type="expression" dxfId="3569" priority="3631" stopIfTrue="1">
      <formula>$CN553="Exterior"</formula>
    </cfRule>
  </conditionalFormatting>
  <conditionalFormatting sqref="G556:L556">
    <cfRule type="containsBlanks" dxfId="3568" priority="3638" stopIfTrue="1">
      <formula>LEN(TRIM(G556))=0</formula>
    </cfRule>
    <cfRule type="expression" dxfId="3567" priority="3640">
      <formula>$HL554=FALSE</formula>
    </cfRule>
  </conditionalFormatting>
  <conditionalFormatting sqref="AF555">
    <cfRule type="expression" dxfId="3566" priority="3632" stopIfTrue="1">
      <formula>$G553=""</formula>
    </cfRule>
  </conditionalFormatting>
  <conditionalFormatting sqref="AF555:AI555">
    <cfRule type="expression" dxfId="3565" priority="3636">
      <formula>OR($HP554=FALSE,$HL554=FALSE)</formula>
    </cfRule>
  </conditionalFormatting>
  <conditionalFormatting sqref="AF555">
    <cfRule type="containsBlanks" dxfId="3564" priority="3633" stopIfTrue="1">
      <formula>LEN(TRIM(AF555))=0</formula>
    </cfRule>
    <cfRule type="expression" dxfId="3563" priority="3634">
      <formula>$DP553=7</formula>
    </cfRule>
    <cfRule type="expression" dxfId="3562" priority="3635">
      <formula>OR($HK554=FALSE,$HM554=FALSE)</formula>
    </cfRule>
  </conditionalFormatting>
  <conditionalFormatting sqref="G556:L556">
    <cfRule type="expression" dxfId="3561" priority="3639" stopIfTrue="1">
      <formula>$AF555=""</formula>
    </cfRule>
  </conditionalFormatting>
  <conditionalFormatting sqref="T554:U554">
    <cfRule type="expression" dxfId="3560" priority="3628" stopIfTrue="1">
      <formula>$C$36&lt;&gt;0</formula>
    </cfRule>
    <cfRule type="containsBlanks" dxfId="3559" priority="3629" stopIfTrue="1">
      <formula>LEN(TRIM(T554))=0</formula>
    </cfRule>
  </conditionalFormatting>
  <conditionalFormatting sqref="T554:U554">
    <cfRule type="expression" dxfId="3558" priority="3627" stopIfTrue="1">
      <formula>$G553=""</formula>
    </cfRule>
  </conditionalFormatting>
  <conditionalFormatting sqref="U554">
    <cfRule type="expression" dxfId="3557" priority="3630">
      <formula>$HE554=FALSE</formula>
    </cfRule>
  </conditionalFormatting>
  <conditionalFormatting sqref="T556">
    <cfRule type="expression" dxfId="3556" priority="3626">
      <formula>$C$36=2</formula>
    </cfRule>
  </conditionalFormatting>
  <conditionalFormatting sqref="AJ563:AL563">
    <cfRule type="expression" dxfId="3555" priority="3625" stopIfTrue="1">
      <formula>$G561=""</formula>
    </cfRule>
  </conditionalFormatting>
  <conditionalFormatting sqref="AR561:AR564">
    <cfRule type="expression" dxfId="3554" priority="3622" stopIfTrue="1">
      <formula>$C$36=2</formula>
    </cfRule>
    <cfRule type="cellIs" dxfId="3553" priority="3623" operator="equal">
      <formula>"Yes"</formula>
    </cfRule>
    <cfRule type="cellIs" dxfId="3552" priority="3624" operator="equal">
      <formula>"No"</formula>
    </cfRule>
  </conditionalFormatting>
  <conditionalFormatting sqref="AJ561:AL562">
    <cfRule type="expression" dxfId="3551" priority="3621">
      <formula>$G561=""</formula>
    </cfRule>
  </conditionalFormatting>
  <conditionalFormatting sqref="AM561 AO561:AP564">
    <cfRule type="expression" dxfId="3550" priority="3620">
      <formula>$G561=""</formula>
    </cfRule>
  </conditionalFormatting>
  <conditionalFormatting sqref="AT561:AT564">
    <cfRule type="expression" dxfId="3549" priority="3619">
      <formula>$G561=""</formula>
    </cfRule>
  </conditionalFormatting>
  <conditionalFormatting sqref="E564:F564">
    <cfRule type="expression" dxfId="3548" priority="3618">
      <formula>$CN561="Exterior"</formula>
    </cfRule>
  </conditionalFormatting>
  <conditionalFormatting sqref="AJ568:AL568">
    <cfRule type="expression" dxfId="3547" priority="3617" stopIfTrue="1">
      <formula>$G566=""</formula>
    </cfRule>
  </conditionalFormatting>
  <conditionalFormatting sqref="AR566:AR569">
    <cfRule type="expression" dxfId="3546" priority="3614" stopIfTrue="1">
      <formula>$C$36=2</formula>
    </cfRule>
    <cfRule type="cellIs" dxfId="3545" priority="3615" operator="equal">
      <formula>"Yes"</formula>
    </cfRule>
    <cfRule type="cellIs" dxfId="3544" priority="3616" operator="equal">
      <formula>"No"</formula>
    </cfRule>
  </conditionalFormatting>
  <conditionalFormatting sqref="AJ566:AL567">
    <cfRule type="expression" dxfId="3543" priority="3613">
      <formula>$G566=""</formula>
    </cfRule>
  </conditionalFormatting>
  <conditionalFormatting sqref="AM566 AO566:AP569">
    <cfRule type="expression" dxfId="3542" priority="3612">
      <formula>$G566=""</formula>
    </cfRule>
  </conditionalFormatting>
  <conditionalFormatting sqref="AT566:AT569">
    <cfRule type="expression" dxfId="3541" priority="3611">
      <formula>$G566=""</formula>
    </cfRule>
  </conditionalFormatting>
  <conditionalFormatting sqref="E569:F569">
    <cfRule type="expression" dxfId="3540" priority="3610">
      <formula>$CN566="Exterior"</formula>
    </cfRule>
  </conditionalFormatting>
  <conditionalFormatting sqref="AJ573:AL573">
    <cfRule type="expression" dxfId="3539" priority="3609" stopIfTrue="1">
      <formula>$G571=""</formula>
    </cfRule>
  </conditionalFormatting>
  <conditionalFormatting sqref="AR571:AR574">
    <cfRule type="expression" dxfId="3538" priority="3606" stopIfTrue="1">
      <formula>$C$36=2</formula>
    </cfRule>
    <cfRule type="cellIs" dxfId="3537" priority="3607" operator="equal">
      <formula>"Yes"</formula>
    </cfRule>
    <cfRule type="cellIs" dxfId="3536" priority="3608" operator="equal">
      <formula>"No"</formula>
    </cfRule>
  </conditionalFormatting>
  <conditionalFormatting sqref="AJ571:AL572">
    <cfRule type="expression" dxfId="3535" priority="3605">
      <formula>$G571=""</formula>
    </cfRule>
  </conditionalFormatting>
  <conditionalFormatting sqref="AM571 AO571:AP574">
    <cfRule type="expression" dxfId="3534" priority="3604">
      <formula>$G571=""</formula>
    </cfRule>
  </conditionalFormatting>
  <conditionalFormatting sqref="AT571:AT574">
    <cfRule type="expression" dxfId="3533" priority="3603">
      <formula>$G571=""</formula>
    </cfRule>
  </conditionalFormatting>
  <conditionalFormatting sqref="E574:F574">
    <cfRule type="expression" dxfId="3532" priority="3602">
      <formula>$CN571="Exterior"</formula>
    </cfRule>
  </conditionalFormatting>
  <conditionalFormatting sqref="AJ578:AL578">
    <cfRule type="expression" dxfId="3531" priority="3601" stopIfTrue="1">
      <formula>$G576=""</formula>
    </cfRule>
  </conditionalFormatting>
  <conditionalFormatting sqref="AR576:AR579">
    <cfRule type="expression" dxfId="3530" priority="3598" stopIfTrue="1">
      <formula>$C$36=2</formula>
    </cfRule>
    <cfRule type="cellIs" dxfId="3529" priority="3599" operator="equal">
      <formula>"Yes"</formula>
    </cfRule>
    <cfRule type="cellIs" dxfId="3528" priority="3600" operator="equal">
      <formula>"No"</formula>
    </cfRule>
  </conditionalFormatting>
  <conditionalFormatting sqref="AJ576:AL577">
    <cfRule type="expression" dxfId="3527" priority="3597">
      <formula>$G576=""</formula>
    </cfRule>
  </conditionalFormatting>
  <conditionalFormatting sqref="AM576 AO576:AP579">
    <cfRule type="expression" dxfId="3526" priority="3596">
      <formula>$G576=""</formula>
    </cfRule>
  </conditionalFormatting>
  <conditionalFormatting sqref="AT576:AT579">
    <cfRule type="expression" dxfId="3525" priority="3595">
      <formula>$G576=""</formula>
    </cfRule>
  </conditionalFormatting>
  <conditionalFormatting sqref="E579:F579">
    <cfRule type="expression" dxfId="3524" priority="3594">
      <formula>$CN576="Exterior"</formula>
    </cfRule>
  </conditionalFormatting>
  <conditionalFormatting sqref="AJ583:AL583">
    <cfRule type="expression" dxfId="3523" priority="3593" stopIfTrue="1">
      <formula>$G581=""</formula>
    </cfRule>
  </conditionalFormatting>
  <conditionalFormatting sqref="AR581:AR584">
    <cfRule type="expression" dxfId="3522" priority="3590" stopIfTrue="1">
      <formula>$C$36=2</formula>
    </cfRule>
    <cfRule type="cellIs" dxfId="3521" priority="3591" operator="equal">
      <formula>"Yes"</formula>
    </cfRule>
    <cfRule type="cellIs" dxfId="3520" priority="3592" operator="equal">
      <formula>"No"</formula>
    </cfRule>
  </conditionalFormatting>
  <conditionalFormatting sqref="AJ581:AL582">
    <cfRule type="expression" dxfId="3519" priority="3589">
      <formula>$G581=""</formula>
    </cfRule>
  </conditionalFormatting>
  <conditionalFormatting sqref="AM581 AO581:AP584">
    <cfRule type="expression" dxfId="3518" priority="3588">
      <formula>$G581=""</formula>
    </cfRule>
  </conditionalFormatting>
  <conditionalFormatting sqref="AT581:AT584">
    <cfRule type="expression" dxfId="3517" priority="3587">
      <formula>$G581=""</formula>
    </cfRule>
  </conditionalFormatting>
  <conditionalFormatting sqref="E584:F584">
    <cfRule type="expression" dxfId="3516" priority="3586">
      <formula>$CN581="Exterior"</formula>
    </cfRule>
  </conditionalFormatting>
  <conditionalFormatting sqref="AJ588:AL588">
    <cfRule type="expression" dxfId="3515" priority="3585" stopIfTrue="1">
      <formula>$G586=""</formula>
    </cfRule>
  </conditionalFormatting>
  <conditionalFormatting sqref="AR586:AR589">
    <cfRule type="expression" dxfId="3514" priority="3582" stopIfTrue="1">
      <formula>$C$36=2</formula>
    </cfRule>
    <cfRule type="cellIs" dxfId="3513" priority="3583" operator="equal">
      <formula>"Yes"</formula>
    </cfRule>
    <cfRule type="cellIs" dxfId="3512" priority="3584" operator="equal">
      <formula>"No"</formula>
    </cfRule>
  </conditionalFormatting>
  <conditionalFormatting sqref="AJ586:AL587">
    <cfRule type="expression" dxfId="3511" priority="3581">
      <formula>$G586=""</formula>
    </cfRule>
  </conditionalFormatting>
  <conditionalFormatting sqref="AM586 AO586:AP589">
    <cfRule type="expression" dxfId="3510" priority="3580">
      <formula>$G586=""</formula>
    </cfRule>
  </conditionalFormatting>
  <conditionalFormatting sqref="AT586:AT589">
    <cfRule type="expression" dxfId="3509" priority="3579">
      <formula>$G586=""</formula>
    </cfRule>
  </conditionalFormatting>
  <conditionalFormatting sqref="E589:F589">
    <cfRule type="expression" dxfId="3508" priority="3578">
      <formula>$CN586="Exterior"</formula>
    </cfRule>
  </conditionalFormatting>
  <conditionalFormatting sqref="AJ593:AL593">
    <cfRule type="expression" dxfId="3507" priority="3577" stopIfTrue="1">
      <formula>$G591=""</formula>
    </cfRule>
  </conditionalFormatting>
  <conditionalFormatting sqref="AR591:AR594">
    <cfRule type="expression" dxfId="3506" priority="3574" stopIfTrue="1">
      <formula>$C$36=2</formula>
    </cfRule>
    <cfRule type="cellIs" dxfId="3505" priority="3575" operator="equal">
      <formula>"Yes"</formula>
    </cfRule>
    <cfRule type="cellIs" dxfId="3504" priority="3576" operator="equal">
      <formula>"No"</formula>
    </cfRule>
  </conditionalFormatting>
  <conditionalFormatting sqref="AJ591:AL592">
    <cfRule type="expression" dxfId="3503" priority="3573">
      <formula>$G591=""</formula>
    </cfRule>
  </conditionalFormatting>
  <conditionalFormatting sqref="AM591 AO591:AP594">
    <cfRule type="expression" dxfId="3502" priority="3572">
      <formula>$G591=""</formula>
    </cfRule>
  </conditionalFormatting>
  <conditionalFormatting sqref="AT591:AT594">
    <cfRule type="expression" dxfId="3501" priority="3571">
      <formula>$G591=""</formula>
    </cfRule>
  </conditionalFormatting>
  <conditionalFormatting sqref="E594:F594">
    <cfRule type="expression" dxfId="3500" priority="3570">
      <formula>$CN591="Exterior"</formula>
    </cfRule>
  </conditionalFormatting>
  <conditionalFormatting sqref="AJ598:AL598">
    <cfRule type="expression" dxfId="3499" priority="3569" stopIfTrue="1">
      <formula>$G596=""</formula>
    </cfRule>
  </conditionalFormatting>
  <conditionalFormatting sqref="AR596:AR599">
    <cfRule type="expression" dxfId="3498" priority="3566" stopIfTrue="1">
      <formula>$C$36=2</formula>
    </cfRule>
    <cfRule type="cellIs" dxfId="3497" priority="3567" operator="equal">
      <formula>"Yes"</formula>
    </cfRule>
    <cfRule type="cellIs" dxfId="3496" priority="3568" operator="equal">
      <formula>"No"</formula>
    </cfRule>
  </conditionalFormatting>
  <conditionalFormatting sqref="AJ596:AL597">
    <cfRule type="expression" dxfId="3495" priority="3565">
      <formula>$G596=""</formula>
    </cfRule>
  </conditionalFormatting>
  <conditionalFormatting sqref="AM596 AO596:AP599">
    <cfRule type="expression" dxfId="3494" priority="3564">
      <formula>$G596=""</formula>
    </cfRule>
  </conditionalFormatting>
  <conditionalFormatting sqref="AT596:AT599">
    <cfRule type="expression" dxfId="3493" priority="3563">
      <formula>$G596=""</formula>
    </cfRule>
  </conditionalFormatting>
  <conditionalFormatting sqref="E599:F599">
    <cfRule type="expression" dxfId="3492" priority="3562">
      <formula>$CN596="Exterior"</formula>
    </cfRule>
  </conditionalFormatting>
  <conditionalFormatting sqref="AJ603:AL603">
    <cfRule type="expression" dxfId="3491" priority="3561" stopIfTrue="1">
      <formula>$G601=""</formula>
    </cfRule>
  </conditionalFormatting>
  <conditionalFormatting sqref="AR601:AR604">
    <cfRule type="expression" dxfId="3490" priority="3558" stopIfTrue="1">
      <formula>$C$36=2</formula>
    </cfRule>
    <cfRule type="cellIs" dxfId="3489" priority="3559" operator="equal">
      <formula>"Yes"</formula>
    </cfRule>
    <cfRule type="cellIs" dxfId="3488" priority="3560" operator="equal">
      <formula>"No"</formula>
    </cfRule>
  </conditionalFormatting>
  <conditionalFormatting sqref="AJ601:AL602">
    <cfRule type="expression" dxfId="3487" priority="3557">
      <formula>$G601=""</formula>
    </cfRule>
  </conditionalFormatting>
  <conditionalFormatting sqref="AM601 AO601:AP604">
    <cfRule type="expression" dxfId="3486" priority="3556">
      <formula>$G601=""</formula>
    </cfRule>
  </conditionalFormatting>
  <conditionalFormatting sqref="AT601:AT604">
    <cfRule type="expression" dxfId="3485" priority="3555">
      <formula>$G601=""</formula>
    </cfRule>
  </conditionalFormatting>
  <conditionalFormatting sqref="E604:F604">
    <cfRule type="expression" dxfId="3484" priority="3554">
      <formula>$CN601="Exterior"</formula>
    </cfRule>
  </conditionalFormatting>
  <conditionalFormatting sqref="AJ608:AL608">
    <cfRule type="expression" dxfId="3483" priority="3553" stopIfTrue="1">
      <formula>$G606=""</formula>
    </cfRule>
  </conditionalFormatting>
  <conditionalFormatting sqref="AR606:AR609">
    <cfRule type="expression" dxfId="3482" priority="3550" stopIfTrue="1">
      <formula>$C$36=2</formula>
    </cfRule>
    <cfRule type="cellIs" dxfId="3481" priority="3551" operator="equal">
      <formula>"Yes"</formula>
    </cfRule>
    <cfRule type="cellIs" dxfId="3480" priority="3552" operator="equal">
      <formula>"No"</formula>
    </cfRule>
  </conditionalFormatting>
  <conditionalFormatting sqref="AJ606:AL607">
    <cfRule type="expression" dxfId="3479" priority="3549">
      <formula>$G606=""</formula>
    </cfRule>
  </conditionalFormatting>
  <conditionalFormatting sqref="AM606 AO606:AP609">
    <cfRule type="expression" dxfId="3478" priority="3548">
      <formula>$G606=""</formula>
    </cfRule>
  </conditionalFormatting>
  <conditionalFormatting sqref="AT606:AT609">
    <cfRule type="expression" dxfId="3477" priority="3547">
      <formula>$G606=""</formula>
    </cfRule>
  </conditionalFormatting>
  <conditionalFormatting sqref="E609:F609">
    <cfRule type="expression" dxfId="3476" priority="3546">
      <formula>$CN606="Exterior"</formula>
    </cfRule>
  </conditionalFormatting>
  <conditionalFormatting sqref="AJ613:AL613">
    <cfRule type="expression" dxfId="3475" priority="3545" stopIfTrue="1">
      <formula>$G611=""</formula>
    </cfRule>
  </conditionalFormatting>
  <conditionalFormatting sqref="AR611:AR614">
    <cfRule type="expression" dxfId="3474" priority="3542" stopIfTrue="1">
      <formula>$C$36=2</formula>
    </cfRule>
    <cfRule type="cellIs" dxfId="3473" priority="3543" operator="equal">
      <formula>"Yes"</formula>
    </cfRule>
    <cfRule type="cellIs" dxfId="3472" priority="3544" operator="equal">
      <formula>"No"</formula>
    </cfRule>
  </conditionalFormatting>
  <conditionalFormatting sqref="AJ611:AL612">
    <cfRule type="expression" dxfId="3471" priority="3541">
      <formula>$G611=""</formula>
    </cfRule>
  </conditionalFormatting>
  <conditionalFormatting sqref="AM611 AO611:AP614">
    <cfRule type="expression" dxfId="3470" priority="3540">
      <formula>$G611=""</formula>
    </cfRule>
  </conditionalFormatting>
  <conditionalFormatting sqref="AT611:AT614">
    <cfRule type="expression" dxfId="3469" priority="3539">
      <formula>$G611=""</formula>
    </cfRule>
  </conditionalFormatting>
  <conditionalFormatting sqref="E614:F614">
    <cfRule type="expression" dxfId="3468" priority="3538">
      <formula>$CN611="Exterior"</formula>
    </cfRule>
  </conditionalFormatting>
  <conditionalFormatting sqref="AJ618:AL618">
    <cfRule type="expression" dxfId="3467" priority="3537" stopIfTrue="1">
      <formula>$G616=""</formula>
    </cfRule>
  </conditionalFormatting>
  <conditionalFormatting sqref="AR616:AR619">
    <cfRule type="expression" dxfId="3466" priority="3534" stopIfTrue="1">
      <formula>$C$36=2</formula>
    </cfRule>
    <cfRule type="cellIs" dxfId="3465" priority="3535" operator="equal">
      <formula>"Yes"</formula>
    </cfRule>
    <cfRule type="cellIs" dxfId="3464" priority="3536" operator="equal">
      <formula>"No"</formula>
    </cfRule>
  </conditionalFormatting>
  <conditionalFormatting sqref="AJ616:AL617">
    <cfRule type="expression" dxfId="3463" priority="3533">
      <formula>$G616=""</formula>
    </cfRule>
  </conditionalFormatting>
  <conditionalFormatting sqref="AM616 AO616:AP619">
    <cfRule type="expression" dxfId="3462" priority="3532">
      <formula>$G616=""</formula>
    </cfRule>
  </conditionalFormatting>
  <conditionalFormatting sqref="AT616:AT619">
    <cfRule type="expression" dxfId="3461" priority="3531">
      <formula>$G616=""</formula>
    </cfRule>
  </conditionalFormatting>
  <conditionalFormatting sqref="E619:F619">
    <cfRule type="expression" dxfId="3460" priority="3530">
      <formula>$CN616="Exterior"</formula>
    </cfRule>
  </conditionalFormatting>
  <conditionalFormatting sqref="AJ623:AL623">
    <cfRule type="expression" dxfId="3459" priority="3529" stopIfTrue="1">
      <formula>$G621=""</formula>
    </cfRule>
  </conditionalFormatting>
  <conditionalFormatting sqref="AR621:AR624">
    <cfRule type="expression" dxfId="3458" priority="3526" stopIfTrue="1">
      <formula>$C$36=2</formula>
    </cfRule>
    <cfRule type="cellIs" dxfId="3457" priority="3527" operator="equal">
      <formula>"Yes"</formula>
    </cfRule>
    <cfRule type="cellIs" dxfId="3456" priority="3528" operator="equal">
      <formula>"No"</formula>
    </cfRule>
  </conditionalFormatting>
  <conditionalFormatting sqref="AJ621:AL622">
    <cfRule type="expression" dxfId="3455" priority="3525">
      <formula>$G621=""</formula>
    </cfRule>
  </conditionalFormatting>
  <conditionalFormatting sqref="AM621 AO621:AP624">
    <cfRule type="expression" dxfId="3454" priority="3524">
      <formula>$G621=""</formula>
    </cfRule>
  </conditionalFormatting>
  <conditionalFormatting sqref="AT621:AT624">
    <cfRule type="expression" dxfId="3453" priority="3523">
      <formula>$G621=""</formula>
    </cfRule>
  </conditionalFormatting>
  <conditionalFormatting sqref="E624:F624">
    <cfRule type="expression" dxfId="3452" priority="3522">
      <formula>$CN621="Exterior"</formula>
    </cfRule>
  </conditionalFormatting>
  <conditionalFormatting sqref="AJ628:AL628">
    <cfRule type="expression" dxfId="3451" priority="3521" stopIfTrue="1">
      <formula>$G626=""</formula>
    </cfRule>
  </conditionalFormatting>
  <conditionalFormatting sqref="AR626:AR629">
    <cfRule type="expression" dxfId="3450" priority="3518" stopIfTrue="1">
      <formula>$C$36=2</formula>
    </cfRule>
    <cfRule type="cellIs" dxfId="3449" priority="3519" operator="equal">
      <formula>"Yes"</formula>
    </cfRule>
    <cfRule type="cellIs" dxfId="3448" priority="3520" operator="equal">
      <formula>"No"</formula>
    </cfRule>
  </conditionalFormatting>
  <conditionalFormatting sqref="AJ626:AL627">
    <cfRule type="expression" dxfId="3447" priority="3517">
      <formula>$G626=""</formula>
    </cfRule>
  </conditionalFormatting>
  <conditionalFormatting sqref="AM626 AO626:AP629">
    <cfRule type="expression" dxfId="3446" priority="3516">
      <formula>$G626=""</formula>
    </cfRule>
  </conditionalFormatting>
  <conditionalFormatting sqref="AT626:AT629">
    <cfRule type="expression" dxfId="3445" priority="3515">
      <formula>$G626=""</formula>
    </cfRule>
  </conditionalFormatting>
  <conditionalFormatting sqref="E629:F629">
    <cfRule type="expression" dxfId="3444" priority="3514">
      <formula>$CN626="Exterior"</formula>
    </cfRule>
  </conditionalFormatting>
  <conditionalFormatting sqref="AJ633:AL633">
    <cfRule type="expression" dxfId="3443" priority="3513" stopIfTrue="1">
      <formula>$G631=""</formula>
    </cfRule>
  </conditionalFormatting>
  <conditionalFormatting sqref="AR631:AR634">
    <cfRule type="expression" dxfId="3442" priority="3510" stopIfTrue="1">
      <formula>$C$36=2</formula>
    </cfRule>
    <cfRule type="cellIs" dxfId="3441" priority="3511" operator="equal">
      <formula>"Yes"</formula>
    </cfRule>
    <cfRule type="cellIs" dxfId="3440" priority="3512" operator="equal">
      <formula>"No"</formula>
    </cfRule>
  </conditionalFormatting>
  <conditionalFormatting sqref="AJ631:AL632">
    <cfRule type="expression" dxfId="3439" priority="3509">
      <formula>$G631=""</formula>
    </cfRule>
  </conditionalFormatting>
  <conditionalFormatting sqref="AM631 AO631:AP634">
    <cfRule type="expression" dxfId="3438" priority="3508">
      <formula>$G631=""</formula>
    </cfRule>
  </conditionalFormatting>
  <conditionalFormatting sqref="AT631:AT634">
    <cfRule type="expression" dxfId="3437" priority="3507">
      <formula>$G631=""</formula>
    </cfRule>
  </conditionalFormatting>
  <conditionalFormatting sqref="E634:F634">
    <cfRule type="expression" dxfId="3436" priority="3506">
      <formula>$CN631="Exterior"</formula>
    </cfRule>
  </conditionalFormatting>
  <conditionalFormatting sqref="AE563">
    <cfRule type="expression" dxfId="3435" priority="3492" stopIfTrue="1">
      <formula>$G561=""</formula>
    </cfRule>
  </conditionalFormatting>
  <conditionalFormatting sqref="AB564:AD564">
    <cfRule type="expression" dxfId="3434" priority="3504" stopIfTrue="1">
      <formula>$G561=""</formula>
    </cfRule>
  </conditionalFormatting>
  <conditionalFormatting sqref="G563">
    <cfRule type="expression" dxfId="3433" priority="3501" stopIfTrue="1">
      <formula>$G561=""</formula>
    </cfRule>
    <cfRule type="containsBlanks" dxfId="3432" priority="3502" stopIfTrue="1">
      <formula>LEN(TRIM(G563))=0</formula>
    </cfRule>
    <cfRule type="expression" dxfId="3431" priority="3503">
      <formula>OR($M563=0,$HC562=FALSE)</formula>
    </cfRule>
  </conditionalFormatting>
  <conditionalFormatting sqref="AB564">
    <cfRule type="expression" dxfId="3430" priority="3500" stopIfTrue="1">
      <formula>$AB564=""</formula>
    </cfRule>
  </conditionalFormatting>
  <conditionalFormatting sqref="AE562:AF562">
    <cfRule type="expression" dxfId="3429" priority="3499">
      <formula>$C$36=2</formula>
    </cfRule>
  </conditionalFormatting>
  <conditionalFormatting sqref="T563:U563">
    <cfRule type="expression" dxfId="3428" priority="3474" stopIfTrue="1">
      <formula>$G561=""</formula>
    </cfRule>
  </conditionalFormatting>
  <conditionalFormatting sqref="T563:U563">
    <cfRule type="containsBlanks" dxfId="3427" priority="3497" stopIfTrue="1">
      <formula>LEN(TRIM(T563))=0</formula>
    </cfRule>
  </conditionalFormatting>
  <conditionalFormatting sqref="AC561:AD561">
    <cfRule type="expression" dxfId="3426" priority="3496">
      <formula>$G561=""</formula>
    </cfRule>
  </conditionalFormatting>
  <conditionalFormatting sqref="AE562">
    <cfRule type="containsBlanks" dxfId="3425" priority="3494">
      <formula>LEN(TRIM(AE562))=0</formula>
    </cfRule>
  </conditionalFormatting>
  <conditionalFormatting sqref="AE563 AF564">
    <cfRule type="containsBlanks" dxfId="3424" priority="3493" stopIfTrue="1">
      <formula>LEN(TRIM(AE563))=0</formula>
    </cfRule>
  </conditionalFormatting>
  <conditionalFormatting sqref="AE563">
    <cfRule type="expression" dxfId="3423" priority="3505">
      <formula>OR($HN562=FALSE,$HO562=FALSE)</formula>
    </cfRule>
  </conditionalFormatting>
  <conditionalFormatting sqref="G562:Q562 G561">
    <cfRule type="containsBlanks" dxfId="3422" priority="3491">
      <formula>LEN(TRIM(G561))=0</formula>
    </cfRule>
  </conditionalFormatting>
  <conditionalFormatting sqref="G562:L562">
    <cfRule type="expression" dxfId="3421" priority="3489" stopIfTrue="1">
      <formula>$G561=""</formula>
    </cfRule>
    <cfRule type="containsBlanks" dxfId="3420" priority="3490">
      <formula>LEN(TRIM(G562))=0</formula>
    </cfRule>
  </conditionalFormatting>
  <conditionalFormatting sqref="R563">
    <cfRule type="expression" dxfId="3419" priority="3487" stopIfTrue="1">
      <formula>$G561=""</formula>
    </cfRule>
    <cfRule type="containsBlanks" dxfId="3418" priority="3488">
      <formula>LEN(TRIM(R563))=0</formula>
    </cfRule>
  </conditionalFormatting>
  <conditionalFormatting sqref="P563:R563">
    <cfRule type="expression" dxfId="3417" priority="3486">
      <formula>$C$36=0</formula>
    </cfRule>
  </conditionalFormatting>
  <conditionalFormatting sqref="AF562">
    <cfRule type="containsBlanks" dxfId="3416" priority="3482">
      <formula>LEN(TRIM(AF562))=0</formula>
    </cfRule>
    <cfRule type="expression" dxfId="3415" priority="3483">
      <formula>$HJ562=FALSE</formula>
    </cfRule>
  </conditionalFormatting>
  <conditionalFormatting sqref="AF564">
    <cfRule type="expression" dxfId="3414" priority="3481">
      <formula>$C$36=2</formula>
    </cfRule>
  </conditionalFormatting>
  <conditionalFormatting sqref="R562">
    <cfRule type="containsBlanks" dxfId="3413" priority="3480">
      <formula>LEN(TRIM(R562))=0</formula>
    </cfRule>
  </conditionalFormatting>
  <conditionalFormatting sqref="AE562:AF562">
    <cfRule type="expression" dxfId="3412" priority="3479" stopIfTrue="1">
      <formula>$G561=""</formula>
    </cfRule>
  </conditionalFormatting>
  <conditionalFormatting sqref="AF564">
    <cfRule type="expression" dxfId="3411" priority="3478" stopIfTrue="1">
      <formula>$G561=""</formula>
    </cfRule>
  </conditionalFormatting>
  <conditionalFormatting sqref="AF561:AI561">
    <cfRule type="expression" dxfId="3410" priority="3477">
      <formula>$C$36&lt;&gt;0</formula>
    </cfRule>
  </conditionalFormatting>
  <conditionalFormatting sqref="R562">
    <cfRule type="containsBlanks" dxfId="3409" priority="3475">
      <formula>LEN(TRIM(R562))=0</formula>
    </cfRule>
  </conditionalFormatting>
  <conditionalFormatting sqref="U563">
    <cfRule type="expression" dxfId="3408" priority="3498">
      <formula>OR($HF562=FALSE,$HG562=FALSE)</formula>
    </cfRule>
  </conditionalFormatting>
  <conditionalFormatting sqref="R562">
    <cfRule type="expression" dxfId="3407" priority="3472" stopIfTrue="1">
      <formula>$G561=""</formula>
    </cfRule>
    <cfRule type="expression" dxfId="3406" priority="3473">
      <formula>$HT562=FALSE</formula>
    </cfRule>
  </conditionalFormatting>
  <conditionalFormatting sqref="G564">
    <cfRule type="expression" dxfId="3405" priority="3467" stopIfTrue="1">
      <formula>$G561=""</formula>
    </cfRule>
  </conditionalFormatting>
  <conditionalFormatting sqref="G564">
    <cfRule type="expression" dxfId="3404" priority="3461" stopIfTrue="1">
      <formula>$CN561="Exterior"</formula>
    </cfRule>
  </conditionalFormatting>
  <conditionalFormatting sqref="G564:L564">
    <cfRule type="containsBlanks" dxfId="3403" priority="3468" stopIfTrue="1">
      <formula>LEN(TRIM(G564))=0</formula>
    </cfRule>
    <cfRule type="expression" dxfId="3402" priority="3470">
      <formula>$HL562=FALSE</formula>
    </cfRule>
  </conditionalFormatting>
  <conditionalFormatting sqref="AF563">
    <cfRule type="expression" dxfId="3401" priority="3462" stopIfTrue="1">
      <formula>$G561=""</formula>
    </cfRule>
  </conditionalFormatting>
  <conditionalFormatting sqref="AF563:AI563">
    <cfRule type="expression" dxfId="3400" priority="3466">
      <formula>OR($HP562=FALSE,$HL562=FALSE)</formula>
    </cfRule>
  </conditionalFormatting>
  <conditionalFormatting sqref="AF563">
    <cfRule type="containsBlanks" dxfId="3399" priority="3463" stopIfTrue="1">
      <formula>LEN(TRIM(AF563))=0</formula>
    </cfRule>
    <cfRule type="expression" dxfId="3398" priority="3464">
      <formula>$DP561=7</formula>
    </cfRule>
    <cfRule type="expression" dxfId="3397" priority="3465">
      <formula>OR($HK562=FALSE,$HM562=FALSE)</formula>
    </cfRule>
  </conditionalFormatting>
  <conditionalFormatting sqref="G564:L564">
    <cfRule type="expression" dxfId="3396" priority="3469" stopIfTrue="1">
      <formula>$AF563=""</formula>
    </cfRule>
  </conditionalFormatting>
  <conditionalFormatting sqref="T562:U562">
    <cfRule type="expression" dxfId="3395" priority="3458" stopIfTrue="1">
      <formula>$C$36&lt;&gt;0</formula>
    </cfRule>
    <cfRule type="containsBlanks" dxfId="3394" priority="3459" stopIfTrue="1">
      <formula>LEN(TRIM(T562))=0</formula>
    </cfRule>
  </conditionalFormatting>
  <conditionalFormatting sqref="T562:U562">
    <cfRule type="expression" dxfId="3393" priority="3457" stopIfTrue="1">
      <formula>$G561=""</formula>
    </cfRule>
  </conditionalFormatting>
  <conditionalFormatting sqref="U562">
    <cfRule type="expression" dxfId="3392" priority="3460">
      <formula>$HE562=FALSE</formula>
    </cfRule>
  </conditionalFormatting>
  <conditionalFormatting sqref="T564">
    <cfRule type="expression" dxfId="3391" priority="3456">
      <formula>$C$36=2</formula>
    </cfRule>
  </conditionalFormatting>
  <conditionalFormatting sqref="AE568">
    <cfRule type="expression" dxfId="3390" priority="3442" stopIfTrue="1">
      <formula>$G566=""</formula>
    </cfRule>
  </conditionalFormatting>
  <conditionalFormatting sqref="AB569:AD569">
    <cfRule type="expression" dxfId="3389" priority="3454" stopIfTrue="1">
      <formula>$G566=""</formula>
    </cfRule>
  </conditionalFormatting>
  <conditionalFormatting sqref="G568">
    <cfRule type="expression" dxfId="3388" priority="3451" stopIfTrue="1">
      <formula>$G566=""</formula>
    </cfRule>
    <cfRule type="containsBlanks" dxfId="3387" priority="3452" stopIfTrue="1">
      <formula>LEN(TRIM(G568))=0</formula>
    </cfRule>
    <cfRule type="expression" dxfId="3386" priority="3453">
      <formula>OR($M568=0,$HC567=FALSE)</formula>
    </cfRule>
  </conditionalFormatting>
  <conditionalFormatting sqref="AB569">
    <cfRule type="expression" dxfId="3385" priority="3450" stopIfTrue="1">
      <formula>$AB569=""</formula>
    </cfRule>
  </conditionalFormatting>
  <conditionalFormatting sqref="AE567:AF567">
    <cfRule type="expression" dxfId="3384" priority="3449">
      <formula>$C$36=2</formula>
    </cfRule>
  </conditionalFormatting>
  <conditionalFormatting sqref="T568:U568">
    <cfRule type="expression" dxfId="3383" priority="3424" stopIfTrue="1">
      <formula>$G566=""</formula>
    </cfRule>
  </conditionalFormatting>
  <conditionalFormatting sqref="T568:U568">
    <cfRule type="containsBlanks" dxfId="3382" priority="3447" stopIfTrue="1">
      <formula>LEN(TRIM(T568))=0</formula>
    </cfRule>
  </conditionalFormatting>
  <conditionalFormatting sqref="AC566:AD566">
    <cfRule type="expression" dxfId="3381" priority="3446">
      <formula>$G566=""</formula>
    </cfRule>
  </conditionalFormatting>
  <conditionalFormatting sqref="AE567">
    <cfRule type="containsBlanks" dxfId="3380" priority="3444">
      <formula>LEN(TRIM(AE567))=0</formula>
    </cfRule>
  </conditionalFormatting>
  <conditionalFormatting sqref="AE568 AF569">
    <cfRule type="containsBlanks" dxfId="3379" priority="3443" stopIfTrue="1">
      <formula>LEN(TRIM(AE568))=0</formula>
    </cfRule>
  </conditionalFormatting>
  <conditionalFormatting sqref="AE568">
    <cfRule type="expression" dxfId="3378" priority="3455">
      <formula>OR($HN567=FALSE,$HO567=FALSE)</formula>
    </cfRule>
  </conditionalFormatting>
  <conditionalFormatting sqref="G567:Q567 G566">
    <cfRule type="containsBlanks" dxfId="3377" priority="3441">
      <formula>LEN(TRIM(G566))=0</formula>
    </cfRule>
  </conditionalFormatting>
  <conditionalFormatting sqref="G567:L567">
    <cfRule type="expression" dxfId="3376" priority="3439" stopIfTrue="1">
      <formula>$G566=""</formula>
    </cfRule>
    <cfRule type="containsBlanks" dxfId="3375" priority="3440">
      <formula>LEN(TRIM(G567))=0</formula>
    </cfRule>
  </conditionalFormatting>
  <conditionalFormatting sqref="R568">
    <cfRule type="expression" dxfId="3374" priority="3437" stopIfTrue="1">
      <formula>$G566=""</formula>
    </cfRule>
    <cfRule type="containsBlanks" dxfId="3373" priority="3438">
      <formula>LEN(TRIM(R568))=0</formula>
    </cfRule>
  </conditionalFormatting>
  <conditionalFormatting sqref="P568:R568">
    <cfRule type="expression" dxfId="3372" priority="3436">
      <formula>$C$36=0</formula>
    </cfRule>
  </conditionalFormatting>
  <conditionalFormatting sqref="AF567">
    <cfRule type="containsBlanks" dxfId="3371" priority="3432">
      <formula>LEN(TRIM(AF567))=0</formula>
    </cfRule>
    <cfRule type="expression" dxfId="3370" priority="3433">
      <formula>$HJ567=FALSE</formula>
    </cfRule>
  </conditionalFormatting>
  <conditionalFormatting sqref="AF569">
    <cfRule type="expression" dxfId="3369" priority="3431">
      <formula>$C$36=2</formula>
    </cfRule>
  </conditionalFormatting>
  <conditionalFormatting sqref="R567">
    <cfRule type="containsBlanks" dxfId="3368" priority="3430">
      <formula>LEN(TRIM(R567))=0</formula>
    </cfRule>
  </conditionalFormatting>
  <conditionalFormatting sqref="AE567:AF567">
    <cfRule type="expression" dxfId="3367" priority="3429" stopIfTrue="1">
      <formula>$G566=""</formula>
    </cfRule>
  </conditionalFormatting>
  <conditionalFormatting sqref="AF569">
    <cfRule type="expression" dxfId="3366" priority="3428" stopIfTrue="1">
      <formula>$G566=""</formula>
    </cfRule>
  </conditionalFormatting>
  <conditionalFormatting sqref="AF566:AI566">
    <cfRule type="expression" dxfId="3365" priority="3427">
      <formula>$C$36&lt;&gt;0</formula>
    </cfRule>
  </conditionalFormatting>
  <conditionalFormatting sqref="R567">
    <cfRule type="containsBlanks" dxfId="3364" priority="3425">
      <formula>LEN(TRIM(R567))=0</formula>
    </cfRule>
  </conditionalFormatting>
  <conditionalFormatting sqref="U568">
    <cfRule type="expression" dxfId="3363" priority="3448">
      <formula>OR($HF567=FALSE,$HG567=FALSE)</formula>
    </cfRule>
  </conditionalFormatting>
  <conditionalFormatting sqref="R567">
    <cfRule type="expression" dxfId="3362" priority="3422" stopIfTrue="1">
      <formula>$G566=""</formula>
    </cfRule>
    <cfRule type="expression" dxfId="3361" priority="3423">
      <formula>$HT567=FALSE</formula>
    </cfRule>
  </conditionalFormatting>
  <conditionalFormatting sqref="G569">
    <cfRule type="expression" dxfId="3360" priority="3417" stopIfTrue="1">
      <formula>$G566=""</formula>
    </cfRule>
  </conditionalFormatting>
  <conditionalFormatting sqref="G569">
    <cfRule type="expression" dxfId="3359" priority="3411" stopIfTrue="1">
      <formula>$CN566="Exterior"</formula>
    </cfRule>
  </conditionalFormatting>
  <conditionalFormatting sqref="G569:L569">
    <cfRule type="containsBlanks" dxfId="3358" priority="3418" stopIfTrue="1">
      <formula>LEN(TRIM(G569))=0</formula>
    </cfRule>
    <cfRule type="expression" dxfId="3357" priority="3420">
      <formula>$HL567=FALSE</formula>
    </cfRule>
  </conditionalFormatting>
  <conditionalFormatting sqref="AF568">
    <cfRule type="expression" dxfId="3356" priority="3412" stopIfTrue="1">
      <formula>$G566=""</formula>
    </cfRule>
  </conditionalFormatting>
  <conditionalFormatting sqref="AF568:AI568">
    <cfRule type="expression" dxfId="3355" priority="3416">
      <formula>OR($HP567=FALSE,$HL567=FALSE)</formula>
    </cfRule>
  </conditionalFormatting>
  <conditionalFormatting sqref="AF568">
    <cfRule type="containsBlanks" dxfId="3354" priority="3413" stopIfTrue="1">
      <formula>LEN(TRIM(AF568))=0</formula>
    </cfRule>
    <cfRule type="expression" dxfId="3353" priority="3414">
      <formula>$DP566=7</formula>
    </cfRule>
    <cfRule type="expression" dxfId="3352" priority="3415">
      <formula>OR($HK567=FALSE,$HM567=FALSE)</formula>
    </cfRule>
  </conditionalFormatting>
  <conditionalFormatting sqref="G569:L569">
    <cfRule type="expression" dxfId="3351" priority="3419" stopIfTrue="1">
      <formula>$AF568=""</formula>
    </cfRule>
  </conditionalFormatting>
  <conditionalFormatting sqref="T567:U567">
    <cfRule type="expression" dxfId="3350" priority="3408" stopIfTrue="1">
      <formula>$C$36&lt;&gt;0</formula>
    </cfRule>
    <cfRule type="containsBlanks" dxfId="3349" priority="3409" stopIfTrue="1">
      <formula>LEN(TRIM(T567))=0</formula>
    </cfRule>
  </conditionalFormatting>
  <conditionalFormatting sqref="T567:U567">
    <cfRule type="expression" dxfId="3348" priority="3407" stopIfTrue="1">
      <formula>$G566=""</formula>
    </cfRule>
  </conditionalFormatting>
  <conditionalFormatting sqref="U567">
    <cfRule type="expression" dxfId="3347" priority="3410">
      <formula>$HE567=FALSE</formula>
    </cfRule>
  </conditionalFormatting>
  <conditionalFormatting sqref="T569">
    <cfRule type="expression" dxfId="3346" priority="3406">
      <formula>$C$36=2</formula>
    </cfRule>
  </conditionalFormatting>
  <conditionalFormatting sqref="AE573">
    <cfRule type="expression" dxfId="3345" priority="3392" stopIfTrue="1">
      <formula>$G571=""</formula>
    </cfRule>
  </conditionalFormatting>
  <conditionalFormatting sqref="AB574:AD574">
    <cfRule type="expression" dxfId="3344" priority="3404" stopIfTrue="1">
      <formula>$G571=""</formula>
    </cfRule>
  </conditionalFormatting>
  <conditionalFormatting sqref="G573">
    <cfRule type="expression" dxfId="3343" priority="3401" stopIfTrue="1">
      <formula>$G571=""</formula>
    </cfRule>
    <cfRule type="containsBlanks" dxfId="3342" priority="3402" stopIfTrue="1">
      <formula>LEN(TRIM(G573))=0</formula>
    </cfRule>
    <cfRule type="expression" dxfId="3341" priority="3403">
      <formula>OR($M573=0,$HC572=FALSE)</formula>
    </cfRule>
  </conditionalFormatting>
  <conditionalFormatting sqref="AB574">
    <cfRule type="expression" dxfId="3340" priority="3400" stopIfTrue="1">
      <formula>$AB574=""</formula>
    </cfRule>
  </conditionalFormatting>
  <conditionalFormatting sqref="AE572:AF572">
    <cfRule type="expression" dxfId="3339" priority="3399">
      <formula>$C$36=2</formula>
    </cfRule>
  </conditionalFormatting>
  <conditionalFormatting sqref="T573:U573">
    <cfRule type="expression" dxfId="3338" priority="3374" stopIfTrue="1">
      <formula>$G571=""</formula>
    </cfRule>
  </conditionalFormatting>
  <conditionalFormatting sqref="T573:U573">
    <cfRule type="containsBlanks" dxfId="3337" priority="3397" stopIfTrue="1">
      <formula>LEN(TRIM(T573))=0</formula>
    </cfRule>
  </conditionalFormatting>
  <conditionalFormatting sqref="AC571:AD571">
    <cfRule type="expression" dxfId="3336" priority="3396">
      <formula>$G571=""</formula>
    </cfRule>
  </conditionalFormatting>
  <conditionalFormatting sqref="AE572">
    <cfRule type="containsBlanks" dxfId="3335" priority="3394">
      <formula>LEN(TRIM(AE572))=0</formula>
    </cfRule>
  </conditionalFormatting>
  <conditionalFormatting sqref="AE573 AF574">
    <cfRule type="containsBlanks" dxfId="3334" priority="3393" stopIfTrue="1">
      <formula>LEN(TRIM(AE573))=0</formula>
    </cfRule>
  </conditionalFormatting>
  <conditionalFormatting sqref="AE573">
    <cfRule type="expression" dxfId="3333" priority="3405">
      <formula>OR($HN572=FALSE,$HO572=FALSE)</formula>
    </cfRule>
  </conditionalFormatting>
  <conditionalFormatting sqref="G572:Q572 G571">
    <cfRule type="containsBlanks" dxfId="3332" priority="3391">
      <formula>LEN(TRIM(G571))=0</formula>
    </cfRule>
  </conditionalFormatting>
  <conditionalFormatting sqref="G572:L572">
    <cfRule type="expression" dxfId="3331" priority="3389" stopIfTrue="1">
      <formula>$G571=""</formula>
    </cfRule>
    <cfRule type="containsBlanks" dxfId="3330" priority="3390">
      <formula>LEN(TRIM(G572))=0</formula>
    </cfRule>
  </conditionalFormatting>
  <conditionalFormatting sqref="R573">
    <cfRule type="expression" dxfId="3329" priority="3387" stopIfTrue="1">
      <formula>$G571=""</formula>
    </cfRule>
    <cfRule type="containsBlanks" dxfId="3328" priority="3388">
      <formula>LEN(TRIM(R573))=0</formula>
    </cfRule>
  </conditionalFormatting>
  <conditionalFormatting sqref="P573:R573">
    <cfRule type="expression" dxfId="3327" priority="3386">
      <formula>$C$36=0</formula>
    </cfRule>
  </conditionalFormatting>
  <conditionalFormatting sqref="AF572">
    <cfRule type="containsBlanks" dxfId="3326" priority="3382">
      <formula>LEN(TRIM(AF572))=0</formula>
    </cfRule>
    <cfRule type="expression" dxfId="3325" priority="3383">
      <formula>$HJ572=FALSE</formula>
    </cfRule>
  </conditionalFormatting>
  <conditionalFormatting sqref="AF574">
    <cfRule type="expression" dxfId="3324" priority="3381">
      <formula>$C$36=2</formula>
    </cfRule>
  </conditionalFormatting>
  <conditionalFormatting sqref="R572">
    <cfRule type="containsBlanks" dxfId="3323" priority="3380">
      <formula>LEN(TRIM(R572))=0</formula>
    </cfRule>
  </conditionalFormatting>
  <conditionalFormatting sqref="AE572:AF572">
    <cfRule type="expression" dxfId="3322" priority="3379" stopIfTrue="1">
      <formula>$G571=""</formula>
    </cfRule>
  </conditionalFormatting>
  <conditionalFormatting sqref="AF574">
    <cfRule type="expression" dxfId="3321" priority="3378" stopIfTrue="1">
      <formula>$G571=""</formula>
    </cfRule>
  </conditionalFormatting>
  <conditionalFormatting sqref="AF571:AI571">
    <cfRule type="expression" dxfId="3320" priority="3377">
      <formula>$C$36&lt;&gt;0</formula>
    </cfRule>
  </conditionalFormatting>
  <conditionalFormatting sqref="R572">
    <cfRule type="containsBlanks" dxfId="3319" priority="3375">
      <formula>LEN(TRIM(R572))=0</formula>
    </cfRule>
  </conditionalFormatting>
  <conditionalFormatting sqref="U573">
    <cfRule type="expression" dxfId="3318" priority="3398">
      <formula>OR($HF572=FALSE,$HG572=FALSE)</formula>
    </cfRule>
  </conditionalFormatting>
  <conditionalFormatting sqref="R572">
    <cfRule type="expression" dxfId="3317" priority="3372" stopIfTrue="1">
      <formula>$G571=""</formula>
    </cfRule>
    <cfRule type="expression" dxfId="3316" priority="3373">
      <formula>$HT572=FALSE</formula>
    </cfRule>
  </conditionalFormatting>
  <conditionalFormatting sqref="G574">
    <cfRule type="expression" dxfId="3315" priority="3367" stopIfTrue="1">
      <formula>$G571=""</formula>
    </cfRule>
  </conditionalFormatting>
  <conditionalFormatting sqref="G574">
    <cfRule type="expression" dxfId="3314" priority="3361" stopIfTrue="1">
      <formula>$CN571="Exterior"</formula>
    </cfRule>
  </conditionalFormatting>
  <conditionalFormatting sqref="G574:L574">
    <cfRule type="containsBlanks" dxfId="3313" priority="3368" stopIfTrue="1">
      <formula>LEN(TRIM(G574))=0</formula>
    </cfRule>
    <cfRule type="expression" dxfId="3312" priority="3370">
      <formula>$HL572=FALSE</formula>
    </cfRule>
  </conditionalFormatting>
  <conditionalFormatting sqref="AF573">
    <cfRule type="expression" dxfId="3311" priority="3362" stopIfTrue="1">
      <formula>$G571=""</formula>
    </cfRule>
  </conditionalFormatting>
  <conditionalFormatting sqref="AF573:AI573">
    <cfRule type="expression" dxfId="3310" priority="3366">
      <formula>OR($HP572=FALSE,$HL572=FALSE)</formula>
    </cfRule>
  </conditionalFormatting>
  <conditionalFormatting sqref="AF573">
    <cfRule type="containsBlanks" dxfId="3309" priority="3363" stopIfTrue="1">
      <formula>LEN(TRIM(AF573))=0</formula>
    </cfRule>
    <cfRule type="expression" dxfId="3308" priority="3364">
      <formula>$DP571=7</formula>
    </cfRule>
    <cfRule type="expression" dxfId="3307" priority="3365">
      <formula>OR($HK572=FALSE,$HM572=FALSE)</formula>
    </cfRule>
  </conditionalFormatting>
  <conditionalFormatting sqref="G574:L574">
    <cfRule type="expression" dxfId="3306" priority="3369" stopIfTrue="1">
      <formula>$AF573=""</formula>
    </cfRule>
  </conditionalFormatting>
  <conditionalFormatting sqref="T572:U572">
    <cfRule type="expression" dxfId="3305" priority="3358" stopIfTrue="1">
      <formula>$C$36&lt;&gt;0</formula>
    </cfRule>
    <cfRule type="containsBlanks" dxfId="3304" priority="3359" stopIfTrue="1">
      <formula>LEN(TRIM(T572))=0</formula>
    </cfRule>
  </conditionalFormatting>
  <conditionalFormatting sqref="T572:U572">
    <cfRule type="expression" dxfId="3303" priority="3357" stopIfTrue="1">
      <formula>$G571=""</formula>
    </cfRule>
  </conditionalFormatting>
  <conditionalFormatting sqref="U572">
    <cfRule type="expression" dxfId="3302" priority="3360">
      <formula>$HE572=FALSE</formula>
    </cfRule>
  </conditionalFormatting>
  <conditionalFormatting sqref="T574">
    <cfRule type="expression" dxfId="3301" priority="3356">
      <formula>$C$36=2</formula>
    </cfRule>
  </conditionalFormatting>
  <conditionalFormatting sqref="AE578">
    <cfRule type="expression" dxfId="3300" priority="3342" stopIfTrue="1">
      <formula>$G576=""</formula>
    </cfRule>
  </conditionalFormatting>
  <conditionalFormatting sqref="AB579:AD579">
    <cfRule type="expression" dxfId="3299" priority="3354" stopIfTrue="1">
      <formula>$G576=""</formula>
    </cfRule>
  </conditionalFormatting>
  <conditionalFormatting sqref="G578">
    <cfRule type="expression" dxfId="3298" priority="3351" stopIfTrue="1">
      <formula>$G576=""</formula>
    </cfRule>
    <cfRule type="containsBlanks" dxfId="3297" priority="3352" stopIfTrue="1">
      <formula>LEN(TRIM(G578))=0</formula>
    </cfRule>
    <cfRule type="expression" dxfId="3296" priority="3353">
      <formula>OR($M578=0,$HC577=FALSE)</formula>
    </cfRule>
  </conditionalFormatting>
  <conditionalFormatting sqref="AB579">
    <cfRule type="expression" dxfId="3295" priority="3350" stopIfTrue="1">
      <formula>$AB579=""</formula>
    </cfRule>
  </conditionalFormatting>
  <conditionalFormatting sqref="AE577:AF577">
    <cfRule type="expression" dxfId="3294" priority="3349">
      <formula>$C$36=2</formula>
    </cfRule>
  </conditionalFormatting>
  <conditionalFormatting sqref="T578:U578">
    <cfRule type="expression" dxfId="3293" priority="3324" stopIfTrue="1">
      <formula>$G576=""</formula>
    </cfRule>
  </conditionalFormatting>
  <conditionalFormatting sqref="T578:U578">
    <cfRule type="containsBlanks" dxfId="3292" priority="3347" stopIfTrue="1">
      <formula>LEN(TRIM(T578))=0</formula>
    </cfRule>
  </conditionalFormatting>
  <conditionalFormatting sqref="AC576:AD576">
    <cfRule type="expression" dxfId="3291" priority="3346">
      <formula>$G576=""</formula>
    </cfRule>
  </conditionalFormatting>
  <conditionalFormatting sqref="AE577">
    <cfRule type="containsBlanks" dxfId="3290" priority="3344">
      <formula>LEN(TRIM(AE577))=0</formula>
    </cfRule>
  </conditionalFormatting>
  <conditionalFormatting sqref="AE578 AF579">
    <cfRule type="containsBlanks" dxfId="3289" priority="3343" stopIfTrue="1">
      <formula>LEN(TRIM(AE578))=0</formula>
    </cfRule>
  </conditionalFormatting>
  <conditionalFormatting sqref="AE578">
    <cfRule type="expression" dxfId="3288" priority="3355">
      <formula>OR($HN577=FALSE,$HO577=FALSE)</formula>
    </cfRule>
  </conditionalFormatting>
  <conditionalFormatting sqref="G577:Q577 G576">
    <cfRule type="containsBlanks" dxfId="3287" priority="3341">
      <formula>LEN(TRIM(G576))=0</formula>
    </cfRule>
  </conditionalFormatting>
  <conditionalFormatting sqref="G577:L577">
    <cfRule type="expression" dxfId="3286" priority="3339" stopIfTrue="1">
      <formula>$G576=""</formula>
    </cfRule>
    <cfRule type="containsBlanks" dxfId="3285" priority="3340">
      <formula>LEN(TRIM(G577))=0</formula>
    </cfRule>
  </conditionalFormatting>
  <conditionalFormatting sqref="R578">
    <cfRule type="expression" dxfId="3284" priority="3337" stopIfTrue="1">
      <formula>$G576=""</formula>
    </cfRule>
    <cfRule type="containsBlanks" dxfId="3283" priority="3338">
      <formula>LEN(TRIM(R578))=0</formula>
    </cfRule>
  </conditionalFormatting>
  <conditionalFormatting sqref="P578:R578">
    <cfRule type="expression" dxfId="3282" priority="3336">
      <formula>$C$36=0</formula>
    </cfRule>
  </conditionalFormatting>
  <conditionalFormatting sqref="AF577">
    <cfRule type="containsBlanks" dxfId="3281" priority="3332">
      <formula>LEN(TRIM(AF577))=0</formula>
    </cfRule>
    <cfRule type="expression" dxfId="3280" priority="3333">
      <formula>$HJ577=FALSE</formula>
    </cfRule>
  </conditionalFormatting>
  <conditionalFormatting sqref="AF579">
    <cfRule type="expression" dxfId="3279" priority="3331">
      <formula>$C$36=2</formula>
    </cfRule>
  </conditionalFormatting>
  <conditionalFormatting sqref="R577">
    <cfRule type="containsBlanks" dxfId="3278" priority="3330">
      <formula>LEN(TRIM(R577))=0</formula>
    </cfRule>
  </conditionalFormatting>
  <conditionalFormatting sqref="AE577:AF577">
    <cfRule type="expression" dxfId="3277" priority="3329" stopIfTrue="1">
      <formula>$G576=""</formula>
    </cfRule>
  </conditionalFormatting>
  <conditionalFormatting sqref="AF579">
    <cfRule type="expression" dxfId="3276" priority="3328" stopIfTrue="1">
      <formula>$G576=""</formula>
    </cfRule>
  </conditionalFormatting>
  <conditionalFormatting sqref="AF576:AI576">
    <cfRule type="expression" dxfId="3275" priority="3327">
      <formula>$C$36&lt;&gt;0</formula>
    </cfRule>
  </conditionalFormatting>
  <conditionalFormatting sqref="R577">
    <cfRule type="containsBlanks" dxfId="3274" priority="3325">
      <formula>LEN(TRIM(R577))=0</formula>
    </cfRule>
  </conditionalFormatting>
  <conditionalFormatting sqref="U578">
    <cfRule type="expression" dxfId="3273" priority="3348">
      <formula>OR($HF577=FALSE,$HG577=FALSE)</formula>
    </cfRule>
  </conditionalFormatting>
  <conditionalFormatting sqref="R577">
    <cfRule type="expression" dxfId="3272" priority="3322" stopIfTrue="1">
      <formula>$G576=""</formula>
    </cfRule>
    <cfRule type="expression" dxfId="3271" priority="3323">
      <formula>$HT577=FALSE</formula>
    </cfRule>
  </conditionalFormatting>
  <conditionalFormatting sqref="G579">
    <cfRule type="expression" dxfId="3270" priority="3317" stopIfTrue="1">
      <formula>$G576=""</formula>
    </cfRule>
  </conditionalFormatting>
  <conditionalFormatting sqref="G579">
    <cfRule type="expression" dxfId="3269" priority="3311" stopIfTrue="1">
      <formula>$CN576="Exterior"</formula>
    </cfRule>
  </conditionalFormatting>
  <conditionalFormatting sqref="G579:L579">
    <cfRule type="containsBlanks" dxfId="3268" priority="3318" stopIfTrue="1">
      <formula>LEN(TRIM(G579))=0</formula>
    </cfRule>
    <cfRule type="expression" dxfId="3267" priority="3320">
      <formula>$HL577=FALSE</formula>
    </cfRule>
  </conditionalFormatting>
  <conditionalFormatting sqref="AF578">
    <cfRule type="expression" dxfId="3266" priority="3312" stopIfTrue="1">
      <formula>$G576=""</formula>
    </cfRule>
  </conditionalFormatting>
  <conditionalFormatting sqref="AF578:AI578">
    <cfRule type="expression" dxfId="3265" priority="3316">
      <formula>OR($HP577=FALSE,$HL577=FALSE)</formula>
    </cfRule>
  </conditionalFormatting>
  <conditionalFormatting sqref="AF578">
    <cfRule type="containsBlanks" dxfId="3264" priority="3313" stopIfTrue="1">
      <formula>LEN(TRIM(AF578))=0</formula>
    </cfRule>
    <cfRule type="expression" dxfId="3263" priority="3314">
      <formula>$DP576=7</formula>
    </cfRule>
    <cfRule type="expression" dxfId="3262" priority="3315">
      <formula>OR($HK577=FALSE,$HM577=FALSE)</formula>
    </cfRule>
  </conditionalFormatting>
  <conditionalFormatting sqref="G579:L579">
    <cfRule type="expression" dxfId="3261" priority="3319" stopIfTrue="1">
      <formula>$AF578=""</formula>
    </cfRule>
  </conditionalFormatting>
  <conditionalFormatting sqref="T577:U577">
    <cfRule type="expression" dxfId="3260" priority="3308" stopIfTrue="1">
      <formula>$C$36&lt;&gt;0</formula>
    </cfRule>
    <cfRule type="containsBlanks" dxfId="3259" priority="3309" stopIfTrue="1">
      <formula>LEN(TRIM(T577))=0</formula>
    </cfRule>
  </conditionalFormatting>
  <conditionalFormatting sqref="T577:U577">
    <cfRule type="expression" dxfId="3258" priority="3307" stopIfTrue="1">
      <formula>$G576=""</formula>
    </cfRule>
  </conditionalFormatting>
  <conditionalFormatting sqref="U577">
    <cfRule type="expression" dxfId="3257" priority="3310">
      <formula>$HE577=FALSE</formula>
    </cfRule>
  </conditionalFormatting>
  <conditionalFormatting sqref="T579">
    <cfRule type="expression" dxfId="3256" priority="3306">
      <formula>$C$36=2</formula>
    </cfRule>
  </conditionalFormatting>
  <conditionalFormatting sqref="AE583">
    <cfRule type="expression" dxfId="3255" priority="3292" stopIfTrue="1">
      <formula>$G581=""</formula>
    </cfRule>
  </conditionalFormatting>
  <conditionalFormatting sqref="AB584:AD584">
    <cfRule type="expression" dxfId="3254" priority="3304" stopIfTrue="1">
      <formula>$G581=""</formula>
    </cfRule>
  </conditionalFormatting>
  <conditionalFormatting sqref="G583">
    <cfRule type="expression" dxfId="3253" priority="3301" stopIfTrue="1">
      <formula>$G581=""</formula>
    </cfRule>
    <cfRule type="containsBlanks" dxfId="3252" priority="3302" stopIfTrue="1">
      <formula>LEN(TRIM(G583))=0</formula>
    </cfRule>
    <cfRule type="expression" dxfId="3251" priority="3303">
      <formula>OR($M583=0,$HC582=FALSE)</formula>
    </cfRule>
  </conditionalFormatting>
  <conditionalFormatting sqref="AB584">
    <cfRule type="expression" dxfId="3250" priority="3300" stopIfTrue="1">
      <formula>$AB584=""</formula>
    </cfRule>
  </conditionalFormatting>
  <conditionalFormatting sqref="AE582:AF582">
    <cfRule type="expression" dxfId="3249" priority="3299">
      <formula>$C$36=2</formula>
    </cfRule>
  </conditionalFormatting>
  <conditionalFormatting sqref="T583:U583">
    <cfRule type="expression" dxfId="3248" priority="3274" stopIfTrue="1">
      <formula>$G581=""</formula>
    </cfRule>
  </conditionalFormatting>
  <conditionalFormatting sqref="T583:U583">
    <cfRule type="containsBlanks" dxfId="3247" priority="3297" stopIfTrue="1">
      <formula>LEN(TRIM(T583))=0</formula>
    </cfRule>
  </conditionalFormatting>
  <conditionalFormatting sqref="AC581:AD581">
    <cfRule type="expression" dxfId="3246" priority="3296">
      <formula>$G581=""</formula>
    </cfRule>
  </conditionalFormatting>
  <conditionalFormatting sqref="AE582">
    <cfRule type="containsBlanks" dxfId="3245" priority="3294">
      <formula>LEN(TRIM(AE582))=0</formula>
    </cfRule>
  </conditionalFormatting>
  <conditionalFormatting sqref="AE583 AF584">
    <cfRule type="containsBlanks" dxfId="3244" priority="3293" stopIfTrue="1">
      <formula>LEN(TRIM(AE583))=0</formula>
    </cfRule>
  </conditionalFormatting>
  <conditionalFormatting sqref="AE583">
    <cfRule type="expression" dxfId="3243" priority="3305">
      <formula>OR($HN582=FALSE,$HO582=FALSE)</formula>
    </cfRule>
  </conditionalFormatting>
  <conditionalFormatting sqref="G582:Q582 G581">
    <cfRule type="containsBlanks" dxfId="3242" priority="3291">
      <formula>LEN(TRIM(G581))=0</formula>
    </cfRule>
  </conditionalFormatting>
  <conditionalFormatting sqref="G582:L582">
    <cfRule type="expression" dxfId="3241" priority="3289" stopIfTrue="1">
      <formula>$G581=""</formula>
    </cfRule>
    <cfRule type="containsBlanks" dxfId="3240" priority="3290">
      <formula>LEN(TRIM(G582))=0</formula>
    </cfRule>
  </conditionalFormatting>
  <conditionalFormatting sqref="R583">
    <cfRule type="expression" dxfId="3239" priority="3287" stopIfTrue="1">
      <formula>$G581=""</formula>
    </cfRule>
    <cfRule type="containsBlanks" dxfId="3238" priority="3288">
      <formula>LEN(TRIM(R583))=0</formula>
    </cfRule>
  </conditionalFormatting>
  <conditionalFormatting sqref="P583:R583">
    <cfRule type="expression" dxfId="3237" priority="3286">
      <formula>$C$36=0</formula>
    </cfRule>
  </conditionalFormatting>
  <conditionalFormatting sqref="AF582">
    <cfRule type="containsBlanks" dxfId="3236" priority="3282">
      <formula>LEN(TRIM(AF582))=0</formula>
    </cfRule>
    <cfRule type="expression" dxfId="3235" priority="3283">
      <formula>$HJ582=FALSE</formula>
    </cfRule>
  </conditionalFormatting>
  <conditionalFormatting sqref="AF584">
    <cfRule type="expression" dxfId="3234" priority="3281">
      <formula>$C$36=2</formula>
    </cfRule>
  </conditionalFormatting>
  <conditionalFormatting sqref="R582">
    <cfRule type="containsBlanks" dxfId="3233" priority="3280">
      <formula>LEN(TRIM(R582))=0</formula>
    </cfRule>
  </conditionalFormatting>
  <conditionalFormatting sqref="AE582:AF582">
    <cfRule type="expression" dxfId="3232" priority="3279" stopIfTrue="1">
      <formula>$G581=""</formula>
    </cfRule>
  </conditionalFormatting>
  <conditionalFormatting sqref="AF584">
    <cfRule type="expression" dxfId="3231" priority="3278" stopIfTrue="1">
      <formula>$G581=""</formula>
    </cfRule>
  </conditionalFormatting>
  <conditionalFormatting sqref="AF581:AI581">
    <cfRule type="expression" dxfId="3230" priority="3277">
      <formula>$C$36&lt;&gt;0</formula>
    </cfRule>
  </conditionalFormatting>
  <conditionalFormatting sqref="R582">
    <cfRule type="containsBlanks" dxfId="3229" priority="3275">
      <formula>LEN(TRIM(R582))=0</formula>
    </cfRule>
  </conditionalFormatting>
  <conditionalFormatting sqref="U583">
    <cfRule type="expression" dxfId="3228" priority="3298">
      <formula>OR($HF582=FALSE,$HG582=FALSE)</formula>
    </cfRule>
  </conditionalFormatting>
  <conditionalFormatting sqref="R582">
    <cfRule type="expression" dxfId="3227" priority="3272" stopIfTrue="1">
      <formula>$G581=""</formula>
    </cfRule>
    <cfRule type="expression" dxfId="3226" priority="3273">
      <formula>$HT582=FALSE</formula>
    </cfRule>
  </conditionalFormatting>
  <conditionalFormatting sqref="G584">
    <cfRule type="expression" dxfId="3225" priority="3267" stopIfTrue="1">
      <formula>$G581=""</formula>
    </cfRule>
  </conditionalFormatting>
  <conditionalFormatting sqref="G584">
    <cfRule type="expression" dxfId="3224" priority="3261" stopIfTrue="1">
      <formula>$CN581="Exterior"</formula>
    </cfRule>
  </conditionalFormatting>
  <conditionalFormatting sqref="G584:L584">
    <cfRule type="containsBlanks" dxfId="3223" priority="3268" stopIfTrue="1">
      <formula>LEN(TRIM(G584))=0</formula>
    </cfRule>
    <cfRule type="expression" dxfId="3222" priority="3270">
      <formula>$HL582=FALSE</formula>
    </cfRule>
  </conditionalFormatting>
  <conditionalFormatting sqref="AF583">
    <cfRule type="expression" dxfId="3221" priority="3262" stopIfTrue="1">
      <formula>$G581=""</formula>
    </cfRule>
  </conditionalFormatting>
  <conditionalFormatting sqref="AF583:AI583">
    <cfRule type="expression" dxfId="3220" priority="3266">
      <formula>OR($HP582=FALSE,$HL582=FALSE)</formula>
    </cfRule>
  </conditionalFormatting>
  <conditionalFormatting sqref="AF583">
    <cfRule type="containsBlanks" dxfId="3219" priority="3263" stopIfTrue="1">
      <formula>LEN(TRIM(AF583))=0</formula>
    </cfRule>
    <cfRule type="expression" dxfId="3218" priority="3264">
      <formula>$DP581=7</formula>
    </cfRule>
    <cfRule type="expression" dxfId="3217" priority="3265">
      <formula>OR($HK582=FALSE,$HM582=FALSE)</formula>
    </cfRule>
  </conditionalFormatting>
  <conditionalFormatting sqref="G584:L584">
    <cfRule type="expression" dxfId="3216" priority="3269" stopIfTrue="1">
      <formula>$AF583=""</formula>
    </cfRule>
  </conditionalFormatting>
  <conditionalFormatting sqref="T582:U582">
    <cfRule type="expression" dxfId="3215" priority="3258" stopIfTrue="1">
      <formula>$C$36&lt;&gt;0</formula>
    </cfRule>
    <cfRule type="containsBlanks" dxfId="3214" priority="3259" stopIfTrue="1">
      <formula>LEN(TRIM(T582))=0</formula>
    </cfRule>
  </conditionalFormatting>
  <conditionalFormatting sqref="T582:U582">
    <cfRule type="expression" dxfId="3213" priority="3257" stopIfTrue="1">
      <formula>$G581=""</formula>
    </cfRule>
  </conditionalFormatting>
  <conditionalFormatting sqref="U582">
    <cfRule type="expression" dxfId="3212" priority="3260">
      <formula>$HE582=FALSE</formula>
    </cfRule>
  </conditionalFormatting>
  <conditionalFormatting sqref="T584">
    <cfRule type="expression" dxfId="3211" priority="3256">
      <formula>$C$36=2</formula>
    </cfRule>
  </conditionalFormatting>
  <conditionalFormatting sqref="AE588">
    <cfRule type="expression" dxfId="3210" priority="3242" stopIfTrue="1">
      <formula>$G586=""</formula>
    </cfRule>
  </conditionalFormatting>
  <conditionalFormatting sqref="AB589:AD589">
    <cfRule type="expression" dxfId="3209" priority="3254" stopIfTrue="1">
      <formula>$G586=""</formula>
    </cfRule>
  </conditionalFormatting>
  <conditionalFormatting sqref="G588">
    <cfRule type="expression" dxfId="3208" priority="3251" stopIfTrue="1">
      <formula>$G586=""</formula>
    </cfRule>
    <cfRule type="containsBlanks" dxfId="3207" priority="3252" stopIfTrue="1">
      <formula>LEN(TRIM(G588))=0</formula>
    </cfRule>
    <cfRule type="expression" dxfId="3206" priority="3253">
      <formula>OR($M588=0,$HC587=FALSE)</formula>
    </cfRule>
  </conditionalFormatting>
  <conditionalFormatting sqref="AB589">
    <cfRule type="expression" dxfId="3205" priority="3250" stopIfTrue="1">
      <formula>$AB589=""</formula>
    </cfRule>
  </conditionalFormatting>
  <conditionalFormatting sqref="AE587:AF587">
    <cfRule type="expression" dxfId="3204" priority="3249">
      <formula>$C$36=2</formula>
    </cfRule>
  </conditionalFormatting>
  <conditionalFormatting sqref="T588:U588">
    <cfRule type="expression" dxfId="3203" priority="3224" stopIfTrue="1">
      <formula>$G586=""</formula>
    </cfRule>
  </conditionalFormatting>
  <conditionalFormatting sqref="T588:U588">
    <cfRule type="containsBlanks" dxfId="3202" priority="3247" stopIfTrue="1">
      <formula>LEN(TRIM(T588))=0</formula>
    </cfRule>
  </conditionalFormatting>
  <conditionalFormatting sqref="AC586:AD586">
    <cfRule type="expression" dxfId="3201" priority="3246">
      <formula>$G586=""</formula>
    </cfRule>
  </conditionalFormatting>
  <conditionalFormatting sqref="AE587">
    <cfRule type="containsBlanks" dxfId="3200" priority="3244">
      <formula>LEN(TRIM(AE587))=0</formula>
    </cfRule>
  </conditionalFormatting>
  <conditionalFormatting sqref="AE588 AF589">
    <cfRule type="containsBlanks" dxfId="3199" priority="3243" stopIfTrue="1">
      <formula>LEN(TRIM(AE588))=0</formula>
    </cfRule>
  </conditionalFormatting>
  <conditionalFormatting sqref="AE588">
    <cfRule type="expression" dxfId="3198" priority="3255">
      <formula>OR($HN587=FALSE,$HO587=FALSE)</formula>
    </cfRule>
  </conditionalFormatting>
  <conditionalFormatting sqref="G587:Q587 G586">
    <cfRule type="containsBlanks" dxfId="3197" priority="3241">
      <formula>LEN(TRIM(G586))=0</formula>
    </cfRule>
  </conditionalFormatting>
  <conditionalFormatting sqref="G587:L587">
    <cfRule type="expression" dxfId="3196" priority="3239" stopIfTrue="1">
      <formula>$G586=""</formula>
    </cfRule>
    <cfRule type="containsBlanks" dxfId="3195" priority="3240">
      <formula>LEN(TRIM(G587))=0</formula>
    </cfRule>
  </conditionalFormatting>
  <conditionalFormatting sqref="R588">
    <cfRule type="expression" dxfId="3194" priority="3237" stopIfTrue="1">
      <formula>$G586=""</formula>
    </cfRule>
    <cfRule type="containsBlanks" dxfId="3193" priority="3238">
      <formula>LEN(TRIM(R588))=0</formula>
    </cfRule>
  </conditionalFormatting>
  <conditionalFormatting sqref="P588:R588">
    <cfRule type="expression" dxfId="3192" priority="3236">
      <formula>$C$36=0</formula>
    </cfRule>
  </conditionalFormatting>
  <conditionalFormatting sqref="AF587">
    <cfRule type="containsBlanks" dxfId="3191" priority="3232">
      <formula>LEN(TRIM(AF587))=0</formula>
    </cfRule>
    <cfRule type="expression" dxfId="3190" priority="3233">
      <formula>$HJ587=FALSE</formula>
    </cfRule>
  </conditionalFormatting>
  <conditionalFormatting sqref="AF589">
    <cfRule type="expression" dxfId="3189" priority="3231">
      <formula>$C$36=2</formula>
    </cfRule>
  </conditionalFormatting>
  <conditionalFormatting sqref="R587">
    <cfRule type="containsBlanks" dxfId="3188" priority="3230">
      <formula>LEN(TRIM(R587))=0</formula>
    </cfRule>
  </conditionalFormatting>
  <conditionalFormatting sqref="AE587:AF587">
    <cfRule type="expression" dxfId="3187" priority="3229" stopIfTrue="1">
      <formula>$G586=""</formula>
    </cfRule>
  </conditionalFormatting>
  <conditionalFormatting sqref="AF589">
    <cfRule type="expression" dxfId="3186" priority="3228" stopIfTrue="1">
      <formula>$G586=""</formula>
    </cfRule>
  </conditionalFormatting>
  <conditionalFormatting sqref="AF586:AI586">
    <cfRule type="expression" dxfId="3185" priority="3227">
      <formula>$C$36&lt;&gt;0</formula>
    </cfRule>
  </conditionalFormatting>
  <conditionalFormatting sqref="R587">
    <cfRule type="containsBlanks" dxfId="3184" priority="3225">
      <formula>LEN(TRIM(R587))=0</formula>
    </cfRule>
  </conditionalFormatting>
  <conditionalFormatting sqref="U588">
    <cfRule type="expression" dxfId="3183" priority="3248">
      <formula>OR($HF587=FALSE,$HG587=FALSE)</formula>
    </cfRule>
  </conditionalFormatting>
  <conditionalFormatting sqref="R587">
    <cfRule type="expression" dxfId="3182" priority="3222" stopIfTrue="1">
      <formula>$G586=""</formula>
    </cfRule>
    <cfRule type="expression" dxfId="3181" priority="3223">
      <formula>$HT587=FALSE</formula>
    </cfRule>
  </conditionalFormatting>
  <conditionalFormatting sqref="G589">
    <cfRule type="expression" dxfId="3180" priority="3217" stopIfTrue="1">
      <formula>$G586=""</formula>
    </cfRule>
  </conditionalFormatting>
  <conditionalFormatting sqref="G589">
    <cfRule type="expression" dxfId="3179" priority="3211" stopIfTrue="1">
      <formula>$CN586="Exterior"</formula>
    </cfRule>
  </conditionalFormatting>
  <conditionalFormatting sqref="G589:L589">
    <cfRule type="containsBlanks" dxfId="3178" priority="3218" stopIfTrue="1">
      <formula>LEN(TRIM(G589))=0</formula>
    </cfRule>
    <cfRule type="expression" dxfId="3177" priority="3220">
      <formula>$HL587=FALSE</formula>
    </cfRule>
  </conditionalFormatting>
  <conditionalFormatting sqref="AF588">
    <cfRule type="expression" dxfId="3176" priority="3212" stopIfTrue="1">
      <formula>$G586=""</formula>
    </cfRule>
  </conditionalFormatting>
  <conditionalFormatting sqref="AF588:AI588">
    <cfRule type="expression" dxfId="3175" priority="3216">
      <formula>OR($HP587=FALSE,$HL587=FALSE)</formula>
    </cfRule>
  </conditionalFormatting>
  <conditionalFormatting sqref="AF588">
    <cfRule type="containsBlanks" dxfId="3174" priority="3213" stopIfTrue="1">
      <formula>LEN(TRIM(AF588))=0</formula>
    </cfRule>
    <cfRule type="expression" dxfId="3173" priority="3214">
      <formula>$DP586=7</formula>
    </cfRule>
    <cfRule type="expression" dxfId="3172" priority="3215">
      <formula>OR($HK587=FALSE,$HM587=FALSE)</formula>
    </cfRule>
  </conditionalFormatting>
  <conditionalFormatting sqref="G589:L589">
    <cfRule type="expression" dxfId="3171" priority="3219" stopIfTrue="1">
      <formula>$AF588=""</formula>
    </cfRule>
  </conditionalFormatting>
  <conditionalFormatting sqref="T587:U587">
    <cfRule type="expression" dxfId="3170" priority="3208" stopIfTrue="1">
      <formula>$C$36&lt;&gt;0</formula>
    </cfRule>
    <cfRule type="containsBlanks" dxfId="3169" priority="3209" stopIfTrue="1">
      <formula>LEN(TRIM(T587))=0</formula>
    </cfRule>
  </conditionalFormatting>
  <conditionalFormatting sqref="T587:U587">
    <cfRule type="expression" dxfId="3168" priority="3207" stopIfTrue="1">
      <formula>$G586=""</formula>
    </cfRule>
  </conditionalFormatting>
  <conditionalFormatting sqref="U587">
    <cfRule type="expression" dxfId="3167" priority="3210">
      <formula>$HE587=FALSE</formula>
    </cfRule>
  </conditionalFormatting>
  <conditionalFormatting sqref="T589">
    <cfRule type="expression" dxfId="3166" priority="3206">
      <formula>$C$36=2</formula>
    </cfRule>
  </conditionalFormatting>
  <conditionalFormatting sqref="AE593">
    <cfRule type="expression" dxfId="3165" priority="3192" stopIfTrue="1">
      <formula>$G591=""</formula>
    </cfRule>
  </conditionalFormatting>
  <conditionalFormatting sqref="AB594:AD594">
    <cfRule type="expression" dxfId="3164" priority="3204" stopIfTrue="1">
      <formula>$G591=""</formula>
    </cfRule>
  </conditionalFormatting>
  <conditionalFormatting sqref="G593">
    <cfRule type="expression" dxfId="3163" priority="3201" stopIfTrue="1">
      <formula>$G591=""</formula>
    </cfRule>
    <cfRule type="containsBlanks" dxfId="3162" priority="3202" stopIfTrue="1">
      <formula>LEN(TRIM(G593))=0</formula>
    </cfRule>
    <cfRule type="expression" dxfId="3161" priority="3203">
      <formula>OR($M593=0,$HC592=FALSE)</formula>
    </cfRule>
  </conditionalFormatting>
  <conditionalFormatting sqref="AB594">
    <cfRule type="expression" dxfId="3160" priority="3200" stopIfTrue="1">
      <formula>$AB594=""</formula>
    </cfRule>
  </conditionalFormatting>
  <conditionalFormatting sqref="AE592:AF592">
    <cfRule type="expression" dxfId="3159" priority="3199">
      <formula>$C$36=2</formula>
    </cfRule>
  </conditionalFormatting>
  <conditionalFormatting sqref="T593:U593">
    <cfRule type="expression" dxfId="3158" priority="3174" stopIfTrue="1">
      <formula>$G591=""</formula>
    </cfRule>
  </conditionalFormatting>
  <conditionalFormatting sqref="T593:U593">
    <cfRule type="containsBlanks" dxfId="3157" priority="3197" stopIfTrue="1">
      <formula>LEN(TRIM(T593))=0</formula>
    </cfRule>
  </conditionalFormatting>
  <conditionalFormatting sqref="AC591:AD591">
    <cfRule type="expression" dxfId="3156" priority="3196">
      <formula>$G591=""</formula>
    </cfRule>
  </conditionalFormatting>
  <conditionalFormatting sqref="AE592">
    <cfRule type="containsBlanks" dxfId="3155" priority="3194">
      <formula>LEN(TRIM(AE592))=0</formula>
    </cfRule>
  </conditionalFormatting>
  <conditionalFormatting sqref="AE593 AF594">
    <cfRule type="containsBlanks" dxfId="3154" priority="3193" stopIfTrue="1">
      <formula>LEN(TRIM(AE593))=0</formula>
    </cfRule>
  </conditionalFormatting>
  <conditionalFormatting sqref="AE593">
    <cfRule type="expression" dxfId="3153" priority="3205">
      <formula>OR($HN592=FALSE,$HO592=FALSE)</formula>
    </cfRule>
  </conditionalFormatting>
  <conditionalFormatting sqref="G592:Q592 G591">
    <cfRule type="containsBlanks" dxfId="3152" priority="3191">
      <formula>LEN(TRIM(G591))=0</formula>
    </cfRule>
  </conditionalFormatting>
  <conditionalFormatting sqref="G592:L592">
    <cfRule type="expression" dxfId="3151" priority="3189" stopIfTrue="1">
      <formula>$G591=""</formula>
    </cfRule>
    <cfRule type="containsBlanks" dxfId="3150" priority="3190">
      <formula>LEN(TRIM(G592))=0</formula>
    </cfRule>
  </conditionalFormatting>
  <conditionalFormatting sqref="R593">
    <cfRule type="expression" dxfId="3149" priority="3187" stopIfTrue="1">
      <formula>$G591=""</formula>
    </cfRule>
    <cfRule type="containsBlanks" dxfId="3148" priority="3188">
      <formula>LEN(TRIM(R593))=0</formula>
    </cfRule>
  </conditionalFormatting>
  <conditionalFormatting sqref="P593:R593">
    <cfRule type="expression" dxfId="3147" priority="3186">
      <formula>$C$36=0</formula>
    </cfRule>
  </conditionalFormatting>
  <conditionalFormatting sqref="AF592">
    <cfRule type="containsBlanks" dxfId="3146" priority="3182">
      <formula>LEN(TRIM(AF592))=0</formula>
    </cfRule>
    <cfRule type="expression" dxfId="3145" priority="3183">
      <formula>$HJ592=FALSE</formula>
    </cfRule>
  </conditionalFormatting>
  <conditionalFormatting sqref="AF594">
    <cfRule type="expression" dxfId="3144" priority="3181">
      <formula>$C$36=2</formula>
    </cfRule>
  </conditionalFormatting>
  <conditionalFormatting sqref="R592">
    <cfRule type="containsBlanks" dxfId="3143" priority="3180">
      <formula>LEN(TRIM(R592))=0</formula>
    </cfRule>
  </conditionalFormatting>
  <conditionalFormatting sqref="AE592:AF592">
    <cfRule type="expression" dxfId="3142" priority="3179" stopIfTrue="1">
      <formula>$G591=""</formula>
    </cfRule>
  </conditionalFormatting>
  <conditionalFormatting sqref="AF594">
    <cfRule type="expression" dxfId="3141" priority="3178" stopIfTrue="1">
      <formula>$G591=""</formula>
    </cfRule>
  </conditionalFormatting>
  <conditionalFormatting sqref="AF591:AI591">
    <cfRule type="expression" dxfId="3140" priority="3177">
      <formula>$C$36&lt;&gt;0</formula>
    </cfRule>
  </conditionalFormatting>
  <conditionalFormatting sqref="R592">
    <cfRule type="containsBlanks" dxfId="3139" priority="3175">
      <formula>LEN(TRIM(R592))=0</formula>
    </cfRule>
  </conditionalFormatting>
  <conditionalFormatting sqref="U593">
    <cfRule type="expression" dxfId="3138" priority="3198">
      <formula>OR($HF592=FALSE,$HG592=FALSE)</formula>
    </cfRule>
  </conditionalFormatting>
  <conditionalFormatting sqref="R592">
    <cfRule type="expression" dxfId="3137" priority="3172" stopIfTrue="1">
      <formula>$G591=""</formula>
    </cfRule>
    <cfRule type="expression" dxfId="3136" priority="3173">
      <formula>$HT592=FALSE</formula>
    </cfRule>
  </conditionalFormatting>
  <conditionalFormatting sqref="G594">
    <cfRule type="expression" dxfId="3135" priority="3167" stopIfTrue="1">
      <formula>$G591=""</formula>
    </cfRule>
  </conditionalFormatting>
  <conditionalFormatting sqref="G594">
    <cfRule type="expression" dxfId="3134" priority="3161" stopIfTrue="1">
      <formula>$CN591="Exterior"</formula>
    </cfRule>
  </conditionalFormatting>
  <conditionalFormatting sqref="G594:L594">
    <cfRule type="containsBlanks" dxfId="3133" priority="3168" stopIfTrue="1">
      <formula>LEN(TRIM(G594))=0</formula>
    </cfRule>
    <cfRule type="expression" dxfId="3132" priority="3170">
      <formula>$HL592=FALSE</formula>
    </cfRule>
  </conditionalFormatting>
  <conditionalFormatting sqref="AF593">
    <cfRule type="expression" dxfId="3131" priority="3162" stopIfTrue="1">
      <formula>$G591=""</formula>
    </cfRule>
  </conditionalFormatting>
  <conditionalFormatting sqref="AF593:AI593">
    <cfRule type="expression" dxfId="3130" priority="3166">
      <formula>OR($HP592=FALSE,$HL592=FALSE)</formula>
    </cfRule>
  </conditionalFormatting>
  <conditionalFormatting sqref="AF593">
    <cfRule type="containsBlanks" dxfId="3129" priority="3163" stopIfTrue="1">
      <formula>LEN(TRIM(AF593))=0</formula>
    </cfRule>
    <cfRule type="expression" dxfId="3128" priority="3164">
      <formula>$DP591=7</formula>
    </cfRule>
    <cfRule type="expression" dxfId="3127" priority="3165">
      <formula>OR($HK592=FALSE,$HM592=FALSE)</formula>
    </cfRule>
  </conditionalFormatting>
  <conditionalFormatting sqref="G594:L594">
    <cfRule type="expression" dxfId="3126" priority="3169" stopIfTrue="1">
      <formula>$AF593=""</formula>
    </cfRule>
  </conditionalFormatting>
  <conditionalFormatting sqref="T592:U592">
    <cfRule type="expression" dxfId="3125" priority="3158" stopIfTrue="1">
      <formula>$C$36&lt;&gt;0</formula>
    </cfRule>
    <cfRule type="containsBlanks" dxfId="3124" priority="3159" stopIfTrue="1">
      <formula>LEN(TRIM(T592))=0</formula>
    </cfRule>
  </conditionalFormatting>
  <conditionalFormatting sqref="T592:U592">
    <cfRule type="expression" dxfId="3123" priority="3157" stopIfTrue="1">
      <formula>$G591=""</formula>
    </cfRule>
  </conditionalFormatting>
  <conditionalFormatting sqref="U592">
    <cfRule type="expression" dxfId="3122" priority="3160">
      <formula>$HE592=FALSE</formula>
    </cfRule>
  </conditionalFormatting>
  <conditionalFormatting sqref="T594">
    <cfRule type="expression" dxfId="3121" priority="3156">
      <formula>$C$36=2</formula>
    </cfRule>
  </conditionalFormatting>
  <conditionalFormatting sqref="AE598">
    <cfRule type="expression" dxfId="3120" priority="3142" stopIfTrue="1">
      <formula>$G596=""</formula>
    </cfRule>
  </conditionalFormatting>
  <conditionalFormatting sqref="AB599:AD599">
    <cfRule type="expression" dxfId="3119" priority="3154" stopIfTrue="1">
      <formula>$G596=""</formula>
    </cfRule>
  </conditionalFormatting>
  <conditionalFormatting sqref="G598">
    <cfRule type="expression" dxfId="3118" priority="3151" stopIfTrue="1">
      <formula>$G596=""</formula>
    </cfRule>
    <cfRule type="containsBlanks" dxfId="3117" priority="3152" stopIfTrue="1">
      <formula>LEN(TRIM(G598))=0</formula>
    </cfRule>
    <cfRule type="expression" dxfId="3116" priority="3153">
      <formula>OR($M598=0,$HC597=FALSE)</formula>
    </cfRule>
  </conditionalFormatting>
  <conditionalFormatting sqref="AB599">
    <cfRule type="expression" dxfId="3115" priority="3150" stopIfTrue="1">
      <formula>$AB599=""</formula>
    </cfRule>
  </conditionalFormatting>
  <conditionalFormatting sqref="AE597:AF597">
    <cfRule type="expression" dxfId="3114" priority="3149">
      <formula>$C$36=2</formula>
    </cfRule>
  </conditionalFormatting>
  <conditionalFormatting sqref="T598:U598">
    <cfRule type="expression" dxfId="3113" priority="3124" stopIfTrue="1">
      <formula>$G596=""</formula>
    </cfRule>
  </conditionalFormatting>
  <conditionalFormatting sqref="T598:U598">
    <cfRule type="containsBlanks" dxfId="3112" priority="3147" stopIfTrue="1">
      <formula>LEN(TRIM(T598))=0</formula>
    </cfRule>
  </conditionalFormatting>
  <conditionalFormatting sqref="AC596:AD596">
    <cfRule type="expression" dxfId="3111" priority="3146">
      <formula>$G596=""</formula>
    </cfRule>
  </conditionalFormatting>
  <conditionalFormatting sqref="AE597">
    <cfRule type="containsBlanks" dxfId="3110" priority="3144">
      <formula>LEN(TRIM(AE597))=0</formula>
    </cfRule>
  </conditionalFormatting>
  <conditionalFormatting sqref="AE598 AF599">
    <cfRule type="containsBlanks" dxfId="3109" priority="3143" stopIfTrue="1">
      <formula>LEN(TRIM(AE598))=0</formula>
    </cfRule>
  </conditionalFormatting>
  <conditionalFormatting sqref="AE598">
    <cfRule type="expression" dxfId="3108" priority="3155">
      <formula>OR($HN597=FALSE,$HO597=FALSE)</formula>
    </cfRule>
  </conditionalFormatting>
  <conditionalFormatting sqref="G597:Q597 G596">
    <cfRule type="containsBlanks" dxfId="3107" priority="3141">
      <formula>LEN(TRIM(G596))=0</formula>
    </cfRule>
  </conditionalFormatting>
  <conditionalFormatting sqref="G597:L597">
    <cfRule type="expression" dxfId="3106" priority="3139" stopIfTrue="1">
      <formula>$G596=""</formula>
    </cfRule>
    <cfRule type="containsBlanks" dxfId="3105" priority="3140">
      <formula>LEN(TRIM(G597))=0</formula>
    </cfRule>
  </conditionalFormatting>
  <conditionalFormatting sqref="R598">
    <cfRule type="expression" dxfId="3104" priority="3137" stopIfTrue="1">
      <formula>$G596=""</formula>
    </cfRule>
    <cfRule type="containsBlanks" dxfId="3103" priority="3138">
      <formula>LEN(TRIM(R598))=0</formula>
    </cfRule>
  </conditionalFormatting>
  <conditionalFormatting sqref="P598:R598">
    <cfRule type="expression" dxfId="3102" priority="3136">
      <formula>$C$36=0</formula>
    </cfRule>
  </conditionalFormatting>
  <conditionalFormatting sqref="AF597">
    <cfRule type="containsBlanks" dxfId="3101" priority="3132">
      <formula>LEN(TRIM(AF597))=0</formula>
    </cfRule>
    <cfRule type="expression" dxfId="3100" priority="3133">
      <formula>$HJ597=FALSE</formula>
    </cfRule>
  </conditionalFormatting>
  <conditionalFormatting sqref="AF599">
    <cfRule type="expression" dxfId="3099" priority="3131">
      <formula>$C$36=2</formula>
    </cfRule>
  </conditionalFormatting>
  <conditionalFormatting sqref="R597">
    <cfRule type="containsBlanks" dxfId="3098" priority="3130">
      <formula>LEN(TRIM(R597))=0</formula>
    </cfRule>
  </conditionalFormatting>
  <conditionalFormatting sqref="AE597:AF597">
    <cfRule type="expression" dxfId="3097" priority="3129" stopIfTrue="1">
      <formula>$G596=""</formula>
    </cfRule>
  </conditionalFormatting>
  <conditionalFormatting sqref="AF599">
    <cfRule type="expression" dxfId="3096" priority="3128" stopIfTrue="1">
      <formula>$G596=""</formula>
    </cfRule>
  </conditionalFormatting>
  <conditionalFormatting sqref="AF596:AI596">
    <cfRule type="expression" dxfId="3095" priority="3127">
      <formula>$C$36&lt;&gt;0</formula>
    </cfRule>
  </conditionalFormatting>
  <conditionalFormatting sqref="R597">
    <cfRule type="containsBlanks" dxfId="3094" priority="3125">
      <formula>LEN(TRIM(R597))=0</formula>
    </cfRule>
  </conditionalFormatting>
  <conditionalFormatting sqref="U598">
    <cfRule type="expression" dxfId="3093" priority="3148">
      <formula>OR($HF597=FALSE,$HG597=FALSE)</formula>
    </cfRule>
  </conditionalFormatting>
  <conditionalFormatting sqref="R597">
    <cfRule type="expression" dxfId="3092" priority="3122" stopIfTrue="1">
      <formula>$G596=""</formula>
    </cfRule>
    <cfRule type="expression" dxfId="3091" priority="3123">
      <formula>$HT597=FALSE</formula>
    </cfRule>
  </conditionalFormatting>
  <conditionalFormatting sqref="G599">
    <cfRule type="expression" dxfId="3090" priority="3117" stopIfTrue="1">
      <formula>$G596=""</formula>
    </cfRule>
  </conditionalFormatting>
  <conditionalFormatting sqref="G599">
    <cfRule type="expression" dxfId="3089" priority="3111" stopIfTrue="1">
      <formula>$CN596="Exterior"</formula>
    </cfRule>
  </conditionalFormatting>
  <conditionalFormatting sqref="G599:L599">
    <cfRule type="containsBlanks" dxfId="3088" priority="3118" stopIfTrue="1">
      <formula>LEN(TRIM(G599))=0</formula>
    </cfRule>
    <cfRule type="expression" dxfId="3087" priority="3120">
      <formula>$HL597=FALSE</formula>
    </cfRule>
  </conditionalFormatting>
  <conditionalFormatting sqref="AF598">
    <cfRule type="expression" dxfId="3086" priority="3112" stopIfTrue="1">
      <formula>$G596=""</formula>
    </cfRule>
  </conditionalFormatting>
  <conditionalFormatting sqref="AF598:AI598">
    <cfRule type="expression" dxfId="3085" priority="3116">
      <formula>OR($HP597=FALSE,$HL597=FALSE)</formula>
    </cfRule>
  </conditionalFormatting>
  <conditionalFormatting sqref="AF598">
    <cfRule type="containsBlanks" dxfId="3084" priority="3113" stopIfTrue="1">
      <formula>LEN(TRIM(AF598))=0</formula>
    </cfRule>
    <cfRule type="expression" dxfId="3083" priority="3114">
      <formula>$DP596=7</formula>
    </cfRule>
    <cfRule type="expression" dxfId="3082" priority="3115">
      <formula>OR($HK597=FALSE,$HM597=FALSE)</formula>
    </cfRule>
  </conditionalFormatting>
  <conditionalFormatting sqref="G599:L599">
    <cfRule type="expression" dxfId="3081" priority="3119" stopIfTrue="1">
      <formula>$AF598=""</formula>
    </cfRule>
  </conditionalFormatting>
  <conditionalFormatting sqref="T597:U597">
    <cfRule type="expression" dxfId="3080" priority="3108" stopIfTrue="1">
      <formula>$C$36&lt;&gt;0</formula>
    </cfRule>
    <cfRule type="containsBlanks" dxfId="3079" priority="3109" stopIfTrue="1">
      <formula>LEN(TRIM(T597))=0</formula>
    </cfRule>
  </conditionalFormatting>
  <conditionalFormatting sqref="T597:U597">
    <cfRule type="expression" dxfId="3078" priority="3107" stopIfTrue="1">
      <formula>$G596=""</formula>
    </cfRule>
  </conditionalFormatting>
  <conditionalFormatting sqref="U597">
    <cfRule type="expression" dxfId="3077" priority="3110">
      <formula>$HE597=FALSE</formula>
    </cfRule>
  </conditionalFormatting>
  <conditionalFormatting sqref="T599">
    <cfRule type="expression" dxfId="3076" priority="3106">
      <formula>$C$36=2</formula>
    </cfRule>
  </conditionalFormatting>
  <conditionalFormatting sqref="AE603">
    <cfRule type="expression" dxfId="3075" priority="3092" stopIfTrue="1">
      <formula>$G601=""</formula>
    </cfRule>
  </conditionalFormatting>
  <conditionalFormatting sqref="AB604:AD604">
    <cfRule type="expression" dxfId="3074" priority="3104" stopIfTrue="1">
      <formula>$G601=""</formula>
    </cfRule>
  </conditionalFormatting>
  <conditionalFormatting sqref="G603">
    <cfRule type="expression" dxfId="3073" priority="3101" stopIfTrue="1">
      <formula>$G601=""</formula>
    </cfRule>
    <cfRule type="containsBlanks" dxfId="3072" priority="3102" stopIfTrue="1">
      <formula>LEN(TRIM(G603))=0</formula>
    </cfRule>
    <cfRule type="expression" dxfId="3071" priority="3103">
      <formula>OR($M603=0,$HC602=FALSE)</formula>
    </cfRule>
  </conditionalFormatting>
  <conditionalFormatting sqref="AB604">
    <cfRule type="expression" dxfId="3070" priority="3100" stopIfTrue="1">
      <formula>$AB604=""</formula>
    </cfRule>
  </conditionalFormatting>
  <conditionalFormatting sqref="AE602:AF602">
    <cfRule type="expression" dxfId="3069" priority="3099">
      <formula>$C$36=2</formula>
    </cfRule>
  </conditionalFormatting>
  <conditionalFormatting sqref="T603:U603">
    <cfRule type="expression" dxfId="3068" priority="3074" stopIfTrue="1">
      <formula>$G601=""</formula>
    </cfRule>
  </conditionalFormatting>
  <conditionalFormatting sqref="T603:U603">
    <cfRule type="containsBlanks" dxfId="3067" priority="3097" stopIfTrue="1">
      <formula>LEN(TRIM(T603))=0</formula>
    </cfRule>
  </conditionalFormatting>
  <conditionalFormatting sqref="AC601:AD601">
    <cfRule type="expression" dxfId="3066" priority="3096">
      <formula>$G601=""</formula>
    </cfRule>
  </conditionalFormatting>
  <conditionalFormatting sqref="AE602">
    <cfRule type="containsBlanks" dxfId="3065" priority="3094">
      <formula>LEN(TRIM(AE602))=0</formula>
    </cfRule>
  </conditionalFormatting>
  <conditionalFormatting sqref="AE603 AF604">
    <cfRule type="containsBlanks" dxfId="3064" priority="3093" stopIfTrue="1">
      <formula>LEN(TRIM(AE603))=0</formula>
    </cfRule>
  </conditionalFormatting>
  <conditionalFormatting sqref="AE603">
    <cfRule type="expression" dxfId="3063" priority="3105">
      <formula>OR($HN602=FALSE,$HO602=FALSE)</formula>
    </cfRule>
  </conditionalFormatting>
  <conditionalFormatting sqref="G602:Q602 G601">
    <cfRule type="containsBlanks" dxfId="3062" priority="3091">
      <formula>LEN(TRIM(G601))=0</formula>
    </cfRule>
  </conditionalFormatting>
  <conditionalFormatting sqref="G602:L602">
    <cfRule type="expression" dxfId="3061" priority="3089" stopIfTrue="1">
      <formula>$G601=""</formula>
    </cfRule>
    <cfRule type="containsBlanks" dxfId="3060" priority="3090">
      <formula>LEN(TRIM(G602))=0</formula>
    </cfRule>
  </conditionalFormatting>
  <conditionalFormatting sqref="R603">
    <cfRule type="expression" dxfId="3059" priority="3087" stopIfTrue="1">
      <formula>$G601=""</formula>
    </cfRule>
    <cfRule type="containsBlanks" dxfId="3058" priority="3088">
      <formula>LEN(TRIM(R603))=0</formula>
    </cfRule>
  </conditionalFormatting>
  <conditionalFormatting sqref="P603:R603">
    <cfRule type="expression" dxfId="3057" priority="3086">
      <formula>$C$36=0</formula>
    </cfRule>
  </conditionalFormatting>
  <conditionalFormatting sqref="AF602">
    <cfRule type="containsBlanks" dxfId="3056" priority="3082">
      <formula>LEN(TRIM(AF602))=0</formula>
    </cfRule>
    <cfRule type="expression" dxfId="3055" priority="3083">
      <formula>$HJ602=FALSE</formula>
    </cfRule>
  </conditionalFormatting>
  <conditionalFormatting sqref="AF604">
    <cfRule type="expression" dxfId="3054" priority="3081">
      <formula>$C$36=2</formula>
    </cfRule>
  </conditionalFormatting>
  <conditionalFormatting sqref="R602">
    <cfRule type="containsBlanks" dxfId="3053" priority="3080">
      <formula>LEN(TRIM(R602))=0</formula>
    </cfRule>
  </conditionalFormatting>
  <conditionalFormatting sqref="AE602:AF602">
    <cfRule type="expression" dxfId="3052" priority="3079" stopIfTrue="1">
      <formula>$G601=""</formula>
    </cfRule>
  </conditionalFormatting>
  <conditionalFormatting sqref="AF604">
    <cfRule type="expression" dxfId="3051" priority="3078" stopIfTrue="1">
      <formula>$G601=""</formula>
    </cfRule>
  </conditionalFormatting>
  <conditionalFormatting sqref="AF601:AI601">
    <cfRule type="expression" dxfId="3050" priority="3077">
      <formula>$C$36&lt;&gt;0</formula>
    </cfRule>
  </conditionalFormatting>
  <conditionalFormatting sqref="R602">
    <cfRule type="containsBlanks" dxfId="3049" priority="3075">
      <formula>LEN(TRIM(R602))=0</formula>
    </cfRule>
  </conditionalFormatting>
  <conditionalFormatting sqref="U603">
    <cfRule type="expression" dxfId="3048" priority="3098">
      <formula>OR($HF602=FALSE,$HG602=FALSE)</formula>
    </cfRule>
  </conditionalFormatting>
  <conditionalFormatting sqref="R602">
    <cfRule type="expression" dxfId="3047" priority="3072" stopIfTrue="1">
      <formula>$G601=""</formula>
    </cfRule>
    <cfRule type="expression" dxfId="3046" priority="3073">
      <formula>$HT602=FALSE</formula>
    </cfRule>
  </conditionalFormatting>
  <conditionalFormatting sqref="G604">
    <cfRule type="expression" dxfId="3045" priority="3067" stopIfTrue="1">
      <formula>$G601=""</formula>
    </cfRule>
  </conditionalFormatting>
  <conditionalFormatting sqref="G604">
    <cfRule type="expression" dxfId="3044" priority="3061" stopIfTrue="1">
      <formula>$CN601="Exterior"</formula>
    </cfRule>
  </conditionalFormatting>
  <conditionalFormatting sqref="G604:L604">
    <cfRule type="containsBlanks" dxfId="3043" priority="3068" stopIfTrue="1">
      <formula>LEN(TRIM(G604))=0</formula>
    </cfRule>
    <cfRule type="expression" dxfId="3042" priority="3070">
      <formula>$HL602=FALSE</formula>
    </cfRule>
  </conditionalFormatting>
  <conditionalFormatting sqref="AF603">
    <cfRule type="expression" dxfId="3041" priority="3062" stopIfTrue="1">
      <formula>$G601=""</formula>
    </cfRule>
  </conditionalFormatting>
  <conditionalFormatting sqref="AF603:AI603">
    <cfRule type="expression" dxfId="3040" priority="3066">
      <formula>OR($HP602=FALSE,$HL602=FALSE)</formula>
    </cfRule>
  </conditionalFormatting>
  <conditionalFormatting sqref="AF603">
    <cfRule type="containsBlanks" dxfId="3039" priority="3063" stopIfTrue="1">
      <formula>LEN(TRIM(AF603))=0</formula>
    </cfRule>
    <cfRule type="expression" dxfId="3038" priority="3064">
      <formula>$DP601=7</formula>
    </cfRule>
    <cfRule type="expression" dxfId="3037" priority="3065">
      <formula>OR($HK602=FALSE,$HM602=FALSE)</formula>
    </cfRule>
  </conditionalFormatting>
  <conditionalFormatting sqref="G604:L604">
    <cfRule type="expression" dxfId="3036" priority="3069" stopIfTrue="1">
      <formula>$AF603=""</formula>
    </cfRule>
  </conditionalFormatting>
  <conditionalFormatting sqref="T602:U602">
    <cfRule type="expression" dxfId="3035" priority="3058" stopIfTrue="1">
      <formula>$C$36&lt;&gt;0</formula>
    </cfRule>
    <cfRule type="containsBlanks" dxfId="3034" priority="3059" stopIfTrue="1">
      <formula>LEN(TRIM(T602))=0</formula>
    </cfRule>
  </conditionalFormatting>
  <conditionalFormatting sqref="T602:U602">
    <cfRule type="expression" dxfId="3033" priority="3057" stopIfTrue="1">
      <formula>$G601=""</formula>
    </cfRule>
  </conditionalFormatting>
  <conditionalFormatting sqref="U602">
    <cfRule type="expression" dxfId="3032" priority="3060">
      <formula>$HE602=FALSE</formula>
    </cfRule>
  </conditionalFormatting>
  <conditionalFormatting sqref="T604">
    <cfRule type="expression" dxfId="3031" priority="3056">
      <formula>$C$36=2</formula>
    </cfRule>
  </conditionalFormatting>
  <conditionalFormatting sqref="AE608">
    <cfRule type="expression" dxfId="3030" priority="3042" stopIfTrue="1">
      <formula>$G606=""</formula>
    </cfRule>
  </conditionalFormatting>
  <conditionalFormatting sqref="AB609:AD609">
    <cfRule type="expression" dxfId="3029" priority="3054" stopIfTrue="1">
      <formula>$G606=""</formula>
    </cfRule>
  </conditionalFormatting>
  <conditionalFormatting sqref="G608">
    <cfRule type="expression" dxfId="3028" priority="3051" stopIfTrue="1">
      <formula>$G606=""</formula>
    </cfRule>
    <cfRule type="containsBlanks" dxfId="3027" priority="3052" stopIfTrue="1">
      <formula>LEN(TRIM(G608))=0</formula>
    </cfRule>
    <cfRule type="expression" dxfId="3026" priority="3053">
      <formula>OR($M608=0,$HC607=FALSE)</formula>
    </cfRule>
  </conditionalFormatting>
  <conditionalFormatting sqref="AB609">
    <cfRule type="expression" dxfId="3025" priority="3050" stopIfTrue="1">
      <formula>$AB609=""</formula>
    </cfRule>
  </conditionalFormatting>
  <conditionalFormatting sqref="AE607:AF607">
    <cfRule type="expression" dxfId="3024" priority="3049">
      <formula>$C$36=2</formula>
    </cfRule>
  </conditionalFormatting>
  <conditionalFormatting sqref="T608:U608">
    <cfRule type="expression" dxfId="3023" priority="3024" stopIfTrue="1">
      <formula>$G606=""</formula>
    </cfRule>
  </conditionalFormatting>
  <conditionalFormatting sqref="T608:U608">
    <cfRule type="containsBlanks" dxfId="3022" priority="3047" stopIfTrue="1">
      <formula>LEN(TRIM(T608))=0</formula>
    </cfRule>
  </conditionalFormatting>
  <conditionalFormatting sqref="AC606:AD606">
    <cfRule type="expression" dxfId="3021" priority="3046">
      <formula>$G606=""</formula>
    </cfRule>
  </conditionalFormatting>
  <conditionalFormatting sqref="AE607">
    <cfRule type="containsBlanks" dxfId="3020" priority="3044">
      <formula>LEN(TRIM(AE607))=0</formula>
    </cfRule>
  </conditionalFormatting>
  <conditionalFormatting sqref="AE608 AF609">
    <cfRule type="containsBlanks" dxfId="3019" priority="3043" stopIfTrue="1">
      <formula>LEN(TRIM(AE608))=0</formula>
    </cfRule>
  </conditionalFormatting>
  <conditionalFormatting sqref="AE608">
    <cfRule type="expression" dxfId="3018" priority="3055">
      <formula>OR($HN607=FALSE,$HO607=FALSE)</formula>
    </cfRule>
  </conditionalFormatting>
  <conditionalFormatting sqref="G607:Q607 G606">
    <cfRule type="containsBlanks" dxfId="3017" priority="3041">
      <formula>LEN(TRIM(G606))=0</formula>
    </cfRule>
  </conditionalFormatting>
  <conditionalFormatting sqref="G607:L607">
    <cfRule type="expression" dxfId="3016" priority="3039" stopIfTrue="1">
      <formula>$G606=""</formula>
    </cfRule>
    <cfRule type="containsBlanks" dxfId="3015" priority="3040">
      <formula>LEN(TRIM(G607))=0</formula>
    </cfRule>
  </conditionalFormatting>
  <conditionalFormatting sqref="R608">
    <cfRule type="expression" dxfId="3014" priority="3037" stopIfTrue="1">
      <formula>$G606=""</formula>
    </cfRule>
    <cfRule type="containsBlanks" dxfId="3013" priority="3038">
      <formula>LEN(TRIM(R608))=0</formula>
    </cfRule>
  </conditionalFormatting>
  <conditionalFormatting sqref="P608:R608">
    <cfRule type="expression" dxfId="3012" priority="3036">
      <formula>$C$36=0</formula>
    </cfRule>
  </conditionalFormatting>
  <conditionalFormatting sqref="AF607">
    <cfRule type="containsBlanks" dxfId="3011" priority="3032">
      <formula>LEN(TRIM(AF607))=0</formula>
    </cfRule>
    <cfRule type="expression" dxfId="3010" priority="3033">
      <formula>$HJ607=FALSE</formula>
    </cfRule>
  </conditionalFormatting>
  <conditionalFormatting sqref="AF609">
    <cfRule type="expression" dxfId="3009" priority="3031">
      <formula>$C$36=2</formula>
    </cfRule>
  </conditionalFormatting>
  <conditionalFormatting sqref="R607">
    <cfRule type="containsBlanks" dxfId="3008" priority="3030">
      <formula>LEN(TRIM(R607))=0</formula>
    </cfRule>
  </conditionalFormatting>
  <conditionalFormatting sqref="AE607:AF607">
    <cfRule type="expression" dxfId="3007" priority="3029" stopIfTrue="1">
      <formula>$G606=""</formula>
    </cfRule>
  </conditionalFormatting>
  <conditionalFormatting sqref="AF609">
    <cfRule type="expression" dxfId="3006" priority="3028" stopIfTrue="1">
      <formula>$G606=""</formula>
    </cfRule>
  </conditionalFormatting>
  <conditionalFormatting sqref="AF606:AI606">
    <cfRule type="expression" dxfId="3005" priority="3027">
      <formula>$C$36&lt;&gt;0</formula>
    </cfRule>
  </conditionalFormatting>
  <conditionalFormatting sqref="R607">
    <cfRule type="containsBlanks" dxfId="3004" priority="3025">
      <formula>LEN(TRIM(R607))=0</formula>
    </cfRule>
  </conditionalFormatting>
  <conditionalFormatting sqref="U608">
    <cfRule type="expression" dxfId="3003" priority="3048">
      <formula>OR($HF607=FALSE,$HG607=FALSE)</formula>
    </cfRule>
  </conditionalFormatting>
  <conditionalFormatting sqref="R607">
    <cfRule type="expression" dxfId="3002" priority="3022" stopIfTrue="1">
      <formula>$G606=""</formula>
    </cfRule>
    <cfRule type="expression" dxfId="3001" priority="3023">
      <formula>$HT607=FALSE</formula>
    </cfRule>
  </conditionalFormatting>
  <conditionalFormatting sqref="G609">
    <cfRule type="expression" dxfId="3000" priority="3017" stopIfTrue="1">
      <formula>$G606=""</formula>
    </cfRule>
  </conditionalFormatting>
  <conditionalFormatting sqref="G609">
    <cfRule type="expression" dxfId="2999" priority="3011" stopIfTrue="1">
      <formula>$CN606="Exterior"</formula>
    </cfRule>
  </conditionalFormatting>
  <conditionalFormatting sqref="G609:L609">
    <cfRule type="containsBlanks" dxfId="2998" priority="3018" stopIfTrue="1">
      <formula>LEN(TRIM(G609))=0</formula>
    </cfRule>
    <cfRule type="expression" dxfId="2997" priority="3020">
      <formula>$HL607=FALSE</formula>
    </cfRule>
  </conditionalFormatting>
  <conditionalFormatting sqref="AF608">
    <cfRule type="expression" dxfId="2996" priority="3012" stopIfTrue="1">
      <formula>$G606=""</formula>
    </cfRule>
  </conditionalFormatting>
  <conditionalFormatting sqref="AF608:AI608">
    <cfRule type="expression" dxfId="2995" priority="3016">
      <formula>OR($HP607=FALSE,$HL607=FALSE)</formula>
    </cfRule>
  </conditionalFormatting>
  <conditionalFormatting sqref="AF608">
    <cfRule type="containsBlanks" dxfId="2994" priority="3013" stopIfTrue="1">
      <formula>LEN(TRIM(AF608))=0</formula>
    </cfRule>
    <cfRule type="expression" dxfId="2993" priority="3014">
      <formula>$DP606=7</formula>
    </cfRule>
    <cfRule type="expression" dxfId="2992" priority="3015">
      <formula>OR($HK607=FALSE,$HM607=FALSE)</formula>
    </cfRule>
  </conditionalFormatting>
  <conditionalFormatting sqref="G609:L609">
    <cfRule type="expression" dxfId="2991" priority="3019" stopIfTrue="1">
      <formula>$AF608=""</formula>
    </cfRule>
  </conditionalFormatting>
  <conditionalFormatting sqref="T607:U607">
    <cfRule type="expression" dxfId="2990" priority="3008" stopIfTrue="1">
      <formula>$C$36&lt;&gt;0</formula>
    </cfRule>
    <cfRule type="containsBlanks" dxfId="2989" priority="3009" stopIfTrue="1">
      <formula>LEN(TRIM(T607))=0</formula>
    </cfRule>
  </conditionalFormatting>
  <conditionalFormatting sqref="T607:U607">
    <cfRule type="expression" dxfId="2988" priority="3007" stopIfTrue="1">
      <formula>$G606=""</formula>
    </cfRule>
  </conditionalFormatting>
  <conditionalFormatting sqref="U607">
    <cfRule type="expression" dxfId="2987" priority="3010">
      <formula>$HE607=FALSE</formula>
    </cfRule>
  </conditionalFormatting>
  <conditionalFormatting sqref="T609">
    <cfRule type="expression" dxfId="2986" priority="3006">
      <formula>$C$36=2</formula>
    </cfRule>
  </conditionalFormatting>
  <conditionalFormatting sqref="AE613">
    <cfRule type="expression" dxfId="2985" priority="2992" stopIfTrue="1">
      <formula>$G611=""</formula>
    </cfRule>
  </conditionalFormatting>
  <conditionalFormatting sqref="AB614:AD614">
    <cfRule type="expression" dxfId="2984" priority="3004" stopIfTrue="1">
      <formula>$G611=""</formula>
    </cfRule>
  </conditionalFormatting>
  <conditionalFormatting sqref="G613">
    <cfRule type="expression" dxfId="2983" priority="3001" stopIfTrue="1">
      <formula>$G611=""</formula>
    </cfRule>
    <cfRule type="containsBlanks" dxfId="2982" priority="3002" stopIfTrue="1">
      <formula>LEN(TRIM(G613))=0</formula>
    </cfRule>
    <cfRule type="expression" dxfId="2981" priority="3003">
      <formula>OR($M613=0,$HC612=FALSE)</formula>
    </cfRule>
  </conditionalFormatting>
  <conditionalFormatting sqref="AB614">
    <cfRule type="expression" dxfId="2980" priority="3000" stopIfTrue="1">
      <formula>$AB614=""</formula>
    </cfRule>
  </conditionalFormatting>
  <conditionalFormatting sqref="AE612:AF612">
    <cfRule type="expression" dxfId="2979" priority="2999">
      <formula>$C$36=2</formula>
    </cfRule>
  </conditionalFormatting>
  <conditionalFormatting sqref="T613:U613">
    <cfRule type="expression" dxfId="2978" priority="2974" stopIfTrue="1">
      <formula>$G611=""</formula>
    </cfRule>
  </conditionalFormatting>
  <conditionalFormatting sqref="T613:U613">
    <cfRule type="containsBlanks" dxfId="2977" priority="2997" stopIfTrue="1">
      <formula>LEN(TRIM(T613))=0</formula>
    </cfRule>
  </conditionalFormatting>
  <conditionalFormatting sqref="AC611:AD611">
    <cfRule type="expression" dxfId="2976" priority="2996">
      <formula>$G611=""</formula>
    </cfRule>
  </conditionalFormatting>
  <conditionalFormatting sqref="AE612">
    <cfRule type="containsBlanks" dxfId="2975" priority="2994">
      <formula>LEN(TRIM(AE612))=0</formula>
    </cfRule>
  </conditionalFormatting>
  <conditionalFormatting sqref="AE613 AF614">
    <cfRule type="containsBlanks" dxfId="2974" priority="2993" stopIfTrue="1">
      <formula>LEN(TRIM(AE613))=0</formula>
    </cfRule>
  </conditionalFormatting>
  <conditionalFormatting sqref="AE613">
    <cfRule type="expression" dxfId="2973" priority="3005">
      <formula>OR($HN612=FALSE,$HO612=FALSE)</formula>
    </cfRule>
  </conditionalFormatting>
  <conditionalFormatting sqref="G612:Q612 G611">
    <cfRule type="containsBlanks" dxfId="2972" priority="2991">
      <formula>LEN(TRIM(G611))=0</formula>
    </cfRule>
  </conditionalFormatting>
  <conditionalFormatting sqref="G612:L612">
    <cfRule type="expression" dxfId="2971" priority="2989" stopIfTrue="1">
      <formula>$G611=""</formula>
    </cfRule>
    <cfRule type="containsBlanks" dxfId="2970" priority="2990">
      <formula>LEN(TRIM(G612))=0</formula>
    </cfRule>
  </conditionalFormatting>
  <conditionalFormatting sqref="R613">
    <cfRule type="expression" dxfId="2969" priority="2987" stopIfTrue="1">
      <formula>$G611=""</formula>
    </cfRule>
    <cfRule type="containsBlanks" dxfId="2968" priority="2988">
      <formula>LEN(TRIM(R613))=0</formula>
    </cfRule>
  </conditionalFormatting>
  <conditionalFormatting sqref="P613:R613">
    <cfRule type="expression" dxfId="2967" priority="2986">
      <formula>$C$36=0</formula>
    </cfRule>
  </conditionalFormatting>
  <conditionalFormatting sqref="AF612">
    <cfRule type="containsBlanks" dxfId="2966" priority="2982">
      <formula>LEN(TRIM(AF612))=0</formula>
    </cfRule>
    <cfRule type="expression" dxfId="2965" priority="2983">
      <formula>$HJ612=FALSE</formula>
    </cfRule>
  </conditionalFormatting>
  <conditionalFormatting sqref="AF614">
    <cfRule type="expression" dxfId="2964" priority="2981">
      <formula>$C$36=2</formula>
    </cfRule>
  </conditionalFormatting>
  <conditionalFormatting sqref="R612">
    <cfRule type="containsBlanks" dxfId="2963" priority="2980">
      <formula>LEN(TRIM(R612))=0</formula>
    </cfRule>
  </conditionalFormatting>
  <conditionalFormatting sqref="AE612:AF612">
    <cfRule type="expression" dxfId="2962" priority="2979" stopIfTrue="1">
      <formula>$G611=""</formula>
    </cfRule>
  </conditionalFormatting>
  <conditionalFormatting sqref="AF614">
    <cfRule type="expression" dxfId="2961" priority="2978" stopIfTrue="1">
      <formula>$G611=""</formula>
    </cfRule>
  </conditionalFormatting>
  <conditionalFormatting sqref="AF611:AI611">
    <cfRule type="expression" dxfId="2960" priority="2977">
      <formula>$C$36&lt;&gt;0</formula>
    </cfRule>
  </conditionalFormatting>
  <conditionalFormatting sqref="R612">
    <cfRule type="containsBlanks" dxfId="2959" priority="2975">
      <formula>LEN(TRIM(R612))=0</formula>
    </cfRule>
  </conditionalFormatting>
  <conditionalFormatting sqref="U613">
    <cfRule type="expression" dxfId="2958" priority="2998">
      <formula>OR($HF612=FALSE,$HG612=FALSE)</formula>
    </cfRule>
  </conditionalFormatting>
  <conditionalFormatting sqref="R612">
    <cfRule type="expression" dxfId="2957" priority="2972" stopIfTrue="1">
      <formula>$G611=""</formula>
    </cfRule>
    <cfRule type="expression" dxfId="2956" priority="2973">
      <formula>$HT612=FALSE</formula>
    </cfRule>
  </conditionalFormatting>
  <conditionalFormatting sqref="G614">
    <cfRule type="expression" dxfId="2955" priority="2967" stopIfTrue="1">
      <formula>$G611=""</formula>
    </cfRule>
  </conditionalFormatting>
  <conditionalFormatting sqref="G614">
    <cfRule type="expression" dxfId="2954" priority="2961" stopIfTrue="1">
      <formula>$CN611="Exterior"</formula>
    </cfRule>
  </conditionalFormatting>
  <conditionalFormatting sqref="G614:L614">
    <cfRule type="containsBlanks" dxfId="2953" priority="2968" stopIfTrue="1">
      <formula>LEN(TRIM(G614))=0</formula>
    </cfRule>
    <cfRule type="expression" dxfId="2952" priority="2970">
      <formula>$HL612=FALSE</formula>
    </cfRule>
  </conditionalFormatting>
  <conditionalFormatting sqref="AF613">
    <cfRule type="expression" dxfId="2951" priority="2962" stopIfTrue="1">
      <formula>$G611=""</formula>
    </cfRule>
  </conditionalFormatting>
  <conditionalFormatting sqref="AF613:AI613">
    <cfRule type="expression" dxfId="2950" priority="2966">
      <formula>OR($HP612=FALSE,$HL612=FALSE)</formula>
    </cfRule>
  </conditionalFormatting>
  <conditionalFormatting sqref="AF613">
    <cfRule type="containsBlanks" dxfId="2949" priority="2963" stopIfTrue="1">
      <formula>LEN(TRIM(AF613))=0</formula>
    </cfRule>
    <cfRule type="expression" dxfId="2948" priority="2964">
      <formula>$DP611=7</formula>
    </cfRule>
    <cfRule type="expression" dxfId="2947" priority="2965">
      <formula>OR($HK612=FALSE,$HM612=FALSE)</formula>
    </cfRule>
  </conditionalFormatting>
  <conditionalFormatting sqref="G614:L614">
    <cfRule type="expression" dxfId="2946" priority="2969" stopIfTrue="1">
      <formula>$AF613=""</formula>
    </cfRule>
  </conditionalFormatting>
  <conditionalFormatting sqref="T612:U612">
    <cfRule type="expression" dxfId="2945" priority="2958" stopIfTrue="1">
      <formula>$C$36&lt;&gt;0</formula>
    </cfRule>
    <cfRule type="containsBlanks" dxfId="2944" priority="2959" stopIfTrue="1">
      <formula>LEN(TRIM(T612))=0</formula>
    </cfRule>
  </conditionalFormatting>
  <conditionalFormatting sqref="T612:U612">
    <cfRule type="expression" dxfId="2943" priority="2957" stopIfTrue="1">
      <formula>$G611=""</formula>
    </cfRule>
  </conditionalFormatting>
  <conditionalFormatting sqref="U612">
    <cfRule type="expression" dxfId="2942" priority="2960">
      <formula>$HE612=FALSE</formula>
    </cfRule>
  </conditionalFormatting>
  <conditionalFormatting sqref="T614">
    <cfRule type="expression" dxfId="2941" priority="2956">
      <formula>$C$36=2</formula>
    </cfRule>
  </conditionalFormatting>
  <conditionalFormatting sqref="AE618">
    <cfRule type="expression" dxfId="2940" priority="2942" stopIfTrue="1">
      <formula>$G616=""</formula>
    </cfRule>
  </conditionalFormatting>
  <conditionalFormatting sqref="AB619:AD619">
    <cfRule type="expression" dxfId="2939" priority="2954" stopIfTrue="1">
      <formula>$G616=""</formula>
    </cfRule>
  </conditionalFormatting>
  <conditionalFormatting sqref="G618">
    <cfRule type="expression" dxfId="2938" priority="2951" stopIfTrue="1">
      <formula>$G616=""</formula>
    </cfRule>
    <cfRule type="containsBlanks" dxfId="2937" priority="2952" stopIfTrue="1">
      <formula>LEN(TRIM(G618))=0</formula>
    </cfRule>
    <cfRule type="expression" dxfId="2936" priority="2953">
      <formula>OR($M618=0,$HC617=FALSE)</formula>
    </cfRule>
  </conditionalFormatting>
  <conditionalFormatting sqref="AB619">
    <cfRule type="expression" dxfId="2935" priority="2950" stopIfTrue="1">
      <formula>$AB619=""</formula>
    </cfRule>
  </conditionalFormatting>
  <conditionalFormatting sqref="AE617:AF617">
    <cfRule type="expression" dxfId="2934" priority="2949">
      <formula>$C$36=2</formula>
    </cfRule>
  </conditionalFormatting>
  <conditionalFormatting sqref="T618:U618">
    <cfRule type="expression" dxfId="2933" priority="2924" stopIfTrue="1">
      <formula>$G616=""</formula>
    </cfRule>
  </conditionalFormatting>
  <conditionalFormatting sqref="T618:U618">
    <cfRule type="containsBlanks" dxfId="2932" priority="2947" stopIfTrue="1">
      <formula>LEN(TRIM(T618))=0</formula>
    </cfRule>
  </conditionalFormatting>
  <conditionalFormatting sqref="AC616:AD616">
    <cfRule type="expression" dxfId="2931" priority="2946">
      <formula>$G616=""</formula>
    </cfRule>
  </conditionalFormatting>
  <conditionalFormatting sqref="AE617">
    <cfRule type="containsBlanks" dxfId="2930" priority="2944">
      <formula>LEN(TRIM(AE617))=0</formula>
    </cfRule>
  </conditionalFormatting>
  <conditionalFormatting sqref="AE618 AF619">
    <cfRule type="containsBlanks" dxfId="2929" priority="2943" stopIfTrue="1">
      <formula>LEN(TRIM(AE618))=0</formula>
    </cfRule>
  </conditionalFormatting>
  <conditionalFormatting sqref="AE618">
    <cfRule type="expression" dxfId="2928" priority="2955">
      <formula>OR($HN617=FALSE,$HO617=FALSE)</formula>
    </cfRule>
  </conditionalFormatting>
  <conditionalFormatting sqref="G617:Q617 G616">
    <cfRule type="containsBlanks" dxfId="2927" priority="2941">
      <formula>LEN(TRIM(G616))=0</formula>
    </cfRule>
  </conditionalFormatting>
  <conditionalFormatting sqref="G617:L617">
    <cfRule type="expression" dxfId="2926" priority="2939" stopIfTrue="1">
      <formula>$G616=""</formula>
    </cfRule>
    <cfRule type="containsBlanks" dxfId="2925" priority="2940">
      <formula>LEN(TRIM(G617))=0</formula>
    </cfRule>
  </conditionalFormatting>
  <conditionalFormatting sqref="R618">
    <cfRule type="expression" dxfId="2924" priority="2937" stopIfTrue="1">
      <formula>$G616=""</formula>
    </cfRule>
    <cfRule type="containsBlanks" dxfId="2923" priority="2938">
      <formula>LEN(TRIM(R618))=0</formula>
    </cfRule>
  </conditionalFormatting>
  <conditionalFormatting sqref="P618:R618">
    <cfRule type="expression" dxfId="2922" priority="2936">
      <formula>$C$36=0</formula>
    </cfRule>
  </conditionalFormatting>
  <conditionalFormatting sqref="AF617">
    <cfRule type="containsBlanks" dxfId="2921" priority="2932">
      <formula>LEN(TRIM(AF617))=0</formula>
    </cfRule>
    <cfRule type="expression" dxfId="2920" priority="2933">
      <formula>$HJ617=FALSE</formula>
    </cfRule>
  </conditionalFormatting>
  <conditionalFormatting sqref="AF619">
    <cfRule type="expression" dxfId="2919" priority="2931">
      <formula>$C$36=2</formula>
    </cfRule>
  </conditionalFormatting>
  <conditionalFormatting sqref="R617">
    <cfRule type="containsBlanks" dxfId="2918" priority="2930">
      <formula>LEN(TRIM(R617))=0</formula>
    </cfRule>
  </conditionalFormatting>
  <conditionalFormatting sqref="AE617:AF617">
    <cfRule type="expression" dxfId="2917" priority="2929" stopIfTrue="1">
      <formula>$G616=""</formula>
    </cfRule>
  </conditionalFormatting>
  <conditionalFormatting sqref="AF619">
    <cfRule type="expression" dxfId="2916" priority="2928" stopIfTrue="1">
      <formula>$G616=""</formula>
    </cfRule>
  </conditionalFormatting>
  <conditionalFormatting sqref="AF616:AI616">
    <cfRule type="expression" dxfId="2915" priority="2927">
      <formula>$C$36&lt;&gt;0</formula>
    </cfRule>
  </conditionalFormatting>
  <conditionalFormatting sqref="R617">
    <cfRule type="containsBlanks" dxfId="2914" priority="2925">
      <formula>LEN(TRIM(R617))=0</formula>
    </cfRule>
  </conditionalFormatting>
  <conditionalFormatting sqref="U618">
    <cfRule type="expression" dxfId="2913" priority="2948">
      <formula>OR($HF617=FALSE,$HG617=FALSE)</formula>
    </cfRule>
  </conditionalFormatting>
  <conditionalFormatting sqref="R617">
    <cfRule type="expression" dxfId="2912" priority="2922" stopIfTrue="1">
      <formula>$G616=""</formula>
    </cfRule>
    <cfRule type="expression" dxfId="2911" priority="2923">
      <formula>$HT617=FALSE</formula>
    </cfRule>
  </conditionalFormatting>
  <conditionalFormatting sqref="G619">
    <cfRule type="expression" dxfId="2910" priority="2917" stopIfTrue="1">
      <formula>$G616=""</formula>
    </cfRule>
  </conditionalFormatting>
  <conditionalFormatting sqref="G619">
    <cfRule type="expression" dxfId="2909" priority="2911" stopIfTrue="1">
      <formula>$CN616="Exterior"</formula>
    </cfRule>
  </conditionalFormatting>
  <conditionalFormatting sqref="G619:L619">
    <cfRule type="containsBlanks" dxfId="2908" priority="2918" stopIfTrue="1">
      <formula>LEN(TRIM(G619))=0</formula>
    </cfRule>
    <cfRule type="expression" dxfId="2907" priority="2920">
      <formula>$HL617=FALSE</formula>
    </cfRule>
  </conditionalFormatting>
  <conditionalFormatting sqref="AF618">
    <cfRule type="expression" dxfId="2906" priority="2912" stopIfTrue="1">
      <formula>$G616=""</formula>
    </cfRule>
  </conditionalFormatting>
  <conditionalFormatting sqref="AF618:AI618">
    <cfRule type="expression" dxfId="2905" priority="2916">
      <formula>OR($HP617=FALSE,$HL617=FALSE)</formula>
    </cfRule>
  </conditionalFormatting>
  <conditionalFormatting sqref="AF618">
    <cfRule type="containsBlanks" dxfId="2904" priority="2913" stopIfTrue="1">
      <formula>LEN(TRIM(AF618))=0</formula>
    </cfRule>
    <cfRule type="expression" dxfId="2903" priority="2914">
      <formula>$DP616=7</formula>
    </cfRule>
    <cfRule type="expression" dxfId="2902" priority="2915">
      <formula>OR($HK617=FALSE,$HM617=FALSE)</formula>
    </cfRule>
  </conditionalFormatting>
  <conditionalFormatting sqref="G619:L619">
    <cfRule type="expression" dxfId="2901" priority="2919" stopIfTrue="1">
      <formula>$AF618=""</formula>
    </cfRule>
  </conditionalFormatting>
  <conditionalFormatting sqref="T617:U617">
    <cfRule type="expression" dxfId="2900" priority="2908" stopIfTrue="1">
      <formula>$C$36&lt;&gt;0</formula>
    </cfRule>
    <cfRule type="containsBlanks" dxfId="2899" priority="2909" stopIfTrue="1">
      <formula>LEN(TRIM(T617))=0</formula>
    </cfRule>
  </conditionalFormatting>
  <conditionalFormatting sqref="T617:U617">
    <cfRule type="expression" dxfId="2898" priority="2907" stopIfTrue="1">
      <formula>$G616=""</formula>
    </cfRule>
  </conditionalFormatting>
  <conditionalFormatting sqref="U617">
    <cfRule type="expression" dxfId="2897" priority="2910">
      <formula>$HE617=FALSE</formula>
    </cfRule>
  </conditionalFormatting>
  <conditionalFormatting sqref="T619">
    <cfRule type="expression" dxfId="2896" priority="2906">
      <formula>$C$36=2</formula>
    </cfRule>
  </conditionalFormatting>
  <conditionalFormatting sqref="AE623">
    <cfRule type="expression" dxfId="2895" priority="2892" stopIfTrue="1">
      <formula>$G621=""</formula>
    </cfRule>
  </conditionalFormatting>
  <conditionalFormatting sqref="AB624:AD624">
    <cfRule type="expression" dxfId="2894" priority="2904" stopIfTrue="1">
      <formula>$G621=""</formula>
    </cfRule>
  </conditionalFormatting>
  <conditionalFormatting sqref="G623">
    <cfRule type="expression" dxfId="2893" priority="2901" stopIfTrue="1">
      <formula>$G621=""</formula>
    </cfRule>
    <cfRule type="containsBlanks" dxfId="2892" priority="2902" stopIfTrue="1">
      <formula>LEN(TRIM(G623))=0</formula>
    </cfRule>
    <cfRule type="expression" dxfId="2891" priority="2903">
      <formula>OR($M623=0,$HC622=FALSE)</formula>
    </cfRule>
  </conditionalFormatting>
  <conditionalFormatting sqref="AB624">
    <cfRule type="expression" dxfId="2890" priority="2900" stopIfTrue="1">
      <formula>$AB624=""</formula>
    </cfRule>
  </conditionalFormatting>
  <conditionalFormatting sqref="AE622:AF622">
    <cfRule type="expression" dxfId="2889" priority="2899">
      <formula>$C$36=2</formula>
    </cfRule>
  </conditionalFormatting>
  <conditionalFormatting sqref="T623:U623">
    <cfRule type="expression" dxfId="2888" priority="2874" stopIfTrue="1">
      <formula>$G621=""</formula>
    </cfRule>
  </conditionalFormatting>
  <conditionalFormatting sqref="T623:U623">
    <cfRule type="containsBlanks" dxfId="2887" priority="2897" stopIfTrue="1">
      <formula>LEN(TRIM(T623))=0</formula>
    </cfRule>
  </conditionalFormatting>
  <conditionalFormatting sqref="AC621:AD621">
    <cfRule type="expression" dxfId="2886" priority="2896">
      <formula>$G621=""</formula>
    </cfRule>
  </conditionalFormatting>
  <conditionalFormatting sqref="AE622">
    <cfRule type="containsBlanks" dxfId="2885" priority="2894">
      <formula>LEN(TRIM(AE622))=0</formula>
    </cfRule>
  </conditionalFormatting>
  <conditionalFormatting sqref="AE623 AF624">
    <cfRule type="containsBlanks" dxfId="2884" priority="2893" stopIfTrue="1">
      <formula>LEN(TRIM(AE623))=0</formula>
    </cfRule>
  </conditionalFormatting>
  <conditionalFormatting sqref="AE623">
    <cfRule type="expression" dxfId="2883" priority="2905">
      <formula>OR($HN622=FALSE,$HO622=FALSE)</formula>
    </cfRule>
  </conditionalFormatting>
  <conditionalFormatting sqref="G622:Q622 G621">
    <cfRule type="containsBlanks" dxfId="2882" priority="2891">
      <formula>LEN(TRIM(G621))=0</formula>
    </cfRule>
  </conditionalFormatting>
  <conditionalFormatting sqref="G622:L622">
    <cfRule type="expression" dxfId="2881" priority="2889" stopIfTrue="1">
      <formula>$G621=""</formula>
    </cfRule>
    <cfRule type="containsBlanks" dxfId="2880" priority="2890">
      <formula>LEN(TRIM(G622))=0</formula>
    </cfRule>
  </conditionalFormatting>
  <conditionalFormatting sqref="R623">
    <cfRule type="expression" dxfId="2879" priority="2887" stopIfTrue="1">
      <formula>$G621=""</formula>
    </cfRule>
    <cfRule type="containsBlanks" dxfId="2878" priority="2888">
      <formula>LEN(TRIM(R623))=0</formula>
    </cfRule>
  </conditionalFormatting>
  <conditionalFormatting sqref="P623:R623">
    <cfRule type="expression" dxfId="2877" priority="2886">
      <formula>$C$36=0</formula>
    </cfRule>
  </conditionalFormatting>
  <conditionalFormatting sqref="AF622">
    <cfRule type="containsBlanks" dxfId="2876" priority="2882">
      <formula>LEN(TRIM(AF622))=0</formula>
    </cfRule>
    <cfRule type="expression" dxfId="2875" priority="2883">
      <formula>$HJ622=FALSE</formula>
    </cfRule>
  </conditionalFormatting>
  <conditionalFormatting sqref="AF624">
    <cfRule type="expression" dxfId="2874" priority="2881">
      <formula>$C$36=2</formula>
    </cfRule>
  </conditionalFormatting>
  <conditionalFormatting sqref="R622">
    <cfRule type="containsBlanks" dxfId="2873" priority="2880">
      <formula>LEN(TRIM(R622))=0</formula>
    </cfRule>
  </conditionalFormatting>
  <conditionalFormatting sqref="AE622:AF622">
    <cfRule type="expression" dxfId="2872" priority="2879" stopIfTrue="1">
      <formula>$G621=""</formula>
    </cfRule>
  </conditionalFormatting>
  <conditionalFormatting sqref="AF624">
    <cfRule type="expression" dxfId="2871" priority="2878" stopIfTrue="1">
      <formula>$G621=""</formula>
    </cfRule>
  </conditionalFormatting>
  <conditionalFormatting sqref="AF621:AI621">
    <cfRule type="expression" dxfId="2870" priority="2877">
      <formula>$C$36&lt;&gt;0</formula>
    </cfRule>
  </conditionalFormatting>
  <conditionalFormatting sqref="R622">
    <cfRule type="containsBlanks" dxfId="2869" priority="2875">
      <formula>LEN(TRIM(R622))=0</formula>
    </cfRule>
  </conditionalFormatting>
  <conditionalFormatting sqref="U623">
    <cfRule type="expression" dxfId="2868" priority="2898">
      <formula>OR($HF622=FALSE,$HG622=FALSE)</formula>
    </cfRule>
  </conditionalFormatting>
  <conditionalFormatting sqref="R622">
    <cfRule type="expression" dxfId="2867" priority="2872" stopIfTrue="1">
      <formula>$G621=""</formula>
    </cfRule>
    <cfRule type="expression" dxfId="2866" priority="2873">
      <formula>$HT622=FALSE</formula>
    </cfRule>
  </conditionalFormatting>
  <conditionalFormatting sqref="G624">
    <cfRule type="expression" dxfId="2865" priority="2867" stopIfTrue="1">
      <formula>$G621=""</formula>
    </cfRule>
  </conditionalFormatting>
  <conditionalFormatting sqref="G624">
    <cfRule type="expression" dxfId="2864" priority="2861" stopIfTrue="1">
      <formula>$CN621="Exterior"</formula>
    </cfRule>
  </conditionalFormatting>
  <conditionalFormatting sqref="G624:L624">
    <cfRule type="containsBlanks" dxfId="2863" priority="2868" stopIfTrue="1">
      <formula>LEN(TRIM(G624))=0</formula>
    </cfRule>
    <cfRule type="expression" dxfId="2862" priority="2870">
      <formula>$HL622=FALSE</formula>
    </cfRule>
  </conditionalFormatting>
  <conditionalFormatting sqref="AF623">
    <cfRule type="expression" dxfId="2861" priority="2862" stopIfTrue="1">
      <formula>$G621=""</formula>
    </cfRule>
  </conditionalFormatting>
  <conditionalFormatting sqref="AF623:AI623">
    <cfRule type="expression" dxfId="2860" priority="2866">
      <formula>OR($HP622=FALSE,$HL622=FALSE)</formula>
    </cfRule>
  </conditionalFormatting>
  <conditionalFormatting sqref="AF623">
    <cfRule type="containsBlanks" dxfId="2859" priority="2863" stopIfTrue="1">
      <formula>LEN(TRIM(AF623))=0</formula>
    </cfRule>
    <cfRule type="expression" dxfId="2858" priority="2864">
      <formula>$DP621=7</formula>
    </cfRule>
    <cfRule type="expression" dxfId="2857" priority="2865">
      <formula>OR($HK622=FALSE,$HM622=FALSE)</formula>
    </cfRule>
  </conditionalFormatting>
  <conditionalFormatting sqref="G624:L624">
    <cfRule type="expression" dxfId="2856" priority="2869" stopIfTrue="1">
      <formula>$AF623=""</formula>
    </cfRule>
  </conditionalFormatting>
  <conditionalFormatting sqref="T622:U622">
    <cfRule type="expression" dxfId="2855" priority="2858" stopIfTrue="1">
      <formula>$C$36&lt;&gt;0</formula>
    </cfRule>
    <cfRule type="containsBlanks" dxfId="2854" priority="2859" stopIfTrue="1">
      <formula>LEN(TRIM(T622))=0</formula>
    </cfRule>
  </conditionalFormatting>
  <conditionalFormatting sqref="T622:U622">
    <cfRule type="expression" dxfId="2853" priority="2857" stopIfTrue="1">
      <formula>$G621=""</formula>
    </cfRule>
  </conditionalFormatting>
  <conditionalFormatting sqref="U622">
    <cfRule type="expression" dxfId="2852" priority="2860">
      <formula>$HE622=FALSE</formula>
    </cfRule>
  </conditionalFormatting>
  <conditionalFormatting sqref="T624">
    <cfRule type="expression" dxfId="2851" priority="2856">
      <formula>$C$36=2</formula>
    </cfRule>
  </conditionalFormatting>
  <conditionalFormatting sqref="AE628">
    <cfRule type="expression" dxfId="2850" priority="2842" stopIfTrue="1">
      <formula>$G626=""</formula>
    </cfRule>
  </conditionalFormatting>
  <conditionalFormatting sqref="AB629:AD629">
    <cfRule type="expression" dxfId="2849" priority="2854" stopIfTrue="1">
      <formula>$G626=""</formula>
    </cfRule>
  </conditionalFormatting>
  <conditionalFormatting sqref="G628">
    <cfRule type="expression" dxfId="2848" priority="2851" stopIfTrue="1">
      <formula>$G626=""</formula>
    </cfRule>
    <cfRule type="containsBlanks" dxfId="2847" priority="2852" stopIfTrue="1">
      <formula>LEN(TRIM(G628))=0</formula>
    </cfRule>
    <cfRule type="expression" dxfId="2846" priority="2853">
      <formula>OR($M628=0,$HC627=FALSE)</formula>
    </cfRule>
  </conditionalFormatting>
  <conditionalFormatting sqref="AB629">
    <cfRule type="expression" dxfId="2845" priority="2850" stopIfTrue="1">
      <formula>$AB629=""</formula>
    </cfRule>
  </conditionalFormatting>
  <conditionalFormatting sqref="AE627:AF627">
    <cfRule type="expression" dxfId="2844" priority="2849">
      <formula>$C$36=2</formula>
    </cfRule>
  </conditionalFormatting>
  <conditionalFormatting sqref="T628:U628">
    <cfRule type="expression" dxfId="2843" priority="2824" stopIfTrue="1">
      <formula>$G626=""</formula>
    </cfRule>
  </conditionalFormatting>
  <conditionalFormatting sqref="T628:U628">
    <cfRule type="containsBlanks" dxfId="2842" priority="2847" stopIfTrue="1">
      <formula>LEN(TRIM(T628))=0</formula>
    </cfRule>
  </conditionalFormatting>
  <conditionalFormatting sqref="AC626:AD626">
    <cfRule type="expression" dxfId="2841" priority="2846">
      <formula>$G626=""</formula>
    </cfRule>
  </conditionalFormatting>
  <conditionalFormatting sqref="AE627">
    <cfRule type="containsBlanks" dxfId="2840" priority="2844">
      <formula>LEN(TRIM(AE627))=0</formula>
    </cfRule>
  </conditionalFormatting>
  <conditionalFormatting sqref="AE628 AF629">
    <cfRule type="containsBlanks" dxfId="2839" priority="2843" stopIfTrue="1">
      <formula>LEN(TRIM(AE628))=0</formula>
    </cfRule>
  </conditionalFormatting>
  <conditionalFormatting sqref="AE628">
    <cfRule type="expression" dxfId="2838" priority="2855">
      <formula>OR($HN627=FALSE,$HO627=FALSE)</formula>
    </cfRule>
  </conditionalFormatting>
  <conditionalFormatting sqref="G627:Q627 G626">
    <cfRule type="containsBlanks" dxfId="2837" priority="2841">
      <formula>LEN(TRIM(G626))=0</formula>
    </cfRule>
  </conditionalFormatting>
  <conditionalFormatting sqref="G627:L627">
    <cfRule type="expression" dxfId="2836" priority="2839" stopIfTrue="1">
      <formula>$G626=""</formula>
    </cfRule>
    <cfRule type="containsBlanks" dxfId="2835" priority="2840">
      <formula>LEN(TRIM(G627))=0</formula>
    </cfRule>
  </conditionalFormatting>
  <conditionalFormatting sqref="R628">
    <cfRule type="expression" dxfId="2834" priority="2837" stopIfTrue="1">
      <formula>$G626=""</formula>
    </cfRule>
    <cfRule type="containsBlanks" dxfId="2833" priority="2838">
      <formula>LEN(TRIM(R628))=0</formula>
    </cfRule>
  </conditionalFormatting>
  <conditionalFormatting sqref="P628:R628">
    <cfRule type="expression" dxfId="2832" priority="2836">
      <formula>$C$36=0</formula>
    </cfRule>
  </conditionalFormatting>
  <conditionalFormatting sqref="AF627">
    <cfRule type="containsBlanks" dxfId="2831" priority="2832">
      <formula>LEN(TRIM(AF627))=0</formula>
    </cfRule>
    <cfRule type="expression" dxfId="2830" priority="2833">
      <formula>$HJ627=FALSE</formula>
    </cfRule>
  </conditionalFormatting>
  <conditionalFormatting sqref="AF629">
    <cfRule type="expression" dxfId="2829" priority="2831">
      <formula>$C$36=2</formula>
    </cfRule>
  </conditionalFormatting>
  <conditionalFormatting sqref="R627">
    <cfRule type="containsBlanks" dxfId="2828" priority="2830">
      <formula>LEN(TRIM(R627))=0</formula>
    </cfRule>
  </conditionalFormatting>
  <conditionalFormatting sqref="AE627:AF627">
    <cfRule type="expression" dxfId="2827" priority="2829" stopIfTrue="1">
      <formula>$G626=""</formula>
    </cfRule>
  </conditionalFormatting>
  <conditionalFormatting sqref="AF629">
    <cfRule type="expression" dxfId="2826" priority="2828" stopIfTrue="1">
      <formula>$G626=""</formula>
    </cfRule>
  </conditionalFormatting>
  <conditionalFormatting sqref="AF626:AI626">
    <cfRule type="expression" dxfId="2825" priority="2827">
      <formula>$C$36&lt;&gt;0</formula>
    </cfRule>
  </conditionalFormatting>
  <conditionalFormatting sqref="R627">
    <cfRule type="containsBlanks" dxfId="2824" priority="2825">
      <formula>LEN(TRIM(R627))=0</formula>
    </cfRule>
  </conditionalFormatting>
  <conditionalFormatting sqref="U628">
    <cfRule type="expression" dxfId="2823" priority="2848">
      <formula>OR($HF627=FALSE,$HG627=FALSE)</formula>
    </cfRule>
  </conditionalFormatting>
  <conditionalFormatting sqref="R627">
    <cfRule type="expression" dxfId="2822" priority="2822" stopIfTrue="1">
      <formula>$G626=""</formula>
    </cfRule>
    <cfRule type="expression" dxfId="2821" priority="2823">
      <formula>$HT627=FALSE</formula>
    </cfRule>
  </conditionalFormatting>
  <conditionalFormatting sqref="G629">
    <cfRule type="expression" dxfId="2820" priority="2817" stopIfTrue="1">
      <formula>$G626=""</formula>
    </cfRule>
  </conditionalFormatting>
  <conditionalFormatting sqref="G629">
    <cfRule type="expression" dxfId="2819" priority="2811" stopIfTrue="1">
      <formula>$CN626="Exterior"</formula>
    </cfRule>
  </conditionalFormatting>
  <conditionalFormatting sqref="G629:L629">
    <cfRule type="containsBlanks" dxfId="2818" priority="2818" stopIfTrue="1">
      <formula>LEN(TRIM(G629))=0</formula>
    </cfRule>
    <cfRule type="expression" dxfId="2817" priority="2820">
      <formula>$HL627=FALSE</formula>
    </cfRule>
  </conditionalFormatting>
  <conditionalFormatting sqref="AF628">
    <cfRule type="expression" dxfId="2816" priority="2812" stopIfTrue="1">
      <formula>$G626=""</formula>
    </cfRule>
  </conditionalFormatting>
  <conditionalFormatting sqref="AF628:AI628">
    <cfRule type="expression" dxfId="2815" priority="2816">
      <formula>OR($HP627=FALSE,$HL627=FALSE)</formula>
    </cfRule>
  </conditionalFormatting>
  <conditionalFormatting sqref="AF628">
    <cfRule type="containsBlanks" dxfId="2814" priority="2813" stopIfTrue="1">
      <formula>LEN(TRIM(AF628))=0</formula>
    </cfRule>
    <cfRule type="expression" dxfId="2813" priority="2814">
      <formula>$DP626=7</formula>
    </cfRule>
    <cfRule type="expression" dxfId="2812" priority="2815">
      <formula>OR($HK627=FALSE,$HM627=FALSE)</formula>
    </cfRule>
  </conditionalFormatting>
  <conditionalFormatting sqref="G629:L629">
    <cfRule type="expression" dxfId="2811" priority="2819" stopIfTrue="1">
      <formula>$AF628=""</formula>
    </cfRule>
  </conditionalFormatting>
  <conditionalFormatting sqref="T627:U627">
    <cfRule type="expression" dxfId="2810" priority="2808" stopIfTrue="1">
      <formula>$C$36&lt;&gt;0</formula>
    </cfRule>
    <cfRule type="containsBlanks" dxfId="2809" priority="2809" stopIfTrue="1">
      <formula>LEN(TRIM(T627))=0</formula>
    </cfRule>
  </conditionalFormatting>
  <conditionalFormatting sqref="T627:U627">
    <cfRule type="expression" dxfId="2808" priority="2807" stopIfTrue="1">
      <formula>$G626=""</formula>
    </cfRule>
  </conditionalFormatting>
  <conditionalFormatting sqref="U627">
    <cfRule type="expression" dxfId="2807" priority="2810">
      <formula>$HE627=FALSE</formula>
    </cfRule>
  </conditionalFormatting>
  <conditionalFormatting sqref="T629">
    <cfRule type="expression" dxfId="2806" priority="2806">
      <formula>$C$36=2</formula>
    </cfRule>
  </conditionalFormatting>
  <conditionalFormatting sqref="AE633">
    <cfRule type="expression" dxfId="2805" priority="2792" stopIfTrue="1">
      <formula>$G631=""</formula>
    </cfRule>
  </conditionalFormatting>
  <conditionalFormatting sqref="AB634:AD634">
    <cfRule type="expression" dxfId="2804" priority="2804" stopIfTrue="1">
      <formula>$G631=""</formula>
    </cfRule>
  </conditionalFormatting>
  <conditionalFormatting sqref="G633">
    <cfRule type="expression" dxfId="2803" priority="2801" stopIfTrue="1">
      <formula>$G631=""</formula>
    </cfRule>
    <cfRule type="containsBlanks" dxfId="2802" priority="2802" stopIfTrue="1">
      <formula>LEN(TRIM(G633))=0</formula>
    </cfRule>
    <cfRule type="expression" dxfId="2801" priority="2803">
      <formula>OR($M633=0,$HC632=FALSE)</formula>
    </cfRule>
  </conditionalFormatting>
  <conditionalFormatting sqref="AB634">
    <cfRule type="expression" dxfId="2800" priority="2800" stopIfTrue="1">
      <formula>$AB634=""</formula>
    </cfRule>
  </conditionalFormatting>
  <conditionalFormatting sqref="AE632:AF632">
    <cfRule type="expression" dxfId="2799" priority="2799">
      <formula>$C$36=2</formula>
    </cfRule>
  </conditionalFormatting>
  <conditionalFormatting sqref="T633:U633">
    <cfRule type="expression" dxfId="2798" priority="2774" stopIfTrue="1">
      <formula>$G631=""</formula>
    </cfRule>
  </conditionalFormatting>
  <conditionalFormatting sqref="T633:U633">
    <cfRule type="containsBlanks" dxfId="2797" priority="2797" stopIfTrue="1">
      <formula>LEN(TRIM(T633))=0</formula>
    </cfRule>
  </conditionalFormatting>
  <conditionalFormatting sqref="AC631:AD631">
    <cfRule type="expression" dxfId="2796" priority="2796">
      <formula>$G631=""</formula>
    </cfRule>
  </conditionalFormatting>
  <conditionalFormatting sqref="AE632">
    <cfRule type="containsBlanks" dxfId="2795" priority="2794">
      <formula>LEN(TRIM(AE632))=0</formula>
    </cfRule>
  </conditionalFormatting>
  <conditionalFormatting sqref="AE633 AF634">
    <cfRule type="containsBlanks" dxfId="2794" priority="2793" stopIfTrue="1">
      <formula>LEN(TRIM(AE633))=0</formula>
    </cfRule>
  </conditionalFormatting>
  <conditionalFormatting sqref="AE633">
    <cfRule type="expression" dxfId="2793" priority="2805">
      <formula>OR($HN632=FALSE,$HO632=FALSE)</formula>
    </cfRule>
  </conditionalFormatting>
  <conditionalFormatting sqref="G632:Q632 G631">
    <cfRule type="containsBlanks" dxfId="2792" priority="2791">
      <formula>LEN(TRIM(G631))=0</formula>
    </cfRule>
  </conditionalFormatting>
  <conditionalFormatting sqref="G632:L632">
    <cfRule type="expression" dxfId="2791" priority="2789" stopIfTrue="1">
      <formula>$G631=""</formula>
    </cfRule>
    <cfRule type="containsBlanks" dxfId="2790" priority="2790">
      <formula>LEN(TRIM(G632))=0</formula>
    </cfRule>
  </conditionalFormatting>
  <conditionalFormatting sqref="R633">
    <cfRule type="expression" dxfId="2789" priority="2787" stopIfTrue="1">
      <formula>$G631=""</formula>
    </cfRule>
    <cfRule type="containsBlanks" dxfId="2788" priority="2788">
      <formula>LEN(TRIM(R633))=0</formula>
    </cfRule>
  </conditionalFormatting>
  <conditionalFormatting sqref="P633:R633">
    <cfRule type="expression" dxfId="2787" priority="2786">
      <formula>$C$36=0</formula>
    </cfRule>
  </conditionalFormatting>
  <conditionalFormatting sqref="AF632">
    <cfRule type="containsBlanks" dxfId="2786" priority="2782">
      <formula>LEN(TRIM(AF632))=0</formula>
    </cfRule>
    <cfRule type="expression" dxfId="2785" priority="2783">
      <formula>$HJ632=FALSE</formula>
    </cfRule>
  </conditionalFormatting>
  <conditionalFormatting sqref="AF634">
    <cfRule type="expression" dxfId="2784" priority="2781">
      <formula>$C$36=2</formula>
    </cfRule>
  </conditionalFormatting>
  <conditionalFormatting sqref="R632">
    <cfRule type="containsBlanks" dxfId="2783" priority="2780">
      <formula>LEN(TRIM(R632))=0</formula>
    </cfRule>
  </conditionalFormatting>
  <conditionalFormatting sqref="AE632:AF632">
    <cfRule type="expression" dxfId="2782" priority="2779" stopIfTrue="1">
      <formula>$G631=""</formula>
    </cfRule>
  </conditionalFormatting>
  <conditionalFormatting sqref="AF634">
    <cfRule type="expression" dxfId="2781" priority="2778" stopIfTrue="1">
      <formula>$G631=""</formula>
    </cfRule>
  </conditionalFormatting>
  <conditionalFormatting sqref="AF631:AI631">
    <cfRule type="expression" dxfId="2780" priority="2777">
      <formula>$C$36&lt;&gt;0</formula>
    </cfRule>
  </conditionalFormatting>
  <conditionalFormatting sqref="R632">
    <cfRule type="containsBlanks" dxfId="2779" priority="2775">
      <formula>LEN(TRIM(R632))=0</formula>
    </cfRule>
  </conditionalFormatting>
  <conditionalFormatting sqref="U633">
    <cfRule type="expression" dxfId="2778" priority="2798">
      <formula>OR($HF632=FALSE,$HG632=FALSE)</formula>
    </cfRule>
  </conditionalFormatting>
  <conditionalFormatting sqref="R632">
    <cfRule type="expression" dxfId="2777" priority="2772" stopIfTrue="1">
      <formula>$G631=""</formula>
    </cfRule>
    <cfRule type="expression" dxfId="2776" priority="2773">
      <formula>$HT632=FALSE</formula>
    </cfRule>
  </conditionalFormatting>
  <conditionalFormatting sqref="G634">
    <cfRule type="expression" dxfId="2775" priority="2767" stopIfTrue="1">
      <formula>$G631=""</formula>
    </cfRule>
  </conditionalFormatting>
  <conditionalFormatting sqref="G634">
    <cfRule type="expression" dxfId="2774" priority="2761" stopIfTrue="1">
      <formula>$CN631="Exterior"</formula>
    </cfRule>
  </conditionalFormatting>
  <conditionalFormatting sqref="G634:L634">
    <cfRule type="containsBlanks" dxfId="2773" priority="2768" stopIfTrue="1">
      <formula>LEN(TRIM(G634))=0</formula>
    </cfRule>
    <cfRule type="expression" dxfId="2772" priority="2770">
      <formula>$HL632=FALSE</formula>
    </cfRule>
  </conditionalFormatting>
  <conditionalFormatting sqref="AF633">
    <cfRule type="expression" dxfId="2771" priority="2762" stopIfTrue="1">
      <formula>$G631=""</formula>
    </cfRule>
  </conditionalFormatting>
  <conditionalFormatting sqref="AF633:AI633">
    <cfRule type="expression" dxfId="2770" priority="2766">
      <formula>OR($HP632=FALSE,$HL632=FALSE)</formula>
    </cfRule>
  </conditionalFormatting>
  <conditionalFormatting sqref="AF633">
    <cfRule type="containsBlanks" dxfId="2769" priority="2763" stopIfTrue="1">
      <formula>LEN(TRIM(AF633))=0</formula>
    </cfRule>
    <cfRule type="expression" dxfId="2768" priority="2764">
      <formula>$DP631=7</formula>
    </cfRule>
    <cfRule type="expression" dxfId="2767" priority="2765">
      <formula>OR($HK632=FALSE,$HM632=FALSE)</formula>
    </cfRule>
  </conditionalFormatting>
  <conditionalFormatting sqref="G634:L634">
    <cfRule type="expression" dxfId="2766" priority="2769" stopIfTrue="1">
      <formula>$AF633=""</formula>
    </cfRule>
  </conditionalFormatting>
  <conditionalFormatting sqref="T632:U632">
    <cfRule type="expression" dxfId="2765" priority="2758" stopIfTrue="1">
      <formula>$C$36&lt;&gt;0</formula>
    </cfRule>
    <cfRule type="containsBlanks" dxfId="2764" priority="2759" stopIfTrue="1">
      <formula>LEN(TRIM(T632))=0</formula>
    </cfRule>
  </conditionalFormatting>
  <conditionalFormatting sqref="T632:U632">
    <cfRule type="expression" dxfId="2763" priority="2757" stopIfTrue="1">
      <formula>$G631=""</formula>
    </cfRule>
  </conditionalFormatting>
  <conditionalFormatting sqref="U632">
    <cfRule type="expression" dxfId="2762" priority="2760">
      <formula>$HE632=FALSE</formula>
    </cfRule>
  </conditionalFormatting>
  <conditionalFormatting sqref="T634">
    <cfRule type="expression" dxfId="2761" priority="2756">
      <formula>$C$36=2</formula>
    </cfRule>
  </conditionalFormatting>
  <conditionalFormatting sqref="AJ641:AL641">
    <cfRule type="expression" dxfId="2760" priority="2755" stopIfTrue="1">
      <formula>$G639=""</formula>
    </cfRule>
  </conditionalFormatting>
  <conditionalFormatting sqref="AR639:AR642">
    <cfRule type="expression" dxfId="2759" priority="2752" stopIfTrue="1">
      <formula>$C$36=2</formula>
    </cfRule>
    <cfRule type="cellIs" dxfId="2758" priority="2753" operator="equal">
      <formula>"Yes"</formula>
    </cfRule>
    <cfRule type="cellIs" dxfId="2757" priority="2754" operator="equal">
      <formula>"No"</formula>
    </cfRule>
  </conditionalFormatting>
  <conditionalFormatting sqref="AJ639:AL640">
    <cfRule type="expression" dxfId="2756" priority="2751">
      <formula>$G639=""</formula>
    </cfRule>
  </conditionalFormatting>
  <conditionalFormatting sqref="AM639 AO639:AP642">
    <cfRule type="expression" dxfId="2755" priority="2750">
      <formula>$G639=""</formula>
    </cfRule>
  </conditionalFormatting>
  <conditionalFormatting sqref="AT639:AT642">
    <cfRule type="expression" dxfId="2754" priority="2749">
      <formula>$G639=""</formula>
    </cfRule>
  </conditionalFormatting>
  <conditionalFormatting sqref="E642:F642">
    <cfRule type="expression" dxfId="2753" priority="2748">
      <formula>$CN639="Exterior"</formula>
    </cfRule>
  </conditionalFormatting>
  <conditionalFormatting sqref="AJ646:AL646">
    <cfRule type="expression" dxfId="2752" priority="2747" stopIfTrue="1">
      <formula>$G644=""</formula>
    </cfRule>
  </conditionalFormatting>
  <conditionalFormatting sqref="AR644:AR647">
    <cfRule type="expression" dxfId="2751" priority="2744" stopIfTrue="1">
      <formula>$C$36=2</formula>
    </cfRule>
    <cfRule type="cellIs" dxfId="2750" priority="2745" operator="equal">
      <formula>"Yes"</formula>
    </cfRule>
    <cfRule type="cellIs" dxfId="2749" priority="2746" operator="equal">
      <formula>"No"</formula>
    </cfRule>
  </conditionalFormatting>
  <conditionalFormatting sqref="AJ644:AL645">
    <cfRule type="expression" dxfId="2748" priority="2743">
      <formula>$G644=""</formula>
    </cfRule>
  </conditionalFormatting>
  <conditionalFormatting sqref="AM644 AO644:AP647">
    <cfRule type="expression" dxfId="2747" priority="2742">
      <formula>$G644=""</formula>
    </cfRule>
  </conditionalFormatting>
  <conditionalFormatting sqref="AT644:AT647">
    <cfRule type="expression" dxfId="2746" priority="2741">
      <formula>$G644=""</formula>
    </cfRule>
  </conditionalFormatting>
  <conditionalFormatting sqref="E647:F647">
    <cfRule type="expression" dxfId="2745" priority="2740">
      <formula>$CN644="Exterior"</formula>
    </cfRule>
  </conditionalFormatting>
  <conditionalFormatting sqref="AJ651:AL651">
    <cfRule type="expression" dxfId="2744" priority="2739" stopIfTrue="1">
      <formula>$G649=""</formula>
    </cfRule>
  </conditionalFormatting>
  <conditionalFormatting sqref="AR649:AR652">
    <cfRule type="expression" dxfId="2743" priority="2736" stopIfTrue="1">
      <formula>$C$36=2</formula>
    </cfRule>
    <cfRule type="cellIs" dxfId="2742" priority="2737" operator="equal">
      <formula>"Yes"</formula>
    </cfRule>
    <cfRule type="cellIs" dxfId="2741" priority="2738" operator="equal">
      <formula>"No"</formula>
    </cfRule>
  </conditionalFormatting>
  <conditionalFormatting sqref="AJ649:AL650">
    <cfRule type="expression" dxfId="2740" priority="2735">
      <formula>$G649=""</formula>
    </cfRule>
  </conditionalFormatting>
  <conditionalFormatting sqref="AM649 AO649:AP652">
    <cfRule type="expression" dxfId="2739" priority="2734">
      <formula>$G649=""</formula>
    </cfRule>
  </conditionalFormatting>
  <conditionalFormatting sqref="AT649:AT652">
    <cfRule type="expression" dxfId="2738" priority="2733">
      <formula>$G649=""</formula>
    </cfRule>
  </conditionalFormatting>
  <conditionalFormatting sqref="E652:F652">
    <cfRule type="expression" dxfId="2737" priority="2732">
      <formula>$CN649="Exterior"</formula>
    </cfRule>
  </conditionalFormatting>
  <conditionalFormatting sqref="AJ656:AL656">
    <cfRule type="expression" dxfId="2736" priority="2731" stopIfTrue="1">
      <formula>$G654=""</formula>
    </cfRule>
  </conditionalFormatting>
  <conditionalFormatting sqref="AR654:AR657">
    <cfRule type="expression" dxfId="2735" priority="2728" stopIfTrue="1">
      <formula>$C$36=2</formula>
    </cfRule>
    <cfRule type="cellIs" dxfId="2734" priority="2729" operator="equal">
      <formula>"Yes"</formula>
    </cfRule>
    <cfRule type="cellIs" dxfId="2733" priority="2730" operator="equal">
      <formula>"No"</formula>
    </cfRule>
  </conditionalFormatting>
  <conditionalFormatting sqref="AJ654:AL655">
    <cfRule type="expression" dxfId="2732" priority="2727">
      <formula>$G654=""</formula>
    </cfRule>
  </conditionalFormatting>
  <conditionalFormatting sqref="AM654 AO654:AP657">
    <cfRule type="expression" dxfId="2731" priority="2726">
      <formula>$G654=""</formula>
    </cfRule>
  </conditionalFormatting>
  <conditionalFormatting sqref="AT654:AT657">
    <cfRule type="expression" dxfId="2730" priority="2725">
      <formula>$G654=""</formula>
    </cfRule>
  </conditionalFormatting>
  <conditionalFormatting sqref="E657:F657">
    <cfRule type="expression" dxfId="2729" priority="2724">
      <formula>$CN654="Exterior"</formula>
    </cfRule>
  </conditionalFormatting>
  <conditionalFormatting sqref="AJ661:AL661">
    <cfRule type="expression" dxfId="2728" priority="2723" stopIfTrue="1">
      <formula>$G659=""</formula>
    </cfRule>
  </conditionalFormatting>
  <conditionalFormatting sqref="AR659:AR662">
    <cfRule type="expression" dxfId="2727" priority="2720" stopIfTrue="1">
      <formula>$C$36=2</formula>
    </cfRule>
    <cfRule type="cellIs" dxfId="2726" priority="2721" operator="equal">
      <formula>"Yes"</formula>
    </cfRule>
    <cfRule type="cellIs" dxfId="2725" priority="2722" operator="equal">
      <formula>"No"</formula>
    </cfRule>
  </conditionalFormatting>
  <conditionalFormatting sqref="AJ659:AL660">
    <cfRule type="expression" dxfId="2724" priority="2719">
      <formula>$G659=""</formula>
    </cfRule>
  </conditionalFormatting>
  <conditionalFormatting sqref="AM659 AO659:AP662">
    <cfRule type="expression" dxfId="2723" priority="2718">
      <formula>$G659=""</formula>
    </cfRule>
  </conditionalFormatting>
  <conditionalFormatting sqref="AT659:AT662">
    <cfRule type="expression" dxfId="2722" priority="2717">
      <formula>$G659=""</formula>
    </cfRule>
  </conditionalFormatting>
  <conditionalFormatting sqref="E662:F662">
    <cfRule type="expression" dxfId="2721" priority="2716">
      <formula>$CN659="Exterior"</formula>
    </cfRule>
  </conditionalFormatting>
  <conditionalFormatting sqref="AJ666:AL666">
    <cfRule type="expression" dxfId="2720" priority="2715" stopIfTrue="1">
      <formula>$G664=""</formula>
    </cfRule>
  </conditionalFormatting>
  <conditionalFormatting sqref="AR664:AR667">
    <cfRule type="expression" dxfId="2719" priority="2712" stopIfTrue="1">
      <formula>$C$36=2</formula>
    </cfRule>
    <cfRule type="cellIs" dxfId="2718" priority="2713" operator="equal">
      <formula>"Yes"</formula>
    </cfRule>
    <cfRule type="cellIs" dxfId="2717" priority="2714" operator="equal">
      <formula>"No"</formula>
    </cfRule>
  </conditionalFormatting>
  <conditionalFormatting sqref="AJ664:AL665">
    <cfRule type="expression" dxfId="2716" priority="2711">
      <formula>$G664=""</formula>
    </cfRule>
  </conditionalFormatting>
  <conditionalFormatting sqref="AM664 AO664:AP667">
    <cfRule type="expression" dxfId="2715" priority="2710">
      <formula>$G664=""</formula>
    </cfRule>
  </conditionalFormatting>
  <conditionalFormatting sqref="AT664:AT667">
    <cfRule type="expression" dxfId="2714" priority="2709">
      <formula>$G664=""</formula>
    </cfRule>
  </conditionalFormatting>
  <conditionalFormatting sqref="E667:F667">
    <cfRule type="expression" dxfId="2713" priority="2708">
      <formula>$CN664="Exterior"</formula>
    </cfRule>
  </conditionalFormatting>
  <conditionalFormatting sqref="AJ671:AL671">
    <cfRule type="expression" dxfId="2712" priority="2707" stopIfTrue="1">
      <formula>$G669=""</formula>
    </cfRule>
  </conditionalFormatting>
  <conditionalFormatting sqref="AR669:AR672">
    <cfRule type="expression" dxfId="2711" priority="2704" stopIfTrue="1">
      <formula>$C$36=2</formula>
    </cfRule>
    <cfRule type="cellIs" dxfId="2710" priority="2705" operator="equal">
      <formula>"Yes"</formula>
    </cfRule>
    <cfRule type="cellIs" dxfId="2709" priority="2706" operator="equal">
      <formula>"No"</formula>
    </cfRule>
  </conditionalFormatting>
  <conditionalFormatting sqref="AJ669:AL670">
    <cfRule type="expression" dxfId="2708" priority="2703">
      <formula>$G669=""</formula>
    </cfRule>
  </conditionalFormatting>
  <conditionalFormatting sqref="AM669 AO669:AP672">
    <cfRule type="expression" dxfId="2707" priority="2702">
      <formula>$G669=""</formula>
    </cfRule>
  </conditionalFormatting>
  <conditionalFormatting sqref="AT669:AT672">
    <cfRule type="expression" dxfId="2706" priority="2701">
      <formula>$G669=""</formula>
    </cfRule>
  </conditionalFormatting>
  <conditionalFormatting sqref="E672:F672">
    <cfRule type="expression" dxfId="2705" priority="2700">
      <formula>$CN669="Exterior"</formula>
    </cfRule>
  </conditionalFormatting>
  <conditionalFormatting sqref="AJ676:AL676">
    <cfRule type="expression" dxfId="2704" priority="2699" stopIfTrue="1">
      <formula>$G674=""</formula>
    </cfRule>
  </conditionalFormatting>
  <conditionalFormatting sqref="AR674:AR677">
    <cfRule type="expression" dxfId="2703" priority="2696" stopIfTrue="1">
      <formula>$C$36=2</formula>
    </cfRule>
    <cfRule type="cellIs" dxfId="2702" priority="2697" operator="equal">
      <formula>"Yes"</formula>
    </cfRule>
    <cfRule type="cellIs" dxfId="2701" priority="2698" operator="equal">
      <formula>"No"</formula>
    </cfRule>
  </conditionalFormatting>
  <conditionalFormatting sqref="AJ674:AL675">
    <cfRule type="expression" dxfId="2700" priority="2695">
      <formula>$G674=""</formula>
    </cfRule>
  </conditionalFormatting>
  <conditionalFormatting sqref="AM674 AO674:AP677">
    <cfRule type="expression" dxfId="2699" priority="2694">
      <formula>$G674=""</formula>
    </cfRule>
  </conditionalFormatting>
  <conditionalFormatting sqref="AT674:AT677">
    <cfRule type="expression" dxfId="2698" priority="2693">
      <formula>$G674=""</formula>
    </cfRule>
  </conditionalFormatting>
  <conditionalFormatting sqref="E677:F677">
    <cfRule type="expression" dxfId="2697" priority="2692">
      <formula>$CN674="Exterior"</formula>
    </cfRule>
  </conditionalFormatting>
  <conditionalFormatting sqref="AJ681:AL681">
    <cfRule type="expression" dxfId="2696" priority="2691" stopIfTrue="1">
      <formula>$G679=""</formula>
    </cfRule>
  </conditionalFormatting>
  <conditionalFormatting sqref="AR679:AR682">
    <cfRule type="expression" dxfId="2695" priority="2688" stopIfTrue="1">
      <formula>$C$36=2</formula>
    </cfRule>
    <cfRule type="cellIs" dxfId="2694" priority="2689" operator="equal">
      <formula>"Yes"</formula>
    </cfRule>
    <cfRule type="cellIs" dxfId="2693" priority="2690" operator="equal">
      <formula>"No"</formula>
    </cfRule>
  </conditionalFormatting>
  <conditionalFormatting sqref="AJ679:AL680">
    <cfRule type="expression" dxfId="2692" priority="2687">
      <formula>$G679=""</formula>
    </cfRule>
  </conditionalFormatting>
  <conditionalFormatting sqref="AM679 AO679:AP682">
    <cfRule type="expression" dxfId="2691" priority="2686">
      <formula>$G679=""</formula>
    </cfRule>
  </conditionalFormatting>
  <conditionalFormatting sqref="AT679:AT682">
    <cfRule type="expression" dxfId="2690" priority="2685">
      <formula>$G679=""</formula>
    </cfRule>
  </conditionalFormatting>
  <conditionalFormatting sqref="E682:F682">
    <cfRule type="expression" dxfId="2689" priority="2684">
      <formula>$CN679="Exterior"</formula>
    </cfRule>
  </conditionalFormatting>
  <conditionalFormatting sqref="AJ686:AL686">
    <cfRule type="expression" dxfId="2688" priority="2683" stopIfTrue="1">
      <formula>$G684=""</formula>
    </cfRule>
  </conditionalFormatting>
  <conditionalFormatting sqref="AR684:AR687">
    <cfRule type="expression" dxfId="2687" priority="2680" stopIfTrue="1">
      <formula>$C$36=2</formula>
    </cfRule>
    <cfRule type="cellIs" dxfId="2686" priority="2681" operator="equal">
      <formula>"Yes"</formula>
    </cfRule>
    <cfRule type="cellIs" dxfId="2685" priority="2682" operator="equal">
      <formula>"No"</formula>
    </cfRule>
  </conditionalFormatting>
  <conditionalFormatting sqref="AJ684:AL685">
    <cfRule type="expression" dxfId="2684" priority="2679">
      <formula>$G684=""</formula>
    </cfRule>
  </conditionalFormatting>
  <conditionalFormatting sqref="AM684 AO684:AP687">
    <cfRule type="expression" dxfId="2683" priority="2678">
      <formula>$G684=""</formula>
    </cfRule>
  </conditionalFormatting>
  <conditionalFormatting sqref="AT684:AT687">
    <cfRule type="expression" dxfId="2682" priority="2677">
      <formula>$G684=""</formula>
    </cfRule>
  </conditionalFormatting>
  <conditionalFormatting sqref="E687:F687">
    <cfRule type="expression" dxfId="2681" priority="2676">
      <formula>$CN684="Exterior"</formula>
    </cfRule>
  </conditionalFormatting>
  <conditionalFormatting sqref="AJ691:AL691">
    <cfRule type="expression" dxfId="2680" priority="2675" stopIfTrue="1">
      <formula>$G689=""</formula>
    </cfRule>
  </conditionalFormatting>
  <conditionalFormatting sqref="AR689:AR692">
    <cfRule type="expression" dxfId="2679" priority="2672" stopIfTrue="1">
      <formula>$C$36=2</formula>
    </cfRule>
    <cfRule type="cellIs" dxfId="2678" priority="2673" operator="equal">
      <formula>"Yes"</formula>
    </cfRule>
    <cfRule type="cellIs" dxfId="2677" priority="2674" operator="equal">
      <formula>"No"</formula>
    </cfRule>
  </conditionalFormatting>
  <conditionalFormatting sqref="AJ689:AL690">
    <cfRule type="expression" dxfId="2676" priority="2671">
      <formula>$G689=""</formula>
    </cfRule>
  </conditionalFormatting>
  <conditionalFormatting sqref="AM689 AO689:AP692">
    <cfRule type="expression" dxfId="2675" priority="2670">
      <formula>$G689=""</formula>
    </cfRule>
  </conditionalFormatting>
  <conditionalFormatting sqref="AT689:AT692">
    <cfRule type="expression" dxfId="2674" priority="2669">
      <formula>$G689=""</formula>
    </cfRule>
  </conditionalFormatting>
  <conditionalFormatting sqref="E692:F692">
    <cfRule type="expression" dxfId="2673" priority="2668">
      <formula>$CN689="Exterior"</formula>
    </cfRule>
  </conditionalFormatting>
  <conditionalFormatting sqref="AJ696:AL696">
    <cfRule type="expression" dxfId="2672" priority="2667" stopIfTrue="1">
      <formula>$G694=""</formula>
    </cfRule>
  </conditionalFormatting>
  <conditionalFormatting sqref="AR694:AR697">
    <cfRule type="expression" dxfId="2671" priority="2664" stopIfTrue="1">
      <formula>$C$36=2</formula>
    </cfRule>
    <cfRule type="cellIs" dxfId="2670" priority="2665" operator="equal">
      <formula>"Yes"</formula>
    </cfRule>
    <cfRule type="cellIs" dxfId="2669" priority="2666" operator="equal">
      <formula>"No"</formula>
    </cfRule>
  </conditionalFormatting>
  <conditionalFormatting sqref="AJ694:AL695">
    <cfRule type="expression" dxfId="2668" priority="2663">
      <formula>$G694=""</formula>
    </cfRule>
  </conditionalFormatting>
  <conditionalFormatting sqref="AM694 AO694:AP697">
    <cfRule type="expression" dxfId="2667" priority="2662">
      <formula>$G694=""</formula>
    </cfRule>
  </conditionalFormatting>
  <conditionalFormatting sqref="AT694:AT697">
    <cfRule type="expression" dxfId="2666" priority="2661">
      <formula>$G694=""</formula>
    </cfRule>
  </conditionalFormatting>
  <conditionalFormatting sqref="E697:F697">
    <cfRule type="expression" dxfId="2665" priority="2660">
      <formula>$CN694="Exterior"</formula>
    </cfRule>
  </conditionalFormatting>
  <conditionalFormatting sqref="AJ701:AL701">
    <cfRule type="expression" dxfId="2664" priority="2659" stopIfTrue="1">
      <formula>$G699=""</formula>
    </cfRule>
  </conditionalFormatting>
  <conditionalFormatting sqref="AR699:AR702">
    <cfRule type="expression" dxfId="2663" priority="2656" stopIfTrue="1">
      <formula>$C$36=2</formula>
    </cfRule>
    <cfRule type="cellIs" dxfId="2662" priority="2657" operator="equal">
      <formula>"Yes"</formula>
    </cfRule>
    <cfRule type="cellIs" dxfId="2661" priority="2658" operator="equal">
      <formula>"No"</formula>
    </cfRule>
  </conditionalFormatting>
  <conditionalFormatting sqref="AJ699:AL700">
    <cfRule type="expression" dxfId="2660" priority="2655">
      <formula>$G699=""</formula>
    </cfRule>
  </conditionalFormatting>
  <conditionalFormatting sqref="AM699 AO699:AP702">
    <cfRule type="expression" dxfId="2659" priority="2654">
      <formula>$G699=""</formula>
    </cfRule>
  </conditionalFormatting>
  <conditionalFormatting sqref="AT699:AT702">
    <cfRule type="expression" dxfId="2658" priority="2653">
      <formula>$G699=""</formula>
    </cfRule>
  </conditionalFormatting>
  <conditionalFormatting sqref="E702:F702">
    <cfRule type="expression" dxfId="2657" priority="2652">
      <formula>$CN699="Exterior"</formula>
    </cfRule>
  </conditionalFormatting>
  <conditionalFormatting sqref="AJ706:AL706">
    <cfRule type="expression" dxfId="2656" priority="2651" stopIfTrue="1">
      <formula>$G704=""</formula>
    </cfRule>
  </conditionalFormatting>
  <conditionalFormatting sqref="AR704:AR707">
    <cfRule type="expression" dxfId="2655" priority="2648" stopIfTrue="1">
      <formula>$C$36=2</formula>
    </cfRule>
    <cfRule type="cellIs" dxfId="2654" priority="2649" operator="equal">
      <formula>"Yes"</formula>
    </cfRule>
    <cfRule type="cellIs" dxfId="2653" priority="2650" operator="equal">
      <formula>"No"</formula>
    </cfRule>
  </conditionalFormatting>
  <conditionalFormatting sqref="AJ704:AL705">
    <cfRule type="expression" dxfId="2652" priority="2647">
      <formula>$G704=""</formula>
    </cfRule>
  </conditionalFormatting>
  <conditionalFormatting sqref="AM704 AO704:AP707">
    <cfRule type="expression" dxfId="2651" priority="2646">
      <formula>$G704=""</formula>
    </cfRule>
  </conditionalFormatting>
  <conditionalFormatting sqref="AT704:AT707">
    <cfRule type="expression" dxfId="2650" priority="2645">
      <formula>$G704=""</formula>
    </cfRule>
  </conditionalFormatting>
  <conditionalFormatting sqref="E707:F707">
    <cfRule type="expression" dxfId="2649" priority="2644">
      <formula>$CN704="Exterior"</formula>
    </cfRule>
  </conditionalFormatting>
  <conditionalFormatting sqref="AJ711:AL711">
    <cfRule type="expression" dxfId="2648" priority="2643" stopIfTrue="1">
      <formula>$G709=""</formula>
    </cfRule>
  </conditionalFormatting>
  <conditionalFormatting sqref="AR709:AR712">
    <cfRule type="expression" dxfId="2647" priority="2640" stopIfTrue="1">
      <formula>$C$36=2</formula>
    </cfRule>
    <cfRule type="cellIs" dxfId="2646" priority="2641" operator="equal">
      <formula>"Yes"</formula>
    </cfRule>
    <cfRule type="cellIs" dxfId="2645" priority="2642" operator="equal">
      <formula>"No"</formula>
    </cfRule>
  </conditionalFormatting>
  <conditionalFormatting sqref="AJ709:AL710">
    <cfRule type="expression" dxfId="2644" priority="2639">
      <formula>$G709=""</formula>
    </cfRule>
  </conditionalFormatting>
  <conditionalFormatting sqref="AM709 AO709:AP712">
    <cfRule type="expression" dxfId="2643" priority="2638">
      <formula>$G709=""</formula>
    </cfRule>
  </conditionalFormatting>
  <conditionalFormatting sqref="AT709:AT712">
    <cfRule type="expression" dxfId="2642" priority="2637">
      <formula>$G709=""</formula>
    </cfRule>
  </conditionalFormatting>
  <conditionalFormatting sqref="E712:F712">
    <cfRule type="expression" dxfId="2641" priority="2636">
      <formula>$CN709="Exterior"</formula>
    </cfRule>
  </conditionalFormatting>
  <conditionalFormatting sqref="AE641">
    <cfRule type="expression" dxfId="2640" priority="2622" stopIfTrue="1">
      <formula>$G639=""</formula>
    </cfRule>
  </conditionalFormatting>
  <conditionalFormatting sqref="AB642:AD642">
    <cfRule type="expression" dxfId="2639" priority="2634" stopIfTrue="1">
      <formula>$G639=""</formula>
    </cfRule>
  </conditionalFormatting>
  <conditionalFormatting sqref="G641">
    <cfRule type="expression" dxfId="2638" priority="2631" stopIfTrue="1">
      <formula>$G639=""</formula>
    </cfRule>
    <cfRule type="containsBlanks" dxfId="2637" priority="2632" stopIfTrue="1">
      <formula>LEN(TRIM(G641))=0</formula>
    </cfRule>
    <cfRule type="expression" dxfId="2636" priority="2633">
      <formula>OR($M641=0,$HC640=FALSE)</formula>
    </cfRule>
  </conditionalFormatting>
  <conditionalFormatting sqref="AB642">
    <cfRule type="expression" dxfId="2635" priority="2630" stopIfTrue="1">
      <formula>$AB642=""</formula>
    </cfRule>
  </conditionalFormatting>
  <conditionalFormatting sqref="AE640:AF640">
    <cfRule type="expression" dxfId="2634" priority="2629">
      <formula>$C$36=2</formula>
    </cfRule>
  </conditionalFormatting>
  <conditionalFormatting sqref="T641:U641">
    <cfRule type="expression" dxfId="2633" priority="2604" stopIfTrue="1">
      <formula>$G639=""</formula>
    </cfRule>
  </conditionalFormatting>
  <conditionalFormatting sqref="T641:U641">
    <cfRule type="containsBlanks" dxfId="2632" priority="2627" stopIfTrue="1">
      <formula>LEN(TRIM(T641))=0</formula>
    </cfRule>
  </conditionalFormatting>
  <conditionalFormatting sqref="AC639:AD639">
    <cfRule type="expression" dxfId="2631" priority="2626">
      <formula>$G639=""</formula>
    </cfRule>
  </conditionalFormatting>
  <conditionalFormatting sqref="AE640">
    <cfRule type="containsBlanks" dxfId="2630" priority="2624">
      <formula>LEN(TRIM(AE640))=0</formula>
    </cfRule>
  </conditionalFormatting>
  <conditionalFormatting sqref="AE641 AF642">
    <cfRule type="containsBlanks" dxfId="2629" priority="2623" stopIfTrue="1">
      <formula>LEN(TRIM(AE641))=0</formula>
    </cfRule>
  </conditionalFormatting>
  <conditionalFormatting sqref="AE641">
    <cfRule type="expression" dxfId="2628" priority="2635">
      <formula>OR($HN640=FALSE,$HO640=FALSE)</formula>
    </cfRule>
  </conditionalFormatting>
  <conditionalFormatting sqref="G640:Q640 G639">
    <cfRule type="containsBlanks" dxfId="2627" priority="2621">
      <formula>LEN(TRIM(G639))=0</formula>
    </cfRule>
  </conditionalFormatting>
  <conditionalFormatting sqref="G640:L640">
    <cfRule type="expression" dxfId="2626" priority="2619" stopIfTrue="1">
      <formula>$G639=""</formula>
    </cfRule>
    <cfRule type="containsBlanks" dxfId="2625" priority="2620">
      <formula>LEN(TRIM(G640))=0</formula>
    </cfRule>
  </conditionalFormatting>
  <conditionalFormatting sqref="R641">
    <cfRule type="expression" dxfId="2624" priority="2617" stopIfTrue="1">
      <formula>$G639=""</formula>
    </cfRule>
    <cfRule type="containsBlanks" dxfId="2623" priority="2618">
      <formula>LEN(TRIM(R641))=0</formula>
    </cfRule>
  </conditionalFormatting>
  <conditionalFormatting sqref="P641:R641">
    <cfRule type="expression" dxfId="2622" priority="2616">
      <formula>$C$36=0</formula>
    </cfRule>
  </conditionalFormatting>
  <conditionalFormatting sqref="AF640">
    <cfRule type="containsBlanks" dxfId="2621" priority="2612">
      <formula>LEN(TRIM(AF640))=0</formula>
    </cfRule>
    <cfRule type="expression" dxfId="2620" priority="2613">
      <formula>$HJ640=FALSE</formula>
    </cfRule>
  </conditionalFormatting>
  <conditionalFormatting sqref="AF642">
    <cfRule type="expression" dxfId="2619" priority="2611">
      <formula>$C$36=2</formula>
    </cfRule>
  </conditionalFormatting>
  <conditionalFormatting sqref="R640">
    <cfRule type="containsBlanks" dxfId="2618" priority="2610">
      <formula>LEN(TRIM(R640))=0</formula>
    </cfRule>
  </conditionalFormatting>
  <conditionalFormatting sqref="AE640:AF640">
    <cfRule type="expression" dxfId="2617" priority="2609" stopIfTrue="1">
      <formula>$G639=""</formula>
    </cfRule>
  </conditionalFormatting>
  <conditionalFormatting sqref="AF642">
    <cfRule type="expression" dxfId="2616" priority="2608" stopIfTrue="1">
      <formula>$G639=""</formula>
    </cfRule>
  </conditionalFormatting>
  <conditionalFormatting sqref="AF639:AI639">
    <cfRule type="expression" dxfId="2615" priority="2607">
      <formula>$C$36&lt;&gt;0</formula>
    </cfRule>
  </conditionalFormatting>
  <conditionalFormatting sqref="R640">
    <cfRule type="containsBlanks" dxfId="2614" priority="2605">
      <formula>LEN(TRIM(R640))=0</formula>
    </cfRule>
  </conditionalFormatting>
  <conditionalFormatting sqref="U641">
    <cfRule type="expression" dxfId="2613" priority="2628">
      <formula>OR($HF640=FALSE,$HG640=FALSE)</formula>
    </cfRule>
  </conditionalFormatting>
  <conditionalFormatting sqref="R640">
    <cfRule type="expression" dxfId="2612" priority="2602" stopIfTrue="1">
      <formula>$G639=""</formula>
    </cfRule>
    <cfRule type="expression" dxfId="2611" priority="2603">
      <formula>$HT640=FALSE</formula>
    </cfRule>
  </conditionalFormatting>
  <conditionalFormatting sqref="G642">
    <cfRule type="expression" dxfId="2610" priority="2597" stopIfTrue="1">
      <formula>$G639=""</formula>
    </cfRule>
  </conditionalFormatting>
  <conditionalFormatting sqref="G642">
    <cfRule type="expression" dxfId="2609" priority="2591" stopIfTrue="1">
      <formula>$CN639="Exterior"</formula>
    </cfRule>
  </conditionalFormatting>
  <conditionalFormatting sqref="G642:L642">
    <cfRule type="containsBlanks" dxfId="2608" priority="2598" stopIfTrue="1">
      <formula>LEN(TRIM(G642))=0</formula>
    </cfRule>
    <cfRule type="expression" dxfId="2607" priority="2600">
      <formula>$HL640=FALSE</formula>
    </cfRule>
  </conditionalFormatting>
  <conditionalFormatting sqref="AF641">
    <cfRule type="expression" dxfId="2606" priority="2592" stopIfTrue="1">
      <formula>$G639=""</formula>
    </cfRule>
  </conditionalFormatting>
  <conditionalFormatting sqref="AF641:AI641">
    <cfRule type="expression" dxfId="2605" priority="2596">
      <formula>OR($HP640=FALSE,$HL640=FALSE)</formula>
    </cfRule>
  </conditionalFormatting>
  <conditionalFormatting sqref="AF641">
    <cfRule type="containsBlanks" dxfId="2604" priority="2593" stopIfTrue="1">
      <formula>LEN(TRIM(AF641))=0</formula>
    </cfRule>
    <cfRule type="expression" dxfId="2603" priority="2594">
      <formula>$DP639=7</formula>
    </cfRule>
    <cfRule type="expression" dxfId="2602" priority="2595">
      <formula>OR($HK640=FALSE,$HM640=FALSE)</formula>
    </cfRule>
  </conditionalFormatting>
  <conditionalFormatting sqref="G642:L642">
    <cfRule type="expression" dxfId="2601" priority="2599" stopIfTrue="1">
      <formula>$AF641=""</formula>
    </cfRule>
  </conditionalFormatting>
  <conditionalFormatting sqref="T640:U640">
    <cfRule type="expression" dxfId="2600" priority="2588" stopIfTrue="1">
      <formula>$C$36&lt;&gt;0</formula>
    </cfRule>
    <cfRule type="containsBlanks" dxfId="2599" priority="2589" stopIfTrue="1">
      <formula>LEN(TRIM(T640))=0</formula>
    </cfRule>
  </conditionalFormatting>
  <conditionalFormatting sqref="T640:U640">
    <cfRule type="expression" dxfId="2598" priority="2587" stopIfTrue="1">
      <formula>$G639=""</formula>
    </cfRule>
  </conditionalFormatting>
  <conditionalFormatting sqref="U640">
    <cfRule type="expression" dxfId="2597" priority="2590">
      <formula>$HE640=FALSE</formula>
    </cfRule>
  </conditionalFormatting>
  <conditionalFormatting sqref="T642">
    <cfRule type="expression" dxfId="2596" priority="2586">
      <formula>$C$36=2</formula>
    </cfRule>
  </conditionalFormatting>
  <conditionalFormatting sqref="AE646">
    <cfRule type="expression" dxfId="2595" priority="2572" stopIfTrue="1">
      <formula>$G644=""</formula>
    </cfRule>
  </conditionalFormatting>
  <conditionalFormatting sqref="AB647:AD647">
    <cfRule type="expression" dxfId="2594" priority="2584" stopIfTrue="1">
      <formula>$G644=""</formula>
    </cfRule>
  </conditionalFormatting>
  <conditionalFormatting sqref="G646">
    <cfRule type="expression" dxfId="2593" priority="2581" stopIfTrue="1">
      <formula>$G644=""</formula>
    </cfRule>
    <cfRule type="containsBlanks" dxfId="2592" priority="2582" stopIfTrue="1">
      <formula>LEN(TRIM(G646))=0</formula>
    </cfRule>
    <cfRule type="expression" dxfId="2591" priority="2583">
      <formula>OR($M646=0,$HC645=FALSE)</formula>
    </cfRule>
  </conditionalFormatting>
  <conditionalFormatting sqref="AB647">
    <cfRule type="expression" dxfId="2590" priority="2580" stopIfTrue="1">
      <formula>$AB647=""</formula>
    </cfRule>
  </conditionalFormatting>
  <conditionalFormatting sqref="AE645:AF645">
    <cfRule type="expression" dxfId="2589" priority="2579">
      <formula>$C$36=2</formula>
    </cfRule>
  </conditionalFormatting>
  <conditionalFormatting sqref="T646:U646">
    <cfRule type="expression" dxfId="2588" priority="2554" stopIfTrue="1">
      <formula>$G644=""</formula>
    </cfRule>
  </conditionalFormatting>
  <conditionalFormatting sqref="T646:U646">
    <cfRule type="containsBlanks" dxfId="2587" priority="2577" stopIfTrue="1">
      <formula>LEN(TRIM(T646))=0</formula>
    </cfRule>
  </conditionalFormatting>
  <conditionalFormatting sqref="AC644:AD644">
    <cfRule type="expression" dxfId="2586" priority="2576">
      <formula>$G644=""</formula>
    </cfRule>
  </conditionalFormatting>
  <conditionalFormatting sqref="AE645">
    <cfRule type="containsBlanks" dxfId="2585" priority="2574">
      <formula>LEN(TRIM(AE645))=0</formula>
    </cfRule>
  </conditionalFormatting>
  <conditionalFormatting sqref="AE646 AF647">
    <cfRule type="containsBlanks" dxfId="2584" priority="2573" stopIfTrue="1">
      <formula>LEN(TRIM(AE646))=0</formula>
    </cfRule>
  </conditionalFormatting>
  <conditionalFormatting sqref="AE646">
    <cfRule type="expression" dxfId="2583" priority="2585">
      <formula>OR($HN645=FALSE,$HO645=FALSE)</formula>
    </cfRule>
  </conditionalFormatting>
  <conditionalFormatting sqref="G645:Q645 G644">
    <cfRule type="containsBlanks" dxfId="2582" priority="2571">
      <formula>LEN(TRIM(G644))=0</formula>
    </cfRule>
  </conditionalFormatting>
  <conditionalFormatting sqref="G645:L645">
    <cfRule type="expression" dxfId="2581" priority="2569" stopIfTrue="1">
      <formula>$G644=""</formula>
    </cfRule>
    <cfRule type="containsBlanks" dxfId="2580" priority="2570">
      <formula>LEN(TRIM(G645))=0</formula>
    </cfRule>
  </conditionalFormatting>
  <conditionalFormatting sqref="R646">
    <cfRule type="expression" dxfId="2579" priority="2567" stopIfTrue="1">
      <formula>$G644=""</formula>
    </cfRule>
    <cfRule type="containsBlanks" dxfId="2578" priority="2568">
      <formula>LEN(TRIM(R646))=0</formula>
    </cfRule>
  </conditionalFormatting>
  <conditionalFormatting sqref="P646:R646">
    <cfRule type="expression" dxfId="2577" priority="2566">
      <formula>$C$36=0</formula>
    </cfRule>
  </conditionalFormatting>
  <conditionalFormatting sqref="AF645">
    <cfRule type="containsBlanks" dxfId="2576" priority="2562">
      <formula>LEN(TRIM(AF645))=0</formula>
    </cfRule>
    <cfRule type="expression" dxfId="2575" priority="2563">
      <formula>$HJ645=FALSE</formula>
    </cfRule>
  </conditionalFormatting>
  <conditionalFormatting sqref="AF647">
    <cfRule type="expression" dxfId="2574" priority="2561">
      <formula>$C$36=2</formula>
    </cfRule>
  </conditionalFormatting>
  <conditionalFormatting sqref="R645">
    <cfRule type="containsBlanks" dxfId="2573" priority="2560">
      <formula>LEN(TRIM(R645))=0</formula>
    </cfRule>
  </conditionalFormatting>
  <conditionalFormatting sqref="AE645:AF645">
    <cfRule type="expression" dxfId="2572" priority="2559" stopIfTrue="1">
      <formula>$G644=""</formula>
    </cfRule>
  </conditionalFormatting>
  <conditionalFormatting sqref="AF647">
    <cfRule type="expression" dxfId="2571" priority="2558" stopIfTrue="1">
      <formula>$G644=""</formula>
    </cfRule>
  </conditionalFormatting>
  <conditionalFormatting sqref="AF644:AI644">
    <cfRule type="expression" dxfId="2570" priority="2557">
      <formula>$C$36&lt;&gt;0</formula>
    </cfRule>
  </conditionalFormatting>
  <conditionalFormatting sqref="R645">
    <cfRule type="containsBlanks" dxfId="2569" priority="2555">
      <formula>LEN(TRIM(R645))=0</formula>
    </cfRule>
  </conditionalFormatting>
  <conditionalFormatting sqref="U646">
    <cfRule type="expression" dxfId="2568" priority="2578">
      <formula>OR($HF645=FALSE,$HG645=FALSE)</formula>
    </cfRule>
  </conditionalFormatting>
  <conditionalFormatting sqref="R645">
    <cfRule type="expression" dxfId="2567" priority="2552" stopIfTrue="1">
      <formula>$G644=""</formula>
    </cfRule>
    <cfRule type="expression" dxfId="2566" priority="2553">
      <formula>$HT645=FALSE</formula>
    </cfRule>
  </conditionalFormatting>
  <conditionalFormatting sqref="G647">
    <cfRule type="expression" dxfId="2565" priority="2547" stopIfTrue="1">
      <formula>$G644=""</formula>
    </cfRule>
  </conditionalFormatting>
  <conditionalFormatting sqref="G647">
    <cfRule type="expression" dxfId="2564" priority="2541" stopIfTrue="1">
      <formula>$CN644="Exterior"</formula>
    </cfRule>
  </conditionalFormatting>
  <conditionalFormatting sqref="G647:L647">
    <cfRule type="containsBlanks" dxfId="2563" priority="2548" stopIfTrue="1">
      <formula>LEN(TRIM(G647))=0</formula>
    </cfRule>
    <cfRule type="expression" dxfId="2562" priority="2550">
      <formula>$HL645=FALSE</formula>
    </cfRule>
  </conditionalFormatting>
  <conditionalFormatting sqref="AF646">
    <cfRule type="expression" dxfId="2561" priority="2542" stopIfTrue="1">
      <formula>$G644=""</formula>
    </cfRule>
  </conditionalFormatting>
  <conditionalFormatting sqref="AF646:AI646">
    <cfRule type="expression" dxfId="2560" priority="2546">
      <formula>OR($HP645=FALSE,$HL645=FALSE)</formula>
    </cfRule>
  </conditionalFormatting>
  <conditionalFormatting sqref="AF646">
    <cfRule type="containsBlanks" dxfId="2559" priority="2543" stopIfTrue="1">
      <formula>LEN(TRIM(AF646))=0</formula>
    </cfRule>
    <cfRule type="expression" dxfId="2558" priority="2544">
      <formula>$DP644=7</formula>
    </cfRule>
    <cfRule type="expression" dxfId="2557" priority="2545">
      <formula>OR($HK645=FALSE,$HM645=FALSE)</formula>
    </cfRule>
  </conditionalFormatting>
  <conditionalFormatting sqref="G647:L647">
    <cfRule type="expression" dxfId="2556" priority="2549" stopIfTrue="1">
      <formula>$AF646=""</formula>
    </cfRule>
  </conditionalFormatting>
  <conditionalFormatting sqref="T645:U645">
    <cfRule type="expression" dxfId="2555" priority="2538" stopIfTrue="1">
      <formula>$C$36&lt;&gt;0</formula>
    </cfRule>
    <cfRule type="containsBlanks" dxfId="2554" priority="2539" stopIfTrue="1">
      <formula>LEN(TRIM(T645))=0</formula>
    </cfRule>
  </conditionalFormatting>
  <conditionalFormatting sqref="T645:U645">
    <cfRule type="expression" dxfId="2553" priority="2537" stopIfTrue="1">
      <formula>$G644=""</formula>
    </cfRule>
  </conditionalFormatting>
  <conditionalFormatting sqref="U645">
    <cfRule type="expression" dxfId="2552" priority="2540">
      <formula>$HE645=FALSE</formula>
    </cfRule>
  </conditionalFormatting>
  <conditionalFormatting sqref="T647">
    <cfRule type="expression" dxfId="2551" priority="2536">
      <formula>$C$36=2</formula>
    </cfRule>
  </conditionalFormatting>
  <conditionalFormatting sqref="AE651">
    <cfRule type="expression" dxfId="2550" priority="2522" stopIfTrue="1">
      <formula>$G649=""</formula>
    </cfRule>
  </conditionalFormatting>
  <conditionalFormatting sqref="AB652:AD652">
    <cfRule type="expression" dxfId="2549" priority="2534" stopIfTrue="1">
      <formula>$G649=""</formula>
    </cfRule>
  </conditionalFormatting>
  <conditionalFormatting sqref="G651">
    <cfRule type="expression" dxfId="2548" priority="2531" stopIfTrue="1">
      <formula>$G649=""</formula>
    </cfRule>
    <cfRule type="containsBlanks" dxfId="2547" priority="2532" stopIfTrue="1">
      <formula>LEN(TRIM(G651))=0</formula>
    </cfRule>
    <cfRule type="expression" dxfId="2546" priority="2533">
      <formula>OR($M651=0,$HC650=FALSE)</formula>
    </cfRule>
  </conditionalFormatting>
  <conditionalFormatting sqref="AB652">
    <cfRule type="expression" dxfId="2545" priority="2530" stopIfTrue="1">
      <formula>$AB652=""</formula>
    </cfRule>
  </conditionalFormatting>
  <conditionalFormatting sqref="AE650:AF650">
    <cfRule type="expression" dxfId="2544" priority="2529">
      <formula>$C$36=2</formula>
    </cfRule>
  </conditionalFormatting>
  <conditionalFormatting sqref="T651:U651">
    <cfRule type="expression" dxfId="2543" priority="2504" stopIfTrue="1">
      <formula>$G649=""</formula>
    </cfRule>
  </conditionalFormatting>
  <conditionalFormatting sqref="T651:U651">
    <cfRule type="containsBlanks" dxfId="2542" priority="2527" stopIfTrue="1">
      <formula>LEN(TRIM(T651))=0</formula>
    </cfRule>
  </conditionalFormatting>
  <conditionalFormatting sqref="AC649:AD649">
    <cfRule type="expression" dxfId="2541" priority="2526">
      <formula>$G649=""</formula>
    </cfRule>
  </conditionalFormatting>
  <conditionalFormatting sqref="AE650">
    <cfRule type="containsBlanks" dxfId="2540" priority="2524">
      <formula>LEN(TRIM(AE650))=0</formula>
    </cfRule>
  </conditionalFormatting>
  <conditionalFormatting sqref="AE651 AF652">
    <cfRule type="containsBlanks" dxfId="2539" priority="2523" stopIfTrue="1">
      <formula>LEN(TRIM(AE651))=0</formula>
    </cfRule>
  </conditionalFormatting>
  <conditionalFormatting sqref="AE651">
    <cfRule type="expression" dxfId="2538" priority="2535">
      <formula>OR($HN650=FALSE,$HO650=FALSE)</formula>
    </cfRule>
  </conditionalFormatting>
  <conditionalFormatting sqref="G650:Q650 G649">
    <cfRule type="containsBlanks" dxfId="2537" priority="2521">
      <formula>LEN(TRIM(G649))=0</formula>
    </cfRule>
  </conditionalFormatting>
  <conditionalFormatting sqref="G650:L650">
    <cfRule type="expression" dxfId="2536" priority="2519" stopIfTrue="1">
      <formula>$G649=""</formula>
    </cfRule>
    <cfRule type="containsBlanks" dxfId="2535" priority="2520">
      <formula>LEN(TRIM(G650))=0</formula>
    </cfRule>
  </conditionalFormatting>
  <conditionalFormatting sqref="R651">
    <cfRule type="expression" dxfId="2534" priority="2517" stopIfTrue="1">
      <formula>$G649=""</formula>
    </cfRule>
    <cfRule type="containsBlanks" dxfId="2533" priority="2518">
      <formula>LEN(TRIM(R651))=0</formula>
    </cfRule>
  </conditionalFormatting>
  <conditionalFormatting sqref="P651:R651">
    <cfRule type="expression" dxfId="2532" priority="2516">
      <formula>$C$36=0</formula>
    </cfRule>
  </conditionalFormatting>
  <conditionalFormatting sqref="AF650">
    <cfRule type="containsBlanks" dxfId="2531" priority="2512">
      <formula>LEN(TRIM(AF650))=0</formula>
    </cfRule>
    <cfRule type="expression" dxfId="2530" priority="2513">
      <formula>$HJ650=FALSE</formula>
    </cfRule>
  </conditionalFormatting>
  <conditionalFormatting sqref="AF652">
    <cfRule type="expression" dxfId="2529" priority="2511">
      <formula>$C$36=2</formula>
    </cfRule>
  </conditionalFormatting>
  <conditionalFormatting sqref="R650">
    <cfRule type="containsBlanks" dxfId="2528" priority="2510">
      <formula>LEN(TRIM(R650))=0</formula>
    </cfRule>
  </conditionalFormatting>
  <conditionalFormatting sqref="AE650:AF650">
    <cfRule type="expression" dxfId="2527" priority="2509" stopIfTrue="1">
      <formula>$G649=""</formula>
    </cfRule>
  </conditionalFormatting>
  <conditionalFormatting sqref="AF652">
    <cfRule type="expression" dxfId="2526" priority="2508" stopIfTrue="1">
      <formula>$G649=""</formula>
    </cfRule>
  </conditionalFormatting>
  <conditionalFormatting sqref="AF649:AI649">
    <cfRule type="expression" dxfId="2525" priority="2507">
      <formula>$C$36&lt;&gt;0</formula>
    </cfRule>
  </conditionalFormatting>
  <conditionalFormatting sqref="R650">
    <cfRule type="containsBlanks" dxfId="2524" priority="2505">
      <formula>LEN(TRIM(R650))=0</formula>
    </cfRule>
  </conditionalFormatting>
  <conditionalFormatting sqref="U651">
    <cfRule type="expression" dxfId="2523" priority="2528">
      <formula>OR($HF650=FALSE,$HG650=FALSE)</formula>
    </cfRule>
  </conditionalFormatting>
  <conditionalFormatting sqref="R650">
    <cfRule type="expression" dxfId="2522" priority="2502" stopIfTrue="1">
      <formula>$G649=""</formula>
    </cfRule>
    <cfRule type="expression" dxfId="2521" priority="2503">
      <formula>$HT650=FALSE</formula>
    </cfRule>
  </conditionalFormatting>
  <conditionalFormatting sqref="G652">
    <cfRule type="expression" dxfId="2520" priority="2497" stopIfTrue="1">
      <formula>$G649=""</formula>
    </cfRule>
  </conditionalFormatting>
  <conditionalFormatting sqref="G652">
    <cfRule type="expression" dxfId="2519" priority="2491" stopIfTrue="1">
      <formula>$CN649="Exterior"</formula>
    </cfRule>
  </conditionalFormatting>
  <conditionalFormatting sqref="G652:L652">
    <cfRule type="containsBlanks" dxfId="2518" priority="2498" stopIfTrue="1">
      <formula>LEN(TRIM(G652))=0</formula>
    </cfRule>
    <cfRule type="expression" dxfId="2517" priority="2500">
      <formula>$HL650=FALSE</formula>
    </cfRule>
  </conditionalFormatting>
  <conditionalFormatting sqref="AF651">
    <cfRule type="expression" dxfId="2516" priority="2492" stopIfTrue="1">
      <formula>$G649=""</formula>
    </cfRule>
  </conditionalFormatting>
  <conditionalFormatting sqref="AF651:AI651">
    <cfRule type="expression" dxfId="2515" priority="2496">
      <formula>OR($HP650=FALSE,$HL650=FALSE)</formula>
    </cfRule>
  </conditionalFormatting>
  <conditionalFormatting sqref="AF651">
    <cfRule type="containsBlanks" dxfId="2514" priority="2493" stopIfTrue="1">
      <formula>LEN(TRIM(AF651))=0</formula>
    </cfRule>
    <cfRule type="expression" dxfId="2513" priority="2494">
      <formula>$DP649=7</formula>
    </cfRule>
    <cfRule type="expression" dxfId="2512" priority="2495">
      <formula>OR($HK650=FALSE,$HM650=FALSE)</formula>
    </cfRule>
  </conditionalFormatting>
  <conditionalFormatting sqref="G652:L652">
    <cfRule type="expression" dxfId="2511" priority="2499" stopIfTrue="1">
      <formula>$AF651=""</formula>
    </cfRule>
  </conditionalFormatting>
  <conditionalFormatting sqref="T650:U650">
    <cfRule type="expression" dxfId="2510" priority="2488" stopIfTrue="1">
      <formula>$C$36&lt;&gt;0</formula>
    </cfRule>
    <cfRule type="containsBlanks" dxfId="2509" priority="2489" stopIfTrue="1">
      <formula>LEN(TRIM(T650))=0</formula>
    </cfRule>
  </conditionalFormatting>
  <conditionalFormatting sqref="T650:U650">
    <cfRule type="expression" dxfId="2508" priority="2487" stopIfTrue="1">
      <formula>$G649=""</formula>
    </cfRule>
  </conditionalFormatting>
  <conditionalFormatting sqref="U650">
    <cfRule type="expression" dxfId="2507" priority="2490">
      <formula>$HE650=FALSE</formula>
    </cfRule>
  </conditionalFormatting>
  <conditionalFormatting sqref="T652">
    <cfRule type="expression" dxfId="2506" priority="2486">
      <formula>$C$36=2</formula>
    </cfRule>
  </conditionalFormatting>
  <conditionalFormatting sqref="AE656">
    <cfRule type="expression" dxfId="2505" priority="2472" stopIfTrue="1">
      <formula>$G654=""</formula>
    </cfRule>
  </conditionalFormatting>
  <conditionalFormatting sqref="AB657:AD657">
    <cfRule type="expression" dxfId="2504" priority="2484" stopIfTrue="1">
      <formula>$G654=""</formula>
    </cfRule>
  </conditionalFormatting>
  <conditionalFormatting sqref="G656">
    <cfRule type="expression" dxfId="2503" priority="2481" stopIfTrue="1">
      <formula>$G654=""</formula>
    </cfRule>
    <cfRule type="containsBlanks" dxfId="2502" priority="2482" stopIfTrue="1">
      <formula>LEN(TRIM(G656))=0</formula>
    </cfRule>
    <cfRule type="expression" dxfId="2501" priority="2483">
      <formula>OR($M656=0,$HC655=FALSE)</formula>
    </cfRule>
  </conditionalFormatting>
  <conditionalFormatting sqref="AB657">
    <cfRule type="expression" dxfId="2500" priority="2480" stopIfTrue="1">
      <formula>$AB657=""</formula>
    </cfRule>
  </conditionalFormatting>
  <conditionalFormatting sqref="AE655:AF655">
    <cfRule type="expression" dxfId="2499" priority="2479">
      <formula>$C$36=2</formula>
    </cfRule>
  </conditionalFormatting>
  <conditionalFormatting sqref="T656:U656">
    <cfRule type="expression" dxfId="2498" priority="2454" stopIfTrue="1">
      <formula>$G654=""</formula>
    </cfRule>
  </conditionalFormatting>
  <conditionalFormatting sqref="T656:U656">
    <cfRule type="containsBlanks" dxfId="2497" priority="2477" stopIfTrue="1">
      <formula>LEN(TRIM(T656))=0</formula>
    </cfRule>
  </conditionalFormatting>
  <conditionalFormatting sqref="AC654:AD654">
    <cfRule type="expression" dxfId="2496" priority="2476">
      <formula>$G654=""</formula>
    </cfRule>
  </conditionalFormatting>
  <conditionalFormatting sqref="AE655">
    <cfRule type="containsBlanks" dxfId="2495" priority="2474">
      <formula>LEN(TRIM(AE655))=0</formula>
    </cfRule>
  </conditionalFormatting>
  <conditionalFormatting sqref="AE656 AF657">
    <cfRule type="containsBlanks" dxfId="2494" priority="2473" stopIfTrue="1">
      <formula>LEN(TRIM(AE656))=0</formula>
    </cfRule>
  </conditionalFormatting>
  <conditionalFormatting sqref="AE656">
    <cfRule type="expression" dxfId="2493" priority="2485">
      <formula>OR($HN655=FALSE,$HO655=FALSE)</formula>
    </cfRule>
  </conditionalFormatting>
  <conditionalFormatting sqref="G655:Q655 G654">
    <cfRule type="containsBlanks" dxfId="2492" priority="2471">
      <formula>LEN(TRIM(G654))=0</formula>
    </cfRule>
  </conditionalFormatting>
  <conditionalFormatting sqref="G655:L655">
    <cfRule type="expression" dxfId="2491" priority="2469" stopIfTrue="1">
      <formula>$G654=""</formula>
    </cfRule>
    <cfRule type="containsBlanks" dxfId="2490" priority="2470">
      <formula>LEN(TRIM(G655))=0</formula>
    </cfRule>
  </conditionalFormatting>
  <conditionalFormatting sqref="R656">
    <cfRule type="expression" dxfId="2489" priority="2467" stopIfTrue="1">
      <formula>$G654=""</formula>
    </cfRule>
    <cfRule type="containsBlanks" dxfId="2488" priority="2468">
      <formula>LEN(TRIM(R656))=0</formula>
    </cfRule>
  </conditionalFormatting>
  <conditionalFormatting sqref="P656:R656">
    <cfRule type="expression" dxfId="2487" priority="2466">
      <formula>$C$36=0</formula>
    </cfRule>
  </conditionalFormatting>
  <conditionalFormatting sqref="AF655">
    <cfRule type="containsBlanks" dxfId="2486" priority="2462">
      <formula>LEN(TRIM(AF655))=0</formula>
    </cfRule>
    <cfRule type="expression" dxfId="2485" priority="2463">
      <formula>$HJ655=FALSE</formula>
    </cfRule>
  </conditionalFormatting>
  <conditionalFormatting sqref="AF657">
    <cfRule type="expression" dxfId="2484" priority="2461">
      <formula>$C$36=2</formula>
    </cfRule>
  </conditionalFormatting>
  <conditionalFormatting sqref="R655">
    <cfRule type="containsBlanks" dxfId="2483" priority="2460">
      <formula>LEN(TRIM(R655))=0</formula>
    </cfRule>
  </conditionalFormatting>
  <conditionalFormatting sqref="AE655:AF655">
    <cfRule type="expression" dxfId="2482" priority="2459" stopIfTrue="1">
      <formula>$G654=""</formula>
    </cfRule>
  </conditionalFormatting>
  <conditionalFormatting sqref="AF657">
    <cfRule type="expression" dxfId="2481" priority="2458" stopIfTrue="1">
      <formula>$G654=""</formula>
    </cfRule>
  </conditionalFormatting>
  <conditionalFormatting sqref="AF654:AI654">
    <cfRule type="expression" dxfId="2480" priority="2457">
      <formula>$C$36&lt;&gt;0</formula>
    </cfRule>
  </conditionalFormatting>
  <conditionalFormatting sqref="R655">
    <cfRule type="containsBlanks" dxfId="2479" priority="2455">
      <formula>LEN(TRIM(R655))=0</formula>
    </cfRule>
  </conditionalFormatting>
  <conditionalFormatting sqref="U656">
    <cfRule type="expression" dxfId="2478" priority="2478">
      <formula>OR($HF655=FALSE,$HG655=FALSE)</formula>
    </cfRule>
  </conditionalFormatting>
  <conditionalFormatting sqref="R655">
    <cfRule type="expression" dxfId="2477" priority="2452" stopIfTrue="1">
      <formula>$G654=""</formula>
    </cfRule>
    <cfRule type="expression" dxfId="2476" priority="2453">
      <formula>$HT655=FALSE</formula>
    </cfRule>
  </conditionalFormatting>
  <conditionalFormatting sqref="G657">
    <cfRule type="expression" dxfId="2475" priority="2447" stopIfTrue="1">
      <formula>$G654=""</formula>
    </cfRule>
  </conditionalFormatting>
  <conditionalFormatting sqref="G657">
    <cfRule type="expression" dxfId="2474" priority="2441" stopIfTrue="1">
      <formula>$CN654="Exterior"</formula>
    </cfRule>
  </conditionalFormatting>
  <conditionalFormatting sqref="G657:L657">
    <cfRule type="containsBlanks" dxfId="2473" priority="2448" stopIfTrue="1">
      <formula>LEN(TRIM(G657))=0</formula>
    </cfRule>
    <cfRule type="expression" dxfId="2472" priority="2450">
      <formula>$HL655=FALSE</formula>
    </cfRule>
  </conditionalFormatting>
  <conditionalFormatting sqref="AF656">
    <cfRule type="expression" dxfId="2471" priority="2442" stopIfTrue="1">
      <formula>$G654=""</formula>
    </cfRule>
  </conditionalFormatting>
  <conditionalFormatting sqref="AF656:AI656">
    <cfRule type="expression" dxfId="2470" priority="2446">
      <formula>OR($HP655=FALSE,$HL655=FALSE)</formula>
    </cfRule>
  </conditionalFormatting>
  <conditionalFormatting sqref="AF656">
    <cfRule type="containsBlanks" dxfId="2469" priority="2443" stopIfTrue="1">
      <formula>LEN(TRIM(AF656))=0</formula>
    </cfRule>
    <cfRule type="expression" dxfId="2468" priority="2444">
      <formula>$DP654=7</formula>
    </cfRule>
    <cfRule type="expression" dxfId="2467" priority="2445">
      <formula>OR($HK655=FALSE,$HM655=FALSE)</formula>
    </cfRule>
  </conditionalFormatting>
  <conditionalFormatting sqref="G657:L657">
    <cfRule type="expression" dxfId="2466" priority="2449" stopIfTrue="1">
      <formula>$AF656=""</formula>
    </cfRule>
  </conditionalFormatting>
  <conditionalFormatting sqref="T655:U655">
    <cfRule type="expression" dxfId="2465" priority="2438" stopIfTrue="1">
      <formula>$C$36&lt;&gt;0</formula>
    </cfRule>
    <cfRule type="containsBlanks" dxfId="2464" priority="2439" stopIfTrue="1">
      <formula>LEN(TRIM(T655))=0</formula>
    </cfRule>
  </conditionalFormatting>
  <conditionalFormatting sqref="T655:U655">
    <cfRule type="expression" dxfId="2463" priority="2437" stopIfTrue="1">
      <formula>$G654=""</formula>
    </cfRule>
  </conditionalFormatting>
  <conditionalFormatting sqref="U655">
    <cfRule type="expression" dxfId="2462" priority="2440">
      <formula>$HE655=FALSE</formula>
    </cfRule>
  </conditionalFormatting>
  <conditionalFormatting sqref="T657">
    <cfRule type="expression" dxfId="2461" priority="2436">
      <formula>$C$36=2</formula>
    </cfRule>
  </conditionalFormatting>
  <conditionalFormatting sqref="AE661">
    <cfRule type="expression" dxfId="2460" priority="2422" stopIfTrue="1">
      <formula>$G659=""</formula>
    </cfRule>
  </conditionalFormatting>
  <conditionalFormatting sqref="AB662:AD662">
    <cfRule type="expression" dxfId="2459" priority="2434" stopIfTrue="1">
      <formula>$G659=""</formula>
    </cfRule>
  </conditionalFormatting>
  <conditionalFormatting sqref="G661">
    <cfRule type="expression" dxfId="2458" priority="2431" stopIfTrue="1">
      <formula>$G659=""</formula>
    </cfRule>
    <cfRule type="containsBlanks" dxfId="2457" priority="2432" stopIfTrue="1">
      <formula>LEN(TRIM(G661))=0</formula>
    </cfRule>
    <cfRule type="expression" dxfId="2456" priority="2433">
      <formula>OR($M661=0,$HC660=FALSE)</formula>
    </cfRule>
  </conditionalFormatting>
  <conditionalFormatting sqref="AB662">
    <cfRule type="expression" dxfId="2455" priority="2430" stopIfTrue="1">
      <formula>$AB662=""</formula>
    </cfRule>
  </conditionalFormatting>
  <conditionalFormatting sqref="AE660:AF660">
    <cfRule type="expression" dxfId="2454" priority="2429">
      <formula>$C$36=2</formula>
    </cfRule>
  </conditionalFormatting>
  <conditionalFormatting sqref="T661:U661">
    <cfRule type="expression" dxfId="2453" priority="2404" stopIfTrue="1">
      <formula>$G659=""</formula>
    </cfRule>
  </conditionalFormatting>
  <conditionalFormatting sqref="T661:U661">
    <cfRule type="containsBlanks" dxfId="2452" priority="2427" stopIfTrue="1">
      <formula>LEN(TRIM(T661))=0</formula>
    </cfRule>
  </conditionalFormatting>
  <conditionalFormatting sqref="AC659:AD659">
    <cfRule type="expression" dxfId="2451" priority="2426">
      <formula>$G659=""</formula>
    </cfRule>
  </conditionalFormatting>
  <conditionalFormatting sqref="AE660">
    <cfRule type="containsBlanks" dxfId="2450" priority="2424">
      <formula>LEN(TRIM(AE660))=0</formula>
    </cfRule>
  </conditionalFormatting>
  <conditionalFormatting sqref="AE661 AF662">
    <cfRule type="containsBlanks" dxfId="2449" priority="2423" stopIfTrue="1">
      <formula>LEN(TRIM(AE661))=0</formula>
    </cfRule>
  </conditionalFormatting>
  <conditionalFormatting sqref="AE661">
    <cfRule type="expression" dxfId="2448" priority="2435">
      <formula>OR($HN660=FALSE,$HO660=FALSE)</formula>
    </cfRule>
  </conditionalFormatting>
  <conditionalFormatting sqref="G660:Q660 G659">
    <cfRule type="containsBlanks" dxfId="2447" priority="2421">
      <formula>LEN(TRIM(G659))=0</formula>
    </cfRule>
  </conditionalFormatting>
  <conditionalFormatting sqref="G660:L660">
    <cfRule type="expression" dxfId="2446" priority="2419" stopIfTrue="1">
      <formula>$G659=""</formula>
    </cfRule>
    <cfRule type="containsBlanks" dxfId="2445" priority="2420">
      <formula>LEN(TRIM(G660))=0</formula>
    </cfRule>
  </conditionalFormatting>
  <conditionalFormatting sqref="R661">
    <cfRule type="expression" dxfId="2444" priority="2417" stopIfTrue="1">
      <formula>$G659=""</formula>
    </cfRule>
    <cfRule type="containsBlanks" dxfId="2443" priority="2418">
      <formula>LEN(TRIM(R661))=0</formula>
    </cfRule>
  </conditionalFormatting>
  <conditionalFormatting sqref="P661:R661">
    <cfRule type="expression" dxfId="2442" priority="2416">
      <formula>$C$36=0</formula>
    </cfRule>
  </conditionalFormatting>
  <conditionalFormatting sqref="AF660">
    <cfRule type="containsBlanks" dxfId="2441" priority="2412">
      <formula>LEN(TRIM(AF660))=0</formula>
    </cfRule>
    <cfRule type="expression" dxfId="2440" priority="2413">
      <formula>$HJ660=FALSE</formula>
    </cfRule>
  </conditionalFormatting>
  <conditionalFormatting sqref="AF662">
    <cfRule type="expression" dxfId="2439" priority="2411">
      <formula>$C$36=2</formula>
    </cfRule>
  </conditionalFormatting>
  <conditionalFormatting sqref="R660">
    <cfRule type="containsBlanks" dxfId="2438" priority="2410">
      <formula>LEN(TRIM(R660))=0</formula>
    </cfRule>
  </conditionalFormatting>
  <conditionalFormatting sqref="AE660:AF660">
    <cfRule type="expression" dxfId="2437" priority="2409" stopIfTrue="1">
      <formula>$G659=""</formula>
    </cfRule>
  </conditionalFormatting>
  <conditionalFormatting sqref="AF662">
    <cfRule type="expression" dxfId="2436" priority="2408" stopIfTrue="1">
      <formula>$G659=""</formula>
    </cfRule>
  </conditionalFormatting>
  <conditionalFormatting sqref="AF659:AI659">
    <cfRule type="expression" dxfId="2435" priority="2407">
      <formula>$C$36&lt;&gt;0</formula>
    </cfRule>
  </conditionalFormatting>
  <conditionalFormatting sqref="R660">
    <cfRule type="containsBlanks" dxfId="2434" priority="2405">
      <formula>LEN(TRIM(R660))=0</formula>
    </cfRule>
  </conditionalFormatting>
  <conditionalFormatting sqref="U661">
    <cfRule type="expression" dxfId="2433" priority="2428">
      <formula>OR($HF660=FALSE,$HG660=FALSE)</formula>
    </cfRule>
  </conditionalFormatting>
  <conditionalFormatting sqref="R660">
    <cfRule type="expression" dxfId="2432" priority="2402" stopIfTrue="1">
      <formula>$G659=""</formula>
    </cfRule>
    <cfRule type="expression" dxfId="2431" priority="2403">
      <formula>$HT660=FALSE</formula>
    </cfRule>
  </conditionalFormatting>
  <conditionalFormatting sqref="G662">
    <cfRule type="expression" dxfId="2430" priority="2397" stopIfTrue="1">
      <formula>$G659=""</formula>
    </cfRule>
  </conditionalFormatting>
  <conditionalFormatting sqref="G662">
    <cfRule type="expression" dxfId="2429" priority="2391" stopIfTrue="1">
      <formula>$CN659="Exterior"</formula>
    </cfRule>
  </conditionalFormatting>
  <conditionalFormatting sqref="G662:L662">
    <cfRule type="containsBlanks" dxfId="2428" priority="2398" stopIfTrue="1">
      <formula>LEN(TRIM(G662))=0</formula>
    </cfRule>
    <cfRule type="expression" dxfId="2427" priority="2400">
      <formula>$HL660=FALSE</formula>
    </cfRule>
  </conditionalFormatting>
  <conditionalFormatting sqref="AF661">
    <cfRule type="expression" dxfId="2426" priority="2392" stopIfTrue="1">
      <formula>$G659=""</formula>
    </cfRule>
  </conditionalFormatting>
  <conditionalFormatting sqref="AF661:AI661">
    <cfRule type="expression" dxfId="2425" priority="2396">
      <formula>OR($HP660=FALSE,$HL660=FALSE)</formula>
    </cfRule>
  </conditionalFormatting>
  <conditionalFormatting sqref="AF661">
    <cfRule type="containsBlanks" dxfId="2424" priority="2393" stopIfTrue="1">
      <formula>LEN(TRIM(AF661))=0</formula>
    </cfRule>
    <cfRule type="expression" dxfId="2423" priority="2394">
      <formula>$DP659=7</formula>
    </cfRule>
    <cfRule type="expression" dxfId="2422" priority="2395">
      <formula>OR($HK660=FALSE,$HM660=FALSE)</formula>
    </cfRule>
  </conditionalFormatting>
  <conditionalFormatting sqref="G662:L662">
    <cfRule type="expression" dxfId="2421" priority="2399" stopIfTrue="1">
      <formula>$AF661=""</formula>
    </cfRule>
  </conditionalFormatting>
  <conditionalFormatting sqref="T660:U660">
    <cfRule type="expression" dxfId="2420" priority="2388" stopIfTrue="1">
      <formula>$C$36&lt;&gt;0</formula>
    </cfRule>
    <cfRule type="containsBlanks" dxfId="2419" priority="2389" stopIfTrue="1">
      <formula>LEN(TRIM(T660))=0</formula>
    </cfRule>
  </conditionalFormatting>
  <conditionalFormatting sqref="T660:U660">
    <cfRule type="expression" dxfId="2418" priority="2387" stopIfTrue="1">
      <formula>$G659=""</formula>
    </cfRule>
  </conditionalFormatting>
  <conditionalFormatting sqref="U660">
    <cfRule type="expression" dxfId="2417" priority="2390">
      <formula>$HE660=FALSE</formula>
    </cfRule>
  </conditionalFormatting>
  <conditionalFormatting sqref="T662">
    <cfRule type="expression" dxfId="2416" priority="2386">
      <formula>$C$36=2</formula>
    </cfRule>
  </conditionalFormatting>
  <conditionalFormatting sqref="AE666">
    <cfRule type="expression" dxfId="2415" priority="2372" stopIfTrue="1">
      <formula>$G664=""</formula>
    </cfRule>
  </conditionalFormatting>
  <conditionalFormatting sqref="AB667:AD667">
    <cfRule type="expression" dxfId="2414" priority="2384" stopIfTrue="1">
      <formula>$G664=""</formula>
    </cfRule>
  </conditionalFormatting>
  <conditionalFormatting sqref="G666">
    <cfRule type="expression" dxfId="2413" priority="2381" stopIfTrue="1">
      <formula>$G664=""</formula>
    </cfRule>
    <cfRule type="containsBlanks" dxfId="2412" priority="2382" stopIfTrue="1">
      <formula>LEN(TRIM(G666))=0</formula>
    </cfRule>
    <cfRule type="expression" dxfId="2411" priority="2383">
      <formula>OR($M666=0,$HC665=FALSE)</formula>
    </cfRule>
  </conditionalFormatting>
  <conditionalFormatting sqref="AB667">
    <cfRule type="expression" dxfId="2410" priority="2380" stopIfTrue="1">
      <formula>$AB667=""</formula>
    </cfRule>
  </conditionalFormatting>
  <conditionalFormatting sqref="AE665:AF665">
    <cfRule type="expression" dxfId="2409" priority="2379">
      <formula>$C$36=2</formula>
    </cfRule>
  </conditionalFormatting>
  <conditionalFormatting sqref="T666:U666">
    <cfRule type="expression" dxfId="2408" priority="2354" stopIfTrue="1">
      <formula>$G664=""</formula>
    </cfRule>
  </conditionalFormatting>
  <conditionalFormatting sqref="T666:U666">
    <cfRule type="containsBlanks" dxfId="2407" priority="2377" stopIfTrue="1">
      <formula>LEN(TRIM(T666))=0</formula>
    </cfRule>
  </conditionalFormatting>
  <conditionalFormatting sqref="AC664:AD664">
    <cfRule type="expression" dxfId="2406" priority="2376">
      <formula>$G664=""</formula>
    </cfRule>
  </conditionalFormatting>
  <conditionalFormatting sqref="AE665">
    <cfRule type="containsBlanks" dxfId="2405" priority="2374">
      <formula>LEN(TRIM(AE665))=0</formula>
    </cfRule>
  </conditionalFormatting>
  <conditionalFormatting sqref="AE666 AF667">
    <cfRule type="containsBlanks" dxfId="2404" priority="2373" stopIfTrue="1">
      <formula>LEN(TRIM(AE666))=0</formula>
    </cfRule>
  </conditionalFormatting>
  <conditionalFormatting sqref="AE666">
    <cfRule type="expression" dxfId="2403" priority="2385">
      <formula>OR($HN665=FALSE,$HO665=FALSE)</formula>
    </cfRule>
  </conditionalFormatting>
  <conditionalFormatting sqref="G665:Q665 G664">
    <cfRule type="containsBlanks" dxfId="2402" priority="2371">
      <formula>LEN(TRIM(G664))=0</formula>
    </cfRule>
  </conditionalFormatting>
  <conditionalFormatting sqref="G665:L665">
    <cfRule type="expression" dxfId="2401" priority="2369" stopIfTrue="1">
      <formula>$G664=""</formula>
    </cfRule>
    <cfRule type="containsBlanks" dxfId="2400" priority="2370">
      <formula>LEN(TRIM(G665))=0</formula>
    </cfRule>
  </conditionalFormatting>
  <conditionalFormatting sqref="R666">
    <cfRule type="expression" dxfId="2399" priority="2367" stopIfTrue="1">
      <formula>$G664=""</formula>
    </cfRule>
    <cfRule type="containsBlanks" dxfId="2398" priority="2368">
      <formula>LEN(TRIM(R666))=0</formula>
    </cfRule>
  </conditionalFormatting>
  <conditionalFormatting sqref="P666:R666">
    <cfRule type="expression" dxfId="2397" priority="2366">
      <formula>$C$36=0</formula>
    </cfRule>
  </conditionalFormatting>
  <conditionalFormatting sqref="AF665">
    <cfRule type="containsBlanks" dxfId="2396" priority="2362">
      <formula>LEN(TRIM(AF665))=0</formula>
    </cfRule>
    <cfRule type="expression" dxfId="2395" priority="2363">
      <formula>$HJ665=FALSE</formula>
    </cfRule>
  </conditionalFormatting>
  <conditionalFormatting sqref="AF667">
    <cfRule type="expression" dxfId="2394" priority="2361">
      <formula>$C$36=2</formula>
    </cfRule>
  </conditionalFormatting>
  <conditionalFormatting sqref="R665">
    <cfRule type="containsBlanks" dxfId="2393" priority="2360">
      <formula>LEN(TRIM(R665))=0</formula>
    </cfRule>
  </conditionalFormatting>
  <conditionalFormatting sqref="AE665:AF665">
    <cfRule type="expression" dxfId="2392" priority="2359" stopIfTrue="1">
      <formula>$G664=""</formula>
    </cfRule>
  </conditionalFormatting>
  <conditionalFormatting sqref="AF667">
    <cfRule type="expression" dxfId="2391" priority="2358" stopIfTrue="1">
      <formula>$G664=""</formula>
    </cfRule>
  </conditionalFormatting>
  <conditionalFormatting sqref="AF664:AI664">
    <cfRule type="expression" dxfId="2390" priority="2357">
      <formula>$C$36&lt;&gt;0</formula>
    </cfRule>
  </conditionalFormatting>
  <conditionalFormatting sqref="R665">
    <cfRule type="containsBlanks" dxfId="2389" priority="2355">
      <formula>LEN(TRIM(R665))=0</formula>
    </cfRule>
  </conditionalFormatting>
  <conditionalFormatting sqref="U666">
    <cfRule type="expression" dxfId="2388" priority="2378">
      <formula>OR($HF665=FALSE,$HG665=FALSE)</formula>
    </cfRule>
  </conditionalFormatting>
  <conditionalFormatting sqref="R665">
    <cfRule type="expression" dxfId="2387" priority="2352" stopIfTrue="1">
      <formula>$G664=""</formula>
    </cfRule>
    <cfRule type="expression" dxfId="2386" priority="2353">
      <formula>$HT665=FALSE</formula>
    </cfRule>
  </conditionalFormatting>
  <conditionalFormatting sqref="G667">
    <cfRule type="expression" dxfId="2385" priority="2347" stopIfTrue="1">
      <formula>$G664=""</formula>
    </cfRule>
  </conditionalFormatting>
  <conditionalFormatting sqref="G667">
    <cfRule type="expression" dxfId="2384" priority="2341" stopIfTrue="1">
      <formula>$CN664="Exterior"</formula>
    </cfRule>
  </conditionalFormatting>
  <conditionalFormatting sqref="G667:L667">
    <cfRule type="containsBlanks" dxfId="2383" priority="2348" stopIfTrue="1">
      <formula>LEN(TRIM(G667))=0</formula>
    </cfRule>
    <cfRule type="expression" dxfId="2382" priority="2350">
      <formula>$HL665=FALSE</formula>
    </cfRule>
  </conditionalFormatting>
  <conditionalFormatting sqref="AF666">
    <cfRule type="expression" dxfId="2381" priority="2342" stopIfTrue="1">
      <formula>$G664=""</formula>
    </cfRule>
  </conditionalFormatting>
  <conditionalFormatting sqref="AF666:AI666">
    <cfRule type="expression" dxfId="2380" priority="2346">
      <formula>OR($HP665=FALSE,$HL665=FALSE)</formula>
    </cfRule>
  </conditionalFormatting>
  <conditionalFormatting sqref="AF666">
    <cfRule type="containsBlanks" dxfId="2379" priority="2343" stopIfTrue="1">
      <formula>LEN(TRIM(AF666))=0</formula>
    </cfRule>
    <cfRule type="expression" dxfId="2378" priority="2344">
      <formula>$DP664=7</formula>
    </cfRule>
    <cfRule type="expression" dxfId="2377" priority="2345">
      <formula>OR($HK665=FALSE,$HM665=FALSE)</formula>
    </cfRule>
  </conditionalFormatting>
  <conditionalFormatting sqref="G667:L667">
    <cfRule type="expression" dxfId="2376" priority="2349" stopIfTrue="1">
      <formula>$AF666=""</formula>
    </cfRule>
  </conditionalFormatting>
  <conditionalFormatting sqref="T665:U665">
    <cfRule type="expression" dxfId="2375" priority="2338" stopIfTrue="1">
      <formula>$C$36&lt;&gt;0</formula>
    </cfRule>
    <cfRule type="containsBlanks" dxfId="2374" priority="2339" stopIfTrue="1">
      <formula>LEN(TRIM(T665))=0</formula>
    </cfRule>
  </conditionalFormatting>
  <conditionalFormatting sqref="T665:U665">
    <cfRule type="expression" dxfId="2373" priority="2337" stopIfTrue="1">
      <formula>$G664=""</formula>
    </cfRule>
  </conditionalFormatting>
  <conditionalFormatting sqref="U665">
    <cfRule type="expression" dxfId="2372" priority="2340">
      <formula>$HE665=FALSE</formula>
    </cfRule>
  </conditionalFormatting>
  <conditionalFormatting sqref="T667">
    <cfRule type="expression" dxfId="2371" priority="2336">
      <formula>$C$36=2</formula>
    </cfRule>
  </conditionalFormatting>
  <conditionalFormatting sqref="AE671">
    <cfRule type="expression" dxfId="2370" priority="2322" stopIfTrue="1">
      <formula>$G669=""</formula>
    </cfRule>
  </conditionalFormatting>
  <conditionalFormatting sqref="AB672:AD672">
    <cfRule type="expression" dxfId="2369" priority="2334" stopIfTrue="1">
      <formula>$G669=""</formula>
    </cfRule>
  </conditionalFormatting>
  <conditionalFormatting sqref="G671">
    <cfRule type="expression" dxfId="2368" priority="2331" stopIfTrue="1">
      <formula>$G669=""</formula>
    </cfRule>
    <cfRule type="containsBlanks" dxfId="2367" priority="2332" stopIfTrue="1">
      <formula>LEN(TRIM(G671))=0</formula>
    </cfRule>
    <cfRule type="expression" dxfId="2366" priority="2333">
      <formula>OR($M671=0,$HC670=FALSE)</formula>
    </cfRule>
  </conditionalFormatting>
  <conditionalFormatting sqref="AB672">
    <cfRule type="expression" dxfId="2365" priority="2330" stopIfTrue="1">
      <formula>$AB672=""</formula>
    </cfRule>
  </conditionalFormatting>
  <conditionalFormatting sqref="AE670:AF670">
    <cfRule type="expression" dxfId="2364" priority="2329">
      <formula>$C$36=2</formula>
    </cfRule>
  </conditionalFormatting>
  <conditionalFormatting sqref="T671:U671">
    <cfRule type="expression" dxfId="2363" priority="2304" stopIfTrue="1">
      <formula>$G669=""</formula>
    </cfRule>
  </conditionalFormatting>
  <conditionalFormatting sqref="T671:U671">
    <cfRule type="containsBlanks" dxfId="2362" priority="2327" stopIfTrue="1">
      <formula>LEN(TRIM(T671))=0</formula>
    </cfRule>
  </conditionalFormatting>
  <conditionalFormatting sqref="AC669:AD669">
    <cfRule type="expression" dxfId="2361" priority="2326">
      <formula>$G669=""</formula>
    </cfRule>
  </conditionalFormatting>
  <conditionalFormatting sqref="AE670">
    <cfRule type="containsBlanks" dxfId="2360" priority="2324">
      <formula>LEN(TRIM(AE670))=0</formula>
    </cfRule>
  </conditionalFormatting>
  <conditionalFormatting sqref="AE671 AF672">
    <cfRule type="containsBlanks" dxfId="2359" priority="2323" stopIfTrue="1">
      <formula>LEN(TRIM(AE671))=0</formula>
    </cfRule>
  </conditionalFormatting>
  <conditionalFormatting sqref="AE671">
    <cfRule type="expression" dxfId="2358" priority="2335">
      <formula>OR($HN670=FALSE,$HO670=FALSE)</formula>
    </cfRule>
  </conditionalFormatting>
  <conditionalFormatting sqref="G670:Q670 G669">
    <cfRule type="containsBlanks" dxfId="2357" priority="2321">
      <formula>LEN(TRIM(G669))=0</formula>
    </cfRule>
  </conditionalFormatting>
  <conditionalFormatting sqref="G670:L670">
    <cfRule type="expression" dxfId="2356" priority="2319" stopIfTrue="1">
      <formula>$G669=""</formula>
    </cfRule>
    <cfRule type="containsBlanks" dxfId="2355" priority="2320">
      <formula>LEN(TRIM(G670))=0</formula>
    </cfRule>
  </conditionalFormatting>
  <conditionalFormatting sqref="R671">
    <cfRule type="expression" dxfId="2354" priority="2317" stopIfTrue="1">
      <formula>$G669=""</formula>
    </cfRule>
    <cfRule type="containsBlanks" dxfId="2353" priority="2318">
      <formula>LEN(TRIM(R671))=0</formula>
    </cfRule>
  </conditionalFormatting>
  <conditionalFormatting sqref="P671:R671">
    <cfRule type="expression" dxfId="2352" priority="2316">
      <formula>$C$36=0</formula>
    </cfRule>
  </conditionalFormatting>
  <conditionalFormatting sqref="AF670">
    <cfRule type="containsBlanks" dxfId="2351" priority="2312">
      <formula>LEN(TRIM(AF670))=0</formula>
    </cfRule>
    <cfRule type="expression" dxfId="2350" priority="2313">
      <formula>$HJ670=FALSE</formula>
    </cfRule>
  </conditionalFormatting>
  <conditionalFormatting sqref="AF672">
    <cfRule type="expression" dxfId="2349" priority="2311">
      <formula>$C$36=2</formula>
    </cfRule>
  </conditionalFormatting>
  <conditionalFormatting sqref="R670">
    <cfRule type="containsBlanks" dxfId="2348" priority="2310">
      <formula>LEN(TRIM(R670))=0</formula>
    </cfRule>
  </conditionalFormatting>
  <conditionalFormatting sqref="AE670:AF670">
    <cfRule type="expression" dxfId="2347" priority="2309" stopIfTrue="1">
      <formula>$G669=""</formula>
    </cfRule>
  </conditionalFormatting>
  <conditionalFormatting sqref="AF672">
    <cfRule type="expression" dxfId="2346" priority="2308" stopIfTrue="1">
      <formula>$G669=""</formula>
    </cfRule>
  </conditionalFormatting>
  <conditionalFormatting sqref="AF669:AI669">
    <cfRule type="expression" dxfId="2345" priority="2307">
      <formula>$C$36&lt;&gt;0</formula>
    </cfRule>
  </conditionalFormatting>
  <conditionalFormatting sqref="R670">
    <cfRule type="containsBlanks" dxfId="2344" priority="2305">
      <formula>LEN(TRIM(R670))=0</formula>
    </cfRule>
  </conditionalFormatting>
  <conditionalFormatting sqref="U671">
    <cfRule type="expression" dxfId="2343" priority="2328">
      <formula>OR($HF670=FALSE,$HG670=FALSE)</formula>
    </cfRule>
  </conditionalFormatting>
  <conditionalFormatting sqref="R670">
    <cfRule type="expression" dxfId="2342" priority="2302" stopIfTrue="1">
      <formula>$G669=""</formula>
    </cfRule>
    <cfRule type="expression" dxfId="2341" priority="2303">
      <formula>$HT670=FALSE</formula>
    </cfRule>
  </conditionalFormatting>
  <conditionalFormatting sqref="G672">
    <cfRule type="expression" dxfId="2340" priority="2297" stopIfTrue="1">
      <formula>$G669=""</formula>
    </cfRule>
  </conditionalFormatting>
  <conditionalFormatting sqref="G672">
    <cfRule type="expression" dxfId="2339" priority="2291" stopIfTrue="1">
      <formula>$CN669="Exterior"</formula>
    </cfRule>
  </conditionalFormatting>
  <conditionalFormatting sqref="G672:L672">
    <cfRule type="containsBlanks" dxfId="2338" priority="2298" stopIfTrue="1">
      <formula>LEN(TRIM(G672))=0</formula>
    </cfRule>
    <cfRule type="expression" dxfId="2337" priority="2300">
      <formula>$HL670=FALSE</formula>
    </cfRule>
  </conditionalFormatting>
  <conditionalFormatting sqref="AF671">
    <cfRule type="expression" dxfId="2336" priority="2292" stopIfTrue="1">
      <formula>$G669=""</formula>
    </cfRule>
  </conditionalFormatting>
  <conditionalFormatting sqref="AF671:AI671">
    <cfRule type="expression" dxfId="2335" priority="2296">
      <formula>OR($HP670=FALSE,$HL670=FALSE)</formula>
    </cfRule>
  </conditionalFormatting>
  <conditionalFormatting sqref="AF671">
    <cfRule type="containsBlanks" dxfId="2334" priority="2293" stopIfTrue="1">
      <formula>LEN(TRIM(AF671))=0</formula>
    </cfRule>
    <cfRule type="expression" dxfId="2333" priority="2294">
      <formula>$DP669=7</formula>
    </cfRule>
    <cfRule type="expression" dxfId="2332" priority="2295">
      <formula>OR($HK670=FALSE,$HM670=FALSE)</formula>
    </cfRule>
  </conditionalFormatting>
  <conditionalFormatting sqref="G672:L672">
    <cfRule type="expression" dxfId="2331" priority="2299" stopIfTrue="1">
      <formula>$AF671=""</formula>
    </cfRule>
  </conditionalFormatting>
  <conditionalFormatting sqref="T670:U670">
    <cfRule type="expression" dxfId="2330" priority="2288" stopIfTrue="1">
      <formula>$C$36&lt;&gt;0</formula>
    </cfRule>
    <cfRule type="containsBlanks" dxfId="2329" priority="2289" stopIfTrue="1">
      <formula>LEN(TRIM(T670))=0</formula>
    </cfRule>
  </conditionalFormatting>
  <conditionalFormatting sqref="T670:U670">
    <cfRule type="expression" dxfId="2328" priority="2287" stopIfTrue="1">
      <formula>$G669=""</formula>
    </cfRule>
  </conditionalFormatting>
  <conditionalFormatting sqref="U670">
    <cfRule type="expression" dxfId="2327" priority="2290">
      <formula>$HE670=FALSE</formula>
    </cfRule>
  </conditionalFormatting>
  <conditionalFormatting sqref="T672">
    <cfRule type="expression" dxfId="2326" priority="2286">
      <formula>$C$36=2</formula>
    </cfRule>
  </conditionalFormatting>
  <conditionalFormatting sqref="AE676">
    <cfRule type="expression" dxfId="2325" priority="2272" stopIfTrue="1">
      <formula>$G674=""</formula>
    </cfRule>
  </conditionalFormatting>
  <conditionalFormatting sqref="AB677:AD677">
    <cfRule type="expression" dxfId="2324" priority="2284" stopIfTrue="1">
      <formula>$G674=""</formula>
    </cfRule>
  </conditionalFormatting>
  <conditionalFormatting sqref="G676">
    <cfRule type="expression" dxfId="2323" priority="2281" stopIfTrue="1">
      <formula>$G674=""</formula>
    </cfRule>
    <cfRule type="containsBlanks" dxfId="2322" priority="2282" stopIfTrue="1">
      <formula>LEN(TRIM(G676))=0</formula>
    </cfRule>
    <cfRule type="expression" dxfId="2321" priority="2283">
      <formula>OR($M676=0,$HC675=FALSE)</formula>
    </cfRule>
  </conditionalFormatting>
  <conditionalFormatting sqref="AB677">
    <cfRule type="expression" dxfId="2320" priority="2280" stopIfTrue="1">
      <formula>$AB677=""</formula>
    </cfRule>
  </conditionalFormatting>
  <conditionalFormatting sqref="AE675:AF675">
    <cfRule type="expression" dxfId="2319" priority="2279">
      <formula>$C$36=2</formula>
    </cfRule>
  </conditionalFormatting>
  <conditionalFormatting sqref="T676:U676">
    <cfRule type="expression" dxfId="2318" priority="2254" stopIfTrue="1">
      <formula>$G674=""</formula>
    </cfRule>
  </conditionalFormatting>
  <conditionalFormatting sqref="T676:U676">
    <cfRule type="containsBlanks" dxfId="2317" priority="2277" stopIfTrue="1">
      <formula>LEN(TRIM(T676))=0</formula>
    </cfRule>
  </conditionalFormatting>
  <conditionalFormatting sqref="AC674:AD674">
    <cfRule type="expression" dxfId="2316" priority="2276">
      <formula>$G674=""</formula>
    </cfRule>
  </conditionalFormatting>
  <conditionalFormatting sqref="AE675">
    <cfRule type="containsBlanks" dxfId="2315" priority="2274">
      <formula>LEN(TRIM(AE675))=0</formula>
    </cfRule>
  </conditionalFormatting>
  <conditionalFormatting sqref="AE676 AF677">
    <cfRule type="containsBlanks" dxfId="2314" priority="2273" stopIfTrue="1">
      <formula>LEN(TRIM(AE676))=0</formula>
    </cfRule>
  </conditionalFormatting>
  <conditionalFormatting sqref="AE676">
    <cfRule type="expression" dxfId="2313" priority="2285">
      <formula>OR($HN675=FALSE,$HO675=FALSE)</formula>
    </cfRule>
  </conditionalFormatting>
  <conditionalFormatting sqref="G675:Q675 G674">
    <cfRule type="containsBlanks" dxfId="2312" priority="2271">
      <formula>LEN(TRIM(G674))=0</formula>
    </cfRule>
  </conditionalFormatting>
  <conditionalFormatting sqref="G675:L675">
    <cfRule type="expression" dxfId="2311" priority="2269" stopIfTrue="1">
      <formula>$G674=""</formula>
    </cfRule>
    <cfRule type="containsBlanks" dxfId="2310" priority="2270">
      <formula>LEN(TRIM(G675))=0</formula>
    </cfRule>
  </conditionalFormatting>
  <conditionalFormatting sqref="R676">
    <cfRule type="expression" dxfId="2309" priority="2267" stopIfTrue="1">
      <formula>$G674=""</formula>
    </cfRule>
    <cfRule type="containsBlanks" dxfId="2308" priority="2268">
      <formula>LEN(TRIM(R676))=0</formula>
    </cfRule>
  </conditionalFormatting>
  <conditionalFormatting sqref="P676:R676">
    <cfRule type="expression" dxfId="2307" priority="2266">
      <formula>$C$36=0</formula>
    </cfRule>
  </conditionalFormatting>
  <conditionalFormatting sqref="AF675">
    <cfRule type="containsBlanks" dxfId="2306" priority="2262">
      <formula>LEN(TRIM(AF675))=0</formula>
    </cfRule>
    <cfRule type="expression" dxfId="2305" priority="2263">
      <formula>$HJ675=FALSE</formula>
    </cfRule>
  </conditionalFormatting>
  <conditionalFormatting sqref="AF677">
    <cfRule type="expression" dxfId="2304" priority="2261">
      <formula>$C$36=2</formula>
    </cfRule>
  </conditionalFormatting>
  <conditionalFormatting sqref="R675">
    <cfRule type="containsBlanks" dxfId="2303" priority="2260">
      <formula>LEN(TRIM(R675))=0</formula>
    </cfRule>
  </conditionalFormatting>
  <conditionalFormatting sqref="AE675:AF675">
    <cfRule type="expression" dxfId="2302" priority="2259" stopIfTrue="1">
      <formula>$G674=""</formula>
    </cfRule>
  </conditionalFormatting>
  <conditionalFormatting sqref="AF677">
    <cfRule type="expression" dxfId="2301" priority="2258" stopIfTrue="1">
      <formula>$G674=""</formula>
    </cfRule>
  </conditionalFormatting>
  <conditionalFormatting sqref="AF674:AI674">
    <cfRule type="expression" dxfId="2300" priority="2257">
      <formula>$C$36&lt;&gt;0</formula>
    </cfRule>
  </conditionalFormatting>
  <conditionalFormatting sqref="R675">
    <cfRule type="containsBlanks" dxfId="2299" priority="2255">
      <formula>LEN(TRIM(R675))=0</formula>
    </cfRule>
  </conditionalFormatting>
  <conditionalFormatting sqref="U676">
    <cfRule type="expression" dxfId="2298" priority="2278">
      <formula>OR($HF675=FALSE,$HG675=FALSE)</formula>
    </cfRule>
  </conditionalFormatting>
  <conditionalFormatting sqref="R675">
    <cfRule type="expression" dxfId="2297" priority="2252" stopIfTrue="1">
      <formula>$G674=""</formula>
    </cfRule>
    <cfRule type="expression" dxfId="2296" priority="2253">
      <formula>$HT675=FALSE</formula>
    </cfRule>
  </conditionalFormatting>
  <conditionalFormatting sqref="G677">
    <cfRule type="expression" dxfId="2295" priority="2247" stopIfTrue="1">
      <formula>$G674=""</formula>
    </cfRule>
  </conditionalFormatting>
  <conditionalFormatting sqref="G677">
    <cfRule type="expression" dxfId="2294" priority="2241" stopIfTrue="1">
      <formula>$CN674="Exterior"</formula>
    </cfRule>
  </conditionalFormatting>
  <conditionalFormatting sqref="G677:L677">
    <cfRule type="containsBlanks" dxfId="2293" priority="2248" stopIfTrue="1">
      <formula>LEN(TRIM(G677))=0</formula>
    </cfRule>
    <cfRule type="expression" dxfId="2292" priority="2250">
      <formula>$HL675=FALSE</formula>
    </cfRule>
  </conditionalFormatting>
  <conditionalFormatting sqref="AF676">
    <cfRule type="expression" dxfId="2291" priority="2242" stopIfTrue="1">
      <formula>$G674=""</formula>
    </cfRule>
  </conditionalFormatting>
  <conditionalFormatting sqref="AF676:AI676">
    <cfRule type="expression" dxfId="2290" priority="2246">
      <formula>OR($HP675=FALSE,$HL675=FALSE)</formula>
    </cfRule>
  </conditionalFormatting>
  <conditionalFormatting sqref="AF676">
    <cfRule type="containsBlanks" dxfId="2289" priority="2243" stopIfTrue="1">
      <formula>LEN(TRIM(AF676))=0</formula>
    </cfRule>
    <cfRule type="expression" dxfId="2288" priority="2244">
      <formula>$DP674=7</formula>
    </cfRule>
    <cfRule type="expression" dxfId="2287" priority="2245">
      <formula>OR($HK675=FALSE,$HM675=FALSE)</formula>
    </cfRule>
  </conditionalFormatting>
  <conditionalFormatting sqref="G677:L677">
    <cfRule type="expression" dxfId="2286" priority="2249" stopIfTrue="1">
      <formula>$AF676=""</formula>
    </cfRule>
  </conditionalFormatting>
  <conditionalFormatting sqref="T675:U675">
    <cfRule type="expression" dxfId="2285" priority="2238" stopIfTrue="1">
      <formula>$C$36&lt;&gt;0</formula>
    </cfRule>
    <cfRule type="containsBlanks" dxfId="2284" priority="2239" stopIfTrue="1">
      <formula>LEN(TRIM(T675))=0</formula>
    </cfRule>
  </conditionalFormatting>
  <conditionalFormatting sqref="T675:U675">
    <cfRule type="expression" dxfId="2283" priority="2237" stopIfTrue="1">
      <formula>$G674=""</formula>
    </cfRule>
  </conditionalFormatting>
  <conditionalFormatting sqref="U675">
    <cfRule type="expression" dxfId="2282" priority="2240">
      <formula>$HE675=FALSE</formula>
    </cfRule>
  </conditionalFormatting>
  <conditionalFormatting sqref="T677">
    <cfRule type="expression" dxfId="2281" priority="2236">
      <formula>$C$36=2</formula>
    </cfRule>
  </conditionalFormatting>
  <conditionalFormatting sqref="AE681">
    <cfRule type="expression" dxfId="2280" priority="2222" stopIfTrue="1">
      <formula>$G679=""</formula>
    </cfRule>
  </conditionalFormatting>
  <conditionalFormatting sqref="AB682:AD682">
    <cfRule type="expression" dxfId="2279" priority="2234" stopIfTrue="1">
      <formula>$G679=""</formula>
    </cfRule>
  </conditionalFormatting>
  <conditionalFormatting sqref="G681">
    <cfRule type="expression" dxfId="2278" priority="2231" stopIfTrue="1">
      <formula>$G679=""</formula>
    </cfRule>
    <cfRule type="containsBlanks" dxfId="2277" priority="2232" stopIfTrue="1">
      <formula>LEN(TRIM(G681))=0</formula>
    </cfRule>
    <cfRule type="expression" dxfId="2276" priority="2233">
      <formula>OR($M681=0,$HC680=FALSE)</formula>
    </cfRule>
  </conditionalFormatting>
  <conditionalFormatting sqref="AB682">
    <cfRule type="expression" dxfId="2275" priority="2230" stopIfTrue="1">
      <formula>$AB682=""</formula>
    </cfRule>
  </conditionalFormatting>
  <conditionalFormatting sqref="AE680:AF680">
    <cfRule type="expression" dxfId="2274" priority="2229">
      <formula>$C$36=2</formula>
    </cfRule>
  </conditionalFormatting>
  <conditionalFormatting sqref="T681:U681">
    <cfRule type="expression" dxfId="2273" priority="2204" stopIfTrue="1">
      <formula>$G679=""</formula>
    </cfRule>
  </conditionalFormatting>
  <conditionalFormatting sqref="T681:U681">
    <cfRule type="containsBlanks" dxfId="2272" priority="2227" stopIfTrue="1">
      <formula>LEN(TRIM(T681))=0</formula>
    </cfRule>
  </conditionalFormatting>
  <conditionalFormatting sqref="AC679:AD679">
    <cfRule type="expression" dxfId="2271" priority="2226">
      <formula>$G679=""</formula>
    </cfRule>
  </conditionalFormatting>
  <conditionalFormatting sqref="AE680">
    <cfRule type="containsBlanks" dxfId="2270" priority="2224">
      <formula>LEN(TRIM(AE680))=0</formula>
    </cfRule>
  </conditionalFormatting>
  <conditionalFormatting sqref="AE681 AF682">
    <cfRule type="containsBlanks" dxfId="2269" priority="2223" stopIfTrue="1">
      <formula>LEN(TRIM(AE681))=0</formula>
    </cfRule>
  </conditionalFormatting>
  <conditionalFormatting sqref="AE681">
    <cfRule type="expression" dxfId="2268" priority="2235">
      <formula>OR($HN680=FALSE,$HO680=FALSE)</formula>
    </cfRule>
  </conditionalFormatting>
  <conditionalFormatting sqref="G680:Q680 G679">
    <cfRule type="containsBlanks" dxfId="2267" priority="2221">
      <formula>LEN(TRIM(G679))=0</formula>
    </cfRule>
  </conditionalFormatting>
  <conditionalFormatting sqref="G680:L680">
    <cfRule type="expression" dxfId="2266" priority="2219" stopIfTrue="1">
      <formula>$G679=""</formula>
    </cfRule>
    <cfRule type="containsBlanks" dxfId="2265" priority="2220">
      <formula>LEN(TRIM(G680))=0</formula>
    </cfRule>
  </conditionalFormatting>
  <conditionalFormatting sqref="R681">
    <cfRule type="expression" dxfId="2264" priority="2217" stopIfTrue="1">
      <formula>$G679=""</formula>
    </cfRule>
    <cfRule type="containsBlanks" dxfId="2263" priority="2218">
      <formula>LEN(TRIM(R681))=0</formula>
    </cfRule>
  </conditionalFormatting>
  <conditionalFormatting sqref="P681:R681">
    <cfRule type="expression" dxfId="2262" priority="2216">
      <formula>$C$36=0</formula>
    </cfRule>
  </conditionalFormatting>
  <conditionalFormatting sqref="AF680">
    <cfRule type="containsBlanks" dxfId="2261" priority="2212">
      <formula>LEN(TRIM(AF680))=0</formula>
    </cfRule>
    <cfRule type="expression" dxfId="2260" priority="2213">
      <formula>$HJ680=FALSE</formula>
    </cfRule>
  </conditionalFormatting>
  <conditionalFormatting sqref="AF682">
    <cfRule type="expression" dxfId="2259" priority="2211">
      <formula>$C$36=2</formula>
    </cfRule>
  </conditionalFormatting>
  <conditionalFormatting sqref="R680">
    <cfRule type="containsBlanks" dxfId="2258" priority="2210">
      <formula>LEN(TRIM(R680))=0</formula>
    </cfRule>
  </conditionalFormatting>
  <conditionalFormatting sqref="AE680:AF680">
    <cfRule type="expression" dxfId="2257" priority="2209" stopIfTrue="1">
      <formula>$G679=""</formula>
    </cfRule>
  </conditionalFormatting>
  <conditionalFormatting sqref="AF682">
    <cfRule type="expression" dxfId="2256" priority="2208" stopIfTrue="1">
      <formula>$G679=""</formula>
    </cfRule>
  </conditionalFormatting>
  <conditionalFormatting sqref="AF679:AI679">
    <cfRule type="expression" dxfId="2255" priority="2207">
      <formula>$C$36&lt;&gt;0</formula>
    </cfRule>
  </conditionalFormatting>
  <conditionalFormatting sqref="R680">
    <cfRule type="containsBlanks" dxfId="2254" priority="2205">
      <formula>LEN(TRIM(R680))=0</formula>
    </cfRule>
  </conditionalFormatting>
  <conditionalFormatting sqref="U681">
    <cfRule type="expression" dxfId="2253" priority="2228">
      <formula>OR($HF680=FALSE,$HG680=FALSE)</formula>
    </cfRule>
  </conditionalFormatting>
  <conditionalFormatting sqref="R680">
    <cfRule type="expression" dxfId="2252" priority="2202" stopIfTrue="1">
      <formula>$G679=""</formula>
    </cfRule>
    <cfRule type="expression" dxfId="2251" priority="2203">
      <formula>$HT680=FALSE</formula>
    </cfRule>
  </conditionalFormatting>
  <conditionalFormatting sqref="G682">
    <cfRule type="expression" dxfId="2250" priority="2197" stopIfTrue="1">
      <formula>$G679=""</formula>
    </cfRule>
  </conditionalFormatting>
  <conditionalFormatting sqref="G682">
    <cfRule type="expression" dxfId="2249" priority="2191" stopIfTrue="1">
      <formula>$CN679="Exterior"</formula>
    </cfRule>
  </conditionalFormatting>
  <conditionalFormatting sqref="G682:L682">
    <cfRule type="containsBlanks" dxfId="2248" priority="2198" stopIfTrue="1">
      <formula>LEN(TRIM(G682))=0</formula>
    </cfRule>
    <cfRule type="expression" dxfId="2247" priority="2200">
      <formula>$HL680=FALSE</formula>
    </cfRule>
  </conditionalFormatting>
  <conditionalFormatting sqref="AF681">
    <cfRule type="expression" dxfId="2246" priority="2192" stopIfTrue="1">
      <formula>$G679=""</formula>
    </cfRule>
  </conditionalFormatting>
  <conditionalFormatting sqref="AF681:AI681">
    <cfRule type="expression" dxfId="2245" priority="2196">
      <formula>OR($HP680=FALSE,$HL680=FALSE)</formula>
    </cfRule>
  </conditionalFormatting>
  <conditionalFormatting sqref="AF681">
    <cfRule type="containsBlanks" dxfId="2244" priority="2193" stopIfTrue="1">
      <formula>LEN(TRIM(AF681))=0</formula>
    </cfRule>
    <cfRule type="expression" dxfId="2243" priority="2194">
      <formula>$DP679=7</formula>
    </cfRule>
    <cfRule type="expression" dxfId="2242" priority="2195">
      <formula>OR($HK680=FALSE,$HM680=FALSE)</formula>
    </cfRule>
  </conditionalFormatting>
  <conditionalFormatting sqref="G682:L682">
    <cfRule type="expression" dxfId="2241" priority="2199" stopIfTrue="1">
      <formula>$AF681=""</formula>
    </cfRule>
  </conditionalFormatting>
  <conditionalFormatting sqref="T680:U680">
    <cfRule type="expression" dxfId="2240" priority="2188" stopIfTrue="1">
      <formula>$C$36&lt;&gt;0</formula>
    </cfRule>
    <cfRule type="containsBlanks" dxfId="2239" priority="2189" stopIfTrue="1">
      <formula>LEN(TRIM(T680))=0</formula>
    </cfRule>
  </conditionalFormatting>
  <conditionalFormatting sqref="T680:U680">
    <cfRule type="expression" dxfId="2238" priority="2187" stopIfTrue="1">
      <formula>$G679=""</formula>
    </cfRule>
  </conditionalFormatting>
  <conditionalFormatting sqref="U680">
    <cfRule type="expression" dxfId="2237" priority="2190">
      <formula>$HE680=FALSE</formula>
    </cfRule>
  </conditionalFormatting>
  <conditionalFormatting sqref="T682">
    <cfRule type="expression" dxfId="2236" priority="2186">
      <formula>$C$36=2</formula>
    </cfRule>
  </conditionalFormatting>
  <conditionalFormatting sqref="AE686">
    <cfRule type="expression" dxfId="2235" priority="2172" stopIfTrue="1">
      <formula>$G684=""</formula>
    </cfRule>
  </conditionalFormatting>
  <conditionalFormatting sqref="AB687:AD687">
    <cfRule type="expression" dxfId="2234" priority="2184" stopIfTrue="1">
      <formula>$G684=""</formula>
    </cfRule>
  </conditionalFormatting>
  <conditionalFormatting sqref="G686">
    <cfRule type="expression" dxfId="2233" priority="2181" stopIfTrue="1">
      <formula>$G684=""</formula>
    </cfRule>
    <cfRule type="containsBlanks" dxfId="2232" priority="2182" stopIfTrue="1">
      <formula>LEN(TRIM(G686))=0</formula>
    </cfRule>
    <cfRule type="expression" dxfId="2231" priority="2183">
      <formula>OR($M686=0,$HC685=FALSE)</formula>
    </cfRule>
  </conditionalFormatting>
  <conditionalFormatting sqref="AB687">
    <cfRule type="expression" dxfId="2230" priority="2180" stopIfTrue="1">
      <formula>$AB687=""</formula>
    </cfRule>
  </conditionalFormatting>
  <conditionalFormatting sqref="AE685:AF685">
    <cfRule type="expression" dxfId="2229" priority="2179">
      <formula>$C$36=2</formula>
    </cfRule>
  </conditionalFormatting>
  <conditionalFormatting sqref="T686:U686">
    <cfRule type="expression" dxfId="2228" priority="2154" stopIfTrue="1">
      <formula>$G684=""</formula>
    </cfRule>
  </conditionalFormatting>
  <conditionalFormatting sqref="T686:U686">
    <cfRule type="containsBlanks" dxfId="2227" priority="2177" stopIfTrue="1">
      <formula>LEN(TRIM(T686))=0</formula>
    </cfRule>
  </conditionalFormatting>
  <conditionalFormatting sqref="AC684:AD684">
    <cfRule type="expression" dxfId="2226" priority="2176">
      <formula>$G684=""</formula>
    </cfRule>
  </conditionalFormatting>
  <conditionalFormatting sqref="AE685">
    <cfRule type="containsBlanks" dxfId="2225" priority="2174">
      <formula>LEN(TRIM(AE685))=0</formula>
    </cfRule>
  </conditionalFormatting>
  <conditionalFormatting sqref="AE686 AF687">
    <cfRule type="containsBlanks" dxfId="2224" priority="2173" stopIfTrue="1">
      <formula>LEN(TRIM(AE686))=0</formula>
    </cfRule>
  </conditionalFormatting>
  <conditionalFormatting sqref="AE686">
    <cfRule type="expression" dxfId="2223" priority="2185">
      <formula>OR($HN685=FALSE,$HO685=FALSE)</formula>
    </cfRule>
  </conditionalFormatting>
  <conditionalFormatting sqref="G685:Q685 G684">
    <cfRule type="containsBlanks" dxfId="2222" priority="2171">
      <formula>LEN(TRIM(G684))=0</formula>
    </cfRule>
  </conditionalFormatting>
  <conditionalFormatting sqref="G685:L685">
    <cfRule type="expression" dxfId="2221" priority="2169" stopIfTrue="1">
      <formula>$G684=""</formula>
    </cfRule>
    <cfRule type="containsBlanks" dxfId="2220" priority="2170">
      <formula>LEN(TRIM(G685))=0</formula>
    </cfRule>
  </conditionalFormatting>
  <conditionalFormatting sqref="R686">
    <cfRule type="expression" dxfId="2219" priority="2167" stopIfTrue="1">
      <formula>$G684=""</formula>
    </cfRule>
    <cfRule type="containsBlanks" dxfId="2218" priority="2168">
      <formula>LEN(TRIM(R686))=0</formula>
    </cfRule>
  </conditionalFormatting>
  <conditionalFormatting sqref="P686:R686">
    <cfRule type="expression" dxfId="2217" priority="2166">
      <formula>$C$36=0</formula>
    </cfRule>
  </conditionalFormatting>
  <conditionalFormatting sqref="AF685">
    <cfRule type="containsBlanks" dxfId="2216" priority="2162">
      <formula>LEN(TRIM(AF685))=0</formula>
    </cfRule>
    <cfRule type="expression" dxfId="2215" priority="2163">
      <formula>$HJ685=FALSE</formula>
    </cfRule>
  </conditionalFormatting>
  <conditionalFormatting sqref="AF687">
    <cfRule type="expression" dxfId="2214" priority="2161">
      <formula>$C$36=2</formula>
    </cfRule>
  </conditionalFormatting>
  <conditionalFormatting sqref="R685">
    <cfRule type="containsBlanks" dxfId="2213" priority="2160">
      <formula>LEN(TRIM(R685))=0</formula>
    </cfRule>
  </conditionalFormatting>
  <conditionalFormatting sqref="AE685:AF685">
    <cfRule type="expression" dxfId="2212" priority="2159" stopIfTrue="1">
      <formula>$G684=""</formula>
    </cfRule>
  </conditionalFormatting>
  <conditionalFormatting sqref="AF687">
    <cfRule type="expression" dxfId="2211" priority="2158" stopIfTrue="1">
      <formula>$G684=""</formula>
    </cfRule>
  </conditionalFormatting>
  <conditionalFormatting sqref="AF684:AI684">
    <cfRule type="expression" dxfId="2210" priority="2157">
      <formula>$C$36&lt;&gt;0</formula>
    </cfRule>
  </conditionalFormatting>
  <conditionalFormatting sqref="R685">
    <cfRule type="containsBlanks" dxfId="2209" priority="2155">
      <formula>LEN(TRIM(R685))=0</formula>
    </cfRule>
  </conditionalFormatting>
  <conditionalFormatting sqref="U686">
    <cfRule type="expression" dxfId="2208" priority="2178">
      <formula>OR($HF685=FALSE,$HG685=FALSE)</formula>
    </cfRule>
  </conditionalFormatting>
  <conditionalFormatting sqref="R685">
    <cfRule type="expression" dxfId="2207" priority="2152" stopIfTrue="1">
      <formula>$G684=""</formula>
    </cfRule>
    <cfRule type="expression" dxfId="2206" priority="2153">
      <formula>$HT685=FALSE</formula>
    </cfRule>
  </conditionalFormatting>
  <conditionalFormatting sqref="G687">
    <cfRule type="expression" dxfId="2205" priority="2147" stopIfTrue="1">
      <formula>$G684=""</formula>
    </cfRule>
  </conditionalFormatting>
  <conditionalFormatting sqref="G687">
    <cfRule type="expression" dxfId="2204" priority="2141" stopIfTrue="1">
      <formula>$CN684="Exterior"</formula>
    </cfRule>
  </conditionalFormatting>
  <conditionalFormatting sqref="G687:L687">
    <cfRule type="containsBlanks" dxfId="2203" priority="2148" stopIfTrue="1">
      <formula>LEN(TRIM(G687))=0</formula>
    </cfRule>
    <cfRule type="expression" dxfId="2202" priority="2150">
      <formula>$HL685=FALSE</formula>
    </cfRule>
  </conditionalFormatting>
  <conditionalFormatting sqref="AF686">
    <cfRule type="expression" dxfId="2201" priority="2142" stopIfTrue="1">
      <formula>$G684=""</formula>
    </cfRule>
  </conditionalFormatting>
  <conditionalFormatting sqref="AF686:AI686">
    <cfRule type="expression" dxfId="2200" priority="2146">
      <formula>OR($HP685=FALSE,$HL685=FALSE)</formula>
    </cfRule>
  </conditionalFormatting>
  <conditionalFormatting sqref="AF686">
    <cfRule type="containsBlanks" dxfId="2199" priority="2143" stopIfTrue="1">
      <formula>LEN(TRIM(AF686))=0</formula>
    </cfRule>
    <cfRule type="expression" dxfId="2198" priority="2144">
      <formula>$DP684=7</formula>
    </cfRule>
    <cfRule type="expression" dxfId="2197" priority="2145">
      <formula>OR($HK685=FALSE,$HM685=FALSE)</formula>
    </cfRule>
  </conditionalFormatting>
  <conditionalFormatting sqref="G687:L687">
    <cfRule type="expression" dxfId="2196" priority="2149" stopIfTrue="1">
      <formula>$AF686=""</formula>
    </cfRule>
  </conditionalFormatting>
  <conditionalFormatting sqref="T685:U685">
    <cfRule type="expression" dxfId="2195" priority="2138" stopIfTrue="1">
      <formula>$C$36&lt;&gt;0</formula>
    </cfRule>
    <cfRule type="containsBlanks" dxfId="2194" priority="2139" stopIfTrue="1">
      <formula>LEN(TRIM(T685))=0</formula>
    </cfRule>
  </conditionalFormatting>
  <conditionalFormatting sqref="T685:U685">
    <cfRule type="expression" dxfId="2193" priority="2137" stopIfTrue="1">
      <formula>$G684=""</formula>
    </cfRule>
  </conditionalFormatting>
  <conditionalFormatting sqref="U685">
    <cfRule type="expression" dxfId="2192" priority="2140">
      <formula>$HE685=FALSE</formula>
    </cfRule>
  </conditionalFormatting>
  <conditionalFormatting sqref="T687">
    <cfRule type="expression" dxfId="2191" priority="2136">
      <formula>$C$36=2</formula>
    </cfRule>
  </conditionalFormatting>
  <conditionalFormatting sqref="AE691">
    <cfRule type="expression" dxfId="2190" priority="2122" stopIfTrue="1">
      <formula>$G689=""</formula>
    </cfRule>
  </conditionalFormatting>
  <conditionalFormatting sqref="AB692:AD692">
    <cfRule type="expression" dxfId="2189" priority="2134" stopIfTrue="1">
      <formula>$G689=""</formula>
    </cfRule>
  </conditionalFormatting>
  <conditionalFormatting sqref="G691">
    <cfRule type="expression" dxfId="2188" priority="2131" stopIfTrue="1">
      <formula>$G689=""</formula>
    </cfRule>
    <cfRule type="containsBlanks" dxfId="2187" priority="2132" stopIfTrue="1">
      <formula>LEN(TRIM(G691))=0</formula>
    </cfRule>
    <cfRule type="expression" dxfId="2186" priority="2133">
      <formula>OR($M691=0,$HC690=FALSE)</formula>
    </cfRule>
  </conditionalFormatting>
  <conditionalFormatting sqref="AB692">
    <cfRule type="expression" dxfId="2185" priority="2130" stopIfTrue="1">
      <formula>$AB692=""</formula>
    </cfRule>
  </conditionalFormatting>
  <conditionalFormatting sqref="AE690:AF690">
    <cfRule type="expression" dxfId="2184" priority="2129">
      <formula>$C$36=2</formula>
    </cfRule>
  </conditionalFormatting>
  <conditionalFormatting sqref="T691:U691">
    <cfRule type="expression" dxfId="2183" priority="2104" stopIfTrue="1">
      <formula>$G689=""</formula>
    </cfRule>
  </conditionalFormatting>
  <conditionalFormatting sqref="T691:U691">
    <cfRule type="containsBlanks" dxfId="2182" priority="2127" stopIfTrue="1">
      <formula>LEN(TRIM(T691))=0</formula>
    </cfRule>
  </conditionalFormatting>
  <conditionalFormatting sqref="AC689:AD689">
    <cfRule type="expression" dxfId="2181" priority="2126">
      <formula>$G689=""</formula>
    </cfRule>
  </conditionalFormatting>
  <conditionalFormatting sqref="AE690">
    <cfRule type="containsBlanks" dxfId="2180" priority="2124">
      <formula>LEN(TRIM(AE690))=0</formula>
    </cfRule>
  </conditionalFormatting>
  <conditionalFormatting sqref="AE691 AF692">
    <cfRule type="containsBlanks" dxfId="2179" priority="2123" stopIfTrue="1">
      <formula>LEN(TRIM(AE691))=0</formula>
    </cfRule>
  </conditionalFormatting>
  <conditionalFormatting sqref="AE691">
    <cfRule type="expression" dxfId="2178" priority="2135">
      <formula>OR($HN690=FALSE,$HO690=FALSE)</formula>
    </cfRule>
  </conditionalFormatting>
  <conditionalFormatting sqref="G690:Q690 G689">
    <cfRule type="containsBlanks" dxfId="2177" priority="2121">
      <formula>LEN(TRIM(G689))=0</formula>
    </cfRule>
  </conditionalFormatting>
  <conditionalFormatting sqref="G690:L690">
    <cfRule type="expression" dxfId="2176" priority="2119" stopIfTrue="1">
      <formula>$G689=""</formula>
    </cfRule>
    <cfRule type="containsBlanks" dxfId="2175" priority="2120">
      <formula>LEN(TRIM(G690))=0</formula>
    </cfRule>
  </conditionalFormatting>
  <conditionalFormatting sqref="R691">
    <cfRule type="expression" dxfId="2174" priority="2117" stopIfTrue="1">
      <formula>$G689=""</formula>
    </cfRule>
    <cfRule type="containsBlanks" dxfId="2173" priority="2118">
      <formula>LEN(TRIM(R691))=0</formula>
    </cfRule>
  </conditionalFormatting>
  <conditionalFormatting sqref="P691:R691">
    <cfRule type="expression" dxfId="2172" priority="2116">
      <formula>$C$36=0</formula>
    </cfRule>
  </conditionalFormatting>
  <conditionalFormatting sqref="AF690">
    <cfRule type="containsBlanks" dxfId="2171" priority="2112">
      <formula>LEN(TRIM(AF690))=0</formula>
    </cfRule>
    <cfRule type="expression" dxfId="2170" priority="2113">
      <formula>$HJ690=FALSE</formula>
    </cfRule>
  </conditionalFormatting>
  <conditionalFormatting sqref="AF692">
    <cfRule type="expression" dxfId="2169" priority="2111">
      <formula>$C$36=2</formula>
    </cfRule>
  </conditionalFormatting>
  <conditionalFormatting sqref="R690">
    <cfRule type="containsBlanks" dxfId="2168" priority="2110">
      <formula>LEN(TRIM(R690))=0</formula>
    </cfRule>
  </conditionalFormatting>
  <conditionalFormatting sqref="AE690:AF690">
    <cfRule type="expression" dxfId="2167" priority="2109" stopIfTrue="1">
      <formula>$G689=""</formula>
    </cfRule>
  </conditionalFormatting>
  <conditionalFormatting sqref="AF692">
    <cfRule type="expression" dxfId="2166" priority="2108" stopIfTrue="1">
      <formula>$G689=""</formula>
    </cfRule>
  </conditionalFormatting>
  <conditionalFormatting sqref="AF689:AI689">
    <cfRule type="expression" dxfId="2165" priority="2107">
      <formula>$C$36&lt;&gt;0</formula>
    </cfRule>
  </conditionalFormatting>
  <conditionalFormatting sqref="R690">
    <cfRule type="containsBlanks" dxfId="2164" priority="2105">
      <formula>LEN(TRIM(R690))=0</formula>
    </cfRule>
  </conditionalFormatting>
  <conditionalFormatting sqref="U691">
    <cfRule type="expression" dxfId="2163" priority="2128">
      <formula>OR($HF690=FALSE,$HG690=FALSE)</formula>
    </cfRule>
  </conditionalFormatting>
  <conditionalFormatting sqref="R690">
    <cfRule type="expression" dxfId="2162" priority="2102" stopIfTrue="1">
      <formula>$G689=""</formula>
    </cfRule>
    <cfRule type="expression" dxfId="2161" priority="2103">
      <formula>$HT690=FALSE</formula>
    </cfRule>
  </conditionalFormatting>
  <conditionalFormatting sqref="G692">
    <cfRule type="expression" dxfId="2160" priority="2097" stopIfTrue="1">
      <formula>$G689=""</formula>
    </cfRule>
  </conditionalFormatting>
  <conditionalFormatting sqref="G692">
    <cfRule type="expression" dxfId="2159" priority="2091" stopIfTrue="1">
      <formula>$CN689="Exterior"</formula>
    </cfRule>
  </conditionalFormatting>
  <conditionalFormatting sqref="G692:L692">
    <cfRule type="containsBlanks" dxfId="2158" priority="2098" stopIfTrue="1">
      <formula>LEN(TRIM(G692))=0</formula>
    </cfRule>
    <cfRule type="expression" dxfId="2157" priority="2100">
      <formula>$HL690=FALSE</formula>
    </cfRule>
  </conditionalFormatting>
  <conditionalFormatting sqref="AF691">
    <cfRule type="expression" dxfId="2156" priority="2092" stopIfTrue="1">
      <formula>$G689=""</formula>
    </cfRule>
  </conditionalFormatting>
  <conditionalFormatting sqref="AF691:AI691">
    <cfRule type="expression" dxfId="2155" priority="2096">
      <formula>OR($HP690=FALSE,$HL690=FALSE)</formula>
    </cfRule>
  </conditionalFormatting>
  <conditionalFormatting sqref="AF691">
    <cfRule type="containsBlanks" dxfId="2154" priority="2093" stopIfTrue="1">
      <formula>LEN(TRIM(AF691))=0</formula>
    </cfRule>
    <cfRule type="expression" dxfId="2153" priority="2094">
      <formula>$DP689=7</formula>
    </cfRule>
    <cfRule type="expression" dxfId="2152" priority="2095">
      <formula>OR($HK690=FALSE,$HM690=FALSE)</formula>
    </cfRule>
  </conditionalFormatting>
  <conditionalFormatting sqref="G692:L692">
    <cfRule type="expression" dxfId="2151" priority="2099" stopIfTrue="1">
      <formula>$AF691=""</formula>
    </cfRule>
  </conditionalFormatting>
  <conditionalFormatting sqref="T690:U690">
    <cfRule type="expression" dxfId="2150" priority="2088" stopIfTrue="1">
      <formula>$C$36&lt;&gt;0</formula>
    </cfRule>
    <cfRule type="containsBlanks" dxfId="2149" priority="2089" stopIfTrue="1">
      <formula>LEN(TRIM(T690))=0</formula>
    </cfRule>
  </conditionalFormatting>
  <conditionalFormatting sqref="T690:U690">
    <cfRule type="expression" dxfId="2148" priority="2087" stopIfTrue="1">
      <formula>$G689=""</formula>
    </cfRule>
  </conditionalFormatting>
  <conditionalFormatting sqref="U690">
    <cfRule type="expression" dxfId="2147" priority="2090">
      <formula>$HE690=FALSE</formula>
    </cfRule>
  </conditionalFormatting>
  <conditionalFormatting sqref="T692">
    <cfRule type="expression" dxfId="2146" priority="2086">
      <formula>$C$36=2</formula>
    </cfRule>
  </conditionalFormatting>
  <conditionalFormatting sqref="AE696">
    <cfRule type="expression" dxfId="2145" priority="2072" stopIfTrue="1">
      <formula>$G694=""</formula>
    </cfRule>
  </conditionalFormatting>
  <conditionalFormatting sqref="AB697:AD697">
    <cfRule type="expression" dxfId="2144" priority="2084" stopIfTrue="1">
      <formula>$G694=""</formula>
    </cfRule>
  </conditionalFormatting>
  <conditionalFormatting sqref="G696">
    <cfRule type="expression" dxfId="2143" priority="2081" stopIfTrue="1">
      <formula>$G694=""</formula>
    </cfRule>
    <cfRule type="containsBlanks" dxfId="2142" priority="2082" stopIfTrue="1">
      <formula>LEN(TRIM(G696))=0</formula>
    </cfRule>
    <cfRule type="expression" dxfId="2141" priority="2083">
      <formula>OR($M696=0,$HC695=FALSE)</formula>
    </cfRule>
  </conditionalFormatting>
  <conditionalFormatting sqref="AB697">
    <cfRule type="expression" dxfId="2140" priority="2080" stopIfTrue="1">
      <formula>$AB697=""</formula>
    </cfRule>
  </conditionalFormatting>
  <conditionalFormatting sqref="AE695:AF695">
    <cfRule type="expression" dxfId="2139" priority="2079">
      <formula>$C$36=2</formula>
    </cfRule>
  </conditionalFormatting>
  <conditionalFormatting sqref="T696:U696">
    <cfRule type="expression" dxfId="2138" priority="2054" stopIfTrue="1">
      <formula>$G694=""</formula>
    </cfRule>
  </conditionalFormatting>
  <conditionalFormatting sqref="T696:U696">
    <cfRule type="containsBlanks" dxfId="2137" priority="2077" stopIfTrue="1">
      <formula>LEN(TRIM(T696))=0</formula>
    </cfRule>
  </conditionalFormatting>
  <conditionalFormatting sqref="AC694:AD694">
    <cfRule type="expression" dxfId="2136" priority="2076">
      <formula>$G694=""</formula>
    </cfRule>
  </conditionalFormatting>
  <conditionalFormatting sqref="AE695">
    <cfRule type="containsBlanks" dxfId="2135" priority="2074">
      <formula>LEN(TRIM(AE695))=0</formula>
    </cfRule>
  </conditionalFormatting>
  <conditionalFormatting sqref="AE696 AF697">
    <cfRule type="containsBlanks" dxfId="2134" priority="2073" stopIfTrue="1">
      <formula>LEN(TRIM(AE696))=0</formula>
    </cfRule>
  </conditionalFormatting>
  <conditionalFormatting sqref="AE696">
    <cfRule type="expression" dxfId="2133" priority="2085">
      <formula>OR($HN695=FALSE,$HO695=FALSE)</formula>
    </cfRule>
  </conditionalFormatting>
  <conditionalFormatting sqref="G695:Q695 G694">
    <cfRule type="containsBlanks" dxfId="2132" priority="2071">
      <formula>LEN(TRIM(G694))=0</formula>
    </cfRule>
  </conditionalFormatting>
  <conditionalFormatting sqref="G695:L695">
    <cfRule type="expression" dxfId="2131" priority="2069" stopIfTrue="1">
      <formula>$G694=""</formula>
    </cfRule>
    <cfRule type="containsBlanks" dxfId="2130" priority="2070">
      <formula>LEN(TRIM(G695))=0</formula>
    </cfRule>
  </conditionalFormatting>
  <conditionalFormatting sqref="R696">
    <cfRule type="expression" dxfId="2129" priority="2067" stopIfTrue="1">
      <formula>$G694=""</formula>
    </cfRule>
    <cfRule type="containsBlanks" dxfId="2128" priority="2068">
      <formula>LEN(TRIM(R696))=0</formula>
    </cfRule>
  </conditionalFormatting>
  <conditionalFormatting sqref="P696:R696">
    <cfRule type="expression" dxfId="2127" priority="2066">
      <formula>$C$36=0</formula>
    </cfRule>
  </conditionalFormatting>
  <conditionalFormatting sqref="AF695">
    <cfRule type="containsBlanks" dxfId="2126" priority="2062">
      <formula>LEN(TRIM(AF695))=0</formula>
    </cfRule>
    <cfRule type="expression" dxfId="2125" priority="2063">
      <formula>$HJ695=FALSE</formula>
    </cfRule>
  </conditionalFormatting>
  <conditionalFormatting sqref="AF697">
    <cfRule type="expression" dxfId="2124" priority="2061">
      <formula>$C$36=2</formula>
    </cfRule>
  </conditionalFormatting>
  <conditionalFormatting sqref="R695">
    <cfRule type="containsBlanks" dxfId="2123" priority="2060">
      <formula>LEN(TRIM(R695))=0</formula>
    </cfRule>
  </conditionalFormatting>
  <conditionalFormatting sqref="AE695:AF695">
    <cfRule type="expression" dxfId="2122" priority="2059" stopIfTrue="1">
      <formula>$G694=""</formula>
    </cfRule>
  </conditionalFormatting>
  <conditionalFormatting sqref="AF697">
    <cfRule type="expression" dxfId="2121" priority="2058" stopIfTrue="1">
      <formula>$G694=""</formula>
    </cfRule>
  </conditionalFormatting>
  <conditionalFormatting sqref="AF694:AI694">
    <cfRule type="expression" dxfId="2120" priority="2057">
      <formula>$C$36&lt;&gt;0</formula>
    </cfRule>
  </conditionalFormatting>
  <conditionalFormatting sqref="R695">
    <cfRule type="containsBlanks" dxfId="2119" priority="2055">
      <formula>LEN(TRIM(R695))=0</formula>
    </cfRule>
  </conditionalFormatting>
  <conditionalFormatting sqref="U696">
    <cfRule type="expression" dxfId="2118" priority="2078">
      <formula>OR($HF695=FALSE,$HG695=FALSE)</formula>
    </cfRule>
  </conditionalFormatting>
  <conditionalFormatting sqref="R695">
    <cfRule type="expression" dxfId="2117" priority="2052" stopIfTrue="1">
      <formula>$G694=""</formula>
    </cfRule>
    <cfRule type="expression" dxfId="2116" priority="2053">
      <formula>$HT695=FALSE</formula>
    </cfRule>
  </conditionalFormatting>
  <conditionalFormatting sqref="G697">
    <cfRule type="expression" dxfId="2115" priority="2047" stopIfTrue="1">
      <formula>$G694=""</formula>
    </cfRule>
  </conditionalFormatting>
  <conditionalFormatting sqref="G697">
    <cfRule type="expression" dxfId="2114" priority="2041" stopIfTrue="1">
      <formula>$CN694="Exterior"</formula>
    </cfRule>
  </conditionalFormatting>
  <conditionalFormatting sqref="G697:L697">
    <cfRule type="containsBlanks" dxfId="2113" priority="2048" stopIfTrue="1">
      <formula>LEN(TRIM(G697))=0</formula>
    </cfRule>
    <cfRule type="expression" dxfId="2112" priority="2050">
      <formula>$HL695=FALSE</formula>
    </cfRule>
  </conditionalFormatting>
  <conditionalFormatting sqref="AF696">
    <cfRule type="expression" dxfId="2111" priority="2042" stopIfTrue="1">
      <formula>$G694=""</formula>
    </cfRule>
  </conditionalFormatting>
  <conditionalFormatting sqref="AF696:AI696">
    <cfRule type="expression" dxfId="2110" priority="2046">
      <formula>OR($HP695=FALSE,$HL695=FALSE)</formula>
    </cfRule>
  </conditionalFormatting>
  <conditionalFormatting sqref="AF696">
    <cfRule type="containsBlanks" dxfId="2109" priority="2043" stopIfTrue="1">
      <formula>LEN(TRIM(AF696))=0</formula>
    </cfRule>
    <cfRule type="expression" dxfId="2108" priority="2044">
      <formula>$DP694=7</formula>
    </cfRule>
    <cfRule type="expression" dxfId="2107" priority="2045">
      <formula>OR($HK695=FALSE,$HM695=FALSE)</formula>
    </cfRule>
  </conditionalFormatting>
  <conditionalFormatting sqref="G697:L697">
    <cfRule type="expression" dxfId="2106" priority="2049" stopIfTrue="1">
      <formula>$AF696=""</formula>
    </cfRule>
  </conditionalFormatting>
  <conditionalFormatting sqref="T695:U695">
    <cfRule type="expression" dxfId="2105" priority="2038" stopIfTrue="1">
      <formula>$C$36&lt;&gt;0</formula>
    </cfRule>
    <cfRule type="containsBlanks" dxfId="2104" priority="2039" stopIfTrue="1">
      <formula>LEN(TRIM(T695))=0</formula>
    </cfRule>
  </conditionalFormatting>
  <conditionalFormatting sqref="T695:U695">
    <cfRule type="expression" dxfId="2103" priority="2037" stopIfTrue="1">
      <formula>$G694=""</formula>
    </cfRule>
  </conditionalFormatting>
  <conditionalFormatting sqref="U695">
    <cfRule type="expression" dxfId="2102" priority="2040">
      <formula>$HE695=FALSE</formula>
    </cfRule>
  </conditionalFormatting>
  <conditionalFormatting sqref="T697">
    <cfRule type="expression" dxfId="2101" priority="2036">
      <formula>$C$36=2</formula>
    </cfRule>
  </conditionalFormatting>
  <conditionalFormatting sqref="AE701">
    <cfRule type="expression" dxfId="2100" priority="2022" stopIfTrue="1">
      <formula>$G699=""</formula>
    </cfRule>
  </conditionalFormatting>
  <conditionalFormatting sqref="AB702:AD702">
    <cfRule type="expression" dxfId="2099" priority="2034" stopIfTrue="1">
      <formula>$G699=""</formula>
    </cfRule>
  </conditionalFormatting>
  <conditionalFormatting sqref="G701">
    <cfRule type="expression" dxfId="2098" priority="2031" stopIfTrue="1">
      <formula>$G699=""</formula>
    </cfRule>
    <cfRule type="containsBlanks" dxfId="2097" priority="2032" stopIfTrue="1">
      <formula>LEN(TRIM(G701))=0</formula>
    </cfRule>
    <cfRule type="expression" dxfId="2096" priority="2033">
      <formula>OR($M701=0,$HC700=FALSE)</formula>
    </cfRule>
  </conditionalFormatting>
  <conditionalFormatting sqref="AB702">
    <cfRule type="expression" dxfId="2095" priority="2030" stopIfTrue="1">
      <formula>$AB702=""</formula>
    </cfRule>
  </conditionalFormatting>
  <conditionalFormatting sqref="AE700:AF700">
    <cfRule type="expression" dxfId="2094" priority="2029">
      <formula>$C$36=2</formula>
    </cfRule>
  </conditionalFormatting>
  <conditionalFormatting sqref="T701:U701">
    <cfRule type="expression" dxfId="2093" priority="2004" stopIfTrue="1">
      <formula>$G699=""</formula>
    </cfRule>
  </conditionalFormatting>
  <conditionalFormatting sqref="T701:U701">
    <cfRule type="containsBlanks" dxfId="2092" priority="2027" stopIfTrue="1">
      <formula>LEN(TRIM(T701))=0</formula>
    </cfRule>
  </conditionalFormatting>
  <conditionalFormatting sqref="AC699:AD699">
    <cfRule type="expression" dxfId="2091" priority="2026">
      <formula>$G699=""</formula>
    </cfRule>
  </conditionalFormatting>
  <conditionalFormatting sqref="AE700">
    <cfRule type="containsBlanks" dxfId="2090" priority="2024">
      <formula>LEN(TRIM(AE700))=0</formula>
    </cfRule>
  </conditionalFormatting>
  <conditionalFormatting sqref="AE701 AF702">
    <cfRule type="containsBlanks" dxfId="2089" priority="2023" stopIfTrue="1">
      <formula>LEN(TRIM(AE701))=0</formula>
    </cfRule>
  </conditionalFormatting>
  <conditionalFormatting sqref="AE701">
    <cfRule type="expression" dxfId="2088" priority="2035">
      <formula>OR($HN700=FALSE,$HO700=FALSE)</formula>
    </cfRule>
  </conditionalFormatting>
  <conditionalFormatting sqref="G700:Q700 G699">
    <cfRule type="containsBlanks" dxfId="2087" priority="2021">
      <formula>LEN(TRIM(G699))=0</formula>
    </cfRule>
  </conditionalFormatting>
  <conditionalFormatting sqref="G700:L700">
    <cfRule type="expression" dxfId="2086" priority="2019" stopIfTrue="1">
      <formula>$G699=""</formula>
    </cfRule>
    <cfRule type="containsBlanks" dxfId="2085" priority="2020">
      <formula>LEN(TRIM(G700))=0</formula>
    </cfRule>
  </conditionalFormatting>
  <conditionalFormatting sqref="R701">
    <cfRule type="expression" dxfId="2084" priority="2017" stopIfTrue="1">
      <formula>$G699=""</formula>
    </cfRule>
    <cfRule type="containsBlanks" dxfId="2083" priority="2018">
      <formula>LEN(TRIM(R701))=0</formula>
    </cfRule>
  </conditionalFormatting>
  <conditionalFormatting sqref="P701:R701">
    <cfRule type="expression" dxfId="2082" priority="2016">
      <formula>$C$36=0</formula>
    </cfRule>
  </conditionalFormatting>
  <conditionalFormatting sqref="AF700">
    <cfRule type="containsBlanks" dxfId="2081" priority="2012">
      <formula>LEN(TRIM(AF700))=0</formula>
    </cfRule>
    <cfRule type="expression" dxfId="2080" priority="2013">
      <formula>$HJ700=FALSE</formula>
    </cfRule>
  </conditionalFormatting>
  <conditionalFormatting sqref="AF702">
    <cfRule type="expression" dxfId="2079" priority="2011">
      <formula>$C$36=2</formula>
    </cfRule>
  </conditionalFormatting>
  <conditionalFormatting sqref="R700">
    <cfRule type="containsBlanks" dxfId="2078" priority="2010">
      <formula>LEN(TRIM(R700))=0</formula>
    </cfRule>
  </conditionalFormatting>
  <conditionalFormatting sqref="AE700:AF700">
    <cfRule type="expression" dxfId="2077" priority="2009" stopIfTrue="1">
      <formula>$G699=""</formula>
    </cfRule>
  </conditionalFormatting>
  <conditionalFormatting sqref="AF702">
    <cfRule type="expression" dxfId="2076" priority="2008" stopIfTrue="1">
      <formula>$G699=""</formula>
    </cfRule>
  </conditionalFormatting>
  <conditionalFormatting sqref="AF699:AI699">
    <cfRule type="expression" dxfId="2075" priority="2007">
      <formula>$C$36&lt;&gt;0</formula>
    </cfRule>
  </conditionalFormatting>
  <conditionalFormatting sqref="R700">
    <cfRule type="containsBlanks" dxfId="2074" priority="2005">
      <formula>LEN(TRIM(R700))=0</formula>
    </cfRule>
  </conditionalFormatting>
  <conditionalFormatting sqref="U701">
    <cfRule type="expression" dxfId="2073" priority="2028">
      <formula>OR($HF700=FALSE,$HG700=FALSE)</formula>
    </cfRule>
  </conditionalFormatting>
  <conditionalFormatting sqref="R700">
    <cfRule type="expression" dxfId="2072" priority="2002" stopIfTrue="1">
      <formula>$G699=""</formula>
    </cfRule>
    <cfRule type="expression" dxfId="2071" priority="2003">
      <formula>$HT700=FALSE</formula>
    </cfRule>
  </conditionalFormatting>
  <conditionalFormatting sqref="G702">
    <cfRule type="expression" dxfId="2070" priority="1997" stopIfTrue="1">
      <formula>$G699=""</formula>
    </cfRule>
  </conditionalFormatting>
  <conditionalFormatting sqref="G702">
    <cfRule type="expression" dxfId="2069" priority="1991" stopIfTrue="1">
      <formula>$CN699="Exterior"</formula>
    </cfRule>
  </conditionalFormatting>
  <conditionalFormatting sqref="G702:L702">
    <cfRule type="containsBlanks" dxfId="2068" priority="1998" stopIfTrue="1">
      <formula>LEN(TRIM(G702))=0</formula>
    </cfRule>
    <cfRule type="expression" dxfId="2067" priority="2000">
      <formula>$HL700=FALSE</formula>
    </cfRule>
  </conditionalFormatting>
  <conditionalFormatting sqref="AF701">
    <cfRule type="expression" dxfId="2066" priority="1992" stopIfTrue="1">
      <formula>$G699=""</formula>
    </cfRule>
  </conditionalFormatting>
  <conditionalFormatting sqref="AF701:AI701">
    <cfRule type="expression" dxfId="2065" priority="1996">
      <formula>OR($HP700=FALSE,$HL700=FALSE)</formula>
    </cfRule>
  </conditionalFormatting>
  <conditionalFormatting sqref="AF701">
    <cfRule type="containsBlanks" dxfId="2064" priority="1993" stopIfTrue="1">
      <formula>LEN(TRIM(AF701))=0</formula>
    </cfRule>
    <cfRule type="expression" dxfId="2063" priority="1994">
      <formula>$DP699=7</formula>
    </cfRule>
    <cfRule type="expression" dxfId="2062" priority="1995">
      <formula>OR($HK700=FALSE,$HM700=FALSE)</formula>
    </cfRule>
  </conditionalFormatting>
  <conditionalFormatting sqref="G702:L702">
    <cfRule type="expression" dxfId="2061" priority="1999" stopIfTrue="1">
      <formula>$AF701=""</formula>
    </cfRule>
  </conditionalFormatting>
  <conditionalFormatting sqref="T700:U700">
    <cfRule type="expression" dxfId="2060" priority="1988" stopIfTrue="1">
      <formula>$C$36&lt;&gt;0</formula>
    </cfRule>
    <cfRule type="containsBlanks" dxfId="2059" priority="1989" stopIfTrue="1">
      <formula>LEN(TRIM(T700))=0</formula>
    </cfRule>
  </conditionalFormatting>
  <conditionalFormatting sqref="T700:U700">
    <cfRule type="expression" dxfId="2058" priority="1987" stopIfTrue="1">
      <formula>$G699=""</formula>
    </cfRule>
  </conditionalFormatting>
  <conditionalFormatting sqref="U700">
    <cfRule type="expression" dxfId="2057" priority="1990">
      <formula>$HE700=FALSE</formula>
    </cfRule>
  </conditionalFormatting>
  <conditionalFormatting sqref="T702">
    <cfRule type="expression" dxfId="2056" priority="1986">
      <formula>$C$36=2</formula>
    </cfRule>
  </conditionalFormatting>
  <conditionalFormatting sqref="AE706">
    <cfRule type="expression" dxfId="2055" priority="1972" stopIfTrue="1">
      <formula>$G704=""</formula>
    </cfRule>
  </conditionalFormatting>
  <conditionalFormatting sqref="AB707:AD707">
    <cfRule type="expression" dxfId="2054" priority="1984" stopIfTrue="1">
      <formula>$G704=""</formula>
    </cfRule>
  </conditionalFormatting>
  <conditionalFormatting sqref="G706">
    <cfRule type="expression" dxfId="2053" priority="1981" stopIfTrue="1">
      <formula>$G704=""</formula>
    </cfRule>
    <cfRule type="containsBlanks" dxfId="2052" priority="1982" stopIfTrue="1">
      <formula>LEN(TRIM(G706))=0</formula>
    </cfRule>
    <cfRule type="expression" dxfId="2051" priority="1983">
      <formula>OR($M706=0,$HC705=FALSE)</formula>
    </cfRule>
  </conditionalFormatting>
  <conditionalFormatting sqref="AB707">
    <cfRule type="expression" dxfId="2050" priority="1980" stopIfTrue="1">
      <formula>$AB707=""</formula>
    </cfRule>
  </conditionalFormatting>
  <conditionalFormatting sqref="AE705:AF705">
    <cfRule type="expression" dxfId="2049" priority="1979">
      <formula>$C$36=2</formula>
    </cfRule>
  </conditionalFormatting>
  <conditionalFormatting sqref="T706:U706">
    <cfRule type="expression" dxfId="2048" priority="1954" stopIfTrue="1">
      <formula>$G704=""</formula>
    </cfRule>
  </conditionalFormatting>
  <conditionalFormatting sqref="T706:U706">
    <cfRule type="containsBlanks" dxfId="2047" priority="1977" stopIfTrue="1">
      <formula>LEN(TRIM(T706))=0</formula>
    </cfRule>
  </conditionalFormatting>
  <conditionalFormatting sqref="AC704:AD704">
    <cfRule type="expression" dxfId="2046" priority="1976">
      <formula>$G704=""</formula>
    </cfRule>
  </conditionalFormatting>
  <conditionalFormatting sqref="AE705">
    <cfRule type="containsBlanks" dxfId="2045" priority="1974">
      <formula>LEN(TRIM(AE705))=0</formula>
    </cfRule>
  </conditionalFormatting>
  <conditionalFormatting sqref="AE706 AF707">
    <cfRule type="containsBlanks" dxfId="2044" priority="1973" stopIfTrue="1">
      <formula>LEN(TRIM(AE706))=0</formula>
    </cfRule>
  </conditionalFormatting>
  <conditionalFormatting sqref="AE706">
    <cfRule type="expression" dxfId="2043" priority="1985">
      <formula>OR($HN705=FALSE,$HO705=FALSE)</formula>
    </cfRule>
  </conditionalFormatting>
  <conditionalFormatting sqref="G705:Q705 G704">
    <cfRule type="containsBlanks" dxfId="2042" priority="1971">
      <formula>LEN(TRIM(G704))=0</formula>
    </cfRule>
  </conditionalFormatting>
  <conditionalFormatting sqref="G705:L705">
    <cfRule type="expression" dxfId="2041" priority="1969" stopIfTrue="1">
      <formula>$G704=""</formula>
    </cfRule>
    <cfRule type="containsBlanks" dxfId="2040" priority="1970">
      <formula>LEN(TRIM(G705))=0</formula>
    </cfRule>
  </conditionalFormatting>
  <conditionalFormatting sqref="R706">
    <cfRule type="expression" dxfId="2039" priority="1967" stopIfTrue="1">
      <formula>$G704=""</formula>
    </cfRule>
    <cfRule type="containsBlanks" dxfId="2038" priority="1968">
      <formula>LEN(TRIM(R706))=0</formula>
    </cfRule>
  </conditionalFormatting>
  <conditionalFormatting sqref="P706:R706">
    <cfRule type="expression" dxfId="2037" priority="1966">
      <formula>$C$36=0</formula>
    </cfRule>
  </conditionalFormatting>
  <conditionalFormatting sqref="AF705">
    <cfRule type="containsBlanks" dxfId="2036" priority="1962">
      <formula>LEN(TRIM(AF705))=0</formula>
    </cfRule>
    <cfRule type="expression" dxfId="2035" priority="1963">
      <formula>$HJ705=FALSE</formula>
    </cfRule>
  </conditionalFormatting>
  <conditionalFormatting sqref="AF707">
    <cfRule type="expression" dxfId="2034" priority="1961">
      <formula>$C$36=2</formula>
    </cfRule>
  </conditionalFormatting>
  <conditionalFormatting sqref="R705">
    <cfRule type="containsBlanks" dxfId="2033" priority="1960">
      <formula>LEN(TRIM(R705))=0</formula>
    </cfRule>
  </conditionalFormatting>
  <conditionalFormatting sqref="AE705:AF705">
    <cfRule type="expression" dxfId="2032" priority="1959" stopIfTrue="1">
      <formula>$G704=""</formula>
    </cfRule>
  </conditionalFormatting>
  <conditionalFormatting sqref="AF707">
    <cfRule type="expression" dxfId="2031" priority="1958" stopIfTrue="1">
      <formula>$G704=""</formula>
    </cfRule>
  </conditionalFormatting>
  <conditionalFormatting sqref="AF704:AI704">
    <cfRule type="expression" dxfId="2030" priority="1957">
      <formula>$C$36&lt;&gt;0</formula>
    </cfRule>
  </conditionalFormatting>
  <conditionalFormatting sqref="R705">
    <cfRule type="containsBlanks" dxfId="2029" priority="1955">
      <formula>LEN(TRIM(R705))=0</formula>
    </cfRule>
  </conditionalFormatting>
  <conditionalFormatting sqref="U706">
    <cfRule type="expression" dxfId="2028" priority="1978">
      <formula>OR($HF705=FALSE,$HG705=FALSE)</formula>
    </cfRule>
  </conditionalFormatting>
  <conditionalFormatting sqref="R705">
    <cfRule type="expression" dxfId="2027" priority="1952" stopIfTrue="1">
      <formula>$G704=""</formula>
    </cfRule>
    <cfRule type="expression" dxfId="2026" priority="1953">
      <formula>$HT705=FALSE</formula>
    </cfRule>
  </conditionalFormatting>
  <conditionalFormatting sqref="G707">
    <cfRule type="expression" dxfId="2025" priority="1947" stopIfTrue="1">
      <formula>$G704=""</formula>
    </cfRule>
  </conditionalFormatting>
  <conditionalFormatting sqref="G707">
    <cfRule type="expression" dxfId="2024" priority="1941" stopIfTrue="1">
      <formula>$CN704="Exterior"</formula>
    </cfRule>
  </conditionalFormatting>
  <conditionalFormatting sqref="G707:L707">
    <cfRule type="containsBlanks" dxfId="2023" priority="1948" stopIfTrue="1">
      <formula>LEN(TRIM(G707))=0</formula>
    </cfRule>
    <cfRule type="expression" dxfId="2022" priority="1950">
      <formula>$HL705=FALSE</formula>
    </cfRule>
  </conditionalFormatting>
  <conditionalFormatting sqref="AF706">
    <cfRule type="expression" dxfId="2021" priority="1942" stopIfTrue="1">
      <formula>$G704=""</formula>
    </cfRule>
  </conditionalFormatting>
  <conditionalFormatting sqref="AF706:AI706">
    <cfRule type="expression" dxfId="2020" priority="1946">
      <formula>OR($HP705=FALSE,$HL705=FALSE)</formula>
    </cfRule>
  </conditionalFormatting>
  <conditionalFormatting sqref="AF706">
    <cfRule type="containsBlanks" dxfId="2019" priority="1943" stopIfTrue="1">
      <formula>LEN(TRIM(AF706))=0</formula>
    </cfRule>
    <cfRule type="expression" dxfId="2018" priority="1944">
      <formula>$DP704=7</formula>
    </cfRule>
    <cfRule type="expression" dxfId="2017" priority="1945">
      <formula>OR($HK705=FALSE,$HM705=FALSE)</formula>
    </cfRule>
  </conditionalFormatting>
  <conditionalFormatting sqref="G707:L707">
    <cfRule type="expression" dxfId="2016" priority="1949" stopIfTrue="1">
      <formula>$AF706=""</formula>
    </cfRule>
  </conditionalFormatting>
  <conditionalFormatting sqref="T705:U705">
    <cfRule type="expression" dxfId="2015" priority="1938" stopIfTrue="1">
      <formula>$C$36&lt;&gt;0</formula>
    </cfRule>
    <cfRule type="containsBlanks" dxfId="2014" priority="1939" stopIfTrue="1">
      <formula>LEN(TRIM(T705))=0</formula>
    </cfRule>
  </conditionalFormatting>
  <conditionalFormatting sqref="T705:U705">
    <cfRule type="expression" dxfId="2013" priority="1937" stopIfTrue="1">
      <formula>$G704=""</formula>
    </cfRule>
  </conditionalFormatting>
  <conditionalFormatting sqref="U705">
    <cfRule type="expression" dxfId="2012" priority="1940">
      <formula>$HE705=FALSE</formula>
    </cfRule>
  </conditionalFormatting>
  <conditionalFormatting sqref="T707">
    <cfRule type="expression" dxfId="2011" priority="1936">
      <formula>$C$36=2</formula>
    </cfRule>
  </conditionalFormatting>
  <conditionalFormatting sqref="AE711">
    <cfRule type="expression" dxfId="2010" priority="1922" stopIfTrue="1">
      <formula>$G709=""</formula>
    </cfRule>
  </conditionalFormatting>
  <conditionalFormatting sqref="AB712:AD712">
    <cfRule type="expression" dxfId="2009" priority="1934" stopIfTrue="1">
      <formula>$G709=""</formula>
    </cfRule>
  </conditionalFormatting>
  <conditionalFormatting sqref="G711">
    <cfRule type="expression" dxfId="2008" priority="1931" stopIfTrue="1">
      <formula>$G709=""</formula>
    </cfRule>
    <cfRule type="containsBlanks" dxfId="2007" priority="1932" stopIfTrue="1">
      <formula>LEN(TRIM(G711))=0</formula>
    </cfRule>
    <cfRule type="expression" dxfId="2006" priority="1933">
      <formula>OR($M711=0,$HC710=FALSE)</formula>
    </cfRule>
  </conditionalFormatting>
  <conditionalFormatting sqref="AB712">
    <cfRule type="expression" dxfId="2005" priority="1930" stopIfTrue="1">
      <formula>$AB712=""</formula>
    </cfRule>
  </conditionalFormatting>
  <conditionalFormatting sqref="AE710:AF710">
    <cfRule type="expression" dxfId="2004" priority="1929">
      <formula>$C$36=2</formula>
    </cfRule>
  </conditionalFormatting>
  <conditionalFormatting sqref="T711:U711">
    <cfRule type="expression" dxfId="2003" priority="1904" stopIfTrue="1">
      <formula>$G709=""</formula>
    </cfRule>
  </conditionalFormatting>
  <conditionalFormatting sqref="T711:U711">
    <cfRule type="containsBlanks" dxfId="2002" priority="1927" stopIfTrue="1">
      <formula>LEN(TRIM(T711))=0</formula>
    </cfRule>
  </conditionalFormatting>
  <conditionalFormatting sqref="AC709:AD709">
    <cfRule type="expression" dxfId="2001" priority="1926">
      <formula>$G709=""</formula>
    </cfRule>
  </conditionalFormatting>
  <conditionalFormatting sqref="AE710">
    <cfRule type="containsBlanks" dxfId="2000" priority="1924">
      <formula>LEN(TRIM(AE710))=0</formula>
    </cfRule>
  </conditionalFormatting>
  <conditionalFormatting sqref="AE711 AF712">
    <cfRule type="containsBlanks" dxfId="1999" priority="1923" stopIfTrue="1">
      <formula>LEN(TRIM(AE711))=0</formula>
    </cfRule>
  </conditionalFormatting>
  <conditionalFormatting sqref="AE711">
    <cfRule type="expression" dxfId="1998" priority="1935">
      <formula>OR($HN710=FALSE,$HO710=FALSE)</formula>
    </cfRule>
  </conditionalFormatting>
  <conditionalFormatting sqref="G710:Q710 G709">
    <cfRule type="containsBlanks" dxfId="1997" priority="1921">
      <formula>LEN(TRIM(G709))=0</formula>
    </cfRule>
  </conditionalFormatting>
  <conditionalFormatting sqref="G710:L710">
    <cfRule type="expression" dxfId="1996" priority="1919" stopIfTrue="1">
      <formula>$G709=""</formula>
    </cfRule>
    <cfRule type="containsBlanks" dxfId="1995" priority="1920">
      <formula>LEN(TRIM(G710))=0</formula>
    </cfRule>
  </conditionalFormatting>
  <conditionalFormatting sqref="R711">
    <cfRule type="expression" dxfId="1994" priority="1917" stopIfTrue="1">
      <formula>$G709=""</formula>
    </cfRule>
    <cfRule type="containsBlanks" dxfId="1993" priority="1918">
      <formula>LEN(TRIM(R711))=0</formula>
    </cfRule>
  </conditionalFormatting>
  <conditionalFormatting sqref="P711:R711">
    <cfRule type="expression" dxfId="1992" priority="1916">
      <formula>$C$36=0</formula>
    </cfRule>
  </conditionalFormatting>
  <conditionalFormatting sqref="AF710">
    <cfRule type="containsBlanks" dxfId="1991" priority="1912">
      <formula>LEN(TRIM(AF710))=0</formula>
    </cfRule>
    <cfRule type="expression" dxfId="1990" priority="1913">
      <formula>$HJ710=FALSE</formula>
    </cfRule>
  </conditionalFormatting>
  <conditionalFormatting sqref="AF712">
    <cfRule type="expression" dxfId="1989" priority="1911">
      <formula>$C$36=2</formula>
    </cfRule>
  </conditionalFormatting>
  <conditionalFormatting sqref="R710">
    <cfRule type="containsBlanks" dxfId="1988" priority="1910">
      <formula>LEN(TRIM(R710))=0</formula>
    </cfRule>
  </conditionalFormatting>
  <conditionalFormatting sqref="AE710:AF710">
    <cfRule type="expression" dxfId="1987" priority="1909" stopIfTrue="1">
      <formula>$G709=""</formula>
    </cfRule>
  </conditionalFormatting>
  <conditionalFormatting sqref="AF712">
    <cfRule type="expression" dxfId="1986" priority="1908" stopIfTrue="1">
      <formula>$G709=""</formula>
    </cfRule>
  </conditionalFormatting>
  <conditionalFormatting sqref="AF709:AI709">
    <cfRule type="expression" dxfId="1985" priority="1907">
      <formula>$C$36&lt;&gt;0</formula>
    </cfRule>
  </conditionalFormatting>
  <conditionalFormatting sqref="R710">
    <cfRule type="containsBlanks" dxfId="1984" priority="1905">
      <formula>LEN(TRIM(R710))=0</formula>
    </cfRule>
  </conditionalFormatting>
  <conditionalFormatting sqref="U711">
    <cfRule type="expression" dxfId="1983" priority="1928">
      <formula>OR($HF710=FALSE,$HG710=FALSE)</formula>
    </cfRule>
  </conditionalFormatting>
  <conditionalFormatting sqref="R710">
    <cfRule type="expression" dxfId="1982" priority="1902" stopIfTrue="1">
      <formula>$G709=""</formula>
    </cfRule>
    <cfRule type="expression" dxfId="1981" priority="1903">
      <formula>$HT710=FALSE</formula>
    </cfRule>
  </conditionalFormatting>
  <conditionalFormatting sqref="G712">
    <cfRule type="expression" dxfId="1980" priority="1897" stopIfTrue="1">
      <formula>$G709=""</formula>
    </cfRule>
  </conditionalFormatting>
  <conditionalFormatting sqref="G712">
    <cfRule type="expression" dxfId="1979" priority="1891" stopIfTrue="1">
      <formula>$CN709="Exterior"</formula>
    </cfRule>
  </conditionalFormatting>
  <conditionalFormatting sqref="G712:L712">
    <cfRule type="containsBlanks" dxfId="1978" priority="1898" stopIfTrue="1">
      <formula>LEN(TRIM(G712))=0</formula>
    </cfRule>
    <cfRule type="expression" dxfId="1977" priority="1900">
      <formula>$HL710=FALSE</formula>
    </cfRule>
  </conditionalFormatting>
  <conditionalFormatting sqref="AF711">
    <cfRule type="expression" dxfId="1976" priority="1892" stopIfTrue="1">
      <formula>$G709=""</formula>
    </cfRule>
  </conditionalFormatting>
  <conditionalFormatting sqref="AF711:AI711">
    <cfRule type="expression" dxfId="1975" priority="1896">
      <formula>OR($HP710=FALSE,$HL710=FALSE)</formula>
    </cfRule>
  </conditionalFormatting>
  <conditionalFormatting sqref="AF711">
    <cfRule type="containsBlanks" dxfId="1974" priority="1893" stopIfTrue="1">
      <formula>LEN(TRIM(AF711))=0</formula>
    </cfRule>
    <cfRule type="expression" dxfId="1973" priority="1894">
      <formula>$DP709=7</formula>
    </cfRule>
    <cfRule type="expression" dxfId="1972" priority="1895">
      <formula>OR($HK710=FALSE,$HM710=FALSE)</formula>
    </cfRule>
  </conditionalFormatting>
  <conditionalFormatting sqref="G712:L712">
    <cfRule type="expression" dxfId="1971" priority="1899" stopIfTrue="1">
      <formula>$AF711=""</formula>
    </cfRule>
  </conditionalFormatting>
  <conditionalFormatting sqref="T710:U710">
    <cfRule type="expression" dxfId="1970" priority="1888" stopIfTrue="1">
      <formula>$C$36&lt;&gt;0</formula>
    </cfRule>
    <cfRule type="containsBlanks" dxfId="1969" priority="1889" stopIfTrue="1">
      <formula>LEN(TRIM(T710))=0</formula>
    </cfRule>
  </conditionalFormatting>
  <conditionalFormatting sqref="T710:U710">
    <cfRule type="expression" dxfId="1968" priority="1887" stopIfTrue="1">
      <formula>$G709=""</formula>
    </cfRule>
  </conditionalFormatting>
  <conditionalFormatting sqref="U710">
    <cfRule type="expression" dxfId="1967" priority="1890">
      <formula>$HE710=FALSE</formula>
    </cfRule>
  </conditionalFormatting>
  <conditionalFormatting sqref="T712">
    <cfRule type="expression" dxfId="1966" priority="1886">
      <formula>$C$36=2</formula>
    </cfRule>
  </conditionalFormatting>
  <conditionalFormatting sqref="AJ719:AL719">
    <cfRule type="expression" dxfId="1965" priority="1885" stopIfTrue="1">
      <formula>$G717=""</formula>
    </cfRule>
  </conditionalFormatting>
  <conditionalFormatting sqref="AR717:AR720">
    <cfRule type="expression" dxfId="1964" priority="1882" stopIfTrue="1">
      <formula>$C$36=2</formula>
    </cfRule>
    <cfRule type="cellIs" dxfId="1963" priority="1883" operator="equal">
      <formula>"Yes"</formula>
    </cfRule>
    <cfRule type="cellIs" dxfId="1962" priority="1884" operator="equal">
      <formula>"No"</formula>
    </cfRule>
  </conditionalFormatting>
  <conditionalFormatting sqref="AJ717:AL718">
    <cfRule type="expression" dxfId="1961" priority="1881">
      <formula>$G717=""</formula>
    </cfRule>
  </conditionalFormatting>
  <conditionalFormatting sqref="AM717 AO717:AP720">
    <cfRule type="expression" dxfId="1960" priority="1880">
      <formula>$G717=""</formula>
    </cfRule>
  </conditionalFormatting>
  <conditionalFormatting sqref="AT717:AT720">
    <cfRule type="expression" dxfId="1959" priority="1879">
      <formula>$G717=""</formula>
    </cfRule>
  </conditionalFormatting>
  <conditionalFormatting sqref="E720:F720">
    <cfRule type="expression" dxfId="1958" priority="1878">
      <formula>$CN717="Exterior"</formula>
    </cfRule>
  </conditionalFormatting>
  <conditionalFormatting sqref="AJ724:AL724">
    <cfRule type="expression" dxfId="1957" priority="1877" stopIfTrue="1">
      <formula>$G722=""</formula>
    </cfRule>
  </conditionalFormatting>
  <conditionalFormatting sqref="AR722:AR725">
    <cfRule type="expression" dxfId="1956" priority="1874" stopIfTrue="1">
      <formula>$C$36=2</formula>
    </cfRule>
    <cfRule type="cellIs" dxfId="1955" priority="1875" operator="equal">
      <formula>"Yes"</formula>
    </cfRule>
    <cfRule type="cellIs" dxfId="1954" priority="1876" operator="equal">
      <formula>"No"</formula>
    </cfRule>
  </conditionalFormatting>
  <conditionalFormatting sqref="AJ722:AL723">
    <cfRule type="expression" dxfId="1953" priority="1873">
      <formula>$G722=""</formula>
    </cfRule>
  </conditionalFormatting>
  <conditionalFormatting sqref="AM722 AO722:AP725">
    <cfRule type="expression" dxfId="1952" priority="1872">
      <formula>$G722=""</formula>
    </cfRule>
  </conditionalFormatting>
  <conditionalFormatting sqref="AT722:AT725">
    <cfRule type="expression" dxfId="1951" priority="1871">
      <formula>$G722=""</formula>
    </cfRule>
  </conditionalFormatting>
  <conditionalFormatting sqref="E725:F725">
    <cfRule type="expression" dxfId="1950" priority="1870">
      <formula>$CN722="Exterior"</formula>
    </cfRule>
  </conditionalFormatting>
  <conditionalFormatting sqref="AJ729:AL729">
    <cfRule type="expression" dxfId="1949" priority="1869" stopIfTrue="1">
      <formula>$G727=""</formula>
    </cfRule>
  </conditionalFormatting>
  <conditionalFormatting sqref="AR727:AR730">
    <cfRule type="expression" dxfId="1948" priority="1866" stopIfTrue="1">
      <formula>$C$36=2</formula>
    </cfRule>
    <cfRule type="cellIs" dxfId="1947" priority="1867" operator="equal">
      <formula>"Yes"</formula>
    </cfRule>
    <cfRule type="cellIs" dxfId="1946" priority="1868" operator="equal">
      <formula>"No"</formula>
    </cfRule>
  </conditionalFormatting>
  <conditionalFormatting sqref="AJ727:AL728">
    <cfRule type="expression" dxfId="1945" priority="1865">
      <formula>$G727=""</formula>
    </cfRule>
  </conditionalFormatting>
  <conditionalFormatting sqref="AM727 AO727:AP730">
    <cfRule type="expression" dxfId="1944" priority="1864">
      <formula>$G727=""</formula>
    </cfRule>
  </conditionalFormatting>
  <conditionalFormatting sqref="AT727:AT730">
    <cfRule type="expression" dxfId="1943" priority="1863">
      <formula>$G727=""</formula>
    </cfRule>
  </conditionalFormatting>
  <conditionalFormatting sqref="E730:F730">
    <cfRule type="expression" dxfId="1942" priority="1862">
      <formula>$CN727="Exterior"</formula>
    </cfRule>
  </conditionalFormatting>
  <conditionalFormatting sqref="AJ734:AL734">
    <cfRule type="expression" dxfId="1941" priority="1861" stopIfTrue="1">
      <formula>$G732=""</formula>
    </cfRule>
  </conditionalFormatting>
  <conditionalFormatting sqref="AR732:AR735">
    <cfRule type="expression" dxfId="1940" priority="1858" stopIfTrue="1">
      <formula>$C$36=2</formula>
    </cfRule>
    <cfRule type="cellIs" dxfId="1939" priority="1859" operator="equal">
      <formula>"Yes"</formula>
    </cfRule>
    <cfRule type="cellIs" dxfId="1938" priority="1860" operator="equal">
      <formula>"No"</formula>
    </cfRule>
  </conditionalFormatting>
  <conditionalFormatting sqref="AJ732:AL733">
    <cfRule type="expression" dxfId="1937" priority="1857">
      <formula>$G732=""</formula>
    </cfRule>
  </conditionalFormatting>
  <conditionalFormatting sqref="AM732 AO732:AP735">
    <cfRule type="expression" dxfId="1936" priority="1856">
      <formula>$G732=""</formula>
    </cfRule>
  </conditionalFormatting>
  <conditionalFormatting sqref="AT732:AT735">
    <cfRule type="expression" dxfId="1935" priority="1855">
      <formula>$G732=""</formula>
    </cfRule>
  </conditionalFormatting>
  <conditionalFormatting sqref="E735:F735">
    <cfRule type="expression" dxfId="1934" priority="1854">
      <formula>$CN732="Exterior"</formula>
    </cfRule>
  </conditionalFormatting>
  <conditionalFormatting sqref="AJ739:AL739">
    <cfRule type="expression" dxfId="1933" priority="1853" stopIfTrue="1">
      <formula>$G737=""</formula>
    </cfRule>
  </conditionalFormatting>
  <conditionalFormatting sqref="AR737:AR740">
    <cfRule type="expression" dxfId="1932" priority="1850" stopIfTrue="1">
      <formula>$C$36=2</formula>
    </cfRule>
    <cfRule type="cellIs" dxfId="1931" priority="1851" operator="equal">
      <formula>"Yes"</formula>
    </cfRule>
    <cfRule type="cellIs" dxfId="1930" priority="1852" operator="equal">
      <formula>"No"</formula>
    </cfRule>
  </conditionalFormatting>
  <conditionalFormatting sqref="AJ737:AL738">
    <cfRule type="expression" dxfId="1929" priority="1849">
      <formula>$G737=""</formula>
    </cfRule>
  </conditionalFormatting>
  <conditionalFormatting sqref="AM737 AO737:AP740">
    <cfRule type="expression" dxfId="1928" priority="1848">
      <formula>$G737=""</formula>
    </cfRule>
  </conditionalFormatting>
  <conditionalFormatting sqref="AT737:AT740">
    <cfRule type="expression" dxfId="1927" priority="1847">
      <formula>$G737=""</formula>
    </cfRule>
  </conditionalFormatting>
  <conditionalFormatting sqref="E740:F740">
    <cfRule type="expression" dxfId="1926" priority="1846">
      <formula>$CN737="Exterior"</formula>
    </cfRule>
  </conditionalFormatting>
  <conditionalFormatting sqref="AJ744:AL744">
    <cfRule type="expression" dxfId="1925" priority="1845" stopIfTrue="1">
      <formula>$G742=""</formula>
    </cfRule>
  </conditionalFormatting>
  <conditionalFormatting sqref="AR742:AR745">
    <cfRule type="expression" dxfId="1924" priority="1842" stopIfTrue="1">
      <formula>$C$36=2</formula>
    </cfRule>
    <cfRule type="cellIs" dxfId="1923" priority="1843" operator="equal">
      <formula>"Yes"</formula>
    </cfRule>
    <cfRule type="cellIs" dxfId="1922" priority="1844" operator="equal">
      <formula>"No"</formula>
    </cfRule>
  </conditionalFormatting>
  <conditionalFormatting sqref="AJ742:AL743">
    <cfRule type="expression" dxfId="1921" priority="1841">
      <formula>$G742=""</formula>
    </cfRule>
  </conditionalFormatting>
  <conditionalFormatting sqref="AM742 AO742:AP745">
    <cfRule type="expression" dxfId="1920" priority="1840">
      <formula>$G742=""</formula>
    </cfRule>
  </conditionalFormatting>
  <conditionalFormatting sqref="AT742:AT745">
    <cfRule type="expression" dxfId="1919" priority="1839">
      <formula>$G742=""</formula>
    </cfRule>
  </conditionalFormatting>
  <conditionalFormatting sqref="E745:F745">
    <cfRule type="expression" dxfId="1918" priority="1838">
      <formula>$CN742="Exterior"</formula>
    </cfRule>
  </conditionalFormatting>
  <conditionalFormatting sqref="AJ749:AL749">
    <cfRule type="expression" dxfId="1917" priority="1837" stopIfTrue="1">
      <formula>$G747=""</formula>
    </cfRule>
  </conditionalFormatting>
  <conditionalFormatting sqref="AR747:AR750">
    <cfRule type="expression" dxfId="1916" priority="1834" stopIfTrue="1">
      <formula>$C$36=2</formula>
    </cfRule>
    <cfRule type="cellIs" dxfId="1915" priority="1835" operator="equal">
      <formula>"Yes"</formula>
    </cfRule>
    <cfRule type="cellIs" dxfId="1914" priority="1836" operator="equal">
      <formula>"No"</formula>
    </cfRule>
  </conditionalFormatting>
  <conditionalFormatting sqref="AJ747:AL748">
    <cfRule type="expression" dxfId="1913" priority="1833">
      <formula>$G747=""</formula>
    </cfRule>
  </conditionalFormatting>
  <conditionalFormatting sqref="AM747 AO747:AP750">
    <cfRule type="expression" dxfId="1912" priority="1832">
      <formula>$G747=""</formula>
    </cfRule>
  </conditionalFormatting>
  <conditionalFormatting sqref="AT747:AT750">
    <cfRule type="expression" dxfId="1911" priority="1831">
      <formula>$G747=""</formula>
    </cfRule>
  </conditionalFormatting>
  <conditionalFormatting sqref="E750:F750">
    <cfRule type="expression" dxfId="1910" priority="1830">
      <formula>$CN747="Exterior"</formula>
    </cfRule>
  </conditionalFormatting>
  <conditionalFormatting sqref="AJ754:AL754">
    <cfRule type="expression" dxfId="1909" priority="1829" stopIfTrue="1">
      <formula>$G752=""</formula>
    </cfRule>
  </conditionalFormatting>
  <conditionalFormatting sqref="AR752:AR755">
    <cfRule type="expression" dxfId="1908" priority="1826" stopIfTrue="1">
      <formula>$C$36=2</formula>
    </cfRule>
    <cfRule type="cellIs" dxfId="1907" priority="1827" operator="equal">
      <formula>"Yes"</formula>
    </cfRule>
    <cfRule type="cellIs" dxfId="1906" priority="1828" operator="equal">
      <formula>"No"</formula>
    </cfRule>
  </conditionalFormatting>
  <conditionalFormatting sqref="AJ752:AL753">
    <cfRule type="expression" dxfId="1905" priority="1825">
      <formula>$G752=""</formula>
    </cfRule>
  </conditionalFormatting>
  <conditionalFormatting sqref="AM752 AO752:AP755">
    <cfRule type="expression" dxfId="1904" priority="1824">
      <formula>$G752=""</formula>
    </cfRule>
  </conditionalFormatting>
  <conditionalFormatting sqref="AT752:AT755">
    <cfRule type="expression" dxfId="1903" priority="1823">
      <formula>$G752=""</formula>
    </cfRule>
  </conditionalFormatting>
  <conditionalFormatting sqref="E755:F755">
    <cfRule type="expression" dxfId="1902" priority="1822">
      <formula>$CN752="Exterior"</formula>
    </cfRule>
  </conditionalFormatting>
  <conditionalFormatting sqref="AJ759:AL759">
    <cfRule type="expression" dxfId="1901" priority="1821" stopIfTrue="1">
      <formula>$G757=""</formula>
    </cfRule>
  </conditionalFormatting>
  <conditionalFormatting sqref="AR757:AR760">
    <cfRule type="expression" dxfId="1900" priority="1818" stopIfTrue="1">
      <formula>$C$36=2</formula>
    </cfRule>
    <cfRule type="cellIs" dxfId="1899" priority="1819" operator="equal">
      <formula>"Yes"</formula>
    </cfRule>
    <cfRule type="cellIs" dxfId="1898" priority="1820" operator="equal">
      <formula>"No"</formula>
    </cfRule>
  </conditionalFormatting>
  <conditionalFormatting sqref="AJ757:AL758">
    <cfRule type="expression" dxfId="1897" priority="1817">
      <formula>$G757=""</formula>
    </cfRule>
  </conditionalFormatting>
  <conditionalFormatting sqref="AM757 AO757:AP760">
    <cfRule type="expression" dxfId="1896" priority="1816">
      <formula>$G757=""</formula>
    </cfRule>
  </conditionalFormatting>
  <conditionalFormatting sqref="AT757:AT760">
    <cfRule type="expression" dxfId="1895" priority="1815">
      <formula>$G757=""</formula>
    </cfRule>
  </conditionalFormatting>
  <conditionalFormatting sqref="E760:F760">
    <cfRule type="expression" dxfId="1894" priority="1814">
      <formula>$CN757="Exterior"</formula>
    </cfRule>
  </conditionalFormatting>
  <conditionalFormatting sqref="AJ764:AL764">
    <cfRule type="expression" dxfId="1893" priority="1813" stopIfTrue="1">
      <formula>$G762=""</formula>
    </cfRule>
  </conditionalFormatting>
  <conditionalFormatting sqref="AR762:AR765">
    <cfRule type="expression" dxfId="1892" priority="1810" stopIfTrue="1">
      <formula>$C$36=2</formula>
    </cfRule>
    <cfRule type="cellIs" dxfId="1891" priority="1811" operator="equal">
      <formula>"Yes"</formula>
    </cfRule>
    <cfRule type="cellIs" dxfId="1890" priority="1812" operator="equal">
      <formula>"No"</formula>
    </cfRule>
  </conditionalFormatting>
  <conditionalFormatting sqref="AJ762:AL763">
    <cfRule type="expression" dxfId="1889" priority="1809">
      <formula>$G762=""</formula>
    </cfRule>
  </conditionalFormatting>
  <conditionalFormatting sqref="AM762 AO762:AP765">
    <cfRule type="expression" dxfId="1888" priority="1808">
      <formula>$G762=""</formula>
    </cfRule>
  </conditionalFormatting>
  <conditionalFormatting sqref="AT762:AT765">
    <cfRule type="expression" dxfId="1887" priority="1807">
      <formula>$G762=""</formula>
    </cfRule>
  </conditionalFormatting>
  <conditionalFormatting sqref="E765:F765">
    <cfRule type="expression" dxfId="1886" priority="1806">
      <formula>$CN762="Exterior"</formula>
    </cfRule>
  </conditionalFormatting>
  <conditionalFormatting sqref="AJ769:AL769">
    <cfRule type="expression" dxfId="1885" priority="1805" stopIfTrue="1">
      <formula>$G767=""</formula>
    </cfRule>
  </conditionalFormatting>
  <conditionalFormatting sqref="AR767:AR770">
    <cfRule type="expression" dxfId="1884" priority="1802" stopIfTrue="1">
      <formula>$C$36=2</formula>
    </cfRule>
    <cfRule type="cellIs" dxfId="1883" priority="1803" operator="equal">
      <formula>"Yes"</formula>
    </cfRule>
    <cfRule type="cellIs" dxfId="1882" priority="1804" operator="equal">
      <formula>"No"</formula>
    </cfRule>
  </conditionalFormatting>
  <conditionalFormatting sqref="AJ767:AL768">
    <cfRule type="expression" dxfId="1881" priority="1801">
      <formula>$G767=""</formula>
    </cfRule>
  </conditionalFormatting>
  <conditionalFormatting sqref="AM767 AO767:AP770">
    <cfRule type="expression" dxfId="1880" priority="1800">
      <formula>$G767=""</formula>
    </cfRule>
  </conditionalFormatting>
  <conditionalFormatting sqref="AT767:AT770">
    <cfRule type="expression" dxfId="1879" priority="1799">
      <formula>$G767=""</formula>
    </cfRule>
  </conditionalFormatting>
  <conditionalFormatting sqref="E770:F770">
    <cfRule type="expression" dxfId="1878" priority="1798">
      <formula>$CN767="Exterior"</formula>
    </cfRule>
  </conditionalFormatting>
  <conditionalFormatting sqref="AJ774:AL774">
    <cfRule type="expression" dxfId="1877" priority="1797" stopIfTrue="1">
      <formula>$G772=""</formula>
    </cfRule>
  </conditionalFormatting>
  <conditionalFormatting sqref="AR772:AR775">
    <cfRule type="expression" dxfId="1876" priority="1794" stopIfTrue="1">
      <formula>$C$36=2</formula>
    </cfRule>
    <cfRule type="cellIs" dxfId="1875" priority="1795" operator="equal">
      <formula>"Yes"</formula>
    </cfRule>
    <cfRule type="cellIs" dxfId="1874" priority="1796" operator="equal">
      <formula>"No"</formula>
    </cfRule>
  </conditionalFormatting>
  <conditionalFormatting sqref="AJ772:AL773">
    <cfRule type="expression" dxfId="1873" priority="1793">
      <formula>$G772=""</formula>
    </cfRule>
  </conditionalFormatting>
  <conditionalFormatting sqref="AM772 AO772:AP775">
    <cfRule type="expression" dxfId="1872" priority="1792">
      <formula>$G772=""</formula>
    </cfRule>
  </conditionalFormatting>
  <conditionalFormatting sqref="AT772:AT775">
    <cfRule type="expression" dxfId="1871" priority="1791">
      <formula>$G772=""</formula>
    </cfRule>
  </conditionalFormatting>
  <conditionalFormatting sqref="E775:F775">
    <cfRule type="expression" dxfId="1870" priority="1790">
      <formula>$CN772="Exterior"</formula>
    </cfRule>
  </conditionalFormatting>
  <conditionalFormatting sqref="AJ779:AL779">
    <cfRule type="expression" dxfId="1869" priority="1789" stopIfTrue="1">
      <formula>$G777=""</formula>
    </cfRule>
  </conditionalFormatting>
  <conditionalFormatting sqref="AR777:AR780">
    <cfRule type="expression" dxfId="1868" priority="1786" stopIfTrue="1">
      <formula>$C$36=2</formula>
    </cfRule>
    <cfRule type="cellIs" dxfId="1867" priority="1787" operator="equal">
      <formula>"Yes"</formula>
    </cfRule>
    <cfRule type="cellIs" dxfId="1866" priority="1788" operator="equal">
      <formula>"No"</formula>
    </cfRule>
  </conditionalFormatting>
  <conditionalFormatting sqref="AJ777:AL778">
    <cfRule type="expression" dxfId="1865" priority="1785">
      <formula>$G777=""</formula>
    </cfRule>
  </conditionalFormatting>
  <conditionalFormatting sqref="AM777 AO777:AP780">
    <cfRule type="expression" dxfId="1864" priority="1784">
      <formula>$G777=""</formula>
    </cfRule>
  </conditionalFormatting>
  <conditionalFormatting sqref="AT777:AT780">
    <cfRule type="expression" dxfId="1863" priority="1783">
      <formula>$G777=""</formula>
    </cfRule>
  </conditionalFormatting>
  <conditionalFormatting sqref="E780:F780">
    <cfRule type="expression" dxfId="1862" priority="1782">
      <formula>$CN777="Exterior"</formula>
    </cfRule>
  </conditionalFormatting>
  <conditionalFormatting sqref="AJ784:AL784">
    <cfRule type="expression" dxfId="1861" priority="1781" stopIfTrue="1">
      <formula>$G782=""</formula>
    </cfRule>
  </conditionalFormatting>
  <conditionalFormatting sqref="AR782:AR785">
    <cfRule type="expression" dxfId="1860" priority="1778" stopIfTrue="1">
      <formula>$C$36=2</formula>
    </cfRule>
    <cfRule type="cellIs" dxfId="1859" priority="1779" operator="equal">
      <formula>"Yes"</formula>
    </cfRule>
    <cfRule type="cellIs" dxfId="1858" priority="1780" operator="equal">
      <formula>"No"</formula>
    </cfRule>
  </conditionalFormatting>
  <conditionalFormatting sqref="AJ782:AL783">
    <cfRule type="expression" dxfId="1857" priority="1777">
      <formula>$G782=""</formula>
    </cfRule>
  </conditionalFormatting>
  <conditionalFormatting sqref="AM782 AO782:AP785">
    <cfRule type="expression" dxfId="1856" priority="1776">
      <formula>$G782=""</formula>
    </cfRule>
  </conditionalFormatting>
  <conditionalFormatting sqref="AT782:AT785">
    <cfRule type="expression" dxfId="1855" priority="1775">
      <formula>$G782=""</formula>
    </cfRule>
  </conditionalFormatting>
  <conditionalFormatting sqref="E785:F785">
    <cfRule type="expression" dxfId="1854" priority="1774">
      <formula>$CN782="Exterior"</formula>
    </cfRule>
  </conditionalFormatting>
  <conditionalFormatting sqref="AJ789:AL789">
    <cfRule type="expression" dxfId="1853" priority="1773" stopIfTrue="1">
      <formula>$G787=""</formula>
    </cfRule>
  </conditionalFormatting>
  <conditionalFormatting sqref="AR787:AR790">
    <cfRule type="expression" dxfId="1852" priority="1770" stopIfTrue="1">
      <formula>$C$36=2</formula>
    </cfRule>
    <cfRule type="cellIs" dxfId="1851" priority="1771" operator="equal">
      <formula>"Yes"</formula>
    </cfRule>
    <cfRule type="cellIs" dxfId="1850" priority="1772" operator="equal">
      <formula>"No"</formula>
    </cfRule>
  </conditionalFormatting>
  <conditionalFormatting sqref="AJ787:AL788">
    <cfRule type="expression" dxfId="1849" priority="1769">
      <formula>$G787=""</formula>
    </cfRule>
  </conditionalFormatting>
  <conditionalFormatting sqref="AM787 AO787:AP790">
    <cfRule type="expression" dxfId="1848" priority="1768">
      <formula>$G787=""</formula>
    </cfRule>
  </conditionalFormatting>
  <conditionalFormatting sqref="AT787:AT790">
    <cfRule type="expression" dxfId="1847" priority="1767">
      <formula>$G787=""</formula>
    </cfRule>
  </conditionalFormatting>
  <conditionalFormatting sqref="E790:F790">
    <cfRule type="expression" dxfId="1846" priority="1766">
      <formula>$CN787="Exterior"</formula>
    </cfRule>
  </conditionalFormatting>
  <conditionalFormatting sqref="AE719">
    <cfRule type="expression" dxfId="1845" priority="1752" stopIfTrue="1">
      <formula>$G717=""</formula>
    </cfRule>
  </conditionalFormatting>
  <conditionalFormatting sqref="AB720:AD720">
    <cfRule type="expression" dxfId="1844" priority="1764" stopIfTrue="1">
      <formula>$G717=""</formula>
    </cfRule>
  </conditionalFormatting>
  <conditionalFormatting sqref="G719">
    <cfRule type="expression" dxfId="1843" priority="1761" stopIfTrue="1">
      <formula>$G717=""</formula>
    </cfRule>
    <cfRule type="containsBlanks" dxfId="1842" priority="1762" stopIfTrue="1">
      <formula>LEN(TRIM(G719))=0</formula>
    </cfRule>
    <cfRule type="expression" dxfId="1841" priority="1763">
      <formula>OR($M719=0,$HC718=FALSE)</formula>
    </cfRule>
  </conditionalFormatting>
  <conditionalFormatting sqref="AB720">
    <cfRule type="expression" dxfId="1840" priority="1760" stopIfTrue="1">
      <formula>$AB720=""</formula>
    </cfRule>
  </conditionalFormatting>
  <conditionalFormatting sqref="AE718:AF718">
    <cfRule type="expression" dxfId="1839" priority="1759">
      <formula>$C$36=2</formula>
    </cfRule>
  </conditionalFormatting>
  <conditionalFormatting sqref="T719:U719">
    <cfRule type="expression" dxfId="1838" priority="1734" stopIfTrue="1">
      <formula>$G717=""</formula>
    </cfRule>
  </conditionalFormatting>
  <conditionalFormatting sqref="T719:U719">
    <cfRule type="containsBlanks" dxfId="1837" priority="1757" stopIfTrue="1">
      <formula>LEN(TRIM(T719))=0</formula>
    </cfRule>
  </conditionalFormatting>
  <conditionalFormatting sqref="AC717:AD717">
    <cfRule type="expression" dxfId="1836" priority="1756">
      <formula>$G717=""</formula>
    </cfRule>
  </conditionalFormatting>
  <conditionalFormatting sqref="AE718">
    <cfRule type="containsBlanks" dxfId="1835" priority="1754">
      <formula>LEN(TRIM(AE718))=0</formula>
    </cfRule>
  </conditionalFormatting>
  <conditionalFormatting sqref="AE719 AF720">
    <cfRule type="containsBlanks" dxfId="1834" priority="1753" stopIfTrue="1">
      <formula>LEN(TRIM(AE719))=0</formula>
    </cfRule>
  </conditionalFormatting>
  <conditionalFormatting sqref="AE719">
    <cfRule type="expression" dxfId="1833" priority="1765">
      <formula>OR($HN718=FALSE,$HO718=FALSE)</formula>
    </cfRule>
  </conditionalFormatting>
  <conditionalFormatting sqref="G718:Q718 G717">
    <cfRule type="containsBlanks" dxfId="1832" priority="1751">
      <formula>LEN(TRIM(G717))=0</formula>
    </cfRule>
  </conditionalFormatting>
  <conditionalFormatting sqref="G718:L718">
    <cfRule type="expression" dxfId="1831" priority="1749" stopIfTrue="1">
      <formula>$G717=""</formula>
    </cfRule>
    <cfRule type="containsBlanks" dxfId="1830" priority="1750">
      <formula>LEN(TRIM(G718))=0</formula>
    </cfRule>
  </conditionalFormatting>
  <conditionalFormatting sqref="R719">
    <cfRule type="expression" dxfId="1829" priority="1747" stopIfTrue="1">
      <formula>$G717=""</formula>
    </cfRule>
    <cfRule type="containsBlanks" dxfId="1828" priority="1748">
      <formula>LEN(TRIM(R719))=0</formula>
    </cfRule>
  </conditionalFormatting>
  <conditionalFormatting sqref="P719:R719">
    <cfRule type="expression" dxfId="1827" priority="1746">
      <formula>$C$36=0</formula>
    </cfRule>
  </conditionalFormatting>
  <conditionalFormatting sqref="AB717">
    <cfRule type="expression" dxfId="1826" priority="1736" stopIfTrue="1">
      <formula>$AB717=""</formula>
    </cfRule>
    <cfRule type="expression" dxfId="1825" priority="1744" stopIfTrue="1">
      <formula>$G717=""</formula>
    </cfRule>
  </conditionalFormatting>
  <conditionalFormatting sqref="AF718">
    <cfRule type="containsBlanks" dxfId="1824" priority="1742">
      <formula>LEN(TRIM(AF718))=0</formula>
    </cfRule>
    <cfRule type="expression" dxfId="1823" priority="1743">
      <formula>$HJ718=FALSE</formula>
    </cfRule>
  </conditionalFormatting>
  <conditionalFormatting sqref="AF720">
    <cfRule type="expression" dxfId="1822" priority="1741">
      <formula>$C$36=2</formula>
    </cfRule>
  </conditionalFormatting>
  <conditionalFormatting sqref="R718">
    <cfRule type="containsBlanks" dxfId="1821" priority="1740">
      <formula>LEN(TRIM(R718))=0</formula>
    </cfRule>
  </conditionalFormatting>
  <conditionalFormatting sqref="AE718:AF718">
    <cfRule type="expression" dxfId="1820" priority="1739" stopIfTrue="1">
      <formula>$G717=""</formula>
    </cfRule>
  </conditionalFormatting>
  <conditionalFormatting sqref="AF720">
    <cfRule type="expression" dxfId="1819" priority="1738" stopIfTrue="1">
      <formula>$G717=""</formula>
    </cfRule>
  </conditionalFormatting>
  <conditionalFormatting sqref="AF717:AI717">
    <cfRule type="expression" dxfId="1818" priority="1737">
      <formula>$C$36&lt;&gt;0</formula>
    </cfRule>
  </conditionalFormatting>
  <conditionalFormatting sqref="AB717">
    <cfRule type="expression" dxfId="1817" priority="1745">
      <formula>$HU718=FALSE</formula>
    </cfRule>
  </conditionalFormatting>
  <conditionalFormatting sqref="R718">
    <cfRule type="containsBlanks" dxfId="1816" priority="1735">
      <formula>LEN(TRIM(R718))=0</formula>
    </cfRule>
  </conditionalFormatting>
  <conditionalFormatting sqref="U719">
    <cfRule type="expression" dxfId="1815" priority="1758">
      <formula>OR($HF718=FALSE,$HG718=FALSE)</formula>
    </cfRule>
  </conditionalFormatting>
  <conditionalFormatting sqref="R718">
    <cfRule type="expression" dxfId="1814" priority="1732" stopIfTrue="1">
      <formula>$G717=""</formula>
    </cfRule>
    <cfRule type="expression" dxfId="1813" priority="1733">
      <formula>$HT718=FALSE</formula>
    </cfRule>
  </conditionalFormatting>
  <conditionalFormatting sqref="AB717">
    <cfRule type="expression" dxfId="1812" priority="1731" stopIfTrue="1">
      <formula>$G717=""</formula>
    </cfRule>
  </conditionalFormatting>
  <conditionalFormatting sqref="G720">
    <cfRule type="expression" dxfId="1811" priority="1727" stopIfTrue="1">
      <formula>$G717=""</formula>
    </cfRule>
  </conditionalFormatting>
  <conditionalFormatting sqref="G720">
    <cfRule type="expression" dxfId="1810" priority="1721" stopIfTrue="1">
      <formula>$CN717="Exterior"</formula>
    </cfRule>
  </conditionalFormatting>
  <conditionalFormatting sqref="G720:L720">
    <cfRule type="containsBlanks" dxfId="1809" priority="1728" stopIfTrue="1">
      <formula>LEN(TRIM(G720))=0</formula>
    </cfRule>
    <cfRule type="expression" dxfId="1808" priority="1730">
      <formula>$HL718=FALSE</formula>
    </cfRule>
  </conditionalFormatting>
  <conditionalFormatting sqref="AF719">
    <cfRule type="expression" dxfId="1807" priority="1722" stopIfTrue="1">
      <formula>$G717=""</formula>
    </cfRule>
  </conditionalFormatting>
  <conditionalFormatting sqref="AF719:AI719">
    <cfRule type="expression" dxfId="1806" priority="1726">
      <formula>OR($HP718=FALSE,$HL718=FALSE)</formula>
    </cfRule>
  </conditionalFormatting>
  <conditionalFormatting sqref="AF719">
    <cfRule type="containsBlanks" dxfId="1805" priority="1723" stopIfTrue="1">
      <formula>LEN(TRIM(AF719))=0</formula>
    </cfRule>
    <cfRule type="expression" dxfId="1804" priority="1724">
      <formula>$DP717=7</formula>
    </cfRule>
    <cfRule type="expression" dxfId="1803" priority="1725">
      <formula>OR($HK718=FALSE,$HM718=FALSE)</formula>
    </cfRule>
  </conditionalFormatting>
  <conditionalFormatting sqref="G720:L720">
    <cfRule type="expression" dxfId="1802" priority="1729" stopIfTrue="1">
      <formula>$AF719=""</formula>
    </cfRule>
  </conditionalFormatting>
  <conditionalFormatting sqref="T718:U718">
    <cfRule type="expression" dxfId="1801" priority="1718" stopIfTrue="1">
      <formula>$C$36&lt;&gt;0</formula>
    </cfRule>
    <cfRule type="containsBlanks" dxfId="1800" priority="1719" stopIfTrue="1">
      <formula>LEN(TRIM(T718))=0</formula>
    </cfRule>
  </conditionalFormatting>
  <conditionalFormatting sqref="T718:U718">
    <cfRule type="expression" dxfId="1799" priority="1717" stopIfTrue="1">
      <formula>$G717=""</formula>
    </cfRule>
  </conditionalFormatting>
  <conditionalFormatting sqref="U718">
    <cfRule type="expression" dxfId="1798" priority="1720">
      <formula>$HE718=FALSE</formula>
    </cfRule>
  </conditionalFormatting>
  <conditionalFormatting sqref="T720">
    <cfRule type="expression" dxfId="1797" priority="1716">
      <formula>$C$36=2</formula>
    </cfRule>
  </conditionalFormatting>
  <conditionalFormatting sqref="AE724">
    <cfRule type="expression" dxfId="1796" priority="1702" stopIfTrue="1">
      <formula>$G722=""</formula>
    </cfRule>
  </conditionalFormatting>
  <conditionalFormatting sqref="AB725:AD725">
    <cfRule type="expression" dxfId="1795" priority="1714" stopIfTrue="1">
      <formula>$G722=""</formula>
    </cfRule>
  </conditionalFormatting>
  <conditionalFormatting sqref="G724">
    <cfRule type="expression" dxfId="1794" priority="1711" stopIfTrue="1">
      <formula>$G722=""</formula>
    </cfRule>
    <cfRule type="containsBlanks" dxfId="1793" priority="1712" stopIfTrue="1">
      <formula>LEN(TRIM(G724))=0</formula>
    </cfRule>
    <cfRule type="expression" dxfId="1792" priority="1713">
      <formula>OR($M724=0,$HC723=FALSE)</formula>
    </cfRule>
  </conditionalFormatting>
  <conditionalFormatting sqref="AB725">
    <cfRule type="expression" dxfId="1791" priority="1710" stopIfTrue="1">
      <formula>$AB725=""</formula>
    </cfRule>
  </conditionalFormatting>
  <conditionalFormatting sqref="AE723:AF723">
    <cfRule type="expression" dxfId="1790" priority="1709">
      <formula>$C$36=2</formula>
    </cfRule>
  </conditionalFormatting>
  <conditionalFormatting sqref="T724:U724">
    <cfRule type="expression" dxfId="1789" priority="1684" stopIfTrue="1">
      <formula>$G722=""</formula>
    </cfRule>
  </conditionalFormatting>
  <conditionalFormatting sqref="T724:U724">
    <cfRule type="containsBlanks" dxfId="1788" priority="1707" stopIfTrue="1">
      <formula>LEN(TRIM(T724))=0</formula>
    </cfRule>
  </conditionalFormatting>
  <conditionalFormatting sqref="AC722:AD722">
    <cfRule type="expression" dxfId="1787" priority="1706">
      <formula>$G722=""</formula>
    </cfRule>
  </conditionalFormatting>
  <conditionalFormatting sqref="AE723">
    <cfRule type="containsBlanks" dxfId="1786" priority="1704">
      <formula>LEN(TRIM(AE723))=0</formula>
    </cfRule>
  </conditionalFormatting>
  <conditionalFormatting sqref="AE724 AF725">
    <cfRule type="containsBlanks" dxfId="1785" priority="1703" stopIfTrue="1">
      <formula>LEN(TRIM(AE724))=0</formula>
    </cfRule>
  </conditionalFormatting>
  <conditionalFormatting sqref="AE724">
    <cfRule type="expression" dxfId="1784" priority="1715">
      <formula>OR($HN723=FALSE,$HO723=FALSE)</formula>
    </cfRule>
  </conditionalFormatting>
  <conditionalFormatting sqref="G723:Q723 G722">
    <cfRule type="containsBlanks" dxfId="1783" priority="1701">
      <formula>LEN(TRIM(G722))=0</formula>
    </cfRule>
  </conditionalFormatting>
  <conditionalFormatting sqref="G723:L723">
    <cfRule type="expression" dxfId="1782" priority="1699" stopIfTrue="1">
      <formula>$G722=""</formula>
    </cfRule>
    <cfRule type="containsBlanks" dxfId="1781" priority="1700">
      <formula>LEN(TRIM(G723))=0</formula>
    </cfRule>
  </conditionalFormatting>
  <conditionalFormatting sqref="R724">
    <cfRule type="expression" dxfId="1780" priority="1697" stopIfTrue="1">
      <formula>$G722=""</formula>
    </cfRule>
    <cfRule type="containsBlanks" dxfId="1779" priority="1698">
      <formula>LEN(TRIM(R724))=0</formula>
    </cfRule>
  </conditionalFormatting>
  <conditionalFormatting sqref="P724:R724">
    <cfRule type="expression" dxfId="1778" priority="1696">
      <formula>$C$36=0</formula>
    </cfRule>
  </conditionalFormatting>
  <conditionalFormatting sqref="AF723">
    <cfRule type="containsBlanks" dxfId="1777" priority="1692">
      <formula>LEN(TRIM(AF723))=0</formula>
    </cfRule>
    <cfRule type="expression" dxfId="1776" priority="1693">
      <formula>$HJ723=FALSE</formula>
    </cfRule>
  </conditionalFormatting>
  <conditionalFormatting sqref="AF725">
    <cfRule type="expression" dxfId="1775" priority="1691">
      <formula>$C$36=2</formula>
    </cfRule>
  </conditionalFormatting>
  <conditionalFormatting sqref="R723">
    <cfRule type="containsBlanks" dxfId="1774" priority="1690">
      <formula>LEN(TRIM(R723))=0</formula>
    </cfRule>
  </conditionalFormatting>
  <conditionalFormatting sqref="AE723:AF723">
    <cfRule type="expression" dxfId="1773" priority="1689" stopIfTrue="1">
      <formula>$G722=""</formula>
    </cfRule>
  </conditionalFormatting>
  <conditionalFormatting sqref="AF725">
    <cfRule type="expression" dxfId="1772" priority="1688" stopIfTrue="1">
      <formula>$G722=""</formula>
    </cfRule>
  </conditionalFormatting>
  <conditionalFormatting sqref="AF722:AI722">
    <cfRule type="expression" dxfId="1771" priority="1687">
      <formula>$C$36&lt;&gt;0</formula>
    </cfRule>
  </conditionalFormatting>
  <conditionalFormatting sqref="R723">
    <cfRule type="containsBlanks" dxfId="1770" priority="1685">
      <formula>LEN(TRIM(R723))=0</formula>
    </cfRule>
  </conditionalFormatting>
  <conditionalFormatting sqref="U724">
    <cfRule type="expression" dxfId="1769" priority="1708">
      <formula>OR($HF723=FALSE,$HG723=FALSE)</formula>
    </cfRule>
  </conditionalFormatting>
  <conditionalFormatting sqref="R723">
    <cfRule type="expression" dxfId="1768" priority="1682" stopIfTrue="1">
      <formula>$G722=""</formula>
    </cfRule>
    <cfRule type="expression" dxfId="1767" priority="1683">
      <formula>$HT723=FALSE</formula>
    </cfRule>
  </conditionalFormatting>
  <conditionalFormatting sqref="G725">
    <cfRule type="expression" dxfId="1766" priority="1677" stopIfTrue="1">
      <formula>$G722=""</formula>
    </cfRule>
  </conditionalFormatting>
  <conditionalFormatting sqref="G725">
    <cfRule type="expression" dxfId="1765" priority="1671" stopIfTrue="1">
      <formula>$CN722="Exterior"</formula>
    </cfRule>
  </conditionalFormatting>
  <conditionalFormatting sqref="G725:L725">
    <cfRule type="containsBlanks" dxfId="1764" priority="1678" stopIfTrue="1">
      <formula>LEN(TRIM(G725))=0</formula>
    </cfRule>
    <cfRule type="expression" dxfId="1763" priority="1680">
      <formula>$HL723=FALSE</formula>
    </cfRule>
  </conditionalFormatting>
  <conditionalFormatting sqref="AF724">
    <cfRule type="expression" dxfId="1762" priority="1672" stopIfTrue="1">
      <formula>$G722=""</formula>
    </cfRule>
  </conditionalFormatting>
  <conditionalFormatting sqref="AF724:AI724">
    <cfRule type="expression" dxfId="1761" priority="1676">
      <formula>OR($HP723=FALSE,$HL723=FALSE)</formula>
    </cfRule>
  </conditionalFormatting>
  <conditionalFormatting sqref="AF724">
    <cfRule type="containsBlanks" dxfId="1760" priority="1673" stopIfTrue="1">
      <formula>LEN(TRIM(AF724))=0</formula>
    </cfRule>
    <cfRule type="expression" dxfId="1759" priority="1674">
      <formula>$DP722=7</formula>
    </cfRule>
    <cfRule type="expression" dxfId="1758" priority="1675">
      <formula>OR($HK723=FALSE,$HM723=FALSE)</formula>
    </cfRule>
  </conditionalFormatting>
  <conditionalFormatting sqref="G725:L725">
    <cfRule type="expression" dxfId="1757" priority="1679" stopIfTrue="1">
      <formula>$AF724=""</formula>
    </cfRule>
  </conditionalFormatting>
  <conditionalFormatting sqref="T723:U723">
    <cfRule type="expression" dxfId="1756" priority="1668" stopIfTrue="1">
      <formula>$C$36&lt;&gt;0</formula>
    </cfRule>
    <cfRule type="containsBlanks" dxfId="1755" priority="1669" stopIfTrue="1">
      <formula>LEN(TRIM(T723))=0</formula>
    </cfRule>
  </conditionalFormatting>
  <conditionalFormatting sqref="T723:U723">
    <cfRule type="expression" dxfId="1754" priority="1667" stopIfTrue="1">
      <formula>$G722=""</formula>
    </cfRule>
  </conditionalFormatting>
  <conditionalFormatting sqref="U723">
    <cfRule type="expression" dxfId="1753" priority="1670">
      <formula>$HE723=FALSE</formula>
    </cfRule>
  </conditionalFormatting>
  <conditionalFormatting sqref="T725">
    <cfRule type="expression" dxfId="1752" priority="1666">
      <formula>$C$36=2</formula>
    </cfRule>
  </conditionalFormatting>
  <conditionalFormatting sqref="AE729">
    <cfRule type="expression" dxfId="1751" priority="1652" stopIfTrue="1">
      <formula>$G727=""</formula>
    </cfRule>
  </conditionalFormatting>
  <conditionalFormatting sqref="AB730:AD730">
    <cfRule type="expression" dxfId="1750" priority="1664" stopIfTrue="1">
      <formula>$G727=""</formula>
    </cfRule>
  </conditionalFormatting>
  <conditionalFormatting sqref="G729">
    <cfRule type="expression" dxfId="1749" priority="1661" stopIfTrue="1">
      <formula>$G727=""</formula>
    </cfRule>
    <cfRule type="containsBlanks" dxfId="1748" priority="1662" stopIfTrue="1">
      <formula>LEN(TRIM(G729))=0</formula>
    </cfRule>
    <cfRule type="expression" dxfId="1747" priority="1663">
      <formula>OR($M729=0,$HC728=FALSE)</formula>
    </cfRule>
  </conditionalFormatting>
  <conditionalFormatting sqref="AB730">
    <cfRule type="expression" dxfId="1746" priority="1660" stopIfTrue="1">
      <formula>$AB730=""</formula>
    </cfRule>
  </conditionalFormatting>
  <conditionalFormatting sqref="AE728:AF728">
    <cfRule type="expression" dxfId="1745" priority="1659">
      <formula>$C$36=2</formula>
    </cfRule>
  </conditionalFormatting>
  <conditionalFormatting sqref="T729:U729">
    <cfRule type="expression" dxfId="1744" priority="1634" stopIfTrue="1">
      <formula>$G727=""</formula>
    </cfRule>
  </conditionalFormatting>
  <conditionalFormatting sqref="T729:U729">
    <cfRule type="containsBlanks" dxfId="1743" priority="1657" stopIfTrue="1">
      <formula>LEN(TRIM(T729))=0</formula>
    </cfRule>
  </conditionalFormatting>
  <conditionalFormatting sqref="AC727:AD727">
    <cfRule type="expression" dxfId="1742" priority="1656">
      <formula>$G727=""</formula>
    </cfRule>
  </conditionalFormatting>
  <conditionalFormatting sqref="AE728">
    <cfRule type="containsBlanks" dxfId="1741" priority="1654">
      <formula>LEN(TRIM(AE728))=0</formula>
    </cfRule>
  </conditionalFormatting>
  <conditionalFormatting sqref="AE729 AF730">
    <cfRule type="containsBlanks" dxfId="1740" priority="1653" stopIfTrue="1">
      <formula>LEN(TRIM(AE729))=0</formula>
    </cfRule>
  </conditionalFormatting>
  <conditionalFormatting sqref="AE729">
    <cfRule type="expression" dxfId="1739" priority="1665">
      <formula>OR($HN728=FALSE,$HO728=FALSE)</formula>
    </cfRule>
  </conditionalFormatting>
  <conditionalFormatting sqref="G728:Q728 G727">
    <cfRule type="containsBlanks" dxfId="1738" priority="1651">
      <formula>LEN(TRIM(G727))=0</formula>
    </cfRule>
  </conditionalFormatting>
  <conditionalFormatting sqref="G728:L728">
    <cfRule type="expression" dxfId="1737" priority="1649" stopIfTrue="1">
      <formula>$G727=""</formula>
    </cfRule>
    <cfRule type="containsBlanks" dxfId="1736" priority="1650">
      <formula>LEN(TRIM(G728))=0</formula>
    </cfRule>
  </conditionalFormatting>
  <conditionalFormatting sqref="R729">
    <cfRule type="expression" dxfId="1735" priority="1647" stopIfTrue="1">
      <formula>$G727=""</formula>
    </cfRule>
    <cfRule type="containsBlanks" dxfId="1734" priority="1648">
      <formula>LEN(TRIM(R729))=0</formula>
    </cfRule>
  </conditionalFormatting>
  <conditionalFormatting sqref="P729:R729">
    <cfRule type="expression" dxfId="1733" priority="1646">
      <formula>$C$36=0</formula>
    </cfRule>
  </conditionalFormatting>
  <conditionalFormatting sqref="AF728">
    <cfRule type="containsBlanks" dxfId="1732" priority="1642">
      <formula>LEN(TRIM(AF728))=0</formula>
    </cfRule>
    <cfRule type="expression" dxfId="1731" priority="1643">
      <formula>$HJ728=FALSE</formula>
    </cfRule>
  </conditionalFormatting>
  <conditionalFormatting sqref="AF730">
    <cfRule type="expression" dxfId="1730" priority="1641">
      <formula>$C$36=2</formula>
    </cfRule>
  </conditionalFormatting>
  <conditionalFormatting sqref="R728">
    <cfRule type="containsBlanks" dxfId="1729" priority="1640">
      <formula>LEN(TRIM(R728))=0</formula>
    </cfRule>
  </conditionalFormatting>
  <conditionalFormatting sqref="AE728:AF728">
    <cfRule type="expression" dxfId="1728" priority="1639" stopIfTrue="1">
      <formula>$G727=""</formula>
    </cfRule>
  </conditionalFormatting>
  <conditionalFormatting sqref="AF730">
    <cfRule type="expression" dxfId="1727" priority="1638" stopIfTrue="1">
      <formula>$G727=""</formula>
    </cfRule>
  </conditionalFormatting>
  <conditionalFormatting sqref="AF727:AI727">
    <cfRule type="expression" dxfId="1726" priority="1637">
      <formula>$C$36&lt;&gt;0</formula>
    </cfRule>
  </conditionalFormatting>
  <conditionalFormatting sqref="R728">
    <cfRule type="containsBlanks" dxfId="1725" priority="1635">
      <formula>LEN(TRIM(R728))=0</formula>
    </cfRule>
  </conditionalFormatting>
  <conditionalFormatting sqref="U729">
    <cfRule type="expression" dxfId="1724" priority="1658">
      <formula>OR($HF728=FALSE,$HG728=FALSE)</formula>
    </cfRule>
  </conditionalFormatting>
  <conditionalFormatting sqref="R728">
    <cfRule type="expression" dxfId="1723" priority="1632" stopIfTrue="1">
      <formula>$G727=""</formula>
    </cfRule>
    <cfRule type="expression" dxfId="1722" priority="1633">
      <formula>$HT728=FALSE</formula>
    </cfRule>
  </conditionalFormatting>
  <conditionalFormatting sqref="G730">
    <cfRule type="expression" dxfId="1721" priority="1627" stopIfTrue="1">
      <formula>$G727=""</formula>
    </cfRule>
  </conditionalFormatting>
  <conditionalFormatting sqref="G730">
    <cfRule type="expression" dxfId="1720" priority="1621" stopIfTrue="1">
      <formula>$CN727="Exterior"</formula>
    </cfRule>
  </conditionalFormatting>
  <conditionalFormatting sqref="G730:L730">
    <cfRule type="containsBlanks" dxfId="1719" priority="1628" stopIfTrue="1">
      <formula>LEN(TRIM(G730))=0</formula>
    </cfRule>
    <cfRule type="expression" dxfId="1718" priority="1630">
      <formula>$HL728=FALSE</formula>
    </cfRule>
  </conditionalFormatting>
  <conditionalFormatting sqref="AF729">
    <cfRule type="expression" dxfId="1717" priority="1622" stopIfTrue="1">
      <formula>$G727=""</formula>
    </cfRule>
  </conditionalFormatting>
  <conditionalFormatting sqref="AF729:AI729">
    <cfRule type="expression" dxfId="1716" priority="1626">
      <formula>OR($HP728=FALSE,$HL728=FALSE)</formula>
    </cfRule>
  </conditionalFormatting>
  <conditionalFormatting sqref="AF729">
    <cfRule type="containsBlanks" dxfId="1715" priority="1623" stopIfTrue="1">
      <formula>LEN(TRIM(AF729))=0</formula>
    </cfRule>
    <cfRule type="expression" dxfId="1714" priority="1624">
      <formula>$DP727=7</formula>
    </cfRule>
    <cfRule type="expression" dxfId="1713" priority="1625">
      <formula>OR($HK728=FALSE,$HM728=FALSE)</formula>
    </cfRule>
  </conditionalFormatting>
  <conditionalFormatting sqref="G730:L730">
    <cfRule type="expression" dxfId="1712" priority="1629" stopIfTrue="1">
      <formula>$AF729=""</formula>
    </cfRule>
  </conditionalFormatting>
  <conditionalFormatting sqref="T728:U728">
    <cfRule type="expression" dxfId="1711" priority="1618" stopIfTrue="1">
      <formula>$C$36&lt;&gt;0</formula>
    </cfRule>
    <cfRule type="containsBlanks" dxfId="1710" priority="1619" stopIfTrue="1">
      <formula>LEN(TRIM(T728))=0</formula>
    </cfRule>
  </conditionalFormatting>
  <conditionalFormatting sqref="T728:U728">
    <cfRule type="expression" dxfId="1709" priority="1617" stopIfTrue="1">
      <formula>$G727=""</formula>
    </cfRule>
  </conditionalFormatting>
  <conditionalFormatting sqref="U728">
    <cfRule type="expression" dxfId="1708" priority="1620">
      <formula>$HE728=FALSE</formula>
    </cfRule>
  </conditionalFormatting>
  <conditionalFormatting sqref="T730">
    <cfRule type="expression" dxfId="1707" priority="1616">
      <formula>$C$36=2</formula>
    </cfRule>
  </conditionalFormatting>
  <conditionalFormatting sqref="AE734">
    <cfRule type="expression" dxfId="1706" priority="1602" stopIfTrue="1">
      <formula>$G732=""</formula>
    </cfRule>
  </conditionalFormatting>
  <conditionalFormatting sqref="AB735:AD735">
    <cfRule type="expression" dxfId="1705" priority="1614" stopIfTrue="1">
      <formula>$G732=""</formula>
    </cfRule>
  </conditionalFormatting>
  <conditionalFormatting sqref="G734">
    <cfRule type="expression" dxfId="1704" priority="1611" stopIfTrue="1">
      <formula>$G732=""</formula>
    </cfRule>
    <cfRule type="containsBlanks" dxfId="1703" priority="1612" stopIfTrue="1">
      <formula>LEN(TRIM(G734))=0</formula>
    </cfRule>
    <cfRule type="expression" dxfId="1702" priority="1613">
      <formula>OR($M734=0,$HC733=FALSE)</formula>
    </cfRule>
  </conditionalFormatting>
  <conditionalFormatting sqref="AB735">
    <cfRule type="expression" dxfId="1701" priority="1610" stopIfTrue="1">
      <formula>$AB735=""</formula>
    </cfRule>
  </conditionalFormatting>
  <conditionalFormatting sqref="AE733:AF733">
    <cfRule type="expression" dxfId="1700" priority="1609">
      <formula>$C$36=2</formula>
    </cfRule>
  </conditionalFormatting>
  <conditionalFormatting sqref="T734:U734">
    <cfRule type="expression" dxfId="1699" priority="1584" stopIfTrue="1">
      <formula>$G732=""</formula>
    </cfRule>
  </conditionalFormatting>
  <conditionalFormatting sqref="T734:U734">
    <cfRule type="containsBlanks" dxfId="1698" priority="1607" stopIfTrue="1">
      <formula>LEN(TRIM(T734))=0</formula>
    </cfRule>
  </conditionalFormatting>
  <conditionalFormatting sqref="AC732:AD732">
    <cfRule type="expression" dxfId="1697" priority="1606">
      <formula>$G732=""</formula>
    </cfRule>
  </conditionalFormatting>
  <conditionalFormatting sqref="AE733">
    <cfRule type="containsBlanks" dxfId="1696" priority="1604">
      <formula>LEN(TRIM(AE733))=0</formula>
    </cfRule>
  </conditionalFormatting>
  <conditionalFormatting sqref="AE734 AF735">
    <cfRule type="containsBlanks" dxfId="1695" priority="1603" stopIfTrue="1">
      <formula>LEN(TRIM(AE734))=0</formula>
    </cfRule>
  </conditionalFormatting>
  <conditionalFormatting sqref="AE734">
    <cfRule type="expression" dxfId="1694" priority="1615">
      <formula>OR($HN733=FALSE,$HO733=FALSE)</formula>
    </cfRule>
  </conditionalFormatting>
  <conditionalFormatting sqref="G733:Q733 G732">
    <cfRule type="containsBlanks" dxfId="1693" priority="1601">
      <formula>LEN(TRIM(G732))=0</formula>
    </cfRule>
  </conditionalFormatting>
  <conditionalFormatting sqref="G733:L733">
    <cfRule type="expression" dxfId="1692" priority="1599" stopIfTrue="1">
      <formula>$G732=""</formula>
    </cfRule>
    <cfRule type="containsBlanks" dxfId="1691" priority="1600">
      <formula>LEN(TRIM(G733))=0</formula>
    </cfRule>
  </conditionalFormatting>
  <conditionalFormatting sqref="R734">
    <cfRule type="expression" dxfId="1690" priority="1597" stopIfTrue="1">
      <formula>$G732=""</formula>
    </cfRule>
    <cfRule type="containsBlanks" dxfId="1689" priority="1598">
      <formula>LEN(TRIM(R734))=0</formula>
    </cfRule>
  </conditionalFormatting>
  <conditionalFormatting sqref="P734:R734">
    <cfRule type="expression" dxfId="1688" priority="1596">
      <formula>$C$36=0</formula>
    </cfRule>
  </conditionalFormatting>
  <conditionalFormatting sqref="AF733">
    <cfRule type="containsBlanks" dxfId="1687" priority="1592">
      <formula>LEN(TRIM(AF733))=0</formula>
    </cfRule>
    <cfRule type="expression" dxfId="1686" priority="1593">
      <formula>$HJ733=FALSE</formula>
    </cfRule>
  </conditionalFormatting>
  <conditionalFormatting sqref="AF735">
    <cfRule type="expression" dxfId="1685" priority="1591">
      <formula>$C$36=2</formula>
    </cfRule>
  </conditionalFormatting>
  <conditionalFormatting sqref="R733">
    <cfRule type="containsBlanks" dxfId="1684" priority="1590">
      <formula>LEN(TRIM(R733))=0</formula>
    </cfRule>
  </conditionalFormatting>
  <conditionalFormatting sqref="AE733:AF733">
    <cfRule type="expression" dxfId="1683" priority="1589" stopIfTrue="1">
      <formula>$G732=""</formula>
    </cfRule>
  </conditionalFormatting>
  <conditionalFormatting sqref="AF735">
    <cfRule type="expression" dxfId="1682" priority="1588" stopIfTrue="1">
      <formula>$G732=""</formula>
    </cfRule>
  </conditionalFormatting>
  <conditionalFormatting sqref="AF732:AI732">
    <cfRule type="expression" dxfId="1681" priority="1587">
      <formula>$C$36&lt;&gt;0</formula>
    </cfRule>
  </conditionalFormatting>
  <conditionalFormatting sqref="R733">
    <cfRule type="containsBlanks" dxfId="1680" priority="1585">
      <formula>LEN(TRIM(R733))=0</formula>
    </cfRule>
  </conditionalFormatting>
  <conditionalFormatting sqref="U734">
    <cfRule type="expression" dxfId="1679" priority="1608">
      <formula>OR($HF733=FALSE,$HG733=FALSE)</formula>
    </cfRule>
  </conditionalFormatting>
  <conditionalFormatting sqref="R733">
    <cfRule type="expression" dxfId="1678" priority="1582" stopIfTrue="1">
      <formula>$G732=""</formula>
    </cfRule>
    <cfRule type="expression" dxfId="1677" priority="1583">
      <formula>$HT733=FALSE</formula>
    </cfRule>
  </conditionalFormatting>
  <conditionalFormatting sqref="G735">
    <cfRule type="expression" dxfId="1676" priority="1577" stopIfTrue="1">
      <formula>$G732=""</formula>
    </cfRule>
  </conditionalFormatting>
  <conditionalFormatting sqref="G735">
    <cfRule type="expression" dxfId="1675" priority="1571" stopIfTrue="1">
      <formula>$CN732="Exterior"</formula>
    </cfRule>
  </conditionalFormatting>
  <conditionalFormatting sqref="G735:L735">
    <cfRule type="containsBlanks" dxfId="1674" priority="1578" stopIfTrue="1">
      <formula>LEN(TRIM(G735))=0</formula>
    </cfRule>
    <cfRule type="expression" dxfId="1673" priority="1580">
      <formula>$HL733=FALSE</formula>
    </cfRule>
  </conditionalFormatting>
  <conditionalFormatting sqref="AF734">
    <cfRule type="expression" dxfId="1672" priority="1572" stopIfTrue="1">
      <formula>$G732=""</formula>
    </cfRule>
  </conditionalFormatting>
  <conditionalFormatting sqref="AF734:AI734">
    <cfRule type="expression" dxfId="1671" priority="1576">
      <formula>OR($HP733=FALSE,$HL733=FALSE)</formula>
    </cfRule>
  </conditionalFormatting>
  <conditionalFormatting sqref="AF734">
    <cfRule type="containsBlanks" dxfId="1670" priority="1573" stopIfTrue="1">
      <formula>LEN(TRIM(AF734))=0</formula>
    </cfRule>
    <cfRule type="expression" dxfId="1669" priority="1574">
      <formula>$DP732=7</formula>
    </cfRule>
    <cfRule type="expression" dxfId="1668" priority="1575">
      <formula>OR($HK733=FALSE,$HM733=FALSE)</formula>
    </cfRule>
  </conditionalFormatting>
  <conditionalFormatting sqref="G735:L735">
    <cfRule type="expression" dxfId="1667" priority="1579" stopIfTrue="1">
      <formula>$AF734=""</formula>
    </cfRule>
  </conditionalFormatting>
  <conditionalFormatting sqref="T733:U733">
    <cfRule type="expression" dxfId="1666" priority="1568" stopIfTrue="1">
      <formula>$C$36&lt;&gt;0</formula>
    </cfRule>
    <cfRule type="containsBlanks" dxfId="1665" priority="1569" stopIfTrue="1">
      <formula>LEN(TRIM(T733))=0</formula>
    </cfRule>
  </conditionalFormatting>
  <conditionalFormatting sqref="T733:U733">
    <cfRule type="expression" dxfId="1664" priority="1567" stopIfTrue="1">
      <formula>$G732=""</formula>
    </cfRule>
  </conditionalFormatting>
  <conditionalFormatting sqref="U733">
    <cfRule type="expression" dxfId="1663" priority="1570">
      <formula>$HE733=FALSE</formula>
    </cfRule>
  </conditionalFormatting>
  <conditionalFormatting sqref="T735">
    <cfRule type="expression" dxfId="1662" priority="1566">
      <formula>$C$36=2</formula>
    </cfRule>
  </conditionalFormatting>
  <conditionalFormatting sqref="AE739">
    <cfRule type="expression" dxfId="1661" priority="1552" stopIfTrue="1">
      <formula>$G737=""</formula>
    </cfRule>
  </conditionalFormatting>
  <conditionalFormatting sqref="AB740:AD740">
    <cfRule type="expression" dxfId="1660" priority="1564" stopIfTrue="1">
      <formula>$G737=""</formula>
    </cfRule>
  </conditionalFormatting>
  <conditionalFormatting sqref="G739">
    <cfRule type="expression" dxfId="1659" priority="1561" stopIfTrue="1">
      <formula>$G737=""</formula>
    </cfRule>
    <cfRule type="containsBlanks" dxfId="1658" priority="1562" stopIfTrue="1">
      <formula>LEN(TRIM(G739))=0</formula>
    </cfRule>
    <cfRule type="expression" dxfId="1657" priority="1563">
      <formula>OR($M739=0,$HC738=FALSE)</formula>
    </cfRule>
  </conditionalFormatting>
  <conditionalFormatting sqref="AB740">
    <cfRule type="expression" dxfId="1656" priority="1560" stopIfTrue="1">
      <formula>$AB740=""</formula>
    </cfRule>
  </conditionalFormatting>
  <conditionalFormatting sqref="AE738:AF738">
    <cfRule type="expression" dxfId="1655" priority="1559">
      <formula>$C$36=2</formula>
    </cfRule>
  </conditionalFormatting>
  <conditionalFormatting sqref="T739:U739">
    <cfRule type="expression" dxfId="1654" priority="1534" stopIfTrue="1">
      <formula>$G737=""</formula>
    </cfRule>
  </conditionalFormatting>
  <conditionalFormatting sqref="T739:U739">
    <cfRule type="containsBlanks" dxfId="1653" priority="1557" stopIfTrue="1">
      <formula>LEN(TRIM(T739))=0</formula>
    </cfRule>
  </conditionalFormatting>
  <conditionalFormatting sqref="AC737:AD737">
    <cfRule type="expression" dxfId="1652" priority="1556">
      <formula>$G737=""</formula>
    </cfRule>
  </conditionalFormatting>
  <conditionalFormatting sqref="AE738">
    <cfRule type="containsBlanks" dxfId="1651" priority="1554">
      <formula>LEN(TRIM(AE738))=0</formula>
    </cfRule>
  </conditionalFormatting>
  <conditionalFormatting sqref="AE739 AF740">
    <cfRule type="containsBlanks" dxfId="1650" priority="1553" stopIfTrue="1">
      <formula>LEN(TRIM(AE739))=0</formula>
    </cfRule>
  </conditionalFormatting>
  <conditionalFormatting sqref="AE739">
    <cfRule type="expression" dxfId="1649" priority="1565">
      <formula>OR($HN738=FALSE,$HO738=FALSE)</formula>
    </cfRule>
  </conditionalFormatting>
  <conditionalFormatting sqref="G738:Q738 G737">
    <cfRule type="containsBlanks" dxfId="1648" priority="1551">
      <formula>LEN(TRIM(G737))=0</formula>
    </cfRule>
  </conditionalFormatting>
  <conditionalFormatting sqref="G738:L738">
    <cfRule type="expression" dxfId="1647" priority="1549" stopIfTrue="1">
      <formula>$G737=""</formula>
    </cfRule>
    <cfRule type="containsBlanks" dxfId="1646" priority="1550">
      <formula>LEN(TRIM(G738))=0</formula>
    </cfRule>
  </conditionalFormatting>
  <conditionalFormatting sqref="R739">
    <cfRule type="expression" dxfId="1645" priority="1547" stopIfTrue="1">
      <formula>$G737=""</formula>
    </cfRule>
    <cfRule type="containsBlanks" dxfId="1644" priority="1548">
      <formula>LEN(TRIM(R739))=0</formula>
    </cfRule>
  </conditionalFormatting>
  <conditionalFormatting sqref="P739:R739">
    <cfRule type="expression" dxfId="1643" priority="1546">
      <formula>$C$36=0</formula>
    </cfRule>
  </conditionalFormatting>
  <conditionalFormatting sqref="AF738">
    <cfRule type="containsBlanks" dxfId="1642" priority="1542">
      <formula>LEN(TRIM(AF738))=0</formula>
    </cfRule>
    <cfRule type="expression" dxfId="1641" priority="1543">
      <formula>$HJ738=FALSE</formula>
    </cfRule>
  </conditionalFormatting>
  <conditionalFormatting sqref="AF740">
    <cfRule type="expression" dxfId="1640" priority="1541">
      <formula>$C$36=2</formula>
    </cfRule>
  </conditionalFormatting>
  <conditionalFormatting sqref="R738">
    <cfRule type="containsBlanks" dxfId="1639" priority="1540">
      <formula>LEN(TRIM(R738))=0</formula>
    </cfRule>
  </conditionalFormatting>
  <conditionalFormatting sqref="AE738:AF738">
    <cfRule type="expression" dxfId="1638" priority="1539" stopIfTrue="1">
      <formula>$G737=""</formula>
    </cfRule>
  </conditionalFormatting>
  <conditionalFormatting sqref="AF740">
    <cfRule type="expression" dxfId="1637" priority="1538" stopIfTrue="1">
      <formula>$G737=""</formula>
    </cfRule>
  </conditionalFormatting>
  <conditionalFormatting sqref="AF737:AI737">
    <cfRule type="expression" dxfId="1636" priority="1537">
      <formula>$C$36&lt;&gt;0</formula>
    </cfRule>
  </conditionalFormatting>
  <conditionalFormatting sqref="R738">
    <cfRule type="containsBlanks" dxfId="1635" priority="1535">
      <formula>LEN(TRIM(R738))=0</formula>
    </cfRule>
  </conditionalFormatting>
  <conditionalFormatting sqref="U739">
    <cfRule type="expression" dxfId="1634" priority="1558">
      <formula>OR($HF738=FALSE,$HG738=FALSE)</formula>
    </cfRule>
  </conditionalFormatting>
  <conditionalFormatting sqref="R738">
    <cfRule type="expression" dxfId="1633" priority="1532" stopIfTrue="1">
      <formula>$G737=""</formula>
    </cfRule>
    <cfRule type="expression" dxfId="1632" priority="1533">
      <formula>$HT738=FALSE</formula>
    </cfRule>
  </conditionalFormatting>
  <conditionalFormatting sqref="G740">
    <cfRule type="expression" dxfId="1631" priority="1527" stopIfTrue="1">
      <formula>$G737=""</formula>
    </cfRule>
  </conditionalFormatting>
  <conditionalFormatting sqref="G740">
    <cfRule type="expression" dxfId="1630" priority="1521" stopIfTrue="1">
      <formula>$CN737="Exterior"</formula>
    </cfRule>
  </conditionalFormatting>
  <conditionalFormatting sqref="G740:L740">
    <cfRule type="containsBlanks" dxfId="1629" priority="1528" stopIfTrue="1">
      <formula>LEN(TRIM(G740))=0</formula>
    </cfRule>
    <cfRule type="expression" dxfId="1628" priority="1530">
      <formula>$HL738=FALSE</formula>
    </cfRule>
  </conditionalFormatting>
  <conditionalFormatting sqref="AF739">
    <cfRule type="expression" dxfId="1627" priority="1522" stopIfTrue="1">
      <formula>$G737=""</formula>
    </cfRule>
  </conditionalFormatting>
  <conditionalFormatting sqref="AF739:AI739">
    <cfRule type="expression" dxfId="1626" priority="1526">
      <formula>OR($HP738=FALSE,$HL738=FALSE)</formula>
    </cfRule>
  </conditionalFormatting>
  <conditionalFormatting sqref="AF739">
    <cfRule type="containsBlanks" dxfId="1625" priority="1523" stopIfTrue="1">
      <formula>LEN(TRIM(AF739))=0</formula>
    </cfRule>
    <cfRule type="expression" dxfId="1624" priority="1524">
      <formula>$DP737=7</formula>
    </cfRule>
    <cfRule type="expression" dxfId="1623" priority="1525">
      <formula>OR($HK738=FALSE,$HM738=FALSE)</formula>
    </cfRule>
  </conditionalFormatting>
  <conditionalFormatting sqref="G740:L740">
    <cfRule type="expression" dxfId="1622" priority="1529" stopIfTrue="1">
      <formula>$AF739=""</formula>
    </cfRule>
  </conditionalFormatting>
  <conditionalFormatting sqref="T738:U738">
    <cfRule type="expression" dxfId="1621" priority="1518" stopIfTrue="1">
      <formula>$C$36&lt;&gt;0</formula>
    </cfRule>
    <cfRule type="containsBlanks" dxfId="1620" priority="1519" stopIfTrue="1">
      <formula>LEN(TRIM(T738))=0</formula>
    </cfRule>
  </conditionalFormatting>
  <conditionalFormatting sqref="T738:U738">
    <cfRule type="expression" dxfId="1619" priority="1517" stopIfTrue="1">
      <formula>$G737=""</formula>
    </cfRule>
  </conditionalFormatting>
  <conditionalFormatting sqref="U738">
    <cfRule type="expression" dxfId="1618" priority="1520">
      <formula>$HE738=FALSE</formula>
    </cfRule>
  </conditionalFormatting>
  <conditionalFormatting sqref="T740">
    <cfRule type="expression" dxfId="1617" priority="1516">
      <formula>$C$36=2</formula>
    </cfRule>
  </conditionalFormatting>
  <conditionalFormatting sqref="AE744">
    <cfRule type="expression" dxfId="1616" priority="1502" stopIfTrue="1">
      <formula>$G742=""</formula>
    </cfRule>
  </conditionalFormatting>
  <conditionalFormatting sqref="AB745:AD745">
    <cfRule type="expression" dxfId="1615" priority="1514" stopIfTrue="1">
      <formula>$G742=""</formula>
    </cfRule>
  </conditionalFormatting>
  <conditionalFormatting sqref="G744">
    <cfRule type="expression" dxfId="1614" priority="1511" stopIfTrue="1">
      <formula>$G742=""</formula>
    </cfRule>
    <cfRule type="containsBlanks" dxfId="1613" priority="1512" stopIfTrue="1">
      <formula>LEN(TRIM(G744))=0</formula>
    </cfRule>
    <cfRule type="expression" dxfId="1612" priority="1513">
      <formula>OR($M744=0,$HC743=FALSE)</formula>
    </cfRule>
  </conditionalFormatting>
  <conditionalFormatting sqref="AB745">
    <cfRule type="expression" dxfId="1611" priority="1510" stopIfTrue="1">
      <formula>$AB745=""</formula>
    </cfRule>
  </conditionalFormatting>
  <conditionalFormatting sqref="AE743:AF743">
    <cfRule type="expression" dxfId="1610" priority="1509">
      <formula>$C$36=2</formula>
    </cfRule>
  </conditionalFormatting>
  <conditionalFormatting sqref="T744:U744">
    <cfRule type="expression" dxfId="1609" priority="1484" stopIfTrue="1">
      <formula>$G742=""</formula>
    </cfRule>
  </conditionalFormatting>
  <conditionalFormatting sqref="T744:U744">
    <cfRule type="containsBlanks" dxfId="1608" priority="1507" stopIfTrue="1">
      <formula>LEN(TRIM(T744))=0</formula>
    </cfRule>
  </conditionalFormatting>
  <conditionalFormatting sqref="AC742:AD742">
    <cfRule type="expression" dxfId="1607" priority="1506">
      <formula>$G742=""</formula>
    </cfRule>
  </conditionalFormatting>
  <conditionalFormatting sqref="AE743">
    <cfRule type="containsBlanks" dxfId="1606" priority="1504">
      <formula>LEN(TRIM(AE743))=0</formula>
    </cfRule>
  </conditionalFormatting>
  <conditionalFormatting sqref="AE744 AF745">
    <cfRule type="containsBlanks" dxfId="1605" priority="1503" stopIfTrue="1">
      <formula>LEN(TRIM(AE744))=0</formula>
    </cfRule>
  </conditionalFormatting>
  <conditionalFormatting sqref="AE744">
    <cfRule type="expression" dxfId="1604" priority="1515">
      <formula>OR($HN743=FALSE,$HO743=FALSE)</formula>
    </cfRule>
  </conditionalFormatting>
  <conditionalFormatting sqref="G743:Q743 G742">
    <cfRule type="containsBlanks" dxfId="1603" priority="1501">
      <formula>LEN(TRIM(G742))=0</formula>
    </cfRule>
  </conditionalFormatting>
  <conditionalFormatting sqref="G743:L743">
    <cfRule type="expression" dxfId="1602" priority="1499" stopIfTrue="1">
      <formula>$G742=""</formula>
    </cfRule>
    <cfRule type="containsBlanks" dxfId="1601" priority="1500">
      <formula>LEN(TRIM(G743))=0</formula>
    </cfRule>
  </conditionalFormatting>
  <conditionalFormatting sqref="R744">
    <cfRule type="expression" dxfId="1600" priority="1497" stopIfTrue="1">
      <formula>$G742=""</formula>
    </cfRule>
    <cfRule type="containsBlanks" dxfId="1599" priority="1498">
      <formula>LEN(TRIM(R744))=0</formula>
    </cfRule>
  </conditionalFormatting>
  <conditionalFormatting sqref="P744:R744">
    <cfRule type="expression" dxfId="1598" priority="1496">
      <formula>$C$36=0</formula>
    </cfRule>
  </conditionalFormatting>
  <conditionalFormatting sqref="AF743">
    <cfRule type="containsBlanks" dxfId="1597" priority="1492">
      <formula>LEN(TRIM(AF743))=0</formula>
    </cfRule>
    <cfRule type="expression" dxfId="1596" priority="1493">
      <formula>$HJ743=FALSE</formula>
    </cfRule>
  </conditionalFormatting>
  <conditionalFormatting sqref="AF745">
    <cfRule type="expression" dxfId="1595" priority="1491">
      <formula>$C$36=2</formula>
    </cfRule>
  </conditionalFormatting>
  <conditionalFormatting sqref="R743">
    <cfRule type="containsBlanks" dxfId="1594" priority="1490">
      <formula>LEN(TRIM(R743))=0</formula>
    </cfRule>
  </conditionalFormatting>
  <conditionalFormatting sqref="AE743:AF743">
    <cfRule type="expression" dxfId="1593" priority="1489" stopIfTrue="1">
      <formula>$G742=""</formula>
    </cfRule>
  </conditionalFormatting>
  <conditionalFormatting sqref="AF745">
    <cfRule type="expression" dxfId="1592" priority="1488" stopIfTrue="1">
      <formula>$G742=""</formula>
    </cfRule>
  </conditionalFormatting>
  <conditionalFormatting sqref="AF742:AI742">
    <cfRule type="expression" dxfId="1591" priority="1487">
      <formula>$C$36&lt;&gt;0</formula>
    </cfRule>
  </conditionalFormatting>
  <conditionalFormatting sqref="R743">
    <cfRule type="containsBlanks" dxfId="1590" priority="1485">
      <formula>LEN(TRIM(R743))=0</formula>
    </cfRule>
  </conditionalFormatting>
  <conditionalFormatting sqref="U744">
    <cfRule type="expression" dxfId="1589" priority="1508">
      <formula>OR($HF743=FALSE,$HG743=FALSE)</formula>
    </cfRule>
  </conditionalFormatting>
  <conditionalFormatting sqref="R743">
    <cfRule type="expression" dxfId="1588" priority="1482" stopIfTrue="1">
      <formula>$G742=""</formula>
    </cfRule>
    <cfRule type="expression" dxfId="1587" priority="1483">
      <formula>$HT743=FALSE</formula>
    </cfRule>
  </conditionalFormatting>
  <conditionalFormatting sqref="G745">
    <cfRule type="expression" dxfId="1586" priority="1477" stopIfTrue="1">
      <formula>$G742=""</formula>
    </cfRule>
  </conditionalFormatting>
  <conditionalFormatting sqref="G745">
    <cfRule type="expression" dxfId="1585" priority="1471" stopIfTrue="1">
      <formula>$CN742="Exterior"</formula>
    </cfRule>
  </conditionalFormatting>
  <conditionalFormatting sqref="G745:L745">
    <cfRule type="containsBlanks" dxfId="1584" priority="1478" stopIfTrue="1">
      <formula>LEN(TRIM(G745))=0</formula>
    </cfRule>
    <cfRule type="expression" dxfId="1583" priority="1480">
      <formula>$HL743=FALSE</formula>
    </cfRule>
  </conditionalFormatting>
  <conditionalFormatting sqref="AF744">
    <cfRule type="expression" dxfId="1582" priority="1472" stopIfTrue="1">
      <formula>$G742=""</formula>
    </cfRule>
  </conditionalFormatting>
  <conditionalFormatting sqref="AF744:AI744">
    <cfRule type="expression" dxfId="1581" priority="1476">
      <formula>OR($HP743=FALSE,$HL743=FALSE)</formula>
    </cfRule>
  </conditionalFormatting>
  <conditionalFormatting sqref="AF744">
    <cfRule type="containsBlanks" dxfId="1580" priority="1473" stopIfTrue="1">
      <formula>LEN(TRIM(AF744))=0</formula>
    </cfRule>
    <cfRule type="expression" dxfId="1579" priority="1474">
      <formula>$DP742=7</formula>
    </cfRule>
    <cfRule type="expression" dxfId="1578" priority="1475">
      <formula>OR($HK743=FALSE,$HM743=FALSE)</formula>
    </cfRule>
  </conditionalFormatting>
  <conditionalFormatting sqref="G745:L745">
    <cfRule type="expression" dxfId="1577" priority="1479" stopIfTrue="1">
      <formula>$AF744=""</formula>
    </cfRule>
  </conditionalFormatting>
  <conditionalFormatting sqref="T743:U743">
    <cfRule type="expression" dxfId="1576" priority="1468" stopIfTrue="1">
      <formula>$C$36&lt;&gt;0</formula>
    </cfRule>
    <cfRule type="containsBlanks" dxfId="1575" priority="1469" stopIfTrue="1">
      <formula>LEN(TRIM(T743))=0</formula>
    </cfRule>
  </conditionalFormatting>
  <conditionalFormatting sqref="T743:U743">
    <cfRule type="expression" dxfId="1574" priority="1467" stopIfTrue="1">
      <formula>$G742=""</formula>
    </cfRule>
  </conditionalFormatting>
  <conditionalFormatting sqref="U743">
    <cfRule type="expression" dxfId="1573" priority="1470">
      <formula>$HE743=FALSE</formula>
    </cfRule>
  </conditionalFormatting>
  <conditionalFormatting sqref="T745">
    <cfRule type="expression" dxfId="1572" priority="1466">
      <formula>$C$36=2</formula>
    </cfRule>
  </conditionalFormatting>
  <conditionalFormatting sqref="AE749">
    <cfRule type="expression" dxfId="1571" priority="1452" stopIfTrue="1">
      <formula>$G747=""</formula>
    </cfRule>
  </conditionalFormatting>
  <conditionalFormatting sqref="AB750:AD750">
    <cfRule type="expression" dxfId="1570" priority="1464" stopIfTrue="1">
      <formula>$G747=""</formula>
    </cfRule>
  </conditionalFormatting>
  <conditionalFormatting sqref="G749">
    <cfRule type="expression" dxfId="1569" priority="1461" stopIfTrue="1">
      <formula>$G747=""</formula>
    </cfRule>
    <cfRule type="containsBlanks" dxfId="1568" priority="1462" stopIfTrue="1">
      <formula>LEN(TRIM(G749))=0</formula>
    </cfRule>
    <cfRule type="expression" dxfId="1567" priority="1463">
      <formula>OR($M749=0,$HC748=FALSE)</formula>
    </cfRule>
  </conditionalFormatting>
  <conditionalFormatting sqref="AB750">
    <cfRule type="expression" dxfId="1566" priority="1460" stopIfTrue="1">
      <formula>$AB750=""</formula>
    </cfRule>
  </conditionalFormatting>
  <conditionalFormatting sqref="AE748:AF748">
    <cfRule type="expression" dxfId="1565" priority="1459">
      <formula>$C$36=2</formula>
    </cfRule>
  </conditionalFormatting>
  <conditionalFormatting sqref="T749:U749">
    <cfRule type="expression" dxfId="1564" priority="1434" stopIfTrue="1">
      <formula>$G747=""</formula>
    </cfRule>
  </conditionalFormatting>
  <conditionalFormatting sqref="T749:U749">
    <cfRule type="containsBlanks" dxfId="1563" priority="1457" stopIfTrue="1">
      <formula>LEN(TRIM(T749))=0</formula>
    </cfRule>
  </conditionalFormatting>
  <conditionalFormatting sqref="AC747:AD747">
    <cfRule type="expression" dxfId="1562" priority="1456">
      <formula>$G747=""</formula>
    </cfRule>
  </conditionalFormatting>
  <conditionalFormatting sqref="AE748">
    <cfRule type="containsBlanks" dxfId="1561" priority="1454">
      <formula>LEN(TRIM(AE748))=0</formula>
    </cfRule>
  </conditionalFormatting>
  <conditionalFormatting sqref="AE749 AF750">
    <cfRule type="containsBlanks" dxfId="1560" priority="1453" stopIfTrue="1">
      <formula>LEN(TRIM(AE749))=0</formula>
    </cfRule>
  </conditionalFormatting>
  <conditionalFormatting sqref="AE749">
    <cfRule type="expression" dxfId="1559" priority="1465">
      <formula>OR($HN748=FALSE,$HO748=FALSE)</formula>
    </cfRule>
  </conditionalFormatting>
  <conditionalFormatting sqref="G748:Q748 G747">
    <cfRule type="containsBlanks" dxfId="1558" priority="1451">
      <formula>LEN(TRIM(G747))=0</formula>
    </cfRule>
  </conditionalFormatting>
  <conditionalFormatting sqref="G748:L748">
    <cfRule type="expression" dxfId="1557" priority="1449" stopIfTrue="1">
      <formula>$G747=""</formula>
    </cfRule>
    <cfRule type="containsBlanks" dxfId="1556" priority="1450">
      <formula>LEN(TRIM(G748))=0</formula>
    </cfRule>
  </conditionalFormatting>
  <conditionalFormatting sqref="R749">
    <cfRule type="expression" dxfId="1555" priority="1447" stopIfTrue="1">
      <formula>$G747=""</formula>
    </cfRule>
    <cfRule type="containsBlanks" dxfId="1554" priority="1448">
      <formula>LEN(TRIM(R749))=0</formula>
    </cfRule>
  </conditionalFormatting>
  <conditionalFormatting sqref="P749:R749">
    <cfRule type="expression" dxfId="1553" priority="1446">
      <formula>$C$36=0</formula>
    </cfRule>
  </conditionalFormatting>
  <conditionalFormatting sqref="AF748">
    <cfRule type="containsBlanks" dxfId="1552" priority="1442">
      <formula>LEN(TRIM(AF748))=0</formula>
    </cfRule>
    <cfRule type="expression" dxfId="1551" priority="1443">
      <formula>$HJ748=FALSE</formula>
    </cfRule>
  </conditionalFormatting>
  <conditionalFormatting sqref="AF750">
    <cfRule type="expression" dxfId="1550" priority="1441">
      <formula>$C$36=2</formula>
    </cfRule>
  </conditionalFormatting>
  <conditionalFormatting sqref="R748">
    <cfRule type="containsBlanks" dxfId="1549" priority="1440">
      <formula>LEN(TRIM(R748))=0</formula>
    </cfRule>
  </conditionalFormatting>
  <conditionalFormatting sqref="AE748:AF748">
    <cfRule type="expression" dxfId="1548" priority="1439" stopIfTrue="1">
      <formula>$G747=""</formula>
    </cfRule>
  </conditionalFormatting>
  <conditionalFormatting sqref="AF750">
    <cfRule type="expression" dxfId="1547" priority="1438" stopIfTrue="1">
      <formula>$G747=""</formula>
    </cfRule>
  </conditionalFormatting>
  <conditionalFormatting sqref="AF747:AI747">
    <cfRule type="expression" dxfId="1546" priority="1437">
      <formula>$C$36&lt;&gt;0</formula>
    </cfRule>
  </conditionalFormatting>
  <conditionalFormatting sqref="R748">
    <cfRule type="containsBlanks" dxfId="1545" priority="1435">
      <formula>LEN(TRIM(R748))=0</formula>
    </cfRule>
  </conditionalFormatting>
  <conditionalFormatting sqref="U749">
    <cfRule type="expression" dxfId="1544" priority="1458">
      <formula>OR($HF748=FALSE,$HG748=FALSE)</formula>
    </cfRule>
  </conditionalFormatting>
  <conditionalFormatting sqref="R748">
    <cfRule type="expression" dxfId="1543" priority="1432" stopIfTrue="1">
      <formula>$G747=""</formula>
    </cfRule>
    <cfRule type="expression" dxfId="1542" priority="1433">
      <formula>$HT748=FALSE</formula>
    </cfRule>
  </conditionalFormatting>
  <conditionalFormatting sqref="G750">
    <cfRule type="expression" dxfId="1541" priority="1427" stopIfTrue="1">
      <formula>$G747=""</formula>
    </cfRule>
  </conditionalFormatting>
  <conditionalFormatting sqref="G750">
    <cfRule type="expression" dxfId="1540" priority="1421" stopIfTrue="1">
      <formula>$CN747="Exterior"</formula>
    </cfRule>
  </conditionalFormatting>
  <conditionalFormatting sqref="G750:L750">
    <cfRule type="containsBlanks" dxfId="1539" priority="1428" stopIfTrue="1">
      <formula>LEN(TRIM(G750))=0</formula>
    </cfRule>
    <cfRule type="expression" dxfId="1538" priority="1430">
      <formula>$HL748=FALSE</formula>
    </cfRule>
  </conditionalFormatting>
  <conditionalFormatting sqref="AF749">
    <cfRule type="expression" dxfId="1537" priority="1422" stopIfTrue="1">
      <formula>$G747=""</formula>
    </cfRule>
  </conditionalFormatting>
  <conditionalFormatting sqref="AF749:AI749">
    <cfRule type="expression" dxfId="1536" priority="1426">
      <formula>OR($HP748=FALSE,$HL748=FALSE)</formula>
    </cfRule>
  </conditionalFormatting>
  <conditionalFormatting sqref="AF749">
    <cfRule type="containsBlanks" dxfId="1535" priority="1423" stopIfTrue="1">
      <formula>LEN(TRIM(AF749))=0</formula>
    </cfRule>
    <cfRule type="expression" dxfId="1534" priority="1424">
      <formula>$DP747=7</formula>
    </cfRule>
    <cfRule type="expression" dxfId="1533" priority="1425">
      <formula>OR($HK748=FALSE,$HM748=FALSE)</formula>
    </cfRule>
  </conditionalFormatting>
  <conditionalFormatting sqref="G750:L750">
    <cfRule type="expression" dxfId="1532" priority="1429" stopIfTrue="1">
      <formula>$AF749=""</formula>
    </cfRule>
  </conditionalFormatting>
  <conditionalFormatting sqref="T748:U748">
    <cfRule type="expression" dxfId="1531" priority="1418" stopIfTrue="1">
      <formula>$C$36&lt;&gt;0</formula>
    </cfRule>
    <cfRule type="containsBlanks" dxfId="1530" priority="1419" stopIfTrue="1">
      <formula>LEN(TRIM(T748))=0</formula>
    </cfRule>
  </conditionalFormatting>
  <conditionalFormatting sqref="T748:U748">
    <cfRule type="expression" dxfId="1529" priority="1417" stopIfTrue="1">
      <formula>$G747=""</formula>
    </cfRule>
  </conditionalFormatting>
  <conditionalFormatting sqref="U748">
    <cfRule type="expression" dxfId="1528" priority="1420">
      <formula>$HE748=FALSE</formula>
    </cfRule>
  </conditionalFormatting>
  <conditionalFormatting sqref="T750">
    <cfRule type="expression" dxfId="1527" priority="1416">
      <formula>$C$36=2</formula>
    </cfRule>
  </conditionalFormatting>
  <conditionalFormatting sqref="AE754">
    <cfRule type="expression" dxfId="1526" priority="1402" stopIfTrue="1">
      <formula>$G752=""</formula>
    </cfRule>
  </conditionalFormatting>
  <conditionalFormatting sqref="AB755:AD755">
    <cfRule type="expression" dxfId="1525" priority="1414" stopIfTrue="1">
      <formula>$G752=""</formula>
    </cfRule>
  </conditionalFormatting>
  <conditionalFormatting sqref="G754">
    <cfRule type="expression" dxfId="1524" priority="1411" stopIfTrue="1">
      <formula>$G752=""</formula>
    </cfRule>
    <cfRule type="containsBlanks" dxfId="1523" priority="1412" stopIfTrue="1">
      <formula>LEN(TRIM(G754))=0</formula>
    </cfRule>
    <cfRule type="expression" dxfId="1522" priority="1413">
      <formula>OR($M754=0,$HC753=FALSE)</formula>
    </cfRule>
  </conditionalFormatting>
  <conditionalFormatting sqref="AB755">
    <cfRule type="expression" dxfId="1521" priority="1410" stopIfTrue="1">
      <formula>$AB755=""</formula>
    </cfRule>
  </conditionalFormatting>
  <conditionalFormatting sqref="AE753:AF753">
    <cfRule type="expression" dxfId="1520" priority="1409">
      <formula>$C$36=2</formula>
    </cfRule>
  </conditionalFormatting>
  <conditionalFormatting sqref="T754:U754">
    <cfRule type="expression" dxfId="1519" priority="1384" stopIfTrue="1">
      <formula>$G752=""</formula>
    </cfRule>
  </conditionalFormatting>
  <conditionalFormatting sqref="T754:U754">
    <cfRule type="containsBlanks" dxfId="1518" priority="1407" stopIfTrue="1">
      <formula>LEN(TRIM(T754))=0</formula>
    </cfRule>
  </conditionalFormatting>
  <conditionalFormatting sqref="AC752:AD752">
    <cfRule type="expression" dxfId="1517" priority="1406">
      <formula>$G752=""</formula>
    </cfRule>
  </conditionalFormatting>
  <conditionalFormatting sqref="AE753">
    <cfRule type="containsBlanks" dxfId="1516" priority="1404">
      <formula>LEN(TRIM(AE753))=0</formula>
    </cfRule>
  </conditionalFormatting>
  <conditionalFormatting sqref="AE754 AF755">
    <cfRule type="containsBlanks" dxfId="1515" priority="1403" stopIfTrue="1">
      <formula>LEN(TRIM(AE754))=0</formula>
    </cfRule>
  </conditionalFormatting>
  <conditionalFormatting sqref="AE754">
    <cfRule type="expression" dxfId="1514" priority="1415">
      <formula>OR($HN753=FALSE,$HO753=FALSE)</formula>
    </cfRule>
  </conditionalFormatting>
  <conditionalFormatting sqref="G753:Q753 G752">
    <cfRule type="containsBlanks" dxfId="1513" priority="1401">
      <formula>LEN(TRIM(G752))=0</formula>
    </cfRule>
  </conditionalFormatting>
  <conditionalFormatting sqref="G753:L753">
    <cfRule type="expression" dxfId="1512" priority="1399" stopIfTrue="1">
      <formula>$G752=""</formula>
    </cfRule>
    <cfRule type="containsBlanks" dxfId="1511" priority="1400">
      <formula>LEN(TRIM(G753))=0</formula>
    </cfRule>
  </conditionalFormatting>
  <conditionalFormatting sqref="R754">
    <cfRule type="expression" dxfId="1510" priority="1397" stopIfTrue="1">
      <formula>$G752=""</formula>
    </cfRule>
    <cfRule type="containsBlanks" dxfId="1509" priority="1398">
      <formula>LEN(TRIM(R754))=0</formula>
    </cfRule>
  </conditionalFormatting>
  <conditionalFormatting sqref="P754:R754">
    <cfRule type="expression" dxfId="1508" priority="1396">
      <formula>$C$36=0</formula>
    </cfRule>
  </conditionalFormatting>
  <conditionalFormatting sqref="AF753">
    <cfRule type="containsBlanks" dxfId="1507" priority="1392">
      <formula>LEN(TRIM(AF753))=0</formula>
    </cfRule>
    <cfRule type="expression" dxfId="1506" priority="1393">
      <formula>$HJ753=FALSE</formula>
    </cfRule>
  </conditionalFormatting>
  <conditionalFormatting sqref="AF755">
    <cfRule type="expression" dxfId="1505" priority="1391">
      <formula>$C$36=2</formula>
    </cfRule>
  </conditionalFormatting>
  <conditionalFormatting sqref="R753">
    <cfRule type="containsBlanks" dxfId="1504" priority="1390">
      <formula>LEN(TRIM(R753))=0</formula>
    </cfRule>
  </conditionalFormatting>
  <conditionalFormatting sqref="AE753:AF753">
    <cfRule type="expression" dxfId="1503" priority="1389" stopIfTrue="1">
      <formula>$G752=""</formula>
    </cfRule>
  </conditionalFormatting>
  <conditionalFormatting sqref="AF755">
    <cfRule type="expression" dxfId="1502" priority="1388" stopIfTrue="1">
      <formula>$G752=""</formula>
    </cfRule>
  </conditionalFormatting>
  <conditionalFormatting sqref="AF752:AI752">
    <cfRule type="expression" dxfId="1501" priority="1387">
      <formula>$C$36&lt;&gt;0</formula>
    </cfRule>
  </conditionalFormatting>
  <conditionalFormatting sqref="R753">
    <cfRule type="containsBlanks" dxfId="1500" priority="1385">
      <formula>LEN(TRIM(R753))=0</formula>
    </cfRule>
  </conditionalFormatting>
  <conditionalFormatting sqref="U754">
    <cfRule type="expression" dxfId="1499" priority="1408">
      <formula>OR($HF753=FALSE,$HG753=FALSE)</formula>
    </cfRule>
  </conditionalFormatting>
  <conditionalFormatting sqref="R753">
    <cfRule type="expression" dxfId="1498" priority="1382" stopIfTrue="1">
      <formula>$G752=""</formula>
    </cfRule>
    <cfRule type="expression" dxfId="1497" priority="1383">
      <formula>$HT753=FALSE</formula>
    </cfRule>
  </conditionalFormatting>
  <conditionalFormatting sqref="G755">
    <cfRule type="expression" dxfId="1496" priority="1377" stopIfTrue="1">
      <formula>$G752=""</formula>
    </cfRule>
  </conditionalFormatting>
  <conditionalFormatting sqref="G755">
    <cfRule type="expression" dxfId="1495" priority="1371" stopIfTrue="1">
      <formula>$CN752="Exterior"</formula>
    </cfRule>
  </conditionalFormatting>
  <conditionalFormatting sqref="G755:L755">
    <cfRule type="containsBlanks" dxfId="1494" priority="1378" stopIfTrue="1">
      <formula>LEN(TRIM(G755))=0</formula>
    </cfRule>
    <cfRule type="expression" dxfId="1493" priority="1380">
      <formula>$HL753=FALSE</formula>
    </cfRule>
  </conditionalFormatting>
  <conditionalFormatting sqref="AF754">
    <cfRule type="expression" dxfId="1492" priority="1372" stopIfTrue="1">
      <formula>$G752=""</formula>
    </cfRule>
  </conditionalFormatting>
  <conditionalFormatting sqref="AF754:AI754">
    <cfRule type="expression" dxfId="1491" priority="1376">
      <formula>OR($HP753=FALSE,$HL753=FALSE)</formula>
    </cfRule>
  </conditionalFormatting>
  <conditionalFormatting sqref="AF754">
    <cfRule type="containsBlanks" dxfId="1490" priority="1373" stopIfTrue="1">
      <formula>LEN(TRIM(AF754))=0</formula>
    </cfRule>
    <cfRule type="expression" dxfId="1489" priority="1374">
      <formula>$DP752=7</formula>
    </cfRule>
    <cfRule type="expression" dxfId="1488" priority="1375">
      <formula>OR($HK753=FALSE,$HM753=FALSE)</formula>
    </cfRule>
  </conditionalFormatting>
  <conditionalFormatting sqref="G755:L755">
    <cfRule type="expression" dxfId="1487" priority="1379" stopIfTrue="1">
      <formula>$AF754=""</formula>
    </cfRule>
  </conditionalFormatting>
  <conditionalFormatting sqref="T753:U753">
    <cfRule type="expression" dxfId="1486" priority="1368" stopIfTrue="1">
      <formula>$C$36&lt;&gt;0</formula>
    </cfRule>
    <cfRule type="containsBlanks" dxfId="1485" priority="1369" stopIfTrue="1">
      <formula>LEN(TRIM(T753))=0</formula>
    </cfRule>
  </conditionalFormatting>
  <conditionalFormatting sqref="T753:U753">
    <cfRule type="expression" dxfId="1484" priority="1367" stopIfTrue="1">
      <formula>$G752=""</formula>
    </cfRule>
  </conditionalFormatting>
  <conditionalFormatting sqref="U753">
    <cfRule type="expression" dxfId="1483" priority="1370">
      <formula>$HE753=FALSE</formula>
    </cfRule>
  </conditionalFormatting>
  <conditionalFormatting sqref="T755">
    <cfRule type="expression" dxfId="1482" priority="1366">
      <formula>$C$36=2</formula>
    </cfRule>
  </conditionalFormatting>
  <conditionalFormatting sqref="AE759">
    <cfRule type="expression" dxfId="1481" priority="1352" stopIfTrue="1">
      <formula>$G757=""</formula>
    </cfRule>
  </conditionalFormatting>
  <conditionalFormatting sqref="AB760:AD760">
    <cfRule type="expression" dxfId="1480" priority="1364" stopIfTrue="1">
      <formula>$G757=""</formula>
    </cfRule>
  </conditionalFormatting>
  <conditionalFormatting sqref="G759">
    <cfRule type="expression" dxfId="1479" priority="1361" stopIfTrue="1">
      <formula>$G757=""</formula>
    </cfRule>
    <cfRule type="containsBlanks" dxfId="1478" priority="1362" stopIfTrue="1">
      <formula>LEN(TRIM(G759))=0</formula>
    </cfRule>
    <cfRule type="expression" dxfId="1477" priority="1363">
      <formula>OR($M759=0,$HC758=FALSE)</formula>
    </cfRule>
  </conditionalFormatting>
  <conditionalFormatting sqref="AB760">
    <cfRule type="expression" dxfId="1476" priority="1360" stopIfTrue="1">
      <formula>$AB760=""</formula>
    </cfRule>
  </conditionalFormatting>
  <conditionalFormatting sqref="AE758:AF758">
    <cfRule type="expression" dxfId="1475" priority="1359">
      <formula>$C$36=2</formula>
    </cfRule>
  </conditionalFormatting>
  <conditionalFormatting sqref="T759:U759">
    <cfRule type="expression" dxfId="1474" priority="1334" stopIfTrue="1">
      <formula>$G757=""</formula>
    </cfRule>
  </conditionalFormatting>
  <conditionalFormatting sqref="T759:U759">
    <cfRule type="containsBlanks" dxfId="1473" priority="1357" stopIfTrue="1">
      <formula>LEN(TRIM(T759))=0</formula>
    </cfRule>
  </conditionalFormatting>
  <conditionalFormatting sqref="AC757:AD757">
    <cfRule type="expression" dxfId="1472" priority="1356">
      <formula>$G757=""</formula>
    </cfRule>
  </conditionalFormatting>
  <conditionalFormatting sqref="AE758">
    <cfRule type="containsBlanks" dxfId="1471" priority="1354">
      <formula>LEN(TRIM(AE758))=0</formula>
    </cfRule>
  </conditionalFormatting>
  <conditionalFormatting sqref="AE759 AF760">
    <cfRule type="containsBlanks" dxfId="1470" priority="1353" stopIfTrue="1">
      <formula>LEN(TRIM(AE759))=0</formula>
    </cfRule>
  </conditionalFormatting>
  <conditionalFormatting sqref="AE759">
    <cfRule type="expression" dxfId="1469" priority="1365">
      <formula>OR($HN758=FALSE,$HO758=FALSE)</formula>
    </cfRule>
  </conditionalFormatting>
  <conditionalFormatting sqref="G758:Q758 G757">
    <cfRule type="containsBlanks" dxfId="1468" priority="1351">
      <formula>LEN(TRIM(G757))=0</formula>
    </cfRule>
  </conditionalFormatting>
  <conditionalFormatting sqref="G758:L758">
    <cfRule type="expression" dxfId="1467" priority="1349" stopIfTrue="1">
      <formula>$G757=""</formula>
    </cfRule>
    <cfRule type="containsBlanks" dxfId="1466" priority="1350">
      <formula>LEN(TRIM(G758))=0</formula>
    </cfRule>
  </conditionalFormatting>
  <conditionalFormatting sqref="R759">
    <cfRule type="expression" dxfId="1465" priority="1347" stopIfTrue="1">
      <formula>$G757=""</formula>
    </cfRule>
    <cfRule type="containsBlanks" dxfId="1464" priority="1348">
      <formula>LEN(TRIM(R759))=0</formula>
    </cfRule>
  </conditionalFormatting>
  <conditionalFormatting sqref="P759:R759">
    <cfRule type="expression" dxfId="1463" priority="1346">
      <formula>$C$36=0</formula>
    </cfRule>
  </conditionalFormatting>
  <conditionalFormatting sqref="AF758">
    <cfRule type="containsBlanks" dxfId="1462" priority="1342">
      <formula>LEN(TRIM(AF758))=0</formula>
    </cfRule>
    <cfRule type="expression" dxfId="1461" priority="1343">
      <formula>$HJ758=FALSE</formula>
    </cfRule>
  </conditionalFormatting>
  <conditionalFormatting sqref="AF760">
    <cfRule type="expression" dxfId="1460" priority="1341">
      <formula>$C$36=2</formula>
    </cfRule>
  </conditionalFormatting>
  <conditionalFormatting sqref="R758">
    <cfRule type="containsBlanks" dxfId="1459" priority="1340">
      <formula>LEN(TRIM(R758))=0</formula>
    </cfRule>
  </conditionalFormatting>
  <conditionalFormatting sqref="AE758:AF758">
    <cfRule type="expression" dxfId="1458" priority="1339" stopIfTrue="1">
      <formula>$G757=""</formula>
    </cfRule>
  </conditionalFormatting>
  <conditionalFormatting sqref="AF760">
    <cfRule type="expression" dxfId="1457" priority="1338" stopIfTrue="1">
      <formula>$G757=""</formula>
    </cfRule>
  </conditionalFormatting>
  <conditionalFormatting sqref="AF757:AI757">
    <cfRule type="expression" dxfId="1456" priority="1337">
      <formula>$C$36&lt;&gt;0</formula>
    </cfRule>
  </conditionalFormatting>
  <conditionalFormatting sqref="R758">
    <cfRule type="containsBlanks" dxfId="1455" priority="1335">
      <formula>LEN(TRIM(R758))=0</formula>
    </cfRule>
  </conditionalFormatting>
  <conditionalFormatting sqref="U759">
    <cfRule type="expression" dxfId="1454" priority="1358">
      <formula>OR($HF758=FALSE,$HG758=FALSE)</formula>
    </cfRule>
  </conditionalFormatting>
  <conditionalFormatting sqref="R758">
    <cfRule type="expression" dxfId="1453" priority="1332" stopIfTrue="1">
      <formula>$G757=""</formula>
    </cfRule>
    <cfRule type="expression" dxfId="1452" priority="1333">
      <formula>$HT758=FALSE</formula>
    </cfRule>
  </conditionalFormatting>
  <conditionalFormatting sqref="G760">
    <cfRule type="expression" dxfId="1451" priority="1327" stopIfTrue="1">
      <formula>$G757=""</formula>
    </cfRule>
  </conditionalFormatting>
  <conditionalFormatting sqref="G760">
    <cfRule type="expression" dxfId="1450" priority="1321" stopIfTrue="1">
      <formula>$CN757="Exterior"</formula>
    </cfRule>
  </conditionalFormatting>
  <conditionalFormatting sqref="G760:L760">
    <cfRule type="containsBlanks" dxfId="1449" priority="1328" stopIfTrue="1">
      <formula>LEN(TRIM(G760))=0</formula>
    </cfRule>
    <cfRule type="expression" dxfId="1448" priority="1330">
      <formula>$HL758=FALSE</formula>
    </cfRule>
  </conditionalFormatting>
  <conditionalFormatting sqref="AF759">
    <cfRule type="expression" dxfId="1447" priority="1322" stopIfTrue="1">
      <formula>$G757=""</formula>
    </cfRule>
  </conditionalFormatting>
  <conditionalFormatting sqref="AF759:AI759">
    <cfRule type="expression" dxfId="1446" priority="1326">
      <formula>OR($HP758=FALSE,$HL758=FALSE)</formula>
    </cfRule>
  </conditionalFormatting>
  <conditionalFormatting sqref="AF759">
    <cfRule type="containsBlanks" dxfId="1445" priority="1323" stopIfTrue="1">
      <formula>LEN(TRIM(AF759))=0</formula>
    </cfRule>
    <cfRule type="expression" dxfId="1444" priority="1324">
      <formula>$DP757=7</formula>
    </cfRule>
    <cfRule type="expression" dxfId="1443" priority="1325">
      <formula>OR($HK758=FALSE,$HM758=FALSE)</formula>
    </cfRule>
  </conditionalFormatting>
  <conditionalFormatting sqref="G760:L760">
    <cfRule type="expression" dxfId="1442" priority="1329" stopIfTrue="1">
      <formula>$AF759=""</formula>
    </cfRule>
  </conditionalFormatting>
  <conditionalFormatting sqref="T758:U758">
    <cfRule type="expression" dxfId="1441" priority="1318" stopIfTrue="1">
      <formula>$C$36&lt;&gt;0</formula>
    </cfRule>
    <cfRule type="containsBlanks" dxfId="1440" priority="1319" stopIfTrue="1">
      <formula>LEN(TRIM(T758))=0</formula>
    </cfRule>
  </conditionalFormatting>
  <conditionalFormatting sqref="T758:U758">
    <cfRule type="expression" dxfId="1439" priority="1317" stopIfTrue="1">
      <formula>$G757=""</formula>
    </cfRule>
  </conditionalFormatting>
  <conditionalFormatting sqref="U758">
    <cfRule type="expression" dxfId="1438" priority="1320">
      <formula>$HE758=FALSE</formula>
    </cfRule>
  </conditionalFormatting>
  <conditionalFormatting sqref="T760">
    <cfRule type="expression" dxfId="1437" priority="1316">
      <formula>$C$36=2</formula>
    </cfRule>
  </conditionalFormatting>
  <conditionalFormatting sqref="AE764">
    <cfRule type="expression" dxfId="1436" priority="1302" stopIfTrue="1">
      <formula>$G762=""</formula>
    </cfRule>
  </conditionalFormatting>
  <conditionalFormatting sqref="AB765:AD765">
    <cfRule type="expression" dxfId="1435" priority="1314" stopIfTrue="1">
      <formula>$G762=""</formula>
    </cfRule>
  </conditionalFormatting>
  <conditionalFormatting sqref="G764">
    <cfRule type="expression" dxfId="1434" priority="1311" stopIfTrue="1">
      <formula>$G762=""</formula>
    </cfRule>
    <cfRule type="containsBlanks" dxfId="1433" priority="1312" stopIfTrue="1">
      <formula>LEN(TRIM(G764))=0</formula>
    </cfRule>
    <cfRule type="expression" dxfId="1432" priority="1313">
      <formula>OR($M764=0,$HC763=FALSE)</formula>
    </cfRule>
  </conditionalFormatting>
  <conditionalFormatting sqref="AB765">
    <cfRule type="expression" dxfId="1431" priority="1310" stopIfTrue="1">
      <formula>$AB765=""</formula>
    </cfRule>
  </conditionalFormatting>
  <conditionalFormatting sqref="AE763:AF763">
    <cfRule type="expression" dxfId="1430" priority="1309">
      <formula>$C$36=2</formula>
    </cfRule>
  </conditionalFormatting>
  <conditionalFormatting sqref="T764:U764">
    <cfRule type="expression" dxfId="1429" priority="1284" stopIfTrue="1">
      <formula>$G762=""</formula>
    </cfRule>
  </conditionalFormatting>
  <conditionalFormatting sqref="T764:U764">
    <cfRule type="containsBlanks" dxfId="1428" priority="1307" stopIfTrue="1">
      <formula>LEN(TRIM(T764))=0</formula>
    </cfRule>
  </conditionalFormatting>
  <conditionalFormatting sqref="AC762:AD762">
    <cfRule type="expression" dxfId="1427" priority="1306">
      <formula>$G762=""</formula>
    </cfRule>
  </conditionalFormatting>
  <conditionalFormatting sqref="AE763">
    <cfRule type="containsBlanks" dxfId="1426" priority="1304">
      <formula>LEN(TRIM(AE763))=0</formula>
    </cfRule>
  </conditionalFormatting>
  <conditionalFormatting sqref="AE764 AF765">
    <cfRule type="containsBlanks" dxfId="1425" priority="1303" stopIfTrue="1">
      <formula>LEN(TRIM(AE764))=0</formula>
    </cfRule>
  </conditionalFormatting>
  <conditionalFormatting sqref="AE764">
    <cfRule type="expression" dxfId="1424" priority="1315">
      <formula>OR($HN763=FALSE,$HO763=FALSE)</formula>
    </cfRule>
  </conditionalFormatting>
  <conditionalFormatting sqref="G763:Q763 G762">
    <cfRule type="containsBlanks" dxfId="1423" priority="1301">
      <formula>LEN(TRIM(G762))=0</formula>
    </cfRule>
  </conditionalFormatting>
  <conditionalFormatting sqref="G763:L763">
    <cfRule type="expression" dxfId="1422" priority="1299" stopIfTrue="1">
      <formula>$G762=""</formula>
    </cfRule>
    <cfRule type="containsBlanks" dxfId="1421" priority="1300">
      <formula>LEN(TRIM(G763))=0</formula>
    </cfRule>
  </conditionalFormatting>
  <conditionalFormatting sqref="R764">
    <cfRule type="expression" dxfId="1420" priority="1297" stopIfTrue="1">
      <formula>$G762=""</formula>
    </cfRule>
    <cfRule type="containsBlanks" dxfId="1419" priority="1298">
      <formula>LEN(TRIM(R764))=0</formula>
    </cfRule>
  </conditionalFormatting>
  <conditionalFormatting sqref="P764:R764">
    <cfRule type="expression" dxfId="1418" priority="1296">
      <formula>$C$36=0</formula>
    </cfRule>
  </conditionalFormatting>
  <conditionalFormatting sqref="AF763">
    <cfRule type="containsBlanks" dxfId="1417" priority="1292">
      <formula>LEN(TRIM(AF763))=0</formula>
    </cfRule>
    <cfRule type="expression" dxfId="1416" priority="1293">
      <formula>$HJ763=FALSE</formula>
    </cfRule>
  </conditionalFormatting>
  <conditionalFormatting sqref="AF765">
    <cfRule type="expression" dxfId="1415" priority="1291">
      <formula>$C$36=2</formula>
    </cfRule>
  </conditionalFormatting>
  <conditionalFormatting sqref="R763">
    <cfRule type="containsBlanks" dxfId="1414" priority="1290">
      <formula>LEN(TRIM(R763))=0</formula>
    </cfRule>
  </conditionalFormatting>
  <conditionalFormatting sqref="AE763:AF763">
    <cfRule type="expression" dxfId="1413" priority="1289" stopIfTrue="1">
      <formula>$G762=""</formula>
    </cfRule>
  </conditionalFormatting>
  <conditionalFormatting sqref="AF765">
    <cfRule type="expression" dxfId="1412" priority="1288" stopIfTrue="1">
      <formula>$G762=""</formula>
    </cfRule>
  </conditionalFormatting>
  <conditionalFormatting sqref="AF762:AI762">
    <cfRule type="expression" dxfId="1411" priority="1287">
      <formula>$C$36&lt;&gt;0</formula>
    </cfRule>
  </conditionalFormatting>
  <conditionalFormatting sqref="R763">
    <cfRule type="containsBlanks" dxfId="1410" priority="1285">
      <formula>LEN(TRIM(R763))=0</formula>
    </cfRule>
  </conditionalFormatting>
  <conditionalFormatting sqref="U764">
    <cfRule type="expression" dxfId="1409" priority="1308">
      <formula>OR($HF763=FALSE,$HG763=FALSE)</formula>
    </cfRule>
  </conditionalFormatting>
  <conditionalFormatting sqref="R763">
    <cfRule type="expression" dxfId="1408" priority="1282" stopIfTrue="1">
      <formula>$G762=""</formula>
    </cfRule>
    <cfRule type="expression" dxfId="1407" priority="1283">
      <formula>$HT763=FALSE</formula>
    </cfRule>
  </conditionalFormatting>
  <conditionalFormatting sqref="G765">
    <cfRule type="expression" dxfId="1406" priority="1277" stopIfTrue="1">
      <formula>$G762=""</formula>
    </cfRule>
  </conditionalFormatting>
  <conditionalFormatting sqref="G765">
    <cfRule type="expression" dxfId="1405" priority="1271" stopIfTrue="1">
      <formula>$CN762="Exterior"</formula>
    </cfRule>
  </conditionalFormatting>
  <conditionalFormatting sqref="G765:L765">
    <cfRule type="containsBlanks" dxfId="1404" priority="1278" stopIfTrue="1">
      <formula>LEN(TRIM(G765))=0</formula>
    </cfRule>
    <cfRule type="expression" dxfId="1403" priority="1280">
      <formula>$HL763=FALSE</formula>
    </cfRule>
  </conditionalFormatting>
  <conditionalFormatting sqref="AF764">
    <cfRule type="expression" dxfId="1402" priority="1272" stopIfTrue="1">
      <formula>$G762=""</formula>
    </cfRule>
  </conditionalFormatting>
  <conditionalFormatting sqref="AF764:AI764">
    <cfRule type="expression" dxfId="1401" priority="1276">
      <formula>OR($HP763=FALSE,$HL763=FALSE)</formula>
    </cfRule>
  </conditionalFormatting>
  <conditionalFormatting sqref="AF764">
    <cfRule type="containsBlanks" dxfId="1400" priority="1273" stopIfTrue="1">
      <formula>LEN(TRIM(AF764))=0</formula>
    </cfRule>
    <cfRule type="expression" dxfId="1399" priority="1274">
      <formula>$DP762=7</formula>
    </cfRule>
    <cfRule type="expression" dxfId="1398" priority="1275">
      <formula>OR($HK763=FALSE,$HM763=FALSE)</formula>
    </cfRule>
  </conditionalFormatting>
  <conditionalFormatting sqref="G765:L765">
    <cfRule type="expression" dxfId="1397" priority="1279" stopIfTrue="1">
      <formula>$AF764=""</formula>
    </cfRule>
  </conditionalFormatting>
  <conditionalFormatting sqref="T763:U763">
    <cfRule type="expression" dxfId="1396" priority="1268" stopIfTrue="1">
      <formula>$C$36&lt;&gt;0</formula>
    </cfRule>
    <cfRule type="containsBlanks" dxfId="1395" priority="1269" stopIfTrue="1">
      <formula>LEN(TRIM(T763))=0</formula>
    </cfRule>
  </conditionalFormatting>
  <conditionalFormatting sqref="T763:U763">
    <cfRule type="expression" dxfId="1394" priority="1267" stopIfTrue="1">
      <formula>$G762=""</formula>
    </cfRule>
  </conditionalFormatting>
  <conditionalFormatting sqref="U763">
    <cfRule type="expression" dxfId="1393" priority="1270">
      <formula>$HE763=FALSE</formula>
    </cfRule>
  </conditionalFormatting>
  <conditionalFormatting sqref="T765">
    <cfRule type="expression" dxfId="1392" priority="1266">
      <formula>$C$36=2</formula>
    </cfRule>
  </conditionalFormatting>
  <conditionalFormatting sqref="AE769">
    <cfRule type="expression" dxfId="1391" priority="1252" stopIfTrue="1">
      <formula>$G767=""</formula>
    </cfRule>
  </conditionalFormatting>
  <conditionalFormatting sqref="AB770:AD770">
    <cfRule type="expression" dxfId="1390" priority="1264" stopIfTrue="1">
      <formula>$G767=""</formula>
    </cfRule>
  </conditionalFormatting>
  <conditionalFormatting sqref="G769">
    <cfRule type="expression" dxfId="1389" priority="1261" stopIfTrue="1">
      <formula>$G767=""</formula>
    </cfRule>
    <cfRule type="containsBlanks" dxfId="1388" priority="1262" stopIfTrue="1">
      <formula>LEN(TRIM(G769))=0</formula>
    </cfRule>
    <cfRule type="expression" dxfId="1387" priority="1263">
      <formula>OR($M769=0,$HC768=FALSE)</formula>
    </cfRule>
  </conditionalFormatting>
  <conditionalFormatting sqref="AB770">
    <cfRule type="expression" dxfId="1386" priority="1260" stopIfTrue="1">
      <formula>$AB770=""</formula>
    </cfRule>
  </conditionalFormatting>
  <conditionalFormatting sqref="AE768:AF768">
    <cfRule type="expression" dxfId="1385" priority="1259">
      <formula>$C$36=2</formula>
    </cfRule>
  </conditionalFormatting>
  <conditionalFormatting sqref="T769:U769">
    <cfRule type="expression" dxfId="1384" priority="1234" stopIfTrue="1">
      <formula>$G767=""</formula>
    </cfRule>
  </conditionalFormatting>
  <conditionalFormatting sqref="T769:U769">
    <cfRule type="containsBlanks" dxfId="1383" priority="1257" stopIfTrue="1">
      <formula>LEN(TRIM(T769))=0</formula>
    </cfRule>
  </conditionalFormatting>
  <conditionalFormatting sqref="AC767:AD767">
    <cfRule type="expression" dxfId="1382" priority="1256">
      <formula>$G767=""</formula>
    </cfRule>
  </conditionalFormatting>
  <conditionalFormatting sqref="AE768">
    <cfRule type="containsBlanks" dxfId="1381" priority="1254">
      <formula>LEN(TRIM(AE768))=0</formula>
    </cfRule>
  </conditionalFormatting>
  <conditionalFormatting sqref="AE769 AF770">
    <cfRule type="containsBlanks" dxfId="1380" priority="1253" stopIfTrue="1">
      <formula>LEN(TRIM(AE769))=0</formula>
    </cfRule>
  </conditionalFormatting>
  <conditionalFormatting sqref="AE769">
    <cfRule type="expression" dxfId="1379" priority="1265">
      <formula>OR($HN768=FALSE,$HO768=FALSE)</formula>
    </cfRule>
  </conditionalFormatting>
  <conditionalFormatting sqref="G768:Q768 G767">
    <cfRule type="containsBlanks" dxfId="1378" priority="1251">
      <formula>LEN(TRIM(G767))=0</formula>
    </cfRule>
  </conditionalFormatting>
  <conditionalFormatting sqref="G768:L768">
    <cfRule type="expression" dxfId="1377" priority="1249" stopIfTrue="1">
      <formula>$G767=""</formula>
    </cfRule>
    <cfRule type="containsBlanks" dxfId="1376" priority="1250">
      <formula>LEN(TRIM(G768))=0</formula>
    </cfRule>
  </conditionalFormatting>
  <conditionalFormatting sqref="R769">
    <cfRule type="expression" dxfId="1375" priority="1247" stopIfTrue="1">
      <formula>$G767=""</formula>
    </cfRule>
    <cfRule type="containsBlanks" dxfId="1374" priority="1248">
      <formula>LEN(TRIM(R769))=0</formula>
    </cfRule>
  </conditionalFormatting>
  <conditionalFormatting sqref="P769:R769">
    <cfRule type="expression" dxfId="1373" priority="1246">
      <formula>$C$36=0</formula>
    </cfRule>
  </conditionalFormatting>
  <conditionalFormatting sqref="AF768">
    <cfRule type="containsBlanks" dxfId="1372" priority="1242">
      <formula>LEN(TRIM(AF768))=0</formula>
    </cfRule>
    <cfRule type="expression" dxfId="1371" priority="1243">
      <formula>$HJ768=FALSE</formula>
    </cfRule>
  </conditionalFormatting>
  <conditionalFormatting sqref="AF770">
    <cfRule type="expression" dxfId="1370" priority="1241">
      <formula>$C$36=2</formula>
    </cfRule>
  </conditionalFormatting>
  <conditionalFormatting sqref="R768">
    <cfRule type="containsBlanks" dxfId="1369" priority="1240">
      <formula>LEN(TRIM(R768))=0</formula>
    </cfRule>
  </conditionalFormatting>
  <conditionalFormatting sqref="AE768:AF768">
    <cfRule type="expression" dxfId="1368" priority="1239" stopIfTrue="1">
      <formula>$G767=""</formula>
    </cfRule>
  </conditionalFormatting>
  <conditionalFormatting sqref="AF770">
    <cfRule type="expression" dxfId="1367" priority="1238" stopIfTrue="1">
      <formula>$G767=""</formula>
    </cfRule>
  </conditionalFormatting>
  <conditionalFormatting sqref="AF767:AI767">
    <cfRule type="expression" dxfId="1366" priority="1237">
      <formula>$C$36&lt;&gt;0</formula>
    </cfRule>
  </conditionalFormatting>
  <conditionalFormatting sqref="R768">
    <cfRule type="containsBlanks" dxfId="1365" priority="1235">
      <formula>LEN(TRIM(R768))=0</formula>
    </cfRule>
  </conditionalFormatting>
  <conditionalFormatting sqref="U769">
    <cfRule type="expression" dxfId="1364" priority="1258">
      <formula>OR($HF768=FALSE,$HG768=FALSE)</formula>
    </cfRule>
  </conditionalFormatting>
  <conditionalFormatting sqref="R768">
    <cfRule type="expression" dxfId="1363" priority="1232" stopIfTrue="1">
      <formula>$G767=""</formula>
    </cfRule>
    <cfRule type="expression" dxfId="1362" priority="1233">
      <formula>$HT768=FALSE</formula>
    </cfRule>
  </conditionalFormatting>
  <conditionalFormatting sqref="G770">
    <cfRule type="expression" dxfId="1361" priority="1227" stopIfTrue="1">
      <formula>$G767=""</formula>
    </cfRule>
  </conditionalFormatting>
  <conditionalFormatting sqref="G770">
    <cfRule type="expression" dxfId="1360" priority="1221" stopIfTrue="1">
      <formula>$CN767="Exterior"</formula>
    </cfRule>
  </conditionalFormatting>
  <conditionalFormatting sqref="G770:L770">
    <cfRule type="containsBlanks" dxfId="1359" priority="1228" stopIfTrue="1">
      <formula>LEN(TRIM(G770))=0</formula>
    </cfRule>
    <cfRule type="expression" dxfId="1358" priority="1230">
      <formula>$HL768=FALSE</formula>
    </cfRule>
  </conditionalFormatting>
  <conditionalFormatting sqref="AF769">
    <cfRule type="expression" dxfId="1357" priority="1222" stopIfTrue="1">
      <formula>$G767=""</formula>
    </cfRule>
  </conditionalFormatting>
  <conditionalFormatting sqref="AF769:AI769">
    <cfRule type="expression" dxfId="1356" priority="1226">
      <formula>OR($HP768=FALSE,$HL768=FALSE)</formula>
    </cfRule>
  </conditionalFormatting>
  <conditionalFormatting sqref="AF769">
    <cfRule type="containsBlanks" dxfId="1355" priority="1223" stopIfTrue="1">
      <formula>LEN(TRIM(AF769))=0</formula>
    </cfRule>
    <cfRule type="expression" dxfId="1354" priority="1224">
      <formula>$DP767=7</formula>
    </cfRule>
    <cfRule type="expression" dxfId="1353" priority="1225">
      <formula>OR($HK768=FALSE,$HM768=FALSE)</formula>
    </cfRule>
  </conditionalFormatting>
  <conditionalFormatting sqref="G770:L770">
    <cfRule type="expression" dxfId="1352" priority="1229" stopIfTrue="1">
      <formula>$AF769=""</formula>
    </cfRule>
  </conditionalFormatting>
  <conditionalFormatting sqref="T768:U768">
    <cfRule type="expression" dxfId="1351" priority="1218" stopIfTrue="1">
      <formula>$C$36&lt;&gt;0</formula>
    </cfRule>
    <cfRule type="containsBlanks" dxfId="1350" priority="1219" stopIfTrue="1">
      <formula>LEN(TRIM(T768))=0</formula>
    </cfRule>
  </conditionalFormatting>
  <conditionalFormatting sqref="T768:U768">
    <cfRule type="expression" dxfId="1349" priority="1217" stopIfTrue="1">
      <formula>$G767=""</formula>
    </cfRule>
  </conditionalFormatting>
  <conditionalFormatting sqref="U768">
    <cfRule type="expression" dxfId="1348" priority="1220">
      <formula>$HE768=FALSE</formula>
    </cfRule>
  </conditionalFormatting>
  <conditionalFormatting sqref="T770">
    <cfRule type="expression" dxfId="1347" priority="1216">
      <formula>$C$36=2</formula>
    </cfRule>
  </conditionalFormatting>
  <conditionalFormatting sqref="AE774">
    <cfRule type="expression" dxfId="1346" priority="1202" stopIfTrue="1">
      <formula>$G772=""</formula>
    </cfRule>
  </conditionalFormatting>
  <conditionalFormatting sqref="AB775:AD775">
    <cfRule type="expression" dxfId="1345" priority="1214" stopIfTrue="1">
      <formula>$G772=""</formula>
    </cfRule>
  </conditionalFormatting>
  <conditionalFormatting sqref="G774">
    <cfRule type="expression" dxfId="1344" priority="1211" stopIfTrue="1">
      <formula>$G772=""</formula>
    </cfRule>
    <cfRule type="containsBlanks" dxfId="1343" priority="1212" stopIfTrue="1">
      <formula>LEN(TRIM(G774))=0</formula>
    </cfRule>
    <cfRule type="expression" dxfId="1342" priority="1213">
      <formula>OR($M774=0,$HC773=FALSE)</formula>
    </cfRule>
  </conditionalFormatting>
  <conditionalFormatting sqref="AB775">
    <cfRule type="expression" dxfId="1341" priority="1210" stopIfTrue="1">
      <formula>$AB775=""</formula>
    </cfRule>
  </conditionalFormatting>
  <conditionalFormatting sqref="AE773:AF773">
    <cfRule type="expression" dxfId="1340" priority="1209">
      <formula>$C$36=2</formula>
    </cfRule>
  </conditionalFormatting>
  <conditionalFormatting sqref="T774:U774">
    <cfRule type="expression" dxfId="1339" priority="1184" stopIfTrue="1">
      <formula>$G772=""</formula>
    </cfRule>
  </conditionalFormatting>
  <conditionalFormatting sqref="T774:U774">
    <cfRule type="containsBlanks" dxfId="1338" priority="1207" stopIfTrue="1">
      <formula>LEN(TRIM(T774))=0</formula>
    </cfRule>
  </conditionalFormatting>
  <conditionalFormatting sqref="AC772:AD772">
    <cfRule type="expression" dxfId="1337" priority="1206">
      <formula>$G772=""</formula>
    </cfRule>
  </conditionalFormatting>
  <conditionalFormatting sqref="AE773">
    <cfRule type="containsBlanks" dxfId="1336" priority="1204">
      <formula>LEN(TRIM(AE773))=0</formula>
    </cfRule>
  </conditionalFormatting>
  <conditionalFormatting sqref="AE774 AF775">
    <cfRule type="containsBlanks" dxfId="1335" priority="1203" stopIfTrue="1">
      <formula>LEN(TRIM(AE774))=0</formula>
    </cfRule>
  </conditionalFormatting>
  <conditionalFormatting sqref="AE774">
    <cfRule type="expression" dxfId="1334" priority="1215">
      <formula>OR($HN773=FALSE,$HO773=FALSE)</formula>
    </cfRule>
  </conditionalFormatting>
  <conditionalFormatting sqref="G773:Q773 G772">
    <cfRule type="containsBlanks" dxfId="1333" priority="1201">
      <formula>LEN(TRIM(G772))=0</formula>
    </cfRule>
  </conditionalFormatting>
  <conditionalFormatting sqref="G773:L773">
    <cfRule type="expression" dxfId="1332" priority="1199" stopIfTrue="1">
      <formula>$G772=""</formula>
    </cfRule>
    <cfRule type="containsBlanks" dxfId="1331" priority="1200">
      <formula>LEN(TRIM(G773))=0</formula>
    </cfRule>
  </conditionalFormatting>
  <conditionalFormatting sqref="R774">
    <cfRule type="expression" dxfId="1330" priority="1197" stopIfTrue="1">
      <formula>$G772=""</formula>
    </cfRule>
    <cfRule type="containsBlanks" dxfId="1329" priority="1198">
      <formula>LEN(TRIM(R774))=0</formula>
    </cfRule>
  </conditionalFormatting>
  <conditionalFormatting sqref="P774:R774">
    <cfRule type="expression" dxfId="1328" priority="1196">
      <formula>$C$36=0</formula>
    </cfRule>
  </conditionalFormatting>
  <conditionalFormatting sqref="AF773">
    <cfRule type="containsBlanks" dxfId="1327" priority="1192">
      <formula>LEN(TRIM(AF773))=0</formula>
    </cfRule>
    <cfRule type="expression" dxfId="1326" priority="1193">
      <formula>$HJ773=FALSE</formula>
    </cfRule>
  </conditionalFormatting>
  <conditionalFormatting sqref="AF775">
    <cfRule type="expression" dxfId="1325" priority="1191">
      <formula>$C$36=2</formula>
    </cfRule>
  </conditionalFormatting>
  <conditionalFormatting sqref="R773">
    <cfRule type="containsBlanks" dxfId="1324" priority="1190">
      <formula>LEN(TRIM(R773))=0</formula>
    </cfRule>
  </conditionalFormatting>
  <conditionalFormatting sqref="AE773:AF773">
    <cfRule type="expression" dxfId="1323" priority="1189" stopIfTrue="1">
      <formula>$G772=""</formula>
    </cfRule>
  </conditionalFormatting>
  <conditionalFormatting sqref="AF775">
    <cfRule type="expression" dxfId="1322" priority="1188" stopIfTrue="1">
      <formula>$G772=""</formula>
    </cfRule>
  </conditionalFormatting>
  <conditionalFormatting sqref="AF772:AI772">
    <cfRule type="expression" dxfId="1321" priority="1187">
      <formula>$C$36&lt;&gt;0</formula>
    </cfRule>
  </conditionalFormatting>
  <conditionalFormatting sqref="R773">
    <cfRule type="containsBlanks" dxfId="1320" priority="1185">
      <formula>LEN(TRIM(R773))=0</formula>
    </cfRule>
  </conditionalFormatting>
  <conditionalFormatting sqref="U774">
    <cfRule type="expression" dxfId="1319" priority="1208">
      <formula>OR($HF773=FALSE,$HG773=FALSE)</formula>
    </cfRule>
  </conditionalFormatting>
  <conditionalFormatting sqref="R773">
    <cfRule type="expression" dxfId="1318" priority="1182" stopIfTrue="1">
      <formula>$G772=""</formula>
    </cfRule>
    <cfRule type="expression" dxfId="1317" priority="1183">
      <formula>$HT773=FALSE</formula>
    </cfRule>
  </conditionalFormatting>
  <conditionalFormatting sqref="G775">
    <cfRule type="expression" dxfId="1316" priority="1177" stopIfTrue="1">
      <formula>$G772=""</formula>
    </cfRule>
  </conditionalFormatting>
  <conditionalFormatting sqref="G775">
    <cfRule type="expression" dxfId="1315" priority="1171" stopIfTrue="1">
      <formula>$CN772="Exterior"</formula>
    </cfRule>
  </conditionalFormatting>
  <conditionalFormatting sqref="G775:L775">
    <cfRule type="containsBlanks" dxfId="1314" priority="1178" stopIfTrue="1">
      <formula>LEN(TRIM(G775))=0</formula>
    </cfRule>
    <cfRule type="expression" dxfId="1313" priority="1180">
      <formula>$HL773=FALSE</formula>
    </cfRule>
  </conditionalFormatting>
  <conditionalFormatting sqref="AF774">
    <cfRule type="expression" dxfId="1312" priority="1172" stopIfTrue="1">
      <formula>$G772=""</formula>
    </cfRule>
  </conditionalFormatting>
  <conditionalFormatting sqref="AF774:AI774">
    <cfRule type="expression" dxfId="1311" priority="1176">
      <formula>OR($HP773=FALSE,$HL773=FALSE)</formula>
    </cfRule>
  </conditionalFormatting>
  <conditionalFormatting sqref="AF774">
    <cfRule type="containsBlanks" dxfId="1310" priority="1173" stopIfTrue="1">
      <formula>LEN(TRIM(AF774))=0</formula>
    </cfRule>
    <cfRule type="expression" dxfId="1309" priority="1174">
      <formula>$DP772=7</formula>
    </cfRule>
    <cfRule type="expression" dxfId="1308" priority="1175">
      <formula>OR($HK773=FALSE,$HM773=FALSE)</formula>
    </cfRule>
  </conditionalFormatting>
  <conditionalFormatting sqref="G775:L775">
    <cfRule type="expression" dxfId="1307" priority="1179" stopIfTrue="1">
      <formula>$AF774=""</formula>
    </cfRule>
  </conditionalFormatting>
  <conditionalFormatting sqref="T773:U773">
    <cfRule type="expression" dxfId="1306" priority="1168" stopIfTrue="1">
      <formula>$C$36&lt;&gt;0</formula>
    </cfRule>
    <cfRule type="containsBlanks" dxfId="1305" priority="1169" stopIfTrue="1">
      <formula>LEN(TRIM(T773))=0</formula>
    </cfRule>
  </conditionalFormatting>
  <conditionalFormatting sqref="T773:U773">
    <cfRule type="expression" dxfId="1304" priority="1167" stopIfTrue="1">
      <formula>$G772=""</formula>
    </cfRule>
  </conditionalFormatting>
  <conditionalFormatting sqref="U773">
    <cfRule type="expression" dxfId="1303" priority="1170">
      <formula>$HE773=FALSE</formula>
    </cfRule>
  </conditionalFormatting>
  <conditionalFormatting sqref="T775">
    <cfRule type="expression" dxfId="1302" priority="1166">
      <formula>$C$36=2</formula>
    </cfRule>
  </conditionalFormatting>
  <conditionalFormatting sqref="AE779">
    <cfRule type="expression" dxfId="1301" priority="1152" stopIfTrue="1">
      <formula>$G777=""</formula>
    </cfRule>
  </conditionalFormatting>
  <conditionalFormatting sqref="AB780:AD780">
    <cfRule type="expression" dxfId="1300" priority="1164" stopIfTrue="1">
      <formula>$G777=""</formula>
    </cfRule>
  </conditionalFormatting>
  <conditionalFormatting sqref="G779">
    <cfRule type="expression" dxfId="1299" priority="1161" stopIfTrue="1">
      <formula>$G777=""</formula>
    </cfRule>
    <cfRule type="containsBlanks" dxfId="1298" priority="1162" stopIfTrue="1">
      <formula>LEN(TRIM(G779))=0</formula>
    </cfRule>
    <cfRule type="expression" dxfId="1297" priority="1163">
      <formula>OR($M779=0,$HC778=FALSE)</formula>
    </cfRule>
  </conditionalFormatting>
  <conditionalFormatting sqref="AB780">
    <cfRule type="expression" dxfId="1296" priority="1160" stopIfTrue="1">
      <formula>$AB780=""</formula>
    </cfRule>
  </conditionalFormatting>
  <conditionalFormatting sqref="AE778:AF778">
    <cfRule type="expression" dxfId="1295" priority="1159">
      <formula>$C$36=2</formula>
    </cfRule>
  </conditionalFormatting>
  <conditionalFormatting sqref="T779:U779">
    <cfRule type="expression" dxfId="1294" priority="1134" stopIfTrue="1">
      <formula>$G777=""</formula>
    </cfRule>
  </conditionalFormatting>
  <conditionalFormatting sqref="T779:U779">
    <cfRule type="containsBlanks" dxfId="1293" priority="1157" stopIfTrue="1">
      <formula>LEN(TRIM(T779))=0</formula>
    </cfRule>
  </conditionalFormatting>
  <conditionalFormatting sqref="AC777:AD777">
    <cfRule type="expression" dxfId="1292" priority="1156">
      <formula>$G777=""</formula>
    </cfRule>
  </conditionalFormatting>
  <conditionalFormatting sqref="AE778">
    <cfRule type="containsBlanks" dxfId="1291" priority="1154">
      <formula>LEN(TRIM(AE778))=0</formula>
    </cfRule>
  </conditionalFormatting>
  <conditionalFormatting sqref="AE779 AF780">
    <cfRule type="containsBlanks" dxfId="1290" priority="1153" stopIfTrue="1">
      <formula>LEN(TRIM(AE779))=0</formula>
    </cfRule>
  </conditionalFormatting>
  <conditionalFormatting sqref="AE779">
    <cfRule type="expression" dxfId="1289" priority="1165">
      <formula>OR($HN778=FALSE,$HO778=FALSE)</formula>
    </cfRule>
  </conditionalFormatting>
  <conditionalFormatting sqref="G778:Q778 G777">
    <cfRule type="containsBlanks" dxfId="1288" priority="1151">
      <formula>LEN(TRIM(G777))=0</formula>
    </cfRule>
  </conditionalFormatting>
  <conditionalFormatting sqref="G778:L778">
    <cfRule type="expression" dxfId="1287" priority="1149" stopIfTrue="1">
      <formula>$G777=""</formula>
    </cfRule>
    <cfRule type="containsBlanks" dxfId="1286" priority="1150">
      <formula>LEN(TRIM(G778))=0</formula>
    </cfRule>
  </conditionalFormatting>
  <conditionalFormatting sqref="R779">
    <cfRule type="expression" dxfId="1285" priority="1147" stopIfTrue="1">
      <formula>$G777=""</formula>
    </cfRule>
    <cfRule type="containsBlanks" dxfId="1284" priority="1148">
      <formula>LEN(TRIM(R779))=0</formula>
    </cfRule>
  </conditionalFormatting>
  <conditionalFormatting sqref="P779:R779">
    <cfRule type="expression" dxfId="1283" priority="1146">
      <formula>$C$36=0</formula>
    </cfRule>
  </conditionalFormatting>
  <conditionalFormatting sqref="AF778">
    <cfRule type="containsBlanks" dxfId="1282" priority="1142">
      <formula>LEN(TRIM(AF778))=0</formula>
    </cfRule>
    <cfRule type="expression" dxfId="1281" priority="1143">
      <formula>$HJ778=FALSE</formula>
    </cfRule>
  </conditionalFormatting>
  <conditionalFormatting sqref="AF780">
    <cfRule type="expression" dxfId="1280" priority="1141">
      <formula>$C$36=2</formula>
    </cfRule>
  </conditionalFormatting>
  <conditionalFormatting sqref="R778">
    <cfRule type="containsBlanks" dxfId="1279" priority="1140">
      <formula>LEN(TRIM(R778))=0</formula>
    </cfRule>
  </conditionalFormatting>
  <conditionalFormatting sqref="AE778:AF778">
    <cfRule type="expression" dxfId="1278" priority="1139" stopIfTrue="1">
      <formula>$G777=""</formula>
    </cfRule>
  </conditionalFormatting>
  <conditionalFormatting sqref="AF780">
    <cfRule type="expression" dxfId="1277" priority="1138" stopIfTrue="1">
      <formula>$G777=""</formula>
    </cfRule>
  </conditionalFormatting>
  <conditionalFormatting sqref="AF777:AI777">
    <cfRule type="expression" dxfId="1276" priority="1137">
      <formula>$C$36&lt;&gt;0</formula>
    </cfRule>
  </conditionalFormatting>
  <conditionalFormatting sqref="R778">
    <cfRule type="containsBlanks" dxfId="1275" priority="1135">
      <formula>LEN(TRIM(R778))=0</formula>
    </cfRule>
  </conditionalFormatting>
  <conditionalFormatting sqref="U779">
    <cfRule type="expression" dxfId="1274" priority="1158">
      <formula>OR($HF778=FALSE,$HG778=FALSE)</formula>
    </cfRule>
  </conditionalFormatting>
  <conditionalFormatting sqref="R778">
    <cfRule type="expression" dxfId="1273" priority="1132" stopIfTrue="1">
      <formula>$G777=""</formula>
    </cfRule>
    <cfRule type="expression" dxfId="1272" priority="1133">
      <formula>$HT778=FALSE</formula>
    </cfRule>
  </conditionalFormatting>
  <conditionalFormatting sqref="G780">
    <cfRule type="expression" dxfId="1271" priority="1127" stopIfTrue="1">
      <formula>$G777=""</formula>
    </cfRule>
  </conditionalFormatting>
  <conditionalFormatting sqref="G780">
    <cfRule type="expression" dxfId="1270" priority="1121" stopIfTrue="1">
      <formula>$CN777="Exterior"</formula>
    </cfRule>
  </conditionalFormatting>
  <conditionalFormatting sqref="G780:L780">
    <cfRule type="containsBlanks" dxfId="1269" priority="1128" stopIfTrue="1">
      <formula>LEN(TRIM(G780))=0</formula>
    </cfRule>
    <cfRule type="expression" dxfId="1268" priority="1130">
      <formula>$HL778=FALSE</formula>
    </cfRule>
  </conditionalFormatting>
  <conditionalFormatting sqref="AF779">
    <cfRule type="expression" dxfId="1267" priority="1122" stopIfTrue="1">
      <formula>$G777=""</formula>
    </cfRule>
  </conditionalFormatting>
  <conditionalFormatting sqref="AF779:AI779">
    <cfRule type="expression" dxfId="1266" priority="1126">
      <formula>OR($HP778=FALSE,$HL778=FALSE)</formula>
    </cfRule>
  </conditionalFormatting>
  <conditionalFormatting sqref="AF779">
    <cfRule type="containsBlanks" dxfId="1265" priority="1123" stopIfTrue="1">
      <formula>LEN(TRIM(AF779))=0</formula>
    </cfRule>
    <cfRule type="expression" dxfId="1264" priority="1124">
      <formula>$DP777=7</formula>
    </cfRule>
    <cfRule type="expression" dxfId="1263" priority="1125">
      <formula>OR($HK778=FALSE,$HM778=FALSE)</formula>
    </cfRule>
  </conditionalFormatting>
  <conditionalFormatting sqref="G780:L780">
    <cfRule type="expression" dxfId="1262" priority="1129" stopIfTrue="1">
      <formula>$AF779=""</formula>
    </cfRule>
  </conditionalFormatting>
  <conditionalFormatting sqref="T778:U778">
    <cfRule type="expression" dxfId="1261" priority="1118" stopIfTrue="1">
      <formula>$C$36&lt;&gt;0</formula>
    </cfRule>
    <cfRule type="containsBlanks" dxfId="1260" priority="1119" stopIfTrue="1">
      <formula>LEN(TRIM(T778))=0</formula>
    </cfRule>
  </conditionalFormatting>
  <conditionalFormatting sqref="T778:U778">
    <cfRule type="expression" dxfId="1259" priority="1117" stopIfTrue="1">
      <formula>$G777=""</formula>
    </cfRule>
  </conditionalFormatting>
  <conditionalFormatting sqref="U778">
    <cfRule type="expression" dxfId="1258" priority="1120">
      <formula>$HE778=FALSE</formula>
    </cfRule>
  </conditionalFormatting>
  <conditionalFormatting sqref="T780">
    <cfRule type="expression" dxfId="1257" priority="1116">
      <formula>$C$36=2</formula>
    </cfRule>
  </conditionalFormatting>
  <conditionalFormatting sqref="AE784">
    <cfRule type="expression" dxfId="1256" priority="1102" stopIfTrue="1">
      <formula>$G782=""</formula>
    </cfRule>
  </conditionalFormatting>
  <conditionalFormatting sqref="AB785:AD785">
    <cfRule type="expression" dxfId="1255" priority="1114" stopIfTrue="1">
      <formula>$G782=""</formula>
    </cfRule>
  </conditionalFormatting>
  <conditionalFormatting sqref="G784">
    <cfRule type="expression" dxfId="1254" priority="1111" stopIfTrue="1">
      <formula>$G782=""</formula>
    </cfRule>
    <cfRule type="containsBlanks" dxfId="1253" priority="1112" stopIfTrue="1">
      <formula>LEN(TRIM(G784))=0</formula>
    </cfRule>
    <cfRule type="expression" dxfId="1252" priority="1113">
      <formula>OR($M784=0,$HC783=FALSE)</formula>
    </cfRule>
  </conditionalFormatting>
  <conditionalFormatting sqref="AB785">
    <cfRule type="expression" dxfId="1251" priority="1110" stopIfTrue="1">
      <formula>$AB785=""</formula>
    </cfRule>
  </conditionalFormatting>
  <conditionalFormatting sqref="AE783:AF783">
    <cfRule type="expression" dxfId="1250" priority="1109">
      <formula>$C$36=2</formula>
    </cfRule>
  </conditionalFormatting>
  <conditionalFormatting sqref="T784:U784">
    <cfRule type="expression" dxfId="1249" priority="1084" stopIfTrue="1">
      <formula>$G782=""</formula>
    </cfRule>
  </conditionalFormatting>
  <conditionalFormatting sqref="T784:U784">
    <cfRule type="containsBlanks" dxfId="1248" priority="1107" stopIfTrue="1">
      <formula>LEN(TRIM(T784))=0</formula>
    </cfRule>
  </conditionalFormatting>
  <conditionalFormatting sqref="AC782:AD782">
    <cfRule type="expression" dxfId="1247" priority="1106">
      <formula>$G782=""</formula>
    </cfRule>
  </conditionalFormatting>
  <conditionalFormatting sqref="AE783">
    <cfRule type="containsBlanks" dxfId="1246" priority="1104">
      <formula>LEN(TRIM(AE783))=0</formula>
    </cfRule>
  </conditionalFormatting>
  <conditionalFormatting sqref="AE784 AF785">
    <cfRule type="containsBlanks" dxfId="1245" priority="1103" stopIfTrue="1">
      <formula>LEN(TRIM(AE784))=0</formula>
    </cfRule>
  </conditionalFormatting>
  <conditionalFormatting sqref="AE784">
    <cfRule type="expression" dxfId="1244" priority="1115">
      <formula>OR($HN783=FALSE,$HO783=FALSE)</formula>
    </cfRule>
  </conditionalFormatting>
  <conditionalFormatting sqref="G783:Q783 G782">
    <cfRule type="containsBlanks" dxfId="1243" priority="1101">
      <formula>LEN(TRIM(G782))=0</formula>
    </cfRule>
  </conditionalFormatting>
  <conditionalFormatting sqref="G783:L783">
    <cfRule type="expression" dxfId="1242" priority="1099" stopIfTrue="1">
      <formula>$G782=""</formula>
    </cfRule>
    <cfRule type="containsBlanks" dxfId="1241" priority="1100">
      <formula>LEN(TRIM(G783))=0</formula>
    </cfRule>
  </conditionalFormatting>
  <conditionalFormatting sqref="R784">
    <cfRule type="expression" dxfId="1240" priority="1097" stopIfTrue="1">
      <formula>$G782=""</formula>
    </cfRule>
    <cfRule type="containsBlanks" dxfId="1239" priority="1098">
      <formula>LEN(TRIM(R784))=0</formula>
    </cfRule>
  </conditionalFormatting>
  <conditionalFormatting sqref="P784:R784">
    <cfRule type="expression" dxfId="1238" priority="1096">
      <formula>$C$36=0</formula>
    </cfRule>
  </conditionalFormatting>
  <conditionalFormatting sqref="AF783">
    <cfRule type="containsBlanks" dxfId="1237" priority="1092">
      <formula>LEN(TRIM(AF783))=0</formula>
    </cfRule>
    <cfRule type="expression" dxfId="1236" priority="1093">
      <formula>$HJ783=FALSE</formula>
    </cfRule>
  </conditionalFormatting>
  <conditionalFormatting sqref="AF785">
    <cfRule type="expression" dxfId="1235" priority="1091">
      <formula>$C$36=2</formula>
    </cfRule>
  </conditionalFormatting>
  <conditionalFormatting sqref="R783">
    <cfRule type="containsBlanks" dxfId="1234" priority="1090">
      <formula>LEN(TRIM(R783))=0</formula>
    </cfRule>
  </conditionalFormatting>
  <conditionalFormatting sqref="AE783:AF783">
    <cfRule type="expression" dxfId="1233" priority="1089" stopIfTrue="1">
      <formula>$G782=""</formula>
    </cfRule>
  </conditionalFormatting>
  <conditionalFormatting sqref="AF785">
    <cfRule type="expression" dxfId="1232" priority="1088" stopIfTrue="1">
      <formula>$G782=""</formula>
    </cfRule>
  </conditionalFormatting>
  <conditionalFormatting sqref="AF782:AI782">
    <cfRule type="expression" dxfId="1231" priority="1087">
      <formula>$C$36&lt;&gt;0</formula>
    </cfRule>
  </conditionalFormatting>
  <conditionalFormatting sqref="R783">
    <cfRule type="containsBlanks" dxfId="1230" priority="1085">
      <formula>LEN(TRIM(R783))=0</formula>
    </cfRule>
  </conditionalFormatting>
  <conditionalFormatting sqref="U784">
    <cfRule type="expression" dxfId="1229" priority="1108">
      <formula>OR($HF783=FALSE,$HG783=FALSE)</formula>
    </cfRule>
  </conditionalFormatting>
  <conditionalFormatting sqref="R783">
    <cfRule type="expression" dxfId="1228" priority="1082" stopIfTrue="1">
      <formula>$G782=""</formula>
    </cfRule>
    <cfRule type="expression" dxfId="1227" priority="1083">
      <formula>$HT783=FALSE</formula>
    </cfRule>
  </conditionalFormatting>
  <conditionalFormatting sqref="G785">
    <cfRule type="expression" dxfId="1226" priority="1077" stopIfTrue="1">
      <formula>$G782=""</formula>
    </cfRule>
  </conditionalFormatting>
  <conditionalFormatting sqref="G785">
    <cfRule type="expression" dxfId="1225" priority="1071" stopIfTrue="1">
      <formula>$CN782="Exterior"</formula>
    </cfRule>
  </conditionalFormatting>
  <conditionalFormatting sqref="G785:L785">
    <cfRule type="containsBlanks" dxfId="1224" priority="1078" stopIfTrue="1">
      <formula>LEN(TRIM(G785))=0</formula>
    </cfRule>
    <cfRule type="expression" dxfId="1223" priority="1080">
      <formula>$HL783=FALSE</formula>
    </cfRule>
  </conditionalFormatting>
  <conditionalFormatting sqref="AF784">
    <cfRule type="expression" dxfId="1222" priority="1072" stopIfTrue="1">
      <formula>$G782=""</formula>
    </cfRule>
  </conditionalFormatting>
  <conditionalFormatting sqref="AF784:AI784">
    <cfRule type="expression" dxfId="1221" priority="1076">
      <formula>OR($HP783=FALSE,$HL783=FALSE)</formula>
    </cfRule>
  </conditionalFormatting>
  <conditionalFormatting sqref="AF784">
    <cfRule type="containsBlanks" dxfId="1220" priority="1073" stopIfTrue="1">
      <formula>LEN(TRIM(AF784))=0</formula>
    </cfRule>
    <cfRule type="expression" dxfId="1219" priority="1074">
      <formula>$DP782=7</formula>
    </cfRule>
    <cfRule type="expression" dxfId="1218" priority="1075">
      <formula>OR($HK783=FALSE,$HM783=FALSE)</formula>
    </cfRule>
  </conditionalFormatting>
  <conditionalFormatting sqref="G785:L785">
    <cfRule type="expression" dxfId="1217" priority="1079" stopIfTrue="1">
      <formula>$AF784=""</formula>
    </cfRule>
  </conditionalFormatting>
  <conditionalFormatting sqref="T783:U783">
    <cfRule type="expression" dxfId="1216" priority="1068" stopIfTrue="1">
      <formula>$C$36&lt;&gt;0</formula>
    </cfRule>
    <cfRule type="containsBlanks" dxfId="1215" priority="1069" stopIfTrue="1">
      <formula>LEN(TRIM(T783))=0</formula>
    </cfRule>
  </conditionalFormatting>
  <conditionalFormatting sqref="T783:U783">
    <cfRule type="expression" dxfId="1214" priority="1067" stopIfTrue="1">
      <formula>$G782=""</formula>
    </cfRule>
  </conditionalFormatting>
  <conditionalFormatting sqref="U783">
    <cfRule type="expression" dxfId="1213" priority="1070">
      <formula>$HE783=FALSE</formula>
    </cfRule>
  </conditionalFormatting>
  <conditionalFormatting sqref="T785">
    <cfRule type="expression" dxfId="1212" priority="1066">
      <formula>$C$36=2</formula>
    </cfRule>
  </conditionalFormatting>
  <conditionalFormatting sqref="AE789">
    <cfRule type="expression" dxfId="1211" priority="1052" stopIfTrue="1">
      <formula>$G787=""</formula>
    </cfRule>
  </conditionalFormatting>
  <conditionalFormatting sqref="AB790:AD790">
    <cfRule type="expression" dxfId="1210" priority="1064" stopIfTrue="1">
      <formula>$G787=""</formula>
    </cfRule>
  </conditionalFormatting>
  <conditionalFormatting sqref="G789">
    <cfRule type="expression" dxfId="1209" priority="1061" stopIfTrue="1">
      <formula>$G787=""</formula>
    </cfRule>
    <cfRule type="containsBlanks" dxfId="1208" priority="1062" stopIfTrue="1">
      <formula>LEN(TRIM(G789))=0</formula>
    </cfRule>
    <cfRule type="expression" dxfId="1207" priority="1063">
      <formula>OR($M789=0,$HC788=FALSE)</formula>
    </cfRule>
  </conditionalFormatting>
  <conditionalFormatting sqref="AB790">
    <cfRule type="expression" dxfId="1206" priority="1060" stopIfTrue="1">
      <formula>$AB790=""</formula>
    </cfRule>
  </conditionalFormatting>
  <conditionalFormatting sqref="AE788:AF788">
    <cfRule type="expression" dxfId="1205" priority="1059">
      <formula>$C$36=2</formula>
    </cfRule>
  </conditionalFormatting>
  <conditionalFormatting sqref="T789:U789">
    <cfRule type="expression" dxfId="1204" priority="1034" stopIfTrue="1">
      <formula>$G787=""</formula>
    </cfRule>
  </conditionalFormatting>
  <conditionalFormatting sqref="T789:U789">
    <cfRule type="containsBlanks" dxfId="1203" priority="1057" stopIfTrue="1">
      <formula>LEN(TRIM(T789))=0</formula>
    </cfRule>
  </conditionalFormatting>
  <conditionalFormatting sqref="AC787:AD787">
    <cfRule type="expression" dxfId="1202" priority="1056">
      <formula>$G787=""</formula>
    </cfRule>
  </conditionalFormatting>
  <conditionalFormatting sqref="AE788">
    <cfRule type="containsBlanks" dxfId="1201" priority="1054">
      <formula>LEN(TRIM(AE788))=0</formula>
    </cfRule>
  </conditionalFormatting>
  <conditionalFormatting sqref="AE789 AF790">
    <cfRule type="containsBlanks" dxfId="1200" priority="1053" stopIfTrue="1">
      <formula>LEN(TRIM(AE789))=0</formula>
    </cfRule>
  </conditionalFormatting>
  <conditionalFormatting sqref="AE789">
    <cfRule type="expression" dxfId="1199" priority="1065">
      <formula>OR($HN788=FALSE,$HO788=FALSE)</formula>
    </cfRule>
  </conditionalFormatting>
  <conditionalFormatting sqref="G788:Q788 G787">
    <cfRule type="containsBlanks" dxfId="1198" priority="1051">
      <formula>LEN(TRIM(G787))=0</formula>
    </cfRule>
  </conditionalFormatting>
  <conditionalFormatting sqref="G788:L788">
    <cfRule type="expression" dxfId="1197" priority="1049" stopIfTrue="1">
      <formula>$G787=""</formula>
    </cfRule>
    <cfRule type="containsBlanks" dxfId="1196" priority="1050">
      <formula>LEN(TRIM(G788))=0</formula>
    </cfRule>
  </conditionalFormatting>
  <conditionalFormatting sqref="R789">
    <cfRule type="expression" dxfId="1195" priority="1047" stopIfTrue="1">
      <formula>$G787=""</formula>
    </cfRule>
    <cfRule type="containsBlanks" dxfId="1194" priority="1048">
      <formula>LEN(TRIM(R789))=0</formula>
    </cfRule>
  </conditionalFormatting>
  <conditionalFormatting sqref="P789:R789">
    <cfRule type="expression" dxfId="1193" priority="1046">
      <formula>$C$36=0</formula>
    </cfRule>
  </conditionalFormatting>
  <conditionalFormatting sqref="AF788">
    <cfRule type="containsBlanks" dxfId="1192" priority="1042">
      <formula>LEN(TRIM(AF788))=0</formula>
    </cfRule>
    <cfRule type="expression" dxfId="1191" priority="1043">
      <formula>$HJ788=FALSE</formula>
    </cfRule>
  </conditionalFormatting>
  <conditionalFormatting sqref="AF790">
    <cfRule type="expression" dxfId="1190" priority="1041">
      <formula>$C$36=2</formula>
    </cfRule>
  </conditionalFormatting>
  <conditionalFormatting sqref="R788">
    <cfRule type="containsBlanks" dxfId="1189" priority="1040">
      <formula>LEN(TRIM(R788))=0</formula>
    </cfRule>
  </conditionalFormatting>
  <conditionalFormatting sqref="AE788:AF788">
    <cfRule type="expression" dxfId="1188" priority="1039" stopIfTrue="1">
      <formula>$G787=""</formula>
    </cfRule>
  </conditionalFormatting>
  <conditionalFormatting sqref="AF790">
    <cfRule type="expression" dxfId="1187" priority="1038" stopIfTrue="1">
      <formula>$G787=""</formula>
    </cfRule>
  </conditionalFormatting>
  <conditionalFormatting sqref="AF787:AI787">
    <cfRule type="expression" dxfId="1186" priority="1037">
      <formula>$C$36&lt;&gt;0</formula>
    </cfRule>
  </conditionalFormatting>
  <conditionalFormatting sqref="R788">
    <cfRule type="containsBlanks" dxfId="1185" priority="1035">
      <formula>LEN(TRIM(R788))=0</formula>
    </cfRule>
  </conditionalFormatting>
  <conditionalFormatting sqref="U789">
    <cfRule type="expression" dxfId="1184" priority="1058">
      <formula>OR($HF788=FALSE,$HG788=FALSE)</formula>
    </cfRule>
  </conditionalFormatting>
  <conditionalFormatting sqref="R788">
    <cfRule type="expression" dxfId="1183" priority="1032" stopIfTrue="1">
      <formula>$G787=""</formula>
    </cfRule>
    <cfRule type="expression" dxfId="1182" priority="1033">
      <formula>$HT788=FALSE</formula>
    </cfRule>
  </conditionalFormatting>
  <conditionalFormatting sqref="G790">
    <cfRule type="expression" dxfId="1181" priority="1027" stopIfTrue="1">
      <formula>$G787=""</formula>
    </cfRule>
  </conditionalFormatting>
  <conditionalFormatting sqref="G790">
    <cfRule type="expression" dxfId="1180" priority="1021" stopIfTrue="1">
      <formula>$CN787="Exterior"</formula>
    </cfRule>
  </conditionalFormatting>
  <conditionalFormatting sqref="G790:L790">
    <cfRule type="containsBlanks" dxfId="1179" priority="1028" stopIfTrue="1">
      <formula>LEN(TRIM(G790))=0</formula>
    </cfRule>
    <cfRule type="expression" dxfId="1178" priority="1030">
      <formula>$HL788=FALSE</formula>
    </cfRule>
  </conditionalFormatting>
  <conditionalFormatting sqref="AF789">
    <cfRule type="expression" dxfId="1177" priority="1022" stopIfTrue="1">
      <formula>$G787=""</formula>
    </cfRule>
  </conditionalFormatting>
  <conditionalFormatting sqref="AF789:AI789">
    <cfRule type="expression" dxfId="1176" priority="1026">
      <formula>OR($HP788=FALSE,$HL788=FALSE)</formula>
    </cfRule>
  </conditionalFormatting>
  <conditionalFormatting sqref="AF789">
    <cfRule type="containsBlanks" dxfId="1175" priority="1023" stopIfTrue="1">
      <formula>LEN(TRIM(AF789))=0</formula>
    </cfRule>
    <cfRule type="expression" dxfId="1174" priority="1024">
      <formula>$DP787=7</formula>
    </cfRule>
    <cfRule type="expression" dxfId="1173" priority="1025">
      <formula>OR($HK788=FALSE,$HM788=FALSE)</formula>
    </cfRule>
  </conditionalFormatting>
  <conditionalFormatting sqref="G790:L790">
    <cfRule type="expression" dxfId="1172" priority="1029" stopIfTrue="1">
      <formula>$AF789=""</formula>
    </cfRule>
  </conditionalFormatting>
  <conditionalFormatting sqref="T788:U788">
    <cfRule type="expression" dxfId="1171" priority="1018" stopIfTrue="1">
      <formula>$C$36&lt;&gt;0</formula>
    </cfRule>
    <cfRule type="containsBlanks" dxfId="1170" priority="1019" stopIfTrue="1">
      <formula>LEN(TRIM(T788))=0</formula>
    </cfRule>
  </conditionalFormatting>
  <conditionalFormatting sqref="T788:U788">
    <cfRule type="expression" dxfId="1169" priority="1017" stopIfTrue="1">
      <formula>$G787=""</formula>
    </cfRule>
  </conditionalFormatting>
  <conditionalFormatting sqref="U788">
    <cfRule type="expression" dxfId="1168" priority="1020">
      <formula>$HE788=FALSE</formula>
    </cfRule>
  </conditionalFormatting>
  <conditionalFormatting sqref="T790">
    <cfRule type="expression" dxfId="1167" priority="1016">
      <formula>$C$36=2</formula>
    </cfRule>
  </conditionalFormatting>
  <conditionalFormatting sqref="AB722">
    <cfRule type="expression" dxfId="1166" priority="1013" stopIfTrue="1">
      <formula>$AB722=""</formula>
    </cfRule>
    <cfRule type="expression" dxfId="1165" priority="1014" stopIfTrue="1">
      <formula>$G722=""</formula>
    </cfRule>
  </conditionalFormatting>
  <conditionalFormatting sqref="AB722">
    <cfRule type="expression" dxfId="1164" priority="1015">
      <formula>$HU723=FALSE</formula>
    </cfRule>
  </conditionalFormatting>
  <conditionalFormatting sqref="AB722">
    <cfRule type="expression" dxfId="1163" priority="1012" stopIfTrue="1">
      <formula>$G722=""</formula>
    </cfRule>
  </conditionalFormatting>
  <conditionalFormatting sqref="AB727">
    <cfRule type="expression" dxfId="1162" priority="1009" stopIfTrue="1">
      <formula>$AB727=""</formula>
    </cfRule>
    <cfRule type="expression" dxfId="1161" priority="1010" stopIfTrue="1">
      <formula>$G727=""</formula>
    </cfRule>
  </conditionalFormatting>
  <conditionalFormatting sqref="AB727">
    <cfRule type="expression" dxfId="1160" priority="1011">
      <formula>$HU728=FALSE</formula>
    </cfRule>
  </conditionalFormatting>
  <conditionalFormatting sqref="AB727">
    <cfRule type="expression" dxfId="1159" priority="1008" stopIfTrue="1">
      <formula>$G727=""</formula>
    </cfRule>
  </conditionalFormatting>
  <conditionalFormatting sqref="AB732">
    <cfRule type="expression" dxfId="1158" priority="1005" stopIfTrue="1">
      <formula>$AB732=""</formula>
    </cfRule>
    <cfRule type="expression" dxfId="1157" priority="1006" stopIfTrue="1">
      <formula>$G732=""</formula>
    </cfRule>
  </conditionalFormatting>
  <conditionalFormatting sqref="AB732">
    <cfRule type="expression" dxfId="1156" priority="1007">
      <formula>$HU733=FALSE</formula>
    </cfRule>
  </conditionalFormatting>
  <conditionalFormatting sqref="AB732">
    <cfRule type="expression" dxfId="1155" priority="1004" stopIfTrue="1">
      <formula>$G732=""</formula>
    </cfRule>
  </conditionalFormatting>
  <conditionalFormatting sqref="AB737">
    <cfRule type="expression" dxfId="1154" priority="1001" stopIfTrue="1">
      <formula>$AB737=""</formula>
    </cfRule>
    <cfRule type="expression" dxfId="1153" priority="1002" stopIfTrue="1">
      <formula>$G737=""</formula>
    </cfRule>
  </conditionalFormatting>
  <conditionalFormatting sqref="AB737">
    <cfRule type="expression" dxfId="1152" priority="1003">
      <formula>$HU738=FALSE</formula>
    </cfRule>
  </conditionalFormatting>
  <conditionalFormatting sqref="AB737">
    <cfRule type="expression" dxfId="1151" priority="1000" stopIfTrue="1">
      <formula>$G737=""</formula>
    </cfRule>
  </conditionalFormatting>
  <conditionalFormatting sqref="AB742">
    <cfRule type="expression" dxfId="1150" priority="997" stopIfTrue="1">
      <formula>$AB742=""</formula>
    </cfRule>
    <cfRule type="expression" dxfId="1149" priority="998" stopIfTrue="1">
      <formula>$G742=""</formula>
    </cfRule>
  </conditionalFormatting>
  <conditionalFormatting sqref="AB742">
    <cfRule type="expression" dxfId="1148" priority="999">
      <formula>$HU743=FALSE</formula>
    </cfRule>
  </conditionalFormatting>
  <conditionalFormatting sqref="AB742">
    <cfRule type="expression" dxfId="1147" priority="996" stopIfTrue="1">
      <formula>$G742=""</formula>
    </cfRule>
  </conditionalFormatting>
  <conditionalFormatting sqref="AB747">
    <cfRule type="expression" dxfId="1146" priority="993" stopIfTrue="1">
      <formula>$AB747=""</formula>
    </cfRule>
    <cfRule type="expression" dxfId="1145" priority="994" stopIfTrue="1">
      <formula>$G747=""</formula>
    </cfRule>
  </conditionalFormatting>
  <conditionalFormatting sqref="AB747">
    <cfRule type="expression" dxfId="1144" priority="995">
      <formula>$HU748=FALSE</formula>
    </cfRule>
  </conditionalFormatting>
  <conditionalFormatting sqref="AB747">
    <cfRule type="expression" dxfId="1143" priority="992" stopIfTrue="1">
      <formula>$G747=""</formula>
    </cfRule>
  </conditionalFormatting>
  <conditionalFormatting sqref="AB752">
    <cfRule type="expression" dxfId="1142" priority="989" stopIfTrue="1">
      <formula>$AB752=""</formula>
    </cfRule>
    <cfRule type="expression" dxfId="1141" priority="990" stopIfTrue="1">
      <formula>$G752=""</formula>
    </cfRule>
  </conditionalFormatting>
  <conditionalFormatting sqref="AB752">
    <cfRule type="expression" dxfId="1140" priority="991">
      <formula>$HU753=FALSE</formula>
    </cfRule>
  </conditionalFormatting>
  <conditionalFormatting sqref="AB752">
    <cfRule type="expression" dxfId="1139" priority="988" stopIfTrue="1">
      <formula>$G752=""</formula>
    </cfRule>
  </conditionalFormatting>
  <conditionalFormatting sqref="AB757">
    <cfRule type="expression" dxfId="1138" priority="985" stopIfTrue="1">
      <formula>$AB757=""</formula>
    </cfRule>
    <cfRule type="expression" dxfId="1137" priority="986" stopIfTrue="1">
      <formula>$G757=""</formula>
    </cfRule>
  </conditionalFormatting>
  <conditionalFormatting sqref="AB757">
    <cfRule type="expression" dxfId="1136" priority="987">
      <formula>$HU758=FALSE</formula>
    </cfRule>
  </conditionalFormatting>
  <conditionalFormatting sqref="AB757">
    <cfRule type="expression" dxfId="1135" priority="984" stopIfTrue="1">
      <formula>$G757=""</formula>
    </cfRule>
  </conditionalFormatting>
  <conditionalFormatting sqref="AB762">
    <cfRule type="expression" dxfId="1134" priority="981" stopIfTrue="1">
      <formula>$AB762=""</formula>
    </cfRule>
    <cfRule type="expression" dxfId="1133" priority="982" stopIfTrue="1">
      <formula>$G762=""</formula>
    </cfRule>
  </conditionalFormatting>
  <conditionalFormatting sqref="AB762">
    <cfRule type="expression" dxfId="1132" priority="983">
      <formula>$HU763=FALSE</formula>
    </cfRule>
  </conditionalFormatting>
  <conditionalFormatting sqref="AB762">
    <cfRule type="expression" dxfId="1131" priority="980" stopIfTrue="1">
      <formula>$G762=""</formula>
    </cfRule>
  </conditionalFormatting>
  <conditionalFormatting sqref="AB767">
    <cfRule type="expression" dxfId="1130" priority="977" stopIfTrue="1">
      <formula>$AB767=""</formula>
    </cfRule>
    <cfRule type="expression" dxfId="1129" priority="978" stopIfTrue="1">
      <formula>$G767=""</formula>
    </cfRule>
  </conditionalFormatting>
  <conditionalFormatting sqref="AB767">
    <cfRule type="expression" dxfId="1128" priority="979">
      <formula>$HU768=FALSE</formula>
    </cfRule>
  </conditionalFormatting>
  <conditionalFormatting sqref="AB767">
    <cfRule type="expression" dxfId="1127" priority="976" stopIfTrue="1">
      <formula>$G767=""</formula>
    </cfRule>
  </conditionalFormatting>
  <conditionalFormatting sqref="AB772">
    <cfRule type="expression" dxfId="1126" priority="973" stopIfTrue="1">
      <formula>$AB772=""</formula>
    </cfRule>
    <cfRule type="expression" dxfId="1125" priority="974" stopIfTrue="1">
      <formula>$G772=""</formula>
    </cfRule>
  </conditionalFormatting>
  <conditionalFormatting sqref="AB772">
    <cfRule type="expression" dxfId="1124" priority="975">
      <formula>$HU773=FALSE</formula>
    </cfRule>
  </conditionalFormatting>
  <conditionalFormatting sqref="AB772">
    <cfRule type="expression" dxfId="1123" priority="972" stopIfTrue="1">
      <formula>$G772=""</formula>
    </cfRule>
  </conditionalFormatting>
  <conditionalFormatting sqref="AB777">
    <cfRule type="expression" dxfId="1122" priority="969" stopIfTrue="1">
      <formula>$AB777=""</formula>
    </cfRule>
    <cfRule type="expression" dxfId="1121" priority="970" stopIfTrue="1">
      <formula>$G777=""</formula>
    </cfRule>
  </conditionalFormatting>
  <conditionalFormatting sqref="AB777">
    <cfRule type="expression" dxfId="1120" priority="971">
      <formula>$HU778=FALSE</formula>
    </cfRule>
  </conditionalFormatting>
  <conditionalFormatting sqref="AB777">
    <cfRule type="expression" dxfId="1119" priority="968" stopIfTrue="1">
      <formula>$G777=""</formula>
    </cfRule>
  </conditionalFormatting>
  <conditionalFormatting sqref="AB782">
    <cfRule type="expression" dxfId="1118" priority="965" stopIfTrue="1">
      <formula>$AB782=""</formula>
    </cfRule>
    <cfRule type="expression" dxfId="1117" priority="966" stopIfTrue="1">
      <formula>$G782=""</formula>
    </cfRule>
  </conditionalFormatting>
  <conditionalFormatting sqref="AB782">
    <cfRule type="expression" dxfId="1116" priority="967">
      <formula>$HU783=FALSE</formula>
    </cfRule>
  </conditionalFormatting>
  <conditionalFormatting sqref="AB782">
    <cfRule type="expression" dxfId="1115" priority="964" stopIfTrue="1">
      <formula>$G782=""</formula>
    </cfRule>
  </conditionalFormatting>
  <conditionalFormatting sqref="AB787">
    <cfRule type="expression" dxfId="1114" priority="961" stopIfTrue="1">
      <formula>$AB787=""</formula>
    </cfRule>
    <cfRule type="expression" dxfId="1113" priority="962" stopIfTrue="1">
      <formula>$G787=""</formula>
    </cfRule>
  </conditionalFormatting>
  <conditionalFormatting sqref="AB787">
    <cfRule type="expression" dxfId="1112" priority="963">
      <formula>$HU788=FALSE</formula>
    </cfRule>
  </conditionalFormatting>
  <conditionalFormatting sqref="AB787">
    <cfRule type="expression" dxfId="1111" priority="960" stopIfTrue="1">
      <formula>$G787=""</formula>
    </cfRule>
  </conditionalFormatting>
  <conditionalFormatting sqref="AB709">
    <cfRule type="expression" dxfId="1110" priority="957" stopIfTrue="1">
      <formula>$AB709=""</formula>
    </cfRule>
    <cfRule type="expression" dxfId="1109" priority="958" stopIfTrue="1">
      <formula>$G709=""</formula>
    </cfRule>
  </conditionalFormatting>
  <conditionalFormatting sqref="AB709">
    <cfRule type="expression" dxfId="1108" priority="959">
      <formula>$HU710=FALSE</formula>
    </cfRule>
  </conditionalFormatting>
  <conditionalFormatting sqref="AB709">
    <cfRule type="expression" dxfId="1107" priority="956" stopIfTrue="1">
      <formula>$G709=""</formula>
    </cfRule>
  </conditionalFormatting>
  <conditionalFormatting sqref="AB704">
    <cfRule type="expression" dxfId="1106" priority="953" stopIfTrue="1">
      <formula>$AB704=""</formula>
    </cfRule>
    <cfRule type="expression" dxfId="1105" priority="954" stopIfTrue="1">
      <formula>$G704=""</formula>
    </cfRule>
  </conditionalFormatting>
  <conditionalFormatting sqref="AB704">
    <cfRule type="expression" dxfId="1104" priority="955">
      <formula>$HU705=FALSE</formula>
    </cfRule>
  </conditionalFormatting>
  <conditionalFormatting sqref="AB704">
    <cfRule type="expression" dxfId="1103" priority="952" stopIfTrue="1">
      <formula>$G704=""</formula>
    </cfRule>
  </conditionalFormatting>
  <conditionalFormatting sqref="AB699">
    <cfRule type="expression" dxfId="1102" priority="949" stopIfTrue="1">
      <formula>$AB699=""</formula>
    </cfRule>
    <cfRule type="expression" dxfId="1101" priority="950" stopIfTrue="1">
      <formula>$G699=""</formula>
    </cfRule>
  </conditionalFormatting>
  <conditionalFormatting sqref="AB699">
    <cfRule type="expression" dxfId="1100" priority="951">
      <formula>$HU700=FALSE</formula>
    </cfRule>
  </conditionalFormatting>
  <conditionalFormatting sqref="AB699">
    <cfRule type="expression" dxfId="1099" priority="948" stopIfTrue="1">
      <formula>$G699=""</formula>
    </cfRule>
  </conditionalFormatting>
  <conditionalFormatting sqref="AB694">
    <cfRule type="expression" dxfId="1098" priority="945" stopIfTrue="1">
      <formula>$AB694=""</formula>
    </cfRule>
    <cfRule type="expression" dxfId="1097" priority="946" stopIfTrue="1">
      <formula>$G694=""</formula>
    </cfRule>
  </conditionalFormatting>
  <conditionalFormatting sqref="AB694">
    <cfRule type="expression" dxfId="1096" priority="947">
      <formula>$HU695=FALSE</formula>
    </cfRule>
  </conditionalFormatting>
  <conditionalFormatting sqref="AB694">
    <cfRule type="expression" dxfId="1095" priority="944" stopIfTrue="1">
      <formula>$G694=""</formula>
    </cfRule>
  </conditionalFormatting>
  <conditionalFormatting sqref="AB689">
    <cfRule type="expression" dxfId="1094" priority="941" stopIfTrue="1">
      <formula>$AB689=""</formula>
    </cfRule>
    <cfRule type="expression" dxfId="1093" priority="942" stopIfTrue="1">
      <formula>$G689=""</formula>
    </cfRule>
  </conditionalFormatting>
  <conditionalFormatting sqref="AB689">
    <cfRule type="expression" dxfId="1092" priority="943">
      <formula>$HU690=FALSE</formula>
    </cfRule>
  </conditionalFormatting>
  <conditionalFormatting sqref="AB689">
    <cfRule type="expression" dxfId="1091" priority="940" stopIfTrue="1">
      <formula>$G689=""</formula>
    </cfRule>
  </conditionalFormatting>
  <conditionalFormatting sqref="AB684">
    <cfRule type="expression" dxfId="1090" priority="937" stopIfTrue="1">
      <formula>$AB684=""</formula>
    </cfRule>
    <cfRule type="expression" dxfId="1089" priority="938" stopIfTrue="1">
      <formula>$G684=""</formula>
    </cfRule>
  </conditionalFormatting>
  <conditionalFormatting sqref="AB684">
    <cfRule type="expression" dxfId="1088" priority="939">
      <formula>$HU685=FALSE</formula>
    </cfRule>
  </conditionalFormatting>
  <conditionalFormatting sqref="AB684">
    <cfRule type="expression" dxfId="1087" priority="936" stopIfTrue="1">
      <formula>$G684=""</formula>
    </cfRule>
  </conditionalFormatting>
  <conditionalFormatting sqref="AB679">
    <cfRule type="expression" dxfId="1086" priority="933" stopIfTrue="1">
      <formula>$AB679=""</formula>
    </cfRule>
    <cfRule type="expression" dxfId="1085" priority="934" stopIfTrue="1">
      <formula>$G679=""</formula>
    </cfRule>
  </conditionalFormatting>
  <conditionalFormatting sqref="AB679">
    <cfRule type="expression" dxfId="1084" priority="935">
      <formula>$HU680=FALSE</formula>
    </cfRule>
  </conditionalFormatting>
  <conditionalFormatting sqref="AB679">
    <cfRule type="expression" dxfId="1083" priority="932" stopIfTrue="1">
      <formula>$G679=""</formula>
    </cfRule>
  </conditionalFormatting>
  <conditionalFormatting sqref="AB674">
    <cfRule type="expression" dxfId="1082" priority="929" stopIfTrue="1">
      <formula>$AB674=""</formula>
    </cfRule>
    <cfRule type="expression" dxfId="1081" priority="930" stopIfTrue="1">
      <formula>$G674=""</formula>
    </cfRule>
  </conditionalFormatting>
  <conditionalFormatting sqref="AB674">
    <cfRule type="expression" dxfId="1080" priority="931">
      <formula>$HU675=FALSE</formula>
    </cfRule>
  </conditionalFormatting>
  <conditionalFormatting sqref="AB674">
    <cfRule type="expression" dxfId="1079" priority="928" stopIfTrue="1">
      <formula>$G674=""</formula>
    </cfRule>
  </conditionalFormatting>
  <conditionalFormatting sqref="AB669">
    <cfRule type="expression" dxfId="1078" priority="925" stopIfTrue="1">
      <formula>$AB669=""</formula>
    </cfRule>
    <cfRule type="expression" dxfId="1077" priority="926" stopIfTrue="1">
      <formula>$G669=""</formula>
    </cfRule>
  </conditionalFormatting>
  <conditionalFormatting sqref="AB669">
    <cfRule type="expression" dxfId="1076" priority="927">
      <formula>$HU670=FALSE</formula>
    </cfRule>
  </conditionalFormatting>
  <conditionalFormatting sqref="AB669">
    <cfRule type="expression" dxfId="1075" priority="924" stopIfTrue="1">
      <formula>$G669=""</formula>
    </cfRule>
  </conditionalFormatting>
  <conditionalFormatting sqref="AB664">
    <cfRule type="expression" dxfId="1074" priority="921" stopIfTrue="1">
      <formula>$AB664=""</formula>
    </cfRule>
    <cfRule type="expression" dxfId="1073" priority="922" stopIfTrue="1">
      <formula>$G664=""</formula>
    </cfRule>
  </conditionalFormatting>
  <conditionalFormatting sqref="AB664">
    <cfRule type="expression" dxfId="1072" priority="923">
      <formula>$HU665=FALSE</formula>
    </cfRule>
  </conditionalFormatting>
  <conditionalFormatting sqref="AB664">
    <cfRule type="expression" dxfId="1071" priority="920" stopIfTrue="1">
      <formula>$G664=""</formula>
    </cfRule>
  </conditionalFormatting>
  <conditionalFormatting sqref="AB659">
    <cfRule type="expression" dxfId="1070" priority="917" stopIfTrue="1">
      <formula>$AB659=""</formula>
    </cfRule>
    <cfRule type="expression" dxfId="1069" priority="918" stopIfTrue="1">
      <formula>$G659=""</formula>
    </cfRule>
  </conditionalFormatting>
  <conditionalFormatting sqref="AB659">
    <cfRule type="expression" dxfId="1068" priority="919">
      <formula>$HU660=FALSE</formula>
    </cfRule>
  </conditionalFormatting>
  <conditionalFormatting sqref="AB659">
    <cfRule type="expression" dxfId="1067" priority="916" stopIfTrue="1">
      <formula>$G659=""</formula>
    </cfRule>
  </conditionalFormatting>
  <conditionalFormatting sqref="AB654">
    <cfRule type="expression" dxfId="1066" priority="913" stopIfTrue="1">
      <formula>$AB654=""</formula>
    </cfRule>
    <cfRule type="expression" dxfId="1065" priority="914" stopIfTrue="1">
      <formula>$G654=""</formula>
    </cfRule>
  </conditionalFormatting>
  <conditionalFormatting sqref="AB654">
    <cfRule type="expression" dxfId="1064" priority="915">
      <formula>$HU655=FALSE</formula>
    </cfRule>
  </conditionalFormatting>
  <conditionalFormatting sqref="AB654">
    <cfRule type="expression" dxfId="1063" priority="912" stopIfTrue="1">
      <formula>$G654=""</formula>
    </cfRule>
  </conditionalFormatting>
  <conditionalFormatting sqref="AB649">
    <cfRule type="expression" dxfId="1062" priority="909" stopIfTrue="1">
      <formula>$AB649=""</formula>
    </cfRule>
    <cfRule type="expression" dxfId="1061" priority="910" stopIfTrue="1">
      <formula>$G649=""</formula>
    </cfRule>
  </conditionalFormatting>
  <conditionalFormatting sqref="AB649">
    <cfRule type="expression" dxfId="1060" priority="911">
      <formula>$HU650=FALSE</formula>
    </cfRule>
  </conditionalFormatting>
  <conditionalFormatting sqref="AB649">
    <cfRule type="expression" dxfId="1059" priority="908" stopIfTrue="1">
      <formula>$G649=""</formula>
    </cfRule>
  </conditionalFormatting>
  <conditionalFormatting sqref="AB644">
    <cfRule type="expression" dxfId="1058" priority="901" stopIfTrue="1">
      <formula>$AB644=""</formula>
    </cfRule>
    <cfRule type="expression" dxfId="1057" priority="902" stopIfTrue="1">
      <formula>$G644=""</formula>
    </cfRule>
  </conditionalFormatting>
  <conditionalFormatting sqref="AB644">
    <cfRule type="expression" dxfId="1056" priority="903">
      <formula>$HU645=FALSE</formula>
    </cfRule>
  </conditionalFormatting>
  <conditionalFormatting sqref="AB644">
    <cfRule type="expression" dxfId="1055" priority="900" stopIfTrue="1">
      <formula>$G644=""</formula>
    </cfRule>
  </conditionalFormatting>
  <conditionalFormatting sqref="AB639">
    <cfRule type="expression" dxfId="1054" priority="897" stopIfTrue="1">
      <formula>$AB639=""</formula>
    </cfRule>
    <cfRule type="expression" dxfId="1053" priority="898" stopIfTrue="1">
      <formula>$G639=""</formula>
    </cfRule>
  </conditionalFormatting>
  <conditionalFormatting sqref="AB639">
    <cfRule type="expression" dxfId="1052" priority="899">
      <formula>$HU640=FALSE</formula>
    </cfRule>
  </conditionalFormatting>
  <conditionalFormatting sqref="AB639">
    <cfRule type="expression" dxfId="1051" priority="896" stopIfTrue="1">
      <formula>$G639=""</formula>
    </cfRule>
  </conditionalFormatting>
  <conditionalFormatting sqref="AB631">
    <cfRule type="expression" dxfId="1050" priority="893" stopIfTrue="1">
      <formula>$AB631=""</formula>
    </cfRule>
    <cfRule type="expression" dxfId="1049" priority="894" stopIfTrue="1">
      <formula>$G631=""</formula>
    </cfRule>
  </conditionalFormatting>
  <conditionalFormatting sqref="AB631">
    <cfRule type="expression" dxfId="1048" priority="895">
      <formula>$HU632=FALSE</formula>
    </cfRule>
  </conditionalFormatting>
  <conditionalFormatting sqref="AB631">
    <cfRule type="expression" dxfId="1047" priority="892" stopIfTrue="1">
      <formula>$G631=""</formula>
    </cfRule>
  </conditionalFormatting>
  <conditionalFormatting sqref="AB626">
    <cfRule type="expression" dxfId="1046" priority="889" stopIfTrue="1">
      <formula>$AB626=""</formula>
    </cfRule>
    <cfRule type="expression" dxfId="1045" priority="890" stopIfTrue="1">
      <formula>$G626=""</formula>
    </cfRule>
  </conditionalFormatting>
  <conditionalFormatting sqref="AB626">
    <cfRule type="expression" dxfId="1044" priority="891">
      <formula>$HU627=FALSE</formula>
    </cfRule>
  </conditionalFormatting>
  <conditionalFormatting sqref="AB626">
    <cfRule type="expression" dxfId="1043" priority="888" stopIfTrue="1">
      <formula>$G626=""</formula>
    </cfRule>
  </conditionalFormatting>
  <conditionalFormatting sqref="AB621">
    <cfRule type="expression" dxfId="1042" priority="885" stopIfTrue="1">
      <formula>$AB621=""</formula>
    </cfRule>
    <cfRule type="expression" dxfId="1041" priority="886" stopIfTrue="1">
      <formula>$G621=""</formula>
    </cfRule>
  </conditionalFormatting>
  <conditionalFormatting sqref="AB621">
    <cfRule type="expression" dxfId="1040" priority="887">
      <formula>$HU622=FALSE</formula>
    </cfRule>
  </conditionalFormatting>
  <conditionalFormatting sqref="AB621">
    <cfRule type="expression" dxfId="1039" priority="884" stopIfTrue="1">
      <formula>$G621=""</formula>
    </cfRule>
  </conditionalFormatting>
  <conditionalFormatting sqref="AB616">
    <cfRule type="expression" dxfId="1038" priority="881" stopIfTrue="1">
      <formula>$AB616=""</formula>
    </cfRule>
    <cfRule type="expression" dxfId="1037" priority="882" stopIfTrue="1">
      <formula>$G616=""</formula>
    </cfRule>
  </conditionalFormatting>
  <conditionalFormatting sqref="AB616">
    <cfRule type="expression" dxfId="1036" priority="883">
      <formula>$HU617=FALSE</formula>
    </cfRule>
  </conditionalFormatting>
  <conditionalFormatting sqref="AB616">
    <cfRule type="expression" dxfId="1035" priority="880" stopIfTrue="1">
      <formula>$G616=""</formula>
    </cfRule>
  </conditionalFormatting>
  <conditionalFormatting sqref="AB611">
    <cfRule type="expression" dxfId="1034" priority="877" stopIfTrue="1">
      <formula>$AB611=""</formula>
    </cfRule>
    <cfRule type="expression" dxfId="1033" priority="878" stopIfTrue="1">
      <formula>$G611=""</formula>
    </cfRule>
  </conditionalFormatting>
  <conditionalFormatting sqref="AB611">
    <cfRule type="expression" dxfId="1032" priority="879">
      <formula>$HU612=FALSE</formula>
    </cfRule>
  </conditionalFormatting>
  <conditionalFormatting sqref="AB611">
    <cfRule type="expression" dxfId="1031" priority="876" stopIfTrue="1">
      <formula>$G611=""</formula>
    </cfRule>
  </conditionalFormatting>
  <conditionalFormatting sqref="AB606">
    <cfRule type="expression" dxfId="1030" priority="873" stopIfTrue="1">
      <formula>$AB606=""</formula>
    </cfRule>
    <cfRule type="expression" dxfId="1029" priority="874" stopIfTrue="1">
      <formula>$G606=""</formula>
    </cfRule>
  </conditionalFormatting>
  <conditionalFormatting sqref="AB606">
    <cfRule type="expression" dxfId="1028" priority="875">
      <formula>$HU607=FALSE</formula>
    </cfRule>
  </conditionalFormatting>
  <conditionalFormatting sqref="AB606">
    <cfRule type="expression" dxfId="1027" priority="872" stopIfTrue="1">
      <formula>$G606=""</formula>
    </cfRule>
  </conditionalFormatting>
  <conditionalFormatting sqref="AB601">
    <cfRule type="expression" dxfId="1026" priority="869" stopIfTrue="1">
      <formula>$AB601=""</formula>
    </cfRule>
    <cfRule type="expression" dxfId="1025" priority="870" stopIfTrue="1">
      <formula>$G601=""</formula>
    </cfRule>
  </conditionalFormatting>
  <conditionalFormatting sqref="AB601">
    <cfRule type="expression" dxfId="1024" priority="871">
      <formula>$HU602=FALSE</formula>
    </cfRule>
  </conditionalFormatting>
  <conditionalFormatting sqref="AB601">
    <cfRule type="expression" dxfId="1023" priority="868" stopIfTrue="1">
      <formula>$G601=""</formula>
    </cfRule>
  </conditionalFormatting>
  <conditionalFormatting sqref="AB596">
    <cfRule type="expression" dxfId="1022" priority="865" stopIfTrue="1">
      <formula>$AB596=""</formula>
    </cfRule>
    <cfRule type="expression" dxfId="1021" priority="866" stopIfTrue="1">
      <formula>$G596=""</formula>
    </cfRule>
  </conditionalFormatting>
  <conditionalFormatting sqref="AB596">
    <cfRule type="expression" dxfId="1020" priority="867">
      <formula>$HU597=FALSE</formula>
    </cfRule>
  </conditionalFormatting>
  <conditionalFormatting sqref="AB596">
    <cfRule type="expression" dxfId="1019" priority="864" stopIfTrue="1">
      <formula>$G596=""</formula>
    </cfRule>
  </conditionalFormatting>
  <conditionalFormatting sqref="AB591">
    <cfRule type="expression" dxfId="1018" priority="861" stopIfTrue="1">
      <formula>$AB591=""</formula>
    </cfRule>
    <cfRule type="expression" dxfId="1017" priority="862" stopIfTrue="1">
      <formula>$G591=""</formula>
    </cfRule>
  </conditionalFormatting>
  <conditionalFormatting sqref="AB591">
    <cfRule type="expression" dxfId="1016" priority="863">
      <formula>$HU592=FALSE</formula>
    </cfRule>
  </conditionalFormatting>
  <conditionalFormatting sqref="AB591">
    <cfRule type="expression" dxfId="1015" priority="860" stopIfTrue="1">
      <formula>$G591=""</formula>
    </cfRule>
  </conditionalFormatting>
  <conditionalFormatting sqref="AB586">
    <cfRule type="expression" dxfId="1014" priority="857" stopIfTrue="1">
      <formula>$AB586=""</formula>
    </cfRule>
    <cfRule type="expression" dxfId="1013" priority="858" stopIfTrue="1">
      <formula>$G586=""</formula>
    </cfRule>
  </conditionalFormatting>
  <conditionalFormatting sqref="AB586">
    <cfRule type="expression" dxfId="1012" priority="859">
      <formula>$HU587=FALSE</formula>
    </cfRule>
  </conditionalFormatting>
  <conditionalFormatting sqref="AB586">
    <cfRule type="expression" dxfId="1011" priority="856" stopIfTrue="1">
      <formula>$G586=""</formula>
    </cfRule>
  </conditionalFormatting>
  <conditionalFormatting sqref="AB581">
    <cfRule type="expression" dxfId="1010" priority="853" stopIfTrue="1">
      <formula>$AB581=""</formula>
    </cfRule>
    <cfRule type="expression" dxfId="1009" priority="854" stopIfTrue="1">
      <formula>$G581=""</formula>
    </cfRule>
  </conditionalFormatting>
  <conditionalFormatting sqref="AB581">
    <cfRule type="expression" dxfId="1008" priority="855">
      <formula>$HU582=FALSE</formula>
    </cfRule>
  </conditionalFormatting>
  <conditionalFormatting sqref="AB581">
    <cfRule type="expression" dxfId="1007" priority="852" stopIfTrue="1">
      <formula>$G581=""</formula>
    </cfRule>
  </conditionalFormatting>
  <conditionalFormatting sqref="AB576">
    <cfRule type="expression" dxfId="1006" priority="849" stopIfTrue="1">
      <formula>$AB576=""</formula>
    </cfRule>
    <cfRule type="expression" dxfId="1005" priority="850" stopIfTrue="1">
      <formula>$G576=""</formula>
    </cfRule>
  </conditionalFormatting>
  <conditionalFormatting sqref="AB576">
    <cfRule type="expression" dxfId="1004" priority="851">
      <formula>$HU577=FALSE</formula>
    </cfRule>
  </conditionalFormatting>
  <conditionalFormatting sqref="AB576">
    <cfRule type="expression" dxfId="1003" priority="848" stopIfTrue="1">
      <formula>$G576=""</formula>
    </cfRule>
  </conditionalFormatting>
  <conditionalFormatting sqref="AB571">
    <cfRule type="expression" dxfId="1002" priority="845" stopIfTrue="1">
      <formula>$AB571=""</formula>
    </cfRule>
    <cfRule type="expression" dxfId="1001" priority="846" stopIfTrue="1">
      <formula>$G571=""</formula>
    </cfRule>
  </conditionalFormatting>
  <conditionalFormatting sqref="AB571">
    <cfRule type="expression" dxfId="1000" priority="847">
      <formula>$HU572=FALSE</formula>
    </cfRule>
  </conditionalFormatting>
  <conditionalFormatting sqref="AB571">
    <cfRule type="expression" dxfId="999" priority="844" stopIfTrue="1">
      <formula>$G571=""</formula>
    </cfRule>
  </conditionalFormatting>
  <conditionalFormatting sqref="AB566">
    <cfRule type="expression" dxfId="998" priority="841" stopIfTrue="1">
      <formula>$AB566=""</formula>
    </cfRule>
    <cfRule type="expression" dxfId="997" priority="842" stopIfTrue="1">
      <formula>$G566=""</formula>
    </cfRule>
  </conditionalFormatting>
  <conditionalFormatting sqref="AB566">
    <cfRule type="expression" dxfId="996" priority="843">
      <formula>$HU567=FALSE</formula>
    </cfRule>
  </conditionalFormatting>
  <conditionalFormatting sqref="AB566">
    <cfRule type="expression" dxfId="995" priority="840" stopIfTrue="1">
      <formula>$G566=""</formula>
    </cfRule>
  </conditionalFormatting>
  <conditionalFormatting sqref="AB561">
    <cfRule type="expression" dxfId="994" priority="837" stopIfTrue="1">
      <formula>$AB561=""</formula>
    </cfRule>
    <cfRule type="expression" dxfId="993" priority="838" stopIfTrue="1">
      <formula>$G561=""</formula>
    </cfRule>
  </conditionalFormatting>
  <conditionalFormatting sqref="AB561">
    <cfRule type="expression" dxfId="992" priority="839">
      <formula>$HU562=FALSE</formula>
    </cfRule>
  </conditionalFormatting>
  <conditionalFormatting sqref="AB561">
    <cfRule type="expression" dxfId="991" priority="836" stopIfTrue="1">
      <formula>$G561=""</formula>
    </cfRule>
  </conditionalFormatting>
  <conditionalFormatting sqref="AB553">
    <cfRule type="expression" dxfId="990" priority="833" stopIfTrue="1">
      <formula>$AB553=""</formula>
    </cfRule>
    <cfRule type="expression" dxfId="989" priority="834" stopIfTrue="1">
      <formula>$G553=""</formula>
    </cfRule>
  </conditionalFormatting>
  <conditionalFormatting sqref="AB553">
    <cfRule type="expression" dxfId="988" priority="835">
      <formula>$HU554=FALSE</formula>
    </cfRule>
  </conditionalFormatting>
  <conditionalFormatting sqref="AB553">
    <cfRule type="expression" dxfId="987" priority="832" stopIfTrue="1">
      <formula>$G553=""</formula>
    </cfRule>
  </conditionalFormatting>
  <conditionalFormatting sqref="AB548">
    <cfRule type="expression" dxfId="986" priority="829" stopIfTrue="1">
      <formula>$AB548=""</formula>
    </cfRule>
    <cfRule type="expression" dxfId="985" priority="830" stopIfTrue="1">
      <formula>$G548=""</formula>
    </cfRule>
  </conditionalFormatting>
  <conditionalFormatting sqref="AB548">
    <cfRule type="expression" dxfId="984" priority="831">
      <formula>$HU549=FALSE</formula>
    </cfRule>
  </conditionalFormatting>
  <conditionalFormatting sqref="AB548">
    <cfRule type="expression" dxfId="983" priority="828" stopIfTrue="1">
      <formula>$G548=""</formula>
    </cfRule>
  </conditionalFormatting>
  <conditionalFormatting sqref="AB543">
    <cfRule type="expression" dxfId="982" priority="825" stopIfTrue="1">
      <formula>$AB543=""</formula>
    </cfRule>
    <cfRule type="expression" dxfId="981" priority="826" stopIfTrue="1">
      <formula>$G543=""</formula>
    </cfRule>
  </conditionalFormatting>
  <conditionalFormatting sqref="AB543">
    <cfRule type="expression" dxfId="980" priority="827">
      <formula>$HU544=FALSE</formula>
    </cfRule>
  </conditionalFormatting>
  <conditionalFormatting sqref="AB543">
    <cfRule type="expression" dxfId="979" priority="824" stopIfTrue="1">
      <formula>$G543=""</formula>
    </cfRule>
  </conditionalFormatting>
  <conditionalFormatting sqref="AB538">
    <cfRule type="expression" dxfId="978" priority="821" stopIfTrue="1">
      <formula>$AB538=""</formula>
    </cfRule>
    <cfRule type="expression" dxfId="977" priority="822" stopIfTrue="1">
      <formula>$G538=""</formula>
    </cfRule>
  </conditionalFormatting>
  <conditionalFormatting sqref="AB538">
    <cfRule type="expression" dxfId="976" priority="823">
      <formula>$HU539=FALSE</formula>
    </cfRule>
  </conditionalFormatting>
  <conditionalFormatting sqref="AB538">
    <cfRule type="expression" dxfId="975" priority="820" stopIfTrue="1">
      <formula>$G538=""</formula>
    </cfRule>
  </conditionalFormatting>
  <conditionalFormatting sqref="AB533">
    <cfRule type="expression" dxfId="974" priority="817" stopIfTrue="1">
      <formula>$AB533=""</formula>
    </cfRule>
    <cfRule type="expression" dxfId="973" priority="818" stopIfTrue="1">
      <formula>$G533=""</formula>
    </cfRule>
  </conditionalFormatting>
  <conditionalFormatting sqref="AB533">
    <cfRule type="expression" dxfId="972" priority="819">
      <formula>$HU534=FALSE</formula>
    </cfRule>
  </conditionalFormatting>
  <conditionalFormatting sqref="AB533">
    <cfRule type="expression" dxfId="971" priority="816" stopIfTrue="1">
      <formula>$G533=""</formula>
    </cfRule>
  </conditionalFormatting>
  <conditionalFormatting sqref="AB528">
    <cfRule type="expression" dxfId="970" priority="813" stopIfTrue="1">
      <formula>$AB528=""</formula>
    </cfRule>
    <cfRule type="expression" dxfId="969" priority="814" stopIfTrue="1">
      <formula>$G528=""</formula>
    </cfRule>
  </conditionalFormatting>
  <conditionalFormatting sqref="AB528">
    <cfRule type="expression" dxfId="968" priority="815">
      <formula>$HU529=FALSE</formula>
    </cfRule>
  </conditionalFormatting>
  <conditionalFormatting sqref="AB528">
    <cfRule type="expression" dxfId="967" priority="812" stopIfTrue="1">
      <formula>$G528=""</formula>
    </cfRule>
  </conditionalFormatting>
  <conditionalFormatting sqref="AB523">
    <cfRule type="expression" dxfId="966" priority="809" stopIfTrue="1">
      <formula>$AB523=""</formula>
    </cfRule>
    <cfRule type="expression" dxfId="965" priority="810" stopIfTrue="1">
      <formula>$G523=""</formula>
    </cfRule>
  </conditionalFormatting>
  <conditionalFormatting sqref="AB523">
    <cfRule type="expression" dxfId="964" priority="811">
      <formula>$HU524=FALSE</formula>
    </cfRule>
  </conditionalFormatting>
  <conditionalFormatting sqref="AB523">
    <cfRule type="expression" dxfId="963" priority="808" stopIfTrue="1">
      <formula>$G523=""</formula>
    </cfRule>
  </conditionalFormatting>
  <conditionalFormatting sqref="AB518">
    <cfRule type="expression" dxfId="962" priority="805" stopIfTrue="1">
      <formula>$AB518=""</formula>
    </cfRule>
    <cfRule type="expression" dxfId="961" priority="806" stopIfTrue="1">
      <formula>$G518=""</formula>
    </cfRule>
  </conditionalFormatting>
  <conditionalFormatting sqref="AB518">
    <cfRule type="expression" dxfId="960" priority="807">
      <formula>$HU519=FALSE</formula>
    </cfRule>
  </conditionalFormatting>
  <conditionalFormatting sqref="AB518">
    <cfRule type="expression" dxfId="959" priority="804" stopIfTrue="1">
      <formula>$G518=""</formula>
    </cfRule>
  </conditionalFormatting>
  <conditionalFormatting sqref="AB513">
    <cfRule type="expression" dxfId="958" priority="801" stopIfTrue="1">
      <formula>$AB513=""</formula>
    </cfRule>
    <cfRule type="expression" dxfId="957" priority="802" stopIfTrue="1">
      <formula>$G513=""</formula>
    </cfRule>
  </conditionalFormatting>
  <conditionalFormatting sqref="AB513">
    <cfRule type="expression" dxfId="956" priority="803">
      <formula>$HU514=FALSE</formula>
    </cfRule>
  </conditionalFormatting>
  <conditionalFormatting sqref="AB513">
    <cfRule type="expression" dxfId="955" priority="800" stopIfTrue="1">
      <formula>$G513=""</formula>
    </cfRule>
  </conditionalFormatting>
  <conditionalFormatting sqref="AB508">
    <cfRule type="expression" dxfId="954" priority="797" stopIfTrue="1">
      <formula>$AB508=""</formula>
    </cfRule>
    <cfRule type="expression" dxfId="953" priority="798" stopIfTrue="1">
      <formula>$G508=""</formula>
    </cfRule>
  </conditionalFormatting>
  <conditionalFormatting sqref="AB508">
    <cfRule type="expression" dxfId="952" priority="799">
      <formula>$HU509=FALSE</formula>
    </cfRule>
  </conditionalFormatting>
  <conditionalFormatting sqref="AB508">
    <cfRule type="expression" dxfId="951" priority="796" stopIfTrue="1">
      <formula>$G508=""</formula>
    </cfRule>
  </conditionalFormatting>
  <conditionalFormatting sqref="AB503">
    <cfRule type="expression" dxfId="950" priority="793" stopIfTrue="1">
      <formula>$AB503=""</formula>
    </cfRule>
    <cfRule type="expression" dxfId="949" priority="794" stopIfTrue="1">
      <formula>$G503=""</formula>
    </cfRule>
  </conditionalFormatting>
  <conditionalFormatting sqref="AB503">
    <cfRule type="expression" dxfId="948" priority="795">
      <formula>$HU504=FALSE</formula>
    </cfRule>
  </conditionalFormatting>
  <conditionalFormatting sqref="AB503">
    <cfRule type="expression" dxfId="947" priority="792" stopIfTrue="1">
      <formula>$G503=""</formula>
    </cfRule>
  </conditionalFormatting>
  <conditionalFormatting sqref="AB498">
    <cfRule type="expression" dxfId="946" priority="789" stopIfTrue="1">
      <formula>$AB498=""</formula>
    </cfRule>
    <cfRule type="expression" dxfId="945" priority="790" stopIfTrue="1">
      <formula>$G498=""</formula>
    </cfRule>
  </conditionalFormatting>
  <conditionalFormatting sqref="AB498">
    <cfRule type="expression" dxfId="944" priority="791">
      <formula>$HU499=FALSE</formula>
    </cfRule>
  </conditionalFormatting>
  <conditionalFormatting sqref="AB498">
    <cfRule type="expression" dxfId="943" priority="788" stopIfTrue="1">
      <formula>$G498=""</formula>
    </cfRule>
  </conditionalFormatting>
  <conditionalFormatting sqref="AB493">
    <cfRule type="expression" dxfId="942" priority="785" stopIfTrue="1">
      <formula>$AB493=""</formula>
    </cfRule>
    <cfRule type="expression" dxfId="941" priority="786" stopIfTrue="1">
      <formula>$G493=""</formula>
    </cfRule>
  </conditionalFormatting>
  <conditionalFormatting sqref="AB493">
    <cfRule type="expression" dxfId="940" priority="787">
      <formula>$HU494=FALSE</formula>
    </cfRule>
  </conditionalFormatting>
  <conditionalFormatting sqref="AB493">
    <cfRule type="expression" dxfId="939" priority="784" stopIfTrue="1">
      <formula>$G493=""</formula>
    </cfRule>
  </conditionalFormatting>
  <conditionalFormatting sqref="AB488">
    <cfRule type="expression" dxfId="938" priority="781" stopIfTrue="1">
      <formula>$AB488=""</formula>
    </cfRule>
    <cfRule type="expression" dxfId="937" priority="782" stopIfTrue="1">
      <formula>$G488=""</formula>
    </cfRule>
  </conditionalFormatting>
  <conditionalFormatting sqref="AB488">
    <cfRule type="expression" dxfId="936" priority="783">
      <formula>$HU489=FALSE</formula>
    </cfRule>
  </conditionalFormatting>
  <conditionalFormatting sqref="AB488">
    <cfRule type="expression" dxfId="935" priority="780" stopIfTrue="1">
      <formula>$G488=""</formula>
    </cfRule>
  </conditionalFormatting>
  <conditionalFormatting sqref="AB483">
    <cfRule type="expression" dxfId="934" priority="777" stopIfTrue="1">
      <formula>$AB483=""</formula>
    </cfRule>
    <cfRule type="expression" dxfId="933" priority="778" stopIfTrue="1">
      <formula>$G483=""</formula>
    </cfRule>
  </conditionalFormatting>
  <conditionalFormatting sqref="AB483">
    <cfRule type="expression" dxfId="932" priority="779">
      <formula>$HU484=FALSE</formula>
    </cfRule>
  </conditionalFormatting>
  <conditionalFormatting sqref="AB483">
    <cfRule type="expression" dxfId="931" priority="776" stopIfTrue="1">
      <formula>$G483=""</formula>
    </cfRule>
  </conditionalFormatting>
  <conditionalFormatting sqref="AB475">
    <cfRule type="expression" dxfId="930" priority="773" stopIfTrue="1">
      <formula>$AB475=""</formula>
    </cfRule>
    <cfRule type="expression" dxfId="929" priority="774" stopIfTrue="1">
      <formula>$G475=""</formula>
    </cfRule>
  </conditionalFormatting>
  <conditionalFormatting sqref="AB475">
    <cfRule type="expression" dxfId="928" priority="775">
      <formula>$HU476=FALSE</formula>
    </cfRule>
  </conditionalFormatting>
  <conditionalFormatting sqref="AB475">
    <cfRule type="expression" dxfId="927" priority="772" stopIfTrue="1">
      <formula>$G475=""</formula>
    </cfRule>
  </conditionalFormatting>
  <conditionalFormatting sqref="AB470">
    <cfRule type="expression" dxfId="926" priority="769" stopIfTrue="1">
      <formula>$AB470=""</formula>
    </cfRule>
    <cfRule type="expression" dxfId="925" priority="770" stopIfTrue="1">
      <formula>$G470=""</formula>
    </cfRule>
  </conditionalFormatting>
  <conditionalFormatting sqref="AB470">
    <cfRule type="expression" dxfId="924" priority="771">
      <formula>$HU471=FALSE</formula>
    </cfRule>
  </conditionalFormatting>
  <conditionalFormatting sqref="AB470">
    <cfRule type="expression" dxfId="923" priority="768" stopIfTrue="1">
      <formula>$G470=""</formula>
    </cfRule>
  </conditionalFormatting>
  <conditionalFormatting sqref="AB465">
    <cfRule type="expression" dxfId="922" priority="765" stopIfTrue="1">
      <formula>$AB465=""</formula>
    </cfRule>
    <cfRule type="expression" dxfId="921" priority="766" stopIfTrue="1">
      <formula>$G465=""</formula>
    </cfRule>
  </conditionalFormatting>
  <conditionalFormatting sqref="AB465">
    <cfRule type="expression" dxfId="920" priority="767">
      <formula>$HU466=FALSE</formula>
    </cfRule>
  </conditionalFormatting>
  <conditionalFormatting sqref="AB465">
    <cfRule type="expression" dxfId="919" priority="764" stopIfTrue="1">
      <formula>$G465=""</formula>
    </cfRule>
  </conditionalFormatting>
  <conditionalFormatting sqref="AB460">
    <cfRule type="expression" dxfId="918" priority="761" stopIfTrue="1">
      <formula>$AB460=""</formula>
    </cfRule>
    <cfRule type="expression" dxfId="917" priority="762" stopIfTrue="1">
      <formula>$G460=""</formula>
    </cfRule>
  </conditionalFormatting>
  <conditionalFormatting sqref="AB460">
    <cfRule type="expression" dxfId="916" priority="763">
      <formula>$HU461=FALSE</formula>
    </cfRule>
  </conditionalFormatting>
  <conditionalFormatting sqref="AB460">
    <cfRule type="expression" dxfId="915" priority="760" stopIfTrue="1">
      <formula>$G460=""</formula>
    </cfRule>
  </conditionalFormatting>
  <conditionalFormatting sqref="AB455">
    <cfRule type="expression" dxfId="914" priority="757" stopIfTrue="1">
      <formula>$AB455=""</formula>
    </cfRule>
    <cfRule type="expression" dxfId="913" priority="758" stopIfTrue="1">
      <formula>$G455=""</formula>
    </cfRule>
  </conditionalFormatting>
  <conditionalFormatting sqref="AB455">
    <cfRule type="expression" dxfId="912" priority="759">
      <formula>$HU456=FALSE</formula>
    </cfRule>
  </conditionalFormatting>
  <conditionalFormatting sqref="AB455">
    <cfRule type="expression" dxfId="911" priority="756" stopIfTrue="1">
      <formula>$G455=""</formula>
    </cfRule>
  </conditionalFormatting>
  <conditionalFormatting sqref="AB450">
    <cfRule type="expression" dxfId="910" priority="753" stopIfTrue="1">
      <formula>$AB450=""</formula>
    </cfRule>
    <cfRule type="expression" dxfId="909" priority="754" stopIfTrue="1">
      <formula>$G450=""</formula>
    </cfRule>
  </conditionalFormatting>
  <conditionalFormatting sqref="AB450">
    <cfRule type="expression" dxfId="908" priority="755">
      <formula>$HU451=FALSE</formula>
    </cfRule>
  </conditionalFormatting>
  <conditionalFormatting sqref="AB450">
    <cfRule type="expression" dxfId="907" priority="752" stopIfTrue="1">
      <formula>$G450=""</formula>
    </cfRule>
  </conditionalFormatting>
  <conditionalFormatting sqref="AB445">
    <cfRule type="expression" dxfId="906" priority="749" stopIfTrue="1">
      <formula>$AB445=""</formula>
    </cfRule>
    <cfRule type="expression" dxfId="905" priority="750" stopIfTrue="1">
      <formula>$G445=""</formula>
    </cfRule>
  </conditionalFormatting>
  <conditionalFormatting sqref="AB445">
    <cfRule type="expression" dxfId="904" priority="751">
      <formula>$HU446=FALSE</formula>
    </cfRule>
  </conditionalFormatting>
  <conditionalFormatting sqref="AB445">
    <cfRule type="expression" dxfId="903" priority="748" stopIfTrue="1">
      <formula>$G445=""</formula>
    </cfRule>
  </conditionalFormatting>
  <conditionalFormatting sqref="AB440">
    <cfRule type="expression" dxfId="902" priority="745" stopIfTrue="1">
      <formula>$AB440=""</formula>
    </cfRule>
    <cfRule type="expression" dxfId="901" priority="746" stopIfTrue="1">
      <formula>$G440=""</formula>
    </cfRule>
  </conditionalFormatting>
  <conditionalFormatting sqref="AB440">
    <cfRule type="expression" dxfId="900" priority="747">
      <formula>$HU441=FALSE</formula>
    </cfRule>
  </conditionalFormatting>
  <conditionalFormatting sqref="AB440">
    <cfRule type="expression" dxfId="899" priority="744" stopIfTrue="1">
      <formula>$G440=""</formula>
    </cfRule>
  </conditionalFormatting>
  <conditionalFormatting sqref="AB435">
    <cfRule type="expression" dxfId="898" priority="741" stopIfTrue="1">
      <formula>$AB435=""</formula>
    </cfRule>
    <cfRule type="expression" dxfId="897" priority="742" stopIfTrue="1">
      <formula>$G435=""</formula>
    </cfRule>
  </conditionalFormatting>
  <conditionalFormatting sqref="AB435">
    <cfRule type="expression" dxfId="896" priority="743">
      <formula>$HU436=FALSE</formula>
    </cfRule>
  </conditionalFormatting>
  <conditionalFormatting sqref="AB435">
    <cfRule type="expression" dxfId="895" priority="740" stopIfTrue="1">
      <formula>$G435=""</formula>
    </cfRule>
  </conditionalFormatting>
  <conditionalFormatting sqref="AB430">
    <cfRule type="expression" dxfId="894" priority="737" stopIfTrue="1">
      <formula>$AB430=""</formula>
    </cfRule>
    <cfRule type="expression" dxfId="893" priority="738" stopIfTrue="1">
      <formula>$G430=""</formula>
    </cfRule>
  </conditionalFormatting>
  <conditionalFormatting sqref="AB430">
    <cfRule type="expression" dxfId="892" priority="739">
      <formula>$HU431=FALSE</formula>
    </cfRule>
  </conditionalFormatting>
  <conditionalFormatting sqref="AB430">
    <cfRule type="expression" dxfId="891" priority="736" stopIfTrue="1">
      <formula>$G430=""</formula>
    </cfRule>
  </conditionalFormatting>
  <conditionalFormatting sqref="AB425">
    <cfRule type="expression" dxfId="890" priority="733" stopIfTrue="1">
      <formula>$AB425=""</formula>
    </cfRule>
    <cfRule type="expression" dxfId="889" priority="734" stopIfTrue="1">
      <formula>$G425=""</formula>
    </cfRule>
  </conditionalFormatting>
  <conditionalFormatting sqref="AB425">
    <cfRule type="expression" dxfId="888" priority="735">
      <formula>$HU426=FALSE</formula>
    </cfRule>
  </conditionalFormatting>
  <conditionalFormatting sqref="AB425">
    <cfRule type="expression" dxfId="887" priority="732" stopIfTrue="1">
      <formula>$G425=""</formula>
    </cfRule>
  </conditionalFormatting>
  <conditionalFormatting sqref="AB420">
    <cfRule type="expression" dxfId="886" priority="729" stopIfTrue="1">
      <formula>$AB420=""</formula>
    </cfRule>
    <cfRule type="expression" dxfId="885" priority="730" stopIfTrue="1">
      <formula>$G420=""</formula>
    </cfRule>
  </conditionalFormatting>
  <conditionalFormatting sqref="AB420">
    <cfRule type="expression" dxfId="884" priority="731">
      <formula>$HU421=FALSE</formula>
    </cfRule>
  </conditionalFormatting>
  <conditionalFormatting sqref="AB420">
    <cfRule type="expression" dxfId="883" priority="728" stopIfTrue="1">
      <formula>$G420=""</formula>
    </cfRule>
  </conditionalFormatting>
  <conditionalFormatting sqref="AB415">
    <cfRule type="expression" dxfId="882" priority="725" stopIfTrue="1">
      <formula>$AB415=""</formula>
    </cfRule>
    <cfRule type="expression" dxfId="881" priority="726" stopIfTrue="1">
      <formula>$G415=""</formula>
    </cfRule>
  </conditionalFormatting>
  <conditionalFormatting sqref="AB415">
    <cfRule type="expression" dxfId="880" priority="727">
      <formula>$HU416=FALSE</formula>
    </cfRule>
  </conditionalFormatting>
  <conditionalFormatting sqref="AB415">
    <cfRule type="expression" dxfId="879" priority="724" stopIfTrue="1">
      <formula>$G415=""</formula>
    </cfRule>
  </conditionalFormatting>
  <conditionalFormatting sqref="AB410">
    <cfRule type="expression" dxfId="878" priority="721" stopIfTrue="1">
      <formula>$AB410=""</formula>
    </cfRule>
    <cfRule type="expression" dxfId="877" priority="722" stopIfTrue="1">
      <formula>$G410=""</formula>
    </cfRule>
  </conditionalFormatting>
  <conditionalFormatting sqref="AB410">
    <cfRule type="expression" dxfId="876" priority="723">
      <formula>$HU411=FALSE</formula>
    </cfRule>
  </conditionalFormatting>
  <conditionalFormatting sqref="AB410">
    <cfRule type="expression" dxfId="875" priority="720" stopIfTrue="1">
      <formula>$G410=""</formula>
    </cfRule>
  </conditionalFormatting>
  <conditionalFormatting sqref="AB405">
    <cfRule type="expression" dxfId="874" priority="717" stopIfTrue="1">
      <formula>$AB405=""</formula>
    </cfRule>
    <cfRule type="expression" dxfId="873" priority="718" stopIfTrue="1">
      <formula>$G405=""</formula>
    </cfRule>
  </conditionalFormatting>
  <conditionalFormatting sqref="AB405">
    <cfRule type="expression" dxfId="872" priority="719">
      <formula>$HU406=FALSE</formula>
    </cfRule>
  </conditionalFormatting>
  <conditionalFormatting sqref="AB405">
    <cfRule type="expression" dxfId="871" priority="716" stopIfTrue="1">
      <formula>$G405=""</formula>
    </cfRule>
  </conditionalFormatting>
  <conditionalFormatting sqref="AB397">
    <cfRule type="expression" dxfId="870" priority="713" stopIfTrue="1">
      <formula>$AB397=""</formula>
    </cfRule>
    <cfRule type="expression" dxfId="869" priority="714" stopIfTrue="1">
      <formula>$G397=""</formula>
    </cfRule>
  </conditionalFormatting>
  <conditionalFormatting sqref="AB397">
    <cfRule type="expression" dxfId="868" priority="715">
      <formula>$HU398=FALSE</formula>
    </cfRule>
  </conditionalFormatting>
  <conditionalFormatting sqref="AB397">
    <cfRule type="expression" dxfId="867" priority="712" stopIfTrue="1">
      <formula>$G397=""</formula>
    </cfRule>
  </conditionalFormatting>
  <conditionalFormatting sqref="AB392">
    <cfRule type="expression" dxfId="866" priority="709" stopIfTrue="1">
      <formula>$AB392=""</formula>
    </cfRule>
    <cfRule type="expression" dxfId="865" priority="710" stopIfTrue="1">
      <formula>$G392=""</formula>
    </cfRule>
  </conditionalFormatting>
  <conditionalFormatting sqref="AB392">
    <cfRule type="expression" dxfId="864" priority="711">
      <formula>$HU393=FALSE</formula>
    </cfRule>
  </conditionalFormatting>
  <conditionalFormatting sqref="AB392">
    <cfRule type="expression" dxfId="863" priority="708" stopIfTrue="1">
      <formula>$G392=""</formula>
    </cfRule>
  </conditionalFormatting>
  <conditionalFormatting sqref="AB387">
    <cfRule type="expression" dxfId="862" priority="705" stopIfTrue="1">
      <formula>$AB387=""</formula>
    </cfRule>
    <cfRule type="expression" dxfId="861" priority="706" stopIfTrue="1">
      <formula>$G387=""</formula>
    </cfRule>
  </conditionalFormatting>
  <conditionalFormatting sqref="AB387">
    <cfRule type="expression" dxfId="860" priority="707">
      <formula>$HU388=FALSE</formula>
    </cfRule>
  </conditionalFormatting>
  <conditionalFormatting sqref="AB387">
    <cfRule type="expression" dxfId="859" priority="704" stopIfTrue="1">
      <formula>$G387=""</formula>
    </cfRule>
  </conditionalFormatting>
  <conditionalFormatting sqref="AB382">
    <cfRule type="expression" dxfId="858" priority="701" stopIfTrue="1">
      <formula>$AB382=""</formula>
    </cfRule>
    <cfRule type="expression" dxfId="857" priority="702" stopIfTrue="1">
      <formula>$G382=""</formula>
    </cfRule>
  </conditionalFormatting>
  <conditionalFormatting sqref="AB382">
    <cfRule type="expression" dxfId="856" priority="703">
      <formula>$HU383=FALSE</formula>
    </cfRule>
  </conditionalFormatting>
  <conditionalFormatting sqref="AB382">
    <cfRule type="expression" dxfId="855" priority="700" stopIfTrue="1">
      <formula>$G382=""</formula>
    </cfRule>
  </conditionalFormatting>
  <conditionalFormatting sqref="AB377">
    <cfRule type="expression" dxfId="854" priority="697" stopIfTrue="1">
      <formula>$AB377=""</formula>
    </cfRule>
    <cfRule type="expression" dxfId="853" priority="698" stopIfTrue="1">
      <formula>$G377=""</formula>
    </cfRule>
  </conditionalFormatting>
  <conditionalFormatting sqref="AB377">
    <cfRule type="expression" dxfId="852" priority="699">
      <formula>$HU378=FALSE</formula>
    </cfRule>
  </conditionalFormatting>
  <conditionalFormatting sqref="AB377">
    <cfRule type="expression" dxfId="851" priority="696" stopIfTrue="1">
      <formula>$G377=""</formula>
    </cfRule>
  </conditionalFormatting>
  <conditionalFormatting sqref="AB372">
    <cfRule type="expression" dxfId="850" priority="693" stopIfTrue="1">
      <formula>$AB372=""</formula>
    </cfRule>
    <cfRule type="expression" dxfId="849" priority="694" stopIfTrue="1">
      <formula>$G372=""</formula>
    </cfRule>
  </conditionalFormatting>
  <conditionalFormatting sqref="AB372">
    <cfRule type="expression" dxfId="848" priority="695">
      <formula>$HU373=FALSE</formula>
    </cfRule>
  </conditionalFormatting>
  <conditionalFormatting sqref="AB372">
    <cfRule type="expression" dxfId="847" priority="692" stopIfTrue="1">
      <formula>$G372=""</formula>
    </cfRule>
  </conditionalFormatting>
  <conditionalFormatting sqref="AB367">
    <cfRule type="expression" dxfId="846" priority="689" stopIfTrue="1">
      <formula>$AB367=""</formula>
    </cfRule>
    <cfRule type="expression" dxfId="845" priority="690" stopIfTrue="1">
      <formula>$G367=""</formula>
    </cfRule>
  </conditionalFormatting>
  <conditionalFormatting sqref="AB367">
    <cfRule type="expression" dxfId="844" priority="691">
      <formula>$HU368=FALSE</formula>
    </cfRule>
  </conditionalFormatting>
  <conditionalFormatting sqref="AB367">
    <cfRule type="expression" dxfId="843" priority="688" stopIfTrue="1">
      <formula>$G367=""</formula>
    </cfRule>
  </conditionalFormatting>
  <conditionalFormatting sqref="AB362">
    <cfRule type="expression" dxfId="842" priority="685" stopIfTrue="1">
      <formula>$AB362=""</formula>
    </cfRule>
    <cfRule type="expression" dxfId="841" priority="686" stopIfTrue="1">
      <formula>$G362=""</formula>
    </cfRule>
  </conditionalFormatting>
  <conditionalFormatting sqref="AB362">
    <cfRule type="expression" dxfId="840" priority="687">
      <formula>$HU363=FALSE</formula>
    </cfRule>
  </conditionalFormatting>
  <conditionalFormatting sqref="AB362">
    <cfRule type="expression" dxfId="839" priority="684" stopIfTrue="1">
      <formula>$G362=""</formula>
    </cfRule>
  </conditionalFormatting>
  <conditionalFormatting sqref="AB357">
    <cfRule type="expression" dxfId="838" priority="681" stopIfTrue="1">
      <formula>$AB357=""</formula>
    </cfRule>
    <cfRule type="expression" dxfId="837" priority="682" stopIfTrue="1">
      <formula>$G357=""</formula>
    </cfRule>
  </conditionalFormatting>
  <conditionalFormatting sqref="AB357">
    <cfRule type="expression" dxfId="836" priority="683">
      <formula>$HU358=FALSE</formula>
    </cfRule>
  </conditionalFormatting>
  <conditionalFormatting sqref="AB357">
    <cfRule type="expression" dxfId="835" priority="680" stopIfTrue="1">
      <formula>$G357=""</formula>
    </cfRule>
  </conditionalFormatting>
  <conditionalFormatting sqref="AB352">
    <cfRule type="expression" dxfId="834" priority="677" stopIfTrue="1">
      <formula>$AB352=""</formula>
    </cfRule>
    <cfRule type="expression" dxfId="833" priority="678" stopIfTrue="1">
      <formula>$G352=""</formula>
    </cfRule>
  </conditionalFormatting>
  <conditionalFormatting sqref="AB352">
    <cfRule type="expression" dxfId="832" priority="679">
      <formula>$HU353=FALSE</formula>
    </cfRule>
  </conditionalFormatting>
  <conditionalFormatting sqref="AB352">
    <cfRule type="expression" dxfId="831" priority="676" stopIfTrue="1">
      <formula>$G352=""</formula>
    </cfRule>
  </conditionalFormatting>
  <conditionalFormatting sqref="AB347">
    <cfRule type="expression" dxfId="830" priority="673" stopIfTrue="1">
      <formula>$AB347=""</formula>
    </cfRule>
    <cfRule type="expression" dxfId="829" priority="674" stopIfTrue="1">
      <formula>$G347=""</formula>
    </cfRule>
  </conditionalFormatting>
  <conditionalFormatting sqref="AB347">
    <cfRule type="expression" dxfId="828" priority="675">
      <formula>$HU348=FALSE</formula>
    </cfRule>
  </conditionalFormatting>
  <conditionalFormatting sqref="AB347">
    <cfRule type="expression" dxfId="827" priority="672" stopIfTrue="1">
      <formula>$G347=""</formula>
    </cfRule>
  </conditionalFormatting>
  <conditionalFormatting sqref="AB342">
    <cfRule type="expression" dxfId="826" priority="669" stopIfTrue="1">
      <formula>$AB342=""</formula>
    </cfRule>
    <cfRule type="expression" dxfId="825" priority="670" stopIfTrue="1">
      <formula>$G342=""</formula>
    </cfRule>
  </conditionalFormatting>
  <conditionalFormatting sqref="AB342">
    <cfRule type="expression" dxfId="824" priority="671">
      <formula>$HU343=FALSE</formula>
    </cfRule>
  </conditionalFormatting>
  <conditionalFormatting sqref="AB342">
    <cfRule type="expression" dxfId="823" priority="668" stopIfTrue="1">
      <formula>$G342=""</formula>
    </cfRule>
  </conditionalFormatting>
  <conditionalFormatting sqref="AB337">
    <cfRule type="expression" dxfId="822" priority="665" stopIfTrue="1">
      <formula>$AB337=""</formula>
    </cfRule>
    <cfRule type="expression" dxfId="821" priority="666" stopIfTrue="1">
      <formula>$G337=""</formula>
    </cfRule>
  </conditionalFormatting>
  <conditionalFormatting sqref="AB337">
    <cfRule type="expression" dxfId="820" priority="667">
      <formula>$HU338=FALSE</formula>
    </cfRule>
  </conditionalFormatting>
  <conditionalFormatting sqref="AB337">
    <cfRule type="expression" dxfId="819" priority="664" stopIfTrue="1">
      <formula>$G337=""</formula>
    </cfRule>
  </conditionalFormatting>
  <conditionalFormatting sqref="AB332">
    <cfRule type="expression" dxfId="818" priority="661" stopIfTrue="1">
      <formula>$AB332=""</formula>
    </cfRule>
    <cfRule type="expression" dxfId="817" priority="662" stopIfTrue="1">
      <formula>$G332=""</formula>
    </cfRule>
  </conditionalFormatting>
  <conditionalFormatting sqref="AB332">
    <cfRule type="expression" dxfId="816" priority="663">
      <formula>$HU333=FALSE</formula>
    </cfRule>
  </conditionalFormatting>
  <conditionalFormatting sqref="AB332">
    <cfRule type="expression" dxfId="815" priority="660" stopIfTrue="1">
      <formula>$G332=""</formula>
    </cfRule>
  </conditionalFormatting>
  <conditionalFormatting sqref="AB327">
    <cfRule type="expression" dxfId="814" priority="657" stopIfTrue="1">
      <formula>$AB327=""</formula>
    </cfRule>
    <cfRule type="expression" dxfId="813" priority="658" stopIfTrue="1">
      <formula>$G327=""</formula>
    </cfRule>
  </conditionalFormatting>
  <conditionalFormatting sqref="AB327">
    <cfRule type="expression" dxfId="812" priority="659">
      <formula>$HU328=FALSE</formula>
    </cfRule>
  </conditionalFormatting>
  <conditionalFormatting sqref="AB327">
    <cfRule type="expression" dxfId="811" priority="656" stopIfTrue="1">
      <formula>$G327=""</formula>
    </cfRule>
  </conditionalFormatting>
  <conditionalFormatting sqref="AB319">
    <cfRule type="expression" dxfId="810" priority="653" stopIfTrue="1">
      <formula>$AB319=""</formula>
    </cfRule>
    <cfRule type="expression" dxfId="809" priority="654" stopIfTrue="1">
      <formula>$G319=""</formula>
    </cfRule>
  </conditionalFormatting>
  <conditionalFormatting sqref="AB319">
    <cfRule type="expression" dxfId="808" priority="655">
      <formula>$HU320=FALSE</formula>
    </cfRule>
  </conditionalFormatting>
  <conditionalFormatting sqref="AB319">
    <cfRule type="expression" dxfId="807" priority="652" stopIfTrue="1">
      <formula>$G319=""</formula>
    </cfRule>
  </conditionalFormatting>
  <conditionalFormatting sqref="AB314">
    <cfRule type="expression" dxfId="806" priority="649" stopIfTrue="1">
      <formula>$AB314=""</formula>
    </cfRule>
    <cfRule type="expression" dxfId="805" priority="650" stopIfTrue="1">
      <formula>$G314=""</formula>
    </cfRule>
  </conditionalFormatting>
  <conditionalFormatting sqref="AB314">
    <cfRule type="expression" dxfId="804" priority="651">
      <formula>$HU315=FALSE</formula>
    </cfRule>
  </conditionalFormatting>
  <conditionalFormatting sqref="AB314">
    <cfRule type="expression" dxfId="803" priority="648" stopIfTrue="1">
      <formula>$G314=""</formula>
    </cfRule>
  </conditionalFormatting>
  <conditionalFormatting sqref="AB309">
    <cfRule type="expression" dxfId="802" priority="645" stopIfTrue="1">
      <formula>$AB309=""</formula>
    </cfRule>
    <cfRule type="expression" dxfId="801" priority="646" stopIfTrue="1">
      <formula>$G309=""</formula>
    </cfRule>
  </conditionalFormatting>
  <conditionalFormatting sqref="AB309">
    <cfRule type="expression" dxfId="800" priority="647">
      <formula>$HU310=FALSE</formula>
    </cfRule>
  </conditionalFormatting>
  <conditionalFormatting sqref="AB309">
    <cfRule type="expression" dxfId="799" priority="644" stopIfTrue="1">
      <formula>$G309=""</formula>
    </cfRule>
  </conditionalFormatting>
  <conditionalFormatting sqref="AB304">
    <cfRule type="expression" dxfId="798" priority="641" stopIfTrue="1">
      <formula>$AB304=""</formula>
    </cfRule>
    <cfRule type="expression" dxfId="797" priority="642" stopIfTrue="1">
      <formula>$G304=""</formula>
    </cfRule>
  </conditionalFormatting>
  <conditionalFormatting sqref="AB304">
    <cfRule type="expression" dxfId="796" priority="643">
      <formula>$HU305=FALSE</formula>
    </cfRule>
  </conditionalFormatting>
  <conditionalFormatting sqref="AB304">
    <cfRule type="expression" dxfId="795" priority="640" stopIfTrue="1">
      <formula>$G304=""</formula>
    </cfRule>
  </conditionalFormatting>
  <conditionalFormatting sqref="AB299">
    <cfRule type="expression" dxfId="794" priority="637" stopIfTrue="1">
      <formula>$AB299=""</formula>
    </cfRule>
    <cfRule type="expression" dxfId="793" priority="638" stopIfTrue="1">
      <formula>$G299=""</formula>
    </cfRule>
  </conditionalFormatting>
  <conditionalFormatting sqref="AB299">
    <cfRule type="expression" dxfId="792" priority="639">
      <formula>$HU300=FALSE</formula>
    </cfRule>
  </conditionalFormatting>
  <conditionalFormatting sqref="AB299">
    <cfRule type="expression" dxfId="791" priority="636" stopIfTrue="1">
      <formula>$G299=""</formula>
    </cfRule>
  </conditionalFormatting>
  <conditionalFormatting sqref="AB294">
    <cfRule type="expression" dxfId="790" priority="633" stopIfTrue="1">
      <formula>$AB294=""</formula>
    </cfRule>
    <cfRule type="expression" dxfId="789" priority="634" stopIfTrue="1">
      <formula>$G294=""</formula>
    </cfRule>
  </conditionalFormatting>
  <conditionalFormatting sqref="AB294">
    <cfRule type="expression" dxfId="788" priority="635">
      <formula>$HU295=FALSE</formula>
    </cfRule>
  </conditionalFormatting>
  <conditionalFormatting sqref="AB294">
    <cfRule type="expression" dxfId="787" priority="632" stopIfTrue="1">
      <formula>$G294=""</formula>
    </cfRule>
  </conditionalFormatting>
  <conditionalFormatting sqref="AB289">
    <cfRule type="expression" dxfId="786" priority="629" stopIfTrue="1">
      <formula>$AB289=""</formula>
    </cfRule>
    <cfRule type="expression" dxfId="785" priority="630" stopIfTrue="1">
      <formula>$G289=""</formula>
    </cfRule>
  </conditionalFormatting>
  <conditionalFormatting sqref="AB289">
    <cfRule type="expression" dxfId="784" priority="631">
      <formula>$HU290=FALSE</formula>
    </cfRule>
  </conditionalFormatting>
  <conditionalFormatting sqref="AB289">
    <cfRule type="expression" dxfId="783" priority="628" stopIfTrue="1">
      <formula>$G289=""</formula>
    </cfRule>
  </conditionalFormatting>
  <conditionalFormatting sqref="AB284">
    <cfRule type="expression" dxfId="782" priority="625" stopIfTrue="1">
      <formula>$AB284=""</formula>
    </cfRule>
    <cfRule type="expression" dxfId="781" priority="626" stopIfTrue="1">
      <formula>$G284=""</formula>
    </cfRule>
  </conditionalFormatting>
  <conditionalFormatting sqref="AB284">
    <cfRule type="expression" dxfId="780" priority="627">
      <formula>$HU285=FALSE</formula>
    </cfRule>
  </conditionalFormatting>
  <conditionalFormatting sqref="AB284">
    <cfRule type="expression" dxfId="779" priority="624" stopIfTrue="1">
      <formula>$G284=""</formula>
    </cfRule>
  </conditionalFormatting>
  <conditionalFormatting sqref="AB279">
    <cfRule type="expression" dxfId="778" priority="621" stopIfTrue="1">
      <formula>$AB279=""</formula>
    </cfRule>
    <cfRule type="expression" dxfId="777" priority="622" stopIfTrue="1">
      <formula>$G279=""</formula>
    </cfRule>
  </conditionalFormatting>
  <conditionalFormatting sqref="AB279">
    <cfRule type="expression" dxfId="776" priority="623">
      <formula>$HU280=FALSE</formula>
    </cfRule>
  </conditionalFormatting>
  <conditionalFormatting sqref="AB279">
    <cfRule type="expression" dxfId="775" priority="620" stopIfTrue="1">
      <formula>$G279=""</formula>
    </cfRule>
  </conditionalFormatting>
  <conditionalFormatting sqref="AB274">
    <cfRule type="expression" dxfId="774" priority="617" stopIfTrue="1">
      <formula>$AB274=""</formula>
    </cfRule>
    <cfRule type="expression" dxfId="773" priority="618" stopIfTrue="1">
      <formula>$G274=""</formula>
    </cfRule>
  </conditionalFormatting>
  <conditionalFormatting sqref="AB274">
    <cfRule type="expression" dxfId="772" priority="619">
      <formula>$HU275=FALSE</formula>
    </cfRule>
  </conditionalFormatting>
  <conditionalFormatting sqref="AB274">
    <cfRule type="expression" dxfId="771" priority="616" stopIfTrue="1">
      <formula>$G274=""</formula>
    </cfRule>
  </conditionalFormatting>
  <conditionalFormatting sqref="AB269">
    <cfRule type="expression" dxfId="770" priority="613" stopIfTrue="1">
      <formula>$AB269=""</formula>
    </cfRule>
    <cfRule type="expression" dxfId="769" priority="614" stopIfTrue="1">
      <formula>$G269=""</formula>
    </cfRule>
  </conditionalFormatting>
  <conditionalFormatting sqref="AB269">
    <cfRule type="expression" dxfId="768" priority="615">
      <formula>$HU270=FALSE</formula>
    </cfRule>
  </conditionalFormatting>
  <conditionalFormatting sqref="AB269">
    <cfRule type="expression" dxfId="767" priority="612" stopIfTrue="1">
      <formula>$G269=""</formula>
    </cfRule>
  </conditionalFormatting>
  <conditionalFormatting sqref="AB264">
    <cfRule type="expression" dxfId="766" priority="609" stopIfTrue="1">
      <formula>$AB264=""</formula>
    </cfRule>
    <cfRule type="expression" dxfId="765" priority="610" stopIfTrue="1">
      <formula>$G264=""</formula>
    </cfRule>
  </conditionalFormatting>
  <conditionalFormatting sqref="AB264">
    <cfRule type="expression" dxfId="764" priority="611">
      <formula>$HU265=FALSE</formula>
    </cfRule>
  </conditionalFormatting>
  <conditionalFormatting sqref="AB264">
    <cfRule type="expression" dxfId="763" priority="608" stopIfTrue="1">
      <formula>$G264=""</formula>
    </cfRule>
  </conditionalFormatting>
  <conditionalFormatting sqref="AB259">
    <cfRule type="expression" dxfId="762" priority="605" stopIfTrue="1">
      <formula>$AB259=""</formula>
    </cfRule>
    <cfRule type="expression" dxfId="761" priority="606" stopIfTrue="1">
      <formula>$G259=""</formula>
    </cfRule>
  </conditionalFormatting>
  <conditionalFormatting sqref="AB259">
    <cfRule type="expression" dxfId="760" priority="607">
      <formula>$HU260=FALSE</formula>
    </cfRule>
  </conditionalFormatting>
  <conditionalFormatting sqref="AB259">
    <cfRule type="expression" dxfId="759" priority="604" stopIfTrue="1">
      <formula>$G259=""</formula>
    </cfRule>
  </conditionalFormatting>
  <conditionalFormatting sqref="AB254">
    <cfRule type="expression" dxfId="758" priority="601" stopIfTrue="1">
      <formula>$AB254=""</formula>
    </cfRule>
    <cfRule type="expression" dxfId="757" priority="602" stopIfTrue="1">
      <formula>$G254=""</formula>
    </cfRule>
  </conditionalFormatting>
  <conditionalFormatting sqref="AB254">
    <cfRule type="expression" dxfId="756" priority="603">
      <formula>$HU255=FALSE</formula>
    </cfRule>
  </conditionalFormatting>
  <conditionalFormatting sqref="AB254">
    <cfRule type="expression" dxfId="755" priority="600" stopIfTrue="1">
      <formula>$G254=""</formula>
    </cfRule>
  </conditionalFormatting>
  <conditionalFormatting sqref="AB249">
    <cfRule type="expression" dxfId="754" priority="597" stopIfTrue="1">
      <formula>$AB249=""</formula>
    </cfRule>
    <cfRule type="expression" dxfId="753" priority="598" stopIfTrue="1">
      <formula>$G249=""</formula>
    </cfRule>
  </conditionalFormatting>
  <conditionalFormatting sqref="AB249">
    <cfRule type="expression" dxfId="752" priority="599">
      <formula>$HU250=FALSE</formula>
    </cfRule>
  </conditionalFormatting>
  <conditionalFormatting sqref="AB249">
    <cfRule type="expression" dxfId="751" priority="596" stopIfTrue="1">
      <formula>$G249=""</formula>
    </cfRule>
  </conditionalFormatting>
  <conditionalFormatting sqref="AB241">
    <cfRule type="expression" dxfId="750" priority="593" stopIfTrue="1">
      <formula>$AB241=""</formula>
    </cfRule>
    <cfRule type="expression" dxfId="749" priority="594" stopIfTrue="1">
      <formula>$G241=""</formula>
    </cfRule>
  </conditionalFormatting>
  <conditionalFormatting sqref="AB241">
    <cfRule type="expression" dxfId="748" priority="595">
      <formula>$HU242=FALSE</formula>
    </cfRule>
  </conditionalFormatting>
  <conditionalFormatting sqref="AB241">
    <cfRule type="expression" dxfId="747" priority="592" stopIfTrue="1">
      <formula>$G241=""</formula>
    </cfRule>
  </conditionalFormatting>
  <conditionalFormatting sqref="AB236">
    <cfRule type="expression" dxfId="746" priority="589" stopIfTrue="1">
      <formula>$AB236=""</formula>
    </cfRule>
    <cfRule type="expression" dxfId="745" priority="590" stopIfTrue="1">
      <formula>$G236=""</formula>
    </cfRule>
  </conditionalFormatting>
  <conditionalFormatting sqref="AB236">
    <cfRule type="expression" dxfId="744" priority="591">
      <formula>$HU237=FALSE</formula>
    </cfRule>
  </conditionalFormatting>
  <conditionalFormatting sqref="AB236">
    <cfRule type="expression" dxfId="743" priority="588" stopIfTrue="1">
      <formula>$G236=""</formula>
    </cfRule>
  </conditionalFormatting>
  <conditionalFormatting sqref="AB231">
    <cfRule type="expression" dxfId="742" priority="585" stopIfTrue="1">
      <formula>$AB231=""</formula>
    </cfRule>
    <cfRule type="expression" dxfId="741" priority="586" stopIfTrue="1">
      <formula>$G231=""</formula>
    </cfRule>
  </conditionalFormatting>
  <conditionalFormatting sqref="AB231">
    <cfRule type="expression" dxfId="740" priority="587">
      <formula>$HU232=FALSE</formula>
    </cfRule>
  </conditionalFormatting>
  <conditionalFormatting sqref="AB231">
    <cfRule type="expression" dxfId="739" priority="584" stopIfTrue="1">
      <formula>$G231=""</formula>
    </cfRule>
  </conditionalFormatting>
  <conditionalFormatting sqref="AB226">
    <cfRule type="expression" dxfId="738" priority="581" stopIfTrue="1">
      <formula>$AB226=""</formula>
    </cfRule>
    <cfRule type="expression" dxfId="737" priority="582" stopIfTrue="1">
      <formula>$G226=""</formula>
    </cfRule>
  </conditionalFormatting>
  <conditionalFormatting sqref="AB226">
    <cfRule type="expression" dxfId="736" priority="583">
      <formula>$HU227=FALSE</formula>
    </cfRule>
  </conditionalFormatting>
  <conditionalFormatting sqref="AB226">
    <cfRule type="expression" dxfId="735" priority="580" stopIfTrue="1">
      <formula>$G226=""</formula>
    </cfRule>
  </conditionalFormatting>
  <conditionalFormatting sqref="AB221">
    <cfRule type="expression" dxfId="734" priority="577" stopIfTrue="1">
      <formula>$AB221=""</formula>
    </cfRule>
    <cfRule type="expression" dxfId="733" priority="578" stopIfTrue="1">
      <formula>$G221=""</formula>
    </cfRule>
  </conditionalFormatting>
  <conditionalFormatting sqref="AB221">
    <cfRule type="expression" dxfId="732" priority="579">
      <formula>$HU222=FALSE</formula>
    </cfRule>
  </conditionalFormatting>
  <conditionalFormatting sqref="AB221">
    <cfRule type="expression" dxfId="731" priority="576" stopIfTrue="1">
      <formula>$G221=""</formula>
    </cfRule>
  </conditionalFormatting>
  <conditionalFormatting sqref="AB216">
    <cfRule type="expression" dxfId="730" priority="573" stopIfTrue="1">
      <formula>$AB216=""</formula>
    </cfRule>
    <cfRule type="expression" dxfId="729" priority="574" stopIfTrue="1">
      <formula>$G216=""</formula>
    </cfRule>
  </conditionalFormatting>
  <conditionalFormatting sqref="AB216">
    <cfRule type="expression" dxfId="728" priority="575">
      <formula>$HU217=FALSE</formula>
    </cfRule>
  </conditionalFormatting>
  <conditionalFormatting sqref="AB216">
    <cfRule type="expression" dxfId="727" priority="572" stopIfTrue="1">
      <formula>$G216=""</formula>
    </cfRule>
  </conditionalFormatting>
  <conditionalFormatting sqref="AB211">
    <cfRule type="expression" dxfId="726" priority="569" stopIfTrue="1">
      <formula>$AB211=""</formula>
    </cfRule>
    <cfRule type="expression" dxfId="725" priority="570" stopIfTrue="1">
      <formula>$G211=""</formula>
    </cfRule>
  </conditionalFormatting>
  <conditionalFormatting sqref="AB211">
    <cfRule type="expression" dxfId="724" priority="571">
      <formula>$HU212=FALSE</formula>
    </cfRule>
  </conditionalFormatting>
  <conditionalFormatting sqref="AB211">
    <cfRule type="expression" dxfId="723" priority="568" stopIfTrue="1">
      <formula>$G211=""</formula>
    </cfRule>
  </conditionalFormatting>
  <conditionalFormatting sqref="AB206">
    <cfRule type="expression" dxfId="722" priority="565" stopIfTrue="1">
      <formula>$AB206=""</formula>
    </cfRule>
    <cfRule type="expression" dxfId="721" priority="566" stopIfTrue="1">
      <formula>$G206=""</formula>
    </cfRule>
  </conditionalFormatting>
  <conditionalFormatting sqref="AB206">
    <cfRule type="expression" dxfId="720" priority="567">
      <formula>$HU207=FALSE</formula>
    </cfRule>
  </conditionalFormatting>
  <conditionalFormatting sqref="AB206">
    <cfRule type="expression" dxfId="719" priority="564" stopIfTrue="1">
      <formula>$G206=""</formula>
    </cfRule>
  </conditionalFormatting>
  <conditionalFormatting sqref="AB201">
    <cfRule type="expression" dxfId="718" priority="561" stopIfTrue="1">
      <formula>$AB201=""</formula>
    </cfRule>
    <cfRule type="expression" dxfId="717" priority="562" stopIfTrue="1">
      <formula>$G201=""</formula>
    </cfRule>
  </conditionalFormatting>
  <conditionalFormatting sqref="AB201">
    <cfRule type="expression" dxfId="716" priority="563">
      <formula>$HU202=FALSE</formula>
    </cfRule>
  </conditionalFormatting>
  <conditionalFormatting sqref="AB201">
    <cfRule type="expression" dxfId="715" priority="560" stopIfTrue="1">
      <formula>$G201=""</formula>
    </cfRule>
  </conditionalFormatting>
  <conditionalFormatting sqref="AB196">
    <cfRule type="expression" dxfId="714" priority="557" stopIfTrue="1">
      <formula>$AB196=""</formula>
    </cfRule>
    <cfRule type="expression" dxfId="713" priority="558" stopIfTrue="1">
      <formula>$G196=""</formula>
    </cfRule>
  </conditionalFormatting>
  <conditionalFormatting sqref="AB196">
    <cfRule type="expression" dxfId="712" priority="559">
      <formula>$HU197=FALSE</formula>
    </cfRule>
  </conditionalFormatting>
  <conditionalFormatting sqref="AB196">
    <cfRule type="expression" dxfId="711" priority="556" stopIfTrue="1">
      <formula>$G196=""</formula>
    </cfRule>
  </conditionalFormatting>
  <conditionalFormatting sqref="AB191">
    <cfRule type="expression" dxfId="710" priority="553" stopIfTrue="1">
      <formula>$AB191=""</formula>
    </cfRule>
    <cfRule type="expression" dxfId="709" priority="554" stopIfTrue="1">
      <formula>$G191=""</formula>
    </cfRule>
  </conditionalFormatting>
  <conditionalFormatting sqref="AB191">
    <cfRule type="expression" dxfId="708" priority="555">
      <formula>$HU192=FALSE</formula>
    </cfRule>
  </conditionalFormatting>
  <conditionalFormatting sqref="AB191">
    <cfRule type="expression" dxfId="707" priority="552" stopIfTrue="1">
      <formula>$G191=""</formula>
    </cfRule>
  </conditionalFormatting>
  <conditionalFormatting sqref="AB186">
    <cfRule type="expression" dxfId="706" priority="549" stopIfTrue="1">
      <formula>$AB186=""</formula>
    </cfRule>
    <cfRule type="expression" dxfId="705" priority="550" stopIfTrue="1">
      <formula>$G186=""</formula>
    </cfRule>
  </conditionalFormatting>
  <conditionalFormatting sqref="AB186">
    <cfRule type="expression" dxfId="704" priority="551">
      <formula>$HU187=FALSE</formula>
    </cfRule>
  </conditionalFormatting>
  <conditionalFormatting sqref="AB186">
    <cfRule type="expression" dxfId="703" priority="548" stopIfTrue="1">
      <formula>$G186=""</formula>
    </cfRule>
  </conditionalFormatting>
  <conditionalFormatting sqref="AB181">
    <cfRule type="expression" dxfId="702" priority="545" stopIfTrue="1">
      <formula>$AB181=""</formula>
    </cfRule>
    <cfRule type="expression" dxfId="701" priority="546" stopIfTrue="1">
      <formula>$G181=""</formula>
    </cfRule>
  </conditionalFormatting>
  <conditionalFormatting sqref="AB181">
    <cfRule type="expression" dxfId="700" priority="547">
      <formula>$HU182=FALSE</formula>
    </cfRule>
  </conditionalFormatting>
  <conditionalFormatting sqref="AB181">
    <cfRule type="expression" dxfId="699" priority="544" stopIfTrue="1">
      <formula>$G181=""</formula>
    </cfRule>
  </conditionalFormatting>
  <conditionalFormatting sqref="AB176">
    <cfRule type="expression" dxfId="698" priority="541" stopIfTrue="1">
      <formula>$AB176=""</formula>
    </cfRule>
    <cfRule type="expression" dxfId="697" priority="542" stopIfTrue="1">
      <formula>$G176=""</formula>
    </cfRule>
  </conditionalFormatting>
  <conditionalFormatting sqref="AB176">
    <cfRule type="expression" dxfId="696" priority="543">
      <formula>$HU177=FALSE</formula>
    </cfRule>
  </conditionalFormatting>
  <conditionalFormatting sqref="AB176">
    <cfRule type="expression" dxfId="695" priority="540" stopIfTrue="1">
      <formula>$G176=""</formula>
    </cfRule>
  </conditionalFormatting>
  <conditionalFormatting sqref="AB171">
    <cfRule type="expression" dxfId="694" priority="537" stopIfTrue="1">
      <formula>$AB171=""</formula>
    </cfRule>
    <cfRule type="expression" dxfId="693" priority="538" stopIfTrue="1">
      <formula>$G171=""</formula>
    </cfRule>
  </conditionalFormatting>
  <conditionalFormatting sqref="AB171">
    <cfRule type="expression" dxfId="692" priority="539">
      <formula>$HU172=FALSE</formula>
    </cfRule>
  </conditionalFormatting>
  <conditionalFormatting sqref="AB171">
    <cfRule type="expression" dxfId="691" priority="536" stopIfTrue="1">
      <formula>$G171=""</formula>
    </cfRule>
  </conditionalFormatting>
  <conditionalFormatting sqref="AB163">
    <cfRule type="expression" dxfId="690" priority="533" stopIfTrue="1">
      <formula>$AB163=""</formula>
    </cfRule>
    <cfRule type="expression" dxfId="689" priority="534" stopIfTrue="1">
      <formula>$G163=""</formula>
    </cfRule>
  </conditionalFormatting>
  <conditionalFormatting sqref="AB163">
    <cfRule type="expression" dxfId="688" priority="535">
      <formula>$HU164=FALSE</formula>
    </cfRule>
  </conditionalFormatting>
  <conditionalFormatting sqref="AB163">
    <cfRule type="expression" dxfId="687" priority="532" stopIfTrue="1">
      <formula>$G163=""</formula>
    </cfRule>
  </conditionalFormatting>
  <conditionalFormatting sqref="AB158">
    <cfRule type="expression" dxfId="686" priority="529" stopIfTrue="1">
      <formula>$AB158=""</formula>
    </cfRule>
    <cfRule type="expression" dxfId="685" priority="530" stopIfTrue="1">
      <formula>$G158=""</formula>
    </cfRule>
  </conditionalFormatting>
  <conditionalFormatting sqref="AB158">
    <cfRule type="expression" dxfId="684" priority="531">
      <formula>$HU159=FALSE</formula>
    </cfRule>
  </conditionalFormatting>
  <conditionalFormatting sqref="AB158">
    <cfRule type="expression" dxfId="683" priority="528" stopIfTrue="1">
      <formula>$G158=""</formula>
    </cfRule>
  </conditionalFormatting>
  <conditionalFormatting sqref="AB153">
    <cfRule type="expression" dxfId="682" priority="525" stopIfTrue="1">
      <formula>$AB153=""</formula>
    </cfRule>
    <cfRule type="expression" dxfId="681" priority="526" stopIfTrue="1">
      <formula>$G153=""</formula>
    </cfRule>
  </conditionalFormatting>
  <conditionalFormatting sqref="AB153">
    <cfRule type="expression" dxfId="680" priority="527">
      <formula>$HU154=FALSE</formula>
    </cfRule>
  </conditionalFormatting>
  <conditionalFormatting sqref="AB153">
    <cfRule type="expression" dxfId="679" priority="524" stopIfTrue="1">
      <formula>$G153=""</formula>
    </cfRule>
  </conditionalFormatting>
  <conditionalFormatting sqref="AB148">
    <cfRule type="expression" dxfId="678" priority="521" stopIfTrue="1">
      <formula>$AB148=""</formula>
    </cfRule>
    <cfRule type="expression" dxfId="677" priority="522" stopIfTrue="1">
      <formula>$G148=""</formula>
    </cfRule>
  </conditionalFormatting>
  <conditionalFormatting sqref="AB148">
    <cfRule type="expression" dxfId="676" priority="523">
      <formula>$HU149=FALSE</formula>
    </cfRule>
  </conditionalFormatting>
  <conditionalFormatting sqref="AB148">
    <cfRule type="expression" dxfId="675" priority="520" stopIfTrue="1">
      <formula>$G148=""</formula>
    </cfRule>
  </conditionalFormatting>
  <conditionalFormatting sqref="AB143">
    <cfRule type="expression" dxfId="674" priority="517" stopIfTrue="1">
      <formula>$AB143=""</formula>
    </cfRule>
    <cfRule type="expression" dxfId="673" priority="518" stopIfTrue="1">
      <formula>$G143=""</formula>
    </cfRule>
  </conditionalFormatting>
  <conditionalFormatting sqref="AB143">
    <cfRule type="expression" dxfId="672" priority="519">
      <formula>$HU144=FALSE</formula>
    </cfRule>
  </conditionalFormatting>
  <conditionalFormatting sqref="AB143">
    <cfRule type="expression" dxfId="671" priority="516" stopIfTrue="1">
      <formula>$G143=""</formula>
    </cfRule>
  </conditionalFormatting>
  <conditionalFormatting sqref="AB138">
    <cfRule type="expression" dxfId="670" priority="513" stopIfTrue="1">
      <formula>$AB138=""</formula>
    </cfRule>
    <cfRule type="expression" dxfId="669" priority="514" stopIfTrue="1">
      <formula>$G138=""</formula>
    </cfRule>
  </conditionalFormatting>
  <conditionalFormatting sqref="AB138">
    <cfRule type="expression" dxfId="668" priority="515">
      <formula>$HU139=FALSE</formula>
    </cfRule>
  </conditionalFormatting>
  <conditionalFormatting sqref="AB138">
    <cfRule type="expression" dxfId="667" priority="512" stopIfTrue="1">
      <formula>$G138=""</formula>
    </cfRule>
  </conditionalFormatting>
  <conditionalFormatting sqref="AB133">
    <cfRule type="expression" dxfId="666" priority="509" stopIfTrue="1">
      <formula>$AB133=""</formula>
    </cfRule>
    <cfRule type="expression" dxfId="665" priority="510" stopIfTrue="1">
      <formula>$G133=""</formula>
    </cfRule>
  </conditionalFormatting>
  <conditionalFormatting sqref="AB133">
    <cfRule type="expression" dxfId="664" priority="511">
      <formula>$HU134=FALSE</formula>
    </cfRule>
  </conditionalFormatting>
  <conditionalFormatting sqref="AB133">
    <cfRule type="expression" dxfId="663" priority="508" stopIfTrue="1">
      <formula>$G133=""</formula>
    </cfRule>
  </conditionalFormatting>
  <conditionalFormatting sqref="AB128">
    <cfRule type="expression" dxfId="662" priority="505" stopIfTrue="1">
      <formula>$AB128=""</formula>
    </cfRule>
    <cfRule type="expression" dxfId="661" priority="506" stopIfTrue="1">
      <formula>$G128=""</formula>
    </cfRule>
  </conditionalFormatting>
  <conditionalFormatting sqref="AB128">
    <cfRule type="expression" dxfId="660" priority="507">
      <formula>$HU129=FALSE</formula>
    </cfRule>
  </conditionalFormatting>
  <conditionalFormatting sqref="AB128">
    <cfRule type="expression" dxfId="659" priority="504" stopIfTrue="1">
      <formula>$G128=""</formula>
    </cfRule>
  </conditionalFormatting>
  <conditionalFormatting sqref="AB123">
    <cfRule type="expression" dxfId="658" priority="501" stopIfTrue="1">
      <formula>$AB123=""</formula>
    </cfRule>
    <cfRule type="expression" dxfId="657" priority="502" stopIfTrue="1">
      <formula>$G123=""</formula>
    </cfRule>
  </conditionalFormatting>
  <conditionalFormatting sqref="AB123">
    <cfRule type="expression" dxfId="656" priority="503">
      <formula>$HU124=FALSE</formula>
    </cfRule>
  </conditionalFormatting>
  <conditionalFormatting sqref="AB123">
    <cfRule type="expression" dxfId="655" priority="500" stopIfTrue="1">
      <formula>$G123=""</formula>
    </cfRule>
  </conditionalFormatting>
  <conditionalFormatting sqref="AB118">
    <cfRule type="expression" dxfId="654" priority="497" stopIfTrue="1">
      <formula>$AB118=""</formula>
    </cfRule>
    <cfRule type="expression" dxfId="653" priority="498" stopIfTrue="1">
      <formula>$G118=""</formula>
    </cfRule>
  </conditionalFormatting>
  <conditionalFormatting sqref="AB118">
    <cfRule type="expression" dxfId="652" priority="499">
      <formula>$HU119=FALSE</formula>
    </cfRule>
  </conditionalFormatting>
  <conditionalFormatting sqref="AB118">
    <cfRule type="expression" dxfId="651" priority="496" stopIfTrue="1">
      <formula>$G118=""</formula>
    </cfRule>
  </conditionalFormatting>
  <conditionalFormatting sqref="AB113">
    <cfRule type="expression" dxfId="650" priority="493" stopIfTrue="1">
      <formula>$AB113=""</formula>
    </cfRule>
    <cfRule type="expression" dxfId="649" priority="494" stopIfTrue="1">
      <formula>$G113=""</formula>
    </cfRule>
  </conditionalFormatting>
  <conditionalFormatting sqref="AB113">
    <cfRule type="expression" dxfId="648" priority="495">
      <formula>$HU114=FALSE</formula>
    </cfRule>
  </conditionalFormatting>
  <conditionalFormatting sqref="AB113">
    <cfRule type="expression" dxfId="647" priority="492" stopIfTrue="1">
      <formula>$G113=""</formula>
    </cfRule>
  </conditionalFormatting>
  <conditionalFormatting sqref="AB108">
    <cfRule type="expression" dxfId="646" priority="489" stopIfTrue="1">
      <formula>$AB108=""</formula>
    </cfRule>
    <cfRule type="expression" dxfId="645" priority="490" stopIfTrue="1">
      <formula>$G108=""</formula>
    </cfRule>
  </conditionalFormatting>
  <conditionalFormatting sqref="AB108">
    <cfRule type="expression" dxfId="644" priority="491">
      <formula>$HU109=FALSE</formula>
    </cfRule>
  </conditionalFormatting>
  <conditionalFormatting sqref="AB108">
    <cfRule type="expression" dxfId="643" priority="488" stopIfTrue="1">
      <formula>$G108=""</formula>
    </cfRule>
  </conditionalFormatting>
  <conditionalFormatting sqref="AB103">
    <cfRule type="expression" dxfId="642" priority="485" stopIfTrue="1">
      <formula>$AB103=""</formula>
    </cfRule>
    <cfRule type="expression" dxfId="641" priority="486" stopIfTrue="1">
      <formula>$G103=""</formula>
    </cfRule>
  </conditionalFormatting>
  <conditionalFormatting sqref="AB103">
    <cfRule type="expression" dxfId="640" priority="487">
      <formula>$HU104=FALSE</formula>
    </cfRule>
  </conditionalFormatting>
  <conditionalFormatting sqref="AB103">
    <cfRule type="expression" dxfId="639" priority="484" stopIfTrue="1">
      <formula>$G103=""</formula>
    </cfRule>
  </conditionalFormatting>
  <conditionalFormatting sqref="AB98">
    <cfRule type="expression" dxfId="638" priority="481" stopIfTrue="1">
      <formula>$AB98=""</formula>
    </cfRule>
    <cfRule type="expression" dxfId="637" priority="482" stopIfTrue="1">
      <formula>$G98=""</formula>
    </cfRule>
  </conditionalFormatting>
  <conditionalFormatting sqref="AB98">
    <cfRule type="expression" dxfId="636" priority="483">
      <formula>$HU99=FALSE</formula>
    </cfRule>
  </conditionalFormatting>
  <conditionalFormatting sqref="AB98">
    <cfRule type="expression" dxfId="635" priority="480" stopIfTrue="1">
      <formula>$G98=""</formula>
    </cfRule>
  </conditionalFormatting>
  <conditionalFormatting sqref="AB93">
    <cfRule type="expression" dxfId="634" priority="477" stopIfTrue="1">
      <formula>$AB93=""</formula>
    </cfRule>
    <cfRule type="expression" dxfId="633" priority="478" stopIfTrue="1">
      <formula>$G93=""</formula>
    </cfRule>
  </conditionalFormatting>
  <conditionalFormatting sqref="AB93">
    <cfRule type="expression" dxfId="632" priority="479">
      <formula>$HU94=FALSE</formula>
    </cfRule>
  </conditionalFormatting>
  <conditionalFormatting sqref="AB93">
    <cfRule type="expression" dxfId="631" priority="476" stopIfTrue="1">
      <formula>$G93=""</formula>
    </cfRule>
  </conditionalFormatting>
  <conditionalFormatting sqref="AB85">
    <cfRule type="expression" dxfId="630" priority="473" stopIfTrue="1">
      <formula>$AB85=""</formula>
    </cfRule>
    <cfRule type="expression" dxfId="629" priority="474" stopIfTrue="1">
      <formula>$G85=""</formula>
    </cfRule>
  </conditionalFormatting>
  <conditionalFormatting sqref="AB85">
    <cfRule type="expression" dxfId="628" priority="475">
      <formula>$HU86=FALSE</formula>
    </cfRule>
  </conditionalFormatting>
  <conditionalFormatting sqref="AB85">
    <cfRule type="expression" dxfId="627" priority="472" stopIfTrue="1">
      <formula>$G85=""</formula>
    </cfRule>
  </conditionalFormatting>
  <conditionalFormatting sqref="AB80">
    <cfRule type="expression" dxfId="626" priority="469" stopIfTrue="1">
      <formula>$AB80=""</formula>
    </cfRule>
    <cfRule type="expression" dxfId="625" priority="470" stopIfTrue="1">
      <formula>$G80=""</formula>
    </cfRule>
  </conditionalFormatting>
  <conditionalFormatting sqref="AB80">
    <cfRule type="expression" dxfId="624" priority="471">
      <formula>$HU81=FALSE</formula>
    </cfRule>
  </conditionalFormatting>
  <conditionalFormatting sqref="AB80">
    <cfRule type="expression" dxfId="623" priority="468" stopIfTrue="1">
      <formula>$G80=""</formula>
    </cfRule>
  </conditionalFormatting>
  <conditionalFormatting sqref="AB75">
    <cfRule type="expression" dxfId="622" priority="465" stopIfTrue="1">
      <formula>$AB75=""</formula>
    </cfRule>
    <cfRule type="expression" dxfId="621" priority="466" stopIfTrue="1">
      <formula>$G75=""</formula>
    </cfRule>
  </conditionalFormatting>
  <conditionalFormatting sqref="AB75">
    <cfRule type="expression" dxfId="620" priority="467">
      <formula>$HU76=FALSE</formula>
    </cfRule>
  </conditionalFormatting>
  <conditionalFormatting sqref="AB75">
    <cfRule type="expression" dxfId="619" priority="464" stopIfTrue="1">
      <formula>$G75=""</formula>
    </cfRule>
  </conditionalFormatting>
  <conditionalFormatting sqref="AB70">
    <cfRule type="expression" dxfId="618" priority="461" stopIfTrue="1">
      <formula>$AB70=""</formula>
    </cfRule>
    <cfRule type="expression" dxfId="617" priority="462" stopIfTrue="1">
      <formula>$G70=""</formula>
    </cfRule>
  </conditionalFormatting>
  <conditionalFormatting sqref="AB70">
    <cfRule type="expression" dxfId="616" priority="463">
      <formula>$HU71=FALSE</formula>
    </cfRule>
  </conditionalFormatting>
  <conditionalFormatting sqref="AB70">
    <cfRule type="expression" dxfId="615" priority="460" stopIfTrue="1">
      <formula>$G70=""</formula>
    </cfRule>
  </conditionalFormatting>
  <conditionalFormatting sqref="AB65">
    <cfRule type="expression" dxfId="614" priority="457" stopIfTrue="1">
      <formula>$AB65=""</formula>
    </cfRule>
    <cfRule type="expression" dxfId="613" priority="458" stopIfTrue="1">
      <formula>$G65=""</formula>
    </cfRule>
  </conditionalFormatting>
  <conditionalFormatting sqref="AB65">
    <cfRule type="expression" dxfId="612" priority="459">
      <formula>$HU66=FALSE</formula>
    </cfRule>
  </conditionalFormatting>
  <conditionalFormatting sqref="AB65">
    <cfRule type="expression" dxfId="611" priority="456" stopIfTrue="1">
      <formula>$G65=""</formula>
    </cfRule>
  </conditionalFormatting>
  <conditionalFormatting sqref="AB60">
    <cfRule type="expression" dxfId="610" priority="453" stopIfTrue="1">
      <formula>$AB60=""</formula>
    </cfRule>
    <cfRule type="expression" dxfId="609" priority="454" stopIfTrue="1">
      <formula>$G60=""</formula>
    </cfRule>
  </conditionalFormatting>
  <conditionalFormatting sqref="AB60">
    <cfRule type="expression" dxfId="608" priority="455">
      <formula>$HU61=FALSE</formula>
    </cfRule>
  </conditionalFormatting>
  <conditionalFormatting sqref="AB60">
    <cfRule type="expression" dxfId="607" priority="452" stopIfTrue="1">
      <formula>$G60=""</formula>
    </cfRule>
  </conditionalFormatting>
  <conditionalFormatting sqref="AB55">
    <cfRule type="expression" dxfId="606" priority="449" stopIfTrue="1">
      <formula>$AB55=""</formula>
    </cfRule>
    <cfRule type="expression" dxfId="605" priority="450" stopIfTrue="1">
      <formula>$G55=""</formula>
    </cfRule>
  </conditionalFormatting>
  <conditionalFormatting sqref="AB55">
    <cfRule type="expression" dxfId="604" priority="451">
      <formula>$HU56=FALSE</formula>
    </cfRule>
  </conditionalFormatting>
  <conditionalFormatting sqref="AB55">
    <cfRule type="expression" dxfId="603" priority="448" stopIfTrue="1">
      <formula>$G55=""</formula>
    </cfRule>
  </conditionalFormatting>
  <conditionalFormatting sqref="AB50">
    <cfRule type="expression" dxfId="602" priority="445" stopIfTrue="1">
      <formula>$AB50=""</formula>
    </cfRule>
    <cfRule type="expression" dxfId="601" priority="446" stopIfTrue="1">
      <formula>$G50=""</formula>
    </cfRule>
  </conditionalFormatting>
  <conditionalFormatting sqref="AB50">
    <cfRule type="expression" dxfId="600" priority="447">
      <formula>$HU51=FALSE</formula>
    </cfRule>
  </conditionalFormatting>
  <conditionalFormatting sqref="AB50">
    <cfRule type="expression" dxfId="599" priority="444" stopIfTrue="1">
      <formula>$G50=""</formula>
    </cfRule>
  </conditionalFormatting>
  <conditionalFormatting sqref="AB45">
    <cfRule type="expression" dxfId="598" priority="441" stopIfTrue="1">
      <formula>$AB45=""</formula>
    </cfRule>
    <cfRule type="expression" dxfId="597" priority="442" stopIfTrue="1">
      <formula>$G45=""</formula>
    </cfRule>
  </conditionalFormatting>
  <conditionalFormatting sqref="AB45">
    <cfRule type="expression" dxfId="596" priority="443">
      <formula>$HU46=FALSE</formula>
    </cfRule>
  </conditionalFormatting>
  <conditionalFormatting sqref="AB45">
    <cfRule type="expression" dxfId="595" priority="440" stopIfTrue="1">
      <formula>$G45=""</formula>
    </cfRule>
  </conditionalFormatting>
  <conditionalFormatting sqref="AB40">
    <cfRule type="expression" dxfId="594" priority="437" stopIfTrue="1">
      <formula>$AB40=""</formula>
    </cfRule>
    <cfRule type="expression" dxfId="593" priority="438" stopIfTrue="1">
      <formula>$G40=""</formula>
    </cfRule>
  </conditionalFormatting>
  <conditionalFormatting sqref="AB40">
    <cfRule type="expression" dxfId="592" priority="439">
      <formula>$HU41=FALSE</formula>
    </cfRule>
  </conditionalFormatting>
  <conditionalFormatting sqref="AB40">
    <cfRule type="expression" dxfId="591" priority="436" stopIfTrue="1">
      <formula>$G40=""</formula>
    </cfRule>
  </conditionalFormatting>
  <conditionalFormatting sqref="U48">
    <cfRule type="containsBlanks" dxfId="590" priority="435" stopIfTrue="1">
      <formula>LEN(TRIM(U48))=0</formula>
    </cfRule>
  </conditionalFormatting>
  <conditionalFormatting sqref="U48">
    <cfRule type="expression" dxfId="589" priority="434">
      <formula>$C$36=2</formula>
    </cfRule>
  </conditionalFormatting>
  <conditionalFormatting sqref="U48">
    <cfRule type="expression" dxfId="588" priority="433" stopIfTrue="1">
      <formula>$G45=""</formula>
    </cfRule>
  </conditionalFormatting>
  <conditionalFormatting sqref="U53">
    <cfRule type="containsBlanks" dxfId="587" priority="429" stopIfTrue="1">
      <formula>LEN(TRIM(U53))=0</formula>
    </cfRule>
  </conditionalFormatting>
  <conditionalFormatting sqref="U53">
    <cfRule type="expression" dxfId="586" priority="428">
      <formula>$C$36=2</formula>
    </cfRule>
  </conditionalFormatting>
  <conditionalFormatting sqref="U53">
    <cfRule type="expression" dxfId="585" priority="427" stopIfTrue="1">
      <formula>$G50=""</formula>
    </cfRule>
  </conditionalFormatting>
  <conditionalFormatting sqref="U58">
    <cfRule type="containsBlanks" dxfId="584" priority="426" stopIfTrue="1">
      <formula>LEN(TRIM(U58))=0</formula>
    </cfRule>
  </conditionalFormatting>
  <conditionalFormatting sqref="U58">
    <cfRule type="expression" dxfId="583" priority="425">
      <formula>$C$36=2</formula>
    </cfRule>
  </conditionalFormatting>
  <conditionalFormatting sqref="U58">
    <cfRule type="expression" dxfId="582" priority="424" stopIfTrue="1">
      <formula>$G55=""</formula>
    </cfRule>
  </conditionalFormatting>
  <conditionalFormatting sqref="U63">
    <cfRule type="containsBlanks" dxfId="581" priority="423" stopIfTrue="1">
      <formula>LEN(TRIM(U63))=0</formula>
    </cfRule>
  </conditionalFormatting>
  <conditionalFormatting sqref="U63">
    <cfRule type="expression" dxfId="580" priority="422">
      <formula>$C$36=2</formula>
    </cfRule>
  </conditionalFormatting>
  <conditionalFormatting sqref="U63">
    <cfRule type="expression" dxfId="579" priority="421" stopIfTrue="1">
      <formula>$G60=""</formula>
    </cfRule>
  </conditionalFormatting>
  <conditionalFormatting sqref="U68">
    <cfRule type="containsBlanks" dxfId="578" priority="420" stopIfTrue="1">
      <formula>LEN(TRIM(U68))=0</formula>
    </cfRule>
  </conditionalFormatting>
  <conditionalFormatting sqref="U68">
    <cfRule type="expression" dxfId="577" priority="419">
      <formula>$C$36=2</formula>
    </cfRule>
  </conditionalFormatting>
  <conditionalFormatting sqref="U68">
    <cfRule type="expression" dxfId="576" priority="418" stopIfTrue="1">
      <formula>$G65=""</formula>
    </cfRule>
  </conditionalFormatting>
  <conditionalFormatting sqref="U73">
    <cfRule type="containsBlanks" dxfId="575" priority="417" stopIfTrue="1">
      <formula>LEN(TRIM(U73))=0</formula>
    </cfRule>
  </conditionalFormatting>
  <conditionalFormatting sqref="U73">
    <cfRule type="expression" dxfId="574" priority="416">
      <formula>$C$36=2</formula>
    </cfRule>
  </conditionalFormatting>
  <conditionalFormatting sqref="U73">
    <cfRule type="expression" dxfId="573" priority="415" stopIfTrue="1">
      <formula>$G70=""</formula>
    </cfRule>
  </conditionalFormatting>
  <conditionalFormatting sqref="U78">
    <cfRule type="containsBlanks" dxfId="572" priority="414" stopIfTrue="1">
      <formula>LEN(TRIM(U78))=0</formula>
    </cfRule>
  </conditionalFormatting>
  <conditionalFormatting sqref="U78">
    <cfRule type="expression" dxfId="571" priority="413">
      <formula>$C$36=2</formula>
    </cfRule>
  </conditionalFormatting>
  <conditionalFormatting sqref="U78">
    <cfRule type="expression" dxfId="570" priority="412" stopIfTrue="1">
      <formula>$G75=""</formula>
    </cfRule>
  </conditionalFormatting>
  <conditionalFormatting sqref="U83">
    <cfRule type="containsBlanks" dxfId="569" priority="411" stopIfTrue="1">
      <formula>LEN(TRIM(U83))=0</formula>
    </cfRule>
  </conditionalFormatting>
  <conditionalFormatting sqref="U83">
    <cfRule type="expression" dxfId="568" priority="410">
      <formula>$C$36=2</formula>
    </cfRule>
  </conditionalFormatting>
  <conditionalFormatting sqref="U83">
    <cfRule type="expression" dxfId="567" priority="409" stopIfTrue="1">
      <formula>$G80=""</formula>
    </cfRule>
  </conditionalFormatting>
  <conditionalFormatting sqref="U88">
    <cfRule type="containsBlanks" dxfId="566" priority="408" stopIfTrue="1">
      <formula>LEN(TRIM(U88))=0</formula>
    </cfRule>
  </conditionalFormatting>
  <conditionalFormatting sqref="U88">
    <cfRule type="expression" dxfId="565" priority="407">
      <formula>$C$36=2</formula>
    </cfRule>
  </conditionalFormatting>
  <conditionalFormatting sqref="U88">
    <cfRule type="expression" dxfId="564" priority="406" stopIfTrue="1">
      <formula>$G85=""</formula>
    </cfRule>
  </conditionalFormatting>
  <conditionalFormatting sqref="U96">
    <cfRule type="containsBlanks" dxfId="563" priority="405" stopIfTrue="1">
      <formula>LEN(TRIM(U96))=0</formula>
    </cfRule>
  </conditionalFormatting>
  <conditionalFormatting sqref="U96">
    <cfRule type="expression" dxfId="562" priority="404">
      <formula>$C$36=2</formula>
    </cfRule>
  </conditionalFormatting>
  <conditionalFormatting sqref="U96">
    <cfRule type="expression" dxfId="561" priority="403" stopIfTrue="1">
      <formula>$G93=""</formula>
    </cfRule>
  </conditionalFormatting>
  <conditionalFormatting sqref="U101">
    <cfRule type="containsBlanks" dxfId="560" priority="402" stopIfTrue="1">
      <formula>LEN(TRIM(U101))=0</formula>
    </cfRule>
  </conditionalFormatting>
  <conditionalFormatting sqref="U101">
    <cfRule type="expression" dxfId="559" priority="401">
      <formula>$C$36=2</formula>
    </cfRule>
  </conditionalFormatting>
  <conditionalFormatting sqref="U101">
    <cfRule type="expression" dxfId="558" priority="400" stopIfTrue="1">
      <formula>$G98=""</formula>
    </cfRule>
  </conditionalFormatting>
  <conditionalFormatting sqref="U106">
    <cfRule type="containsBlanks" dxfId="557" priority="399" stopIfTrue="1">
      <formula>LEN(TRIM(U106))=0</formula>
    </cfRule>
  </conditionalFormatting>
  <conditionalFormatting sqref="U106">
    <cfRule type="expression" dxfId="556" priority="398">
      <formula>$C$36=2</formula>
    </cfRule>
  </conditionalFormatting>
  <conditionalFormatting sqref="U106">
    <cfRule type="expression" dxfId="555" priority="397" stopIfTrue="1">
      <formula>$G103=""</formula>
    </cfRule>
  </conditionalFormatting>
  <conditionalFormatting sqref="U111">
    <cfRule type="containsBlanks" dxfId="554" priority="396" stopIfTrue="1">
      <formula>LEN(TRIM(U111))=0</formula>
    </cfRule>
  </conditionalFormatting>
  <conditionalFormatting sqref="U111">
    <cfRule type="expression" dxfId="553" priority="395">
      <formula>$C$36=2</formula>
    </cfRule>
  </conditionalFormatting>
  <conditionalFormatting sqref="U111">
    <cfRule type="expression" dxfId="552" priority="394" stopIfTrue="1">
      <formula>$G108=""</formula>
    </cfRule>
  </conditionalFormatting>
  <conditionalFormatting sqref="U116">
    <cfRule type="containsBlanks" dxfId="551" priority="393" stopIfTrue="1">
      <formula>LEN(TRIM(U116))=0</formula>
    </cfRule>
  </conditionalFormatting>
  <conditionalFormatting sqref="U116">
    <cfRule type="expression" dxfId="550" priority="392">
      <formula>$C$36=2</formula>
    </cfRule>
  </conditionalFormatting>
  <conditionalFormatting sqref="U116">
    <cfRule type="expression" dxfId="549" priority="391" stopIfTrue="1">
      <formula>$G113=""</formula>
    </cfRule>
  </conditionalFormatting>
  <conditionalFormatting sqref="U121">
    <cfRule type="containsBlanks" dxfId="548" priority="390" stopIfTrue="1">
      <formula>LEN(TRIM(U121))=0</formula>
    </cfRule>
  </conditionalFormatting>
  <conditionalFormatting sqref="U121">
    <cfRule type="expression" dxfId="547" priority="389">
      <formula>$C$36=2</formula>
    </cfRule>
  </conditionalFormatting>
  <conditionalFormatting sqref="U121">
    <cfRule type="expression" dxfId="546" priority="388" stopIfTrue="1">
      <formula>$G118=""</formula>
    </cfRule>
  </conditionalFormatting>
  <conditionalFormatting sqref="U126">
    <cfRule type="containsBlanks" dxfId="545" priority="387" stopIfTrue="1">
      <formula>LEN(TRIM(U126))=0</formula>
    </cfRule>
  </conditionalFormatting>
  <conditionalFormatting sqref="U126">
    <cfRule type="expression" dxfId="544" priority="386">
      <formula>$C$36=2</formula>
    </cfRule>
  </conditionalFormatting>
  <conditionalFormatting sqref="U126">
    <cfRule type="expression" dxfId="543" priority="385" stopIfTrue="1">
      <formula>$G123=""</formula>
    </cfRule>
  </conditionalFormatting>
  <conditionalFormatting sqref="U131">
    <cfRule type="containsBlanks" dxfId="542" priority="384" stopIfTrue="1">
      <formula>LEN(TRIM(U131))=0</formula>
    </cfRule>
  </conditionalFormatting>
  <conditionalFormatting sqref="U131">
    <cfRule type="expression" dxfId="541" priority="383">
      <formula>$C$36=2</formula>
    </cfRule>
  </conditionalFormatting>
  <conditionalFormatting sqref="U131">
    <cfRule type="expression" dxfId="540" priority="382" stopIfTrue="1">
      <formula>$G128=""</formula>
    </cfRule>
  </conditionalFormatting>
  <conditionalFormatting sqref="U136">
    <cfRule type="containsBlanks" dxfId="539" priority="381" stopIfTrue="1">
      <formula>LEN(TRIM(U136))=0</formula>
    </cfRule>
  </conditionalFormatting>
  <conditionalFormatting sqref="U136">
    <cfRule type="expression" dxfId="538" priority="380">
      <formula>$C$36=2</formula>
    </cfRule>
  </conditionalFormatting>
  <conditionalFormatting sqref="U136">
    <cfRule type="expression" dxfId="537" priority="379" stopIfTrue="1">
      <formula>$G133=""</formula>
    </cfRule>
  </conditionalFormatting>
  <conditionalFormatting sqref="U141">
    <cfRule type="containsBlanks" dxfId="536" priority="378" stopIfTrue="1">
      <formula>LEN(TRIM(U141))=0</formula>
    </cfRule>
  </conditionalFormatting>
  <conditionalFormatting sqref="U141">
    <cfRule type="expression" dxfId="535" priority="377">
      <formula>$C$36=2</formula>
    </cfRule>
  </conditionalFormatting>
  <conditionalFormatting sqref="U141">
    <cfRule type="expression" dxfId="534" priority="376" stopIfTrue="1">
      <formula>$G138=""</formula>
    </cfRule>
  </conditionalFormatting>
  <conditionalFormatting sqref="U146">
    <cfRule type="containsBlanks" dxfId="533" priority="375" stopIfTrue="1">
      <formula>LEN(TRIM(U146))=0</formula>
    </cfRule>
  </conditionalFormatting>
  <conditionalFormatting sqref="U146">
    <cfRule type="expression" dxfId="532" priority="374">
      <formula>$C$36=2</formula>
    </cfRule>
  </conditionalFormatting>
  <conditionalFormatting sqref="U146">
    <cfRule type="expression" dxfId="531" priority="373" stopIfTrue="1">
      <formula>$G143=""</formula>
    </cfRule>
  </conditionalFormatting>
  <conditionalFormatting sqref="U151">
    <cfRule type="containsBlanks" dxfId="530" priority="372" stopIfTrue="1">
      <formula>LEN(TRIM(U151))=0</formula>
    </cfRule>
  </conditionalFormatting>
  <conditionalFormatting sqref="U151">
    <cfRule type="expression" dxfId="529" priority="371">
      <formula>$C$36=2</formula>
    </cfRule>
  </conditionalFormatting>
  <conditionalFormatting sqref="U151">
    <cfRule type="expression" dxfId="528" priority="370" stopIfTrue="1">
      <formula>$G148=""</formula>
    </cfRule>
  </conditionalFormatting>
  <conditionalFormatting sqref="U156">
    <cfRule type="containsBlanks" dxfId="527" priority="369" stopIfTrue="1">
      <formula>LEN(TRIM(U156))=0</formula>
    </cfRule>
  </conditionalFormatting>
  <conditionalFormatting sqref="U156">
    <cfRule type="expression" dxfId="526" priority="368">
      <formula>$C$36=2</formula>
    </cfRule>
  </conditionalFormatting>
  <conditionalFormatting sqref="U156">
    <cfRule type="expression" dxfId="525" priority="367" stopIfTrue="1">
      <formula>$G153=""</formula>
    </cfRule>
  </conditionalFormatting>
  <conditionalFormatting sqref="U161">
    <cfRule type="containsBlanks" dxfId="524" priority="366" stopIfTrue="1">
      <formula>LEN(TRIM(U161))=0</formula>
    </cfRule>
  </conditionalFormatting>
  <conditionalFormatting sqref="U161">
    <cfRule type="expression" dxfId="523" priority="365">
      <formula>$C$36=2</formula>
    </cfRule>
  </conditionalFormatting>
  <conditionalFormatting sqref="U161">
    <cfRule type="expression" dxfId="522" priority="364" stopIfTrue="1">
      <formula>$G158=""</formula>
    </cfRule>
  </conditionalFormatting>
  <conditionalFormatting sqref="U166">
    <cfRule type="containsBlanks" dxfId="521" priority="363" stopIfTrue="1">
      <formula>LEN(TRIM(U166))=0</formula>
    </cfRule>
  </conditionalFormatting>
  <conditionalFormatting sqref="U166">
    <cfRule type="expression" dxfId="520" priority="362">
      <formula>$C$36=2</formula>
    </cfRule>
  </conditionalFormatting>
  <conditionalFormatting sqref="U166">
    <cfRule type="expression" dxfId="519" priority="361" stopIfTrue="1">
      <formula>$G163=""</formula>
    </cfRule>
  </conditionalFormatting>
  <conditionalFormatting sqref="U174">
    <cfRule type="containsBlanks" dxfId="518" priority="360" stopIfTrue="1">
      <formula>LEN(TRIM(U174))=0</formula>
    </cfRule>
  </conditionalFormatting>
  <conditionalFormatting sqref="U174">
    <cfRule type="expression" dxfId="517" priority="359">
      <formula>$C$36=2</formula>
    </cfRule>
  </conditionalFormatting>
  <conditionalFormatting sqref="U174">
    <cfRule type="expression" dxfId="516" priority="358" stopIfTrue="1">
      <formula>$G171=""</formula>
    </cfRule>
  </conditionalFormatting>
  <conditionalFormatting sqref="U179">
    <cfRule type="containsBlanks" dxfId="515" priority="357" stopIfTrue="1">
      <formula>LEN(TRIM(U179))=0</formula>
    </cfRule>
  </conditionalFormatting>
  <conditionalFormatting sqref="U179">
    <cfRule type="expression" dxfId="514" priority="356">
      <formula>$C$36=2</formula>
    </cfRule>
  </conditionalFormatting>
  <conditionalFormatting sqref="U179">
    <cfRule type="expression" dxfId="513" priority="355" stopIfTrue="1">
      <formula>$G176=""</formula>
    </cfRule>
  </conditionalFormatting>
  <conditionalFormatting sqref="U184">
    <cfRule type="containsBlanks" dxfId="512" priority="354" stopIfTrue="1">
      <formula>LEN(TRIM(U184))=0</formula>
    </cfRule>
  </conditionalFormatting>
  <conditionalFormatting sqref="U184">
    <cfRule type="expression" dxfId="511" priority="353">
      <formula>$C$36=2</formula>
    </cfRule>
  </conditionalFormatting>
  <conditionalFormatting sqref="U184">
    <cfRule type="expression" dxfId="510" priority="352" stopIfTrue="1">
      <formula>$G181=""</formula>
    </cfRule>
  </conditionalFormatting>
  <conditionalFormatting sqref="U194 U189">
    <cfRule type="containsBlanks" dxfId="509" priority="348" stopIfTrue="1">
      <formula>LEN(TRIM(U189))=0</formula>
    </cfRule>
  </conditionalFormatting>
  <conditionalFormatting sqref="U194 U189">
    <cfRule type="expression" dxfId="508" priority="347">
      <formula>$C$36=2</formula>
    </cfRule>
  </conditionalFormatting>
  <conditionalFormatting sqref="U194 U189">
    <cfRule type="expression" dxfId="507" priority="346" stopIfTrue="1">
      <formula>$G186=""</formula>
    </cfRule>
  </conditionalFormatting>
  <conditionalFormatting sqref="U199">
    <cfRule type="containsBlanks" dxfId="506" priority="345" stopIfTrue="1">
      <formula>LEN(TRIM(U199))=0</formula>
    </cfRule>
  </conditionalFormatting>
  <conditionalFormatting sqref="U199">
    <cfRule type="expression" dxfId="505" priority="344">
      <formula>$C$36=2</formula>
    </cfRule>
  </conditionalFormatting>
  <conditionalFormatting sqref="U199">
    <cfRule type="expression" dxfId="504" priority="343" stopIfTrue="1">
      <formula>$G196=""</formula>
    </cfRule>
  </conditionalFormatting>
  <conditionalFormatting sqref="U204">
    <cfRule type="containsBlanks" dxfId="503" priority="342" stopIfTrue="1">
      <formula>LEN(TRIM(U204))=0</formula>
    </cfRule>
  </conditionalFormatting>
  <conditionalFormatting sqref="U204">
    <cfRule type="expression" dxfId="502" priority="341">
      <formula>$C$36=2</formula>
    </cfRule>
  </conditionalFormatting>
  <conditionalFormatting sqref="U204">
    <cfRule type="expression" dxfId="501" priority="340" stopIfTrue="1">
      <formula>$G201=""</formula>
    </cfRule>
  </conditionalFormatting>
  <conditionalFormatting sqref="U209">
    <cfRule type="containsBlanks" dxfId="500" priority="339" stopIfTrue="1">
      <formula>LEN(TRIM(U209))=0</formula>
    </cfRule>
  </conditionalFormatting>
  <conditionalFormatting sqref="U209">
    <cfRule type="expression" dxfId="499" priority="338">
      <formula>$C$36=2</formula>
    </cfRule>
  </conditionalFormatting>
  <conditionalFormatting sqref="U209">
    <cfRule type="expression" dxfId="498" priority="337" stopIfTrue="1">
      <formula>$G206=""</formula>
    </cfRule>
  </conditionalFormatting>
  <conditionalFormatting sqref="U214">
    <cfRule type="containsBlanks" dxfId="497" priority="336" stopIfTrue="1">
      <formula>LEN(TRIM(U214))=0</formula>
    </cfRule>
  </conditionalFormatting>
  <conditionalFormatting sqref="U214">
    <cfRule type="expression" dxfId="496" priority="335">
      <formula>$C$36=2</formula>
    </cfRule>
  </conditionalFormatting>
  <conditionalFormatting sqref="U214">
    <cfRule type="expression" dxfId="495" priority="334" stopIfTrue="1">
      <formula>$G211=""</formula>
    </cfRule>
  </conditionalFormatting>
  <conditionalFormatting sqref="U219">
    <cfRule type="containsBlanks" dxfId="494" priority="333" stopIfTrue="1">
      <formula>LEN(TRIM(U219))=0</formula>
    </cfRule>
  </conditionalFormatting>
  <conditionalFormatting sqref="U219">
    <cfRule type="expression" dxfId="493" priority="332">
      <formula>$C$36=2</formula>
    </cfRule>
  </conditionalFormatting>
  <conditionalFormatting sqref="U219">
    <cfRule type="expression" dxfId="492" priority="331" stopIfTrue="1">
      <formula>$G216=""</formula>
    </cfRule>
  </conditionalFormatting>
  <conditionalFormatting sqref="U229">
    <cfRule type="containsBlanks" dxfId="491" priority="330" stopIfTrue="1">
      <formula>LEN(TRIM(U229))=0</formula>
    </cfRule>
  </conditionalFormatting>
  <conditionalFormatting sqref="U229">
    <cfRule type="expression" dxfId="490" priority="329">
      <formula>$C$36=2</formula>
    </cfRule>
  </conditionalFormatting>
  <conditionalFormatting sqref="U229">
    <cfRule type="expression" dxfId="489" priority="328" stopIfTrue="1">
      <formula>$G226=""</formula>
    </cfRule>
  </conditionalFormatting>
  <conditionalFormatting sqref="U234">
    <cfRule type="containsBlanks" dxfId="488" priority="327" stopIfTrue="1">
      <formula>LEN(TRIM(U234))=0</formula>
    </cfRule>
  </conditionalFormatting>
  <conditionalFormatting sqref="U234">
    <cfRule type="expression" dxfId="487" priority="326">
      <formula>$C$36=2</formula>
    </cfRule>
  </conditionalFormatting>
  <conditionalFormatting sqref="U234">
    <cfRule type="expression" dxfId="486" priority="325" stopIfTrue="1">
      <formula>$G231=""</formula>
    </cfRule>
  </conditionalFormatting>
  <conditionalFormatting sqref="U239">
    <cfRule type="containsBlanks" dxfId="485" priority="324" stopIfTrue="1">
      <formula>LEN(TRIM(U239))=0</formula>
    </cfRule>
  </conditionalFormatting>
  <conditionalFormatting sqref="U239">
    <cfRule type="expression" dxfId="484" priority="323">
      <formula>$C$36=2</formula>
    </cfRule>
  </conditionalFormatting>
  <conditionalFormatting sqref="U239">
    <cfRule type="expression" dxfId="483" priority="322" stopIfTrue="1">
      <formula>$G236=""</formula>
    </cfRule>
  </conditionalFormatting>
  <conditionalFormatting sqref="U244">
    <cfRule type="containsBlanks" dxfId="482" priority="321" stopIfTrue="1">
      <formula>LEN(TRIM(U244))=0</formula>
    </cfRule>
  </conditionalFormatting>
  <conditionalFormatting sqref="U244">
    <cfRule type="expression" dxfId="481" priority="320">
      <formula>$C$36=2</formula>
    </cfRule>
  </conditionalFormatting>
  <conditionalFormatting sqref="U244">
    <cfRule type="expression" dxfId="480" priority="319" stopIfTrue="1">
      <formula>$G241=""</formula>
    </cfRule>
  </conditionalFormatting>
  <conditionalFormatting sqref="U252">
    <cfRule type="containsBlanks" dxfId="479" priority="318" stopIfTrue="1">
      <formula>LEN(TRIM(U252))=0</formula>
    </cfRule>
  </conditionalFormatting>
  <conditionalFormatting sqref="U252">
    <cfRule type="expression" dxfId="478" priority="317">
      <formula>$C$36=2</formula>
    </cfRule>
  </conditionalFormatting>
  <conditionalFormatting sqref="U252">
    <cfRule type="expression" dxfId="477" priority="316" stopIfTrue="1">
      <formula>$G249=""</formula>
    </cfRule>
  </conditionalFormatting>
  <conditionalFormatting sqref="U257">
    <cfRule type="containsBlanks" dxfId="476" priority="315" stopIfTrue="1">
      <formula>LEN(TRIM(U257))=0</formula>
    </cfRule>
  </conditionalFormatting>
  <conditionalFormatting sqref="U257">
    <cfRule type="expression" dxfId="475" priority="314">
      <formula>$C$36=2</formula>
    </cfRule>
  </conditionalFormatting>
  <conditionalFormatting sqref="U257">
    <cfRule type="expression" dxfId="474" priority="313" stopIfTrue="1">
      <formula>$G254=""</formula>
    </cfRule>
  </conditionalFormatting>
  <conditionalFormatting sqref="U262">
    <cfRule type="containsBlanks" dxfId="473" priority="312" stopIfTrue="1">
      <formula>LEN(TRIM(U262))=0</formula>
    </cfRule>
  </conditionalFormatting>
  <conditionalFormatting sqref="U262">
    <cfRule type="expression" dxfId="472" priority="311">
      <formula>$C$36=2</formula>
    </cfRule>
  </conditionalFormatting>
  <conditionalFormatting sqref="U262">
    <cfRule type="expression" dxfId="471" priority="310" stopIfTrue="1">
      <formula>$G259=""</formula>
    </cfRule>
  </conditionalFormatting>
  <conditionalFormatting sqref="U267">
    <cfRule type="containsBlanks" dxfId="470" priority="309" stopIfTrue="1">
      <formula>LEN(TRIM(U267))=0</formula>
    </cfRule>
  </conditionalFormatting>
  <conditionalFormatting sqref="U267">
    <cfRule type="expression" dxfId="469" priority="308">
      <formula>$C$36=2</formula>
    </cfRule>
  </conditionalFormatting>
  <conditionalFormatting sqref="U267">
    <cfRule type="expression" dxfId="468" priority="307" stopIfTrue="1">
      <formula>$G264=""</formula>
    </cfRule>
  </conditionalFormatting>
  <conditionalFormatting sqref="U272">
    <cfRule type="containsBlanks" dxfId="467" priority="306" stopIfTrue="1">
      <formula>LEN(TRIM(U272))=0</formula>
    </cfRule>
  </conditionalFormatting>
  <conditionalFormatting sqref="U272">
    <cfRule type="expression" dxfId="466" priority="305">
      <formula>$C$36=2</formula>
    </cfRule>
  </conditionalFormatting>
  <conditionalFormatting sqref="U272">
    <cfRule type="expression" dxfId="465" priority="304" stopIfTrue="1">
      <formula>$G269=""</formula>
    </cfRule>
  </conditionalFormatting>
  <conditionalFormatting sqref="U277">
    <cfRule type="containsBlanks" dxfId="464" priority="303" stopIfTrue="1">
      <formula>LEN(TRIM(U277))=0</formula>
    </cfRule>
  </conditionalFormatting>
  <conditionalFormatting sqref="U277">
    <cfRule type="expression" dxfId="463" priority="302">
      <formula>$C$36=2</formula>
    </cfRule>
  </conditionalFormatting>
  <conditionalFormatting sqref="U277">
    <cfRule type="expression" dxfId="462" priority="301" stopIfTrue="1">
      <formula>$G274=""</formula>
    </cfRule>
  </conditionalFormatting>
  <conditionalFormatting sqref="U282">
    <cfRule type="containsBlanks" dxfId="461" priority="300" stopIfTrue="1">
      <formula>LEN(TRIM(U282))=0</formula>
    </cfRule>
  </conditionalFormatting>
  <conditionalFormatting sqref="U282">
    <cfRule type="expression" dxfId="460" priority="299">
      <formula>$C$36=2</formula>
    </cfRule>
  </conditionalFormatting>
  <conditionalFormatting sqref="U282">
    <cfRule type="expression" dxfId="459" priority="298" stopIfTrue="1">
      <formula>$G279=""</formula>
    </cfRule>
  </conditionalFormatting>
  <conditionalFormatting sqref="U287">
    <cfRule type="containsBlanks" dxfId="458" priority="297" stopIfTrue="1">
      <formula>LEN(TRIM(U287))=0</formula>
    </cfRule>
  </conditionalFormatting>
  <conditionalFormatting sqref="U287">
    <cfRule type="expression" dxfId="457" priority="296">
      <formula>$C$36=2</formula>
    </cfRule>
  </conditionalFormatting>
  <conditionalFormatting sqref="U287">
    <cfRule type="expression" dxfId="456" priority="295" stopIfTrue="1">
      <formula>$G284=""</formula>
    </cfRule>
  </conditionalFormatting>
  <conditionalFormatting sqref="U292">
    <cfRule type="containsBlanks" dxfId="455" priority="294" stopIfTrue="1">
      <formula>LEN(TRIM(U292))=0</formula>
    </cfRule>
  </conditionalFormatting>
  <conditionalFormatting sqref="U292">
    <cfRule type="expression" dxfId="454" priority="293">
      <formula>$C$36=2</formula>
    </cfRule>
  </conditionalFormatting>
  <conditionalFormatting sqref="U292">
    <cfRule type="expression" dxfId="453" priority="292" stopIfTrue="1">
      <formula>$G289=""</formula>
    </cfRule>
  </conditionalFormatting>
  <conditionalFormatting sqref="U297">
    <cfRule type="containsBlanks" dxfId="452" priority="291" stopIfTrue="1">
      <formula>LEN(TRIM(U297))=0</formula>
    </cfRule>
  </conditionalFormatting>
  <conditionalFormatting sqref="U297">
    <cfRule type="expression" dxfId="451" priority="290">
      <formula>$C$36=2</formula>
    </cfRule>
  </conditionalFormatting>
  <conditionalFormatting sqref="U297">
    <cfRule type="expression" dxfId="450" priority="289" stopIfTrue="1">
      <formula>$G294=""</formula>
    </cfRule>
  </conditionalFormatting>
  <conditionalFormatting sqref="U302">
    <cfRule type="containsBlanks" dxfId="449" priority="288" stopIfTrue="1">
      <formula>LEN(TRIM(U302))=0</formula>
    </cfRule>
  </conditionalFormatting>
  <conditionalFormatting sqref="U302">
    <cfRule type="expression" dxfId="448" priority="287">
      <formula>$C$36=2</formula>
    </cfRule>
  </conditionalFormatting>
  <conditionalFormatting sqref="U302">
    <cfRule type="expression" dxfId="447" priority="286" stopIfTrue="1">
      <formula>$G299=""</formula>
    </cfRule>
  </conditionalFormatting>
  <conditionalFormatting sqref="U307">
    <cfRule type="containsBlanks" dxfId="446" priority="285" stopIfTrue="1">
      <formula>LEN(TRIM(U307))=0</formula>
    </cfRule>
  </conditionalFormatting>
  <conditionalFormatting sqref="U307">
    <cfRule type="expression" dxfId="445" priority="284">
      <formula>$C$36=2</formula>
    </cfRule>
  </conditionalFormatting>
  <conditionalFormatting sqref="U307">
    <cfRule type="expression" dxfId="444" priority="283" stopIfTrue="1">
      <formula>$G304=""</formula>
    </cfRule>
  </conditionalFormatting>
  <conditionalFormatting sqref="U312">
    <cfRule type="containsBlanks" dxfId="443" priority="282" stopIfTrue="1">
      <formula>LEN(TRIM(U312))=0</formula>
    </cfRule>
  </conditionalFormatting>
  <conditionalFormatting sqref="U312">
    <cfRule type="expression" dxfId="442" priority="281">
      <formula>$C$36=2</formula>
    </cfRule>
  </conditionalFormatting>
  <conditionalFormatting sqref="U312">
    <cfRule type="expression" dxfId="441" priority="280" stopIfTrue="1">
      <formula>$G309=""</formula>
    </cfRule>
  </conditionalFormatting>
  <conditionalFormatting sqref="U317">
    <cfRule type="containsBlanks" dxfId="440" priority="279" stopIfTrue="1">
      <formula>LEN(TRIM(U317))=0</formula>
    </cfRule>
  </conditionalFormatting>
  <conditionalFormatting sqref="U317">
    <cfRule type="expression" dxfId="439" priority="278">
      <formula>$C$36=2</formula>
    </cfRule>
  </conditionalFormatting>
  <conditionalFormatting sqref="U317">
    <cfRule type="expression" dxfId="438" priority="277" stopIfTrue="1">
      <formula>$G314=""</formula>
    </cfRule>
  </conditionalFormatting>
  <conditionalFormatting sqref="U322">
    <cfRule type="containsBlanks" dxfId="437" priority="276" stopIfTrue="1">
      <formula>LEN(TRIM(U322))=0</formula>
    </cfRule>
  </conditionalFormatting>
  <conditionalFormatting sqref="U322">
    <cfRule type="expression" dxfId="436" priority="275">
      <formula>$C$36=2</formula>
    </cfRule>
  </conditionalFormatting>
  <conditionalFormatting sqref="U322">
    <cfRule type="expression" dxfId="435" priority="274" stopIfTrue="1">
      <formula>$G319=""</formula>
    </cfRule>
  </conditionalFormatting>
  <conditionalFormatting sqref="U330">
    <cfRule type="containsBlanks" dxfId="434" priority="273" stopIfTrue="1">
      <formula>LEN(TRIM(U330))=0</formula>
    </cfRule>
  </conditionalFormatting>
  <conditionalFormatting sqref="U330">
    <cfRule type="expression" dxfId="433" priority="272">
      <formula>$C$36=2</formula>
    </cfRule>
  </conditionalFormatting>
  <conditionalFormatting sqref="U330">
    <cfRule type="expression" dxfId="432" priority="271" stopIfTrue="1">
      <formula>$G327=""</formula>
    </cfRule>
  </conditionalFormatting>
  <conditionalFormatting sqref="U335">
    <cfRule type="containsBlanks" dxfId="431" priority="270" stopIfTrue="1">
      <formula>LEN(TRIM(U335))=0</formula>
    </cfRule>
  </conditionalFormatting>
  <conditionalFormatting sqref="U335">
    <cfRule type="expression" dxfId="430" priority="269">
      <formula>$C$36=2</formula>
    </cfRule>
  </conditionalFormatting>
  <conditionalFormatting sqref="U335">
    <cfRule type="expression" dxfId="429" priority="268" stopIfTrue="1">
      <formula>$G332=""</formula>
    </cfRule>
  </conditionalFormatting>
  <conditionalFormatting sqref="U340">
    <cfRule type="containsBlanks" dxfId="428" priority="267" stopIfTrue="1">
      <formula>LEN(TRIM(U340))=0</formula>
    </cfRule>
  </conditionalFormatting>
  <conditionalFormatting sqref="U340">
    <cfRule type="expression" dxfId="427" priority="266">
      <formula>$C$36=2</formula>
    </cfRule>
  </conditionalFormatting>
  <conditionalFormatting sqref="U340">
    <cfRule type="expression" dxfId="426" priority="265" stopIfTrue="1">
      <formula>$G337=""</formula>
    </cfRule>
  </conditionalFormatting>
  <conditionalFormatting sqref="U345">
    <cfRule type="containsBlanks" dxfId="425" priority="264" stopIfTrue="1">
      <formula>LEN(TRIM(U345))=0</formula>
    </cfRule>
  </conditionalFormatting>
  <conditionalFormatting sqref="U345">
    <cfRule type="expression" dxfId="424" priority="263">
      <formula>$C$36=2</formula>
    </cfRule>
  </conditionalFormatting>
  <conditionalFormatting sqref="U345">
    <cfRule type="expression" dxfId="423" priority="262" stopIfTrue="1">
      <formula>$G342=""</formula>
    </cfRule>
  </conditionalFormatting>
  <conditionalFormatting sqref="U355 U350">
    <cfRule type="containsBlanks" dxfId="422" priority="258" stopIfTrue="1">
      <formula>LEN(TRIM(U350))=0</formula>
    </cfRule>
  </conditionalFormatting>
  <conditionalFormatting sqref="U355 U350">
    <cfRule type="expression" dxfId="421" priority="257">
      <formula>$C$36=2</formula>
    </cfRule>
  </conditionalFormatting>
  <conditionalFormatting sqref="U355 U350">
    <cfRule type="expression" dxfId="420" priority="256" stopIfTrue="1">
      <formula>$G347=""</formula>
    </cfRule>
  </conditionalFormatting>
  <conditionalFormatting sqref="U360">
    <cfRule type="containsBlanks" dxfId="419" priority="255" stopIfTrue="1">
      <formula>LEN(TRIM(U360))=0</formula>
    </cfRule>
  </conditionalFormatting>
  <conditionalFormatting sqref="U360">
    <cfRule type="expression" dxfId="418" priority="254">
      <formula>$C$36=2</formula>
    </cfRule>
  </conditionalFormatting>
  <conditionalFormatting sqref="U360">
    <cfRule type="expression" dxfId="417" priority="253" stopIfTrue="1">
      <formula>$G357=""</formula>
    </cfRule>
  </conditionalFormatting>
  <conditionalFormatting sqref="U365">
    <cfRule type="containsBlanks" dxfId="416" priority="252" stopIfTrue="1">
      <formula>LEN(TRIM(U365))=0</formula>
    </cfRule>
  </conditionalFormatting>
  <conditionalFormatting sqref="U365">
    <cfRule type="expression" dxfId="415" priority="251">
      <formula>$C$36=2</formula>
    </cfRule>
  </conditionalFormatting>
  <conditionalFormatting sqref="U365">
    <cfRule type="expression" dxfId="414" priority="250" stopIfTrue="1">
      <formula>$G362=""</formula>
    </cfRule>
  </conditionalFormatting>
  <conditionalFormatting sqref="U370">
    <cfRule type="containsBlanks" dxfId="413" priority="249" stopIfTrue="1">
      <formula>LEN(TRIM(U370))=0</formula>
    </cfRule>
  </conditionalFormatting>
  <conditionalFormatting sqref="U370">
    <cfRule type="expression" dxfId="412" priority="248">
      <formula>$C$36=2</formula>
    </cfRule>
  </conditionalFormatting>
  <conditionalFormatting sqref="U370">
    <cfRule type="expression" dxfId="411" priority="247" stopIfTrue="1">
      <formula>$G367=""</formula>
    </cfRule>
  </conditionalFormatting>
  <conditionalFormatting sqref="U375">
    <cfRule type="containsBlanks" dxfId="410" priority="246" stopIfTrue="1">
      <formula>LEN(TRIM(U375))=0</formula>
    </cfRule>
  </conditionalFormatting>
  <conditionalFormatting sqref="U375">
    <cfRule type="expression" dxfId="409" priority="245">
      <formula>$C$36=2</formula>
    </cfRule>
  </conditionalFormatting>
  <conditionalFormatting sqref="U375">
    <cfRule type="expression" dxfId="408" priority="244" stopIfTrue="1">
      <formula>$G372=""</formula>
    </cfRule>
  </conditionalFormatting>
  <conditionalFormatting sqref="U380">
    <cfRule type="containsBlanks" dxfId="407" priority="243" stopIfTrue="1">
      <formula>LEN(TRIM(U380))=0</formula>
    </cfRule>
  </conditionalFormatting>
  <conditionalFormatting sqref="U380">
    <cfRule type="expression" dxfId="406" priority="242">
      <formula>$C$36=2</formula>
    </cfRule>
  </conditionalFormatting>
  <conditionalFormatting sqref="U380">
    <cfRule type="expression" dxfId="405" priority="241" stopIfTrue="1">
      <formula>$G377=""</formula>
    </cfRule>
  </conditionalFormatting>
  <conditionalFormatting sqref="U385">
    <cfRule type="containsBlanks" dxfId="404" priority="240" stopIfTrue="1">
      <formula>LEN(TRIM(U385))=0</formula>
    </cfRule>
  </conditionalFormatting>
  <conditionalFormatting sqref="U385">
    <cfRule type="expression" dxfId="403" priority="239">
      <formula>$C$36=2</formula>
    </cfRule>
  </conditionalFormatting>
  <conditionalFormatting sqref="U385">
    <cfRule type="expression" dxfId="402" priority="238" stopIfTrue="1">
      <formula>$G382=""</formula>
    </cfRule>
  </conditionalFormatting>
  <conditionalFormatting sqref="U390">
    <cfRule type="containsBlanks" dxfId="401" priority="237" stopIfTrue="1">
      <formula>LEN(TRIM(U390))=0</formula>
    </cfRule>
  </conditionalFormatting>
  <conditionalFormatting sqref="U390">
    <cfRule type="expression" dxfId="400" priority="236">
      <formula>$C$36=2</formula>
    </cfRule>
  </conditionalFormatting>
  <conditionalFormatting sqref="U390">
    <cfRule type="expression" dxfId="399" priority="235" stopIfTrue="1">
      <formula>$G387=""</formula>
    </cfRule>
  </conditionalFormatting>
  <conditionalFormatting sqref="U395">
    <cfRule type="containsBlanks" dxfId="398" priority="234" stopIfTrue="1">
      <formula>LEN(TRIM(U395))=0</formula>
    </cfRule>
  </conditionalFormatting>
  <conditionalFormatting sqref="U395">
    <cfRule type="expression" dxfId="397" priority="233">
      <formula>$C$36=2</formula>
    </cfRule>
  </conditionalFormatting>
  <conditionalFormatting sqref="U395">
    <cfRule type="expression" dxfId="396" priority="232" stopIfTrue="1">
      <formula>$G392=""</formula>
    </cfRule>
  </conditionalFormatting>
  <conditionalFormatting sqref="U400">
    <cfRule type="containsBlanks" dxfId="395" priority="231" stopIfTrue="1">
      <formula>LEN(TRIM(U400))=0</formula>
    </cfRule>
  </conditionalFormatting>
  <conditionalFormatting sqref="U400">
    <cfRule type="expression" dxfId="394" priority="230">
      <formula>$C$36=2</formula>
    </cfRule>
  </conditionalFormatting>
  <conditionalFormatting sqref="U400">
    <cfRule type="expression" dxfId="393" priority="229" stopIfTrue="1">
      <formula>$G397=""</formula>
    </cfRule>
  </conditionalFormatting>
  <conditionalFormatting sqref="U408">
    <cfRule type="containsBlanks" dxfId="392" priority="228" stopIfTrue="1">
      <formula>LEN(TRIM(U408))=0</formula>
    </cfRule>
  </conditionalFormatting>
  <conditionalFormatting sqref="U408">
    <cfRule type="expression" dxfId="391" priority="227">
      <formula>$C$36=2</formula>
    </cfRule>
  </conditionalFormatting>
  <conditionalFormatting sqref="U408">
    <cfRule type="expression" dxfId="390" priority="226" stopIfTrue="1">
      <formula>$G405=""</formula>
    </cfRule>
  </conditionalFormatting>
  <conditionalFormatting sqref="U413">
    <cfRule type="containsBlanks" dxfId="389" priority="225" stopIfTrue="1">
      <formula>LEN(TRIM(U413))=0</formula>
    </cfRule>
  </conditionalFormatting>
  <conditionalFormatting sqref="U413">
    <cfRule type="expression" dxfId="388" priority="224">
      <formula>$C$36=2</formula>
    </cfRule>
  </conditionalFormatting>
  <conditionalFormatting sqref="U413">
    <cfRule type="expression" dxfId="387" priority="223" stopIfTrue="1">
      <formula>$G410=""</formula>
    </cfRule>
  </conditionalFormatting>
  <conditionalFormatting sqref="U423 U418">
    <cfRule type="containsBlanks" dxfId="386" priority="219" stopIfTrue="1">
      <formula>LEN(TRIM(U418))=0</formula>
    </cfRule>
  </conditionalFormatting>
  <conditionalFormatting sqref="U423 U418">
    <cfRule type="expression" dxfId="385" priority="218">
      <formula>$C$36=2</formula>
    </cfRule>
  </conditionalFormatting>
  <conditionalFormatting sqref="U423 U418">
    <cfRule type="expression" dxfId="384" priority="217" stopIfTrue="1">
      <formula>$G415=""</formula>
    </cfRule>
  </conditionalFormatting>
  <conditionalFormatting sqref="U428">
    <cfRule type="containsBlanks" dxfId="383" priority="216" stopIfTrue="1">
      <formula>LEN(TRIM(U428))=0</formula>
    </cfRule>
  </conditionalFormatting>
  <conditionalFormatting sqref="U428">
    <cfRule type="expression" dxfId="382" priority="215">
      <formula>$C$36=2</formula>
    </cfRule>
  </conditionalFormatting>
  <conditionalFormatting sqref="U428">
    <cfRule type="expression" dxfId="381" priority="214" stopIfTrue="1">
      <formula>$G425=""</formula>
    </cfRule>
  </conditionalFormatting>
  <conditionalFormatting sqref="U433">
    <cfRule type="containsBlanks" dxfId="380" priority="213" stopIfTrue="1">
      <formula>LEN(TRIM(U433))=0</formula>
    </cfRule>
  </conditionalFormatting>
  <conditionalFormatting sqref="U433">
    <cfRule type="expression" dxfId="379" priority="212">
      <formula>$C$36=2</formula>
    </cfRule>
  </conditionalFormatting>
  <conditionalFormatting sqref="U433">
    <cfRule type="expression" dxfId="378" priority="211" stopIfTrue="1">
      <formula>$G430=""</formula>
    </cfRule>
  </conditionalFormatting>
  <conditionalFormatting sqref="U438">
    <cfRule type="containsBlanks" dxfId="377" priority="210" stopIfTrue="1">
      <formula>LEN(TRIM(U438))=0</formula>
    </cfRule>
  </conditionalFormatting>
  <conditionalFormatting sqref="U438">
    <cfRule type="expression" dxfId="376" priority="209">
      <formula>$C$36=2</formula>
    </cfRule>
  </conditionalFormatting>
  <conditionalFormatting sqref="U438">
    <cfRule type="expression" dxfId="375" priority="208" stopIfTrue="1">
      <formula>$G435=""</formula>
    </cfRule>
  </conditionalFormatting>
  <conditionalFormatting sqref="U443">
    <cfRule type="containsBlanks" dxfId="374" priority="207" stopIfTrue="1">
      <formula>LEN(TRIM(U443))=0</formula>
    </cfRule>
  </conditionalFormatting>
  <conditionalFormatting sqref="U443">
    <cfRule type="expression" dxfId="373" priority="206">
      <formula>$C$36=2</formula>
    </cfRule>
  </conditionalFormatting>
  <conditionalFormatting sqref="U443">
    <cfRule type="expression" dxfId="372" priority="205" stopIfTrue="1">
      <formula>$G440=""</formula>
    </cfRule>
  </conditionalFormatting>
  <conditionalFormatting sqref="U448">
    <cfRule type="containsBlanks" dxfId="371" priority="204" stopIfTrue="1">
      <formula>LEN(TRIM(U448))=0</formula>
    </cfRule>
  </conditionalFormatting>
  <conditionalFormatting sqref="U448">
    <cfRule type="expression" dxfId="370" priority="203">
      <formula>$C$36=2</formula>
    </cfRule>
  </conditionalFormatting>
  <conditionalFormatting sqref="U448">
    <cfRule type="expression" dxfId="369" priority="202" stopIfTrue="1">
      <formula>$G445=""</formula>
    </cfRule>
  </conditionalFormatting>
  <conditionalFormatting sqref="U453">
    <cfRule type="containsBlanks" dxfId="368" priority="201" stopIfTrue="1">
      <formula>LEN(TRIM(U453))=0</formula>
    </cfRule>
  </conditionalFormatting>
  <conditionalFormatting sqref="U453">
    <cfRule type="expression" dxfId="367" priority="200">
      <formula>$C$36=2</formula>
    </cfRule>
  </conditionalFormatting>
  <conditionalFormatting sqref="U453">
    <cfRule type="expression" dxfId="366" priority="199" stopIfTrue="1">
      <formula>$G450=""</formula>
    </cfRule>
  </conditionalFormatting>
  <conditionalFormatting sqref="U458">
    <cfRule type="containsBlanks" dxfId="365" priority="198" stopIfTrue="1">
      <formula>LEN(TRIM(U458))=0</formula>
    </cfRule>
  </conditionalFormatting>
  <conditionalFormatting sqref="U458">
    <cfRule type="expression" dxfId="364" priority="197">
      <formula>$C$36=2</formula>
    </cfRule>
  </conditionalFormatting>
  <conditionalFormatting sqref="U458">
    <cfRule type="expression" dxfId="363" priority="196" stopIfTrue="1">
      <formula>$G455=""</formula>
    </cfRule>
  </conditionalFormatting>
  <conditionalFormatting sqref="U463">
    <cfRule type="containsBlanks" dxfId="362" priority="195" stopIfTrue="1">
      <formula>LEN(TRIM(U463))=0</formula>
    </cfRule>
  </conditionalFormatting>
  <conditionalFormatting sqref="U463">
    <cfRule type="expression" dxfId="361" priority="194">
      <formula>$C$36=2</formula>
    </cfRule>
  </conditionalFormatting>
  <conditionalFormatting sqref="U463">
    <cfRule type="expression" dxfId="360" priority="193" stopIfTrue="1">
      <formula>$G460=""</formula>
    </cfRule>
  </conditionalFormatting>
  <conditionalFormatting sqref="U468">
    <cfRule type="containsBlanks" dxfId="359" priority="192" stopIfTrue="1">
      <formula>LEN(TRIM(U468))=0</formula>
    </cfRule>
  </conditionalFormatting>
  <conditionalFormatting sqref="U468">
    <cfRule type="expression" dxfId="358" priority="191">
      <formula>$C$36=2</formula>
    </cfRule>
  </conditionalFormatting>
  <conditionalFormatting sqref="U468">
    <cfRule type="expression" dxfId="357" priority="190" stopIfTrue="1">
      <formula>$G465=""</formula>
    </cfRule>
  </conditionalFormatting>
  <conditionalFormatting sqref="U473">
    <cfRule type="containsBlanks" dxfId="356" priority="189" stopIfTrue="1">
      <formula>LEN(TRIM(U473))=0</formula>
    </cfRule>
  </conditionalFormatting>
  <conditionalFormatting sqref="U473">
    <cfRule type="expression" dxfId="355" priority="188">
      <formula>$C$36=2</formula>
    </cfRule>
  </conditionalFormatting>
  <conditionalFormatting sqref="U473">
    <cfRule type="expression" dxfId="354" priority="187" stopIfTrue="1">
      <formula>$G470=""</formula>
    </cfRule>
  </conditionalFormatting>
  <conditionalFormatting sqref="U478">
    <cfRule type="containsBlanks" dxfId="353" priority="186" stopIfTrue="1">
      <formula>LEN(TRIM(U478))=0</formula>
    </cfRule>
  </conditionalFormatting>
  <conditionalFormatting sqref="U478">
    <cfRule type="expression" dxfId="352" priority="185">
      <formula>$C$36=2</formula>
    </cfRule>
  </conditionalFormatting>
  <conditionalFormatting sqref="U478">
    <cfRule type="expression" dxfId="351" priority="184" stopIfTrue="1">
      <formula>$G475=""</formula>
    </cfRule>
  </conditionalFormatting>
  <conditionalFormatting sqref="U486">
    <cfRule type="containsBlanks" dxfId="350" priority="183" stopIfTrue="1">
      <formula>LEN(TRIM(U486))=0</formula>
    </cfRule>
  </conditionalFormatting>
  <conditionalFormatting sqref="U486">
    <cfRule type="expression" dxfId="349" priority="182">
      <formula>$C$36=2</formula>
    </cfRule>
  </conditionalFormatting>
  <conditionalFormatting sqref="U486">
    <cfRule type="expression" dxfId="348" priority="181" stopIfTrue="1">
      <formula>$G483=""</formula>
    </cfRule>
  </conditionalFormatting>
  <conditionalFormatting sqref="U491">
    <cfRule type="containsBlanks" dxfId="347" priority="180" stopIfTrue="1">
      <formula>LEN(TRIM(U491))=0</formula>
    </cfRule>
  </conditionalFormatting>
  <conditionalFormatting sqref="U491">
    <cfRule type="expression" dxfId="346" priority="179">
      <formula>$C$36=2</formula>
    </cfRule>
  </conditionalFormatting>
  <conditionalFormatting sqref="U491">
    <cfRule type="expression" dxfId="345" priority="178" stopIfTrue="1">
      <formula>$G488=""</formula>
    </cfRule>
  </conditionalFormatting>
  <conditionalFormatting sqref="U496">
    <cfRule type="containsBlanks" dxfId="344" priority="177" stopIfTrue="1">
      <formula>LEN(TRIM(U496))=0</formula>
    </cfRule>
  </conditionalFormatting>
  <conditionalFormatting sqref="U496">
    <cfRule type="expression" dxfId="343" priority="176">
      <formula>$C$36=2</formula>
    </cfRule>
  </conditionalFormatting>
  <conditionalFormatting sqref="U496">
    <cfRule type="expression" dxfId="342" priority="175" stopIfTrue="1">
      <formula>$G493=""</formula>
    </cfRule>
  </conditionalFormatting>
  <conditionalFormatting sqref="U501">
    <cfRule type="containsBlanks" dxfId="341" priority="174" stopIfTrue="1">
      <formula>LEN(TRIM(U501))=0</formula>
    </cfRule>
  </conditionalFormatting>
  <conditionalFormatting sqref="U501">
    <cfRule type="expression" dxfId="340" priority="173">
      <formula>$C$36=2</formula>
    </cfRule>
  </conditionalFormatting>
  <conditionalFormatting sqref="U501">
    <cfRule type="expression" dxfId="339" priority="172" stopIfTrue="1">
      <formula>$G498=""</formula>
    </cfRule>
  </conditionalFormatting>
  <conditionalFormatting sqref="U511 U506">
    <cfRule type="containsBlanks" dxfId="338" priority="168" stopIfTrue="1">
      <formula>LEN(TRIM(U506))=0</formula>
    </cfRule>
  </conditionalFormatting>
  <conditionalFormatting sqref="U511 U506">
    <cfRule type="expression" dxfId="337" priority="167">
      <formula>$C$36=2</formula>
    </cfRule>
  </conditionalFormatting>
  <conditionalFormatting sqref="U511 U506">
    <cfRule type="expression" dxfId="336" priority="166" stopIfTrue="1">
      <formula>$G503=""</formula>
    </cfRule>
  </conditionalFormatting>
  <conditionalFormatting sqref="U516">
    <cfRule type="containsBlanks" dxfId="335" priority="165" stopIfTrue="1">
      <formula>LEN(TRIM(U516))=0</formula>
    </cfRule>
  </conditionalFormatting>
  <conditionalFormatting sqref="U516">
    <cfRule type="expression" dxfId="334" priority="164">
      <formula>$C$36=2</formula>
    </cfRule>
  </conditionalFormatting>
  <conditionalFormatting sqref="U516">
    <cfRule type="expression" dxfId="333" priority="163" stopIfTrue="1">
      <formula>$G513=""</formula>
    </cfRule>
  </conditionalFormatting>
  <conditionalFormatting sqref="U521">
    <cfRule type="containsBlanks" dxfId="332" priority="162" stopIfTrue="1">
      <formula>LEN(TRIM(U521))=0</formula>
    </cfRule>
  </conditionalFormatting>
  <conditionalFormatting sqref="U521">
    <cfRule type="expression" dxfId="331" priority="161">
      <formula>$C$36=2</formula>
    </cfRule>
  </conditionalFormatting>
  <conditionalFormatting sqref="U521">
    <cfRule type="expression" dxfId="330" priority="160" stopIfTrue="1">
      <formula>$G518=""</formula>
    </cfRule>
  </conditionalFormatting>
  <conditionalFormatting sqref="U526">
    <cfRule type="containsBlanks" dxfId="329" priority="159" stopIfTrue="1">
      <formula>LEN(TRIM(U526))=0</formula>
    </cfRule>
  </conditionalFormatting>
  <conditionalFormatting sqref="U526">
    <cfRule type="expression" dxfId="328" priority="158">
      <formula>$C$36=2</formula>
    </cfRule>
  </conditionalFormatting>
  <conditionalFormatting sqref="U526">
    <cfRule type="expression" dxfId="327" priority="157" stopIfTrue="1">
      <formula>$G523=""</formula>
    </cfRule>
  </conditionalFormatting>
  <conditionalFormatting sqref="U531">
    <cfRule type="containsBlanks" dxfId="326" priority="156" stopIfTrue="1">
      <formula>LEN(TRIM(U531))=0</formula>
    </cfRule>
  </conditionalFormatting>
  <conditionalFormatting sqref="U531">
    <cfRule type="expression" dxfId="325" priority="155">
      <formula>$C$36=2</formula>
    </cfRule>
  </conditionalFormatting>
  <conditionalFormatting sqref="U531">
    <cfRule type="expression" dxfId="324" priority="154" stopIfTrue="1">
      <formula>$G528=""</formula>
    </cfRule>
  </conditionalFormatting>
  <conditionalFormatting sqref="U541 U536">
    <cfRule type="containsBlanks" dxfId="323" priority="150" stopIfTrue="1">
      <formula>LEN(TRIM(U536))=0</formula>
    </cfRule>
  </conditionalFormatting>
  <conditionalFormatting sqref="U541 U536">
    <cfRule type="expression" dxfId="322" priority="149">
      <formula>$C$36=2</formula>
    </cfRule>
  </conditionalFormatting>
  <conditionalFormatting sqref="U541 U536">
    <cfRule type="expression" dxfId="321" priority="148" stopIfTrue="1">
      <formula>$G533=""</formula>
    </cfRule>
  </conditionalFormatting>
  <conditionalFormatting sqref="U546">
    <cfRule type="containsBlanks" dxfId="320" priority="147" stopIfTrue="1">
      <formula>LEN(TRIM(U546))=0</formula>
    </cfRule>
  </conditionalFormatting>
  <conditionalFormatting sqref="U546">
    <cfRule type="expression" dxfId="319" priority="146">
      <formula>$C$36=2</formula>
    </cfRule>
  </conditionalFormatting>
  <conditionalFormatting sqref="U546">
    <cfRule type="expression" dxfId="318" priority="145" stopIfTrue="1">
      <formula>$G543=""</formula>
    </cfRule>
  </conditionalFormatting>
  <conditionalFormatting sqref="U551">
    <cfRule type="containsBlanks" dxfId="317" priority="144" stopIfTrue="1">
      <formula>LEN(TRIM(U551))=0</formula>
    </cfRule>
  </conditionalFormatting>
  <conditionalFormatting sqref="U551">
    <cfRule type="expression" dxfId="316" priority="143">
      <formula>$C$36=2</formula>
    </cfRule>
  </conditionalFormatting>
  <conditionalFormatting sqref="U551">
    <cfRule type="expression" dxfId="315" priority="142" stopIfTrue="1">
      <formula>$G548=""</formula>
    </cfRule>
  </conditionalFormatting>
  <conditionalFormatting sqref="U556">
    <cfRule type="containsBlanks" dxfId="314" priority="141" stopIfTrue="1">
      <formula>LEN(TRIM(U556))=0</formula>
    </cfRule>
  </conditionalFormatting>
  <conditionalFormatting sqref="U556">
    <cfRule type="expression" dxfId="313" priority="140">
      <formula>$C$36=2</formula>
    </cfRule>
  </conditionalFormatting>
  <conditionalFormatting sqref="U556">
    <cfRule type="expression" dxfId="312" priority="139" stopIfTrue="1">
      <formula>$G553=""</formula>
    </cfRule>
  </conditionalFormatting>
  <conditionalFormatting sqref="U564">
    <cfRule type="containsBlanks" dxfId="311" priority="138" stopIfTrue="1">
      <formula>LEN(TRIM(U564))=0</formula>
    </cfRule>
  </conditionalFormatting>
  <conditionalFormatting sqref="U564">
    <cfRule type="expression" dxfId="310" priority="137">
      <formula>$C$36=2</formula>
    </cfRule>
  </conditionalFormatting>
  <conditionalFormatting sqref="U564">
    <cfRule type="expression" dxfId="309" priority="136" stopIfTrue="1">
      <formula>$G561=""</formula>
    </cfRule>
  </conditionalFormatting>
  <conditionalFormatting sqref="U569">
    <cfRule type="containsBlanks" dxfId="308" priority="135" stopIfTrue="1">
      <formula>LEN(TRIM(U569))=0</formula>
    </cfRule>
  </conditionalFormatting>
  <conditionalFormatting sqref="U569">
    <cfRule type="expression" dxfId="307" priority="134">
      <formula>$C$36=2</formula>
    </cfRule>
  </conditionalFormatting>
  <conditionalFormatting sqref="U569">
    <cfRule type="expression" dxfId="306" priority="133" stopIfTrue="1">
      <formula>$G566=""</formula>
    </cfRule>
  </conditionalFormatting>
  <conditionalFormatting sqref="U574">
    <cfRule type="containsBlanks" dxfId="305" priority="132" stopIfTrue="1">
      <formula>LEN(TRIM(U574))=0</formula>
    </cfRule>
  </conditionalFormatting>
  <conditionalFormatting sqref="U574">
    <cfRule type="expression" dxfId="304" priority="131">
      <formula>$C$36=2</formula>
    </cfRule>
  </conditionalFormatting>
  <conditionalFormatting sqref="U574">
    <cfRule type="expression" dxfId="303" priority="130" stopIfTrue="1">
      <formula>$G571=""</formula>
    </cfRule>
  </conditionalFormatting>
  <conditionalFormatting sqref="U579">
    <cfRule type="containsBlanks" dxfId="302" priority="129" stopIfTrue="1">
      <formula>LEN(TRIM(U579))=0</formula>
    </cfRule>
  </conditionalFormatting>
  <conditionalFormatting sqref="U579">
    <cfRule type="expression" dxfId="301" priority="128">
      <formula>$C$36=2</formula>
    </cfRule>
  </conditionalFormatting>
  <conditionalFormatting sqref="U579">
    <cfRule type="expression" dxfId="300" priority="127" stopIfTrue="1">
      <formula>$G576=""</formula>
    </cfRule>
  </conditionalFormatting>
  <conditionalFormatting sqref="U584">
    <cfRule type="containsBlanks" dxfId="299" priority="126" stopIfTrue="1">
      <formula>LEN(TRIM(U584))=0</formula>
    </cfRule>
  </conditionalFormatting>
  <conditionalFormatting sqref="U584">
    <cfRule type="expression" dxfId="298" priority="125">
      <formula>$C$36=2</formula>
    </cfRule>
  </conditionalFormatting>
  <conditionalFormatting sqref="U584">
    <cfRule type="expression" dxfId="297" priority="124" stopIfTrue="1">
      <formula>$G581=""</formula>
    </cfRule>
  </conditionalFormatting>
  <conditionalFormatting sqref="U589">
    <cfRule type="containsBlanks" dxfId="296" priority="123" stopIfTrue="1">
      <formula>LEN(TRIM(U589))=0</formula>
    </cfRule>
  </conditionalFormatting>
  <conditionalFormatting sqref="U589">
    <cfRule type="expression" dxfId="295" priority="122">
      <formula>$C$36=2</formula>
    </cfRule>
  </conditionalFormatting>
  <conditionalFormatting sqref="U589">
    <cfRule type="expression" dxfId="294" priority="121" stopIfTrue="1">
      <formula>$G586=""</formula>
    </cfRule>
  </conditionalFormatting>
  <conditionalFormatting sqref="U594">
    <cfRule type="containsBlanks" dxfId="293" priority="120" stopIfTrue="1">
      <formula>LEN(TRIM(U594))=0</formula>
    </cfRule>
  </conditionalFormatting>
  <conditionalFormatting sqref="U594">
    <cfRule type="expression" dxfId="292" priority="119">
      <formula>$C$36=2</formula>
    </cfRule>
  </conditionalFormatting>
  <conditionalFormatting sqref="U594">
    <cfRule type="expression" dxfId="291" priority="118" stopIfTrue="1">
      <formula>$G591=""</formula>
    </cfRule>
  </conditionalFormatting>
  <conditionalFormatting sqref="U604 U599">
    <cfRule type="containsBlanks" dxfId="290" priority="114" stopIfTrue="1">
      <formula>LEN(TRIM(U599))=0</formula>
    </cfRule>
  </conditionalFormatting>
  <conditionalFormatting sqref="U604 U599">
    <cfRule type="expression" dxfId="289" priority="113">
      <formula>$C$36=2</formula>
    </cfRule>
  </conditionalFormatting>
  <conditionalFormatting sqref="U604 U599">
    <cfRule type="expression" dxfId="288" priority="112" stopIfTrue="1">
      <formula>$G596=""</formula>
    </cfRule>
  </conditionalFormatting>
  <conditionalFormatting sqref="U609">
    <cfRule type="containsBlanks" dxfId="287" priority="111" stopIfTrue="1">
      <formula>LEN(TRIM(U609))=0</formula>
    </cfRule>
  </conditionalFormatting>
  <conditionalFormatting sqref="U609">
    <cfRule type="expression" dxfId="286" priority="110">
      <formula>$C$36=2</formula>
    </cfRule>
  </conditionalFormatting>
  <conditionalFormatting sqref="U609">
    <cfRule type="expression" dxfId="285" priority="109" stopIfTrue="1">
      <formula>$G606=""</formula>
    </cfRule>
  </conditionalFormatting>
  <conditionalFormatting sqref="U614">
    <cfRule type="containsBlanks" dxfId="284" priority="108" stopIfTrue="1">
      <formula>LEN(TRIM(U614))=0</formula>
    </cfRule>
  </conditionalFormatting>
  <conditionalFormatting sqref="U614">
    <cfRule type="expression" dxfId="283" priority="107">
      <formula>$C$36=2</formula>
    </cfRule>
  </conditionalFormatting>
  <conditionalFormatting sqref="U614">
    <cfRule type="expression" dxfId="282" priority="106" stopIfTrue="1">
      <formula>$G611=""</formula>
    </cfRule>
  </conditionalFormatting>
  <conditionalFormatting sqref="U619">
    <cfRule type="containsBlanks" dxfId="281" priority="105" stopIfTrue="1">
      <formula>LEN(TRIM(U619))=0</formula>
    </cfRule>
  </conditionalFormatting>
  <conditionalFormatting sqref="U619">
    <cfRule type="expression" dxfId="280" priority="104">
      <formula>$C$36=2</formula>
    </cfRule>
  </conditionalFormatting>
  <conditionalFormatting sqref="U619">
    <cfRule type="expression" dxfId="279" priority="103" stopIfTrue="1">
      <formula>$G616=""</formula>
    </cfRule>
  </conditionalFormatting>
  <conditionalFormatting sqref="U624">
    <cfRule type="containsBlanks" dxfId="278" priority="102" stopIfTrue="1">
      <formula>LEN(TRIM(U624))=0</formula>
    </cfRule>
  </conditionalFormatting>
  <conditionalFormatting sqref="U624">
    <cfRule type="expression" dxfId="277" priority="101">
      <formula>$C$36=2</formula>
    </cfRule>
  </conditionalFormatting>
  <conditionalFormatting sqref="U624">
    <cfRule type="expression" dxfId="276" priority="100" stopIfTrue="1">
      <formula>$G621=""</formula>
    </cfRule>
  </conditionalFormatting>
  <conditionalFormatting sqref="U629">
    <cfRule type="containsBlanks" dxfId="275" priority="99" stopIfTrue="1">
      <formula>LEN(TRIM(U629))=0</formula>
    </cfRule>
  </conditionalFormatting>
  <conditionalFormatting sqref="U629">
    <cfRule type="expression" dxfId="274" priority="98">
      <formula>$C$36=2</formula>
    </cfRule>
  </conditionalFormatting>
  <conditionalFormatting sqref="U629">
    <cfRule type="expression" dxfId="273" priority="97" stopIfTrue="1">
      <formula>$G626=""</formula>
    </cfRule>
  </conditionalFormatting>
  <conditionalFormatting sqref="U642 U634">
    <cfRule type="containsBlanks" dxfId="272" priority="93" stopIfTrue="1">
      <formula>LEN(TRIM(U634))=0</formula>
    </cfRule>
  </conditionalFormatting>
  <conditionalFormatting sqref="U642 U634">
    <cfRule type="expression" dxfId="271" priority="92">
      <formula>$C$36=2</formula>
    </cfRule>
  </conditionalFormatting>
  <conditionalFormatting sqref="U642 U634">
    <cfRule type="expression" dxfId="270" priority="91" stopIfTrue="1">
      <formula>$G631=""</formula>
    </cfRule>
  </conditionalFormatting>
  <conditionalFormatting sqref="U647">
    <cfRule type="containsBlanks" dxfId="269" priority="90" stopIfTrue="1">
      <formula>LEN(TRIM(U647))=0</formula>
    </cfRule>
  </conditionalFormatting>
  <conditionalFormatting sqref="U647">
    <cfRule type="expression" dxfId="268" priority="89">
      <formula>$C$36=2</formula>
    </cfRule>
  </conditionalFormatting>
  <conditionalFormatting sqref="U647">
    <cfRule type="expression" dxfId="267" priority="88" stopIfTrue="1">
      <formula>$G644=""</formula>
    </cfRule>
  </conditionalFormatting>
  <conditionalFormatting sqref="U652">
    <cfRule type="containsBlanks" dxfId="266" priority="87" stopIfTrue="1">
      <formula>LEN(TRIM(U652))=0</formula>
    </cfRule>
  </conditionalFormatting>
  <conditionalFormatting sqref="U652">
    <cfRule type="expression" dxfId="265" priority="86">
      <formula>$C$36=2</formula>
    </cfRule>
  </conditionalFormatting>
  <conditionalFormatting sqref="U652">
    <cfRule type="expression" dxfId="264" priority="85" stopIfTrue="1">
      <formula>$G649=""</formula>
    </cfRule>
  </conditionalFormatting>
  <conditionalFormatting sqref="U657">
    <cfRule type="containsBlanks" dxfId="263" priority="84" stopIfTrue="1">
      <formula>LEN(TRIM(U657))=0</formula>
    </cfRule>
  </conditionalFormatting>
  <conditionalFormatting sqref="U657">
    <cfRule type="expression" dxfId="262" priority="83">
      <formula>$C$36=2</formula>
    </cfRule>
  </conditionalFormatting>
  <conditionalFormatting sqref="U657">
    <cfRule type="expression" dxfId="261" priority="82" stopIfTrue="1">
      <formula>$G654=""</formula>
    </cfRule>
  </conditionalFormatting>
  <conditionalFormatting sqref="U662">
    <cfRule type="containsBlanks" dxfId="260" priority="81" stopIfTrue="1">
      <formula>LEN(TRIM(U662))=0</formula>
    </cfRule>
  </conditionalFormatting>
  <conditionalFormatting sqref="U662">
    <cfRule type="expression" dxfId="259" priority="80">
      <formula>$C$36=2</formula>
    </cfRule>
  </conditionalFormatting>
  <conditionalFormatting sqref="U662">
    <cfRule type="expression" dxfId="258" priority="79" stopIfTrue="1">
      <formula>$G659=""</formula>
    </cfRule>
  </conditionalFormatting>
  <conditionalFormatting sqref="U667">
    <cfRule type="containsBlanks" dxfId="257" priority="78" stopIfTrue="1">
      <formula>LEN(TRIM(U667))=0</formula>
    </cfRule>
  </conditionalFormatting>
  <conditionalFormatting sqref="U667">
    <cfRule type="expression" dxfId="256" priority="77">
      <formula>$C$36=2</formula>
    </cfRule>
  </conditionalFormatting>
  <conditionalFormatting sqref="U667">
    <cfRule type="expression" dxfId="255" priority="76" stopIfTrue="1">
      <formula>$G664=""</formula>
    </cfRule>
  </conditionalFormatting>
  <conditionalFormatting sqref="U672">
    <cfRule type="containsBlanks" dxfId="254" priority="75" stopIfTrue="1">
      <formula>LEN(TRIM(U672))=0</formula>
    </cfRule>
  </conditionalFormatting>
  <conditionalFormatting sqref="U672">
    <cfRule type="expression" dxfId="253" priority="74">
      <formula>$C$36=2</formula>
    </cfRule>
  </conditionalFormatting>
  <conditionalFormatting sqref="U672">
    <cfRule type="expression" dxfId="252" priority="73" stopIfTrue="1">
      <formula>$G669=""</formula>
    </cfRule>
  </conditionalFormatting>
  <conditionalFormatting sqref="U677">
    <cfRule type="containsBlanks" dxfId="251" priority="72" stopIfTrue="1">
      <formula>LEN(TRIM(U677))=0</formula>
    </cfRule>
  </conditionalFormatting>
  <conditionalFormatting sqref="U677">
    <cfRule type="expression" dxfId="250" priority="71">
      <formula>$C$36=2</formula>
    </cfRule>
  </conditionalFormatting>
  <conditionalFormatting sqref="U677">
    <cfRule type="expression" dxfId="249" priority="70" stopIfTrue="1">
      <formula>$G674=""</formula>
    </cfRule>
  </conditionalFormatting>
  <conditionalFormatting sqref="U682">
    <cfRule type="containsBlanks" dxfId="248" priority="69" stopIfTrue="1">
      <formula>LEN(TRIM(U682))=0</formula>
    </cfRule>
  </conditionalFormatting>
  <conditionalFormatting sqref="U682">
    <cfRule type="expression" dxfId="247" priority="68">
      <formula>$C$36=2</formula>
    </cfRule>
  </conditionalFormatting>
  <conditionalFormatting sqref="U682">
    <cfRule type="expression" dxfId="246" priority="67" stopIfTrue="1">
      <formula>$G679=""</formula>
    </cfRule>
  </conditionalFormatting>
  <conditionalFormatting sqref="U687">
    <cfRule type="containsBlanks" dxfId="245" priority="66" stopIfTrue="1">
      <formula>LEN(TRIM(U687))=0</formula>
    </cfRule>
  </conditionalFormatting>
  <conditionalFormatting sqref="U687">
    <cfRule type="expression" dxfId="244" priority="65">
      <formula>$C$36=2</formula>
    </cfRule>
  </conditionalFormatting>
  <conditionalFormatting sqref="U687">
    <cfRule type="expression" dxfId="243" priority="64" stopIfTrue="1">
      <formula>$G684=""</formula>
    </cfRule>
  </conditionalFormatting>
  <conditionalFormatting sqref="U692">
    <cfRule type="containsBlanks" dxfId="242" priority="63" stopIfTrue="1">
      <formula>LEN(TRIM(U692))=0</formula>
    </cfRule>
  </conditionalFormatting>
  <conditionalFormatting sqref="U692">
    <cfRule type="expression" dxfId="241" priority="62">
      <formula>$C$36=2</formula>
    </cfRule>
  </conditionalFormatting>
  <conditionalFormatting sqref="U692">
    <cfRule type="expression" dxfId="240" priority="61" stopIfTrue="1">
      <formula>$G689=""</formula>
    </cfRule>
  </conditionalFormatting>
  <conditionalFormatting sqref="U697">
    <cfRule type="containsBlanks" dxfId="239" priority="60" stopIfTrue="1">
      <formula>LEN(TRIM(U697))=0</formula>
    </cfRule>
  </conditionalFormatting>
  <conditionalFormatting sqref="U697">
    <cfRule type="expression" dxfId="238" priority="59">
      <formula>$C$36=2</formula>
    </cfRule>
  </conditionalFormatting>
  <conditionalFormatting sqref="U697">
    <cfRule type="expression" dxfId="237" priority="58" stopIfTrue="1">
      <formula>$G694=""</formula>
    </cfRule>
  </conditionalFormatting>
  <conditionalFormatting sqref="U702">
    <cfRule type="containsBlanks" dxfId="236" priority="57" stopIfTrue="1">
      <formula>LEN(TRIM(U702))=0</formula>
    </cfRule>
  </conditionalFormatting>
  <conditionalFormatting sqref="U702">
    <cfRule type="expression" dxfId="235" priority="56">
      <formula>$C$36=2</formula>
    </cfRule>
  </conditionalFormatting>
  <conditionalFormatting sqref="U702">
    <cfRule type="expression" dxfId="234" priority="55" stopIfTrue="1">
      <formula>$G699=""</formula>
    </cfRule>
  </conditionalFormatting>
  <conditionalFormatting sqref="U707">
    <cfRule type="containsBlanks" dxfId="233" priority="54" stopIfTrue="1">
      <formula>LEN(TRIM(U707))=0</formula>
    </cfRule>
  </conditionalFormatting>
  <conditionalFormatting sqref="U707">
    <cfRule type="expression" dxfId="232" priority="53">
      <formula>$C$36=2</formula>
    </cfRule>
  </conditionalFormatting>
  <conditionalFormatting sqref="U707">
    <cfRule type="expression" dxfId="231" priority="52" stopIfTrue="1">
      <formula>$G704=""</formula>
    </cfRule>
  </conditionalFormatting>
  <conditionalFormatting sqref="U712">
    <cfRule type="containsBlanks" dxfId="230" priority="51" stopIfTrue="1">
      <formula>LEN(TRIM(U712))=0</formula>
    </cfRule>
  </conditionalFormatting>
  <conditionalFormatting sqref="U712">
    <cfRule type="expression" dxfId="229" priority="50">
      <formula>$C$36=2</formula>
    </cfRule>
  </conditionalFormatting>
  <conditionalFormatting sqref="U712">
    <cfRule type="expression" dxfId="228" priority="49" stopIfTrue="1">
      <formula>$G709=""</formula>
    </cfRule>
  </conditionalFormatting>
  <conditionalFormatting sqref="U720">
    <cfRule type="containsBlanks" dxfId="227" priority="48" stopIfTrue="1">
      <formula>LEN(TRIM(U720))=0</formula>
    </cfRule>
  </conditionalFormatting>
  <conditionalFormatting sqref="U720">
    <cfRule type="expression" dxfId="226" priority="47">
      <formula>$C$36=2</formula>
    </cfRule>
  </conditionalFormatting>
  <conditionalFormatting sqref="U720">
    <cfRule type="expression" dxfId="225" priority="46" stopIfTrue="1">
      <formula>$G717=""</formula>
    </cfRule>
  </conditionalFormatting>
  <conditionalFormatting sqref="U725">
    <cfRule type="containsBlanks" dxfId="224" priority="45" stopIfTrue="1">
      <formula>LEN(TRIM(U725))=0</formula>
    </cfRule>
  </conditionalFormatting>
  <conditionalFormatting sqref="U725">
    <cfRule type="expression" dxfId="223" priority="44">
      <formula>$C$36=2</formula>
    </cfRule>
  </conditionalFormatting>
  <conditionalFormatting sqref="U725">
    <cfRule type="expression" dxfId="222" priority="43" stopIfTrue="1">
      <formula>$G722=""</formula>
    </cfRule>
  </conditionalFormatting>
  <conditionalFormatting sqref="U730">
    <cfRule type="containsBlanks" dxfId="221" priority="42" stopIfTrue="1">
      <formula>LEN(TRIM(U730))=0</formula>
    </cfRule>
  </conditionalFormatting>
  <conditionalFormatting sqref="U730">
    <cfRule type="expression" dxfId="220" priority="41">
      <formula>$C$36=2</formula>
    </cfRule>
  </conditionalFormatting>
  <conditionalFormatting sqref="U730">
    <cfRule type="expression" dxfId="219" priority="40" stopIfTrue="1">
      <formula>$G727=""</formula>
    </cfRule>
  </conditionalFormatting>
  <conditionalFormatting sqref="U735">
    <cfRule type="containsBlanks" dxfId="218" priority="39" stopIfTrue="1">
      <formula>LEN(TRIM(U735))=0</formula>
    </cfRule>
  </conditionalFormatting>
  <conditionalFormatting sqref="U735">
    <cfRule type="expression" dxfId="217" priority="38">
      <formula>$C$36=2</formula>
    </cfRule>
  </conditionalFormatting>
  <conditionalFormatting sqref="U735">
    <cfRule type="expression" dxfId="216" priority="37" stopIfTrue="1">
      <formula>$G732=""</formula>
    </cfRule>
  </conditionalFormatting>
  <conditionalFormatting sqref="U740">
    <cfRule type="containsBlanks" dxfId="215" priority="36" stopIfTrue="1">
      <formula>LEN(TRIM(U740))=0</formula>
    </cfRule>
  </conditionalFormatting>
  <conditionalFormatting sqref="U740">
    <cfRule type="expression" dxfId="214" priority="35">
      <formula>$C$36=2</formula>
    </cfRule>
  </conditionalFormatting>
  <conditionalFormatting sqref="U740">
    <cfRule type="expression" dxfId="213" priority="34" stopIfTrue="1">
      <formula>$G737=""</formula>
    </cfRule>
  </conditionalFormatting>
  <conditionalFormatting sqref="U745">
    <cfRule type="containsBlanks" dxfId="212" priority="33" stopIfTrue="1">
      <formula>LEN(TRIM(U745))=0</formula>
    </cfRule>
  </conditionalFormatting>
  <conditionalFormatting sqref="U745">
    <cfRule type="expression" dxfId="211" priority="32">
      <formula>$C$36=2</formula>
    </cfRule>
  </conditionalFormatting>
  <conditionalFormatting sqref="U745">
    <cfRule type="expression" dxfId="210" priority="31" stopIfTrue="1">
      <formula>$G742=""</formula>
    </cfRule>
  </conditionalFormatting>
  <conditionalFormatting sqref="U750">
    <cfRule type="containsBlanks" dxfId="209" priority="30" stopIfTrue="1">
      <formula>LEN(TRIM(U750))=0</formula>
    </cfRule>
  </conditionalFormatting>
  <conditionalFormatting sqref="U750">
    <cfRule type="expression" dxfId="208" priority="29">
      <formula>$C$36=2</formula>
    </cfRule>
  </conditionalFormatting>
  <conditionalFormatting sqref="U750">
    <cfRule type="expression" dxfId="207" priority="28" stopIfTrue="1">
      <formula>$G747=""</formula>
    </cfRule>
  </conditionalFormatting>
  <conditionalFormatting sqref="U755">
    <cfRule type="containsBlanks" dxfId="206" priority="27" stopIfTrue="1">
      <formula>LEN(TRIM(U755))=0</formula>
    </cfRule>
  </conditionalFormatting>
  <conditionalFormatting sqref="U755">
    <cfRule type="expression" dxfId="205" priority="26">
      <formula>$C$36=2</formula>
    </cfRule>
  </conditionalFormatting>
  <conditionalFormatting sqref="U755">
    <cfRule type="expression" dxfId="204" priority="25" stopIfTrue="1">
      <formula>$G752=""</formula>
    </cfRule>
  </conditionalFormatting>
  <conditionalFormatting sqref="U760">
    <cfRule type="containsBlanks" dxfId="203" priority="24" stopIfTrue="1">
      <formula>LEN(TRIM(U760))=0</formula>
    </cfRule>
  </conditionalFormatting>
  <conditionalFormatting sqref="U760">
    <cfRule type="expression" dxfId="202" priority="23">
      <formula>$C$36=2</formula>
    </cfRule>
  </conditionalFormatting>
  <conditionalFormatting sqref="U760">
    <cfRule type="expression" dxfId="201" priority="22" stopIfTrue="1">
      <formula>$G757=""</formula>
    </cfRule>
  </conditionalFormatting>
  <conditionalFormatting sqref="U765">
    <cfRule type="containsBlanks" dxfId="200" priority="21" stopIfTrue="1">
      <formula>LEN(TRIM(U765))=0</formula>
    </cfRule>
  </conditionalFormatting>
  <conditionalFormatting sqref="U765">
    <cfRule type="expression" dxfId="199" priority="20">
      <formula>$C$36=2</formula>
    </cfRule>
  </conditionalFormatting>
  <conditionalFormatting sqref="U765">
    <cfRule type="expression" dxfId="198" priority="19" stopIfTrue="1">
      <formula>$G762=""</formula>
    </cfRule>
  </conditionalFormatting>
  <conditionalFormatting sqref="U770">
    <cfRule type="containsBlanks" dxfId="197" priority="18" stopIfTrue="1">
      <formula>LEN(TRIM(U770))=0</formula>
    </cfRule>
  </conditionalFormatting>
  <conditionalFormatting sqref="U770">
    <cfRule type="expression" dxfId="196" priority="17">
      <formula>$C$36=2</formula>
    </cfRule>
  </conditionalFormatting>
  <conditionalFormatting sqref="U770">
    <cfRule type="expression" dxfId="195" priority="16" stopIfTrue="1">
      <formula>$G767=""</formula>
    </cfRule>
  </conditionalFormatting>
  <conditionalFormatting sqref="U775">
    <cfRule type="containsBlanks" dxfId="194" priority="15" stopIfTrue="1">
      <formula>LEN(TRIM(U775))=0</formula>
    </cfRule>
  </conditionalFormatting>
  <conditionalFormatting sqref="U775">
    <cfRule type="expression" dxfId="193" priority="14">
      <formula>$C$36=2</formula>
    </cfRule>
  </conditionalFormatting>
  <conditionalFormatting sqref="U775">
    <cfRule type="expression" dxfId="192" priority="13" stopIfTrue="1">
      <formula>$G772=""</formula>
    </cfRule>
  </conditionalFormatting>
  <conditionalFormatting sqref="U780">
    <cfRule type="containsBlanks" dxfId="191" priority="12" stopIfTrue="1">
      <formula>LEN(TRIM(U780))=0</formula>
    </cfRule>
  </conditionalFormatting>
  <conditionalFormatting sqref="U780">
    <cfRule type="expression" dxfId="190" priority="11">
      <formula>$C$36=2</formula>
    </cfRule>
  </conditionalFormatting>
  <conditionalFormatting sqref="U780">
    <cfRule type="expression" dxfId="189" priority="10" stopIfTrue="1">
      <formula>$G777=""</formula>
    </cfRule>
  </conditionalFormatting>
  <conditionalFormatting sqref="U785">
    <cfRule type="containsBlanks" dxfId="188" priority="9" stopIfTrue="1">
      <formula>LEN(TRIM(U785))=0</formula>
    </cfRule>
  </conditionalFormatting>
  <conditionalFormatting sqref="U785">
    <cfRule type="expression" dxfId="187" priority="8">
      <formula>$C$36=2</formula>
    </cfRule>
  </conditionalFormatting>
  <conditionalFormatting sqref="U785">
    <cfRule type="expression" dxfId="186" priority="7" stopIfTrue="1">
      <formula>$G782=""</formula>
    </cfRule>
  </conditionalFormatting>
  <conditionalFormatting sqref="U790">
    <cfRule type="containsBlanks" dxfId="185" priority="6" stopIfTrue="1">
      <formula>LEN(TRIM(U790))=0</formula>
    </cfRule>
  </conditionalFormatting>
  <conditionalFormatting sqref="U790">
    <cfRule type="expression" dxfId="184" priority="5">
      <formula>$C$36=2</formula>
    </cfRule>
  </conditionalFormatting>
  <conditionalFormatting sqref="U790">
    <cfRule type="expression" dxfId="183" priority="4" stopIfTrue="1">
      <formula>$G787=""</formula>
    </cfRule>
  </conditionalFormatting>
  <conditionalFormatting sqref="U43">
    <cfRule type="containsBlanks" dxfId="182" priority="3" stopIfTrue="1">
      <formula>LEN(TRIM(U43))=0</formula>
    </cfRule>
  </conditionalFormatting>
  <conditionalFormatting sqref="U43">
    <cfRule type="expression" dxfId="181" priority="2">
      <formula>$C$36=2</formula>
    </cfRule>
  </conditionalFormatting>
  <conditionalFormatting sqref="U43">
    <cfRule type="expression" dxfId="180" priority="1" stopIfTrue="1">
      <formula>$G40=""</formula>
    </cfRule>
  </conditionalFormatting>
  <dataValidations count="12">
    <dataValidation type="list" allowBlank="1" showInputMessage="1" showErrorMessage="1" sqref="U582 U592 U114 U124 U129 U660 U134 U139 U119 U149 U154 U159 U144 U192 U202 U207 U212 U217 U670 U675 U680 U685 U197 U227 U232 U237 U222 U665 U695 U700 U705 U690 U640 U645 U650 U655 U710 U250 U255 U260 U265 U320 U597 U602 U607 U587 U617 U622 U627 U612 U562 U567 U572 U577 U632 U86 U94 U99 U104 U109 U61 U71 U76 U81 U66 U41 U56 U46 U51 U164 U348 U358 U363 U368 U373 U353 U383 U388 U393 U378 U328 U333 U338 U343 U398 U426 U436 U441 U446 U451 U431 U461 U466 U471 U456 U406 U411 U416 U421 U476 U504 U514 U519 U524 U529 U509 U539 U544 U549 U534 U484 U489 U494 U499 U554 U270 U280 U285 U290 U295 U275 U305 U310 U315 U300 U172 U177 U182 U187 U242 U738 U748 U753 U758 U763 U743 U773 U778 U783 U768 U718 U723 U728 U733 U788">
      <formula1>Fixtures_Existing_Final_List</formula1>
    </dataValidation>
    <dataValidation type="list" allowBlank="1" showInputMessage="1" showErrorMessage="1" sqref="U583 U115 U125 U130 U661 U135 U140 U120 U150 U155 U160 U145 U193 U203 U208 U213 U218 U671 U676 U681 U686 U198 U228 U233 U238 U223 U666 U696 U701 U706 U691 U641 U646 U651 U656 U711 U251 U256 U261 U266 U321 U593 U598 U603 U608 U588 U618 U623 U628 U613 U563 U568 U573 U578 U633 U87 U95 U100 U105 U110 U62 U72 U77 U82 U67 U42 U57 U47 U52 U165 U349 U359 U364 U369 U374 U354 U384 U389 U394 U379 U329 U334 U339 U344 U399 U427 U437 U442 U447 U452 U432 U462 U467 U472 U457 U407 U412 U417 U422 U477 U505 U515 U520 U525 U530 U510 U540 U545 U550 U535 U485 U490 U495 U500 U555 U271 U281 U286 U291 U296 U276 U306 U311 U316 U301 U173 U178 U183 U188 U243 U739 U749 U754 U759 U764 U744 U774 U779 U784 U769 U719 U724 U729 U734 U789">
      <formula1>Fixtures_Proposed_Final_List</formula1>
    </dataValidation>
    <dataValidation type="whole" allowBlank="1" showInputMessage="1" showErrorMessage="1" sqref="R92 R170 R248 R716 R404 R482 R560 R638 R326">
      <formula1>1</formula1>
      <formula2>8760</formula2>
    </dataValidation>
    <dataValidation type="list" allowBlank="1" showInputMessage="1" showErrorMessage="1" sqref="AR581:AR584 AR113:AR116 AR123:AR126 AR128:AR131 AR659:AR662 AR133:AR136 AR138:AR141 AR118:AR121 AR148:AR151 AR153:AR156 AR158:AR161 AR143:AR146 AR191:AR194 AR201:AR204 AR206:AR209 AR211:AR214 AR216:AR219 AR669:AR672 AR674:AR677 AR679:AR682 AR684:AR687 AR196:AR199 AR226:AR229 AR231:AR234 AR236:AR239 AR221:AR224 AR664:AR667 AR694:AR697 AR699:AR702 AR704:AR707 AR689:AR692 AR639:AR642 AR644:AR647 AR649:AR652 AR654:AR657 AR709:AR712 AR249:AR252 AR254:AR257 AR259:AR262 AR264:AR267 AR319:AR322 AR591:AR594 AR596:AR599 AR601:AR604 AR606:AR609 AR586:AR589 AR616:AR619 AR621:AR624 AR626:AR629 AR611:AR614 AR561:AR564 AR566:AR569 AR571:AR574 AR576:AR579 AR631:AR634 AR85:AR88 AR93:AR96 AR98:AR101 AR103:AR106 AR108:AR111 AR60:AR63 AR70:AR73 AR75:AR78 AR80:AR83 AR65:AR68 AR40:AR43 AR55:AR58 AR45:AR48 AR50:AR53 AR163:AR166 AR347:AR350 AR357:AR360 AR362:AR365 AR367:AR370 AR372:AR375 AR352:AR355 AR382:AR385 AR387:AR390 AR392:AR395 AR377:AR380 AR327:AR330 AR332:AR335 AR337:AR340 AR342:AR345 AR397:AR400 AR425:AR428 AR435:AR438 AR440:AR443 AR445:AR448 AR450:AR453 AR430:AR433 AR460:AR463 AR465:AR468 AR470:AR473 AR455:AR458 AR405:AR408 AR410:AR413 AR415:AR418 AR420:AR423 AR475:AR478 AR503:AR506 AR513:AR516 AR518:AR521 AR523:AR526 AR528:AR531 AR508:AR511 AR538:AR541 AR543:AR546 AR548:AR551 AR533:AR536 AR483:AR486 AR488:AR491 AR493:AR496 AR498:AR501 AR553:AR556 AR269:AR272 AR279:AR282 AR284:AR287 AR289:AR292 AR294:AR297 AR274:AR277 AR304:AR307 AR309:AR312 AR314:AR317 AR299:AR302 AR171:AR174 AR176:AR179 AR181:AR184 AR186:AR189 AR241:AR244 AR737:AR740 AR747:AR750 AR752:AR755 AR757:AR760 AR762:AR765 AR742:AR745 AR772:AR775 AR777:AR780 AR782:AR785 AR767:AR770 AR717:AR720 AR722:AR725 AR727:AR730 AR732:AR735 AR787:AR790">
      <formula1>"Yes,No"</formula1>
    </dataValidation>
    <dataValidation type="whole" operator="greaterThan" allowBlank="1" showInputMessage="1" showErrorMessage="1" error="Value must be greater than 0" sqref="AE144:AE145 AE612:AE613 AE560 AE114:AE115 AE124:AE125 AE129:AE130 AE690:AE691 AE134:AE135 AE139:AE140 AE119:AE120 AE149:AE150 AE154:AE155 AE92 AE159:AE160 AE222:AE223 AE192:AE193 AE202:AE203 AE207:AE208 AE212:AE213 AE660:AE661 AE670:AE671 AE675:AE676 AE680:AE681 AE217:AE218 AE197:AE198 AE227:AE228 AE232:AE233 AE326 AE685:AE686 AE665:AE666 AE638 AE695:AE696 AE700:AE701 AE705:AE706 AE640:AE641 AE645:AE646 AE650:AE651 AE655:AE656 AE710:AE711 AE250:AE251 AE255:AE256 AE260:AE261 AE265:AE266 AE320:AE321 AE170 AE582:AE583 AE592:AE593 AE597:AE598 AE602:AE603 AE607:AE608 AE587:AE588 AE617:AE618 AE622:AE623 AE627:AE628 AE562:AE563 AE567:AE568 AE572:AE573 AE577:AE578 AE716 AE86:AE87 AE248 AE94:AE95 AE99:AE100 AE104:AE105 AE109:AE110 AE61:AE62 AE71:AE72 AE76:AE77 AE81:AE82 AE66:AE67 AE41:AE42 AE56:AE57 AE46:AE47 AE51:AE52 AE378:AE379 AE348:AE349 AE164:AE165 AE358:AE359 AE363:AE364 AE368:AE369 AE373:AE374 AE353:AE354 AE383:AE384 AE388:AE389 AE393:AE394 AE328:AE329 AE333:AE334 AE338:AE339 AE343:AE344 AE398:AE399 AE456:AE457 AE426:AE427 AE404 AE436:AE437 AE441:AE442 AE446:AE447 AE451:AE452 AE431:AE432 AE461:AE462 AE466:AE467 AE471:AE472 AE406:AE407 AE411:AE412 AE416:AE417 AE421:AE422 AE476:AE477 AE534:AE535 AE504:AE505 AE482 AE514:AE515 AE519:AE520 AE524:AE525 AE529:AE530 AE509:AE510 AE539:AE540 AE544:AE545 AE549:AE550 AE484:AE485 AE489:AE490 AE494:AE495 AE499:AE500 AE554:AE555 AE632:AE633 AE300:AE301 AE270:AE271 AE280:AE281 AE285:AE286 AE290:AE291 AE295:AE296 AE275:AE276 AE305:AE306 AE310:AE311 AE315:AE316 AE237:AE238 AE172:AE173 AE177:AE178 AE182:AE183 AE187:AE188 AE242:AE243 AE768:AE769 AE738:AE739 AE748:AE749 AE753:AE754 AE758:AE759 AE763:AE764 AE743:AE744 AE773:AE774 AE778:AE779 AE783:AE784 AE718:AE719 AE723:AE724 AE728:AE729 AE733:AE734 AE788:AE789">
      <formula1>0</formula1>
    </dataValidation>
    <dataValidation type="list" allowBlank="1" showInputMessage="1" showErrorMessage="1" sqref="AF145 AF115 AF125 AF130 AF691 AF135 AF140 AF120 AF150 AF155 AF92:AH92 AF160 AF223 AF193 AF203 AF208 AF213 AF661 AF671 AF676 AF681 AF218 AF198 AF228 AF233 AF326:AH326 AF686 AF666 AF696 AF701 AF706 AF641 AF646 AF651 AF656 AF711 AF716:AH716 AF251 AF256 AF261 AF266 AF321 AF170:AH170 AF613 AF583 AF593 AF598 AF603 AF608 AF588 AF618 AF623 AF628 AF563 AF568 AF573 AF578 AF633 AF248:AH248 AF638:AH638 AF87 AF95 AF100 AF105 AF110 AF62 AF72 AF77 AF82 AF67 AF42 AF57 AF47 AF52 AF165 AF379 AF349 AF359 AF364 AF369 AF374 AF354 AF384 AF389 AF394 AF329 AF334 AF339 AF344 AF399 AF404:AH404 AF457 AF427 AF437 AF442 AF447 AF452 AF432 AF462 AF467 AF472 AF407 AF412 AF417 AF422 AF477 AF482:AH482 AF535 AF505 AF515 AF520 AF525 AF530 AF510 AF540 AF545 AF550 AF485 AF490 AF495 AF500 AF555 AF560:AH560 AF301 AF271 AF281 AF286 AF291 AF296 AF276 AF306 AF311 AF316 AF238 AF173 AF178 AF183 AF188 AF243 AF769 AF739 AF749 AF754 AF759 AF764 AF744 AF774 AF779 AF784 AF719 AF724 AF729 AF734 AF789">
      <formula1>INDIRECT($EU42)</formula1>
    </dataValidation>
    <dataValidation type="whole" allowBlank="1" showInputMessage="1" showErrorMessage="1" errorTitle="Hours Error!" error="Value must be between 1 and 8760. PSE Default for Exterior is 4200._x000a_" sqref="R582 R592 R114 R124 R129 R660 R134 R139 R119 R149 R154 R159 R144 R192 R202 R207 R212 R217 R670 R675 R680 R685 R197 R227 R232 R237 R222 R665 R695 R700 R705 R690 R640 R645 R650 R655 R710 R250 R255 R260 R265 R320 R597 R602 R607 R587 R617 R622 R627 R612 R562 R567 R572 R577 R632 R86 R94 R99 R104 R109 R61 R71 R76 R81 R66 R41 R56 R46 R51 R164 R348 R358 R363 R368 R373 R353 R383 R388 R393 R378 R328 R333 R338 R343 R398 R426 R436 R441 R446 R451 R431 R461 R466 R471 R456 R406 R411 R416 R421 R476 R504 R514 R519 R524 R529 R509 R539 R544 R549 R534 R484 R489 R494 R499 R554 R270 R280 R285 R290 R295 R275 R305 R310 R315 R300 R172 R177 R182 R187 R242 R738 R748 R753 R758 R763 R743 R773 R778 R783 R768 R718 R723 R728 R733 R788">
      <formula1>1</formula1>
      <formula2>8760</formula2>
    </dataValidation>
    <dataValidation type="list" allowBlank="1" showInputMessage="1" showErrorMessage="1" sqref="G583:L583 G115:L115 G125:L125 G130:L130 G661:L661 G135:L135 G140:L140 G120:L120 G150:L150 G155:L155 G160:L160 G145:L145 G193:L193 G203:L203 G208:L208 G213:L213 G218:L218 G671:L671 G676:L676 G681:L681 G686:L686 G198:L198 G228:L228 G233:L233 G238:L238 G223:L223 G666:L666 G696:L696 G701:L701 G706:L706 G691:L691 G641:L641 G646:L646 G651:L651 G656:L656 G711:L711 G251:L251 G256:L256 G261:L261 G266:L266 G321:L321 G593:L593 G598:L598 G603:L603 G608:L608 G588:L588 G618:L618 G623:L623 G628:L628 G613:L613 G563:L563 G568:L568 G573:L573 G578:L578 G633:L633 G87:L87 G95:L95 G100:L100 G105:L105 G110:L110 G62:L62 G72:L72 G77:L77 G82:L82 G67:L67 G42:L42 G57:L57 G47:L47 G52:L52 G165:L165 G349:L349 G359:L359 G364:L364 G369:L369 G374:L374 G354:L354 G384:L384 G389:L389 G394:L394 G379:L379 G329:L329 G334:L334 G339:L339 G344:L344 G399:L399 G427:L427 G437:L437 G442:L442 G447:L447 G452:L452 G432:L432 G462:L462 G467:L467 G472:L472 G457:L457 G407:L407 G412:L412 G417:L417 G422:L422 G477:L477 G505:L505 G515:L515 G520:L520 G525:L525 G530:L530 G510:L510 G540:L540 G545:L545 G550:L550 G535:L535 G485:L485 G490:L490 G495:L495 G500:L500 G555:L555 G271:L271 G281:L281 G286:L286 G291:L291 G296:L296 G276:L276 G306:L306 G311:L311 G316:L316 G301:L301 G173:L173 G178:L178 G183:L183 G188:L188 G243:L243 G739:L739 G749:L749 G754:L754 G759:L759 G764:L764 G744:L744 G774:L774 G779:L779 G784:L784 G769:L769 G719:L719 G724:L724 G729:L729 G734:L734 G789:L789">
      <formula1>INDIRECT(INDEX(_Lookup_Type_New,MATCH(O41,_Lookup_Heat_Type_New,0)))</formula1>
    </dataValidation>
    <dataValidation type="list" allowBlank="1" showInputMessage="1" showErrorMessage="1" sqref="G579:L579 G111:L111 G121:L121 G126:L126 G657:L657 G131:L131 G136:L136 G116:L116 G146:L146 G151:L151 G156:L156 G161:L161 G189:L189 G199:L199 G204:L204 G209:L209 G214:L214 G667:L667 G672:L672 G677:L677 G682:L682 G194:L194 G224:L224 G229:L229 G234:L234 G239:L239 G662:L662 G692:L692 G697:L697 G702:L702 G707:L707 G687:L687 G642:L642 G647:L647 G652:L652 G712:L712 G297:L297 G252:L252 G257:L257 G262:L262 G322:L322 G589:L589 G594:L594 G599:L599 G604:L604 G584:L584 G614:L614 G619:L619 G624:L624 G629:L629 G609:L609 G564:L564 G569:L569 G574:L574 G634:L634 G88:L88 G141:L141 G96:L96 G101:L101 G106:L106 G58:L58 G68:L68 G73:L73 G78:L78 G83:L83 G63:L63 G43:L43 G53:L53 G48:L48 G166:L166 G345:L345 G355:L355 G360:L360 G365:L365 G370:L370 G350:L350 G380:L380 G385:L385 G390:L390 G395:L395 G375:L375 G330:L330 G335:L335 G340:L340 G400:L400 G423:L423 G433:L433 G438:L438 G443:L443 G448:L448 G428:L428 G458:L458 G463:L463 G468:L468 G473:L473 G453:L453 G408:L408 G413:L413 G418:L418 G478:L478 G501:L501 G511:L511 G516:L516 G521:L521 G526:L526 G506:L506 G536:L536 G541:L541 G546:L546 G551:L551 G531:L531 G486:L486 G491:L491 G496:L496 G556:L556 G267:L267 G277:L277 G282:L282 G287:L287 G292:L292 G272:L272 G302:L302 G307:L307 G312:L312 G317:L317 G219:L219 G174:L174 G179:L179 G184:L184 G244:L244 G735:L735 G745:L745 G750:L750 G755:L755 G760:L760 G740:L740 G770:L770 G775:L775 G780:L780 G785:L785 G765:L765 G720:L720 G725:L725 G730:L730 G790:L790">
      <formula1>_Daylighted?</formula1>
    </dataValidation>
    <dataValidation type="list" allowBlank="1" showInputMessage="1" showErrorMessage="1" sqref="G582:L582 G592:L592 G114:L114 G124:L124 G129:L129 G660:L660 G134:L134 G139:L139 G119:L119 G149:L149 G154:L154 G159:L159 G144:L144 G192:L192 G202:L202 G207:L207 G212:L212 G217:L217 G670:L670 G675:L675 G680:L680 G685:L685 G197:L197 G227:L227 G232:L232 G237:L237 G222:L222 G665:L665 G695:L695 G700:L700 G705:L705 G690:L690 G640:L640 G645:L645 G650:L650 G655:L655 G710:L710 G250:L250 G255:L255 G260:L260 G265:L265 G320:L320 G597:L597 G602:L602 G607:L607 G587:L587 G617:L617 G622:L622 G627:L627 G612:L612 G562:L562 G567:L567 G572:L572 G577:L577 G632:L632 G86:L86 G94:L94 G99:L99 G104:L104 G109:L109 G61:L61 G71:L71 G76:L76 G81:L81 G66:L66 G41:L41 G56:L56 G46:L46 G51:L51 G164:L164 G348:L348 G358:L358 G363:L363 G368:L368 G373:L373 G353:L353 G383:L383 G388:L388 G393:L393 G378:L378 G328:L328 G333:L333 G338:L338 G343:L343 G398:L398 G426:L426 G436:L436 G441:L441 G446:L446 G451:L451 G431:L431 G461:L461 G466:L466 G471:L471 G456:L456 G406:L406 G411:L411 G416:L416 G421:L421 G476:L476 G504:L504 G514:L514 G519:L519 G524:L524 G529:L529 G509:L509 G539:L539 G544:L544 G549:L549 G534:L534 G484:L484 G489:L489 G494:L494 G499:L499 G554:L554 G270:L270 G280:L280 G285:L285 G290:L290 G295:L295 G275:L275 G305:L305 G310:L310 G315:L315 G300:L300 G172:L172 G177:L177 G182:L182 G187:L187 G242:L242 G738:L738 G748:L748 G753:L753 G758:L758 G763:L763 G743:L743 G773:L773 G778:L778 G783:L783 G768:L768 G718:L718 G723:L723 G728:L728 G733:L733 G788:L788">
      <formula1>_Heat_Type</formula1>
    </dataValidation>
    <dataValidation type="list" allowBlank="1" showInputMessage="1" showErrorMessage="1" sqref="AF114 AF124 AF129 AF660 AF134 AF139 AF119 AF149 AF154 AF159 AF144 AF192 AF202 AF207 AF212 AF217 AF670 AF675 AF680 AF685 AF197 AF227 AF232 AF237 AF222 AF665 AF695 AF700 AF705 AF690 AF640 AF645 AF650 AF655 AF710 AF250 AF255 AF260 AF265 AF320 AF582 AF592 AF597 AF602 AF607 AF587 AF617 AF622 AF627 AF612 AF562 AF567 AF572 AF577 AF632 AF86 AF94 AF99 AF104 AF109 AF61 AF71 AF76 AF81 AF66 AF41 AF56 AF46 AF51 AF164 AF348 AF358 AF363 AF368 AF373 AF353 AF383 AF388 AF393 AF378 AF328 AF333 AF338 AF343 AF398 AF426 AF436 AF441 AF446 AF451 AF431 AF461 AF466 AF471 AF456 AF406 AF411 AF416 AF421 AF476 AF504 AF514 AF519 AF524 AF529 AF509 AF539 AF544 AF549 AF534 AF484 AF489 AF494 AF499 AF554 AF270 AF280 AF285 AF290 AF295 AF275 AF305 AF310 AF315 AF300 AF172 AF177 AF182 AF187 AF242 AF738 AF748 AF753 AF758 AF763 AF743 AF773 AF778 AF783 AF768 AF718 AF723 AF728 AF733 AF788">
      <formula1>INDIRECT($EU40)</formula1>
    </dataValidation>
    <dataValidation type="list" allowBlank="1" showInputMessage="1" showErrorMessage="1" sqref="B12">
      <formula1>"No, Yes"</formula1>
    </dataValidation>
  </dataValidations>
  <hyperlinks>
    <hyperlink ref="BD8" location="_Suplemental" display="Installations!AR600"/>
  </hyperlinks>
  <pageMargins left="0.25" right="0.25" top="0.25" bottom="0.25" header="0.3" footer="0.3"/>
  <pageSetup scale="17" fitToHeight="0" orientation="landscape" r:id="rId1"/>
  <rowBreaks count="9" manualBreakCount="9">
    <brk id="90" max="16383" man="1"/>
    <brk id="168" max="16383" man="1"/>
    <brk id="246" max="16383" man="1"/>
    <brk id="324" max="16383" man="1"/>
    <brk id="402" max="16383" man="1"/>
    <brk id="480" max="16383" man="1"/>
    <brk id="558" max="16383" man="1"/>
    <brk id="636" max="16383" man="1"/>
    <brk id="714" max="16383" man="1"/>
  </rowBreaks>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04068" operator="containsText" id="{2847CD0E-6F1A-4D05-ADC7-8DABFB66BF18}">
            <xm:f>NOT(ISERROR(SEARCH("LOW TRC!",AA24)))</xm:f>
            <xm:f>"LOW TRC!"</xm:f>
            <x14:dxf>
              <font>
                <color rgb="FF9C0006"/>
              </font>
              <fill>
                <patternFill>
                  <bgColor rgb="FFFFC7CE"/>
                </patternFill>
              </fill>
            </x14:dxf>
          </x14:cfRule>
          <xm:sqref>AA24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Lookup!$T$3:$T$9</xm:f>
          </x14:formula1>
          <xm:sqref>G92:H92 G170:H170 G248:H248 G716:H716 G404:H404 G482:H482 G560:H560 G638:H638 G326:H326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BJ165"/>
  <sheetViews>
    <sheetView showGridLines="0" showRowColHeaders="0" zoomScale="90" zoomScaleNormal="90" workbookViewId="0">
      <pane ySplit="18" topLeftCell="A19" activePane="bottomLeft" state="frozen"/>
      <selection pane="bottomLeft" activeCell="A19" sqref="A19:AM19"/>
    </sheetView>
  </sheetViews>
  <sheetFormatPr defaultRowHeight="14.3"/>
  <cols>
    <col min="1" max="1" width="5.5" customWidth="1"/>
    <col min="2" max="2" width="5.5" hidden="1" customWidth="1"/>
    <col min="3" max="3" width="5.5" customWidth="1"/>
    <col min="4" max="5" width="3.125" customWidth="1"/>
    <col min="6" max="20" width="5.5" customWidth="1"/>
    <col min="21" max="21" width="5.5" hidden="1" customWidth="1"/>
    <col min="22" max="32" width="5.5" customWidth="1"/>
    <col min="33" max="33" width="5.5" hidden="1" customWidth="1"/>
    <col min="34" max="42" width="5.5" customWidth="1"/>
  </cols>
  <sheetData>
    <row r="1" spans="1:62" ht="5.0999999999999996" customHeight="1"/>
    <row r="2" spans="1:62">
      <c r="A2" s="388" t="str">
        <f>Lookup!D28</f>
        <v>MF</v>
      </c>
    </row>
    <row r="3" spans="1:62" ht="5.0999999999999996" customHeight="1"/>
    <row r="5" spans="1:62" ht="5.0999999999999996" customHeight="1">
      <c r="AP5" s="92"/>
      <c r="AQ5" s="92"/>
      <c r="AR5" s="92"/>
      <c r="AS5" s="92"/>
      <c r="AT5" s="92"/>
      <c r="AU5" s="92"/>
      <c r="AV5" s="92"/>
      <c r="AW5" s="92"/>
      <c r="AX5" s="92"/>
      <c r="AY5" s="92"/>
      <c r="AZ5" s="92"/>
      <c r="BA5" s="92"/>
      <c r="BB5" s="92"/>
      <c r="BC5" s="92"/>
      <c r="BD5" s="92"/>
      <c r="BE5" s="92"/>
      <c r="BF5" s="92"/>
      <c r="BG5" s="92"/>
      <c r="BH5" s="92"/>
      <c r="BI5" s="92"/>
      <c r="BJ5" s="92"/>
    </row>
    <row r="6" spans="1:62" ht="14.95" customHeight="1">
      <c r="AP6" s="92"/>
      <c r="AQ6" s="92"/>
      <c r="AR6" s="92"/>
      <c r="AS6" s="92"/>
      <c r="AT6" s="92"/>
      <c r="AU6" s="92"/>
      <c r="AV6" s="92"/>
      <c r="AW6" s="92"/>
      <c r="AX6" s="92"/>
      <c r="AY6" s="92"/>
      <c r="AZ6" s="92"/>
      <c r="BA6" s="92"/>
      <c r="BB6" s="92"/>
      <c r="BC6" s="92"/>
      <c r="BD6" s="92"/>
      <c r="BE6" s="92"/>
      <c r="BF6" s="92"/>
      <c r="BG6" s="92"/>
      <c r="BH6" s="92"/>
      <c r="BI6" s="92"/>
      <c r="BJ6" s="92"/>
    </row>
    <row r="7" spans="1:62" ht="5.0999999999999996" customHeight="1">
      <c r="J7" s="1142" t="str">
        <f>Lookup!$D$19</f>
        <v>MULTI-FAMILY LIGHTING INCENTIVE PROGRAM</v>
      </c>
      <c r="K7" s="1142"/>
      <c r="L7" s="1142"/>
      <c r="M7" s="1142"/>
      <c r="N7" s="1142"/>
      <c r="O7" s="1142"/>
      <c r="P7" s="1142"/>
      <c r="Q7" s="1142"/>
      <c r="R7" s="1142"/>
      <c r="S7" s="1142"/>
      <c r="T7" s="1142"/>
      <c r="U7" s="1142"/>
      <c r="V7" s="1142"/>
      <c r="W7" s="1142"/>
      <c r="X7" s="1142"/>
      <c r="Y7" s="1142"/>
      <c r="Z7" s="1142"/>
      <c r="AA7" s="1142"/>
      <c r="AB7" s="1142"/>
      <c r="AC7" s="1142"/>
      <c r="AD7" s="1142"/>
    </row>
    <row r="8" spans="1:62" ht="14.45" customHeight="1">
      <c r="J8" s="1142"/>
      <c r="K8" s="1142"/>
      <c r="L8" s="1142"/>
      <c r="M8" s="1142"/>
      <c r="N8" s="1142"/>
      <c r="O8" s="1142"/>
      <c r="P8" s="1142"/>
      <c r="Q8" s="1142"/>
      <c r="R8" s="1142"/>
      <c r="S8" s="1142"/>
      <c r="T8" s="1142"/>
      <c r="U8" s="1142"/>
      <c r="V8" s="1142"/>
      <c r="W8" s="1142"/>
      <c r="X8" s="1142"/>
      <c r="Y8" s="1142"/>
      <c r="Z8" s="1142"/>
      <c r="AA8" s="1142"/>
      <c r="AB8" s="1142"/>
      <c r="AC8" s="1142"/>
      <c r="AD8" s="1142"/>
      <c r="AE8" s="16"/>
      <c r="AF8" s="16"/>
      <c r="AG8" s="473"/>
      <c r="AH8" s="16"/>
    </row>
    <row r="9" spans="1:62" ht="5.0999999999999996" customHeight="1">
      <c r="J9" s="1143" t="str">
        <f>Lookup!$D$20</f>
        <v>Multi-Family Lighting 2022 STANDARD Application V2-2 - Valid through 12/31/2022</v>
      </c>
      <c r="K9" s="1143"/>
      <c r="L9" s="1143"/>
      <c r="M9" s="1143"/>
      <c r="N9" s="1143"/>
      <c r="O9" s="1143"/>
      <c r="P9" s="1143"/>
      <c r="Q9" s="1143"/>
      <c r="R9" s="1143"/>
      <c r="S9" s="1143"/>
      <c r="T9" s="1143"/>
      <c r="U9" s="1143"/>
      <c r="V9" s="1143"/>
      <c r="W9" s="1143"/>
      <c r="X9" s="1143"/>
      <c r="Y9" s="1143"/>
      <c r="Z9" s="1143"/>
      <c r="AA9" s="1143"/>
      <c r="AB9" s="1143"/>
      <c r="AC9" s="1143"/>
      <c r="AD9" s="1143"/>
      <c r="AE9" s="16"/>
      <c r="AF9" s="16"/>
      <c r="AG9" s="473"/>
    </row>
    <row r="10" spans="1:62" ht="14.45" customHeight="1">
      <c r="J10" s="1143"/>
      <c r="K10" s="1143"/>
      <c r="L10" s="1143"/>
      <c r="M10" s="1143"/>
      <c r="N10" s="1143"/>
      <c r="O10" s="1143"/>
      <c r="P10" s="1143"/>
      <c r="Q10" s="1143"/>
      <c r="R10" s="1143"/>
      <c r="S10" s="1143"/>
      <c r="T10" s="1143"/>
      <c r="U10" s="1143"/>
      <c r="V10" s="1143"/>
      <c r="W10" s="1143"/>
      <c r="X10" s="1143"/>
      <c r="Y10" s="1143"/>
      <c r="Z10" s="1143"/>
      <c r="AA10" s="1143"/>
      <c r="AB10" s="1143"/>
      <c r="AC10" s="1143"/>
      <c r="AD10" s="1143"/>
      <c r="AE10" s="445"/>
      <c r="AF10" s="445"/>
      <c r="AG10" s="482"/>
      <c r="AH10" s="91"/>
    </row>
    <row r="11" spans="1:62" ht="5.0999999999999996" customHeight="1">
      <c r="J11" s="1155" t="str">
        <f>CONCATENATE("This is a ",Lookup!D16," lighting project")</f>
        <v>This is a RETROFIT lighting project</v>
      </c>
      <c r="K11" s="1155"/>
      <c r="L11" s="1155"/>
      <c r="M11" s="1155"/>
      <c r="N11" s="1155"/>
      <c r="O11" s="1155"/>
      <c r="P11" s="1155"/>
      <c r="Q11" s="1155"/>
      <c r="R11" s="1155"/>
      <c r="S11" s="1155"/>
      <c r="T11" s="1155"/>
      <c r="U11" s="1155"/>
      <c r="V11" s="1155"/>
      <c r="W11" s="1155"/>
      <c r="X11" s="1155"/>
      <c r="Y11" s="1155"/>
      <c r="Z11" s="1155"/>
      <c r="AA11" s="1155"/>
      <c r="AB11" s="1155"/>
      <c r="AC11" s="1155"/>
      <c r="AD11" s="1155"/>
      <c r="AE11" s="445"/>
      <c r="AF11" s="445"/>
      <c r="AG11" s="482"/>
    </row>
    <row r="12" spans="1:62" ht="14.45" customHeight="1">
      <c r="J12" s="1155"/>
      <c r="K12" s="1155"/>
      <c r="L12" s="1155"/>
      <c r="M12" s="1155"/>
      <c r="N12" s="1155"/>
      <c r="O12" s="1155"/>
      <c r="P12" s="1155"/>
      <c r="Q12" s="1155"/>
      <c r="R12" s="1155"/>
      <c r="S12" s="1155"/>
      <c r="T12" s="1155"/>
      <c r="U12" s="1155"/>
      <c r="V12" s="1155"/>
      <c r="W12" s="1155"/>
      <c r="X12" s="1155"/>
      <c r="Y12" s="1155"/>
      <c r="Z12" s="1155"/>
      <c r="AA12" s="1155"/>
      <c r="AB12" s="1155"/>
      <c r="AC12" s="1155"/>
      <c r="AD12" s="1155"/>
      <c r="AE12" s="594"/>
      <c r="AF12" s="594"/>
      <c r="AG12" s="594"/>
      <c r="AH12" s="594"/>
      <c r="AI12" s="594"/>
      <c r="AJ12" s="594"/>
    </row>
    <row r="13" spans="1:62" ht="5.0999999999999996" customHeight="1">
      <c r="J13" s="1572" t="str">
        <f>Project!K13</f>
        <v>PSE Approval is required before the retrofit is started!</v>
      </c>
      <c r="K13" s="1572"/>
      <c r="L13" s="1572"/>
      <c r="M13" s="1572"/>
      <c r="N13" s="1572"/>
      <c r="O13" s="1572"/>
      <c r="P13" s="1572"/>
      <c r="Q13" s="1572"/>
      <c r="R13" s="1572"/>
      <c r="S13" s="1572"/>
      <c r="T13" s="1572"/>
      <c r="U13" s="1572"/>
      <c r="V13" s="1572"/>
      <c r="W13" s="1572"/>
      <c r="X13" s="1572"/>
      <c r="Y13" s="1572"/>
      <c r="Z13" s="1572"/>
      <c r="AA13" s="1572"/>
      <c r="AB13" s="1572"/>
      <c r="AC13" s="1572"/>
      <c r="AD13" s="1572"/>
      <c r="AE13" s="594"/>
      <c r="AF13" s="594"/>
      <c r="AG13" s="594"/>
      <c r="AH13" s="594"/>
      <c r="AI13" s="594"/>
      <c r="AJ13" s="594"/>
    </row>
    <row r="14" spans="1:62" ht="14.45" customHeight="1">
      <c r="J14" s="1572"/>
      <c r="K14" s="1572"/>
      <c r="L14" s="1572"/>
      <c r="M14" s="1572"/>
      <c r="N14" s="1572"/>
      <c r="O14" s="1572"/>
      <c r="P14" s="1572"/>
      <c r="Q14" s="1572"/>
      <c r="R14" s="1572"/>
      <c r="S14" s="1572"/>
      <c r="T14" s="1572"/>
      <c r="U14" s="1572"/>
      <c r="V14" s="1572"/>
      <c r="W14" s="1572"/>
      <c r="X14" s="1572"/>
      <c r="Y14" s="1572"/>
      <c r="Z14" s="1572"/>
      <c r="AA14" s="1572"/>
      <c r="AB14" s="1572"/>
      <c r="AC14" s="1572"/>
      <c r="AD14" s="1572"/>
      <c r="AG14" s="474"/>
      <c r="AH14" s="92"/>
    </row>
    <row r="15" spans="1:62" ht="5.0999999999999996" customHeight="1">
      <c r="AG15" s="474"/>
    </row>
    <row r="16" spans="1:62" ht="14.95" customHeight="1">
      <c r="AE16" s="92"/>
      <c r="AF16" s="92"/>
      <c r="AG16" s="475"/>
    </row>
    <row r="17" spans="1:41" ht="5.0999999999999996" customHeight="1">
      <c r="AE17" s="92"/>
      <c r="AF17" s="92"/>
    </row>
    <row r="18" spans="1:41" ht="5.0999999999999996" customHeight="1"/>
    <row r="19" spans="1:41" ht="2.5499999999999998" customHeight="1">
      <c r="A19" s="1595"/>
      <c r="B19" s="1595"/>
      <c r="C19" s="1595"/>
      <c r="D19" s="1595"/>
      <c r="E19" s="1595"/>
      <c r="F19" s="1595"/>
      <c r="G19" s="1595"/>
      <c r="H19" s="1595"/>
      <c r="I19" s="1595"/>
      <c r="J19" s="1595"/>
      <c r="K19" s="1595"/>
      <c r="L19" s="1595"/>
      <c r="M19" s="1595"/>
      <c r="N19" s="1595"/>
      <c r="O19" s="1595"/>
      <c r="P19" s="1595"/>
      <c r="Q19" s="1595"/>
      <c r="R19" s="1595"/>
      <c r="S19" s="1595"/>
      <c r="T19" s="1595"/>
      <c r="U19" s="1595"/>
      <c r="V19" s="1595"/>
      <c r="W19" s="1595"/>
      <c r="X19" s="1595"/>
      <c r="Y19" s="1595"/>
      <c r="Z19" s="1595"/>
      <c r="AA19" s="1595"/>
      <c r="AB19" s="1595"/>
      <c r="AC19" s="1595"/>
      <c r="AD19" s="1595"/>
      <c r="AE19" s="1595"/>
      <c r="AF19" s="1595"/>
      <c r="AG19" s="1595"/>
      <c r="AH19" s="1595"/>
      <c r="AI19" s="1595"/>
      <c r="AJ19" s="1595"/>
      <c r="AK19" s="1595"/>
      <c r="AL19" s="1595"/>
      <c r="AM19" s="1595"/>
      <c r="AN19" s="227"/>
      <c r="AO19" s="227"/>
    </row>
    <row r="20" spans="1:41">
      <c r="I20" s="2" t="s">
        <v>379</v>
      </c>
      <c r="J20" s="2"/>
      <c r="K20" s="2"/>
      <c r="L20" s="2"/>
      <c r="M20" s="2"/>
      <c r="N20" s="2"/>
      <c r="O20" s="2" t="s">
        <v>380</v>
      </c>
      <c r="P20" s="2"/>
      <c r="Q20" s="2"/>
      <c r="R20" s="2"/>
      <c r="S20" s="2"/>
      <c r="T20" s="2"/>
      <c r="U20" s="2"/>
      <c r="V20" s="2" t="s">
        <v>958</v>
      </c>
      <c r="W20" s="2"/>
      <c r="X20" s="2"/>
      <c r="Y20" s="2"/>
      <c r="Z20" s="2"/>
      <c r="AA20" s="2"/>
      <c r="AB20" s="2" t="s">
        <v>381</v>
      </c>
      <c r="AC20" s="2"/>
      <c r="AD20" s="2"/>
    </row>
    <row r="21" spans="1:41">
      <c r="I21" s="1576">
        <f>Project!V22</f>
        <v>0</v>
      </c>
      <c r="J21" s="1576"/>
      <c r="K21" s="1576"/>
      <c r="L21" s="1576"/>
      <c r="M21" s="1576"/>
      <c r="O21" s="1577">
        <f>Project!AK22</f>
        <v>0</v>
      </c>
      <c r="P21" s="1578"/>
      <c r="Q21" s="1578"/>
      <c r="R21" s="1578"/>
      <c r="S21" s="1579"/>
      <c r="V21" s="1577" t="str">
        <f>Project!H81</f>
        <v/>
      </c>
      <c r="W21" s="1578"/>
      <c r="X21" s="1578"/>
      <c r="Y21" s="1578"/>
      <c r="Z21" s="1579"/>
      <c r="AB21" s="1577" t="str">
        <f>Project!U81</f>
        <v/>
      </c>
      <c r="AC21" s="1578"/>
      <c r="AD21" s="1578"/>
      <c r="AE21" s="1578"/>
      <c r="AF21" s="1579"/>
      <c r="AG21" s="96"/>
    </row>
    <row r="22" spans="1:41" ht="5.0999999999999996" customHeight="1">
      <c r="I22" s="96"/>
      <c r="J22" s="96"/>
      <c r="K22" s="96"/>
      <c r="L22" s="96"/>
      <c r="M22" s="96"/>
    </row>
    <row r="23" spans="1:41">
      <c r="I23" s="1575">
        <f>Project!V26</f>
        <v>0</v>
      </c>
      <c r="J23" s="1575"/>
      <c r="K23" s="1575"/>
      <c r="L23" s="1575"/>
      <c r="M23" s="1575"/>
      <c r="O23" s="1577">
        <f>Project!AK24</f>
        <v>0</v>
      </c>
      <c r="P23" s="1578"/>
      <c r="Q23" s="1578"/>
      <c r="R23" s="1578"/>
      <c r="S23" s="1579"/>
      <c r="V23" s="1577" t="str">
        <f>Project!H83</f>
        <v/>
      </c>
      <c r="W23" s="1578"/>
      <c r="X23" s="1578"/>
      <c r="Y23" s="1578"/>
      <c r="Z23" s="1579"/>
      <c r="AB23" s="1577" t="str">
        <f>Project!U83</f>
        <v/>
      </c>
      <c r="AC23" s="1578"/>
      <c r="AD23" s="1578"/>
      <c r="AE23" s="1578"/>
      <c r="AF23" s="1579"/>
      <c r="AG23" s="96"/>
    </row>
    <row r="24" spans="1:41" ht="5.0999999999999996" customHeight="1">
      <c r="I24" s="207"/>
      <c r="J24" s="207"/>
      <c r="K24" s="207"/>
      <c r="L24" s="207"/>
      <c r="M24" s="207"/>
    </row>
    <row r="25" spans="1:41">
      <c r="I25" s="1576">
        <f>Project!V30</f>
        <v>0</v>
      </c>
      <c r="J25" s="1576"/>
      <c r="K25" s="1576"/>
      <c r="L25" s="1576"/>
      <c r="M25" s="1576"/>
      <c r="O25" s="1577">
        <f>Project!AK26</f>
        <v>0</v>
      </c>
      <c r="P25" s="1578"/>
      <c r="Q25" s="1578"/>
      <c r="R25" s="1578"/>
      <c r="S25" s="1579"/>
      <c r="V25" s="1577" t="str">
        <f>Project!H85</f>
        <v/>
      </c>
      <c r="W25" s="1578"/>
      <c r="X25" s="1578"/>
      <c r="Y25" s="1578"/>
      <c r="Z25" s="1579"/>
      <c r="AB25" s="1577" t="str">
        <f>Project!U85</f>
        <v/>
      </c>
      <c r="AC25" s="1578"/>
      <c r="AD25" s="1578"/>
      <c r="AE25" s="1578"/>
      <c r="AF25" s="1579"/>
      <c r="AG25" s="96"/>
    </row>
    <row r="26" spans="1:41" ht="5.0999999999999996" customHeight="1"/>
    <row r="27" spans="1:41">
      <c r="I27" s="1576" t="str">
        <f>CONCATENATE(Project!V34,", ",Project!V36," ",Project!Z36)</f>
        <v>, WA Zip</v>
      </c>
      <c r="J27" s="1576"/>
      <c r="K27" s="1576"/>
      <c r="L27" s="1576"/>
      <c r="M27" s="1576"/>
      <c r="O27" s="1583">
        <f>Project!AK28</f>
        <v>0</v>
      </c>
      <c r="P27" s="1584"/>
      <c r="Q27" s="1584"/>
      <c r="R27" s="1584"/>
      <c r="S27" s="1585"/>
      <c r="V27" s="1583" t="str">
        <f>Project!H87</f>
        <v/>
      </c>
      <c r="W27" s="1584"/>
      <c r="X27" s="1584"/>
      <c r="Y27" s="1584"/>
      <c r="Z27" s="1585"/>
      <c r="AB27" s="1577" t="str">
        <f>Project!U87</f>
        <v/>
      </c>
      <c r="AC27" s="1578"/>
      <c r="AD27" s="1578"/>
      <c r="AE27" s="1578"/>
      <c r="AF27" s="1579"/>
      <c r="AG27" s="96"/>
    </row>
    <row r="28" spans="1:41" ht="5.0999999999999996" customHeight="1"/>
    <row r="29" spans="1:41">
      <c r="C29" s="214"/>
      <c r="D29" s="214"/>
      <c r="E29" s="214"/>
      <c r="F29" s="214"/>
      <c r="G29" s="214"/>
      <c r="H29" s="214"/>
      <c r="I29" s="214"/>
      <c r="J29" s="214"/>
      <c r="K29" s="214"/>
      <c r="L29" s="214"/>
      <c r="M29" s="214"/>
      <c r="N29" s="214"/>
      <c r="O29" s="214"/>
      <c r="P29" s="214"/>
      <c r="Q29" s="214"/>
      <c r="R29" s="214"/>
      <c r="S29" s="214"/>
      <c r="T29" s="214"/>
      <c r="U29" s="214"/>
      <c r="V29" s="214"/>
      <c r="W29" s="214"/>
      <c r="X29" s="214"/>
      <c r="Y29" s="214"/>
      <c r="Z29" s="214"/>
      <c r="AA29" s="214"/>
      <c r="AB29" s="214"/>
      <c r="AC29" s="214"/>
      <c r="AD29" s="214"/>
      <c r="AE29" s="214"/>
      <c r="AF29" s="214"/>
      <c r="AG29" s="214"/>
      <c r="AH29" s="214"/>
      <c r="AI29" s="214"/>
      <c r="AJ29" s="214"/>
      <c r="AK29" s="214"/>
      <c r="AL29" s="214"/>
    </row>
    <row r="30" spans="1:41" ht="5.0999999999999996" customHeight="1"/>
    <row r="31" spans="1:41">
      <c r="G31" s="215" t="s">
        <v>382</v>
      </c>
      <c r="H31" s="1580">
        <f>Installations!K20</f>
        <v>0</v>
      </c>
      <c r="I31" s="1581"/>
      <c r="M31" s="215" t="s">
        <v>383</v>
      </c>
      <c r="N31" s="1591">
        <f>IFERROR(Autofund!P6,"")</f>
        <v>0</v>
      </c>
      <c r="O31" s="1592"/>
      <c r="S31" s="215" t="s">
        <v>384</v>
      </c>
      <c r="T31" s="1573">
        <f>IF(__Retrofit_TI_NC=2,"NA",Installations!E28)</f>
        <v>0</v>
      </c>
      <c r="U31" s="1573"/>
      <c r="V31" s="1574"/>
      <c r="W31" s="216"/>
      <c r="Y31" s="215" t="s">
        <v>338</v>
      </c>
      <c r="Z31" s="1573">
        <f>Installations!E30</f>
        <v>0</v>
      </c>
      <c r="AA31" s="1574"/>
      <c r="AF31" s="1590" t="s">
        <v>328</v>
      </c>
      <c r="AG31" s="1590"/>
      <c r="AH31" s="1590"/>
      <c r="AI31" s="1590"/>
      <c r="AJ31" s="1586">
        <f>IFERROR(Installations!T20,"")</f>
        <v>0</v>
      </c>
      <c r="AK31" s="1586"/>
      <c r="AL31" s="1587"/>
    </row>
    <row r="32" spans="1:41" ht="5.0999999999999996" customHeight="1">
      <c r="G32" s="215"/>
      <c r="M32" s="217"/>
      <c r="N32" s="218"/>
      <c r="O32" s="779"/>
      <c r="S32" s="215"/>
      <c r="T32" s="120"/>
      <c r="U32" s="120"/>
      <c r="V32" s="120"/>
      <c r="Y32" s="215"/>
      <c r="AF32" s="1590"/>
      <c r="AG32" s="1590"/>
      <c r="AH32" s="1590"/>
      <c r="AI32" s="1590"/>
      <c r="AJ32" s="1586"/>
      <c r="AK32" s="1586"/>
      <c r="AL32" s="1587"/>
    </row>
    <row r="33" spans="2:38">
      <c r="G33" s="215" t="s">
        <v>385</v>
      </c>
      <c r="H33" s="1580">
        <f>Installations!K22</f>
        <v>0</v>
      </c>
      <c r="I33" s="1581"/>
      <c r="L33" s="1582" t="s">
        <v>386</v>
      </c>
      <c r="M33" s="1582"/>
      <c r="S33" s="215" t="s">
        <v>387</v>
      </c>
      <c r="T33" s="1573">
        <f>IF(__Retrofit_TI_NC=2,"NA",Installations!E20)</f>
        <v>0</v>
      </c>
      <c r="U33" s="1573"/>
      <c r="V33" s="1574"/>
      <c r="W33" s="216"/>
      <c r="Z33" s="1593">
        <f>Installations!E24</f>
        <v>0</v>
      </c>
      <c r="AA33" s="1594"/>
      <c r="AF33" s="1590"/>
      <c r="AG33" s="1590"/>
      <c r="AH33" s="1590"/>
      <c r="AI33" s="1590"/>
      <c r="AJ33" s="1588"/>
      <c r="AK33" s="1588"/>
      <c r="AL33" s="1589"/>
    </row>
    <row r="34" spans="2:38" ht="5.0999999999999996" customHeight="1">
      <c r="G34" s="215"/>
      <c r="L34" s="1582"/>
      <c r="M34" s="1582"/>
      <c r="S34" s="215"/>
      <c r="T34" s="120"/>
      <c r="U34" s="120"/>
      <c r="V34" s="120"/>
    </row>
    <row r="35" spans="2:38">
      <c r="G35" s="215" t="s">
        <v>388</v>
      </c>
      <c r="H35" s="1580">
        <f>Installations!K24</f>
        <v>0</v>
      </c>
      <c r="I35" s="1581"/>
      <c r="M35" s="219" t="s">
        <v>389</v>
      </c>
      <c r="N35" s="1599" t="str">
        <f>IFERROR(Autofund!Q6,"")</f>
        <v>N/A</v>
      </c>
      <c r="O35" s="1600"/>
      <c r="S35" s="215" t="s">
        <v>390</v>
      </c>
      <c r="T35" s="1573">
        <f>Installations!E22</f>
        <v>0</v>
      </c>
      <c r="U35" s="1573"/>
      <c r="V35" s="1574"/>
      <c r="W35" s="216"/>
      <c r="Y35" s="215" t="s">
        <v>236</v>
      </c>
      <c r="Z35" s="1573">
        <f>Installations!E32</f>
        <v>0</v>
      </c>
      <c r="AA35" s="1574"/>
      <c r="AI35" s="215" t="s">
        <v>391</v>
      </c>
      <c r="AJ35" s="1620">
        <f>IFERROR(Z35/H35,0)</f>
        <v>0</v>
      </c>
      <c r="AK35" s="1620"/>
      <c r="AL35" s="1621"/>
    </row>
    <row r="36" spans="2:38" ht="5.0999999999999996" customHeight="1">
      <c r="G36" s="215"/>
      <c r="M36" s="217"/>
      <c r="N36" s="220"/>
      <c r="O36" s="220"/>
      <c r="S36" s="215"/>
      <c r="T36" s="120"/>
      <c r="U36" s="120"/>
      <c r="V36" s="120"/>
    </row>
    <row r="37" spans="2:38">
      <c r="G37" s="215" t="s">
        <v>392</v>
      </c>
      <c r="H37" s="1597">
        <f>IFERROR(H35/H31,0)</f>
        <v>0</v>
      </c>
      <c r="I37" s="1598"/>
      <c r="M37" s="219" t="s">
        <v>393</v>
      </c>
      <c r="N37" s="1604" t="str">
        <f>IFERROR(Autofund!R6,"")</f>
        <v>N/A</v>
      </c>
      <c r="O37" s="1605"/>
      <c r="S37" s="215" t="s">
        <v>394</v>
      </c>
      <c r="T37" s="1606">
        <f>SUM(T31:V36)</f>
        <v>0</v>
      </c>
      <c r="U37" s="1606"/>
      <c r="V37" s="1607"/>
      <c r="W37" s="221"/>
      <c r="Y37" s="215" t="s">
        <v>238</v>
      </c>
      <c r="Z37" s="1608">
        <f>IFERROR(Autofund!O3,"")</f>
        <v>0</v>
      </c>
      <c r="AA37" s="1609"/>
      <c r="AI37" s="215" t="s">
        <v>395</v>
      </c>
      <c r="AJ37" s="1597">
        <f>IFERROR(AJ31/Z35,0)</f>
        <v>0</v>
      </c>
      <c r="AK37" s="1597"/>
      <c r="AL37" s="1598"/>
    </row>
    <row r="38" spans="2:38" ht="5.0999999999999996" customHeight="1"/>
    <row r="40" spans="2:38">
      <c r="B40" s="1149"/>
      <c r="C40" s="1596" t="s">
        <v>396</v>
      </c>
      <c r="D40" s="1596"/>
      <c r="E40" s="1596"/>
      <c r="F40" s="1596"/>
      <c r="G40" s="1596"/>
      <c r="H40" s="1596"/>
      <c r="I40" s="1596"/>
      <c r="J40" s="1596"/>
      <c r="K40" s="1596"/>
      <c r="L40" s="1596"/>
      <c r="M40" s="1596"/>
      <c r="N40" s="1596"/>
      <c r="O40" s="1596"/>
      <c r="P40" s="1596"/>
      <c r="Q40" s="1596"/>
      <c r="R40" s="1596"/>
      <c r="S40" s="1596"/>
      <c r="T40" s="1596"/>
      <c r="U40" s="1596"/>
      <c r="V40" s="1596"/>
      <c r="W40" s="1596"/>
      <c r="X40" s="1596"/>
      <c r="Y40" s="1596"/>
      <c r="Z40" s="1596"/>
      <c r="AA40" s="1596"/>
      <c r="AB40" s="1596"/>
      <c r="AC40" s="1596"/>
      <c r="AD40" s="1596"/>
      <c r="AE40" s="1596"/>
      <c r="AF40" s="1596"/>
      <c r="AG40" s="1596"/>
      <c r="AH40" s="1596"/>
      <c r="AI40" s="1596"/>
      <c r="AJ40" s="1596"/>
      <c r="AK40" s="1596"/>
      <c r="AL40" s="1596"/>
    </row>
    <row r="41" spans="2:38" ht="5.0999999999999996" customHeight="1">
      <c r="B41" s="1149"/>
    </row>
    <row r="42" spans="2:38" ht="14.95" customHeight="1">
      <c r="B42" s="1149"/>
      <c r="C42" t="s">
        <v>2014</v>
      </c>
    </row>
    <row r="43" spans="2:38" ht="14.95" customHeight="1">
      <c r="B43" s="1149"/>
      <c r="D43" t="s">
        <v>2015</v>
      </c>
    </row>
    <row r="44" spans="2:38" ht="14.95" customHeight="1">
      <c r="B44" s="1149"/>
      <c r="E44" s="2"/>
    </row>
    <row r="45" spans="2:38" ht="14.95" customHeight="1">
      <c r="B45" s="1149"/>
      <c r="E45" s="780"/>
      <c r="F45" s="14" t="s">
        <v>397</v>
      </c>
    </row>
    <row r="46" spans="2:38" ht="5.0999999999999996" customHeight="1">
      <c r="B46" s="1149"/>
    </row>
    <row r="47" spans="2:38" ht="14.95" customHeight="1">
      <c r="B47" s="1149"/>
      <c r="E47" s="780"/>
      <c r="F47" s="14" t="s">
        <v>398</v>
      </c>
    </row>
    <row r="48" spans="2:38" ht="5.0999999999999996" customHeight="1">
      <c r="B48" s="1149"/>
    </row>
    <row r="49" spans="2:39" ht="14.95" customHeight="1">
      <c r="B49" s="1149"/>
      <c r="E49" s="780"/>
      <c r="F49" s="14" t="s">
        <v>399</v>
      </c>
    </row>
    <row r="50" spans="2:39" ht="14.45" customHeight="1">
      <c r="B50" s="1149"/>
      <c r="V50" s="1611" t="s">
        <v>2092</v>
      </c>
      <c r="W50" s="1611"/>
      <c r="X50" s="1611"/>
      <c r="Y50" s="1611"/>
      <c r="Z50" s="1611"/>
      <c r="AH50" s="1624" t="s">
        <v>2092</v>
      </c>
      <c r="AI50" s="1624"/>
      <c r="AJ50" s="1624"/>
      <c r="AK50" s="1624"/>
      <c r="AL50" s="1624"/>
    </row>
    <row r="51" spans="2:39" ht="14.95" customHeight="1">
      <c r="B51" s="1149"/>
      <c r="D51" t="s">
        <v>2016</v>
      </c>
      <c r="V51" s="1611"/>
      <c r="W51" s="1611"/>
      <c r="X51" s="1611"/>
      <c r="Y51" s="1611"/>
      <c r="Z51" s="1611"/>
      <c r="AH51" s="1624"/>
      <c r="AI51" s="1624"/>
      <c r="AJ51" s="1624"/>
      <c r="AK51" s="1624"/>
      <c r="AL51" s="1624"/>
    </row>
    <row r="52" spans="2:39" ht="5.0999999999999996" customHeight="1">
      <c r="B52" s="1149"/>
    </row>
    <row r="53" spans="2:39" ht="14.95" customHeight="1">
      <c r="B53" s="1149"/>
      <c r="T53" s="1116" t="s">
        <v>2091</v>
      </c>
      <c r="V53" s="1612"/>
      <c r="W53" s="1612"/>
      <c r="X53" s="1612"/>
      <c r="Y53" s="1612"/>
      <c r="Z53" s="1613"/>
      <c r="AA53" s="388">
        <f>IFERROR(VLOOKUP(V53,Lookup!$BJ$11:$BK$13,2,FALSE)+1,0)</f>
        <v>0</v>
      </c>
      <c r="AF53" s="1116" t="s">
        <v>2091</v>
      </c>
      <c r="AH53" s="1612" t="s">
        <v>2048</v>
      </c>
      <c r="AI53" s="1612"/>
      <c r="AJ53" s="1612"/>
      <c r="AK53" s="1612"/>
      <c r="AL53" s="1613"/>
      <c r="AM53" s="388">
        <f>IFERROR(VLOOKUP(AH53,Lookup!$BJ$11:$BK$13,2,FALSE)+1,0)</f>
        <v>3</v>
      </c>
    </row>
    <row r="54" spans="2:39" ht="14.95" customHeight="1">
      <c r="B54" s="1149"/>
      <c r="V54" s="1610" t="str">
        <f ca="1">'Grant QC Review'!L88</f>
        <v>Fixture/TLED/Control Grant</v>
      </c>
      <c r="W54" s="1610"/>
      <c r="X54" s="1610"/>
      <c r="Y54" s="1610"/>
      <c r="Z54" s="1610"/>
      <c r="AG54" s="13"/>
      <c r="AH54" s="1619" t="str">
        <f>RIGHT('Grant QC Review'!O88,24)</f>
        <v>LLLC (performance) Grant</v>
      </c>
      <c r="AI54" s="1619"/>
      <c r="AJ54" s="1619"/>
      <c r="AK54" s="1619"/>
      <c r="AL54" s="1619"/>
    </row>
    <row r="55" spans="2:39" ht="14.95" customHeight="1">
      <c r="B55" s="1149"/>
      <c r="C55" s="1166" t="s">
        <v>2013</v>
      </c>
      <c r="D55" s="1166"/>
      <c r="E55" s="1166"/>
      <c r="F55" s="1166"/>
      <c r="G55" s="1166"/>
      <c r="H55" s="1166"/>
      <c r="I55" s="1166"/>
      <c r="J55" s="1166"/>
      <c r="K55" s="1166"/>
      <c r="U55" s="1149"/>
      <c r="V55" s="1618">
        <f>IFERROR(Installations!T26+Installations!T28,"")</f>
        <v>0</v>
      </c>
      <c r="W55" s="1618"/>
      <c r="X55" s="1618"/>
      <c r="Y55" s="1618"/>
      <c r="Z55" s="1618"/>
      <c r="AG55" s="1149"/>
      <c r="AH55" s="1623">
        <f>Installations!T30</f>
        <v>0</v>
      </c>
      <c r="AI55" s="1623"/>
      <c r="AJ55" s="1623"/>
      <c r="AK55" s="1623"/>
      <c r="AL55" s="1623"/>
    </row>
    <row r="56" spans="2:39" ht="5.0999999999999996" customHeight="1">
      <c r="B56" s="1149"/>
      <c r="C56" s="1166"/>
      <c r="D56" s="1166"/>
      <c r="E56" s="1166"/>
      <c r="F56" s="1166"/>
      <c r="G56" s="1166"/>
      <c r="H56" s="1166"/>
      <c r="I56" s="1166"/>
      <c r="J56" s="1166"/>
      <c r="K56" s="1166"/>
      <c r="U56" s="1149"/>
      <c r="AE56" s="174"/>
      <c r="AF56" s="174"/>
      <c r="AG56" s="1149"/>
    </row>
    <row r="57" spans="2:39">
      <c r="B57" s="1149"/>
      <c r="C57" s="1166"/>
      <c r="D57" s="1166"/>
      <c r="E57" s="1166"/>
      <c r="F57" s="1166"/>
      <c r="G57" s="1166"/>
      <c r="H57" s="1166"/>
      <c r="I57" s="1166"/>
      <c r="J57" s="1166"/>
      <c r="K57" s="1166"/>
      <c r="R57" s="190"/>
      <c r="T57" s="488" t="s">
        <v>400</v>
      </c>
      <c r="U57" s="1149"/>
      <c r="V57" s="1616" t="str">
        <f>IFERROR(VLOOKUP(T57,__Company_Name_List,$AA$53,FALSE),"")</f>
        <v/>
      </c>
      <c r="W57" s="1616"/>
      <c r="X57" s="1616"/>
      <c r="Y57" s="1616"/>
      <c r="Z57" s="1617"/>
      <c r="AF57" s="1116" t="s">
        <v>400</v>
      </c>
      <c r="AG57" s="1149"/>
      <c r="AH57" s="1616" t="str">
        <f>IFERROR(VLOOKUP(AF57,__Company_Name_List,$AM$53,FALSE),"")</f>
        <v/>
      </c>
      <c r="AI57" s="1616"/>
      <c r="AJ57" s="1616"/>
      <c r="AK57" s="1616"/>
      <c r="AL57" s="1617"/>
    </row>
    <row r="58" spans="2:39" ht="5.0999999999999996" customHeight="1">
      <c r="B58" s="1149"/>
      <c r="C58" s="1166"/>
      <c r="D58" s="1166"/>
      <c r="E58" s="1166"/>
      <c r="F58" s="1166"/>
      <c r="G58" s="1166"/>
      <c r="H58" s="1166"/>
      <c r="I58" s="1166"/>
      <c r="J58" s="1166"/>
      <c r="K58" s="1166"/>
      <c r="R58" s="190"/>
      <c r="U58" s="1149"/>
      <c r="AG58" s="1149"/>
    </row>
    <row r="59" spans="2:39">
      <c r="B59" s="1149"/>
      <c r="C59" s="1166"/>
      <c r="D59" s="1166"/>
      <c r="E59" s="1166"/>
      <c r="F59" s="1166"/>
      <c r="G59" s="1166"/>
      <c r="H59" s="1166"/>
      <c r="I59" s="1166"/>
      <c r="J59" s="1166"/>
      <c r="K59" s="1166"/>
      <c r="R59" s="190"/>
      <c r="T59" s="488" t="s">
        <v>401</v>
      </c>
      <c r="U59" s="1149"/>
      <c r="V59" s="1616"/>
      <c r="W59" s="1616"/>
      <c r="X59" s="1616"/>
      <c r="Y59" s="1616"/>
      <c r="Z59" s="1617"/>
      <c r="AF59" s="488" t="s">
        <v>402</v>
      </c>
      <c r="AG59" s="1149"/>
      <c r="AH59" s="1616"/>
      <c r="AI59" s="1616"/>
      <c r="AJ59" s="1616"/>
      <c r="AK59" s="1616"/>
      <c r="AL59" s="1617"/>
    </row>
    <row r="60" spans="2:39" ht="5.0999999999999996" customHeight="1">
      <c r="B60" s="1149"/>
      <c r="C60" s="1166"/>
      <c r="D60" s="1166"/>
      <c r="E60" s="1166"/>
      <c r="F60" s="1166"/>
      <c r="G60" s="1166"/>
      <c r="H60" s="1166"/>
      <c r="I60" s="1166"/>
      <c r="J60" s="1166"/>
      <c r="K60" s="1166"/>
      <c r="R60" s="190"/>
      <c r="U60" s="1149"/>
      <c r="AG60" s="1149"/>
    </row>
    <row r="61" spans="2:39">
      <c r="B61" s="1149"/>
      <c r="C61" s="1166"/>
      <c r="D61" s="1166"/>
      <c r="E61" s="1166"/>
      <c r="F61" s="1166"/>
      <c r="G61" s="1166"/>
      <c r="H61" s="1166"/>
      <c r="I61" s="1166"/>
      <c r="J61" s="1166"/>
      <c r="K61" s="1166"/>
      <c r="R61" s="190"/>
      <c r="T61" s="488" t="s">
        <v>403</v>
      </c>
      <c r="U61" s="1149"/>
      <c r="V61" s="1616"/>
      <c r="W61" s="1616"/>
      <c r="X61" s="1616"/>
      <c r="Y61" s="1616"/>
      <c r="Z61" s="1617"/>
      <c r="AF61" s="488" t="s">
        <v>403</v>
      </c>
      <c r="AG61" s="1149"/>
      <c r="AH61" s="1616"/>
      <c r="AI61" s="1616"/>
      <c r="AJ61" s="1616"/>
      <c r="AK61" s="1616"/>
      <c r="AL61" s="1617"/>
    </row>
    <row r="62" spans="2:39" ht="5.0999999999999996" customHeight="1">
      <c r="B62" s="1149"/>
      <c r="C62" s="1166"/>
      <c r="D62" s="1166"/>
      <c r="E62" s="1166"/>
      <c r="F62" s="1166"/>
      <c r="G62" s="1166"/>
      <c r="H62" s="1166"/>
      <c r="I62" s="1166"/>
      <c r="J62" s="1166"/>
      <c r="K62" s="1166"/>
      <c r="R62" s="190"/>
      <c r="S62" s="12"/>
      <c r="T62" s="208"/>
      <c r="U62" s="1149"/>
      <c r="V62" s="209"/>
      <c r="W62" s="209"/>
      <c r="X62" s="209"/>
      <c r="Y62" s="209"/>
      <c r="Z62" s="209"/>
      <c r="AF62" s="222"/>
      <c r="AG62" s="1149"/>
      <c r="AH62" s="209"/>
      <c r="AI62" s="209"/>
      <c r="AJ62" s="209"/>
      <c r="AK62" s="209"/>
      <c r="AL62" s="209"/>
    </row>
    <row r="63" spans="2:39">
      <c r="B63" s="1149"/>
      <c r="C63" s="1166"/>
      <c r="D63" s="1166"/>
      <c r="E63" s="1166"/>
      <c r="F63" s="1166"/>
      <c r="G63" s="1166"/>
      <c r="H63" s="1166"/>
      <c r="I63" s="1166"/>
      <c r="J63" s="1166"/>
      <c r="K63" s="1166"/>
      <c r="R63" s="190"/>
      <c r="S63" s="12"/>
      <c r="T63" s="488" t="s">
        <v>2012</v>
      </c>
      <c r="U63" s="1149"/>
      <c r="V63" s="1616" t="str">
        <f>IFERROR(VLOOKUP(T63,__Company_Name_List,$AA$53,FALSE),"")</f>
        <v/>
      </c>
      <c r="W63" s="1616"/>
      <c r="X63" s="1616"/>
      <c r="Y63" s="1616"/>
      <c r="Z63" s="1617"/>
      <c r="AF63" s="488" t="s">
        <v>2012</v>
      </c>
      <c r="AG63" s="1149"/>
      <c r="AH63" s="1616" t="str">
        <f>IFERROR(VLOOKUP(AF63,__Company_Name_List,$AM$53,FALSE),"")</f>
        <v/>
      </c>
      <c r="AI63" s="1616"/>
      <c r="AJ63" s="1616"/>
      <c r="AK63" s="1616"/>
      <c r="AL63" s="1617"/>
    </row>
    <row r="64" spans="2:39" ht="5.0999999999999996" customHeight="1">
      <c r="B64" s="1149"/>
      <c r="C64" s="1166"/>
      <c r="D64" s="1166"/>
      <c r="E64" s="1166"/>
      <c r="F64" s="1166"/>
      <c r="G64" s="1166"/>
      <c r="H64" s="1166"/>
      <c r="I64" s="1166"/>
      <c r="J64" s="1166"/>
      <c r="K64" s="1166"/>
      <c r="R64" s="190"/>
      <c r="S64" s="12"/>
      <c r="T64" s="208"/>
      <c r="U64" s="1149"/>
      <c r="V64" s="210"/>
      <c r="W64" s="209"/>
      <c r="X64" s="209"/>
      <c r="Y64" s="209"/>
      <c r="Z64" s="209"/>
      <c r="AF64" s="222"/>
      <c r="AG64" s="1149"/>
      <c r="AH64" s="210"/>
      <c r="AI64" s="209"/>
      <c r="AJ64" s="209"/>
      <c r="AK64" s="209"/>
      <c r="AL64" s="209"/>
    </row>
    <row r="65" spans="2:50">
      <c r="B65" s="1149"/>
      <c r="C65" s="1166"/>
      <c r="D65" s="1166"/>
      <c r="E65" s="1166"/>
      <c r="F65" s="1166"/>
      <c r="G65" s="1166"/>
      <c r="H65" s="1166"/>
      <c r="I65" s="1166"/>
      <c r="J65" s="1166"/>
      <c r="K65" s="1166"/>
      <c r="R65" s="190"/>
      <c r="S65" s="12"/>
      <c r="T65" s="488" t="s">
        <v>77</v>
      </c>
      <c r="U65" s="1149"/>
      <c r="V65" s="1616" t="str">
        <f>IFERROR(VLOOKUP(T65,__Company_Name_List,$AA$53,FALSE),"")</f>
        <v/>
      </c>
      <c r="W65" s="1616"/>
      <c r="X65" s="1616"/>
      <c r="Y65" s="1616"/>
      <c r="Z65" s="1617"/>
      <c r="AF65" s="488" t="s">
        <v>77</v>
      </c>
      <c r="AG65" s="1149"/>
      <c r="AH65" s="1616" t="str">
        <f>IFERROR(VLOOKUP(AF65,__Company_Name_List,$AM$53,FALSE),"")</f>
        <v/>
      </c>
      <c r="AI65" s="1616"/>
      <c r="AJ65" s="1616"/>
      <c r="AK65" s="1616"/>
      <c r="AL65" s="1617"/>
    </row>
    <row r="66" spans="2:50" ht="5.0999999999999996" customHeight="1">
      <c r="C66" s="1166"/>
      <c r="D66" s="1166"/>
      <c r="E66" s="1166"/>
      <c r="F66" s="1166"/>
      <c r="G66" s="1166"/>
      <c r="H66" s="1166"/>
      <c r="I66" s="1166"/>
      <c r="J66" s="1166"/>
      <c r="K66" s="1166"/>
      <c r="U66" s="1149"/>
      <c r="AG66" s="1149"/>
    </row>
    <row r="67" spans="2:50">
      <c r="C67" s="1166"/>
      <c r="D67" s="1166"/>
      <c r="E67" s="1166"/>
      <c r="F67" s="1166"/>
      <c r="G67" s="1166"/>
      <c r="H67" s="1166"/>
      <c r="I67" s="1166"/>
      <c r="J67" s="1166"/>
      <c r="K67" s="1166"/>
      <c r="T67" s="488" t="s">
        <v>123</v>
      </c>
      <c r="U67" s="1149"/>
      <c r="V67" s="1616" t="str">
        <f>IFERROR(VLOOKUP(T67,__Company_Name_List,$AA$53,FALSE),"")</f>
        <v/>
      </c>
      <c r="W67" s="1616"/>
      <c r="X67" s="1616"/>
      <c r="Y67" s="1616"/>
      <c r="Z67" s="1617"/>
      <c r="AF67" s="488" t="s">
        <v>123</v>
      </c>
      <c r="AG67" s="1149"/>
      <c r="AH67" s="1616" t="str">
        <f>IFERROR(VLOOKUP(AF67,__Company_Name_List,$AM$53,FALSE),"")</f>
        <v/>
      </c>
      <c r="AI67" s="1616"/>
      <c r="AJ67" s="1616"/>
      <c r="AK67" s="1616"/>
      <c r="AL67" s="1617"/>
    </row>
    <row r="68" spans="2:50" ht="5.0999999999999996" customHeight="1">
      <c r="C68" s="1166"/>
      <c r="D68" s="1166"/>
      <c r="E68" s="1166"/>
      <c r="F68" s="1166"/>
      <c r="G68" s="1166"/>
      <c r="H68" s="1166"/>
      <c r="I68" s="1166"/>
      <c r="J68" s="1166"/>
      <c r="K68" s="1166"/>
      <c r="T68" s="211"/>
      <c r="U68" s="1149"/>
      <c r="V68" s="212"/>
      <c r="W68" s="212"/>
      <c r="X68" s="212"/>
      <c r="Y68" s="212"/>
      <c r="Z68" s="212"/>
      <c r="AF68" s="223"/>
      <c r="AG68" s="1149"/>
      <c r="AH68" s="212"/>
      <c r="AI68" s="212"/>
      <c r="AJ68" s="212"/>
      <c r="AK68" s="212"/>
      <c r="AL68" s="212"/>
    </row>
    <row r="69" spans="2:50">
      <c r="C69" s="1166"/>
      <c r="D69" s="1166"/>
      <c r="E69" s="1166"/>
      <c r="F69" s="1166"/>
      <c r="G69" s="1166"/>
      <c r="H69" s="1166"/>
      <c r="I69" s="1166"/>
      <c r="J69" s="1166"/>
      <c r="K69" s="1166"/>
      <c r="T69" s="488" t="s">
        <v>86</v>
      </c>
      <c r="U69" s="1149"/>
      <c r="V69" s="1616" t="str">
        <f>IFERROR(VLOOKUP(T69,__Company_Name_List,$AA$53,FALSE),"")</f>
        <v/>
      </c>
      <c r="W69" s="1616"/>
      <c r="X69" s="1616"/>
      <c r="Y69" s="1616"/>
      <c r="Z69" s="1617"/>
      <c r="AF69" s="488" t="s">
        <v>405</v>
      </c>
      <c r="AG69" s="1149"/>
      <c r="AH69" s="1616" t="str">
        <f>IFERROR(VLOOKUP(AF69,__Company_Name_List,$AM$53,FALSE),"")</f>
        <v/>
      </c>
      <c r="AI69" s="1616"/>
      <c r="AJ69" s="1616"/>
      <c r="AK69" s="1616"/>
      <c r="AL69" s="1617"/>
    </row>
    <row r="70" spans="2:50" ht="5.0999999999999996" customHeight="1">
      <c r="C70" s="1166"/>
      <c r="D70" s="1166"/>
      <c r="E70" s="1166"/>
      <c r="F70" s="1166"/>
      <c r="G70" s="1166"/>
      <c r="H70" s="1166"/>
      <c r="I70" s="1166"/>
      <c r="J70" s="1166"/>
      <c r="K70" s="1166"/>
      <c r="T70" s="211"/>
      <c r="U70" s="1149"/>
      <c r="V70" s="212"/>
      <c r="W70" s="212"/>
      <c r="X70" s="212"/>
      <c r="Y70" s="212"/>
      <c r="Z70" s="212"/>
      <c r="AF70" s="223"/>
      <c r="AG70" s="1149"/>
      <c r="AH70" s="212"/>
      <c r="AI70" s="212"/>
      <c r="AJ70" s="212"/>
      <c r="AK70" s="212"/>
      <c r="AL70" s="212"/>
    </row>
    <row r="71" spans="2:50">
      <c r="C71" s="1166"/>
      <c r="D71" s="1166"/>
      <c r="E71" s="1166"/>
      <c r="F71" s="1166"/>
      <c r="G71" s="1166"/>
      <c r="H71" s="1166"/>
      <c r="I71" s="1166"/>
      <c r="J71" s="1166"/>
      <c r="K71" s="1166"/>
      <c r="S71" s="1117"/>
      <c r="T71" s="1116" t="s">
        <v>88</v>
      </c>
      <c r="U71" s="1149"/>
      <c r="V71" s="1616" t="str">
        <f>IFERROR(VLOOKUP(T71,__Company_Name_List,$AA$53,FALSE),"")</f>
        <v/>
      </c>
      <c r="W71" s="1616"/>
      <c r="X71" s="1616"/>
      <c r="Y71" s="1616"/>
      <c r="Z71" s="1617"/>
      <c r="AF71" s="488" t="s">
        <v>88</v>
      </c>
      <c r="AG71" s="1149"/>
      <c r="AH71" s="1616" t="str">
        <f>IFERROR(VLOOKUP(AF71,__Company_Name_List,$AM$53,FALSE),"")</f>
        <v/>
      </c>
      <c r="AI71" s="1616"/>
      <c r="AJ71" s="1616"/>
      <c r="AK71" s="1616"/>
      <c r="AL71" s="1617"/>
    </row>
    <row r="72" spans="2:50" ht="5.0999999999999996" customHeight="1">
      <c r="C72" s="1166"/>
      <c r="D72" s="1166"/>
      <c r="E72" s="1166"/>
      <c r="F72" s="1166"/>
      <c r="G72" s="1166"/>
      <c r="H72" s="1166"/>
      <c r="I72" s="1166"/>
      <c r="J72" s="1166"/>
      <c r="K72" s="1166"/>
      <c r="R72" s="208"/>
      <c r="S72" s="208"/>
      <c r="T72" s="208"/>
      <c r="U72" s="1149"/>
      <c r="V72" s="781"/>
      <c r="W72" s="781"/>
      <c r="X72" s="781"/>
      <c r="Y72" s="781"/>
      <c r="Z72" s="781"/>
      <c r="AF72" s="222"/>
      <c r="AG72" s="1149"/>
      <c r="AH72" s="781"/>
      <c r="AI72" s="781"/>
      <c r="AJ72" s="781"/>
      <c r="AK72" s="781"/>
      <c r="AL72" s="781"/>
    </row>
    <row r="73" spans="2:50">
      <c r="C73" s="1166"/>
      <c r="D73" s="1166"/>
      <c r="E73" s="1166"/>
      <c r="F73" s="1166"/>
      <c r="G73" s="1166"/>
      <c r="H73" s="1166"/>
      <c r="I73" s="1166"/>
      <c r="J73" s="1166"/>
      <c r="K73" s="1166"/>
      <c r="S73" s="1118"/>
      <c r="T73" s="1116" t="s">
        <v>91</v>
      </c>
      <c r="U73" s="1149"/>
      <c r="V73" s="213" t="str">
        <f>IFERROR(VLOOKUP(T73,__Company_Name_List,$AA$53,FALSE),"")</f>
        <v/>
      </c>
      <c r="X73" s="488" t="s">
        <v>94</v>
      </c>
      <c r="Y73" s="1614" t="str">
        <f>IFERROR(VLOOKUP(X73,__Company_Name_List,$AA$53,FALSE),"")</f>
        <v/>
      </c>
      <c r="Z73" s="1615"/>
      <c r="AF73" s="488" t="s">
        <v>91</v>
      </c>
      <c r="AG73" s="1149"/>
      <c r="AH73" s="213" t="str">
        <f>IFERROR(VLOOKUP(AF73,__Company_Name_List,$AM$53,FALSE),"")</f>
        <v/>
      </c>
      <c r="AJ73" s="488" t="s">
        <v>93</v>
      </c>
      <c r="AK73" s="1614" t="str">
        <f>IFERROR(VLOOKUP(AJ73,__Company_Name_List,$AM$53,FALSE),"")</f>
        <v/>
      </c>
      <c r="AL73" s="1615"/>
    </row>
    <row r="74" spans="2:50">
      <c r="C74" s="1166"/>
      <c r="D74" s="1166"/>
      <c r="E74" s="1166"/>
      <c r="F74" s="1166"/>
      <c r="G74" s="1166"/>
      <c r="H74" s="1166"/>
      <c r="I74" s="1166"/>
      <c r="J74" s="1166"/>
      <c r="K74" s="1166"/>
    </row>
    <row r="75" spans="2:50">
      <c r="C75" s="486" t="s">
        <v>406</v>
      </c>
      <c r="D75" s="224"/>
      <c r="E75" s="224"/>
      <c r="F75" s="224"/>
      <c r="G75" s="224"/>
      <c r="H75" s="224"/>
      <c r="I75" s="224"/>
      <c r="J75" s="224"/>
      <c r="K75" s="224"/>
      <c r="L75" s="224"/>
      <c r="M75" s="224"/>
      <c r="N75" s="224"/>
      <c r="O75" s="224"/>
      <c r="P75" s="224"/>
      <c r="Q75" s="224"/>
      <c r="R75" s="224"/>
      <c r="S75" s="224"/>
      <c r="T75" s="224"/>
      <c r="U75" s="224"/>
      <c r="V75" s="224"/>
      <c r="W75" s="224"/>
      <c r="X75" s="224"/>
      <c r="Y75" s="224"/>
      <c r="Z75" s="224"/>
      <c r="AA75" s="224"/>
      <c r="AB75" s="224"/>
      <c r="AC75" s="224"/>
      <c r="AD75" s="224"/>
      <c r="AE75" s="224"/>
      <c r="AF75" s="224"/>
      <c r="AG75" s="224"/>
      <c r="AH75" s="224"/>
      <c r="AI75" s="224"/>
      <c r="AJ75" s="224"/>
      <c r="AK75" s="224"/>
      <c r="AL75" s="224"/>
    </row>
    <row r="76" spans="2:50" ht="14.95" customHeight="1">
      <c r="AB76" s="443"/>
      <c r="AC76" s="443"/>
      <c r="AD76" s="443"/>
      <c r="AE76" s="443"/>
      <c r="AF76" s="443"/>
      <c r="AG76" s="443"/>
      <c r="AH76" s="443"/>
      <c r="AI76" s="443"/>
      <c r="AJ76" s="443"/>
      <c r="AK76" s="443"/>
      <c r="AL76" s="443"/>
      <c r="AX76" t="s">
        <v>407</v>
      </c>
    </row>
    <row r="77" spans="2:50" ht="14.3" customHeight="1">
      <c r="C77" s="1166" t="str">
        <f>CONCATENATE(AX76 &amp; Lookup!D19 &amp; 'Customer Authorization'!AX77)</f>
        <v xml:space="preserve">By signing at right I acknowledge that I have read and agree to the Term and Conditions of PSE MULTI-FAMILY LIGHTING INCENTIVE PROGRAM. I attest that all information provided in this application is accurate and truthful, that I satisfy the terms and conditions, and that I agree to adhere to them. I understand that if I do not adhere to the terms and conditions above, or have otherwise not complied with the requirements of this program, my application for a rebate may be disqualified and no rebate will be paid. I understand that PSE provides rebate incentives for retrofit measures that are designed to save energy in the facility listed on the application, but I acknowledge that estimated energy savings are not guaranteed and such projected energy savings may not result from such retrofit measures. I, the customer, am responsible for meeting applicable code requirements, for determining the adequacy of any installation and for all payments to contractors and/or suppliers. </v>
      </c>
      <c r="D77" s="1166"/>
      <c r="E77" s="1166"/>
      <c r="F77" s="1166"/>
      <c r="G77" s="1166"/>
      <c r="H77" s="1166"/>
      <c r="I77" s="1166"/>
      <c r="J77" s="1166"/>
      <c r="K77" s="1166"/>
      <c r="L77" s="1166"/>
      <c r="M77" s="1166"/>
      <c r="N77" s="1166"/>
      <c r="O77" s="1166"/>
      <c r="P77" s="1166"/>
      <c r="Q77" s="1166"/>
      <c r="R77" s="1166"/>
      <c r="S77" s="1166"/>
      <c r="T77" s="1166"/>
      <c r="U77" s="1166"/>
      <c r="V77" s="1166"/>
      <c r="W77" s="190"/>
      <c r="X77" s="190"/>
      <c r="Y77" s="190"/>
      <c r="Z77" s="190"/>
      <c r="AA77" s="443"/>
      <c r="AB77" s="443"/>
      <c r="AC77" s="443"/>
      <c r="AD77" s="1622"/>
      <c r="AE77" s="1622"/>
      <c r="AF77" s="1622"/>
      <c r="AG77" s="1622"/>
      <c r="AH77" s="1622"/>
      <c r="AI77" s="1622"/>
      <c r="AJ77" s="1622"/>
      <c r="AK77" s="1622"/>
      <c r="AL77" s="1622"/>
      <c r="AM77" s="1622"/>
      <c r="AX77" t="s">
        <v>408</v>
      </c>
    </row>
    <row r="78" spans="2:50">
      <c r="C78" s="1166"/>
      <c r="D78" s="1166"/>
      <c r="E78" s="1166"/>
      <c r="F78" s="1166"/>
      <c r="G78" s="1166"/>
      <c r="H78" s="1166"/>
      <c r="I78" s="1166"/>
      <c r="J78" s="1166"/>
      <c r="K78" s="1166"/>
      <c r="L78" s="1166"/>
      <c r="M78" s="1166"/>
      <c r="N78" s="1166"/>
      <c r="O78" s="1166"/>
      <c r="P78" s="1166"/>
      <c r="Q78" s="1166"/>
      <c r="R78" s="1166"/>
      <c r="S78" s="1166"/>
      <c r="T78" s="1166"/>
      <c r="U78" s="1166"/>
      <c r="V78" s="1166"/>
      <c r="W78" s="190"/>
      <c r="X78" s="190"/>
      <c r="Y78" s="190"/>
      <c r="Z78" s="190"/>
      <c r="AA78" s="190"/>
      <c r="AE78" s="1626"/>
      <c r="AF78" s="1626"/>
      <c r="AG78" s="1626"/>
      <c r="AH78" s="1626"/>
      <c r="AI78" s="1626"/>
      <c r="AJ78" s="1626"/>
      <c r="AK78" s="1626"/>
      <c r="AL78" s="1627"/>
    </row>
    <row r="79" spans="2:50">
      <c r="C79" s="1166"/>
      <c r="D79" s="1166"/>
      <c r="E79" s="1166"/>
      <c r="F79" s="1166"/>
      <c r="G79" s="1166"/>
      <c r="H79" s="1166"/>
      <c r="I79" s="1166"/>
      <c r="J79" s="1166"/>
      <c r="K79" s="1166"/>
      <c r="L79" s="1166"/>
      <c r="M79" s="1166"/>
      <c r="N79" s="1166"/>
      <c r="O79" s="1166"/>
      <c r="P79" s="1166"/>
      <c r="Q79" s="1166"/>
      <c r="R79" s="1166"/>
      <c r="S79" s="1166"/>
      <c r="T79" s="1166"/>
      <c r="U79" s="1166"/>
      <c r="V79" s="1166"/>
      <c r="W79" s="190"/>
      <c r="X79" s="190"/>
      <c r="Y79" s="190"/>
      <c r="Z79" s="190"/>
      <c r="AA79" s="190"/>
      <c r="AD79" s="208" t="s">
        <v>409</v>
      </c>
      <c r="AE79" s="1628"/>
      <c r="AF79" s="1628"/>
      <c r="AG79" s="1628"/>
      <c r="AH79" s="1628"/>
      <c r="AI79" s="1628"/>
      <c r="AJ79" s="1628"/>
      <c r="AK79" s="1628"/>
      <c r="AL79" s="1629"/>
    </row>
    <row r="80" spans="2:50" ht="5.0999999999999996" customHeight="1">
      <c r="C80" s="1166"/>
      <c r="D80" s="1166"/>
      <c r="E80" s="1166"/>
      <c r="F80" s="1166"/>
      <c r="G80" s="1166"/>
      <c r="H80" s="1166"/>
      <c r="I80" s="1166"/>
      <c r="J80" s="1166"/>
      <c r="K80" s="1166"/>
      <c r="L80" s="1166"/>
      <c r="M80" s="1166"/>
      <c r="N80" s="1166"/>
      <c r="O80" s="1166"/>
      <c r="P80" s="1166"/>
      <c r="Q80" s="1166"/>
      <c r="R80" s="1166"/>
      <c r="S80" s="1166"/>
      <c r="T80" s="1166"/>
      <c r="U80" s="1166"/>
      <c r="V80" s="1166"/>
      <c r="W80" s="190"/>
      <c r="X80" s="190"/>
      <c r="Y80" s="190"/>
      <c r="Z80" s="190"/>
      <c r="AA80" s="190"/>
    </row>
    <row r="81" spans="3:40">
      <c r="C81" s="1166"/>
      <c r="D81" s="1166"/>
      <c r="E81" s="1166"/>
      <c r="F81" s="1166"/>
      <c r="G81" s="1166"/>
      <c r="H81" s="1166"/>
      <c r="I81" s="1166"/>
      <c r="J81" s="1166"/>
      <c r="K81" s="1166"/>
      <c r="L81" s="1166"/>
      <c r="M81" s="1166"/>
      <c r="N81" s="1166"/>
      <c r="O81" s="1166"/>
      <c r="P81" s="1166"/>
      <c r="Q81" s="1166"/>
      <c r="R81" s="1166"/>
      <c r="S81" s="1166"/>
      <c r="T81" s="1166"/>
      <c r="U81" s="1166"/>
      <c r="V81" s="1166"/>
      <c r="W81" s="190"/>
      <c r="X81" s="190"/>
      <c r="Y81" s="190"/>
      <c r="Z81" s="190"/>
      <c r="AA81" s="190"/>
      <c r="AD81" s="208" t="s">
        <v>410</v>
      </c>
      <c r="AE81" s="1602"/>
      <c r="AF81" s="1602"/>
      <c r="AG81" s="1602"/>
      <c r="AH81" s="1602"/>
      <c r="AI81" s="1602"/>
      <c r="AJ81" s="1602"/>
      <c r="AK81" s="1602"/>
      <c r="AL81" s="1603"/>
    </row>
    <row r="82" spans="3:40" ht="5.0999999999999996" customHeight="1">
      <c r="C82" s="1166"/>
      <c r="D82" s="1166"/>
      <c r="E82" s="1166"/>
      <c r="F82" s="1166"/>
      <c r="G82" s="1166"/>
      <c r="H82" s="1166"/>
      <c r="I82" s="1166"/>
      <c r="J82" s="1166"/>
      <c r="K82" s="1166"/>
      <c r="L82" s="1166"/>
      <c r="M82" s="1166"/>
      <c r="N82" s="1166"/>
      <c r="O82" s="1166"/>
      <c r="P82" s="1166"/>
      <c r="Q82" s="1166"/>
      <c r="R82" s="1166"/>
      <c r="S82" s="1166"/>
      <c r="T82" s="1166"/>
      <c r="U82" s="1166"/>
      <c r="V82" s="1166"/>
      <c r="W82" s="190"/>
    </row>
    <row r="83" spans="3:40">
      <c r="C83" s="1166"/>
      <c r="D83" s="1166"/>
      <c r="E83" s="1166"/>
      <c r="F83" s="1166"/>
      <c r="G83" s="1166"/>
      <c r="H83" s="1166"/>
      <c r="I83" s="1166"/>
      <c r="J83" s="1166"/>
      <c r="K83" s="1166"/>
      <c r="L83" s="1166"/>
      <c r="M83" s="1166"/>
      <c r="N83" s="1166"/>
      <c r="O83" s="1166"/>
      <c r="P83" s="1166"/>
      <c r="Q83" s="1166"/>
      <c r="R83" s="1166"/>
      <c r="S83" s="1166"/>
      <c r="T83" s="1166"/>
      <c r="U83" s="1166"/>
      <c r="V83" s="1166"/>
      <c r="W83" s="190"/>
      <c r="AD83" s="208" t="s">
        <v>411</v>
      </c>
      <c r="AE83" s="1602"/>
      <c r="AF83" s="1602"/>
      <c r="AG83" s="1602"/>
      <c r="AH83" s="1602"/>
      <c r="AI83" s="1602"/>
      <c r="AJ83" s="1602"/>
      <c r="AK83" s="1602"/>
      <c r="AL83" s="1603"/>
    </row>
    <row r="84" spans="3:40" ht="5.0999999999999996" customHeight="1">
      <c r="C84" s="1166"/>
      <c r="D84" s="1166"/>
      <c r="E84" s="1166"/>
      <c r="F84" s="1166"/>
      <c r="G84" s="1166"/>
      <c r="H84" s="1166"/>
      <c r="I84" s="1166"/>
      <c r="J84" s="1166"/>
      <c r="K84" s="1166"/>
      <c r="L84" s="1166"/>
      <c r="M84" s="1166"/>
      <c r="N84" s="1166"/>
      <c r="O84" s="1166"/>
      <c r="P84" s="1166"/>
      <c r="Q84" s="1166"/>
      <c r="R84" s="1166"/>
      <c r="S84" s="1166"/>
      <c r="T84" s="1166"/>
      <c r="U84" s="1166"/>
      <c r="V84" s="1166"/>
      <c r="W84" s="190"/>
    </row>
    <row r="85" spans="3:40">
      <c r="C85" s="1166"/>
      <c r="D85" s="1166"/>
      <c r="E85" s="1166"/>
      <c r="F85" s="1166"/>
      <c r="G85" s="1166"/>
      <c r="H85" s="1166"/>
      <c r="I85" s="1166"/>
      <c r="J85" s="1166"/>
      <c r="K85" s="1166"/>
      <c r="L85" s="1166"/>
      <c r="M85" s="1166"/>
      <c r="N85" s="1166"/>
      <c r="O85" s="1166"/>
      <c r="P85" s="1166"/>
      <c r="Q85" s="1166"/>
      <c r="R85" s="1166"/>
      <c r="S85" s="1166"/>
      <c r="T85" s="1166"/>
      <c r="U85" s="1166"/>
      <c r="V85" s="1166"/>
      <c r="W85" s="190"/>
      <c r="AD85" s="208" t="s">
        <v>412</v>
      </c>
      <c r="AE85" s="1601"/>
      <c r="AF85" s="1602"/>
      <c r="AG85" s="1602"/>
      <c r="AH85" s="1602"/>
      <c r="AI85" s="1602"/>
      <c r="AJ85" s="1602"/>
      <c r="AK85" s="1602"/>
      <c r="AL85" s="1603"/>
    </row>
    <row r="86" spans="3:40" ht="5.0999999999999996" customHeight="1">
      <c r="C86" s="1166"/>
      <c r="D86" s="1166"/>
      <c r="E86" s="1166"/>
      <c r="F86" s="1166"/>
      <c r="G86" s="1166"/>
      <c r="H86" s="1166"/>
      <c r="I86" s="1166"/>
      <c r="J86" s="1166"/>
      <c r="K86" s="1166"/>
      <c r="L86" s="1166"/>
      <c r="M86" s="1166"/>
      <c r="N86" s="1166"/>
      <c r="O86" s="1166"/>
      <c r="P86" s="1166"/>
      <c r="Q86" s="1166"/>
      <c r="R86" s="1166"/>
      <c r="S86" s="1166"/>
      <c r="T86" s="1166"/>
      <c r="U86" s="1166"/>
      <c r="V86" s="1166"/>
      <c r="W86" s="190"/>
      <c r="AF86" s="12"/>
      <c r="AG86" s="12"/>
      <c r="AH86" s="12"/>
      <c r="AI86" s="12"/>
      <c r="AJ86" s="12"/>
      <c r="AK86" s="12"/>
      <c r="AL86" s="12"/>
    </row>
    <row r="87" spans="3:40">
      <c r="C87" s="1166"/>
      <c r="D87" s="1166"/>
      <c r="E87" s="1166"/>
      <c r="F87" s="1166"/>
      <c r="G87" s="1166"/>
      <c r="H87" s="1166"/>
      <c r="I87" s="1166"/>
      <c r="J87" s="1166"/>
      <c r="K87" s="1166"/>
      <c r="L87" s="1166"/>
      <c r="M87" s="1166"/>
      <c r="N87" s="1166"/>
      <c r="O87" s="1166"/>
      <c r="P87" s="1166"/>
      <c r="Q87" s="1166"/>
      <c r="R87" s="1166"/>
      <c r="S87" s="1166"/>
      <c r="T87" s="1166"/>
      <c r="U87" s="1166"/>
      <c r="V87" s="1166"/>
      <c r="W87" s="190"/>
      <c r="AD87" s="1061" t="s">
        <v>2029</v>
      </c>
      <c r="AE87" s="1601"/>
      <c r="AF87" s="1602"/>
      <c r="AG87" s="1602"/>
      <c r="AH87" s="1602"/>
      <c r="AI87" s="1602"/>
      <c r="AJ87" s="1602"/>
      <c r="AK87" s="1602"/>
      <c r="AL87" s="1603"/>
      <c r="AN87" s="1062">
        <f ca="1">TODAY()</f>
        <v>44802</v>
      </c>
    </row>
    <row r="88" spans="3:40">
      <c r="C88" s="1166"/>
      <c r="D88" s="1166"/>
      <c r="E88" s="1166"/>
      <c r="F88" s="1166"/>
      <c r="G88" s="1166"/>
      <c r="H88" s="1166"/>
      <c r="I88" s="1166"/>
      <c r="J88" s="1166"/>
      <c r="K88" s="1166"/>
      <c r="L88" s="1166"/>
      <c r="M88" s="1166"/>
      <c r="N88" s="1166"/>
      <c r="O88" s="1166"/>
      <c r="P88" s="1166"/>
      <c r="Q88" s="1166"/>
      <c r="R88" s="1166"/>
      <c r="S88" s="1166"/>
      <c r="T88" s="1166"/>
      <c r="U88" s="1166"/>
      <c r="V88" s="1166"/>
      <c r="W88" s="190"/>
    </row>
    <row r="89" spans="3:40">
      <c r="C89" s="1166"/>
      <c r="D89" s="1166"/>
      <c r="E89" s="1166"/>
      <c r="F89" s="1166"/>
      <c r="G89" s="1166"/>
      <c r="H89" s="1166"/>
      <c r="I89" s="1166"/>
      <c r="J89" s="1166"/>
      <c r="K89" s="1166"/>
      <c r="L89" s="1166"/>
      <c r="M89" s="1166"/>
      <c r="N89" s="1166"/>
      <c r="O89" s="1166"/>
      <c r="P89" s="1166"/>
      <c r="Q89" s="1166"/>
      <c r="R89" s="1166"/>
      <c r="S89" s="1166"/>
      <c r="T89" s="1166"/>
      <c r="U89" s="1166"/>
      <c r="V89" s="1166"/>
      <c r="W89" s="190"/>
    </row>
    <row r="90" spans="3:40">
      <c r="C90" s="486" t="s">
        <v>413</v>
      </c>
      <c r="D90" s="224"/>
      <c r="E90" s="224"/>
      <c r="F90" s="224"/>
      <c r="G90" s="224"/>
      <c r="H90" s="224"/>
      <c r="I90" s="224"/>
      <c r="J90" s="224"/>
      <c r="K90" s="224"/>
      <c r="L90" s="224"/>
      <c r="M90" s="224"/>
      <c r="N90" s="224"/>
      <c r="O90" s="224"/>
      <c r="P90" s="224"/>
      <c r="Q90" s="224"/>
      <c r="R90" s="224"/>
      <c r="S90" s="224"/>
      <c r="T90" s="224"/>
      <c r="U90" s="224"/>
      <c r="V90" s="224"/>
      <c r="W90" s="224"/>
      <c r="X90" s="224"/>
      <c r="Y90" s="224"/>
      <c r="Z90" s="224"/>
      <c r="AA90" s="224"/>
      <c r="AB90" s="224"/>
      <c r="AC90" s="224"/>
      <c r="AD90" s="224"/>
      <c r="AE90" s="224"/>
      <c r="AF90" s="224"/>
      <c r="AG90" s="224"/>
      <c r="AH90" s="224"/>
      <c r="AI90" s="224"/>
      <c r="AJ90" s="224"/>
      <c r="AK90" s="224"/>
      <c r="AL90" s="224"/>
    </row>
    <row r="91" spans="3:40">
      <c r="C91" s="190"/>
      <c r="D91" s="190"/>
      <c r="E91" s="190"/>
      <c r="F91" s="190"/>
      <c r="G91" s="190"/>
      <c r="H91" s="190"/>
      <c r="I91" s="190"/>
      <c r="J91" s="190"/>
      <c r="K91" s="190"/>
      <c r="L91" s="190"/>
      <c r="M91" s="190"/>
      <c r="N91" s="190"/>
      <c r="O91" s="190"/>
      <c r="P91" s="190"/>
      <c r="Q91" s="190"/>
      <c r="R91" s="190"/>
      <c r="S91" s="190"/>
    </row>
    <row r="92" spans="3:40">
      <c r="C92" s="190"/>
      <c r="D92" s="190"/>
      <c r="E92" s="190"/>
      <c r="F92" s="190"/>
      <c r="G92" s="190"/>
      <c r="H92" s="190"/>
      <c r="I92" s="190"/>
      <c r="J92" s="190"/>
      <c r="K92" s="1166" t="s">
        <v>414</v>
      </c>
      <c r="L92" s="1166"/>
      <c r="M92" s="1166"/>
      <c r="N92" s="1166"/>
      <c r="O92" s="1166"/>
      <c r="P92" s="1166"/>
      <c r="Q92" s="1166"/>
      <c r="R92" s="1166"/>
      <c r="S92" s="1166"/>
      <c r="T92" s="1166"/>
      <c r="U92" s="1166"/>
      <c r="V92" s="1166"/>
      <c r="W92" s="1166"/>
      <c r="X92" s="1166"/>
      <c r="Y92" s="1166"/>
      <c r="Z92" s="1166"/>
      <c r="AA92" s="1166"/>
      <c r="AB92" s="1166"/>
      <c r="AC92" s="1166"/>
      <c r="AD92" s="190"/>
      <c r="AE92" s="190"/>
      <c r="AF92" s="190"/>
      <c r="AG92" s="190"/>
      <c r="AH92" s="190"/>
      <c r="AI92" s="190"/>
      <c r="AJ92" s="190"/>
      <c r="AK92" s="190"/>
      <c r="AL92" s="190"/>
    </row>
    <row r="93" spans="3:40">
      <c r="C93" s="190"/>
      <c r="D93" s="190"/>
      <c r="E93" s="190"/>
      <c r="F93" s="190"/>
      <c r="G93" s="190"/>
      <c r="H93" s="190"/>
      <c r="I93" s="190"/>
      <c r="J93" s="190"/>
      <c r="K93" s="1166"/>
      <c r="L93" s="1166"/>
      <c r="M93" s="1166"/>
      <c r="N93" s="1166"/>
      <c r="O93" s="1166"/>
      <c r="P93" s="1166"/>
      <c r="Q93" s="1166"/>
      <c r="R93" s="1166"/>
      <c r="S93" s="1166"/>
      <c r="T93" s="1166"/>
      <c r="U93" s="1166"/>
      <c r="V93" s="1166"/>
      <c r="W93" s="1166"/>
      <c r="X93" s="1166"/>
      <c r="Y93" s="1166"/>
      <c r="Z93" s="1166"/>
      <c r="AA93" s="1166"/>
      <c r="AB93" s="1166"/>
      <c r="AC93" s="1166"/>
      <c r="AD93" s="190"/>
      <c r="AE93" s="190"/>
      <c r="AF93" s="190"/>
      <c r="AG93" s="190"/>
      <c r="AH93" s="190"/>
      <c r="AI93" s="190"/>
      <c r="AJ93" s="190"/>
      <c r="AK93" s="190"/>
      <c r="AL93" s="190"/>
    </row>
    <row r="94" spans="3:40">
      <c r="C94" s="190"/>
      <c r="D94" s="190"/>
      <c r="E94" s="190"/>
      <c r="F94" s="190"/>
      <c r="G94" s="190"/>
      <c r="H94" s="225"/>
      <c r="I94" s="190"/>
      <c r="J94" s="190"/>
      <c r="K94" s="1166"/>
      <c r="L94" s="1166"/>
      <c r="M94" s="1166"/>
      <c r="N94" s="1166"/>
      <c r="O94" s="1166"/>
      <c r="P94" s="1166"/>
      <c r="Q94" s="1166"/>
      <c r="R94" s="1166"/>
      <c r="S94" s="1166"/>
      <c r="T94" s="1166"/>
      <c r="U94" s="1166"/>
      <c r="V94" s="1166"/>
      <c r="W94" s="1166"/>
      <c r="X94" s="1166"/>
      <c r="Y94" s="1166"/>
      <c r="Z94" s="1166"/>
      <c r="AA94" s="1166"/>
      <c r="AB94" s="1166"/>
      <c r="AC94" s="1166"/>
      <c r="AD94" s="190"/>
      <c r="AE94" s="190"/>
      <c r="AF94" s="190"/>
      <c r="AG94" s="190"/>
      <c r="AH94" s="190"/>
      <c r="AI94" s="190"/>
      <c r="AJ94" s="190"/>
      <c r="AK94" s="190"/>
      <c r="AL94" s="190"/>
    </row>
    <row r="95" spans="3:40">
      <c r="C95" s="190"/>
      <c r="D95" s="190"/>
      <c r="E95" s="190"/>
      <c r="F95" s="190"/>
      <c r="G95" s="190"/>
      <c r="H95" s="190"/>
      <c r="I95" s="190"/>
      <c r="J95" s="190"/>
      <c r="K95" s="1166"/>
      <c r="L95" s="1166"/>
      <c r="M95" s="1166"/>
      <c r="N95" s="1166"/>
      <c r="O95" s="1166"/>
      <c r="P95" s="1166"/>
      <c r="Q95" s="1166"/>
      <c r="R95" s="1166"/>
      <c r="S95" s="1166"/>
      <c r="T95" s="1166"/>
      <c r="U95" s="1166"/>
      <c r="V95" s="1166"/>
      <c r="W95" s="1166"/>
      <c r="X95" s="1166"/>
      <c r="Y95" s="1166"/>
      <c r="Z95" s="1166"/>
      <c r="AA95" s="1166"/>
      <c r="AB95" s="1166"/>
      <c r="AC95" s="1166"/>
      <c r="AD95" s="190"/>
      <c r="AE95" s="190"/>
      <c r="AF95" s="190"/>
      <c r="AG95" s="190"/>
      <c r="AH95" s="190"/>
      <c r="AI95" s="190"/>
      <c r="AJ95" s="190"/>
      <c r="AK95" s="190"/>
      <c r="AL95" s="190"/>
    </row>
    <row r="96" spans="3:40">
      <c r="C96" s="190"/>
      <c r="D96" s="190"/>
      <c r="E96" s="190"/>
      <c r="F96" s="190"/>
      <c r="G96" s="190"/>
      <c r="H96" s="190"/>
      <c r="I96" s="190"/>
      <c r="J96" s="190"/>
      <c r="K96" s="1166"/>
      <c r="L96" s="1166"/>
      <c r="M96" s="1166"/>
      <c r="N96" s="1166"/>
      <c r="O96" s="1166"/>
      <c r="P96" s="1166"/>
      <c r="Q96" s="1166"/>
      <c r="R96" s="1166"/>
      <c r="S96" s="1166"/>
      <c r="T96" s="1166"/>
      <c r="U96" s="1166"/>
      <c r="V96" s="1166"/>
      <c r="W96" s="1166"/>
      <c r="X96" s="1166"/>
      <c r="Y96" s="1166"/>
      <c r="Z96" s="1166"/>
      <c r="AA96" s="1166"/>
      <c r="AB96" s="1166"/>
      <c r="AC96" s="1166"/>
    </row>
    <row r="98" spans="3:39">
      <c r="C98" s="190"/>
      <c r="D98" s="190"/>
      <c r="E98" s="190"/>
      <c r="F98" s="190"/>
      <c r="G98" s="190"/>
      <c r="H98" s="190"/>
      <c r="I98" s="190"/>
      <c r="J98" s="190"/>
      <c r="K98" s="190"/>
      <c r="L98" s="190"/>
      <c r="M98" s="190"/>
      <c r="N98" s="190"/>
      <c r="O98" s="190"/>
      <c r="P98" s="190"/>
      <c r="Q98" s="190"/>
      <c r="R98" s="190"/>
      <c r="S98" s="190"/>
    </row>
    <row r="99" spans="3:39">
      <c r="C99" s="190"/>
      <c r="D99" s="190"/>
      <c r="E99" s="190"/>
      <c r="F99" s="190"/>
      <c r="G99" s="190"/>
      <c r="H99" s="190"/>
      <c r="I99" s="190"/>
      <c r="J99" s="190"/>
      <c r="K99" s="190"/>
      <c r="L99" s="190"/>
      <c r="M99" s="190"/>
      <c r="N99" s="190"/>
      <c r="O99" s="190"/>
      <c r="P99" s="190"/>
      <c r="Q99" s="190"/>
      <c r="R99" s="190"/>
      <c r="S99" s="190"/>
    </row>
    <row r="100" spans="3:39">
      <c r="C100" s="190"/>
      <c r="D100" s="190"/>
      <c r="E100" s="190"/>
      <c r="F100" s="190"/>
      <c r="G100" s="190"/>
      <c r="H100" s="190"/>
      <c r="I100" s="190"/>
      <c r="J100" s="190"/>
      <c r="K100" s="190"/>
      <c r="L100" s="190"/>
      <c r="M100" s="190"/>
      <c r="N100" s="190"/>
      <c r="O100" s="190"/>
      <c r="P100" s="190"/>
      <c r="Q100" s="190"/>
      <c r="R100" s="190"/>
      <c r="S100" s="190"/>
    </row>
    <row r="101" spans="3:39">
      <c r="C101" s="190"/>
      <c r="D101" s="190"/>
      <c r="E101" s="190"/>
      <c r="F101" s="190"/>
      <c r="G101" s="190"/>
      <c r="H101" s="190"/>
      <c r="I101" s="190"/>
      <c r="J101" s="190"/>
      <c r="K101" s="190"/>
      <c r="L101" s="190"/>
      <c r="M101" s="190"/>
      <c r="N101" s="190"/>
      <c r="O101" s="190"/>
      <c r="P101" s="190"/>
      <c r="Q101" s="190"/>
      <c r="R101" s="190"/>
      <c r="S101" s="190"/>
    </row>
    <row r="102" spans="3:39">
      <c r="C102" s="486" t="s">
        <v>415</v>
      </c>
      <c r="D102" s="224"/>
      <c r="E102" s="224"/>
      <c r="F102" s="224"/>
      <c r="G102" s="224"/>
      <c r="H102" s="224"/>
      <c r="I102" s="224"/>
      <c r="J102" s="224"/>
      <c r="K102" s="224"/>
      <c r="L102" s="224"/>
      <c r="M102" s="224"/>
      <c r="N102" s="224"/>
      <c r="O102" s="224"/>
      <c r="P102" s="224"/>
      <c r="Q102" s="224"/>
      <c r="R102" s="224"/>
      <c r="S102" s="224"/>
      <c r="T102" s="224"/>
      <c r="U102" s="224"/>
      <c r="V102" s="224"/>
      <c r="W102" s="224"/>
      <c r="X102" s="224"/>
      <c r="Y102" s="224"/>
      <c r="Z102" s="224"/>
      <c r="AA102" s="224"/>
      <c r="AB102" s="224"/>
      <c r="AC102" s="224"/>
      <c r="AD102" s="224"/>
      <c r="AE102" s="224"/>
      <c r="AF102" s="224"/>
      <c r="AG102" s="224"/>
      <c r="AH102" s="224"/>
      <c r="AI102" s="224"/>
      <c r="AJ102" s="224"/>
      <c r="AK102" s="224"/>
      <c r="AL102" s="224"/>
    </row>
    <row r="104" spans="3:39" ht="14.95" customHeight="1">
      <c r="C104" s="1166" t="s">
        <v>416</v>
      </c>
      <c r="D104" s="1166"/>
      <c r="E104" s="1166"/>
      <c r="F104" s="1166"/>
      <c r="G104" s="1166"/>
      <c r="H104" s="1166"/>
      <c r="I104" s="1166"/>
      <c r="J104" s="1166"/>
      <c r="K104" s="1166"/>
      <c r="L104" s="1166"/>
      <c r="M104" s="1166"/>
      <c r="N104" s="1166"/>
      <c r="O104" s="1166"/>
      <c r="P104" s="1166"/>
      <c r="Q104" s="1166"/>
      <c r="R104" s="1166"/>
      <c r="S104" s="1166"/>
      <c r="T104" s="190"/>
      <c r="U104" s="190"/>
      <c r="V104" s="190"/>
      <c r="W104" s="190"/>
      <c r="X104" s="190"/>
      <c r="Y104" s="190"/>
      <c r="Z104" s="190"/>
      <c r="AA104" s="190"/>
      <c r="AB104" s="190"/>
      <c r="AC104" s="190"/>
      <c r="AD104" s="190"/>
      <c r="AE104" s="190"/>
      <c r="AF104" s="190"/>
      <c r="AG104" s="190"/>
      <c r="AH104" s="190"/>
      <c r="AI104" s="190"/>
      <c r="AJ104" s="190"/>
      <c r="AK104" s="190"/>
      <c r="AL104" s="190"/>
      <c r="AM104" s="190"/>
    </row>
    <row r="105" spans="3:39">
      <c r="C105" s="1166"/>
      <c r="D105" s="1166"/>
      <c r="E105" s="1166"/>
      <c r="F105" s="1166"/>
      <c r="G105" s="1166"/>
      <c r="H105" s="1166"/>
      <c r="I105" s="1166"/>
      <c r="J105" s="1166"/>
      <c r="K105" s="1166"/>
      <c r="L105" s="1166"/>
      <c r="M105" s="1166"/>
      <c r="N105" s="1166"/>
      <c r="O105" s="1166"/>
      <c r="P105" s="1166"/>
      <c r="Q105" s="1166"/>
      <c r="R105" s="1166"/>
      <c r="S105" s="1166"/>
      <c r="T105" s="190"/>
      <c r="U105" s="190"/>
      <c r="V105" s="190"/>
      <c r="W105" s="190"/>
      <c r="X105" s="190"/>
      <c r="Y105" s="190"/>
      <c r="Z105" s="190"/>
      <c r="AA105" s="190"/>
      <c r="AB105" s="190"/>
      <c r="AC105" s="190"/>
      <c r="AE105" s="1626"/>
      <c r="AF105" s="1626"/>
      <c r="AG105" s="1626"/>
      <c r="AH105" s="1626"/>
      <c r="AI105" s="1626"/>
      <c r="AJ105" s="1626"/>
      <c r="AK105" s="1626"/>
      <c r="AL105" s="1627"/>
      <c r="AM105" s="190"/>
    </row>
    <row r="106" spans="3:39">
      <c r="C106" s="1166"/>
      <c r="D106" s="1166"/>
      <c r="E106" s="1166"/>
      <c r="F106" s="1166"/>
      <c r="G106" s="1166"/>
      <c r="H106" s="1166"/>
      <c r="I106" s="1166"/>
      <c r="J106" s="1166"/>
      <c r="K106" s="1166"/>
      <c r="L106" s="1166"/>
      <c r="M106" s="1166"/>
      <c r="N106" s="1166"/>
      <c r="O106" s="1166"/>
      <c r="P106" s="1166"/>
      <c r="Q106" s="1166"/>
      <c r="R106" s="1166"/>
      <c r="S106" s="1166"/>
      <c r="T106" s="190"/>
      <c r="U106" s="190"/>
      <c r="V106" s="190"/>
      <c r="W106" s="190"/>
      <c r="Y106" s="190"/>
      <c r="Z106" s="190"/>
      <c r="AA106" s="190"/>
      <c r="AB106" s="190"/>
      <c r="AC106" s="190"/>
      <c r="AD106" s="208" t="s">
        <v>417</v>
      </c>
      <c r="AE106" s="1628"/>
      <c r="AF106" s="1628"/>
      <c r="AG106" s="1628"/>
      <c r="AH106" s="1628"/>
      <c r="AI106" s="1628"/>
      <c r="AJ106" s="1628"/>
      <c r="AK106" s="1628"/>
      <c r="AL106" s="1629"/>
    </row>
    <row r="107" spans="3:39">
      <c r="C107" s="1166"/>
      <c r="D107" s="1166"/>
      <c r="E107" s="1166"/>
      <c r="F107" s="1166"/>
      <c r="G107" s="1166"/>
      <c r="H107" s="1166"/>
      <c r="I107" s="1166"/>
      <c r="J107" s="1166"/>
      <c r="K107" s="1166"/>
      <c r="L107" s="1166"/>
      <c r="M107" s="1166"/>
      <c r="N107" s="1166"/>
      <c r="O107" s="1166"/>
      <c r="P107" s="1166"/>
      <c r="Q107" s="1166"/>
      <c r="R107" s="1166"/>
      <c r="S107" s="1166"/>
      <c r="V107" s="226"/>
      <c r="W107" s="226"/>
      <c r="X107" s="226"/>
      <c r="Y107" s="226"/>
      <c r="Z107" s="226"/>
      <c r="AA107" s="226"/>
      <c r="AB107" s="226"/>
      <c r="AC107" s="226"/>
      <c r="AD107" s="226"/>
      <c r="AE107" s="10"/>
      <c r="AF107" s="226"/>
      <c r="AG107" s="226"/>
      <c r="AH107" s="226"/>
      <c r="AI107" s="226"/>
    </row>
    <row r="108" spans="3:39">
      <c r="C108" s="476"/>
      <c r="D108" s="476"/>
      <c r="E108" s="476"/>
      <c r="F108" s="476"/>
      <c r="G108" s="476"/>
      <c r="H108" s="476"/>
      <c r="I108" s="476"/>
      <c r="J108" s="476"/>
      <c r="K108" s="476"/>
      <c r="L108" s="476"/>
      <c r="M108" s="476"/>
      <c r="N108" s="476"/>
      <c r="O108" s="476"/>
      <c r="P108" s="476"/>
      <c r="Q108" s="476"/>
      <c r="R108" s="476"/>
      <c r="S108" s="476"/>
      <c r="V108" s="226"/>
      <c r="W108" s="226"/>
      <c r="X108" s="226"/>
      <c r="Y108" s="226"/>
      <c r="Z108" s="226"/>
      <c r="AA108" s="226"/>
      <c r="AB108" s="226"/>
      <c r="AC108" s="226"/>
      <c r="AD108" s="226"/>
      <c r="AE108" s="226"/>
      <c r="AF108" s="226"/>
      <c r="AG108" s="226"/>
      <c r="AH108" s="226"/>
      <c r="AI108" s="226"/>
    </row>
    <row r="109" spans="3:39">
      <c r="C109" s="476"/>
      <c r="D109" s="476"/>
      <c r="E109" s="476"/>
      <c r="F109" s="476"/>
      <c r="G109" s="476"/>
      <c r="H109" s="476"/>
      <c r="I109" s="476"/>
      <c r="J109" s="476"/>
      <c r="K109" s="476"/>
      <c r="L109" s="476"/>
      <c r="M109" s="476"/>
      <c r="N109" s="476"/>
      <c r="O109" s="476"/>
      <c r="P109" s="476"/>
      <c r="Q109" s="476"/>
      <c r="R109" s="476"/>
      <c r="S109" s="476"/>
      <c r="V109" s="226"/>
      <c r="W109" s="226"/>
      <c r="X109" s="190"/>
      <c r="Y109" s="226"/>
      <c r="Z109" s="226"/>
      <c r="AA109" s="226"/>
      <c r="AD109" s="208" t="s">
        <v>418</v>
      </c>
      <c r="AE109" s="1602"/>
      <c r="AF109" s="1602"/>
      <c r="AG109" s="1602"/>
      <c r="AH109" s="1602"/>
      <c r="AI109" s="1602"/>
      <c r="AJ109" s="1602"/>
      <c r="AK109" s="1602"/>
      <c r="AL109" s="1603"/>
    </row>
    <row r="124" spans="2:3">
      <c r="B124" s="1149"/>
      <c r="C124" s="2" t="s">
        <v>419</v>
      </c>
    </row>
    <row r="125" spans="2:3">
      <c r="B125" s="1149"/>
    </row>
    <row r="126" spans="2:3">
      <c r="B126" s="1149"/>
      <c r="C126" t="s">
        <v>420</v>
      </c>
    </row>
    <row r="127" spans="2:3">
      <c r="B127" s="1149"/>
      <c r="C127" t="s">
        <v>421</v>
      </c>
    </row>
    <row r="128" spans="2:3">
      <c r="B128" s="1149"/>
      <c r="C128" s="14" t="s">
        <v>422</v>
      </c>
    </row>
    <row r="129" spans="2:3">
      <c r="B129" s="1149"/>
      <c r="C129" s="379" t="s">
        <v>423</v>
      </c>
    </row>
    <row r="130" spans="2:3">
      <c r="B130" s="1149"/>
      <c r="C130" s="379" t="s">
        <v>424</v>
      </c>
    </row>
    <row r="131" spans="2:3">
      <c r="B131" s="1149"/>
      <c r="C131" s="379" t="s">
        <v>425</v>
      </c>
    </row>
    <row r="132" spans="2:3">
      <c r="B132" s="1149"/>
      <c r="C132" s="14" t="s">
        <v>426</v>
      </c>
    </row>
    <row r="133" spans="2:3">
      <c r="B133" s="1149"/>
      <c r="C133" s="14"/>
    </row>
    <row r="134" spans="2:3">
      <c r="B134" s="1149"/>
      <c r="C134" t="s">
        <v>427</v>
      </c>
    </row>
    <row r="135" spans="2:3">
      <c r="B135" s="1149"/>
      <c r="C135" t="s">
        <v>428</v>
      </c>
    </row>
    <row r="136" spans="2:3">
      <c r="B136" s="1149"/>
      <c r="C136" t="s">
        <v>429</v>
      </c>
    </row>
    <row r="137" spans="2:3">
      <c r="B137" s="1149"/>
    </row>
    <row r="138" spans="2:3">
      <c r="B138" s="1149"/>
      <c r="C138" s="380" t="s">
        <v>430</v>
      </c>
    </row>
    <row r="139" spans="2:3">
      <c r="B139" s="1149"/>
      <c r="C139" t="s">
        <v>431</v>
      </c>
    </row>
    <row r="140" spans="2:3">
      <c r="B140" s="1149"/>
      <c r="C140" t="s">
        <v>432</v>
      </c>
    </row>
    <row r="141" spans="2:3">
      <c r="B141" s="1149"/>
      <c r="C141" t="s">
        <v>433</v>
      </c>
    </row>
    <row r="142" spans="2:3">
      <c r="B142" s="1149"/>
      <c r="C142" t="s">
        <v>434</v>
      </c>
    </row>
    <row r="143" spans="2:3">
      <c r="B143" s="1149"/>
    </row>
    <row r="144" spans="2:3">
      <c r="B144" s="1149"/>
    </row>
    <row r="165" spans="17:27">
      <c r="Q165" s="1625" t="str">
        <f>IF(A2="MF","","Click here for more information on the Customer Bill Credit")</f>
        <v/>
      </c>
      <c r="R165" s="1625"/>
      <c r="S165" s="1625"/>
      <c r="T165" s="1625"/>
      <c r="U165" s="1625"/>
      <c r="V165" s="1625"/>
      <c r="W165" s="1625"/>
      <c r="X165" s="1625"/>
      <c r="Y165" s="1625"/>
      <c r="Z165" s="1625"/>
      <c r="AA165" s="1625"/>
    </row>
  </sheetData>
  <sheetProtection algorithmName="SHA-512" hashValue="ewhhjDCN/k7pO3/6JjNOwiRXE5DkgRTaIPopJpRrN+F1sT0iWPInGJMUPJX35XOyI9rjpc2HZNZcOfjuMCTtLQ==" saltValue="SIsX1VVm+wR0CHetVhsInQ==" spinCount="100000" sheet="1" selectLockedCells="1"/>
  <mergeCells count="85">
    <mergeCell ref="AE83:AL83"/>
    <mergeCell ref="V61:Z61"/>
    <mergeCell ref="V63:Z63"/>
    <mergeCell ref="Q165:AA165"/>
    <mergeCell ref="AH65:AL65"/>
    <mergeCell ref="AH67:AL67"/>
    <mergeCell ref="AH69:AL69"/>
    <mergeCell ref="AH71:AL71"/>
    <mergeCell ref="AK73:AL73"/>
    <mergeCell ref="AE109:AL109"/>
    <mergeCell ref="C104:S107"/>
    <mergeCell ref="AE105:AL106"/>
    <mergeCell ref="AE85:AL85"/>
    <mergeCell ref="K92:AC96"/>
    <mergeCell ref="C77:V89"/>
    <mergeCell ref="AE78:AL79"/>
    <mergeCell ref="AE81:AL81"/>
    <mergeCell ref="AH63:AL63"/>
    <mergeCell ref="AH54:AL54"/>
    <mergeCell ref="AJ35:AL35"/>
    <mergeCell ref="AH57:AL57"/>
    <mergeCell ref="AD77:AM77"/>
    <mergeCell ref="AH55:AL55"/>
    <mergeCell ref="AH53:AL53"/>
    <mergeCell ref="AH50:AL51"/>
    <mergeCell ref="AH59:AL59"/>
    <mergeCell ref="AH61:AL61"/>
    <mergeCell ref="B40:B65"/>
    <mergeCell ref="U55:U73"/>
    <mergeCell ref="AG55:AG73"/>
    <mergeCell ref="Y73:Z73"/>
    <mergeCell ref="V57:Z57"/>
    <mergeCell ref="V59:Z59"/>
    <mergeCell ref="C55:K74"/>
    <mergeCell ref="V55:Z55"/>
    <mergeCell ref="V65:Z65"/>
    <mergeCell ref="V67:Z67"/>
    <mergeCell ref="V69:Z69"/>
    <mergeCell ref="V71:Z71"/>
    <mergeCell ref="H37:I37"/>
    <mergeCell ref="N37:O37"/>
    <mergeCell ref="T37:V37"/>
    <mergeCell ref="Z37:AA37"/>
    <mergeCell ref="V54:Z54"/>
    <mergeCell ref="V50:Z51"/>
    <mergeCell ref="V53:Z53"/>
    <mergeCell ref="B124:B144"/>
    <mergeCell ref="AB21:AF21"/>
    <mergeCell ref="A19:AM19"/>
    <mergeCell ref="AB27:AF27"/>
    <mergeCell ref="V25:Z25"/>
    <mergeCell ref="V23:Z23"/>
    <mergeCell ref="AB25:AF25"/>
    <mergeCell ref="AB23:AF23"/>
    <mergeCell ref="C40:AL40"/>
    <mergeCell ref="AJ37:AL37"/>
    <mergeCell ref="H35:I35"/>
    <mergeCell ref="V21:Z21"/>
    <mergeCell ref="N35:O35"/>
    <mergeCell ref="V27:Z27"/>
    <mergeCell ref="T35:V35"/>
    <mergeCell ref="AE87:AL87"/>
    <mergeCell ref="O27:S27"/>
    <mergeCell ref="AJ31:AL33"/>
    <mergeCell ref="AF31:AI33"/>
    <mergeCell ref="N31:O31"/>
    <mergeCell ref="T31:V31"/>
    <mergeCell ref="T33:V33"/>
    <mergeCell ref="Z33:AA33"/>
    <mergeCell ref="J11:AD12"/>
    <mergeCell ref="J13:AD14"/>
    <mergeCell ref="Z31:AA31"/>
    <mergeCell ref="Z35:AA35"/>
    <mergeCell ref="J7:AD8"/>
    <mergeCell ref="J9:AD10"/>
    <mergeCell ref="I23:M23"/>
    <mergeCell ref="I21:M21"/>
    <mergeCell ref="I25:M25"/>
    <mergeCell ref="I27:M27"/>
    <mergeCell ref="O21:S21"/>
    <mergeCell ref="H31:I31"/>
    <mergeCell ref="H33:I33"/>
    <mergeCell ref="L33:M34"/>
    <mergeCell ref="O23:S23"/>
    <mergeCell ref="O25:S25"/>
  </mergeCells>
  <conditionalFormatting sqref="AE109:AL109">
    <cfRule type="notContainsBlanks" dxfId="178" priority="47">
      <formula>LEN(TRIM(AE109))&gt;0</formula>
    </cfRule>
  </conditionalFormatting>
  <conditionalFormatting sqref="V57:Z57 V61:Z61 V73 Y73:Z73 V59:Z59 V63:Z63 V65:Z65 V67:Z67 V69:Z69 V71:Z71">
    <cfRule type="notContainsBlanks" dxfId="177" priority="48">
      <formula>LEN(TRIM(V57))&gt;0</formula>
    </cfRule>
  </conditionalFormatting>
  <conditionalFormatting sqref="AH59:AL59 AH61:AL61">
    <cfRule type="notContainsBlanks" dxfId="176" priority="53804">
      <formula>LEN(TRIM(AH59))&gt;0</formula>
    </cfRule>
  </conditionalFormatting>
  <conditionalFormatting sqref="AE81:AL81 AE83:AL83 AE85:AL85">
    <cfRule type="notContainsBlanks" dxfId="175" priority="43">
      <formula>LEN(TRIM(AE81))&gt;0</formula>
    </cfRule>
  </conditionalFormatting>
  <conditionalFormatting sqref="AF54:AL56 AF58:AL62 AG57 AF64:AL64 AF63:AG63 AF66:AL66 AF65:AG65 AF68:AL68 AF67:AG67 AF70:AL70 AF69:AG69 AF72:AL72 AF71:AG71 AF73:AG73 AI73:AJ73">
    <cfRule type="expression" dxfId="174" priority="40">
      <formula>$AH$55=0</formula>
    </cfRule>
  </conditionalFormatting>
  <conditionalFormatting sqref="C124:AL142">
    <cfRule type="expression" dxfId="173" priority="39">
      <formula>$A$2="MF"</formula>
    </cfRule>
  </conditionalFormatting>
  <conditionalFormatting sqref="D49:AB49">
    <cfRule type="expression" dxfId="172" priority="38">
      <formula>$A$2="MF"</formula>
    </cfRule>
  </conditionalFormatting>
  <conditionalFormatting sqref="AE87:AL87">
    <cfRule type="notContainsBlanks" dxfId="171" priority="37">
      <formula>LEN(TRIM(AE87))&gt;0</formula>
    </cfRule>
  </conditionalFormatting>
  <conditionalFormatting sqref="V53:Z53">
    <cfRule type="notContainsBlanks" dxfId="170" priority="36">
      <formula>LEN(TRIM(V53))&gt;0</formula>
    </cfRule>
  </conditionalFormatting>
  <conditionalFormatting sqref="AH73">
    <cfRule type="expression" dxfId="169" priority="2">
      <formula>$AH$55=0</formula>
    </cfRule>
    <cfRule type="notContainsBlanks" dxfId="168" priority="27">
      <formula>LEN(TRIM(AH73))&gt;0</formula>
    </cfRule>
  </conditionalFormatting>
  <conditionalFormatting sqref="AK73:AL73">
    <cfRule type="expression" dxfId="167" priority="1">
      <formula>$AH$55=0</formula>
    </cfRule>
    <cfRule type="notContainsBlanks" dxfId="166" priority="26">
      <formula>LEN(TRIM(AK73))&gt;0</formula>
    </cfRule>
  </conditionalFormatting>
  <conditionalFormatting sqref="AH57:AL57">
    <cfRule type="notContainsBlanks" dxfId="165" priority="20">
      <formula>LEN(TRIM(AH57))&gt;0</formula>
    </cfRule>
  </conditionalFormatting>
  <conditionalFormatting sqref="AH57:AL57">
    <cfRule type="expression" dxfId="164" priority="19">
      <formula>$AH$55=0</formula>
    </cfRule>
  </conditionalFormatting>
  <conditionalFormatting sqref="AH63:AL63">
    <cfRule type="notContainsBlanks" dxfId="163" priority="18">
      <formula>LEN(TRIM(AH63))&gt;0</formula>
    </cfRule>
  </conditionalFormatting>
  <conditionalFormatting sqref="AH63:AL63">
    <cfRule type="expression" dxfId="162" priority="17">
      <formula>$AH$55=0</formula>
    </cfRule>
  </conditionalFormatting>
  <conditionalFormatting sqref="AH65:AL65">
    <cfRule type="notContainsBlanks" dxfId="161" priority="16">
      <formula>LEN(TRIM(AH65))&gt;0</formula>
    </cfRule>
  </conditionalFormatting>
  <conditionalFormatting sqref="AH65:AL65">
    <cfRule type="expression" dxfId="160" priority="15">
      <formula>$AH$55=0</formula>
    </cfRule>
  </conditionalFormatting>
  <conditionalFormatting sqref="AH67:AL67">
    <cfRule type="notContainsBlanks" dxfId="159" priority="14">
      <formula>LEN(TRIM(AH67))&gt;0</formula>
    </cfRule>
  </conditionalFormatting>
  <conditionalFormatting sqref="AH67:AL67">
    <cfRule type="expression" dxfId="158" priority="13">
      <formula>$AH$55=0</formula>
    </cfRule>
  </conditionalFormatting>
  <conditionalFormatting sqref="AH69:AL69">
    <cfRule type="notContainsBlanks" dxfId="157" priority="12">
      <formula>LEN(TRIM(AH69))&gt;0</formula>
    </cfRule>
  </conditionalFormatting>
  <conditionalFormatting sqref="AH69:AL69">
    <cfRule type="expression" dxfId="156" priority="11">
      <formula>$AH$55=0</formula>
    </cfRule>
  </conditionalFormatting>
  <conditionalFormatting sqref="AH71:AL71">
    <cfRule type="notContainsBlanks" dxfId="155" priority="10">
      <formula>LEN(TRIM(AH71))&gt;0</formula>
    </cfRule>
  </conditionalFormatting>
  <conditionalFormatting sqref="AH71:AL71">
    <cfRule type="expression" dxfId="154" priority="9">
      <formula>$AH$55=0</formula>
    </cfRule>
  </conditionalFormatting>
  <conditionalFormatting sqref="AF57">
    <cfRule type="expression" dxfId="153" priority="8">
      <formula>$AH$55=0</formula>
    </cfRule>
  </conditionalFormatting>
  <conditionalFormatting sqref="AF53">
    <cfRule type="expression" dxfId="152" priority="7">
      <formula>$AH$55=0</formula>
    </cfRule>
  </conditionalFormatting>
  <conditionalFormatting sqref="AH50">
    <cfRule type="expression" dxfId="151" priority="5">
      <formula>$AH$55=0</formula>
    </cfRule>
  </conditionalFormatting>
  <conditionalFormatting sqref="AH53:AL53">
    <cfRule type="notContainsBlanks" dxfId="150" priority="4">
      <formula>LEN(TRIM(AH53))&gt;0</formula>
    </cfRule>
  </conditionalFormatting>
  <conditionalFormatting sqref="AH53:AL53">
    <cfRule type="expression" dxfId="149" priority="3">
      <formula>$AH$55=0</formula>
    </cfRule>
  </conditionalFormatting>
  <dataValidations count="2">
    <dataValidation type="date" operator="greaterThan" allowBlank="1" showInputMessage="1" showErrorMessage="1" sqref="AE85:AL85">
      <formula1>44561</formula1>
    </dataValidation>
    <dataValidation type="date" operator="greaterThanOrEqual" allowBlank="1" showInputMessage="1" showErrorMessage="1" error="Date must be after today!_x000a_" sqref="AE87:AL87">
      <formula1>AN87</formula1>
    </dataValidation>
  </dataValidations>
  <pageMargins left="0.25" right="0.25" top="0.75" bottom="0.75" header="0.3" footer="0.3"/>
  <pageSetup scale="52"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Lookup!$BJ$11:$BJ$13</xm:f>
          </x14:formula1>
          <xm:sqref>V53:Z53 AH53:AL53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3"/>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E1:AC110"/>
  <sheetViews>
    <sheetView workbookViewId="0"/>
  </sheetViews>
  <sheetFormatPr defaultRowHeight="14.3"/>
  <cols>
    <col min="5" max="5" width="0.875" hidden="1" customWidth="1"/>
    <col min="6" max="6" width="2.75" customWidth="1"/>
    <col min="7" max="12" width="5.5" customWidth="1"/>
    <col min="13" max="28" width="5.75" customWidth="1"/>
    <col min="29" max="29" width="2.75" customWidth="1"/>
  </cols>
  <sheetData>
    <row r="1" spans="5:29">
      <c r="E1" s="1150"/>
    </row>
    <row r="2" spans="5:29">
      <c r="E2" s="1150"/>
      <c r="F2" s="1636" t="s">
        <v>440</v>
      </c>
      <c r="G2" s="1637"/>
      <c r="H2" s="1642" t="s">
        <v>441</v>
      </c>
      <c r="I2" s="1643"/>
      <c r="J2" s="1643"/>
      <c r="K2" s="1643"/>
      <c r="L2" s="1643"/>
      <c r="M2" s="1643"/>
      <c r="N2" s="1643"/>
      <c r="O2" s="1643"/>
      <c r="P2" s="1643"/>
      <c r="Q2" s="1643"/>
      <c r="R2" s="1643"/>
      <c r="S2" s="1643"/>
      <c r="T2" s="1643"/>
      <c r="U2" s="1643"/>
      <c r="V2" s="1643"/>
      <c r="W2" s="1643"/>
      <c r="X2" s="1643"/>
      <c r="Y2" s="1643"/>
      <c r="Z2" s="1643"/>
      <c r="AA2" s="1644"/>
      <c r="AB2" s="1654"/>
      <c r="AC2" s="1655"/>
    </row>
    <row r="3" spans="5:29">
      <c r="E3" s="1150"/>
      <c r="F3" s="1638"/>
      <c r="G3" s="1639"/>
      <c r="H3" s="1645"/>
      <c r="I3" s="1646"/>
      <c r="J3" s="1646"/>
      <c r="K3" s="1646"/>
      <c r="L3" s="1646"/>
      <c r="M3" s="1646"/>
      <c r="N3" s="1646"/>
      <c r="O3" s="1646"/>
      <c r="P3" s="1646"/>
      <c r="Q3" s="1646"/>
      <c r="R3" s="1646"/>
      <c r="S3" s="1646"/>
      <c r="T3" s="1646"/>
      <c r="U3" s="1646"/>
      <c r="V3" s="1646"/>
      <c r="W3" s="1646"/>
      <c r="X3" s="1646"/>
      <c r="Y3" s="1646"/>
      <c r="Z3" s="1646"/>
      <c r="AA3" s="1647"/>
      <c r="AB3" s="1656"/>
      <c r="AC3" s="1657"/>
    </row>
    <row r="4" spans="5:29">
      <c r="E4" s="1150"/>
      <c r="F4" s="1640"/>
      <c r="G4" s="1641"/>
      <c r="H4" s="1648"/>
      <c r="I4" s="1649"/>
      <c r="J4" s="1649"/>
      <c r="K4" s="1649"/>
      <c r="L4" s="1649"/>
      <c r="M4" s="1649"/>
      <c r="N4" s="1649"/>
      <c r="O4" s="1649"/>
      <c r="P4" s="1649"/>
      <c r="Q4" s="1649"/>
      <c r="R4" s="1649"/>
      <c r="S4" s="1649"/>
      <c r="T4" s="1649"/>
      <c r="U4" s="1649"/>
      <c r="V4" s="1649"/>
      <c r="W4" s="1649"/>
      <c r="X4" s="1649"/>
      <c r="Y4" s="1649"/>
      <c r="Z4" s="1649"/>
      <c r="AA4" s="1650"/>
      <c r="AB4" s="1658"/>
      <c r="AC4" s="1659"/>
    </row>
    <row r="5" spans="5:29" ht="5.0999999999999996" customHeight="1">
      <c r="E5" s="1150"/>
    </row>
    <row r="6" spans="5:29">
      <c r="E6" s="1150"/>
      <c r="F6" s="38"/>
      <c r="G6" s="38"/>
      <c r="H6" s="38"/>
      <c r="I6" s="38"/>
      <c r="J6" s="38"/>
      <c r="K6" s="38"/>
      <c r="L6" s="38"/>
      <c r="M6" s="38"/>
      <c r="N6" s="38"/>
      <c r="O6" s="38"/>
      <c r="P6" s="38"/>
      <c r="Q6" s="38"/>
      <c r="R6" s="38"/>
      <c r="S6" s="38"/>
      <c r="T6" s="38"/>
      <c r="U6" s="38"/>
      <c r="V6" s="38"/>
      <c r="W6" s="38"/>
      <c r="X6" s="38"/>
      <c r="Y6" s="38"/>
      <c r="Z6" s="38"/>
      <c r="AA6" s="38"/>
      <c r="AB6" s="38"/>
      <c r="AC6" s="38"/>
    </row>
    <row r="7" spans="5:29" ht="5.0999999999999996" customHeight="1">
      <c r="E7" s="1150"/>
      <c r="F7" s="45"/>
      <c r="G7" s="45"/>
      <c r="H7" s="45"/>
      <c r="I7" s="45"/>
      <c r="J7" s="45"/>
      <c r="K7" s="45"/>
      <c r="L7" s="45"/>
      <c r="M7" s="45"/>
      <c r="N7" s="45"/>
      <c r="O7" s="45"/>
      <c r="P7" s="45"/>
      <c r="Q7" s="45"/>
      <c r="R7" s="45"/>
      <c r="S7" s="45"/>
      <c r="T7" s="45"/>
      <c r="U7" s="45"/>
      <c r="V7" s="45"/>
      <c r="W7" s="45"/>
      <c r="X7" s="45"/>
      <c r="Y7" s="45"/>
      <c r="Z7" s="45"/>
      <c r="AA7" s="45"/>
      <c r="AB7" s="45"/>
      <c r="AC7" s="45"/>
    </row>
    <row r="8" spans="5:29" ht="14.95" thickBot="1">
      <c r="E8" s="1150"/>
      <c r="F8" s="251"/>
      <c r="G8" s="252" t="s">
        <v>442</v>
      </c>
      <c r="H8" s="251"/>
      <c r="I8" s="251"/>
      <c r="J8" s="251"/>
      <c r="K8" s="251"/>
      <c r="L8" s="251"/>
      <c r="M8" s="251"/>
      <c r="N8" s="251"/>
      <c r="O8" s="251"/>
      <c r="P8" s="251"/>
      <c r="Q8" s="251"/>
      <c r="R8" s="251"/>
      <c r="S8" s="251"/>
      <c r="T8" s="251"/>
      <c r="U8" s="251"/>
      <c r="V8" s="251"/>
      <c r="W8" s="251"/>
      <c r="X8" s="251"/>
      <c r="Y8" s="251"/>
      <c r="Z8" s="251"/>
      <c r="AA8" s="251"/>
      <c r="AB8" s="251"/>
      <c r="AC8" s="251"/>
    </row>
    <row r="9" spans="5:29" ht="5.0999999999999996" customHeight="1">
      <c r="E9" s="1150"/>
      <c r="F9" s="45"/>
      <c r="G9" s="45"/>
      <c r="H9" s="45"/>
      <c r="I9" s="45"/>
      <c r="J9" s="45"/>
      <c r="K9" s="45"/>
      <c r="L9" s="45"/>
      <c r="M9" s="45"/>
      <c r="N9" s="45"/>
      <c r="O9" s="45"/>
      <c r="P9" s="45"/>
      <c r="Q9" s="45"/>
      <c r="R9" s="45"/>
      <c r="S9" s="45"/>
      <c r="T9" s="45"/>
      <c r="U9" s="45"/>
      <c r="V9" s="45"/>
      <c r="W9" s="45"/>
      <c r="X9" s="45"/>
      <c r="Y9" s="45"/>
      <c r="Z9" s="45"/>
      <c r="AA9" s="45"/>
      <c r="AB9" s="45"/>
      <c r="AC9" s="45"/>
    </row>
    <row r="10" spans="5:29">
      <c r="E10" s="1150"/>
      <c r="F10" s="45"/>
      <c r="G10" s="1660" t="s">
        <v>443</v>
      </c>
      <c r="H10" s="1660"/>
      <c r="I10" s="1660"/>
      <c r="J10" s="1660"/>
      <c r="K10" s="1660" t="s">
        <v>444</v>
      </c>
      <c r="L10" s="1660"/>
      <c r="M10" s="1660"/>
      <c r="N10" s="1660"/>
      <c r="O10" s="1660" t="s">
        <v>445</v>
      </c>
      <c r="P10" s="1660"/>
      <c r="Q10" s="1660"/>
      <c r="R10" s="1660"/>
      <c r="S10" s="1660" t="s">
        <v>446</v>
      </c>
      <c r="T10" s="1660"/>
      <c r="U10" s="1660"/>
      <c r="V10" s="1660"/>
      <c r="W10" s="1661" t="s">
        <v>131</v>
      </c>
      <c r="X10" s="1661"/>
      <c r="Y10" s="1662" t="s">
        <v>132</v>
      </c>
      <c r="Z10" s="45"/>
      <c r="AA10" s="45"/>
      <c r="AB10" s="45"/>
      <c r="AC10" s="45"/>
    </row>
    <row r="11" spans="5:29" ht="5.0999999999999996" customHeight="1">
      <c r="E11" s="1150"/>
      <c r="F11" s="45"/>
      <c r="G11" s="1660"/>
      <c r="H11" s="1660"/>
      <c r="I11" s="1660"/>
      <c r="J11" s="1660"/>
      <c r="K11" s="1660"/>
      <c r="L11" s="1660"/>
      <c r="M11" s="1660"/>
      <c r="N11" s="1660"/>
      <c r="O11" s="1660"/>
      <c r="P11" s="1660"/>
      <c r="Q11" s="1660"/>
      <c r="R11" s="1660"/>
      <c r="S11" s="1660"/>
      <c r="T11" s="1660"/>
      <c r="U11" s="1660"/>
      <c r="V11" s="1660"/>
      <c r="W11" s="1661"/>
      <c r="X11" s="1661"/>
      <c r="Y11" s="1662"/>
      <c r="Z11" s="45"/>
      <c r="AA11" s="45"/>
      <c r="AB11" s="45"/>
      <c r="AC11" s="45"/>
    </row>
    <row r="12" spans="5:29">
      <c r="E12" s="1150"/>
      <c r="F12" s="45"/>
      <c r="G12" s="1660"/>
      <c r="H12" s="1660"/>
      <c r="I12" s="1660"/>
      <c r="J12" s="1660"/>
      <c r="K12" s="1660"/>
      <c r="L12" s="1660"/>
      <c r="M12" s="1660"/>
      <c r="N12" s="1660"/>
      <c r="O12" s="1660"/>
      <c r="P12" s="1660"/>
      <c r="Q12" s="1660"/>
      <c r="R12" s="1660"/>
      <c r="S12" s="1660"/>
      <c r="T12" s="1660"/>
      <c r="U12" s="1660"/>
      <c r="V12" s="1660"/>
      <c r="W12" s="1661"/>
      <c r="X12" s="1661"/>
      <c r="Y12" s="1662"/>
      <c r="Z12" s="45"/>
      <c r="AA12" s="45"/>
      <c r="AB12" s="45"/>
      <c r="AC12" s="45"/>
    </row>
    <row r="13" spans="5:29" ht="5.0999999999999996" customHeight="1">
      <c r="E13" s="1150"/>
      <c r="F13" s="45"/>
      <c r="G13" s="1290"/>
      <c r="H13" s="1290"/>
      <c r="I13" s="1290"/>
      <c r="J13" s="1290"/>
      <c r="K13" s="1290"/>
      <c r="L13" s="1290"/>
      <c r="M13" s="1290"/>
      <c r="N13" s="1290"/>
      <c r="O13" s="1290"/>
      <c r="P13" s="1290"/>
      <c r="Q13" s="1290"/>
      <c r="R13" s="1290"/>
      <c r="S13" s="1290"/>
      <c r="T13" s="1290"/>
      <c r="U13" s="1290"/>
      <c r="V13" s="1290"/>
      <c r="W13" s="1301"/>
      <c r="X13" s="1301"/>
      <c r="Y13" s="1663"/>
      <c r="Z13" s="45"/>
      <c r="AA13" s="45"/>
      <c r="AB13" s="45"/>
      <c r="AC13" s="45"/>
    </row>
    <row r="14" spans="5:29">
      <c r="E14" s="1150"/>
      <c r="F14" s="253" t="str">
        <f>CONCATENATE(K14," - ",O14," ",S14)</f>
        <v>Fluorescent - T8 4-foot (Electronic) 4-Lamp</v>
      </c>
      <c r="G14" s="1635" t="s">
        <v>153</v>
      </c>
      <c r="H14" s="1635"/>
      <c r="I14" s="1635"/>
      <c r="J14" s="1635"/>
      <c r="K14" s="1633" t="s">
        <v>154</v>
      </c>
      <c r="L14" s="1633"/>
      <c r="M14" s="1633"/>
      <c r="N14" s="1633"/>
      <c r="O14" s="1634" t="s">
        <v>155</v>
      </c>
      <c r="P14" s="1634"/>
      <c r="Q14" s="1634"/>
      <c r="R14" s="1634"/>
      <c r="S14" s="1634" t="s">
        <v>156</v>
      </c>
      <c r="T14" s="1634"/>
      <c r="U14" s="1634"/>
      <c r="V14" s="1634"/>
      <c r="W14" s="1651" t="str">
        <f>IF(K14&lt;&gt;"",IF(OR(O14="",S14="",G14=""),"NO","YES"),"")</f>
        <v>YES</v>
      </c>
      <c r="X14" s="1651"/>
      <c r="Y14" s="782">
        <v>114</v>
      </c>
      <c r="Z14" s="45"/>
      <c r="AA14" s="45"/>
      <c r="AB14" s="45"/>
      <c r="AC14" s="45"/>
    </row>
    <row r="15" spans="5:29" ht="5.0999999999999996" customHeight="1">
      <c r="E15" s="1150"/>
      <c r="F15" s="253"/>
      <c r="G15" s="45"/>
      <c r="H15" s="45"/>
      <c r="I15" s="45"/>
      <c r="J15" s="45"/>
      <c r="K15" s="45"/>
      <c r="L15" s="45"/>
      <c r="M15" s="45"/>
      <c r="N15" s="45"/>
      <c r="O15" s="45"/>
      <c r="P15" s="45"/>
      <c r="Q15" s="45"/>
      <c r="R15" s="45"/>
      <c r="S15" s="45"/>
      <c r="T15" s="45"/>
      <c r="U15" s="45"/>
      <c r="V15" s="45"/>
      <c r="W15" s="45"/>
      <c r="X15" s="45"/>
      <c r="Y15" s="45"/>
      <c r="Z15" s="45"/>
      <c r="AA15" s="45"/>
      <c r="AB15" s="45"/>
      <c r="AC15" s="45"/>
    </row>
    <row r="16" spans="5:29">
      <c r="E16" s="1150"/>
      <c r="F16" s="253" t="str">
        <f>CONCATENATE(K16," - ",O16," ",S16)</f>
        <v>HID - Metal Halide MH 250W</v>
      </c>
      <c r="G16" s="1630" t="s">
        <v>447</v>
      </c>
      <c r="H16" s="1631"/>
      <c r="I16" s="1631"/>
      <c r="J16" s="1632"/>
      <c r="K16" s="1633" t="s">
        <v>163</v>
      </c>
      <c r="L16" s="1633"/>
      <c r="M16" s="1633"/>
      <c r="N16" s="1633"/>
      <c r="O16" s="1634" t="s">
        <v>164</v>
      </c>
      <c r="P16" s="1634"/>
      <c r="Q16" s="1634"/>
      <c r="R16" s="1634"/>
      <c r="S16" s="1634" t="s">
        <v>165</v>
      </c>
      <c r="T16" s="1634"/>
      <c r="U16" s="1634"/>
      <c r="V16" s="1634"/>
      <c r="W16" s="1652" t="str">
        <f>IF(K16&lt;&gt;"",IF(OR(O16="",S16="",G16=""),"NO","YES"),"")</f>
        <v>YES</v>
      </c>
      <c r="X16" s="1653"/>
      <c r="Y16" s="782">
        <v>291</v>
      </c>
      <c r="Z16" s="45"/>
      <c r="AA16" s="45"/>
      <c r="AB16" s="45"/>
      <c r="AC16" s="45"/>
    </row>
    <row r="17" spans="5:29" ht="5.0999999999999996" customHeight="1">
      <c r="E17" s="1150"/>
      <c r="F17" s="253"/>
      <c r="G17" s="45"/>
      <c r="H17" s="45"/>
      <c r="I17" s="45"/>
      <c r="J17" s="45"/>
      <c r="K17" s="45"/>
      <c r="L17" s="45"/>
      <c r="M17" s="45"/>
      <c r="N17" s="45"/>
      <c r="O17" s="45"/>
      <c r="P17" s="45"/>
      <c r="Q17" s="45"/>
      <c r="R17" s="45"/>
      <c r="S17" s="45"/>
      <c r="T17" s="45"/>
      <c r="U17" s="45"/>
      <c r="V17" s="45"/>
      <c r="W17" s="45"/>
      <c r="X17" s="45"/>
      <c r="Y17" s="45"/>
      <c r="Z17" s="45"/>
      <c r="AA17" s="45"/>
      <c r="AB17" s="45"/>
      <c r="AC17" s="45"/>
    </row>
    <row r="18" spans="5:29">
      <c r="E18" s="1150"/>
      <c r="F18" s="253" t="str">
        <f>CONCATENATE(K18," - ",O18," ",S18)</f>
        <v>HID - High Pressure Sodium HPS 150W</v>
      </c>
      <c r="G18" s="1630" t="s">
        <v>162</v>
      </c>
      <c r="H18" s="1631"/>
      <c r="I18" s="1631"/>
      <c r="J18" s="1632"/>
      <c r="K18" s="1633" t="s">
        <v>163</v>
      </c>
      <c r="L18" s="1633"/>
      <c r="M18" s="1633"/>
      <c r="N18" s="1633"/>
      <c r="O18" s="1634" t="s">
        <v>448</v>
      </c>
      <c r="P18" s="1634"/>
      <c r="Q18" s="1634"/>
      <c r="R18" s="1634"/>
      <c r="S18" s="1634" t="s">
        <v>449</v>
      </c>
      <c r="T18" s="1634"/>
      <c r="U18" s="1634"/>
      <c r="V18" s="1634"/>
      <c r="W18" s="1652" t="str">
        <f>IF(K18&lt;&gt;"",IF(OR(O18="",S18="",G18=""),"NO","YES"),"")</f>
        <v>YES</v>
      </c>
      <c r="X18" s="1653"/>
      <c r="Y18" s="782">
        <v>170</v>
      </c>
      <c r="Z18" s="45"/>
      <c r="AA18" s="45"/>
      <c r="AB18" s="45"/>
      <c r="AC18" s="45"/>
    </row>
    <row r="19" spans="5:29" ht="5.0999999999999996" customHeight="1">
      <c r="E19" s="1150"/>
      <c r="F19" s="253"/>
      <c r="G19" s="45"/>
      <c r="H19" s="45"/>
      <c r="I19" s="45"/>
      <c r="J19" s="45"/>
      <c r="K19" s="45"/>
      <c r="L19" s="45"/>
      <c r="M19" s="45"/>
      <c r="N19" s="45"/>
      <c r="O19" s="45"/>
      <c r="P19" s="45"/>
      <c r="Q19" s="45"/>
      <c r="R19" s="45"/>
      <c r="S19" s="45"/>
      <c r="T19" s="45"/>
      <c r="U19" s="45"/>
      <c r="V19" s="45"/>
      <c r="W19" s="45"/>
      <c r="X19" s="45"/>
      <c r="Y19" s="45"/>
      <c r="Z19" s="45"/>
      <c r="AA19" s="45"/>
      <c r="AB19" s="45"/>
      <c r="AC19" s="45"/>
    </row>
    <row r="20" spans="5:29">
      <c r="E20" s="1150"/>
      <c r="F20" s="253" t="str">
        <f>CONCATENATE(K20," - ",O20," ",S20)</f>
        <v>Fluorescent -  2-Lamp</v>
      </c>
      <c r="G20" s="1635" t="s">
        <v>153</v>
      </c>
      <c r="H20" s="1635"/>
      <c r="I20" s="1635"/>
      <c r="J20" s="1635"/>
      <c r="K20" s="1633" t="s">
        <v>154</v>
      </c>
      <c r="L20" s="1633"/>
      <c r="M20" s="1633"/>
      <c r="N20" s="1633"/>
      <c r="O20" s="1634"/>
      <c r="P20" s="1634"/>
      <c r="Q20" s="1634"/>
      <c r="R20" s="1634"/>
      <c r="S20" s="1634" t="s">
        <v>174</v>
      </c>
      <c r="T20" s="1634"/>
      <c r="U20" s="1634"/>
      <c r="V20" s="1634"/>
      <c r="W20" s="1651" t="str">
        <f>IF(K20&lt;&gt;"",IF(OR(O20="",S20="",G20=""),"NO","YES"),"")</f>
        <v>NO</v>
      </c>
      <c r="X20" s="1651"/>
      <c r="Y20" s="782"/>
      <c r="Z20" s="45"/>
      <c r="AA20" s="45"/>
      <c r="AB20" s="45"/>
      <c r="AC20" s="45"/>
    </row>
    <row r="21" spans="5:29" ht="5.0999999999999996" customHeight="1">
      <c r="E21" s="1150"/>
      <c r="F21" s="253"/>
      <c r="G21" s="45"/>
      <c r="H21" s="45"/>
      <c r="I21" s="45"/>
      <c r="J21" s="45"/>
      <c r="K21" s="45"/>
      <c r="L21" s="45"/>
      <c r="M21" s="45"/>
      <c r="N21" s="45"/>
      <c r="O21" s="45"/>
      <c r="P21" s="45"/>
      <c r="Q21" s="45"/>
      <c r="R21" s="45"/>
      <c r="S21" s="45"/>
      <c r="T21" s="45"/>
      <c r="U21" s="45"/>
      <c r="V21" s="45"/>
      <c r="W21" s="45"/>
      <c r="X21" s="45"/>
      <c r="Y21" s="45"/>
      <c r="Z21" s="45"/>
      <c r="AA21" s="45"/>
      <c r="AB21" s="45"/>
      <c r="AC21" s="45"/>
    </row>
    <row r="22" spans="5:29">
      <c r="E22" s="1150"/>
      <c r="F22" s="253" t="str">
        <f>CONCATENATE(K22," - ",O22," ",S22)</f>
        <v xml:space="preserve">Exit Sign - Exit Sign </v>
      </c>
      <c r="G22" s="1635" t="s">
        <v>450</v>
      </c>
      <c r="H22" s="1635"/>
      <c r="I22" s="1635"/>
      <c r="J22" s="1635"/>
      <c r="K22" s="1633" t="s">
        <v>451</v>
      </c>
      <c r="L22" s="1633"/>
      <c r="M22" s="1633"/>
      <c r="N22" s="1633"/>
      <c r="O22" s="1634" t="s">
        <v>451</v>
      </c>
      <c r="P22" s="1634"/>
      <c r="Q22" s="1634"/>
      <c r="R22" s="1634"/>
      <c r="S22" s="1634"/>
      <c r="T22" s="1634"/>
      <c r="U22" s="1634"/>
      <c r="V22" s="1634"/>
      <c r="W22" s="1651" t="str">
        <f>IF(K22&lt;&gt;"",IF(OR(O22="",S22="",G22=""),"NO","YES"),"")</f>
        <v>NO</v>
      </c>
      <c r="X22" s="1651"/>
      <c r="Y22" s="782"/>
      <c r="Z22" s="45"/>
      <c r="AA22" s="45"/>
      <c r="AB22" s="45"/>
      <c r="AC22" s="45"/>
    </row>
    <row r="23" spans="5:29" ht="5.0999999999999996" customHeight="1">
      <c r="E23" s="1150"/>
      <c r="F23" s="254"/>
      <c r="G23" s="45"/>
      <c r="H23" s="45"/>
      <c r="I23" s="45"/>
      <c r="J23" s="45"/>
      <c r="K23" s="45"/>
      <c r="L23" s="45"/>
      <c r="M23" s="45"/>
      <c r="N23" s="45"/>
      <c r="O23" s="45"/>
      <c r="P23" s="45"/>
      <c r="Q23" s="45"/>
      <c r="R23" s="45"/>
      <c r="S23" s="45"/>
      <c r="T23" s="45"/>
      <c r="U23" s="45"/>
      <c r="V23" s="45"/>
      <c r="W23" s="45"/>
      <c r="X23" s="45"/>
      <c r="Y23" s="45"/>
      <c r="Z23" s="45"/>
      <c r="AA23" s="45"/>
      <c r="AB23" s="45"/>
      <c r="AC23" s="45"/>
    </row>
    <row r="24" spans="5:29">
      <c r="E24" s="1150"/>
    </row>
    <row r="25" spans="5:29">
      <c r="E25" s="1150"/>
    </row>
    <row r="26" spans="5:29">
      <c r="E26" s="1150"/>
    </row>
    <row r="27" spans="5:29">
      <c r="E27" s="1150"/>
    </row>
    <row r="28" spans="5:29">
      <c r="E28" s="1150"/>
    </row>
    <row r="29" spans="5:29">
      <c r="E29" s="1150"/>
    </row>
    <row r="30" spans="5:29">
      <c r="E30" s="1150"/>
    </row>
    <row r="31" spans="5:29">
      <c r="E31" s="1150"/>
    </row>
    <row r="32" spans="5:29">
      <c r="E32" s="1150"/>
    </row>
    <row r="33" spans="5:5">
      <c r="E33" s="1150"/>
    </row>
    <row r="65" spans="5:29">
      <c r="E65" s="1150"/>
    </row>
    <row r="66" spans="5:29">
      <c r="E66" s="1150"/>
      <c r="F66" s="1636" t="s">
        <v>440</v>
      </c>
      <c r="G66" s="1637"/>
      <c r="H66" s="1642" t="s">
        <v>441</v>
      </c>
      <c r="I66" s="1643"/>
      <c r="J66" s="1643"/>
      <c r="K66" s="1643"/>
      <c r="L66" s="1643"/>
      <c r="M66" s="1643"/>
      <c r="N66" s="1643"/>
      <c r="O66" s="1643"/>
      <c r="P66" s="1643"/>
      <c r="Q66" s="1643"/>
      <c r="R66" s="1643"/>
      <c r="S66" s="1643"/>
      <c r="T66" s="1643"/>
      <c r="U66" s="1643"/>
      <c r="V66" s="1643"/>
      <c r="W66" s="1643"/>
      <c r="X66" s="1643"/>
      <c r="Y66" s="1643"/>
      <c r="Z66" s="1643"/>
      <c r="AA66" s="1644"/>
      <c r="AB66" s="1654"/>
      <c r="AC66" s="1655"/>
    </row>
    <row r="67" spans="5:29">
      <c r="E67" s="1150"/>
      <c r="F67" s="1638"/>
      <c r="G67" s="1639"/>
      <c r="H67" s="1645"/>
      <c r="I67" s="1646"/>
      <c r="J67" s="1646"/>
      <c r="K67" s="1646"/>
      <c r="L67" s="1646"/>
      <c r="M67" s="1646"/>
      <c r="N67" s="1646"/>
      <c r="O67" s="1646"/>
      <c r="P67" s="1646"/>
      <c r="Q67" s="1646"/>
      <c r="R67" s="1646"/>
      <c r="S67" s="1646"/>
      <c r="T67" s="1646"/>
      <c r="U67" s="1646"/>
      <c r="V67" s="1646"/>
      <c r="W67" s="1646"/>
      <c r="X67" s="1646"/>
      <c r="Y67" s="1646"/>
      <c r="Z67" s="1646"/>
      <c r="AA67" s="1647"/>
      <c r="AB67" s="1656"/>
      <c r="AC67" s="1657"/>
    </row>
    <row r="68" spans="5:29">
      <c r="E68" s="1150"/>
      <c r="F68" s="1640"/>
      <c r="G68" s="1641"/>
      <c r="H68" s="1648"/>
      <c r="I68" s="1649"/>
      <c r="J68" s="1649"/>
      <c r="K68" s="1649"/>
      <c r="L68" s="1649"/>
      <c r="M68" s="1649"/>
      <c r="N68" s="1649"/>
      <c r="O68" s="1649"/>
      <c r="P68" s="1649"/>
      <c r="Q68" s="1649"/>
      <c r="R68" s="1649"/>
      <c r="S68" s="1649"/>
      <c r="T68" s="1649"/>
      <c r="U68" s="1649"/>
      <c r="V68" s="1649"/>
      <c r="W68" s="1649"/>
      <c r="X68" s="1649"/>
      <c r="Y68" s="1649"/>
      <c r="Z68" s="1649"/>
      <c r="AA68" s="1650"/>
      <c r="AB68" s="1658"/>
      <c r="AC68" s="1659"/>
    </row>
    <row r="69" spans="5:29">
      <c r="E69" s="1150"/>
    </row>
    <row r="70" spans="5:29" ht="14.95" thickBot="1">
      <c r="E70" s="1150"/>
      <c r="F70" s="251"/>
      <c r="G70" s="252" t="s">
        <v>452</v>
      </c>
      <c r="H70" s="251"/>
      <c r="I70" s="251"/>
      <c r="J70" s="251"/>
      <c r="K70" s="251"/>
      <c r="L70" s="251"/>
      <c r="M70" s="251"/>
      <c r="N70" s="251"/>
      <c r="O70" s="251"/>
      <c r="P70" s="251"/>
      <c r="Q70" s="251"/>
      <c r="R70" s="251"/>
      <c r="S70" s="251"/>
      <c r="T70" s="251"/>
      <c r="U70" s="251"/>
      <c r="V70" s="251"/>
      <c r="W70" s="251"/>
      <c r="X70" s="251"/>
      <c r="Y70" s="251"/>
      <c r="Z70" s="251"/>
      <c r="AA70" s="251"/>
      <c r="AB70" s="251"/>
      <c r="AC70" s="251"/>
    </row>
    <row r="71" spans="5:29" ht="5.0999999999999996" customHeight="1">
      <c r="E71" s="1150"/>
      <c r="F71" s="254"/>
      <c r="G71" s="45"/>
      <c r="H71" s="45"/>
      <c r="I71" s="45"/>
      <c r="J71" s="45"/>
      <c r="K71" s="45"/>
      <c r="L71" s="45"/>
      <c r="M71" s="45"/>
      <c r="N71" s="45"/>
      <c r="O71" s="45"/>
      <c r="P71" s="45"/>
      <c r="Q71" s="45"/>
      <c r="R71" s="45"/>
      <c r="S71" s="45"/>
      <c r="T71" s="45"/>
      <c r="U71" s="45"/>
      <c r="V71" s="45"/>
      <c r="W71" s="45"/>
      <c r="X71" s="45"/>
      <c r="Y71" s="45"/>
      <c r="Z71" s="45"/>
      <c r="AA71" s="45"/>
      <c r="AB71" s="45"/>
      <c r="AC71" s="45"/>
    </row>
    <row r="72" spans="5:29">
      <c r="E72" s="1150"/>
      <c r="F72" s="254"/>
      <c r="G72" s="1660" t="s">
        <v>453</v>
      </c>
      <c r="H72" s="1669"/>
      <c r="I72" s="1669"/>
      <c r="J72" s="1669"/>
      <c r="K72" s="1660" t="s">
        <v>454</v>
      </c>
      <c r="L72" s="1660"/>
      <c r="M72" s="1660"/>
      <c r="N72" s="1660"/>
      <c r="O72" s="1661" t="s">
        <v>455</v>
      </c>
      <c r="P72" s="1661"/>
      <c r="Q72" s="1660" t="s">
        <v>456</v>
      </c>
      <c r="R72" s="1669"/>
      <c r="S72" s="1669"/>
      <c r="T72" s="1669"/>
      <c r="U72" s="1660" t="s">
        <v>457</v>
      </c>
      <c r="V72" s="1660"/>
      <c r="W72" s="1660"/>
      <c r="X72" s="1660"/>
      <c r="Y72" s="1661" t="s">
        <v>458</v>
      </c>
      <c r="Z72" s="1661"/>
      <c r="AA72" s="1661" t="s">
        <v>131</v>
      </c>
      <c r="AB72" s="1661"/>
      <c r="AC72" s="45"/>
    </row>
    <row r="73" spans="5:29" ht="5.0999999999999996" customHeight="1">
      <c r="E73" s="1150"/>
      <c r="F73" s="254"/>
      <c r="G73" s="1669"/>
      <c r="H73" s="1669"/>
      <c r="I73" s="1669"/>
      <c r="J73" s="1669"/>
      <c r="K73" s="1660"/>
      <c r="L73" s="1660"/>
      <c r="M73" s="1660"/>
      <c r="N73" s="1660"/>
      <c r="O73" s="1661"/>
      <c r="P73" s="1661"/>
      <c r="Q73" s="1669"/>
      <c r="R73" s="1669"/>
      <c r="S73" s="1669"/>
      <c r="T73" s="1669"/>
      <c r="U73" s="1660"/>
      <c r="V73" s="1660"/>
      <c r="W73" s="1660"/>
      <c r="X73" s="1660"/>
      <c r="Y73" s="1661"/>
      <c r="Z73" s="1661"/>
      <c r="AA73" s="1661"/>
      <c r="AB73" s="1661"/>
      <c r="AC73" s="45"/>
    </row>
    <row r="74" spans="5:29">
      <c r="E74" s="1150"/>
      <c r="F74" s="254"/>
      <c r="G74" s="1669"/>
      <c r="H74" s="1669"/>
      <c r="I74" s="1669"/>
      <c r="J74" s="1669"/>
      <c r="K74" s="1660"/>
      <c r="L74" s="1660"/>
      <c r="M74" s="1660"/>
      <c r="N74" s="1660"/>
      <c r="O74" s="1661"/>
      <c r="P74" s="1661"/>
      <c r="Q74" s="1669"/>
      <c r="R74" s="1669"/>
      <c r="S74" s="1669"/>
      <c r="T74" s="1669"/>
      <c r="U74" s="1660"/>
      <c r="V74" s="1660"/>
      <c r="W74" s="1660"/>
      <c r="X74" s="1660"/>
      <c r="Y74" s="1661"/>
      <c r="Z74" s="1661"/>
      <c r="AA74" s="1661"/>
      <c r="AB74" s="1661"/>
      <c r="AC74" s="45"/>
    </row>
    <row r="75" spans="5:29" ht="5.0999999999999996" customHeight="1">
      <c r="E75" s="1150"/>
      <c r="F75" s="254"/>
      <c r="G75" s="1331"/>
      <c r="H75" s="1331"/>
      <c r="I75" s="1331"/>
      <c r="J75" s="1331"/>
      <c r="K75" s="1290"/>
      <c r="L75" s="1290"/>
      <c r="M75" s="1290"/>
      <c r="N75" s="1290"/>
      <c r="O75" s="1301"/>
      <c r="P75" s="1301"/>
      <c r="Q75" s="1331"/>
      <c r="R75" s="1331"/>
      <c r="S75" s="1331"/>
      <c r="T75" s="1331"/>
      <c r="U75" s="1290"/>
      <c r="V75" s="1290"/>
      <c r="W75" s="1290"/>
      <c r="X75" s="1290"/>
      <c r="Y75" s="1301"/>
      <c r="Z75" s="1301"/>
      <c r="AA75" s="1301"/>
      <c r="AB75" s="1301"/>
      <c r="AC75" s="45"/>
    </row>
    <row r="76" spans="5:29">
      <c r="E76" s="1150"/>
      <c r="F76" s="253"/>
      <c r="G76" s="1630" t="s">
        <v>153</v>
      </c>
      <c r="H76" s="1631"/>
      <c r="I76" s="1631"/>
      <c r="J76" s="1632"/>
      <c r="K76" s="1664" t="s">
        <v>167</v>
      </c>
      <c r="L76" s="1665"/>
      <c r="M76" s="1665"/>
      <c r="N76" s="1666"/>
      <c r="O76" s="1667">
        <v>3</v>
      </c>
      <c r="P76" s="1668"/>
      <c r="Q76" s="1630" t="s">
        <v>459</v>
      </c>
      <c r="R76" s="1631"/>
      <c r="S76" s="1631"/>
      <c r="T76" s="1632"/>
      <c r="U76" s="1630">
        <v>75510</v>
      </c>
      <c r="V76" s="1631"/>
      <c r="W76" s="1631"/>
      <c r="X76" s="1632"/>
      <c r="Y76" s="1667">
        <v>35</v>
      </c>
      <c r="Z76" s="1668"/>
      <c r="AA76" s="1652" t="str">
        <f>IF(K76&lt;&gt;"",IF(OR(Q76="",O76="",U76="",Y76="",G76=""),"NO","YES"),"")</f>
        <v>YES</v>
      </c>
      <c r="AB76" s="1653"/>
      <c r="AC76" s="45"/>
    </row>
    <row r="77" spans="5:29" ht="5.0999999999999996" customHeight="1">
      <c r="E77" s="1150"/>
      <c r="F77" s="253"/>
      <c r="G77" s="45"/>
      <c r="H77" s="45"/>
      <c r="I77" s="45"/>
      <c r="J77" s="45"/>
      <c r="K77" s="45"/>
      <c r="L77" s="45"/>
      <c r="M77" s="45"/>
      <c r="N77" s="45"/>
      <c r="O77" s="45"/>
      <c r="P77" s="45"/>
      <c r="Q77" s="45"/>
      <c r="R77" s="45"/>
      <c r="S77" s="45"/>
      <c r="T77" s="45"/>
      <c r="U77" s="45"/>
      <c r="V77" s="45"/>
      <c r="W77" s="45"/>
      <c r="X77" s="45"/>
      <c r="Y77" s="45"/>
      <c r="Z77" s="45"/>
      <c r="AA77" s="45"/>
      <c r="AB77" s="45"/>
      <c r="AC77" s="45"/>
    </row>
    <row r="78" spans="5:29">
      <c r="E78" s="1150"/>
      <c r="F78" s="253"/>
      <c r="G78" s="1630" t="s">
        <v>162</v>
      </c>
      <c r="H78" s="1631"/>
      <c r="I78" s="1631"/>
      <c r="J78" s="1632"/>
      <c r="K78" s="1664" t="s">
        <v>158</v>
      </c>
      <c r="L78" s="1665"/>
      <c r="M78" s="1665"/>
      <c r="N78" s="1666"/>
      <c r="O78" s="1667">
        <v>1</v>
      </c>
      <c r="P78" s="1668"/>
      <c r="Q78" s="1630" t="s">
        <v>159</v>
      </c>
      <c r="R78" s="1631"/>
      <c r="S78" s="1631"/>
      <c r="T78" s="1632"/>
      <c r="U78" s="1630" t="s">
        <v>460</v>
      </c>
      <c r="V78" s="1631"/>
      <c r="W78" s="1631"/>
      <c r="X78" s="1632"/>
      <c r="Y78" s="1667">
        <v>109</v>
      </c>
      <c r="Z78" s="1668"/>
      <c r="AA78" s="1652" t="str">
        <f>IF(K78&lt;&gt;"",IF(OR(Q78="",O78="",U78="",Y78="",G78=""),"NO","YES"),"")</f>
        <v>YES</v>
      </c>
      <c r="AB78" s="1653"/>
      <c r="AC78" s="45"/>
    </row>
    <row r="79" spans="5:29" ht="5.0999999999999996" customHeight="1">
      <c r="E79" s="1150"/>
      <c r="F79" s="253"/>
      <c r="G79" s="45"/>
      <c r="H79" s="45"/>
      <c r="I79" s="45"/>
      <c r="J79" s="45"/>
      <c r="K79" s="45"/>
      <c r="L79" s="45"/>
      <c r="M79" s="45"/>
      <c r="N79" s="45"/>
      <c r="O79" s="45"/>
      <c r="P79" s="45"/>
      <c r="Q79" s="45"/>
      <c r="R79" s="45"/>
      <c r="S79" s="45"/>
      <c r="T79" s="45"/>
      <c r="U79" s="45"/>
      <c r="V79" s="45"/>
      <c r="W79" s="45"/>
      <c r="X79" s="45"/>
      <c r="Y79" s="45"/>
      <c r="Z79" s="45"/>
      <c r="AA79" s="45"/>
      <c r="AB79" s="45"/>
      <c r="AC79" s="45"/>
    </row>
    <row r="80" spans="5:29">
      <c r="E80" s="1150"/>
      <c r="F80" s="253"/>
      <c r="G80" s="1630" t="s">
        <v>153</v>
      </c>
      <c r="H80" s="1631"/>
      <c r="I80" s="1631"/>
      <c r="J80" s="1632"/>
      <c r="K80" s="1664" t="s">
        <v>461</v>
      </c>
      <c r="L80" s="1665"/>
      <c r="M80" s="1665"/>
      <c r="N80" s="1666"/>
      <c r="O80" s="1667">
        <v>1</v>
      </c>
      <c r="P80" s="1668"/>
      <c r="Q80" s="1630" t="s">
        <v>462</v>
      </c>
      <c r="R80" s="1631"/>
      <c r="S80" s="1631"/>
      <c r="T80" s="1632"/>
      <c r="U80" s="1630" t="s">
        <v>463</v>
      </c>
      <c r="V80" s="1631"/>
      <c r="W80" s="1631"/>
      <c r="X80" s="1632"/>
      <c r="Y80" s="1667">
        <v>40</v>
      </c>
      <c r="Z80" s="1668"/>
      <c r="AA80" s="1652" t="str">
        <f>IF(K80&lt;&gt;"",IF(OR(Q80="",O80="",U80="",Y80="",G80=""),"NO","YES"),"")</f>
        <v>YES</v>
      </c>
      <c r="AB80" s="1653"/>
      <c r="AC80" s="45"/>
    </row>
    <row r="81" spans="5:29" ht="5.0999999999999996" customHeight="1">
      <c r="E81" s="1150"/>
      <c r="F81" s="253"/>
      <c r="G81" s="45"/>
      <c r="H81" s="45"/>
      <c r="I81" s="45"/>
      <c r="J81" s="45"/>
      <c r="K81" s="45"/>
      <c r="L81" s="45"/>
      <c r="M81" s="45"/>
      <c r="N81" s="45"/>
      <c r="O81" s="45"/>
      <c r="P81" s="45"/>
      <c r="Q81" s="45"/>
      <c r="R81" s="45"/>
      <c r="S81" s="45"/>
      <c r="T81" s="45"/>
      <c r="U81" s="45"/>
      <c r="V81" s="45"/>
      <c r="W81" s="45"/>
      <c r="X81" s="45"/>
      <c r="Y81" s="45"/>
      <c r="Z81" s="45"/>
      <c r="AA81" s="45"/>
      <c r="AB81" s="45"/>
      <c r="AC81" s="45"/>
    </row>
    <row r="82" spans="5:29">
      <c r="E82" s="1150"/>
      <c r="F82" s="253"/>
      <c r="G82" s="1630" t="s">
        <v>464</v>
      </c>
      <c r="H82" s="1631"/>
      <c r="I82" s="1631"/>
      <c r="J82" s="1632"/>
      <c r="K82" s="1664" t="s">
        <v>158</v>
      </c>
      <c r="L82" s="1665"/>
      <c r="M82" s="1665"/>
      <c r="N82" s="1666"/>
      <c r="O82" s="1667">
        <v>1</v>
      </c>
      <c r="P82" s="1668"/>
      <c r="Q82" s="1630" t="s">
        <v>465</v>
      </c>
      <c r="R82" s="1631"/>
      <c r="S82" s="1631"/>
      <c r="T82" s="1632"/>
      <c r="U82" s="1630"/>
      <c r="V82" s="1631"/>
      <c r="W82" s="1631"/>
      <c r="X82" s="1632"/>
      <c r="Y82" s="1667">
        <v>15</v>
      </c>
      <c r="Z82" s="1668"/>
      <c r="AA82" s="1652" t="str">
        <f>IF(K82&lt;&gt;"",IF(OR(Q82="",O82="",U82="",Y82="",G82=""),"NO","YES"),"")</f>
        <v>NO</v>
      </c>
      <c r="AB82" s="1653"/>
      <c r="AC82" s="45"/>
    </row>
    <row r="83" spans="5:29" ht="5.0999999999999996" customHeight="1">
      <c r="E83" s="1150"/>
      <c r="F83" s="253"/>
      <c r="G83" s="45"/>
      <c r="H83" s="45"/>
      <c r="I83" s="45"/>
      <c r="J83" s="45"/>
      <c r="K83" s="45"/>
      <c r="L83" s="45"/>
      <c r="M83" s="45"/>
      <c r="N83" s="45"/>
      <c r="O83" s="45"/>
      <c r="P83" s="45"/>
      <c r="Q83" s="45"/>
      <c r="R83" s="45"/>
      <c r="S83" s="45"/>
      <c r="T83" s="45"/>
      <c r="U83" s="45"/>
      <c r="V83" s="45"/>
      <c r="W83" s="45"/>
      <c r="X83" s="45"/>
      <c r="Y83" s="45"/>
      <c r="Z83" s="45"/>
      <c r="AA83" s="45"/>
      <c r="AB83" s="45"/>
      <c r="AC83" s="45"/>
    </row>
    <row r="84" spans="5:29">
      <c r="E84" s="1150"/>
      <c r="F84" s="253"/>
      <c r="G84" s="1630" t="s">
        <v>153</v>
      </c>
      <c r="H84" s="1631"/>
      <c r="I84" s="1631"/>
      <c r="J84" s="1632"/>
      <c r="K84" s="1664" t="s">
        <v>158</v>
      </c>
      <c r="L84" s="1665"/>
      <c r="M84" s="1665"/>
      <c r="N84" s="1666"/>
      <c r="O84" s="1667">
        <v>1</v>
      </c>
      <c r="P84" s="1668"/>
      <c r="Q84" s="1630" t="s">
        <v>159</v>
      </c>
      <c r="R84" s="1631"/>
      <c r="S84" s="1631"/>
      <c r="T84" s="1632"/>
      <c r="U84" s="1630" t="s">
        <v>466</v>
      </c>
      <c r="V84" s="1631"/>
      <c r="W84" s="1631"/>
      <c r="X84" s="1632"/>
      <c r="Y84" s="1667">
        <v>35</v>
      </c>
      <c r="Z84" s="1668"/>
      <c r="AA84" s="1652" t="str">
        <f>IF(K84&lt;&gt;"",IF(OR(Q84="",O84="",U84="",Y84="",G84=""),"NO","YES"),"")</f>
        <v>YES</v>
      </c>
      <c r="AB84" s="1653"/>
      <c r="AC84" s="45"/>
    </row>
    <row r="85" spans="5:29" ht="5.0999999999999996" customHeight="1">
      <c r="E85" s="1150"/>
      <c r="F85" s="254"/>
      <c r="G85" s="45"/>
      <c r="H85" s="45"/>
      <c r="I85" s="45"/>
      <c r="J85" s="45"/>
      <c r="K85" s="45"/>
      <c r="L85" s="45"/>
      <c r="M85" s="45"/>
      <c r="N85" s="45"/>
      <c r="O85" s="45"/>
      <c r="P85" s="45"/>
      <c r="Q85" s="45"/>
      <c r="R85" s="45"/>
      <c r="S85" s="45"/>
      <c r="T85" s="45"/>
      <c r="U85" s="45"/>
      <c r="V85" s="45"/>
      <c r="W85" s="45"/>
      <c r="X85" s="45"/>
      <c r="Y85" s="45"/>
      <c r="Z85" s="45"/>
      <c r="AA85" s="45"/>
      <c r="AB85" s="45"/>
      <c r="AC85" s="45"/>
    </row>
    <row r="86" spans="5:29">
      <c r="E86" s="1150"/>
      <c r="F86" s="254"/>
      <c r="G86" s="1288" t="s">
        <v>182</v>
      </c>
      <c r="H86" s="1288"/>
      <c r="I86" s="1288"/>
      <c r="J86" s="1288"/>
      <c r="K86" s="1288"/>
      <c r="L86" s="1288"/>
      <c r="M86" s="1288"/>
      <c r="N86" s="1288"/>
      <c r="O86" s="1288"/>
      <c r="P86" s="1288"/>
      <c r="Q86" s="1288"/>
      <c r="R86" s="1288"/>
      <c r="S86" s="1288"/>
      <c r="T86" s="1288"/>
      <c r="U86" s="1288"/>
      <c r="V86" s="1288"/>
      <c r="W86" s="1288"/>
      <c r="X86" s="1288"/>
      <c r="Y86" s="1288"/>
      <c r="Z86" s="1288"/>
      <c r="AA86" s="1288"/>
      <c r="AB86" s="1288"/>
      <c r="AC86" s="45"/>
    </row>
    <row r="87" spans="5:29" ht="5.0999999999999996" customHeight="1">
      <c r="E87" s="1150"/>
      <c r="F87" s="254"/>
      <c r="G87" s="1288"/>
      <c r="H87" s="1288"/>
      <c r="I87" s="1288"/>
      <c r="J87" s="1288"/>
      <c r="K87" s="1288"/>
      <c r="L87" s="1288"/>
      <c r="M87" s="1288"/>
      <c r="N87" s="1288"/>
      <c r="O87" s="1288"/>
      <c r="P87" s="1288"/>
      <c r="Q87" s="1288"/>
      <c r="R87" s="1288"/>
      <c r="S87" s="1288"/>
      <c r="T87" s="1288"/>
      <c r="U87" s="1288"/>
      <c r="V87" s="1288"/>
      <c r="W87" s="1288"/>
      <c r="X87" s="1288"/>
      <c r="Y87" s="1288"/>
      <c r="Z87" s="1288"/>
      <c r="AA87" s="1288"/>
      <c r="AB87" s="1288"/>
      <c r="AC87" s="45"/>
    </row>
    <row r="88" spans="5:29">
      <c r="E88" s="1150"/>
      <c r="F88" s="254"/>
      <c r="G88" s="1288"/>
      <c r="H88" s="1288"/>
      <c r="I88" s="1288"/>
      <c r="J88" s="1288"/>
      <c r="K88" s="1288"/>
      <c r="L88" s="1288"/>
      <c r="M88" s="1288"/>
      <c r="N88" s="1288"/>
      <c r="O88" s="1288"/>
      <c r="P88" s="1288"/>
      <c r="Q88" s="1288"/>
      <c r="R88" s="1288"/>
      <c r="S88" s="1288"/>
      <c r="T88" s="1288"/>
      <c r="U88" s="1288"/>
      <c r="V88" s="1288"/>
      <c r="W88" s="1288"/>
      <c r="X88" s="1288"/>
      <c r="Y88" s="1288"/>
      <c r="Z88" s="1288"/>
      <c r="AA88" s="1288"/>
      <c r="AB88" s="1288"/>
      <c r="AC88" s="45"/>
    </row>
    <row r="89" spans="5:29" ht="5.0999999999999996" customHeight="1">
      <c r="E89" s="1150"/>
      <c r="F89" s="254"/>
      <c r="G89" s="481"/>
      <c r="H89" s="481"/>
      <c r="I89" s="481"/>
      <c r="J89" s="481"/>
      <c r="K89" s="481"/>
      <c r="L89" s="481"/>
      <c r="M89" s="481"/>
      <c r="N89" s="481"/>
      <c r="O89" s="481"/>
      <c r="P89" s="481"/>
      <c r="Q89" s="481"/>
      <c r="R89" s="481"/>
      <c r="S89" s="481"/>
      <c r="T89" s="481"/>
      <c r="U89" s="481"/>
      <c r="V89" s="481"/>
      <c r="W89" s="481"/>
      <c r="X89" s="481"/>
      <c r="Y89" s="481"/>
      <c r="Z89" s="481"/>
      <c r="AA89" s="481"/>
      <c r="AB89" s="481"/>
      <c r="AC89" s="45"/>
    </row>
    <row r="90" spans="5:29">
      <c r="E90" s="1150"/>
    </row>
    <row r="91" spans="5:29">
      <c r="E91" s="1150"/>
    </row>
    <row r="92" spans="5:29">
      <c r="E92" s="1150"/>
    </row>
    <row r="93" spans="5:29">
      <c r="E93" s="1150"/>
    </row>
    <row r="94" spans="5:29">
      <c r="E94" s="1150"/>
    </row>
    <row r="95" spans="5:29">
      <c r="E95" s="1150"/>
    </row>
    <row r="96" spans="5:29">
      <c r="E96" s="1150"/>
    </row>
    <row r="97" spans="5:12">
      <c r="E97" s="1150"/>
    </row>
    <row r="98" spans="5:12">
      <c r="E98" s="1150"/>
    </row>
    <row r="99" spans="5:12">
      <c r="E99" s="1150"/>
      <c r="L99" s="2" t="s">
        <v>158</v>
      </c>
    </row>
    <row r="100" spans="5:12">
      <c r="E100" s="1150"/>
      <c r="L100" t="s">
        <v>467</v>
      </c>
    </row>
    <row r="101" spans="5:12">
      <c r="E101" s="1150"/>
      <c r="L101" t="s">
        <v>468</v>
      </c>
    </row>
    <row r="102" spans="5:12">
      <c r="E102" s="1150"/>
    </row>
    <row r="103" spans="5:12">
      <c r="E103" s="1150"/>
      <c r="L103" s="2" t="s">
        <v>469</v>
      </c>
    </row>
    <row r="104" spans="5:12">
      <c r="E104" s="1150"/>
      <c r="L104" t="s">
        <v>470</v>
      </c>
    </row>
    <row r="105" spans="5:12">
      <c r="E105" s="1150"/>
      <c r="L105" t="s">
        <v>471</v>
      </c>
    </row>
    <row r="106" spans="5:12">
      <c r="E106" s="1150"/>
      <c r="L106" t="s">
        <v>472</v>
      </c>
    </row>
    <row r="107" spans="5:12">
      <c r="E107" s="1150"/>
    </row>
    <row r="108" spans="5:12">
      <c r="E108" s="1150"/>
      <c r="L108" s="2" t="s">
        <v>473</v>
      </c>
    </row>
    <row r="109" spans="5:12">
      <c r="E109" s="1150"/>
      <c r="L109" t="s">
        <v>474</v>
      </c>
    </row>
    <row r="110" spans="5:12">
      <c r="E110" s="1150"/>
      <c r="L110" t="s">
        <v>475</v>
      </c>
    </row>
  </sheetData>
  <mergeCells count="82">
    <mergeCell ref="G86:AB88"/>
    <mergeCell ref="F66:G68"/>
    <mergeCell ref="H66:AA68"/>
    <mergeCell ref="AB66:AC68"/>
    <mergeCell ref="E65:E110"/>
    <mergeCell ref="Y82:Z82"/>
    <mergeCell ref="AA82:AB82"/>
    <mergeCell ref="G84:J84"/>
    <mergeCell ref="K84:N84"/>
    <mergeCell ref="O84:P84"/>
    <mergeCell ref="Q84:T84"/>
    <mergeCell ref="U84:X84"/>
    <mergeCell ref="Y84:Z84"/>
    <mergeCell ref="AA84:AB84"/>
    <mergeCell ref="G82:J82"/>
    <mergeCell ref="K82:N82"/>
    <mergeCell ref="O82:P82"/>
    <mergeCell ref="Q82:T82"/>
    <mergeCell ref="U82:X82"/>
    <mergeCell ref="Y78:Z78"/>
    <mergeCell ref="AA78:AB78"/>
    <mergeCell ref="Y80:Z80"/>
    <mergeCell ref="AA80:AB80"/>
    <mergeCell ref="G80:J80"/>
    <mergeCell ref="K80:N80"/>
    <mergeCell ref="O80:P80"/>
    <mergeCell ref="Q80:T80"/>
    <mergeCell ref="U80:X80"/>
    <mergeCell ref="G78:J78"/>
    <mergeCell ref="K78:N78"/>
    <mergeCell ref="O78:P78"/>
    <mergeCell ref="Q78:T78"/>
    <mergeCell ref="U78:X78"/>
    <mergeCell ref="Y72:Z75"/>
    <mergeCell ref="AA72:AB75"/>
    <mergeCell ref="G76:J76"/>
    <mergeCell ref="K76:N76"/>
    <mergeCell ref="O76:P76"/>
    <mergeCell ref="Q76:T76"/>
    <mergeCell ref="U76:X76"/>
    <mergeCell ref="Y76:Z76"/>
    <mergeCell ref="AA76:AB76"/>
    <mergeCell ref="G72:J75"/>
    <mergeCell ref="K72:N75"/>
    <mergeCell ref="O72:P75"/>
    <mergeCell ref="Q72:T75"/>
    <mergeCell ref="U72:X75"/>
    <mergeCell ref="AB2:AC4"/>
    <mergeCell ref="G10:J13"/>
    <mergeCell ref="K10:N13"/>
    <mergeCell ref="O10:R13"/>
    <mergeCell ref="S10:V13"/>
    <mergeCell ref="W10:X13"/>
    <mergeCell ref="Y10:Y13"/>
    <mergeCell ref="W14:X14"/>
    <mergeCell ref="G16:J16"/>
    <mergeCell ref="K16:N16"/>
    <mergeCell ref="O16:R16"/>
    <mergeCell ref="S16:V16"/>
    <mergeCell ref="W16:X16"/>
    <mergeCell ref="W18:X18"/>
    <mergeCell ref="G20:J20"/>
    <mergeCell ref="K20:N20"/>
    <mergeCell ref="O20:R20"/>
    <mergeCell ref="S20:V20"/>
    <mergeCell ref="W20:X20"/>
    <mergeCell ref="E1:E33"/>
    <mergeCell ref="G18:J18"/>
    <mergeCell ref="K18:N18"/>
    <mergeCell ref="O18:R18"/>
    <mergeCell ref="S18:V18"/>
    <mergeCell ref="G14:J14"/>
    <mergeCell ref="K14:N14"/>
    <mergeCell ref="O14:R14"/>
    <mergeCell ref="S14:V14"/>
    <mergeCell ref="F2:G4"/>
    <mergeCell ref="H2:AA4"/>
    <mergeCell ref="G22:J22"/>
    <mergeCell ref="K22:N22"/>
    <mergeCell ref="O22:R22"/>
    <mergeCell ref="S22:V22"/>
    <mergeCell ref="W22:X22"/>
  </mergeCells>
  <conditionalFormatting sqref="W14 W16">
    <cfRule type="cellIs" dxfId="148" priority="44" operator="equal">
      <formula>"YES"</formula>
    </cfRule>
    <cfRule type="cellIs" dxfId="147" priority="45" operator="equal">
      <formula>"NO"</formula>
    </cfRule>
  </conditionalFormatting>
  <conditionalFormatting sqref="G16:J16">
    <cfRule type="notContainsBlanks" dxfId="146" priority="43">
      <formula>LEN(TRIM(G16))&gt;0</formula>
    </cfRule>
  </conditionalFormatting>
  <conditionalFormatting sqref="G14:J14">
    <cfRule type="notContainsBlanks" dxfId="145" priority="42">
      <formula>LEN(TRIM(G14))&gt;0</formula>
    </cfRule>
  </conditionalFormatting>
  <conditionalFormatting sqref="K14:N14">
    <cfRule type="notContainsBlanks" dxfId="144" priority="41">
      <formula>LEN(TRIM(K14))&gt;0</formula>
    </cfRule>
  </conditionalFormatting>
  <conditionalFormatting sqref="O14:R14">
    <cfRule type="notContainsBlanks" dxfId="143" priority="40">
      <formula>LEN(TRIM(O14))&gt;0</formula>
    </cfRule>
  </conditionalFormatting>
  <conditionalFormatting sqref="S14:V14">
    <cfRule type="notContainsBlanks" dxfId="142" priority="39">
      <formula>LEN(TRIM(S14))&gt;0</formula>
    </cfRule>
  </conditionalFormatting>
  <conditionalFormatting sqref="K16:N16">
    <cfRule type="notContainsBlanks" dxfId="141" priority="38">
      <formula>LEN(TRIM(K16))&gt;0</formula>
    </cfRule>
  </conditionalFormatting>
  <conditionalFormatting sqref="W18">
    <cfRule type="cellIs" dxfId="140" priority="36" operator="equal">
      <formula>"YES"</formula>
    </cfRule>
    <cfRule type="cellIs" dxfId="139" priority="37" operator="equal">
      <formula>"NO"</formula>
    </cfRule>
  </conditionalFormatting>
  <conditionalFormatting sqref="G18:J18">
    <cfRule type="notContainsBlanks" dxfId="138" priority="35">
      <formula>LEN(TRIM(G18))&gt;0</formula>
    </cfRule>
  </conditionalFormatting>
  <conditionalFormatting sqref="K18:N18">
    <cfRule type="notContainsBlanks" dxfId="137" priority="34">
      <formula>LEN(TRIM(K18))&gt;0</formula>
    </cfRule>
  </conditionalFormatting>
  <conditionalFormatting sqref="K20:N20">
    <cfRule type="notContainsBlanks" dxfId="136" priority="30">
      <formula>LEN(TRIM(K20))&gt;0</formula>
    </cfRule>
  </conditionalFormatting>
  <conditionalFormatting sqref="W20">
    <cfRule type="cellIs" dxfId="135" priority="32" operator="equal">
      <formula>"YES"</formula>
    </cfRule>
    <cfRule type="cellIs" dxfId="134" priority="33" operator="equal">
      <formula>"NO"</formula>
    </cfRule>
  </conditionalFormatting>
  <conditionalFormatting sqref="G20:J20">
    <cfRule type="notContainsBlanks" dxfId="133" priority="31">
      <formula>LEN(TRIM(G20))&gt;0</formula>
    </cfRule>
  </conditionalFormatting>
  <conditionalFormatting sqref="K22:N22">
    <cfRule type="notContainsBlanks" dxfId="132" priority="26">
      <formula>LEN(TRIM(K22))&gt;0</formula>
    </cfRule>
  </conditionalFormatting>
  <conditionalFormatting sqref="W22">
    <cfRule type="cellIs" dxfId="131" priority="28" operator="equal">
      <formula>"YES"</formula>
    </cfRule>
    <cfRule type="cellIs" dxfId="130" priority="29" operator="equal">
      <formula>"NO"</formula>
    </cfRule>
  </conditionalFormatting>
  <conditionalFormatting sqref="G22:J22">
    <cfRule type="notContainsBlanks" dxfId="129" priority="27">
      <formula>LEN(TRIM(G22))&gt;0</formula>
    </cfRule>
  </conditionalFormatting>
  <conditionalFormatting sqref="O16:R16">
    <cfRule type="notContainsBlanks" dxfId="128" priority="25">
      <formula>LEN(TRIM(O16))&gt;0</formula>
    </cfRule>
  </conditionalFormatting>
  <conditionalFormatting sqref="O18:R18">
    <cfRule type="notContainsBlanks" dxfId="127" priority="24">
      <formula>LEN(TRIM(O18))&gt;0</formula>
    </cfRule>
  </conditionalFormatting>
  <conditionalFormatting sqref="O20:R20">
    <cfRule type="notContainsBlanks" dxfId="126" priority="23">
      <formula>LEN(TRIM(O20))&gt;0</formula>
    </cfRule>
  </conditionalFormatting>
  <conditionalFormatting sqref="O22:R22">
    <cfRule type="notContainsBlanks" dxfId="125" priority="22">
      <formula>LEN(TRIM(O22))&gt;0</formula>
    </cfRule>
  </conditionalFormatting>
  <conditionalFormatting sqref="S22:V22 S20:V20 S18:V18 S16:V16">
    <cfRule type="notContainsBlanks" dxfId="124" priority="21">
      <formula>LEN(TRIM(S16))&gt;0</formula>
    </cfRule>
  </conditionalFormatting>
  <conditionalFormatting sqref="O16:R16 O14:R14 O18:R18 O20:R20 O22:R22">
    <cfRule type="expression" dxfId="123" priority="46">
      <formula>#REF!=FALSE</formula>
    </cfRule>
  </conditionalFormatting>
  <conditionalFormatting sqref="S22:V22 S20:V20 S18:V18 S16:V16 S14:V14">
    <cfRule type="expression" dxfId="122" priority="47">
      <formula>#REF!=FALSE</formula>
    </cfRule>
  </conditionalFormatting>
  <conditionalFormatting sqref="AA76">
    <cfRule type="cellIs" dxfId="121" priority="19" operator="equal">
      <formula>"YES"</formula>
    </cfRule>
    <cfRule type="cellIs" dxfId="120" priority="20" operator="equal">
      <formula>"NO"</formula>
    </cfRule>
  </conditionalFormatting>
  <conditionalFormatting sqref="G76:J76 O76:Z76">
    <cfRule type="notContainsBlanks" dxfId="119" priority="18">
      <formula>LEN(TRIM(G76))&gt;0</formula>
    </cfRule>
  </conditionalFormatting>
  <conditionalFormatting sqref="G78:J78 O78:Z78">
    <cfRule type="notContainsBlanks" dxfId="118" priority="17">
      <formula>LEN(TRIM(G78))&gt;0</formula>
    </cfRule>
  </conditionalFormatting>
  <conditionalFormatting sqref="AA78">
    <cfRule type="cellIs" dxfId="117" priority="15" operator="equal">
      <formula>"YES"</formula>
    </cfRule>
    <cfRule type="cellIs" dxfId="116" priority="16" operator="equal">
      <formula>"NO"</formula>
    </cfRule>
  </conditionalFormatting>
  <conditionalFormatting sqref="G80:J80 O80:Z80">
    <cfRule type="notContainsBlanks" dxfId="115" priority="14">
      <formula>LEN(TRIM(G80))&gt;0</formula>
    </cfRule>
  </conditionalFormatting>
  <conditionalFormatting sqref="AA80">
    <cfRule type="cellIs" dxfId="114" priority="12" operator="equal">
      <formula>"YES"</formula>
    </cfRule>
    <cfRule type="cellIs" dxfId="113" priority="13" operator="equal">
      <formula>"NO"</formula>
    </cfRule>
  </conditionalFormatting>
  <conditionalFormatting sqref="G82:J82 O82:Z82">
    <cfRule type="notContainsBlanks" dxfId="112" priority="11">
      <formula>LEN(TRIM(G82))&gt;0</formula>
    </cfRule>
  </conditionalFormatting>
  <conditionalFormatting sqref="K82:N82">
    <cfRule type="notContainsBlanks" dxfId="111" priority="10">
      <formula>LEN(TRIM(K82))&gt;0</formula>
    </cfRule>
  </conditionalFormatting>
  <conditionalFormatting sqref="AA82">
    <cfRule type="cellIs" dxfId="110" priority="8" operator="equal">
      <formula>"YES"</formula>
    </cfRule>
    <cfRule type="cellIs" dxfId="109" priority="9" operator="equal">
      <formula>"NO"</formula>
    </cfRule>
  </conditionalFormatting>
  <conditionalFormatting sqref="K80:N80">
    <cfRule type="notContainsBlanks" dxfId="108" priority="7">
      <formula>LEN(TRIM(K80))&gt;0</formula>
    </cfRule>
  </conditionalFormatting>
  <conditionalFormatting sqref="G84:J84 O84:Z84">
    <cfRule type="notContainsBlanks" dxfId="107" priority="6">
      <formula>LEN(TRIM(G84))&gt;0</formula>
    </cfRule>
  </conditionalFormatting>
  <conditionalFormatting sqref="K84:N84">
    <cfRule type="notContainsBlanks" dxfId="106" priority="5">
      <formula>LEN(TRIM(K84))&gt;0</formula>
    </cfRule>
  </conditionalFormatting>
  <conditionalFormatting sqref="AA84">
    <cfRule type="cellIs" dxfId="105" priority="3" operator="equal">
      <formula>"YES"</formula>
    </cfRule>
    <cfRule type="cellIs" dxfId="104" priority="4" operator="equal">
      <formula>"NO"</formula>
    </cfRule>
  </conditionalFormatting>
  <conditionalFormatting sqref="K78:N78">
    <cfRule type="notContainsBlanks" dxfId="103" priority="2">
      <formula>LEN(TRIM(K78))&gt;0</formula>
    </cfRule>
  </conditionalFormatting>
  <conditionalFormatting sqref="K76:N76">
    <cfRule type="notContainsBlanks" dxfId="102" priority="1">
      <formula>LEN(TRIM(K76))&gt;0</formula>
    </cfRule>
  </conditionalFormatting>
  <dataValidations count="5">
    <dataValidation type="list" allowBlank="1" showInputMessage="1" showErrorMessage="1" sqref="S14:V14 S16:V16 S18:V18 S20:V20 S22:V22">
      <formula1>INDIRECT(INDEX(Lookup_Fixture_Defined_Name_Existing,MATCH(O14,Lookup_Fixture_Existing,0)))</formula1>
    </dataValidation>
    <dataValidation type="list" allowBlank="1" showInputMessage="1" showErrorMessage="1" sqref="O14:R14 O16:R16 O18:R18 O20:R20 O22:R22">
      <formula1>INDIRECT(INDEX(Lookup_Fixture_Type_Defined_Name_Exist,MATCH($V14,Lookup_Fixture_Type_Exist,0)))</formula1>
    </dataValidation>
    <dataValidation type="list" allowBlank="1" showInputMessage="1" showErrorMessage="1" sqref="K14:N14 K16:N16 K18:N18 K20:N20 K22:N22">
      <formula1>Lookup_Fixture_Type_Exist</formula1>
    </dataValidation>
    <dataValidation type="list" allowBlank="1" showInputMessage="1" showErrorMessage="1" sqref="G18:J18 G16:J16">
      <formula1>Lookup_Fixture_Lamp_List</formula1>
    </dataValidation>
    <dataValidation type="whole" allowBlank="1" showErrorMessage="1" errorTitle="Enter # of lamps per fixture" error="Value must be between 1 and 6." sqref="O76 O82 O78 O80 O84">
      <formula1>1</formula1>
      <formula2>6</formula2>
    </dataValidation>
  </dataValidations>
  <pageMargins left="0.7" right="0.7" top="0.75" bottom="0.75" header="0.3" footer="0.3"/>
  <pageSetup orientation="portrait" horizontalDpi="1200" verticalDpi="12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Lookup!$P$3:$P$16</xm:f>
          </x14:formula1>
          <xm:sqref>G14:J14 G20:J20 G22:J22 G84:J84 G80:J80 G82:J82 G78:J78 G76:J76</xm:sqref>
        </x14:dataValidation>
        <x14:dataValidation type="list" allowBlank="1" showInputMessage="1" showErrorMessage="1">
          <x14:formula1>
            <xm:f>Lookup!$AM$3:$AM$10</xm:f>
          </x14:formula1>
          <xm:sqref>K80:N80 K76:N76 K78:N78 K84:N84 K82:N82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9999"/>
    <pageSetUpPr fitToPage="1"/>
  </sheetPr>
  <dimension ref="A1:CC44"/>
  <sheetViews>
    <sheetView showGridLines="0" showRowColHeaders="0" zoomScale="90" zoomScaleNormal="90" workbookViewId="0">
      <pane ySplit="18" topLeftCell="A19" activePane="bottomLeft" state="frozen"/>
      <selection pane="bottomLeft" activeCell="A19" sqref="A19:AM19"/>
    </sheetView>
  </sheetViews>
  <sheetFormatPr defaultRowHeight="14.3"/>
  <cols>
    <col min="1" max="1" width="5.5" customWidth="1"/>
    <col min="2" max="2" width="5.5" hidden="1" customWidth="1"/>
    <col min="3" max="3" width="1.5" customWidth="1"/>
    <col min="4" max="12" width="5.5" customWidth="1"/>
    <col min="13" max="13" width="1.5" customWidth="1"/>
    <col min="14" max="14" width="2.5" customWidth="1"/>
    <col min="15" max="15" width="1.5" customWidth="1"/>
    <col min="16" max="20" width="5.5" customWidth="1"/>
    <col min="21" max="22" width="5.5" hidden="1" customWidth="1"/>
    <col min="23" max="23" width="1.5" customWidth="1"/>
    <col min="24" max="26" width="5.5" customWidth="1"/>
    <col min="27" max="27" width="1.5" customWidth="1"/>
    <col min="28" max="28" width="2.5" customWidth="1"/>
    <col min="29" max="29" width="1.5" customWidth="1"/>
    <col min="30" max="38" width="5.5" customWidth="1"/>
    <col min="39" max="39" width="1.5" customWidth="1"/>
    <col min="40" max="40" width="4.25" customWidth="1"/>
    <col min="41" max="41" width="1.75" customWidth="1"/>
    <col min="42" max="42" width="4.25" customWidth="1"/>
    <col min="43" max="43" width="1.75" customWidth="1"/>
    <col min="44" max="44" width="4.25" customWidth="1"/>
    <col min="45" max="45" width="1.75" customWidth="1"/>
    <col min="46" max="46" width="4.25" customWidth="1"/>
    <col min="47" max="47" width="1.75" customWidth="1"/>
    <col min="48" max="48" width="4.25" customWidth="1"/>
    <col min="49" max="49" width="1.75" customWidth="1"/>
    <col min="50" max="50" width="4.25" customWidth="1"/>
    <col min="51" max="51" width="1.75" customWidth="1"/>
    <col min="52" max="52" width="4.25" customWidth="1"/>
    <col min="53" max="53" width="1.75" customWidth="1"/>
    <col min="54" max="54" width="4.25" customWidth="1"/>
    <col min="55" max="55" width="1.75" customWidth="1"/>
    <col min="56" max="56" width="4.25" customWidth="1"/>
    <col min="57" max="57" width="1.75" customWidth="1"/>
    <col min="58" max="58" width="4.25" customWidth="1"/>
    <col min="62" max="62" width="3" hidden="1" customWidth="1"/>
    <col min="63" max="63" width="0" hidden="1" customWidth="1"/>
    <col min="64" max="64" width="4" hidden="1" customWidth="1"/>
    <col min="65" max="65" width="0" hidden="1" customWidth="1"/>
    <col min="66" max="66" width="4" hidden="1" customWidth="1"/>
    <col min="67" max="67" width="0" hidden="1" customWidth="1"/>
    <col min="68" max="68" width="4" hidden="1" customWidth="1"/>
    <col min="69" max="69" width="0" hidden="1" customWidth="1"/>
    <col min="70" max="70" width="4" hidden="1" customWidth="1"/>
    <col min="71" max="71" width="0" hidden="1" customWidth="1"/>
    <col min="72" max="72" width="4" hidden="1" customWidth="1"/>
    <col min="73" max="73" width="0" hidden="1" customWidth="1"/>
    <col min="74" max="74" width="4" hidden="1" customWidth="1"/>
    <col min="75" max="75" width="0" hidden="1" customWidth="1"/>
    <col min="76" max="76" width="4" hidden="1" customWidth="1"/>
    <col min="77" max="77" width="0" hidden="1" customWidth="1"/>
    <col min="78" max="78" width="4" hidden="1" customWidth="1"/>
    <col min="79" max="79" width="0" hidden="1" customWidth="1"/>
    <col min="80" max="80" width="4" hidden="1" customWidth="1"/>
    <col min="81" max="81" width="0" hidden="1" customWidth="1"/>
  </cols>
  <sheetData>
    <row r="1" spans="10:63" ht="5.0999999999999996" customHeight="1"/>
    <row r="3" spans="10:63" ht="5.0999999999999996" customHeight="1"/>
    <row r="5" spans="10:63" ht="5.0999999999999996" customHeight="1">
      <c r="AJ5" s="92"/>
      <c r="AK5" s="92"/>
      <c r="AL5" s="92"/>
      <c r="AM5" s="92"/>
      <c r="AN5" s="92"/>
      <c r="AO5" s="92"/>
      <c r="AP5" s="92"/>
      <c r="AQ5" s="92"/>
      <c r="AR5" s="92"/>
      <c r="AS5" s="92"/>
      <c r="AT5" s="92"/>
      <c r="AU5" s="92"/>
      <c r="AV5" s="92"/>
      <c r="AW5" s="92"/>
      <c r="AX5" s="92"/>
      <c r="AY5" s="92"/>
      <c r="AZ5" s="92"/>
      <c r="BA5" s="92"/>
      <c r="BB5" s="92"/>
      <c r="BC5" s="92"/>
      <c r="BD5" s="92"/>
      <c r="BE5" s="92"/>
      <c r="BF5" s="92"/>
      <c r="BG5" s="92"/>
      <c r="BH5" s="92"/>
      <c r="BI5" s="92"/>
      <c r="BJ5" s="92"/>
      <c r="BK5" s="92"/>
    </row>
    <row r="6" spans="10:63" ht="14.95" customHeight="1">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row>
    <row r="7" spans="10:63" ht="5.0999999999999996" customHeight="1">
      <c r="J7" s="1142" t="s">
        <v>476</v>
      </c>
      <c r="K7" s="1142"/>
      <c r="L7" s="1142"/>
      <c r="M7" s="1142"/>
      <c r="N7" s="1142"/>
      <c r="O7" s="1142"/>
      <c r="P7" s="1142"/>
      <c r="Q7" s="1142"/>
      <c r="R7" s="1142"/>
      <c r="S7" s="1142"/>
      <c r="T7" s="1142"/>
      <c r="U7" s="1142"/>
      <c r="V7" s="1142"/>
      <c r="W7" s="1142"/>
      <c r="X7" s="1142"/>
      <c r="Y7" s="1142"/>
      <c r="Z7" s="1142"/>
      <c r="AA7" s="1142"/>
      <c r="AB7" s="1142"/>
      <c r="AC7" s="1142"/>
      <c r="AD7" s="1142"/>
      <c r="AE7" s="1142"/>
      <c r="AF7" s="1142"/>
      <c r="AG7" s="1142"/>
      <c r="AH7" s="1142"/>
    </row>
    <row r="8" spans="10:63" ht="14.45" customHeight="1">
      <c r="J8" s="1142"/>
      <c r="K8" s="1142"/>
      <c r="L8" s="1142"/>
      <c r="M8" s="1142"/>
      <c r="N8" s="1142"/>
      <c r="O8" s="1142"/>
      <c r="P8" s="1142"/>
      <c r="Q8" s="1142"/>
      <c r="R8" s="1142"/>
      <c r="S8" s="1142"/>
      <c r="T8" s="1142"/>
      <c r="U8" s="1142"/>
      <c r="V8" s="1142"/>
      <c r="W8" s="1142"/>
      <c r="X8" s="1142"/>
      <c r="Y8" s="1142"/>
      <c r="Z8" s="1142"/>
      <c r="AA8" s="1142"/>
      <c r="AB8" s="1142"/>
      <c r="AC8" s="1142"/>
      <c r="AD8" s="1142"/>
      <c r="AE8" s="1142"/>
      <c r="AF8" s="1142"/>
      <c r="AG8" s="1142"/>
      <c r="AH8" s="1142"/>
    </row>
    <row r="9" spans="10:63" ht="5.0999999999999996" customHeight="1">
      <c r="J9" s="1143" t="s">
        <v>477</v>
      </c>
      <c r="K9" s="1143"/>
      <c r="L9" s="1143"/>
      <c r="M9" s="1143"/>
      <c r="N9" s="1143"/>
      <c r="O9" s="1143"/>
      <c r="P9" s="1143"/>
      <c r="Q9" s="1143"/>
      <c r="R9" s="1143"/>
      <c r="S9" s="1143"/>
      <c r="T9" s="1143"/>
      <c r="U9" s="1143"/>
      <c r="V9" s="1143"/>
      <c r="W9" s="1143"/>
      <c r="X9" s="1143"/>
      <c r="Y9" s="1143"/>
      <c r="Z9" s="1143"/>
      <c r="AA9" s="1143"/>
      <c r="AB9" s="1143"/>
      <c r="AC9" s="1143"/>
      <c r="AD9" s="1143"/>
      <c r="AE9" s="1143"/>
      <c r="AF9" s="1143"/>
      <c r="AG9" s="1143"/>
      <c r="AH9" s="1143"/>
    </row>
    <row r="10" spans="10:63" ht="14.45" customHeight="1">
      <c r="J10" s="1143"/>
      <c r="K10" s="1143"/>
      <c r="L10" s="1143"/>
      <c r="M10" s="1143"/>
      <c r="N10" s="1143"/>
      <c r="O10" s="1143"/>
      <c r="P10" s="1143"/>
      <c r="Q10" s="1143"/>
      <c r="R10" s="1143"/>
      <c r="S10" s="1143"/>
      <c r="T10" s="1143"/>
      <c r="U10" s="1143"/>
      <c r="V10" s="1143"/>
      <c r="W10" s="1143"/>
      <c r="X10" s="1143"/>
      <c r="Y10" s="1143"/>
      <c r="Z10" s="1143"/>
      <c r="AA10" s="1143"/>
      <c r="AB10" s="1143"/>
      <c r="AC10" s="1143"/>
      <c r="AD10" s="1143"/>
      <c r="AE10" s="1143"/>
      <c r="AF10" s="1143"/>
      <c r="AG10" s="1143"/>
      <c r="AH10" s="1143"/>
    </row>
    <row r="11" spans="10:63" ht="5.0999999999999996" customHeight="1">
      <c r="J11" s="1155" t="s">
        <v>478</v>
      </c>
      <c r="K11" s="1155"/>
      <c r="L11" s="1155"/>
      <c r="M11" s="1155"/>
      <c r="N11" s="1155"/>
      <c r="O11" s="1155"/>
      <c r="P11" s="1155"/>
      <c r="Q11" s="1155"/>
      <c r="R11" s="1155"/>
      <c r="S11" s="1155"/>
      <c r="T11" s="1155"/>
      <c r="U11" s="1155"/>
      <c r="V11" s="1155"/>
      <c r="W11" s="1155"/>
      <c r="X11" s="1155"/>
      <c r="Y11" s="1155"/>
      <c r="Z11" s="1155"/>
      <c r="AA11" s="1155"/>
      <c r="AB11" s="1155"/>
      <c r="AC11" s="1155"/>
      <c r="AD11" s="1155"/>
      <c r="AE11" s="1155"/>
      <c r="AF11" s="1155"/>
      <c r="AG11" s="1155"/>
      <c r="AH11" s="1155"/>
    </row>
    <row r="12" spans="10:63" ht="14.45" customHeight="1">
      <c r="J12" s="1155"/>
      <c r="K12" s="1155"/>
      <c r="L12" s="1155"/>
      <c r="M12" s="1155"/>
      <c r="N12" s="1155"/>
      <c r="O12" s="1155"/>
      <c r="P12" s="1155"/>
      <c r="Q12" s="1155"/>
      <c r="R12" s="1155"/>
      <c r="S12" s="1155"/>
      <c r="T12" s="1155"/>
      <c r="U12" s="1155"/>
      <c r="V12" s="1155"/>
      <c r="W12" s="1155"/>
      <c r="X12" s="1155"/>
      <c r="Y12" s="1155"/>
      <c r="Z12" s="1155"/>
      <c r="AA12" s="1155"/>
      <c r="AB12" s="1155"/>
      <c r="AC12" s="1155"/>
      <c r="AD12" s="1155"/>
      <c r="AE12" s="1155"/>
      <c r="AF12" s="1155"/>
      <c r="AG12" s="1155"/>
      <c r="AH12" s="1155"/>
    </row>
    <row r="13" spans="10:63" ht="5.0999999999999996" customHeight="1">
      <c r="J13" s="1572" t="s">
        <v>479</v>
      </c>
      <c r="K13" s="1572"/>
      <c r="L13" s="1572"/>
      <c r="M13" s="1572"/>
      <c r="N13" s="1572"/>
      <c r="O13" s="1572"/>
      <c r="P13" s="1572"/>
      <c r="Q13" s="1572"/>
      <c r="R13" s="1572"/>
      <c r="S13" s="1572"/>
      <c r="T13" s="1572"/>
      <c r="U13" s="1572"/>
      <c r="V13" s="1572"/>
      <c r="W13" s="1572"/>
      <c r="X13" s="1572"/>
      <c r="Y13" s="1572"/>
      <c r="Z13" s="1572"/>
      <c r="AA13" s="1572"/>
      <c r="AB13" s="1572"/>
      <c r="AC13" s="1572"/>
      <c r="AD13" s="1572"/>
      <c r="AE13" s="1572"/>
      <c r="AF13" s="1572"/>
      <c r="AG13" s="1572"/>
      <c r="AH13" s="1572"/>
    </row>
    <row r="14" spans="10:63" ht="14.45" customHeight="1">
      <c r="J14" s="1572"/>
      <c r="K14" s="1572"/>
      <c r="L14" s="1572"/>
      <c r="M14" s="1572"/>
      <c r="N14" s="1572"/>
      <c r="O14" s="1572"/>
      <c r="P14" s="1572"/>
      <c r="Q14" s="1572"/>
      <c r="R14" s="1572"/>
      <c r="S14" s="1572"/>
      <c r="T14" s="1572"/>
      <c r="U14" s="1572"/>
      <c r="V14" s="1572"/>
      <c r="W14" s="1572"/>
      <c r="X14" s="1572"/>
      <c r="Y14" s="1572"/>
      <c r="Z14" s="1572"/>
      <c r="AA14" s="1572"/>
      <c r="AB14" s="1572"/>
      <c r="AC14" s="1572"/>
      <c r="AD14" s="1572"/>
      <c r="AE14" s="1572"/>
      <c r="AF14" s="1572"/>
      <c r="AG14" s="1572"/>
      <c r="AH14" s="1572"/>
    </row>
    <row r="15" spans="10:63" ht="5.0999999999999996" customHeight="1"/>
    <row r="16" spans="10:63">
      <c r="J16" s="179"/>
      <c r="K16" s="179"/>
      <c r="L16" s="179"/>
      <c r="M16" s="179"/>
      <c r="N16" s="179"/>
      <c r="O16" s="179"/>
      <c r="P16" s="179"/>
      <c r="Q16" s="179"/>
      <c r="R16" s="179"/>
      <c r="S16" s="179"/>
      <c r="T16" s="179"/>
      <c r="U16" s="179"/>
      <c r="V16" s="179"/>
      <c r="W16" s="179"/>
      <c r="X16" s="179"/>
      <c r="Y16" s="179"/>
      <c r="Z16" s="179"/>
      <c r="AA16" s="179"/>
      <c r="AB16" s="179"/>
      <c r="AC16" s="179"/>
      <c r="AD16" s="179"/>
      <c r="AE16" s="179"/>
      <c r="AF16" s="179"/>
    </row>
    <row r="17" spans="1:81" ht="5.0999999999999996" customHeight="1"/>
    <row r="18" spans="1:81" ht="5.0999999999999996" customHeight="1"/>
    <row r="19" spans="1:81" ht="2.25" customHeight="1">
      <c r="A19" s="1595"/>
      <c r="B19" s="1595"/>
      <c r="C19" s="1595"/>
      <c r="D19" s="1595"/>
      <c r="E19" s="1595"/>
      <c r="F19" s="1595"/>
      <c r="G19" s="1595"/>
      <c r="H19" s="1595"/>
      <c r="I19" s="1595"/>
      <c r="J19" s="1595"/>
      <c r="K19" s="1595"/>
      <c r="L19" s="1595"/>
      <c r="M19" s="1595"/>
      <c r="N19" s="1595"/>
      <c r="O19" s="1595"/>
      <c r="P19" s="1595"/>
      <c r="Q19" s="1595"/>
      <c r="R19" s="1595"/>
      <c r="S19" s="1595"/>
      <c r="T19" s="1595"/>
      <c r="U19" s="1595"/>
      <c r="V19" s="1595"/>
      <c r="W19" s="1595"/>
      <c r="X19" s="1595"/>
      <c r="Y19" s="1595"/>
      <c r="Z19" s="1595"/>
      <c r="AA19" s="1595"/>
      <c r="AB19" s="1595"/>
      <c r="AC19" s="1595"/>
      <c r="AD19" s="1595"/>
      <c r="AE19" s="1595"/>
      <c r="AF19" s="1595"/>
      <c r="AG19" s="1595"/>
      <c r="AH19" s="1595"/>
      <c r="AI19" s="1595"/>
      <c r="AJ19" s="1595"/>
      <c r="AK19" s="1595"/>
      <c r="AL19" s="1595"/>
      <c r="AM19" s="1595"/>
    </row>
    <row r="20" spans="1:81">
      <c r="AN20" s="169" t="s">
        <v>480</v>
      </c>
    </row>
    <row r="21" spans="1:81">
      <c r="AN21" s="169" t="s">
        <v>481</v>
      </c>
    </row>
    <row r="22" spans="1:81" ht="19.7" thickBot="1">
      <c r="D22" s="387" t="s">
        <v>482</v>
      </c>
      <c r="E22" s="387"/>
      <c r="F22" s="387"/>
      <c r="G22" s="387"/>
      <c r="H22" s="387"/>
      <c r="P22" s="387" t="s">
        <v>114</v>
      </c>
      <c r="Q22" s="387"/>
      <c r="R22" s="387"/>
      <c r="S22" s="387"/>
      <c r="T22" s="387"/>
      <c r="AD22" s="387" t="s">
        <v>483</v>
      </c>
      <c r="AE22" s="387"/>
      <c r="AF22" s="387"/>
      <c r="AG22" s="387"/>
      <c r="AH22" s="387"/>
      <c r="AN22" s="387" t="s">
        <v>484</v>
      </c>
      <c r="AO22" s="387"/>
      <c r="AP22" s="387"/>
      <c r="AQ22" s="387"/>
      <c r="AR22" s="387"/>
      <c r="AS22" s="387"/>
      <c r="AT22" s="387"/>
      <c r="AU22" s="387"/>
      <c r="AV22" s="387"/>
      <c r="AW22" s="387"/>
      <c r="AX22" s="387"/>
      <c r="AY22" s="387"/>
      <c r="AZ22" s="387"/>
      <c r="BA22" s="387"/>
      <c r="BB22" s="387"/>
      <c r="BC22" s="387"/>
      <c r="BD22" s="387"/>
      <c r="BE22" s="387"/>
      <c r="BF22" s="387"/>
    </row>
    <row r="23" spans="1:81">
      <c r="R23" s="14" t="str">
        <f>IF(Project!H59="","Missing",Project!H59)</f>
        <v>- Choose Submitted By -</v>
      </c>
      <c r="BJ23">
        <v>5</v>
      </c>
    </row>
    <row r="24" spans="1:81">
      <c r="D24" s="1576" t="str">
        <f>IF(_Project_2_Type="","Incomplete","Complete")</f>
        <v>Complete</v>
      </c>
      <c r="E24" s="1576"/>
      <c r="F24" s="1670" t="s">
        <v>64</v>
      </c>
      <c r="G24" s="1672"/>
      <c r="H24" s="1672"/>
      <c r="I24" s="1672"/>
      <c r="J24" s="1672"/>
      <c r="K24" s="1672"/>
      <c r="P24" s="1576" t="str">
        <f>IF(OR(Project!H59="",Project!H59="- Choose Submitted by -"),"Incomplete","Complete")</f>
        <v>Incomplete</v>
      </c>
      <c r="Q24" s="1576"/>
      <c r="R24" s="1670" t="s">
        <v>485</v>
      </c>
      <c r="S24" s="1671"/>
      <c r="T24" s="1671"/>
      <c r="U24" s="1671"/>
      <c r="V24" s="1671"/>
      <c r="W24" s="1671"/>
      <c r="X24" s="1671"/>
      <c r="AD24" t="str">
        <f ca="1">'Customer Authorization'!V54</f>
        <v>Fixture/TLED/Control Grant</v>
      </c>
      <c r="AN24" s="715">
        <v>1</v>
      </c>
      <c r="AO24" s="12"/>
      <c r="AP24" s="715">
        <v>11</v>
      </c>
      <c r="AQ24" s="12"/>
      <c r="AR24" s="715">
        <v>26</v>
      </c>
      <c r="AS24" s="12"/>
      <c r="AT24" s="715">
        <v>41</v>
      </c>
      <c r="AU24" s="12"/>
      <c r="AV24" s="715">
        <v>56</v>
      </c>
      <c r="AW24" s="12"/>
      <c r="AX24" s="715">
        <v>71</v>
      </c>
      <c r="AY24" s="12"/>
      <c r="AZ24" s="715">
        <v>86</v>
      </c>
      <c r="BB24" s="715">
        <v>101</v>
      </c>
      <c r="BD24" s="715">
        <v>116</v>
      </c>
      <c r="BF24" s="715">
        <v>131</v>
      </c>
      <c r="BJ24">
        <v>41</v>
      </c>
      <c r="BK24" t="str">
        <f>Installations!HY41</f>
        <v>White</v>
      </c>
      <c r="BL24">
        <f>BJ33+8</f>
        <v>94</v>
      </c>
      <c r="BM24" t="str">
        <f ca="1">INDIRECT(CONCATENATE("Installations!HY",BL24))</f>
        <v>White</v>
      </c>
      <c r="BN24">
        <f>BL38+8</f>
        <v>172</v>
      </c>
      <c r="BO24" t="str">
        <f ca="1">INDIRECT(CONCATENATE("Installations!HY",BN24))</f>
        <v>White</v>
      </c>
      <c r="BP24">
        <f>BN38+8</f>
        <v>250</v>
      </c>
      <c r="BQ24" t="str">
        <f ca="1">INDIRECT(CONCATENATE("Installations!HY",BP24))</f>
        <v>White</v>
      </c>
      <c r="BR24">
        <f>BP38+8</f>
        <v>328</v>
      </c>
      <c r="BS24" t="str">
        <f ca="1">INDIRECT(CONCATENATE("Installations!HY",BR24))</f>
        <v>White</v>
      </c>
      <c r="BT24">
        <f>BR38+8</f>
        <v>406</v>
      </c>
      <c r="BU24" t="str">
        <f ca="1">INDIRECT(CONCATENATE("Installations!HY",BT24))</f>
        <v>White</v>
      </c>
      <c r="BV24">
        <f>BT38+8</f>
        <v>484</v>
      </c>
      <c r="BW24" t="str">
        <f ca="1">INDIRECT(CONCATENATE("Installations!HY",BV24))</f>
        <v>White</v>
      </c>
      <c r="BX24">
        <f>BV38+8</f>
        <v>562</v>
      </c>
      <c r="BY24" t="str">
        <f ca="1">INDIRECT(CONCATENATE("Installations!HY",BX24))</f>
        <v>White</v>
      </c>
      <c r="BZ24">
        <f>BX38+8</f>
        <v>640</v>
      </c>
      <c r="CA24" t="str">
        <f ca="1">INDIRECT(CONCATENATE("Installations!HY",BZ24))</f>
        <v>White</v>
      </c>
      <c r="CB24">
        <f>BZ38+8</f>
        <v>718</v>
      </c>
      <c r="CC24" t="str">
        <f ca="1">INDIRECT(CONCATENATE("Installations!HY",CB24))</f>
        <v>White</v>
      </c>
    </row>
    <row r="25" spans="1:81">
      <c r="D25" s="1576" t="str">
        <f>IF(Project!H26="","Incomplete","Complete")</f>
        <v>Incomplete</v>
      </c>
      <c r="E25" s="1576"/>
      <c r="F25" s="1670" t="s">
        <v>74</v>
      </c>
      <c r="G25" s="1672"/>
      <c r="H25" s="1672"/>
      <c r="I25" s="1672"/>
      <c r="J25" s="1672"/>
      <c r="K25" s="1672"/>
      <c r="P25" s="1576" t="str">
        <f>IF(Project!H81="","Incomplete","Complete")</f>
        <v>Incomplete</v>
      </c>
      <c r="Q25" s="1576"/>
      <c r="R25" s="1670" t="s">
        <v>71</v>
      </c>
      <c r="S25" s="1671"/>
      <c r="T25" s="1671"/>
      <c r="U25" s="1671"/>
      <c r="V25" s="1671"/>
      <c r="W25" s="1671"/>
      <c r="X25" s="1671"/>
      <c r="AD25" s="1576" t="str">
        <f>IF('Customer Authorization'!V57="","Incomplete","Complete")</f>
        <v>Incomplete</v>
      </c>
      <c r="AE25" s="1576"/>
      <c r="AF25" s="1670" t="s">
        <v>400</v>
      </c>
      <c r="AG25" s="1671"/>
      <c r="AH25" s="1671"/>
      <c r="AI25" s="1671"/>
      <c r="AJ25" s="1671"/>
      <c r="AK25" s="1671"/>
      <c r="AN25" s="715">
        <v>2</v>
      </c>
      <c r="AO25" s="12"/>
      <c r="AP25" s="715">
        <v>12</v>
      </c>
      <c r="AQ25" s="12"/>
      <c r="AR25" s="715">
        <v>27</v>
      </c>
      <c r="AS25" s="12"/>
      <c r="AT25" s="715">
        <v>42</v>
      </c>
      <c r="AU25" s="353"/>
      <c r="AV25" s="715">
        <v>57</v>
      </c>
      <c r="AW25" s="353"/>
      <c r="AX25" s="715">
        <v>72</v>
      </c>
      <c r="AY25" s="353"/>
      <c r="AZ25" s="715">
        <v>87</v>
      </c>
      <c r="BA25" s="431"/>
      <c r="BB25" s="715">
        <v>102</v>
      </c>
      <c r="BD25" s="715">
        <v>117</v>
      </c>
      <c r="BF25" s="715">
        <v>132</v>
      </c>
      <c r="BJ25">
        <f>BJ24+BJ$23</f>
        <v>46</v>
      </c>
      <c r="BK25" t="str">
        <f ca="1">INDIRECT(CONCATENATE("Installations!HY",BJ25))</f>
        <v>White</v>
      </c>
      <c r="BL25">
        <f>BL24+$BJ$23</f>
        <v>99</v>
      </c>
      <c r="BM25" t="str">
        <f t="shared" ref="BM25:BM38" ca="1" si="0">INDIRECT(CONCATENATE("Installations!HY",BL25))</f>
        <v>White</v>
      </c>
      <c r="BN25">
        <f>BN24+$BJ$23</f>
        <v>177</v>
      </c>
      <c r="BO25" t="str">
        <f t="shared" ref="BO25:BQ38" ca="1" si="1">INDIRECT(CONCATENATE("Installations!HY",BN25))</f>
        <v>White</v>
      </c>
      <c r="BP25">
        <f>BP24+$BJ$23</f>
        <v>255</v>
      </c>
      <c r="BQ25" t="str">
        <f t="shared" ca="1" si="1"/>
        <v>White</v>
      </c>
      <c r="BR25">
        <f>BR24+$BJ$23</f>
        <v>333</v>
      </c>
      <c r="BS25" t="str">
        <f t="shared" ref="BS25:BU25" ca="1" si="2">INDIRECT(CONCATENATE("Installations!HY",BR25))</f>
        <v>White</v>
      </c>
      <c r="BT25">
        <f>BT24+$BJ$23</f>
        <v>411</v>
      </c>
      <c r="BU25" t="str">
        <f t="shared" ca="1" si="2"/>
        <v>White</v>
      </c>
      <c r="BV25">
        <f>BV24+$BJ$23</f>
        <v>489</v>
      </c>
      <c r="BW25" t="str">
        <f t="shared" ref="BW25:BY25" ca="1" si="3">INDIRECT(CONCATENATE("Installations!HY",BV25))</f>
        <v>White</v>
      </c>
      <c r="BX25">
        <f>BX24+$BJ$23</f>
        <v>567</v>
      </c>
      <c r="BY25" t="str">
        <f t="shared" ca="1" si="3"/>
        <v>White</v>
      </c>
      <c r="BZ25">
        <f>BZ24+$BJ$23</f>
        <v>645</v>
      </c>
      <c r="CA25" t="str">
        <f t="shared" ref="CA25:CC25" ca="1" si="4">INDIRECT(CONCATENATE("Installations!HY",BZ25))</f>
        <v>White</v>
      </c>
      <c r="CB25">
        <f>CB24+$BJ$23</f>
        <v>723</v>
      </c>
      <c r="CC25" t="str">
        <f t="shared" ca="1" si="4"/>
        <v>White</v>
      </c>
    </row>
    <row r="26" spans="1:81">
      <c r="D26" s="1576" t="str">
        <f>IF(Project!H32="Horticultural (NOT ALLOWED)","ERROR",IF(Project!H32="","Incomplete","Complete"))</f>
        <v>Complete</v>
      </c>
      <c r="E26" s="1576"/>
      <c r="F26" s="1670" t="s">
        <v>84</v>
      </c>
      <c r="G26" s="1672"/>
      <c r="H26" s="1672"/>
      <c r="I26" s="1672"/>
      <c r="J26" s="1672"/>
      <c r="K26" s="1672"/>
      <c r="P26" s="1576" t="str">
        <f>IF(Project!H83="","Incomplete","Complete")</f>
        <v>Incomplete</v>
      </c>
      <c r="Q26" s="1576"/>
      <c r="R26" s="1670" t="s">
        <v>486</v>
      </c>
      <c r="S26" s="1671"/>
      <c r="T26" s="1671"/>
      <c r="U26" s="1671"/>
      <c r="V26" s="1671"/>
      <c r="W26" s="1671"/>
      <c r="X26" s="1671"/>
      <c r="AD26" s="1576" t="str">
        <f>IF('Customer Authorization'!V59="","Incomplete","Complete")</f>
        <v>Incomplete</v>
      </c>
      <c r="AE26" s="1576"/>
      <c r="AF26" s="1670" t="s">
        <v>401</v>
      </c>
      <c r="AG26" s="1671"/>
      <c r="AH26" s="1671"/>
      <c r="AI26" s="1671"/>
      <c r="AJ26" s="1671"/>
      <c r="AK26" s="1671"/>
      <c r="AN26" s="715">
        <v>3</v>
      </c>
      <c r="AO26" s="12"/>
      <c r="AP26" s="715">
        <v>13</v>
      </c>
      <c r="AQ26" s="12"/>
      <c r="AR26" s="715">
        <v>28</v>
      </c>
      <c r="AS26" s="12"/>
      <c r="AT26" s="715">
        <v>43</v>
      </c>
      <c r="AU26" s="353"/>
      <c r="AV26" s="715">
        <v>58</v>
      </c>
      <c r="AW26" s="353"/>
      <c r="AX26" s="715">
        <v>73</v>
      </c>
      <c r="AY26" s="353"/>
      <c r="AZ26" s="715">
        <v>88</v>
      </c>
      <c r="BA26" s="431"/>
      <c r="BB26" s="715">
        <v>103</v>
      </c>
      <c r="BD26" s="715">
        <v>118</v>
      </c>
      <c r="BF26" s="715">
        <v>133</v>
      </c>
      <c r="BJ26">
        <f t="shared" ref="BJ26:BJ33" si="5">BJ25+BJ$23</f>
        <v>51</v>
      </c>
      <c r="BK26" t="str">
        <f t="shared" ref="BK26:BK33" ca="1" si="6">INDIRECT(CONCATENATE("Installations!HY",BJ26))</f>
        <v>White</v>
      </c>
      <c r="BL26">
        <f t="shared" ref="BL26:BL38" si="7">BL25+$BJ$23</f>
        <v>104</v>
      </c>
      <c r="BM26" t="str">
        <f t="shared" ca="1" si="0"/>
        <v>White</v>
      </c>
      <c r="BN26">
        <f t="shared" ref="BN26:BN38" si="8">BN25+$BJ$23</f>
        <v>182</v>
      </c>
      <c r="BO26" t="str">
        <f t="shared" ca="1" si="1"/>
        <v>White</v>
      </c>
      <c r="BP26">
        <f t="shared" ref="BP26:BP38" si="9">BP25+$BJ$23</f>
        <v>260</v>
      </c>
      <c r="BQ26" t="str">
        <f t="shared" ca="1" si="1"/>
        <v>White</v>
      </c>
      <c r="BR26">
        <f t="shared" ref="BR26:BR38" si="10">BR25+$BJ$23</f>
        <v>338</v>
      </c>
      <c r="BS26" t="str">
        <f t="shared" ref="BS26:BU26" ca="1" si="11">INDIRECT(CONCATENATE("Installations!HY",BR26))</f>
        <v>White</v>
      </c>
      <c r="BT26">
        <f t="shared" ref="BT26:BT38" si="12">BT25+$BJ$23</f>
        <v>416</v>
      </c>
      <c r="BU26" t="str">
        <f t="shared" ca="1" si="11"/>
        <v>White</v>
      </c>
      <c r="BV26">
        <f t="shared" ref="BV26:BV38" si="13">BV25+$BJ$23</f>
        <v>494</v>
      </c>
      <c r="BW26" t="str">
        <f t="shared" ref="BW26:BY26" ca="1" si="14">INDIRECT(CONCATENATE("Installations!HY",BV26))</f>
        <v>White</v>
      </c>
      <c r="BX26">
        <f t="shared" ref="BX26:BX38" si="15">BX25+$BJ$23</f>
        <v>572</v>
      </c>
      <c r="BY26" t="str">
        <f t="shared" ca="1" si="14"/>
        <v>White</v>
      </c>
      <c r="BZ26">
        <f t="shared" ref="BZ26:BZ38" si="16">BZ25+$BJ$23</f>
        <v>650</v>
      </c>
      <c r="CA26" t="str">
        <f t="shared" ref="CA26:CC26" ca="1" si="17">INDIRECT(CONCATENATE("Installations!HY",BZ26))</f>
        <v>White</v>
      </c>
      <c r="CB26">
        <f t="shared" ref="CB26:CB38" si="18">CB25+$BJ$23</f>
        <v>728</v>
      </c>
      <c r="CC26" t="str">
        <f t="shared" ca="1" si="17"/>
        <v>White</v>
      </c>
    </row>
    <row r="27" spans="1:81">
      <c r="D27" s="1576" t="str">
        <f>IF(_Project_2_Type="New Construction",IF(Project!H38="","Incomplete","Complete"),"Complete")</f>
        <v>Complete</v>
      </c>
      <c r="E27" s="1576"/>
      <c r="F27" s="1670" t="s">
        <v>487</v>
      </c>
      <c r="G27" s="1672"/>
      <c r="H27" s="1672"/>
      <c r="I27" s="1672"/>
      <c r="J27" s="1672"/>
      <c r="K27" s="1672"/>
      <c r="P27" s="1576" t="str">
        <f>IF(Project!H85="","Incomplete","Complete")</f>
        <v>Incomplete</v>
      </c>
      <c r="Q27" s="1576"/>
      <c r="R27" s="1670" t="s">
        <v>488</v>
      </c>
      <c r="S27" s="1671"/>
      <c r="T27" s="1671"/>
      <c r="U27" s="1671"/>
      <c r="V27" s="1671"/>
      <c r="W27" s="1671"/>
      <c r="X27" s="1671"/>
      <c r="AD27" s="1576" t="str">
        <f>IF('Customer Authorization'!V63="","Incomplete","Complete")</f>
        <v>Incomplete</v>
      </c>
      <c r="AE27" s="1576"/>
      <c r="AF27" s="1670" t="s">
        <v>404</v>
      </c>
      <c r="AG27" s="1671"/>
      <c r="AH27" s="1671"/>
      <c r="AI27" s="1671"/>
      <c r="AJ27" s="1671"/>
      <c r="AK27" s="1671"/>
      <c r="AN27" s="715">
        <v>4</v>
      </c>
      <c r="AO27" s="12"/>
      <c r="AP27" s="715">
        <v>14</v>
      </c>
      <c r="AQ27" s="12"/>
      <c r="AR27" s="715">
        <v>29</v>
      </c>
      <c r="AS27" s="12"/>
      <c r="AT27" s="715">
        <v>44</v>
      </c>
      <c r="AU27" s="353"/>
      <c r="AV27" s="715">
        <v>59</v>
      </c>
      <c r="AW27" s="353"/>
      <c r="AX27" s="715">
        <v>74</v>
      </c>
      <c r="AY27" s="353"/>
      <c r="AZ27" s="715">
        <v>89</v>
      </c>
      <c r="BA27" s="431"/>
      <c r="BB27" s="715">
        <v>104</v>
      </c>
      <c r="BD27" s="715">
        <v>119</v>
      </c>
      <c r="BF27" s="715">
        <v>134</v>
      </c>
      <c r="BJ27">
        <f t="shared" si="5"/>
        <v>56</v>
      </c>
      <c r="BK27" t="str">
        <f t="shared" ca="1" si="6"/>
        <v>White</v>
      </c>
      <c r="BL27">
        <f t="shared" si="7"/>
        <v>109</v>
      </c>
      <c r="BM27" t="str">
        <f t="shared" ca="1" si="0"/>
        <v>White</v>
      </c>
      <c r="BN27">
        <f t="shared" si="8"/>
        <v>187</v>
      </c>
      <c r="BO27" t="str">
        <f t="shared" ca="1" si="1"/>
        <v>White</v>
      </c>
      <c r="BP27">
        <f t="shared" si="9"/>
        <v>265</v>
      </c>
      <c r="BQ27" t="str">
        <f t="shared" ca="1" si="1"/>
        <v>White</v>
      </c>
      <c r="BR27">
        <f t="shared" si="10"/>
        <v>343</v>
      </c>
      <c r="BS27" t="str">
        <f t="shared" ref="BS27:BU27" ca="1" si="19">INDIRECT(CONCATENATE("Installations!HY",BR27))</f>
        <v>White</v>
      </c>
      <c r="BT27">
        <f t="shared" si="12"/>
        <v>421</v>
      </c>
      <c r="BU27" t="str">
        <f t="shared" ca="1" si="19"/>
        <v>White</v>
      </c>
      <c r="BV27">
        <f t="shared" si="13"/>
        <v>499</v>
      </c>
      <c r="BW27" t="str">
        <f t="shared" ref="BW27:BY27" ca="1" si="20">INDIRECT(CONCATENATE("Installations!HY",BV27))</f>
        <v>White</v>
      </c>
      <c r="BX27">
        <f t="shared" si="15"/>
        <v>577</v>
      </c>
      <c r="BY27" t="str">
        <f t="shared" ca="1" si="20"/>
        <v>White</v>
      </c>
      <c r="BZ27">
        <f t="shared" si="16"/>
        <v>655</v>
      </c>
      <c r="CA27" t="str">
        <f t="shared" ref="CA27:CC27" ca="1" si="21">INDIRECT(CONCATENATE("Installations!HY",BZ27))</f>
        <v>White</v>
      </c>
      <c r="CB27">
        <f t="shared" si="18"/>
        <v>733</v>
      </c>
      <c r="CC27" t="str">
        <f t="shared" ca="1" si="21"/>
        <v>White</v>
      </c>
    </row>
    <row r="28" spans="1:81">
      <c r="P28" s="1576" t="str">
        <f>IF(Project!H87="","Incomplete","Complete")</f>
        <v>Incomplete</v>
      </c>
      <c r="Q28" s="1576"/>
      <c r="R28" s="1670" t="s">
        <v>489</v>
      </c>
      <c r="S28" s="1671"/>
      <c r="T28" s="1671"/>
      <c r="U28" s="1671"/>
      <c r="V28" s="1671"/>
      <c r="W28" s="1671"/>
      <c r="X28" s="1671"/>
      <c r="AD28" s="1576" t="str">
        <f>IF('Customer Authorization'!V65="","Incomplete","Complete")</f>
        <v>Incomplete</v>
      </c>
      <c r="AE28" s="1576"/>
      <c r="AF28" s="1670" t="s">
        <v>77</v>
      </c>
      <c r="AG28" s="1671"/>
      <c r="AH28" s="1671"/>
      <c r="AI28" s="1671"/>
      <c r="AJ28" s="1671"/>
      <c r="AK28" s="1671"/>
      <c r="AN28" s="715">
        <v>5</v>
      </c>
      <c r="AO28" s="12"/>
      <c r="AP28" s="715">
        <v>15</v>
      </c>
      <c r="AQ28" s="12"/>
      <c r="AR28" s="715">
        <v>30</v>
      </c>
      <c r="AS28" s="12"/>
      <c r="AT28" s="715">
        <v>45</v>
      </c>
      <c r="AU28" s="353"/>
      <c r="AV28" s="715">
        <v>60</v>
      </c>
      <c r="AW28" s="353"/>
      <c r="AX28" s="715">
        <v>75</v>
      </c>
      <c r="AY28" s="353"/>
      <c r="AZ28" s="715">
        <v>90</v>
      </c>
      <c r="BA28" s="431"/>
      <c r="BB28" s="715">
        <v>105</v>
      </c>
      <c r="BD28" s="715">
        <v>120</v>
      </c>
      <c r="BF28" s="715">
        <v>135</v>
      </c>
      <c r="BJ28">
        <f t="shared" si="5"/>
        <v>61</v>
      </c>
      <c r="BK28" t="str">
        <f t="shared" ca="1" si="6"/>
        <v>White</v>
      </c>
      <c r="BL28">
        <f t="shared" si="7"/>
        <v>114</v>
      </c>
      <c r="BM28" t="str">
        <f t="shared" ca="1" si="0"/>
        <v>White</v>
      </c>
      <c r="BN28">
        <f t="shared" si="8"/>
        <v>192</v>
      </c>
      <c r="BO28" t="str">
        <f t="shared" ca="1" si="1"/>
        <v>White</v>
      </c>
      <c r="BP28">
        <f t="shared" si="9"/>
        <v>270</v>
      </c>
      <c r="BQ28" t="str">
        <f t="shared" ca="1" si="1"/>
        <v>White</v>
      </c>
      <c r="BR28">
        <f t="shared" si="10"/>
        <v>348</v>
      </c>
      <c r="BS28" t="str">
        <f t="shared" ref="BS28:BU28" ca="1" si="22">INDIRECT(CONCATENATE("Installations!HY",BR28))</f>
        <v>White</v>
      </c>
      <c r="BT28">
        <f t="shared" si="12"/>
        <v>426</v>
      </c>
      <c r="BU28" t="str">
        <f t="shared" ca="1" si="22"/>
        <v>White</v>
      </c>
      <c r="BV28">
        <f t="shared" si="13"/>
        <v>504</v>
      </c>
      <c r="BW28" t="str">
        <f t="shared" ref="BW28:BY28" ca="1" si="23">INDIRECT(CONCATENATE("Installations!HY",BV28))</f>
        <v>White</v>
      </c>
      <c r="BX28">
        <f t="shared" si="15"/>
        <v>582</v>
      </c>
      <c r="BY28" t="str">
        <f t="shared" ca="1" si="23"/>
        <v>White</v>
      </c>
      <c r="BZ28">
        <f t="shared" si="16"/>
        <v>660</v>
      </c>
      <c r="CA28" t="str">
        <f t="shared" ref="CA28:CC28" ca="1" si="24">INDIRECT(CONCATENATE("Installations!HY",BZ28))</f>
        <v>White</v>
      </c>
      <c r="CB28">
        <f t="shared" si="18"/>
        <v>738</v>
      </c>
      <c r="CC28" t="str">
        <f t="shared" ca="1" si="24"/>
        <v>White</v>
      </c>
    </row>
    <row r="29" spans="1:81">
      <c r="D29" s="1576" t="str">
        <f>IF(Project!V22="","Incomplete","Complete")</f>
        <v>Incomplete</v>
      </c>
      <c r="E29" s="1576"/>
      <c r="F29" s="1670" t="s">
        <v>439</v>
      </c>
      <c r="G29" s="1672"/>
      <c r="H29" s="1672"/>
      <c r="I29" s="1672"/>
      <c r="J29" s="1672"/>
      <c r="K29" s="1672"/>
      <c r="P29" s="1576" t="str">
        <f>IF(Project!H89="","Incomplete","Complete")</f>
        <v>Incomplete</v>
      </c>
      <c r="Q29" s="1576"/>
      <c r="R29" s="1670" t="s">
        <v>490</v>
      </c>
      <c r="S29" s="1671"/>
      <c r="T29" s="1671"/>
      <c r="U29" s="1671"/>
      <c r="V29" s="1671"/>
      <c r="W29" s="1671"/>
      <c r="X29" s="1671"/>
      <c r="AD29" s="1576" t="str">
        <f>IF('Customer Authorization'!V67="","Incomplete","Complete")</f>
        <v>Incomplete</v>
      </c>
      <c r="AE29" s="1576"/>
      <c r="AF29" s="1670" t="s">
        <v>123</v>
      </c>
      <c r="AG29" s="1671"/>
      <c r="AH29" s="1671"/>
      <c r="AI29" s="1671"/>
      <c r="AJ29" s="1671"/>
      <c r="AK29" s="1671"/>
      <c r="AN29" s="715">
        <v>6</v>
      </c>
      <c r="AO29" s="12"/>
      <c r="AP29" s="715">
        <v>16</v>
      </c>
      <c r="AQ29" s="12"/>
      <c r="AR29" s="715">
        <v>31</v>
      </c>
      <c r="AS29" s="12"/>
      <c r="AT29" s="715">
        <v>46</v>
      </c>
      <c r="AU29" s="353"/>
      <c r="AV29" s="715">
        <v>61</v>
      </c>
      <c r="AW29" s="353"/>
      <c r="AX29" s="715">
        <v>76</v>
      </c>
      <c r="AY29" s="353"/>
      <c r="AZ29" s="715">
        <v>91</v>
      </c>
      <c r="BA29" s="431"/>
      <c r="BB29" s="715">
        <v>106</v>
      </c>
      <c r="BD29" s="715">
        <v>121</v>
      </c>
      <c r="BF29" s="715">
        <v>136</v>
      </c>
      <c r="BJ29">
        <f t="shared" si="5"/>
        <v>66</v>
      </c>
      <c r="BK29" t="str">
        <f t="shared" ca="1" si="6"/>
        <v>White</v>
      </c>
      <c r="BL29">
        <f t="shared" si="7"/>
        <v>119</v>
      </c>
      <c r="BM29" t="str">
        <f t="shared" ca="1" si="0"/>
        <v>White</v>
      </c>
      <c r="BN29">
        <f t="shared" si="8"/>
        <v>197</v>
      </c>
      <c r="BO29" t="str">
        <f t="shared" ca="1" si="1"/>
        <v>White</v>
      </c>
      <c r="BP29">
        <f t="shared" si="9"/>
        <v>275</v>
      </c>
      <c r="BQ29" t="str">
        <f t="shared" ca="1" si="1"/>
        <v>White</v>
      </c>
      <c r="BR29">
        <f t="shared" si="10"/>
        <v>353</v>
      </c>
      <c r="BS29" t="str">
        <f t="shared" ref="BS29:BU29" ca="1" si="25">INDIRECT(CONCATENATE("Installations!HY",BR29))</f>
        <v>White</v>
      </c>
      <c r="BT29">
        <f t="shared" si="12"/>
        <v>431</v>
      </c>
      <c r="BU29" t="str">
        <f t="shared" ca="1" si="25"/>
        <v>White</v>
      </c>
      <c r="BV29">
        <f t="shared" si="13"/>
        <v>509</v>
      </c>
      <c r="BW29" t="str">
        <f t="shared" ref="BW29:BY29" ca="1" si="26">INDIRECT(CONCATENATE("Installations!HY",BV29))</f>
        <v>White</v>
      </c>
      <c r="BX29">
        <f t="shared" si="15"/>
        <v>587</v>
      </c>
      <c r="BY29" t="str">
        <f t="shared" ca="1" si="26"/>
        <v>White</v>
      </c>
      <c r="BZ29">
        <f t="shared" si="16"/>
        <v>665</v>
      </c>
      <c r="CA29" t="str">
        <f t="shared" ref="CA29:CC29" ca="1" si="27">INDIRECT(CONCATENATE("Installations!HY",BZ29))</f>
        <v>White</v>
      </c>
      <c r="CB29">
        <f t="shared" si="18"/>
        <v>743</v>
      </c>
      <c r="CC29" t="str">
        <f t="shared" ca="1" si="27"/>
        <v>White</v>
      </c>
    </row>
    <row r="30" spans="1:81">
      <c r="D30" s="1576" t="str">
        <f>IF(Project!V24="","Incomplete","Complete")</f>
        <v>Incomplete</v>
      </c>
      <c r="E30" s="1576"/>
      <c r="F30" s="1670" t="s">
        <v>491</v>
      </c>
      <c r="G30" s="1672"/>
      <c r="H30" s="1672"/>
      <c r="I30" s="1672"/>
      <c r="J30" s="1672"/>
      <c r="K30" s="1672"/>
      <c r="P30" s="1576" t="str">
        <f>IF(Project!H91="","Incomplete","Complete")</f>
        <v>Incomplete</v>
      </c>
      <c r="Q30" s="1576"/>
      <c r="R30" s="1670" t="s">
        <v>492</v>
      </c>
      <c r="S30" s="1671"/>
      <c r="T30" s="1671"/>
      <c r="U30" s="1671"/>
      <c r="V30" s="1671"/>
      <c r="W30" s="1671"/>
      <c r="X30" s="1671"/>
      <c r="AD30" s="1576" t="str">
        <f>IF('Customer Authorization'!V69="","Incomplete","Complete")</f>
        <v>Incomplete</v>
      </c>
      <c r="AE30" s="1576"/>
      <c r="AF30" s="1670" t="s">
        <v>86</v>
      </c>
      <c r="AG30" s="1671"/>
      <c r="AH30" s="1671"/>
      <c r="AI30" s="1671"/>
      <c r="AJ30" s="1671"/>
      <c r="AK30" s="1671"/>
      <c r="AN30" s="715">
        <v>7</v>
      </c>
      <c r="AO30" s="12"/>
      <c r="AP30" s="715">
        <v>17</v>
      </c>
      <c r="AQ30" s="12"/>
      <c r="AR30" s="715">
        <v>32</v>
      </c>
      <c r="AS30" s="12"/>
      <c r="AT30" s="715">
        <v>47</v>
      </c>
      <c r="AU30" s="353"/>
      <c r="AV30" s="715">
        <v>62</v>
      </c>
      <c r="AW30" s="353"/>
      <c r="AX30" s="715">
        <v>77</v>
      </c>
      <c r="AY30" s="353"/>
      <c r="AZ30" s="715">
        <v>92</v>
      </c>
      <c r="BA30" s="431"/>
      <c r="BB30" s="715">
        <v>107</v>
      </c>
      <c r="BD30" s="715">
        <v>122</v>
      </c>
      <c r="BF30" s="715">
        <v>137</v>
      </c>
      <c r="BJ30">
        <f t="shared" si="5"/>
        <v>71</v>
      </c>
      <c r="BK30" t="str">
        <f t="shared" ca="1" si="6"/>
        <v>White</v>
      </c>
      <c r="BL30">
        <f t="shared" si="7"/>
        <v>124</v>
      </c>
      <c r="BM30" t="str">
        <f t="shared" ca="1" si="0"/>
        <v>White</v>
      </c>
      <c r="BN30">
        <f t="shared" si="8"/>
        <v>202</v>
      </c>
      <c r="BO30" t="str">
        <f t="shared" ca="1" si="1"/>
        <v>White</v>
      </c>
      <c r="BP30">
        <f t="shared" si="9"/>
        <v>280</v>
      </c>
      <c r="BQ30" t="str">
        <f t="shared" ca="1" si="1"/>
        <v>White</v>
      </c>
      <c r="BR30">
        <f t="shared" si="10"/>
        <v>358</v>
      </c>
      <c r="BS30" t="str">
        <f t="shared" ref="BS30:BU30" ca="1" si="28">INDIRECT(CONCATENATE("Installations!HY",BR30))</f>
        <v>White</v>
      </c>
      <c r="BT30">
        <f t="shared" si="12"/>
        <v>436</v>
      </c>
      <c r="BU30" t="str">
        <f t="shared" ca="1" si="28"/>
        <v>White</v>
      </c>
      <c r="BV30">
        <f t="shared" si="13"/>
        <v>514</v>
      </c>
      <c r="BW30" t="str">
        <f t="shared" ref="BW30:BY30" ca="1" si="29">INDIRECT(CONCATENATE("Installations!HY",BV30))</f>
        <v>White</v>
      </c>
      <c r="BX30">
        <f t="shared" si="15"/>
        <v>592</v>
      </c>
      <c r="BY30" t="str">
        <f t="shared" ca="1" si="29"/>
        <v>White</v>
      </c>
      <c r="BZ30">
        <f t="shared" si="16"/>
        <v>670</v>
      </c>
      <c r="CA30" t="str">
        <f t="shared" ref="CA30:CC30" ca="1" si="30">INDIRECT(CONCATENATE("Installations!HY",BZ30))</f>
        <v>White</v>
      </c>
      <c r="CB30">
        <f t="shared" si="18"/>
        <v>748</v>
      </c>
      <c r="CC30" t="str">
        <f t="shared" ca="1" si="30"/>
        <v>White</v>
      </c>
    </row>
    <row r="31" spans="1:81">
      <c r="D31" s="1576" t="str">
        <f>IF(Project!V26="","Incomplete","Complete")</f>
        <v>Incomplete</v>
      </c>
      <c r="E31" s="1576"/>
      <c r="F31" s="1670" t="s">
        <v>493</v>
      </c>
      <c r="G31" s="1672"/>
      <c r="H31" s="1672"/>
      <c r="I31" s="1672"/>
      <c r="J31" s="1672"/>
      <c r="K31" s="1672"/>
      <c r="P31" s="1576" t="str">
        <f>IF(Project!H93="","Incomplete","Complete")</f>
        <v>Incomplete</v>
      </c>
      <c r="Q31" s="1576"/>
      <c r="R31" s="1670" t="s">
        <v>494</v>
      </c>
      <c r="S31" s="1671"/>
      <c r="T31" s="1671"/>
      <c r="U31" s="1671"/>
      <c r="V31" s="1671"/>
      <c r="W31" s="1671"/>
      <c r="X31" s="1671"/>
      <c r="AD31" s="1576" t="str">
        <f>IF('Customer Authorization'!V71="","Incomplete","Complete")</f>
        <v>Incomplete</v>
      </c>
      <c r="AE31" s="1576"/>
      <c r="AF31" s="1670" t="s">
        <v>88</v>
      </c>
      <c r="AG31" s="1671"/>
      <c r="AH31" s="1671"/>
      <c r="AI31" s="1671"/>
      <c r="AJ31" s="1671"/>
      <c r="AK31" s="1671"/>
      <c r="AN31" s="715">
        <v>8</v>
      </c>
      <c r="AO31" s="12"/>
      <c r="AP31" s="715">
        <v>18</v>
      </c>
      <c r="AQ31" s="12"/>
      <c r="AR31" s="715">
        <v>33</v>
      </c>
      <c r="AS31" s="12"/>
      <c r="AT31" s="715">
        <v>48</v>
      </c>
      <c r="AU31" s="10"/>
      <c r="AV31" s="715">
        <v>63</v>
      </c>
      <c r="AW31" s="10"/>
      <c r="AX31" s="715">
        <v>78</v>
      </c>
      <c r="AY31" s="10"/>
      <c r="AZ31" s="715">
        <v>93</v>
      </c>
      <c r="BA31" s="431"/>
      <c r="BB31" s="715">
        <v>108</v>
      </c>
      <c r="BD31" s="715">
        <v>123</v>
      </c>
      <c r="BF31" s="715">
        <v>138</v>
      </c>
      <c r="BJ31">
        <f t="shared" si="5"/>
        <v>76</v>
      </c>
      <c r="BK31" t="str">
        <f t="shared" ca="1" si="6"/>
        <v>White</v>
      </c>
      <c r="BL31">
        <f t="shared" si="7"/>
        <v>129</v>
      </c>
      <c r="BM31" t="str">
        <f t="shared" ca="1" si="0"/>
        <v>White</v>
      </c>
      <c r="BN31">
        <f t="shared" si="8"/>
        <v>207</v>
      </c>
      <c r="BO31" t="str">
        <f t="shared" ca="1" si="1"/>
        <v>White</v>
      </c>
      <c r="BP31">
        <f t="shared" si="9"/>
        <v>285</v>
      </c>
      <c r="BQ31" t="str">
        <f t="shared" ca="1" si="1"/>
        <v>White</v>
      </c>
      <c r="BR31">
        <f t="shared" si="10"/>
        <v>363</v>
      </c>
      <c r="BS31" t="str">
        <f t="shared" ref="BS31:BU31" ca="1" si="31">INDIRECT(CONCATENATE("Installations!HY",BR31))</f>
        <v>White</v>
      </c>
      <c r="BT31">
        <f t="shared" si="12"/>
        <v>441</v>
      </c>
      <c r="BU31" t="str">
        <f t="shared" ca="1" si="31"/>
        <v>White</v>
      </c>
      <c r="BV31">
        <f t="shared" si="13"/>
        <v>519</v>
      </c>
      <c r="BW31" t="str">
        <f t="shared" ref="BW31:BY31" ca="1" si="32">INDIRECT(CONCATENATE("Installations!HY",BV31))</f>
        <v>White</v>
      </c>
      <c r="BX31">
        <f t="shared" si="15"/>
        <v>597</v>
      </c>
      <c r="BY31" t="str">
        <f t="shared" ca="1" si="32"/>
        <v>White</v>
      </c>
      <c r="BZ31">
        <f t="shared" si="16"/>
        <v>675</v>
      </c>
      <c r="CA31" t="str">
        <f t="shared" ref="CA31:CC31" ca="1" si="33">INDIRECT(CONCATENATE("Installations!HY",BZ31))</f>
        <v>White</v>
      </c>
      <c r="CB31">
        <f t="shared" si="18"/>
        <v>753</v>
      </c>
      <c r="CC31" t="str">
        <f t="shared" ca="1" si="33"/>
        <v>White</v>
      </c>
    </row>
    <row r="32" spans="1:81">
      <c r="D32" s="1576" t="str">
        <f>IF(Project!V28="","Incomplete","Complete")</f>
        <v>Incomplete</v>
      </c>
      <c r="E32" s="1576"/>
      <c r="F32" s="1670" t="s">
        <v>495</v>
      </c>
      <c r="G32" s="1672"/>
      <c r="H32" s="1672"/>
      <c r="I32" s="1672"/>
      <c r="J32" s="1672"/>
      <c r="K32" s="1672"/>
      <c r="P32" s="1576" t="str">
        <f>IF(Project!L93="","Incomplete","Complete")</f>
        <v>Incomplete</v>
      </c>
      <c r="Q32" s="1576"/>
      <c r="R32" s="1670" t="s">
        <v>496</v>
      </c>
      <c r="S32" s="1671"/>
      <c r="T32" s="1671"/>
      <c r="U32" s="1671"/>
      <c r="V32" s="1671"/>
      <c r="W32" s="1671"/>
      <c r="X32" s="1671"/>
      <c r="AD32" s="1576" t="str">
        <f>IF('Customer Authorization'!V73="","Incomplete","Complete")</f>
        <v>Incomplete</v>
      </c>
      <c r="AE32" s="1576"/>
      <c r="AF32" s="1670" t="s">
        <v>91</v>
      </c>
      <c r="AG32" s="1671"/>
      <c r="AH32" s="1671"/>
      <c r="AI32" s="1671"/>
      <c r="AJ32" s="1671"/>
      <c r="AK32" s="1671"/>
      <c r="AN32" s="715">
        <v>9</v>
      </c>
      <c r="AO32" s="12"/>
      <c r="AP32" s="715">
        <v>19</v>
      </c>
      <c r="AQ32" s="12"/>
      <c r="AR32" s="715">
        <v>34</v>
      </c>
      <c r="AS32" s="12"/>
      <c r="AT32" s="715">
        <v>49</v>
      </c>
      <c r="AU32" s="10"/>
      <c r="AV32" s="715">
        <v>64</v>
      </c>
      <c r="AW32" s="10"/>
      <c r="AX32" s="715">
        <v>79</v>
      </c>
      <c r="AY32" s="10"/>
      <c r="AZ32" s="715">
        <v>94</v>
      </c>
      <c r="BA32" s="431"/>
      <c r="BB32" s="715">
        <v>109</v>
      </c>
      <c r="BD32" s="715">
        <v>124</v>
      </c>
      <c r="BF32" s="715">
        <v>139</v>
      </c>
      <c r="BJ32">
        <f t="shared" si="5"/>
        <v>81</v>
      </c>
      <c r="BK32" t="str">
        <f t="shared" ca="1" si="6"/>
        <v>White</v>
      </c>
      <c r="BL32">
        <f t="shared" si="7"/>
        <v>134</v>
      </c>
      <c r="BM32" t="str">
        <f t="shared" ca="1" si="0"/>
        <v>White</v>
      </c>
      <c r="BN32">
        <f t="shared" si="8"/>
        <v>212</v>
      </c>
      <c r="BO32" t="str">
        <f t="shared" ca="1" si="1"/>
        <v>White</v>
      </c>
      <c r="BP32">
        <f t="shared" si="9"/>
        <v>290</v>
      </c>
      <c r="BQ32" t="str">
        <f t="shared" ca="1" si="1"/>
        <v>White</v>
      </c>
      <c r="BR32">
        <f t="shared" si="10"/>
        <v>368</v>
      </c>
      <c r="BS32" t="str">
        <f t="shared" ref="BS32:BU32" ca="1" si="34">INDIRECT(CONCATENATE("Installations!HY",BR32))</f>
        <v>White</v>
      </c>
      <c r="BT32">
        <f t="shared" si="12"/>
        <v>446</v>
      </c>
      <c r="BU32" t="str">
        <f t="shared" ca="1" si="34"/>
        <v>White</v>
      </c>
      <c r="BV32">
        <f t="shared" si="13"/>
        <v>524</v>
      </c>
      <c r="BW32" t="str">
        <f t="shared" ref="BW32:BY32" ca="1" si="35">INDIRECT(CONCATENATE("Installations!HY",BV32))</f>
        <v>White</v>
      </c>
      <c r="BX32">
        <f t="shared" si="15"/>
        <v>602</v>
      </c>
      <c r="BY32" t="str">
        <f t="shared" ca="1" si="35"/>
        <v>White</v>
      </c>
      <c r="BZ32">
        <f t="shared" si="16"/>
        <v>680</v>
      </c>
      <c r="CA32" t="str">
        <f t="shared" ref="CA32:CC32" ca="1" si="36">INDIRECT(CONCATENATE("Installations!HY",BZ32))</f>
        <v>White</v>
      </c>
      <c r="CB32">
        <f t="shared" si="18"/>
        <v>758</v>
      </c>
      <c r="CC32" t="str">
        <f t="shared" ca="1" si="36"/>
        <v>White</v>
      </c>
    </row>
    <row r="33" spans="4:81">
      <c r="D33" s="1576" t="str">
        <f>IF(Project!V30="","Incomplete","Complete")</f>
        <v>Incomplete</v>
      </c>
      <c r="E33" s="1576"/>
      <c r="F33" s="1670" t="s">
        <v>82</v>
      </c>
      <c r="G33" s="1672"/>
      <c r="H33" s="1672"/>
      <c r="I33" s="1672"/>
      <c r="J33" s="1672"/>
      <c r="K33" s="1672"/>
      <c r="AD33" s="1576" t="str">
        <f>IF('Customer Authorization'!Y73="","Incomplete","Complete")</f>
        <v>Incomplete</v>
      </c>
      <c r="AE33" s="1576"/>
      <c r="AF33" s="1670" t="s">
        <v>94</v>
      </c>
      <c r="AG33" s="1671"/>
      <c r="AH33" s="1671"/>
      <c r="AI33" s="1671"/>
      <c r="AJ33" s="1671"/>
      <c r="AK33" s="1671"/>
      <c r="AN33" s="715">
        <v>10</v>
      </c>
      <c r="AO33" s="12"/>
      <c r="AP33" s="715">
        <v>20</v>
      </c>
      <c r="AQ33" s="12"/>
      <c r="AR33" s="715">
        <v>35</v>
      </c>
      <c r="AS33" s="12"/>
      <c r="AT33" s="715">
        <v>50</v>
      </c>
      <c r="AU33" s="10"/>
      <c r="AV33" s="715">
        <v>65</v>
      </c>
      <c r="AW33" s="10"/>
      <c r="AX33" s="715">
        <v>80</v>
      </c>
      <c r="AY33" s="10"/>
      <c r="AZ33" s="715">
        <v>95</v>
      </c>
      <c r="BA33" s="431"/>
      <c r="BB33" s="715">
        <v>110</v>
      </c>
      <c r="BD33" s="715">
        <v>125</v>
      </c>
      <c r="BF33" s="715">
        <v>140</v>
      </c>
      <c r="BJ33">
        <f t="shared" si="5"/>
        <v>86</v>
      </c>
      <c r="BK33" t="str">
        <f t="shared" ca="1" si="6"/>
        <v>White</v>
      </c>
      <c r="BL33">
        <f t="shared" si="7"/>
        <v>139</v>
      </c>
      <c r="BM33" t="str">
        <f t="shared" ca="1" si="0"/>
        <v>White</v>
      </c>
      <c r="BN33">
        <f t="shared" si="8"/>
        <v>217</v>
      </c>
      <c r="BO33" t="str">
        <f t="shared" ca="1" si="1"/>
        <v>White</v>
      </c>
      <c r="BP33">
        <f t="shared" si="9"/>
        <v>295</v>
      </c>
      <c r="BQ33" t="str">
        <f t="shared" ca="1" si="1"/>
        <v>White</v>
      </c>
      <c r="BR33">
        <f t="shared" si="10"/>
        <v>373</v>
      </c>
      <c r="BS33" t="str">
        <f t="shared" ref="BS33:BU33" ca="1" si="37">INDIRECT(CONCATENATE("Installations!HY",BR33))</f>
        <v>White</v>
      </c>
      <c r="BT33">
        <f t="shared" si="12"/>
        <v>451</v>
      </c>
      <c r="BU33" t="str">
        <f t="shared" ca="1" si="37"/>
        <v>White</v>
      </c>
      <c r="BV33">
        <f t="shared" si="13"/>
        <v>529</v>
      </c>
      <c r="BW33" t="str">
        <f t="shared" ref="BW33:BY33" ca="1" si="38">INDIRECT(CONCATENATE("Installations!HY",BV33))</f>
        <v>White</v>
      </c>
      <c r="BX33">
        <f t="shared" si="15"/>
        <v>607</v>
      </c>
      <c r="BY33" t="str">
        <f t="shared" ca="1" si="38"/>
        <v>White</v>
      </c>
      <c r="BZ33">
        <f t="shared" si="16"/>
        <v>685</v>
      </c>
      <c r="CA33" t="str">
        <f t="shared" ref="CA33:CC33" ca="1" si="39">INDIRECT(CONCATENATE("Installations!HY",BZ33))</f>
        <v>White</v>
      </c>
      <c r="CB33">
        <f t="shared" si="18"/>
        <v>763</v>
      </c>
      <c r="CC33" t="str">
        <f t="shared" ca="1" si="39"/>
        <v>White</v>
      </c>
    </row>
    <row r="34" spans="4:81" ht="19.7" thickBot="1">
      <c r="D34" s="1576" t="str">
        <f>IF(Project!V34="","Incomplete","Complete")</f>
        <v>Incomplete</v>
      </c>
      <c r="E34" s="1576"/>
      <c r="F34" s="1670" t="s">
        <v>497</v>
      </c>
      <c r="G34" s="1672"/>
      <c r="H34" s="1672"/>
      <c r="I34" s="1672"/>
      <c r="J34" s="1672"/>
      <c r="K34" s="1672"/>
      <c r="P34" s="387" t="s">
        <v>498</v>
      </c>
      <c r="Q34" s="387"/>
      <c r="R34" s="387"/>
      <c r="S34" s="387"/>
      <c r="T34" s="387"/>
      <c r="AO34" s="12"/>
      <c r="AP34" s="715">
        <v>21</v>
      </c>
      <c r="AQ34" s="12"/>
      <c r="AR34" s="715">
        <v>36</v>
      </c>
      <c r="AS34" s="12"/>
      <c r="AT34" s="715">
        <v>51</v>
      </c>
      <c r="AU34" s="10"/>
      <c r="AV34" s="715">
        <v>66</v>
      </c>
      <c r="AW34" s="10"/>
      <c r="AX34" s="715">
        <v>81</v>
      </c>
      <c r="AY34" s="10"/>
      <c r="AZ34" s="715">
        <v>96</v>
      </c>
      <c r="BA34" s="431"/>
      <c r="BB34" s="715">
        <v>111</v>
      </c>
      <c r="BD34" s="715">
        <v>126</v>
      </c>
      <c r="BF34" s="715">
        <v>141</v>
      </c>
      <c r="BL34">
        <f t="shared" si="7"/>
        <v>144</v>
      </c>
      <c r="BM34" t="str">
        <f t="shared" ca="1" si="0"/>
        <v>White</v>
      </c>
      <c r="BN34">
        <f t="shared" si="8"/>
        <v>222</v>
      </c>
      <c r="BO34" t="str">
        <f t="shared" ca="1" si="1"/>
        <v>White</v>
      </c>
      <c r="BP34">
        <f t="shared" si="9"/>
        <v>300</v>
      </c>
      <c r="BQ34" t="str">
        <f t="shared" ca="1" si="1"/>
        <v>White</v>
      </c>
      <c r="BR34">
        <f t="shared" si="10"/>
        <v>378</v>
      </c>
      <c r="BS34" t="str">
        <f t="shared" ref="BS34:BU34" ca="1" si="40">INDIRECT(CONCATENATE("Installations!HY",BR34))</f>
        <v>White</v>
      </c>
      <c r="BT34">
        <f t="shared" si="12"/>
        <v>456</v>
      </c>
      <c r="BU34" t="str">
        <f t="shared" ca="1" si="40"/>
        <v>White</v>
      </c>
      <c r="BV34">
        <f t="shared" si="13"/>
        <v>534</v>
      </c>
      <c r="BW34" t="str">
        <f t="shared" ref="BW34:BY34" ca="1" si="41">INDIRECT(CONCATENATE("Installations!HY",BV34))</f>
        <v>White</v>
      </c>
      <c r="BX34">
        <f t="shared" si="15"/>
        <v>612</v>
      </c>
      <c r="BY34" t="str">
        <f t="shared" ca="1" si="41"/>
        <v>White</v>
      </c>
      <c r="BZ34">
        <f t="shared" si="16"/>
        <v>690</v>
      </c>
      <c r="CA34" t="str">
        <f t="shared" ref="CA34:CC34" ca="1" si="42">INDIRECT(CONCATENATE("Installations!HY",BZ34))</f>
        <v>White</v>
      </c>
      <c r="CB34">
        <f t="shared" si="18"/>
        <v>768</v>
      </c>
      <c r="CC34" t="str">
        <f t="shared" ca="1" si="42"/>
        <v>White</v>
      </c>
    </row>
    <row r="35" spans="4:81">
      <c r="D35" s="1576" t="str">
        <f>IF(Project!AA36="","Incomplete","Complete")</f>
        <v>Incomplete</v>
      </c>
      <c r="E35" s="1576"/>
      <c r="F35" s="1670" t="s">
        <v>499</v>
      </c>
      <c r="G35" s="1672"/>
      <c r="H35" s="1672"/>
      <c r="I35" s="1672"/>
      <c r="J35" s="1672"/>
      <c r="K35" s="1672"/>
      <c r="R35" s="14" t="str">
        <f>IF(Project!H71="","Missing",Project!H71)</f>
        <v>Missing</v>
      </c>
      <c r="AD35" t="str">
        <f>IF('Customer Authorization'!AH55=0,"",RIGHT('Customer Authorization'!AH54,24))</f>
        <v/>
      </c>
      <c r="AO35" s="12"/>
      <c r="AP35" s="715">
        <v>22</v>
      </c>
      <c r="AQ35" s="12"/>
      <c r="AR35" s="715">
        <v>37</v>
      </c>
      <c r="AS35" s="12"/>
      <c r="AT35" s="715">
        <v>52</v>
      </c>
      <c r="AU35" s="10"/>
      <c r="AV35" s="715">
        <v>67</v>
      </c>
      <c r="AW35" s="10"/>
      <c r="AX35" s="715">
        <v>82</v>
      </c>
      <c r="AY35" s="10"/>
      <c r="AZ35" s="715">
        <v>97</v>
      </c>
      <c r="BA35" s="431"/>
      <c r="BB35" s="715">
        <v>112</v>
      </c>
      <c r="BD35" s="715">
        <v>127</v>
      </c>
      <c r="BF35" s="715">
        <v>142</v>
      </c>
      <c r="BL35">
        <f t="shared" si="7"/>
        <v>149</v>
      </c>
      <c r="BM35" t="str">
        <f t="shared" ca="1" si="0"/>
        <v>White</v>
      </c>
      <c r="BN35">
        <f t="shared" si="8"/>
        <v>227</v>
      </c>
      <c r="BO35" t="str">
        <f t="shared" ca="1" si="1"/>
        <v>White</v>
      </c>
      <c r="BP35">
        <f t="shared" si="9"/>
        <v>305</v>
      </c>
      <c r="BQ35" t="str">
        <f t="shared" ca="1" si="1"/>
        <v>White</v>
      </c>
      <c r="BR35">
        <f t="shared" si="10"/>
        <v>383</v>
      </c>
      <c r="BS35" t="str">
        <f t="shared" ref="BS35:BU35" ca="1" si="43">INDIRECT(CONCATENATE("Installations!HY",BR35))</f>
        <v>White</v>
      </c>
      <c r="BT35">
        <f t="shared" si="12"/>
        <v>461</v>
      </c>
      <c r="BU35" t="str">
        <f t="shared" ca="1" si="43"/>
        <v>White</v>
      </c>
      <c r="BV35">
        <f t="shared" si="13"/>
        <v>539</v>
      </c>
      <c r="BW35" t="str">
        <f t="shared" ref="BW35:BY35" ca="1" si="44">INDIRECT(CONCATENATE("Installations!HY",BV35))</f>
        <v>White</v>
      </c>
      <c r="BX35">
        <f t="shared" si="15"/>
        <v>617</v>
      </c>
      <c r="BY35" t="str">
        <f t="shared" ca="1" si="44"/>
        <v>White</v>
      </c>
      <c r="BZ35">
        <f t="shared" si="16"/>
        <v>695</v>
      </c>
      <c r="CA35" t="str">
        <f t="shared" ref="CA35:CC35" ca="1" si="45">INDIRECT(CONCATENATE("Installations!HY",BZ35))</f>
        <v>White</v>
      </c>
      <c r="CB35">
        <f t="shared" si="18"/>
        <v>773</v>
      </c>
      <c r="CC35" t="str">
        <f t="shared" ca="1" si="45"/>
        <v>White</v>
      </c>
    </row>
    <row r="36" spans="4:81">
      <c r="D36" s="783"/>
      <c r="E36" s="783"/>
      <c r="F36" s="644"/>
      <c r="G36" s="644"/>
      <c r="H36" s="644"/>
      <c r="I36" s="644"/>
      <c r="J36" s="644"/>
      <c r="K36" s="644"/>
      <c r="P36" s="1576" t="str">
        <f>IF(OR(Project!U59="",Project!U59="- Choose Installed by -"),"Incomplete","Complete")</f>
        <v>Incomplete</v>
      </c>
      <c r="Q36" s="1576"/>
      <c r="R36" s="1670" t="s">
        <v>500</v>
      </c>
      <c r="S36" s="1671"/>
      <c r="T36" s="1671"/>
      <c r="U36" s="1671"/>
      <c r="V36" s="1671"/>
      <c r="W36" s="1671"/>
      <c r="X36" s="1671"/>
      <c r="AD36" s="1577" t="str">
        <f>IF('Customer Authorization'!AH57="","Incomplete","Complete")</f>
        <v>Incomplete</v>
      </c>
      <c r="AE36" s="1579"/>
      <c r="AF36" s="1670" t="s">
        <v>400</v>
      </c>
      <c r="AG36" s="1672"/>
      <c r="AH36" s="1672"/>
      <c r="AI36" s="1672"/>
      <c r="AJ36" s="1672"/>
      <c r="AK36" s="1672"/>
      <c r="AO36" s="12"/>
      <c r="AP36" s="715">
        <v>23</v>
      </c>
      <c r="AQ36" s="12"/>
      <c r="AR36" s="715">
        <v>38</v>
      </c>
      <c r="AS36" s="12"/>
      <c r="AT36" s="715">
        <v>53</v>
      </c>
      <c r="AU36" s="10"/>
      <c r="AV36" s="715">
        <v>68</v>
      </c>
      <c r="AW36" s="10"/>
      <c r="AX36" s="715">
        <v>83</v>
      </c>
      <c r="AY36" s="10"/>
      <c r="AZ36" s="715">
        <v>98</v>
      </c>
      <c r="BA36" s="431"/>
      <c r="BB36" s="715">
        <v>113</v>
      </c>
      <c r="BD36" s="715">
        <v>128</v>
      </c>
      <c r="BF36" s="715">
        <v>143</v>
      </c>
      <c r="BL36">
        <f t="shared" si="7"/>
        <v>154</v>
      </c>
      <c r="BM36" t="str">
        <f t="shared" ca="1" si="0"/>
        <v>White</v>
      </c>
      <c r="BN36">
        <f t="shared" si="8"/>
        <v>232</v>
      </c>
      <c r="BO36" t="str">
        <f t="shared" ca="1" si="1"/>
        <v>White</v>
      </c>
      <c r="BP36">
        <f t="shared" si="9"/>
        <v>310</v>
      </c>
      <c r="BQ36" t="str">
        <f t="shared" ca="1" si="1"/>
        <v>White</v>
      </c>
      <c r="BR36">
        <f t="shared" si="10"/>
        <v>388</v>
      </c>
      <c r="BS36" t="str">
        <f t="shared" ref="BS36:BU36" ca="1" si="46">INDIRECT(CONCATENATE("Installations!HY",BR36))</f>
        <v>White</v>
      </c>
      <c r="BT36">
        <f t="shared" si="12"/>
        <v>466</v>
      </c>
      <c r="BU36" t="str">
        <f t="shared" ca="1" si="46"/>
        <v>White</v>
      </c>
      <c r="BV36">
        <f t="shared" si="13"/>
        <v>544</v>
      </c>
      <c r="BW36" t="str">
        <f t="shared" ref="BW36:BY36" ca="1" si="47">INDIRECT(CONCATENATE("Installations!HY",BV36))</f>
        <v>White</v>
      </c>
      <c r="BX36">
        <f t="shared" si="15"/>
        <v>622</v>
      </c>
      <c r="BY36" t="str">
        <f t="shared" ca="1" si="47"/>
        <v>White</v>
      </c>
      <c r="BZ36">
        <f t="shared" si="16"/>
        <v>700</v>
      </c>
      <c r="CA36" t="str">
        <f t="shared" ref="CA36:CC36" ca="1" si="48">INDIRECT(CONCATENATE("Installations!HY",BZ36))</f>
        <v>White</v>
      </c>
      <c r="CB36">
        <f t="shared" si="18"/>
        <v>778</v>
      </c>
      <c r="CC36" t="str">
        <f t="shared" ca="1" si="48"/>
        <v>White</v>
      </c>
    </row>
    <row r="37" spans="4:81">
      <c r="D37" s="1576" t="str">
        <f>IF(Project!AK22="","Incomplete","Complete")</f>
        <v>Incomplete</v>
      </c>
      <c r="E37" s="1576"/>
      <c r="F37" s="1670" t="s">
        <v>501</v>
      </c>
      <c r="G37" s="1672"/>
      <c r="H37" s="1672"/>
      <c r="I37" s="1672"/>
      <c r="J37" s="1672"/>
      <c r="K37" s="1672"/>
      <c r="P37" s="1576" t="str">
        <f>IF(Project!U81="","Incomplete","Complete")</f>
        <v>Incomplete</v>
      </c>
      <c r="Q37" s="1576"/>
      <c r="R37" s="1670" t="s">
        <v>120</v>
      </c>
      <c r="S37" s="1671"/>
      <c r="T37" s="1671"/>
      <c r="U37" s="1671"/>
      <c r="V37" s="1671"/>
      <c r="W37" s="1671"/>
      <c r="X37" s="1671"/>
      <c r="AD37" s="1577" t="str">
        <f>IF('Customer Authorization'!AH59="","Incomplete","Complete")</f>
        <v>Incomplete</v>
      </c>
      <c r="AE37" s="1579"/>
      <c r="AF37" s="1670" t="s">
        <v>401</v>
      </c>
      <c r="AG37" s="1672"/>
      <c r="AH37" s="1672"/>
      <c r="AI37" s="1672"/>
      <c r="AJ37" s="1672"/>
      <c r="AK37" s="1672"/>
      <c r="AO37" s="12"/>
      <c r="AP37" s="715">
        <v>24</v>
      </c>
      <c r="AQ37" s="12"/>
      <c r="AR37" s="715">
        <v>39</v>
      </c>
      <c r="AS37" s="12"/>
      <c r="AT37" s="715">
        <v>54</v>
      </c>
      <c r="AU37" s="10"/>
      <c r="AV37" s="715">
        <v>69</v>
      </c>
      <c r="AW37" s="10"/>
      <c r="AX37" s="715">
        <v>84</v>
      </c>
      <c r="AY37" s="10"/>
      <c r="AZ37" s="715">
        <v>99</v>
      </c>
      <c r="BA37" s="431"/>
      <c r="BB37" s="715">
        <v>114</v>
      </c>
      <c r="BD37" s="715">
        <v>129</v>
      </c>
      <c r="BF37" s="715">
        <v>144</v>
      </c>
      <c r="BL37">
        <f t="shared" si="7"/>
        <v>159</v>
      </c>
      <c r="BM37" t="str">
        <f t="shared" ca="1" si="0"/>
        <v>White</v>
      </c>
      <c r="BN37">
        <f t="shared" si="8"/>
        <v>237</v>
      </c>
      <c r="BO37" t="str">
        <f t="shared" ca="1" si="1"/>
        <v>White</v>
      </c>
      <c r="BP37">
        <f t="shared" si="9"/>
        <v>315</v>
      </c>
      <c r="BQ37" t="str">
        <f t="shared" ca="1" si="1"/>
        <v>White</v>
      </c>
      <c r="BR37">
        <f t="shared" si="10"/>
        <v>393</v>
      </c>
      <c r="BS37" t="str">
        <f t="shared" ref="BS37:BU37" ca="1" si="49">INDIRECT(CONCATENATE("Installations!HY",BR37))</f>
        <v>White</v>
      </c>
      <c r="BT37">
        <f t="shared" si="12"/>
        <v>471</v>
      </c>
      <c r="BU37" t="str">
        <f t="shared" ca="1" si="49"/>
        <v>White</v>
      </c>
      <c r="BV37">
        <f t="shared" si="13"/>
        <v>549</v>
      </c>
      <c r="BW37" t="str">
        <f t="shared" ref="BW37:BY37" ca="1" si="50">INDIRECT(CONCATENATE("Installations!HY",BV37))</f>
        <v>White</v>
      </c>
      <c r="BX37">
        <f t="shared" si="15"/>
        <v>627</v>
      </c>
      <c r="BY37" t="str">
        <f t="shared" ca="1" si="50"/>
        <v>White</v>
      </c>
      <c r="BZ37">
        <f t="shared" si="16"/>
        <v>705</v>
      </c>
      <c r="CA37" t="str">
        <f t="shared" ref="CA37:CC37" ca="1" si="51">INDIRECT(CONCATENATE("Installations!HY",BZ37))</f>
        <v>White</v>
      </c>
      <c r="CB37">
        <f t="shared" si="18"/>
        <v>783</v>
      </c>
      <c r="CC37" t="str">
        <f t="shared" ca="1" si="51"/>
        <v>White</v>
      </c>
    </row>
    <row r="38" spans="4:81">
      <c r="D38" s="1576" t="str">
        <f>IF(Project!AK24="","Incomplete","Complete")</f>
        <v>Incomplete</v>
      </c>
      <c r="E38" s="1576"/>
      <c r="F38" s="1670" t="s">
        <v>502</v>
      </c>
      <c r="G38" s="1672"/>
      <c r="H38" s="1672"/>
      <c r="I38" s="1672"/>
      <c r="J38" s="1672"/>
      <c r="K38" s="1672"/>
      <c r="P38" s="1576" t="str">
        <f>IF(Project!U83="","Incomplete","Complete")</f>
        <v>Incomplete</v>
      </c>
      <c r="Q38" s="1576"/>
      <c r="R38" s="1670" t="s">
        <v>503</v>
      </c>
      <c r="S38" s="1671"/>
      <c r="T38" s="1671"/>
      <c r="U38" s="1671"/>
      <c r="V38" s="1671"/>
      <c r="W38" s="1671"/>
      <c r="X38" s="1671"/>
      <c r="AD38" s="1576" t="str">
        <f>IF('Customer Authorization'!AH63="","Incomplete","Complete")</f>
        <v>Incomplete</v>
      </c>
      <c r="AE38" s="1576"/>
      <c r="AF38" s="1670" t="s">
        <v>404</v>
      </c>
      <c r="AG38" s="1671"/>
      <c r="AH38" s="1671"/>
      <c r="AI38" s="1671"/>
      <c r="AJ38" s="1671"/>
      <c r="AK38" s="1671"/>
      <c r="AP38" s="715">
        <v>25</v>
      </c>
      <c r="AR38" s="715">
        <v>40</v>
      </c>
      <c r="AT38" s="715">
        <v>55</v>
      </c>
      <c r="AU38" s="10"/>
      <c r="AV38" s="715">
        <v>70</v>
      </c>
      <c r="AW38" s="10"/>
      <c r="AX38" s="715">
        <v>85</v>
      </c>
      <c r="AY38" s="10"/>
      <c r="AZ38" s="715">
        <v>100</v>
      </c>
      <c r="BA38" s="431"/>
      <c r="BB38" s="715">
        <v>115</v>
      </c>
      <c r="BD38" s="715">
        <v>130</v>
      </c>
      <c r="BF38" s="715">
        <v>145</v>
      </c>
      <c r="BL38">
        <f t="shared" si="7"/>
        <v>164</v>
      </c>
      <c r="BM38" t="str">
        <f t="shared" ca="1" si="0"/>
        <v>White</v>
      </c>
      <c r="BN38">
        <f t="shared" si="8"/>
        <v>242</v>
      </c>
      <c r="BO38" t="str">
        <f t="shared" ca="1" si="1"/>
        <v>White</v>
      </c>
      <c r="BP38">
        <f t="shared" si="9"/>
        <v>320</v>
      </c>
      <c r="BQ38" t="str">
        <f t="shared" ca="1" si="1"/>
        <v>White</v>
      </c>
      <c r="BR38">
        <f t="shared" si="10"/>
        <v>398</v>
      </c>
      <c r="BS38" t="str">
        <f t="shared" ref="BS38:BU38" ca="1" si="52">INDIRECT(CONCATENATE("Installations!HY",BR38))</f>
        <v>White</v>
      </c>
      <c r="BT38">
        <f t="shared" si="12"/>
        <v>476</v>
      </c>
      <c r="BU38" t="str">
        <f t="shared" ca="1" si="52"/>
        <v>White</v>
      </c>
      <c r="BV38">
        <f t="shared" si="13"/>
        <v>554</v>
      </c>
      <c r="BW38" t="str">
        <f t="shared" ref="BW38:BY38" ca="1" si="53">INDIRECT(CONCATENATE("Installations!HY",BV38))</f>
        <v>White</v>
      </c>
      <c r="BX38">
        <f t="shared" si="15"/>
        <v>632</v>
      </c>
      <c r="BY38" t="str">
        <f t="shared" ca="1" si="53"/>
        <v>White</v>
      </c>
      <c r="BZ38">
        <f t="shared" si="16"/>
        <v>710</v>
      </c>
      <c r="CA38" t="str">
        <f t="shared" ref="CA38:CC38" ca="1" si="54">INDIRECT(CONCATENATE("Installations!HY",BZ38))</f>
        <v>White</v>
      </c>
      <c r="CB38">
        <f t="shared" si="18"/>
        <v>788</v>
      </c>
      <c r="CC38" t="str">
        <f t="shared" ca="1" si="54"/>
        <v>White</v>
      </c>
    </row>
    <row r="39" spans="4:81">
      <c r="D39" s="1576" t="str">
        <f>IF(Project!AK26="","Incomplete","Complete")</f>
        <v>Incomplete</v>
      </c>
      <c r="E39" s="1576"/>
      <c r="F39" s="1670" t="s">
        <v>504</v>
      </c>
      <c r="G39" s="1672"/>
      <c r="H39" s="1672"/>
      <c r="I39" s="1672"/>
      <c r="J39" s="1672"/>
      <c r="K39" s="1672"/>
      <c r="P39" s="1576" t="str">
        <f>IF(Project!U85="","Incomplete","Complete")</f>
        <v>Incomplete</v>
      </c>
      <c r="Q39" s="1576"/>
      <c r="R39" s="1670" t="s">
        <v>488</v>
      </c>
      <c r="S39" s="1671"/>
      <c r="T39" s="1671"/>
      <c r="U39" s="1671"/>
      <c r="V39" s="1671"/>
      <c r="W39" s="1671"/>
      <c r="X39" s="1671"/>
      <c r="AD39" s="1576" t="str">
        <f>IF('Customer Authorization'!AH65="","Incomplete","Complete")</f>
        <v>Incomplete</v>
      </c>
      <c r="AE39" s="1576"/>
      <c r="AF39" s="1670" t="s">
        <v>77</v>
      </c>
      <c r="AG39" s="1671"/>
      <c r="AH39" s="1671"/>
      <c r="AI39" s="1671"/>
      <c r="AJ39" s="1671"/>
      <c r="AK39" s="1671"/>
    </row>
    <row r="40" spans="4:81">
      <c r="D40" s="1577" t="str">
        <f>IF(Project!AK28="","Incomplete","Complete")</f>
        <v>Incomplete</v>
      </c>
      <c r="E40" s="1579"/>
      <c r="F40" s="1670" t="s">
        <v>505</v>
      </c>
      <c r="G40" s="1672"/>
      <c r="H40" s="1672"/>
      <c r="I40" s="1672"/>
      <c r="J40" s="1672"/>
      <c r="K40" s="1672"/>
      <c r="P40" s="1576" t="str">
        <f>IF(Project!U87="","Incomplete","Complete")</f>
        <v>Incomplete</v>
      </c>
      <c r="Q40" s="1576"/>
      <c r="R40" s="1670" t="s">
        <v>489</v>
      </c>
      <c r="S40" s="1671"/>
      <c r="T40" s="1671"/>
      <c r="U40" s="1671"/>
      <c r="V40" s="1671"/>
      <c r="W40" s="1671"/>
      <c r="X40" s="1671"/>
      <c r="AD40" s="1576" t="str">
        <f>IF('Customer Authorization'!AH67="","Incomplete","Complete")</f>
        <v>Incomplete</v>
      </c>
      <c r="AE40" s="1576"/>
      <c r="AF40" s="1670" t="s">
        <v>123</v>
      </c>
      <c r="AG40" s="1671"/>
      <c r="AH40" s="1671"/>
      <c r="AI40" s="1671"/>
      <c r="AJ40" s="1671"/>
      <c r="AK40" s="1671"/>
    </row>
    <row r="41" spans="4:81">
      <c r="D41" s="1577" t="str">
        <f>IF(Project!AK32="","Incomplete","Complete")</f>
        <v>Incomplete</v>
      </c>
      <c r="E41" s="1579"/>
      <c r="F41" s="1670" t="s">
        <v>506</v>
      </c>
      <c r="G41" s="1672"/>
      <c r="H41" s="1672"/>
      <c r="I41" s="1672"/>
      <c r="J41" s="1672"/>
      <c r="K41" s="1672"/>
      <c r="P41" s="1576" t="str">
        <f>IF(Project!U89="","Incomplete","Complete")</f>
        <v>Incomplete</v>
      </c>
      <c r="Q41" s="1576"/>
      <c r="R41" s="1670" t="s">
        <v>490</v>
      </c>
      <c r="S41" s="1671"/>
      <c r="T41" s="1671"/>
      <c r="U41" s="1671"/>
      <c r="V41" s="1671"/>
      <c r="W41" s="1671"/>
      <c r="X41" s="1671"/>
      <c r="AD41" s="1576" t="str">
        <f>IF('Customer Authorization'!AH69="","Incomplete","Complete")</f>
        <v>Incomplete</v>
      </c>
      <c r="AE41" s="1576"/>
      <c r="AF41" s="1670" t="s">
        <v>86</v>
      </c>
      <c r="AG41" s="1671"/>
      <c r="AH41" s="1671"/>
      <c r="AI41" s="1671"/>
      <c r="AJ41" s="1671"/>
      <c r="AK41" s="1671"/>
    </row>
    <row r="42" spans="4:81">
      <c r="D42" s="1576" t="str">
        <f>IF(Project!AK34="","Incomplete","Complete")</f>
        <v>Incomplete</v>
      </c>
      <c r="E42" s="1576"/>
      <c r="F42" s="1670" t="s">
        <v>507</v>
      </c>
      <c r="G42" s="1672"/>
      <c r="H42" s="1672"/>
      <c r="I42" s="1672"/>
      <c r="J42" s="1672"/>
      <c r="K42" s="1672"/>
      <c r="P42" s="1576" t="str">
        <f>IF(Project!U91="","Incomplete","Complete")</f>
        <v>Incomplete</v>
      </c>
      <c r="Q42" s="1576"/>
      <c r="R42" s="1670" t="s">
        <v>492</v>
      </c>
      <c r="S42" s="1671"/>
      <c r="T42" s="1671"/>
      <c r="U42" s="1671"/>
      <c r="V42" s="1671"/>
      <c r="W42" s="1671"/>
      <c r="X42" s="1671"/>
      <c r="AD42" s="1576" t="str">
        <f>IF('Customer Authorization'!AH71="","Incomplete","Complete")</f>
        <v>Incomplete</v>
      </c>
      <c r="AE42" s="1576"/>
      <c r="AF42" s="1670" t="s">
        <v>88</v>
      </c>
      <c r="AG42" s="1671"/>
      <c r="AH42" s="1671"/>
      <c r="AI42" s="1671"/>
      <c r="AJ42" s="1671"/>
      <c r="AK42" s="1671"/>
    </row>
    <row r="43" spans="4:81">
      <c r="D43" s="1576" t="str">
        <f>IF(Project!AK36="","Incomplete","Complete")</f>
        <v>Incomplete</v>
      </c>
      <c r="E43" s="1576"/>
      <c r="F43" s="1670" t="s">
        <v>508</v>
      </c>
      <c r="G43" s="1672"/>
      <c r="H43" s="1672"/>
      <c r="I43" s="1672"/>
      <c r="J43" s="1672"/>
      <c r="K43" s="1672"/>
      <c r="P43" s="1576" t="str">
        <f>IF(Project!U93="","Incomplete","Complete")</f>
        <v>Incomplete</v>
      </c>
      <c r="Q43" s="1576"/>
      <c r="R43" s="1670" t="s">
        <v>494</v>
      </c>
      <c r="S43" s="1671"/>
      <c r="T43" s="1671"/>
      <c r="U43" s="1671"/>
      <c r="V43" s="1671"/>
      <c r="W43" s="1671"/>
      <c r="X43" s="1671"/>
      <c r="AD43" s="1576" t="str">
        <f>IF('Customer Authorization'!AH73="","Incomplete","Complete")</f>
        <v>Incomplete</v>
      </c>
      <c r="AE43" s="1576"/>
      <c r="AF43" s="1670" t="s">
        <v>91</v>
      </c>
      <c r="AG43" s="1671"/>
      <c r="AH43" s="1671"/>
      <c r="AI43" s="1671"/>
      <c r="AJ43" s="1671"/>
      <c r="AK43" s="1671"/>
    </row>
    <row r="44" spans="4:81">
      <c r="D44" s="1576" t="str">
        <f>IF(Project!AN36="","Incomplete","Complete")</f>
        <v>Incomplete</v>
      </c>
      <c r="E44" s="1576"/>
      <c r="F44" s="1670" t="s">
        <v>509</v>
      </c>
      <c r="G44" s="1672"/>
      <c r="H44" s="1672"/>
      <c r="I44" s="1672"/>
      <c r="J44" s="1672"/>
      <c r="K44" s="1672"/>
      <c r="P44" s="1576" t="str">
        <f>IF(Project!AA93="","Incomplete","Complete")</f>
        <v>Incomplete</v>
      </c>
      <c r="Q44" s="1576"/>
      <c r="R44" s="1670" t="s">
        <v>496</v>
      </c>
      <c r="S44" s="1671"/>
      <c r="T44" s="1671"/>
      <c r="U44" s="1671"/>
      <c r="V44" s="1671"/>
      <c r="W44" s="1671"/>
      <c r="X44" s="1671"/>
      <c r="AD44" s="1576" t="str">
        <f>IF('Customer Authorization'!AK73="","Incomplete","Complete")</f>
        <v>Incomplete</v>
      </c>
      <c r="AE44" s="1576"/>
      <c r="AF44" s="1670" t="s">
        <v>94</v>
      </c>
      <c r="AG44" s="1671"/>
      <c r="AH44" s="1671"/>
      <c r="AI44" s="1671"/>
      <c r="AJ44" s="1671"/>
      <c r="AK44" s="1671"/>
    </row>
  </sheetData>
  <sheetProtection password="DC20" sheet="1" objects="1" scenarios="1"/>
  <mergeCells count="115">
    <mergeCell ref="P24:Q24"/>
    <mergeCell ref="P25:Q25"/>
    <mergeCell ref="AD25:AE25"/>
    <mergeCell ref="D24:E24"/>
    <mergeCell ref="F24:K24"/>
    <mergeCell ref="J9:AH10"/>
    <mergeCell ref="J7:AH8"/>
    <mergeCell ref="J11:AH12"/>
    <mergeCell ref="J13:AH14"/>
    <mergeCell ref="A19:AM19"/>
    <mergeCell ref="R24:X24"/>
    <mergeCell ref="R25:X25"/>
    <mergeCell ref="F25:K25"/>
    <mergeCell ref="D44:E44"/>
    <mergeCell ref="D35:E35"/>
    <mergeCell ref="D37:E37"/>
    <mergeCell ref="D38:E38"/>
    <mergeCell ref="D39:E39"/>
    <mergeCell ref="D40:E40"/>
    <mergeCell ref="D41:E41"/>
    <mergeCell ref="D42:E42"/>
    <mergeCell ref="D43:E43"/>
    <mergeCell ref="F44:K44"/>
    <mergeCell ref="P26:Q26"/>
    <mergeCell ref="P27:Q27"/>
    <mergeCell ref="P28:Q28"/>
    <mergeCell ref="P29:Q29"/>
    <mergeCell ref="AD43:AE43"/>
    <mergeCell ref="R26:X26"/>
    <mergeCell ref="R30:X30"/>
    <mergeCell ref="AD40:AE40"/>
    <mergeCell ref="P31:Q31"/>
    <mergeCell ref="AD37:AE37"/>
    <mergeCell ref="AD38:AE38"/>
    <mergeCell ref="AD39:AE39"/>
    <mergeCell ref="AD26:AE26"/>
    <mergeCell ref="AD27:AE27"/>
    <mergeCell ref="AD28:AE28"/>
    <mergeCell ref="AD41:AE41"/>
    <mergeCell ref="R27:X27"/>
    <mergeCell ref="R28:X28"/>
    <mergeCell ref="R29:X29"/>
    <mergeCell ref="P30:Q30"/>
    <mergeCell ref="AD29:AE29"/>
    <mergeCell ref="F43:K43"/>
    <mergeCell ref="AD44:AE44"/>
    <mergeCell ref="R31:X31"/>
    <mergeCell ref="F26:K26"/>
    <mergeCell ref="F29:K29"/>
    <mergeCell ref="F30:K30"/>
    <mergeCell ref="F31:K31"/>
    <mergeCell ref="F32:K32"/>
    <mergeCell ref="F33:K33"/>
    <mergeCell ref="F34:K34"/>
    <mergeCell ref="F35:K35"/>
    <mergeCell ref="AD42:AE42"/>
    <mergeCell ref="AF37:AK37"/>
    <mergeCell ref="AF38:AK38"/>
    <mergeCell ref="AF39:AK39"/>
    <mergeCell ref="AF40:AK40"/>
    <mergeCell ref="AF41:AK41"/>
    <mergeCell ref="F39:K39"/>
    <mergeCell ref="F40:K40"/>
    <mergeCell ref="F41:K41"/>
    <mergeCell ref="F42:K42"/>
    <mergeCell ref="F38:K38"/>
    <mergeCell ref="F37:K37"/>
    <mergeCell ref="AF43:AK43"/>
    <mergeCell ref="AF44:AK44"/>
    <mergeCell ref="AF42:AK42"/>
    <mergeCell ref="AF27:AK27"/>
    <mergeCell ref="AF28:AK28"/>
    <mergeCell ref="AF29:AK29"/>
    <mergeCell ref="AF30:AK30"/>
    <mergeCell ref="AF31:AK31"/>
    <mergeCell ref="AF32:AK32"/>
    <mergeCell ref="AF33:AK33"/>
    <mergeCell ref="D27:E27"/>
    <mergeCell ref="F27:K27"/>
    <mergeCell ref="P36:Q36"/>
    <mergeCell ref="R36:X36"/>
    <mergeCell ref="P37:Q37"/>
    <mergeCell ref="R37:X37"/>
    <mergeCell ref="AF36:AK36"/>
    <mergeCell ref="AF26:AK26"/>
    <mergeCell ref="AF25:AK25"/>
    <mergeCell ref="D31:E31"/>
    <mergeCell ref="D32:E32"/>
    <mergeCell ref="D33:E33"/>
    <mergeCell ref="D34:E34"/>
    <mergeCell ref="D29:E29"/>
    <mergeCell ref="D30:E30"/>
    <mergeCell ref="D25:E25"/>
    <mergeCell ref="D26:E26"/>
    <mergeCell ref="AD36:AE36"/>
    <mergeCell ref="AD30:AE30"/>
    <mergeCell ref="AD33:AE33"/>
    <mergeCell ref="R32:X32"/>
    <mergeCell ref="P32:Q32"/>
    <mergeCell ref="AD31:AE31"/>
    <mergeCell ref="AD32:AE32"/>
    <mergeCell ref="P44:Q44"/>
    <mergeCell ref="R44:X44"/>
    <mergeCell ref="P41:Q41"/>
    <mergeCell ref="R41:X41"/>
    <mergeCell ref="P42:Q42"/>
    <mergeCell ref="R42:X42"/>
    <mergeCell ref="P43:Q43"/>
    <mergeCell ref="R43:X43"/>
    <mergeCell ref="P38:Q38"/>
    <mergeCell ref="R38:X38"/>
    <mergeCell ref="P39:Q39"/>
    <mergeCell ref="R39:X39"/>
    <mergeCell ref="P40:Q40"/>
    <mergeCell ref="R40:X40"/>
  </mergeCells>
  <conditionalFormatting sqref="D25:E27 D29:E44">
    <cfRule type="cellIs" dxfId="101" priority="1406" operator="equal">
      <formula>"Incomplete"</formula>
    </cfRule>
    <cfRule type="cellIs" dxfId="100" priority="1408" operator="equal">
      <formula>"Complete"</formula>
    </cfRule>
  </conditionalFormatting>
  <conditionalFormatting sqref="P24:Q32">
    <cfRule type="cellIs" dxfId="99" priority="1405" operator="equal">
      <formula>"Complete"</formula>
    </cfRule>
    <cfRule type="cellIs" dxfId="98" priority="1407" operator="equal">
      <formula>"Incomplete"</formula>
    </cfRule>
  </conditionalFormatting>
  <conditionalFormatting sqref="AD25:AE33">
    <cfRule type="cellIs" dxfId="97" priority="1403" operator="equal">
      <formula>"Complete"</formula>
    </cfRule>
    <cfRule type="cellIs" dxfId="96" priority="1404" operator="equal">
      <formula>"Incomplete"</formula>
    </cfRule>
  </conditionalFormatting>
  <conditionalFormatting sqref="AD36:AE44">
    <cfRule type="cellIs" dxfId="95" priority="1401" operator="equal">
      <formula>"Complete"</formula>
    </cfRule>
    <cfRule type="cellIs" dxfId="94" priority="1402" operator="equal">
      <formula>"Incomplete"</formula>
    </cfRule>
  </conditionalFormatting>
  <conditionalFormatting sqref="AD36:AG44">
    <cfRule type="expression" dxfId="93" priority="1400">
      <formula>$AD$35=""</formula>
    </cfRule>
  </conditionalFormatting>
  <conditionalFormatting sqref="P25:Q32">
    <cfRule type="cellIs" dxfId="92" priority="1311" operator="equal">
      <formula>"Self"</formula>
    </cfRule>
  </conditionalFormatting>
  <conditionalFormatting sqref="D26:E27">
    <cfRule type="containsText" dxfId="91" priority="1310" operator="containsText" text="ERROR">
      <formula>NOT(ISERROR(SEARCH("ERROR",D26)))</formula>
    </cfRule>
  </conditionalFormatting>
  <conditionalFormatting sqref="D24:E24">
    <cfRule type="cellIs" dxfId="90" priority="274" operator="equal">
      <formula>"Incomplete"</formula>
    </cfRule>
    <cfRule type="cellIs" dxfId="89" priority="275" operator="equal">
      <formula>"Complete"</formula>
    </cfRule>
  </conditionalFormatting>
  <conditionalFormatting sqref="P36:Q36">
    <cfRule type="cellIs" dxfId="88" priority="272" operator="equal">
      <formula>"Complete"</formula>
    </cfRule>
    <cfRule type="cellIs" dxfId="87" priority="273" operator="equal">
      <formula>"Incomplete"</formula>
    </cfRule>
  </conditionalFormatting>
  <conditionalFormatting sqref="P37:Q44">
    <cfRule type="cellIs" dxfId="86" priority="269" operator="equal">
      <formula>"Complete"</formula>
    </cfRule>
    <cfRule type="cellIs" dxfId="85" priority="270" operator="equal">
      <formula>"Incomplete"</formula>
    </cfRule>
  </conditionalFormatting>
  <conditionalFormatting sqref="P37:Q44">
    <cfRule type="cellIs" dxfId="84" priority="268" operator="equal">
      <formula>"Self"</formula>
    </cfRule>
  </conditionalFormatting>
  <conditionalFormatting sqref="AR24:AR38">
    <cfRule type="expression" dxfId="83" priority="160">
      <formula>BO24="Yellow"</formula>
    </cfRule>
    <cfRule type="expression" dxfId="82" priority="161">
      <formula>BO24="Red"</formula>
    </cfRule>
    <cfRule type="expression" dxfId="81" priority="162">
      <formula>BO24="Green"</formula>
    </cfRule>
  </conditionalFormatting>
  <conditionalFormatting sqref="AT24:AT38">
    <cfRule type="expression" dxfId="80" priority="25">
      <formula>BQ24="Yellow"</formula>
    </cfRule>
    <cfRule type="expression" dxfId="79" priority="26">
      <formula>BQ24="Red"</formula>
    </cfRule>
    <cfRule type="expression" dxfId="78" priority="27">
      <formula>BQ24="Green"</formula>
    </cfRule>
  </conditionalFormatting>
  <conditionalFormatting sqref="AV24:AV38">
    <cfRule type="expression" dxfId="77" priority="22">
      <formula>BS24="Yellow"</formula>
    </cfRule>
    <cfRule type="expression" dxfId="76" priority="23">
      <formula>BS24="Red"</formula>
    </cfRule>
    <cfRule type="expression" dxfId="75" priority="24">
      <formula>BS24="Green"</formula>
    </cfRule>
  </conditionalFormatting>
  <conditionalFormatting sqref="AX24:AX38">
    <cfRule type="expression" dxfId="74" priority="19">
      <formula>BU24="Yellow"</formula>
    </cfRule>
    <cfRule type="expression" dxfId="73" priority="20">
      <formula>BU24="Red"</formula>
    </cfRule>
    <cfRule type="expression" dxfId="72" priority="21">
      <formula>BU24="Green"</formula>
    </cfRule>
  </conditionalFormatting>
  <conditionalFormatting sqref="AZ24:AZ38">
    <cfRule type="expression" dxfId="71" priority="16">
      <formula>BW24="Yellow"</formula>
    </cfRule>
    <cfRule type="expression" dxfId="70" priority="17">
      <formula>BW24="Red"</formula>
    </cfRule>
    <cfRule type="expression" dxfId="69" priority="18">
      <formula>BW24="Green"</formula>
    </cfRule>
  </conditionalFormatting>
  <conditionalFormatting sqref="BB24:BB38">
    <cfRule type="expression" dxfId="68" priority="13">
      <formula>BY24="Yellow"</formula>
    </cfRule>
    <cfRule type="expression" dxfId="67" priority="14">
      <formula>BY24="Red"</formula>
    </cfRule>
    <cfRule type="expression" dxfId="66" priority="15">
      <formula>BY24="Green"</formula>
    </cfRule>
  </conditionalFormatting>
  <conditionalFormatting sqref="BD24:BD38">
    <cfRule type="expression" dxfId="65" priority="10">
      <formula>CA24="Yellow"</formula>
    </cfRule>
    <cfRule type="expression" dxfId="64" priority="11">
      <formula>CA24="Red"</formula>
    </cfRule>
    <cfRule type="expression" dxfId="63" priority="12">
      <formula>CA24="Green"</formula>
    </cfRule>
  </conditionalFormatting>
  <conditionalFormatting sqref="BF24:BF38">
    <cfRule type="expression" dxfId="62" priority="7">
      <formula>CC24="Yellow"</formula>
    </cfRule>
    <cfRule type="expression" dxfId="61" priority="8">
      <formula>CC24="Red"</formula>
    </cfRule>
    <cfRule type="expression" dxfId="60" priority="9">
      <formula>CC24="Green"</formula>
    </cfRule>
  </conditionalFormatting>
  <conditionalFormatting sqref="AP24:AP38">
    <cfRule type="expression" dxfId="59" priority="4">
      <formula>BM24="Yellow"</formula>
    </cfRule>
    <cfRule type="expression" dxfId="58" priority="5">
      <formula>BM24="Red"</formula>
    </cfRule>
    <cfRule type="expression" dxfId="57" priority="6">
      <formula>BM24="Green"</formula>
    </cfRule>
  </conditionalFormatting>
  <conditionalFormatting sqref="AN24:AN33">
    <cfRule type="expression" dxfId="56" priority="1">
      <formula>BK24="Yellow"</formula>
    </cfRule>
    <cfRule type="expression" dxfId="55" priority="2">
      <formula>BK24="Red"</formula>
    </cfRule>
    <cfRule type="expression" dxfId="54" priority="3">
      <formula>BK24="Green"</formula>
    </cfRule>
  </conditionalFormatting>
  <hyperlinks>
    <hyperlink ref="F25" location="Project!H24" display="Rate Schedule"/>
    <hyperlink ref="F26" location="Project!H30" display="Building Type"/>
    <hyperlink ref="F29" location="Project!T22" display="Project Name"/>
    <hyperlink ref="F30" location="Ready!T24" display="Business Name"/>
    <hyperlink ref="F31" location="Project!T26" display="PSE Account #"/>
    <hyperlink ref="F32" location="Project!T28" display="PSE Electric Meter #(s)"/>
    <hyperlink ref="F33" location="Project!T30" display="Project Site Address"/>
    <hyperlink ref="F34" location="Project!T34" display="Project City"/>
    <hyperlink ref="F35" location="Project!X36" display="Project Zip"/>
    <hyperlink ref="F37" location="Project!AH22" display="Business / Project Company name"/>
    <hyperlink ref="F38" location="Project!AH24" display="Business / Project Contact"/>
    <hyperlink ref="F39" location="Project!AH26" display="Business / Project Email"/>
    <hyperlink ref="F40" location="Project!AH28" display="Business / Project Phone"/>
    <hyperlink ref="F44" location="Project!X36" display="Project Zip"/>
    <hyperlink ref="F41" location="Project!AH32" display="Contact Address, if different"/>
    <hyperlink ref="R24" location="Project!H57" display="Installed By"/>
    <hyperlink ref="R25" location="Project!H61" display="Installer - Company"/>
    <hyperlink ref="R26" location="Project!H63" display="Installer Contact name"/>
    <hyperlink ref="R27" location="Project!H65" display="Installer Email"/>
    <hyperlink ref="R28" location="Project!H67" display="Installer Phone"/>
    <hyperlink ref="R29" location="Project!H69" display="Installer Address"/>
    <hyperlink ref="R30" location="Project!H71" display="Installer City"/>
    <hyperlink ref="R29:R30" location="Project!H71" display="Installer Address"/>
    <hyperlink ref="R31" location="Project!H73" display="Installer State"/>
    <hyperlink ref="R32" location="Project!O73" display="Installer Zip"/>
    <hyperlink ref="AF25" location="Signature!V57" display="PAYEE  - Company"/>
    <hyperlink ref="AF26" location="Signature!V59" display="Check payable to - MUST match W9"/>
    <hyperlink ref="AF27" location="Signature!V63" display="PAYEE contact, first and last"/>
    <hyperlink ref="AF28" location="Signature!V65" display="Email"/>
    <hyperlink ref="AF29" location="Signature!V67" display="Phone #"/>
    <hyperlink ref="AF30" location="Signature!V69" display="Address"/>
    <hyperlink ref="AF31" location="Signature!V71" display="City"/>
    <hyperlink ref="AF32" location="Signature!V73" display="State"/>
    <hyperlink ref="AF33" location="Signature!Y73" display="Zip"/>
    <hyperlink ref="AF36" location="Signature!AH57" display="PAYEE  - Company"/>
    <hyperlink ref="AF37" location="Signature!AH59" display="Check payable to - MUST match W9"/>
    <hyperlink ref="AF40" location="Signature!V67" display="Phone #"/>
    <hyperlink ref="AF41" location="Signature!V69" display="Address"/>
    <hyperlink ref="AF42" location="Signature!V71" display="City"/>
    <hyperlink ref="AF43" location="Signature!V73" display="State"/>
    <hyperlink ref="AF44" location="Signature!Y73" display="Zip"/>
    <hyperlink ref="AF38:AK38" location="Signature!AH63" display="PAYEE contact, first and last"/>
    <hyperlink ref="AF39:AK39" location="Signature!AH65" display="Email"/>
    <hyperlink ref="AF40:AK40" location="Signature!AH67" display="Phone #"/>
    <hyperlink ref="AF41:AK41" location="Signature!AH69" display="Address"/>
    <hyperlink ref="AF42:AK42" location="Signature!AH71" display="City"/>
    <hyperlink ref="AF43:AK43" location="Signature!AH73" display="State"/>
    <hyperlink ref="AF44:AK44" location="Signature!AK73" display="Zip"/>
    <hyperlink ref="AP45:AP52" location="Installations!C40" display="Installations!C40"/>
    <hyperlink ref="F24" location="Project!H24" display="Rate Schedule"/>
    <hyperlink ref="F24:K24" location="_Project_2_Type" display="Project Type"/>
    <hyperlink ref="F25:K25" location="Project!H26" display="Rate Schedule"/>
    <hyperlink ref="F26:K26" location="Project!H32" display="Building Type"/>
    <hyperlink ref="F29:K29" location="Project!V22" display="Project Name"/>
    <hyperlink ref="F27" location="Project!H30" display="Building Type"/>
    <hyperlink ref="F27:K27" location="Project!H38" display="WSEC C406.3 (New Construction)"/>
    <hyperlink ref="R24:X24" location="Project!H59" display="Submitted By"/>
    <hyperlink ref="F30:K30" location="Project!V24" display="Business Name"/>
    <hyperlink ref="F31:K31" location="Project!V26" display="PSE Account #"/>
    <hyperlink ref="F32:K32" location="Project!V28" display="PSE Electric Meter #(s)"/>
    <hyperlink ref="F33:K33" location="Project!V30" display="Project Site Address"/>
    <hyperlink ref="F34:K34" location="Project!V34" display="Project City"/>
    <hyperlink ref="F35:K35" location="Project!AA36" display="Project Zip"/>
    <hyperlink ref="F37:K37" location="Project!AK22" display="Business / Project Company name"/>
    <hyperlink ref="F38:K38" location="Project!AK24" display="Business / Project Contact"/>
    <hyperlink ref="F39:K39" location="Project!AK26" display="Business / Project Email"/>
    <hyperlink ref="F40:K40" location="Project!AK28" display="Business / Project Phone"/>
    <hyperlink ref="F41:K41" location="Project!AK32" display="Contact Address, if different"/>
    <hyperlink ref="F42:K42" location="Project!AK34" display="Business City"/>
    <hyperlink ref="F43:K43" location="Project!AK36" display="Business State"/>
    <hyperlink ref="F44:K44" location="Project!AN36" display="Business Zip"/>
    <hyperlink ref="R36" location="Project!H57" display="Installed By"/>
    <hyperlink ref="R37" location="Project!H61" display="Installer - Company"/>
    <hyperlink ref="R38" location="Project!H63" display="Installer Contact name"/>
    <hyperlink ref="R39" location="Project!H65" display="Installer Email"/>
    <hyperlink ref="R40" location="Project!H67" display="Installer Phone"/>
    <hyperlink ref="R41" location="Project!H69" display="Installer Address"/>
    <hyperlink ref="R42" location="Project!H71" display="Installer City"/>
    <hyperlink ref="R41:R42" location="Project!H71" display="Installer Address"/>
    <hyperlink ref="R43" location="Project!H73" display="Installer State"/>
    <hyperlink ref="R44" location="Project!O73" display="Installer Zip"/>
    <hyperlink ref="R36:X36" location="Project!U59" display="Installed By"/>
    <hyperlink ref="R25:X25" location="Project!H63" display="Company"/>
    <hyperlink ref="R26:X26" location="Project!H65" display="Contact name"/>
    <hyperlink ref="R37:X37" location="Project!U63" display="Installer - Company"/>
    <hyperlink ref="R27:X27" location="Project!H67" display="Installer Email"/>
    <hyperlink ref="R28:X28" location="Project!H69" display="Installer Phone"/>
    <hyperlink ref="R30:X30" location="Project!H73" display="Installer City"/>
    <hyperlink ref="R31:X31" location="Project!H75" display="Installer State"/>
    <hyperlink ref="R32:X32" location="Project!L75" display="Installer Zip"/>
    <hyperlink ref="R38:X38" location="Project!U65" display="Installer Contact name"/>
    <hyperlink ref="R39:X39" location="Project!U67" display="Installer Email"/>
    <hyperlink ref="R40:X40" location="Project!U69" display="Installer Phone"/>
    <hyperlink ref="R41:X41" location="Project!U71" display="Installer Address"/>
    <hyperlink ref="R42:X42" location="Project!U73" display="Installer City"/>
    <hyperlink ref="R43:X43" location="Project!U75" display="Installer State"/>
    <hyperlink ref="R44:X44" location="Project!AA75" display="Installer Zip"/>
  </hyperlinks>
  <pageMargins left="0.7" right="0.7" top="0.75" bottom="0.75" header="0.3" footer="0.3"/>
  <pageSetup scale="5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4" tint="0.59999389629810485"/>
    <pageSetUpPr fitToPage="1"/>
  </sheetPr>
  <dimension ref="A1:AL141"/>
  <sheetViews>
    <sheetView showGridLines="0" showRowColHeaders="0" zoomScale="90" zoomScaleNormal="90" workbookViewId="0">
      <pane ySplit="18" topLeftCell="A19" activePane="bottomLeft" state="frozen"/>
      <selection pane="bottomLeft" activeCell="B26" sqref="B26:B46"/>
    </sheetView>
  </sheetViews>
  <sheetFormatPr defaultRowHeight="14.3"/>
  <cols>
    <col min="1" max="1" width="5.5" customWidth="1"/>
    <col min="2" max="2" width="0.5" customWidth="1"/>
    <col min="3" max="39" width="5.5" customWidth="1"/>
  </cols>
  <sheetData>
    <row r="1" spans="9:31" ht="5.0999999999999996" customHeight="1"/>
    <row r="3" spans="9:31" ht="5.0999999999999996" customHeight="1"/>
    <row r="5" spans="9:31" ht="5.0999999999999996" customHeight="1"/>
    <row r="7" spans="9:31" ht="5.0999999999999996" customHeight="1">
      <c r="I7" s="1142" t="s">
        <v>476</v>
      </c>
      <c r="J7" s="1142"/>
      <c r="K7" s="1142"/>
      <c r="L7" s="1142"/>
      <c r="M7" s="1142"/>
      <c r="N7" s="1142"/>
      <c r="O7" s="1142"/>
      <c r="P7" s="1142"/>
      <c r="Q7" s="1142"/>
      <c r="R7" s="1142"/>
      <c r="S7" s="1142"/>
      <c r="T7" s="1142"/>
      <c r="U7" s="1142"/>
      <c r="V7" s="1142"/>
      <c r="W7" s="1142"/>
      <c r="X7" s="1142"/>
      <c r="Y7" s="1142"/>
      <c r="Z7" s="1142"/>
      <c r="AA7" s="1142"/>
      <c r="AB7" s="1142"/>
      <c r="AC7" s="16"/>
    </row>
    <row r="8" spans="9:31" ht="14.45" customHeight="1">
      <c r="I8" s="1142"/>
      <c r="J8" s="1142"/>
      <c r="K8" s="1142"/>
      <c r="L8" s="1142"/>
      <c r="M8" s="1142"/>
      <c r="N8" s="1142"/>
      <c r="O8" s="1142"/>
      <c r="P8" s="1142"/>
      <c r="Q8" s="1142"/>
      <c r="R8" s="1142"/>
      <c r="S8" s="1142"/>
      <c r="T8" s="1142"/>
      <c r="U8" s="1142"/>
      <c r="V8" s="1142"/>
      <c r="W8" s="1142"/>
      <c r="X8" s="1142"/>
      <c r="Y8" s="1142"/>
      <c r="Z8" s="1142"/>
      <c r="AA8" s="1142"/>
      <c r="AB8" s="1142"/>
      <c r="AC8" s="16"/>
      <c r="AD8" s="16"/>
      <c r="AE8" s="16"/>
    </row>
    <row r="9" spans="9:31" ht="5.0999999999999996" customHeight="1">
      <c r="I9" s="1143" t="s">
        <v>477</v>
      </c>
      <c r="J9" s="1143"/>
      <c r="K9" s="1143"/>
      <c r="L9" s="1143"/>
      <c r="M9" s="1143"/>
      <c r="N9" s="1143"/>
      <c r="O9" s="1143"/>
      <c r="P9" s="1143"/>
      <c r="Q9" s="1143"/>
      <c r="R9" s="1143"/>
      <c r="S9" s="1143"/>
      <c r="T9" s="1143"/>
      <c r="U9" s="1143"/>
      <c r="V9" s="1143"/>
      <c r="W9" s="1143"/>
      <c r="X9" s="1143"/>
      <c r="Y9" s="1143"/>
      <c r="Z9" s="1143"/>
      <c r="AA9" s="1143"/>
      <c r="AB9" s="1143"/>
      <c r="AC9" s="445"/>
      <c r="AD9" s="16"/>
    </row>
    <row r="10" spans="9:31" ht="14.45" customHeight="1">
      <c r="I10" s="1143"/>
      <c r="J10" s="1143"/>
      <c r="K10" s="1143"/>
      <c r="L10" s="1143"/>
      <c r="M10" s="1143"/>
      <c r="N10" s="1143"/>
      <c r="O10" s="1143"/>
      <c r="P10" s="1143"/>
      <c r="Q10" s="1143"/>
      <c r="R10" s="1143"/>
      <c r="S10" s="1143"/>
      <c r="T10" s="1143"/>
      <c r="U10" s="1143"/>
      <c r="V10" s="1143"/>
      <c r="W10" s="1143"/>
      <c r="X10" s="1143"/>
      <c r="Y10" s="1143"/>
      <c r="Z10" s="1143"/>
      <c r="AA10" s="1143"/>
      <c r="AB10" s="1143"/>
      <c r="AC10" s="445"/>
      <c r="AD10" s="91"/>
      <c r="AE10" s="91"/>
    </row>
    <row r="11" spans="9:31" ht="5.0999999999999996" customHeight="1">
      <c r="I11" s="1155" t="s">
        <v>478</v>
      </c>
      <c r="J11" s="1155"/>
      <c r="K11" s="1155"/>
      <c r="L11" s="1155"/>
      <c r="M11" s="1155"/>
      <c r="N11" s="1155"/>
      <c r="O11" s="1155"/>
      <c r="P11" s="1155"/>
      <c r="Q11" s="1155"/>
      <c r="R11" s="1155"/>
      <c r="S11" s="1155"/>
      <c r="T11" s="1155"/>
      <c r="U11" s="1155"/>
      <c r="V11" s="1155"/>
      <c r="W11" s="1155"/>
      <c r="X11" s="1155"/>
      <c r="Y11" s="1155"/>
      <c r="Z11" s="1155"/>
      <c r="AA11" s="1155"/>
      <c r="AB11" s="1155"/>
      <c r="AC11" s="594"/>
      <c r="AD11" s="91"/>
    </row>
    <row r="12" spans="9:31" ht="14.45" customHeight="1">
      <c r="I12" s="1155"/>
      <c r="J12" s="1155"/>
      <c r="K12" s="1155"/>
      <c r="L12" s="1155"/>
      <c r="M12" s="1155"/>
      <c r="N12" s="1155"/>
      <c r="O12" s="1155"/>
      <c r="P12" s="1155"/>
      <c r="Q12" s="1155"/>
      <c r="R12" s="1155"/>
      <c r="S12" s="1155"/>
      <c r="T12" s="1155"/>
      <c r="U12" s="1155"/>
      <c r="V12" s="1155"/>
      <c r="W12" s="1155"/>
      <c r="X12" s="1155"/>
      <c r="Y12" s="1155"/>
      <c r="Z12" s="1155"/>
      <c r="AA12" s="1155"/>
      <c r="AB12" s="1155"/>
      <c r="AC12" s="594"/>
      <c r="AD12" s="16"/>
    </row>
    <row r="13" spans="9:31" ht="5.0999999999999996" customHeight="1">
      <c r="I13" s="1572" t="s">
        <v>479</v>
      </c>
      <c r="J13" s="1572"/>
      <c r="K13" s="1572"/>
      <c r="L13" s="1572"/>
      <c r="M13" s="1572"/>
      <c r="N13" s="1572"/>
      <c r="O13" s="1572"/>
      <c r="P13" s="1572"/>
      <c r="Q13" s="1572"/>
      <c r="R13" s="1572"/>
      <c r="S13" s="1572"/>
      <c r="T13" s="1572"/>
      <c r="U13" s="1572"/>
      <c r="V13" s="1572"/>
      <c r="W13" s="1572"/>
      <c r="X13" s="1572"/>
      <c r="Y13" s="1572"/>
      <c r="Z13" s="1572"/>
      <c r="AA13" s="1572"/>
      <c r="AB13" s="1572"/>
      <c r="AC13" s="238"/>
      <c r="AD13" s="3"/>
    </row>
    <row r="14" spans="9:31" ht="14.45" customHeight="1">
      <c r="I14" s="1572"/>
      <c r="J14" s="1572"/>
      <c r="K14" s="1572"/>
      <c r="L14" s="1572"/>
      <c r="M14" s="1572"/>
      <c r="N14" s="1572"/>
      <c r="O14" s="1572"/>
      <c r="P14" s="1572"/>
      <c r="Q14" s="1572"/>
      <c r="R14" s="1572"/>
      <c r="S14" s="1572"/>
      <c r="T14" s="1572"/>
      <c r="U14" s="1572"/>
      <c r="V14" s="1572"/>
      <c r="W14" s="1572"/>
      <c r="X14" s="1572"/>
      <c r="Y14" s="1572"/>
      <c r="Z14" s="1572"/>
      <c r="AA14" s="1572"/>
      <c r="AB14" s="1572"/>
      <c r="AC14" s="238"/>
      <c r="AD14" s="92"/>
      <c r="AE14" s="92"/>
    </row>
    <row r="15" spans="9:31" ht="5.0999999999999996" customHeight="1">
      <c r="I15" s="92"/>
      <c r="J15" s="92"/>
      <c r="K15" s="92"/>
      <c r="L15" s="92"/>
      <c r="M15" s="92"/>
      <c r="N15" s="92"/>
      <c r="O15" s="92"/>
      <c r="P15" s="92"/>
      <c r="Q15" s="92"/>
      <c r="R15" s="92"/>
      <c r="S15" s="92"/>
      <c r="T15" s="92"/>
      <c r="U15" s="92"/>
      <c r="V15" s="92"/>
      <c r="W15" s="92"/>
      <c r="X15" s="92"/>
      <c r="Y15" s="92"/>
      <c r="Z15" s="92"/>
      <c r="AA15" s="92"/>
      <c r="AB15" s="92"/>
      <c r="AC15" s="92"/>
      <c r="AD15" s="92"/>
    </row>
    <row r="16" spans="9:31">
      <c r="I16" s="179"/>
      <c r="J16" s="179"/>
      <c r="K16" s="179"/>
      <c r="L16" s="179"/>
      <c r="M16" s="179"/>
      <c r="N16" s="179"/>
      <c r="O16" s="179"/>
      <c r="P16" s="179"/>
      <c r="Q16" s="179"/>
      <c r="R16" s="179"/>
      <c r="S16" s="179"/>
      <c r="T16" s="179"/>
      <c r="U16" s="179"/>
      <c r="V16" s="179"/>
      <c r="W16" s="179"/>
      <c r="X16" s="179"/>
      <c r="Y16" s="179"/>
      <c r="Z16" s="179"/>
      <c r="AA16" s="179"/>
      <c r="AB16" s="179"/>
      <c r="AC16" s="179"/>
      <c r="AD16" s="179"/>
    </row>
    <row r="17" spans="1:38" ht="5.0999999999999996" customHeight="1"/>
    <row r="18" spans="1:38" ht="5.0999999999999996" customHeight="1"/>
    <row r="19" spans="1:38" ht="2.5499999999999998" customHeight="1">
      <c r="A19" s="1595"/>
      <c r="B19" s="1595"/>
      <c r="C19" s="1595"/>
      <c r="D19" s="1595"/>
      <c r="E19" s="1595"/>
      <c r="F19" s="1595"/>
      <c r="G19" s="1595"/>
      <c r="H19" s="1595"/>
      <c r="I19" s="1595"/>
      <c r="J19" s="1595"/>
      <c r="K19" s="1595"/>
      <c r="L19" s="1595"/>
      <c r="M19" s="1595"/>
      <c r="N19" s="1595"/>
      <c r="O19" s="1595"/>
      <c r="P19" s="1595"/>
      <c r="Q19" s="1595"/>
      <c r="R19" s="1595"/>
      <c r="S19" s="1595"/>
      <c r="T19" s="1595"/>
      <c r="U19" s="1595"/>
      <c r="V19" s="1595"/>
      <c r="W19" s="1595"/>
      <c r="X19" s="1595"/>
      <c r="Y19" s="1595"/>
      <c r="Z19" s="1595"/>
      <c r="AA19" s="1595"/>
      <c r="AB19" s="1595"/>
      <c r="AC19" s="1595"/>
      <c r="AD19" s="1595"/>
      <c r="AE19" s="1595"/>
      <c r="AF19" s="1595"/>
      <c r="AG19" s="1595"/>
      <c r="AH19" s="1595"/>
      <c r="AI19" s="1595"/>
      <c r="AJ19" s="1595"/>
      <c r="AK19" s="227"/>
      <c r="AL19" s="227"/>
    </row>
    <row r="20" spans="1:38">
      <c r="B20" s="48"/>
      <c r="C20" s="1166" t="str">
        <f>CONCATENATE("LLLC (Luminaire Level Lighting Control fixtures) and Exterior NLC fixtures - are incentivized at $",Lookup!B5+Lookup!B6,"/kWh up to 70% of the installed cost plus LLLC Bonus. ")</f>
        <v xml:space="preserve">LLLC (Luminaire Level Lighting Control fixtures) and Exterior NLC fixtures - are incentivized at $0.35/kWh up to 70% of the installed cost plus LLLC Bonus. </v>
      </c>
      <c r="D20" s="1166"/>
      <c r="E20" s="1166"/>
      <c r="F20" s="1166"/>
      <c r="G20" s="1166"/>
      <c r="H20" s="1166"/>
      <c r="I20" s="1166"/>
      <c r="J20" s="1166"/>
      <c r="K20" s="1166"/>
      <c r="L20" s="1166"/>
      <c r="M20" s="1166"/>
      <c r="N20" s="1166"/>
      <c r="O20" s="1166"/>
      <c r="P20" s="1166"/>
      <c r="Q20" s="1166"/>
      <c r="R20" s="1166"/>
      <c r="S20" s="1166"/>
      <c r="T20" s="1166"/>
      <c r="U20" s="1166"/>
      <c r="V20" s="1166"/>
      <c r="W20" s="1166"/>
      <c r="X20" s="1166"/>
      <c r="Y20" s="1166"/>
      <c r="Z20" s="1166"/>
      <c r="AA20" s="1166"/>
      <c r="AB20" s="1166"/>
      <c r="AC20" s="1166"/>
      <c r="AD20" s="1166"/>
      <c r="AE20" s="1166"/>
      <c r="AF20" s="1166"/>
      <c r="AG20" s="1166"/>
      <c r="AH20" s="1166"/>
      <c r="AI20" s="1166"/>
    </row>
    <row r="21" spans="1:38">
      <c r="B21" s="48"/>
      <c r="C21" s="1689" t="s">
        <v>510</v>
      </c>
      <c r="D21" s="1689"/>
      <c r="E21" s="1689"/>
      <c r="F21" s="1689"/>
      <c r="G21" s="1689"/>
      <c r="H21" s="1689"/>
      <c r="I21" s="1689"/>
      <c r="J21" s="1689"/>
      <c r="K21" s="1689"/>
      <c r="L21" s="1689"/>
      <c r="M21" s="1689"/>
      <c r="N21" s="1689"/>
      <c r="O21" s="1689"/>
      <c r="P21" s="1689"/>
      <c r="Q21" s="1689"/>
      <c r="R21" s="1689"/>
      <c r="S21" s="1689"/>
      <c r="T21" s="1689"/>
      <c r="U21" s="1689"/>
      <c r="V21" s="1689"/>
      <c r="W21" s="1689"/>
      <c r="X21" s="1689"/>
      <c r="Y21" s="1689"/>
      <c r="Z21" s="1689"/>
      <c r="AA21" s="1689"/>
      <c r="AB21" s="1689"/>
      <c r="AC21" s="1689"/>
      <c r="AD21" s="1689"/>
      <c r="AE21" s="1689"/>
      <c r="AF21" s="1689"/>
      <c r="AG21" s="1689"/>
      <c r="AH21" s="1689"/>
      <c r="AI21" s="1689"/>
    </row>
    <row r="22" spans="1:38">
      <c r="B22" s="48"/>
      <c r="C22" s="1690" t="s">
        <v>511</v>
      </c>
      <c r="D22" s="1690"/>
      <c r="E22" s="1690"/>
      <c r="F22" s="1690"/>
      <c r="G22" s="1690"/>
      <c r="H22" s="1690"/>
      <c r="I22" s="1690"/>
      <c r="J22" s="1690"/>
      <c r="K22" s="1690"/>
      <c r="L22" s="1690"/>
      <c r="M22" s="1690"/>
      <c r="N22" s="1690"/>
      <c r="O22" s="1690"/>
      <c r="P22" s="1690"/>
      <c r="Q22" s="1690"/>
      <c r="R22" s="1690"/>
      <c r="S22" s="1690"/>
      <c r="T22" s="1690"/>
      <c r="U22" s="1690"/>
      <c r="V22" s="1690"/>
      <c r="W22" s="1690"/>
      <c r="X22" s="1690"/>
      <c r="Y22" s="1690"/>
      <c r="Z22" s="1690"/>
      <c r="AA22" s="1690"/>
      <c r="AB22" s="1690"/>
      <c r="AC22" s="1690"/>
      <c r="AD22" s="1690"/>
      <c r="AE22" s="1690"/>
      <c r="AF22" s="1690"/>
      <c r="AG22" s="1690"/>
      <c r="AH22" s="1690"/>
      <c r="AI22" s="1690"/>
    </row>
    <row r="23" spans="1:38">
      <c r="B23" s="48"/>
      <c r="C23" s="1690" t="s">
        <v>512</v>
      </c>
      <c r="D23" s="1690"/>
      <c r="E23" s="1690"/>
      <c r="F23" s="1690"/>
      <c r="G23" s="1690"/>
      <c r="H23" s="1690"/>
      <c r="I23" s="1690"/>
      <c r="J23" s="1690"/>
      <c r="K23" s="1690"/>
      <c r="L23" s="1690"/>
      <c r="M23" s="1690"/>
      <c r="N23" s="1690"/>
      <c r="O23" s="1690"/>
      <c r="P23" s="1690"/>
      <c r="Q23" s="1690"/>
      <c r="R23" s="1690"/>
      <c r="S23" s="1690"/>
      <c r="T23" s="1690"/>
      <c r="U23" s="1690"/>
      <c r="V23" s="1690"/>
      <c r="W23" s="1690"/>
      <c r="X23" s="1690"/>
      <c r="Y23" s="1690"/>
      <c r="Z23" s="1690"/>
      <c r="AA23" s="1690"/>
      <c r="AB23" s="1690"/>
      <c r="AC23" s="1690"/>
      <c r="AD23" s="1690"/>
      <c r="AE23" s="1690"/>
      <c r="AF23" s="1690"/>
      <c r="AG23" s="1690"/>
      <c r="AH23" s="1690"/>
      <c r="AI23" s="1690"/>
    </row>
    <row r="24" spans="1:38">
      <c r="B24" s="48"/>
      <c r="C24" s="1690" t="s">
        <v>513</v>
      </c>
      <c r="D24" s="1690"/>
      <c r="E24" s="1690"/>
      <c r="F24" s="1690"/>
      <c r="G24" s="1690"/>
      <c r="H24" s="1690"/>
      <c r="I24" s="1690"/>
      <c r="J24" s="1690"/>
      <c r="K24" s="1690"/>
      <c r="L24" s="1690"/>
      <c r="M24" s="1690"/>
      <c r="N24" s="1690"/>
      <c r="O24" s="1690"/>
      <c r="P24" s="1690"/>
      <c r="Q24" s="1690"/>
      <c r="R24" s="1690"/>
      <c r="S24" s="1690"/>
      <c r="T24" s="1690"/>
      <c r="U24" s="1690"/>
      <c r="V24" s="1690"/>
      <c r="W24" s="1690"/>
      <c r="X24" s="1690"/>
      <c r="Y24" s="1690"/>
      <c r="Z24" s="1690"/>
      <c r="AA24" s="1690"/>
      <c r="AB24" s="1690"/>
      <c r="AC24" s="1690"/>
      <c r="AD24" s="1690"/>
      <c r="AE24" s="1690"/>
      <c r="AF24" s="1690"/>
      <c r="AG24" s="1690"/>
      <c r="AH24" s="1690"/>
      <c r="AI24" s="1690"/>
    </row>
    <row r="25" spans="1:38">
      <c r="B25" s="48"/>
      <c r="C25" s="476"/>
      <c r="D25" s="476"/>
      <c r="E25" s="476"/>
      <c r="F25" s="476"/>
      <c r="G25" s="476"/>
      <c r="H25" s="476"/>
      <c r="I25" s="476"/>
      <c r="J25" s="476"/>
      <c r="K25" s="476"/>
      <c r="L25" s="476"/>
      <c r="M25" s="476"/>
      <c r="N25" s="476"/>
      <c r="O25" s="476"/>
      <c r="P25" s="476"/>
      <c r="Q25" s="476"/>
      <c r="R25" s="476"/>
      <c r="S25" s="476"/>
      <c r="T25" s="476"/>
      <c r="U25" s="476"/>
      <c r="V25" s="476"/>
      <c r="W25" s="476"/>
      <c r="X25" s="476"/>
      <c r="Y25" s="476"/>
      <c r="Z25" s="476"/>
      <c r="AA25" s="476"/>
      <c r="AB25" s="476"/>
      <c r="AC25" s="476"/>
      <c r="AD25" s="476"/>
      <c r="AE25" s="476"/>
      <c r="AF25" s="476"/>
      <c r="AG25" s="476"/>
    </row>
    <row r="26" spans="1:38">
      <c r="A26" s="48"/>
      <c r="B26" s="1149"/>
    </row>
    <row r="27" spans="1:38">
      <c r="B27" s="1149"/>
    </row>
    <row r="28" spans="1:38">
      <c r="B28" s="1149"/>
    </row>
    <row r="29" spans="1:38">
      <c r="B29" s="1149"/>
    </row>
    <row r="30" spans="1:38">
      <c r="B30" s="1149"/>
    </row>
    <row r="31" spans="1:38">
      <c r="B31" s="1149"/>
    </row>
    <row r="32" spans="1:38">
      <c r="B32" s="1149"/>
    </row>
    <row r="33" spans="2:34">
      <c r="B33" s="1149"/>
    </row>
    <row r="34" spans="2:34">
      <c r="B34" s="1149"/>
    </row>
    <row r="35" spans="2:34">
      <c r="B35" s="1149"/>
    </row>
    <row r="36" spans="2:34">
      <c r="B36" s="1149"/>
    </row>
    <row r="37" spans="2:34">
      <c r="B37" s="1149"/>
    </row>
    <row r="38" spans="2:34">
      <c r="B38" s="1149"/>
    </row>
    <row r="39" spans="2:34">
      <c r="B39" s="1149"/>
    </row>
    <row r="40" spans="2:34" ht="14.95" customHeight="1">
      <c r="B40" s="1149"/>
      <c r="C40" s="1166" t="s">
        <v>514</v>
      </c>
      <c r="D40" s="1166"/>
      <c r="E40" s="1166"/>
      <c r="F40" s="1166"/>
      <c r="G40" s="1166"/>
      <c r="H40" s="1166"/>
      <c r="I40" s="1166"/>
      <c r="J40" s="1166"/>
      <c r="K40" s="1166"/>
      <c r="L40" s="1166"/>
      <c r="M40" s="1166"/>
      <c r="N40" s="1166"/>
      <c r="O40" s="1166"/>
      <c r="P40" s="1166"/>
      <c r="Q40" s="1166"/>
      <c r="R40" s="1166"/>
      <c r="S40" s="1166"/>
      <c r="T40" s="1166"/>
      <c r="U40" s="1166"/>
      <c r="V40" s="1166"/>
      <c r="W40" s="1166"/>
      <c r="X40" s="1166"/>
      <c r="Y40" s="1166"/>
      <c r="Z40" s="1166"/>
      <c r="AA40" s="1166"/>
      <c r="AB40" s="1166"/>
      <c r="AC40" s="1166"/>
      <c r="AD40" s="1166"/>
      <c r="AE40" s="1166"/>
      <c r="AF40" s="1166"/>
      <c r="AG40" s="1166"/>
      <c r="AH40" s="1166"/>
    </row>
    <row r="41" spans="2:34">
      <c r="B41" s="1149"/>
      <c r="C41" s="1166"/>
      <c r="D41" s="1166"/>
      <c r="E41" s="1166"/>
      <c r="F41" s="1166"/>
      <c r="G41" s="1166"/>
      <c r="H41" s="1166"/>
      <c r="I41" s="1166"/>
      <c r="J41" s="1166"/>
      <c r="K41" s="1166"/>
      <c r="L41" s="1166"/>
      <c r="M41" s="1166"/>
      <c r="N41" s="1166"/>
      <c r="O41" s="1166"/>
      <c r="P41" s="1166"/>
      <c r="Q41" s="1166"/>
      <c r="R41" s="1166"/>
      <c r="S41" s="1166"/>
      <c r="T41" s="1166"/>
      <c r="U41" s="1166"/>
      <c r="V41" s="1166"/>
      <c r="W41" s="1166"/>
      <c r="X41" s="1166"/>
      <c r="Y41" s="1166"/>
      <c r="Z41" s="1166"/>
      <c r="AA41" s="1166"/>
      <c r="AB41" s="1166"/>
      <c r="AC41" s="1166"/>
      <c r="AD41" s="1166"/>
      <c r="AE41" s="1166"/>
      <c r="AF41" s="1166"/>
      <c r="AG41" s="1166"/>
      <c r="AH41" s="1166"/>
    </row>
    <row r="42" spans="2:34">
      <c r="B42" s="1149"/>
      <c r="C42" s="1166"/>
      <c r="D42" s="1166"/>
      <c r="E42" s="1166"/>
      <c r="F42" s="1166"/>
      <c r="G42" s="1166"/>
      <c r="H42" s="1166"/>
      <c r="I42" s="1166"/>
      <c r="J42" s="1166"/>
      <c r="K42" s="1166"/>
      <c r="L42" s="1166"/>
      <c r="M42" s="1166"/>
      <c r="N42" s="1166"/>
      <c r="O42" s="1166"/>
      <c r="P42" s="1166"/>
      <c r="Q42" s="1166"/>
      <c r="R42" s="1166"/>
      <c r="S42" s="1166"/>
      <c r="T42" s="1166"/>
      <c r="U42" s="1166"/>
      <c r="V42" s="1166"/>
      <c r="W42" s="1166"/>
      <c r="X42" s="1166"/>
      <c r="Y42" s="1166"/>
      <c r="Z42" s="1166"/>
      <c r="AA42" s="1166"/>
      <c r="AB42" s="1166"/>
      <c r="AC42" s="1166"/>
      <c r="AD42" s="1166"/>
      <c r="AE42" s="1166"/>
      <c r="AF42" s="1166"/>
      <c r="AG42" s="1166"/>
      <c r="AH42" s="1166"/>
    </row>
    <row r="43" spans="2:34">
      <c r="B43" s="1149"/>
      <c r="C43" s="1166"/>
      <c r="D43" s="1166"/>
      <c r="E43" s="1166"/>
      <c r="F43" s="1166"/>
      <c r="G43" s="1166"/>
      <c r="H43" s="1166"/>
      <c r="I43" s="1166"/>
      <c r="J43" s="1166"/>
      <c r="K43" s="1166"/>
      <c r="L43" s="1166"/>
      <c r="M43" s="1166"/>
      <c r="N43" s="1166"/>
      <c r="O43" s="1166"/>
      <c r="P43" s="1166"/>
      <c r="Q43" s="1166"/>
      <c r="R43" s="1166"/>
      <c r="S43" s="1166"/>
      <c r="T43" s="1166"/>
      <c r="U43" s="1166"/>
      <c r="V43" s="1166"/>
      <c r="W43" s="1166"/>
      <c r="X43" s="1166"/>
      <c r="Y43" s="1166"/>
      <c r="Z43" s="1166"/>
      <c r="AA43" s="1166"/>
      <c r="AB43" s="1166"/>
      <c r="AC43" s="1166"/>
      <c r="AD43" s="1166"/>
      <c r="AE43" s="1166"/>
      <c r="AF43" s="1166"/>
      <c r="AG43" s="1166"/>
      <c r="AH43" s="1166"/>
    </row>
    <row r="44" spans="2:34">
      <c r="B44" s="1149"/>
      <c r="C44" s="1166"/>
      <c r="D44" s="1166"/>
      <c r="E44" s="1166"/>
      <c r="F44" s="1166"/>
      <c r="G44" s="1166"/>
      <c r="H44" s="1166"/>
      <c r="I44" s="1166"/>
      <c r="J44" s="1166"/>
      <c r="K44" s="1166"/>
      <c r="L44" s="1166"/>
      <c r="M44" s="1166"/>
      <c r="N44" s="1166"/>
      <c r="O44" s="1166"/>
      <c r="P44" s="1166"/>
      <c r="Q44" s="1166"/>
      <c r="R44" s="1166"/>
      <c r="S44" s="1166"/>
      <c r="T44" s="1166"/>
      <c r="U44" s="1166"/>
      <c r="V44" s="1166"/>
      <c r="W44" s="1166"/>
      <c r="X44" s="1166"/>
      <c r="Y44" s="1166"/>
      <c r="Z44" s="1166"/>
      <c r="AA44" s="1166"/>
      <c r="AB44" s="1166"/>
      <c r="AC44" s="1166"/>
      <c r="AD44" s="1166"/>
      <c r="AE44" s="1166"/>
      <c r="AF44" s="1166"/>
      <c r="AG44" s="1166"/>
      <c r="AH44" s="1166"/>
    </row>
    <row r="45" spans="2:34">
      <c r="B45" s="1149"/>
      <c r="C45" s="1166"/>
      <c r="D45" s="1166"/>
      <c r="E45" s="1166"/>
      <c r="F45" s="1166"/>
      <c r="G45" s="1166"/>
      <c r="H45" s="1166"/>
      <c r="I45" s="1166"/>
      <c r="J45" s="1166"/>
      <c r="K45" s="1166"/>
      <c r="L45" s="1166"/>
      <c r="M45" s="1166"/>
      <c r="N45" s="1166"/>
      <c r="O45" s="1166"/>
      <c r="P45" s="1166"/>
      <c r="Q45" s="1166"/>
      <c r="R45" s="1166"/>
      <c r="S45" s="1166"/>
      <c r="T45" s="1166"/>
      <c r="U45" s="1166"/>
      <c r="V45" s="1166"/>
      <c r="W45" s="1166"/>
      <c r="X45" s="1166"/>
      <c r="Y45" s="1166"/>
      <c r="Z45" s="1166"/>
      <c r="AA45" s="1166"/>
      <c r="AB45" s="1166"/>
      <c r="AC45" s="1166"/>
      <c r="AD45" s="1166"/>
      <c r="AE45" s="1166"/>
      <c r="AF45" s="1166"/>
      <c r="AG45" s="1166"/>
      <c r="AH45" s="1166"/>
    </row>
    <row r="46" spans="2:34">
      <c r="B46" s="1149"/>
      <c r="C46" s="1166"/>
      <c r="D46" s="1166"/>
      <c r="E46" s="1166"/>
      <c r="F46" s="1166"/>
      <c r="G46" s="1166"/>
      <c r="H46" s="1166"/>
      <c r="I46" s="1166"/>
      <c r="J46" s="1166"/>
      <c r="K46" s="1166"/>
      <c r="L46" s="1166"/>
      <c r="M46" s="1166"/>
      <c r="N46" s="1166"/>
      <c r="O46" s="1166"/>
      <c r="P46" s="1166"/>
      <c r="Q46" s="1166"/>
      <c r="R46" s="1166"/>
      <c r="S46" s="1166"/>
      <c r="T46" s="1166"/>
      <c r="U46" s="1166"/>
      <c r="V46" s="1166"/>
      <c r="W46" s="1166"/>
      <c r="X46" s="1166"/>
      <c r="Y46" s="1166"/>
      <c r="Z46" s="1166"/>
      <c r="AA46" s="1166"/>
      <c r="AB46" s="1166"/>
      <c r="AC46" s="1166"/>
      <c r="AD46" s="1166"/>
      <c r="AE46" s="1166"/>
      <c r="AF46" s="1166"/>
      <c r="AG46" s="1166"/>
      <c r="AH46" s="1166"/>
    </row>
    <row r="49" spans="1:34">
      <c r="A49" s="48"/>
      <c r="B49" s="1150"/>
      <c r="C49" s="486" t="s">
        <v>435</v>
      </c>
      <c r="D49" s="486"/>
      <c r="E49" s="486"/>
      <c r="F49" s="486"/>
      <c r="G49" s="486"/>
      <c r="H49" s="486"/>
      <c r="I49" s="486"/>
      <c r="J49" s="486"/>
      <c r="K49" s="486"/>
      <c r="L49" s="486"/>
      <c r="M49" s="486"/>
      <c r="N49" s="486"/>
      <c r="O49" s="486"/>
      <c r="P49" s="486"/>
      <c r="Q49" s="486"/>
      <c r="R49" s="486"/>
      <c r="S49" s="486"/>
      <c r="T49" s="486"/>
      <c r="U49" s="486"/>
      <c r="V49" s="486"/>
      <c r="W49" s="486"/>
      <c r="X49" s="486"/>
      <c r="Y49" s="486"/>
      <c r="Z49" s="486"/>
      <c r="AA49" s="486"/>
      <c r="AB49" s="486"/>
      <c r="AC49" s="486"/>
      <c r="AD49" s="486"/>
      <c r="AE49" s="486"/>
      <c r="AF49" s="486"/>
      <c r="AG49" s="486"/>
      <c r="AH49" s="486"/>
    </row>
    <row r="50" spans="1:34" ht="14.95" customHeight="1">
      <c r="B50" s="1150"/>
      <c r="C50" s="236" t="s">
        <v>515</v>
      </c>
      <c r="D50" s="174" t="s">
        <v>516</v>
      </c>
      <c r="E50" s="174"/>
      <c r="F50" s="174"/>
      <c r="G50" s="174"/>
      <c r="H50" s="174"/>
      <c r="I50" s="174"/>
      <c r="J50" s="174"/>
      <c r="K50" s="174"/>
      <c r="L50" s="174"/>
      <c r="M50" s="174"/>
      <c r="N50" s="174"/>
      <c r="O50" s="174"/>
      <c r="P50" s="174"/>
      <c r="Q50" s="174"/>
      <c r="R50" s="174"/>
      <c r="S50" s="174"/>
      <c r="T50" s="174"/>
      <c r="U50" s="174"/>
      <c r="V50" s="174"/>
    </row>
    <row r="51" spans="1:34" ht="14.95" customHeight="1">
      <c r="B51" s="1150"/>
      <c r="C51" s="237" t="s">
        <v>517</v>
      </c>
      <c r="D51" s="1166" t="s">
        <v>518</v>
      </c>
      <c r="E51" s="1166"/>
      <c r="F51" s="1166"/>
      <c r="G51" s="1166"/>
      <c r="H51" s="1166"/>
      <c r="I51" s="1166"/>
      <c r="J51" s="1166"/>
      <c r="K51" s="1166"/>
      <c r="L51" s="1166"/>
      <c r="M51" s="1166"/>
      <c r="N51" s="1166"/>
      <c r="O51" s="1166"/>
      <c r="P51" s="1166"/>
      <c r="Q51" s="1166"/>
      <c r="R51" s="1166"/>
      <c r="S51" s="1166"/>
      <c r="T51" s="1166"/>
      <c r="U51" s="1166"/>
      <c r="V51" s="1166"/>
      <c r="W51" s="1166"/>
      <c r="X51" s="1166"/>
      <c r="Y51" s="1166"/>
      <c r="Z51" s="1166"/>
      <c r="AA51" s="1166"/>
      <c r="AB51" s="1166"/>
      <c r="AC51" s="1166"/>
      <c r="AD51" s="1166"/>
      <c r="AE51" s="1166"/>
      <c r="AF51" s="1166"/>
      <c r="AG51" s="1166"/>
      <c r="AH51" s="1166"/>
    </row>
    <row r="52" spans="1:34">
      <c r="B52" s="1150"/>
      <c r="C52" s="217"/>
      <c r="D52" s="1166"/>
      <c r="E52" s="1166"/>
      <c r="F52" s="1166"/>
      <c r="G52" s="1166"/>
      <c r="H52" s="1166"/>
      <c r="I52" s="1166"/>
      <c r="J52" s="1166"/>
      <c r="K52" s="1166"/>
      <c r="L52" s="1166"/>
      <c r="M52" s="1166"/>
      <c r="N52" s="1166"/>
      <c r="O52" s="1166"/>
      <c r="P52" s="1166"/>
      <c r="Q52" s="1166"/>
      <c r="R52" s="1166"/>
      <c r="S52" s="1166"/>
      <c r="T52" s="1166"/>
      <c r="U52" s="1166"/>
      <c r="V52" s="1166"/>
      <c r="W52" s="1166"/>
      <c r="X52" s="1166"/>
      <c r="Y52" s="1166"/>
      <c r="Z52" s="1166"/>
      <c r="AA52" s="1166"/>
      <c r="AB52" s="1166"/>
      <c r="AC52" s="1166"/>
      <c r="AD52" s="1166"/>
      <c r="AE52" s="1166"/>
      <c r="AF52" s="1166"/>
      <c r="AG52" s="1166"/>
      <c r="AH52" s="1166"/>
    </row>
    <row r="53" spans="1:34">
      <c r="B53" s="1150"/>
      <c r="C53" s="217"/>
      <c r="D53" s="1166"/>
      <c r="E53" s="1166"/>
      <c r="F53" s="1166"/>
      <c r="G53" s="1166"/>
      <c r="H53" s="1166"/>
      <c r="I53" s="1166"/>
      <c r="J53" s="1166"/>
      <c r="K53" s="1166"/>
      <c r="L53" s="1166"/>
      <c r="M53" s="1166"/>
      <c r="N53" s="1166"/>
      <c r="O53" s="1166"/>
      <c r="P53" s="1166"/>
      <c r="Q53" s="1166"/>
      <c r="R53" s="1166"/>
      <c r="S53" s="1166"/>
      <c r="T53" s="1166"/>
      <c r="U53" s="1166"/>
      <c r="V53" s="1166"/>
      <c r="W53" s="1166"/>
      <c r="X53" s="1166"/>
      <c r="Y53" s="1166"/>
      <c r="Z53" s="1166"/>
      <c r="AA53" s="1166"/>
      <c r="AB53" s="1166"/>
      <c r="AC53" s="1166"/>
      <c r="AD53" s="1166"/>
      <c r="AE53" s="1166"/>
      <c r="AF53" s="1166"/>
      <c r="AG53" s="1166"/>
      <c r="AH53" s="1166"/>
    </row>
    <row r="54" spans="1:34" ht="14.95" customHeight="1">
      <c r="B54" s="1150"/>
      <c r="C54" s="236" t="s">
        <v>519</v>
      </c>
      <c r="D54" s="174" t="s">
        <v>520</v>
      </c>
      <c r="E54" s="174"/>
      <c r="F54" s="174"/>
      <c r="G54" s="174"/>
      <c r="H54" s="174"/>
      <c r="I54" s="174"/>
      <c r="J54" s="174"/>
      <c r="K54" s="174"/>
      <c r="L54" s="174"/>
      <c r="M54" s="174"/>
      <c r="N54" s="174"/>
      <c r="O54" s="174"/>
      <c r="P54" s="174"/>
      <c r="Q54" s="174"/>
      <c r="R54" s="174"/>
      <c r="S54" s="174"/>
      <c r="T54" s="174"/>
      <c r="U54" s="174"/>
      <c r="V54" s="174"/>
    </row>
    <row r="55" spans="1:34" ht="14.3" customHeight="1">
      <c r="B55" s="1150"/>
      <c r="C55" s="236" t="s">
        <v>521</v>
      </c>
      <c r="D55" s="174" t="s">
        <v>522</v>
      </c>
      <c r="E55" s="174"/>
      <c r="F55" s="174"/>
      <c r="G55" s="174"/>
      <c r="H55" s="174"/>
      <c r="I55" s="174"/>
      <c r="J55" s="174"/>
      <c r="K55" s="174"/>
      <c r="L55" s="174"/>
      <c r="M55" s="174"/>
      <c r="N55" s="174"/>
      <c r="O55" s="174"/>
      <c r="P55" s="174"/>
      <c r="Q55" s="174"/>
      <c r="R55" s="174"/>
      <c r="S55" s="174"/>
      <c r="T55" s="174"/>
      <c r="U55" s="174"/>
      <c r="V55" s="174"/>
    </row>
    <row r="56" spans="1:34">
      <c r="B56" s="1150"/>
      <c r="C56" s="217"/>
    </row>
    <row r="57" spans="1:34" ht="14.95" customHeight="1">
      <c r="B57" s="1150"/>
      <c r="C57" s="1688" t="s">
        <v>523</v>
      </c>
      <c r="D57" s="1688"/>
      <c r="E57" s="1688"/>
      <c r="F57" s="1688"/>
      <c r="G57" s="1688"/>
      <c r="H57" s="1688"/>
      <c r="I57" s="1688"/>
      <c r="J57" s="1688"/>
      <c r="K57" s="1688"/>
      <c r="L57" s="1688"/>
      <c r="M57" s="1688"/>
      <c r="N57" s="1688"/>
      <c r="O57" s="1688"/>
      <c r="P57" s="1688"/>
      <c r="Q57" s="1688"/>
      <c r="R57" s="1688"/>
      <c r="S57" s="1688"/>
      <c r="T57" s="1688"/>
      <c r="U57" s="1688"/>
      <c r="V57" s="1688"/>
      <c r="W57" s="1688"/>
      <c r="X57" s="1688"/>
      <c r="Y57" s="1688"/>
      <c r="Z57" s="1688"/>
      <c r="AA57" s="1688"/>
      <c r="AB57" s="1688"/>
      <c r="AC57" s="1688"/>
      <c r="AD57" s="1688"/>
      <c r="AE57" s="1688"/>
      <c r="AF57" s="1688"/>
      <c r="AG57" s="1688"/>
      <c r="AH57" s="1688"/>
    </row>
    <row r="58" spans="1:34">
      <c r="B58" s="1150"/>
      <c r="C58" s="1688"/>
      <c r="D58" s="1688"/>
      <c r="E58" s="1688"/>
      <c r="F58" s="1688"/>
      <c r="G58" s="1688"/>
      <c r="H58" s="1688"/>
      <c r="I58" s="1688"/>
      <c r="J58" s="1688"/>
      <c r="K58" s="1688"/>
      <c r="L58" s="1688"/>
      <c r="M58" s="1688"/>
      <c r="N58" s="1688"/>
      <c r="O58" s="1688"/>
      <c r="P58" s="1688"/>
      <c r="Q58" s="1688"/>
      <c r="R58" s="1688"/>
      <c r="S58" s="1688"/>
      <c r="T58" s="1688"/>
      <c r="U58" s="1688"/>
      <c r="V58" s="1688"/>
      <c r="W58" s="1688"/>
      <c r="X58" s="1688"/>
      <c r="Y58" s="1688"/>
      <c r="Z58" s="1688"/>
      <c r="AA58" s="1688"/>
      <c r="AB58" s="1688"/>
      <c r="AC58" s="1688"/>
      <c r="AD58" s="1688"/>
      <c r="AE58" s="1688"/>
      <c r="AF58" s="1688"/>
      <c r="AG58" s="1688"/>
      <c r="AH58" s="1688"/>
    </row>
    <row r="59" spans="1:34">
      <c r="B59" s="1150"/>
      <c r="D59" s="190"/>
      <c r="E59" s="190"/>
      <c r="F59" s="190"/>
      <c r="G59" s="190"/>
      <c r="H59" s="190"/>
      <c r="I59" s="190"/>
      <c r="J59" s="190"/>
      <c r="K59" s="190"/>
      <c r="L59" s="190"/>
      <c r="M59" s="190"/>
      <c r="N59" s="190"/>
      <c r="O59" s="190"/>
      <c r="P59" s="190"/>
      <c r="Q59" s="190"/>
      <c r="R59" s="190"/>
      <c r="S59" s="190"/>
      <c r="T59" s="190"/>
      <c r="U59" s="190"/>
      <c r="V59" s="190"/>
    </row>
    <row r="60" spans="1:34">
      <c r="B60" s="1150"/>
      <c r="C60" s="486" t="s">
        <v>524</v>
      </c>
      <c r="D60" s="486"/>
      <c r="E60" s="486"/>
      <c r="F60" s="486"/>
      <c r="G60" s="486"/>
      <c r="H60" s="486"/>
      <c r="I60" s="486"/>
      <c r="J60" s="486"/>
      <c r="K60" s="486"/>
      <c r="L60" s="486"/>
      <c r="M60" s="486"/>
      <c r="N60" s="486"/>
      <c r="O60" s="486"/>
      <c r="P60" s="486"/>
      <c r="Q60" s="486"/>
      <c r="R60" s="486"/>
      <c r="S60" s="486"/>
      <c r="T60" s="486"/>
      <c r="U60" s="486"/>
      <c r="V60" s="486"/>
      <c r="W60" s="486"/>
      <c r="X60" s="486"/>
      <c r="Y60" s="486"/>
      <c r="Z60" s="486"/>
      <c r="AA60" s="486"/>
      <c r="AB60" s="486"/>
      <c r="AC60" s="486"/>
      <c r="AD60" s="486"/>
      <c r="AE60" s="486"/>
      <c r="AF60" s="486"/>
      <c r="AG60" s="486"/>
      <c r="AH60" s="486"/>
    </row>
    <row r="61" spans="1:34">
      <c r="B61" s="1150"/>
      <c r="C61" s="238" t="s">
        <v>525</v>
      </c>
      <c r="D61" s="190"/>
      <c r="E61" s="190"/>
      <c r="F61" s="190"/>
      <c r="G61" s="190"/>
      <c r="H61" s="190"/>
      <c r="I61" s="190"/>
      <c r="J61" s="190"/>
      <c r="K61" s="190"/>
      <c r="L61" s="190"/>
      <c r="M61" s="190"/>
      <c r="N61" s="190"/>
      <c r="O61" s="190"/>
      <c r="P61" s="190"/>
      <c r="Q61" s="190"/>
      <c r="R61" s="190"/>
      <c r="S61" s="190"/>
      <c r="T61" s="190"/>
      <c r="U61" s="190"/>
      <c r="V61" s="190"/>
    </row>
    <row r="62" spans="1:34">
      <c r="B62" s="1150"/>
      <c r="C62" s="190"/>
      <c r="D62" s="190"/>
      <c r="E62" s="190"/>
      <c r="F62" s="190"/>
      <c r="G62" s="190"/>
      <c r="H62" s="190"/>
      <c r="I62" s="190"/>
      <c r="J62" s="190"/>
      <c r="K62" s="190"/>
      <c r="L62" s="190"/>
      <c r="M62" s="190"/>
      <c r="N62" s="190"/>
      <c r="O62" s="190"/>
      <c r="P62" s="190"/>
      <c r="Q62" s="190"/>
      <c r="R62" s="190"/>
      <c r="S62" s="190"/>
      <c r="T62" s="190"/>
      <c r="U62" s="190"/>
      <c r="V62" s="190"/>
    </row>
    <row r="63" spans="1:34">
      <c r="B63" s="1150"/>
      <c r="C63" s="190"/>
      <c r="D63" s="190"/>
      <c r="E63" s="190"/>
      <c r="F63" s="190"/>
      <c r="G63" s="190"/>
      <c r="H63" s="190"/>
      <c r="I63" s="190"/>
      <c r="J63" s="190"/>
      <c r="K63" s="190"/>
      <c r="L63" s="190"/>
      <c r="M63" s="190"/>
      <c r="N63" s="190"/>
      <c r="O63" s="190"/>
      <c r="P63" s="190"/>
      <c r="Q63" s="190"/>
      <c r="R63" s="190"/>
      <c r="S63" s="190"/>
      <c r="T63" s="190"/>
      <c r="U63" s="190"/>
      <c r="V63" s="190"/>
    </row>
    <row r="64" spans="1:34" ht="14.3" customHeight="1">
      <c r="B64" s="1150"/>
      <c r="C64" s="2" t="s">
        <v>353</v>
      </c>
      <c r="G64" s="1673" t="s">
        <v>526</v>
      </c>
      <c r="H64" s="1166"/>
      <c r="I64" s="1166"/>
      <c r="J64" s="1166"/>
      <c r="K64" s="1166"/>
      <c r="L64" s="1166"/>
      <c r="M64" s="1166"/>
      <c r="N64" s="1166"/>
      <c r="O64" s="1166"/>
      <c r="P64" s="1166"/>
      <c r="Q64" s="1166"/>
      <c r="R64" s="1166"/>
      <c r="S64" s="1166"/>
      <c r="T64" s="1166"/>
      <c r="U64" s="1166"/>
      <c r="V64" s="1166"/>
      <c r="W64" s="1166"/>
      <c r="X64" s="1166"/>
      <c r="Y64" s="1166"/>
      <c r="Z64" s="1166"/>
      <c r="AA64" s="1166"/>
      <c r="AB64" s="1166"/>
      <c r="AC64" s="1166"/>
      <c r="AD64" s="1166"/>
      <c r="AE64" s="1166"/>
      <c r="AF64" s="1166"/>
      <c r="AG64" s="1166"/>
      <c r="AH64" s="1166"/>
    </row>
    <row r="65" spans="2:34" ht="14.95" customHeight="1">
      <c r="B65" s="1150"/>
      <c r="C65" s="1674">
        <v>10</v>
      </c>
      <c r="D65" s="1676" t="s">
        <v>527</v>
      </c>
      <c r="E65" s="1677"/>
      <c r="F65" s="1677"/>
      <c r="G65" s="1673"/>
      <c r="H65" s="1166"/>
      <c r="I65" s="1166"/>
      <c r="J65" s="1166"/>
      <c r="K65" s="1166"/>
      <c r="L65" s="1166"/>
      <c r="M65" s="1166"/>
      <c r="N65" s="1166"/>
      <c r="O65" s="1166"/>
      <c r="P65" s="1166"/>
      <c r="Q65" s="1166"/>
      <c r="R65" s="1166"/>
      <c r="S65" s="1166"/>
      <c r="T65" s="1166"/>
      <c r="U65" s="1166"/>
      <c r="V65" s="1166"/>
      <c r="W65" s="1166"/>
      <c r="X65" s="1166"/>
      <c r="Y65" s="1166"/>
      <c r="Z65" s="1166"/>
      <c r="AA65" s="1166"/>
      <c r="AB65" s="1166"/>
      <c r="AC65" s="1166"/>
      <c r="AD65" s="1166"/>
      <c r="AE65" s="1166"/>
      <c r="AF65" s="1166"/>
      <c r="AG65" s="1166"/>
      <c r="AH65" s="1166"/>
    </row>
    <row r="66" spans="2:34" ht="14.95" customHeight="1">
      <c r="B66" s="1150"/>
      <c r="C66" s="1675"/>
      <c r="D66" s="1676"/>
      <c r="E66" s="1677"/>
      <c r="F66" s="1677"/>
      <c r="G66" s="1673"/>
      <c r="H66" s="1166"/>
      <c r="I66" s="1166"/>
      <c r="J66" s="1166"/>
      <c r="K66" s="1166"/>
      <c r="L66" s="1166"/>
      <c r="M66" s="1166"/>
      <c r="N66" s="1166"/>
      <c r="O66" s="1166"/>
      <c r="P66" s="1166"/>
      <c r="Q66" s="1166"/>
      <c r="R66" s="1166"/>
      <c r="S66" s="1166"/>
      <c r="T66" s="1166"/>
      <c r="U66" s="1166"/>
      <c r="V66" s="1166"/>
      <c r="W66" s="1166"/>
      <c r="X66" s="1166"/>
      <c r="Y66" s="1166"/>
      <c r="Z66" s="1166"/>
      <c r="AA66" s="1166"/>
      <c r="AB66" s="1166"/>
      <c r="AC66" s="1166"/>
      <c r="AD66" s="1166"/>
      <c r="AE66" s="1166"/>
      <c r="AF66" s="1166"/>
      <c r="AG66" s="1166"/>
      <c r="AH66" s="1166"/>
    </row>
    <row r="67" spans="2:34" ht="14.95" customHeight="1">
      <c r="B67" s="1150"/>
      <c r="C67" s="690"/>
      <c r="D67" s="1677"/>
      <c r="E67" s="1677"/>
      <c r="F67" s="1677"/>
      <c r="G67" s="1673"/>
      <c r="H67" s="1166"/>
      <c r="I67" s="1166"/>
      <c r="J67" s="1166"/>
      <c r="K67" s="1166"/>
      <c r="L67" s="1166"/>
      <c r="M67" s="1166"/>
      <c r="N67" s="1166"/>
      <c r="O67" s="1166"/>
      <c r="P67" s="1166"/>
      <c r="Q67" s="1166"/>
      <c r="R67" s="1166"/>
      <c r="S67" s="1166"/>
      <c r="T67" s="1166"/>
      <c r="U67" s="1166"/>
      <c r="V67" s="1166"/>
      <c r="W67" s="1166"/>
      <c r="X67" s="1166"/>
      <c r="Y67" s="1166"/>
      <c r="Z67" s="1166"/>
      <c r="AA67" s="1166"/>
      <c r="AB67" s="1166"/>
      <c r="AC67" s="1166"/>
      <c r="AD67" s="1166"/>
      <c r="AE67" s="1166"/>
      <c r="AF67" s="1166"/>
      <c r="AG67" s="1166"/>
      <c r="AH67" s="1166"/>
    </row>
    <row r="68" spans="2:34" ht="14.95" customHeight="1">
      <c r="B68" s="1150"/>
      <c r="D68" s="1677"/>
      <c r="E68" s="1677"/>
      <c r="F68" s="1677"/>
      <c r="G68" s="1673"/>
      <c r="H68" s="1166"/>
      <c r="I68" s="1166"/>
      <c r="J68" s="1166"/>
      <c r="K68" s="1166"/>
      <c r="L68" s="1166"/>
      <c r="M68" s="1166"/>
      <c r="N68" s="1166"/>
      <c r="O68" s="1166"/>
      <c r="P68" s="1166"/>
      <c r="Q68" s="1166"/>
      <c r="R68" s="1166"/>
      <c r="S68" s="1166"/>
      <c r="T68" s="1166"/>
      <c r="U68" s="1166"/>
      <c r="V68" s="1166"/>
      <c r="W68" s="1166"/>
      <c r="X68" s="1166"/>
      <c r="Y68" s="1166"/>
      <c r="Z68" s="1166"/>
      <c r="AA68" s="1166"/>
      <c r="AB68" s="1166"/>
      <c r="AC68" s="1166"/>
      <c r="AD68" s="1166"/>
      <c r="AE68" s="1166"/>
      <c r="AF68" s="1166"/>
      <c r="AG68" s="1166"/>
      <c r="AH68" s="1166"/>
    </row>
    <row r="69" spans="2:34" ht="14.95" customHeight="1">
      <c r="B69" s="1150"/>
      <c r="D69" s="1677"/>
      <c r="E69" s="1677"/>
      <c r="F69" s="1677"/>
      <c r="G69" s="1673"/>
      <c r="H69" s="1166"/>
      <c r="I69" s="1166"/>
      <c r="J69" s="1166"/>
      <c r="K69" s="1166"/>
      <c r="L69" s="1166"/>
      <c r="M69" s="1166"/>
      <c r="N69" s="1166"/>
      <c r="O69" s="1166"/>
      <c r="P69" s="1166"/>
      <c r="Q69" s="1166"/>
      <c r="R69" s="1166"/>
      <c r="S69" s="1166"/>
      <c r="T69" s="1166"/>
      <c r="U69" s="1166"/>
      <c r="V69" s="1166"/>
      <c r="W69" s="1166"/>
      <c r="X69" s="1166"/>
      <c r="Y69" s="1166"/>
      <c r="Z69" s="1166"/>
      <c r="AA69" s="1166"/>
      <c r="AB69" s="1166"/>
      <c r="AC69" s="1166"/>
      <c r="AD69" s="1166"/>
      <c r="AE69" s="1166"/>
      <c r="AF69" s="1166"/>
      <c r="AG69" s="1166"/>
      <c r="AH69" s="1166"/>
    </row>
    <row r="70" spans="2:34">
      <c r="B70" s="1150"/>
      <c r="D70" s="1677"/>
      <c r="E70" s="1677"/>
      <c r="F70" s="1677"/>
      <c r="G70" s="1673"/>
      <c r="H70" s="1166"/>
      <c r="I70" s="1166"/>
      <c r="J70" s="1166"/>
      <c r="K70" s="1166"/>
      <c r="L70" s="1166"/>
      <c r="M70" s="1166"/>
      <c r="N70" s="1166"/>
      <c r="O70" s="1166"/>
      <c r="P70" s="1166"/>
      <c r="Q70" s="1166"/>
      <c r="R70" s="1166"/>
      <c r="S70" s="1166"/>
      <c r="T70" s="1166"/>
      <c r="U70" s="1166"/>
      <c r="V70" s="1166"/>
      <c r="W70" s="1166"/>
      <c r="X70" s="1166"/>
      <c r="Y70" s="1166"/>
      <c r="Z70" s="1166"/>
      <c r="AA70" s="1166"/>
      <c r="AB70" s="1166"/>
      <c r="AC70" s="1166"/>
      <c r="AD70" s="1166"/>
      <c r="AE70" s="1166"/>
      <c r="AF70" s="1166"/>
      <c r="AG70" s="1166"/>
      <c r="AH70" s="1166"/>
    </row>
    <row r="71" spans="2:34">
      <c r="B71" s="1150"/>
      <c r="H71" s="190"/>
      <c r="I71" s="190"/>
      <c r="J71" s="190"/>
      <c r="K71" s="190"/>
      <c r="L71" s="190"/>
      <c r="M71" s="190"/>
      <c r="N71" s="190"/>
      <c r="O71" s="190"/>
      <c r="P71" s="190"/>
      <c r="Q71" s="190"/>
      <c r="R71" s="190"/>
      <c r="S71" s="190"/>
      <c r="T71" s="190"/>
      <c r="U71" s="190"/>
      <c r="V71" s="190"/>
      <c r="W71" s="190"/>
      <c r="X71" s="190"/>
      <c r="Y71" s="190"/>
      <c r="Z71" s="190"/>
      <c r="AA71" s="190"/>
      <c r="AB71" s="190"/>
      <c r="AC71" s="190"/>
      <c r="AD71" s="190"/>
      <c r="AE71" s="190"/>
      <c r="AF71" s="190"/>
      <c r="AG71" s="190"/>
      <c r="AH71" s="190"/>
    </row>
    <row r="72" spans="2:34">
      <c r="B72" s="1150"/>
      <c r="D72" t="s">
        <v>528</v>
      </c>
      <c r="G72" s="190"/>
      <c r="H72" s="190"/>
      <c r="I72" s="190"/>
      <c r="J72" s="190"/>
      <c r="K72" s="190"/>
      <c r="L72" s="190"/>
      <c r="M72" s="190"/>
      <c r="N72" s="190"/>
      <c r="O72" s="190"/>
      <c r="P72" s="190"/>
      <c r="Q72" s="190"/>
      <c r="R72" s="190"/>
      <c r="S72" s="190"/>
      <c r="T72" s="190"/>
      <c r="U72" s="190"/>
      <c r="V72" s="190"/>
      <c r="W72" s="190"/>
      <c r="X72" s="190"/>
      <c r="Y72" s="469"/>
      <c r="Z72" s="469"/>
      <c r="AA72" s="469"/>
      <c r="AB72" s="469"/>
      <c r="AC72" s="469"/>
      <c r="AD72" s="469"/>
      <c r="AE72" s="469"/>
      <c r="AF72" s="469"/>
      <c r="AG72" s="469"/>
    </row>
    <row r="73" spans="2:34">
      <c r="B73" s="1150"/>
      <c r="D73" s="1678"/>
      <c r="E73" s="1679"/>
      <c r="F73" s="1679"/>
      <c r="G73" s="1679"/>
      <c r="H73" s="1679"/>
      <c r="I73" s="1679"/>
      <c r="J73" s="1679"/>
      <c r="K73" s="1679"/>
      <c r="L73" s="1679"/>
      <c r="M73" s="1679"/>
      <c r="N73" s="1679"/>
      <c r="O73" s="1679"/>
      <c r="P73" s="1679"/>
      <c r="Q73" s="1679"/>
      <c r="R73" s="1679"/>
      <c r="S73" s="1679"/>
      <c r="T73" s="1679"/>
      <c r="U73" s="1679"/>
      <c r="V73" s="1679"/>
      <c r="W73" s="1679"/>
      <c r="X73" s="1679"/>
      <c r="Y73" s="1679"/>
      <c r="Z73" s="1679"/>
      <c r="AA73" s="1679"/>
      <c r="AB73" s="1679"/>
      <c r="AC73" s="1679"/>
      <c r="AD73" s="1679"/>
      <c r="AE73" s="1679"/>
      <c r="AF73" s="1679"/>
      <c r="AG73" s="1679"/>
      <c r="AH73" s="1680"/>
    </row>
    <row r="74" spans="2:34">
      <c r="B74" s="1150"/>
      <c r="D74" s="1681"/>
      <c r="E74" s="1682"/>
      <c r="F74" s="1682"/>
      <c r="G74" s="1682"/>
      <c r="H74" s="1682"/>
      <c r="I74" s="1682"/>
      <c r="J74" s="1682"/>
      <c r="K74" s="1682"/>
      <c r="L74" s="1682"/>
      <c r="M74" s="1682"/>
      <c r="N74" s="1682"/>
      <c r="O74" s="1682"/>
      <c r="P74" s="1682"/>
      <c r="Q74" s="1682"/>
      <c r="R74" s="1682"/>
      <c r="S74" s="1682"/>
      <c r="T74" s="1682"/>
      <c r="U74" s="1682"/>
      <c r="V74" s="1682"/>
      <c r="W74" s="1682"/>
      <c r="X74" s="1682"/>
      <c r="Y74" s="1682"/>
      <c r="Z74" s="1682"/>
      <c r="AA74" s="1682"/>
      <c r="AB74" s="1682"/>
      <c r="AC74" s="1682"/>
      <c r="AD74" s="1682"/>
      <c r="AE74" s="1682"/>
      <c r="AF74" s="1682"/>
      <c r="AG74" s="1682"/>
      <c r="AH74" s="1683"/>
    </row>
    <row r="75" spans="2:34">
      <c r="B75" s="1150"/>
      <c r="D75" s="1681"/>
      <c r="E75" s="1682"/>
      <c r="F75" s="1682"/>
      <c r="G75" s="1682"/>
      <c r="H75" s="1682"/>
      <c r="I75" s="1682"/>
      <c r="J75" s="1682"/>
      <c r="K75" s="1682"/>
      <c r="L75" s="1682"/>
      <c r="M75" s="1682"/>
      <c r="N75" s="1682"/>
      <c r="O75" s="1682"/>
      <c r="P75" s="1682"/>
      <c r="Q75" s="1682"/>
      <c r="R75" s="1682"/>
      <c r="S75" s="1682"/>
      <c r="T75" s="1682"/>
      <c r="U75" s="1682"/>
      <c r="V75" s="1682"/>
      <c r="W75" s="1682"/>
      <c r="X75" s="1682"/>
      <c r="Y75" s="1682"/>
      <c r="Z75" s="1682"/>
      <c r="AA75" s="1682"/>
      <c r="AB75" s="1682"/>
      <c r="AC75" s="1682"/>
      <c r="AD75" s="1682"/>
      <c r="AE75" s="1682"/>
      <c r="AF75" s="1682"/>
      <c r="AG75" s="1682"/>
      <c r="AH75" s="1683"/>
    </row>
    <row r="76" spans="2:34">
      <c r="B76" s="1150"/>
      <c r="D76" s="1681"/>
      <c r="E76" s="1682"/>
      <c r="F76" s="1682"/>
      <c r="G76" s="1682"/>
      <c r="H76" s="1682"/>
      <c r="I76" s="1682"/>
      <c r="J76" s="1682"/>
      <c r="K76" s="1682"/>
      <c r="L76" s="1682"/>
      <c r="M76" s="1682"/>
      <c r="N76" s="1682"/>
      <c r="O76" s="1682"/>
      <c r="P76" s="1682"/>
      <c r="Q76" s="1682"/>
      <c r="R76" s="1682"/>
      <c r="S76" s="1682"/>
      <c r="T76" s="1682"/>
      <c r="U76" s="1682"/>
      <c r="V76" s="1682"/>
      <c r="W76" s="1682"/>
      <c r="X76" s="1682"/>
      <c r="Y76" s="1682"/>
      <c r="Z76" s="1682"/>
      <c r="AA76" s="1682"/>
      <c r="AB76" s="1682"/>
      <c r="AC76" s="1682"/>
      <c r="AD76" s="1682"/>
      <c r="AE76" s="1682"/>
      <c r="AF76" s="1682"/>
      <c r="AG76" s="1682"/>
      <c r="AH76" s="1683"/>
    </row>
    <row r="77" spans="2:34">
      <c r="B77" s="1150"/>
      <c r="D77" s="1681"/>
      <c r="E77" s="1682"/>
      <c r="F77" s="1682"/>
      <c r="G77" s="1682"/>
      <c r="H77" s="1682"/>
      <c r="I77" s="1682"/>
      <c r="J77" s="1682"/>
      <c r="K77" s="1682"/>
      <c r="L77" s="1682"/>
      <c r="M77" s="1682"/>
      <c r="N77" s="1682"/>
      <c r="O77" s="1682"/>
      <c r="P77" s="1682"/>
      <c r="Q77" s="1682"/>
      <c r="R77" s="1682"/>
      <c r="S77" s="1682"/>
      <c r="T77" s="1682"/>
      <c r="U77" s="1682"/>
      <c r="V77" s="1682"/>
      <c r="W77" s="1682"/>
      <c r="X77" s="1682"/>
      <c r="Y77" s="1682"/>
      <c r="Z77" s="1682"/>
      <c r="AA77" s="1682"/>
      <c r="AB77" s="1682"/>
      <c r="AC77" s="1682"/>
      <c r="AD77" s="1682"/>
      <c r="AE77" s="1682"/>
      <c r="AF77" s="1682"/>
      <c r="AG77" s="1682"/>
      <c r="AH77" s="1683"/>
    </row>
    <row r="78" spans="2:34">
      <c r="B78" s="1150"/>
      <c r="D78" s="1684"/>
      <c r="E78" s="1685"/>
      <c r="F78" s="1685"/>
      <c r="G78" s="1685"/>
      <c r="H78" s="1685"/>
      <c r="I78" s="1685"/>
      <c r="J78" s="1685"/>
      <c r="K78" s="1685"/>
      <c r="L78" s="1685"/>
      <c r="M78" s="1685"/>
      <c r="N78" s="1685"/>
      <c r="O78" s="1685"/>
      <c r="P78" s="1685"/>
      <c r="Q78" s="1685"/>
      <c r="R78" s="1685"/>
      <c r="S78" s="1685"/>
      <c r="T78" s="1685"/>
      <c r="U78" s="1685"/>
      <c r="V78" s="1685"/>
      <c r="W78" s="1685"/>
      <c r="X78" s="1685"/>
      <c r="Y78" s="1685"/>
      <c r="Z78" s="1685"/>
      <c r="AA78" s="1685"/>
      <c r="AB78" s="1685"/>
      <c r="AC78" s="1685"/>
      <c r="AD78" s="1685"/>
      <c r="AE78" s="1685"/>
      <c r="AF78" s="1685"/>
      <c r="AG78" s="1685"/>
      <c r="AH78" s="1686"/>
    </row>
    <row r="79" spans="2:34">
      <c r="B79" s="1150"/>
      <c r="D79" s="190"/>
      <c r="E79" s="190"/>
      <c r="F79" s="190"/>
      <c r="G79" s="190"/>
      <c r="H79" s="190"/>
      <c r="I79" s="190"/>
      <c r="J79" s="190"/>
      <c r="K79" s="190"/>
      <c r="L79" s="190"/>
      <c r="M79" s="190"/>
      <c r="N79" s="190"/>
      <c r="O79" s="190"/>
      <c r="P79" s="190"/>
      <c r="Q79" s="190"/>
      <c r="R79" s="190"/>
      <c r="S79" s="190"/>
      <c r="T79" s="190"/>
      <c r="U79" s="190"/>
      <c r="V79" s="190"/>
      <c r="W79" s="190"/>
      <c r="X79" s="190"/>
      <c r="Y79" s="469"/>
      <c r="Z79" s="469"/>
      <c r="AA79" s="469"/>
      <c r="AB79" s="469"/>
      <c r="AC79" s="469"/>
      <c r="AD79" s="469"/>
      <c r="AE79" s="469"/>
      <c r="AF79" s="469"/>
      <c r="AG79" s="469"/>
    </row>
    <row r="80" spans="2:34">
      <c r="D80" s="190"/>
      <c r="E80" s="190"/>
      <c r="F80" s="190"/>
      <c r="G80" s="190"/>
      <c r="H80" s="190"/>
      <c r="I80" s="190"/>
      <c r="J80" s="190"/>
      <c r="K80" s="190"/>
      <c r="L80" s="190"/>
      <c r="M80" s="190"/>
      <c r="N80" s="190"/>
      <c r="O80" s="190"/>
      <c r="P80" s="190"/>
      <c r="Q80" s="190"/>
      <c r="R80" s="190"/>
      <c r="S80" s="190"/>
      <c r="T80" s="190"/>
      <c r="U80" s="190"/>
      <c r="V80" s="190"/>
      <c r="W80" s="190"/>
      <c r="X80" s="190"/>
      <c r="Y80" s="469"/>
      <c r="Z80" s="469"/>
      <c r="AA80" s="469"/>
      <c r="AB80" s="469"/>
      <c r="AC80" s="469"/>
      <c r="AD80" s="469"/>
      <c r="AE80" s="469"/>
      <c r="AF80" s="469"/>
      <c r="AG80" s="469"/>
    </row>
    <row r="81" spans="2:34" ht="14.3" customHeight="1">
      <c r="B81" s="1149"/>
      <c r="C81" s="2" t="s">
        <v>529</v>
      </c>
      <c r="G81" s="1673" t="s">
        <v>530</v>
      </c>
      <c r="H81" s="1166"/>
      <c r="I81" s="1166"/>
      <c r="J81" s="1166"/>
      <c r="K81" s="1166"/>
      <c r="L81" s="1166"/>
      <c r="M81" s="1166"/>
      <c r="N81" s="1166"/>
      <c r="O81" s="1166"/>
      <c r="P81" s="1166"/>
      <c r="Q81" s="1166"/>
      <c r="R81" s="1166"/>
      <c r="S81" s="1166"/>
      <c r="T81" s="1166"/>
      <c r="U81" s="1166"/>
      <c r="V81" s="1166"/>
      <c r="W81" s="1166"/>
      <c r="X81" s="1166"/>
      <c r="Y81" s="1166"/>
      <c r="Z81" s="1166"/>
      <c r="AA81" s="1166"/>
      <c r="AB81" s="1166"/>
      <c r="AC81" s="1166"/>
      <c r="AD81" s="1166"/>
      <c r="AE81" s="1166"/>
      <c r="AF81" s="1166"/>
      <c r="AG81" s="1166"/>
      <c r="AH81" s="1166"/>
    </row>
    <row r="82" spans="2:34" ht="14.95" customHeight="1">
      <c r="B82" s="1149"/>
      <c r="C82" s="1674" t="s">
        <v>157</v>
      </c>
      <c r="D82" s="1676" t="s">
        <v>531</v>
      </c>
      <c r="E82" s="1677"/>
      <c r="F82" s="1677"/>
      <c r="G82" s="1673"/>
      <c r="H82" s="1166"/>
      <c r="I82" s="1166"/>
      <c r="J82" s="1166"/>
      <c r="K82" s="1166"/>
      <c r="L82" s="1166"/>
      <c r="M82" s="1166"/>
      <c r="N82" s="1166"/>
      <c r="O82" s="1166"/>
      <c r="P82" s="1166"/>
      <c r="Q82" s="1166"/>
      <c r="R82" s="1166"/>
      <c r="S82" s="1166"/>
      <c r="T82" s="1166"/>
      <c r="U82" s="1166"/>
      <c r="V82" s="1166"/>
      <c r="W82" s="1166"/>
      <c r="X82" s="1166"/>
      <c r="Y82" s="1166"/>
      <c r="Z82" s="1166"/>
      <c r="AA82" s="1166"/>
      <c r="AB82" s="1166"/>
      <c r="AC82" s="1166"/>
      <c r="AD82" s="1166"/>
      <c r="AE82" s="1166"/>
      <c r="AF82" s="1166"/>
      <c r="AG82" s="1166"/>
      <c r="AH82" s="1166"/>
    </row>
    <row r="83" spans="2:34" ht="14.95" customHeight="1">
      <c r="B83" s="1149"/>
      <c r="C83" s="1675"/>
      <c r="D83" s="1676"/>
      <c r="E83" s="1677"/>
      <c r="F83" s="1677"/>
      <c r="G83" s="1673"/>
      <c r="H83" s="1166"/>
      <c r="I83" s="1166"/>
      <c r="J83" s="1166"/>
      <c r="K83" s="1166"/>
      <c r="L83" s="1166"/>
      <c r="M83" s="1166"/>
      <c r="N83" s="1166"/>
      <c r="O83" s="1166"/>
      <c r="P83" s="1166"/>
      <c r="Q83" s="1166"/>
      <c r="R83" s="1166"/>
      <c r="S83" s="1166"/>
      <c r="T83" s="1166"/>
      <c r="U83" s="1166"/>
      <c r="V83" s="1166"/>
      <c r="W83" s="1166"/>
      <c r="X83" s="1166"/>
      <c r="Y83" s="1166"/>
      <c r="Z83" s="1166"/>
      <c r="AA83" s="1166"/>
      <c r="AB83" s="1166"/>
      <c r="AC83" s="1166"/>
      <c r="AD83" s="1166"/>
      <c r="AE83" s="1166"/>
      <c r="AF83" s="1166"/>
      <c r="AG83" s="1166"/>
      <c r="AH83" s="1166"/>
    </row>
    <row r="84" spans="2:34" ht="14.95" customHeight="1">
      <c r="B84" s="1149"/>
      <c r="C84" s="645"/>
      <c r="D84" s="1677"/>
      <c r="E84" s="1677"/>
      <c r="F84" s="1677"/>
      <c r="G84" s="1673"/>
      <c r="H84" s="1166"/>
      <c r="I84" s="1166"/>
      <c r="J84" s="1166"/>
      <c r="K84" s="1166"/>
      <c r="L84" s="1166"/>
      <c r="M84" s="1166"/>
      <c r="N84" s="1166"/>
      <c r="O84" s="1166"/>
      <c r="P84" s="1166"/>
      <c r="Q84" s="1166"/>
      <c r="R84" s="1166"/>
      <c r="S84" s="1166"/>
      <c r="T84" s="1166"/>
      <c r="U84" s="1166"/>
      <c r="V84" s="1166"/>
      <c r="W84" s="1166"/>
      <c r="X84" s="1166"/>
      <c r="Y84" s="1166"/>
      <c r="Z84" s="1166"/>
      <c r="AA84" s="1166"/>
      <c r="AB84" s="1166"/>
      <c r="AC84" s="1166"/>
      <c r="AD84" s="1166"/>
      <c r="AE84" s="1166"/>
      <c r="AF84" s="1166"/>
      <c r="AG84" s="1166"/>
      <c r="AH84" s="1166"/>
    </row>
    <row r="85" spans="2:34">
      <c r="B85" s="1149"/>
      <c r="C85" s="645"/>
      <c r="D85" s="1677"/>
      <c r="E85" s="1677"/>
      <c r="F85" s="1677"/>
      <c r="G85" s="1673"/>
      <c r="H85" s="1166"/>
      <c r="I85" s="1166"/>
      <c r="J85" s="1166"/>
      <c r="K85" s="1166"/>
      <c r="L85" s="1166"/>
      <c r="M85" s="1166"/>
      <c r="N85" s="1166"/>
      <c r="O85" s="1166"/>
      <c r="P85" s="1166"/>
      <c r="Q85" s="1166"/>
      <c r="R85" s="1166"/>
      <c r="S85" s="1166"/>
      <c r="T85" s="1166"/>
      <c r="U85" s="1166"/>
      <c r="V85" s="1166"/>
      <c r="W85" s="1166"/>
      <c r="X85" s="1166"/>
      <c r="Y85" s="1166"/>
      <c r="Z85" s="1166"/>
      <c r="AA85" s="1166"/>
      <c r="AB85" s="1166"/>
      <c r="AC85" s="1166"/>
      <c r="AD85" s="1166"/>
      <c r="AE85" s="1166"/>
      <c r="AF85" s="1166"/>
      <c r="AG85" s="1166"/>
      <c r="AH85" s="1166"/>
    </row>
    <row r="86" spans="2:34">
      <c r="B86" s="1149"/>
      <c r="C86" s="378"/>
      <c r="D86" s="469"/>
      <c r="E86" s="469"/>
      <c r="F86" s="469"/>
      <c r="G86" s="190"/>
      <c r="H86" s="190"/>
      <c r="I86" s="190"/>
      <c r="J86" s="190"/>
      <c r="K86" s="190"/>
      <c r="L86" s="190"/>
      <c r="M86" s="190"/>
      <c r="N86" s="190"/>
      <c r="O86" s="190"/>
      <c r="P86" s="190"/>
      <c r="Q86" s="190"/>
      <c r="R86" s="190"/>
      <c r="S86" s="190"/>
      <c r="T86" s="190"/>
      <c r="U86" s="190"/>
      <c r="V86" s="190"/>
      <c r="W86" s="190"/>
      <c r="X86" s="190"/>
      <c r="Y86" s="190"/>
      <c r="Z86" s="190"/>
      <c r="AA86" s="190"/>
      <c r="AB86" s="190"/>
      <c r="AC86" s="190"/>
      <c r="AD86" s="190"/>
      <c r="AE86" s="190"/>
      <c r="AF86" s="190"/>
      <c r="AG86" s="190"/>
      <c r="AH86" s="190"/>
    </row>
    <row r="87" spans="2:34">
      <c r="B87" s="1149"/>
      <c r="D87" t="s">
        <v>528</v>
      </c>
      <c r="G87" s="190"/>
      <c r="H87" s="190"/>
      <c r="I87" s="190"/>
      <c r="J87" s="190"/>
      <c r="K87" s="190"/>
      <c r="L87" s="190"/>
      <c r="M87" s="190"/>
      <c r="N87" s="190"/>
      <c r="O87" s="190"/>
      <c r="P87" s="190"/>
      <c r="Q87" s="190"/>
      <c r="R87" s="190"/>
      <c r="S87" s="190"/>
      <c r="T87" s="190"/>
      <c r="U87" s="190"/>
      <c r="V87" s="190"/>
      <c r="W87" s="190"/>
      <c r="X87" s="190"/>
      <c r="Y87" s="469"/>
      <c r="Z87" s="469"/>
      <c r="AA87" s="469"/>
      <c r="AB87" s="469"/>
      <c r="AC87" s="469"/>
      <c r="AD87" s="469"/>
      <c r="AE87" s="469"/>
      <c r="AF87" s="469"/>
      <c r="AG87" s="469"/>
    </row>
    <row r="88" spans="2:34">
      <c r="B88" s="1149"/>
      <c r="D88" s="1678"/>
      <c r="E88" s="1679"/>
      <c r="F88" s="1679"/>
      <c r="G88" s="1679"/>
      <c r="H88" s="1679"/>
      <c r="I88" s="1679"/>
      <c r="J88" s="1679"/>
      <c r="K88" s="1679"/>
      <c r="L88" s="1679"/>
      <c r="M88" s="1679"/>
      <c r="N88" s="1679"/>
      <c r="O88" s="1679"/>
      <c r="P88" s="1679"/>
      <c r="Q88" s="1679"/>
      <c r="R88" s="1679"/>
      <c r="S88" s="1679"/>
      <c r="T88" s="1679"/>
      <c r="U88" s="1679"/>
      <c r="V88" s="1679"/>
      <c r="W88" s="1679"/>
      <c r="X88" s="1679"/>
      <c r="Y88" s="1679"/>
      <c r="Z88" s="1679"/>
      <c r="AA88" s="1679"/>
      <c r="AB88" s="1679"/>
      <c r="AC88" s="1679"/>
      <c r="AD88" s="1679"/>
      <c r="AE88" s="1679"/>
      <c r="AF88" s="1679"/>
      <c r="AG88" s="1679"/>
      <c r="AH88" s="1680"/>
    </row>
    <row r="89" spans="2:34">
      <c r="B89" s="1149"/>
      <c r="D89" s="1681"/>
      <c r="E89" s="1682"/>
      <c r="F89" s="1682"/>
      <c r="G89" s="1682"/>
      <c r="H89" s="1682"/>
      <c r="I89" s="1682"/>
      <c r="J89" s="1682"/>
      <c r="K89" s="1682"/>
      <c r="L89" s="1682"/>
      <c r="M89" s="1682"/>
      <c r="N89" s="1682"/>
      <c r="O89" s="1682"/>
      <c r="P89" s="1682"/>
      <c r="Q89" s="1682"/>
      <c r="R89" s="1682"/>
      <c r="S89" s="1682"/>
      <c r="T89" s="1682"/>
      <c r="U89" s="1682"/>
      <c r="V89" s="1682"/>
      <c r="W89" s="1682"/>
      <c r="X89" s="1682"/>
      <c r="Y89" s="1682"/>
      <c r="Z89" s="1682"/>
      <c r="AA89" s="1682"/>
      <c r="AB89" s="1682"/>
      <c r="AC89" s="1682"/>
      <c r="AD89" s="1682"/>
      <c r="AE89" s="1682"/>
      <c r="AF89" s="1682"/>
      <c r="AG89" s="1682"/>
      <c r="AH89" s="1683"/>
    </row>
    <row r="90" spans="2:34">
      <c r="B90" s="1149"/>
      <c r="D90" s="1681"/>
      <c r="E90" s="1682"/>
      <c r="F90" s="1682"/>
      <c r="G90" s="1682"/>
      <c r="H90" s="1682"/>
      <c r="I90" s="1682"/>
      <c r="J90" s="1682"/>
      <c r="K90" s="1682"/>
      <c r="L90" s="1682"/>
      <c r="M90" s="1682"/>
      <c r="N90" s="1682"/>
      <c r="O90" s="1682"/>
      <c r="P90" s="1682"/>
      <c r="Q90" s="1682"/>
      <c r="R90" s="1682"/>
      <c r="S90" s="1682"/>
      <c r="T90" s="1682"/>
      <c r="U90" s="1682"/>
      <c r="V90" s="1682"/>
      <c r="W90" s="1682"/>
      <c r="X90" s="1682"/>
      <c r="Y90" s="1682"/>
      <c r="Z90" s="1682"/>
      <c r="AA90" s="1682"/>
      <c r="AB90" s="1682"/>
      <c r="AC90" s="1682"/>
      <c r="AD90" s="1682"/>
      <c r="AE90" s="1682"/>
      <c r="AF90" s="1682"/>
      <c r="AG90" s="1682"/>
      <c r="AH90" s="1683"/>
    </row>
    <row r="91" spans="2:34">
      <c r="B91" s="1149"/>
      <c r="D91" s="1681"/>
      <c r="E91" s="1682"/>
      <c r="F91" s="1682"/>
      <c r="G91" s="1682"/>
      <c r="H91" s="1682"/>
      <c r="I91" s="1682"/>
      <c r="J91" s="1682"/>
      <c r="K91" s="1682"/>
      <c r="L91" s="1682"/>
      <c r="M91" s="1682"/>
      <c r="N91" s="1682"/>
      <c r="O91" s="1682"/>
      <c r="P91" s="1682"/>
      <c r="Q91" s="1682"/>
      <c r="R91" s="1682"/>
      <c r="S91" s="1682"/>
      <c r="T91" s="1682"/>
      <c r="U91" s="1682"/>
      <c r="V91" s="1682"/>
      <c r="W91" s="1682"/>
      <c r="X91" s="1682"/>
      <c r="Y91" s="1682"/>
      <c r="Z91" s="1682"/>
      <c r="AA91" s="1682"/>
      <c r="AB91" s="1682"/>
      <c r="AC91" s="1682"/>
      <c r="AD91" s="1682"/>
      <c r="AE91" s="1682"/>
      <c r="AF91" s="1682"/>
      <c r="AG91" s="1682"/>
      <c r="AH91" s="1683"/>
    </row>
    <row r="92" spans="2:34">
      <c r="B92" s="1149"/>
      <c r="D92" s="1681"/>
      <c r="E92" s="1682"/>
      <c r="F92" s="1682"/>
      <c r="G92" s="1682"/>
      <c r="H92" s="1682"/>
      <c r="I92" s="1682"/>
      <c r="J92" s="1682"/>
      <c r="K92" s="1682"/>
      <c r="L92" s="1682"/>
      <c r="M92" s="1682"/>
      <c r="N92" s="1682"/>
      <c r="O92" s="1682"/>
      <c r="P92" s="1682"/>
      <c r="Q92" s="1682"/>
      <c r="R92" s="1682"/>
      <c r="S92" s="1682"/>
      <c r="T92" s="1682"/>
      <c r="U92" s="1682"/>
      <c r="V92" s="1682"/>
      <c r="W92" s="1682"/>
      <c r="X92" s="1682"/>
      <c r="Y92" s="1682"/>
      <c r="Z92" s="1682"/>
      <c r="AA92" s="1682"/>
      <c r="AB92" s="1682"/>
      <c r="AC92" s="1682"/>
      <c r="AD92" s="1682"/>
      <c r="AE92" s="1682"/>
      <c r="AF92" s="1682"/>
      <c r="AG92" s="1682"/>
      <c r="AH92" s="1683"/>
    </row>
    <row r="93" spans="2:34">
      <c r="B93" s="1149"/>
      <c r="D93" s="1684"/>
      <c r="E93" s="1685"/>
      <c r="F93" s="1685"/>
      <c r="G93" s="1685"/>
      <c r="H93" s="1685"/>
      <c r="I93" s="1685"/>
      <c r="J93" s="1685"/>
      <c r="K93" s="1685"/>
      <c r="L93" s="1685"/>
      <c r="M93" s="1685"/>
      <c r="N93" s="1685"/>
      <c r="O93" s="1685"/>
      <c r="P93" s="1685"/>
      <c r="Q93" s="1685"/>
      <c r="R93" s="1685"/>
      <c r="S93" s="1685"/>
      <c r="T93" s="1685"/>
      <c r="U93" s="1685"/>
      <c r="V93" s="1685"/>
      <c r="W93" s="1685"/>
      <c r="X93" s="1685"/>
      <c r="Y93" s="1685"/>
      <c r="Z93" s="1685"/>
      <c r="AA93" s="1685"/>
      <c r="AB93" s="1685"/>
      <c r="AC93" s="1685"/>
      <c r="AD93" s="1685"/>
      <c r="AE93" s="1685"/>
      <c r="AF93" s="1685"/>
      <c r="AG93" s="1685"/>
      <c r="AH93" s="1686"/>
    </row>
    <row r="94" spans="2:34">
      <c r="B94" s="1149"/>
      <c r="D94" s="190"/>
      <c r="E94" s="190"/>
      <c r="F94" s="190"/>
      <c r="G94" s="190"/>
      <c r="H94" s="190"/>
      <c r="I94" s="190"/>
      <c r="J94" s="190"/>
      <c r="K94" s="190"/>
      <c r="L94" s="190"/>
      <c r="M94" s="190"/>
      <c r="N94" s="190"/>
      <c r="O94" s="190"/>
      <c r="P94" s="190"/>
      <c r="Q94" s="190"/>
      <c r="R94" s="190"/>
      <c r="S94" s="190"/>
      <c r="T94" s="190"/>
      <c r="U94" s="190"/>
      <c r="V94" s="190"/>
      <c r="W94" s="190"/>
      <c r="X94" s="190"/>
      <c r="Y94" s="469"/>
      <c r="Z94" s="469"/>
      <c r="AA94" s="469"/>
      <c r="AB94" s="469"/>
      <c r="AC94" s="469"/>
      <c r="AD94" s="469"/>
      <c r="AE94" s="469"/>
      <c r="AF94" s="469"/>
      <c r="AG94" s="469"/>
    </row>
    <row r="95" spans="2:34">
      <c r="B95" s="1149"/>
      <c r="G95" s="190"/>
      <c r="H95" s="190"/>
      <c r="I95" s="190"/>
      <c r="J95" s="190"/>
      <c r="K95" s="190"/>
      <c r="L95" s="190"/>
      <c r="M95" s="190"/>
      <c r="N95" s="190"/>
      <c r="O95" s="190"/>
      <c r="P95" s="190"/>
      <c r="Q95" s="190"/>
      <c r="R95" s="190"/>
      <c r="S95" s="190"/>
      <c r="T95" s="190"/>
      <c r="U95" s="190"/>
      <c r="V95" s="190"/>
      <c r="W95" s="190"/>
      <c r="X95" s="190"/>
      <c r="Y95" s="469"/>
      <c r="Z95" s="469"/>
      <c r="AA95" s="469"/>
      <c r="AB95" s="469"/>
      <c r="AC95" s="469"/>
      <c r="AD95" s="469"/>
      <c r="AE95" s="469"/>
      <c r="AF95" s="469"/>
      <c r="AG95" s="469"/>
    </row>
    <row r="96" spans="2:34" ht="14.3" customHeight="1">
      <c r="B96" s="1149"/>
      <c r="C96" s="2" t="s">
        <v>532</v>
      </c>
      <c r="G96" s="1673" t="s">
        <v>533</v>
      </c>
      <c r="H96" s="1166"/>
      <c r="I96" s="1166"/>
      <c r="J96" s="1166"/>
      <c r="K96" s="1166"/>
      <c r="L96" s="1166"/>
      <c r="M96" s="1166"/>
      <c r="N96" s="1166"/>
      <c r="O96" s="1166"/>
      <c r="P96" s="1166"/>
      <c r="Q96" s="1166"/>
      <c r="R96" s="1166"/>
      <c r="S96" s="1166"/>
      <c r="T96" s="1166"/>
      <c r="U96" s="1166"/>
      <c r="V96" s="1166"/>
      <c r="W96" s="1166"/>
      <c r="X96" s="1166"/>
      <c r="Y96" s="1166"/>
      <c r="Z96" s="1166"/>
      <c r="AA96" s="1166"/>
      <c r="AB96" s="1166"/>
      <c r="AC96" s="1166"/>
      <c r="AD96" s="1166"/>
      <c r="AE96" s="1166"/>
      <c r="AF96" s="1166"/>
      <c r="AG96" s="1166"/>
      <c r="AH96" s="1166"/>
    </row>
    <row r="97" spans="2:37" ht="14.95" customHeight="1">
      <c r="B97" s="1149"/>
      <c r="C97" s="1687">
        <v>0.75</v>
      </c>
      <c r="D97" s="1676" t="s">
        <v>534</v>
      </c>
      <c r="E97" s="1677"/>
      <c r="F97" s="1677"/>
      <c r="G97" s="1673"/>
      <c r="H97" s="1166"/>
      <c r="I97" s="1166"/>
      <c r="J97" s="1166"/>
      <c r="K97" s="1166"/>
      <c r="L97" s="1166"/>
      <c r="M97" s="1166"/>
      <c r="N97" s="1166"/>
      <c r="O97" s="1166"/>
      <c r="P97" s="1166"/>
      <c r="Q97" s="1166"/>
      <c r="R97" s="1166"/>
      <c r="S97" s="1166"/>
      <c r="T97" s="1166"/>
      <c r="U97" s="1166"/>
      <c r="V97" s="1166"/>
      <c r="W97" s="1166"/>
      <c r="X97" s="1166"/>
      <c r="Y97" s="1166"/>
      <c r="Z97" s="1166"/>
      <c r="AA97" s="1166"/>
      <c r="AB97" s="1166"/>
      <c r="AC97" s="1166"/>
      <c r="AD97" s="1166"/>
      <c r="AE97" s="1166"/>
      <c r="AF97" s="1166"/>
      <c r="AG97" s="1166"/>
      <c r="AH97" s="1166"/>
      <c r="AI97" s="190"/>
      <c r="AJ97" s="190"/>
      <c r="AK97" s="190"/>
    </row>
    <row r="98" spans="2:37">
      <c r="B98" s="1149"/>
      <c r="C98" s="1675"/>
      <c r="D98" s="1676"/>
      <c r="E98" s="1677"/>
      <c r="F98" s="1677"/>
      <c r="G98" s="1673"/>
      <c r="H98" s="1166"/>
      <c r="I98" s="1166"/>
      <c r="J98" s="1166"/>
      <c r="K98" s="1166"/>
      <c r="L98" s="1166"/>
      <c r="M98" s="1166"/>
      <c r="N98" s="1166"/>
      <c r="O98" s="1166"/>
      <c r="P98" s="1166"/>
      <c r="Q98" s="1166"/>
      <c r="R98" s="1166"/>
      <c r="S98" s="1166"/>
      <c r="T98" s="1166"/>
      <c r="U98" s="1166"/>
      <c r="V98" s="1166"/>
      <c r="W98" s="1166"/>
      <c r="X98" s="1166"/>
      <c r="Y98" s="1166"/>
      <c r="Z98" s="1166"/>
      <c r="AA98" s="1166"/>
      <c r="AB98" s="1166"/>
      <c r="AC98" s="1166"/>
      <c r="AD98" s="1166"/>
      <c r="AE98" s="1166"/>
      <c r="AF98" s="1166"/>
      <c r="AG98" s="1166"/>
      <c r="AH98" s="1166"/>
    </row>
    <row r="99" spans="2:37">
      <c r="B99" s="1149"/>
      <c r="G99" s="1673"/>
      <c r="H99" s="1166"/>
      <c r="I99" s="1166"/>
      <c r="J99" s="1166"/>
      <c r="K99" s="1166"/>
      <c r="L99" s="1166"/>
      <c r="M99" s="1166"/>
      <c r="N99" s="1166"/>
      <c r="O99" s="1166"/>
      <c r="P99" s="1166"/>
      <c r="Q99" s="1166"/>
      <c r="R99" s="1166"/>
      <c r="S99" s="1166"/>
      <c r="T99" s="1166"/>
      <c r="U99" s="1166"/>
      <c r="V99" s="1166"/>
      <c r="W99" s="1166"/>
      <c r="X99" s="1166"/>
      <c r="Y99" s="1166"/>
      <c r="Z99" s="1166"/>
      <c r="AA99" s="1166"/>
      <c r="AB99" s="1166"/>
      <c r="AC99" s="1166"/>
      <c r="AD99" s="1166"/>
      <c r="AE99" s="1166"/>
      <c r="AF99" s="1166"/>
      <c r="AG99" s="1166"/>
      <c r="AH99" s="1166"/>
    </row>
    <row r="100" spans="2:37">
      <c r="B100" s="1149"/>
      <c r="G100" s="1673"/>
      <c r="H100" s="1166"/>
      <c r="I100" s="1166"/>
      <c r="J100" s="1166"/>
      <c r="K100" s="1166"/>
      <c r="L100" s="1166"/>
      <c r="M100" s="1166"/>
      <c r="N100" s="1166"/>
      <c r="O100" s="1166"/>
      <c r="P100" s="1166"/>
      <c r="Q100" s="1166"/>
      <c r="R100" s="1166"/>
      <c r="S100" s="1166"/>
      <c r="T100" s="1166"/>
      <c r="U100" s="1166"/>
      <c r="V100" s="1166"/>
      <c r="W100" s="1166"/>
      <c r="X100" s="1166"/>
      <c r="Y100" s="1166"/>
      <c r="Z100" s="1166"/>
      <c r="AA100" s="1166"/>
      <c r="AB100" s="1166"/>
      <c r="AC100" s="1166"/>
      <c r="AD100" s="1166"/>
      <c r="AE100" s="1166"/>
      <c r="AF100" s="1166"/>
      <c r="AG100" s="1166"/>
      <c r="AH100" s="1166"/>
    </row>
    <row r="101" spans="2:37">
      <c r="B101" s="1149"/>
      <c r="G101" s="1673"/>
      <c r="H101" s="1166"/>
      <c r="I101" s="1166"/>
      <c r="J101" s="1166"/>
      <c r="K101" s="1166"/>
      <c r="L101" s="1166"/>
      <c r="M101" s="1166"/>
      <c r="N101" s="1166"/>
      <c r="O101" s="1166"/>
      <c r="P101" s="1166"/>
      <c r="Q101" s="1166"/>
      <c r="R101" s="1166"/>
      <c r="S101" s="1166"/>
      <c r="T101" s="1166"/>
      <c r="U101" s="1166"/>
      <c r="V101" s="1166"/>
      <c r="W101" s="1166"/>
      <c r="X101" s="1166"/>
      <c r="Y101" s="1166"/>
      <c r="Z101" s="1166"/>
      <c r="AA101" s="1166"/>
      <c r="AB101" s="1166"/>
      <c r="AC101" s="1166"/>
      <c r="AD101" s="1166"/>
      <c r="AE101" s="1166"/>
      <c r="AF101" s="1166"/>
      <c r="AG101" s="1166"/>
      <c r="AH101" s="1166"/>
    </row>
    <row r="102" spans="2:37">
      <c r="B102" s="1149"/>
      <c r="G102" s="1673"/>
      <c r="H102" s="1166"/>
      <c r="I102" s="1166"/>
      <c r="J102" s="1166"/>
      <c r="K102" s="1166"/>
      <c r="L102" s="1166"/>
      <c r="M102" s="1166"/>
      <c r="N102" s="1166"/>
      <c r="O102" s="1166"/>
      <c r="P102" s="1166"/>
      <c r="Q102" s="1166"/>
      <c r="R102" s="1166"/>
      <c r="S102" s="1166"/>
      <c r="T102" s="1166"/>
      <c r="U102" s="1166"/>
      <c r="V102" s="1166"/>
      <c r="W102" s="1166"/>
      <c r="X102" s="1166"/>
      <c r="Y102" s="1166"/>
      <c r="Z102" s="1166"/>
      <c r="AA102" s="1166"/>
      <c r="AB102" s="1166"/>
      <c r="AC102" s="1166"/>
      <c r="AD102" s="1166"/>
      <c r="AE102" s="1166"/>
      <c r="AF102" s="1166"/>
      <c r="AG102" s="1166"/>
      <c r="AH102" s="1166"/>
    </row>
    <row r="103" spans="2:37">
      <c r="B103" s="1149"/>
      <c r="G103" s="1673"/>
      <c r="H103" s="1166"/>
      <c r="I103" s="1166"/>
      <c r="J103" s="1166"/>
      <c r="K103" s="1166"/>
      <c r="L103" s="1166"/>
      <c r="M103" s="1166"/>
      <c r="N103" s="1166"/>
      <c r="O103" s="1166"/>
      <c r="P103" s="1166"/>
      <c r="Q103" s="1166"/>
      <c r="R103" s="1166"/>
      <c r="S103" s="1166"/>
      <c r="T103" s="1166"/>
      <c r="U103" s="1166"/>
      <c r="V103" s="1166"/>
      <c r="W103" s="1166"/>
      <c r="X103" s="1166"/>
      <c r="Y103" s="1166"/>
      <c r="Z103" s="1166"/>
      <c r="AA103" s="1166"/>
      <c r="AB103" s="1166"/>
      <c r="AC103" s="1166"/>
      <c r="AD103" s="1166"/>
      <c r="AE103" s="1166"/>
      <c r="AF103" s="1166"/>
      <c r="AG103" s="1166"/>
      <c r="AH103" s="1166"/>
    </row>
    <row r="104" spans="2:37">
      <c r="B104" s="1149"/>
      <c r="D104" t="s">
        <v>528</v>
      </c>
      <c r="G104" s="190"/>
      <c r="H104" s="190"/>
      <c r="I104" s="190"/>
      <c r="J104" s="190"/>
      <c r="K104" s="190"/>
      <c r="L104" s="190"/>
      <c r="M104" s="190"/>
      <c r="N104" s="190"/>
      <c r="O104" s="190"/>
      <c r="P104" s="190"/>
      <c r="Q104" s="190"/>
      <c r="R104" s="190"/>
      <c r="S104" s="190"/>
      <c r="T104" s="190"/>
      <c r="U104" s="190"/>
      <c r="V104" s="190"/>
      <c r="W104" s="190"/>
      <c r="X104" s="190"/>
      <c r="Y104" s="469"/>
    </row>
    <row r="105" spans="2:37">
      <c r="B105" s="1149"/>
      <c r="D105" s="1678"/>
      <c r="E105" s="1679"/>
      <c r="F105" s="1679"/>
      <c r="G105" s="1679"/>
      <c r="H105" s="1679"/>
      <c r="I105" s="1679"/>
      <c r="J105" s="1679"/>
      <c r="K105" s="1679"/>
      <c r="L105" s="1679"/>
      <c r="M105" s="1679"/>
      <c r="N105" s="1679"/>
      <c r="O105" s="1679"/>
      <c r="P105" s="1679"/>
      <c r="Q105" s="1679"/>
      <c r="R105" s="1679"/>
      <c r="S105" s="1679"/>
      <c r="T105" s="1679"/>
      <c r="U105" s="1679"/>
      <c r="V105" s="1679"/>
      <c r="W105" s="1679"/>
      <c r="X105" s="1679"/>
      <c r="Y105" s="1679"/>
      <c r="Z105" s="1679"/>
      <c r="AA105" s="1679"/>
      <c r="AB105" s="1679"/>
      <c r="AC105" s="1679"/>
      <c r="AD105" s="1679"/>
      <c r="AE105" s="1679"/>
      <c r="AF105" s="1679"/>
      <c r="AG105" s="1679"/>
      <c r="AH105" s="1680"/>
    </row>
    <row r="106" spans="2:37">
      <c r="B106" s="1149"/>
      <c r="D106" s="1681"/>
      <c r="E106" s="1682"/>
      <c r="F106" s="1682"/>
      <c r="G106" s="1682"/>
      <c r="H106" s="1682"/>
      <c r="I106" s="1682"/>
      <c r="J106" s="1682"/>
      <c r="K106" s="1682"/>
      <c r="L106" s="1682"/>
      <c r="M106" s="1682"/>
      <c r="N106" s="1682"/>
      <c r="O106" s="1682"/>
      <c r="P106" s="1682"/>
      <c r="Q106" s="1682"/>
      <c r="R106" s="1682"/>
      <c r="S106" s="1682"/>
      <c r="T106" s="1682"/>
      <c r="U106" s="1682"/>
      <c r="V106" s="1682"/>
      <c r="W106" s="1682"/>
      <c r="X106" s="1682"/>
      <c r="Y106" s="1682"/>
      <c r="Z106" s="1682"/>
      <c r="AA106" s="1682"/>
      <c r="AB106" s="1682"/>
      <c r="AC106" s="1682"/>
      <c r="AD106" s="1682"/>
      <c r="AE106" s="1682"/>
      <c r="AF106" s="1682"/>
      <c r="AG106" s="1682"/>
      <c r="AH106" s="1683"/>
    </row>
    <row r="107" spans="2:37">
      <c r="B107" s="1149"/>
      <c r="D107" s="1681"/>
      <c r="E107" s="1682"/>
      <c r="F107" s="1682"/>
      <c r="G107" s="1682"/>
      <c r="H107" s="1682"/>
      <c r="I107" s="1682"/>
      <c r="J107" s="1682"/>
      <c r="K107" s="1682"/>
      <c r="L107" s="1682"/>
      <c r="M107" s="1682"/>
      <c r="N107" s="1682"/>
      <c r="O107" s="1682"/>
      <c r="P107" s="1682"/>
      <c r="Q107" s="1682"/>
      <c r="R107" s="1682"/>
      <c r="S107" s="1682"/>
      <c r="T107" s="1682"/>
      <c r="U107" s="1682"/>
      <c r="V107" s="1682"/>
      <c r="W107" s="1682"/>
      <c r="X107" s="1682"/>
      <c r="Y107" s="1682"/>
      <c r="Z107" s="1682"/>
      <c r="AA107" s="1682"/>
      <c r="AB107" s="1682"/>
      <c r="AC107" s="1682"/>
      <c r="AD107" s="1682"/>
      <c r="AE107" s="1682"/>
      <c r="AF107" s="1682"/>
      <c r="AG107" s="1682"/>
      <c r="AH107" s="1683"/>
    </row>
    <row r="108" spans="2:37">
      <c r="B108" s="1149"/>
      <c r="D108" s="1681"/>
      <c r="E108" s="1682"/>
      <c r="F108" s="1682"/>
      <c r="G108" s="1682"/>
      <c r="H108" s="1682"/>
      <c r="I108" s="1682"/>
      <c r="J108" s="1682"/>
      <c r="K108" s="1682"/>
      <c r="L108" s="1682"/>
      <c r="M108" s="1682"/>
      <c r="N108" s="1682"/>
      <c r="O108" s="1682"/>
      <c r="P108" s="1682"/>
      <c r="Q108" s="1682"/>
      <c r="R108" s="1682"/>
      <c r="S108" s="1682"/>
      <c r="T108" s="1682"/>
      <c r="U108" s="1682"/>
      <c r="V108" s="1682"/>
      <c r="W108" s="1682"/>
      <c r="X108" s="1682"/>
      <c r="Y108" s="1682"/>
      <c r="Z108" s="1682"/>
      <c r="AA108" s="1682"/>
      <c r="AB108" s="1682"/>
      <c r="AC108" s="1682"/>
      <c r="AD108" s="1682"/>
      <c r="AE108" s="1682"/>
      <c r="AF108" s="1682"/>
      <c r="AG108" s="1682"/>
      <c r="AH108" s="1683"/>
    </row>
    <row r="109" spans="2:37">
      <c r="B109" s="1149"/>
      <c r="D109" s="1681"/>
      <c r="E109" s="1682"/>
      <c r="F109" s="1682"/>
      <c r="G109" s="1682"/>
      <c r="H109" s="1682"/>
      <c r="I109" s="1682"/>
      <c r="J109" s="1682"/>
      <c r="K109" s="1682"/>
      <c r="L109" s="1682"/>
      <c r="M109" s="1682"/>
      <c r="N109" s="1682"/>
      <c r="O109" s="1682"/>
      <c r="P109" s="1682"/>
      <c r="Q109" s="1682"/>
      <c r="R109" s="1682"/>
      <c r="S109" s="1682"/>
      <c r="T109" s="1682"/>
      <c r="U109" s="1682"/>
      <c r="V109" s="1682"/>
      <c r="W109" s="1682"/>
      <c r="X109" s="1682"/>
      <c r="Y109" s="1682"/>
      <c r="Z109" s="1682"/>
      <c r="AA109" s="1682"/>
      <c r="AB109" s="1682"/>
      <c r="AC109" s="1682"/>
      <c r="AD109" s="1682"/>
      <c r="AE109" s="1682"/>
      <c r="AF109" s="1682"/>
      <c r="AG109" s="1682"/>
      <c r="AH109" s="1683"/>
    </row>
    <row r="110" spans="2:37">
      <c r="B110" s="1149"/>
      <c r="D110" s="1684"/>
      <c r="E110" s="1685"/>
      <c r="F110" s="1685"/>
      <c r="G110" s="1685"/>
      <c r="H110" s="1685"/>
      <c r="I110" s="1685"/>
      <c r="J110" s="1685"/>
      <c r="K110" s="1685"/>
      <c r="L110" s="1685"/>
      <c r="M110" s="1685"/>
      <c r="N110" s="1685"/>
      <c r="O110" s="1685"/>
      <c r="P110" s="1685"/>
      <c r="Q110" s="1685"/>
      <c r="R110" s="1685"/>
      <c r="S110" s="1685"/>
      <c r="T110" s="1685"/>
      <c r="U110" s="1685"/>
      <c r="V110" s="1685"/>
      <c r="W110" s="1685"/>
      <c r="X110" s="1685"/>
      <c r="Y110" s="1685"/>
      <c r="Z110" s="1685"/>
      <c r="AA110" s="1685"/>
      <c r="AB110" s="1685"/>
      <c r="AC110" s="1685"/>
      <c r="AD110" s="1685"/>
      <c r="AE110" s="1685"/>
      <c r="AF110" s="1685"/>
      <c r="AG110" s="1685"/>
      <c r="AH110" s="1686"/>
    </row>
    <row r="111" spans="2:37">
      <c r="B111" s="1149"/>
      <c r="D111" s="190"/>
      <c r="E111" s="190"/>
      <c r="F111" s="190"/>
      <c r="G111" s="190"/>
      <c r="H111" s="190"/>
      <c r="I111" s="190"/>
      <c r="J111" s="190"/>
      <c r="K111" s="190"/>
      <c r="L111" s="190"/>
      <c r="M111" s="190"/>
      <c r="N111" s="190"/>
      <c r="O111" s="190"/>
      <c r="P111" s="190"/>
      <c r="Q111" s="190"/>
      <c r="R111" s="190"/>
      <c r="S111" s="190"/>
      <c r="T111" s="190"/>
      <c r="U111" s="190"/>
      <c r="V111" s="190"/>
      <c r="W111" s="190"/>
      <c r="X111" s="190"/>
      <c r="Y111" s="469"/>
      <c r="Z111" s="469"/>
      <c r="AA111" s="469"/>
      <c r="AB111" s="469"/>
      <c r="AC111" s="469"/>
      <c r="AD111" s="469"/>
      <c r="AE111" s="469"/>
      <c r="AF111" s="469"/>
      <c r="AG111" s="469"/>
    </row>
    <row r="113" spans="2:37" ht="14.3" customHeight="1">
      <c r="B113" s="1149"/>
      <c r="C113" s="2" t="s">
        <v>535</v>
      </c>
      <c r="G113" s="1673" t="s">
        <v>536</v>
      </c>
      <c r="H113" s="1166"/>
      <c r="I113" s="1166"/>
      <c r="J113" s="1166"/>
      <c r="K113" s="1166"/>
      <c r="L113" s="1166"/>
      <c r="M113" s="1166"/>
      <c r="N113" s="1166"/>
      <c r="O113" s="1166"/>
      <c r="P113" s="1166"/>
      <c r="Q113" s="1166"/>
      <c r="R113" s="1166"/>
      <c r="S113" s="1166"/>
      <c r="T113" s="1166"/>
      <c r="U113" s="1166"/>
      <c r="V113" s="1166"/>
      <c r="W113" s="1166"/>
      <c r="X113" s="1166"/>
      <c r="Y113" s="1166"/>
      <c r="Z113" s="1166"/>
      <c r="AA113" s="1166"/>
      <c r="AB113" s="1166"/>
      <c r="AC113" s="1166"/>
      <c r="AD113" s="1166"/>
      <c r="AE113" s="1166"/>
      <c r="AF113" s="1166"/>
      <c r="AG113" s="1166"/>
      <c r="AH113" s="1166"/>
    </row>
    <row r="114" spans="2:37" ht="14.95" customHeight="1">
      <c r="B114" s="1149"/>
      <c r="C114" s="1674"/>
      <c r="D114" s="1677" t="s">
        <v>537</v>
      </c>
      <c r="E114" s="1677"/>
      <c r="F114" s="1677"/>
      <c r="G114" s="1673"/>
      <c r="H114" s="1166"/>
      <c r="I114" s="1166"/>
      <c r="J114" s="1166"/>
      <c r="K114" s="1166"/>
      <c r="L114" s="1166"/>
      <c r="M114" s="1166"/>
      <c r="N114" s="1166"/>
      <c r="O114" s="1166"/>
      <c r="P114" s="1166"/>
      <c r="Q114" s="1166"/>
      <c r="R114" s="1166"/>
      <c r="S114" s="1166"/>
      <c r="T114" s="1166"/>
      <c r="U114" s="1166"/>
      <c r="V114" s="1166"/>
      <c r="W114" s="1166"/>
      <c r="X114" s="1166"/>
      <c r="Y114" s="1166"/>
      <c r="Z114" s="1166"/>
      <c r="AA114" s="1166"/>
      <c r="AB114" s="1166"/>
      <c r="AC114" s="1166"/>
      <c r="AD114" s="1166"/>
      <c r="AE114" s="1166"/>
      <c r="AF114" s="1166"/>
      <c r="AG114" s="1166"/>
      <c r="AH114" s="1166"/>
    </row>
    <row r="115" spans="2:37">
      <c r="B115" s="1149"/>
      <c r="C115" s="1675"/>
      <c r="D115" s="1677"/>
      <c r="E115" s="1677"/>
      <c r="F115" s="1677"/>
      <c r="G115" s="1673"/>
      <c r="H115" s="1166"/>
      <c r="I115" s="1166"/>
      <c r="J115" s="1166"/>
      <c r="K115" s="1166"/>
      <c r="L115" s="1166"/>
      <c r="M115" s="1166"/>
      <c r="N115" s="1166"/>
      <c r="O115" s="1166"/>
      <c r="P115" s="1166"/>
      <c r="Q115" s="1166"/>
      <c r="R115" s="1166"/>
      <c r="S115" s="1166"/>
      <c r="T115" s="1166"/>
      <c r="U115" s="1166"/>
      <c r="V115" s="1166"/>
      <c r="W115" s="1166"/>
      <c r="X115" s="1166"/>
      <c r="Y115" s="1166"/>
      <c r="Z115" s="1166"/>
      <c r="AA115" s="1166"/>
      <c r="AB115" s="1166"/>
      <c r="AC115" s="1166"/>
      <c r="AD115" s="1166"/>
      <c r="AE115" s="1166"/>
      <c r="AF115" s="1166"/>
      <c r="AG115" s="1166"/>
      <c r="AH115" s="1166"/>
    </row>
    <row r="116" spans="2:37">
      <c r="B116" s="1149"/>
      <c r="D116" s="1677"/>
      <c r="E116" s="1677"/>
      <c r="F116" s="1677"/>
      <c r="W116" s="190"/>
      <c r="X116" s="190"/>
      <c r="Y116" s="190"/>
    </row>
    <row r="117" spans="2:37">
      <c r="B117" s="1149"/>
      <c r="D117" s="469"/>
      <c r="E117" s="469"/>
      <c r="F117" s="469"/>
      <c r="W117" s="190"/>
      <c r="X117" s="190"/>
      <c r="Y117" s="190"/>
    </row>
    <row r="118" spans="2:37">
      <c r="B118" s="1149"/>
      <c r="D118" t="s">
        <v>528</v>
      </c>
      <c r="G118" s="190"/>
      <c r="H118" s="190"/>
      <c r="I118" s="190"/>
      <c r="J118" s="190"/>
      <c r="K118" s="190"/>
      <c r="L118" s="190"/>
      <c r="M118" s="190"/>
      <c r="N118" s="190"/>
      <c r="O118" s="190"/>
      <c r="P118" s="190"/>
      <c r="Q118" s="190"/>
      <c r="R118" s="190"/>
      <c r="S118" s="190"/>
      <c r="T118" s="190"/>
      <c r="U118" s="190"/>
      <c r="V118" s="190"/>
      <c r="W118" s="190"/>
      <c r="X118" s="190"/>
      <c r="Y118" s="469"/>
      <c r="Z118" s="469"/>
      <c r="AA118" s="469"/>
      <c r="AB118" s="469"/>
      <c r="AC118" s="469"/>
      <c r="AD118" s="469"/>
      <c r="AE118" s="469"/>
      <c r="AF118" s="469"/>
      <c r="AG118" s="469"/>
    </row>
    <row r="119" spans="2:37">
      <c r="B119" s="1149"/>
      <c r="D119" s="1678"/>
      <c r="E119" s="1679"/>
      <c r="F119" s="1679"/>
      <c r="G119" s="1679"/>
      <c r="H119" s="1679"/>
      <c r="I119" s="1679"/>
      <c r="J119" s="1679"/>
      <c r="K119" s="1679"/>
      <c r="L119" s="1679"/>
      <c r="M119" s="1679"/>
      <c r="N119" s="1679"/>
      <c r="O119" s="1679"/>
      <c r="P119" s="1679"/>
      <c r="Q119" s="1679"/>
      <c r="R119" s="1679"/>
      <c r="S119" s="1679"/>
      <c r="T119" s="1679"/>
      <c r="U119" s="1679"/>
      <c r="V119" s="1679"/>
      <c r="W119" s="1679"/>
      <c r="X119" s="1679"/>
      <c r="Y119" s="1679"/>
      <c r="Z119" s="1679"/>
      <c r="AA119" s="1679"/>
      <c r="AB119" s="1679"/>
      <c r="AC119" s="1679"/>
      <c r="AD119" s="1679"/>
      <c r="AE119" s="1679"/>
      <c r="AF119" s="1679"/>
      <c r="AG119" s="1679"/>
      <c r="AH119" s="1680"/>
    </row>
    <row r="120" spans="2:37">
      <c r="B120" s="1149"/>
      <c r="D120" s="1681"/>
      <c r="E120" s="1682"/>
      <c r="F120" s="1682"/>
      <c r="G120" s="1682"/>
      <c r="H120" s="1682"/>
      <c r="I120" s="1682"/>
      <c r="J120" s="1682"/>
      <c r="K120" s="1682"/>
      <c r="L120" s="1682"/>
      <c r="M120" s="1682"/>
      <c r="N120" s="1682"/>
      <c r="O120" s="1682"/>
      <c r="P120" s="1682"/>
      <c r="Q120" s="1682"/>
      <c r="R120" s="1682"/>
      <c r="S120" s="1682"/>
      <c r="T120" s="1682"/>
      <c r="U120" s="1682"/>
      <c r="V120" s="1682"/>
      <c r="W120" s="1682"/>
      <c r="X120" s="1682"/>
      <c r="Y120" s="1682"/>
      <c r="Z120" s="1682"/>
      <c r="AA120" s="1682"/>
      <c r="AB120" s="1682"/>
      <c r="AC120" s="1682"/>
      <c r="AD120" s="1682"/>
      <c r="AE120" s="1682"/>
      <c r="AF120" s="1682"/>
      <c r="AG120" s="1682"/>
      <c r="AH120" s="1683"/>
    </row>
    <row r="121" spans="2:37">
      <c r="B121" s="1149"/>
      <c r="D121" s="1681"/>
      <c r="E121" s="1682"/>
      <c r="F121" s="1682"/>
      <c r="G121" s="1682"/>
      <c r="H121" s="1682"/>
      <c r="I121" s="1682"/>
      <c r="J121" s="1682"/>
      <c r="K121" s="1682"/>
      <c r="L121" s="1682"/>
      <c r="M121" s="1682"/>
      <c r="N121" s="1682"/>
      <c r="O121" s="1682"/>
      <c r="P121" s="1682"/>
      <c r="Q121" s="1682"/>
      <c r="R121" s="1682"/>
      <c r="S121" s="1682"/>
      <c r="T121" s="1682"/>
      <c r="U121" s="1682"/>
      <c r="V121" s="1682"/>
      <c r="W121" s="1682"/>
      <c r="X121" s="1682"/>
      <c r="Y121" s="1682"/>
      <c r="Z121" s="1682"/>
      <c r="AA121" s="1682"/>
      <c r="AB121" s="1682"/>
      <c r="AC121" s="1682"/>
      <c r="AD121" s="1682"/>
      <c r="AE121" s="1682"/>
      <c r="AF121" s="1682"/>
      <c r="AG121" s="1682"/>
      <c r="AH121" s="1683"/>
    </row>
    <row r="122" spans="2:37">
      <c r="B122" s="1149"/>
      <c r="D122" s="1681"/>
      <c r="E122" s="1682"/>
      <c r="F122" s="1682"/>
      <c r="G122" s="1682"/>
      <c r="H122" s="1682"/>
      <c r="I122" s="1682"/>
      <c r="J122" s="1682"/>
      <c r="K122" s="1682"/>
      <c r="L122" s="1682"/>
      <c r="M122" s="1682"/>
      <c r="N122" s="1682"/>
      <c r="O122" s="1682"/>
      <c r="P122" s="1682"/>
      <c r="Q122" s="1682"/>
      <c r="R122" s="1682"/>
      <c r="S122" s="1682"/>
      <c r="T122" s="1682"/>
      <c r="U122" s="1682"/>
      <c r="V122" s="1682"/>
      <c r="W122" s="1682"/>
      <c r="X122" s="1682"/>
      <c r="Y122" s="1682"/>
      <c r="Z122" s="1682"/>
      <c r="AA122" s="1682"/>
      <c r="AB122" s="1682"/>
      <c r="AC122" s="1682"/>
      <c r="AD122" s="1682"/>
      <c r="AE122" s="1682"/>
      <c r="AF122" s="1682"/>
      <c r="AG122" s="1682"/>
      <c r="AH122" s="1683"/>
    </row>
    <row r="123" spans="2:37">
      <c r="B123" s="1149"/>
      <c r="D123" s="1681"/>
      <c r="E123" s="1682"/>
      <c r="F123" s="1682"/>
      <c r="G123" s="1682"/>
      <c r="H123" s="1682"/>
      <c r="I123" s="1682"/>
      <c r="J123" s="1682"/>
      <c r="K123" s="1682"/>
      <c r="L123" s="1682"/>
      <c r="M123" s="1682"/>
      <c r="N123" s="1682"/>
      <c r="O123" s="1682"/>
      <c r="P123" s="1682"/>
      <c r="Q123" s="1682"/>
      <c r="R123" s="1682"/>
      <c r="S123" s="1682"/>
      <c r="T123" s="1682"/>
      <c r="U123" s="1682"/>
      <c r="V123" s="1682"/>
      <c r="W123" s="1682"/>
      <c r="X123" s="1682"/>
      <c r="Y123" s="1682"/>
      <c r="Z123" s="1682"/>
      <c r="AA123" s="1682"/>
      <c r="AB123" s="1682"/>
      <c r="AC123" s="1682"/>
      <c r="AD123" s="1682"/>
      <c r="AE123" s="1682"/>
      <c r="AF123" s="1682"/>
      <c r="AG123" s="1682"/>
      <c r="AH123" s="1683"/>
    </row>
    <row r="124" spans="2:37">
      <c r="B124" s="1149"/>
      <c r="D124" s="1684"/>
      <c r="E124" s="1685"/>
      <c r="F124" s="1685"/>
      <c r="G124" s="1685"/>
      <c r="H124" s="1685"/>
      <c r="I124" s="1685"/>
      <c r="J124" s="1685"/>
      <c r="K124" s="1685"/>
      <c r="L124" s="1685"/>
      <c r="M124" s="1685"/>
      <c r="N124" s="1685"/>
      <c r="O124" s="1685"/>
      <c r="P124" s="1685"/>
      <c r="Q124" s="1685"/>
      <c r="R124" s="1685"/>
      <c r="S124" s="1685"/>
      <c r="T124" s="1685"/>
      <c r="U124" s="1685"/>
      <c r="V124" s="1685"/>
      <c r="W124" s="1685"/>
      <c r="X124" s="1685"/>
      <c r="Y124" s="1685"/>
      <c r="Z124" s="1685"/>
      <c r="AA124" s="1685"/>
      <c r="AB124" s="1685"/>
      <c r="AC124" s="1685"/>
      <c r="AD124" s="1685"/>
      <c r="AE124" s="1685"/>
      <c r="AF124" s="1685"/>
      <c r="AG124" s="1685"/>
      <c r="AH124" s="1686"/>
    </row>
    <row r="125" spans="2:37">
      <c r="B125" s="1149"/>
      <c r="D125" s="190"/>
      <c r="E125" s="190"/>
      <c r="F125" s="190"/>
      <c r="G125" s="190"/>
      <c r="H125" s="190"/>
      <c r="I125" s="190"/>
      <c r="J125" s="190"/>
      <c r="K125" s="190"/>
      <c r="L125" s="190"/>
      <c r="M125" s="190"/>
      <c r="N125" s="190"/>
      <c r="O125" s="190"/>
      <c r="P125" s="190"/>
      <c r="Q125" s="190"/>
      <c r="R125" s="190"/>
      <c r="S125" s="190"/>
      <c r="T125" s="190"/>
      <c r="U125" s="190"/>
      <c r="V125" s="190"/>
      <c r="W125" s="190"/>
      <c r="X125" s="190"/>
      <c r="Y125" s="469"/>
      <c r="Z125" s="469"/>
      <c r="AA125" s="469"/>
      <c r="AB125" s="469"/>
      <c r="AC125" s="469"/>
      <c r="AD125" s="469"/>
      <c r="AE125" s="469"/>
      <c r="AF125" s="469"/>
      <c r="AG125" s="469"/>
    </row>
    <row r="126" spans="2:37">
      <c r="B126" s="1149"/>
      <c r="G126" s="190"/>
      <c r="H126" s="190"/>
      <c r="I126" s="190"/>
      <c r="J126" s="190"/>
      <c r="K126" s="190"/>
      <c r="L126" s="190"/>
      <c r="M126" s="190"/>
      <c r="N126" s="190"/>
      <c r="O126" s="190"/>
      <c r="P126" s="190"/>
      <c r="Q126" s="190"/>
      <c r="R126" s="190"/>
      <c r="S126" s="190"/>
      <c r="T126" s="190"/>
      <c r="U126" s="190"/>
      <c r="V126" s="190"/>
      <c r="W126" s="190"/>
      <c r="X126" s="190"/>
      <c r="Y126" s="190"/>
      <c r="Z126" s="190"/>
      <c r="AA126" s="190"/>
      <c r="AB126" s="190"/>
      <c r="AC126" s="190"/>
      <c r="AD126" s="190"/>
      <c r="AE126" s="190"/>
      <c r="AF126" s="190"/>
      <c r="AG126" s="190"/>
      <c r="AH126" s="190"/>
      <c r="AI126" s="190"/>
      <c r="AJ126" s="190"/>
      <c r="AK126" s="190"/>
    </row>
    <row r="127" spans="2:37" ht="14.3" customHeight="1">
      <c r="B127" s="1149"/>
      <c r="C127" s="2" t="s">
        <v>538</v>
      </c>
      <c r="G127" s="1673" t="s">
        <v>539</v>
      </c>
      <c r="H127" s="1166"/>
      <c r="I127" s="1166"/>
      <c r="J127" s="1166"/>
      <c r="K127" s="1166"/>
      <c r="L127" s="1166"/>
      <c r="M127" s="1166"/>
      <c r="N127" s="1166"/>
      <c r="O127" s="1166"/>
      <c r="P127" s="1166"/>
      <c r="Q127" s="1166"/>
      <c r="R127" s="1166"/>
      <c r="S127" s="1166"/>
      <c r="T127" s="1166"/>
      <c r="U127" s="1166"/>
      <c r="V127" s="1166"/>
      <c r="W127" s="1166"/>
      <c r="X127" s="1166"/>
      <c r="Y127" s="1166"/>
      <c r="Z127" s="1166"/>
      <c r="AA127" s="1166"/>
      <c r="AB127" s="1166"/>
      <c r="AC127" s="1166"/>
      <c r="AD127" s="1166"/>
      <c r="AE127" s="1166"/>
      <c r="AF127" s="1166"/>
      <c r="AG127" s="1166"/>
      <c r="AH127" s="1166"/>
    </row>
    <row r="128" spans="2:37" ht="14.95" customHeight="1">
      <c r="B128" s="1149"/>
      <c r="C128" s="1674"/>
      <c r="D128" s="1677" t="s">
        <v>540</v>
      </c>
      <c r="E128" s="1677"/>
      <c r="F128" s="1677"/>
      <c r="G128" s="1673"/>
      <c r="H128" s="1166"/>
      <c r="I128" s="1166"/>
      <c r="J128" s="1166"/>
      <c r="K128" s="1166"/>
      <c r="L128" s="1166"/>
      <c r="M128" s="1166"/>
      <c r="N128" s="1166"/>
      <c r="O128" s="1166"/>
      <c r="P128" s="1166"/>
      <c r="Q128" s="1166"/>
      <c r="R128" s="1166"/>
      <c r="S128" s="1166"/>
      <c r="T128" s="1166"/>
      <c r="U128" s="1166"/>
      <c r="V128" s="1166"/>
      <c r="W128" s="1166"/>
      <c r="X128" s="1166"/>
      <c r="Y128" s="1166"/>
      <c r="Z128" s="1166"/>
      <c r="AA128" s="1166"/>
      <c r="AB128" s="1166"/>
      <c r="AC128" s="1166"/>
      <c r="AD128" s="1166"/>
      <c r="AE128" s="1166"/>
      <c r="AF128" s="1166"/>
      <c r="AG128" s="1166"/>
      <c r="AH128" s="1166"/>
    </row>
    <row r="129" spans="2:34">
      <c r="B129" s="1149"/>
      <c r="C129" s="1675"/>
      <c r="D129" s="1677"/>
      <c r="E129" s="1677"/>
      <c r="F129" s="1677"/>
      <c r="G129" s="1673"/>
      <c r="H129" s="1166"/>
      <c r="I129" s="1166"/>
      <c r="J129" s="1166"/>
      <c r="K129" s="1166"/>
      <c r="L129" s="1166"/>
      <c r="M129" s="1166"/>
      <c r="N129" s="1166"/>
      <c r="O129" s="1166"/>
      <c r="P129" s="1166"/>
      <c r="Q129" s="1166"/>
      <c r="R129" s="1166"/>
      <c r="S129" s="1166"/>
      <c r="T129" s="1166"/>
      <c r="U129" s="1166"/>
      <c r="V129" s="1166"/>
      <c r="W129" s="1166"/>
      <c r="X129" s="1166"/>
      <c r="Y129" s="1166"/>
      <c r="Z129" s="1166"/>
      <c r="AA129" s="1166"/>
      <c r="AB129" s="1166"/>
      <c r="AC129" s="1166"/>
      <c r="AD129" s="1166"/>
      <c r="AE129" s="1166"/>
      <c r="AF129" s="1166"/>
      <c r="AG129" s="1166"/>
      <c r="AH129" s="1166"/>
    </row>
    <row r="130" spans="2:34">
      <c r="B130" s="1149"/>
      <c r="D130" s="1677"/>
      <c r="E130" s="1677"/>
      <c r="F130" s="1677"/>
      <c r="G130" s="1673"/>
      <c r="H130" s="1166"/>
      <c r="I130" s="1166"/>
      <c r="J130" s="1166"/>
      <c r="K130" s="1166"/>
      <c r="L130" s="1166"/>
      <c r="M130" s="1166"/>
      <c r="N130" s="1166"/>
      <c r="O130" s="1166"/>
      <c r="P130" s="1166"/>
      <c r="Q130" s="1166"/>
      <c r="R130" s="1166"/>
      <c r="S130" s="1166"/>
      <c r="T130" s="1166"/>
      <c r="U130" s="1166"/>
      <c r="V130" s="1166"/>
      <c r="W130" s="1166"/>
      <c r="X130" s="1166"/>
      <c r="Y130" s="1166"/>
      <c r="Z130" s="1166"/>
      <c r="AA130" s="1166"/>
      <c r="AB130" s="1166"/>
      <c r="AC130" s="1166"/>
      <c r="AD130" s="1166"/>
      <c r="AE130" s="1166"/>
      <c r="AF130" s="1166"/>
      <c r="AG130" s="1166"/>
      <c r="AH130" s="1166"/>
    </row>
    <row r="131" spans="2:34">
      <c r="B131" s="1149"/>
      <c r="D131" s="1677"/>
      <c r="E131" s="1677"/>
      <c r="F131" s="1677"/>
      <c r="W131" s="190"/>
      <c r="X131" s="190"/>
      <c r="Y131" s="190"/>
    </row>
    <row r="132" spans="2:34">
      <c r="B132" s="1149"/>
      <c r="D132" s="469"/>
      <c r="E132" s="469"/>
      <c r="F132" s="469"/>
      <c r="W132" s="190"/>
      <c r="X132" s="190"/>
      <c r="Y132" s="190"/>
    </row>
    <row r="133" spans="2:34">
      <c r="B133" s="1149"/>
      <c r="D133" t="s">
        <v>528</v>
      </c>
      <c r="G133" s="190"/>
      <c r="H133" s="190"/>
      <c r="I133" s="190"/>
      <c r="J133" s="190"/>
      <c r="K133" s="190"/>
      <c r="L133" s="190"/>
      <c r="M133" s="190"/>
      <c r="N133" s="190"/>
      <c r="O133" s="190"/>
      <c r="P133" s="190"/>
      <c r="Q133" s="190"/>
      <c r="R133" s="190"/>
      <c r="S133" s="190"/>
      <c r="T133" s="190"/>
      <c r="U133" s="190"/>
      <c r="V133" s="190"/>
      <c r="W133" s="190"/>
      <c r="X133" s="190"/>
      <c r="Y133" s="469"/>
      <c r="Z133" s="469"/>
      <c r="AA133" s="469"/>
      <c r="AB133" s="469"/>
      <c r="AC133" s="469"/>
      <c r="AD133" s="469"/>
      <c r="AE133" s="469"/>
      <c r="AF133" s="469"/>
      <c r="AG133" s="469"/>
    </row>
    <row r="134" spans="2:34">
      <c r="B134" s="1149"/>
      <c r="D134" s="1678"/>
      <c r="E134" s="1679"/>
      <c r="F134" s="1679"/>
      <c r="G134" s="1679"/>
      <c r="H134" s="1679"/>
      <c r="I134" s="1679"/>
      <c r="J134" s="1679"/>
      <c r="K134" s="1679"/>
      <c r="L134" s="1679"/>
      <c r="M134" s="1679"/>
      <c r="N134" s="1679"/>
      <c r="O134" s="1679"/>
      <c r="P134" s="1679"/>
      <c r="Q134" s="1679"/>
      <c r="R134" s="1679"/>
      <c r="S134" s="1679"/>
      <c r="T134" s="1679"/>
      <c r="U134" s="1679"/>
      <c r="V134" s="1679"/>
      <c r="W134" s="1679"/>
      <c r="X134" s="1679"/>
      <c r="Y134" s="1679"/>
      <c r="Z134" s="1679"/>
      <c r="AA134" s="1679"/>
      <c r="AB134" s="1679"/>
      <c r="AC134" s="1679"/>
      <c r="AD134" s="1679"/>
      <c r="AE134" s="1679"/>
      <c r="AF134" s="1679"/>
      <c r="AG134" s="1679"/>
      <c r="AH134" s="1680"/>
    </row>
    <row r="135" spans="2:34">
      <c r="B135" s="1149"/>
      <c r="D135" s="1681"/>
      <c r="E135" s="1682"/>
      <c r="F135" s="1682"/>
      <c r="G135" s="1682"/>
      <c r="H135" s="1682"/>
      <c r="I135" s="1682"/>
      <c r="J135" s="1682"/>
      <c r="K135" s="1682"/>
      <c r="L135" s="1682"/>
      <c r="M135" s="1682"/>
      <c r="N135" s="1682"/>
      <c r="O135" s="1682"/>
      <c r="P135" s="1682"/>
      <c r="Q135" s="1682"/>
      <c r="R135" s="1682"/>
      <c r="S135" s="1682"/>
      <c r="T135" s="1682"/>
      <c r="U135" s="1682"/>
      <c r="V135" s="1682"/>
      <c r="W135" s="1682"/>
      <c r="X135" s="1682"/>
      <c r="Y135" s="1682"/>
      <c r="Z135" s="1682"/>
      <c r="AA135" s="1682"/>
      <c r="AB135" s="1682"/>
      <c r="AC135" s="1682"/>
      <c r="AD135" s="1682"/>
      <c r="AE135" s="1682"/>
      <c r="AF135" s="1682"/>
      <c r="AG135" s="1682"/>
      <c r="AH135" s="1683"/>
    </row>
    <row r="136" spans="2:34">
      <c r="B136" s="1149"/>
      <c r="D136" s="1681"/>
      <c r="E136" s="1682"/>
      <c r="F136" s="1682"/>
      <c r="G136" s="1682"/>
      <c r="H136" s="1682"/>
      <c r="I136" s="1682"/>
      <c r="J136" s="1682"/>
      <c r="K136" s="1682"/>
      <c r="L136" s="1682"/>
      <c r="M136" s="1682"/>
      <c r="N136" s="1682"/>
      <c r="O136" s="1682"/>
      <c r="P136" s="1682"/>
      <c r="Q136" s="1682"/>
      <c r="R136" s="1682"/>
      <c r="S136" s="1682"/>
      <c r="T136" s="1682"/>
      <c r="U136" s="1682"/>
      <c r="V136" s="1682"/>
      <c r="W136" s="1682"/>
      <c r="X136" s="1682"/>
      <c r="Y136" s="1682"/>
      <c r="Z136" s="1682"/>
      <c r="AA136" s="1682"/>
      <c r="AB136" s="1682"/>
      <c r="AC136" s="1682"/>
      <c r="AD136" s="1682"/>
      <c r="AE136" s="1682"/>
      <c r="AF136" s="1682"/>
      <c r="AG136" s="1682"/>
      <c r="AH136" s="1683"/>
    </row>
    <row r="137" spans="2:34">
      <c r="B137" s="1149"/>
      <c r="D137" s="1681"/>
      <c r="E137" s="1682"/>
      <c r="F137" s="1682"/>
      <c r="G137" s="1682"/>
      <c r="H137" s="1682"/>
      <c r="I137" s="1682"/>
      <c r="J137" s="1682"/>
      <c r="K137" s="1682"/>
      <c r="L137" s="1682"/>
      <c r="M137" s="1682"/>
      <c r="N137" s="1682"/>
      <c r="O137" s="1682"/>
      <c r="P137" s="1682"/>
      <c r="Q137" s="1682"/>
      <c r="R137" s="1682"/>
      <c r="S137" s="1682"/>
      <c r="T137" s="1682"/>
      <c r="U137" s="1682"/>
      <c r="V137" s="1682"/>
      <c r="W137" s="1682"/>
      <c r="X137" s="1682"/>
      <c r="Y137" s="1682"/>
      <c r="Z137" s="1682"/>
      <c r="AA137" s="1682"/>
      <c r="AB137" s="1682"/>
      <c r="AC137" s="1682"/>
      <c r="AD137" s="1682"/>
      <c r="AE137" s="1682"/>
      <c r="AF137" s="1682"/>
      <c r="AG137" s="1682"/>
      <c r="AH137" s="1683"/>
    </row>
    <row r="138" spans="2:34">
      <c r="B138" s="1149"/>
      <c r="D138" s="1681"/>
      <c r="E138" s="1682"/>
      <c r="F138" s="1682"/>
      <c r="G138" s="1682"/>
      <c r="H138" s="1682"/>
      <c r="I138" s="1682"/>
      <c r="J138" s="1682"/>
      <c r="K138" s="1682"/>
      <c r="L138" s="1682"/>
      <c r="M138" s="1682"/>
      <c r="N138" s="1682"/>
      <c r="O138" s="1682"/>
      <c r="P138" s="1682"/>
      <c r="Q138" s="1682"/>
      <c r="R138" s="1682"/>
      <c r="S138" s="1682"/>
      <c r="T138" s="1682"/>
      <c r="U138" s="1682"/>
      <c r="V138" s="1682"/>
      <c r="W138" s="1682"/>
      <c r="X138" s="1682"/>
      <c r="Y138" s="1682"/>
      <c r="Z138" s="1682"/>
      <c r="AA138" s="1682"/>
      <c r="AB138" s="1682"/>
      <c r="AC138" s="1682"/>
      <c r="AD138" s="1682"/>
      <c r="AE138" s="1682"/>
      <c r="AF138" s="1682"/>
      <c r="AG138" s="1682"/>
      <c r="AH138" s="1683"/>
    </row>
    <row r="139" spans="2:34">
      <c r="B139" s="1149"/>
      <c r="D139" s="1684"/>
      <c r="E139" s="1685"/>
      <c r="F139" s="1685"/>
      <c r="G139" s="1685"/>
      <c r="H139" s="1685"/>
      <c r="I139" s="1685"/>
      <c r="J139" s="1685"/>
      <c r="K139" s="1685"/>
      <c r="L139" s="1685"/>
      <c r="M139" s="1685"/>
      <c r="N139" s="1685"/>
      <c r="O139" s="1685"/>
      <c r="P139" s="1685"/>
      <c r="Q139" s="1685"/>
      <c r="R139" s="1685"/>
      <c r="S139" s="1685"/>
      <c r="T139" s="1685"/>
      <c r="U139" s="1685"/>
      <c r="V139" s="1685"/>
      <c r="W139" s="1685"/>
      <c r="X139" s="1685"/>
      <c r="Y139" s="1685"/>
      <c r="Z139" s="1685"/>
      <c r="AA139" s="1685"/>
      <c r="AB139" s="1685"/>
      <c r="AC139" s="1685"/>
      <c r="AD139" s="1685"/>
      <c r="AE139" s="1685"/>
      <c r="AF139" s="1685"/>
      <c r="AG139" s="1685"/>
      <c r="AH139" s="1686"/>
    </row>
    <row r="140" spans="2:34">
      <c r="D140" s="190"/>
      <c r="E140" s="190"/>
      <c r="F140" s="190"/>
      <c r="G140" s="190"/>
      <c r="H140" s="190"/>
      <c r="I140" s="190"/>
      <c r="J140" s="190"/>
      <c r="K140" s="190"/>
      <c r="L140" s="190"/>
      <c r="M140" s="190"/>
      <c r="N140" s="190"/>
      <c r="O140" s="190"/>
      <c r="P140" s="190"/>
      <c r="Q140" s="190"/>
      <c r="R140" s="190"/>
      <c r="S140" s="190"/>
      <c r="T140" s="190"/>
      <c r="U140" s="190"/>
      <c r="V140" s="190"/>
      <c r="W140" s="190"/>
      <c r="X140" s="190"/>
      <c r="Y140" s="469"/>
      <c r="Z140" s="469"/>
      <c r="AA140" s="469"/>
      <c r="AB140" s="469"/>
      <c r="AC140" s="469"/>
      <c r="AD140" s="469"/>
      <c r="AE140" s="469"/>
      <c r="AF140" s="469"/>
      <c r="AG140" s="469"/>
    </row>
    <row r="141" spans="2:34">
      <c r="G141" s="190"/>
      <c r="H141" s="190"/>
      <c r="I141" s="190"/>
      <c r="J141" s="190"/>
      <c r="K141" s="190"/>
      <c r="L141" s="190"/>
      <c r="M141" s="190"/>
      <c r="N141" s="190"/>
      <c r="O141" s="190"/>
      <c r="P141" s="190"/>
      <c r="Q141" s="190"/>
      <c r="R141" s="190"/>
      <c r="S141" s="190"/>
      <c r="T141" s="190"/>
      <c r="U141" s="190"/>
      <c r="V141" s="190"/>
      <c r="W141" s="190"/>
      <c r="X141" s="190"/>
      <c r="Y141" s="190"/>
      <c r="Z141" s="190"/>
      <c r="AA141" s="190"/>
      <c r="AB141" s="190"/>
      <c r="AC141" s="190"/>
      <c r="AD141" s="190"/>
      <c r="AE141" s="190"/>
      <c r="AF141" s="190"/>
      <c r="AG141" s="190"/>
    </row>
  </sheetData>
  <sheetProtection algorithmName="SHA-512" hashValue="FAohwxHqYi6qkZnsPebiwoDCXJB5RVO3QDKTFYBY1X/0kxTJLvCo2F/3fGruauzkgFX9pyGpf3eyoCLtepAPbg==" saltValue="EeG4OQbLAF/DjELwAI+Csw==" spinCount="100000" sheet="1" selectLockedCells="1"/>
  <mergeCells count="39">
    <mergeCell ref="I7:AB8"/>
    <mergeCell ref="I9:AB10"/>
    <mergeCell ref="I11:AB12"/>
    <mergeCell ref="I13:AB14"/>
    <mergeCell ref="D88:AH93"/>
    <mergeCell ref="A19:AJ19"/>
    <mergeCell ref="D65:F70"/>
    <mergeCell ref="D51:AH53"/>
    <mergeCell ref="C57:AH58"/>
    <mergeCell ref="G64:AH70"/>
    <mergeCell ref="D73:AH78"/>
    <mergeCell ref="C20:AI20"/>
    <mergeCell ref="C21:AI21"/>
    <mergeCell ref="C22:AI22"/>
    <mergeCell ref="C23:AI23"/>
    <mergeCell ref="C24:AI24"/>
    <mergeCell ref="B113:B139"/>
    <mergeCell ref="G96:AH103"/>
    <mergeCell ref="D105:AH110"/>
    <mergeCell ref="C97:C98"/>
    <mergeCell ref="D97:F98"/>
    <mergeCell ref="D134:AH139"/>
    <mergeCell ref="C114:C115"/>
    <mergeCell ref="D114:F116"/>
    <mergeCell ref="C128:C129"/>
    <mergeCell ref="D128:F131"/>
    <mergeCell ref="G113:AH115"/>
    <mergeCell ref="D119:AH124"/>
    <mergeCell ref="G127:AH130"/>
    <mergeCell ref="B95:B111"/>
    <mergeCell ref="G81:AH85"/>
    <mergeCell ref="C65:C66"/>
    <mergeCell ref="C82:C83"/>
    <mergeCell ref="D82:F85"/>
    <mergeCell ref="B26:B46"/>
    <mergeCell ref="B49:B59"/>
    <mergeCell ref="B60:B79"/>
    <mergeCell ref="B81:B94"/>
    <mergeCell ref="C40:AH46"/>
  </mergeCells>
  <pageMargins left="0.25" right="0.25" top="0.75" bottom="0.75" header="0.3" footer="0.3"/>
  <pageSetup scale="52" fitToHeight="0" orientation="portrait" r:id="rId1"/>
  <rowBreaks count="1" manualBreakCount="1">
    <brk id="111"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1 6 " ? > < W o r k b o o k S t a t e   x m l n s : i = " h t t p : / / w w w . w 3 . o r g / 2 0 0 1 / X M L S c h e m a - i n s t a n c e "   x m l n s = " h t t p : / / s c h e m a s . m i c r o s o f t . c o m / P o w e r B I A d d I n " > < L a s t P r o v i d e d R a n g e N a m e I d > 0 < / L a s t P r o v i d e d R a n g e N a m e I d > < L a s t U s e d G r o u p O b j e c t I d > < / L a s t U s e d G r o u p O b j e c t I d > < T i l e s L i s t > < T i l e s / > < / T i l e s L i s t > < / W o r k b o o k S t a t e > 
</file>

<file path=customXml/item4.xml><?xml version="1.0" encoding="utf-8"?>
<ct:contentTypeSchema xmlns:ct="http://schemas.microsoft.com/office/2006/metadata/contentType" xmlns:ma="http://schemas.microsoft.com/office/2006/metadata/properties/metaAttributes" ct:_="" ma:_="" ma:contentTypeName="Document" ma:contentTypeID="0x0101009E43E5B70C29124797C50DB7A56C8846" ma:contentTypeVersion="2" ma:contentTypeDescription="Create a new document." ma:contentTypeScope="" ma:versionID="a3d5af04bc8266c4187b5942017684e7">
  <xsd:schema xmlns:xsd="http://www.w3.org/2001/XMLSchema" xmlns:xs="http://www.w3.org/2001/XMLSchema" xmlns:p="http://schemas.microsoft.com/office/2006/metadata/properties" xmlns:ns2="c14c0670-55d2-4f12-b056-3e062a694960" targetNamespace="http://schemas.microsoft.com/office/2006/metadata/properties" ma:root="true" ma:fieldsID="da31aec523377c686badcbaba70daa72" ns2:_="">
    <xsd:import namespace="c14c0670-55d2-4f12-b056-3e062a694960"/>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14c0670-55d2-4f12-b056-3e062a69496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CDF3962-F554-444C-AD56-C2F1862CC2EC}">
  <ds:schemaRefs>
    <ds:schemaRef ds:uri="http://schemas.microsoft.com/sharepoint/v3/contenttype/forms"/>
  </ds:schemaRefs>
</ds:datastoreItem>
</file>

<file path=customXml/itemProps2.xml><?xml version="1.0" encoding="utf-8"?>
<ds:datastoreItem xmlns:ds="http://schemas.openxmlformats.org/officeDocument/2006/customXml" ds:itemID="{78A94377-0EA5-4C3A-925B-E6E3346FE901}">
  <ds:schemaRefs>
    <ds:schemaRef ds:uri="http://schemas.microsoft.com/office/2006/metadata/properties"/>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openxmlformats.org/package/2006/metadata/core-properties"/>
    <ds:schemaRef ds:uri="c14c0670-55d2-4f12-b056-3e062a694960"/>
    <ds:schemaRef ds:uri="http://www.w3.org/XML/1998/namespace"/>
  </ds:schemaRefs>
</ds:datastoreItem>
</file>

<file path=customXml/itemProps3.xml><?xml version="1.0" encoding="utf-8"?>
<ds:datastoreItem xmlns:ds="http://schemas.openxmlformats.org/officeDocument/2006/customXml" ds:itemID="{F598E01A-24AC-4587-8BE4-FD571E4A70AA}">
  <ds:schemaRefs>
    <ds:schemaRef ds:uri="http://schemas.microsoft.com/PowerBIAddIn"/>
  </ds:schemaRefs>
</ds:datastoreItem>
</file>

<file path=customXml/itemProps4.xml><?xml version="1.0" encoding="utf-8"?>
<ds:datastoreItem xmlns:ds="http://schemas.openxmlformats.org/officeDocument/2006/customXml" ds:itemID="{225EFD92-51EE-45E1-BDBA-EAB7F138587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14c0670-55d2-4f12-b056-3e062a6949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164</vt:i4>
      </vt:variant>
    </vt:vector>
  </HeadingPairs>
  <TitlesOfParts>
    <vt:vector size="183" baseType="lpstr">
      <vt:lpstr>Terms</vt:lpstr>
      <vt:lpstr>Project</vt:lpstr>
      <vt:lpstr>Fixtures</vt:lpstr>
      <vt:lpstr>Installations</vt:lpstr>
      <vt:lpstr>Customer Authorization</vt:lpstr>
      <vt:lpstr>Customer Use</vt:lpstr>
      <vt:lpstr>Instructions</vt:lpstr>
      <vt:lpstr>Ready</vt:lpstr>
      <vt:lpstr>LLLC &amp; Ext. NLC</vt:lpstr>
      <vt:lpstr>Control Savings</vt:lpstr>
      <vt:lpstr>Grant QC Review</vt:lpstr>
      <vt:lpstr>CNC DSMc SOW</vt:lpstr>
      <vt:lpstr>LLLC Grant QC Review</vt:lpstr>
      <vt:lpstr>DATA</vt:lpstr>
      <vt:lpstr>Autofund</vt:lpstr>
      <vt:lpstr>Existing</vt:lpstr>
      <vt:lpstr>Lookup</vt:lpstr>
      <vt:lpstr>WSEC</vt:lpstr>
      <vt:lpstr>Space Table</vt:lpstr>
      <vt:lpstr>__Company_Name_List</vt:lpstr>
      <vt:lpstr>__Retrofit_TI_NC</vt:lpstr>
      <vt:lpstr>_C406_3</vt:lpstr>
      <vt:lpstr>_C406_reduction</vt:lpstr>
      <vt:lpstr>_Control_Bonus</vt:lpstr>
      <vt:lpstr>_Control_Table</vt:lpstr>
      <vt:lpstr>_Control_Type_Table</vt:lpstr>
      <vt:lpstr>_Daylight_Table_Codes</vt:lpstr>
      <vt:lpstr>_Daylighted?</vt:lpstr>
      <vt:lpstr>_Error_Table</vt:lpstr>
      <vt:lpstr>_Exist_Fixture_Table</vt:lpstr>
      <vt:lpstr>_Fixture_1_Top</vt:lpstr>
      <vt:lpstr>_Fixture_2_Existing</vt:lpstr>
      <vt:lpstr>_Fixture_3_01</vt:lpstr>
      <vt:lpstr>_Fixture_3_10</vt:lpstr>
      <vt:lpstr>_Fixture_3_20</vt:lpstr>
      <vt:lpstr>_Fixture_3_30</vt:lpstr>
      <vt:lpstr>_Fixture_4_Help</vt:lpstr>
      <vt:lpstr>_Fixture_5_New</vt:lpstr>
      <vt:lpstr>_Fixture_6_N01</vt:lpstr>
      <vt:lpstr>_Fixture_6_N10</vt:lpstr>
      <vt:lpstr>_Fixture_6_N20</vt:lpstr>
      <vt:lpstr>_Fixture_6_N30</vt:lpstr>
      <vt:lpstr>_Fixture_6_N40</vt:lpstr>
      <vt:lpstr>_Fixture_7_Help</vt:lpstr>
      <vt:lpstr>_Fixture_Generic_List</vt:lpstr>
      <vt:lpstr>_Fixture_Measure_Life</vt:lpstr>
      <vt:lpstr>_Heat_Type</vt:lpstr>
      <vt:lpstr>_Install_1</vt:lpstr>
      <vt:lpstr>_Install_11</vt:lpstr>
      <vt:lpstr>_Install_2_Supplemental_Info</vt:lpstr>
      <vt:lpstr>_Install_26</vt:lpstr>
      <vt:lpstr>_Install_41</vt:lpstr>
      <vt:lpstr>_Install_56</vt:lpstr>
      <vt:lpstr>_Install_71</vt:lpstr>
      <vt:lpstr>_Install_86</vt:lpstr>
      <vt:lpstr>_Install_Top</vt:lpstr>
      <vt:lpstr>_LLLC_Bouns</vt:lpstr>
      <vt:lpstr>_LLLC_Data_Monitoring</vt:lpstr>
      <vt:lpstr>_LLLC_Daylight_Sensor</vt:lpstr>
      <vt:lpstr>_LLLC_Occupancy_Sensor</vt:lpstr>
      <vt:lpstr>_LLLC_Process</vt:lpstr>
      <vt:lpstr>_LLLC_Task_Tuning</vt:lpstr>
      <vt:lpstr>'LLLC &amp; Ext. NLC'!_LLLC_Top</vt:lpstr>
      <vt:lpstr>_Lookup_Fixture_Type</vt:lpstr>
      <vt:lpstr>_Lookup_Heat_Type_New</vt:lpstr>
      <vt:lpstr>_Lookup_Heat_Type_Table_New</vt:lpstr>
      <vt:lpstr>_Lookup_Type_New</vt:lpstr>
      <vt:lpstr>_New_Fixture_Table</vt:lpstr>
      <vt:lpstr>_Project_1_Top</vt:lpstr>
      <vt:lpstr>_Project_2_Type</vt:lpstr>
      <vt:lpstr>_Project_3_Name</vt:lpstr>
      <vt:lpstr>_Project_4_Owner</vt:lpstr>
      <vt:lpstr>_Project_5_Hours</vt:lpstr>
      <vt:lpstr>_Project_6_Notes</vt:lpstr>
      <vt:lpstr>_Project_7_Contractor</vt:lpstr>
      <vt:lpstr>_Project_8_Vendor</vt:lpstr>
      <vt:lpstr>_Project_Submitter</vt:lpstr>
      <vt:lpstr>_QC_Form2</vt:lpstr>
      <vt:lpstr>_QC_Form3</vt:lpstr>
      <vt:lpstr>_QC_Grant</vt:lpstr>
      <vt:lpstr>_QC_LLLC_Form2</vt:lpstr>
      <vt:lpstr>_QC_LLLC_Form3</vt:lpstr>
      <vt:lpstr>_QC_LLLC_Project</vt:lpstr>
      <vt:lpstr>_QC_LLLC_Top</vt:lpstr>
      <vt:lpstr>_QC_Project</vt:lpstr>
      <vt:lpstr>_QC_Top</vt:lpstr>
      <vt:lpstr>_Qty_Fixtures</vt:lpstr>
      <vt:lpstr>Ready!_Ready_Top</vt:lpstr>
      <vt:lpstr>_Suplemental</vt:lpstr>
      <vt:lpstr>_Terms_1_Top</vt:lpstr>
      <vt:lpstr>_Terms_2_Approval</vt:lpstr>
      <vt:lpstr>_Terms_3_Submittals</vt:lpstr>
      <vt:lpstr>_Terms_4_Customers</vt:lpstr>
      <vt:lpstr>_Terms_5_Incentives</vt:lpstr>
      <vt:lpstr>_Terms_6_Specifications</vt:lpstr>
      <vt:lpstr>_Terms_7_Inspections</vt:lpstr>
      <vt:lpstr>_Terms_8_Invoice</vt:lpstr>
      <vt:lpstr>_TLED_to_TLED</vt:lpstr>
      <vt:lpstr>Control_Savings_Exterior</vt:lpstr>
      <vt:lpstr>Control_Savings_Interior</vt:lpstr>
      <vt:lpstr>Controls_Exterior_Basic</vt:lpstr>
      <vt:lpstr>Controls_Interior_Basic</vt:lpstr>
      <vt:lpstr>Controls_Interior_LLLC</vt:lpstr>
      <vt:lpstr>Controls_Interior_No_Daylight</vt:lpstr>
      <vt:lpstr>Controls_Removed</vt:lpstr>
      <vt:lpstr>ControlTime</vt:lpstr>
      <vt:lpstr>EMEs</vt:lpstr>
      <vt:lpstr>Exist_CFL</vt:lpstr>
      <vt:lpstr>Exist_Exit</vt:lpstr>
      <vt:lpstr>Exist_HalogenA</vt:lpstr>
      <vt:lpstr>Exist_HalogenMR</vt:lpstr>
      <vt:lpstr>Exist_HalogenPAR</vt:lpstr>
      <vt:lpstr>Exist_HPS</vt:lpstr>
      <vt:lpstr>Exist_Incan</vt:lpstr>
      <vt:lpstr>Exist_Induction</vt:lpstr>
      <vt:lpstr>Exist_Mercury_Vapor</vt:lpstr>
      <vt:lpstr>Exist_MH</vt:lpstr>
      <vt:lpstr>Exist_Removed</vt:lpstr>
      <vt:lpstr>Exist_T12</vt:lpstr>
      <vt:lpstr>Exist_T12_HO</vt:lpstr>
      <vt:lpstr>Exist_T12_Slimline</vt:lpstr>
      <vt:lpstr>Exist_T5</vt:lpstr>
      <vt:lpstr>Exist_T5_HO</vt:lpstr>
      <vt:lpstr>Exist_T8_25W</vt:lpstr>
      <vt:lpstr>Exist_T8_28W</vt:lpstr>
      <vt:lpstr>Exist_T8_2ft</vt:lpstr>
      <vt:lpstr>Exist_T8_32WHighPerf</vt:lpstr>
      <vt:lpstr>Exist_T8_3ft</vt:lpstr>
      <vt:lpstr>Exist_T8_4ft_E</vt:lpstr>
      <vt:lpstr>Exist_T8_4ft_Mag</vt:lpstr>
      <vt:lpstr>Exist_T8_5ft</vt:lpstr>
      <vt:lpstr>Exist_T8_HO</vt:lpstr>
      <vt:lpstr>Exist_T8_Slimline</vt:lpstr>
      <vt:lpstr>Fixture_Existing_Help</vt:lpstr>
      <vt:lpstr>Fixture_Proposed_Help</vt:lpstr>
      <vt:lpstr>Fixture_Top</vt:lpstr>
      <vt:lpstr>Fixtures_Existing</vt:lpstr>
      <vt:lpstr>Fixtures_Existing_List</vt:lpstr>
      <vt:lpstr>Fixtures_Proposed</vt:lpstr>
      <vt:lpstr>Fixtures_Proposed_List</vt:lpstr>
      <vt:lpstr>Fixtures_Top</vt:lpstr>
      <vt:lpstr>Installations_New_Fixtures</vt:lpstr>
      <vt:lpstr>Instructions_Light_Fixture</vt:lpstr>
      <vt:lpstr>Lookup_Control_Type_Table</vt:lpstr>
      <vt:lpstr>Lookup_Control_Type_Table2</vt:lpstr>
      <vt:lpstr>Lookup_Devined_Name_No_Existing</vt:lpstr>
      <vt:lpstr>Lookup_Existing_TLED</vt:lpstr>
      <vt:lpstr>Lookup_Exterior_Areas</vt:lpstr>
      <vt:lpstr>Lookup_Exterior_New</vt:lpstr>
      <vt:lpstr>Lookup_Fixture_Defined_Name_Existing</vt:lpstr>
      <vt:lpstr>Lookup_Fixture_Existing</vt:lpstr>
      <vt:lpstr>Lookup_Fixture_Exit</vt:lpstr>
      <vt:lpstr>Lookup_Fixture_Fluorescent</vt:lpstr>
      <vt:lpstr>Lookup_Fixture_Fluorescent_Defined_Name_Existing</vt:lpstr>
      <vt:lpstr>Lookup_Fixture_HID</vt:lpstr>
      <vt:lpstr>Lookup_Fixture_Incandescent</vt:lpstr>
      <vt:lpstr>Lookup_Fixture_Induction</vt:lpstr>
      <vt:lpstr>Lookup_Fixture_Lamp_List</vt:lpstr>
      <vt:lpstr>Lookup_Fixture_Type_Defined_Name_Exist</vt:lpstr>
      <vt:lpstr>Lookup_Fixture_Type_Exist</vt:lpstr>
      <vt:lpstr>Lookup_Heat_Type_Table</vt:lpstr>
      <vt:lpstr>Lookup_Installer</vt:lpstr>
      <vt:lpstr>Lookup_Installer_Number</vt:lpstr>
      <vt:lpstr>Lookup_Interior</vt:lpstr>
      <vt:lpstr>Lookup_Interior_New</vt:lpstr>
      <vt:lpstr>Lookup_no_Existing</vt:lpstr>
      <vt:lpstr>Lookup_Rate_Schedule</vt:lpstr>
      <vt:lpstr>Lookup_Schedule</vt:lpstr>
      <vt:lpstr>Lookup_Street</vt:lpstr>
      <vt:lpstr>Lookup_Submitter</vt:lpstr>
      <vt:lpstr>Lookup_Submitter_Number</vt:lpstr>
      <vt:lpstr>Lookup_Type</vt:lpstr>
      <vt:lpstr>NewFixtures</vt:lpstr>
      <vt:lpstr>OnIntensity</vt:lpstr>
      <vt:lpstr>'Customer Authorization'!Print_Area</vt:lpstr>
      <vt:lpstr>'Grant QC Review'!Print_Area</vt:lpstr>
      <vt:lpstr>'LLLC &amp; Ext. NLC'!Print_Area</vt:lpstr>
      <vt:lpstr>'LLLC Grant QC Review'!Print_Area</vt:lpstr>
      <vt:lpstr>Project!Print_Area</vt:lpstr>
      <vt:lpstr>Ready!Print_Area</vt:lpstr>
      <vt:lpstr>Signature_Top</vt:lpstr>
      <vt:lpstr>Space_Control_Table</vt:lpstr>
      <vt:lpstr>Space_Table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Michael Lane</dc:creator>
  <cp:keywords/>
  <dc:description/>
  <cp:lastModifiedBy>Lane, Michael</cp:lastModifiedBy>
  <cp:revision/>
  <cp:lastPrinted>2022-07-19T22:02:39Z</cp:lastPrinted>
  <dcterms:created xsi:type="dcterms:W3CDTF">2019-09-08T15:46:52Z</dcterms:created>
  <dcterms:modified xsi:type="dcterms:W3CDTF">2022-08-29T14:54:25Z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0x0101009E43E5B70C29124797C50DB7A56C8846</vt:lpwstr>
  </property>
</Properties>
</file>